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662AC1DA-710E-409A-AF98-282AFDE22985}"/>
  <workbookPr codeName="ThisWorkbook" hidePivotFieldList="1" defaultThemeVersion="124226"/>
  <mc:AlternateContent xmlns:mc="http://schemas.openxmlformats.org/markup-compatibility/2006">
    <mc:Choice Requires="x15">
      <x15ac:absPath xmlns:x15ac="http://schemas.microsoft.com/office/spreadsheetml/2010/11/ac" url="D:\PROYECTOS ELABORADOS\PL386 BRASIL 14  INGECO\"/>
    </mc:Choice>
  </mc:AlternateContent>
  <xr:revisionPtr revIDLastSave="0" documentId="13_ncr:1_{4F613A27-E32F-4817-A188-EBA1832C1CD5}" xr6:coauthVersionLast="45" xr6:coauthVersionMax="45" xr10:uidLastSave="{00000000-0000-0000-0000-000000000000}"/>
  <bookViews>
    <workbookView xWindow="-120" yWindow="-120" windowWidth="20730" windowHeight="11160" tabRatio="833" xr2:uid="{00000000-000D-0000-FFFF-FFFF00000000}"/>
  </bookViews>
  <sheets>
    <sheet name="Cotizacion" sheetId="1" r:id="rId1"/>
    <sheet name="Base" sheetId="2" r:id="rId2"/>
    <sheet name="Metrado" sheetId="17" r:id="rId3"/>
    <sheet name="Barras" sheetId="4" r:id="rId4"/>
    <sheet name="Calc_Barras" sheetId="5" r:id="rId5"/>
    <sheet name="Panel" sheetId="11" r:id="rId6"/>
    <sheet name="Gabinete" sheetId="12" r:id="rId7"/>
    <sheet name="Gab_Aut" sheetId="6" r:id="rId8"/>
    <sheet name="Desc" sheetId="10" r:id="rId9"/>
    <sheet name="Oferta Economica" sheetId="3" r:id="rId10"/>
    <sheet name="N-IP" sheetId="19" state="hidden" r:id="rId11"/>
    <sheet name="N-int" sheetId="20" state="hidden" r:id="rId12"/>
    <sheet name="N-sel" sheetId="21" state="hidden" r:id="rId13"/>
    <sheet name="N-recu" sheetId="22" r:id="rId14"/>
    <sheet name="N-BCA" sheetId="23" state="hidden" r:id="rId15"/>
    <sheet name="N-Otros" sheetId="24" state="hidden" r:id="rId16"/>
    <sheet name="N-EspT" sheetId="25" state="hidden" r:id="rId17"/>
    <sheet name="datos_prueba" sheetId="18" state="hidden" r:id="rId18"/>
    <sheet name="CambMarca" sheetId="47" r:id="rId19"/>
    <sheet name="Red(temp)" sheetId="45" r:id="rId20"/>
    <sheet name="Red_Pres" sheetId="46" r:id="rId21"/>
    <sheet name="Red_Pres (ej)" sheetId="48" r:id="rId22"/>
    <sheet name="Datos(temp)" sheetId="49" r:id="rId23"/>
  </sheets>
  <definedNames>
    <definedName name="_xlnm._FilterDatabase" localSheetId="1" hidden="1">Base!$B$19:$K$8026</definedName>
    <definedName name="_xlnm._FilterDatabase" localSheetId="0" hidden="1">Cotizacion!$A$7:$J$882</definedName>
    <definedName name="_xlnm._FilterDatabase" localSheetId="2" hidden="1">Metrado!$D$2:$H$169</definedName>
    <definedName name="_xlnm._FilterDatabase" localSheetId="20" hidden="1">Red_Pres!#REF!</definedName>
    <definedName name="_xlnm._FilterDatabase" localSheetId="21" hidden="1">'Red_Pres (ej)'!#REF!</definedName>
    <definedName name="_xlnm.Print_Area" localSheetId="4">Calc_Barras!$A$1:$N$6</definedName>
    <definedName name="_xlnm.Print_Area" localSheetId="20">Red_Pres!$A$6:$F$707</definedName>
    <definedName name="_xlnm.Print_Area" localSheetId="21">'Red_Pres (ej)'!$A$6:$F$939</definedName>
    <definedName name="BASE" localSheetId="3">Barras!$J$3</definedName>
    <definedName name="base_barras">Barras!$B$6:$L$26</definedName>
    <definedName name="base_datos">Base!$B$19:$K$10019</definedName>
    <definedName name="descuentos">Base!$B$6:$J$12</definedName>
    <definedName name="dol_sol">Base!$C$15</definedName>
    <definedName name="dscto">Cotizacion!$D$6</definedName>
    <definedName name="fcl">Base!$C$14</definedName>
    <definedName name="fcl_opciones">datos_prueba!$C$5:$C$59</definedName>
    <definedName name="G_U">Base!$C$13</definedName>
    <definedName name="precio_aislador">Barras!$B$32:$C$36</definedName>
    <definedName name="precio_barras">Barras!$B$6:$L$26</definedName>
    <definedName name="seccion." localSheetId="3">Barras!$B$6:$B$26</definedName>
    <definedName name="seccion." localSheetId="4">Barras!$B$6:$B$26</definedName>
    <definedName name="TABLEROS">Cotizacion!$C$883:$J$1206</definedName>
    <definedName name="TC">Base!$C$17</definedName>
    <definedName name="TC_DolSol">Cotizacion!$D$5</definedName>
    <definedName name="_xlnm.Print_Titles" localSheetId="20">Red_Pres!$1:$5</definedName>
    <definedName name="_xlnm.Print_Titles" localSheetId="21">'Red_Pres (ej)'!$1:$5</definedName>
  </definedNames>
  <calcPr calcId="181029"/>
  <pivotCaches>
    <pivotCache cacheId="9" r:id="rId24"/>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293" i="1" l="1"/>
  <c r="M294" i="1"/>
  <c r="M295" i="1"/>
  <c r="M296" i="1"/>
  <c r="M297" i="1"/>
  <c r="M298" i="1"/>
  <c r="M299" i="1"/>
  <c r="M300" i="1"/>
  <c r="M301" i="1"/>
  <c r="M302" i="1"/>
  <c r="M303" i="1"/>
  <c r="M304"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O658" i="46" l="1"/>
  <c r="Q658" i="46" s="1"/>
  <c r="O657" i="46"/>
  <c r="Q657" i="46" s="1"/>
  <c r="O656" i="46"/>
  <c r="Q656" i="46" s="1"/>
  <c r="O655" i="46"/>
  <c r="Q655" i="46" s="1"/>
  <c r="O654" i="46"/>
  <c r="Q654" i="46" s="1"/>
  <c r="O653" i="46"/>
  <c r="Q653" i="46" s="1"/>
  <c r="O652" i="46"/>
  <c r="Q652" i="46" s="1"/>
  <c r="O651" i="46"/>
  <c r="Q651" i="46" s="1"/>
  <c r="O650" i="46"/>
  <c r="Q650" i="46" s="1"/>
  <c r="H6650" i="2"/>
  <c r="H6649" i="2"/>
  <c r="H6647" i="2"/>
  <c r="H6643" i="2"/>
  <c r="H6642" i="2"/>
  <c r="H6640" i="2"/>
  <c r="H6639" i="2"/>
  <c r="H6638" i="2"/>
  <c r="H6635" i="2"/>
  <c r="H6634" i="2"/>
  <c r="H6633" i="2"/>
  <c r="H6631" i="2"/>
  <c r="H6627" i="2"/>
  <c r="H6626" i="2"/>
  <c r="H6624" i="2"/>
  <c r="H6623" i="2"/>
  <c r="H6622" i="2"/>
  <c r="H6621" i="2"/>
  <c r="H6608" i="2"/>
  <c r="H6606" i="2"/>
  <c r="H6604" i="2"/>
  <c r="H6595" i="2"/>
  <c r="C6595" i="2"/>
  <c r="H6594" i="2"/>
  <c r="H6593" i="2"/>
  <c r="H6592" i="2"/>
  <c r="H6590" i="2"/>
  <c r="H6589" i="2"/>
  <c r="C6586" i="2"/>
  <c r="H6570" i="2"/>
  <c r="H6543" i="2"/>
  <c r="H6542" i="2"/>
  <c r="H6541" i="2"/>
  <c r="H6540" i="2"/>
  <c r="H6539" i="2"/>
  <c r="H6538" i="2"/>
  <c r="H6537" i="2"/>
  <c r="H6536" i="2"/>
  <c r="H6535" i="2"/>
  <c r="H6534" i="2"/>
  <c r="H6533" i="2"/>
  <c r="H6532" i="2"/>
  <c r="H6531" i="2"/>
  <c r="H6530" i="2"/>
  <c r="H6529" i="2"/>
  <c r="H6525" i="2"/>
  <c r="H6524" i="2"/>
  <c r="H6523" i="2"/>
  <c r="H6522" i="2"/>
  <c r="H6521" i="2"/>
  <c r="H6520" i="2"/>
  <c r="H6519" i="2"/>
  <c r="H6518" i="2"/>
  <c r="H6517" i="2"/>
  <c r="H6516" i="2"/>
  <c r="H6515" i="2"/>
  <c r="H6514" i="2"/>
  <c r="H6513" i="2"/>
  <c r="H6508" i="2"/>
  <c r="H6507" i="2"/>
  <c r="H6506" i="2"/>
  <c r="H6505" i="2"/>
  <c r="H6504" i="2"/>
  <c r="H6503" i="2"/>
  <c r="H6500" i="2"/>
  <c r="H6499" i="2"/>
  <c r="H6498" i="2"/>
  <c r="H6497" i="2"/>
  <c r="H6496" i="2"/>
  <c r="H6495" i="2"/>
  <c r="H6494" i="2"/>
  <c r="H6493" i="2"/>
  <c r="H6492" i="2"/>
  <c r="H6491" i="2"/>
  <c r="H6490" i="2"/>
  <c r="H6487" i="2"/>
  <c r="H6486" i="2"/>
  <c r="H6485" i="2"/>
  <c r="H6484" i="2"/>
  <c r="H6483" i="2"/>
  <c r="H6482" i="2"/>
  <c r="H6481" i="2"/>
  <c r="H6480" i="2"/>
  <c r="H6479" i="2"/>
  <c r="H6478" i="2"/>
  <c r="H6477" i="2"/>
  <c r="H6476" i="2"/>
  <c r="H6475" i="2"/>
  <c r="H6474" i="2"/>
  <c r="H6473" i="2"/>
  <c r="H6472" i="2"/>
  <c r="H6469" i="2"/>
  <c r="H6468" i="2"/>
  <c r="H6467" i="2"/>
  <c r="H6466" i="2"/>
  <c r="H6465" i="2"/>
  <c r="H6464" i="2"/>
  <c r="H6463" i="2"/>
  <c r="H6462" i="2"/>
  <c r="H6461" i="2"/>
  <c r="H6460" i="2"/>
  <c r="H6459" i="2"/>
  <c r="H6458" i="2"/>
  <c r="H6457" i="2"/>
  <c r="H6456" i="2"/>
  <c r="H6455" i="2"/>
  <c r="H6454" i="2"/>
  <c r="H6453" i="2"/>
  <c r="H6452" i="2"/>
  <c r="H6451" i="2"/>
  <c r="H6445" i="2"/>
  <c r="H6444" i="2"/>
  <c r="H6443" i="2"/>
  <c r="H6442" i="2"/>
  <c r="H6438" i="2"/>
  <c r="H6437" i="2"/>
  <c r="H6436" i="2"/>
  <c r="H6435" i="2"/>
  <c r="H6434" i="2"/>
  <c r="H6433" i="2"/>
  <c r="H6411" i="2"/>
  <c r="H6410" i="2"/>
  <c r="H6399" i="2"/>
  <c r="H6398" i="2"/>
  <c r="H6397" i="2"/>
  <c r="C6392" i="2"/>
  <c r="C6391" i="2"/>
  <c r="C6390" i="2"/>
  <c r="C6389" i="2"/>
  <c r="H6384" i="2"/>
  <c r="H6383" i="2"/>
  <c r="H6382" i="2"/>
  <c r="H6381" i="2"/>
  <c r="H6380" i="2"/>
  <c r="H6379" i="2"/>
  <c r="H6378" i="2"/>
  <c r="H6377" i="2"/>
  <c r="H6376" i="2"/>
  <c r="H6375" i="2"/>
  <c r="H6374" i="2"/>
  <c r="H6373" i="2"/>
  <c r="H6372" i="2"/>
  <c r="H6371" i="2"/>
  <c r="H6370" i="2"/>
  <c r="H6369" i="2"/>
  <c r="H6368" i="2"/>
  <c r="H6367" i="2"/>
  <c r="H6366" i="2"/>
  <c r="H6365" i="2"/>
  <c r="H6364" i="2"/>
  <c r="H6363" i="2"/>
  <c r="H6362" i="2"/>
  <c r="H6359" i="2"/>
  <c r="H6358" i="2"/>
  <c r="H6357" i="2"/>
  <c r="H6356" i="2"/>
  <c r="H6354" i="2"/>
  <c r="H6353" i="2"/>
  <c r="H6352" i="2"/>
  <c r="H6351" i="2"/>
  <c r="H6349" i="2"/>
  <c r="H6348" i="2"/>
  <c r="H6347" i="2"/>
  <c r="H6346" i="2"/>
  <c r="H6345" i="2"/>
  <c r="H6344" i="2"/>
  <c r="H6343" i="2"/>
  <c r="H6342" i="2"/>
  <c r="H6337" i="2"/>
  <c r="H6336" i="2"/>
  <c r="H6335" i="2"/>
  <c r="H6334" i="2"/>
  <c r="H6332" i="2"/>
  <c r="H6331" i="2"/>
  <c r="H6330" i="2"/>
  <c r="H6329" i="2"/>
  <c r="H6327" i="2"/>
  <c r="H6326" i="2"/>
  <c r="H6325" i="2"/>
  <c r="H6324" i="2"/>
  <c r="H6323" i="2"/>
  <c r="H6322" i="2"/>
  <c r="H6321" i="2"/>
  <c r="H6320" i="2"/>
  <c r="H6319" i="2"/>
  <c r="H6318" i="2"/>
  <c r="H6317" i="2"/>
  <c r="H6316" i="2"/>
  <c r="H6314" i="2"/>
  <c r="H6313" i="2"/>
  <c r="H6312" i="2"/>
  <c r="H6311" i="2"/>
  <c r="H6310" i="2"/>
  <c r="H6309" i="2"/>
  <c r="H6308" i="2"/>
  <c r="H6307" i="2"/>
  <c r="H6306" i="2"/>
  <c r="H6305" i="2"/>
  <c r="H6304" i="2"/>
  <c r="H6303" i="2"/>
  <c r="H6300" i="2"/>
  <c r="H6299" i="2"/>
  <c r="H6298" i="2"/>
  <c r="H6297" i="2"/>
  <c r="H6296" i="2"/>
  <c r="H6295" i="2"/>
  <c r="H6294" i="2"/>
  <c r="H6293" i="2"/>
  <c r="H6292" i="2"/>
  <c r="H6291" i="2"/>
  <c r="H6289" i="2"/>
  <c r="H6288" i="2"/>
  <c r="H6284" i="2"/>
  <c r="H6283" i="2"/>
  <c r="H6281" i="2"/>
  <c r="H6280" i="2"/>
  <c r="H6279" i="2"/>
  <c r="H6278" i="2"/>
  <c r="H6277" i="2"/>
  <c r="H6276" i="2"/>
  <c r="H6275" i="2"/>
  <c r="H6274" i="2"/>
  <c r="H6273" i="2"/>
  <c r="H6272" i="2"/>
  <c r="H6271" i="2"/>
  <c r="H6270" i="2"/>
  <c r="H6269" i="2"/>
  <c r="H6266" i="2"/>
  <c r="H6265" i="2"/>
  <c r="H6264" i="2"/>
  <c r="H6263" i="2"/>
  <c r="H6262" i="2"/>
  <c r="H6261" i="2"/>
  <c r="H6260" i="2"/>
  <c r="H6259" i="2"/>
  <c r="H6258" i="2"/>
  <c r="H6257" i="2"/>
  <c r="H6256" i="2"/>
  <c r="H6255" i="2"/>
  <c r="H6254" i="2"/>
  <c r="H6253" i="2"/>
  <c r="H6252" i="2"/>
  <c r="H6249" i="2"/>
  <c r="H6248" i="2"/>
  <c r="H6247" i="2"/>
  <c r="H6246" i="2"/>
  <c r="H6245" i="2"/>
  <c r="H6244" i="2"/>
  <c r="H6243" i="2"/>
  <c r="H6242" i="2"/>
  <c r="H6241" i="2"/>
  <c r="H6240" i="2"/>
  <c r="H6239" i="2"/>
  <c r="H6235" i="2"/>
  <c r="H6234" i="2"/>
  <c r="H6232" i="2"/>
  <c r="H6231" i="2"/>
  <c r="H6228" i="2"/>
  <c r="H6227" i="2"/>
  <c r="H6226" i="2"/>
  <c r="H6225" i="2"/>
  <c r="H6224" i="2"/>
  <c r="H6223" i="2"/>
  <c r="H6222" i="2"/>
  <c r="H6221" i="2"/>
  <c r="H6219" i="2"/>
  <c r="H6218" i="2"/>
  <c r="H6217" i="2"/>
  <c r="H6216" i="2"/>
  <c r="H6215" i="2"/>
  <c r="H6214" i="2"/>
  <c r="H6213" i="2"/>
  <c r="H6212" i="2"/>
  <c r="H6211" i="2"/>
  <c r="H6209" i="2"/>
  <c r="C6209" i="2"/>
  <c r="H6208" i="2"/>
  <c r="C6208" i="2"/>
  <c r="H6207" i="2"/>
  <c r="C6207" i="2"/>
  <c r="H6206" i="2"/>
  <c r="C6206" i="2"/>
  <c r="H6205" i="2"/>
  <c r="C6205" i="2"/>
  <c r="H6204" i="2"/>
  <c r="C6204" i="2"/>
  <c r="H6203" i="2"/>
  <c r="C6203" i="2"/>
  <c r="H6202" i="2"/>
  <c r="C6202" i="2"/>
  <c r="H6201" i="2"/>
  <c r="C6201" i="2"/>
  <c r="H6184" i="2"/>
  <c r="H6183" i="2"/>
  <c r="H6179" i="2"/>
  <c r="H6178" i="2"/>
  <c r="H6177" i="2"/>
  <c r="H6176" i="2"/>
  <c r="H6175" i="2"/>
  <c r="H6173" i="2"/>
  <c r="H6172" i="2"/>
  <c r="H6170" i="2"/>
  <c r="H6169" i="2"/>
  <c r="H6167" i="2"/>
  <c r="H6166" i="2"/>
  <c r="H6165" i="2"/>
  <c r="H6164" i="2"/>
  <c r="H6163" i="2"/>
  <c r="H6162" i="2"/>
  <c r="H6160" i="2"/>
  <c r="H6158" i="2"/>
  <c r="H6157" i="2"/>
  <c r="H6156" i="2"/>
  <c r="H6155" i="2"/>
  <c r="H6154" i="2"/>
  <c r="H6152" i="2"/>
  <c r="H6151" i="2"/>
  <c r="H6150" i="2"/>
  <c r="H6149" i="2"/>
  <c r="H6148" i="2"/>
  <c r="H6144" i="2"/>
  <c r="H6143" i="2"/>
  <c r="H6142" i="2"/>
  <c r="H6141" i="2"/>
  <c r="H6140" i="2"/>
  <c r="H6139" i="2"/>
  <c r="H6137" i="2"/>
  <c r="H6136" i="2"/>
  <c r="H6133" i="2"/>
  <c r="H6132" i="2"/>
  <c r="H6131" i="2"/>
  <c r="H6130" i="2"/>
  <c r="H6127" i="2"/>
  <c r="H6126" i="2"/>
  <c r="H6125" i="2"/>
  <c r="H6123" i="2"/>
  <c r="H6122" i="2"/>
  <c r="H6121" i="2"/>
  <c r="H6118" i="2"/>
  <c r="H6117" i="2"/>
  <c r="H6116" i="2"/>
  <c r="H6114" i="2"/>
  <c r="H6113" i="2"/>
  <c r="H6112" i="2"/>
  <c r="H6109" i="2"/>
  <c r="H6108" i="2"/>
  <c r="H6107" i="2"/>
  <c r="H6105" i="2"/>
  <c r="H6104" i="2"/>
  <c r="H6103" i="2"/>
  <c r="H6099" i="2"/>
  <c r="H6098" i="2"/>
  <c r="H6097" i="2"/>
  <c r="H6096" i="2"/>
  <c r="H6095" i="2"/>
  <c r="H6094" i="2"/>
  <c r="H6093" i="2"/>
  <c r="H6092" i="2"/>
  <c r="H6090" i="2"/>
  <c r="H6089" i="2"/>
  <c r="H6088" i="2"/>
  <c r="H6087" i="2"/>
  <c r="H6086" i="2"/>
  <c r="H6085" i="2"/>
  <c r="H6084" i="2"/>
  <c r="H6083" i="2"/>
  <c r="H6081" i="2"/>
  <c r="H6080" i="2"/>
  <c r="H6079" i="2"/>
  <c r="H6078" i="2"/>
  <c r="H6077" i="2"/>
  <c r="H6076" i="2"/>
  <c r="H6075" i="2"/>
  <c r="H6074" i="2"/>
  <c r="H6069" i="2"/>
  <c r="H6068" i="2"/>
  <c r="H6067" i="2"/>
  <c r="H6066" i="2"/>
  <c r="H6065" i="2"/>
  <c r="H6064" i="2"/>
  <c r="H6063" i="2"/>
  <c r="H6062" i="2"/>
  <c r="H6060" i="2"/>
  <c r="H6059" i="2"/>
  <c r="H6058" i="2"/>
  <c r="H6057" i="2"/>
  <c r="H6056" i="2"/>
  <c r="H6055" i="2"/>
  <c r="H6054" i="2"/>
  <c r="H6053" i="2"/>
  <c r="H6051" i="2"/>
  <c r="H6050" i="2"/>
  <c r="H6049" i="2"/>
  <c r="H6048" i="2"/>
  <c r="H6047" i="2"/>
  <c r="H6046" i="2"/>
  <c r="H6045" i="2"/>
  <c r="H6044" i="2"/>
  <c r="F6037" i="2"/>
  <c r="F6036" i="2"/>
  <c r="F6034" i="2"/>
  <c r="F6033" i="2"/>
  <c r="F6032" i="2"/>
  <c r="F6031" i="2"/>
  <c r="F6030" i="2"/>
  <c r="F6029" i="2"/>
  <c r="F6028" i="2"/>
  <c r="F6027" i="2"/>
  <c r="F6023" i="2"/>
  <c r="F6022" i="2"/>
  <c r="F6021" i="2"/>
  <c r="F6019" i="2"/>
  <c r="F6018" i="2"/>
  <c r="F6017" i="2"/>
  <c r="H6014" i="2"/>
  <c r="F6014" i="2"/>
  <c r="H6013" i="2"/>
  <c r="F6013" i="2"/>
  <c r="H6012" i="2"/>
  <c r="F6012" i="2"/>
  <c r="H6011" i="2"/>
  <c r="F6011" i="2"/>
  <c r="H6010" i="2"/>
  <c r="H6009" i="2"/>
  <c r="H6008" i="2"/>
  <c r="H6007" i="2"/>
  <c r="H6006" i="2"/>
  <c r="F6006" i="2"/>
  <c r="H6005" i="2"/>
  <c r="F6005" i="2"/>
  <c r="H6004" i="2"/>
  <c r="F6004" i="2"/>
  <c r="H6003" i="2"/>
  <c r="F6003" i="2"/>
  <c r="H6002" i="2"/>
  <c r="F6002" i="2"/>
  <c r="H6001" i="2"/>
  <c r="F6001" i="2"/>
  <c r="H6000" i="2"/>
  <c r="F6000" i="2"/>
  <c r="H5999" i="2"/>
  <c r="F5999" i="2"/>
  <c r="H5998" i="2"/>
  <c r="H5997" i="2"/>
  <c r="H5996" i="2"/>
  <c r="F5996" i="2"/>
  <c r="H5995" i="2"/>
  <c r="F5995" i="2"/>
  <c r="H5994" i="2"/>
  <c r="F5994" i="2"/>
  <c r="H5993" i="2"/>
  <c r="F5993" i="2"/>
  <c r="H5992" i="2"/>
  <c r="F5992" i="2"/>
  <c r="H5991" i="2"/>
  <c r="F5991" i="2"/>
  <c r="H5990" i="2"/>
  <c r="F5990" i="2"/>
  <c r="H5989" i="2"/>
  <c r="F5989" i="2"/>
  <c r="H5988" i="2"/>
  <c r="H5987" i="2"/>
  <c r="H5986" i="2"/>
  <c r="F5986" i="2"/>
  <c r="H5985" i="2"/>
  <c r="F5985" i="2"/>
  <c r="H5984" i="2"/>
  <c r="F5984" i="2"/>
  <c r="H5983" i="2"/>
  <c r="F5983" i="2"/>
  <c r="H5982" i="2"/>
  <c r="F5982" i="2"/>
  <c r="H5981" i="2"/>
  <c r="F5981" i="2"/>
  <c r="H5980" i="2"/>
  <c r="F5980" i="2"/>
  <c r="H5979" i="2"/>
  <c r="F5979" i="2"/>
  <c r="H5966" i="2"/>
  <c r="F5966" i="2"/>
  <c r="H5962" i="2"/>
  <c r="F5962" i="2"/>
  <c r="H5961" i="2"/>
  <c r="F5961" i="2"/>
  <c r="H5960" i="2"/>
  <c r="F5960" i="2"/>
  <c r="H5959" i="2"/>
  <c r="F5959" i="2"/>
  <c r="H5958" i="2"/>
  <c r="F5958" i="2"/>
  <c r="H5957" i="2"/>
  <c r="F5957" i="2"/>
  <c r="H5953" i="2"/>
  <c r="F5953" i="2"/>
  <c r="H5952" i="2"/>
  <c r="F5952" i="2"/>
  <c r="H5951" i="2"/>
  <c r="F5951" i="2"/>
  <c r="H5950" i="2"/>
  <c r="F5950" i="2"/>
  <c r="H5949" i="2"/>
  <c r="F5949" i="2"/>
  <c r="H5948" i="2"/>
  <c r="F5948" i="2"/>
  <c r="H5946" i="2"/>
  <c r="F5946" i="2"/>
  <c r="H5945" i="2"/>
  <c r="F5945" i="2"/>
  <c r="H5943" i="2"/>
  <c r="F5943" i="2"/>
  <c r="H5941" i="2"/>
  <c r="F5941" i="2"/>
  <c r="H5940" i="2"/>
  <c r="F5940" i="2"/>
  <c r="H5939" i="2"/>
  <c r="F5939" i="2"/>
  <c r="H5938" i="2"/>
  <c r="F5938" i="2"/>
  <c r="H5937" i="2"/>
  <c r="F5937" i="2"/>
  <c r="H5936" i="2"/>
  <c r="F5936" i="2"/>
  <c r="H5935" i="2"/>
  <c r="F5935" i="2"/>
  <c r="F5934" i="2"/>
  <c r="F5933" i="2"/>
  <c r="H5929" i="2"/>
  <c r="F5929" i="2"/>
  <c r="H5928" i="2"/>
  <c r="F5928" i="2"/>
  <c r="H5926" i="2"/>
  <c r="F5926" i="2"/>
  <c r="H5924" i="2"/>
  <c r="F5924" i="2"/>
  <c r="H5923" i="2"/>
  <c r="F5923" i="2"/>
  <c r="H5922" i="2"/>
  <c r="F5922" i="2"/>
  <c r="H5921" i="2"/>
  <c r="F5921" i="2"/>
  <c r="H5920" i="2"/>
  <c r="F5920" i="2"/>
  <c r="H5919" i="2"/>
  <c r="F5919" i="2"/>
  <c r="H5918" i="2"/>
  <c r="F5918" i="2"/>
  <c r="F5917" i="2"/>
  <c r="F5916" i="2"/>
  <c r="H5912" i="2"/>
  <c r="F5912" i="2"/>
  <c r="H5911" i="2"/>
  <c r="F5911" i="2"/>
  <c r="H5909" i="2"/>
  <c r="F5909" i="2"/>
  <c r="H5907" i="2"/>
  <c r="F5907" i="2"/>
  <c r="H5906" i="2"/>
  <c r="F5906" i="2"/>
  <c r="H5905" i="2"/>
  <c r="F5905" i="2"/>
  <c r="H5904" i="2"/>
  <c r="F5904" i="2"/>
  <c r="H5903" i="2"/>
  <c r="F5903" i="2"/>
  <c r="H5902" i="2"/>
  <c r="F5902" i="2"/>
  <c r="H5901" i="2"/>
  <c r="F5901" i="2"/>
  <c r="F5900" i="2"/>
  <c r="F5899" i="2"/>
  <c r="H5892" i="2"/>
  <c r="F5892" i="2"/>
  <c r="H5891" i="2"/>
  <c r="F5891" i="2"/>
  <c r="H5890" i="2"/>
  <c r="F5890" i="2"/>
  <c r="H5888" i="2"/>
  <c r="F5888" i="2"/>
  <c r="H5887" i="2"/>
  <c r="F5887" i="2"/>
  <c r="H5886" i="2"/>
  <c r="F5886" i="2"/>
  <c r="H5881" i="2"/>
  <c r="F5881" i="2"/>
  <c r="H5880" i="2"/>
  <c r="F5880" i="2"/>
  <c r="H5879" i="2"/>
  <c r="F5879" i="2"/>
  <c r="H5877" i="2"/>
  <c r="F5877" i="2"/>
  <c r="H5876" i="2"/>
  <c r="F5876" i="2"/>
  <c r="H5875" i="2"/>
  <c r="F5875" i="2"/>
  <c r="H5870" i="2"/>
  <c r="F5870" i="2"/>
  <c r="H5869" i="2"/>
  <c r="F5869" i="2"/>
  <c r="H5868" i="2"/>
  <c r="F5868" i="2"/>
  <c r="H5867" i="2"/>
  <c r="F5867" i="2"/>
  <c r="H5866" i="2"/>
  <c r="F5866" i="2"/>
  <c r="H5865" i="2"/>
  <c r="F5865" i="2"/>
  <c r="H5864" i="2"/>
  <c r="F5864" i="2"/>
  <c r="H5863" i="2"/>
  <c r="F5863" i="2"/>
  <c r="H5861" i="2"/>
  <c r="F5861" i="2"/>
  <c r="H5860" i="2"/>
  <c r="F5860" i="2"/>
  <c r="H5859" i="2"/>
  <c r="F5859" i="2"/>
  <c r="H5858" i="2"/>
  <c r="F5858" i="2"/>
  <c r="H5857" i="2"/>
  <c r="F5857" i="2"/>
  <c r="H5856" i="2"/>
  <c r="F5856" i="2"/>
  <c r="H5855" i="2"/>
  <c r="F5855" i="2"/>
  <c r="H5854" i="2"/>
  <c r="F5854" i="2"/>
  <c r="H5852" i="2"/>
  <c r="F5852" i="2"/>
  <c r="H5851" i="2"/>
  <c r="F5851" i="2"/>
  <c r="H5850" i="2"/>
  <c r="F5850" i="2"/>
  <c r="H5849" i="2"/>
  <c r="F5849" i="2"/>
  <c r="H5848" i="2"/>
  <c r="F5848" i="2"/>
  <c r="H5847" i="2"/>
  <c r="F5847" i="2"/>
  <c r="H5846" i="2"/>
  <c r="F5846" i="2"/>
  <c r="H5845" i="2"/>
  <c r="F5845" i="2"/>
  <c r="H5843" i="2"/>
  <c r="F5843" i="2"/>
  <c r="H5842" i="2"/>
  <c r="F5842" i="2"/>
  <c r="H5841" i="2"/>
  <c r="F5841" i="2"/>
  <c r="H5840" i="2"/>
  <c r="F5840" i="2"/>
  <c r="H5839" i="2"/>
  <c r="F5839" i="2"/>
  <c r="H5838" i="2"/>
  <c r="F5838" i="2"/>
  <c r="H5837" i="2"/>
  <c r="F5837" i="2"/>
  <c r="H5836" i="2"/>
  <c r="F5836" i="2"/>
  <c r="H5830" i="2"/>
  <c r="F5830" i="2"/>
  <c r="H5829" i="2"/>
  <c r="F5829" i="2"/>
  <c r="H5828" i="2"/>
  <c r="F5828" i="2"/>
  <c r="H5827" i="2"/>
  <c r="F5827" i="2"/>
  <c r="H5826" i="2"/>
  <c r="F5826" i="2"/>
  <c r="H5825" i="2"/>
  <c r="F5825" i="2"/>
  <c r="H5824" i="2"/>
  <c r="F5824" i="2"/>
  <c r="H5823" i="2"/>
  <c r="F5823" i="2"/>
  <c r="H5821" i="2"/>
  <c r="F5821" i="2"/>
  <c r="H5820" i="2"/>
  <c r="F5820" i="2"/>
  <c r="H5819" i="2"/>
  <c r="F5819" i="2"/>
  <c r="H5818" i="2"/>
  <c r="F5818" i="2"/>
  <c r="H5817" i="2"/>
  <c r="F5817" i="2"/>
  <c r="H5816" i="2"/>
  <c r="F5816" i="2"/>
  <c r="H5815" i="2"/>
  <c r="F5815" i="2"/>
  <c r="H5814" i="2"/>
  <c r="F5814" i="2"/>
  <c r="H5812" i="2"/>
  <c r="F5812" i="2"/>
  <c r="H5811" i="2"/>
  <c r="F5811" i="2"/>
  <c r="H5810" i="2"/>
  <c r="F5810" i="2"/>
  <c r="H5809" i="2"/>
  <c r="F5809" i="2"/>
  <c r="H5808" i="2"/>
  <c r="F5808" i="2"/>
  <c r="H5807" i="2"/>
  <c r="F5807" i="2"/>
  <c r="H5806" i="2"/>
  <c r="F5806" i="2"/>
  <c r="H5805" i="2"/>
  <c r="F5805" i="2"/>
  <c r="H5803" i="2"/>
  <c r="F5803" i="2"/>
  <c r="H5802" i="2"/>
  <c r="F5802" i="2"/>
  <c r="H5801" i="2"/>
  <c r="F5801" i="2"/>
  <c r="H5800" i="2"/>
  <c r="F5800" i="2"/>
  <c r="H5799" i="2"/>
  <c r="F5799" i="2"/>
  <c r="H5798" i="2"/>
  <c r="F5798" i="2"/>
  <c r="H5797" i="2"/>
  <c r="F5797" i="2"/>
  <c r="H5796" i="2"/>
  <c r="F5796" i="2"/>
  <c r="H5790" i="2"/>
  <c r="F5790" i="2"/>
  <c r="H5789" i="2"/>
  <c r="F5789" i="2"/>
  <c r="H5788" i="2"/>
  <c r="F5788" i="2"/>
  <c r="H5787" i="2"/>
  <c r="F5787" i="2"/>
  <c r="H5786" i="2"/>
  <c r="F5786" i="2"/>
  <c r="H5785" i="2"/>
  <c r="F5785" i="2"/>
  <c r="H5784" i="2"/>
  <c r="F5784" i="2"/>
  <c r="H5783" i="2"/>
  <c r="F5783" i="2"/>
  <c r="H5781" i="2"/>
  <c r="F5781" i="2"/>
  <c r="H5780" i="2"/>
  <c r="F5780" i="2"/>
  <c r="H5779" i="2"/>
  <c r="F5779" i="2"/>
  <c r="H5778" i="2"/>
  <c r="F5778" i="2"/>
  <c r="H5777" i="2"/>
  <c r="F5777" i="2"/>
  <c r="H5776" i="2"/>
  <c r="F5776" i="2"/>
  <c r="H5775" i="2"/>
  <c r="F5775" i="2"/>
  <c r="H5774" i="2"/>
  <c r="F5774" i="2"/>
  <c r="H5772" i="2"/>
  <c r="F5772" i="2"/>
  <c r="H5771" i="2"/>
  <c r="F5771" i="2"/>
  <c r="H5770" i="2"/>
  <c r="F5770" i="2"/>
  <c r="H5769" i="2"/>
  <c r="F5769" i="2"/>
  <c r="H5768" i="2"/>
  <c r="F5768" i="2"/>
  <c r="H5767" i="2"/>
  <c r="F5767" i="2"/>
  <c r="H5766" i="2"/>
  <c r="F5766" i="2"/>
  <c r="H5765" i="2"/>
  <c r="F5765" i="2"/>
  <c r="H5763" i="2"/>
  <c r="F5763" i="2"/>
  <c r="H5762" i="2"/>
  <c r="F5762" i="2"/>
  <c r="H5761" i="2"/>
  <c r="F5761" i="2"/>
  <c r="H5760" i="2"/>
  <c r="F5760" i="2"/>
  <c r="H5759" i="2"/>
  <c r="F5759" i="2"/>
  <c r="H5758" i="2"/>
  <c r="F5758" i="2"/>
  <c r="H5757" i="2"/>
  <c r="F5757" i="2"/>
  <c r="H5756" i="2"/>
  <c r="F5756" i="2"/>
  <c r="H5739" i="2"/>
  <c r="F5739" i="2"/>
  <c r="H5738" i="2"/>
  <c r="F5738" i="2"/>
  <c r="H5737" i="2"/>
  <c r="F5737" i="2"/>
  <c r="H5736" i="2"/>
  <c r="F5736" i="2"/>
  <c r="H5735" i="2"/>
  <c r="F5735" i="2"/>
  <c r="H5733" i="2"/>
  <c r="C5699" i="2"/>
  <c r="H5667" i="2"/>
  <c r="H5666" i="2"/>
  <c r="H5665" i="2"/>
  <c r="H5664" i="2"/>
  <c r="H5663" i="2"/>
  <c r="H5662" i="2"/>
  <c r="H5661" i="2"/>
  <c r="H5660" i="2"/>
  <c r="H5658" i="2"/>
  <c r="H5657" i="2"/>
  <c r="H5656" i="2"/>
  <c r="H5655" i="2"/>
  <c r="H5654" i="2"/>
  <c r="H5653" i="2"/>
  <c r="H5651" i="2"/>
  <c r="H5650" i="2"/>
  <c r="H5649" i="2"/>
  <c r="H5648" i="2"/>
  <c r="H5647" i="2"/>
  <c r="H5625" i="2"/>
  <c r="H5623" i="2"/>
  <c r="H5604" i="2"/>
  <c r="H5602" i="2"/>
  <c r="H5585" i="2"/>
  <c r="H5584" i="2"/>
  <c r="H5583" i="2"/>
  <c r="H5582" i="2"/>
  <c r="H5581" i="2"/>
  <c r="H5580" i="2"/>
  <c r="H5579" i="2"/>
  <c r="H5578" i="2"/>
  <c r="C5578" i="2"/>
  <c r="H5571" i="2"/>
  <c r="D5571" i="2"/>
  <c r="F5571" i="2" s="1"/>
  <c r="H5570" i="2"/>
  <c r="D5570" i="2"/>
  <c r="F5570" i="2" s="1"/>
  <c r="H5569" i="2"/>
  <c r="D5569" i="2"/>
  <c r="F5569" i="2" s="1"/>
  <c r="H5568" i="2"/>
  <c r="D5568" i="2"/>
  <c r="F5568" i="2" s="1"/>
  <c r="H5567" i="2"/>
  <c r="D5567" i="2"/>
  <c r="F5567" i="2" s="1"/>
  <c r="H5564" i="2"/>
  <c r="H5563" i="2"/>
  <c r="H5562" i="2"/>
  <c r="H5561" i="2"/>
  <c r="H5560" i="2"/>
  <c r="H5559" i="2"/>
  <c r="H5558" i="2"/>
  <c r="H5557" i="2"/>
  <c r="H5556" i="2"/>
  <c r="H5555" i="2"/>
  <c r="H5554" i="2"/>
  <c r="H5553" i="2"/>
  <c r="H5551" i="2"/>
  <c r="C5551" i="2"/>
  <c r="H5550" i="2"/>
  <c r="H5549" i="2"/>
  <c r="F5549" i="2"/>
  <c r="H5545" i="2"/>
  <c r="H5543" i="2"/>
  <c r="H5537" i="2"/>
  <c r="H5536" i="2"/>
  <c r="H5535" i="2"/>
  <c r="H5532" i="2"/>
  <c r="H5531" i="2"/>
  <c r="H5530" i="2"/>
  <c r="H5529" i="2"/>
  <c r="H5527" i="2"/>
  <c r="H5526" i="2"/>
  <c r="H5524" i="2"/>
  <c r="H5523" i="2"/>
  <c r="H5522" i="2"/>
  <c r="H5521" i="2"/>
  <c r="H5520" i="2"/>
  <c r="F5520" i="2"/>
  <c r="H5519" i="2"/>
  <c r="H5518" i="2"/>
  <c r="H5517" i="2"/>
  <c r="H5516" i="2"/>
  <c r="H5515" i="2"/>
  <c r="H5514" i="2"/>
  <c r="H5513" i="2"/>
  <c r="H5510" i="2"/>
  <c r="H5509" i="2"/>
  <c r="H5508" i="2"/>
  <c r="H5507" i="2"/>
  <c r="H5506" i="2"/>
  <c r="H5505" i="2"/>
  <c r="H5504" i="2"/>
  <c r="H5503" i="2"/>
  <c r="H5502" i="2"/>
  <c r="H5501" i="2"/>
  <c r="H5500" i="2"/>
  <c r="H5499" i="2"/>
  <c r="F5499" i="2"/>
  <c r="H5498" i="2"/>
  <c r="H5497" i="2"/>
  <c r="H5494" i="2"/>
  <c r="H5493" i="2"/>
  <c r="H5492" i="2"/>
  <c r="H5491" i="2"/>
  <c r="H5490" i="2"/>
  <c r="H5489" i="2"/>
  <c r="H5488" i="2"/>
  <c r="H5487" i="2"/>
  <c r="H5486" i="2"/>
  <c r="H5485" i="2"/>
  <c r="H5484" i="2"/>
  <c r="H5483" i="2"/>
  <c r="H5482" i="2"/>
  <c r="H5477" i="2"/>
  <c r="H5473" i="2"/>
  <c r="H5472" i="2"/>
  <c r="H5471" i="2"/>
  <c r="H5470" i="2"/>
  <c r="H5469" i="2"/>
  <c r="H5468" i="2"/>
  <c r="H5467" i="2"/>
  <c r="H5464" i="2"/>
  <c r="H5459" i="2"/>
  <c r="H5458" i="2"/>
  <c r="H5456" i="2"/>
  <c r="H5455" i="2"/>
  <c r="H5454" i="2"/>
  <c r="H5453" i="2"/>
  <c r="H5452" i="2"/>
  <c r="H5451" i="2"/>
  <c r="H5450" i="2"/>
  <c r="H5446" i="2"/>
  <c r="H5445" i="2"/>
  <c r="H5444" i="2"/>
  <c r="H5442" i="2"/>
  <c r="H5441" i="2"/>
  <c r="H5439" i="2"/>
  <c r="H5438" i="2"/>
  <c r="H5434" i="2"/>
  <c r="H5429" i="2"/>
  <c r="H5428" i="2"/>
  <c r="H5427" i="2"/>
  <c r="H5424" i="2"/>
  <c r="H5423" i="2"/>
  <c r="H5422" i="2"/>
  <c r="H5420" i="2"/>
  <c r="H5419" i="2"/>
  <c r="H5409" i="2"/>
  <c r="H5407" i="2"/>
  <c r="H5406" i="2"/>
  <c r="H5403" i="2"/>
  <c r="H5401" i="2"/>
  <c r="H5400" i="2"/>
  <c r="H5399" i="2"/>
  <c r="H5397" i="2"/>
  <c r="H5396" i="2"/>
  <c r="H5393" i="2"/>
  <c r="H5391" i="2"/>
  <c r="H5390" i="2"/>
  <c r="H5389" i="2"/>
  <c r="H5387" i="2"/>
  <c r="H5386" i="2"/>
  <c r="H5385" i="2"/>
  <c r="H5383" i="2"/>
  <c r="H5382" i="2"/>
  <c r="H5377" i="2"/>
  <c r="H5376" i="2"/>
  <c r="H5374" i="2"/>
  <c r="H5373" i="2"/>
  <c r="H5371" i="2"/>
  <c r="H5370" i="2"/>
  <c r="H5368" i="2"/>
  <c r="H5367" i="2"/>
  <c r="H5366" i="2"/>
  <c r="H5365" i="2"/>
  <c r="H5363" i="2"/>
  <c r="H5362" i="2"/>
  <c r="H5360" i="2"/>
  <c r="H5359" i="2"/>
  <c r="H5357" i="2"/>
  <c r="H5355" i="2"/>
  <c r="H5354" i="2"/>
  <c r="H5352" i="2"/>
  <c r="H5351" i="2"/>
  <c r="H5350" i="2"/>
  <c r="H5348" i="2"/>
  <c r="H5347" i="2"/>
  <c r="H5345" i="2"/>
  <c r="H5344" i="2"/>
  <c r="H5341" i="2"/>
  <c r="H5339" i="2"/>
  <c r="H5337" i="2"/>
  <c r="F5337" i="2"/>
  <c r="H5336" i="2"/>
  <c r="H5334" i="2"/>
  <c r="F5334" i="2"/>
  <c r="H5333" i="2"/>
  <c r="H5331" i="2"/>
  <c r="H5330" i="2"/>
  <c r="H5328" i="2"/>
  <c r="H5326" i="2"/>
  <c r="H5325" i="2"/>
  <c r="H5323" i="2"/>
  <c r="H5322" i="2"/>
  <c r="H5320" i="2"/>
  <c r="H5319" i="2"/>
  <c r="H5317" i="2"/>
  <c r="F5317" i="2"/>
  <c r="H5316" i="2"/>
  <c r="D5316" i="2"/>
  <c r="F5316" i="2" s="1"/>
  <c r="H5314" i="2"/>
  <c r="H5312" i="2"/>
  <c r="H5311" i="2"/>
  <c r="H5310" i="2"/>
  <c r="H5304" i="2"/>
  <c r="H5302" i="2"/>
  <c r="H5301" i="2"/>
  <c r="H5299" i="2"/>
  <c r="H5298" i="2"/>
  <c r="H5296" i="2"/>
  <c r="H5294" i="2"/>
  <c r="H5293" i="2"/>
  <c r="H5291" i="2"/>
  <c r="H5290" i="2"/>
  <c r="H5288" i="2"/>
  <c r="H5287" i="2"/>
  <c r="H5285" i="2"/>
  <c r="H5284" i="2"/>
  <c r="H5282" i="2"/>
  <c r="H5281" i="2"/>
  <c r="H5279" i="2"/>
  <c r="H5278" i="2"/>
  <c r="H5276" i="2"/>
  <c r="H5274" i="2"/>
  <c r="H5273" i="2"/>
  <c r="H5271" i="2"/>
  <c r="H5270" i="2"/>
  <c r="H5266" i="2"/>
  <c r="H5265" i="2"/>
  <c r="H5262" i="2"/>
  <c r="F5257" i="2"/>
  <c r="H5250" i="2"/>
  <c r="F5250" i="2"/>
  <c r="H5248" i="2"/>
  <c r="D5248" i="2"/>
  <c r="F5248" i="2" s="1"/>
  <c r="H5247" i="2"/>
  <c r="F5247" i="2"/>
  <c r="H5246" i="2"/>
  <c r="F5246" i="2"/>
  <c r="H5244" i="2"/>
  <c r="D5244" i="2"/>
  <c r="F5244" i="2" s="1"/>
  <c r="H5243" i="2"/>
  <c r="F5243" i="2"/>
  <c r="H5242" i="2"/>
  <c r="F5242" i="2"/>
  <c r="C5237" i="2"/>
  <c r="C5209" i="2"/>
  <c r="C5208" i="2"/>
  <c r="C5191" i="2"/>
  <c r="C5175" i="2"/>
  <c r="H5162" i="2"/>
  <c r="H5160" i="2"/>
  <c r="H5159" i="2"/>
  <c r="H5158" i="2"/>
  <c r="H5157" i="2"/>
  <c r="H5043" i="2"/>
  <c r="H5042" i="2"/>
  <c r="H5035" i="2"/>
  <c r="H5034" i="2"/>
  <c r="H5033" i="2"/>
  <c r="C4992" i="2"/>
  <c r="C4991" i="2"/>
  <c r="H4931" i="2"/>
  <c r="F4931" i="2"/>
  <c r="H4930" i="2"/>
  <c r="D4930" i="2"/>
  <c r="F4930" i="2" s="1"/>
  <c r="H4929" i="2"/>
  <c r="D4929" i="2"/>
  <c r="F4929" i="2" s="1"/>
  <c r="H4925" i="2"/>
  <c r="F4925" i="2"/>
  <c r="H4924" i="2"/>
  <c r="F4924" i="2"/>
  <c r="H4922" i="2"/>
  <c r="D4922" i="2"/>
  <c r="F4922" i="2" s="1"/>
  <c r="H4920" i="2"/>
  <c r="F4920" i="2"/>
  <c r="H4917" i="2"/>
  <c r="F4917" i="2"/>
  <c r="H4916" i="2"/>
  <c r="F4916" i="2"/>
  <c r="H4914" i="2"/>
  <c r="F4914" i="2"/>
  <c r="F4912" i="2"/>
  <c r="F4911" i="2"/>
  <c r="F4910" i="2"/>
  <c r="F4909" i="2"/>
  <c r="H4908" i="2"/>
  <c r="F4908" i="2"/>
  <c r="H4907" i="2"/>
  <c r="F4907" i="2"/>
  <c r="H4906" i="2"/>
  <c r="F4906" i="2"/>
  <c r="H4905" i="2"/>
  <c r="F4905" i="2"/>
  <c r="H4903" i="2"/>
  <c r="F4903" i="2"/>
  <c r="H4902" i="2"/>
  <c r="F4902" i="2"/>
  <c r="H4901" i="2"/>
  <c r="F4901" i="2"/>
  <c r="H4898" i="2"/>
  <c r="F4898" i="2"/>
  <c r="F4893" i="2"/>
  <c r="F4892" i="2"/>
  <c r="F4891" i="2"/>
  <c r="F4890" i="2"/>
  <c r="F4889" i="2"/>
  <c r="F4888" i="2"/>
  <c r="F4886" i="2"/>
  <c r="E4886" i="2"/>
  <c r="F4885" i="2"/>
  <c r="E4885" i="2"/>
  <c r="E4884" i="2"/>
  <c r="F4884" i="2" s="1"/>
  <c r="F4883" i="2"/>
  <c r="E4883" i="2"/>
  <c r="F4882" i="2"/>
  <c r="E4882" i="2"/>
  <c r="F4881" i="2"/>
  <c r="E4881" i="2"/>
  <c r="H4878" i="2"/>
  <c r="E4878" i="2"/>
  <c r="F4878" i="2" s="1"/>
  <c r="H4877" i="2"/>
  <c r="E4877" i="2"/>
  <c r="F4877" i="2" s="1"/>
  <c r="H4875" i="2"/>
  <c r="E4875" i="2"/>
  <c r="F4875" i="2" s="1"/>
  <c r="H4874" i="2"/>
  <c r="F4874" i="2"/>
  <c r="E4874" i="2"/>
  <c r="H4873" i="2"/>
  <c r="E4873" i="2"/>
  <c r="F4873" i="2" s="1"/>
  <c r="H4872" i="2"/>
  <c r="E4872" i="2"/>
  <c r="F4872" i="2" s="1"/>
  <c r="H4871" i="2"/>
  <c r="E4871" i="2"/>
  <c r="F4871" i="2" s="1"/>
  <c r="H4870" i="2"/>
  <c r="E4870" i="2"/>
  <c r="F4870" i="2" s="1"/>
  <c r="H4867" i="2"/>
  <c r="E4867" i="2"/>
  <c r="F4867" i="2" s="1"/>
  <c r="H4866" i="2"/>
  <c r="E4866" i="2"/>
  <c r="F4866" i="2" s="1"/>
  <c r="H4865" i="2"/>
  <c r="E4865" i="2"/>
  <c r="F4865" i="2" s="1"/>
  <c r="H4864" i="2"/>
  <c r="E4864" i="2"/>
  <c r="F4864" i="2" s="1"/>
  <c r="H4863" i="2"/>
  <c r="E4863" i="2"/>
  <c r="F4863" i="2" s="1"/>
  <c r="H4862" i="2"/>
  <c r="E4862" i="2"/>
  <c r="F4862" i="2" s="1"/>
  <c r="H4861" i="2"/>
  <c r="E4861" i="2"/>
  <c r="F4861" i="2" s="1"/>
  <c r="H4860" i="2"/>
  <c r="F4860" i="2"/>
  <c r="E4860" i="2"/>
  <c r="H4859" i="2"/>
  <c r="E4859" i="2"/>
  <c r="F4859" i="2" s="1"/>
  <c r="H4858" i="2"/>
  <c r="E4858" i="2"/>
  <c r="F4858" i="2" s="1"/>
  <c r="H4857" i="2"/>
  <c r="E4857" i="2"/>
  <c r="F4857" i="2" s="1"/>
  <c r="H4856" i="2"/>
  <c r="F4856" i="2"/>
  <c r="E4856" i="2"/>
  <c r="H4855" i="2"/>
  <c r="E4855" i="2"/>
  <c r="F4855" i="2" s="1"/>
  <c r="H4854" i="2"/>
  <c r="E4854" i="2"/>
  <c r="F4854" i="2" s="1"/>
  <c r="H4853" i="2"/>
  <c r="E4853" i="2"/>
  <c r="F4853" i="2" s="1"/>
  <c r="H4852" i="2"/>
  <c r="F4852" i="2"/>
  <c r="E4852" i="2"/>
  <c r="H4851" i="2"/>
  <c r="E4851" i="2"/>
  <c r="F4851" i="2" s="1"/>
  <c r="H4850" i="2"/>
  <c r="E4850" i="2"/>
  <c r="F4850" i="2" s="1"/>
  <c r="H4849" i="2"/>
  <c r="E4849" i="2"/>
  <c r="F4849" i="2" s="1"/>
  <c r="H4846" i="2"/>
  <c r="E4846" i="2"/>
  <c r="D4846" i="2"/>
  <c r="F4846" i="2" s="1"/>
  <c r="H4845" i="2"/>
  <c r="E4845" i="2"/>
  <c r="D4845" i="2"/>
  <c r="F4845" i="2" s="1"/>
  <c r="H4844" i="2"/>
  <c r="E4844" i="2"/>
  <c r="D4844" i="2"/>
  <c r="F4844" i="2" s="1"/>
  <c r="F4838" i="2"/>
  <c r="F4836" i="2"/>
  <c r="F4835" i="2"/>
  <c r="F4834" i="2"/>
  <c r="F4832" i="2"/>
  <c r="F4831" i="2"/>
  <c r="F4830" i="2"/>
  <c r="F4829" i="2"/>
  <c r="E4826" i="2"/>
  <c r="F4826" i="2" s="1"/>
  <c r="E4825" i="2"/>
  <c r="F4825" i="2" s="1"/>
  <c r="E4824" i="2"/>
  <c r="F4824" i="2" s="1"/>
  <c r="E4823" i="2"/>
  <c r="F4823" i="2" s="1"/>
  <c r="H4822" i="2"/>
  <c r="E4822" i="2"/>
  <c r="F4822" i="2" s="1"/>
  <c r="H4821" i="2"/>
  <c r="E4821" i="2"/>
  <c r="F4821" i="2" s="1"/>
  <c r="E4819" i="2"/>
  <c r="F4819" i="2" s="1"/>
  <c r="E4818" i="2"/>
  <c r="F4818" i="2" s="1"/>
  <c r="E4817" i="2"/>
  <c r="F4817" i="2" s="1"/>
  <c r="E4815" i="2"/>
  <c r="F4815" i="2" s="1"/>
  <c r="E4814" i="2"/>
  <c r="F4814" i="2" s="1"/>
  <c r="E4813" i="2"/>
  <c r="F4813" i="2" s="1"/>
  <c r="E4812" i="2"/>
  <c r="F4812" i="2" s="1"/>
  <c r="E4811" i="2"/>
  <c r="F4811" i="2" s="1"/>
  <c r="E4810" i="2"/>
  <c r="F4810" i="2" s="1"/>
  <c r="E4809" i="2"/>
  <c r="F4809" i="2" s="1"/>
  <c r="E4808" i="2"/>
  <c r="F4808" i="2" s="1"/>
  <c r="E4807" i="2"/>
  <c r="F4807" i="2" s="1"/>
  <c r="E4806" i="2"/>
  <c r="F4806" i="2" s="1"/>
  <c r="E4805" i="2"/>
  <c r="F4805" i="2" s="1"/>
  <c r="E4803" i="2"/>
  <c r="F4803" i="2" s="1"/>
  <c r="E4802" i="2"/>
  <c r="F4802" i="2" s="1"/>
  <c r="E4801" i="2"/>
  <c r="F4801" i="2" s="1"/>
  <c r="E4800" i="2"/>
  <c r="F4800" i="2" s="1"/>
  <c r="E4799" i="2"/>
  <c r="F4799" i="2" s="1"/>
  <c r="E4798" i="2"/>
  <c r="F4798" i="2" s="1"/>
  <c r="E4797" i="2"/>
  <c r="F4797" i="2" s="1"/>
  <c r="E4796" i="2"/>
  <c r="F4796" i="2" s="1"/>
  <c r="E4795" i="2"/>
  <c r="F4795" i="2" s="1"/>
  <c r="E4794" i="2"/>
  <c r="F4794" i="2" s="1"/>
  <c r="F4790" i="2"/>
  <c r="F4789" i="2"/>
  <c r="F4788" i="2"/>
  <c r="F4787" i="2"/>
  <c r="F4786" i="2"/>
  <c r="F4785" i="2"/>
  <c r="F4784" i="2"/>
  <c r="F4783" i="2"/>
  <c r="H4778" i="2"/>
  <c r="D4778" i="2"/>
  <c r="F4778" i="2" s="1"/>
  <c r="H4777" i="2"/>
  <c r="D4777" i="2"/>
  <c r="F4777" i="2" s="1"/>
  <c r="H4776" i="2"/>
  <c r="F4776" i="2"/>
  <c r="D4776" i="2"/>
  <c r="H4775" i="2"/>
  <c r="D4775" i="2"/>
  <c r="F4775" i="2" s="1"/>
  <c r="H4774" i="2"/>
  <c r="D4774" i="2"/>
  <c r="F4774" i="2" s="1"/>
  <c r="H4773" i="2"/>
  <c r="D4773" i="2"/>
  <c r="F4773" i="2" s="1"/>
  <c r="H4772" i="2"/>
  <c r="F4772" i="2"/>
  <c r="D4772" i="2"/>
  <c r="H4771" i="2"/>
  <c r="D4771" i="2"/>
  <c r="F4771" i="2" s="1"/>
  <c r="H4767" i="2"/>
  <c r="F4767" i="2"/>
  <c r="H4766" i="2"/>
  <c r="F4766" i="2"/>
  <c r="H4765" i="2"/>
  <c r="F4765" i="2"/>
  <c r="H4764" i="2"/>
  <c r="F4764" i="2"/>
  <c r="H4763" i="2"/>
  <c r="F4763" i="2"/>
  <c r="H4762" i="2"/>
  <c r="F4762" i="2"/>
  <c r="H4761" i="2"/>
  <c r="F4761" i="2"/>
  <c r="H4760" i="2"/>
  <c r="F4760" i="2"/>
  <c r="H4759" i="2"/>
  <c r="F4759" i="2"/>
  <c r="H4758" i="2"/>
  <c r="F4758" i="2"/>
  <c r="H4757" i="2"/>
  <c r="F4757" i="2"/>
  <c r="H4756" i="2"/>
  <c r="F4756" i="2"/>
  <c r="H4754" i="2"/>
  <c r="F4754" i="2"/>
  <c r="H4750" i="2"/>
  <c r="F4750" i="2"/>
  <c r="H4746" i="2"/>
  <c r="F4746" i="2"/>
  <c r="H4743" i="2"/>
  <c r="F4743" i="2"/>
  <c r="H4742" i="2"/>
  <c r="F4742" i="2"/>
  <c r="H4741" i="2"/>
  <c r="F4741" i="2"/>
  <c r="H4740" i="2"/>
  <c r="F4740" i="2"/>
  <c r="H4739" i="2"/>
  <c r="F4739" i="2"/>
  <c r="H4737" i="2"/>
  <c r="F4737" i="2"/>
  <c r="H4736" i="2"/>
  <c r="F4736" i="2"/>
  <c r="H4735" i="2"/>
  <c r="F4735" i="2"/>
  <c r="H4734" i="2"/>
  <c r="F4734" i="2"/>
  <c r="H4733" i="2"/>
  <c r="F4733" i="2"/>
  <c r="H4732" i="2"/>
  <c r="F4732" i="2"/>
  <c r="H4730" i="2"/>
  <c r="F4730" i="2"/>
  <c r="H4729" i="2"/>
  <c r="F4729" i="2"/>
  <c r="H4728" i="2"/>
  <c r="F4728" i="2"/>
  <c r="H4726" i="2"/>
  <c r="F4726" i="2"/>
  <c r="H4725" i="2"/>
  <c r="F4725" i="2"/>
  <c r="H4724" i="2"/>
  <c r="F4724" i="2"/>
  <c r="H4722" i="2"/>
  <c r="F4722" i="2"/>
  <c r="H4721" i="2"/>
  <c r="F4721" i="2"/>
  <c r="H4720" i="2"/>
  <c r="F4720" i="2"/>
  <c r="H4719" i="2"/>
  <c r="F4719" i="2"/>
  <c r="H4718" i="2"/>
  <c r="F4718" i="2"/>
  <c r="H4717" i="2"/>
  <c r="F4717" i="2"/>
  <c r="H4716" i="2"/>
  <c r="F4716" i="2"/>
  <c r="F4712" i="2"/>
  <c r="D4711" i="2"/>
  <c r="F4711" i="2" s="1"/>
  <c r="F4710" i="2"/>
  <c r="D4710" i="2"/>
  <c r="D4709" i="2"/>
  <c r="F4709" i="2" s="1"/>
  <c r="D4708" i="2"/>
  <c r="F4708" i="2" s="1"/>
  <c r="D4707" i="2"/>
  <c r="F4707" i="2" s="1"/>
  <c r="D4706" i="2"/>
  <c r="F4706" i="2" s="1"/>
  <c r="D4705" i="2"/>
  <c r="F4705" i="2" s="1"/>
  <c r="D4704" i="2"/>
  <c r="F4704" i="2" s="1"/>
  <c r="D4703" i="2"/>
  <c r="F4703" i="2" s="1"/>
  <c r="D4702" i="2"/>
  <c r="F4702" i="2" s="1"/>
  <c r="D4701" i="2"/>
  <c r="F4701" i="2" s="1"/>
  <c r="D4700" i="2"/>
  <c r="F4700" i="2" s="1"/>
  <c r="D4699" i="2"/>
  <c r="F4699" i="2" s="1"/>
  <c r="F4698" i="2"/>
  <c r="D4698" i="2"/>
  <c r="D4696" i="2"/>
  <c r="F4696" i="2" s="1"/>
  <c r="D4695" i="2"/>
  <c r="F4695" i="2" s="1"/>
  <c r="D4694" i="2"/>
  <c r="F4694" i="2" s="1"/>
  <c r="F4693" i="2"/>
  <c r="D4693" i="2"/>
  <c r="D4692" i="2"/>
  <c r="F4692" i="2" s="1"/>
  <c r="D4691" i="2"/>
  <c r="F4691" i="2" s="1"/>
  <c r="D4690" i="2"/>
  <c r="F4690" i="2" s="1"/>
  <c r="F4689" i="2"/>
  <c r="D4689" i="2"/>
  <c r="D4688" i="2"/>
  <c r="F4688" i="2" s="1"/>
  <c r="D4687" i="2"/>
  <c r="F4687" i="2" s="1"/>
  <c r="D4686" i="2"/>
  <c r="F4686" i="2" s="1"/>
  <c r="D4685" i="2"/>
  <c r="F4685" i="2" s="1"/>
  <c r="H4683" i="2"/>
  <c r="F4683" i="2"/>
  <c r="H4681" i="2"/>
  <c r="F4681" i="2"/>
  <c r="H4680" i="2"/>
  <c r="F4680" i="2"/>
  <c r="F4678" i="2"/>
  <c r="H4677" i="2"/>
  <c r="F4677" i="2"/>
  <c r="H4676" i="2"/>
  <c r="D4676" i="2"/>
  <c r="F4676" i="2" s="1"/>
  <c r="H4675" i="2"/>
  <c r="D4675" i="2"/>
  <c r="F4675" i="2" s="1"/>
  <c r="H4674" i="2"/>
  <c r="F4674" i="2"/>
  <c r="H4673" i="2"/>
  <c r="F4673" i="2"/>
  <c r="H4672" i="2"/>
  <c r="F4672" i="2"/>
  <c r="H4671" i="2"/>
  <c r="F4671" i="2"/>
  <c r="H4670" i="2"/>
  <c r="F4670" i="2"/>
  <c r="H4669" i="2"/>
  <c r="F4669" i="2"/>
  <c r="H4668" i="2"/>
  <c r="F4668" i="2"/>
  <c r="H4667" i="2"/>
  <c r="F4667" i="2"/>
  <c r="H4666" i="2"/>
  <c r="F4666" i="2"/>
  <c r="H4665" i="2"/>
  <c r="F4665" i="2"/>
  <c r="H4664" i="2"/>
  <c r="F4664" i="2"/>
  <c r="F4662" i="2"/>
  <c r="F4659" i="2"/>
  <c r="H4657" i="2"/>
  <c r="F4657" i="2"/>
  <c r="H4654" i="2"/>
  <c r="F4654" i="2"/>
  <c r="H4653" i="2"/>
  <c r="F4653" i="2"/>
  <c r="H4651" i="2"/>
  <c r="F4651" i="2"/>
  <c r="H4649" i="2"/>
  <c r="F4649" i="2"/>
  <c r="H4648" i="2"/>
  <c r="F4648" i="2"/>
  <c r="H4647" i="2"/>
  <c r="F4647" i="2"/>
  <c r="C4644" i="2"/>
  <c r="F4642" i="2"/>
  <c r="F4641" i="2"/>
  <c r="C4628" i="2"/>
  <c r="C4624" i="2"/>
  <c r="C4631" i="2" s="1"/>
  <c r="C4623" i="2"/>
  <c r="C4629" i="2" s="1"/>
  <c r="C4622" i="2"/>
  <c r="C4621" i="2"/>
  <c r="C4620" i="2"/>
  <c r="C4619" i="2"/>
  <c r="F4607" i="2"/>
  <c r="F4606" i="2"/>
  <c r="F4605" i="2"/>
  <c r="F4604" i="2"/>
  <c r="F4603" i="2"/>
  <c r="F4602" i="2"/>
  <c r="F4601" i="2"/>
  <c r="F4600" i="2"/>
  <c r="F4540" i="2"/>
  <c r="F4539" i="2"/>
  <c r="F4537" i="2"/>
  <c r="F4536" i="2"/>
  <c r="F4535" i="2"/>
  <c r="F4534" i="2"/>
  <c r="F4533" i="2"/>
  <c r="F4531" i="2"/>
  <c r="F4530" i="2"/>
  <c r="F4529" i="2"/>
  <c r="F4528" i="2"/>
  <c r="F4526" i="2"/>
  <c r="F4525" i="2"/>
  <c r="F4524" i="2"/>
  <c r="F4521" i="2"/>
  <c r="F4520" i="2"/>
  <c r="F4519" i="2"/>
  <c r="F4517" i="2"/>
  <c r="F4516" i="2"/>
  <c r="F4515" i="2"/>
  <c r="F4514" i="2"/>
  <c r="F4513" i="2"/>
  <c r="F4511" i="2"/>
  <c r="F4510" i="2"/>
  <c r="F4509" i="2"/>
  <c r="F4507" i="2"/>
  <c r="F4506" i="2"/>
  <c r="F4505" i="2"/>
  <c r="F4502" i="2"/>
  <c r="F4501" i="2"/>
  <c r="F4500" i="2"/>
  <c r="F4498" i="2"/>
  <c r="F4496" i="2"/>
  <c r="H4494" i="2"/>
  <c r="F4494" i="2"/>
  <c r="H4493" i="2"/>
  <c r="F4493" i="2"/>
  <c r="H4489" i="2"/>
  <c r="H4488" i="2"/>
  <c r="H4487" i="2"/>
  <c r="H4486" i="2"/>
  <c r="H4485" i="2"/>
  <c r="F4484" i="2"/>
  <c r="F4483" i="2"/>
  <c r="F4479" i="2"/>
  <c r="C4477" i="2"/>
  <c r="F4476" i="2"/>
  <c r="F4475" i="2"/>
  <c r="F4473" i="2"/>
  <c r="F4472" i="2"/>
  <c r="F4471" i="2"/>
  <c r="F4470" i="2"/>
  <c r="F4469" i="2"/>
  <c r="F4468" i="2"/>
  <c r="F4466" i="2"/>
  <c r="F4465" i="2"/>
  <c r="F4464" i="2"/>
  <c r="F4462" i="2"/>
  <c r="F4461" i="2"/>
  <c r="F4460" i="2"/>
  <c r="F4459" i="2"/>
  <c r="F4458" i="2"/>
  <c r="F4457" i="2"/>
  <c r="F4456" i="2"/>
  <c r="D4452" i="2"/>
  <c r="F4452" i="2" s="1"/>
  <c r="F4451" i="2"/>
  <c r="D4450" i="2"/>
  <c r="F4450" i="2" s="1"/>
  <c r="F4449" i="2"/>
  <c r="D4448" i="2"/>
  <c r="F4448" i="2" s="1"/>
  <c r="D4447" i="2"/>
  <c r="F4447" i="2" s="1"/>
  <c r="F4445" i="2"/>
  <c r="F4444" i="2"/>
  <c r="F4443" i="2"/>
  <c r="F4442" i="2"/>
  <c r="F4441" i="2"/>
  <c r="F4440" i="2"/>
  <c r="F4439" i="2"/>
  <c r="F4438" i="2"/>
  <c r="F4437" i="2"/>
  <c r="F4436" i="2"/>
  <c r="F4435" i="2"/>
  <c r="F4434" i="2"/>
  <c r="F4433" i="2"/>
  <c r="F4432" i="2"/>
  <c r="F4431" i="2"/>
  <c r="F4430" i="2"/>
  <c r="F4429" i="2"/>
  <c r="F4428" i="2"/>
  <c r="F4425" i="2"/>
  <c r="F4424" i="2"/>
  <c r="F4423" i="2"/>
  <c r="F4422" i="2"/>
  <c r="F4421" i="2"/>
  <c r="F4420" i="2"/>
  <c r="F4419" i="2"/>
  <c r="F4418" i="2"/>
  <c r="F4417" i="2"/>
  <c r="F4416" i="2"/>
  <c r="F4415" i="2"/>
  <c r="F4414" i="2"/>
  <c r="F4413" i="2"/>
  <c r="F4412" i="2"/>
  <c r="H4333" i="2"/>
  <c r="D4333" i="2"/>
  <c r="F4333" i="2" s="1"/>
  <c r="H4332" i="2"/>
  <c r="D4332" i="2"/>
  <c r="F4332" i="2" s="1"/>
  <c r="C4326" i="2"/>
  <c r="H4322" i="2"/>
  <c r="C4321" i="2"/>
  <c r="H4319" i="2"/>
  <c r="F4319" i="2"/>
  <c r="H4318" i="2"/>
  <c r="F4318" i="2"/>
  <c r="H4317" i="2"/>
  <c r="H4312" i="2"/>
  <c r="H4287" i="2"/>
  <c r="H4286" i="2"/>
  <c r="H4285" i="2"/>
  <c r="H4278" i="2"/>
  <c r="F4278" i="2"/>
  <c r="H4277" i="2"/>
  <c r="F4277" i="2"/>
  <c r="H4276" i="2"/>
  <c r="F4276" i="2"/>
  <c r="H4275" i="2"/>
  <c r="F4275" i="2"/>
  <c r="H4274" i="2"/>
  <c r="F4274" i="2"/>
  <c r="H4273" i="2"/>
  <c r="F4273" i="2"/>
  <c r="H4270" i="2"/>
  <c r="F4270" i="2"/>
  <c r="H4269" i="2"/>
  <c r="F4269" i="2"/>
  <c r="H4267" i="2"/>
  <c r="F4267" i="2"/>
  <c r="H4266" i="2"/>
  <c r="F4266" i="2"/>
  <c r="H4265" i="2"/>
  <c r="F4265" i="2"/>
  <c r="H4264" i="2"/>
  <c r="F4264" i="2"/>
  <c r="H4262" i="2"/>
  <c r="F4262" i="2"/>
  <c r="H4261" i="2"/>
  <c r="F4261" i="2"/>
  <c r="H4260" i="2"/>
  <c r="F4260" i="2"/>
  <c r="H4259" i="2"/>
  <c r="F4259" i="2"/>
  <c r="H4258" i="2"/>
  <c r="F4258" i="2"/>
  <c r="H4257" i="2"/>
  <c r="F4257" i="2"/>
  <c r="H4255" i="2"/>
  <c r="D4255" i="2"/>
  <c r="F4255" i="2" s="1"/>
  <c r="H4254" i="2"/>
  <c r="D4254" i="2"/>
  <c r="F4254" i="2" s="1"/>
  <c r="H4253" i="2"/>
  <c r="D4253" i="2"/>
  <c r="F4253" i="2" s="1"/>
  <c r="H4252" i="2"/>
  <c r="F4252" i="2"/>
  <c r="D4252" i="2"/>
  <c r="H4251" i="2"/>
  <c r="D4251" i="2"/>
  <c r="F4251" i="2" s="1"/>
  <c r="H4250" i="2"/>
  <c r="D4250" i="2"/>
  <c r="F4250" i="2" s="1"/>
  <c r="H4249" i="2"/>
  <c r="D4249" i="2"/>
  <c r="F4249" i="2" s="1"/>
  <c r="H4247" i="2"/>
  <c r="F4247" i="2"/>
  <c r="H4246" i="2"/>
  <c r="F4246" i="2"/>
  <c r="H4245" i="2"/>
  <c r="F4245" i="2"/>
  <c r="H4243" i="2"/>
  <c r="F4243" i="2"/>
  <c r="H4242" i="2"/>
  <c r="F4242" i="2"/>
  <c r="H4241" i="2"/>
  <c r="F4241" i="2"/>
  <c r="H4240" i="2"/>
  <c r="F4240" i="2"/>
  <c r="H4239" i="2"/>
  <c r="F4239" i="2"/>
  <c r="H4238" i="2"/>
  <c r="F4238" i="2"/>
  <c r="H4237" i="2"/>
  <c r="F4237" i="2"/>
  <c r="H4236" i="2"/>
  <c r="F4236" i="2"/>
  <c r="H4235" i="2"/>
  <c r="F4235" i="2"/>
  <c r="H4234" i="2"/>
  <c r="F4234" i="2"/>
  <c r="H4233" i="2"/>
  <c r="F4233" i="2"/>
  <c r="H4232" i="2"/>
  <c r="F4232" i="2"/>
  <c r="H4231" i="2"/>
  <c r="F4231" i="2"/>
  <c r="H4230" i="2"/>
  <c r="F4230" i="2"/>
  <c r="H4229" i="2"/>
  <c r="F4229" i="2"/>
  <c r="H4228" i="2"/>
  <c r="F4228" i="2"/>
  <c r="H4227" i="2"/>
  <c r="F4227" i="2"/>
  <c r="H4226" i="2"/>
  <c r="F4226" i="2"/>
  <c r="H4225" i="2"/>
  <c r="F4225" i="2"/>
  <c r="H4224" i="2"/>
  <c r="F4224" i="2"/>
  <c r="H4223" i="2"/>
  <c r="F4223" i="2"/>
  <c r="H4222" i="2"/>
  <c r="F4222" i="2"/>
  <c r="H4219" i="2"/>
  <c r="F4219" i="2"/>
  <c r="H4218" i="2"/>
  <c r="F4218" i="2"/>
  <c r="F4216" i="2"/>
  <c r="F4215" i="2"/>
  <c r="H4213" i="2"/>
  <c r="F4213" i="2"/>
  <c r="H4212" i="2"/>
  <c r="F4212" i="2"/>
  <c r="H4211" i="2"/>
  <c r="F4211" i="2"/>
  <c r="H4208" i="2"/>
  <c r="F4208" i="2"/>
  <c r="H4207" i="2"/>
  <c r="F4207" i="2"/>
  <c r="H4203" i="2"/>
  <c r="F4203" i="2"/>
  <c r="H4202" i="2"/>
  <c r="F4202" i="2"/>
  <c r="H4201" i="2"/>
  <c r="F4201" i="2"/>
  <c r="H4200" i="2"/>
  <c r="F4200" i="2"/>
  <c r="H4199" i="2"/>
  <c r="F4199" i="2"/>
  <c r="H4197" i="2"/>
  <c r="F4197" i="2"/>
  <c r="H4196" i="2"/>
  <c r="F4196" i="2"/>
  <c r="H4195" i="2"/>
  <c r="F4195" i="2"/>
  <c r="H4194" i="2"/>
  <c r="F4194" i="2"/>
  <c r="H4193" i="2"/>
  <c r="F4193" i="2"/>
  <c r="H4190" i="2"/>
  <c r="F4190" i="2"/>
  <c r="H4189" i="2"/>
  <c r="F4189" i="2"/>
  <c r="H4188" i="2"/>
  <c r="F4188" i="2"/>
  <c r="H4187" i="2"/>
  <c r="F4187" i="2"/>
  <c r="H4186" i="2"/>
  <c r="F4186" i="2"/>
  <c r="H4184" i="2"/>
  <c r="F4184" i="2"/>
  <c r="H4183" i="2"/>
  <c r="F4183" i="2"/>
  <c r="H4182" i="2"/>
  <c r="F4182" i="2"/>
  <c r="H4179" i="2"/>
  <c r="F4179" i="2"/>
  <c r="H4178" i="2"/>
  <c r="F4178" i="2"/>
  <c r="H4177" i="2"/>
  <c r="F4177" i="2"/>
  <c r="H4176" i="2"/>
  <c r="F4176" i="2"/>
  <c r="H4175" i="2"/>
  <c r="F4175" i="2"/>
  <c r="H4173" i="2"/>
  <c r="F4173" i="2"/>
  <c r="H4172" i="2"/>
  <c r="F4172" i="2"/>
  <c r="H4171" i="2"/>
  <c r="F4171" i="2"/>
  <c r="H4170" i="2"/>
  <c r="F4170" i="2"/>
  <c r="H4169" i="2"/>
  <c r="F4169" i="2"/>
  <c r="H4166" i="2"/>
  <c r="F4166" i="2"/>
  <c r="H4165" i="2"/>
  <c r="F4165" i="2"/>
  <c r="H4164" i="2"/>
  <c r="F4164" i="2"/>
  <c r="H4162" i="2"/>
  <c r="F4162" i="2"/>
  <c r="H4161" i="2"/>
  <c r="F4161" i="2"/>
  <c r="H4160" i="2"/>
  <c r="F4160" i="2"/>
  <c r="H4158" i="2"/>
  <c r="F4158" i="2"/>
  <c r="H4157" i="2"/>
  <c r="F4157" i="2"/>
  <c r="H4156" i="2"/>
  <c r="F4156" i="2"/>
  <c r="H4152" i="2"/>
  <c r="F4152" i="2"/>
  <c r="H4151" i="2"/>
  <c r="F4151" i="2"/>
  <c r="H4150" i="2"/>
  <c r="F4150" i="2"/>
  <c r="H4149" i="2"/>
  <c r="F4149" i="2"/>
  <c r="H4148" i="2"/>
  <c r="F4148" i="2"/>
  <c r="H4147" i="2"/>
  <c r="F4147" i="2"/>
  <c r="H4146" i="2"/>
  <c r="F4146" i="2"/>
  <c r="H4145" i="2"/>
  <c r="F4145" i="2"/>
  <c r="H4143" i="2"/>
  <c r="F4143" i="2"/>
  <c r="H4142" i="2"/>
  <c r="F4142" i="2"/>
  <c r="H4141" i="2"/>
  <c r="F4141" i="2"/>
  <c r="H4140" i="2"/>
  <c r="F4140" i="2"/>
  <c r="H4139" i="2"/>
  <c r="F4139" i="2"/>
  <c r="H4138" i="2"/>
  <c r="F4138" i="2"/>
  <c r="H4137" i="2"/>
  <c r="F4137" i="2"/>
  <c r="H4136" i="2"/>
  <c r="F4136" i="2"/>
  <c r="H4134" i="2"/>
  <c r="F4134" i="2"/>
  <c r="H4133" i="2"/>
  <c r="F4133" i="2"/>
  <c r="H4132" i="2"/>
  <c r="F4132" i="2"/>
  <c r="H4131" i="2"/>
  <c r="F4131" i="2"/>
  <c r="H4130" i="2"/>
  <c r="F4130" i="2"/>
  <c r="H4129" i="2"/>
  <c r="F4129" i="2"/>
  <c r="H4128" i="2"/>
  <c r="F4128" i="2"/>
  <c r="H4127" i="2"/>
  <c r="F4127" i="2"/>
  <c r="H4124" i="2"/>
  <c r="F4124" i="2"/>
  <c r="H4122" i="2"/>
  <c r="F4122" i="2"/>
  <c r="H4121" i="2"/>
  <c r="F4121" i="2"/>
  <c r="H4120" i="2"/>
  <c r="F4120" i="2"/>
  <c r="H4118" i="2"/>
  <c r="F4118" i="2"/>
  <c r="H4117" i="2"/>
  <c r="F4117" i="2"/>
  <c r="H4116" i="2"/>
  <c r="F4116" i="2"/>
  <c r="H4112" i="2"/>
  <c r="F4112" i="2"/>
  <c r="H4111" i="2"/>
  <c r="F4111" i="2"/>
  <c r="H4110" i="2"/>
  <c r="F4110" i="2"/>
  <c r="H4109" i="2"/>
  <c r="F4109" i="2"/>
  <c r="H4108" i="2"/>
  <c r="F4108" i="2"/>
  <c r="H4107" i="2"/>
  <c r="F4107" i="2"/>
  <c r="H4106" i="2"/>
  <c r="F4106" i="2"/>
  <c r="H4105" i="2"/>
  <c r="F4105" i="2"/>
  <c r="H4103" i="2"/>
  <c r="F4103" i="2"/>
  <c r="H4102" i="2"/>
  <c r="F4102" i="2"/>
  <c r="H4101" i="2"/>
  <c r="F4101" i="2"/>
  <c r="H4100" i="2"/>
  <c r="F4100" i="2"/>
  <c r="H4099" i="2"/>
  <c r="F4099" i="2"/>
  <c r="H4098" i="2"/>
  <c r="F4098" i="2"/>
  <c r="H4097" i="2"/>
  <c r="F4097" i="2"/>
  <c r="H4096" i="2"/>
  <c r="F4096" i="2"/>
  <c r="H4095" i="2"/>
  <c r="H4093" i="2"/>
  <c r="F4093" i="2"/>
  <c r="H4092" i="2"/>
  <c r="F4092" i="2"/>
  <c r="H4091" i="2"/>
  <c r="F4091" i="2"/>
  <c r="H4090" i="2"/>
  <c r="F4090" i="2"/>
  <c r="H4089" i="2"/>
  <c r="F4089" i="2"/>
  <c r="H4088" i="2"/>
  <c r="F4088" i="2"/>
  <c r="H4087" i="2"/>
  <c r="F4087" i="2"/>
  <c r="H4086" i="2"/>
  <c r="F4086" i="2"/>
  <c r="H4082" i="2"/>
  <c r="F4082" i="2"/>
  <c r="H4081" i="2"/>
  <c r="F4081" i="2"/>
  <c r="H4080" i="2"/>
  <c r="F4080" i="2"/>
  <c r="H4079" i="2"/>
  <c r="F4079" i="2"/>
  <c r="H4076" i="2"/>
  <c r="F4076" i="2"/>
  <c r="H4075" i="2"/>
  <c r="F4075" i="2"/>
  <c r="H4074" i="2"/>
  <c r="F4074" i="2"/>
  <c r="H4073" i="2"/>
  <c r="F4073" i="2"/>
  <c r="H4072" i="2"/>
  <c r="F4072" i="2"/>
  <c r="H4071" i="2"/>
  <c r="F4071" i="2"/>
  <c r="H4070" i="2"/>
  <c r="F4070" i="2"/>
  <c r="H4069" i="2"/>
  <c r="F4069" i="2"/>
  <c r="H4067" i="2"/>
  <c r="F4067" i="2"/>
  <c r="H4066" i="2"/>
  <c r="F4066" i="2"/>
  <c r="H4065" i="2"/>
  <c r="F4065" i="2"/>
  <c r="H4064" i="2"/>
  <c r="F4064" i="2"/>
  <c r="H4063" i="2"/>
  <c r="F4063" i="2"/>
  <c r="H4062" i="2"/>
  <c r="F4062" i="2"/>
  <c r="H4061" i="2"/>
  <c r="F4061" i="2"/>
  <c r="H4060" i="2"/>
  <c r="F4060" i="2"/>
  <c r="H4059" i="2"/>
  <c r="H4057" i="2"/>
  <c r="F4057" i="2"/>
  <c r="H4056" i="2"/>
  <c r="F4056" i="2"/>
  <c r="H4055" i="2"/>
  <c r="F4055" i="2"/>
  <c r="H4054" i="2"/>
  <c r="F4054" i="2"/>
  <c r="H4053" i="2"/>
  <c r="F4053" i="2"/>
  <c r="H4052" i="2"/>
  <c r="F4052" i="2"/>
  <c r="H4051" i="2"/>
  <c r="F4051" i="2"/>
  <c r="H4050" i="2"/>
  <c r="F4050" i="2"/>
  <c r="F4045" i="2"/>
  <c r="F4043" i="2"/>
  <c r="H4018" i="2"/>
  <c r="F4018" i="2"/>
  <c r="H4017" i="2"/>
  <c r="F4017" i="2"/>
  <c r="H4016" i="2"/>
  <c r="F4016" i="2"/>
  <c r="H4015" i="2"/>
  <c r="F4015" i="2"/>
  <c r="H4012" i="2"/>
  <c r="F4012" i="2"/>
  <c r="H4010" i="2"/>
  <c r="F4010" i="2"/>
  <c r="H4009" i="2"/>
  <c r="F4009" i="2"/>
  <c r="H4008" i="2"/>
  <c r="F4008" i="2"/>
  <c r="H4006" i="2"/>
  <c r="F4006" i="2"/>
  <c r="H4005" i="2"/>
  <c r="F4005" i="2"/>
  <c r="H4004" i="2"/>
  <c r="F4004" i="2"/>
  <c r="H4002" i="2"/>
  <c r="F4002" i="2"/>
  <c r="H3996" i="2"/>
  <c r="F3996" i="2"/>
  <c r="H3995" i="2"/>
  <c r="F3995" i="2"/>
  <c r="H3993" i="2"/>
  <c r="F3993" i="2"/>
  <c r="H3992" i="2"/>
  <c r="F3992" i="2"/>
  <c r="H3991" i="2"/>
  <c r="F3991" i="2"/>
  <c r="H3988" i="2"/>
  <c r="F3988" i="2"/>
  <c r="H3987" i="2"/>
  <c r="F3987" i="2"/>
  <c r="H3986" i="2"/>
  <c r="F3986" i="2"/>
  <c r="H3985" i="2"/>
  <c r="F3985" i="2"/>
  <c r="H3984" i="2"/>
  <c r="F3984" i="2"/>
  <c r="H3983" i="2"/>
  <c r="F3983" i="2"/>
  <c r="H3980" i="2"/>
  <c r="F3980" i="2"/>
  <c r="H3979" i="2"/>
  <c r="F3979" i="2"/>
  <c r="H3978" i="2"/>
  <c r="F3978" i="2"/>
  <c r="H3975" i="2"/>
  <c r="F3975" i="2"/>
  <c r="H3974" i="2"/>
  <c r="F3974" i="2"/>
  <c r="H3973" i="2"/>
  <c r="F3973" i="2"/>
  <c r="H3968" i="2"/>
  <c r="F3968" i="2"/>
  <c r="H3967" i="2"/>
  <c r="F3967" i="2"/>
  <c r="H3965" i="2"/>
  <c r="F3965" i="2"/>
  <c r="H3964" i="2"/>
  <c r="F3964" i="2"/>
  <c r="H3963" i="2"/>
  <c r="F3963" i="2"/>
  <c r="H3959" i="2"/>
  <c r="F3959" i="2"/>
  <c r="H3958" i="2"/>
  <c r="F3958" i="2"/>
  <c r="H3957" i="2"/>
  <c r="F3957" i="2"/>
  <c r="H3954" i="2"/>
  <c r="F3954" i="2"/>
  <c r="H3953" i="2"/>
  <c r="F3953" i="2"/>
  <c r="H3950" i="2"/>
  <c r="F3950" i="2"/>
  <c r="H3949" i="2"/>
  <c r="F3949" i="2"/>
  <c r="H3948" i="2"/>
  <c r="F3948" i="2"/>
  <c r="H3947" i="2"/>
  <c r="E3947" i="2"/>
  <c r="F3947" i="2" s="1"/>
  <c r="H3945" i="2"/>
  <c r="E3945" i="2"/>
  <c r="F3945" i="2" s="1"/>
  <c r="H3944" i="2"/>
  <c r="F3944" i="2"/>
  <c r="H3941" i="2"/>
  <c r="F3941" i="2"/>
  <c r="H3940" i="2"/>
  <c r="F3940" i="2"/>
  <c r="H3939" i="2"/>
  <c r="F3939" i="2"/>
  <c r="H3937" i="2"/>
  <c r="F3937" i="2"/>
  <c r="H3936" i="2"/>
  <c r="F3936" i="2"/>
  <c r="H3935" i="2"/>
  <c r="F3935" i="2"/>
  <c r="H3934" i="2"/>
  <c r="F3934" i="2"/>
  <c r="H3933" i="2"/>
  <c r="F3933" i="2"/>
  <c r="H3932" i="2"/>
  <c r="F3932" i="2"/>
  <c r="H3931" i="2"/>
  <c r="F3931" i="2"/>
  <c r="H3930" i="2"/>
  <c r="F3930" i="2"/>
  <c r="H3929" i="2"/>
  <c r="F3929" i="2"/>
  <c r="H3928" i="2"/>
  <c r="F3928" i="2"/>
  <c r="H3927" i="2"/>
  <c r="F3927" i="2"/>
  <c r="H3926" i="2"/>
  <c r="F3926" i="2"/>
  <c r="F3923" i="2"/>
  <c r="F3922" i="2"/>
  <c r="F3921" i="2"/>
  <c r="F3920" i="2"/>
  <c r="F3919" i="2"/>
  <c r="F3918" i="2"/>
  <c r="F3917" i="2"/>
  <c r="H3915" i="2"/>
  <c r="F3915" i="2"/>
  <c r="H3914" i="2"/>
  <c r="F3914" i="2"/>
  <c r="H3913" i="2"/>
  <c r="F3913" i="2"/>
  <c r="H3912" i="2"/>
  <c r="F3912" i="2"/>
  <c r="H3911" i="2"/>
  <c r="F3911" i="2"/>
  <c r="H3910" i="2"/>
  <c r="F3910" i="2"/>
  <c r="H3909" i="2"/>
  <c r="F3909" i="2"/>
  <c r="H3908" i="2"/>
  <c r="F3908" i="2"/>
  <c r="H3907" i="2"/>
  <c r="F3907" i="2"/>
  <c r="H3906" i="2"/>
  <c r="F3906" i="2"/>
  <c r="H3902" i="2"/>
  <c r="F3902" i="2"/>
  <c r="H3901" i="2"/>
  <c r="F3901" i="2"/>
  <c r="H3896" i="2"/>
  <c r="H3893" i="2"/>
  <c r="F3893" i="2"/>
  <c r="H3891" i="2"/>
  <c r="F3891" i="2"/>
  <c r="H3890" i="2"/>
  <c r="F3890" i="2"/>
  <c r="H3888" i="2"/>
  <c r="F3888" i="2"/>
  <c r="H3887" i="2"/>
  <c r="F3887" i="2"/>
  <c r="H3886" i="2"/>
  <c r="F3886" i="2"/>
  <c r="H3883" i="2"/>
  <c r="F3883" i="2"/>
  <c r="H3882" i="2"/>
  <c r="F3882" i="2"/>
  <c r="H3881" i="2"/>
  <c r="F3881" i="2"/>
  <c r="H3879" i="2"/>
  <c r="F3879" i="2"/>
  <c r="H3878" i="2"/>
  <c r="F3878" i="2"/>
  <c r="H3877" i="2"/>
  <c r="F3877" i="2"/>
  <c r="H3876" i="2"/>
  <c r="F3876" i="2"/>
  <c r="H3874" i="2"/>
  <c r="F3874" i="2"/>
  <c r="H3873" i="2"/>
  <c r="F3873" i="2"/>
  <c r="H3872" i="2"/>
  <c r="F3872" i="2"/>
  <c r="H3871" i="2"/>
  <c r="F3871" i="2"/>
  <c r="H3870" i="2"/>
  <c r="F3870" i="2"/>
  <c r="H3869" i="2"/>
  <c r="F3869" i="2"/>
  <c r="H3868" i="2"/>
  <c r="F3868" i="2"/>
  <c r="H3867" i="2"/>
  <c r="F3867" i="2"/>
  <c r="H3866" i="2"/>
  <c r="F3866" i="2"/>
  <c r="H3865" i="2"/>
  <c r="F3865" i="2"/>
  <c r="H3863" i="2"/>
  <c r="F3863" i="2"/>
  <c r="H3862" i="2"/>
  <c r="F3862" i="2"/>
  <c r="H3861" i="2"/>
  <c r="F3861" i="2"/>
  <c r="H3860" i="2"/>
  <c r="F3860" i="2"/>
  <c r="H3859" i="2"/>
  <c r="F3859" i="2"/>
  <c r="H3858" i="2"/>
  <c r="F3858" i="2"/>
  <c r="H3857" i="2"/>
  <c r="F3857" i="2"/>
  <c r="H3856" i="2"/>
  <c r="F3856" i="2"/>
  <c r="H3855" i="2"/>
  <c r="F3855" i="2"/>
  <c r="H3853" i="2"/>
  <c r="D3853" i="2"/>
  <c r="F3853" i="2" s="1"/>
  <c r="H3852" i="2"/>
  <c r="D3852" i="2"/>
  <c r="F3852" i="2" s="1"/>
  <c r="H3851" i="2"/>
  <c r="D3851" i="2"/>
  <c r="F3851" i="2" s="1"/>
  <c r="H3850" i="2"/>
  <c r="F3850" i="2"/>
  <c r="D3850" i="2"/>
  <c r="H3849" i="2"/>
  <c r="D3849" i="2"/>
  <c r="F3849" i="2" s="1"/>
  <c r="H3848" i="2"/>
  <c r="D3848" i="2"/>
  <c r="F3848" i="2" s="1"/>
  <c r="H3847" i="2"/>
  <c r="D3847" i="2"/>
  <c r="F3847" i="2" s="1"/>
  <c r="H3846" i="2"/>
  <c r="F3846" i="2"/>
  <c r="D3846" i="2"/>
  <c r="H3845" i="2"/>
  <c r="D3845" i="2"/>
  <c r="F3845" i="2" s="1"/>
  <c r="H3843" i="2"/>
  <c r="F3843" i="2"/>
  <c r="H3842" i="2"/>
  <c r="F3842" i="2"/>
  <c r="H3841" i="2"/>
  <c r="F3841" i="2"/>
  <c r="H3840" i="2"/>
  <c r="F3840" i="2"/>
  <c r="H3839" i="2"/>
  <c r="F3839" i="2"/>
  <c r="H3838" i="2"/>
  <c r="F3838" i="2"/>
  <c r="H3837" i="2"/>
  <c r="F3837" i="2"/>
  <c r="H3836" i="2"/>
  <c r="F3836" i="2"/>
  <c r="H3833" i="2"/>
  <c r="F3833" i="2"/>
  <c r="H3832" i="2"/>
  <c r="F3832" i="2"/>
  <c r="H3831" i="2"/>
  <c r="F3831" i="2"/>
  <c r="H3830" i="2"/>
  <c r="F3830" i="2"/>
  <c r="H3829" i="2"/>
  <c r="F3829" i="2"/>
  <c r="H3828" i="2"/>
  <c r="F3828" i="2"/>
  <c r="H3827" i="2"/>
  <c r="F3827" i="2"/>
  <c r="H3826" i="2"/>
  <c r="F3826" i="2"/>
  <c r="H3825" i="2"/>
  <c r="F3825" i="2"/>
  <c r="H3823" i="2"/>
  <c r="D3823" i="2"/>
  <c r="F3823" i="2" s="1"/>
  <c r="H3822" i="2"/>
  <c r="F3822" i="2"/>
  <c r="H3821" i="2"/>
  <c r="F3821" i="2"/>
  <c r="H3820" i="2"/>
  <c r="F3820" i="2"/>
  <c r="H3819" i="2"/>
  <c r="F3819" i="2"/>
  <c r="H3818" i="2"/>
  <c r="F3818" i="2"/>
  <c r="H3817" i="2"/>
  <c r="F3817" i="2"/>
  <c r="H3816" i="2"/>
  <c r="F3816" i="2"/>
  <c r="H3815" i="2"/>
  <c r="F3815" i="2"/>
  <c r="H3814" i="2"/>
  <c r="F3814" i="2"/>
  <c r="H3812" i="2"/>
  <c r="F3812" i="2"/>
  <c r="H3811" i="2"/>
  <c r="F3811" i="2"/>
  <c r="H3810" i="2"/>
  <c r="F3810" i="2"/>
  <c r="H3809" i="2"/>
  <c r="F3809" i="2"/>
  <c r="H3808" i="2"/>
  <c r="F3808" i="2"/>
  <c r="H3807" i="2"/>
  <c r="F3807" i="2"/>
  <c r="H3806" i="2"/>
  <c r="F3806" i="2"/>
  <c r="H3805" i="2"/>
  <c r="F3805" i="2"/>
  <c r="H3804" i="2"/>
  <c r="F3804" i="2"/>
  <c r="H3802" i="2"/>
  <c r="F3802" i="2"/>
  <c r="H3801" i="2"/>
  <c r="F3801" i="2"/>
  <c r="H3800" i="2"/>
  <c r="F3800" i="2"/>
  <c r="H3799" i="2"/>
  <c r="F3799" i="2"/>
  <c r="H3798" i="2"/>
  <c r="F3798" i="2"/>
  <c r="H3797" i="2"/>
  <c r="F3797" i="2"/>
  <c r="H3796" i="2"/>
  <c r="F3796" i="2"/>
  <c r="H3795" i="2"/>
  <c r="F3795" i="2"/>
  <c r="H3789" i="2"/>
  <c r="F3789" i="2"/>
  <c r="H3787" i="2"/>
  <c r="F3787" i="2"/>
  <c r="H3786" i="2"/>
  <c r="F3786" i="2"/>
  <c r="H3785" i="2"/>
  <c r="F3785" i="2"/>
  <c r="H3784" i="2"/>
  <c r="F3784" i="2"/>
  <c r="H3783" i="2"/>
  <c r="F3783" i="2"/>
  <c r="H3782" i="2"/>
  <c r="F3782" i="2"/>
  <c r="H3777" i="2"/>
  <c r="F3777" i="2"/>
  <c r="H3775" i="2"/>
  <c r="F3775" i="2"/>
  <c r="H3774" i="2"/>
  <c r="F3774" i="2"/>
  <c r="H3773" i="2"/>
  <c r="F3773" i="2"/>
  <c r="H3770" i="2"/>
  <c r="F3770" i="2"/>
  <c r="H3769" i="2"/>
  <c r="F3769" i="2"/>
  <c r="H3768" i="2"/>
  <c r="F3768" i="2"/>
  <c r="H3767" i="2"/>
  <c r="F3767" i="2"/>
  <c r="H3766" i="2"/>
  <c r="F3766" i="2"/>
  <c r="H3765" i="2"/>
  <c r="F3765" i="2"/>
  <c r="H3764" i="2"/>
  <c r="F3764" i="2"/>
  <c r="H3763" i="2"/>
  <c r="F3763" i="2"/>
  <c r="H3762" i="2"/>
  <c r="F3762" i="2"/>
  <c r="H3761" i="2"/>
  <c r="F3761" i="2"/>
  <c r="H3759" i="2"/>
  <c r="F3759" i="2"/>
  <c r="H3758" i="2"/>
  <c r="F3758" i="2"/>
  <c r="H3757" i="2"/>
  <c r="F3757" i="2"/>
  <c r="H3756" i="2"/>
  <c r="F3756" i="2"/>
  <c r="H3754" i="2"/>
  <c r="F3754" i="2"/>
  <c r="H3753" i="2"/>
  <c r="F3753" i="2"/>
  <c r="H3751" i="2"/>
  <c r="H3750" i="2"/>
  <c r="H3749" i="2"/>
  <c r="H3748" i="2"/>
  <c r="H3747" i="2"/>
  <c r="H3746" i="2"/>
  <c r="H3744" i="2"/>
  <c r="F3744" i="2"/>
  <c r="H3743" i="2"/>
  <c r="F3743" i="2"/>
  <c r="H3742" i="2"/>
  <c r="F3742" i="2"/>
  <c r="H3741" i="2"/>
  <c r="F3741" i="2"/>
  <c r="H3740" i="2"/>
  <c r="F3740" i="2"/>
  <c r="H3739" i="2"/>
  <c r="F3739" i="2"/>
  <c r="H3738" i="2"/>
  <c r="F3738" i="2"/>
  <c r="H3737" i="2"/>
  <c r="F3737" i="2"/>
  <c r="H3736" i="2"/>
  <c r="F3736" i="2"/>
  <c r="H3735" i="2"/>
  <c r="F3735" i="2"/>
  <c r="H3733" i="2"/>
  <c r="F3733" i="2"/>
  <c r="H3732" i="2"/>
  <c r="F3732" i="2"/>
  <c r="H3731" i="2"/>
  <c r="F3731" i="2"/>
  <c r="H3730" i="2"/>
  <c r="F3730" i="2"/>
  <c r="H3729" i="2"/>
  <c r="F3729" i="2"/>
  <c r="H3728" i="2"/>
  <c r="F3728" i="2"/>
  <c r="H3727" i="2"/>
  <c r="F3727" i="2"/>
  <c r="H3726" i="2"/>
  <c r="F3726" i="2"/>
  <c r="H3723" i="2"/>
  <c r="F3723" i="2"/>
  <c r="H3721" i="2"/>
  <c r="F3721" i="2"/>
  <c r="H3720" i="2"/>
  <c r="F3720" i="2"/>
  <c r="H3719" i="2"/>
  <c r="F3719" i="2"/>
  <c r="H3718" i="2"/>
  <c r="F3718" i="2"/>
  <c r="H3717" i="2"/>
  <c r="F3717" i="2"/>
  <c r="H3716" i="2"/>
  <c r="F3716" i="2"/>
  <c r="H3715" i="2"/>
  <c r="F3715" i="2"/>
  <c r="H3714" i="2"/>
  <c r="F3714" i="2"/>
  <c r="H3713" i="2"/>
  <c r="F3713" i="2"/>
  <c r="H3712" i="2"/>
  <c r="F3712" i="2"/>
  <c r="H3709" i="2"/>
  <c r="F3709" i="2"/>
  <c r="H3708" i="2"/>
  <c r="F3708" i="2"/>
  <c r="H3707" i="2"/>
  <c r="F3707" i="2"/>
  <c r="H3706" i="2"/>
  <c r="F3706" i="2"/>
  <c r="H3705" i="2"/>
  <c r="F3705" i="2"/>
  <c r="H3704" i="2"/>
  <c r="F3704" i="2"/>
  <c r="H3702" i="2"/>
  <c r="F3702" i="2"/>
  <c r="H3701" i="2"/>
  <c r="F3701" i="2"/>
  <c r="H3700" i="2"/>
  <c r="F3700" i="2"/>
  <c r="H3699" i="2"/>
  <c r="F3699" i="2"/>
  <c r="H3698" i="2"/>
  <c r="F3698" i="2"/>
  <c r="H3697" i="2"/>
  <c r="F3697" i="2"/>
  <c r="H3696" i="2"/>
  <c r="F3696" i="2"/>
  <c r="H3695" i="2"/>
  <c r="F3695" i="2"/>
  <c r="H3694" i="2"/>
  <c r="F3694" i="2"/>
  <c r="H3693" i="2"/>
  <c r="F3693" i="2"/>
  <c r="H3691" i="2"/>
  <c r="F3691" i="2"/>
  <c r="H3690" i="2"/>
  <c r="F3690" i="2"/>
  <c r="H3689" i="2"/>
  <c r="F3689" i="2"/>
  <c r="H3688" i="2"/>
  <c r="F3688" i="2"/>
  <c r="H3687" i="2"/>
  <c r="F3687" i="2"/>
  <c r="H3686" i="2"/>
  <c r="F3686" i="2"/>
  <c r="H3685" i="2"/>
  <c r="F3685" i="2"/>
  <c r="H3682" i="2"/>
  <c r="F3682" i="2"/>
  <c r="H3680" i="2"/>
  <c r="F3680" i="2"/>
  <c r="H3679" i="2"/>
  <c r="F3679" i="2"/>
  <c r="H3678" i="2"/>
  <c r="F3678" i="2"/>
  <c r="H3677" i="2"/>
  <c r="F3677" i="2"/>
  <c r="H3676" i="2"/>
  <c r="F3676" i="2"/>
  <c r="H3675" i="2"/>
  <c r="F3675" i="2"/>
  <c r="H3674" i="2"/>
  <c r="F3674" i="2"/>
  <c r="H3673" i="2"/>
  <c r="F3673" i="2"/>
  <c r="H3672" i="2"/>
  <c r="F3672" i="2"/>
  <c r="H3671" i="2"/>
  <c r="F3671" i="2"/>
  <c r="H3669" i="2"/>
  <c r="F3669" i="2"/>
  <c r="H3668" i="2"/>
  <c r="F3668" i="2"/>
  <c r="H3667" i="2"/>
  <c r="F3667" i="2"/>
  <c r="H3666" i="2"/>
  <c r="F3666" i="2"/>
  <c r="H3665" i="2"/>
  <c r="F3665" i="2"/>
  <c r="H3664" i="2"/>
  <c r="F3664" i="2"/>
  <c r="H3663" i="2"/>
  <c r="F3663" i="2"/>
  <c r="H3662" i="2"/>
  <c r="F3662" i="2"/>
  <c r="H3661" i="2"/>
  <c r="F3661" i="2"/>
  <c r="H3659" i="2"/>
  <c r="F3659" i="2"/>
  <c r="H3658" i="2"/>
  <c r="F3658" i="2"/>
  <c r="H3657" i="2"/>
  <c r="F3657" i="2"/>
  <c r="H3656" i="2"/>
  <c r="F3656" i="2"/>
  <c r="H3655" i="2"/>
  <c r="F3655" i="2"/>
  <c r="H3654" i="2"/>
  <c r="F3654" i="2"/>
  <c r="H3653" i="2"/>
  <c r="F3653" i="2"/>
  <c r="H3648" i="2"/>
  <c r="F3648" i="2"/>
  <c r="H3647" i="2"/>
  <c r="F3647" i="2"/>
  <c r="H3646" i="2"/>
  <c r="F3646" i="2"/>
  <c r="H3645" i="2"/>
  <c r="F3645" i="2"/>
  <c r="H3644" i="2"/>
  <c r="F3644" i="2"/>
  <c r="H3643" i="2"/>
  <c r="F3643" i="2"/>
  <c r="H3642" i="2"/>
  <c r="F3642" i="2"/>
  <c r="H3641" i="2"/>
  <c r="F3641" i="2"/>
  <c r="H3640" i="2"/>
  <c r="F3640" i="2"/>
  <c r="H3639" i="2"/>
  <c r="F3639" i="2"/>
  <c r="F3638" i="2"/>
  <c r="H3635" i="2"/>
  <c r="F3635" i="2"/>
  <c r="H3634" i="2"/>
  <c r="F3634" i="2"/>
  <c r="H3633" i="2"/>
  <c r="F3633" i="2"/>
  <c r="H3632" i="2"/>
  <c r="F3632" i="2"/>
  <c r="H3629" i="2"/>
  <c r="F3629" i="2"/>
  <c r="H3627" i="2"/>
  <c r="F3627" i="2"/>
  <c r="H3626" i="2"/>
  <c r="F3626" i="2"/>
  <c r="H3625" i="2"/>
  <c r="F3625" i="2"/>
  <c r="H3624" i="2"/>
  <c r="F3624" i="2"/>
  <c r="H3623" i="2"/>
  <c r="F3623" i="2"/>
  <c r="H3622" i="2"/>
  <c r="F3622" i="2"/>
  <c r="H3621" i="2"/>
  <c r="F3621" i="2"/>
  <c r="H3616" i="2"/>
  <c r="F3616" i="2"/>
  <c r="H3614" i="2"/>
  <c r="F3614" i="2"/>
  <c r="H3612" i="2"/>
  <c r="F3612" i="2"/>
  <c r="H3610" i="2"/>
  <c r="F3610" i="2"/>
  <c r="H3609" i="2"/>
  <c r="F3609" i="2"/>
  <c r="H3608" i="2"/>
  <c r="F3608" i="2"/>
  <c r="H3607" i="2"/>
  <c r="F3607" i="2"/>
  <c r="H3606" i="2"/>
  <c r="F3606" i="2"/>
  <c r="H3605" i="2"/>
  <c r="F3605" i="2"/>
  <c r="H3604" i="2"/>
  <c r="F3604" i="2"/>
  <c r="H3603" i="2"/>
  <c r="F3603" i="2"/>
  <c r="H3602" i="2"/>
  <c r="F3602" i="2"/>
  <c r="H3601" i="2"/>
  <c r="F3601" i="2"/>
  <c r="H3600" i="2"/>
  <c r="F3600" i="2"/>
  <c r="H3593" i="2"/>
  <c r="F3593" i="2"/>
  <c r="H3592" i="2"/>
  <c r="F3592" i="2"/>
  <c r="H3591" i="2"/>
  <c r="F3591" i="2"/>
  <c r="H3590" i="2"/>
  <c r="F3590" i="2"/>
  <c r="H3586" i="2"/>
  <c r="F3586" i="2"/>
  <c r="H3585" i="2"/>
  <c r="F3585" i="2"/>
  <c r="H3584" i="2"/>
  <c r="F3584" i="2"/>
  <c r="H3583" i="2"/>
  <c r="F3583" i="2"/>
  <c r="H3582" i="2"/>
  <c r="F3582" i="2"/>
  <c r="H3581" i="2"/>
  <c r="F3581" i="2"/>
  <c r="H3580" i="2"/>
  <c r="F3580" i="2"/>
  <c r="H3579" i="2"/>
  <c r="F3579" i="2"/>
  <c r="H3578" i="2"/>
  <c r="F3578" i="2"/>
  <c r="H3577" i="2"/>
  <c r="F3577" i="2"/>
  <c r="H3576" i="2"/>
  <c r="F3576" i="2"/>
  <c r="H3574" i="2"/>
  <c r="F3574" i="2"/>
  <c r="H3573" i="2"/>
  <c r="F3573" i="2"/>
  <c r="H3572" i="2"/>
  <c r="F3572" i="2"/>
  <c r="H3571" i="2"/>
  <c r="F3571" i="2"/>
  <c r="H3570" i="2"/>
  <c r="F3570" i="2"/>
  <c r="H3569" i="2"/>
  <c r="F3569" i="2"/>
  <c r="H3568" i="2"/>
  <c r="F3568" i="2"/>
  <c r="H3567" i="2"/>
  <c r="F3567" i="2"/>
  <c r="H3566" i="2"/>
  <c r="F3566" i="2"/>
  <c r="H3565" i="2"/>
  <c r="F3565" i="2"/>
  <c r="H3563" i="2"/>
  <c r="F3563" i="2"/>
  <c r="H3562" i="2"/>
  <c r="F3562" i="2"/>
  <c r="H3561" i="2"/>
  <c r="F3561" i="2"/>
  <c r="H3560" i="2"/>
  <c r="F3560" i="2"/>
  <c r="H3559" i="2"/>
  <c r="F3559" i="2"/>
  <c r="H3558" i="2"/>
  <c r="F3558" i="2"/>
  <c r="H3557" i="2"/>
  <c r="F3557" i="2"/>
  <c r="H3556" i="2"/>
  <c r="F3556" i="2"/>
  <c r="H3555" i="2"/>
  <c r="F3555" i="2"/>
  <c r="H3554" i="2"/>
  <c r="F3554" i="2"/>
  <c r="H3552" i="2"/>
  <c r="F3552" i="2"/>
  <c r="H3551" i="2"/>
  <c r="F3551" i="2"/>
  <c r="H3550" i="2"/>
  <c r="F3550" i="2"/>
  <c r="H3544" i="2"/>
  <c r="F3544" i="2"/>
  <c r="H3543" i="2"/>
  <c r="F3543" i="2"/>
  <c r="H3542" i="2"/>
  <c r="F3542" i="2"/>
  <c r="H3540" i="2"/>
  <c r="F3540" i="2"/>
  <c r="F3537" i="2"/>
  <c r="F3536" i="2"/>
  <c r="F3535" i="2"/>
  <c r="F3534" i="2"/>
  <c r="H3532" i="2"/>
  <c r="F3532" i="2"/>
  <c r="H3531" i="2"/>
  <c r="F3531" i="2"/>
  <c r="F3529" i="2"/>
  <c r="H3528" i="2"/>
  <c r="F3528" i="2"/>
  <c r="H3526" i="2"/>
  <c r="F3526" i="2"/>
  <c r="H3525" i="2"/>
  <c r="F3525" i="2"/>
  <c r="F3522" i="2"/>
  <c r="F3521" i="2"/>
  <c r="F3520" i="2"/>
  <c r="H3518" i="2"/>
  <c r="F3518" i="2"/>
  <c r="H3517" i="2"/>
  <c r="F3517" i="2"/>
  <c r="H3516" i="2"/>
  <c r="F3516" i="2"/>
  <c r="H3514" i="2"/>
  <c r="F3514" i="2"/>
  <c r="F3513" i="2"/>
  <c r="H3512" i="2"/>
  <c r="F3512" i="2"/>
  <c r="H3511" i="2"/>
  <c r="F3511" i="2"/>
  <c r="H3507" i="2"/>
  <c r="F3507" i="2"/>
  <c r="H3506" i="2"/>
  <c r="F3506" i="2"/>
  <c r="H3505" i="2"/>
  <c r="F3505" i="2"/>
  <c r="H3504" i="2"/>
  <c r="F3504" i="2"/>
  <c r="H3503" i="2"/>
  <c r="F3503" i="2"/>
  <c r="H3502" i="2"/>
  <c r="F3502" i="2"/>
  <c r="H3499" i="2"/>
  <c r="F3499" i="2"/>
  <c r="H3497" i="2"/>
  <c r="D3497" i="2"/>
  <c r="F3497" i="2" s="1"/>
  <c r="H3496" i="2"/>
  <c r="F3496" i="2"/>
  <c r="H3495" i="2"/>
  <c r="D3495" i="2"/>
  <c r="F3495" i="2" s="1"/>
  <c r="H3493" i="2"/>
  <c r="F3493" i="2"/>
  <c r="H3492" i="2"/>
  <c r="F3492" i="2"/>
  <c r="H3491" i="2"/>
  <c r="F3491" i="2"/>
  <c r="F3488" i="2"/>
  <c r="H3486" i="2"/>
  <c r="F3486" i="2"/>
  <c r="H3484" i="2"/>
  <c r="F3484" i="2"/>
  <c r="H3482" i="2"/>
  <c r="F3482" i="2"/>
  <c r="H3481" i="2"/>
  <c r="F3481" i="2"/>
  <c r="H3478" i="2"/>
  <c r="F3478" i="2"/>
  <c r="H3477" i="2"/>
  <c r="F3477" i="2"/>
  <c r="H3476" i="2"/>
  <c r="F3476" i="2"/>
  <c r="H3475" i="2"/>
  <c r="F3475" i="2"/>
  <c r="H3474" i="2"/>
  <c r="F3474" i="2"/>
  <c r="H3473" i="2"/>
  <c r="F3473" i="2"/>
  <c r="H3472" i="2"/>
  <c r="F3472" i="2"/>
  <c r="H3470" i="2"/>
  <c r="F3470" i="2"/>
  <c r="H3469" i="2"/>
  <c r="F3469" i="2"/>
  <c r="H3468" i="2"/>
  <c r="F3468" i="2"/>
  <c r="F3466" i="2"/>
  <c r="F3465" i="2"/>
  <c r="F3464" i="2"/>
  <c r="F3463" i="2"/>
  <c r="H3462" i="2"/>
  <c r="F3462" i="2"/>
  <c r="H3461" i="2"/>
  <c r="F3461" i="2"/>
  <c r="H3459" i="2"/>
  <c r="F3459" i="2"/>
  <c r="H3457" i="2"/>
  <c r="F3457" i="2"/>
  <c r="H3455" i="2"/>
  <c r="F3455" i="2"/>
  <c r="H3453" i="2"/>
  <c r="F3453" i="2"/>
  <c r="H3452" i="2"/>
  <c r="F3452" i="2"/>
  <c r="H3451" i="2"/>
  <c r="F3451" i="2"/>
  <c r="H3450" i="2"/>
  <c r="F3450" i="2"/>
  <c r="H3449" i="2"/>
  <c r="F3449" i="2"/>
  <c r="H3448" i="2"/>
  <c r="F3448" i="2"/>
  <c r="H3447" i="2"/>
  <c r="F3447" i="2"/>
  <c r="H3446" i="2"/>
  <c r="F3446" i="2"/>
  <c r="H3445" i="2"/>
  <c r="F3445" i="2"/>
  <c r="H3444" i="2"/>
  <c r="F3444" i="2"/>
  <c r="H3442" i="2"/>
  <c r="F3442" i="2"/>
  <c r="H3441" i="2"/>
  <c r="F3441" i="2"/>
  <c r="H3440" i="2"/>
  <c r="F3440" i="2"/>
  <c r="H3439" i="2"/>
  <c r="F3439" i="2"/>
  <c r="H3438" i="2"/>
  <c r="F3438" i="2"/>
  <c r="H3437" i="2"/>
  <c r="F3437" i="2"/>
  <c r="H3436" i="2"/>
  <c r="F3436" i="2"/>
  <c r="H3435" i="2"/>
  <c r="F3435" i="2"/>
  <c r="H3434" i="2"/>
  <c r="F3434" i="2"/>
  <c r="H3433" i="2"/>
  <c r="F3433" i="2"/>
  <c r="H3431" i="2"/>
  <c r="F3431" i="2"/>
  <c r="H3430" i="2"/>
  <c r="F3430" i="2"/>
  <c r="H3429" i="2"/>
  <c r="F3429" i="2"/>
  <c r="H3428" i="2"/>
  <c r="F3428" i="2"/>
  <c r="H3427" i="2"/>
  <c r="F3427" i="2"/>
  <c r="H3426" i="2"/>
  <c r="F3426" i="2"/>
  <c r="H3425" i="2"/>
  <c r="F3425" i="2"/>
  <c r="H3424" i="2"/>
  <c r="F3424" i="2"/>
  <c r="H3423" i="2"/>
  <c r="F3423" i="2"/>
  <c r="H3422" i="2"/>
  <c r="F3422" i="2"/>
  <c r="H3419" i="2"/>
  <c r="F3419" i="2"/>
  <c r="H3418" i="2"/>
  <c r="F3418" i="2"/>
  <c r="H3416" i="2"/>
  <c r="F3416" i="2"/>
  <c r="H3415" i="2"/>
  <c r="F3415" i="2"/>
  <c r="H3414" i="2"/>
  <c r="F3414" i="2"/>
  <c r="H3411" i="2"/>
  <c r="F3411" i="2"/>
  <c r="H3409" i="2"/>
  <c r="F3409" i="2"/>
  <c r="H3408" i="2"/>
  <c r="F3408" i="2"/>
  <c r="H3406" i="2"/>
  <c r="F3406" i="2"/>
  <c r="H3405" i="2"/>
  <c r="F3405" i="2"/>
  <c r="H3404" i="2"/>
  <c r="F3404" i="2"/>
  <c r="H3401" i="2"/>
  <c r="F3401" i="2"/>
  <c r="H3399" i="2"/>
  <c r="F3399" i="2"/>
  <c r="H3398" i="2"/>
  <c r="F3398" i="2"/>
  <c r="H3396" i="2"/>
  <c r="F3396" i="2"/>
  <c r="H3395" i="2"/>
  <c r="F3395" i="2"/>
  <c r="F3394" i="2"/>
  <c r="H3392" i="2"/>
  <c r="F3392" i="2"/>
  <c r="H3391" i="2"/>
  <c r="F3391" i="2"/>
  <c r="H3390" i="2"/>
  <c r="F3390" i="2"/>
  <c r="H3389" i="2"/>
  <c r="F3389" i="2"/>
  <c r="H3388" i="2"/>
  <c r="F3388" i="2"/>
  <c r="H3387" i="2"/>
  <c r="F3387" i="2"/>
  <c r="H3386" i="2"/>
  <c r="F3386" i="2"/>
  <c r="H3385" i="2"/>
  <c r="F3385" i="2"/>
  <c r="H3384" i="2"/>
  <c r="F3384" i="2"/>
  <c r="H3383" i="2"/>
  <c r="F3383" i="2"/>
  <c r="H3382" i="2"/>
  <c r="F3382" i="2"/>
  <c r="H3381" i="2"/>
  <c r="F3381" i="2"/>
  <c r="H3380" i="2"/>
  <c r="F3380" i="2"/>
  <c r="H3379" i="2"/>
  <c r="F3379" i="2"/>
  <c r="H3376" i="2"/>
  <c r="F3376" i="2"/>
  <c r="H3375" i="2"/>
  <c r="F3375" i="2"/>
  <c r="H3374" i="2"/>
  <c r="F3374" i="2"/>
  <c r="H3373" i="2"/>
  <c r="F3373" i="2"/>
  <c r="H3372" i="2"/>
  <c r="F3372" i="2"/>
  <c r="H3371" i="2"/>
  <c r="F3371" i="2"/>
  <c r="H3370" i="2"/>
  <c r="F3370" i="2"/>
  <c r="H3369" i="2"/>
  <c r="F3369" i="2"/>
  <c r="H3368" i="2"/>
  <c r="F3368" i="2"/>
  <c r="H3367" i="2"/>
  <c r="F3367" i="2"/>
  <c r="H3366" i="2"/>
  <c r="F3366" i="2"/>
  <c r="H3365" i="2"/>
  <c r="F3365" i="2"/>
  <c r="H3364" i="2"/>
  <c r="F3364" i="2"/>
  <c r="H3363" i="2"/>
  <c r="F3363" i="2"/>
  <c r="F3359" i="2"/>
  <c r="F3358" i="2"/>
  <c r="F3357" i="2"/>
  <c r="F3355" i="2"/>
  <c r="F3352" i="2"/>
  <c r="F3351" i="2"/>
  <c r="F3349" i="2"/>
  <c r="F3348" i="2"/>
  <c r="H3347" i="2"/>
  <c r="F3347" i="2"/>
  <c r="F3344" i="2"/>
  <c r="F3343" i="2"/>
  <c r="F3342" i="2"/>
  <c r="F3339" i="2"/>
  <c r="F3338" i="2"/>
  <c r="F3337" i="2"/>
  <c r="F3336" i="2"/>
  <c r="F3335" i="2"/>
  <c r="F3334" i="2"/>
  <c r="F3333" i="2"/>
  <c r="F3332" i="2"/>
  <c r="F3331" i="2"/>
  <c r="F3330" i="2"/>
  <c r="F3329" i="2"/>
  <c r="H3327" i="2"/>
  <c r="F3327" i="2"/>
  <c r="H3326" i="2"/>
  <c r="F3326" i="2"/>
  <c r="H3325" i="2"/>
  <c r="F3325" i="2"/>
  <c r="F3324" i="2"/>
  <c r="F3323" i="2"/>
  <c r="F3321" i="2"/>
  <c r="D3320" i="2"/>
  <c r="F3320" i="2" s="1"/>
  <c r="D3319" i="2"/>
  <c r="F3319" i="2" s="1"/>
  <c r="D3318" i="2"/>
  <c r="F3318" i="2" s="1"/>
  <c r="D3317" i="2"/>
  <c r="F3317" i="2" s="1"/>
  <c r="D3316" i="2"/>
  <c r="F3316" i="2" s="1"/>
  <c r="D3315" i="2"/>
  <c r="F3315" i="2" s="1"/>
  <c r="H3313" i="2"/>
  <c r="D3313" i="2"/>
  <c r="F3313" i="2" s="1"/>
  <c r="H3312" i="2"/>
  <c r="D3312" i="2"/>
  <c r="F3312" i="2" s="1"/>
  <c r="F3310" i="2"/>
  <c r="F3309" i="2"/>
  <c r="H3307" i="2"/>
  <c r="E3307" i="2"/>
  <c r="F3307" i="2" s="1"/>
  <c r="H3306" i="2"/>
  <c r="E3306" i="2"/>
  <c r="F3306" i="2" s="1"/>
  <c r="H3305" i="2"/>
  <c r="F3305" i="2"/>
  <c r="E3305" i="2"/>
  <c r="H3304" i="2"/>
  <c r="E3304" i="2"/>
  <c r="F3304" i="2" s="1"/>
  <c r="H3303" i="2"/>
  <c r="E3303" i="2"/>
  <c r="F3303" i="2" s="1"/>
  <c r="H3302" i="2"/>
  <c r="E3302" i="2"/>
  <c r="F3302" i="2" s="1"/>
  <c r="H3301" i="2"/>
  <c r="E3301" i="2"/>
  <c r="F3301" i="2" s="1"/>
  <c r="H3300" i="2"/>
  <c r="E3300" i="2"/>
  <c r="F3300" i="2" s="1"/>
  <c r="H3299" i="2"/>
  <c r="E3299" i="2"/>
  <c r="D3299" i="2"/>
  <c r="H3295" i="2"/>
  <c r="F3295" i="2"/>
  <c r="H3294" i="2"/>
  <c r="F3294" i="2"/>
  <c r="H3292" i="2"/>
  <c r="E3292" i="2"/>
  <c r="F3292" i="2" s="1"/>
  <c r="H3291" i="2"/>
  <c r="E3291" i="2"/>
  <c r="F3291" i="2" s="1"/>
  <c r="H3290" i="2"/>
  <c r="E3290" i="2"/>
  <c r="F3290" i="2" s="1"/>
  <c r="H3289" i="2"/>
  <c r="E3289" i="2"/>
  <c r="F3289" i="2" s="1"/>
  <c r="H3288" i="2"/>
  <c r="E3288" i="2"/>
  <c r="F3288" i="2" s="1"/>
  <c r="H3287" i="2"/>
  <c r="E3287" i="2"/>
  <c r="F3287" i="2" s="1"/>
  <c r="H3286" i="2"/>
  <c r="E3286" i="2"/>
  <c r="F3286" i="2" s="1"/>
  <c r="H3285" i="2"/>
  <c r="E3285" i="2"/>
  <c r="F3285" i="2" s="1"/>
  <c r="H3284" i="2"/>
  <c r="F3284" i="2"/>
  <c r="E3284" i="2"/>
  <c r="H3283" i="2"/>
  <c r="E3283" i="2"/>
  <c r="F3283" i="2" s="1"/>
  <c r="H3281" i="2"/>
  <c r="E3281" i="2"/>
  <c r="F3281" i="2" s="1"/>
  <c r="D3281" i="2"/>
  <c r="H3279" i="2"/>
  <c r="E3279" i="2"/>
  <c r="F3279" i="2" s="1"/>
  <c r="H3278" i="2"/>
  <c r="E3278" i="2"/>
  <c r="F3278" i="2" s="1"/>
  <c r="H3276" i="2"/>
  <c r="F3276" i="2"/>
  <c r="E3276" i="2"/>
  <c r="H3275" i="2"/>
  <c r="E3275" i="2"/>
  <c r="F3275" i="2" s="1"/>
  <c r="F3272" i="2"/>
  <c r="F3271" i="2"/>
  <c r="F3270" i="2"/>
  <c r="F3269" i="2"/>
  <c r="F3268" i="2"/>
  <c r="F3267" i="2"/>
  <c r="F3266" i="2"/>
  <c r="F3265" i="2"/>
  <c r="F3264" i="2"/>
  <c r="F3262" i="2"/>
  <c r="F3261" i="2"/>
  <c r="F3260" i="2"/>
  <c r="F3259" i="2"/>
  <c r="F3258" i="2"/>
  <c r="F3256" i="2"/>
  <c r="F3255" i="2"/>
  <c r="H3254" i="2"/>
  <c r="F3254" i="2"/>
  <c r="H3253" i="2"/>
  <c r="F3253" i="2"/>
  <c r="H3252" i="2"/>
  <c r="F3252" i="2"/>
  <c r="H3251" i="2"/>
  <c r="F3251" i="2"/>
  <c r="H3250" i="2"/>
  <c r="F3250" i="2"/>
  <c r="F3248" i="2"/>
  <c r="F3246" i="2"/>
  <c r="F3245" i="2"/>
  <c r="H3243" i="2"/>
  <c r="F3243" i="2"/>
  <c r="H3241" i="2"/>
  <c r="F3241" i="2"/>
  <c r="F3239" i="2"/>
  <c r="F3238" i="2"/>
  <c r="F3237" i="2"/>
  <c r="F3236" i="2"/>
  <c r="F3234" i="2"/>
  <c r="F3233" i="2"/>
  <c r="F3232" i="2"/>
  <c r="F3231" i="2"/>
  <c r="F3230" i="2"/>
  <c r="H3221" i="2"/>
  <c r="H3220" i="2"/>
  <c r="H3219" i="2"/>
  <c r="H3218" i="2"/>
  <c r="H3217" i="2"/>
  <c r="H3215" i="2"/>
  <c r="H3214" i="2"/>
  <c r="H3213" i="2"/>
  <c r="F2989" i="2"/>
  <c r="F2988" i="2"/>
  <c r="F2986" i="2"/>
  <c r="F2982" i="2"/>
  <c r="F2981" i="2"/>
  <c r="F2980" i="2"/>
  <c r="F2971" i="2"/>
  <c r="F2970" i="2"/>
  <c r="F2968" i="2"/>
  <c r="F2956" i="2"/>
  <c r="F2947" i="2"/>
  <c r="F2945" i="2"/>
  <c r="F2944" i="2"/>
  <c r="F2932" i="2"/>
  <c r="F2920" i="2"/>
  <c r="F2913" i="2"/>
  <c r="F2912" i="2"/>
  <c r="F2900" i="2"/>
  <c r="F2888" i="2"/>
  <c r="H2806" i="2"/>
  <c r="H2802" i="2"/>
  <c r="H2801" i="2"/>
  <c r="H2800" i="2"/>
  <c r="H2796" i="2"/>
  <c r="H2795" i="2"/>
  <c r="H2794" i="2"/>
  <c r="H2790" i="2"/>
  <c r="H2789" i="2"/>
  <c r="H2785" i="2"/>
  <c r="H2784" i="2"/>
  <c r="H2783" i="2"/>
  <c r="H2782" i="2"/>
  <c r="H2777" i="2"/>
  <c r="H2773" i="2"/>
  <c r="H2772" i="2"/>
  <c r="H2771" i="2"/>
  <c r="H2767" i="2"/>
  <c r="H2766" i="2"/>
  <c r="H2765" i="2"/>
  <c r="H2764" i="2"/>
  <c r="H2763" i="2"/>
  <c r="H2759" i="2"/>
  <c r="H2758" i="2"/>
  <c r="H2753" i="2"/>
  <c r="H2752" i="2"/>
  <c r="H2751" i="2"/>
  <c r="H2750" i="2"/>
  <c r="H2749" i="2"/>
  <c r="H2748" i="2"/>
  <c r="H2747" i="2"/>
  <c r="F2581" i="2"/>
  <c r="I2579" i="2"/>
  <c r="H2579" i="2"/>
  <c r="E2579" i="2"/>
  <c r="I2573" i="2"/>
  <c r="H2573" i="2"/>
  <c r="F2216" i="2"/>
  <c r="F2210" i="2"/>
  <c r="F2204" i="2"/>
  <c r="F2196" i="2"/>
  <c r="F2006" i="2"/>
  <c r="F1992" i="2"/>
  <c r="F1991" i="2"/>
  <c r="F1982" i="2"/>
  <c r="F1978" i="2"/>
  <c r="F1970" i="2"/>
  <c r="F1967" i="2"/>
  <c r="F1962" i="2"/>
  <c r="F1961" i="2"/>
  <c r="F1960" i="2"/>
  <c r="F1959" i="2"/>
  <c r="F1957" i="2"/>
  <c r="F1955" i="2"/>
  <c r="F1924" i="2"/>
  <c r="F1921" i="2"/>
  <c r="F1905" i="2"/>
  <c r="F1902" i="2"/>
  <c r="F1895" i="2"/>
  <c r="F1894" i="2"/>
  <c r="F1868" i="2"/>
  <c r="F1856" i="2"/>
  <c r="F1842" i="2"/>
  <c r="F1826" i="2"/>
  <c r="F1817" i="2"/>
  <c r="F1815" i="2"/>
  <c r="F1787" i="2"/>
  <c r="F1780" i="2"/>
  <c r="F1774" i="2"/>
  <c r="F1740" i="2"/>
  <c r="F1737" i="2"/>
  <c r="F1728" i="2"/>
  <c r="F1727" i="2"/>
  <c r="F1724" i="2"/>
  <c r="F1719" i="2"/>
  <c r="F1714" i="2"/>
  <c r="F1704" i="2"/>
  <c r="F1691" i="2"/>
  <c r="F1687" i="2"/>
  <c r="F1666" i="2"/>
  <c r="F1665" i="2"/>
  <c r="F1573" i="2"/>
  <c r="F1570" i="2"/>
  <c r="F1565" i="2"/>
  <c r="F1560" i="2"/>
  <c r="F1555" i="2"/>
  <c r="F1548" i="2"/>
  <c r="F1542" i="2"/>
  <c r="F1541" i="2"/>
  <c r="F1537" i="2"/>
  <c r="F1534" i="2"/>
  <c r="F1527" i="2"/>
  <c r="F1520" i="2"/>
  <c r="E1519" i="2"/>
  <c r="F1519" i="2" s="1"/>
  <c r="F1518" i="2"/>
  <c r="F1516" i="2"/>
  <c r="F1508" i="2"/>
  <c r="F1502" i="2"/>
  <c r="F1443" i="2"/>
  <c r="F1440" i="2"/>
  <c r="F1436" i="2"/>
  <c r="F1431" i="2"/>
  <c r="F1429" i="2"/>
  <c r="F1425" i="2"/>
  <c r="F1421" i="2"/>
  <c r="F1417" i="2"/>
  <c r="F1264" i="2"/>
  <c r="F1258" i="2"/>
  <c r="F1251" i="2"/>
  <c r="F1235" i="2"/>
  <c r="F1234" i="2"/>
  <c r="F942" i="2"/>
  <c r="F941" i="2"/>
  <c r="F914" i="2"/>
  <c r="F913" i="2"/>
  <c r="F901" i="2"/>
  <c r="F882" i="2"/>
  <c r="F881" i="2"/>
  <c r="F872" i="2"/>
  <c r="E871" i="2"/>
  <c r="E870" i="2"/>
  <c r="E880" i="2" s="1"/>
  <c r="E869" i="2"/>
  <c r="E879" i="2" s="1"/>
  <c r="E868" i="2"/>
  <c r="E878" i="2" s="1"/>
  <c r="E867" i="2"/>
  <c r="E877" i="2" s="1"/>
  <c r="E866" i="2"/>
  <c r="E876" i="2" s="1"/>
  <c r="E865" i="2"/>
  <c r="E875" i="2" s="1"/>
  <c r="E864" i="2"/>
  <c r="E874" i="2" s="1"/>
  <c r="E863" i="2"/>
  <c r="E873" i="2" s="1"/>
  <c r="F862" i="2"/>
  <c r="F861" i="2"/>
  <c r="E837" i="2"/>
  <c r="E836" i="2"/>
  <c r="E835" i="2"/>
  <c r="E834" i="2"/>
  <c r="E833" i="2"/>
  <c r="E832" i="2"/>
  <c r="E831" i="2"/>
  <c r="E830" i="2"/>
  <c r="E829" i="2"/>
  <c r="E769" i="2"/>
  <c r="E768" i="2"/>
  <c r="E767" i="2"/>
  <c r="E766" i="2"/>
  <c r="F765" i="2"/>
  <c r="F750" i="2"/>
  <c r="F749" i="2"/>
  <c r="E695" i="2"/>
  <c r="E687" i="2"/>
  <c r="E686" i="2"/>
  <c r="E685" i="2"/>
  <c r="E683" i="2"/>
  <c r="E697" i="2" s="1"/>
  <c r="E682" i="2"/>
  <c r="E696" i="2" s="1"/>
  <c r="E681" i="2"/>
  <c r="E680" i="2"/>
  <c r="E694" i="2" s="1"/>
  <c r="E679" i="2"/>
  <c r="E693" i="2" s="1"/>
  <c r="E678" i="2"/>
  <c r="E692" i="2" s="1"/>
  <c r="E677" i="2"/>
  <c r="E691" i="2" s="1"/>
  <c r="E676" i="2"/>
  <c r="E690" i="2" s="1"/>
  <c r="E675" i="2"/>
  <c r="E689" i="2" s="1"/>
  <c r="E674" i="2"/>
  <c r="E688" i="2" s="1"/>
  <c r="E673" i="2"/>
  <c r="F564" i="2"/>
  <c r="F563" i="2"/>
  <c r="F553" i="2"/>
  <c r="F468" i="2"/>
  <c r="F449" i="2"/>
  <c r="F445" i="2"/>
  <c r="F442" i="2"/>
  <c r="F441" i="2"/>
  <c r="F440" i="2"/>
  <c r="F433" i="2"/>
  <c r="F427" i="2"/>
  <c r="F375" i="2"/>
  <c r="F371" i="2"/>
  <c r="F360" i="2"/>
  <c r="F356" i="2"/>
  <c r="F355" i="2"/>
  <c r="F352" i="2"/>
  <c r="F348" i="2"/>
  <c r="F347" i="2"/>
  <c r="F336" i="2"/>
  <c r="F321" i="2"/>
  <c r="F231" i="2"/>
  <c r="F230" i="2"/>
  <c r="F217" i="2"/>
  <c r="F198" i="2"/>
  <c r="F190" i="2"/>
  <c r="F181" i="2"/>
  <c r="F159" i="2"/>
  <c r="F150" i="2"/>
  <c r="F137" i="2"/>
  <c r="F3299" i="2" l="1"/>
  <c r="N650" i="46"/>
  <c r="N651" i="46"/>
  <c r="N652" i="46"/>
  <c r="N653" i="46"/>
  <c r="N654" i="46"/>
  <c r="N655" i="46"/>
  <c r="N656" i="46"/>
  <c r="N657" i="46"/>
  <c r="N658" i="46"/>
  <c r="P650" i="46"/>
  <c r="P651" i="46"/>
  <c r="P652" i="46"/>
  <c r="P653" i="46"/>
  <c r="P654" i="46"/>
  <c r="P655" i="46"/>
  <c r="P656" i="46"/>
  <c r="P657" i="46"/>
  <c r="P658" i="46"/>
  <c r="C4627" i="2"/>
  <c r="C4626" i="2"/>
  <c r="C4630" i="2"/>
  <c r="C4625" i="2" l="1"/>
  <c r="O860" i="1" l="1"/>
  <c r="P860" i="1" s="1"/>
  <c r="O859" i="1"/>
  <c r="P859" i="1" s="1"/>
  <c r="O858" i="1"/>
  <c r="P858" i="1" s="1"/>
  <c r="O857" i="1"/>
  <c r="P857" i="1" s="1"/>
  <c r="O856" i="1"/>
  <c r="P856" i="1" s="1"/>
  <c r="O855" i="1"/>
  <c r="P855" i="1" s="1"/>
  <c r="O854" i="1"/>
  <c r="P854" i="1" s="1"/>
  <c r="O853" i="1"/>
  <c r="P853" i="1" s="1"/>
  <c r="O852" i="1"/>
  <c r="P852" i="1" s="1"/>
  <c r="O851" i="1"/>
  <c r="P851" i="1" s="1"/>
  <c r="O850" i="1"/>
  <c r="P850" i="1" s="1"/>
  <c r="O849" i="1"/>
  <c r="P849" i="1" s="1"/>
  <c r="O848" i="1"/>
  <c r="P848" i="1" s="1"/>
  <c r="M848" i="1"/>
  <c r="F848" i="1"/>
  <c r="O847" i="1"/>
  <c r="Q847" i="1" s="1"/>
  <c r="M847" i="1"/>
  <c r="E847" i="1"/>
  <c r="F847" i="1" s="1"/>
  <c r="O846" i="1"/>
  <c r="P846" i="1" s="1"/>
  <c r="M846" i="1"/>
  <c r="E846" i="1"/>
  <c r="F846" i="1" s="1"/>
  <c r="C846" i="1"/>
  <c r="O845" i="1"/>
  <c r="Q845" i="1" s="1"/>
  <c r="M845" i="1"/>
  <c r="E845" i="1"/>
  <c r="F845" i="1" s="1"/>
  <c r="C845" i="1"/>
  <c r="O844" i="1"/>
  <c r="N844" i="1" s="1"/>
  <c r="M844" i="1"/>
  <c r="O843" i="1"/>
  <c r="N843" i="1" s="1"/>
  <c r="M843" i="1"/>
  <c r="O842" i="1"/>
  <c r="N842" i="1" s="1"/>
  <c r="M842" i="1"/>
  <c r="O841" i="1"/>
  <c r="P841" i="1" s="1"/>
  <c r="M841" i="1"/>
  <c r="F841" i="1"/>
  <c r="O840" i="1"/>
  <c r="N840" i="1" s="1"/>
  <c r="M840" i="1"/>
  <c r="E840" i="1"/>
  <c r="F840" i="1" s="1"/>
  <c r="C840" i="1"/>
  <c r="O839" i="1"/>
  <c r="P839" i="1" s="1"/>
  <c r="M839" i="1"/>
  <c r="C839" i="1"/>
  <c r="O838" i="1"/>
  <c r="Q838" i="1" s="1"/>
  <c r="M838" i="1"/>
  <c r="C838" i="1"/>
  <c r="O837" i="1"/>
  <c r="N837" i="1" s="1"/>
  <c r="M837" i="1"/>
  <c r="F837" i="1"/>
  <c r="O836" i="1"/>
  <c r="Q836" i="1" s="1"/>
  <c r="M836" i="1"/>
  <c r="O835" i="1"/>
  <c r="Q835" i="1" s="1"/>
  <c r="M835" i="1"/>
  <c r="C835" i="1"/>
  <c r="O834" i="1"/>
  <c r="P834" i="1" s="1"/>
  <c r="M834" i="1"/>
  <c r="O833" i="1"/>
  <c r="N833" i="1" s="1"/>
  <c r="M833" i="1"/>
  <c r="O832" i="1"/>
  <c r="P832" i="1" s="1"/>
  <c r="K832" i="1"/>
  <c r="K833" i="1" s="1"/>
  <c r="K834" i="1" s="1"/>
  <c r="K835" i="1" s="1"/>
  <c r="K836" i="1" s="1"/>
  <c r="K837" i="1" s="1"/>
  <c r="K838" i="1" s="1"/>
  <c r="K839" i="1" s="1"/>
  <c r="O831" i="1"/>
  <c r="Q831" i="1" s="1"/>
  <c r="O830" i="1"/>
  <c r="Q830" i="1" s="1"/>
  <c r="M830" i="1"/>
  <c r="F830" i="1"/>
  <c r="O829" i="1"/>
  <c r="P829" i="1" s="1"/>
  <c r="M829" i="1"/>
  <c r="E829" i="1"/>
  <c r="F829" i="1" s="1"/>
  <c r="O828" i="1"/>
  <c r="P828" i="1" s="1"/>
  <c r="M828" i="1"/>
  <c r="E828" i="1"/>
  <c r="F828" i="1" s="1"/>
  <c r="C828" i="1"/>
  <c r="O827" i="1"/>
  <c r="Q827" i="1" s="1"/>
  <c r="M827" i="1"/>
  <c r="E827" i="1"/>
  <c r="F827" i="1" s="1"/>
  <c r="C827" i="1"/>
  <c r="O826" i="1"/>
  <c r="N826" i="1" s="1"/>
  <c r="M826" i="1"/>
  <c r="O825" i="1"/>
  <c r="N825" i="1" s="1"/>
  <c r="M825" i="1"/>
  <c r="O824" i="1"/>
  <c r="N824" i="1" s="1"/>
  <c r="M824" i="1"/>
  <c r="O823" i="1"/>
  <c r="N823" i="1" s="1"/>
  <c r="M823" i="1"/>
  <c r="F823" i="1"/>
  <c r="O822" i="1"/>
  <c r="N822" i="1" s="1"/>
  <c r="M822" i="1"/>
  <c r="E822" i="1"/>
  <c r="F822" i="1" s="1"/>
  <c r="C822" i="1"/>
  <c r="O821" i="1"/>
  <c r="Q821" i="1" s="1"/>
  <c r="M821" i="1"/>
  <c r="C821" i="1"/>
  <c r="O820" i="1"/>
  <c r="Q820" i="1" s="1"/>
  <c r="M820" i="1"/>
  <c r="C820" i="1"/>
  <c r="O819" i="1"/>
  <c r="N819" i="1" s="1"/>
  <c r="M819" i="1"/>
  <c r="F819" i="1"/>
  <c r="O818" i="1"/>
  <c r="Q818" i="1" s="1"/>
  <c r="M818" i="1"/>
  <c r="O817" i="1"/>
  <c r="N817" i="1" s="1"/>
  <c r="M817" i="1"/>
  <c r="F817" i="1"/>
  <c r="O816" i="1"/>
  <c r="P816" i="1" s="1"/>
  <c r="M816" i="1"/>
  <c r="C816" i="1"/>
  <c r="O815" i="1"/>
  <c r="N815" i="1" s="1"/>
  <c r="M815" i="1"/>
  <c r="O814" i="1"/>
  <c r="Q814" i="1" s="1"/>
  <c r="M814" i="1"/>
  <c r="O813" i="1"/>
  <c r="N813" i="1" s="1"/>
  <c r="K813" i="1"/>
  <c r="K814" i="1" s="1"/>
  <c r="K815" i="1" s="1"/>
  <c r="K816" i="1" s="1"/>
  <c r="K817" i="1" s="1"/>
  <c r="K818" i="1" s="1"/>
  <c r="K819" i="1" s="1"/>
  <c r="K820" i="1" s="1"/>
  <c r="K821" i="1" s="1"/>
  <c r="O812" i="1"/>
  <c r="P812" i="1" s="1"/>
  <c r="O811" i="1"/>
  <c r="P811" i="1" s="1"/>
  <c r="M811" i="1"/>
  <c r="F811" i="1"/>
  <c r="O810" i="1"/>
  <c r="N810" i="1" s="1"/>
  <c r="M810" i="1"/>
  <c r="E810" i="1"/>
  <c r="F810" i="1" s="1"/>
  <c r="O809" i="1"/>
  <c r="N809" i="1" s="1"/>
  <c r="M809" i="1"/>
  <c r="E809" i="1"/>
  <c r="F809" i="1" s="1"/>
  <c r="O808" i="1"/>
  <c r="N808" i="1" s="1"/>
  <c r="M808" i="1"/>
  <c r="E808" i="1"/>
  <c r="F808" i="1" s="1"/>
  <c r="O807" i="1"/>
  <c r="N807" i="1" s="1"/>
  <c r="M807" i="1"/>
  <c r="E807" i="1"/>
  <c r="F807" i="1" s="1"/>
  <c r="C807" i="1"/>
  <c r="O806" i="1"/>
  <c r="P806" i="1" s="1"/>
  <c r="M806" i="1"/>
  <c r="E806" i="1"/>
  <c r="F806" i="1" s="1"/>
  <c r="C806" i="1"/>
  <c r="O805" i="1"/>
  <c r="M805" i="1"/>
  <c r="O804" i="1"/>
  <c r="N804" i="1" s="1"/>
  <c r="M804" i="1"/>
  <c r="O803" i="1"/>
  <c r="M803" i="1"/>
  <c r="O802" i="1"/>
  <c r="Q802" i="1" s="1"/>
  <c r="M802" i="1"/>
  <c r="F802" i="1"/>
  <c r="O801" i="1"/>
  <c r="N801" i="1" s="1"/>
  <c r="M801" i="1"/>
  <c r="E801" i="1"/>
  <c r="F801" i="1" s="1"/>
  <c r="C801" i="1"/>
  <c r="O800" i="1"/>
  <c r="Q800" i="1" s="1"/>
  <c r="M800" i="1"/>
  <c r="C800" i="1"/>
  <c r="O799" i="1"/>
  <c r="P799" i="1" s="1"/>
  <c r="M799" i="1"/>
  <c r="C799" i="1"/>
  <c r="O798" i="1"/>
  <c r="M798" i="1"/>
  <c r="C798" i="1"/>
  <c r="O797" i="1"/>
  <c r="N797" i="1" s="1"/>
  <c r="M797" i="1"/>
  <c r="F797" i="1"/>
  <c r="O796" i="1"/>
  <c r="M796" i="1"/>
  <c r="O795" i="1"/>
  <c r="P795" i="1" s="1"/>
  <c r="M795" i="1"/>
  <c r="C795" i="1"/>
  <c r="O794" i="1"/>
  <c r="P794" i="1" s="1"/>
  <c r="M794" i="1"/>
  <c r="O793" i="1"/>
  <c r="N793" i="1" s="1"/>
  <c r="M793" i="1"/>
  <c r="O792" i="1"/>
  <c r="P792" i="1" s="1"/>
  <c r="K792" i="1"/>
  <c r="K793" i="1" s="1"/>
  <c r="K794" i="1" s="1"/>
  <c r="K795" i="1" s="1"/>
  <c r="O791" i="1"/>
  <c r="O790" i="1"/>
  <c r="M790" i="1"/>
  <c r="F790" i="1"/>
  <c r="O789" i="1"/>
  <c r="P789" i="1" s="1"/>
  <c r="M789" i="1"/>
  <c r="E789" i="1"/>
  <c r="F789" i="1" s="1"/>
  <c r="O788" i="1"/>
  <c r="P788" i="1" s="1"/>
  <c r="M788" i="1"/>
  <c r="E788" i="1"/>
  <c r="F788" i="1" s="1"/>
  <c r="O787" i="1"/>
  <c r="P787" i="1" s="1"/>
  <c r="M787" i="1"/>
  <c r="E787" i="1"/>
  <c r="F787" i="1" s="1"/>
  <c r="O786" i="1"/>
  <c r="P786" i="1" s="1"/>
  <c r="M786" i="1"/>
  <c r="E786" i="1"/>
  <c r="F786" i="1" s="1"/>
  <c r="C786" i="1"/>
  <c r="O785" i="1"/>
  <c r="N785" i="1" s="1"/>
  <c r="M785" i="1"/>
  <c r="E785" i="1"/>
  <c r="F785" i="1" s="1"/>
  <c r="C785" i="1"/>
  <c r="O784" i="1"/>
  <c r="P784" i="1" s="1"/>
  <c r="M784" i="1"/>
  <c r="O783" i="1"/>
  <c r="P783" i="1" s="1"/>
  <c r="M783" i="1"/>
  <c r="O782" i="1"/>
  <c r="N782" i="1" s="1"/>
  <c r="M782" i="1"/>
  <c r="O781" i="1"/>
  <c r="P781" i="1" s="1"/>
  <c r="M781" i="1"/>
  <c r="E781" i="1"/>
  <c r="F781" i="1" s="1"/>
  <c r="C781" i="1"/>
  <c r="O780" i="1"/>
  <c r="Q780" i="1" s="1"/>
  <c r="M780" i="1"/>
  <c r="O779" i="1"/>
  <c r="Q779" i="1" s="1"/>
  <c r="M779" i="1"/>
  <c r="F779" i="1"/>
  <c r="O778" i="1"/>
  <c r="N778" i="1" s="1"/>
  <c r="M778" i="1"/>
  <c r="E778" i="1"/>
  <c r="F778" i="1" s="1"/>
  <c r="C778" i="1"/>
  <c r="O777" i="1"/>
  <c r="P777" i="1" s="1"/>
  <c r="M777" i="1"/>
  <c r="C777" i="1"/>
  <c r="O776" i="1"/>
  <c r="Q776" i="1" s="1"/>
  <c r="M776" i="1"/>
  <c r="C776" i="1"/>
  <c r="O775" i="1"/>
  <c r="Q775" i="1" s="1"/>
  <c r="M775" i="1"/>
  <c r="C775" i="1"/>
  <c r="O774" i="1"/>
  <c r="P774" i="1" s="1"/>
  <c r="M774" i="1"/>
  <c r="F774" i="1"/>
  <c r="O773" i="1"/>
  <c r="N773" i="1" s="1"/>
  <c r="M773" i="1"/>
  <c r="O772" i="1"/>
  <c r="P772" i="1" s="1"/>
  <c r="M772" i="1"/>
  <c r="C772" i="1"/>
  <c r="O771" i="1"/>
  <c r="Q771" i="1" s="1"/>
  <c r="M771" i="1"/>
  <c r="O770" i="1"/>
  <c r="Q770" i="1" s="1"/>
  <c r="M770" i="1"/>
  <c r="O769" i="1"/>
  <c r="Q769" i="1" s="1"/>
  <c r="K769" i="1"/>
  <c r="K770" i="1" s="1"/>
  <c r="K771" i="1" s="1"/>
  <c r="K772" i="1" s="1"/>
  <c r="K773" i="1" s="1"/>
  <c r="K774" i="1" s="1"/>
  <c r="K775" i="1" s="1"/>
  <c r="K776" i="1" s="1"/>
  <c r="K777" i="1" s="1"/>
  <c r="K778" i="1" s="1"/>
  <c r="K779" i="1" s="1"/>
  <c r="K780" i="1" s="1"/>
  <c r="K781" i="1" s="1"/>
  <c r="K782" i="1" s="1"/>
  <c r="K783" i="1" s="1"/>
  <c r="O768" i="1"/>
  <c r="N768" i="1" s="1"/>
  <c r="O767" i="1"/>
  <c r="N767" i="1" s="1"/>
  <c r="M767" i="1"/>
  <c r="F767" i="1"/>
  <c r="O766" i="1"/>
  <c r="Q766" i="1" s="1"/>
  <c r="M766" i="1"/>
  <c r="E766" i="1"/>
  <c r="F766" i="1" s="1"/>
  <c r="O765" i="1"/>
  <c r="Q765" i="1" s="1"/>
  <c r="M765" i="1"/>
  <c r="E765" i="1"/>
  <c r="F765" i="1" s="1"/>
  <c r="C765" i="1"/>
  <c r="O764" i="1"/>
  <c r="N764" i="1" s="1"/>
  <c r="M764" i="1"/>
  <c r="E764" i="1"/>
  <c r="F764" i="1" s="1"/>
  <c r="C764" i="1"/>
  <c r="O763" i="1"/>
  <c r="P763" i="1" s="1"/>
  <c r="M763" i="1"/>
  <c r="O762" i="1"/>
  <c r="Q762" i="1" s="1"/>
  <c r="M762" i="1"/>
  <c r="O761" i="1"/>
  <c r="P761" i="1" s="1"/>
  <c r="M761" i="1"/>
  <c r="O760" i="1"/>
  <c r="Q760" i="1" s="1"/>
  <c r="M760" i="1"/>
  <c r="F760" i="1"/>
  <c r="O759" i="1"/>
  <c r="P759" i="1" s="1"/>
  <c r="M759" i="1"/>
  <c r="E759" i="1"/>
  <c r="F759" i="1" s="1"/>
  <c r="C759" i="1"/>
  <c r="O758" i="1"/>
  <c r="Q758" i="1" s="1"/>
  <c r="M758" i="1"/>
  <c r="C758" i="1"/>
  <c r="O757" i="1"/>
  <c r="N757" i="1" s="1"/>
  <c r="M757" i="1"/>
  <c r="F757" i="1"/>
  <c r="O756" i="1"/>
  <c r="Q756" i="1" s="1"/>
  <c r="M756" i="1"/>
  <c r="O755" i="1"/>
  <c r="P755" i="1" s="1"/>
  <c r="M755" i="1"/>
  <c r="C755" i="1"/>
  <c r="O754" i="1"/>
  <c r="P754" i="1" s="1"/>
  <c r="M754" i="1"/>
  <c r="O753" i="1"/>
  <c r="N753" i="1" s="1"/>
  <c r="M753" i="1"/>
  <c r="O752" i="1"/>
  <c r="P752" i="1" s="1"/>
  <c r="K752" i="1"/>
  <c r="K753" i="1" s="1"/>
  <c r="K754" i="1" s="1"/>
  <c r="K755" i="1" s="1"/>
  <c r="O751" i="1"/>
  <c r="Q751" i="1" s="1"/>
  <c r="O750" i="1"/>
  <c r="Q750" i="1" s="1"/>
  <c r="M750" i="1"/>
  <c r="F750" i="1"/>
  <c r="O749" i="1"/>
  <c r="P749" i="1" s="1"/>
  <c r="M749" i="1"/>
  <c r="E749" i="1"/>
  <c r="F749" i="1" s="1"/>
  <c r="O748" i="1"/>
  <c r="P748" i="1" s="1"/>
  <c r="M748" i="1"/>
  <c r="E748" i="1"/>
  <c r="F748" i="1" s="1"/>
  <c r="C748" i="1"/>
  <c r="O747" i="1"/>
  <c r="Q747" i="1" s="1"/>
  <c r="M747" i="1"/>
  <c r="E747" i="1"/>
  <c r="F747" i="1" s="1"/>
  <c r="C747" i="1"/>
  <c r="O746" i="1"/>
  <c r="N746" i="1" s="1"/>
  <c r="M746" i="1"/>
  <c r="O745" i="1"/>
  <c r="P745" i="1" s="1"/>
  <c r="M745" i="1"/>
  <c r="O744" i="1"/>
  <c r="N744" i="1" s="1"/>
  <c r="M744" i="1"/>
  <c r="O743" i="1"/>
  <c r="P743" i="1" s="1"/>
  <c r="M743" i="1"/>
  <c r="F743" i="1"/>
  <c r="O742" i="1"/>
  <c r="P742" i="1" s="1"/>
  <c r="M742" i="1"/>
  <c r="E742" i="1"/>
  <c r="F742" i="1" s="1"/>
  <c r="C742" i="1"/>
  <c r="O741" i="1"/>
  <c r="P741" i="1" s="1"/>
  <c r="M741" i="1"/>
  <c r="C741" i="1"/>
  <c r="O740" i="1"/>
  <c r="Q740" i="1" s="1"/>
  <c r="M740" i="1"/>
  <c r="C740" i="1"/>
  <c r="O739" i="1"/>
  <c r="Q739" i="1" s="1"/>
  <c r="M739" i="1"/>
  <c r="C739" i="1"/>
  <c r="O738" i="1"/>
  <c r="Q738" i="1" s="1"/>
  <c r="M738" i="1"/>
  <c r="C738" i="1"/>
  <c r="O737" i="1"/>
  <c r="P737" i="1" s="1"/>
  <c r="M737" i="1"/>
  <c r="F737" i="1"/>
  <c r="O736" i="1"/>
  <c r="Q736" i="1" s="1"/>
  <c r="M736" i="1"/>
  <c r="O735" i="1"/>
  <c r="Q735" i="1" s="1"/>
  <c r="M735" i="1"/>
  <c r="C735" i="1"/>
  <c r="O734" i="1"/>
  <c r="N734" i="1" s="1"/>
  <c r="M734" i="1"/>
  <c r="O733" i="1"/>
  <c r="P733" i="1" s="1"/>
  <c r="M733" i="1"/>
  <c r="O732" i="1"/>
  <c r="N732" i="1" s="1"/>
  <c r="K732" i="1"/>
  <c r="K733" i="1" s="1"/>
  <c r="K734" i="1" s="1"/>
  <c r="K735" i="1" s="1"/>
  <c r="K736" i="1" s="1"/>
  <c r="K737" i="1" s="1"/>
  <c r="K738" i="1" s="1"/>
  <c r="O731" i="1"/>
  <c r="N731" i="1" s="1"/>
  <c r="O730" i="1"/>
  <c r="N730" i="1" s="1"/>
  <c r="M730" i="1"/>
  <c r="F730" i="1"/>
  <c r="O729" i="1"/>
  <c r="N729" i="1" s="1"/>
  <c r="M729" i="1"/>
  <c r="E729" i="1"/>
  <c r="F729" i="1" s="1"/>
  <c r="O728" i="1"/>
  <c r="N728" i="1" s="1"/>
  <c r="M728" i="1"/>
  <c r="E728" i="1"/>
  <c r="F728" i="1" s="1"/>
  <c r="C728" i="1"/>
  <c r="O727" i="1"/>
  <c r="P727" i="1" s="1"/>
  <c r="M727" i="1"/>
  <c r="E727" i="1"/>
  <c r="F727" i="1" s="1"/>
  <c r="C727" i="1"/>
  <c r="O726" i="1"/>
  <c r="M726" i="1"/>
  <c r="O725" i="1"/>
  <c r="N725" i="1" s="1"/>
  <c r="M725" i="1"/>
  <c r="O724" i="1"/>
  <c r="M724" i="1"/>
  <c r="O723" i="1"/>
  <c r="N723" i="1" s="1"/>
  <c r="M723" i="1"/>
  <c r="L723" i="1"/>
  <c r="E723" i="1"/>
  <c r="F723" i="1" s="1"/>
  <c r="C723" i="1"/>
  <c r="O722" i="1"/>
  <c r="M722" i="1"/>
  <c r="L722" i="1"/>
  <c r="C722" i="1"/>
  <c r="O721" i="1"/>
  <c r="N721" i="1" s="1"/>
  <c r="M721" i="1"/>
  <c r="E721" i="1"/>
  <c r="F721" i="1" s="1"/>
  <c r="C721" i="1"/>
  <c r="O720" i="1"/>
  <c r="N720" i="1" s="1"/>
  <c r="M720" i="1"/>
  <c r="E720" i="1"/>
  <c r="F720" i="1" s="1"/>
  <c r="C720" i="1"/>
  <c r="O719" i="1"/>
  <c r="Q719" i="1" s="1"/>
  <c r="M719" i="1"/>
  <c r="C719" i="1"/>
  <c r="O718" i="1"/>
  <c r="Q718" i="1" s="1"/>
  <c r="M718" i="1"/>
  <c r="C718" i="1"/>
  <c r="O717" i="1"/>
  <c r="N717" i="1" s="1"/>
  <c r="M717" i="1"/>
  <c r="O716" i="1"/>
  <c r="P716" i="1" s="1"/>
  <c r="M716" i="1"/>
  <c r="O715" i="1"/>
  <c r="N715" i="1" s="1"/>
  <c r="M715" i="1"/>
  <c r="F715" i="1"/>
  <c r="O714" i="1"/>
  <c r="N714" i="1" s="1"/>
  <c r="M714" i="1"/>
  <c r="E714" i="1"/>
  <c r="F714" i="1" s="1"/>
  <c r="C714" i="1"/>
  <c r="O713" i="1"/>
  <c r="Q713" i="1" s="1"/>
  <c r="M713" i="1"/>
  <c r="C713" i="1"/>
  <c r="O712" i="1"/>
  <c r="P712" i="1" s="1"/>
  <c r="M712" i="1"/>
  <c r="C712" i="1"/>
  <c r="O711" i="1"/>
  <c r="N711" i="1" s="1"/>
  <c r="M711" i="1"/>
  <c r="F711" i="1"/>
  <c r="O710" i="1"/>
  <c r="P710" i="1" s="1"/>
  <c r="M710" i="1"/>
  <c r="O709" i="1"/>
  <c r="Q709" i="1" s="1"/>
  <c r="M709" i="1"/>
  <c r="C709" i="1"/>
  <c r="O708" i="1"/>
  <c r="Q708" i="1" s="1"/>
  <c r="M708" i="1"/>
  <c r="O707" i="1"/>
  <c r="N707" i="1" s="1"/>
  <c r="M707" i="1"/>
  <c r="O706" i="1"/>
  <c r="Q706" i="1" s="1"/>
  <c r="K706" i="1"/>
  <c r="K707" i="1" s="1"/>
  <c r="K708" i="1" s="1"/>
  <c r="K709" i="1" s="1"/>
  <c r="O705" i="1"/>
  <c r="P705" i="1" s="1"/>
  <c r="O704" i="1"/>
  <c r="P704" i="1" s="1"/>
  <c r="M704" i="1"/>
  <c r="F704" i="1"/>
  <c r="O703" i="1"/>
  <c r="Q703" i="1" s="1"/>
  <c r="M703" i="1"/>
  <c r="E703" i="1"/>
  <c r="F703" i="1" s="1"/>
  <c r="O702" i="1"/>
  <c r="Q702" i="1" s="1"/>
  <c r="M702" i="1"/>
  <c r="E702" i="1"/>
  <c r="F702" i="1" s="1"/>
  <c r="C702" i="1"/>
  <c r="O701" i="1"/>
  <c r="N701" i="1" s="1"/>
  <c r="M701" i="1"/>
  <c r="E701" i="1"/>
  <c r="F701" i="1" s="1"/>
  <c r="C701" i="1"/>
  <c r="O700" i="1"/>
  <c r="N700" i="1" s="1"/>
  <c r="M700" i="1"/>
  <c r="O699" i="1"/>
  <c r="P699" i="1" s="1"/>
  <c r="M699" i="1"/>
  <c r="O698" i="1"/>
  <c r="N698" i="1" s="1"/>
  <c r="M698" i="1"/>
  <c r="O697" i="1"/>
  <c r="Q697" i="1" s="1"/>
  <c r="M697" i="1"/>
  <c r="L697" i="1"/>
  <c r="E697" i="1"/>
  <c r="F697" i="1" s="1"/>
  <c r="C697" i="1"/>
  <c r="O696" i="1"/>
  <c r="N696" i="1" s="1"/>
  <c r="M696" i="1"/>
  <c r="L696" i="1"/>
  <c r="C696" i="1"/>
  <c r="O695" i="1"/>
  <c r="Q695" i="1" s="1"/>
  <c r="M695" i="1"/>
  <c r="E695" i="1"/>
  <c r="F695" i="1" s="1"/>
  <c r="C695" i="1"/>
  <c r="O694" i="1"/>
  <c r="Q694" i="1" s="1"/>
  <c r="M694" i="1"/>
  <c r="E694" i="1"/>
  <c r="F694" i="1" s="1"/>
  <c r="C694" i="1"/>
  <c r="O693" i="1"/>
  <c r="M693" i="1"/>
  <c r="C693" i="1"/>
  <c r="O692" i="1"/>
  <c r="P692" i="1" s="1"/>
  <c r="M692" i="1"/>
  <c r="C692" i="1"/>
  <c r="O691" i="1"/>
  <c r="P691" i="1" s="1"/>
  <c r="M691" i="1"/>
  <c r="O690" i="1"/>
  <c r="N690" i="1" s="1"/>
  <c r="M690" i="1"/>
  <c r="O689" i="1"/>
  <c r="P689" i="1" s="1"/>
  <c r="M689" i="1"/>
  <c r="F689" i="1"/>
  <c r="O688" i="1"/>
  <c r="Q688" i="1" s="1"/>
  <c r="M688" i="1"/>
  <c r="E688" i="1"/>
  <c r="F688" i="1" s="1"/>
  <c r="C688" i="1"/>
  <c r="O687" i="1"/>
  <c r="P687" i="1" s="1"/>
  <c r="M687" i="1"/>
  <c r="C687" i="1"/>
  <c r="O686" i="1"/>
  <c r="P686" i="1" s="1"/>
  <c r="M686" i="1"/>
  <c r="C686" i="1"/>
  <c r="O685" i="1"/>
  <c r="N685" i="1" s="1"/>
  <c r="M685" i="1"/>
  <c r="F685" i="1"/>
  <c r="O684" i="1"/>
  <c r="P684" i="1" s="1"/>
  <c r="M684" i="1"/>
  <c r="O683" i="1"/>
  <c r="Q683" i="1" s="1"/>
  <c r="M683" i="1"/>
  <c r="C683" i="1"/>
  <c r="O682" i="1"/>
  <c r="P682" i="1" s="1"/>
  <c r="M682" i="1"/>
  <c r="O681" i="1"/>
  <c r="N681" i="1" s="1"/>
  <c r="M681" i="1"/>
  <c r="O680" i="1"/>
  <c r="P680" i="1" s="1"/>
  <c r="K680" i="1"/>
  <c r="K681" i="1" s="1"/>
  <c r="K682" i="1" s="1"/>
  <c r="K683" i="1" s="1"/>
  <c r="O679" i="1"/>
  <c r="N679" i="1" s="1"/>
  <c r="O678" i="1"/>
  <c r="N678" i="1" s="1"/>
  <c r="M678" i="1"/>
  <c r="F678" i="1"/>
  <c r="O677" i="1"/>
  <c r="P677" i="1" s="1"/>
  <c r="M677" i="1"/>
  <c r="E677" i="1"/>
  <c r="F677" i="1" s="1"/>
  <c r="O676" i="1"/>
  <c r="P676" i="1" s="1"/>
  <c r="M676" i="1"/>
  <c r="E676" i="1"/>
  <c r="F676" i="1" s="1"/>
  <c r="C676" i="1"/>
  <c r="O675" i="1"/>
  <c r="P675" i="1" s="1"/>
  <c r="M675" i="1"/>
  <c r="E675" i="1"/>
  <c r="F675" i="1" s="1"/>
  <c r="C675" i="1"/>
  <c r="O674" i="1"/>
  <c r="N674" i="1" s="1"/>
  <c r="M674" i="1"/>
  <c r="O673" i="1"/>
  <c r="P673" i="1" s="1"/>
  <c r="M673" i="1"/>
  <c r="O672" i="1"/>
  <c r="N672" i="1" s="1"/>
  <c r="M672" i="1"/>
  <c r="O671" i="1"/>
  <c r="P671" i="1" s="1"/>
  <c r="M671" i="1"/>
  <c r="L671" i="1"/>
  <c r="E671" i="1"/>
  <c r="F671" i="1" s="1"/>
  <c r="C671" i="1"/>
  <c r="O670" i="1"/>
  <c r="M670" i="1"/>
  <c r="L670" i="1"/>
  <c r="C670" i="1"/>
  <c r="O669" i="1"/>
  <c r="P669" i="1" s="1"/>
  <c r="M669" i="1"/>
  <c r="E669" i="1"/>
  <c r="F669" i="1" s="1"/>
  <c r="C669" i="1"/>
  <c r="O668" i="1"/>
  <c r="Q668" i="1" s="1"/>
  <c r="M668" i="1"/>
  <c r="E668" i="1"/>
  <c r="F668" i="1" s="1"/>
  <c r="C668" i="1"/>
  <c r="O667" i="1"/>
  <c r="Q667" i="1" s="1"/>
  <c r="M667" i="1"/>
  <c r="C667" i="1"/>
  <c r="O666" i="1"/>
  <c r="Q666" i="1" s="1"/>
  <c r="M666" i="1"/>
  <c r="C666" i="1"/>
  <c r="O665" i="1"/>
  <c r="N665" i="1" s="1"/>
  <c r="M665" i="1"/>
  <c r="O664" i="1"/>
  <c r="P664" i="1" s="1"/>
  <c r="M664" i="1"/>
  <c r="O663" i="1"/>
  <c r="N663" i="1" s="1"/>
  <c r="M663" i="1"/>
  <c r="F663" i="1"/>
  <c r="O662" i="1"/>
  <c r="Q662" i="1" s="1"/>
  <c r="M662" i="1"/>
  <c r="E662" i="1"/>
  <c r="F662" i="1" s="1"/>
  <c r="C662" i="1"/>
  <c r="O661" i="1"/>
  <c r="Q661" i="1" s="1"/>
  <c r="M661" i="1"/>
  <c r="C661" i="1"/>
  <c r="O660" i="1"/>
  <c r="P660" i="1" s="1"/>
  <c r="M660" i="1"/>
  <c r="C660" i="1"/>
  <c r="O659" i="1"/>
  <c r="P659" i="1" s="1"/>
  <c r="M659" i="1"/>
  <c r="C659" i="1"/>
  <c r="O658" i="1"/>
  <c r="Q658" i="1" s="1"/>
  <c r="M658" i="1"/>
  <c r="C658" i="1"/>
  <c r="O657" i="1"/>
  <c r="N657" i="1" s="1"/>
  <c r="M657" i="1"/>
  <c r="O656" i="1"/>
  <c r="P656" i="1" s="1"/>
  <c r="M656" i="1"/>
  <c r="O655" i="1"/>
  <c r="Q655" i="1" s="1"/>
  <c r="M655" i="1"/>
  <c r="C655" i="1"/>
  <c r="O654" i="1"/>
  <c r="Q654" i="1" s="1"/>
  <c r="M654" i="1"/>
  <c r="O653" i="1"/>
  <c r="Q653" i="1" s="1"/>
  <c r="M653" i="1"/>
  <c r="O652" i="1"/>
  <c r="P652" i="1" s="1"/>
  <c r="K652" i="1"/>
  <c r="K653" i="1" s="1"/>
  <c r="K654" i="1" s="1"/>
  <c r="K655" i="1" s="1"/>
  <c r="K656" i="1" s="1"/>
  <c r="K657" i="1" s="1"/>
  <c r="K658" i="1" s="1"/>
  <c r="O651" i="1"/>
  <c r="P651" i="1" s="1"/>
  <c r="O650" i="1"/>
  <c r="P650" i="1" s="1"/>
  <c r="M650" i="1"/>
  <c r="F650" i="1"/>
  <c r="O649" i="1"/>
  <c r="P649" i="1" s="1"/>
  <c r="M649" i="1"/>
  <c r="E649" i="1"/>
  <c r="F649" i="1" s="1"/>
  <c r="O648" i="1"/>
  <c r="N648" i="1" s="1"/>
  <c r="M648" i="1"/>
  <c r="E648" i="1"/>
  <c r="F648" i="1" s="1"/>
  <c r="C648" i="1"/>
  <c r="O647" i="1"/>
  <c r="N647" i="1" s="1"/>
  <c r="M647" i="1"/>
  <c r="E647" i="1"/>
  <c r="F647" i="1" s="1"/>
  <c r="C647" i="1"/>
  <c r="O646" i="1"/>
  <c r="N646" i="1" s="1"/>
  <c r="M646" i="1"/>
  <c r="O645" i="1"/>
  <c r="P645" i="1" s="1"/>
  <c r="M645" i="1"/>
  <c r="O644" i="1"/>
  <c r="N644" i="1" s="1"/>
  <c r="M644" i="1"/>
  <c r="O643" i="1"/>
  <c r="P643" i="1" s="1"/>
  <c r="M643" i="1"/>
  <c r="F643" i="1"/>
  <c r="O642" i="1"/>
  <c r="N642" i="1" s="1"/>
  <c r="M642" i="1"/>
  <c r="E642" i="1"/>
  <c r="F642" i="1" s="1"/>
  <c r="C642" i="1"/>
  <c r="O641" i="1"/>
  <c r="Q641" i="1" s="1"/>
  <c r="M641" i="1"/>
  <c r="C641" i="1"/>
  <c r="O640" i="1"/>
  <c r="Q640" i="1" s="1"/>
  <c r="M640" i="1"/>
  <c r="C640" i="1"/>
  <c r="O639" i="1"/>
  <c r="N639" i="1" s="1"/>
  <c r="M639" i="1"/>
  <c r="F639" i="1"/>
  <c r="O638" i="1"/>
  <c r="Q638" i="1" s="1"/>
  <c r="M638" i="1"/>
  <c r="O637" i="1"/>
  <c r="Q637" i="1" s="1"/>
  <c r="M637" i="1"/>
  <c r="C637" i="1"/>
  <c r="O636" i="1"/>
  <c r="P636" i="1" s="1"/>
  <c r="M636" i="1"/>
  <c r="O635" i="1"/>
  <c r="N635" i="1" s="1"/>
  <c r="M635" i="1"/>
  <c r="O634" i="1"/>
  <c r="Q634" i="1" s="1"/>
  <c r="K634" i="1"/>
  <c r="K635" i="1" s="1"/>
  <c r="K636" i="1" s="1"/>
  <c r="K637" i="1" s="1"/>
  <c r="K638" i="1" s="1"/>
  <c r="K639" i="1" s="1"/>
  <c r="K640" i="1" s="1"/>
  <c r="O633" i="1"/>
  <c r="Q633" i="1" s="1"/>
  <c r="O632" i="1"/>
  <c r="Q632" i="1" s="1"/>
  <c r="M632" i="1"/>
  <c r="F632" i="1"/>
  <c r="O631" i="1"/>
  <c r="P631" i="1" s="1"/>
  <c r="M631" i="1"/>
  <c r="E631" i="1"/>
  <c r="F631" i="1" s="1"/>
  <c r="O630" i="1"/>
  <c r="P630" i="1" s="1"/>
  <c r="M630" i="1"/>
  <c r="E630" i="1"/>
  <c r="F630" i="1" s="1"/>
  <c r="C630" i="1"/>
  <c r="O629" i="1"/>
  <c r="N629" i="1" s="1"/>
  <c r="M629" i="1"/>
  <c r="E629" i="1"/>
  <c r="F629" i="1" s="1"/>
  <c r="C629" i="1"/>
  <c r="O628" i="1"/>
  <c r="N628" i="1" s="1"/>
  <c r="M628" i="1"/>
  <c r="O627" i="1"/>
  <c r="Q627" i="1" s="1"/>
  <c r="M627" i="1"/>
  <c r="O626" i="1"/>
  <c r="N626" i="1" s="1"/>
  <c r="M626" i="1"/>
  <c r="O625" i="1"/>
  <c r="Q625" i="1" s="1"/>
  <c r="M625" i="1"/>
  <c r="L625" i="1"/>
  <c r="E625" i="1"/>
  <c r="F625" i="1" s="1"/>
  <c r="C625" i="1"/>
  <c r="O624" i="1"/>
  <c r="N624" i="1" s="1"/>
  <c r="M624" i="1"/>
  <c r="L624" i="1"/>
  <c r="C624" i="1"/>
  <c r="O623" i="1"/>
  <c r="P623" i="1" s="1"/>
  <c r="M623" i="1"/>
  <c r="E623" i="1"/>
  <c r="F623" i="1" s="1"/>
  <c r="C623" i="1"/>
  <c r="O622" i="1"/>
  <c r="N622" i="1" s="1"/>
  <c r="M622" i="1"/>
  <c r="E622" i="1"/>
  <c r="F622" i="1" s="1"/>
  <c r="C622" i="1"/>
  <c r="O621" i="1"/>
  <c r="M621" i="1"/>
  <c r="C621" i="1"/>
  <c r="O620" i="1"/>
  <c r="P620" i="1" s="1"/>
  <c r="M620" i="1"/>
  <c r="C620" i="1"/>
  <c r="O619" i="1"/>
  <c r="P619" i="1" s="1"/>
  <c r="M619" i="1"/>
  <c r="O618" i="1"/>
  <c r="N618" i="1" s="1"/>
  <c r="M618" i="1"/>
  <c r="O617" i="1"/>
  <c r="P617" i="1" s="1"/>
  <c r="M617" i="1"/>
  <c r="F617" i="1"/>
  <c r="O616" i="1"/>
  <c r="N616" i="1" s="1"/>
  <c r="M616" i="1"/>
  <c r="E616" i="1"/>
  <c r="F616" i="1" s="1"/>
  <c r="C616" i="1"/>
  <c r="O615" i="1"/>
  <c r="Q615" i="1" s="1"/>
  <c r="M615" i="1"/>
  <c r="C615" i="1"/>
  <c r="O614" i="1"/>
  <c r="Q614" i="1" s="1"/>
  <c r="M614" i="1"/>
  <c r="C614" i="1"/>
  <c r="O613" i="1"/>
  <c r="N613" i="1" s="1"/>
  <c r="M613" i="1"/>
  <c r="F613" i="1"/>
  <c r="O612" i="1"/>
  <c r="Q612" i="1" s="1"/>
  <c r="M612" i="1"/>
  <c r="O611" i="1"/>
  <c r="Q611" i="1" s="1"/>
  <c r="M611" i="1"/>
  <c r="C611" i="1"/>
  <c r="O610" i="1"/>
  <c r="P610" i="1" s="1"/>
  <c r="M610" i="1"/>
  <c r="O609" i="1"/>
  <c r="N609" i="1" s="1"/>
  <c r="M609" i="1"/>
  <c r="O608" i="1"/>
  <c r="Q608" i="1" s="1"/>
  <c r="K608" i="1"/>
  <c r="K609" i="1" s="1"/>
  <c r="K610" i="1" s="1"/>
  <c r="K611" i="1" s="1"/>
  <c r="K612" i="1" s="1"/>
  <c r="K613" i="1" s="1"/>
  <c r="K614" i="1" s="1"/>
  <c r="O607" i="1"/>
  <c r="Q607" i="1" s="1"/>
  <c r="O606" i="1"/>
  <c r="Q606" i="1" s="1"/>
  <c r="M606" i="1"/>
  <c r="F606" i="1"/>
  <c r="O605" i="1"/>
  <c r="P605" i="1" s="1"/>
  <c r="M605" i="1"/>
  <c r="E605" i="1"/>
  <c r="F605" i="1" s="1"/>
  <c r="O604" i="1"/>
  <c r="P604" i="1" s="1"/>
  <c r="M604" i="1"/>
  <c r="E604" i="1"/>
  <c r="F604" i="1" s="1"/>
  <c r="C604" i="1"/>
  <c r="O603" i="1"/>
  <c r="N603" i="1" s="1"/>
  <c r="M603" i="1"/>
  <c r="E603" i="1"/>
  <c r="F603" i="1" s="1"/>
  <c r="C603" i="1"/>
  <c r="O602" i="1"/>
  <c r="N602" i="1" s="1"/>
  <c r="M602" i="1"/>
  <c r="O601" i="1"/>
  <c r="Q601" i="1" s="1"/>
  <c r="M601" i="1"/>
  <c r="O600" i="1"/>
  <c r="N600" i="1" s="1"/>
  <c r="M600" i="1"/>
  <c r="O599" i="1"/>
  <c r="P599" i="1" s="1"/>
  <c r="M599" i="1"/>
  <c r="L599" i="1"/>
  <c r="E599" i="1"/>
  <c r="F599" i="1" s="1"/>
  <c r="C599" i="1"/>
  <c r="O598" i="1"/>
  <c r="M598" i="1"/>
  <c r="L598" i="1"/>
  <c r="C598" i="1"/>
  <c r="O597" i="1"/>
  <c r="P597" i="1" s="1"/>
  <c r="M597" i="1"/>
  <c r="E597" i="1"/>
  <c r="F597" i="1" s="1"/>
  <c r="C597" i="1"/>
  <c r="O596" i="1"/>
  <c r="N596" i="1" s="1"/>
  <c r="M596" i="1"/>
  <c r="E596" i="1"/>
  <c r="F596" i="1" s="1"/>
  <c r="C596" i="1"/>
  <c r="O595" i="1"/>
  <c r="P595" i="1" s="1"/>
  <c r="M595" i="1"/>
  <c r="C595" i="1"/>
  <c r="O594" i="1"/>
  <c r="P594" i="1" s="1"/>
  <c r="M594" i="1"/>
  <c r="C594" i="1"/>
  <c r="O593" i="1"/>
  <c r="P593" i="1" s="1"/>
  <c r="M593" i="1"/>
  <c r="O592" i="1"/>
  <c r="Q592" i="1" s="1"/>
  <c r="M592" i="1"/>
  <c r="O591" i="1"/>
  <c r="P591" i="1" s="1"/>
  <c r="M591" i="1"/>
  <c r="F591" i="1"/>
  <c r="O590" i="1"/>
  <c r="N590" i="1" s="1"/>
  <c r="M590" i="1"/>
  <c r="E590" i="1"/>
  <c r="F590" i="1" s="1"/>
  <c r="C590" i="1"/>
  <c r="O589" i="1"/>
  <c r="P589" i="1" s="1"/>
  <c r="M589" i="1"/>
  <c r="C589" i="1"/>
  <c r="O588" i="1"/>
  <c r="P588" i="1" s="1"/>
  <c r="M588" i="1"/>
  <c r="C588" i="1"/>
  <c r="O587" i="1"/>
  <c r="Q587" i="1" s="1"/>
  <c r="M587" i="1"/>
  <c r="F587" i="1"/>
  <c r="O586" i="1"/>
  <c r="N586" i="1" s="1"/>
  <c r="M586" i="1"/>
  <c r="O585" i="1"/>
  <c r="P585" i="1" s="1"/>
  <c r="M585" i="1"/>
  <c r="C585" i="1"/>
  <c r="O584" i="1"/>
  <c r="N584" i="1" s="1"/>
  <c r="M584" i="1"/>
  <c r="O583" i="1"/>
  <c r="N583" i="1" s="1"/>
  <c r="M583" i="1"/>
  <c r="O582" i="1"/>
  <c r="N582" i="1" s="1"/>
  <c r="K582" i="1"/>
  <c r="K583" i="1" s="1"/>
  <c r="K584" i="1" s="1"/>
  <c r="K585" i="1" s="1"/>
  <c r="O581" i="1"/>
  <c r="N581" i="1" s="1"/>
  <c r="O580" i="1"/>
  <c r="N580" i="1" s="1"/>
  <c r="M580" i="1"/>
  <c r="F580" i="1"/>
  <c r="O579" i="1"/>
  <c r="N579" i="1" s="1"/>
  <c r="M579" i="1"/>
  <c r="E579" i="1"/>
  <c r="F579" i="1" s="1"/>
  <c r="O578" i="1"/>
  <c r="N578" i="1" s="1"/>
  <c r="M578" i="1"/>
  <c r="E578" i="1"/>
  <c r="F578" i="1" s="1"/>
  <c r="C578" i="1"/>
  <c r="O577" i="1"/>
  <c r="P577" i="1" s="1"/>
  <c r="M577" i="1"/>
  <c r="E577" i="1"/>
  <c r="F577" i="1" s="1"/>
  <c r="C577" i="1"/>
  <c r="O576" i="1"/>
  <c r="N576" i="1" s="1"/>
  <c r="M576" i="1"/>
  <c r="O575" i="1"/>
  <c r="Q575" i="1" s="1"/>
  <c r="M575" i="1"/>
  <c r="O574" i="1"/>
  <c r="N574" i="1" s="1"/>
  <c r="M574" i="1"/>
  <c r="O573" i="1"/>
  <c r="N573" i="1" s="1"/>
  <c r="M573" i="1"/>
  <c r="L573" i="1"/>
  <c r="E573" i="1"/>
  <c r="F573" i="1" s="1"/>
  <c r="C573" i="1"/>
  <c r="O572" i="1"/>
  <c r="Q572" i="1" s="1"/>
  <c r="M572" i="1"/>
  <c r="L572" i="1"/>
  <c r="C572" i="1"/>
  <c r="O571" i="1"/>
  <c r="N571" i="1" s="1"/>
  <c r="M571" i="1"/>
  <c r="E571" i="1"/>
  <c r="F571" i="1" s="1"/>
  <c r="C571" i="1"/>
  <c r="O570" i="1"/>
  <c r="P570" i="1" s="1"/>
  <c r="M570" i="1"/>
  <c r="E570" i="1"/>
  <c r="F570" i="1" s="1"/>
  <c r="C570" i="1"/>
  <c r="O569" i="1"/>
  <c r="Q569" i="1" s="1"/>
  <c r="M569" i="1"/>
  <c r="C569" i="1"/>
  <c r="O568" i="1"/>
  <c r="Q568" i="1" s="1"/>
  <c r="M568" i="1"/>
  <c r="C568" i="1"/>
  <c r="O567" i="1"/>
  <c r="M567" i="1"/>
  <c r="C567" i="1"/>
  <c r="O566" i="1"/>
  <c r="Q566" i="1" s="1"/>
  <c r="M566" i="1"/>
  <c r="O565" i="1"/>
  <c r="Q565" i="1" s="1"/>
  <c r="M565" i="1"/>
  <c r="O564" i="1"/>
  <c r="Q564" i="1" s="1"/>
  <c r="M564" i="1"/>
  <c r="F564" i="1"/>
  <c r="O563" i="1"/>
  <c r="N563" i="1" s="1"/>
  <c r="M563" i="1"/>
  <c r="E563" i="1"/>
  <c r="F563" i="1" s="1"/>
  <c r="C563" i="1"/>
  <c r="O562" i="1"/>
  <c r="Q562" i="1" s="1"/>
  <c r="M562" i="1"/>
  <c r="C562" i="1"/>
  <c r="O561" i="1"/>
  <c r="Q561" i="1" s="1"/>
  <c r="M561" i="1"/>
  <c r="C561" i="1"/>
  <c r="O560" i="1"/>
  <c r="N560" i="1" s="1"/>
  <c r="M560" i="1"/>
  <c r="F560" i="1"/>
  <c r="O559" i="1"/>
  <c r="P559" i="1" s="1"/>
  <c r="M559" i="1"/>
  <c r="O558" i="1"/>
  <c r="M558" i="1"/>
  <c r="C558" i="1"/>
  <c r="O557" i="1"/>
  <c r="M557" i="1"/>
  <c r="O556" i="1"/>
  <c r="P556" i="1" s="1"/>
  <c r="M556" i="1"/>
  <c r="O555" i="1"/>
  <c r="Q555" i="1" s="1"/>
  <c r="K555" i="1"/>
  <c r="K556" i="1" s="1"/>
  <c r="K557" i="1" s="1"/>
  <c r="K558" i="1" s="1"/>
  <c r="K559" i="1" s="1"/>
  <c r="K560" i="1" s="1"/>
  <c r="K561" i="1" s="1"/>
  <c r="K562" i="1" s="1"/>
  <c r="O554" i="1"/>
  <c r="P554" i="1" s="1"/>
  <c r="O553" i="1"/>
  <c r="P553" i="1" s="1"/>
  <c r="M553" i="1"/>
  <c r="F553" i="1"/>
  <c r="O552" i="1"/>
  <c r="Q552" i="1" s="1"/>
  <c r="M552" i="1"/>
  <c r="E552" i="1"/>
  <c r="F552" i="1" s="1"/>
  <c r="O551" i="1"/>
  <c r="Q551" i="1" s="1"/>
  <c r="M551" i="1"/>
  <c r="E551" i="1"/>
  <c r="F551" i="1" s="1"/>
  <c r="C551" i="1"/>
  <c r="O550" i="1"/>
  <c r="Q550" i="1" s="1"/>
  <c r="M550" i="1"/>
  <c r="E550" i="1"/>
  <c r="F550" i="1" s="1"/>
  <c r="C550" i="1"/>
  <c r="O549" i="1"/>
  <c r="P549" i="1" s="1"/>
  <c r="M549" i="1"/>
  <c r="O548" i="1"/>
  <c r="Q548" i="1" s="1"/>
  <c r="M548" i="1"/>
  <c r="O547" i="1"/>
  <c r="Q547" i="1" s="1"/>
  <c r="M547" i="1"/>
  <c r="O546" i="1"/>
  <c r="Q546" i="1" s="1"/>
  <c r="M546" i="1"/>
  <c r="L546" i="1"/>
  <c r="E546" i="1"/>
  <c r="F546" i="1" s="1"/>
  <c r="C546" i="1"/>
  <c r="O545" i="1"/>
  <c r="M545" i="1"/>
  <c r="L545" i="1"/>
  <c r="C545" i="1"/>
  <c r="O544" i="1"/>
  <c r="P544" i="1" s="1"/>
  <c r="M544" i="1"/>
  <c r="E544" i="1"/>
  <c r="F544" i="1" s="1"/>
  <c r="C544" i="1"/>
  <c r="O543" i="1"/>
  <c r="Q543" i="1" s="1"/>
  <c r="M543" i="1"/>
  <c r="E543" i="1"/>
  <c r="F543" i="1" s="1"/>
  <c r="C543" i="1"/>
  <c r="O542" i="1"/>
  <c r="M542" i="1"/>
  <c r="C542" i="1"/>
  <c r="O541" i="1"/>
  <c r="Q541" i="1" s="1"/>
  <c r="M541" i="1"/>
  <c r="C541" i="1"/>
  <c r="O540" i="1"/>
  <c r="P540" i="1" s="1"/>
  <c r="M540" i="1"/>
  <c r="C540" i="1"/>
  <c r="O539" i="1"/>
  <c r="Q539" i="1" s="1"/>
  <c r="M539" i="1"/>
  <c r="O538" i="1"/>
  <c r="P538" i="1" s="1"/>
  <c r="M538" i="1"/>
  <c r="O537" i="1"/>
  <c r="Q537" i="1" s="1"/>
  <c r="M537" i="1"/>
  <c r="F537" i="1"/>
  <c r="O536" i="1"/>
  <c r="P536" i="1" s="1"/>
  <c r="M536" i="1"/>
  <c r="E536" i="1"/>
  <c r="F536" i="1" s="1"/>
  <c r="C536" i="1"/>
  <c r="O535" i="1"/>
  <c r="Q535" i="1" s="1"/>
  <c r="M535" i="1"/>
  <c r="C535" i="1"/>
  <c r="O534" i="1"/>
  <c r="Q534" i="1" s="1"/>
  <c r="M534" i="1"/>
  <c r="C534" i="1"/>
  <c r="O533" i="1"/>
  <c r="P533" i="1" s="1"/>
  <c r="M533" i="1"/>
  <c r="C533" i="1"/>
  <c r="O532" i="1"/>
  <c r="P532" i="1" s="1"/>
  <c r="M532" i="1"/>
  <c r="C532" i="1"/>
  <c r="O531" i="1"/>
  <c r="Q531" i="1" s="1"/>
  <c r="M531" i="1"/>
  <c r="F531" i="1"/>
  <c r="O530" i="1"/>
  <c r="P530" i="1" s="1"/>
  <c r="M530" i="1"/>
  <c r="O529" i="1"/>
  <c r="M529" i="1"/>
  <c r="C529" i="1"/>
  <c r="O528" i="1"/>
  <c r="N528" i="1" s="1"/>
  <c r="M528" i="1"/>
  <c r="O527" i="1"/>
  <c r="Q527" i="1" s="1"/>
  <c r="M527" i="1"/>
  <c r="O526" i="1"/>
  <c r="P526" i="1" s="1"/>
  <c r="K526" i="1"/>
  <c r="K527" i="1" s="1"/>
  <c r="K528" i="1" s="1"/>
  <c r="K529" i="1" s="1"/>
  <c r="O525" i="1"/>
  <c r="O524" i="1"/>
  <c r="P524" i="1" s="1"/>
  <c r="M524" i="1"/>
  <c r="E524" i="1"/>
  <c r="F524" i="1" s="1"/>
  <c r="O523" i="1"/>
  <c r="P523" i="1" s="1"/>
  <c r="M523" i="1"/>
  <c r="O522" i="1"/>
  <c r="P522" i="1" s="1"/>
  <c r="M522" i="1"/>
  <c r="E522" i="1"/>
  <c r="F522" i="1" s="1"/>
  <c r="C522" i="1"/>
  <c r="O521" i="1"/>
  <c r="Q521" i="1" s="1"/>
  <c r="M521" i="1"/>
  <c r="E521" i="1"/>
  <c r="F521" i="1" s="1"/>
  <c r="C521" i="1"/>
  <c r="O520" i="1"/>
  <c r="N520" i="1" s="1"/>
  <c r="M520" i="1"/>
  <c r="O519" i="1"/>
  <c r="M519" i="1"/>
  <c r="O518" i="1"/>
  <c r="N518" i="1" s="1"/>
  <c r="M518" i="1"/>
  <c r="O517" i="1"/>
  <c r="P517" i="1" s="1"/>
  <c r="M517" i="1"/>
  <c r="F517" i="1"/>
  <c r="O516" i="1"/>
  <c r="Q516" i="1" s="1"/>
  <c r="M516" i="1"/>
  <c r="E516" i="1"/>
  <c r="F516" i="1" s="1"/>
  <c r="C516" i="1"/>
  <c r="O515" i="1"/>
  <c r="P515" i="1" s="1"/>
  <c r="M515" i="1"/>
  <c r="C515" i="1"/>
  <c r="O514" i="1"/>
  <c r="Q514" i="1" s="1"/>
  <c r="M514" i="1"/>
  <c r="C514" i="1"/>
  <c r="O513" i="1"/>
  <c r="Q513" i="1" s="1"/>
  <c r="M513" i="1"/>
  <c r="C513" i="1"/>
  <c r="O512" i="1"/>
  <c r="P512" i="1" s="1"/>
  <c r="M512" i="1"/>
  <c r="C512" i="1"/>
  <c r="O511" i="1"/>
  <c r="M511" i="1"/>
  <c r="O510" i="1"/>
  <c r="N510" i="1" s="1"/>
  <c r="M510" i="1"/>
  <c r="O509" i="1"/>
  <c r="P509" i="1" s="1"/>
  <c r="M509" i="1"/>
  <c r="C509" i="1"/>
  <c r="O508" i="1"/>
  <c r="Q508" i="1" s="1"/>
  <c r="M508" i="1"/>
  <c r="O507" i="1"/>
  <c r="P507" i="1" s="1"/>
  <c r="M507" i="1"/>
  <c r="O506" i="1"/>
  <c r="Q506" i="1" s="1"/>
  <c r="K506" i="1"/>
  <c r="K507" i="1" s="1"/>
  <c r="K508" i="1" s="1"/>
  <c r="K509" i="1" s="1"/>
  <c r="O505" i="1"/>
  <c r="N505" i="1" s="1"/>
  <c r="O504" i="1"/>
  <c r="N504" i="1" s="1"/>
  <c r="M504" i="1"/>
  <c r="F504" i="1"/>
  <c r="O503" i="1"/>
  <c r="Q503" i="1" s="1"/>
  <c r="M503" i="1"/>
  <c r="E503" i="1"/>
  <c r="F503" i="1" s="1"/>
  <c r="O502" i="1"/>
  <c r="Q502" i="1" s="1"/>
  <c r="M502" i="1"/>
  <c r="E502" i="1"/>
  <c r="F502" i="1" s="1"/>
  <c r="C502" i="1"/>
  <c r="O501" i="1"/>
  <c r="P501" i="1" s="1"/>
  <c r="M501" i="1"/>
  <c r="E501" i="1"/>
  <c r="F501" i="1" s="1"/>
  <c r="C501" i="1"/>
  <c r="O500" i="1"/>
  <c r="P500" i="1" s="1"/>
  <c r="M500" i="1"/>
  <c r="O499" i="1"/>
  <c r="Q499" i="1" s="1"/>
  <c r="M499" i="1"/>
  <c r="O498" i="1"/>
  <c r="P498" i="1" s="1"/>
  <c r="M498" i="1"/>
  <c r="O497" i="1"/>
  <c r="Q497" i="1" s="1"/>
  <c r="M497" i="1"/>
  <c r="F497" i="1"/>
  <c r="O496" i="1"/>
  <c r="P496" i="1" s="1"/>
  <c r="M496" i="1"/>
  <c r="E496" i="1"/>
  <c r="F496" i="1" s="1"/>
  <c r="C496" i="1"/>
  <c r="O495" i="1"/>
  <c r="Q495" i="1" s="1"/>
  <c r="M495" i="1"/>
  <c r="C495" i="1"/>
  <c r="O494" i="1"/>
  <c r="Q494" i="1" s="1"/>
  <c r="M494" i="1"/>
  <c r="C494" i="1"/>
  <c r="O493" i="1"/>
  <c r="N493" i="1" s="1"/>
  <c r="M493" i="1"/>
  <c r="F493" i="1"/>
  <c r="O492" i="1"/>
  <c r="Q492" i="1" s="1"/>
  <c r="M492" i="1"/>
  <c r="O491" i="1"/>
  <c r="P491" i="1" s="1"/>
  <c r="M491" i="1"/>
  <c r="C491" i="1"/>
  <c r="O490" i="1"/>
  <c r="Q490" i="1" s="1"/>
  <c r="M490" i="1"/>
  <c r="O489" i="1"/>
  <c r="N489" i="1" s="1"/>
  <c r="M489" i="1"/>
  <c r="K489" i="1"/>
  <c r="K490" i="1" s="1"/>
  <c r="K491" i="1" s="1"/>
  <c r="O488" i="1"/>
  <c r="Q488" i="1" s="1"/>
  <c r="K488" i="1"/>
  <c r="O487" i="1"/>
  <c r="N487" i="1" s="1"/>
  <c r="O486" i="1"/>
  <c r="M486" i="1"/>
  <c r="F486" i="1"/>
  <c r="O485" i="1"/>
  <c r="Q485" i="1" s="1"/>
  <c r="M485" i="1"/>
  <c r="E485" i="1"/>
  <c r="F485" i="1" s="1"/>
  <c r="O484" i="1"/>
  <c r="Q484" i="1" s="1"/>
  <c r="M484" i="1"/>
  <c r="E484" i="1"/>
  <c r="F484" i="1" s="1"/>
  <c r="C484" i="1"/>
  <c r="O483" i="1"/>
  <c r="N483" i="1" s="1"/>
  <c r="M483" i="1"/>
  <c r="E483" i="1"/>
  <c r="F483" i="1" s="1"/>
  <c r="C483" i="1"/>
  <c r="O482" i="1"/>
  <c r="P482" i="1" s="1"/>
  <c r="M482" i="1"/>
  <c r="O481" i="1"/>
  <c r="Q481" i="1" s="1"/>
  <c r="M481" i="1"/>
  <c r="O480" i="1"/>
  <c r="N480" i="1" s="1"/>
  <c r="M480" i="1"/>
  <c r="O479" i="1"/>
  <c r="Q479" i="1" s="1"/>
  <c r="M479" i="1"/>
  <c r="L479" i="1"/>
  <c r="E479" i="1"/>
  <c r="F479" i="1" s="1"/>
  <c r="C479" i="1"/>
  <c r="O478" i="1"/>
  <c r="N478" i="1" s="1"/>
  <c r="M478" i="1"/>
  <c r="L478" i="1"/>
  <c r="C478" i="1"/>
  <c r="O477" i="1"/>
  <c r="Q477" i="1" s="1"/>
  <c r="M477" i="1"/>
  <c r="E477" i="1"/>
  <c r="F477" i="1" s="1"/>
  <c r="C477" i="1"/>
  <c r="O476" i="1"/>
  <c r="Q476" i="1" s="1"/>
  <c r="M476" i="1"/>
  <c r="E476" i="1"/>
  <c r="F476" i="1" s="1"/>
  <c r="C476" i="1"/>
  <c r="O475" i="1"/>
  <c r="Q475" i="1" s="1"/>
  <c r="M475" i="1"/>
  <c r="C475" i="1"/>
  <c r="O474" i="1"/>
  <c r="Q474" i="1" s="1"/>
  <c r="M474" i="1"/>
  <c r="C474" i="1"/>
  <c r="O473" i="1"/>
  <c r="Q473" i="1" s="1"/>
  <c r="M473" i="1"/>
  <c r="F473" i="1"/>
  <c r="O472" i="1"/>
  <c r="Q472" i="1" s="1"/>
  <c r="M472" i="1"/>
  <c r="O471" i="1"/>
  <c r="P471" i="1" s="1"/>
  <c r="M471" i="1"/>
  <c r="F471" i="1"/>
  <c r="O470" i="1"/>
  <c r="Q470" i="1" s="1"/>
  <c r="M470" i="1"/>
  <c r="E470" i="1"/>
  <c r="F470" i="1" s="1"/>
  <c r="C470" i="1"/>
  <c r="O469" i="1"/>
  <c r="Q469" i="1" s="1"/>
  <c r="M469" i="1"/>
  <c r="C469" i="1"/>
  <c r="O468" i="1"/>
  <c r="Q468" i="1" s="1"/>
  <c r="M468" i="1"/>
  <c r="C468" i="1"/>
  <c r="O467" i="1"/>
  <c r="Q467" i="1" s="1"/>
  <c r="M467" i="1"/>
  <c r="F467" i="1"/>
  <c r="O466" i="1"/>
  <c r="N466" i="1" s="1"/>
  <c r="M466" i="1"/>
  <c r="O465" i="1"/>
  <c r="Q465" i="1" s="1"/>
  <c r="M465" i="1"/>
  <c r="C465" i="1"/>
  <c r="O464" i="1"/>
  <c r="P464" i="1" s="1"/>
  <c r="M464" i="1"/>
  <c r="O463" i="1"/>
  <c r="Q463" i="1" s="1"/>
  <c r="M463" i="1"/>
  <c r="O462" i="1"/>
  <c r="N462" i="1" s="1"/>
  <c r="K462" i="1"/>
  <c r="K463" i="1" s="1"/>
  <c r="K464" i="1" s="1"/>
  <c r="K465" i="1" s="1"/>
  <c r="K466" i="1" s="1"/>
  <c r="K467" i="1" s="1"/>
  <c r="K468" i="1" s="1"/>
  <c r="K469" i="1" s="1"/>
  <c r="O461" i="1"/>
  <c r="N461" i="1" s="1"/>
  <c r="O460" i="1"/>
  <c r="N460" i="1" s="1"/>
  <c r="M460" i="1"/>
  <c r="F460" i="1"/>
  <c r="O459" i="1"/>
  <c r="N459" i="1" s="1"/>
  <c r="M459" i="1"/>
  <c r="E459" i="1"/>
  <c r="F459" i="1" s="1"/>
  <c r="O458" i="1"/>
  <c r="Q458" i="1" s="1"/>
  <c r="M458" i="1"/>
  <c r="E458" i="1"/>
  <c r="F458" i="1" s="1"/>
  <c r="C458" i="1"/>
  <c r="O457" i="1"/>
  <c r="N457" i="1" s="1"/>
  <c r="M457" i="1"/>
  <c r="E457" i="1"/>
  <c r="F457" i="1" s="1"/>
  <c r="C457" i="1"/>
  <c r="O456" i="1"/>
  <c r="Q456" i="1" s="1"/>
  <c r="M456" i="1"/>
  <c r="O455" i="1"/>
  <c r="N455" i="1" s="1"/>
  <c r="M455" i="1"/>
  <c r="O454" i="1"/>
  <c r="Q454" i="1" s="1"/>
  <c r="M454" i="1"/>
  <c r="O453" i="1"/>
  <c r="N453" i="1" s="1"/>
  <c r="M453" i="1"/>
  <c r="L453" i="1"/>
  <c r="E453" i="1"/>
  <c r="F453" i="1" s="1"/>
  <c r="C453" i="1"/>
  <c r="O452" i="1"/>
  <c r="P452" i="1" s="1"/>
  <c r="M452" i="1"/>
  <c r="L452" i="1"/>
  <c r="C452" i="1"/>
  <c r="O451" i="1"/>
  <c r="N451" i="1" s="1"/>
  <c r="M451" i="1"/>
  <c r="E451" i="1"/>
  <c r="F451" i="1" s="1"/>
  <c r="C451" i="1"/>
  <c r="O450" i="1"/>
  <c r="N450" i="1" s="1"/>
  <c r="M450" i="1"/>
  <c r="E450" i="1"/>
  <c r="F450" i="1" s="1"/>
  <c r="C450" i="1"/>
  <c r="O449" i="1"/>
  <c r="Q449" i="1" s="1"/>
  <c r="M449" i="1"/>
  <c r="C449" i="1"/>
  <c r="O448" i="1"/>
  <c r="Q448" i="1" s="1"/>
  <c r="M448" i="1"/>
  <c r="C448" i="1"/>
  <c r="O447" i="1"/>
  <c r="P447" i="1" s="1"/>
  <c r="M447" i="1"/>
  <c r="F447" i="1"/>
  <c r="O446" i="1"/>
  <c r="N446" i="1" s="1"/>
  <c r="M446" i="1"/>
  <c r="O445" i="1"/>
  <c r="P445" i="1" s="1"/>
  <c r="M445" i="1"/>
  <c r="F445" i="1"/>
  <c r="O444" i="1"/>
  <c r="N444" i="1" s="1"/>
  <c r="M444" i="1"/>
  <c r="E444" i="1"/>
  <c r="F444" i="1" s="1"/>
  <c r="C444" i="1"/>
  <c r="O443" i="1"/>
  <c r="P443" i="1" s="1"/>
  <c r="M443" i="1"/>
  <c r="C443" i="1"/>
  <c r="O442" i="1"/>
  <c r="P442" i="1" s="1"/>
  <c r="M442" i="1"/>
  <c r="C442" i="1"/>
  <c r="O441" i="1"/>
  <c r="P441" i="1" s="1"/>
  <c r="M441" i="1"/>
  <c r="F441" i="1"/>
  <c r="O440" i="1"/>
  <c r="N440" i="1" s="1"/>
  <c r="M440" i="1"/>
  <c r="O439" i="1"/>
  <c r="Q439" i="1" s="1"/>
  <c r="M439" i="1"/>
  <c r="C439" i="1"/>
  <c r="O438" i="1"/>
  <c r="P438" i="1" s="1"/>
  <c r="M438" i="1"/>
  <c r="O437" i="1"/>
  <c r="P437" i="1" s="1"/>
  <c r="M437" i="1"/>
  <c r="O436" i="1"/>
  <c r="P436" i="1" s="1"/>
  <c r="K436" i="1"/>
  <c r="K437" i="1" s="1"/>
  <c r="K438" i="1" s="1"/>
  <c r="K439" i="1" s="1"/>
  <c r="O435" i="1"/>
  <c r="N435" i="1" s="1"/>
  <c r="O434" i="1"/>
  <c r="N434" i="1" s="1"/>
  <c r="M434" i="1"/>
  <c r="F434" i="1"/>
  <c r="O433" i="1"/>
  <c r="P433" i="1" s="1"/>
  <c r="M433" i="1"/>
  <c r="E433" i="1"/>
  <c r="F433" i="1" s="1"/>
  <c r="O432" i="1"/>
  <c r="P432" i="1" s="1"/>
  <c r="M432" i="1"/>
  <c r="E432" i="1"/>
  <c r="F432" i="1" s="1"/>
  <c r="C432" i="1"/>
  <c r="O431" i="1"/>
  <c r="Q431" i="1" s="1"/>
  <c r="M431" i="1"/>
  <c r="E431" i="1"/>
  <c r="F431" i="1" s="1"/>
  <c r="C431" i="1"/>
  <c r="O430" i="1"/>
  <c r="N430" i="1" s="1"/>
  <c r="M430" i="1"/>
  <c r="O429" i="1"/>
  <c r="P429" i="1" s="1"/>
  <c r="M429" i="1"/>
  <c r="O428" i="1"/>
  <c r="N428" i="1" s="1"/>
  <c r="M428" i="1"/>
  <c r="O427" i="1"/>
  <c r="P427" i="1" s="1"/>
  <c r="M427" i="1"/>
  <c r="L427" i="1"/>
  <c r="E427" i="1"/>
  <c r="F427" i="1" s="1"/>
  <c r="C427" i="1"/>
  <c r="O426" i="1"/>
  <c r="N426" i="1" s="1"/>
  <c r="M426" i="1"/>
  <c r="L426" i="1"/>
  <c r="C426" i="1"/>
  <c r="O425" i="1"/>
  <c r="P425" i="1" s="1"/>
  <c r="M425" i="1"/>
  <c r="E425" i="1"/>
  <c r="F425" i="1" s="1"/>
  <c r="C425" i="1"/>
  <c r="O424" i="1"/>
  <c r="Q424" i="1" s="1"/>
  <c r="M424" i="1"/>
  <c r="E424" i="1"/>
  <c r="F424" i="1" s="1"/>
  <c r="C424" i="1"/>
  <c r="O423" i="1"/>
  <c r="Q423" i="1" s="1"/>
  <c r="M423" i="1"/>
  <c r="C423" i="1"/>
  <c r="O422" i="1"/>
  <c r="Q422" i="1" s="1"/>
  <c r="M422" i="1"/>
  <c r="C422" i="1"/>
  <c r="O421" i="1"/>
  <c r="P421" i="1" s="1"/>
  <c r="M421" i="1"/>
  <c r="F421" i="1"/>
  <c r="O420" i="1"/>
  <c r="Q420" i="1" s="1"/>
  <c r="M420" i="1"/>
  <c r="O419" i="1"/>
  <c r="N419" i="1" s="1"/>
  <c r="M419" i="1"/>
  <c r="F419" i="1"/>
  <c r="O418" i="1"/>
  <c r="P418" i="1" s="1"/>
  <c r="M418" i="1"/>
  <c r="E418" i="1"/>
  <c r="F418" i="1" s="1"/>
  <c r="C418" i="1"/>
  <c r="O417" i="1"/>
  <c r="Q417" i="1" s="1"/>
  <c r="M417" i="1"/>
  <c r="C417" i="1"/>
  <c r="O416" i="1"/>
  <c r="M416" i="1"/>
  <c r="C416" i="1"/>
  <c r="O415" i="1"/>
  <c r="N415" i="1" s="1"/>
  <c r="M415" i="1"/>
  <c r="F415" i="1"/>
  <c r="O414" i="1"/>
  <c r="N414" i="1" s="1"/>
  <c r="M414" i="1"/>
  <c r="O413" i="1"/>
  <c r="P413" i="1" s="1"/>
  <c r="M413" i="1"/>
  <c r="C413" i="1"/>
  <c r="O412" i="1"/>
  <c r="Q412" i="1" s="1"/>
  <c r="M412" i="1"/>
  <c r="O411" i="1"/>
  <c r="N411" i="1" s="1"/>
  <c r="M411" i="1"/>
  <c r="O410" i="1"/>
  <c r="Q410" i="1" s="1"/>
  <c r="K410" i="1"/>
  <c r="K411" i="1" s="1"/>
  <c r="K412" i="1" s="1"/>
  <c r="K413" i="1" s="1"/>
  <c r="K414" i="1" s="1"/>
  <c r="K415" i="1" s="1"/>
  <c r="K416" i="1" s="1"/>
  <c r="K417" i="1" s="1"/>
  <c r="O409" i="1"/>
  <c r="N409" i="1" s="1"/>
  <c r="O408" i="1"/>
  <c r="N408" i="1" s="1"/>
  <c r="M408" i="1"/>
  <c r="F408" i="1"/>
  <c r="O407" i="1"/>
  <c r="Q407" i="1" s="1"/>
  <c r="M407" i="1"/>
  <c r="E407" i="1"/>
  <c r="F407" i="1" s="1"/>
  <c r="O406" i="1"/>
  <c r="Q406" i="1" s="1"/>
  <c r="M406" i="1"/>
  <c r="E406" i="1"/>
  <c r="F406" i="1" s="1"/>
  <c r="C406" i="1"/>
  <c r="O405" i="1"/>
  <c r="N405" i="1" s="1"/>
  <c r="M405" i="1"/>
  <c r="E405" i="1"/>
  <c r="F405" i="1" s="1"/>
  <c r="C405" i="1"/>
  <c r="O404" i="1"/>
  <c r="Q404" i="1" s="1"/>
  <c r="M404" i="1"/>
  <c r="O403" i="1"/>
  <c r="N403" i="1" s="1"/>
  <c r="M403" i="1"/>
  <c r="O402" i="1"/>
  <c r="Q402" i="1" s="1"/>
  <c r="M402" i="1"/>
  <c r="O401" i="1"/>
  <c r="P401" i="1" s="1"/>
  <c r="M401" i="1"/>
  <c r="F401" i="1"/>
  <c r="O400" i="1"/>
  <c r="P400" i="1" s="1"/>
  <c r="M400" i="1"/>
  <c r="E400" i="1"/>
  <c r="F400" i="1" s="1"/>
  <c r="C400" i="1"/>
  <c r="O399" i="1"/>
  <c r="Q399" i="1" s="1"/>
  <c r="M399" i="1"/>
  <c r="C399" i="1"/>
  <c r="O398" i="1"/>
  <c r="Q398" i="1" s="1"/>
  <c r="M398" i="1"/>
  <c r="C398" i="1"/>
  <c r="O397" i="1"/>
  <c r="Q397" i="1" s="1"/>
  <c r="M397" i="1"/>
  <c r="F397" i="1"/>
  <c r="O396" i="1"/>
  <c r="N396" i="1" s="1"/>
  <c r="M396" i="1"/>
  <c r="O395" i="1"/>
  <c r="P395" i="1" s="1"/>
  <c r="M395" i="1"/>
  <c r="C395" i="1"/>
  <c r="O394" i="1"/>
  <c r="Q394" i="1" s="1"/>
  <c r="M394" i="1"/>
  <c r="O393" i="1"/>
  <c r="N393" i="1" s="1"/>
  <c r="M393" i="1"/>
  <c r="O392" i="1"/>
  <c r="Q392" i="1" s="1"/>
  <c r="K392" i="1"/>
  <c r="K393" i="1" s="1"/>
  <c r="K394" i="1" s="1"/>
  <c r="K395" i="1" s="1"/>
  <c r="K396" i="1" s="1"/>
  <c r="K397" i="1" s="1"/>
  <c r="K398" i="1" s="1"/>
  <c r="K399" i="1" s="1"/>
  <c r="O391" i="1"/>
  <c r="N391" i="1" s="1"/>
  <c r="O390" i="1"/>
  <c r="M390" i="1"/>
  <c r="C390" i="1"/>
  <c r="O389" i="1"/>
  <c r="Q389" i="1" s="1"/>
  <c r="M389" i="1"/>
  <c r="E389" i="1"/>
  <c r="F389" i="1" s="1"/>
  <c r="C389" i="1"/>
  <c r="O388" i="1"/>
  <c r="P388" i="1" s="1"/>
  <c r="M388" i="1"/>
  <c r="E388" i="1"/>
  <c r="F388" i="1" s="1"/>
  <c r="C388" i="1"/>
  <c r="O387" i="1"/>
  <c r="Q387" i="1" s="1"/>
  <c r="M387" i="1"/>
  <c r="O386" i="1"/>
  <c r="P386" i="1" s="1"/>
  <c r="M386" i="1"/>
  <c r="O385" i="1"/>
  <c r="Q385" i="1" s="1"/>
  <c r="M385" i="1"/>
  <c r="O384" i="1"/>
  <c r="Q384" i="1" s="1"/>
  <c r="M384" i="1"/>
  <c r="C384" i="1"/>
  <c r="O383" i="1"/>
  <c r="P383" i="1" s="1"/>
  <c r="M383" i="1"/>
  <c r="E383" i="1"/>
  <c r="F383" i="1" s="1"/>
  <c r="C383" i="1"/>
  <c r="O382" i="1"/>
  <c r="Q382" i="1" s="1"/>
  <c r="M382" i="1"/>
  <c r="C382" i="1"/>
  <c r="O381" i="1"/>
  <c r="Q381" i="1" s="1"/>
  <c r="M381" i="1"/>
  <c r="C381" i="1"/>
  <c r="O380" i="1"/>
  <c r="N380" i="1" s="1"/>
  <c r="M380" i="1"/>
  <c r="F380" i="1"/>
  <c r="O379" i="1"/>
  <c r="N379" i="1" s="1"/>
  <c r="M379" i="1"/>
  <c r="O378" i="1"/>
  <c r="P378" i="1" s="1"/>
  <c r="M378" i="1"/>
  <c r="C378" i="1"/>
  <c r="O377" i="1"/>
  <c r="Q377" i="1" s="1"/>
  <c r="M377" i="1"/>
  <c r="O376" i="1"/>
  <c r="P376" i="1" s="1"/>
  <c r="M376" i="1"/>
  <c r="O375" i="1"/>
  <c r="Q375" i="1" s="1"/>
  <c r="K375" i="1"/>
  <c r="K376" i="1" s="1"/>
  <c r="K377" i="1" s="1"/>
  <c r="K378" i="1" s="1"/>
  <c r="K379" i="1" s="1"/>
  <c r="K380" i="1" s="1"/>
  <c r="K381" i="1" s="1"/>
  <c r="K382" i="1" s="1"/>
  <c r="O374" i="1"/>
  <c r="N374" i="1" s="1"/>
  <c r="O373" i="1"/>
  <c r="M373" i="1"/>
  <c r="C373" i="1"/>
  <c r="O372" i="1"/>
  <c r="Q372" i="1" s="1"/>
  <c r="M372" i="1"/>
  <c r="E372" i="1"/>
  <c r="F372" i="1" s="1"/>
  <c r="C372" i="1"/>
  <c r="O371" i="1"/>
  <c r="P371" i="1" s="1"/>
  <c r="M371" i="1"/>
  <c r="E371" i="1"/>
  <c r="F371" i="1" s="1"/>
  <c r="C371" i="1"/>
  <c r="O370" i="1"/>
  <c r="Q370" i="1" s="1"/>
  <c r="M370" i="1"/>
  <c r="O369" i="1"/>
  <c r="N369" i="1" s="1"/>
  <c r="M369" i="1"/>
  <c r="O368" i="1"/>
  <c r="Q368" i="1" s="1"/>
  <c r="M368" i="1"/>
  <c r="O367" i="1"/>
  <c r="Q367" i="1" s="1"/>
  <c r="M367" i="1"/>
  <c r="C367" i="1"/>
  <c r="O366" i="1"/>
  <c r="P366" i="1" s="1"/>
  <c r="M366" i="1"/>
  <c r="E366" i="1"/>
  <c r="F366" i="1" s="1"/>
  <c r="C366" i="1"/>
  <c r="O365" i="1"/>
  <c r="Q365" i="1" s="1"/>
  <c r="M365" i="1"/>
  <c r="C365" i="1"/>
  <c r="O364" i="1"/>
  <c r="Q364" i="1" s="1"/>
  <c r="M364" i="1"/>
  <c r="C364" i="1"/>
  <c r="O363" i="1"/>
  <c r="N363" i="1" s="1"/>
  <c r="M363" i="1"/>
  <c r="F363" i="1"/>
  <c r="O362" i="1"/>
  <c r="N362" i="1" s="1"/>
  <c r="M362" i="1"/>
  <c r="O361" i="1"/>
  <c r="P361" i="1" s="1"/>
  <c r="M361" i="1"/>
  <c r="C361" i="1"/>
  <c r="O360" i="1"/>
  <c r="Q360" i="1" s="1"/>
  <c r="M360" i="1"/>
  <c r="O359" i="1"/>
  <c r="Q359" i="1" s="1"/>
  <c r="M359" i="1"/>
  <c r="O358" i="1"/>
  <c r="Q358" i="1" s="1"/>
  <c r="K358" i="1"/>
  <c r="K359" i="1" s="1"/>
  <c r="K360" i="1" s="1"/>
  <c r="K361" i="1" s="1"/>
  <c r="K362" i="1" s="1"/>
  <c r="K363" i="1" s="1"/>
  <c r="K364" i="1" s="1"/>
  <c r="K365" i="1" s="1"/>
  <c r="O357" i="1"/>
  <c r="N357" i="1" s="1"/>
  <c r="O356" i="1"/>
  <c r="Q356" i="1" s="1"/>
  <c r="M356" i="1"/>
  <c r="C356" i="1"/>
  <c r="O355" i="1"/>
  <c r="Q355" i="1" s="1"/>
  <c r="M355" i="1"/>
  <c r="E355" i="1"/>
  <c r="F355" i="1" s="1"/>
  <c r="C355" i="1"/>
  <c r="O354" i="1"/>
  <c r="P354" i="1" s="1"/>
  <c r="M354" i="1"/>
  <c r="E354" i="1"/>
  <c r="F354" i="1" s="1"/>
  <c r="C354" i="1"/>
  <c r="O353" i="1"/>
  <c r="Q353" i="1" s="1"/>
  <c r="M353" i="1"/>
  <c r="O352" i="1"/>
  <c r="Q352" i="1" s="1"/>
  <c r="M352" i="1"/>
  <c r="O351" i="1"/>
  <c r="Q351" i="1" s="1"/>
  <c r="M351" i="1"/>
  <c r="O350" i="1"/>
  <c r="P350" i="1" s="1"/>
  <c r="M350" i="1"/>
  <c r="C350" i="1"/>
  <c r="O349" i="1"/>
  <c r="P349" i="1" s="1"/>
  <c r="M349" i="1"/>
  <c r="E349" i="1"/>
  <c r="F349" i="1" s="1"/>
  <c r="C349" i="1"/>
  <c r="O348" i="1"/>
  <c r="Q348" i="1" s="1"/>
  <c r="M348" i="1"/>
  <c r="C348" i="1"/>
  <c r="O347" i="1"/>
  <c r="Q347" i="1" s="1"/>
  <c r="M347" i="1"/>
  <c r="C347" i="1"/>
  <c r="O346" i="1"/>
  <c r="P346" i="1" s="1"/>
  <c r="M346" i="1"/>
  <c r="F346" i="1"/>
  <c r="O345" i="1"/>
  <c r="N345" i="1" s="1"/>
  <c r="M345" i="1"/>
  <c r="O344" i="1"/>
  <c r="M344" i="1"/>
  <c r="C344" i="1"/>
  <c r="O343" i="1"/>
  <c r="Q343" i="1" s="1"/>
  <c r="M343" i="1"/>
  <c r="O342" i="1"/>
  <c r="N342" i="1" s="1"/>
  <c r="M342" i="1"/>
  <c r="O341" i="1"/>
  <c r="Q341" i="1" s="1"/>
  <c r="K341" i="1"/>
  <c r="K342" i="1" s="1"/>
  <c r="K343" i="1" s="1"/>
  <c r="K344" i="1" s="1"/>
  <c r="K345" i="1" s="1"/>
  <c r="K346" i="1" s="1"/>
  <c r="K347" i="1" s="1"/>
  <c r="K348" i="1" s="1"/>
  <c r="O340" i="1"/>
  <c r="N340" i="1" s="1"/>
  <c r="O339" i="1"/>
  <c r="Q339" i="1" s="1"/>
  <c r="M339" i="1"/>
  <c r="C339" i="1"/>
  <c r="O338" i="1"/>
  <c r="Q338" i="1" s="1"/>
  <c r="M338" i="1"/>
  <c r="E338" i="1"/>
  <c r="F338" i="1" s="1"/>
  <c r="C338" i="1"/>
  <c r="O337" i="1"/>
  <c r="M337" i="1"/>
  <c r="E337" i="1"/>
  <c r="F337" i="1" s="1"/>
  <c r="C337" i="1"/>
  <c r="O336" i="1"/>
  <c r="Q336" i="1" s="1"/>
  <c r="M336" i="1"/>
  <c r="O335" i="1"/>
  <c r="Q335" i="1" s="1"/>
  <c r="M335" i="1"/>
  <c r="O334" i="1"/>
  <c r="Q334" i="1" s="1"/>
  <c r="M334" i="1"/>
  <c r="O333" i="1"/>
  <c r="M333" i="1"/>
  <c r="C333" i="1"/>
  <c r="O332" i="1"/>
  <c r="M332" i="1"/>
  <c r="E332" i="1"/>
  <c r="F332" i="1" s="1"/>
  <c r="C332" i="1"/>
  <c r="O331" i="1"/>
  <c r="Q331" i="1" s="1"/>
  <c r="M331" i="1"/>
  <c r="C331" i="1"/>
  <c r="O330" i="1"/>
  <c r="Q330" i="1" s="1"/>
  <c r="M330" i="1"/>
  <c r="C330" i="1"/>
  <c r="O329" i="1"/>
  <c r="P329" i="1" s="1"/>
  <c r="M329" i="1"/>
  <c r="F329" i="1"/>
  <c r="O328" i="1"/>
  <c r="Q328" i="1" s="1"/>
  <c r="M328" i="1"/>
  <c r="O327" i="1"/>
  <c r="Q327" i="1" s="1"/>
  <c r="M327" i="1"/>
  <c r="C327" i="1"/>
  <c r="O326" i="1"/>
  <c r="Q326" i="1" s="1"/>
  <c r="M326" i="1"/>
  <c r="O325" i="1"/>
  <c r="P325" i="1" s="1"/>
  <c r="M325" i="1"/>
  <c r="O324" i="1"/>
  <c r="Q324" i="1" s="1"/>
  <c r="K324" i="1"/>
  <c r="K325" i="1" s="1"/>
  <c r="K326" i="1" s="1"/>
  <c r="K327" i="1" s="1"/>
  <c r="K328" i="1" s="1"/>
  <c r="K329" i="1" s="1"/>
  <c r="K330" i="1" s="1"/>
  <c r="K331" i="1" s="1"/>
  <c r="O323" i="1"/>
  <c r="Q323" i="1" s="1"/>
  <c r="O322" i="1"/>
  <c r="M322" i="1"/>
  <c r="C322" i="1"/>
  <c r="O321" i="1"/>
  <c r="Q321" i="1" s="1"/>
  <c r="M321" i="1"/>
  <c r="E321" i="1"/>
  <c r="F321" i="1" s="1"/>
  <c r="C321" i="1"/>
  <c r="O320" i="1"/>
  <c r="Q320" i="1" s="1"/>
  <c r="M320" i="1"/>
  <c r="E320" i="1"/>
  <c r="F320" i="1" s="1"/>
  <c r="C320" i="1"/>
  <c r="O319" i="1"/>
  <c r="Q319" i="1" s="1"/>
  <c r="M319" i="1"/>
  <c r="O318" i="1"/>
  <c r="M318" i="1"/>
  <c r="O317" i="1"/>
  <c r="M317" i="1"/>
  <c r="O316" i="1"/>
  <c r="Q316" i="1" s="1"/>
  <c r="M316" i="1"/>
  <c r="C316" i="1"/>
  <c r="O315" i="1"/>
  <c r="P315" i="1" s="1"/>
  <c r="M315" i="1"/>
  <c r="E315" i="1"/>
  <c r="F315" i="1" s="1"/>
  <c r="C315" i="1"/>
  <c r="O314" i="1"/>
  <c r="Q314" i="1" s="1"/>
  <c r="M314" i="1"/>
  <c r="C314" i="1"/>
  <c r="O313" i="1"/>
  <c r="Q313" i="1" s="1"/>
  <c r="M313" i="1"/>
  <c r="C313" i="1"/>
  <c r="O312" i="1"/>
  <c r="M312" i="1"/>
  <c r="F312" i="1"/>
  <c r="O311" i="1"/>
  <c r="N311" i="1" s="1"/>
  <c r="M311" i="1"/>
  <c r="O310" i="1"/>
  <c r="P310" i="1" s="1"/>
  <c r="M310" i="1"/>
  <c r="C310" i="1"/>
  <c r="O309" i="1"/>
  <c r="Q309" i="1" s="1"/>
  <c r="M309" i="1"/>
  <c r="O308" i="1"/>
  <c r="P308" i="1" s="1"/>
  <c r="M308" i="1"/>
  <c r="O307" i="1"/>
  <c r="Q307" i="1" s="1"/>
  <c r="K307" i="1"/>
  <c r="K308" i="1" s="1"/>
  <c r="K309" i="1" s="1"/>
  <c r="K310" i="1" s="1"/>
  <c r="K311" i="1" s="1"/>
  <c r="K312" i="1" s="1"/>
  <c r="K313" i="1" s="1"/>
  <c r="K314" i="1" s="1"/>
  <c r="O306" i="1"/>
  <c r="N306" i="1" s="1"/>
  <c r="O305" i="1"/>
  <c r="Q305" i="1" s="1"/>
  <c r="M305" i="1"/>
  <c r="C305" i="1"/>
  <c r="O304" i="1"/>
  <c r="P304" i="1" s="1"/>
  <c r="E304" i="1"/>
  <c r="F304" i="1" s="1"/>
  <c r="C304" i="1"/>
  <c r="O303" i="1"/>
  <c r="P303" i="1" s="1"/>
  <c r="E303" i="1"/>
  <c r="F303" i="1" s="1"/>
  <c r="C303" i="1"/>
  <c r="O302" i="1"/>
  <c r="Q302" i="1" s="1"/>
  <c r="O301" i="1"/>
  <c r="O300" i="1"/>
  <c r="O299" i="1"/>
  <c r="Q299" i="1" s="1"/>
  <c r="C299" i="1"/>
  <c r="O298" i="1"/>
  <c r="P298" i="1" s="1"/>
  <c r="E298" i="1"/>
  <c r="F298" i="1" s="1"/>
  <c r="C298" i="1"/>
  <c r="O297" i="1"/>
  <c r="C297" i="1"/>
  <c r="O296" i="1"/>
  <c r="Q296" i="1" s="1"/>
  <c r="C296" i="1"/>
  <c r="O295" i="1"/>
  <c r="F295" i="1"/>
  <c r="O294" i="1"/>
  <c r="N294" i="1" s="1"/>
  <c r="O293" i="1"/>
  <c r="Q293" i="1" s="1"/>
  <c r="C293" i="1"/>
  <c r="O292" i="1"/>
  <c r="N292" i="1" s="1"/>
  <c r="M292" i="1"/>
  <c r="O291" i="1"/>
  <c r="P291" i="1" s="1"/>
  <c r="M291" i="1"/>
  <c r="O290" i="1"/>
  <c r="N290" i="1" s="1"/>
  <c r="K290" i="1"/>
  <c r="K291" i="1" s="1"/>
  <c r="K292" i="1" s="1"/>
  <c r="K293" i="1" s="1"/>
  <c r="O289" i="1"/>
  <c r="O288" i="1"/>
  <c r="N288" i="1" s="1"/>
  <c r="M288" i="1"/>
  <c r="F288" i="1"/>
  <c r="O287" i="1"/>
  <c r="N287" i="1" s="1"/>
  <c r="M287" i="1"/>
  <c r="E287" i="1"/>
  <c r="F287" i="1" s="1"/>
  <c r="O286" i="1"/>
  <c r="N286" i="1" s="1"/>
  <c r="M286" i="1"/>
  <c r="E286" i="1"/>
  <c r="F286" i="1" s="1"/>
  <c r="C286" i="1"/>
  <c r="O285" i="1"/>
  <c r="M285" i="1"/>
  <c r="E285" i="1"/>
  <c r="F285" i="1" s="1"/>
  <c r="C285" i="1"/>
  <c r="O284" i="1"/>
  <c r="P284" i="1" s="1"/>
  <c r="M284" i="1"/>
  <c r="F284" i="1"/>
  <c r="O283" i="1"/>
  <c r="N283" i="1" s="1"/>
  <c r="M283" i="1"/>
  <c r="O282" i="1"/>
  <c r="Q282" i="1" s="1"/>
  <c r="M282" i="1"/>
  <c r="O281" i="1"/>
  <c r="P281" i="1" s="1"/>
  <c r="M281" i="1"/>
  <c r="O280" i="1"/>
  <c r="Q280" i="1" s="1"/>
  <c r="M280" i="1"/>
  <c r="C280" i="1"/>
  <c r="O279" i="1"/>
  <c r="M279" i="1"/>
  <c r="O278" i="1"/>
  <c r="M278" i="1"/>
  <c r="F278" i="1"/>
  <c r="O277" i="1"/>
  <c r="N277" i="1" s="1"/>
  <c r="M277" i="1"/>
  <c r="L277" i="1"/>
  <c r="L278" i="1" s="1"/>
  <c r="L279" i="1" s="1"/>
  <c r="L280" i="1" s="1"/>
  <c r="O276" i="1"/>
  <c r="N276" i="1" s="1"/>
  <c r="M276" i="1"/>
  <c r="O275" i="1"/>
  <c r="P275" i="1" s="1"/>
  <c r="M275" i="1"/>
  <c r="C275" i="1"/>
  <c r="O274" i="1"/>
  <c r="Q274" i="1" s="1"/>
  <c r="M274" i="1"/>
  <c r="C274" i="1"/>
  <c r="O273" i="1"/>
  <c r="N273" i="1" s="1"/>
  <c r="M273" i="1"/>
  <c r="O272" i="1"/>
  <c r="Q272" i="1" s="1"/>
  <c r="M272" i="1"/>
  <c r="O271" i="1"/>
  <c r="M271" i="1"/>
  <c r="C271" i="1"/>
  <c r="O270" i="1"/>
  <c r="Q270" i="1" s="1"/>
  <c r="M270" i="1"/>
  <c r="C270" i="1"/>
  <c r="O269" i="1"/>
  <c r="N269" i="1" s="1"/>
  <c r="M269" i="1"/>
  <c r="O268" i="1"/>
  <c r="N268" i="1" s="1"/>
  <c r="M268" i="1"/>
  <c r="O267" i="1"/>
  <c r="Q267" i="1" s="1"/>
  <c r="M267" i="1"/>
  <c r="F267" i="1"/>
  <c r="O266" i="1"/>
  <c r="N266" i="1" s="1"/>
  <c r="M266" i="1"/>
  <c r="F266" i="1"/>
  <c r="O265" i="1"/>
  <c r="N265" i="1" s="1"/>
  <c r="M265" i="1"/>
  <c r="O264" i="1"/>
  <c r="P264" i="1" s="1"/>
  <c r="M264" i="1"/>
  <c r="E264" i="1"/>
  <c r="F264" i="1" s="1"/>
  <c r="C264" i="1"/>
  <c r="O263" i="1"/>
  <c r="N263" i="1" s="1"/>
  <c r="M263" i="1"/>
  <c r="E263" i="1"/>
  <c r="F263" i="1" s="1"/>
  <c r="C263" i="1"/>
  <c r="O262" i="1"/>
  <c r="M262" i="1"/>
  <c r="E262" i="1"/>
  <c r="F262" i="1" s="1"/>
  <c r="C262" i="1"/>
  <c r="O261" i="1"/>
  <c r="P261" i="1" s="1"/>
  <c r="M261" i="1"/>
  <c r="C261" i="1"/>
  <c r="O260" i="1"/>
  <c r="P260" i="1" s="1"/>
  <c r="M260" i="1"/>
  <c r="C260" i="1"/>
  <c r="O259" i="1"/>
  <c r="Q259" i="1" s="1"/>
  <c r="M259" i="1"/>
  <c r="O258" i="1"/>
  <c r="P258" i="1" s="1"/>
  <c r="M258" i="1"/>
  <c r="C258" i="1"/>
  <c r="O257" i="1"/>
  <c r="P257" i="1" s="1"/>
  <c r="M257" i="1"/>
  <c r="O256" i="1"/>
  <c r="M256" i="1"/>
  <c r="C256" i="1"/>
  <c r="C221" i="1" s="1"/>
  <c r="O255" i="1"/>
  <c r="P255" i="1" s="1"/>
  <c r="M255" i="1"/>
  <c r="O254" i="1"/>
  <c r="Q254" i="1" s="1"/>
  <c r="M254" i="1"/>
  <c r="C254" i="1"/>
  <c r="C225" i="1" s="1"/>
  <c r="O253" i="1"/>
  <c r="N253" i="1" s="1"/>
  <c r="M253" i="1"/>
  <c r="O252" i="1"/>
  <c r="P252" i="1" s="1"/>
  <c r="M252" i="1"/>
  <c r="O251" i="1"/>
  <c r="N251" i="1" s="1"/>
  <c r="M251" i="1"/>
  <c r="O250" i="1"/>
  <c r="P250" i="1" s="1"/>
  <c r="M250" i="1"/>
  <c r="O249" i="1"/>
  <c r="N249" i="1" s="1"/>
  <c r="M249" i="1"/>
  <c r="O248" i="1"/>
  <c r="P248" i="1" s="1"/>
  <c r="M248" i="1"/>
  <c r="O247" i="1"/>
  <c r="N247" i="1" s="1"/>
  <c r="M247" i="1"/>
  <c r="O246" i="1"/>
  <c r="P246" i="1" s="1"/>
  <c r="M246" i="1"/>
  <c r="O245" i="1"/>
  <c r="N245" i="1" s="1"/>
  <c r="M245" i="1"/>
  <c r="O244" i="1"/>
  <c r="P244" i="1" s="1"/>
  <c r="M244" i="1"/>
  <c r="O243" i="1"/>
  <c r="N243" i="1" s="1"/>
  <c r="M243" i="1"/>
  <c r="O242" i="1"/>
  <c r="P242" i="1" s="1"/>
  <c r="M242" i="1"/>
  <c r="O241" i="1"/>
  <c r="N241" i="1" s="1"/>
  <c r="M241" i="1"/>
  <c r="O240" i="1"/>
  <c r="P240" i="1" s="1"/>
  <c r="M240" i="1"/>
  <c r="O239" i="1"/>
  <c r="N239" i="1" s="1"/>
  <c r="M239" i="1"/>
  <c r="O238" i="1"/>
  <c r="P238" i="1" s="1"/>
  <c r="M238" i="1"/>
  <c r="O237" i="1"/>
  <c r="N237" i="1" s="1"/>
  <c r="M237" i="1"/>
  <c r="O236" i="1"/>
  <c r="P236" i="1" s="1"/>
  <c r="M236" i="1"/>
  <c r="O235" i="1"/>
  <c r="N235" i="1" s="1"/>
  <c r="M235" i="1"/>
  <c r="O234" i="1"/>
  <c r="P234" i="1" s="1"/>
  <c r="M234" i="1"/>
  <c r="O233" i="1"/>
  <c r="N233" i="1" s="1"/>
  <c r="M233" i="1"/>
  <c r="O232" i="1"/>
  <c r="P232" i="1" s="1"/>
  <c r="M232" i="1"/>
  <c r="O231" i="1"/>
  <c r="N231" i="1" s="1"/>
  <c r="M231" i="1"/>
  <c r="O230" i="1"/>
  <c r="P230" i="1" s="1"/>
  <c r="M230" i="1"/>
  <c r="O229" i="1"/>
  <c r="N229" i="1" s="1"/>
  <c r="M229" i="1"/>
  <c r="O228" i="1"/>
  <c r="P228" i="1" s="1"/>
  <c r="M228" i="1"/>
  <c r="O227" i="1"/>
  <c r="N227" i="1" s="1"/>
  <c r="M227" i="1"/>
  <c r="O226" i="1"/>
  <c r="P226" i="1" s="1"/>
  <c r="M226" i="1"/>
  <c r="O225" i="1"/>
  <c r="N225" i="1" s="1"/>
  <c r="M225" i="1"/>
  <c r="O224" i="1"/>
  <c r="Q224" i="1" s="1"/>
  <c r="M224" i="1"/>
  <c r="O223" i="1"/>
  <c r="N223" i="1" s="1"/>
  <c r="B223" i="1"/>
  <c r="M223" i="1" s="1"/>
  <c r="O222" i="1"/>
  <c r="N222" i="1" s="1"/>
  <c r="M222" i="1"/>
  <c r="O221" i="1"/>
  <c r="P221" i="1" s="1"/>
  <c r="M221" i="1"/>
  <c r="O220" i="1"/>
  <c r="Q220" i="1" s="1"/>
  <c r="M220" i="1"/>
  <c r="O219" i="1"/>
  <c r="Q219" i="1" s="1"/>
  <c r="B219" i="1"/>
  <c r="M219" i="1" s="1"/>
  <c r="O218" i="1"/>
  <c r="P218" i="1" s="1"/>
  <c r="M218" i="1"/>
  <c r="O217" i="1"/>
  <c r="N217" i="1" s="1"/>
  <c r="M217" i="1"/>
  <c r="O216" i="1"/>
  <c r="P216" i="1" s="1"/>
  <c r="M216" i="1"/>
  <c r="O215" i="1"/>
  <c r="N215" i="1" s="1"/>
  <c r="M215" i="1"/>
  <c r="O214" i="1"/>
  <c r="P214" i="1" s="1"/>
  <c r="M214" i="1"/>
  <c r="O213" i="1"/>
  <c r="N213" i="1" s="1"/>
  <c r="M213" i="1"/>
  <c r="O212" i="1"/>
  <c r="P212" i="1" s="1"/>
  <c r="M212" i="1"/>
  <c r="O211" i="1"/>
  <c r="N211" i="1" s="1"/>
  <c r="M211" i="1"/>
  <c r="O210" i="1"/>
  <c r="P210" i="1" s="1"/>
  <c r="K210" i="1"/>
  <c r="K211" i="1" s="1"/>
  <c r="K212" i="1" s="1"/>
  <c r="K213" i="1" s="1"/>
  <c r="K214" i="1" s="1"/>
  <c r="K215" i="1" s="1"/>
  <c r="K216" i="1" s="1"/>
  <c r="K217" i="1" s="1"/>
  <c r="K218" i="1" s="1"/>
  <c r="K219" i="1" s="1"/>
  <c r="K220" i="1" s="1"/>
  <c r="K221" i="1" s="1"/>
  <c r="K222" i="1" s="1"/>
  <c r="K223" i="1" s="1"/>
  <c r="K224" i="1" s="1"/>
  <c r="K225" i="1" s="1"/>
  <c r="K226" i="1" s="1"/>
  <c r="K227" i="1" s="1"/>
  <c r="K228" i="1" s="1"/>
  <c r="K229" i="1" s="1"/>
  <c r="K230" i="1" s="1"/>
  <c r="K231" i="1" s="1"/>
  <c r="K232" i="1" s="1"/>
  <c r="K233" i="1" s="1"/>
  <c r="K234" i="1" s="1"/>
  <c r="K235" i="1" s="1"/>
  <c r="K236" i="1" s="1"/>
  <c r="K237" i="1" s="1"/>
  <c r="K238" i="1" s="1"/>
  <c r="K239" i="1" s="1"/>
  <c r="K240" i="1" s="1"/>
  <c r="K241" i="1" s="1"/>
  <c r="K242" i="1" s="1"/>
  <c r="K243" i="1" s="1"/>
  <c r="K244" i="1" s="1"/>
  <c r="K245" i="1" s="1"/>
  <c r="K246" i="1" s="1"/>
  <c r="K247" i="1" s="1"/>
  <c r="K248" i="1" s="1"/>
  <c r="K249" i="1" s="1"/>
  <c r="K250" i="1" s="1"/>
  <c r="K251" i="1" s="1"/>
  <c r="K252" i="1" s="1"/>
  <c r="K253" i="1" s="1"/>
  <c r="K254" i="1" s="1"/>
  <c r="O209" i="1"/>
  <c r="Q209" i="1" s="1"/>
  <c r="O208" i="1"/>
  <c r="Q208" i="1" s="1"/>
  <c r="M208" i="1"/>
  <c r="F208" i="1"/>
  <c r="O207" i="1"/>
  <c r="P207" i="1" s="1"/>
  <c r="M207" i="1"/>
  <c r="E207" i="1"/>
  <c r="F207" i="1" s="1"/>
  <c r="O206" i="1"/>
  <c r="P206" i="1" s="1"/>
  <c r="M206" i="1"/>
  <c r="E206" i="1"/>
  <c r="F206" i="1" s="1"/>
  <c r="C206" i="1"/>
  <c r="O205" i="1"/>
  <c r="Q205" i="1" s="1"/>
  <c r="M205" i="1"/>
  <c r="E205" i="1"/>
  <c r="F205" i="1" s="1"/>
  <c r="C205" i="1"/>
  <c r="O204" i="1"/>
  <c r="M204" i="1"/>
  <c r="F204" i="1"/>
  <c r="O203" i="1"/>
  <c r="Q203" i="1" s="1"/>
  <c r="M203" i="1"/>
  <c r="O202" i="1"/>
  <c r="N202" i="1" s="1"/>
  <c r="M202" i="1"/>
  <c r="O201" i="1"/>
  <c r="Q201" i="1" s="1"/>
  <c r="M201" i="1"/>
  <c r="O200" i="1"/>
  <c r="N200" i="1" s="1"/>
  <c r="M200" i="1"/>
  <c r="C200" i="1"/>
  <c r="O199" i="1"/>
  <c r="Q199" i="1" s="1"/>
  <c r="M199" i="1"/>
  <c r="O198" i="1"/>
  <c r="P198" i="1" s="1"/>
  <c r="M198" i="1"/>
  <c r="F198" i="1"/>
  <c r="O197" i="1"/>
  <c r="P197" i="1" s="1"/>
  <c r="M197" i="1"/>
  <c r="L197" i="1"/>
  <c r="L198" i="1" s="1"/>
  <c r="L199" i="1" s="1"/>
  <c r="L200" i="1" s="1"/>
  <c r="O196" i="1"/>
  <c r="P196" i="1" s="1"/>
  <c r="M196" i="1"/>
  <c r="O195" i="1"/>
  <c r="M195" i="1"/>
  <c r="O194" i="1"/>
  <c r="P194" i="1" s="1"/>
  <c r="M194" i="1"/>
  <c r="O193" i="1"/>
  <c r="M193" i="1"/>
  <c r="E193" i="1"/>
  <c r="F193" i="1" s="1"/>
  <c r="C193" i="1"/>
  <c r="O192" i="1"/>
  <c r="P192" i="1" s="1"/>
  <c r="M192" i="1"/>
  <c r="O191" i="1"/>
  <c r="N191" i="1" s="1"/>
  <c r="M191" i="1"/>
  <c r="C191" i="1"/>
  <c r="O190" i="1"/>
  <c r="N190" i="1" s="1"/>
  <c r="M190" i="1"/>
  <c r="O189" i="1"/>
  <c r="P189" i="1" s="1"/>
  <c r="M189" i="1"/>
  <c r="E189" i="1"/>
  <c r="F189" i="1" s="1"/>
  <c r="C189" i="1"/>
  <c r="O188" i="1"/>
  <c r="P188" i="1" s="1"/>
  <c r="M188" i="1"/>
  <c r="C188" i="1"/>
  <c r="O187" i="1"/>
  <c r="P187" i="1" s="1"/>
  <c r="M187" i="1"/>
  <c r="E187" i="1"/>
  <c r="F187" i="1" s="1"/>
  <c r="C187" i="1"/>
  <c r="O186" i="1"/>
  <c r="Q186" i="1" s="1"/>
  <c r="M186" i="1"/>
  <c r="C186" i="1"/>
  <c r="O185" i="1"/>
  <c r="P185" i="1" s="1"/>
  <c r="M185" i="1"/>
  <c r="L185" i="1"/>
  <c r="L186" i="1" s="1"/>
  <c r="L187" i="1" s="1"/>
  <c r="L188" i="1" s="1"/>
  <c r="L189" i="1" s="1"/>
  <c r="L190" i="1" s="1"/>
  <c r="L191" i="1" s="1"/>
  <c r="L192" i="1" s="1"/>
  <c r="L193" i="1" s="1"/>
  <c r="O184" i="1"/>
  <c r="P184" i="1" s="1"/>
  <c r="M184" i="1"/>
  <c r="O183" i="1"/>
  <c r="M183" i="1"/>
  <c r="C183" i="1"/>
  <c r="O182" i="1"/>
  <c r="Q182" i="1" s="1"/>
  <c r="M182" i="1"/>
  <c r="C182" i="1"/>
  <c r="O181" i="1"/>
  <c r="N181" i="1" s="1"/>
  <c r="M181" i="1"/>
  <c r="O180" i="1"/>
  <c r="N180" i="1" s="1"/>
  <c r="M180" i="1"/>
  <c r="O179" i="1"/>
  <c r="Q179" i="1" s="1"/>
  <c r="M179" i="1"/>
  <c r="C179" i="1"/>
  <c r="O178" i="1"/>
  <c r="Q178" i="1" s="1"/>
  <c r="M178" i="1"/>
  <c r="O177" i="1"/>
  <c r="N177" i="1" s="1"/>
  <c r="M177" i="1"/>
  <c r="O176" i="1"/>
  <c r="Q176" i="1" s="1"/>
  <c r="M176" i="1"/>
  <c r="F176" i="1"/>
  <c r="O175" i="1"/>
  <c r="Q175" i="1" s="1"/>
  <c r="M175" i="1"/>
  <c r="C175" i="1"/>
  <c r="O174" i="1"/>
  <c r="Q174" i="1" s="1"/>
  <c r="M174" i="1"/>
  <c r="C174" i="1"/>
  <c r="O173" i="1"/>
  <c r="M173" i="1"/>
  <c r="C173" i="1"/>
  <c r="O172" i="1"/>
  <c r="P172" i="1" s="1"/>
  <c r="M172" i="1"/>
  <c r="C172" i="1"/>
  <c r="O171" i="1"/>
  <c r="Q171" i="1" s="1"/>
  <c r="M171" i="1"/>
  <c r="O170" i="1"/>
  <c r="N170" i="1" s="1"/>
  <c r="M170" i="1"/>
  <c r="O169" i="1"/>
  <c r="P169" i="1" s="1"/>
  <c r="E169" i="1"/>
  <c r="C169" i="1"/>
  <c r="B169" i="1"/>
  <c r="M169" i="1" s="1"/>
  <c r="O168" i="1"/>
  <c r="N168" i="1" s="1"/>
  <c r="M168" i="1"/>
  <c r="O167" i="1"/>
  <c r="P167" i="1" s="1"/>
  <c r="M167" i="1"/>
  <c r="E167" i="1"/>
  <c r="F167" i="1" s="1"/>
  <c r="C167" i="1"/>
  <c r="O166" i="1"/>
  <c r="N166" i="1" s="1"/>
  <c r="M166" i="1"/>
  <c r="E166" i="1"/>
  <c r="F166" i="1" s="1"/>
  <c r="C166" i="1"/>
  <c r="O165" i="1"/>
  <c r="P165" i="1" s="1"/>
  <c r="M165" i="1"/>
  <c r="E165" i="1"/>
  <c r="F165" i="1" s="1"/>
  <c r="C165" i="1"/>
  <c r="O164" i="1"/>
  <c r="N164" i="1" s="1"/>
  <c r="M164" i="1"/>
  <c r="E164" i="1"/>
  <c r="F164" i="1" s="1"/>
  <c r="O163" i="1"/>
  <c r="Q163" i="1" s="1"/>
  <c r="M163" i="1"/>
  <c r="E163" i="1"/>
  <c r="F163" i="1" s="1"/>
  <c r="O162" i="1"/>
  <c r="P162" i="1" s="1"/>
  <c r="M162" i="1"/>
  <c r="C162" i="1"/>
  <c r="O161" i="1"/>
  <c r="M161" i="1"/>
  <c r="C161" i="1"/>
  <c r="O160" i="1"/>
  <c r="P160" i="1" s="1"/>
  <c r="M160" i="1"/>
  <c r="C160" i="1"/>
  <c r="O159" i="1"/>
  <c r="N159" i="1" s="1"/>
  <c r="M159" i="1"/>
  <c r="E159" i="1"/>
  <c r="F159" i="1" s="1"/>
  <c r="C159" i="1"/>
  <c r="O158" i="1"/>
  <c r="P158" i="1" s="1"/>
  <c r="M158" i="1"/>
  <c r="C158" i="1"/>
  <c r="O157" i="1"/>
  <c r="N157" i="1" s="1"/>
  <c r="M157" i="1"/>
  <c r="C157" i="1"/>
  <c r="O156" i="1"/>
  <c r="P156" i="1" s="1"/>
  <c r="M156" i="1"/>
  <c r="O155" i="1"/>
  <c r="Q155" i="1" s="1"/>
  <c r="M155" i="1"/>
  <c r="L155" i="1"/>
  <c r="L156" i="1" s="1"/>
  <c r="L157" i="1" s="1"/>
  <c r="L158" i="1" s="1"/>
  <c r="O154" i="1"/>
  <c r="Q154" i="1" s="1"/>
  <c r="M154" i="1"/>
  <c r="O153" i="1"/>
  <c r="Q153" i="1" s="1"/>
  <c r="M153" i="1"/>
  <c r="C153" i="1"/>
  <c r="O152" i="1"/>
  <c r="N152" i="1" s="1"/>
  <c r="M152" i="1"/>
  <c r="O151" i="1"/>
  <c r="P151" i="1" s="1"/>
  <c r="M151" i="1"/>
  <c r="O150" i="1"/>
  <c r="N150" i="1" s="1"/>
  <c r="K150" i="1"/>
  <c r="K151" i="1" s="1"/>
  <c r="K152" i="1" s="1"/>
  <c r="K153" i="1" s="1"/>
  <c r="O149" i="1"/>
  <c r="Q149" i="1" s="1"/>
  <c r="O148" i="1"/>
  <c r="Q148" i="1" s="1"/>
  <c r="M148" i="1"/>
  <c r="F148" i="1"/>
  <c r="O147" i="1"/>
  <c r="N147" i="1" s="1"/>
  <c r="M147" i="1"/>
  <c r="E147" i="1"/>
  <c r="F147" i="1" s="1"/>
  <c r="O146" i="1"/>
  <c r="N146" i="1" s="1"/>
  <c r="M146" i="1"/>
  <c r="E146" i="1"/>
  <c r="F146" i="1" s="1"/>
  <c r="C146" i="1"/>
  <c r="O145" i="1"/>
  <c r="Q145" i="1" s="1"/>
  <c r="M145" i="1"/>
  <c r="E145" i="1"/>
  <c r="F145" i="1" s="1"/>
  <c r="C145" i="1"/>
  <c r="O144" i="1"/>
  <c r="P144" i="1" s="1"/>
  <c r="M144" i="1"/>
  <c r="F144" i="1"/>
  <c r="O143" i="1"/>
  <c r="P143" i="1" s="1"/>
  <c r="M143" i="1"/>
  <c r="O142" i="1"/>
  <c r="Q142" i="1" s="1"/>
  <c r="M142" i="1"/>
  <c r="O141" i="1"/>
  <c r="Q141" i="1" s="1"/>
  <c r="M141" i="1"/>
  <c r="O140" i="1"/>
  <c r="Q140" i="1" s="1"/>
  <c r="M140" i="1"/>
  <c r="C140" i="1"/>
  <c r="O139" i="1"/>
  <c r="Q139" i="1" s="1"/>
  <c r="M139" i="1"/>
  <c r="O138" i="1"/>
  <c r="M138" i="1"/>
  <c r="F138" i="1"/>
  <c r="O137" i="1"/>
  <c r="N137" i="1" s="1"/>
  <c r="M137" i="1"/>
  <c r="L137" i="1"/>
  <c r="L138" i="1" s="1"/>
  <c r="L139" i="1" s="1"/>
  <c r="L140" i="1" s="1"/>
  <c r="O136" i="1"/>
  <c r="N136" i="1" s="1"/>
  <c r="M136" i="1"/>
  <c r="O135" i="1"/>
  <c r="P135" i="1" s="1"/>
  <c r="M135" i="1"/>
  <c r="C135" i="1"/>
  <c r="O134" i="1"/>
  <c r="Q134" i="1" s="1"/>
  <c r="M134" i="1"/>
  <c r="C134" i="1"/>
  <c r="O133" i="1"/>
  <c r="N133" i="1" s="1"/>
  <c r="M133" i="1"/>
  <c r="O132" i="1"/>
  <c r="P132" i="1" s="1"/>
  <c r="M132" i="1"/>
  <c r="O131" i="1"/>
  <c r="N131" i="1" s="1"/>
  <c r="M131" i="1"/>
  <c r="E131" i="1"/>
  <c r="F131" i="1" s="1"/>
  <c r="C131" i="1"/>
  <c r="O130" i="1"/>
  <c r="Q130" i="1" s="1"/>
  <c r="M130" i="1"/>
  <c r="C130" i="1"/>
  <c r="O129" i="1"/>
  <c r="P129" i="1" s="1"/>
  <c r="M129" i="1"/>
  <c r="C129" i="1"/>
  <c r="O128" i="1"/>
  <c r="P128" i="1" s="1"/>
  <c r="M128" i="1"/>
  <c r="C128" i="1"/>
  <c r="O127" i="1"/>
  <c r="N127" i="1" s="1"/>
  <c r="M127" i="1"/>
  <c r="O126" i="1"/>
  <c r="P126" i="1" s="1"/>
  <c r="M126" i="1"/>
  <c r="O125" i="1"/>
  <c r="N125" i="1" s="1"/>
  <c r="M125" i="1"/>
  <c r="F125" i="1"/>
  <c r="O124" i="1"/>
  <c r="P124" i="1" s="1"/>
  <c r="M124" i="1"/>
  <c r="F124" i="1"/>
  <c r="O123" i="1"/>
  <c r="P123" i="1" s="1"/>
  <c r="M123" i="1"/>
  <c r="O122" i="1"/>
  <c r="M122" i="1"/>
  <c r="E122" i="1"/>
  <c r="F122" i="1" s="1"/>
  <c r="C122" i="1"/>
  <c r="O121" i="1"/>
  <c r="Q121" i="1" s="1"/>
  <c r="M121" i="1"/>
  <c r="E121" i="1"/>
  <c r="F121" i="1" s="1"/>
  <c r="C121" i="1"/>
  <c r="O120" i="1"/>
  <c r="P120" i="1" s="1"/>
  <c r="M120" i="1"/>
  <c r="E120" i="1"/>
  <c r="F120" i="1" s="1"/>
  <c r="C120" i="1"/>
  <c r="O119" i="1"/>
  <c r="Q119" i="1" s="1"/>
  <c r="C119" i="1"/>
  <c r="O118" i="1"/>
  <c r="C118" i="1"/>
  <c r="O117" i="1"/>
  <c r="Q117" i="1" s="1"/>
  <c r="O116" i="1"/>
  <c r="Q116" i="1" s="1"/>
  <c r="C116" i="1"/>
  <c r="O115" i="1"/>
  <c r="N115" i="1" s="1"/>
  <c r="O114" i="1"/>
  <c r="Q114" i="1" s="1"/>
  <c r="C114" i="1"/>
  <c r="C79" i="1" s="1"/>
  <c r="O113" i="1"/>
  <c r="P113" i="1" s="1"/>
  <c r="O112" i="1"/>
  <c r="C112" i="1"/>
  <c r="C83" i="1" s="1"/>
  <c r="O111" i="1"/>
  <c r="Q111" i="1" s="1"/>
  <c r="O110" i="1"/>
  <c r="P110" i="1" s="1"/>
  <c r="O109" i="1"/>
  <c r="Q109" i="1" s="1"/>
  <c r="O108" i="1"/>
  <c r="P108" i="1" s="1"/>
  <c r="O107" i="1"/>
  <c r="Q107" i="1" s="1"/>
  <c r="O106" i="1"/>
  <c r="Q106" i="1" s="1"/>
  <c r="O105" i="1"/>
  <c r="Q105" i="1" s="1"/>
  <c r="O104" i="1"/>
  <c r="N104" i="1" s="1"/>
  <c r="O103" i="1"/>
  <c r="Q103" i="1" s="1"/>
  <c r="O102" i="1"/>
  <c r="N102" i="1" s="1"/>
  <c r="O101" i="1"/>
  <c r="Q101" i="1" s="1"/>
  <c r="O100" i="1"/>
  <c r="P100" i="1" s="1"/>
  <c r="O99" i="1"/>
  <c r="Q99" i="1" s="1"/>
  <c r="O98" i="1"/>
  <c r="Q98" i="1" s="1"/>
  <c r="O97" i="1"/>
  <c r="N97" i="1" s="1"/>
  <c r="O96" i="1"/>
  <c r="P96" i="1" s="1"/>
  <c r="O95" i="1"/>
  <c r="N95" i="1" s="1"/>
  <c r="O94" i="1"/>
  <c r="P94" i="1" s="1"/>
  <c r="O93" i="1"/>
  <c r="N93" i="1" s="1"/>
  <c r="O92" i="1"/>
  <c r="P92" i="1" s="1"/>
  <c r="M92" i="1"/>
  <c r="O91" i="1"/>
  <c r="N91" i="1" s="1"/>
  <c r="M91" i="1"/>
  <c r="O90" i="1"/>
  <c r="P90" i="1" s="1"/>
  <c r="M90" i="1"/>
  <c r="O89" i="1"/>
  <c r="N89" i="1" s="1"/>
  <c r="M89" i="1"/>
  <c r="O88" i="1"/>
  <c r="P88" i="1" s="1"/>
  <c r="M88" i="1"/>
  <c r="O87" i="1"/>
  <c r="N87" i="1" s="1"/>
  <c r="M87" i="1"/>
  <c r="O86" i="1"/>
  <c r="P86" i="1" s="1"/>
  <c r="M86" i="1"/>
  <c r="O85" i="1"/>
  <c r="N85" i="1" s="1"/>
  <c r="M85" i="1"/>
  <c r="O84" i="1"/>
  <c r="P84" i="1" s="1"/>
  <c r="M84" i="1"/>
  <c r="O83" i="1"/>
  <c r="N83" i="1" s="1"/>
  <c r="M83" i="1"/>
  <c r="O82" i="1"/>
  <c r="P82" i="1" s="1"/>
  <c r="M82" i="1"/>
  <c r="O81" i="1"/>
  <c r="Q81" i="1" s="1"/>
  <c r="B81" i="1"/>
  <c r="M81" i="1" s="1"/>
  <c r="O80" i="1"/>
  <c r="N80" i="1" s="1"/>
  <c r="M80" i="1"/>
  <c r="O79" i="1"/>
  <c r="P79" i="1" s="1"/>
  <c r="M79" i="1"/>
  <c r="O78" i="1"/>
  <c r="Q78" i="1" s="1"/>
  <c r="M78" i="1"/>
  <c r="O77" i="1"/>
  <c r="N77" i="1" s="1"/>
  <c r="B77" i="1"/>
  <c r="M77" i="1" s="1"/>
  <c r="O76" i="1"/>
  <c r="P76" i="1" s="1"/>
  <c r="M76" i="1"/>
  <c r="O75" i="1"/>
  <c r="N75" i="1" s="1"/>
  <c r="M75" i="1"/>
  <c r="O74" i="1"/>
  <c r="P74" i="1" s="1"/>
  <c r="M74" i="1"/>
  <c r="O73" i="1"/>
  <c r="N73" i="1" s="1"/>
  <c r="M73" i="1"/>
  <c r="O72" i="1"/>
  <c r="P72" i="1" s="1"/>
  <c r="M72" i="1"/>
  <c r="O71" i="1"/>
  <c r="N71" i="1" s="1"/>
  <c r="M71" i="1"/>
  <c r="O70" i="1"/>
  <c r="P70" i="1" s="1"/>
  <c r="M70" i="1"/>
  <c r="O69" i="1"/>
  <c r="N69" i="1" s="1"/>
  <c r="M69" i="1"/>
  <c r="O68" i="1"/>
  <c r="P68" i="1" s="1"/>
  <c r="M68" i="1"/>
  <c r="O67" i="1"/>
  <c r="N67" i="1" s="1"/>
  <c r="K67" i="1"/>
  <c r="K68" i="1" s="1"/>
  <c r="K69" i="1" s="1"/>
  <c r="K70" i="1" s="1"/>
  <c r="K71" i="1" s="1"/>
  <c r="K72" i="1" s="1"/>
  <c r="K73" i="1" s="1"/>
  <c r="K74" i="1" s="1"/>
  <c r="K75" i="1" s="1"/>
  <c r="K76" i="1" s="1"/>
  <c r="K77" i="1" s="1"/>
  <c r="K78" i="1" s="1"/>
  <c r="K79" i="1" s="1"/>
  <c r="K80" i="1" s="1"/>
  <c r="K81" i="1" s="1"/>
  <c r="K82" i="1" s="1"/>
  <c r="K83" i="1" s="1"/>
  <c r="K84" i="1" s="1"/>
  <c r="K85" i="1" s="1"/>
  <c r="K86" i="1" s="1"/>
  <c r="K87" i="1" s="1"/>
  <c r="K88" i="1" s="1"/>
  <c r="K89" i="1" s="1"/>
  <c r="K90" i="1" s="1"/>
  <c r="K91" i="1" s="1"/>
  <c r="K92" i="1" s="1"/>
  <c r="K93" i="1" s="1"/>
  <c r="K94" i="1" s="1"/>
  <c r="K95" i="1" s="1"/>
  <c r="K96" i="1" s="1"/>
  <c r="K97" i="1" s="1"/>
  <c r="K98" i="1" s="1"/>
  <c r="K99" i="1" s="1"/>
  <c r="K100" i="1" s="1"/>
  <c r="K101" i="1" s="1"/>
  <c r="K102" i="1" s="1"/>
  <c r="K103" i="1" s="1"/>
  <c r="K104" i="1" s="1"/>
  <c r="K105" i="1" s="1"/>
  <c r="K106" i="1" s="1"/>
  <c r="K107" i="1" s="1"/>
  <c r="K108" i="1" s="1"/>
  <c r="K109" i="1" s="1"/>
  <c r="K110" i="1" s="1"/>
  <c r="K111" i="1" s="1"/>
  <c r="K112" i="1" s="1"/>
  <c r="K113" i="1" s="1"/>
  <c r="K114" i="1" s="1"/>
  <c r="O66" i="1"/>
  <c r="Q66" i="1" s="1"/>
  <c r="O65" i="1"/>
  <c r="Q65" i="1" s="1"/>
  <c r="M65" i="1"/>
  <c r="F65" i="1"/>
  <c r="O64" i="1"/>
  <c r="N64" i="1" s="1"/>
  <c r="M64" i="1"/>
  <c r="E64" i="1"/>
  <c r="F64" i="1" s="1"/>
  <c r="C64" i="1"/>
  <c r="O63" i="1"/>
  <c r="Q63" i="1" s="1"/>
  <c r="M63" i="1"/>
  <c r="E63" i="1"/>
  <c r="F63" i="1" s="1"/>
  <c r="C63" i="1"/>
  <c r="O62" i="1"/>
  <c r="P62" i="1" s="1"/>
  <c r="M62" i="1"/>
  <c r="F62" i="1"/>
  <c r="O61" i="1"/>
  <c r="Q61" i="1" s="1"/>
  <c r="M61" i="1"/>
  <c r="O60" i="1"/>
  <c r="P60" i="1" s="1"/>
  <c r="M60" i="1"/>
  <c r="O59" i="1"/>
  <c r="Q59" i="1" s="1"/>
  <c r="M59" i="1"/>
  <c r="O58" i="1"/>
  <c r="Q58" i="1" s="1"/>
  <c r="M58" i="1"/>
  <c r="C58" i="1"/>
  <c r="O57" i="1"/>
  <c r="Q57" i="1" s="1"/>
  <c r="M57" i="1"/>
  <c r="O56" i="1"/>
  <c r="M56" i="1"/>
  <c r="F56" i="1"/>
  <c r="O55" i="1"/>
  <c r="N55" i="1" s="1"/>
  <c r="M55" i="1"/>
  <c r="L55" i="1"/>
  <c r="L56" i="1" s="1"/>
  <c r="L57" i="1" s="1"/>
  <c r="L58" i="1" s="1"/>
  <c r="O54" i="1"/>
  <c r="N54" i="1" s="1"/>
  <c r="M54" i="1"/>
  <c r="O53" i="1"/>
  <c r="P53" i="1" s="1"/>
  <c r="M53" i="1"/>
  <c r="O52" i="1"/>
  <c r="N52" i="1" s="1"/>
  <c r="M52" i="1"/>
  <c r="O51" i="1"/>
  <c r="P51" i="1" s="1"/>
  <c r="M51" i="1"/>
  <c r="E51" i="1"/>
  <c r="F51" i="1" s="1"/>
  <c r="C51" i="1"/>
  <c r="O50" i="1"/>
  <c r="N50" i="1" s="1"/>
  <c r="M50" i="1"/>
  <c r="O49" i="1"/>
  <c r="P49" i="1" s="1"/>
  <c r="M49" i="1"/>
  <c r="C49" i="1"/>
  <c r="O48" i="1"/>
  <c r="Q48" i="1" s="1"/>
  <c r="M48" i="1"/>
  <c r="O47" i="1"/>
  <c r="N47" i="1" s="1"/>
  <c r="M47" i="1"/>
  <c r="E47" i="1"/>
  <c r="F47" i="1" s="1"/>
  <c r="C47" i="1"/>
  <c r="O46" i="1"/>
  <c r="P46" i="1" s="1"/>
  <c r="M46" i="1"/>
  <c r="C46" i="1"/>
  <c r="O45" i="1"/>
  <c r="N45" i="1" s="1"/>
  <c r="M45" i="1"/>
  <c r="E45" i="1"/>
  <c r="F45" i="1" s="1"/>
  <c r="C45" i="1"/>
  <c r="O44" i="1"/>
  <c r="P44" i="1" s="1"/>
  <c r="M44" i="1"/>
  <c r="C44" i="1"/>
  <c r="O43" i="1"/>
  <c r="N43" i="1" s="1"/>
  <c r="M43" i="1"/>
  <c r="L43" i="1"/>
  <c r="L44" i="1" s="1"/>
  <c r="L45" i="1" s="1"/>
  <c r="L46" i="1" s="1"/>
  <c r="L47" i="1" s="1"/>
  <c r="L48" i="1" s="1"/>
  <c r="L49" i="1" s="1"/>
  <c r="L50" i="1" s="1"/>
  <c r="L51" i="1" s="1"/>
  <c r="O42" i="1"/>
  <c r="N42" i="1" s="1"/>
  <c r="M42" i="1"/>
  <c r="O41" i="1"/>
  <c r="Q41" i="1" s="1"/>
  <c r="M41" i="1"/>
  <c r="C41" i="1"/>
  <c r="O40" i="1"/>
  <c r="N40" i="1" s="1"/>
  <c r="M40" i="1"/>
  <c r="O39" i="1"/>
  <c r="Q39" i="1" s="1"/>
  <c r="M39" i="1"/>
  <c r="C39" i="1"/>
  <c r="O38" i="1"/>
  <c r="Q38" i="1" s="1"/>
  <c r="M38" i="1"/>
  <c r="O37" i="1"/>
  <c r="N37" i="1" s="1"/>
  <c r="M37" i="1"/>
  <c r="O36" i="1"/>
  <c r="Q36" i="1" s="1"/>
  <c r="M36" i="1"/>
  <c r="F36" i="1"/>
  <c r="O35" i="1"/>
  <c r="Q35" i="1" s="1"/>
  <c r="M35" i="1"/>
  <c r="C35" i="1"/>
  <c r="O34" i="1"/>
  <c r="Q34" i="1" s="1"/>
  <c r="M34" i="1"/>
  <c r="C34" i="1"/>
  <c r="O33" i="1"/>
  <c r="N33" i="1" s="1"/>
  <c r="M33" i="1"/>
  <c r="O32" i="1"/>
  <c r="Q32" i="1" s="1"/>
  <c r="M32" i="1"/>
  <c r="O31" i="1"/>
  <c r="Q31" i="1" s="1"/>
  <c r="E31" i="1"/>
  <c r="F31" i="1" s="1"/>
  <c r="C31" i="1"/>
  <c r="B31" i="1"/>
  <c r="M31" i="1" s="1"/>
  <c r="O30" i="1"/>
  <c r="Q30" i="1" s="1"/>
  <c r="M30" i="1"/>
  <c r="O29" i="1"/>
  <c r="Q29" i="1" s="1"/>
  <c r="M29" i="1"/>
  <c r="E29" i="1"/>
  <c r="F29" i="1" s="1"/>
  <c r="C29" i="1"/>
  <c r="O28" i="1"/>
  <c r="Q28" i="1" s="1"/>
  <c r="M28" i="1"/>
  <c r="E28" i="1"/>
  <c r="F28" i="1" s="1"/>
  <c r="C28" i="1"/>
  <c r="O27" i="1"/>
  <c r="P27" i="1" s="1"/>
  <c r="M27" i="1"/>
  <c r="E27" i="1"/>
  <c r="F27" i="1" s="1"/>
  <c r="C27" i="1"/>
  <c r="O26" i="1"/>
  <c r="Q26" i="1" s="1"/>
  <c r="M26" i="1"/>
  <c r="E26" i="1"/>
  <c r="F26" i="1" s="1"/>
  <c r="O25" i="1"/>
  <c r="P25" i="1" s="1"/>
  <c r="M25" i="1"/>
  <c r="E25" i="1"/>
  <c r="F25" i="1" s="1"/>
  <c r="O24" i="1"/>
  <c r="Q24" i="1" s="1"/>
  <c r="M24" i="1"/>
  <c r="C24" i="1"/>
  <c r="O23" i="1"/>
  <c r="Q23" i="1" s="1"/>
  <c r="M23" i="1"/>
  <c r="C23" i="1"/>
  <c r="O22" i="1"/>
  <c r="N22" i="1" s="1"/>
  <c r="M22" i="1"/>
  <c r="C22" i="1"/>
  <c r="O21" i="1"/>
  <c r="Q21" i="1" s="1"/>
  <c r="M21" i="1"/>
  <c r="E21" i="1"/>
  <c r="F21" i="1" s="1"/>
  <c r="C21" i="1"/>
  <c r="O20" i="1"/>
  <c r="P20" i="1" s="1"/>
  <c r="M20" i="1"/>
  <c r="C20" i="1"/>
  <c r="O19" i="1"/>
  <c r="Q19" i="1" s="1"/>
  <c r="M19" i="1"/>
  <c r="C19" i="1"/>
  <c r="O18" i="1"/>
  <c r="N18" i="1" s="1"/>
  <c r="M18" i="1"/>
  <c r="O17" i="1"/>
  <c r="Q17" i="1" s="1"/>
  <c r="M17" i="1"/>
  <c r="L17" i="1"/>
  <c r="L18" i="1" s="1"/>
  <c r="L19" i="1" s="1"/>
  <c r="L20" i="1" s="1"/>
  <c r="O16" i="1"/>
  <c r="Q16" i="1" s="1"/>
  <c r="M16" i="1"/>
  <c r="O15" i="1"/>
  <c r="N15" i="1" s="1"/>
  <c r="M15" i="1"/>
  <c r="O14" i="1"/>
  <c r="Q14" i="1" s="1"/>
  <c r="M14" i="1"/>
  <c r="C14" i="1"/>
  <c r="O13" i="1"/>
  <c r="Q13" i="1" s="1"/>
  <c r="M13" i="1"/>
  <c r="O12" i="1"/>
  <c r="Q12" i="1" s="1"/>
  <c r="M12" i="1"/>
  <c r="Q11" i="1"/>
  <c r="K11" i="1"/>
  <c r="K12" i="1" s="1"/>
  <c r="K13" i="1" s="1"/>
  <c r="K14" i="1" s="1"/>
  <c r="K15" i="1" s="1"/>
  <c r="K16" i="1" s="1"/>
  <c r="K17" i="1" s="1"/>
  <c r="K18" i="1" s="1"/>
  <c r="K19" i="1" s="1"/>
  <c r="K20" i="1" s="1"/>
  <c r="K21" i="1" s="1"/>
  <c r="K22" i="1" s="1"/>
  <c r="K23" i="1" s="1"/>
  <c r="N82" i="1" l="1"/>
  <c r="N389" i="1"/>
  <c r="E523" i="1"/>
  <c r="F523" i="1" s="1"/>
  <c r="N736" i="1"/>
  <c r="N774" i="1"/>
  <c r="N149" i="1"/>
  <c r="N20" i="1"/>
  <c r="N27" i="1"/>
  <c r="N463" i="1"/>
  <c r="N471" i="1"/>
  <c r="Q128" i="1"/>
  <c r="Q129" i="1"/>
  <c r="P130" i="1"/>
  <c r="Q192" i="1"/>
  <c r="N472" i="1"/>
  <c r="N551" i="1"/>
  <c r="N552" i="1"/>
  <c r="N566" i="1"/>
  <c r="Q675" i="1"/>
  <c r="P678" i="1"/>
  <c r="N81" i="1"/>
  <c r="N176" i="1"/>
  <c r="Q288" i="1"/>
  <c r="N607" i="1"/>
  <c r="N763" i="1"/>
  <c r="P430" i="1"/>
  <c r="P615" i="1"/>
  <c r="Q678" i="1"/>
  <c r="Q240" i="1"/>
  <c r="N664" i="1"/>
  <c r="Q728" i="1"/>
  <c r="P730" i="1"/>
  <c r="Q732" i="1"/>
  <c r="P735" i="1"/>
  <c r="P736" i="1"/>
  <c r="Q763" i="1"/>
  <c r="Q76" i="1"/>
  <c r="Q79" i="1"/>
  <c r="P179" i="1"/>
  <c r="Q266" i="1"/>
  <c r="P321" i="1"/>
  <c r="P380" i="1"/>
  <c r="Q430" i="1"/>
  <c r="Q593" i="1"/>
  <c r="Q82" i="1"/>
  <c r="P98" i="1"/>
  <c r="P149" i="1"/>
  <c r="N284" i="1"/>
  <c r="P302" i="1"/>
  <c r="Q325" i="1"/>
  <c r="P335" i="1"/>
  <c r="Q380" i="1"/>
  <c r="N548" i="1"/>
  <c r="N654" i="1"/>
  <c r="P738" i="1"/>
  <c r="P12" i="1"/>
  <c r="P13" i="1"/>
  <c r="N12" i="1"/>
  <c r="N13" i="1"/>
  <c r="Q27" i="1"/>
  <c r="N28" i="1"/>
  <c r="P81" i="1"/>
  <c r="N98" i="1"/>
  <c r="Q202" i="1"/>
  <c r="Q223" i="1"/>
  <c r="Q236" i="1"/>
  <c r="N238" i="1"/>
  <c r="P266" i="1"/>
  <c r="Q284" i="1"/>
  <c r="P288" i="1"/>
  <c r="P296" i="1"/>
  <c r="N321" i="1"/>
  <c r="P338" i="1"/>
  <c r="P359" i="1"/>
  <c r="N441" i="1"/>
  <c r="Q453" i="1"/>
  <c r="Q504" i="1"/>
  <c r="Q518" i="1"/>
  <c r="N547" i="1"/>
  <c r="N593" i="1"/>
  <c r="Q619" i="1"/>
  <c r="N631" i="1"/>
  <c r="N634" i="1"/>
  <c r="N668" i="1"/>
  <c r="N675" i="1"/>
  <c r="Q723" i="1"/>
  <c r="N761" i="1"/>
  <c r="Q792" i="1"/>
  <c r="Q795" i="1"/>
  <c r="Q799" i="1"/>
  <c r="P800" i="1"/>
  <c r="N834" i="1"/>
  <c r="N184" i="1"/>
  <c r="N500" i="1"/>
  <c r="N575" i="1"/>
  <c r="N592" i="1"/>
  <c r="N633" i="1"/>
  <c r="Q707" i="1"/>
  <c r="Q376" i="1"/>
  <c r="N591" i="1"/>
  <c r="N605" i="1"/>
  <c r="N619" i="1"/>
  <c r="P751" i="1"/>
  <c r="P833" i="1"/>
  <c r="Q834" i="1"/>
  <c r="P835" i="1"/>
  <c r="P840" i="1"/>
  <c r="P35" i="1"/>
  <c r="Q20" i="1"/>
  <c r="P141" i="1"/>
  <c r="Q144" i="1"/>
  <c r="P177" i="1"/>
  <c r="Q184" i="1"/>
  <c r="P191" i="1"/>
  <c r="P220" i="1"/>
  <c r="P223" i="1"/>
  <c r="Q252" i="1"/>
  <c r="P355" i="1"/>
  <c r="Q391" i="1"/>
  <c r="P453" i="1"/>
  <c r="P454" i="1"/>
  <c r="P467" i="1"/>
  <c r="P469" i="1"/>
  <c r="Q500" i="1"/>
  <c r="P504" i="1"/>
  <c r="Q645" i="1"/>
  <c r="Q787" i="1"/>
  <c r="Q840" i="1"/>
  <c r="P843" i="1"/>
  <c r="N31" i="1"/>
  <c r="P32" i="1"/>
  <c r="Q42" i="1"/>
  <c r="Q43" i="1"/>
  <c r="P58" i="1"/>
  <c r="N65" i="1"/>
  <c r="Q68" i="1"/>
  <c r="Q102" i="1"/>
  <c r="P105" i="1"/>
  <c r="P106" i="1"/>
  <c r="N124" i="1"/>
  <c r="Q132" i="1"/>
  <c r="N139" i="1"/>
  <c r="N148" i="1"/>
  <c r="P153" i="1"/>
  <c r="P154" i="1"/>
  <c r="P163" i="1"/>
  <c r="Q165" i="1"/>
  <c r="Q169" i="1"/>
  <c r="N171" i="1"/>
  <c r="Q196" i="1"/>
  <c r="Q197" i="1"/>
  <c r="Q198" i="1"/>
  <c r="Q230" i="1"/>
  <c r="N234" i="1"/>
  <c r="Q250" i="1"/>
  <c r="P272" i="1"/>
  <c r="Q298" i="1"/>
  <c r="Q308" i="1"/>
  <c r="P324" i="1"/>
  <c r="P334" i="1"/>
  <c r="P342" i="1"/>
  <c r="P343" i="1"/>
  <c r="N351" i="1"/>
  <c r="N352" i="1"/>
  <c r="P367" i="1"/>
  <c r="N385" i="1"/>
  <c r="P392" i="1"/>
  <c r="N397" i="1"/>
  <c r="N404" i="1"/>
  <c r="N445" i="1"/>
  <c r="N601" i="1"/>
  <c r="N652" i="1"/>
  <c r="Q679" i="1"/>
  <c r="Q804" i="1"/>
  <c r="Q849" i="1"/>
  <c r="Q342" i="1"/>
  <c r="P419" i="1"/>
  <c r="P489" i="1"/>
  <c r="P510" i="1"/>
  <c r="Q526" i="1"/>
  <c r="Q533" i="1"/>
  <c r="P534" i="1"/>
  <c r="Q556" i="1"/>
  <c r="P560" i="1"/>
  <c r="P562" i="1"/>
  <c r="Q731" i="1"/>
  <c r="P739" i="1"/>
  <c r="Q753" i="1"/>
  <c r="P793" i="1"/>
  <c r="Q794" i="1"/>
  <c r="Q853" i="1"/>
  <c r="N26" i="1"/>
  <c r="P40" i="1"/>
  <c r="N58" i="1"/>
  <c r="P65" i="1"/>
  <c r="Q90" i="1"/>
  <c r="N105" i="1"/>
  <c r="N106" i="1"/>
  <c r="Q124" i="1"/>
  <c r="P134" i="1"/>
  <c r="Q135" i="1"/>
  <c r="P139" i="1"/>
  <c r="P148" i="1"/>
  <c r="Q151" i="1"/>
  <c r="N154" i="1"/>
  <c r="Q156" i="1"/>
  <c r="Q162" i="1"/>
  <c r="N163" i="1"/>
  <c r="N169" i="1"/>
  <c r="P171" i="1"/>
  <c r="Q191" i="1"/>
  <c r="P202" i="1"/>
  <c r="Q210" i="1"/>
  <c r="Q234" i="1"/>
  <c r="Q246" i="1"/>
  <c r="N250" i="1"/>
  <c r="N259" i="1"/>
  <c r="N282" i="1"/>
  <c r="P283" i="1"/>
  <c r="P314" i="1"/>
  <c r="P316" i="1"/>
  <c r="P326" i="1"/>
  <c r="Q345" i="1"/>
  <c r="Q346" i="1"/>
  <c r="Q350" i="1"/>
  <c r="P351" i="1"/>
  <c r="P352" i="1"/>
  <c r="N376" i="1"/>
  <c r="N387" i="1"/>
  <c r="N410" i="1"/>
  <c r="P422" i="1"/>
  <c r="P428" i="1"/>
  <c r="Q435" i="1"/>
  <c r="N437" i="1"/>
  <c r="Q442" i="1"/>
  <c r="N447" i="1"/>
  <c r="Q471" i="1"/>
  <c r="P472" i="1"/>
  <c r="Q489" i="1"/>
  <c r="P493" i="1"/>
  <c r="P505" i="1"/>
  <c r="Q510" i="1"/>
  <c r="P518" i="1"/>
  <c r="N530" i="1"/>
  <c r="N538" i="1"/>
  <c r="P552" i="1"/>
  <c r="Q553" i="1"/>
  <c r="Q560" i="1"/>
  <c r="N565" i="1"/>
  <c r="P601" i="1"/>
  <c r="Q605" i="1"/>
  <c r="P688" i="1"/>
  <c r="Q689" i="1"/>
  <c r="Q712" i="1"/>
  <c r="P714" i="1"/>
  <c r="P715" i="1"/>
  <c r="P720" i="1"/>
  <c r="Q825" i="1"/>
  <c r="Q843" i="1"/>
  <c r="Q857" i="1"/>
  <c r="N386" i="1"/>
  <c r="Q505" i="1"/>
  <c r="N507" i="1"/>
  <c r="N522" i="1"/>
  <c r="N523" i="1"/>
  <c r="N524" i="1"/>
  <c r="N526" i="1"/>
  <c r="N549" i="1"/>
  <c r="N556" i="1"/>
  <c r="Q591" i="1"/>
  <c r="P592" i="1"/>
  <c r="N599" i="1"/>
  <c r="N627" i="1"/>
  <c r="N645" i="1"/>
  <c r="N656" i="1"/>
  <c r="Q657" i="1"/>
  <c r="P658" i="1"/>
  <c r="P679" i="1"/>
  <c r="Q680" i="1"/>
  <c r="Q715" i="1"/>
  <c r="Q720" i="1"/>
  <c r="P725" i="1"/>
  <c r="Q730" i="1"/>
  <c r="Q755" i="1"/>
  <c r="N762" i="1"/>
  <c r="Q789" i="1"/>
  <c r="N794" i="1"/>
  <c r="P804" i="1"/>
  <c r="P26" i="1"/>
  <c r="P29" i="1"/>
  <c r="P31" i="1"/>
  <c r="Q49" i="1"/>
  <c r="Q110" i="1"/>
  <c r="Q200" i="1"/>
  <c r="Q218" i="1"/>
  <c r="N220" i="1"/>
  <c r="Q228" i="1"/>
  <c r="N230" i="1"/>
  <c r="Q238" i="1"/>
  <c r="Q244" i="1"/>
  <c r="N246" i="1"/>
  <c r="N272" i="1"/>
  <c r="N280" i="1"/>
  <c r="N315" i="1"/>
  <c r="N316" i="1"/>
  <c r="N319" i="1"/>
  <c r="N324" i="1"/>
  <c r="N338" i="1"/>
  <c r="N343" i="1"/>
  <c r="N355" i="1"/>
  <c r="N359" i="1"/>
  <c r="Q362" i="1"/>
  <c r="N367" i="1"/>
  <c r="N375" i="1"/>
  <c r="N384" i="1"/>
  <c r="Q386" i="1"/>
  <c r="P387" i="1"/>
  <c r="Q401" i="1"/>
  <c r="P406" i="1"/>
  <c r="Q409" i="1"/>
  <c r="P410" i="1"/>
  <c r="Q414" i="1"/>
  <c r="Q426" i="1"/>
  <c r="Q434" i="1"/>
  <c r="Q437" i="1"/>
  <c r="P440" i="1"/>
  <c r="Q447" i="1"/>
  <c r="P455" i="1"/>
  <c r="P458" i="1"/>
  <c r="Q461" i="1"/>
  <c r="Q462" i="1"/>
  <c r="Q464" i="1"/>
  <c r="N467" i="1"/>
  <c r="P480" i="1"/>
  <c r="Q482" i="1"/>
  <c r="N496" i="1"/>
  <c r="Q512" i="1"/>
  <c r="P513" i="1"/>
  <c r="Q520" i="1"/>
  <c r="Q549" i="1"/>
  <c r="Q585" i="1"/>
  <c r="Q589" i="1"/>
  <c r="Q631" i="1"/>
  <c r="P641" i="1"/>
  <c r="Q643" i="1"/>
  <c r="Q652" i="1"/>
  <c r="Q664" i="1"/>
  <c r="Q699" i="1"/>
  <c r="P701" i="1"/>
  <c r="Q822" i="1"/>
  <c r="P825" i="1"/>
  <c r="Q829" i="1"/>
  <c r="Q832" i="1"/>
  <c r="Q851" i="1"/>
  <c r="Q859" i="1"/>
  <c r="N19" i="1"/>
  <c r="P21" i="1"/>
  <c r="P22" i="1"/>
  <c r="P39" i="1"/>
  <c r="N49" i="1"/>
  <c r="N61" i="1"/>
  <c r="P63" i="1"/>
  <c r="Q72" i="1"/>
  <c r="P78" i="1"/>
  <c r="Q86" i="1"/>
  <c r="Q100" i="1"/>
  <c r="P101" i="1"/>
  <c r="P102" i="1"/>
  <c r="N109" i="1"/>
  <c r="N110" i="1"/>
  <c r="N117" i="1"/>
  <c r="P140" i="1"/>
  <c r="P145" i="1"/>
  <c r="Q181" i="1"/>
  <c r="P182" i="1"/>
  <c r="N208" i="1"/>
  <c r="N226" i="1"/>
  <c r="N242" i="1"/>
  <c r="N267" i="1"/>
  <c r="N303" i="1"/>
  <c r="N358" i="1"/>
  <c r="N360" i="1"/>
  <c r="N370" i="1"/>
  <c r="N394" i="1"/>
  <c r="N401" i="1"/>
  <c r="N412" i="1"/>
  <c r="Q441" i="1"/>
  <c r="N464" i="1"/>
  <c r="Q480" i="1"/>
  <c r="N482" i="1"/>
  <c r="Q538" i="1"/>
  <c r="N546" i="1"/>
  <c r="N555" i="1"/>
  <c r="N564" i="1"/>
  <c r="Q574" i="1"/>
  <c r="N597" i="1"/>
  <c r="N608" i="1"/>
  <c r="Q616" i="1"/>
  <c r="N623" i="1"/>
  <c r="N638" i="1"/>
  <c r="N643" i="1"/>
  <c r="Q648" i="1"/>
  <c r="Q660" i="1"/>
  <c r="P661" i="1"/>
  <c r="Q669" i="1"/>
  <c r="N688" i="1"/>
  <c r="N694" i="1"/>
  <c r="Q701" i="1"/>
  <c r="P773" i="1"/>
  <c r="Q783" i="1"/>
  <c r="Q808" i="1"/>
  <c r="Q815" i="1"/>
  <c r="P817" i="1"/>
  <c r="Q711" i="1"/>
  <c r="P740" i="1"/>
  <c r="P750" i="1"/>
  <c r="P765" i="1"/>
  <c r="P768" i="1"/>
  <c r="P769" i="1"/>
  <c r="Q773" i="1"/>
  <c r="P775" i="1"/>
  <c r="N789" i="1"/>
  <c r="N792" i="1"/>
  <c r="P801" i="1"/>
  <c r="P802" i="1"/>
  <c r="Q810" i="1"/>
  <c r="Q817" i="1"/>
  <c r="P821" i="1"/>
  <c r="N829" i="1"/>
  <c r="N832" i="1"/>
  <c r="Q855" i="1"/>
  <c r="N21" i="1"/>
  <c r="P33" i="1"/>
  <c r="Q51" i="1"/>
  <c r="Q60" i="1"/>
  <c r="P61" i="1"/>
  <c r="Q62" i="1"/>
  <c r="N63" i="1"/>
  <c r="N78" i="1"/>
  <c r="Q94" i="1"/>
  <c r="N101" i="1"/>
  <c r="Q108" i="1"/>
  <c r="P109" i="1"/>
  <c r="P116" i="1"/>
  <c r="P117" i="1"/>
  <c r="P155" i="1"/>
  <c r="P175" i="1"/>
  <c r="Q189" i="1"/>
  <c r="N196" i="1"/>
  <c r="P200" i="1"/>
  <c r="Q214" i="1"/>
  <c r="Q221" i="1"/>
  <c r="Q226" i="1"/>
  <c r="Q232" i="1"/>
  <c r="Q242" i="1"/>
  <c r="Q248" i="1"/>
  <c r="Q261" i="1"/>
  <c r="P267" i="1"/>
  <c r="P270" i="1"/>
  <c r="Q275" i="1"/>
  <c r="Q283" i="1"/>
  <c r="P294" i="1"/>
  <c r="N298" i="1"/>
  <c r="N302" i="1"/>
  <c r="Q304" i="1"/>
  <c r="P305" i="1"/>
  <c r="N309" i="1"/>
  <c r="N326" i="1"/>
  <c r="Q329" i="1"/>
  <c r="N334" i="1"/>
  <c r="N335" i="1"/>
  <c r="P394" i="1"/>
  <c r="P411" i="1"/>
  <c r="P434" i="1"/>
  <c r="P462" i="1"/>
  <c r="P476" i="1"/>
  <c r="P487" i="1"/>
  <c r="Q498" i="1"/>
  <c r="P586" i="1"/>
  <c r="P587" i="1"/>
  <c r="Q588" i="1"/>
  <c r="N612" i="1"/>
  <c r="N625" i="1"/>
  <c r="Q665" i="1"/>
  <c r="P666" i="1"/>
  <c r="P731" i="1"/>
  <c r="P732" i="1"/>
  <c r="P747" i="1"/>
  <c r="P756" i="1"/>
  <c r="Q757" i="1"/>
  <c r="P758" i="1"/>
  <c r="N760" i="1"/>
  <c r="P762" i="1"/>
  <c r="Q768" i="1"/>
  <c r="P776" i="1"/>
  <c r="N780" i="1"/>
  <c r="N806" i="1"/>
  <c r="P18" i="1"/>
  <c r="N140" i="1"/>
  <c r="N141" i="1"/>
  <c r="Q143" i="1"/>
  <c r="N145" i="1"/>
  <c r="N155" i="1"/>
  <c r="F169" i="1"/>
  <c r="Q172" i="1"/>
  <c r="N192" i="1"/>
  <c r="N194" i="1"/>
  <c r="N201" i="1"/>
  <c r="N203" i="1"/>
  <c r="N205" i="1"/>
  <c r="N209" i="1"/>
  <c r="N221" i="1"/>
  <c r="N224" i="1"/>
  <c r="N228" i="1"/>
  <c r="N232" i="1"/>
  <c r="N236" i="1"/>
  <c r="N240" i="1"/>
  <c r="N244" i="1"/>
  <c r="N248" i="1"/>
  <c r="N252" i="1"/>
  <c r="Q255" i="1"/>
  <c r="Q258" i="1"/>
  <c r="Q300" i="1"/>
  <c r="P300" i="1"/>
  <c r="N318" i="1"/>
  <c r="Q318" i="1"/>
  <c r="P318" i="1"/>
  <c r="Q22" i="1"/>
  <c r="P23" i="1"/>
  <c r="P24" i="1"/>
  <c r="P30" i="1"/>
  <c r="Q33" i="1"/>
  <c r="Q40" i="1"/>
  <c r="N48" i="1"/>
  <c r="Q53" i="1"/>
  <c r="P57" i="1"/>
  <c r="N59" i="1"/>
  <c r="N60" i="1"/>
  <c r="N66" i="1"/>
  <c r="Q70" i="1"/>
  <c r="P77" i="1"/>
  <c r="Q88" i="1"/>
  <c r="Q96" i="1"/>
  <c r="N99" i="1"/>
  <c r="N100" i="1"/>
  <c r="P103" i="1"/>
  <c r="P104" i="1"/>
  <c r="N107" i="1"/>
  <c r="N108" i="1"/>
  <c r="P111" i="1"/>
  <c r="Q120" i="1"/>
  <c r="N121" i="1"/>
  <c r="N142" i="1"/>
  <c r="N143" i="1"/>
  <c r="Q158" i="1"/>
  <c r="Q160" i="1"/>
  <c r="N178" i="1"/>
  <c r="P181" i="1"/>
  <c r="N185" i="1"/>
  <c r="N207" i="1"/>
  <c r="N212" i="1"/>
  <c r="N216" i="1"/>
  <c r="N255" i="1"/>
  <c r="N257" i="1"/>
  <c r="P269" i="1"/>
  <c r="N281" i="1"/>
  <c r="Q281" i="1"/>
  <c r="Q291" i="1"/>
  <c r="P299" i="1"/>
  <c r="N299" i="1"/>
  <c r="Q18" i="1"/>
  <c r="Q15" i="1"/>
  <c r="P19" i="1"/>
  <c r="P28" i="1"/>
  <c r="N32" i="1"/>
  <c r="Q37" i="1"/>
  <c r="Q77" i="1"/>
  <c r="Q104" i="1"/>
  <c r="Q194" i="1"/>
  <c r="Q206" i="1"/>
  <c r="Q264" i="1"/>
  <c r="Q269" i="1"/>
  <c r="N279" i="1"/>
  <c r="Q279" i="1"/>
  <c r="N285" i="1"/>
  <c r="Q285" i="1"/>
  <c r="N289" i="1"/>
  <c r="P289" i="1"/>
  <c r="N295" i="1"/>
  <c r="P295" i="1"/>
  <c r="P301" i="1"/>
  <c r="N301" i="1"/>
  <c r="N312" i="1"/>
  <c r="Q312" i="1"/>
  <c r="P312" i="1"/>
  <c r="Q317" i="1"/>
  <c r="N317" i="1"/>
  <c r="P317" i="1"/>
  <c r="N30" i="1"/>
  <c r="Q46" i="1"/>
  <c r="P48" i="1"/>
  <c r="N57" i="1"/>
  <c r="P59" i="1"/>
  <c r="P66" i="1"/>
  <c r="Q74" i="1"/>
  <c r="Q84" i="1"/>
  <c r="Q92" i="1"/>
  <c r="P99" i="1"/>
  <c r="N103" i="1"/>
  <c r="P107" i="1"/>
  <c r="N111" i="1"/>
  <c r="Q113" i="1"/>
  <c r="P114" i="1"/>
  <c r="P119" i="1"/>
  <c r="P121" i="1"/>
  <c r="Q123" i="1"/>
  <c r="Q126" i="1"/>
  <c r="P142" i="1"/>
  <c r="Q167" i="1"/>
  <c r="Q177" i="1"/>
  <c r="N189" i="1"/>
  <c r="N197" i="1"/>
  <c r="N199" i="1"/>
  <c r="Q207" i="1"/>
  <c r="N210" i="1"/>
  <c r="Q212" i="1"/>
  <c r="N214" i="1"/>
  <c r="Q216" i="1"/>
  <c r="N218" i="1"/>
  <c r="N219" i="1"/>
  <c r="Q257" i="1"/>
  <c r="Q260" i="1"/>
  <c r="P279" i="1"/>
  <c r="P285" i="1"/>
  <c r="Q289" i="1"/>
  <c r="N291" i="1"/>
  <c r="Q294" i="1"/>
  <c r="Q295" i="1"/>
  <c r="Q297" i="1"/>
  <c r="P297" i="1"/>
  <c r="Q301" i="1"/>
  <c r="N333" i="1"/>
  <c r="Q333" i="1"/>
  <c r="P333" i="1"/>
  <c r="N304" i="1"/>
  <c r="N307" i="1"/>
  <c r="N308" i="1"/>
  <c r="N325" i="1"/>
  <c r="N329" i="1"/>
  <c r="N336" i="1"/>
  <c r="Q340" i="1"/>
  <c r="P341" i="1"/>
  <c r="N346" i="1"/>
  <c r="P348" i="1"/>
  <c r="N350" i="1"/>
  <c r="P353" i="1"/>
  <c r="P363" i="1"/>
  <c r="P368" i="1"/>
  <c r="P369" i="1"/>
  <c r="P372" i="1"/>
  <c r="P377" i="1"/>
  <c r="P382" i="1"/>
  <c r="P393" i="1"/>
  <c r="Q396" i="1"/>
  <c r="P402" i="1"/>
  <c r="P403" i="1"/>
  <c r="P360" i="1"/>
  <c r="Q363" i="1"/>
  <c r="P365" i="1"/>
  <c r="Q369" i="1"/>
  <c r="P370" i="1"/>
  <c r="Q374" i="1"/>
  <c r="P375" i="1"/>
  <c r="N392" i="1"/>
  <c r="Q393" i="1"/>
  <c r="P397" i="1"/>
  <c r="P399" i="1"/>
  <c r="Q403" i="1"/>
  <c r="P404" i="1"/>
  <c r="P407" i="1"/>
  <c r="Q408" i="1"/>
  <c r="Q411" i="1"/>
  <c r="P415" i="1"/>
  <c r="N416" i="1"/>
  <c r="Q419" i="1"/>
  <c r="P420" i="1"/>
  <c r="P424" i="1"/>
  <c r="Q428" i="1"/>
  <c r="Q440" i="1"/>
  <c r="P444" i="1"/>
  <c r="Q446" i="1"/>
  <c r="P451" i="1"/>
  <c r="Q455" i="1"/>
  <c r="P456" i="1"/>
  <c r="P459" i="1"/>
  <c r="P483" i="1"/>
  <c r="N486" i="1"/>
  <c r="Q486" i="1"/>
  <c r="Q487" i="1"/>
  <c r="Q493" i="1"/>
  <c r="P494" i="1"/>
  <c r="P519" i="1"/>
  <c r="N519" i="1"/>
  <c r="Q306" i="1"/>
  <c r="P331" i="1"/>
  <c r="P336" i="1"/>
  <c r="N341" i="1"/>
  <c r="N353" i="1"/>
  <c r="Q357" i="1"/>
  <c r="P358" i="1"/>
  <c r="N368" i="1"/>
  <c r="N372" i="1"/>
  <c r="N377" i="1"/>
  <c r="Q379" i="1"/>
  <c r="P384" i="1"/>
  <c r="P385" i="1"/>
  <c r="P389" i="1"/>
  <c r="N402" i="1"/>
  <c r="N406" i="1"/>
  <c r="P412" i="1"/>
  <c r="Q415" i="1"/>
  <c r="Q416" i="1"/>
  <c r="P417" i="1"/>
  <c r="P431" i="1"/>
  <c r="P435" i="1"/>
  <c r="Q444" i="1"/>
  <c r="P449" i="1"/>
  <c r="Q451" i="1"/>
  <c r="N452" i="1"/>
  <c r="N454" i="1"/>
  <c r="N458" i="1"/>
  <c r="Q459" i="1"/>
  <c r="Q460" i="1"/>
  <c r="P463" i="1"/>
  <c r="Q466" i="1"/>
  <c r="P474" i="1"/>
  <c r="N476" i="1"/>
  <c r="Q478" i="1"/>
  <c r="P486" i="1"/>
  <c r="N498" i="1"/>
  <c r="N501" i="1"/>
  <c r="Q501" i="1"/>
  <c r="P516" i="1"/>
  <c r="N516" i="1"/>
  <c r="N517" i="1"/>
  <c r="P525" i="1"/>
  <c r="N525" i="1"/>
  <c r="Q529" i="1"/>
  <c r="P529" i="1"/>
  <c r="P542" i="1"/>
  <c r="Q542" i="1"/>
  <c r="P545" i="1"/>
  <c r="N545" i="1"/>
  <c r="Q545" i="1"/>
  <c r="Q557" i="1"/>
  <c r="P557" i="1"/>
  <c r="N557" i="1"/>
  <c r="N381" i="1"/>
  <c r="N407" i="1"/>
  <c r="N420" i="1"/>
  <c r="N456" i="1"/>
  <c r="N492" i="1"/>
  <c r="P492" i="1"/>
  <c r="P511" i="1"/>
  <c r="N511" i="1"/>
  <c r="P528" i="1"/>
  <c r="Q528" i="1"/>
  <c r="N536" i="1"/>
  <c r="P546" i="1"/>
  <c r="P547" i="1"/>
  <c r="Q554" i="1"/>
  <c r="P555" i="1"/>
  <c r="P564" i="1"/>
  <c r="P565" i="1"/>
  <c r="P568" i="1"/>
  <c r="P576" i="1"/>
  <c r="Q583" i="1"/>
  <c r="Q594" i="1"/>
  <c r="Q599" i="1"/>
  <c r="Q604" i="1"/>
  <c r="P608" i="1"/>
  <c r="Q610" i="1"/>
  <c r="P611" i="1"/>
  <c r="Q617" i="1"/>
  <c r="Q620" i="1"/>
  <c r="P625" i="1"/>
  <c r="P626" i="1"/>
  <c r="P627" i="1"/>
  <c r="P628" i="1"/>
  <c r="Q630" i="1"/>
  <c r="P634" i="1"/>
  <c r="Q636" i="1"/>
  <c r="P637" i="1"/>
  <c r="Q649" i="1"/>
  <c r="P654" i="1"/>
  <c r="P668" i="1"/>
  <c r="Q671" i="1"/>
  <c r="Q676" i="1"/>
  <c r="Q684" i="1"/>
  <c r="Q686" i="1"/>
  <c r="Q687" i="1"/>
  <c r="P694" i="1"/>
  <c r="Q704" i="1"/>
  <c r="Q705" i="1"/>
  <c r="Q710" i="1"/>
  <c r="Q727" i="1"/>
  <c r="Q729" i="1"/>
  <c r="Q734" i="1"/>
  <c r="Q742" i="1"/>
  <c r="N750" i="1"/>
  <c r="Q761" i="1"/>
  <c r="N770" i="1"/>
  <c r="Q774" i="1"/>
  <c r="N779" i="1"/>
  <c r="N786" i="1"/>
  <c r="N787" i="1"/>
  <c r="N802" i="1"/>
  <c r="Q807" i="1"/>
  <c r="Q809" i="1"/>
  <c r="Q811" i="1"/>
  <c r="Q812" i="1"/>
  <c r="Q813" i="1"/>
  <c r="P837" i="1"/>
  <c r="Q841" i="1"/>
  <c r="Q507" i="1"/>
  <c r="P520" i="1"/>
  <c r="P548" i="1"/>
  <c r="P551" i="1"/>
  <c r="Q559" i="1"/>
  <c r="P566" i="1"/>
  <c r="P574" i="1"/>
  <c r="Q576" i="1"/>
  <c r="P581" i="1"/>
  <c r="Q597" i="1"/>
  <c r="N604" i="1"/>
  <c r="N606" i="1"/>
  <c r="N610" i="1"/>
  <c r="P616" i="1"/>
  <c r="N617" i="1"/>
  <c r="Q623" i="1"/>
  <c r="N630" i="1"/>
  <c r="N632" i="1"/>
  <c r="N636" i="1"/>
  <c r="P642" i="1"/>
  <c r="P648" i="1"/>
  <c r="N649" i="1"/>
  <c r="Q651" i="1"/>
  <c r="P665" i="1"/>
  <c r="Q673" i="1"/>
  <c r="Q677" i="1"/>
  <c r="N684" i="1"/>
  <c r="N704" i="1"/>
  <c r="N705" i="1"/>
  <c r="N710" i="1"/>
  <c r="N727" i="1"/>
  <c r="N742" i="1"/>
  <c r="N788" i="1"/>
  <c r="P808" i="1"/>
  <c r="P810" i="1"/>
  <c r="N811" i="1"/>
  <c r="N812" i="1"/>
  <c r="P815" i="1"/>
  <c r="P819" i="1"/>
  <c r="P823" i="1"/>
  <c r="N841" i="1"/>
  <c r="N847" i="1"/>
  <c r="Q744" i="1"/>
  <c r="P766" i="1"/>
  <c r="P767" i="1"/>
  <c r="P770" i="1"/>
  <c r="P779" i="1"/>
  <c r="Q823" i="1"/>
  <c r="P580" i="1"/>
  <c r="P583" i="1"/>
  <c r="N611" i="1"/>
  <c r="N637" i="1"/>
  <c r="Q682" i="1"/>
  <c r="P683" i="1"/>
  <c r="Q691" i="1"/>
  <c r="P709" i="1"/>
  <c r="Q717" i="1"/>
  <c r="P718" i="1"/>
  <c r="Q721" i="1"/>
  <c r="Q725" i="1"/>
  <c r="P729" i="1"/>
  <c r="P734" i="1"/>
  <c r="Q746" i="1"/>
  <c r="N751" i="1"/>
  <c r="N756" i="1"/>
  <c r="P760" i="1"/>
  <c r="Q764" i="1"/>
  <c r="Q767" i="1"/>
  <c r="P771" i="1"/>
  <c r="N775" i="1"/>
  <c r="P780" i="1"/>
  <c r="N783" i="1"/>
  <c r="Q788" i="1"/>
  <c r="P797" i="1"/>
  <c r="P807" i="1"/>
  <c r="P809" i="1"/>
  <c r="P813" i="1"/>
  <c r="P822" i="1"/>
  <c r="N828" i="1"/>
  <c r="Q839" i="1"/>
  <c r="P847" i="1"/>
  <c r="Q848" i="1"/>
  <c r="Q850" i="1"/>
  <c r="Q852" i="1"/>
  <c r="Q854" i="1"/>
  <c r="Q856" i="1"/>
  <c r="Q858" i="1"/>
  <c r="Q860" i="1"/>
  <c r="K24" i="1"/>
  <c r="K154" i="1"/>
  <c r="K155" i="1" s="1"/>
  <c r="K156" i="1" s="1"/>
  <c r="K157" i="1" s="1"/>
  <c r="K158" i="1" s="1"/>
  <c r="K159" i="1" s="1"/>
  <c r="K160" i="1" s="1"/>
  <c r="K161" i="1" s="1"/>
  <c r="K162" i="1" s="1"/>
  <c r="K163" i="1" s="1"/>
  <c r="K164" i="1" s="1"/>
  <c r="K165" i="1" s="1"/>
  <c r="K166" i="1" s="1"/>
  <c r="K167" i="1" s="1"/>
  <c r="N153" i="1"/>
  <c r="L165" i="1"/>
  <c r="L164" i="1" s="1"/>
  <c r="L159" i="1"/>
  <c r="L27" i="1"/>
  <c r="L26" i="1" s="1"/>
  <c r="L21" i="1"/>
  <c r="K115" i="1"/>
  <c r="K116" i="1" s="1"/>
  <c r="N114" i="1"/>
  <c r="N112" i="1"/>
  <c r="Q25" i="1"/>
  <c r="Q44" i="1"/>
  <c r="N14" i="1"/>
  <c r="P15" i="1"/>
  <c r="N16" i="1"/>
  <c r="N17" i="1"/>
  <c r="N25" i="1"/>
  <c r="N36" i="1"/>
  <c r="P37" i="1"/>
  <c r="N38" i="1"/>
  <c r="P42" i="1"/>
  <c r="P43" i="1"/>
  <c r="P45" i="1"/>
  <c r="N46" i="1"/>
  <c r="P47" i="1"/>
  <c r="P50" i="1"/>
  <c r="N51" i="1"/>
  <c r="P52" i="1"/>
  <c r="N53" i="1"/>
  <c r="P54" i="1"/>
  <c r="P55" i="1"/>
  <c r="P56" i="1"/>
  <c r="N62" i="1"/>
  <c r="P64" i="1"/>
  <c r="P67" i="1"/>
  <c r="N68" i="1"/>
  <c r="P69" i="1"/>
  <c r="N70" i="1"/>
  <c r="P71" i="1"/>
  <c r="N72" i="1"/>
  <c r="P73" i="1"/>
  <c r="N74" i="1"/>
  <c r="P75" i="1"/>
  <c r="N76" i="1"/>
  <c r="N79" i="1"/>
  <c r="P80" i="1"/>
  <c r="P83" i="1"/>
  <c r="N84" i="1"/>
  <c r="P85" i="1"/>
  <c r="N86" i="1"/>
  <c r="P87" i="1"/>
  <c r="N88" i="1"/>
  <c r="P89" i="1"/>
  <c r="N90" i="1"/>
  <c r="P91" i="1"/>
  <c r="N92" i="1"/>
  <c r="P93" i="1"/>
  <c r="N94" i="1"/>
  <c r="P95" i="1"/>
  <c r="N96" i="1"/>
  <c r="P97" i="1"/>
  <c r="P112" i="1"/>
  <c r="N113" i="1"/>
  <c r="P115" i="1"/>
  <c r="P118" i="1"/>
  <c r="P122" i="1"/>
  <c r="N123" i="1"/>
  <c r="P125" i="1"/>
  <c r="N126" i="1"/>
  <c r="P127" i="1"/>
  <c r="P131" i="1"/>
  <c r="N132" i="1"/>
  <c r="P133" i="1"/>
  <c r="P136" i="1"/>
  <c r="P137" i="1"/>
  <c r="P138" i="1"/>
  <c r="N144" i="1"/>
  <c r="P146" i="1"/>
  <c r="P147" i="1"/>
  <c r="P150" i="1"/>
  <c r="N151" i="1"/>
  <c r="P152" i="1"/>
  <c r="N156" i="1"/>
  <c r="P157" i="1"/>
  <c r="N158" i="1"/>
  <c r="P159" i="1"/>
  <c r="N160" i="1"/>
  <c r="P161" i="1"/>
  <c r="P164" i="1"/>
  <c r="N165" i="1"/>
  <c r="P166" i="1"/>
  <c r="P168" i="1"/>
  <c r="P170" i="1"/>
  <c r="P173" i="1"/>
  <c r="P180" i="1"/>
  <c r="P186" i="1"/>
  <c r="K255" i="1"/>
  <c r="K256" i="1" s="1"/>
  <c r="K257" i="1" s="1"/>
  <c r="K258" i="1" s="1"/>
  <c r="N254" i="1"/>
  <c r="K294" i="1"/>
  <c r="K295" i="1" s="1"/>
  <c r="K296" i="1" s="1"/>
  <c r="K297" i="1" s="1"/>
  <c r="K298" i="1" s="1"/>
  <c r="K299" i="1" s="1"/>
  <c r="K300" i="1" s="1"/>
  <c r="K301" i="1" s="1"/>
  <c r="K302" i="1" s="1"/>
  <c r="K303" i="1" s="1"/>
  <c r="K304" i="1" s="1"/>
  <c r="K305" i="1" s="1"/>
  <c r="N293" i="1"/>
  <c r="K315" i="1"/>
  <c r="K316" i="1" s="1"/>
  <c r="K317" i="1" s="1"/>
  <c r="K318" i="1" s="1"/>
  <c r="K319" i="1" s="1"/>
  <c r="K320" i="1" s="1"/>
  <c r="K321" i="1" s="1"/>
  <c r="K322" i="1" s="1"/>
  <c r="N322" i="1" s="1"/>
  <c r="N314" i="1"/>
  <c r="K332" i="1"/>
  <c r="K333" i="1" s="1"/>
  <c r="K334" i="1" s="1"/>
  <c r="K335" i="1" s="1"/>
  <c r="K336" i="1" s="1"/>
  <c r="K337" i="1" s="1"/>
  <c r="K338" i="1" s="1"/>
  <c r="K339" i="1" s="1"/>
  <c r="N339" i="1" s="1"/>
  <c r="N331" i="1"/>
  <c r="Q45" i="1"/>
  <c r="Q47" i="1"/>
  <c r="Q50" i="1"/>
  <c r="Q52" i="1"/>
  <c r="Q54" i="1"/>
  <c r="Q55" i="1"/>
  <c r="Q56" i="1"/>
  <c r="Q64" i="1"/>
  <c r="Q67" i="1"/>
  <c r="Q69" i="1"/>
  <c r="Q71" i="1"/>
  <c r="Q73" i="1"/>
  <c r="Q75" i="1"/>
  <c r="Q80" i="1"/>
  <c r="Q83" i="1"/>
  <c r="Q85" i="1"/>
  <c r="Q87" i="1"/>
  <c r="Q89" i="1"/>
  <c r="Q91" i="1"/>
  <c r="Q93" i="1"/>
  <c r="Q95" i="1"/>
  <c r="Q97" i="1"/>
  <c r="Q112" i="1"/>
  <c r="Q115" i="1"/>
  <c r="Q118" i="1"/>
  <c r="Q122" i="1"/>
  <c r="Q125" i="1"/>
  <c r="Q127" i="1"/>
  <c r="Q131" i="1"/>
  <c r="Q133" i="1"/>
  <c r="Q136" i="1"/>
  <c r="Q137" i="1"/>
  <c r="Q138" i="1"/>
  <c r="Q146" i="1"/>
  <c r="Q147" i="1"/>
  <c r="Q150" i="1"/>
  <c r="Q152" i="1"/>
  <c r="Q157" i="1"/>
  <c r="Q159" i="1"/>
  <c r="Q161" i="1"/>
  <c r="Q164" i="1"/>
  <c r="Q166" i="1"/>
  <c r="Q168" i="1"/>
  <c r="Q170" i="1"/>
  <c r="Q173" i="1"/>
  <c r="P174" i="1"/>
  <c r="P176" i="1"/>
  <c r="P178" i="1"/>
  <c r="Q180" i="1"/>
  <c r="P183" i="1"/>
  <c r="Q185" i="1"/>
  <c r="Q187" i="1"/>
  <c r="N195" i="1"/>
  <c r="Q195" i="1"/>
  <c r="P195" i="1"/>
  <c r="N256" i="1"/>
  <c r="P14" i="1"/>
  <c r="P16" i="1"/>
  <c r="P17" i="1"/>
  <c r="P34" i="1"/>
  <c r="P36" i="1"/>
  <c r="P38" i="1"/>
  <c r="P41" i="1"/>
  <c r="Q183" i="1"/>
  <c r="N188" i="1"/>
  <c r="Q188" i="1"/>
  <c r="Q190" i="1"/>
  <c r="P190" i="1"/>
  <c r="N204" i="1"/>
  <c r="Q204" i="1"/>
  <c r="P204" i="1"/>
  <c r="N187" i="1"/>
  <c r="N193" i="1"/>
  <c r="Q193" i="1"/>
  <c r="P193" i="1"/>
  <c r="N206" i="1"/>
  <c r="P211" i="1"/>
  <c r="P213" i="1"/>
  <c r="P215" i="1"/>
  <c r="P217" i="1"/>
  <c r="P222" i="1"/>
  <c r="P225" i="1"/>
  <c r="P227" i="1"/>
  <c r="P229" i="1"/>
  <c r="P231" i="1"/>
  <c r="P233" i="1"/>
  <c r="P235" i="1"/>
  <c r="P237" i="1"/>
  <c r="P239" i="1"/>
  <c r="P241" i="1"/>
  <c r="P243" i="1"/>
  <c r="P245" i="1"/>
  <c r="P247" i="1"/>
  <c r="P249" i="1"/>
  <c r="P251" i="1"/>
  <c r="P253" i="1"/>
  <c r="P256" i="1"/>
  <c r="P262" i="1"/>
  <c r="P265" i="1"/>
  <c r="P268" i="1"/>
  <c r="P271" i="1"/>
  <c r="P273" i="1"/>
  <c r="P276" i="1"/>
  <c r="P277" i="1"/>
  <c r="P278" i="1"/>
  <c r="P286" i="1"/>
  <c r="P287" i="1"/>
  <c r="P290" i="1"/>
  <c r="P292" i="1"/>
  <c r="Q310" i="1"/>
  <c r="P311" i="1"/>
  <c r="P322" i="1"/>
  <c r="P327" i="1"/>
  <c r="N327" i="1"/>
  <c r="P332" i="1"/>
  <c r="N332" i="1"/>
  <c r="Q332" i="1"/>
  <c r="P344" i="1"/>
  <c r="N344" i="1"/>
  <c r="Q344" i="1"/>
  <c r="N347" i="1"/>
  <c r="K400" i="1"/>
  <c r="K401" i="1" s="1"/>
  <c r="K402" i="1" s="1"/>
  <c r="K403" i="1" s="1"/>
  <c r="K404" i="1" s="1"/>
  <c r="K405" i="1" s="1"/>
  <c r="N399" i="1"/>
  <c r="K418" i="1"/>
  <c r="K419" i="1" s="1"/>
  <c r="K420" i="1" s="1"/>
  <c r="K421" i="1" s="1"/>
  <c r="K422" i="1" s="1"/>
  <c r="N417" i="1"/>
  <c r="N442" i="1"/>
  <c r="P199" i="1"/>
  <c r="P201" i="1"/>
  <c r="P203" i="1"/>
  <c r="P205" i="1"/>
  <c r="P208" i="1"/>
  <c r="P209" i="1"/>
  <c r="Q211" i="1"/>
  <c r="Q213" i="1"/>
  <c r="Q215" i="1"/>
  <c r="Q217" i="1"/>
  <c r="P219" i="1"/>
  <c r="Q222" i="1"/>
  <c r="P224" i="1"/>
  <c r="Q225" i="1"/>
  <c r="Q227" i="1"/>
  <c r="Q229" i="1"/>
  <c r="Q231" i="1"/>
  <c r="Q233" i="1"/>
  <c r="Q235" i="1"/>
  <c r="Q237" i="1"/>
  <c r="Q239" i="1"/>
  <c r="Q241" i="1"/>
  <c r="Q243" i="1"/>
  <c r="Q245" i="1"/>
  <c r="Q247" i="1"/>
  <c r="Q249" i="1"/>
  <c r="Q251" i="1"/>
  <c r="Q253" i="1"/>
  <c r="P254" i="1"/>
  <c r="Q256" i="1"/>
  <c r="P259" i="1"/>
  <c r="Q262" i="1"/>
  <c r="P263" i="1"/>
  <c r="Q265" i="1"/>
  <c r="Q268" i="1"/>
  <c r="Q271" i="1"/>
  <c r="Q273" i="1"/>
  <c r="P274" i="1"/>
  <c r="Q276" i="1"/>
  <c r="Q277" i="1"/>
  <c r="Q278" i="1"/>
  <c r="P280" i="1"/>
  <c r="P282" i="1"/>
  <c r="Q286" i="1"/>
  <c r="Q287" i="1"/>
  <c r="Q290" i="1"/>
  <c r="Q292" i="1"/>
  <c r="P293" i="1"/>
  <c r="N297" i="1"/>
  <c r="N300" i="1"/>
  <c r="Q303" i="1"/>
  <c r="P309" i="1"/>
  <c r="Q311" i="1"/>
  <c r="N313" i="1"/>
  <c r="Q322" i="1"/>
  <c r="Q263" i="1"/>
  <c r="N305" i="1"/>
  <c r="P306" i="1"/>
  <c r="P307" i="1"/>
  <c r="N310" i="1"/>
  <c r="P313" i="1"/>
  <c r="Q315" i="1"/>
  <c r="P319" i="1"/>
  <c r="N323" i="1"/>
  <c r="P323" i="1"/>
  <c r="N364" i="1"/>
  <c r="K383" i="1"/>
  <c r="K384" i="1" s="1"/>
  <c r="K385" i="1" s="1"/>
  <c r="K386" i="1" s="1"/>
  <c r="K387" i="1" s="1"/>
  <c r="K388" i="1" s="1"/>
  <c r="K389" i="1" s="1"/>
  <c r="K390" i="1" s="1"/>
  <c r="N390" i="1" s="1"/>
  <c r="N382" i="1"/>
  <c r="N398" i="1"/>
  <c r="K440" i="1"/>
  <c r="K441" i="1" s="1"/>
  <c r="K442" i="1" s="1"/>
  <c r="K443" i="1" s="1"/>
  <c r="K444" i="1" s="1"/>
  <c r="K445" i="1" s="1"/>
  <c r="K446" i="1" s="1"/>
  <c r="K447" i="1" s="1"/>
  <c r="K448" i="1" s="1"/>
  <c r="K449" i="1" s="1"/>
  <c r="N439" i="1"/>
  <c r="P320" i="1"/>
  <c r="N320" i="1"/>
  <c r="N328" i="1"/>
  <c r="P328" i="1"/>
  <c r="N330" i="1"/>
  <c r="P330" i="1"/>
  <c r="P337" i="1"/>
  <c r="N337" i="1"/>
  <c r="Q337" i="1"/>
  <c r="K349" i="1"/>
  <c r="K350" i="1" s="1"/>
  <c r="K351" i="1" s="1"/>
  <c r="K352" i="1" s="1"/>
  <c r="K353" i="1" s="1"/>
  <c r="K354" i="1" s="1"/>
  <c r="K355" i="1" s="1"/>
  <c r="K356" i="1" s="1"/>
  <c r="N356" i="1" s="1"/>
  <c r="N348" i="1"/>
  <c r="K366" i="1"/>
  <c r="K367" i="1" s="1"/>
  <c r="K368" i="1" s="1"/>
  <c r="K369" i="1" s="1"/>
  <c r="K370" i="1" s="1"/>
  <c r="K371" i="1" s="1"/>
  <c r="K372" i="1" s="1"/>
  <c r="K373" i="1" s="1"/>
  <c r="N373" i="1" s="1"/>
  <c r="N365" i="1"/>
  <c r="Q349" i="1"/>
  <c r="Q354" i="1"/>
  <c r="Q361" i="1"/>
  <c r="Q366" i="1"/>
  <c r="Q371" i="1"/>
  <c r="Q378" i="1"/>
  <c r="Q383" i="1"/>
  <c r="Q388" i="1"/>
  <c r="Q395" i="1"/>
  <c r="Q400" i="1"/>
  <c r="Q413" i="1"/>
  <c r="Q418" i="1"/>
  <c r="Q421" i="1"/>
  <c r="N424" i="1"/>
  <c r="Q425" i="1"/>
  <c r="Q427" i="1"/>
  <c r="Q429" i="1"/>
  <c r="N431" i="1"/>
  <c r="Q432" i="1"/>
  <c r="Q433" i="1"/>
  <c r="Q436" i="1"/>
  <c r="Q438" i="1"/>
  <c r="P439" i="1"/>
  <c r="Q443" i="1"/>
  <c r="N468" i="1"/>
  <c r="K510" i="1"/>
  <c r="K511" i="1" s="1"/>
  <c r="K512" i="1" s="1"/>
  <c r="N509" i="1"/>
  <c r="K586" i="1"/>
  <c r="K587" i="1" s="1"/>
  <c r="K588" i="1" s="1"/>
  <c r="N585" i="1"/>
  <c r="P339" i="1"/>
  <c r="P340" i="1"/>
  <c r="P345" i="1"/>
  <c r="P347" i="1"/>
  <c r="N349" i="1"/>
  <c r="N354" i="1"/>
  <c r="P356" i="1"/>
  <c r="P357" i="1"/>
  <c r="N361" i="1"/>
  <c r="P362" i="1"/>
  <c r="P364" i="1"/>
  <c r="N366" i="1"/>
  <c r="N371" i="1"/>
  <c r="P373" i="1"/>
  <c r="P374" i="1"/>
  <c r="N378" i="1"/>
  <c r="P379" i="1"/>
  <c r="P381" i="1"/>
  <c r="N383" i="1"/>
  <c r="N388" i="1"/>
  <c r="P390" i="1"/>
  <c r="P391" i="1"/>
  <c r="N395" i="1"/>
  <c r="P396" i="1"/>
  <c r="P398" i="1"/>
  <c r="N400" i="1"/>
  <c r="P405" i="1"/>
  <c r="P408" i="1"/>
  <c r="P409" i="1"/>
  <c r="N413" i="1"/>
  <c r="P414" i="1"/>
  <c r="P416" i="1"/>
  <c r="N418" i="1"/>
  <c r="N421" i="1"/>
  <c r="P423" i="1"/>
  <c r="N425" i="1"/>
  <c r="P426" i="1"/>
  <c r="N427" i="1"/>
  <c r="N429" i="1"/>
  <c r="N432" i="1"/>
  <c r="N433" i="1"/>
  <c r="N436" i="1"/>
  <c r="N438" i="1"/>
  <c r="N443" i="1"/>
  <c r="Q445" i="1"/>
  <c r="P446" i="1"/>
  <c r="N469" i="1"/>
  <c r="K470" i="1"/>
  <c r="K471" i="1" s="1"/>
  <c r="K472" i="1" s="1"/>
  <c r="K473" i="1" s="1"/>
  <c r="K474" i="1" s="1"/>
  <c r="K492" i="1"/>
  <c r="K493" i="1" s="1"/>
  <c r="K494" i="1" s="1"/>
  <c r="K495" i="1" s="1"/>
  <c r="K496" i="1" s="1"/>
  <c r="K497" i="1" s="1"/>
  <c r="K498" i="1" s="1"/>
  <c r="K499" i="1" s="1"/>
  <c r="K500" i="1" s="1"/>
  <c r="K501" i="1" s="1"/>
  <c r="N491" i="1"/>
  <c r="Q373" i="1"/>
  <c r="Q390" i="1"/>
  <c r="Q405" i="1"/>
  <c r="N448" i="1"/>
  <c r="N558" i="1"/>
  <c r="P448" i="1"/>
  <c r="N494" i="1"/>
  <c r="K530" i="1"/>
  <c r="N529" i="1"/>
  <c r="N562" i="1"/>
  <c r="K563" i="1"/>
  <c r="K564" i="1" s="1"/>
  <c r="K565" i="1" s="1"/>
  <c r="K566" i="1" s="1"/>
  <c r="P450" i="1"/>
  <c r="Q452" i="1"/>
  <c r="P457" i="1"/>
  <c r="P460" i="1"/>
  <c r="P461" i="1"/>
  <c r="N465" i="1"/>
  <c r="P466" i="1"/>
  <c r="P468" i="1"/>
  <c r="N470" i="1"/>
  <c r="N473" i="1"/>
  <c r="P475" i="1"/>
  <c r="N477" i="1"/>
  <c r="P478" i="1"/>
  <c r="N479" i="1"/>
  <c r="N481" i="1"/>
  <c r="N484" i="1"/>
  <c r="N485" i="1"/>
  <c r="N488" i="1"/>
  <c r="N490" i="1"/>
  <c r="Q491" i="1"/>
  <c r="Q496" i="1"/>
  <c r="N497" i="1"/>
  <c r="N499" i="1"/>
  <c r="N502" i="1"/>
  <c r="N503" i="1"/>
  <c r="N506" i="1"/>
  <c r="N508" i="1"/>
  <c r="Q509" i="1"/>
  <c r="Q511" i="1"/>
  <c r="Q515" i="1"/>
  <c r="Q517" i="1"/>
  <c r="Q519" i="1"/>
  <c r="N521" i="1"/>
  <c r="Q522" i="1"/>
  <c r="Q523" i="1"/>
  <c r="Q524" i="1"/>
  <c r="Q525" i="1"/>
  <c r="N527" i="1"/>
  <c r="Q530" i="1"/>
  <c r="N531" i="1"/>
  <c r="Q532" i="1"/>
  <c r="Q536" i="1"/>
  <c r="N537" i="1"/>
  <c r="N539" i="1"/>
  <c r="Q540" i="1"/>
  <c r="P541" i="1"/>
  <c r="N543" i="1"/>
  <c r="Q544" i="1"/>
  <c r="N550" i="1"/>
  <c r="N553" i="1"/>
  <c r="N554" i="1"/>
  <c r="P558" i="1"/>
  <c r="N559" i="1"/>
  <c r="N561" i="1"/>
  <c r="P563" i="1"/>
  <c r="P567" i="1"/>
  <c r="Q570" i="1"/>
  <c r="P571" i="1"/>
  <c r="N572" i="1"/>
  <c r="P573" i="1"/>
  <c r="P575" i="1"/>
  <c r="Q577" i="1"/>
  <c r="P578" i="1"/>
  <c r="P579" i="1"/>
  <c r="Q580" i="1"/>
  <c r="Q581" i="1"/>
  <c r="P582" i="1"/>
  <c r="P584" i="1"/>
  <c r="Q586" i="1"/>
  <c r="N587" i="1"/>
  <c r="P590" i="1"/>
  <c r="Q450" i="1"/>
  <c r="Q457" i="1"/>
  <c r="N544" i="1"/>
  <c r="Q558" i="1"/>
  <c r="Q563" i="1"/>
  <c r="Q567" i="1"/>
  <c r="N570" i="1"/>
  <c r="Q571" i="1"/>
  <c r="Q573" i="1"/>
  <c r="N577" i="1"/>
  <c r="Q578" i="1"/>
  <c r="Q579" i="1"/>
  <c r="Q582" i="1"/>
  <c r="Q584" i="1"/>
  <c r="Q590" i="1"/>
  <c r="N598" i="1"/>
  <c r="Q598" i="1"/>
  <c r="P598" i="1"/>
  <c r="N614" i="1"/>
  <c r="K615" i="1"/>
  <c r="N640" i="1"/>
  <c r="K641" i="1"/>
  <c r="P465" i="1"/>
  <c r="P470" i="1"/>
  <c r="P473" i="1"/>
  <c r="P477" i="1"/>
  <c r="P479" i="1"/>
  <c r="P481" i="1"/>
  <c r="Q483" i="1"/>
  <c r="P484" i="1"/>
  <c r="P485" i="1"/>
  <c r="P488" i="1"/>
  <c r="P490" i="1"/>
  <c r="P495" i="1"/>
  <c r="P497" i="1"/>
  <c r="P499" i="1"/>
  <c r="P502" i="1"/>
  <c r="P503" i="1"/>
  <c r="P506" i="1"/>
  <c r="P508" i="1"/>
  <c r="P514" i="1"/>
  <c r="P521" i="1"/>
  <c r="P527" i="1"/>
  <c r="P531" i="1"/>
  <c r="P535" i="1"/>
  <c r="P537" i="1"/>
  <c r="P539" i="1"/>
  <c r="P543" i="1"/>
  <c r="P550" i="1"/>
  <c r="P561" i="1"/>
  <c r="P569" i="1"/>
  <c r="P572" i="1"/>
  <c r="Q596" i="1"/>
  <c r="P596" i="1"/>
  <c r="K659" i="1"/>
  <c r="N658" i="1"/>
  <c r="Q595" i="1"/>
  <c r="P600" i="1"/>
  <c r="P602" i="1"/>
  <c r="P609" i="1"/>
  <c r="P613" i="1"/>
  <c r="P618" i="1"/>
  <c r="P621" i="1"/>
  <c r="P624" i="1"/>
  <c r="P635" i="1"/>
  <c r="P639" i="1"/>
  <c r="Q642" i="1"/>
  <c r="P644" i="1"/>
  <c r="P646" i="1"/>
  <c r="Q650" i="1"/>
  <c r="P653" i="1"/>
  <c r="P655" i="1"/>
  <c r="P662" i="1"/>
  <c r="K684" i="1"/>
  <c r="K685" i="1" s="1"/>
  <c r="K686" i="1" s="1"/>
  <c r="N683" i="1"/>
  <c r="Q600" i="1"/>
  <c r="Q602" i="1"/>
  <c r="P603" i="1"/>
  <c r="P606" i="1"/>
  <c r="P607" i="1"/>
  <c r="Q609" i="1"/>
  <c r="P612" i="1"/>
  <c r="Q613" i="1"/>
  <c r="P614" i="1"/>
  <c r="Q618" i="1"/>
  <c r="Q621" i="1"/>
  <c r="P622" i="1"/>
  <c r="Q624" i="1"/>
  <c r="Q626" i="1"/>
  <c r="Q628" i="1"/>
  <c r="P629" i="1"/>
  <c r="P632" i="1"/>
  <c r="P633" i="1"/>
  <c r="Q635" i="1"/>
  <c r="P638" i="1"/>
  <c r="Q639" i="1"/>
  <c r="P640" i="1"/>
  <c r="Q644" i="1"/>
  <c r="Q646" i="1"/>
  <c r="P647" i="1"/>
  <c r="N651" i="1"/>
  <c r="Q656" i="1"/>
  <c r="P657" i="1"/>
  <c r="Q659" i="1"/>
  <c r="P663" i="1"/>
  <c r="K710" i="1"/>
  <c r="K711" i="1" s="1"/>
  <c r="K712" i="1" s="1"/>
  <c r="N709" i="1"/>
  <c r="Q603" i="1"/>
  <c r="Q622" i="1"/>
  <c r="Q629" i="1"/>
  <c r="Q647" i="1"/>
  <c r="N650" i="1"/>
  <c r="N653" i="1"/>
  <c r="N662" i="1"/>
  <c r="Q663" i="1"/>
  <c r="N670" i="1"/>
  <c r="Q670" i="1"/>
  <c r="P670" i="1"/>
  <c r="N655" i="1"/>
  <c r="P667" i="1"/>
  <c r="N669" i="1"/>
  <c r="N671" i="1"/>
  <c r="P672" i="1"/>
  <c r="N673" i="1"/>
  <c r="P674" i="1"/>
  <c r="N676" i="1"/>
  <c r="N677" i="1"/>
  <c r="N680" i="1"/>
  <c r="P681" i="1"/>
  <c r="N682" i="1"/>
  <c r="P685" i="1"/>
  <c r="N689" i="1"/>
  <c r="P690" i="1"/>
  <c r="N691" i="1"/>
  <c r="Q692" i="1"/>
  <c r="P693" i="1"/>
  <c r="N695" i="1"/>
  <c r="P696" i="1"/>
  <c r="N697" i="1"/>
  <c r="P698" i="1"/>
  <c r="N699" i="1"/>
  <c r="P700" i="1"/>
  <c r="N702" i="1"/>
  <c r="N703" i="1"/>
  <c r="N706" i="1"/>
  <c r="P707" i="1"/>
  <c r="N708" i="1"/>
  <c r="P711" i="1"/>
  <c r="Q714" i="1"/>
  <c r="N716" i="1"/>
  <c r="K787" i="1"/>
  <c r="K784" i="1"/>
  <c r="Q672" i="1"/>
  <c r="Q674" i="1"/>
  <c r="Q681" i="1"/>
  <c r="Q685" i="1"/>
  <c r="Q690" i="1"/>
  <c r="Q693" i="1"/>
  <c r="Q696" i="1"/>
  <c r="Q698" i="1"/>
  <c r="Q700" i="1"/>
  <c r="P726" i="1"/>
  <c r="N726" i="1"/>
  <c r="Q726" i="1"/>
  <c r="P695" i="1"/>
  <c r="P697" i="1"/>
  <c r="P702" i="1"/>
  <c r="P703" i="1"/>
  <c r="P706" i="1"/>
  <c r="P708" i="1"/>
  <c r="P713" i="1"/>
  <c r="Q716" i="1"/>
  <c r="P717" i="1"/>
  <c r="K756" i="1"/>
  <c r="K757" i="1" s="1"/>
  <c r="K758" i="1" s="1"/>
  <c r="N755" i="1"/>
  <c r="P719" i="1"/>
  <c r="P722" i="1"/>
  <c r="N722" i="1"/>
  <c r="Q722" i="1"/>
  <c r="P724" i="1"/>
  <c r="N724" i="1"/>
  <c r="Q724" i="1"/>
  <c r="N738" i="1"/>
  <c r="K739" i="1"/>
  <c r="K740" i="1" s="1"/>
  <c r="K741" i="1" s="1"/>
  <c r="K742" i="1" s="1"/>
  <c r="K743" i="1" s="1"/>
  <c r="K744" i="1" s="1"/>
  <c r="K745" i="1" s="1"/>
  <c r="K746" i="1" s="1"/>
  <c r="K747" i="1" s="1"/>
  <c r="Q733" i="1"/>
  <c r="N735" i="1"/>
  <c r="Q737" i="1"/>
  <c r="Q741" i="1"/>
  <c r="Q743" i="1"/>
  <c r="Q745" i="1"/>
  <c r="N747" i="1"/>
  <c r="Q748" i="1"/>
  <c r="Q749" i="1"/>
  <c r="Q752" i="1"/>
  <c r="Q754" i="1"/>
  <c r="Q759" i="1"/>
  <c r="N765" i="1"/>
  <c r="N766" i="1"/>
  <c r="N769" i="1"/>
  <c r="N771" i="1"/>
  <c r="Q772" i="1"/>
  <c r="N776" i="1"/>
  <c r="Q777" i="1"/>
  <c r="Q778" i="1"/>
  <c r="Q782" i="1"/>
  <c r="K796" i="1"/>
  <c r="K797" i="1" s="1"/>
  <c r="K798" i="1" s="1"/>
  <c r="K799" i="1" s="1"/>
  <c r="N795" i="1"/>
  <c r="Q805" i="1"/>
  <c r="P805" i="1"/>
  <c r="N805" i="1"/>
  <c r="N835" i="1"/>
  <c r="P721" i="1"/>
  <c r="P723" i="1"/>
  <c r="P728" i="1"/>
  <c r="N733" i="1"/>
  <c r="N737" i="1"/>
  <c r="N743" i="1"/>
  <c r="P744" i="1"/>
  <c r="N745" i="1"/>
  <c r="P746" i="1"/>
  <c r="N748" i="1"/>
  <c r="N749" i="1"/>
  <c r="N752" i="1"/>
  <c r="P753" i="1"/>
  <c r="N754" i="1"/>
  <c r="P757" i="1"/>
  <c r="N759" i="1"/>
  <c r="P764" i="1"/>
  <c r="N772" i="1"/>
  <c r="N777" i="1"/>
  <c r="N781" i="1"/>
  <c r="Q790" i="1"/>
  <c r="P790" i="1"/>
  <c r="N790" i="1"/>
  <c r="Q803" i="1"/>
  <c r="P803" i="1"/>
  <c r="N803" i="1"/>
  <c r="N821" i="1"/>
  <c r="K822" i="1"/>
  <c r="K823" i="1" s="1"/>
  <c r="K824" i="1" s="1"/>
  <c r="K825" i="1" s="1"/>
  <c r="K826" i="1" s="1"/>
  <c r="K827" i="1" s="1"/>
  <c r="N816" i="1"/>
  <c r="Q785" i="1"/>
  <c r="P785" i="1"/>
  <c r="Q791" i="1"/>
  <c r="P791" i="1"/>
  <c r="N791" i="1"/>
  <c r="Q796" i="1"/>
  <c r="P796" i="1"/>
  <c r="N796" i="1"/>
  <c r="N839" i="1"/>
  <c r="K840" i="1"/>
  <c r="K841" i="1" s="1"/>
  <c r="K842" i="1" s="1"/>
  <c r="K843" i="1" s="1"/>
  <c r="K844" i="1" s="1"/>
  <c r="K845" i="1" s="1"/>
  <c r="P778" i="1"/>
  <c r="Q781" i="1"/>
  <c r="P782" i="1"/>
  <c r="N784" i="1"/>
  <c r="Q784" i="1"/>
  <c r="Q798" i="1"/>
  <c r="P798" i="1"/>
  <c r="Q786" i="1"/>
  <c r="Q806" i="1"/>
  <c r="N814" i="1"/>
  <c r="N818" i="1"/>
  <c r="N820" i="1"/>
  <c r="N827" i="1"/>
  <c r="Q828" i="1"/>
  <c r="N830" i="1"/>
  <c r="N831" i="1"/>
  <c r="N836" i="1"/>
  <c r="N838" i="1"/>
  <c r="N845" i="1"/>
  <c r="Q846" i="1"/>
  <c r="N848" i="1"/>
  <c r="N849" i="1"/>
  <c r="N850" i="1"/>
  <c r="N851" i="1"/>
  <c r="N852" i="1"/>
  <c r="N853" i="1"/>
  <c r="N854" i="1"/>
  <c r="N855" i="1"/>
  <c r="N856" i="1"/>
  <c r="N857" i="1"/>
  <c r="N858" i="1"/>
  <c r="N859" i="1"/>
  <c r="N860" i="1"/>
  <c r="P824" i="1"/>
  <c r="P826" i="1"/>
  <c r="P842" i="1"/>
  <c r="P844" i="1"/>
  <c r="N846" i="1"/>
  <c r="Q793" i="1"/>
  <c r="Q797" i="1"/>
  <c r="Q801" i="1"/>
  <c r="P814" i="1"/>
  <c r="Q816" i="1"/>
  <c r="P818" i="1"/>
  <c r="Q819" i="1"/>
  <c r="P820" i="1"/>
  <c r="Q824" i="1"/>
  <c r="Q826" i="1"/>
  <c r="P827" i="1"/>
  <c r="P830" i="1"/>
  <c r="P831" i="1"/>
  <c r="Q833" i="1"/>
  <c r="P836" i="1"/>
  <c r="Q837" i="1"/>
  <c r="P838" i="1"/>
  <c r="Q842" i="1"/>
  <c r="Q844" i="1"/>
  <c r="P845" i="1"/>
  <c r="N495" i="1" l="1"/>
  <c r="N740" i="1"/>
  <c r="K829" i="1"/>
  <c r="K828" i="1"/>
  <c r="K830" i="1" s="1"/>
  <c r="K759" i="1"/>
  <c r="K760" i="1" s="1"/>
  <c r="K761" i="1" s="1"/>
  <c r="K762" i="1" s="1"/>
  <c r="K763" i="1" s="1"/>
  <c r="K764" i="1" s="1"/>
  <c r="N758" i="1"/>
  <c r="N712" i="1"/>
  <c r="K713" i="1"/>
  <c r="N686" i="1"/>
  <c r="K687" i="1"/>
  <c r="K532" i="1"/>
  <c r="K531" i="1"/>
  <c r="K533" i="1" s="1"/>
  <c r="N474" i="1"/>
  <c r="K475" i="1"/>
  <c r="N512" i="1"/>
  <c r="K513" i="1"/>
  <c r="K407" i="1"/>
  <c r="K406" i="1"/>
  <c r="K408" i="1" s="1"/>
  <c r="L160" i="1"/>
  <c r="L166" i="1"/>
  <c r="K25" i="1"/>
  <c r="K26" i="1" s="1"/>
  <c r="K27" i="1" s="1"/>
  <c r="K28" i="1" s="1"/>
  <c r="K29" i="1" s="1"/>
  <c r="N798" i="1"/>
  <c r="K847" i="1"/>
  <c r="K846" i="1"/>
  <c r="K848" i="1" s="1"/>
  <c r="K749" i="1"/>
  <c r="K748" i="1"/>
  <c r="K750" i="1" s="1"/>
  <c r="N739" i="1"/>
  <c r="N659" i="1"/>
  <c r="K660" i="1"/>
  <c r="K616" i="1"/>
  <c r="K617" i="1" s="1"/>
  <c r="K618" i="1" s="1"/>
  <c r="K619" i="1" s="1"/>
  <c r="K620" i="1" s="1"/>
  <c r="N615" i="1"/>
  <c r="K568" i="1"/>
  <c r="N568" i="1" s="1"/>
  <c r="K567" i="1"/>
  <c r="N588" i="1"/>
  <c r="K589" i="1"/>
  <c r="K450" i="1"/>
  <c r="K451" i="1" s="1"/>
  <c r="K452" i="1" s="1"/>
  <c r="K453" i="1" s="1"/>
  <c r="K454" i="1" s="1"/>
  <c r="K455" i="1" s="1"/>
  <c r="K456" i="1" s="1"/>
  <c r="K457" i="1" s="1"/>
  <c r="N449" i="1"/>
  <c r="K117" i="1"/>
  <c r="K118" i="1" s="1"/>
  <c r="N116" i="1"/>
  <c r="L22" i="1"/>
  <c r="L28" i="1"/>
  <c r="K800" i="1"/>
  <c r="N799" i="1"/>
  <c r="N422" i="1"/>
  <c r="K423" i="1"/>
  <c r="N741" i="1"/>
  <c r="K788" i="1"/>
  <c r="K785" i="1"/>
  <c r="K642" i="1"/>
  <c r="K643" i="1" s="1"/>
  <c r="K644" i="1" s="1"/>
  <c r="K645" i="1" s="1"/>
  <c r="K646" i="1" s="1"/>
  <c r="K647" i="1" s="1"/>
  <c r="N641" i="1"/>
  <c r="K503" i="1"/>
  <c r="K502" i="1"/>
  <c r="K504" i="1" s="1"/>
  <c r="N296" i="1"/>
  <c r="K259" i="1"/>
  <c r="K260" i="1" s="1"/>
  <c r="N258" i="1"/>
  <c r="K168" i="1"/>
  <c r="K169" i="1" s="1"/>
  <c r="K170" i="1" s="1"/>
  <c r="K172" i="1" l="1"/>
  <c r="N172" i="1" s="1"/>
  <c r="K171" i="1"/>
  <c r="K173" i="1" s="1"/>
  <c r="K789" i="1"/>
  <c r="K786" i="1"/>
  <c r="K790" i="1" s="1"/>
  <c r="K569" i="1"/>
  <c r="N567" i="1"/>
  <c r="N660" i="1"/>
  <c r="K661" i="1"/>
  <c r="K30" i="1"/>
  <c r="K31" i="1" s="1"/>
  <c r="K32" i="1" s="1"/>
  <c r="K33" i="1" s="1"/>
  <c r="K34" i="1" s="1"/>
  <c r="K476" i="1"/>
  <c r="K477" i="1" s="1"/>
  <c r="K478" i="1" s="1"/>
  <c r="K479" i="1" s="1"/>
  <c r="K480" i="1" s="1"/>
  <c r="K481" i="1" s="1"/>
  <c r="K482" i="1" s="1"/>
  <c r="K483" i="1" s="1"/>
  <c r="N475" i="1"/>
  <c r="K688" i="1"/>
  <c r="K689" i="1" s="1"/>
  <c r="K690" i="1" s="1"/>
  <c r="K691" i="1" s="1"/>
  <c r="K692" i="1" s="1"/>
  <c r="N687" i="1"/>
  <c r="L23" i="1"/>
  <c r="L24" i="1"/>
  <c r="N24" i="1" s="1"/>
  <c r="L29" i="1"/>
  <c r="N29" i="1" s="1"/>
  <c r="K459" i="1"/>
  <c r="K458" i="1"/>
  <c r="K460" i="1" s="1"/>
  <c r="K766" i="1"/>
  <c r="K765" i="1"/>
  <c r="K767" i="1" s="1"/>
  <c r="K261" i="1"/>
  <c r="N260" i="1"/>
  <c r="N800" i="1"/>
  <c r="K801" i="1"/>
  <c r="K802" i="1" s="1"/>
  <c r="K803" i="1" s="1"/>
  <c r="K804" i="1" s="1"/>
  <c r="N589" i="1"/>
  <c r="K590" i="1"/>
  <c r="K591" i="1" s="1"/>
  <c r="K592" i="1" s="1"/>
  <c r="K593" i="1" s="1"/>
  <c r="K594" i="1" s="1"/>
  <c r="N513" i="1"/>
  <c r="K514" i="1"/>
  <c r="K535" i="1"/>
  <c r="N533" i="1"/>
  <c r="K714" i="1"/>
  <c r="K715" i="1" s="1"/>
  <c r="K716" i="1" s="1"/>
  <c r="K717" i="1" s="1"/>
  <c r="K718" i="1" s="1"/>
  <c r="N713" i="1"/>
  <c r="K649" i="1"/>
  <c r="K648" i="1"/>
  <c r="K650" i="1" s="1"/>
  <c r="K424" i="1"/>
  <c r="K425" i="1" s="1"/>
  <c r="K426" i="1" s="1"/>
  <c r="K427" i="1" s="1"/>
  <c r="K428" i="1" s="1"/>
  <c r="K429" i="1" s="1"/>
  <c r="K430" i="1" s="1"/>
  <c r="K431" i="1" s="1"/>
  <c r="N423" i="1"/>
  <c r="K119" i="1"/>
  <c r="N118" i="1"/>
  <c r="K621" i="1"/>
  <c r="N620" i="1"/>
  <c r="L167" i="1"/>
  <c r="N167" i="1" s="1"/>
  <c r="L162" i="1"/>
  <c r="N162" i="1" s="1"/>
  <c r="L161" i="1"/>
  <c r="K534" i="1"/>
  <c r="N534" i="1" s="1"/>
  <c r="N532" i="1"/>
  <c r="K433" i="1" l="1"/>
  <c r="K432" i="1"/>
  <c r="K434" i="1" s="1"/>
  <c r="K719" i="1"/>
  <c r="N718" i="1"/>
  <c r="K662" i="1"/>
  <c r="K663" i="1" s="1"/>
  <c r="K664" i="1" s="1"/>
  <c r="K665" i="1" s="1"/>
  <c r="K666" i="1" s="1"/>
  <c r="N661" i="1"/>
  <c r="L163" i="1"/>
  <c r="N161" i="1"/>
  <c r="K595" i="1"/>
  <c r="N594" i="1"/>
  <c r="L25" i="1"/>
  <c r="N23" i="1"/>
  <c r="K485" i="1"/>
  <c r="K484" i="1"/>
  <c r="K486" i="1" s="1"/>
  <c r="K622" i="1"/>
  <c r="K623" i="1" s="1"/>
  <c r="K624" i="1" s="1"/>
  <c r="K625" i="1" s="1"/>
  <c r="K626" i="1" s="1"/>
  <c r="K627" i="1" s="1"/>
  <c r="K628" i="1" s="1"/>
  <c r="K629" i="1" s="1"/>
  <c r="N621" i="1"/>
  <c r="N119" i="1"/>
  <c r="K120" i="1"/>
  <c r="K536" i="1"/>
  <c r="K537" i="1" s="1"/>
  <c r="K538" i="1" s="1"/>
  <c r="K539" i="1" s="1"/>
  <c r="N535" i="1"/>
  <c r="N261" i="1"/>
  <c r="K262" i="1"/>
  <c r="K174" i="1"/>
  <c r="N173" i="1"/>
  <c r="K515" i="1"/>
  <c r="N514" i="1"/>
  <c r="K805" i="1"/>
  <c r="K808" i="1"/>
  <c r="K693" i="1"/>
  <c r="N692" i="1"/>
  <c r="K35" i="1"/>
  <c r="N34" i="1"/>
  <c r="K570" i="1"/>
  <c r="K571" i="1" s="1"/>
  <c r="K572" i="1" s="1"/>
  <c r="K573" i="1" s="1"/>
  <c r="K574" i="1" s="1"/>
  <c r="K575" i="1" s="1"/>
  <c r="K576" i="1" s="1"/>
  <c r="K577" i="1" s="1"/>
  <c r="N569" i="1"/>
  <c r="K36" i="1" l="1"/>
  <c r="K37" i="1" s="1"/>
  <c r="K38" i="1" s="1"/>
  <c r="K39" i="1" s="1"/>
  <c r="N35" i="1"/>
  <c r="K806" i="1"/>
  <c r="K809" i="1"/>
  <c r="N174" i="1"/>
  <c r="K175" i="1"/>
  <c r="K540" i="1"/>
  <c r="K541" i="1"/>
  <c r="N541" i="1" s="1"/>
  <c r="K631" i="1"/>
  <c r="K630" i="1"/>
  <c r="K632" i="1" s="1"/>
  <c r="K720" i="1"/>
  <c r="K721" i="1" s="1"/>
  <c r="K722" i="1" s="1"/>
  <c r="K723" i="1" s="1"/>
  <c r="K724" i="1" s="1"/>
  <c r="K725" i="1" s="1"/>
  <c r="K726" i="1" s="1"/>
  <c r="K727" i="1" s="1"/>
  <c r="N719" i="1"/>
  <c r="K263" i="1"/>
  <c r="K264" i="1" s="1"/>
  <c r="N262" i="1"/>
  <c r="K121" i="1"/>
  <c r="K122" i="1" s="1"/>
  <c r="N120" i="1"/>
  <c r="K579" i="1"/>
  <c r="K578" i="1"/>
  <c r="K580" i="1" s="1"/>
  <c r="K694" i="1"/>
  <c r="K695" i="1" s="1"/>
  <c r="K696" i="1" s="1"/>
  <c r="K697" i="1" s="1"/>
  <c r="K698" i="1" s="1"/>
  <c r="K699" i="1" s="1"/>
  <c r="K700" i="1" s="1"/>
  <c r="K701" i="1" s="1"/>
  <c r="N693" i="1"/>
  <c r="N515" i="1"/>
  <c r="K516" i="1"/>
  <c r="K517" i="1" s="1"/>
  <c r="K518" i="1" s="1"/>
  <c r="K519" i="1" s="1"/>
  <c r="K520" i="1" s="1"/>
  <c r="K521" i="1" s="1"/>
  <c r="K596" i="1"/>
  <c r="K597" i="1" s="1"/>
  <c r="K598" i="1" s="1"/>
  <c r="K599" i="1" s="1"/>
  <c r="K600" i="1" s="1"/>
  <c r="K601" i="1" s="1"/>
  <c r="K602" i="1" s="1"/>
  <c r="K603" i="1" s="1"/>
  <c r="N595" i="1"/>
  <c r="K667" i="1"/>
  <c r="N666" i="1"/>
  <c r="B48" i="6"/>
  <c r="L32" i="5"/>
  <c r="M32" i="5" s="1"/>
  <c r="D32" i="5"/>
  <c r="L35" i="5"/>
  <c r="M35" i="5" s="1"/>
  <c r="D35" i="5"/>
  <c r="L34" i="5"/>
  <c r="M34" i="5" s="1"/>
  <c r="D34" i="5"/>
  <c r="L33" i="5"/>
  <c r="M33" i="5" s="1"/>
  <c r="D33" i="5"/>
  <c r="L31" i="5"/>
  <c r="M31" i="5" s="1"/>
  <c r="H31" i="5"/>
  <c r="D31" i="5" s="1"/>
  <c r="L30" i="5"/>
  <c r="M30" i="5" s="1"/>
  <c r="D30" i="5"/>
  <c r="K605" i="1" l="1"/>
  <c r="K604" i="1"/>
  <c r="K606" i="1" s="1"/>
  <c r="K703" i="1"/>
  <c r="K702" i="1"/>
  <c r="K704" i="1" s="1"/>
  <c r="K123" i="1"/>
  <c r="K124" i="1" s="1"/>
  <c r="K125" i="1" s="1"/>
  <c r="K126" i="1" s="1"/>
  <c r="K127" i="1" s="1"/>
  <c r="K128" i="1" s="1"/>
  <c r="N122" i="1"/>
  <c r="K729" i="1"/>
  <c r="K728" i="1"/>
  <c r="K730" i="1" s="1"/>
  <c r="K542" i="1"/>
  <c r="N540" i="1"/>
  <c r="K810" i="1"/>
  <c r="K807" i="1"/>
  <c r="K811" i="1" s="1"/>
  <c r="K523" i="1"/>
  <c r="K522" i="1"/>
  <c r="K524" i="1" s="1"/>
  <c r="K176" i="1"/>
  <c r="K177" i="1" s="1"/>
  <c r="K178" i="1" s="1"/>
  <c r="K179" i="1" s="1"/>
  <c r="N175" i="1"/>
  <c r="K668" i="1"/>
  <c r="K669" i="1" s="1"/>
  <c r="K670" i="1" s="1"/>
  <c r="K671" i="1" s="1"/>
  <c r="K672" i="1" s="1"/>
  <c r="K673" i="1" s="1"/>
  <c r="K674" i="1" s="1"/>
  <c r="K675" i="1" s="1"/>
  <c r="N667" i="1"/>
  <c r="K265" i="1"/>
  <c r="K266" i="1" s="1"/>
  <c r="K267" i="1" s="1"/>
  <c r="K268" i="1" s="1"/>
  <c r="K269" i="1" s="1"/>
  <c r="K270" i="1" s="1"/>
  <c r="N264" i="1"/>
  <c r="K40" i="1"/>
  <c r="K41" i="1" s="1"/>
  <c r="N39" i="1"/>
  <c r="K271" i="1" l="1"/>
  <c r="N270" i="1"/>
  <c r="K180" i="1"/>
  <c r="K181" i="1" s="1"/>
  <c r="K182" i="1" s="1"/>
  <c r="N179" i="1"/>
  <c r="K42" i="1"/>
  <c r="K43" i="1" s="1"/>
  <c r="K44" i="1" s="1"/>
  <c r="N41" i="1"/>
  <c r="K677" i="1"/>
  <c r="K676" i="1"/>
  <c r="K678" i="1" s="1"/>
  <c r="N542" i="1"/>
  <c r="K543" i="1"/>
  <c r="K544" i="1" s="1"/>
  <c r="K545" i="1" s="1"/>
  <c r="K546" i="1" s="1"/>
  <c r="K547" i="1" s="1"/>
  <c r="K548" i="1" s="1"/>
  <c r="K549" i="1" s="1"/>
  <c r="K550" i="1" s="1"/>
  <c r="N128" i="1"/>
  <c r="K129" i="1"/>
  <c r="K130" i="1" l="1"/>
  <c r="N129" i="1"/>
  <c r="K183" i="1"/>
  <c r="N182" i="1"/>
  <c r="K552" i="1"/>
  <c r="K551" i="1"/>
  <c r="K553" i="1" s="1"/>
  <c r="K45" i="1"/>
  <c r="K46" i="1" s="1"/>
  <c r="K47" i="1" s="1"/>
  <c r="K48" i="1" s="1"/>
  <c r="K49" i="1" s="1"/>
  <c r="K50" i="1" s="1"/>
  <c r="K51" i="1" s="1"/>
  <c r="K52" i="1" s="1"/>
  <c r="K53" i="1" s="1"/>
  <c r="K54" i="1" s="1"/>
  <c r="K55" i="1" s="1"/>
  <c r="K56" i="1" s="1"/>
  <c r="N44" i="1"/>
  <c r="K272" i="1"/>
  <c r="N271" i="1"/>
  <c r="K57" i="1" l="1"/>
  <c r="K58" i="1" s="1"/>
  <c r="K59" i="1" s="1"/>
  <c r="K60" i="1" s="1"/>
  <c r="K61" i="1" s="1"/>
  <c r="K62" i="1" s="1"/>
  <c r="K63" i="1" s="1"/>
  <c r="K64" i="1" s="1"/>
  <c r="K65" i="1" s="1"/>
  <c r="N56" i="1"/>
  <c r="K184" i="1"/>
  <c r="K185" i="1" s="1"/>
  <c r="K186" i="1" s="1"/>
  <c r="N183" i="1"/>
  <c r="K274" i="1"/>
  <c r="N274" i="1" s="1"/>
  <c r="K273" i="1"/>
  <c r="K275" i="1" s="1"/>
  <c r="N130" i="1"/>
  <c r="K131" i="1"/>
  <c r="K132" i="1" s="1"/>
  <c r="K134" i="1" l="1"/>
  <c r="N134" i="1" s="1"/>
  <c r="K133" i="1"/>
  <c r="K135" i="1" s="1"/>
  <c r="K187" i="1"/>
  <c r="K188" i="1" s="1"/>
  <c r="K189" i="1" s="1"/>
  <c r="K190" i="1" s="1"/>
  <c r="K191" i="1" s="1"/>
  <c r="K192" i="1" s="1"/>
  <c r="K193" i="1" s="1"/>
  <c r="K194" i="1" s="1"/>
  <c r="K195" i="1" s="1"/>
  <c r="K196" i="1" s="1"/>
  <c r="K197" i="1" s="1"/>
  <c r="K198" i="1" s="1"/>
  <c r="N186" i="1"/>
  <c r="K276" i="1"/>
  <c r="K277" i="1" s="1"/>
  <c r="K278" i="1" s="1"/>
  <c r="N275" i="1"/>
  <c r="B36" i="6"/>
  <c r="K199" i="1" l="1"/>
  <c r="K200" i="1" s="1"/>
  <c r="K201" i="1" s="1"/>
  <c r="K202" i="1" s="1"/>
  <c r="K203" i="1" s="1"/>
  <c r="K204" i="1" s="1"/>
  <c r="K205" i="1" s="1"/>
  <c r="K206" i="1" s="1"/>
  <c r="K207" i="1" s="1"/>
  <c r="K208" i="1" s="1"/>
  <c r="N198" i="1"/>
  <c r="K136" i="1"/>
  <c r="K137" i="1" s="1"/>
  <c r="K138" i="1" s="1"/>
  <c r="N135" i="1"/>
  <c r="K279" i="1"/>
  <c r="K280" i="1" s="1"/>
  <c r="K281" i="1" s="1"/>
  <c r="K282" i="1" s="1"/>
  <c r="K283" i="1" s="1"/>
  <c r="K284" i="1" s="1"/>
  <c r="K285" i="1" s="1"/>
  <c r="N278" i="1"/>
  <c r="K139" i="1" l="1"/>
  <c r="K140" i="1" s="1"/>
  <c r="K141" i="1" s="1"/>
  <c r="K142" i="1" s="1"/>
  <c r="K143" i="1" s="1"/>
  <c r="K144" i="1" s="1"/>
  <c r="K145" i="1" s="1"/>
  <c r="N138" i="1"/>
  <c r="K287" i="1"/>
  <c r="K286" i="1"/>
  <c r="K288" i="1" s="1"/>
  <c r="K147" i="1" l="1"/>
  <c r="K146" i="1"/>
  <c r="K148" i="1" s="1"/>
  <c r="B40" i="6" l="1"/>
  <c r="L23" i="5"/>
  <c r="M23" i="5" s="1"/>
  <c r="D23" i="5"/>
  <c r="L27" i="5"/>
  <c r="M27" i="5" s="1"/>
  <c r="D27" i="5"/>
  <c r="L26" i="5"/>
  <c r="M26" i="5" s="1"/>
  <c r="D26" i="5"/>
  <c r="L25" i="5"/>
  <c r="M25" i="5" s="1"/>
  <c r="D25" i="5"/>
  <c r="L24" i="5"/>
  <c r="M24" i="5" s="1"/>
  <c r="D24" i="5"/>
  <c r="L22" i="5"/>
  <c r="M22" i="5" s="1"/>
  <c r="H22" i="5"/>
  <c r="D22" i="5" s="1"/>
  <c r="L21" i="5"/>
  <c r="M21" i="5" s="1"/>
  <c r="D21" i="5"/>
  <c r="L73" i="5" l="1"/>
  <c r="M73" i="5" s="1"/>
  <c r="D73" i="5"/>
  <c r="L17" i="5" l="1"/>
  <c r="M17" i="5" s="1"/>
  <c r="D17" i="5"/>
  <c r="G10" i="2" l="1"/>
  <c r="G9" i="2" l="1"/>
  <c r="G11" i="2" l="1"/>
  <c r="I47" i="11" l="1"/>
  <c r="I48" i="11" s="1"/>
  <c r="I49" i="11" s="1"/>
  <c r="I50" i="11" s="1"/>
  <c r="F47" i="11"/>
  <c r="F48" i="11" s="1"/>
  <c r="F49" i="11" s="1"/>
  <c r="F50" i="11" s="1"/>
  <c r="H44" i="11"/>
  <c r="E44" i="11"/>
  <c r="B44" i="11"/>
  <c r="BB43" i="11"/>
  <c r="AP43" i="11"/>
  <c r="AD43" i="11"/>
  <c r="BB42" i="11"/>
  <c r="AP42" i="11"/>
  <c r="AD42" i="11"/>
  <c r="BB41" i="11"/>
  <c r="AP41" i="11"/>
  <c r="AD41" i="11"/>
  <c r="BB40" i="11"/>
  <c r="AY40" i="11"/>
  <c r="AP40" i="11"/>
  <c r="AM40" i="11"/>
  <c r="AJ40" i="11"/>
  <c r="AD40" i="11"/>
  <c r="AA40" i="11"/>
  <c r="Y40" i="11"/>
  <c r="AK40" i="11" s="1"/>
  <c r="X40" i="11"/>
  <c r="BB39" i="11"/>
  <c r="AY39" i="11"/>
  <c r="AP39" i="11"/>
  <c r="AM39" i="11"/>
  <c r="AJ39" i="11"/>
  <c r="AD39" i="11"/>
  <c r="AA39" i="11"/>
  <c r="Y39" i="11"/>
  <c r="AK39" i="11" s="1"/>
  <c r="X39" i="11"/>
  <c r="W39" i="11"/>
  <c r="V39" i="11"/>
  <c r="BB38" i="11"/>
  <c r="AY38" i="11"/>
  <c r="AP38" i="11"/>
  <c r="AM38" i="11"/>
  <c r="AJ38" i="11"/>
  <c r="AD38" i="11"/>
  <c r="AA38" i="11"/>
  <c r="Y38" i="11"/>
  <c r="AK38" i="11" s="1"/>
  <c r="X38" i="11"/>
  <c r="W38" i="11"/>
  <c r="V38" i="11"/>
  <c r="BB37" i="11"/>
  <c r="AY37" i="11"/>
  <c r="AP37" i="11"/>
  <c r="AM37" i="11"/>
  <c r="AJ37" i="11"/>
  <c r="AD37" i="11"/>
  <c r="AA37" i="11"/>
  <c r="Y37" i="11"/>
  <c r="AK37" i="11" s="1"/>
  <c r="X37" i="11"/>
  <c r="W37" i="11"/>
  <c r="V37" i="11"/>
  <c r="BB36" i="11"/>
  <c r="AY36" i="11"/>
  <c r="AP36" i="11"/>
  <c r="AM36" i="11"/>
  <c r="AJ36" i="11"/>
  <c r="AD36" i="11"/>
  <c r="AA36" i="11"/>
  <c r="Y36" i="11"/>
  <c r="AK36" i="11" s="1"/>
  <c r="X36" i="11"/>
  <c r="W36" i="11"/>
  <c r="V36" i="11"/>
  <c r="BB35" i="11"/>
  <c r="AY35" i="11"/>
  <c r="AQ35" i="11"/>
  <c r="AP35" i="11"/>
  <c r="AN35" i="11"/>
  <c r="AM35" i="11"/>
  <c r="AJ35" i="11"/>
  <c r="AD35" i="11"/>
  <c r="AA35" i="11"/>
  <c r="Y35" i="11"/>
  <c r="AK35" i="11" s="1"/>
  <c r="X35" i="11"/>
  <c r="W35" i="11"/>
  <c r="V35" i="11"/>
  <c r="BB34" i="11"/>
  <c r="AY34" i="11"/>
  <c r="AP34" i="11"/>
  <c r="AM34" i="11"/>
  <c r="AJ34" i="11"/>
  <c r="AD34" i="11"/>
  <c r="AA34" i="11"/>
  <c r="Y34" i="11"/>
  <c r="AK34" i="11" s="1"/>
  <c r="X34" i="11"/>
  <c r="W34" i="11"/>
  <c r="V34" i="11"/>
  <c r="BB33" i="11"/>
  <c r="AY33" i="11"/>
  <c r="AP33" i="11"/>
  <c r="AM33" i="11"/>
  <c r="AJ33" i="11"/>
  <c r="AD33" i="11"/>
  <c r="AA33" i="11"/>
  <c r="Y33" i="11"/>
  <c r="AK33" i="11" s="1"/>
  <c r="X33" i="11"/>
  <c r="W33" i="11"/>
  <c r="V33" i="11"/>
  <c r="BB32" i="11"/>
  <c r="AY32" i="11"/>
  <c r="AP32" i="11"/>
  <c r="AM32" i="11"/>
  <c r="AJ32" i="11"/>
  <c r="AH32" i="11"/>
  <c r="AD32" i="11"/>
  <c r="AA32" i="11"/>
  <c r="Y32" i="11"/>
  <c r="AK32" i="11" s="1"/>
  <c r="X32" i="11"/>
  <c r="W32" i="11"/>
  <c r="AI32" i="11" s="1"/>
  <c r="V32" i="11"/>
  <c r="BB31" i="11"/>
  <c r="AY31" i="11"/>
  <c r="AP31" i="11"/>
  <c r="AM31" i="11"/>
  <c r="AJ31" i="11"/>
  <c r="AH31" i="11"/>
  <c r="AD31" i="11"/>
  <c r="AA31" i="11"/>
  <c r="Y31" i="11"/>
  <c r="AK31" i="11" s="1"/>
  <c r="X31" i="11"/>
  <c r="W31" i="11"/>
  <c r="AI31" i="11" s="1"/>
  <c r="V31" i="11"/>
  <c r="BB30" i="11"/>
  <c r="AY30" i="11"/>
  <c r="AV30" i="11"/>
  <c r="AQ30" i="11"/>
  <c r="AP30" i="11"/>
  <c r="AN30" i="11"/>
  <c r="AM30" i="11"/>
  <c r="AJ30" i="11"/>
  <c r="AH30" i="11"/>
  <c r="AD30" i="11"/>
  <c r="AE43" i="11" s="1"/>
  <c r="AA30" i="11"/>
  <c r="Y30" i="11"/>
  <c r="AK30" i="11" s="1"/>
  <c r="AW30" i="11" s="1"/>
  <c r="X30" i="11"/>
  <c r="W30" i="11"/>
  <c r="AI30" i="11" s="1"/>
  <c r="V30" i="11"/>
  <c r="L20" i="11"/>
  <c r="H20" i="11"/>
  <c r="E20" i="11"/>
  <c r="B20" i="11"/>
  <c r="BB19" i="11"/>
  <c r="AP19" i="11"/>
  <c r="AD19" i="11"/>
  <c r="I19" i="11"/>
  <c r="I20" i="11" s="1"/>
  <c r="I21" i="11" s="1"/>
  <c r="I22" i="11" s="1"/>
  <c r="I23" i="11" s="1"/>
  <c r="I24" i="11" s="1"/>
  <c r="I25" i="11" s="1"/>
  <c r="I26" i="11" s="1"/>
  <c r="F19" i="11"/>
  <c r="F20" i="11" s="1"/>
  <c r="F21" i="11" s="1"/>
  <c r="F22" i="11" s="1"/>
  <c r="F23" i="11" s="1"/>
  <c r="F24" i="11" s="1"/>
  <c r="F25" i="11" s="1"/>
  <c r="F26" i="11" s="1"/>
  <c r="C19" i="11"/>
  <c r="BB18" i="11"/>
  <c r="AP18" i="11"/>
  <c r="AD18" i="11"/>
  <c r="M18" i="11"/>
  <c r="BB17" i="11"/>
  <c r="AP17" i="11"/>
  <c r="AD17" i="11"/>
  <c r="M17" i="11"/>
  <c r="BB16" i="11"/>
  <c r="AY16" i="11"/>
  <c r="AP16" i="11"/>
  <c r="AM16" i="11"/>
  <c r="AJ16" i="11"/>
  <c r="AD16" i="11"/>
  <c r="AA16" i="11"/>
  <c r="Y16" i="11"/>
  <c r="AK16" i="11" s="1"/>
  <c r="X16" i="11"/>
  <c r="M16" i="11"/>
  <c r="BB15" i="11"/>
  <c r="AY15" i="11"/>
  <c r="AP15" i="11"/>
  <c r="AM15" i="11"/>
  <c r="AJ15" i="11"/>
  <c r="AD15" i="11"/>
  <c r="AA15" i="11"/>
  <c r="Y15" i="11"/>
  <c r="AK15" i="11" s="1"/>
  <c r="X15" i="11"/>
  <c r="M15" i="11"/>
  <c r="BB14" i="11"/>
  <c r="AY14" i="11"/>
  <c r="AP14" i="11"/>
  <c r="AM14" i="11"/>
  <c r="AJ14" i="11"/>
  <c r="AD14" i="11"/>
  <c r="AA14" i="11"/>
  <c r="Y14" i="11"/>
  <c r="AK14" i="11" s="1"/>
  <c r="X14" i="11"/>
  <c r="W14" i="11"/>
  <c r="V14" i="11"/>
  <c r="M14" i="11"/>
  <c r="BB13" i="11"/>
  <c r="AY13" i="11"/>
  <c r="AP13" i="11"/>
  <c r="AM13" i="11"/>
  <c r="AJ13" i="11"/>
  <c r="AD13" i="11"/>
  <c r="AA13" i="11"/>
  <c r="Y13" i="11"/>
  <c r="AK13" i="11" s="1"/>
  <c r="X13" i="11"/>
  <c r="W13" i="11"/>
  <c r="V13" i="11"/>
  <c r="M13" i="11"/>
  <c r="BB12" i="11"/>
  <c r="AY12" i="11"/>
  <c r="AP12" i="11"/>
  <c r="AM12" i="11"/>
  <c r="AJ12" i="11"/>
  <c r="AD12" i="11"/>
  <c r="AA12" i="11"/>
  <c r="Y12" i="11"/>
  <c r="AK12" i="11" s="1"/>
  <c r="X12" i="11"/>
  <c r="W12" i="11"/>
  <c r="V12" i="11"/>
  <c r="M12" i="11"/>
  <c r="BB11" i="11"/>
  <c r="AY11" i="11"/>
  <c r="AQ11" i="11"/>
  <c r="AP11" i="11"/>
  <c r="AN11" i="11"/>
  <c r="AM11" i="11"/>
  <c r="AJ11" i="11"/>
  <c r="AD11" i="11"/>
  <c r="AA11" i="11"/>
  <c r="Y11" i="11"/>
  <c r="AK11" i="11" s="1"/>
  <c r="X11" i="11"/>
  <c r="W11" i="11"/>
  <c r="V11" i="11"/>
  <c r="M11" i="11"/>
  <c r="BB10" i="11"/>
  <c r="AY10" i="11"/>
  <c r="AP10" i="11"/>
  <c r="AM10" i="11"/>
  <c r="AJ10" i="11"/>
  <c r="AH10" i="11"/>
  <c r="AD10" i="11"/>
  <c r="AA10" i="11"/>
  <c r="Y10" i="11"/>
  <c r="AK10" i="11" s="1"/>
  <c r="X10" i="11"/>
  <c r="W10" i="11"/>
  <c r="AI10" i="11" s="1"/>
  <c r="V10" i="11"/>
  <c r="M10" i="11"/>
  <c r="BB9" i="11"/>
  <c r="AY9" i="11"/>
  <c r="AP9" i="11"/>
  <c r="AM9" i="11"/>
  <c r="AJ9" i="11"/>
  <c r="AH9" i="11"/>
  <c r="AD9" i="11"/>
  <c r="AA9" i="11"/>
  <c r="Y9" i="11"/>
  <c r="AK9" i="11" s="1"/>
  <c r="X9" i="11"/>
  <c r="W9" i="11"/>
  <c r="AI9" i="11" s="1"/>
  <c r="V9" i="11"/>
  <c r="M9" i="11"/>
  <c r="BB8" i="11"/>
  <c r="AY8" i="11"/>
  <c r="AP8" i="11"/>
  <c r="AM8" i="11"/>
  <c r="AJ8" i="11"/>
  <c r="AH8" i="11"/>
  <c r="AD8" i="11"/>
  <c r="AA8" i="11"/>
  <c r="Y8" i="11"/>
  <c r="AK8" i="11" s="1"/>
  <c r="X8" i="11"/>
  <c r="W8" i="11"/>
  <c r="AI8" i="11" s="1"/>
  <c r="V8" i="11"/>
  <c r="M8" i="11"/>
  <c r="BB7" i="11"/>
  <c r="AY7" i="11"/>
  <c r="AP7" i="11"/>
  <c r="AM7" i="11"/>
  <c r="AJ7" i="11"/>
  <c r="AH7" i="11"/>
  <c r="AD7" i="11"/>
  <c r="AA7" i="11"/>
  <c r="Y7" i="11"/>
  <c r="AK7" i="11" s="1"/>
  <c r="X7" i="11"/>
  <c r="W7" i="11"/>
  <c r="AI7" i="11" s="1"/>
  <c r="V7" i="11"/>
  <c r="M7" i="11"/>
  <c r="BB6" i="11"/>
  <c r="BC16" i="11" s="1"/>
  <c r="AY6" i="11"/>
  <c r="AZ9" i="11" s="1"/>
  <c r="AV6" i="11"/>
  <c r="AQ6" i="11"/>
  <c r="AP6" i="11"/>
  <c r="AN6" i="11"/>
  <c r="AM6" i="11"/>
  <c r="AJ6" i="11"/>
  <c r="AI6" i="11"/>
  <c r="AH6" i="11"/>
  <c r="AD6" i="11"/>
  <c r="AA6" i="11"/>
  <c r="AB10" i="11" s="1"/>
  <c r="Y6" i="11"/>
  <c r="AK6" i="11" s="1"/>
  <c r="AW6" i="11" s="1"/>
  <c r="X6" i="11"/>
  <c r="W6" i="11"/>
  <c r="V6" i="11"/>
  <c r="M6" i="11"/>
  <c r="M5" i="11"/>
  <c r="L2182" i="5"/>
  <c r="M2182" i="5" s="1"/>
  <c r="N2182" i="5" s="1"/>
  <c r="D2182" i="5"/>
  <c r="L2181" i="5"/>
  <c r="M2181" i="5" s="1"/>
  <c r="N2181" i="5" s="1"/>
  <c r="D2181" i="5"/>
  <c r="L2180" i="5"/>
  <c r="M2180" i="5" s="1"/>
  <c r="N2180" i="5" s="1"/>
  <c r="D2180" i="5"/>
  <c r="L2179" i="5"/>
  <c r="M2179" i="5" s="1"/>
  <c r="N2179" i="5" s="1"/>
  <c r="D2179" i="5"/>
  <c r="L2178" i="5"/>
  <c r="M2178" i="5" s="1"/>
  <c r="N2178" i="5" s="1"/>
  <c r="D2178" i="5"/>
  <c r="L2177" i="5"/>
  <c r="M2177" i="5" s="1"/>
  <c r="N2177" i="5" s="1"/>
  <c r="D2177" i="5"/>
  <c r="L2176" i="5"/>
  <c r="M2176" i="5" s="1"/>
  <c r="N2176" i="5" s="1"/>
  <c r="D2176" i="5"/>
  <c r="L2172" i="5"/>
  <c r="M2172" i="5" s="1"/>
  <c r="N2172" i="5" s="1"/>
  <c r="D2172" i="5"/>
  <c r="L2171" i="5"/>
  <c r="M2171" i="5" s="1"/>
  <c r="N2171" i="5" s="1"/>
  <c r="D2171" i="5"/>
  <c r="L2170" i="5"/>
  <c r="M2170" i="5" s="1"/>
  <c r="N2170" i="5" s="1"/>
  <c r="D2170" i="5"/>
  <c r="L2169" i="5"/>
  <c r="M2169" i="5" s="1"/>
  <c r="N2169" i="5" s="1"/>
  <c r="D2169" i="5"/>
  <c r="L2168" i="5"/>
  <c r="M2168" i="5" s="1"/>
  <c r="N2168" i="5" s="1"/>
  <c r="D2168" i="5"/>
  <c r="L2167" i="5"/>
  <c r="M2167" i="5" s="1"/>
  <c r="N2167" i="5" s="1"/>
  <c r="D2167" i="5"/>
  <c r="L2162" i="5"/>
  <c r="M2162" i="5" s="1"/>
  <c r="J2162" i="5"/>
  <c r="D2162" i="5"/>
  <c r="L2161" i="5"/>
  <c r="M2161" i="5" s="1"/>
  <c r="N2161" i="5" s="1"/>
  <c r="D2161" i="5"/>
  <c r="L2160" i="5"/>
  <c r="M2160" i="5" s="1"/>
  <c r="J2160" i="5"/>
  <c r="D2160" i="5"/>
  <c r="L2159" i="5"/>
  <c r="M2159" i="5" s="1"/>
  <c r="N2159" i="5" s="1"/>
  <c r="D2159" i="5"/>
  <c r="L2158" i="5"/>
  <c r="M2158" i="5" s="1"/>
  <c r="N2158" i="5" s="1"/>
  <c r="D2158" i="5"/>
  <c r="L2157" i="5"/>
  <c r="M2157" i="5" s="1"/>
  <c r="N2157" i="5" s="1"/>
  <c r="D2157" i="5"/>
  <c r="L2156" i="5"/>
  <c r="M2156" i="5" s="1"/>
  <c r="N2156" i="5" s="1"/>
  <c r="D2156" i="5"/>
  <c r="L2151" i="5"/>
  <c r="M2151" i="5" s="1"/>
  <c r="N2151" i="5" s="1"/>
  <c r="D2151" i="5"/>
  <c r="L2150" i="5"/>
  <c r="M2150" i="5" s="1"/>
  <c r="N2150" i="5" s="1"/>
  <c r="D2150" i="5"/>
  <c r="L2149" i="5"/>
  <c r="M2149" i="5" s="1"/>
  <c r="N2149" i="5" s="1"/>
  <c r="D2149" i="5"/>
  <c r="L2148" i="5"/>
  <c r="M2148" i="5" s="1"/>
  <c r="N2148" i="5" s="1"/>
  <c r="D2148" i="5"/>
  <c r="L2147" i="5"/>
  <c r="M2147" i="5" s="1"/>
  <c r="N2147" i="5" s="1"/>
  <c r="D2147" i="5"/>
  <c r="L2142" i="5"/>
  <c r="M2142" i="5" s="1"/>
  <c r="N2142" i="5" s="1"/>
  <c r="D2142" i="5"/>
  <c r="L2141" i="5"/>
  <c r="M2141" i="5" s="1"/>
  <c r="N2141" i="5" s="1"/>
  <c r="D2141" i="5"/>
  <c r="L2140" i="5"/>
  <c r="M2140" i="5" s="1"/>
  <c r="N2140" i="5" s="1"/>
  <c r="D2140" i="5"/>
  <c r="L2139" i="5"/>
  <c r="M2139" i="5" s="1"/>
  <c r="N2139" i="5" s="1"/>
  <c r="D2139" i="5"/>
  <c r="L2138" i="5"/>
  <c r="M2138" i="5" s="1"/>
  <c r="N2138" i="5" s="1"/>
  <c r="D2138" i="5"/>
  <c r="L2132" i="5"/>
  <c r="M2132" i="5" s="1"/>
  <c r="J2132" i="5"/>
  <c r="D2132" i="5"/>
  <c r="L2131" i="5"/>
  <c r="M2131" i="5" s="1"/>
  <c r="J2131" i="5"/>
  <c r="D2131" i="5"/>
  <c r="L2130" i="5"/>
  <c r="M2130" i="5" s="1"/>
  <c r="J2130" i="5"/>
  <c r="D2130" i="5"/>
  <c r="L2129" i="5"/>
  <c r="M2129" i="5" s="1"/>
  <c r="D2129" i="5"/>
  <c r="L2126" i="5"/>
  <c r="M2126" i="5" s="1"/>
  <c r="J2126" i="5"/>
  <c r="D2126" i="5"/>
  <c r="L2125" i="5"/>
  <c r="M2125" i="5" s="1"/>
  <c r="D2125" i="5"/>
  <c r="L2122" i="5"/>
  <c r="M2122" i="5" s="1"/>
  <c r="D2122" i="5"/>
  <c r="L2121" i="5"/>
  <c r="M2121" i="5" s="1"/>
  <c r="D2121" i="5"/>
  <c r="L2120" i="5"/>
  <c r="M2120" i="5" s="1"/>
  <c r="D2120" i="5"/>
  <c r="L2119" i="5"/>
  <c r="M2119" i="5" s="1"/>
  <c r="D2119" i="5"/>
  <c r="L2118" i="5"/>
  <c r="M2118" i="5" s="1"/>
  <c r="D2118" i="5"/>
  <c r="L2117" i="5"/>
  <c r="M2117" i="5" s="1"/>
  <c r="D2117" i="5"/>
  <c r="L2116" i="5"/>
  <c r="M2116" i="5" s="1"/>
  <c r="D2116" i="5"/>
  <c r="L2115" i="5"/>
  <c r="M2115" i="5" s="1"/>
  <c r="D2115" i="5"/>
  <c r="L2109" i="5"/>
  <c r="M2109" i="5" s="1"/>
  <c r="D2109" i="5"/>
  <c r="L2108" i="5"/>
  <c r="M2108" i="5" s="1"/>
  <c r="D2108" i="5"/>
  <c r="L2107" i="5"/>
  <c r="M2107" i="5" s="1"/>
  <c r="D2107" i="5"/>
  <c r="L2106" i="5"/>
  <c r="M2106" i="5" s="1"/>
  <c r="D2106" i="5"/>
  <c r="L2105" i="5"/>
  <c r="M2105" i="5" s="1"/>
  <c r="J2105" i="5"/>
  <c r="D2105" i="5"/>
  <c r="L2100" i="5"/>
  <c r="M2100" i="5" s="1"/>
  <c r="J2100" i="5"/>
  <c r="D2100" i="5"/>
  <c r="L2099" i="5"/>
  <c r="M2099" i="5" s="1"/>
  <c r="D2099" i="5"/>
  <c r="L2096" i="5"/>
  <c r="M2096" i="5" s="1"/>
  <c r="D2096" i="5"/>
  <c r="L2095" i="5"/>
  <c r="M2095" i="5" s="1"/>
  <c r="D2095" i="5"/>
  <c r="L2094" i="5"/>
  <c r="M2094" i="5" s="1"/>
  <c r="D2094" i="5"/>
  <c r="L2093" i="5"/>
  <c r="M2093" i="5" s="1"/>
  <c r="D2093" i="5"/>
  <c r="L2092" i="5"/>
  <c r="M2092" i="5" s="1"/>
  <c r="D2092" i="5"/>
  <c r="L2091" i="5"/>
  <c r="M2091" i="5" s="1"/>
  <c r="I2091" i="5"/>
  <c r="D2091" i="5"/>
  <c r="L2086" i="5"/>
  <c r="M2086" i="5" s="1"/>
  <c r="D2086" i="5"/>
  <c r="L2085" i="5"/>
  <c r="M2085" i="5" s="1"/>
  <c r="D2085" i="5"/>
  <c r="L2084" i="5"/>
  <c r="M2084" i="5" s="1"/>
  <c r="D2084" i="5"/>
  <c r="L2083" i="5"/>
  <c r="M2083" i="5" s="1"/>
  <c r="D2083" i="5"/>
  <c r="L2082" i="5"/>
  <c r="M2082" i="5" s="1"/>
  <c r="J2082" i="5"/>
  <c r="D2082" i="5"/>
  <c r="L2078" i="5"/>
  <c r="M2078" i="5" s="1"/>
  <c r="D2078" i="5"/>
  <c r="L2077" i="5"/>
  <c r="M2077" i="5" s="1"/>
  <c r="D2077" i="5"/>
  <c r="L2076" i="5"/>
  <c r="M2076" i="5" s="1"/>
  <c r="D2076" i="5"/>
  <c r="L2075" i="5"/>
  <c r="M2075" i="5" s="1"/>
  <c r="D2075" i="5"/>
  <c r="L2074" i="5"/>
  <c r="M2074" i="5" s="1"/>
  <c r="J2074" i="5"/>
  <c r="D2074" i="5"/>
  <c r="L2070" i="5"/>
  <c r="M2070" i="5" s="1"/>
  <c r="D2070" i="5"/>
  <c r="L2069" i="5"/>
  <c r="M2069" i="5" s="1"/>
  <c r="D2069" i="5"/>
  <c r="L2068" i="5"/>
  <c r="M2068" i="5" s="1"/>
  <c r="D2068" i="5"/>
  <c r="L2067" i="5"/>
  <c r="M2067" i="5" s="1"/>
  <c r="D2067" i="5"/>
  <c r="L2066" i="5"/>
  <c r="M2066" i="5" s="1"/>
  <c r="J2066" i="5"/>
  <c r="D2066" i="5"/>
  <c r="L2062" i="5"/>
  <c r="M2062" i="5" s="1"/>
  <c r="J2062" i="5"/>
  <c r="D2062" i="5"/>
  <c r="L2061" i="5"/>
  <c r="M2061" i="5" s="1"/>
  <c r="D2061" i="5"/>
  <c r="L2060" i="5"/>
  <c r="M2060" i="5" s="1"/>
  <c r="D2060" i="5"/>
  <c r="L2059" i="5"/>
  <c r="M2059" i="5" s="1"/>
  <c r="D2059" i="5"/>
  <c r="L2056" i="5"/>
  <c r="M2056" i="5" s="1"/>
  <c r="D2056" i="5"/>
  <c r="L2055" i="5"/>
  <c r="M2055" i="5" s="1"/>
  <c r="J2055" i="5"/>
  <c r="D2055" i="5"/>
  <c r="L2054" i="5"/>
  <c r="M2054" i="5" s="1"/>
  <c r="I2054" i="5"/>
  <c r="D2054" i="5"/>
  <c r="L2049" i="5"/>
  <c r="M2049" i="5" s="1"/>
  <c r="J2049" i="5"/>
  <c r="D2049" i="5"/>
  <c r="L2048" i="5"/>
  <c r="M2048" i="5" s="1"/>
  <c r="J2048" i="5"/>
  <c r="D2048" i="5"/>
  <c r="L2047" i="5"/>
  <c r="M2047" i="5" s="1"/>
  <c r="D2047" i="5"/>
  <c r="L2046" i="5"/>
  <c r="M2046" i="5" s="1"/>
  <c r="D2046" i="5"/>
  <c r="L2043" i="5"/>
  <c r="M2043" i="5" s="1"/>
  <c r="D2043" i="5"/>
  <c r="L2042" i="5"/>
  <c r="M2042" i="5" s="1"/>
  <c r="J2042" i="5"/>
  <c r="D2042" i="5"/>
  <c r="L2041" i="5"/>
  <c r="M2041" i="5" s="1"/>
  <c r="I2041" i="5"/>
  <c r="D2041" i="5"/>
  <c r="L2031" i="5"/>
  <c r="M2031" i="5" s="1"/>
  <c r="J2031" i="5"/>
  <c r="D2031" i="5"/>
  <c r="L2030" i="5"/>
  <c r="M2030" i="5" s="1"/>
  <c r="D2030" i="5"/>
  <c r="L2027" i="5"/>
  <c r="M2027" i="5" s="1"/>
  <c r="D2027" i="5"/>
  <c r="L2026" i="5"/>
  <c r="M2026" i="5" s="1"/>
  <c r="D2026" i="5"/>
  <c r="L2025" i="5"/>
  <c r="M2025" i="5" s="1"/>
  <c r="D2025" i="5"/>
  <c r="L2024" i="5"/>
  <c r="M2024" i="5" s="1"/>
  <c r="D2024" i="5"/>
  <c r="L2023" i="5"/>
  <c r="M2023" i="5" s="1"/>
  <c r="D2023" i="5"/>
  <c r="L2022" i="5"/>
  <c r="M2022" i="5" s="1"/>
  <c r="D2022" i="5"/>
  <c r="L2021" i="5"/>
  <c r="M2021" i="5" s="1"/>
  <c r="I2021" i="5"/>
  <c r="I2027" i="5" s="1"/>
  <c r="D2021" i="5"/>
  <c r="L2016" i="5"/>
  <c r="M2016" i="5" s="1"/>
  <c r="J2016" i="5"/>
  <c r="D2016" i="5"/>
  <c r="L2015" i="5"/>
  <c r="M2015" i="5" s="1"/>
  <c r="D2015" i="5"/>
  <c r="L2012" i="5"/>
  <c r="M2012" i="5" s="1"/>
  <c r="D2012" i="5"/>
  <c r="L2011" i="5"/>
  <c r="M2011" i="5" s="1"/>
  <c r="D2011" i="5"/>
  <c r="L2010" i="5"/>
  <c r="M2010" i="5" s="1"/>
  <c r="D2010" i="5"/>
  <c r="L2009" i="5"/>
  <c r="M2009" i="5" s="1"/>
  <c r="D2009" i="5"/>
  <c r="L2008" i="5"/>
  <c r="M2008" i="5" s="1"/>
  <c r="D2008" i="5"/>
  <c r="L2007" i="5"/>
  <c r="M2007" i="5" s="1"/>
  <c r="D2007" i="5"/>
  <c r="L2006" i="5"/>
  <c r="M2006" i="5" s="1"/>
  <c r="I2006" i="5"/>
  <c r="I2012" i="5" s="1"/>
  <c r="D2006" i="5"/>
  <c r="L2000" i="5"/>
  <c r="M2000" i="5" s="1"/>
  <c r="N2000" i="5" s="1"/>
  <c r="D2000" i="5"/>
  <c r="L1999" i="5"/>
  <c r="M1999" i="5" s="1"/>
  <c r="E1999" i="5"/>
  <c r="D1999" i="5"/>
  <c r="L1996" i="5"/>
  <c r="M1996" i="5" s="1"/>
  <c r="D1996" i="5"/>
  <c r="L1995" i="5"/>
  <c r="M1995" i="5" s="1"/>
  <c r="D1995" i="5"/>
  <c r="L1994" i="5"/>
  <c r="M1994" i="5" s="1"/>
  <c r="D1994" i="5"/>
  <c r="L1993" i="5"/>
  <c r="M1993" i="5" s="1"/>
  <c r="D1993" i="5"/>
  <c r="L1992" i="5"/>
  <c r="M1992" i="5" s="1"/>
  <c r="D1992" i="5"/>
  <c r="L1991" i="5"/>
  <c r="M1991" i="5" s="1"/>
  <c r="D1991" i="5"/>
  <c r="L1990" i="5"/>
  <c r="M1990" i="5" s="1"/>
  <c r="D1990" i="5"/>
  <c r="L1989" i="5"/>
  <c r="M1989" i="5" s="1"/>
  <c r="D1989" i="5"/>
  <c r="L1985" i="5"/>
  <c r="M1985" i="5" s="1"/>
  <c r="N1985" i="5" s="1"/>
  <c r="D1985" i="5"/>
  <c r="L1984" i="5"/>
  <c r="M1984" i="5" s="1"/>
  <c r="E1984" i="5"/>
  <c r="D1984" i="5"/>
  <c r="L1981" i="5"/>
  <c r="M1981" i="5" s="1"/>
  <c r="D1981" i="5"/>
  <c r="L1980" i="5"/>
  <c r="M1980" i="5" s="1"/>
  <c r="D1980" i="5"/>
  <c r="L1979" i="5"/>
  <c r="M1979" i="5" s="1"/>
  <c r="D1979" i="5"/>
  <c r="L1978" i="5"/>
  <c r="M1978" i="5" s="1"/>
  <c r="D1978" i="5"/>
  <c r="L1977" i="5"/>
  <c r="M1977" i="5" s="1"/>
  <c r="D1977" i="5"/>
  <c r="L1976" i="5"/>
  <c r="M1976" i="5" s="1"/>
  <c r="D1976" i="5"/>
  <c r="L1975" i="5"/>
  <c r="M1975" i="5" s="1"/>
  <c r="D1975" i="5"/>
  <c r="L1974" i="5"/>
  <c r="M1974" i="5" s="1"/>
  <c r="I1974" i="5"/>
  <c r="D1974" i="5"/>
  <c r="L1969" i="5"/>
  <c r="M1969" i="5" s="1"/>
  <c r="J1969" i="5"/>
  <c r="D1969" i="5"/>
  <c r="L1968" i="5"/>
  <c r="M1968" i="5" s="1"/>
  <c r="E1968" i="5"/>
  <c r="D1968" i="5"/>
  <c r="L1965" i="5"/>
  <c r="M1965" i="5" s="1"/>
  <c r="D1965" i="5"/>
  <c r="L1964" i="5"/>
  <c r="M1964" i="5" s="1"/>
  <c r="D1964" i="5"/>
  <c r="L1963" i="5"/>
  <c r="M1963" i="5" s="1"/>
  <c r="D1963" i="5"/>
  <c r="L1962" i="5"/>
  <c r="M1962" i="5" s="1"/>
  <c r="D1962" i="5"/>
  <c r="L1961" i="5"/>
  <c r="M1961" i="5" s="1"/>
  <c r="D1961" i="5"/>
  <c r="L1960" i="5"/>
  <c r="M1960" i="5" s="1"/>
  <c r="D1960" i="5"/>
  <c r="L1959" i="5"/>
  <c r="M1959" i="5" s="1"/>
  <c r="I1959" i="5"/>
  <c r="D1959" i="5"/>
  <c r="L1956" i="5"/>
  <c r="M1956" i="5" s="1"/>
  <c r="J1956" i="5"/>
  <c r="D1956" i="5"/>
  <c r="L1955" i="5"/>
  <c r="M1955" i="5" s="1"/>
  <c r="E1955" i="5"/>
  <c r="D1955" i="5"/>
  <c r="L1952" i="5"/>
  <c r="M1952" i="5" s="1"/>
  <c r="D1952" i="5"/>
  <c r="L1951" i="5"/>
  <c r="M1951" i="5" s="1"/>
  <c r="D1951" i="5"/>
  <c r="L1950" i="5"/>
  <c r="M1950" i="5" s="1"/>
  <c r="D1950" i="5"/>
  <c r="L1949" i="5"/>
  <c r="M1949" i="5" s="1"/>
  <c r="D1949" i="5"/>
  <c r="L1948" i="5"/>
  <c r="M1948" i="5" s="1"/>
  <c r="D1948" i="5"/>
  <c r="L1947" i="5"/>
  <c r="M1947" i="5" s="1"/>
  <c r="D1947" i="5"/>
  <c r="L1946" i="5"/>
  <c r="M1946" i="5" s="1"/>
  <c r="I1946" i="5"/>
  <c r="I1951" i="5" s="1"/>
  <c r="D1946" i="5"/>
  <c r="L1937" i="5"/>
  <c r="M1937" i="5" s="1"/>
  <c r="J1937" i="5"/>
  <c r="D1937" i="5"/>
  <c r="L1936" i="5"/>
  <c r="M1936" i="5" s="1"/>
  <c r="E1936" i="5"/>
  <c r="D1936" i="5"/>
  <c r="L1933" i="5"/>
  <c r="M1933" i="5" s="1"/>
  <c r="D1933" i="5"/>
  <c r="L1932" i="5"/>
  <c r="M1932" i="5" s="1"/>
  <c r="D1932" i="5"/>
  <c r="L1931" i="5"/>
  <c r="M1931" i="5" s="1"/>
  <c r="D1931" i="5"/>
  <c r="L1926" i="5"/>
  <c r="M1926" i="5" s="1"/>
  <c r="J1926" i="5"/>
  <c r="D1926" i="5"/>
  <c r="L1925" i="5"/>
  <c r="M1925" i="5" s="1"/>
  <c r="E1925" i="5"/>
  <c r="D1925" i="5"/>
  <c r="L1922" i="5"/>
  <c r="M1922" i="5" s="1"/>
  <c r="J1922" i="5"/>
  <c r="D1922" i="5"/>
  <c r="L1921" i="5"/>
  <c r="M1921" i="5" s="1"/>
  <c r="E1921" i="5"/>
  <c r="D1921" i="5"/>
  <c r="L1918" i="5"/>
  <c r="M1918" i="5" s="1"/>
  <c r="D1918" i="5"/>
  <c r="L1917" i="5"/>
  <c r="M1917" i="5" s="1"/>
  <c r="D1917" i="5"/>
  <c r="L1914" i="5"/>
  <c r="M1914" i="5" s="1"/>
  <c r="D1914" i="5"/>
  <c r="L1913" i="5"/>
  <c r="M1913" i="5" s="1"/>
  <c r="D1913" i="5"/>
  <c r="L1912" i="5"/>
  <c r="M1912" i="5" s="1"/>
  <c r="D1912" i="5"/>
  <c r="L1911" i="5"/>
  <c r="M1911" i="5" s="1"/>
  <c r="D1911" i="5"/>
  <c r="L1910" i="5"/>
  <c r="M1910" i="5" s="1"/>
  <c r="D1910" i="5"/>
  <c r="L1909" i="5"/>
  <c r="M1909" i="5" s="1"/>
  <c r="D1909" i="5"/>
  <c r="L1908" i="5"/>
  <c r="M1908" i="5" s="1"/>
  <c r="D1908" i="5"/>
  <c r="L1907" i="5"/>
  <c r="M1907" i="5" s="1"/>
  <c r="I1907" i="5"/>
  <c r="D1907" i="5"/>
  <c r="L1903" i="5"/>
  <c r="M1903" i="5" s="1"/>
  <c r="J1903" i="5"/>
  <c r="D1903" i="5"/>
  <c r="L1902" i="5"/>
  <c r="M1902" i="5" s="1"/>
  <c r="E1902" i="5"/>
  <c r="D1902" i="5"/>
  <c r="L1899" i="5"/>
  <c r="M1899" i="5" s="1"/>
  <c r="J1899" i="5"/>
  <c r="D1899" i="5"/>
  <c r="L1898" i="5"/>
  <c r="M1898" i="5" s="1"/>
  <c r="E1898" i="5"/>
  <c r="D1898" i="5"/>
  <c r="L1895" i="5"/>
  <c r="M1895" i="5" s="1"/>
  <c r="D1895" i="5"/>
  <c r="L1894" i="5"/>
  <c r="M1894" i="5" s="1"/>
  <c r="D1894" i="5"/>
  <c r="L1891" i="5"/>
  <c r="M1891" i="5" s="1"/>
  <c r="D1891" i="5"/>
  <c r="L1890" i="5"/>
  <c r="M1890" i="5" s="1"/>
  <c r="D1890" i="5"/>
  <c r="L1889" i="5"/>
  <c r="M1889" i="5" s="1"/>
  <c r="D1889" i="5"/>
  <c r="L1888" i="5"/>
  <c r="M1888" i="5" s="1"/>
  <c r="D1888" i="5"/>
  <c r="L1887" i="5"/>
  <c r="M1887" i="5" s="1"/>
  <c r="D1887" i="5"/>
  <c r="L1886" i="5"/>
  <c r="M1886" i="5" s="1"/>
  <c r="D1886" i="5"/>
  <c r="L1885" i="5"/>
  <c r="M1885" i="5" s="1"/>
  <c r="I1885" i="5"/>
  <c r="I1891" i="5" s="1"/>
  <c r="D1885" i="5"/>
  <c r="L1881" i="5"/>
  <c r="M1881" i="5" s="1"/>
  <c r="J1881" i="5"/>
  <c r="D1881" i="5"/>
  <c r="L1880" i="5"/>
  <c r="M1880" i="5" s="1"/>
  <c r="E1880" i="5"/>
  <c r="D1880" i="5"/>
  <c r="L1877" i="5"/>
  <c r="M1877" i="5" s="1"/>
  <c r="J1877" i="5"/>
  <c r="D1877" i="5"/>
  <c r="L1876" i="5"/>
  <c r="M1876" i="5" s="1"/>
  <c r="E1876" i="5"/>
  <c r="D1876" i="5"/>
  <c r="L1873" i="5"/>
  <c r="M1873" i="5" s="1"/>
  <c r="D1873" i="5"/>
  <c r="L1872" i="5"/>
  <c r="M1872" i="5" s="1"/>
  <c r="D1872" i="5"/>
  <c r="L1869" i="5"/>
  <c r="M1869" i="5" s="1"/>
  <c r="D1869" i="5"/>
  <c r="L1868" i="5"/>
  <c r="M1868" i="5" s="1"/>
  <c r="D1868" i="5"/>
  <c r="L1867" i="5"/>
  <c r="M1867" i="5" s="1"/>
  <c r="D1867" i="5"/>
  <c r="L1866" i="5"/>
  <c r="M1866" i="5" s="1"/>
  <c r="D1866" i="5"/>
  <c r="L1865" i="5"/>
  <c r="M1865" i="5" s="1"/>
  <c r="D1865" i="5"/>
  <c r="L1864" i="5"/>
  <c r="M1864" i="5" s="1"/>
  <c r="D1864" i="5"/>
  <c r="L1863" i="5"/>
  <c r="M1863" i="5" s="1"/>
  <c r="I1863" i="5"/>
  <c r="I1869" i="5" s="1"/>
  <c r="D1863" i="5"/>
  <c r="L1858" i="5"/>
  <c r="M1858" i="5" s="1"/>
  <c r="J1858" i="5"/>
  <c r="D1858" i="5"/>
  <c r="L1857" i="5"/>
  <c r="M1857" i="5" s="1"/>
  <c r="E1857" i="5"/>
  <c r="D1857" i="5"/>
  <c r="L1854" i="5"/>
  <c r="M1854" i="5" s="1"/>
  <c r="J1854" i="5"/>
  <c r="D1854" i="5"/>
  <c r="L1853" i="5"/>
  <c r="M1853" i="5" s="1"/>
  <c r="E1853" i="5"/>
  <c r="D1853" i="5"/>
  <c r="L1850" i="5"/>
  <c r="M1850" i="5" s="1"/>
  <c r="D1850" i="5"/>
  <c r="L1849" i="5"/>
  <c r="M1849" i="5" s="1"/>
  <c r="D1849" i="5"/>
  <c r="L1846" i="5"/>
  <c r="M1846" i="5" s="1"/>
  <c r="D1846" i="5"/>
  <c r="L1845" i="5"/>
  <c r="M1845" i="5" s="1"/>
  <c r="D1845" i="5"/>
  <c r="L1844" i="5"/>
  <c r="M1844" i="5" s="1"/>
  <c r="D1844" i="5"/>
  <c r="L1843" i="5"/>
  <c r="M1843" i="5" s="1"/>
  <c r="D1843" i="5"/>
  <c r="L1842" i="5"/>
  <c r="M1842" i="5" s="1"/>
  <c r="D1842" i="5"/>
  <c r="L1841" i="5"/>
  <c r="M1841" i="5" s="1"/>
  <c r="D1841" i="5"/>
  <c r="L1840" i="5"/>
  <c r="M1840" i="5" s="1"/>
  <c r="I1840" i="5"/>
  <c r="I1846" i="5" s="1"/>
  <c r="D1840" i="5"/>
  <c r="L1836" i="5"/>
  <c r="M1836" i="5" s="1"/>
  <c r="E1836" i="5"/>
  <c r="D1836" i="5"/>
  <c r="L1835" i="5"/>
  <c r="M1835" i="5" s="1"/>
  <c r="E1835" i="5"/>
  <c r="D1835" i="5"/>
  <c r="L1832" i="5"/>
  <c r="M1832" i="5" s="1"/>
  <c r="J1832" i="5"/>
  <c r="D1832" i="5"/>
  <c r="L1831" i="5"/>
  <c r="M1831" i="5" s="1"/>
  <c r="E1831" i="5"/>
  <c r="D1831" i="5"/>
  <c r="L1828" i="5"/>
  <c r="M1828" i="5" s="1"/>
  <c r="D1828" i="5"/>
  <c r="L1827" i="5"/>
  <c r="M1827" i="5" s="1"/>
  <c r="D1827" i="5"/>
  <c r="L1824" i="5"/>
  <c r="M1824" i="5" s="1"/>
  <c r="D1824" i="5"/>
  <c r="L1823" i="5"/>
  <c r="M1823" i="5" s="1"/>
  <c r="D1823" i="5"/>
  <c r="L1822" i="5"/>
  <c r="M1822" i="5" s="1"/>
  <c r="D1822" i="5"/>
  <c r="L1821" i="5"/>
  <c r="M1821" i="5" s="1"/>
  <c r="D1821" i="5"/>
  <c r="L1820" i="5"/>
  <c r="M1820" i="5" s="1"/>
  <c r="D1820" i="5"/>
  <c r="L1819" i="5"/>
  <c r="M1819" i="5" s="1"/>
  <c r="K1819" i="5"/>
  <c r="I1819" i="5"/>
  <c r="I1824" i="5" s="1"/>
  <c r="D1819" i="5"/>
  <c r="L1811" i="5"/>
  <c r="M1811" i="5" s="1"/>
  <c r="I1811" i="5"/>
  <c r="D1811" i="5"/>
  <c r="L1810" i="5"/>
  <c r="M1810" i="5" s="1"/>
  <c r="I1810" i="5"/>
  <c r="H1810" i="5"/>
  <c r="D1810" i="5" s="1"/>
  <c r="L1809" i="5"/>
  <c r="M1809" i="5" s="1"/>
  <c r="J1809" i="5"/>
  <c r="D1809" i="5"/>
  <c r="L1806" i="5"/>
  <c r="M1806" i="5" s="1"/>
  <c r="I1806" i="5"/>
  <c r="D1806" i="5"/>
  <c r="L1805" i="5"/>
  <c r="M1805" i="5" s="1"/>
  <c r="I1805" i="5"/>
  <c r="H1805" i="5"/>
  <c r="D1805" i="5" s="1"/>
  <c r="L1804" i="5"/>
  <c r="M1804" i="5" s="1"/>
  <c r="K1804" i="5"/>
  <c r="J1804" i="5"/>
  <c r="D1804" i="5"/>
  <c r="L1797" i="5"/>
  <c r="M1797" i="5" s="1"/>
  <c r="J1797" i="5"/>
  <c r="D1797" i="5"/>
  <c r="L1796" i="5"/>
  <c r="M1796" i="5" s="1"/>
  <c r="D1796" i="5"/>
  <c r="L1793" i="5"/>
  <c r="M1793" i="5" s="1"/>
  <c r="D1793" i="5"/>
  <c r="L1792" i="5"/>
  <c r="M1792" i="5" s="1"/>
  <c r="D1792" i="5"/>
  <c r="L1791" i="5"/>
  <c r="M1791" i="5" s="1"/>
  <c r="D1791" i="5"/>
  <c r="L1790" i="5"/>
  <c r="M1790" i="5" s="1"/>
  <c r="D1790" i="5"/>
  <c r="L1789" i="5"/>
  <c r="M1789" i="5" s="1"/>
  <c r="D1789" i="5"/>
  <c r="L1788" i="5"/>
  <c r="M1788" i="5" s="1"/>
  <c r="D1788" i="5"/>
  <c r="L1787" i="5"/>
  <c r="M1787" i="5" s="1"/>
  <c r="H1787" i="5"/>
  <c r="D1787" i="5" s="1"/>
  <c r="L1786" i="5"/>
  <c r="M1786" i="5" s="1"/>
  <c r="K1786" i="5"/>
  <c r="I1786" i="5"/>
  <c r="D1786" i="5"/>
  <c r="L1778" i="5"/>
  <c r="M1778" i="5" s="1"/>
  <c r="D1778" i="5"/>
  <c r="L1777" i="5"/>
  <c r="M1777" i="5" s="1"/>
  <c r="D1777" i="5"/>
  <c r="L1774" i="5"/>
  <c r="M1774" i="5" s="1"/>
  <c r="I1774" i="5"/>
  <c r="D1774" i="5"/>
  <c r="L1773" i="5"/>
  <c r="M1773" i="5" s="1"/>
  <c r="D1773" i="5"/>
  <c r="L1772" i="5"/>
  <c r="M1772" i="5" s="1"/>
  <c r="D1772" i="5"/>
  <c r="L1771" i="5"/>
  <c r="M1771" i="5" s="1"/>
  <c r="I1771" i="5"/>
  <c r="D1771" i="5"/>
  <c r="L1768" i="5"/>
  <c r="M1768" i="5" s="1"/>
  <c r="J1768" i="5"/>
  <c r="D1768" i="5"/>
  <c r="L1767" i="5"/>
  <c r="M1767" i="5" s="1"/>
  <c r="I1767" i="5"/>
  <c r="D1767" i="5"/>
  <c r="L1764" i="5"/>
  <c r="M1764" i="5" s="1"/>
  <c r="I1764" i="5"/>
  <c r="D1764" i="5"/>
  <c r="L1763" i="5"/>
  <c r="M1763" i="5" s="1"/>
  <c r="D1763" i="5"/>
  <c r="L1762" i="5"/>
  <c r="M1762" i="5" s="1"/>
  <c r="I1762" i="5"/>
  <c r="D1762" i="5"/>
  <c r="L1761" i="5"/>
  <c r="M1761" i="5" s="1"/>
  <c r="D1761" i="5"/>
  <c r="L1758" i="5"/>
  <c r="M1758" i="5" s="1"/>
  <c r="D1758" i="5"/>
  <c r="L1757" i="5"/>
  <c r="M1757" i="5" s="1"/>
  <c r="J1757" i="5"/>
  <c r="D1757" i="5"/>
  <c r="L1756" i="5"/>
  <c r="M1756" i="5" s="1"/>
  <c r="D1756" i="5"/>
  <c r="L1755" i="5"/>
  <c r="M1755" i="5" s="1"/>
  <c r="J1755" i="5"/>
  <c r="D1755" i="5"/>
  <c r="L1752" i="5"/>
  <c r="M1752" i="5" s="1"/>
  <c r="I1752" i="5"/>
  <c r="D1752" i="5"/>
  <c r="L1751" i="5"/>
  <c r="M1751" i="5" s="1"/>
  <c r="D1751" i="5"/>
  <c r="L1750" i="5"/>
  <c r="M1750" i="5" s="1"/>
  <c r="D1750" i="5"/>
  <c r="L1749" i="5"/>
  <c r="M1749" i="5" s="1"/>
  <c r="I1749" i="5"/>
  <c r="D1749" i="5"/>
  <c r="L1748" i="5"/>
  <c r="M1748" i="5" s="1"/>
  <c r="D1748" i="5"/>
  <c r="L1747" i="5"/>
  <c r="M1747" i="5" s="1"/>
  <c r="I1747" i="5"/>
  <c r="D1747" i="5"/>
  <c r="L1746" i="5"/>
  <c r="M1746" i="5" s="1"/>
  <c r="D1746" i="5"/>
  <c r="L1745" i="5"/>
  <c r="M1745" i="5" s="1"/>
  <c r="D1745" i="5"/>
  <c r="L1744" i="5"/>
  <c r="M1744" i="5" s="1"/>
  <c r="D1744" i="5"/>
  <c r="L1743" i="5"/>
  <c r="M1743" i="5" s="1"/>
  <c r="D1743" i="5"/>
  <c r="L1742" i="5"/>
  <c r="M1742" i="5" s="1"/>
  <c r="H1742" i="5"/>
  <c r="D1742" i="5" s="1"/>
  <c r="L1741" i="5"/>
  <c r="M1741" i="5" s="1"/>
  <c r="K1741" i="5"/>
  <c r="I1741" i="5"/>
  <c r="I1742" i="5" s="1"/>
  <c r="D1741" i="5"/>
  <c r="L1733" i="5"/>
  <c r="M1733" i="5" s="1"/>
  <c r="D1733" i="5"/>
  <c r="L1732" i="5"/>
  <c r="M1732" i="5" s="1"/>
  <c r="D1732" i="5"/>
  <c r="L1729" i="5"/>
  <c r="M1729" i="5" s="1"/>
  <c r="D1729" i="5"/>
  <c r="L1728" i="5"/>
  <c r="M1728" i="5" s="1"/>
  <c r="D1728" i="5"/>
  <c r="L1727" i="5"/>
  <c r="M1727" i="5" s="1"/>
  <c r="I1727" i="5"/>
  <c r="D1727" i="5"/>
  <c r="L1726" i="5"/>
  <c r="M1726" i="5" s="1"/>
  <c r="D1726" i="5"/>
  <c r="L1725" i="5"/>
  <c r="M1725" i="5" s="1"/>
  <c r="D1725" i="5"/>
  <c r="L1724" i="5"/>
  <c r="M1724" i="5" s="1"/>
  <c r="I1724" i="5"/>
  <c r="D1724" i="5"/>
  <c r="L1721" i="5"/>
  <c r="M1721" i="5" s="1"/>
  <c r="J1721" i="5"/>
  <c r="D1721" i="5"/>
  <c r="L1720" i="5"/>
  <c r="M1720" i="5" s="1"/>
  <c r="I1720" i="5"/>
  <c r="D1720" i="5"/>
  <c r="L1717" i="5"/>
  <c r="M1717" i="5" s="1"/>
  <c r="I1717" i="5"/>
  <c r="D1717" i="5"/>
  <c r="L1716" i="5"/>
  <c r="M1716" i="5" s="1"/>
  <c r="J1716" i="5"/>
  <c r="D1716" i="5"/>
  <c r="L1715" i="5"/>
  <c r="M1715" i="5" s="1"/>
  <c r="I1715" i="5"/>
  <c r="D1715" i="5"/>
  <c r="L1714" i="5"/>
  <c r="M1714" i="5" s="1"/>
  <c r="J1714" i="5"/>
  <c r="D1714" i="5"/>
  <c r="L1713" i="5"/>
  <c r="M1713" i="5" s="1"/>
  <c r="I1713" i="5"/>
  <c r="D1713" i="5"/>
  <c r="L1712" i="5"/>
  <c r="M1712" i="5" s="1"/>
  <c r="D1712" i="5"/>
  <c r="L1711" i="5"/>
  <c r="M1711" i="5" s="1"/>
  <c r="I1711" i="5"/>
  <c r="D1711" i="5"/>
  <c r="L1710" i="5"/>
  <c r="M1710" i="5" s="1"/>
  <c r="D1710" i="5"/>
  <c r="L1709" i="5"/>
  <c r="M1709" i="5" s="1"/>
  <c r="I1709" i="5"/>
  <c r="D1709" i="5"/>
  <c r="L1708" i="5"/>
  <c r="M1708" i="5" s="1"/>
  <c r="D1708" i="5"/>
  <c r="L1705" i="5"/>
  <c r="M1705" i="5" s="1"/>
  <c r="I1705" i="5"/>
  <c r="D1705" i="5"/>
  <c r="L1704" i="5"/>
  <c r="M1704" i="5" s="1"/>
  <c r="J1704" i="5"/>
  <c r="D1704" i="5"/>
  <c r="L1703" i="5"/>
  <c r="M1703" i="5" s="1"/>
  <c r="I1703" i="5"/>
  <c r="D1703" i="5"/>
  <c r="L1702" i="5"/>
  <c r="M1702" i="5" s="1"/>
  <c r="J1702" i="5"/>
  <c r="D1702" i="5"/>
  <c r="L1699" i="5"/>
  <c r="M1699" i="5" s="1"/>
  <c r="I1699" i="5"/>
  <c r="D1699" i="5"/>
  <c r="L1698" i="5"/>
  <c r="M1698" i="5" s="1"/>
  <c r="I1698" i="5"/>
  <c r="D1698" i="5"/>
  <c r="L1697" i="5"/>
  <c r="M1697" i="5" s="1"/>
  <c r="I1697" i="5"/>
  <c r="D1697" i="5"/>
  <c r="L1696" i="5"/>
  <c r="M1696" i="5" s="1"/>
  <c r="I1696" i="5"/>
  <c r="D1696" i="5"/>
  <c r="L1695" i="5"/>
  <c r="M1695" i="5" s="1"/>
  <c r="I1695" i="5"/>
  <c r="D1695" i="5"/>
  <c r="L1694" i="5"/>
  <c r="M1694" i="5" s="1"/>
  <c r="D1694" i="5"/>
  <c r="L1693" i="5"/>
  <c r="M1693" i="5" s="1"/>
  <c r="D1693" i="5"/>
  <c r="L1692" i="5"/>
  <c r="M1692" i="5" s="1"/>
  <c r="D1692" i="5"/>
  <c r="L1691" i="5"/>
  <c r="M1691" i="5" s="1"/>
  <c r="I1691" i="5"/>
  <c r="D1691" i="5"/>
  <c r="L1690" i="5"/>
  <c r="M1690" i="5" s="1"/>
  <c r="I1690" i="5"/>
  <c r="D1690" i="5"/>
  <c r="L1689" i="5"/>
  <c r="M1689" i="5" s="1"/>
  <c r="I1689" i="5"/>
  <c r="D1689" i="5"/>
  <c r="L1688" i="5"/>
  <c r="M1688" i="5" s="1"/>
  <c r="I1688" i="5"/>
  <c r="D1688" i="5"/>
  <c r="L1687" i="5"/>
  <c r="M1687" i="5" s="1"/>
  <c r="H1687" i="5"/>
  <c r="D1687" i="5" s="1"/>
  <c r="L1686" i="5"/>
  <c r="M1686" i="5" s="1"/>
  <c r="K1686" i="5"/>
  <c r="I1686" i="5"/>
  <c r="D1686" i="5"/>
  <c r="L1678" i="5"/>
  <c r="M1678" i="5" s="1"/>
  <c r="D1678" i="5"/>
  <c r="L1677" i="5"/>
  <c r="M1677" i="5" s="1"/>
  <c r="D1677" i="5"/>
  <c r="L1674" i="5"/>
  <c r="M1674" i="5" s="1"/>
  <c r="D1674" i="5"/>
  <c r="L1673" i="5"/>
  <c r="M1673" i="5" s="1"/>
  <c r="D1673" i="5"/>
  <c r="L1672" i="5"/>
  <c r="M1672" i="5" s="1"/>
  <c r="I1672" i="5"/>
  <c r="D1672" i="5"/>
  <c r="L1671" i="5"/>
  <c r="M1671" i="5" s="1"/>
  <c r="D1671" i="5"/>
  <c r="L1670" i="5"/>
  <c r="M1670" i="5" s="1"/>
  <c r="I1670" i="5"/>
  <c r="D1670" i="5"/>
  <c r="L1667" i="5"/>
  <c r="M1667" i="5" s="1"/>
  <c r="J1667" i="5"/>
  <c r="D1667" i="5"/>
  <c r="L1666" i="5"/>
  <c r="M1666" i="5" s="1"/>
  <c r="I1666" i="5"/>
  <c r="D1666" i="5"/>
  <c r="L1663" i="5"/>
  <c r="M1663" i="5" s="1"/>
  <c r="D1663" i="5"/>
  <c r="L1662" i="5"/>
  <c r="M1662" i="5" s="1"/>
  <c r="J1662" i="5"/>
  <c r="D1662" i="5"/>
  <c r="L1661" i="5"/>
  <c r="M1661" i="5" s="1"/>
  <c r="D1661" i="5"/>
  <c r="L1660" i="5"/>
  <c r="M1660" i="5" s="1"/>
  <c r="J1660" i="5"/>
  <c r="D1660" i="5"/>
  <c r="L1657" i="5"/>
  <c r="M1657" i="5" s="1"/>
  <c r="I1657" i="5"/>
  <c r="D1657" i="5"/>
  <c r="L1656" i="5"/>
  <c r="M1656" i="5" s="1"/>
  <c r="J1656" i="5"/>
  <c r="D1656" i="5"/>
  <c r="L1655" i="5"/>
  <c r="M1655" i="5" s="1"/>
  <c r="I1655" i="5"/>
  <c r="D1655" i="5"/>
  <c r="L1654" i="5"/>
  <c r="M1654" i="5" s="1"/>
  <c r="J1654" i="5"/>
  <c r="D1654" i="5"/>
  <c r="L1651" i="5"/>
  <c r="M1651" i="5" s="1"/>
  <c r="D1651" i="5"/>
  <c r="L1650" i="5"/>
  <c r="M1650" i="5" s="1"/>
  <c r="D1650" i="5"/>
  <c r="L1649" i="5"/>
  <c r="M1649" i="5" s="1"/>
  <c r="D1649" i="5"/>
  <c r="L1648" i="5"/>
  <c r="M1648" i="5" s="1"/>
  <c r="D1648" i="5"/>
  <c r="L1647" i="5"/>
  <c r="M1647" i="5" s="1"/>
  <c r="D1647" i="5"/>
  <c r="L1646" i="5"/>
  <c r="M1646" i="5" s="1"/>
  <c r="D1646" i="5"/>
  <c r="L1645" i="5"/>
  <c r="M1645" i="5" s="1"/>
  <c r="D1645" i="5"/>
  <c r="L1644" i="5"/>
  <c r="M1644" i="5" s="1"/>
  <c r="I1644" i="5"/>
  <c r="D1644" i="5"/>
  <c r="L1643" i="5"/>
  <c r="M1643" i="5" s="1"/>
  <c r="I1643" i="5"/>
  <c r="D1643" i="5"/>
  <c r="L1642" i="5"/>
  <c r="M1642" i="5" s="1"/>
  <c r="I1642" i="5"/>
  <c r="D1642" i="5"/>
  <c r="L1641" i="5"/>
  <c r="M1641" i="5" s="1"/>
  <c r="I1641" i="5"/>
  <c r="D1641" i="5"/>
  <c r="L1640" i="5"/>
  <c r="M1640" i="5" s="1"/>
  <c r="H1640" i="5"/>
  <c r="D1640" i="5" s="1"/>
  <c r="L1639" i="5"/>
  <c r="M1639" i="5" s="1"/>
  <c r="K1639" i="5"/>
  <c r="I1639" i="5"/>
  <c r="I1640" i="5" s="1"/>
  <c r="D1639" i="5"/>
  <c r="L1632" i="5"/>
  <c r="M1632" i="5" s="1"/>
  <c r="D1632" i="5"/>
  <c r="L1631" i="5"/>
  <c r="M1631" i="5" s="1"/>
  <c r="D1631" i="5"/>
  <c r="L1628" i="5"/>
  <c r="M1628" i="5" s="1"/>
  <c r="D1628" i="5"/>
  <c r="L1627" i="5"/>
  <c r="M1627" i="5" s="1"/>
  <c r="I1627" i="5"/>
  <c r="D1627" i="5"/>
  <c r="L1626" i="5"/>
  <c r="M1626" i="5" s="1"/>
  <c r="D1626" i="5"/>
  <c r="L1625" i="5"/>
  <c r="M1625" i="5" s="1"/>
  <c r="D1625" i="5"/>
  <c r="L1624" i="5"/>
  <c r="M1624" i="5" s="1"/>
  <c r="I1624" i="5"/>
  <c r="D1624" i="5"/>
  <c r="L1621" i="5"/>
  <c r="M1621" i="5" s="1"/>
  <c r="J1621" i="5"/>
  <c r="D1621" i="5"/>
  <c r="L1620" i="5"/>
  <c r="M1620" i="5" s="1"/>
  <c r="I1620" i="5"/>
  <c r="D1620" i="5"/>
  <c r="L1617" i="5"/>
  <c r="M1617" i="5" s="1"/>
  <c r="I1617" i="5"/>
  <c r="D1617" i="5"/>
  <c r="L1616" i="5"/>
  <c r="M1616" i="5" s="1"/>
  <c r="J1616" i="5"/>
  <c r="D1616" i="5"/>
  <c r="L1615" i="5"/>
  <c r="M1615" i="5" s="1"/>
  <c r="I1615" i="5"/>
  <c r="D1615" i="5"/>
  <c r="L1614" i="5"/>
  <c r="M1614" i="5" s="1"/>
  <c r="J1614" i="5"/>
  <c r="D1614" i="5"/>
  <c r="L1611" i="5"/>
  <c r="M1611" i="5" s="1"/>
  <c r="I1611" i="5"/>
  <c r="D1611" i="5"/>
  <c r="L1610" i="5"/>
  <c r="M1610" i="5" s="1"/>
  <c r="J1610" i="5"/>
  <c r="D1610" i="5"/>
  <c r="L1609" i="5"/>
  <c r="M1609" i="5" s="1"/>
  <c r="I1609" i="5"/>
  <c r="D1609" i="5"/>
  <c r="L1608" i="5"/>
  <c r="M1608" i="5" s="1"/>
  <c r="J1608" i="5"/>
  <c r="D1608" i="5"/>
  <c r="L1605" i="5"/>
  <c r="M1605" i="5" s="1"/>
  <c r="I1605" i="5"/>
  <c r="D1605" i="5"/>
  <c r="L1604" i="5"/>
  <c r="M1604" i="5" s="1"/>
  <c r="I1604" i="5"/>
  <c r="D1604" i="5"/>
  <c r="L1603" i="5"/>
  <c r="M1603" i="5" s="1"/>
  <c r="I1603" i="5"/>
  <c r="D1603" i="5"/>
  <c r="L1602" i="5"/>
  <c r="M1602" i="5" s="1"/>
  <c r="I1602" i="5"/>
  <c r="D1602" i="5"/>
  <c r="L1601" i="5"/>
  <c r="M1601" i="5" s="1"/>
  <c r="I1601" i="5"/>
  <c r="D1601" i="5"/>
  <c r="L1600" i="5"/>
  <c r="M1600" i="5" s="1"/>
  <c r="I1600" i="5"/>
  <c r="D1600" i="5"/>
  <c r="L1599" i="5"/>
  <c r="M1599" i="5" s="1"/>
  <c r="D1599" i="5"/>
  <c r="L1598" i="5"/>
  <c r="M1598" i="5" s="1"/>
  <c r="D1598" i="5"/>
  <c r="L1597" i="5"/>
  <c r="M1597" i="5" s="1"/>
  <c r="H1597" i="5"/>
  <c r="D1597" i="5" s="1"/>
  <c r="L1596" i="5"/>
  <c r="M1596" i="5" s="1"/>
  <c r="K1596" i="5"/>
  <c r="I1596" i="5"/>
  <c r="I1597" i="5" s="1"/>
  <c r="D1596" i="5"/>
  <c r="L1589" i="5"/>
  <c r="M1589" i="5" s="1"/>
  <c r="D1589" i="5"/>
  <c r="L1588" i="5"/>
  <c r="M1588" i="5" s="1"/>
  <c r="D1588" i="5"/>
  <c r="L1585" i="5"/>
  <c r="M1585" i="5" s="1"/>
  <c r="J1585" i="5"/>
  <c r="D1585" i="5"/>
  <c r="L1584" i="5"/>
  <c r="M1584" i="5" s="1"/>
  <c r="J1584" i="5"/>
  <c r="D1584" i="5"/>
  <c r="L1581" i="5"/>
  <c r="M1581" i="5" s="1"/>
  <c r="I1581" i="5"/>
  <c r="D1581" i="5"/>
  <c r="L1580" i="5"/>
  <c r="M1580" i="5" s="1"/>
  <c r="I1580" i="5"/>
  <c r="D1580" i="5"/>
  <c r="L1579" i="5"/>
  <c r="M1579" i="5" s="1"/>
  <c r="I1579" i="5"/>
  <c r="D1579" i="5"/>
  <c r="L1578" i="5"/>
  <c r="M1578" i="5" s="1"/>
  <c r="H1578" i="5"/>
  <c r="D1578" i="5" s="1"/>
  <c r="L1577" i="5"/>
  <c r="M1577" i="5" s="1"/>
  <c r="K1577" i="5"/>
  <c r="J1577" i="5"/>
  <c r="I1577" i="5"/>
  <c r="I1578" i="5" s="1"/>
  <c r="D1577" i="5"/>
  <c r="L1574" i="5"/>
  <c r="M1574" i="5" s="1"/>
  <c r="I1574" i="5"/>
  <c r="D1574" i="5"/>
  <c r="L1573" i="5"/>
  <c r="M1573" i="5" s="1"/>
  <c r="I1573" i="5"/>
  <c r="D1573" i="5"/>
  <c r="L1572" i="5"/>
  <c r="M1572" i="5" s="1"/>
  <c r="I1572" i="5"/>
  <c r="D1572" i="5"/>
  <c r="L1571" i="5"/>
  <c r="M1571" i="5" s="1"/>
  <c r="H1571" i="5"/>
  <c r="D1571" i="5" s="1"/>
  <c r="L1570" i="5"/>
  <c r="M1570" i="5" s="1"/>
  <c r="K1570" i="5"/>
  <c r="J1570" i="5"/>
  <c r="I1570" i="5"/>
  <c r="I1571" i="5" s="1"/>
  <c r="D1570" i="5"/>
  <c r="L1567" i="5"/>
  <c r="M1567" i="5" s="1"/>
  <c r="D1567" i="5"/>
  <c r="L1566" i="5"/>
  <c r="M1566" i="5" s="1"/>
  <c r="D1566" i="5"/>
  <c r="L1565" i="5"/>
  <c r="M1565" i="5" s="1"/>
  <c r="D1565" i="5"/>
  <c r="L1564" i="5"/>
  <c r="M1564" i="5" s="1"/>
  <c r="I1564" i="5"/>
  <c r="H1564" i="5"/>
  <c r="D1564" i="5" s="1"/>
  <c r="L1563" i="5"/>
  <c r="M1563" i="5" s="1"/>
  <c r="J1563" i="5"/>
  <c r="D1563" i="5"/>
  <c r="L1559" i="5"/>
  <c r="M1559" i="5" s="1"/>
  <c r="D1559" i="5"/>
  <c r="L1558" i="5"/>
  <c r="M1558" i="5" s="1"/>
  <c r="D1558" i="5"/>
  <c r="L1555" i="5"/>
  <c r="M1555" i="5" s="1"/>
  <c r="J1555" i="5"/>
  <c r="D1555" i="5"/>
  <c r="L1554" i="5"/>
  <c r="M1554" i="5" s="1"/>
  <c r="J1554" i="5"/>
  <c r="I1554" i="5"/>
  <c r="D1554" i="5"/>
  <c r="L1551" i="5"/>
  <c r="M1551" i="5" s="1"/>
  <c r="I1551" i="5"/>
  <c r="D1551" i="5"/>
  <c r="L1550" i="5"/>
  <c r="M1550" i="5" s="1"/>
  <c r="I1550" i="5"/>
  <c r="D1550" i="5"/>
  <c r="L1549" i="5"/>
  <c r="M1549" i="5" s="1"/>
  <c r="I1549" i="5"/>
  <c r="D1549" i="5"/>
  <c r="L1548" i="5"/>
  <c r="M1548" i="5" s="1"/>
  <c r="H1548" i="5"/>
  <c r="D1548" i="5" s="1"/>
  <c r="L1547" i="5"/>
  <c r="M1547" i="5" s="1"/>
  <c r="J1547" i="5"/>
  <c r="I1547" i="5"/>
  <c r="D1547" i="5"/>
  <c r="L1544" i="5"/>
  <c r="M1544" i="5" s="1"/>
  <c r="D1544" i="5"/>
  <c r="L1543" i="5"/>
  <c r="M1543" i="5" s="1"/>
  <c r="H1543" i="5"/>
  <c r="D1543" i="5" s="1"/>
  <c r="L1542" i="5"/>
  <c r="M1542" i="5" s="1"/>
  <c r="K1542" i="5"/>
  <c r="J1542" i="5"/>
  <c r="I1542" i="5"/>
  <c r="I1543" i="5" s="1"/>
  <c r="D1542" i="5"/>
  <c r="L1539" i="5"/>
  <c r="M1539" i="5" s="1"/>
  <c r="I1539" i="5"/>
  <c r="D1539" i="5"/>
  <c r="L1538" i="5"/>
  <c r="M1538" i="5" s="1"/>
  <c r="I1538" i="5"/>
  <c r="D1538" i="5"/>
  <c r="L1537" i="5"/>
  <c r="M1537" i="5" s="1"/>
  <c r="I1537" i="5"/>
  <c r="D1537" i="5"/>
  <c r="L1536" i="5"/>
  <c r="M1536" i="5" s="1"/>
  <c r="H1536" i="5"/>
  <c r="D1536" i="5" s="1"/>
  <c r="L1535" i="5"/>
  <c r="M1535" i="5" s="1"/>
  <c r="K1535" i="5"/>
  <c r="J1535" i="5"/>
  <c r="I1535" i="5"/>
  <c r="I1536" i="5" s="1"/>
  <c r="D1535" i="5"/>
  <c r="L1514" i="5"/>
  <c r="M1514" i="5" s="1"/>
  <c r="D1514" i="5"/>
  <c r="L1513" i="5"/>
  <c r="M1513" i="5" s="1"/>
  <c r="D1513" i="5"/>
  <c r="L1510" i="5"/>
  <c r="M1510" i="5" s="1"/>
  <c r="D1510" i="5"/>
  <c r="L1509" i="5"/>
  <c r="M1509" i="5" s="1"/>
  <c r="D1509" i="5"/>
  <c r="L1508" i="5"/>
  <c r="M1508" i="5" s="1"/>
  <c r="D1508" i="5"/>
  <c r="L1507" i="5"/>
  <c r="M1507" i="5" s="1"/>
  <c r="D1507" i="5"/>
  <c r="L1506" i="5"/>
  <c r="M1506" i="5" s="1"/>
  <c r="D1506" i="5"/>
  <c r="L1503" i="5"/>
  <c r="M1503" i="5" s="1"/>
  <c r="J1503" i="5"/>
  <c r="D1503" i="5"/>
  <c r="L1502" i="5"/>
  <c r="M1502" i="5" s="1"/>
  <c r="D1502" i="5"/>
  <c r="L1499" i="5"/>
  <c r="M1499" i="5" s="1"/>
  <c r="D1499" i="5"/>
  <c r="L1498" i="5"/>
  <c r="M1498" i="5" s="1"/>
  <c r="J1498" i="5"/>
  <c r="D1498" i="5"/>
  <c r="L1497" i="5"/>
  <c r="M1497" i="5" s="1"/>
  <c r="D1497" i="5"/>
  <c r="L1496" i="5"/>
  <c r="M1496" i="5" s="1"/>
  <c r="J1496" i="5"/>
  <c r="D1496" i="5"/>
  <c r="L1493" i="5"/>
  <c r="M1493" i="5" s="1"/>
  <c r="D1493" i="5"/>
  <c r="L1492" i="5"/>
  <c r="M1492" i="5" s="1"/>
  <c r="J1492" i="5"/>
  <c r="D1492" i="5"/>
  <c r="L1491" i="5"/>
  <c r="M1491" i="5" s="1"/>
  <c r="D1491" i="5"/>
  <c r="L1490" i="5"/>
  <c r="M1490" i="5" s="1"/>
  <c r="J1490" i="5"/>
  <c r="D1490" i="5"/>
  <c r="L1487" i="5"/>
  <c r="M1487" i="5" s="1"/>
  <c r="D1487" i="5"/>
  <c r="L1486" i="5"/>
  <c r="M1486" i="5" s="1"/>
  <c r="D1486" i="5"/>
  <c r="L1485" i="5"/>
  <c r="M1485" i="5" s="1"/>
  <c r="D1485" i="5"/>
  <c r="L1484" i="5"/>
  <c r="M1484" i="5" s="1"/>
  <c r="D1484" i="5"/>
  <c r="L1483" i="5"/>
  <c r="M1483" i="5" s="1"/>
  <c r="D1483" i="5"/>
  <c r="L1482" i="5"/>
  <c r="M1482" i="5" s="1"/>
  <c r="H1482" i="5"/>
  <c r="D1482" i="5" s="1"/>
  <c r="L1481" i="5"/>
  <c r="M1481" i="5" s="1"/>
  <c r="K1481" i="5"/>
  <c r="I1481" i="5"/>
  <c r="D1481" i="5"/>
  <c r="L1474" i="5"/>
  <c r="M1474" i="5" s="1"/>
  <c r="D1474" i="5"/>
  <c r="L1473" i="5"/>
  <c r="M1473" i="5" s="1"/>
  <c r="D1473" i="5"/>
  <c r="L1470" i="5"/>
  <c r="M1470" i="5" s="1"/>
  <c r="D1470" i="5"/>
  <c r="L1469" i="5"/>
  <c r="M1469" i="5" s="1"/>
  <c r="D1469" i="5"/>
  <c r="L1468" i="5"/>
  <c r="M1468" i="5" s="1"/>
  <c r="D1468" i="5"/>
  <c r="L1467" i="5"/>
  <c r="M1467" i="5" s="1"/>
  <c r="D1467" i="5"/>
  <c r="L1466" i="5"/>
  <c r="M1466" i="5" s="1"/>
  <c r="D1466" i="5"/>
  <c r="L1463" i="5"/>
  <c r="M1463" i="5" s="1"/>
  <c r="J1463" i="5"/>
  <c r="D1463" i="5"/>
  <c r="L1462" i="5"/>
  <c r="M1462" i="5" s="1"/>
  <c r="D1462" i="5"/>
  <c r="L1459" i="5"/>
  <c r="M1459" i="5" s="1"/>
  <c r="D1459" i="5"/>
  <c r="L1458" i="5"/>
  <c r="M1458" i="5" s="1"/>
  <c r="J1458" i="5"/>
  <c r="D1458" i="5"/>
  <c r="L1457" i="5"/>
  <c r="M1457" i="5" s="1"/>
  <c r="D1457" i="5"/>
  <c r="L1456" i="5"/>
  <c r="M1456" i="5" s="1"/>
  <c r="J1456" i="5"/>
  <c r="D1456" i="5"/>
  <c r="L1453" i="5"/>
  <c r="M1453" i="5" s="1"/>
  <c r="D1453" i="5"/>
  <c r="L1452" i="5"/>
  <c r="M1452" i="5" s="1"/>
  <c r="J1452" i="5"/>
  <c r="D1452" i="5"/>
  <c r="L1451" i="5"/>
  <c r="M1451" i="5" s="1"/>
  <c r="D1451" i="5"/>
  <c r="L1450" i="5"/>
  <c r="M1450" i="5" s="1"/>
  <c r="J1450" i="5"/>
  <c r="D1450" i="5"/>
  <c r="L1447" i="5"/>
  <c r="M1447" i="5" s="1"/>
  <c r="D1447" i="5"/>
  <c r="L1446" i="5"/>
  <c r="M1446" i="5" s="1"/>
  <c r="H1446" i="5"/>
  <c r="D1446" i="5" s="1"/>
  <c r="L1445" i="5"/>
  <c r="M1445" i="5" s="1"/>
  <c r="D1445" i="5"/>
  <c r="L1438" i="5"/>
  <c r="M1438" i="5" s="1"/>
  <c r="D1438" i="5"/>
  <c r="L1437" i="5"/>
  <c r="M1437" i="5" s="1"/>
  <c r="D1437" i="5"/>
  <c r="L1434" i="5"/>
  <c r="M1434" i="5" s="1"/>
  <c r="D1434" i="5"/>
  <c r="L1433" i="5"/>
  <c r="M1433" i="5" s="1"/>
  <c r="D1433" i="5"/>
  <c r="L1432" i="5"/>
  <c r="M1432" i="5" s="1"/>
  <c r="D1432" i="5"/>
  <c r="L1431" i="5"/>
  <c r="M1431" i="5" s="1"/>
  <c r="D1431" i="5"/>
  <c r="L1430" i="5"/>
  <c r="M1430" i="5" s="1"/>
  <c r="D1430" i="5"/>
  <c r="L1427" i="5"/>
  <c r="M1427" i="5" s="1"/>
  <c r="J1427" i="5"/>
  <c r="D1427" i="5"/>
  <c r="L1426" i="5"/>
  <c r="M1426" i="5" s="1"/>
  <c r="D1426" i="5"/>
  <c r="L1423" i="5"/>
  <c r="M1423" i="5" s="1"/>
  <c r="D1423" i="5"/>
  <c r="L1422" i="5"/>
  <c r="M1422" i="5" s="1"/>
  <c r="J1422" i="5"/>
  <c r="D1422" i="5"/>
  <c r="L1421" i="5"/>
  <c r="M1421" i="5" s="1"/>
  <c r="D1421" i="5"/>
  <c r="L1420" i="5"/>
  <c r="M1420" i="5" s="1"/>
  <c r="J1420" i="5"/>
  <c r="D1420" i="5"/>
  <c r="L1417" i="5"/>
  <c r="M1417" i="5" s="1"/>
  <c r="D1417" i="5"/>
  <c r="L1416" i="5"/>
  <c r="M1416" i="5" s="1"/>
  <c r="J1416" i="5"/>
  <c r="D1416" i="5"/>
  <c r="L1415" i="5"/>
  <c r="M1415" i="5" s="1"/>
  <c r="D1415" i="5"/>
  <c r="L1414" i="5"/>
  <c r="M1414" i="5" s="1"/>
  <c r="J1414" i="5"/>
  <c r="D1414" i="5"/>
  <c r="L1411" i="5"/>
  <c r="M1411" i="5" s="1"/>
  <c r="D1411" i="5"/>
  <c r="L1410" i="5"/>
  <c r="M1410" i="5" s="1"/>
  <c r="H1410" i="5"/>
  <c r="D1410" i="5" s="1"/>
  <c r="L1409" i="5"/>
  <c r="M1409" i="5" s="1"/>
  <c r="D1409" i="5"/>
  <c r="L1402" i="5"/>
  <c r="M1402" i="5" s="1"/>
  <c r="D1402" i="5"/>
  <c r="L1401" i="5"/>
  <c r="M1401" i="5" s="1"/>
  <c r="I1401" i="5"/>
  <c r="D1401" i="5"/>
  <c r="L1398" i="5"/>
  <c r="M1398" i="5" s="1"/>
  <c r="D1398" i="5"/>
  <c r="L1397" i="5"/>
  <c r="M1397" i="5" s="1"/>
  <c r="D1397" i="5"/>
  <c r="L1396" i="5"/>
  <c r="M1396" i="5" s="1"/>
  <c r="D1396" i="5"/>
  <c r="L1395" i="5"/>
  <c r="M1395" i="5" s="1"/>
  <c r="D1395" i="5"/>
  <c r="L1394" i="5"/>
  <c r="M1394" i="5" s="1"/>
  <c r="D1394" i="5"/>
  <c r="L1391" i="5"/>
  <c r="M1391" i="5" s="1"/>
  <c r="J1391" i="5"/>
  <c r="D1391" i="5"/>
  <c r="L1390" i="5"/>
  <c r="M1390" i="5" s="1"/>
  <c r="D1390" i="5"/>
  <c r="L1387" i="5"/>
  <c r="M1387" i="5" s="1"/>
  <c r="D1387" i="5"/>
  <c r="L1386" i="5"/>
  <c r="M1386" i="5" s="1"/>
  <c r="J1386" i="5"/>
  <c r="D1386" i="5"/>
  <c r="L1385" i="5"/>
  <c r="M1385" i="5" s="1"/>
  <c r="D1385" i="5"/>
  <c r="L1384" i="5"/>
  <c r="M1384" i="5" s="1"/>
  <c r="J1384" i="5"/>
  <c r="D1384" i="5"/>
  <c r="L1381" i="5"/>
  <c r="M1381" i="5" s="1"/>
  <c r="D1381" i="5"/>
  <c r="L1380" i="5"/>
  <c r="M1380" i="5" s="1"/>
  <c r="J1380" i="5"/>
  <c r="D1380" i="5"/>
  <c r="L1379" i="5"/>
  <c r="M1379" i="5" s="1"/>
  <c r="D1379" i="5"/>
  <c r="L1378" i="5"/>
  <c r="M1378" i="5" s="1"/>
  <c r="J1378" i="5"/>
  <c r="D1378" i="5"/>
  <c r="L1375" i="5"/>
  <c r="M1375" i="5" s="1"/>
  <c r="I1375" i="5"/>
  <c r="D1375" i="5"/>
  <c r="L1374" i="5"/>
  <c r="M1374" i="5" s="1"/>
  <c r="H1374" i="5"/>
  <c r="D1374" i="5" s="1"/>
  <c r="L1373" i="5"/>
  <c r="M1373" i="5" s="1"/>
  <c r="D1373" i="5"/>
  <c r="L1366" i="5"/>
  <c r="M1366" i="5" s="1"/>
  <c r="D1366" i="5"/>
  <c r="L1365" i="5"/>
  <c r="M1365" i="5" s="1"/>
  <c r="D1365" i="5"/>
  <c r="L1362" i="5"/>
  <c r="M1362" i="5" s="1"/>
  <c r="D1362" i="5"/>
  <c r="L1361" i="5"/>
  <c r="M1361" i="5" s="1"/>
  <c r="D1361" i="5"/>
  <c r="L1360" i="5"/>
  <c r="M1360" i="5" s="1"/>
  <c r="D1360" i="5"/>
  <c r="L1359" i="5"/>
  <c r="M1359" i="5" s="1"/>
  <c r="D1359" i="5"/>
  <c r="L1358" i="5"/>
  <c r="M1358" i="5" s="1"/>
  <c r="D1358" i="5"/>
  <c r="L1355" i="5"/>
  <c r="M1355" i="5" s="1"/>
  <c r="J1355" i="5"/>
  <c r="D1355" i="5"/>
  <c r="L1354" i="5"/>
  <c r="M1354" i="5" s="1"/>
  <c r="D1354" i="5"/>
  <c r="L1351" i="5"/>
  <c r="M1351" i="5" s="1"/>
  <c r="D1351" i="5"/>
  <c r="L1350" i="5"/>
  <c r="M1350" i="5" s="1"/>
  <c r="J1350" i="5"/>
  <c r="D1350" i="5"/>
  <c r="L1349" i="5"/>
  <c r="M1349" i="5" s="1"/>
  <c r="D1349" i="5"/>
  <c r="L1348" i="5"/>
  <c r="M1348" i="5" s="1"/>
  <c r="J1348" i="5"/>
  <c r="D1348" i="5"/>
  <c r="L1345" i="5"/>
  <c r="M1345" i="5" s="1"/>
  <c r="D1345" i="5"/>
  <c r="L1344" i="5"/>
  <c r="M1344" i="5" s="1"/>
  <c r="J1344" i="5"/>
  <c r="D1344" i="5"/>
  <c r="L1343" i="5"/>
  <c r="M1343" i="5" s="1"/>
  <c r="D1343" i="5"/>
  <c r="L1342" i="5"/>
  <c r="M1342" i="5" s="1"/>
  <c r="J1342" i="5"/>
  <c r="D1342" i="5"/>
  <c r="L1339" i="5"/>
  <c r="M1339" i="5" s="1"/>
  <c r="D1339" i="5"/>
  <c r="L1338" i="5"/>
  <c r="M1338" i="5" s="1"/>
  <c r="D1338" i="5"/>
  <c r="L1337" i="5"/>
  <c r="M1337" i="5" s="1"/>
  <c r="D1337" i="5"/>
  <c r="L1336" i="5"/>
  <c r="M1336" i="5" s="1"/>
  <c r="D1336" i="5"/>
  <c r="L1335" i="5"/>
  <c r="M1335" i="5" s="1"/>
  <c r="I1335" i="5"/>
  <c r="H1335" i="5"/>
  <c r="D1335" i="5" s="1"/>
  <c r="L1334" i="5"/>
  <c r="M1334" i="5" s="1"/>
  <c r="D1334" i="5"/>
  <c r="L1327" i="5"/>
  <c r="M1327" i="5" s="1"/>
  <c r="D1327" i="5"/>
  <c r="L1326" i="5"/>
  <c r="M1326" i="5" s="1"/>
  <c r="D1326" i="5"/>
  <c r="L1323" i="5"/>
  <c r="M1323" i="5" s="1"/>
  <c r="D1323" i="5"/>
  <c r="L1322" i="5"/>
  <c r="M1322" i="5" s="1"/>
  <c r="D1322" i="5"/>
  <c r="L1321" i="5"/>
  <c r="M1321" i="5" s="1"/>
  <c r="D1321" i="5"/>
  <c r="L1320" i="5"/>
  <c r="M1320" i="5" s="1"/>
  <c r="D1320" i="5"/>
  <c r="L1319" i="5"/>
  <c r="M1319" i="5" s="1"/>
  <c r="D1319" i="5"/>
  <c r="L1316" i="5"/>
  <c r="M1316" i="5" s="1"/>
  <c r="J1316" i="5"/>
  <c r="D1316" i="5"/>
  <c r="L1315" i="5"/>
  <c r="M1315" i="5" s="1"/>
  <c r="I1315" i="5"/>
  <c r="D1315" i="5"/>
  <c r="L1312" i="5"/>
  <c r="M1312" i="5" s="1"/>
  <c r="D1312" i="5"/>
  <c r="L1311" i="5"/>
  <c r="M1311" i="5" s="1"/>
  <c r="J1311" i="5"/>
  <c r="D1311" i="5"/>
  <c r="L1310" i="5"/>
  <c r="M1310" i="5" s="1"/>
  <c r="D1310" i="5"/>
  <c r="L1309" i="5"/>
  <c r="M1309" i="5" s="1"/>
  <c r="J1309" i="5"/>
  <c r="D1309" i="5"/>
  <c r="L1306" i="5"/>
  <c r="M1306" i="5" s="1"/>
  <c r="D1306" i="5"/>
  <c r="L1305" i="5"/>
  <c r="M1305" i="5" s="1"/>
  <c r="J1305" i="5"/>
  <c r="D1305" i="5"/>
  <c r="L1304" i="5"/>
  <c r="M1304" i="5" s="1"/>
  <c r="D1304" i="5"/>
  <c r="L1303" i="5"/>
  <c r="M1303" i="5" s="1"/>
  <c r="J1303" i="5"/>
  <c r="D1303" i="5"/>
  <c r="L1300" i="5"/>
  <c r="M1300" i="5" s="1"/>
  <c r="D1300" i="5"/>
  <c r="L1299" i="5"/>
  <c r="M1299" i="5" s="1"/>
  <c r="D1299" i="5"/>
  <c r="L1298" i="5"/>
  <c r="M1298" i="5" s="1"/>
  <c r="D1298" i="5"/>
  <c r="L1297" i="5"/>
  <c r="M1297" i="5" s="1"/>
  <c r="H1297" i="5"/>
  <c r="D1297" i="5" s="1"/>
  <c r="L1296" i="5"/>
  <c r="M1296" i="5" s="1"/>
  <c r="K1296" i="5"/>
  <c r="I1296" i="5"/>
  <c r="I1297" i="5" s="1"/>
  <c r="D1296" i="5"/>
  <c r="L1287" i="5"/>
  <c r="M1287" i="5" s="1"/>
  <c r="D1287" i="5"/>
  <c r="L1286" i="5"/>
  <c r="M1286" i="5" s="1"/>
  <c r="D1286" i="5"/>
  <c r="L1283" i="5"/>
  <c r="M1283" i="5" s="1"/>
  <c r="D1283" i="5"/>
  <c r="L1282" i="5"/>
  <c r="M1282" i="5" s="1"/>
  <c r="D1282" i="5"/>
  <c r="L1281" i="5"/>
  <c r="M1281" i="5" s="1"/>
  <c r="D1281" i="5"/>
  <c r="L1280" i="5"/>
  <c r="M1280" i="5" s="1"/>
  <c r="D1280" i="5"/>
  <c r="L1279" i="5"/>
  <c r="M1279" i="5" s="1"/>
  <c r="D1279" i="5"/>
  <c r="L1276" i="5"/>
  <c r="M1276" i="5" s="1"/>
  <c r="J1276" i="5"/>
  <c r="D1276" i="5"/>
  <c r="L1275" i="5"/>
  <c r="M1275" i="5" s="1"/>
  <c r="D1275" i="5"/>
  <c r="L1272" i="5"/>
  <c r="M1272" i="5" s="1"/>
  <c r="D1272" i="5"/>
  <c r="L1271" i="5"/>
  <c r="M1271" i="5" s="1"/>
  <c r="J1271" i="5"/>
  <c r="D1271" i="5"/>
  <c r="L1270" i="5"/>
  <c r="M1270" i="5" s="1"/>
  <c r="D1270" i="5"/>
  <c r="L1269" i="5"/>
  <c r="M1269" i="5" s="1"/>
  <c r="J1269" i="5"/>
  <c r="D1269" i="5"/>
  <c r="L1266" i="5"/>
  <c r="M1266" i="5" s="1"/>
  <c r="D1266" i="5"/>
  <c r="L1265" i="5"/>
  <c r="M1265" i="5" s="1"/>
  <c r="J1265" i="5"/>
  <c r="D1265" i="5"/>
  <c r="L1264" i="5"/>
  <c r="M1264" i="5" s="1"/>
  <c r="D1264" i="5"/>
  <c r="L1263" i="5"/>
  <c r="M1263" i="5" s="1"/>
  <c r="J1263" i="5"/>
  <c r="D1263" i="5"/>
  <c r="L1260" i="5"/>
  <c r="M1260" i="5" s="1"/>
  <c r="D1260" i="5"/>
  <c r="L1259" i="5"/>
  <c r="M1259" i="5" s="1"/>
  <c r="D1259" i="5"/>
  <c r="L1258" i="5"/>
  <c r="M1258" i="5" s="1"/>
  <c r="D1258" i="5"/>
  <c r="L1257" i="5"/>
  <c r="M1257" i="5" s="1"/>
  <c r="D1257" i="5"/>
  <c r="L1256" i="5"/>
  <c r="M1256" i="5" s="1"/>
  <c r="I1256" i="5"/>
  <c r="H1256" i="5"/>
  <c r="D1256" i="5" s="1"/>
  <c r="L1255" i="5"/>
  <c r="M1255" i="5" s="1"/>
  <c r="D1255" i="5"/>
  <c r="L1248" i="5"/>
  <c r="M1248" i="5" s="1"/>
  <c r="D1248" i="5"/>
  <c r="L1247" i="5"/>
  <c r="M1247" i="5" s="1"/>
  <c r="D1247" i="5"/>
  <c r="L1244" i="5"/>
  <c r="M1244" i="5" s="1"/>
  <c r="D1244" i="5"/>
  <c r="L1243" i="5"/>
  <c r="M1243" i="5" s="1"/>
  <c r="D1243" i="5"/>
  <c r="L1242" i="5"/>
  <c r="M1242" i="5" s="1"/>
  <c r="D1242" i="5"/>
  <c r="L1241" i="5"/>
  <c r="M1241" i="5" s="1"/>
  <c r="D1241" i="5"/>
  <c r="L1240" i="5"/>
  <c r="M1240" i="5" s="1"/>
  <c r="D1240" i="5"/>
  <c r="L1237" i="5"/>
  <c r="M1237" i="5" s="1"/>
  <c r="J1237" i="5"/>
  <c r="D1237" i="5"/>
  <c r="L1236" i="5"/>
  <c r="M1236" i="5" s="1"/>
  <c r="D1236" i="5"/>
  <c r="L1233" i="5"/>
  <c r="M1233" i="5" s="1"/>
  <c r="D1233" i="5"/>
  <c r="L1232" i="5"/>
  <c r="M1232" i="5" s="1"/>
  <c r="J1232" i="5"/>
  <c r="D1232" i="5"/>
  <c r="L1231" i="5"/>
  <c r="M1231" i="5" s="1"/>
  <c r="D1231" i="5"/>
  <c r="L1230" i="5"/>
  <c r="M1230" i="5" s="1"/>
  <c r="J1230" i="5"/>
  <c r="D1230" i="5"/>
  <c r="L1227" i="5"/>
  <c r="M1227" i="5" s="1"/>
  <c r="D1227" i="5"/>
  <c r="L1226" i="5"/>
  <c r="M1226" i="5" s="1"/>
  <c r="J1226" i="5"/>
  <c r="D1226" i="5"/>
  <c r="L1225" i="5"/>
  <c r="M1225" i="5" s="1"/>
  <c r="D1225" i="5"/>
  <c r="L1224" i="5"/>
  <c r="M1224" i="5" s="1"/>
  <c r="J1224" i="5"/>
  <c r="D1224" i="5"/>
  <c r="L1221" i="5"/>
  <c r="M1221" i="5" s="1"/>
  <c r="D1221" i="5"/>
  <c r="L1220" i="5"/>
  <c r="M1220" i="5" s="1"/>
  <c r="D1220" i="5"/>
  <c r="L1219" i="5"/>
  <c r="M1219" i="5" s="1"/>
  <c r="D1219" i="5"/>
  <c r="L1218" i="5"/>
  <c r="M1218" i="5" s="1"/>
  <c r="D1218" i="5"/>
  <c r="L1217" i="5"/>
  <c r="M1217" i="5" s="1"/>
  <c r="D1217" i="5"/>
  <c r="L1216" i="5"/>
  <c r="M1216" i="5" s="1"/>
  <c r="D1216" i="5"/>
  <c r="L1215" i="5"/>
  <c r="M1215" i="5" s="1"/>
  <c r="D1215" i="5"/>
  <c r="L1214" i="5"/>
  <c r="M1214" i="5" s="1"/>
  <c r="D1214" i="5"/>
  <c r="L1213" i="5"/>
  <c r="M1213" i="5" s="1"/>
  <c r="D1213" i="5"/>
  <c r="L1212" i="5"/>
  <c r="M1212" i="5" s="1"/>
  <c r="H1212" i="5"/>
  <c r="D1212" i="5" s="1"/>
  <c r="L1211" i="5"/>
  <c r="M1211" i="5" s="1"/>
  <c r="D1211" i="5"/>
  <c r="L1210" i="5"/>
  <c r="M1210" i="5" s="1"/>
  <c r="I1210" i="5"/>
  <c r="H1210" i="5"/>
  <c r="D1210" i="5" s="1"/>
  <c r="L1209" i="5"/>
  <c r="M1209" i="5" s="1"/>
  <c r="D1209" i="5"/>
  <c r="L1202" i="5"/>
  <c r="M1202" i="5" s="1"/>
  <c r="D1202" i="5"/>
  <c r="L1201" i="5"/>
  <c r="M1201" i="5" s="1"/>
  <c r="D1201" i="5"/>
  <c r="L1198" i="5"/>
  <c r="M1198" i="5" s="1"/>
  <c r="D1198" i="5"/>
  <c r="L1197" i="5"/>
  <c r="M1197" i="5" s="1"/>
  <c r="D1197" i="5"/>
  <c r="L1196" i="5"/>
  <c r="M1196" i="5" s="1"/>
  <c r="D1196" i="5"/>
  <c r="L1195" i="5"/>
  <c r="M1195" i="5" s="1"/>
  <c r="D1195" i="5"/>
  <c r="L1194" i="5"/>
  <c r="M1194" i="5" s="1"/>
  <c r="D1194" i="5"/>
  <c r="L1191" i="5"/>
  <c r="M1191" i="5" s="1"/>
  <c r="J1191" i="5"/>
  <c r="D1191" i="5"/>
  <c r="L1190" i="5"/>
  <c r="M1190" i="5" s="1"/>
  <c r="D1190" i="5"/>
  <c r="L1187" i="5"/>
  <c r="M1187" i="5" s="1"/>
  <c r="D1187" i="5"/>
  <c r="L1186" i="5"/>
  <c r="M1186" i="5" s="1"/>
  <c r="J1186" i="5"/>
  <c r="D1186" i="5"/>
  <c r="L1185" i="5"/>
  <c r="M1185" i="5" s="1"/>
  <c r="D1185" i="5"/>
  <c r="L1184" i="5"/>
  <c r="M1184" i="5" s="1"/>
  <c r="J1184" i="5"/>
  <c r="D1184" i="5"/>
  <c r="L1181" i="5"/>
  <c r="M1181" i="5" s="1"/>
  <c r="D1181" i="5"/>
  <c r="L1180" i="5"/>
  <c r="M1180" i="5" s="1"/>
  <c r="J1180" i="5"/>
  <c r="D1180" i="5"/>
  <c r="L1179" i="5"/>
  <c r="M1179" i="5" s="1"/>
  <c r="D1179" i="5"/>
  <c r="L1178" i="5"/>
  <c r="M1178" i="5" s="1"/>
  <c r="J1178" i="5"/>
  <c r="D1178" i="5"/>
  <c r="L1175" i="5"/>
  <c r="M1175" i="5" s="1"/>
  <c r="D1175" i="5"/>
  <c r="L1174" i="5"/>
  <c r="M1174" i="5" s="1"/>
  <c r="D1174" i="5"/>
  <c r="L1173" i="5"/>
  <c r="M1173" i="5" s="1"/>
  <c r="D1173" i="5"/>
  <c r="L1172" i="5"/>
  <c r="M1172" i="5" s="1"/>
  <c r="D1172" i="5"/>
  <c r="L1171" i="5"/>
  <c r="M1171" i="5" s="1"/>
  <c r="D1171" i="5"/>
  <c r="L1170" i="5"/>
  <c r="M1170" i="5" s="1"/>
  <c r="D1170" i="5"/>
  <c r="L1169" i="5"/>
  <c r="M1169" i="5" s="1"/>
  <c r="D1169" i="5"/>
  <c r="L1168" i="5"/>
  <c r="M1168" i="5" s="1"/>
  <c r="D1168" i="5"/>
  <c r="L1167" i="5"/>
  <c r="M1167" i="5" s="1"/>
  <c r="D1167" i="5"/>
  <c r="L1166" i="5"/>
  <c r="M1166" i="5" s="1"/>
  <c r="H1166" i="5"/>
  <c r="D1166" i="5" s="1"/>
  <c r="L1165" i="5"/>
  <c r="M1165" i="5" s="1"/>
  <c r="D1165" i="5"/>
  <c r="L1164" i="5"/>
  <c r="M1164" i="5" s="1"/>
  <c r="I1164" i="5"/>
  <c r="H1164" i="5"/>
  <c r="D1164" i="5" s="1"/>
  <c r="L1163" i="5"/>
  <c r="M1163" i="5" s="1"/>
  <c r="D1163" i="5"/>
  <c r="L1156" i="5"/>
  <c r="M1156" i="5" s="1"/>
  <c r="D1156" i="5"/>
  <c r="L1155" i="5"/>
  <c r="M1155" i="5" s="1"/>
  <c r="D1155" i="5"/>
  <c r="L1152" i="5"/>
  <c r="M1152" i="5" s="1"/>
  <c r="D1152" i="5"/>
  <c r="L1151" i="5"/>
  <c r="M1151" i="5" s="1"/>
  <c r="D1151" i="5"/>
  <c r="L1150" i="5"/>
  <c r="M1150" i="5" s="1"/>
  <c r="D1150" i="5"/>
  <c r="L1149" i="5"/>
  <c r="M1149" i="5" s="1"/>
  <c r="D1149" i="5"/>
  <c r="L1148" i="5"/>
  <c r="M1148" i="5" s="1"/>
  <c r="I1148" i="5"/>
  <c r="D1148" i="5"/>
  <c r="L1145" i="5"/>
  <c r="M1145" i="5" s="1"/>
  <c r="J1145" i="5"/>
  <c r="D1145" i="5"/>
  <c r="L1144" i="5"/>
  <c r="M1144" i="5" s="1"/>
  <c r="I1144" i="5"/>
  <c r="D1144" i="5"/>
  <c r="L1141" i="5"/>
  <c r="M1141" i="5" s="1"/>
  <c r="D1141" i="5"/>
  <c r="L1140" i="5"/>
  <c r="M1140" i="5" s="1"/>
  <c r="J1140" i="5"/>
  <c r="D1140" i="5"/>
  <c r="L1139" i="5"/>
  <c r="M1139" i="5" s="1"/>
  <c r="D1139" i="5"/>
  <c r="L1138" i="5"/>
  <c r="M1138" i="5" s="1"/>
  <c r="J1138" i="5"/>
  <c r="D1138" i="5"/>
  <c r="L1135" i="5"/>
  <c r="M1135" i="5" s="1"/>
  <c r="D1135" i="5"/>
  <c r="L1134" i="5"/>
  <c r="M1134" i="5" s="1"/>
  <c r="J1134" i="5"/>
  <c r="D1134" i="5"/>
  <c r="L1133" i="5"/>
  <c r="M1133" i="5" s="1"/>
  <c r="D1133" i="5"/>
  <c r="L1132" i="5"/>
  <c r="M1132" i="5" s="1"/>
  <c r="J1132" i="5"/>
  <c r="D1132" i="5"/>
  <c r="L1129" i="5"/>
  <c r="M1129" i="5" s="1"/>
  <c r="D1129" i="5"/>
  <c r="L1128" i="5"/>
  <c r="M1128" i="5" s="1"/>
  <c r="D1128" i="5"/>
  <c r="L1127" i="5"/>
  <c r="M1127" i="5" s="1"/>
  <c r="D1127" i="5"/>
  <c r="L1126" i="5"/>
  <c r="M1126" i="5" s="1"/>
  <c r="D1126" i="5"/>
  <c r="L1125" i="5"/>
  <c r="M1125" i="5" s="1"/>
  <c r="D1125" i="5"/>
  <c r="L1124" i="5"/>
  <c r="M1124" i="5" s="1"/>
  <c r="D1124" i="5"/>
  <c r="L1123" i="5"/>
  <c r="M1123" i="5" s="1"/>
  <c r="D1123" i="5"/>
  <c r="L1122" i="5"/>
  <c r="M1122" i="5" s="1"/>
  <c r="D1122" i="5"/>
  <c r="L1121" i="5"/>
  <c r="M1121" i="5" s="1"/>
  <c r="H1121" i="5"/>
  <c r="D1121" i="5" s="1"/>
  <c r="L1120" i="5"/>
  <c r="M1120" i="5" s="1"/>
  <c r="K1120" i="5"/>
  <c r="I1120" i="5"/>
  <c r="I1121" i="5" s="1"/>
  <c r="D1120" i="5"/>
  <c r="L1119" i="5"/>
  <c r="M1119" i="5" s="1"/>
  <c r="H1119" i="5"/>
  <c r="D1119" i="5" s="1"/>
  <c r="L1118" i="5"/>
  <c r="M1118" i="5" s="1"/>
  <c r="K1118" i="5"/>
  <c r="I1118" i="5"/>
  <c r="I1119" i="5" s="1"/>
  <c r="D1118" i="5"/>
  <c r="L1111" i="5"/>
  <c r="M1111" i="5" s="1"/>
  <c r="D1111" i="5"/>
  <c r="L1110" i="5"/>
  <c r="M1110" i="5" s="1"/>
  <c r="D1110" i="5"/>
  <c r="L1109" i="5"/>
  <c r="M1109" i="5" s="1"/>
  <c r="D1109" i="5"/>
  <c r="L1106" i="5"/>
  <c r="M1106" i="5" s="1"/>
  <c r="D1106" i="5"/>
  <c r="L1105" i="5"/>
  <c r="M1105" i="5" s="1"/>
  <c r="D1105" i="5"/>
  <c r="L1102" i="5"/>
  <c r="M1102" i="5" s="1"/>
  <c r="J1102" i="5"/>
  <c r="D1102" i="5"/>
  <c r="L1101" i="5"/>
  <c r="M1101" i="5" s="1"/>
  <c r="I1101" i="5"/>
  <c r="D1101" i="5"/>
  <c r="L1098" i="5"/>
  <c r="M1098" i="5" s="1"/>
  <c r="D1098" i="5"/>
  <c r="L1097" i="5"/>
  <c r="M1097" i="5" s="1"/>
  <c r="J1097" i="5"/>
  <c r="D1097" i="5"/>
  <c r="L1096" i="5"/>
  <c r="M1096" i="5" s="1"/>
  <c r="D1096" i="5"/>
  <c r="L1095" i="5"/>
  <c r="M1095" i="5" s="1"/>
  <c r="J1095" i="5"/>
  <c r="D1095" i="5"/>
  <c r="L1092" i="5"/>
  <c r="M1092" i="5" s="1"/>
  <c r="D1092" i="5"/>
  <c r="L1091" i="5"/>
  <c r="M1091" i="5" s="1"/>
  <c r="J1091" i="5"/>
  <c r="D1091" i="5"/>
  <c r="L1090" i="5"/>
  <c r="M1090" i="5" s="1"/>
  <c r="D1090" i="5"/>
  <c r="L1089" i="5"/>
  <c r="M1089" i="5" s="1"/>
  <c r="J1089" i="5"/>
  <c r="D1089" i="5"/>
  <c r="L1086" i="5"/>
  <c r="M1086" i="5" s="1"/>
  <c r="D1086" i="5"/>
  <c r="L1085" i="5"/>
  <c r="M1085" i="5" s="1"/>
  <c r="D1085" i="5"/>
  <c r="L1084" i="5"/>
  <c r="M1084" i="5" s="1"/>
  <c r="D1084" i="5"/>
  <c r="L1083" i="5"/>
  <c r="M1083" i="5" s="1"/>
  <c r="D1083" i="5"/>
  <c r="L1082" i="5"/>
  <c r="M1082" i="5" s="1"/>
  <c r="D1082" i="5"/>
  <c r="L1081" i="5"/>
  <c r="M1081" i="5" s="1"/>
  <c r="D1081" i="5"/>
  <c r="L1080" i="5"/>
  <c r="M1080" i="5" s="1"/>
  <c r="H1080" i="5"/>
  <c r="D1080" i="5" s="1"/>
  <c r="L1079" i="5"/>
  <c r="M1079" i="5" s="1"/>
  <c r="K1079" i="5"/>
  <c r="I1079" i="5"/>
  <c r="D1079" i="5"/>
  <c r="L1071" i="5"/>
  <c r="M1071" i="5" s="1"/>
  <c r="D1071" i="5"/>
  <c r="L1070" i="5"/>
  <c r="M1070" i="5" s="1"/>
  <c r="D1070" i="5"/>
  <c r="L1069" i="5"/>
  <c r="M1069" i="5" s="1"/>
  <c r="D1069" i="5"/>
  <c r="L1068" i="5"/>
  <c r="M1068" i="5" s="1"/>
  <c r="D1068" i="5"/>
  <c r="L1065" i="5"/>
  <c r="M1065" i="5" s="1"/>
  <c r="D1065" i="5"/>
  <c r="L1064" i="5"/>
  <c r="M1064" i="5" s="1"/>
  <c r="D1064" i="5"/>
  <c r="L1063" i="5"/>
  <c r="M1063" i="5" s="1"/>
  <c r="D1063" i="5"/>
  <c r="L1062" i="5"/>
  <c r="M1062" i="5" s="1"/>
  <c r="D1062" i="5"/>
  <c r="L1058" i="5"/>
  <c r="M1058" i="5" s="1"/>
  <c r="D1058" i="5"/>
  <c r="L1057" i="5"/>
  <c r="M1057" i="5" s="1"/>
  <c r="D1057" i="5"/>
  <c r="L1056" i="5"/>
  <c r="M1056" i="5" s="1"/>
  <c r="D1056" i="5"/>
  <c r="L1055" i="5"/>
  <c r="M1055" i="5" s="1"/>
  <c r="D1055" i="5"/>
  <c r="L1052" i="5"/>
  <c r="M1052" i="5" s="1"/>
  <c r="D1052" i="5"/>
  <c r="L1051" i="5"/>
  <c r="M1051" i="5" s="1"/>
  <c r="D1051" i="5"/>
  <c r="L1050" i="5"/>
  <c r="M1050" i="5" s="1"/>
  <c r="D1050" i="5"/>
  <c r="L1049" i="5"/>
  <c r="M1049" i="5" s="1"/>
  <c r="D1049" i="5"/>
  <c r="L1041" i="5"/>
  <c r="M1041" i="5" s="1"/>
  <c r="D1041" i="5"/>
  <c r="L1040" i="5"/>
  <c r="M1040" i="5" s="1"/>
  <c r="D1040" i="5"/>
  <c r="L1039" i="5"/>
  <c r="M1039" i="5" s="1"/>
  <c r="D1039" i="5"/>
  <c r="L1038" i="5"/>
  <c r="M1038" i="5" s="1"/>
  <c r="D1038" i="5"/>
  <c r="L1035" i="5"/>
  <c r="M1035" i="5" s="1"/>
  <c r="D1035" i="5"/>
  <c r="L1034" i="5"/>
  <c r="M1034" i="5" s="1"/>
  <c r="D1034" i="5"/>
  <c r="L1033" i="5"/>
  <c r="M1033" i="5" s="1"/>
  <c r="D1033" i="5"/>
  <c r="L1032" i="5"/>
  <c r="M1032" i="5" s="1"/>
  <c r="D1032" i="5"/>
  <c r="L1027" i="5"/>
  <c r="M1027" i="5" s="1"/>
  <c r="D1027" i="5"/>
  <c r="L1026" i="5"/>
  <c r="M1026" i="5" s="1"/>
  <c r="D1026" i="5"/>
  <c r="L1025" i="5"/>
  <c r="M1025" i="5" s="1"/>
  <c r="D1025" i="5"/>
  <c r="L1024" i="5"/>
  <c r="M1024" i="5" s="1"/>
  <c r="D1024" i="5"/>
  <c r="L1021" i="5"/>
  <c r="M1021" i="5" s="1"/>
  <c r="D1021" i="5"/>
  <c r="L1020" i="5"/>
  <c r="M1020" i="5" s="1"/>
  <c r="D1020" i="5"/>
  <c r="L1019" i="5"/>
  <c r="M1019" i="5" s="1"/>
  <c r="D1019" i="5"/>
  <c r="L1018" i="5"/>
  <c r="M1018" i="5" s="1"/>
  <c r="D1018" i="5"/>
  <c r="L996" i="5"/>
  <c r="M996" i="5" s="1"/>
  <c r="N996" i="5" s="1"/>
  <c r="D996" i="5"/>
  <c r="L995" i="5"/>
  <c r="M995" i="5" s="1"/>
  <c r="N995" i="5" s="1"/>
  <c r="D995" i="5"/>
  <c r="L994" i="5"/>
  <c r="M994" i="5" s="1"/>
  <c r="N994" i="5" s="1"/>
  <c r="D994" i="5"/>
  <c r="L993" i="5"/>
  <c r="M993" i="5" s="1"/>
  <c r="N993" i="5" s="1"/>
  <c r="D993" i="5"/>
  <c r="L992" i="5"/>
  <c r="M992" i="5" s="1"/>
  <c r="N992" i="5" s="1"/>
  <c r="D992" i="5"/>
  <c r="L991" i="5"/>
  <c r="M991" i="5" s="1"/>
  <c r="N991" i="5" s="1"/>
  <c r="D991" i="5"/>
  <c r="L990" i="5"/>
  <c r="M990" i="5" s="1"/>
  <c r="N990" i="5" s="1"/>
  <c r="D990" i="5"/>
  <c r="L986" i="5"/>
  <c r="M986" i="5" s="1"/>
  <c r="N986" i="5" s="1"/>
  <c r="D986" i="5"/>
  <c r="M985" i="5"/>
  <c r="N985" i="5" s="1"/>
  <c r="L985" i="5"/>
  <c r="D985" i="5"/>
  <c r="L984" i="5"/>
  <c r="M984" i="5" s="1"/>
  <c r="N984" i="5" s="1"/>
  <c r="D984" i="5"/>
  <c r="L983" i="5"/>
  <c r="M983" i="5" s="1"/>
  <c r="N983" i="5" s="1"/>
  <c r="D983" i="5"/>
  <c r="L982" i="5"/>
  <c r="M982" i="5" s="1"/>
  <c r="N982" i="5" s="1"/>
  <c r="D982" i="5"/>
  <c r="L981" i="5"/>
  <c r="M981" i="5" s="1"/>
  <c r="N981" i="5" s="1"/>
  <c r="D981" i="5"/>
  <c r="L976" i="5"/>
  <c r="M976" i="5" s="1"/>
  <c r="J976" i="5"/>
  <c r="D976" i="5"/>
  <c r="L975" i="5"/>
  <c r="M975" i="5" s="1"/>
  <c r="N975" i="5" s="1"/>
  <c r="D975" i="5"/>
  <c r="L974" i="5"/>
  <c r="M974" i="5" s="1"/>
  <c r="J974" i="5"/>
  <c r="D974" i="5"/>
  <c r="L973" i="5"/>
  <c r="M973" i="5" s="1"/>
  <c r="N973" i="5" s="1"/>
  <c r="D973" i="5"/>
  <c r="L972" i="5"/>
  <c r="M972" i="5" s="1"/>
  <c r="N972" i="5" s="1"/>
  <c r="D972" i="5"/>
  <c r="L971" i="5"/>
  <c r="M971" i="5" s="1"/>
  <c r="N971" i="5" s="1"/>
  <c r="D971" i="5"/>
  <c r="L970" i="5"/>
  <c r="M970" i="5" s="1"/>
  <c r="N970" i="5" s="1"/>
  <c r="D970" i="5"/>
  <c r="L965" i="5"/>
  <c r="M965" i="5" s="1"/>
  <c r="N965" i="5" s="1"/>
  <c r="D965" i="5"/>
  <c r="L964" i="5"/>
  <c r="M964" i="5" s="1"/>
  <c r="N964" i="5" s="1"/>
  <c r="D964" i="5"/>
  <c r="L963" i="5"/>
  <c r="M963" i="5" s="1"/>
  <c r="N963" i="5" s="1"/>
  <c r="D963" i="5"/>
  <c r="L962" i="5"/>
  <c r="M962" i="5" s="1"/>
  <c r="N962" i="5" s="1"/>
  <c r="D962" i="5"/>
  <c r="L961" i="5"/>
  <c r="M961" i="5" s="1"/>
  <c r="N961" i="5" s="1"/>
  <c r="D961" i="5"/>
  <c r="L956" i="5"/>
  <c r="M956" i="5" s="1"/>
  <c r="N956" i="5" s="1"/>
  <c r="D956" i="5"/>
  <c r="L955" i="5"/>
  <c r="M955" i="5" s="1"/>
  <c r="N955" i="5" s="1"/>
  <c r="D955" i="5"/>
  <c r="L954" i="5"/>
  <c r="M954" i="5" s="1"/>
  <c r="N954" i="5" s="1"/>
  <c r="D954" i="5"/>
  <c r="L953" i="5"/>
  <c r="M953" i="5" s="1"/>
  <c r="N953" i="5" s="1"/>
  <c r="D953" i="5"/>
  <c r="L952" i="5"/>
  <c r="M952" i="5" s="1"/>
  <c r="N952" i="5" s="1"/>
  <c r="D952" i="5"/>
  <c r="L946" i="5"/>
  <c r="M946" i="5" s="1"/>
  <c r="J946" i="5"/>
  <c r="D946" i="5"/>
  <c r="L945" i="5"/>
  <c r="M945" i="5" s="1"/>
  <c r="J945" i="5"/>
  <c r="D945" i="5"/>
  <c r="L944" i="5"/>
  <c r="M944" i="5" s="1"/>
  <c r="J944" i="5"/>
  <c r="D944" i="5"/>
  <c r="L943" i="5"/>
  <c r="M943" i="5" s="1"/>
  <c r="D943" i="5"/>
  <c r="L940" i="5"/>
  <c r="M940" i="5" s="1"/>
  <c r="J940" i="5"/>
  <c r="D940" i="5"/>
  <c r="L939" i="5"/>
  <c r="M939" i="5" s="1"/>
  <c r="D939" i="5"/>
  <c r="L936" i="5"/>
  <c r="M936" i="5" s="1"/>
  <c r="D936" i="5"/>
  <c r="L935" i="5"/>
  <c r="M935" i="5" s="1"/>
  <c r="D935" i="5"/>
  <c r="L934" i="5"/>
  <c r="M934" i="5" s="1"/>
  <c r="D934" i="5"/>
  <c r="L933" i="5"/>
  <c r="M933" i="5" s="1"/>
  <c r="D933" i="5"/>
  <c r="L932" i="5"/>
  <c r="M932" i="5" s="1"/>
  <c r="D932" i="5"/>
  <c r="L931" i="5"/>
  <c r="M931" i="5" s="1"/>
  <c r="D931" i="5"/>
  <c r="L930" i="5"/>
  <c r="M930" i="5" s="1"/>
  <c r="D930" i="5"/>
  <c r="L929" i="5"/>
  <c r="M929" i="5" s="1"/>
  <c r="D929" i="5"/>
  <c r="L923" i="5"/>
  <c r="M923" i="5" s="1"/>
  <c r="D923" i="5"/>
  <c r="L922" i="5"/>
  <c r="M922" i="5" s="1"/>
  <c r="D922" i="5"/>
  <c r="L921" i="5"/>
  <c r="M921" i="5" s="1"/>
  <c r="D921" i="5"/>
  <c r="L920" i="5"/>
  <c r="M920" i="5" s="1"/>
  <c r="D920" i="5"/>
  <c r="L919" i="5"/>
  <c r="M919" i="5" s="1"/>
  <c r="J919" i="5"/>
  <c r="D919" i="5"/>
  <c r="L914" i="5"/>
  <c r="M914" i="5" s="1"/>
  <c r="J914" i="5"/>
  <c r="D914" i="5"/>
  <c r="L913" i="5"/>
  <c r="M913" i="5" s="1"/>
  <c r="D913" i="5"/>
  <c r="L910" i="5"/>
  <c r="M910" i="5" s="1"/>
  <c r="D910" i="5"/>
  <c r="L909" i="5"/>
  <c r="M909" i="5" s="1"/>
  <c r="D909" i="5"/>
  <c r="L908" i="5"/>
  <c r="M908" i="5" s="1"/>
  <c r="D908" i="5"/>
  <c r="L907" i="5"/>
  <c r="M907" i="5" s="1"/>
  <c r="D907" i="5"/>
  <c r="L906" i="5"/>
  <c r="M906" i="5" s="1"/>
  <c r="D906" i="5"/>
  <c r="L905" i="5"/>
  <c r="M905" i="5" s="1"/>
  <c r="I905" i="5"/>
  <c r="D905" i="5"/>
  <c r="L900" i="5"/>
  <c r="M900" i="5" s="1"/>
  <c r="D900" i="5"/>
  <c r="L899" i="5"/>
  <c r="M899" i="5" s="1"/>
  <c r="D899" i="5"/>
  <c r="L898" i="5"/>
  <c r="M898" i="5" s="1"/>
  <c r="D898" i="5"/>
  <c r="L897" i="5"/>
  <c r="M897" i="5" s="1"/>
  <c r="D897" i="5"/>
  <c r="L896" i="5"/>
  <c r="M896" i="5" s="1"/>
  <c r="J896" i="5"/>
  <c r="D896" i="5"/>
  <c r="L892" i="5"/>
  <c r="M892" i="5" s="1"/>
  <c r="D892" i="5"/>
  <c r="L891" i="5"/>
  <c r="M891" i="5" s="1"/>
  <c r="D891" i="5"/>
  <c r="L890" i="5"/>
  <c r="M890" i="5" s="1"/>
  <c r="D890" i="5"/>
  <c r="L889" i="5"/>
  <c r="M889" i="5" s="1"/>
  <c r="D889" i="5"/>
  <c r="L888" i="5"/>
  <c r="M888" i="5" s="1"/>
  <c r="J888" i="5"/>
  <c r="D888" i="5"/>
  <c r="L884" i="5"/>
  <c r="M884" i="5" s="1"/>
  <c r="D884" i="5"/>
  <c r="L883" i="5"/>
  <c r="M883" i="5" s="1"/>
  <c r="D883" i="5"/>
  <c r="L882" i="5"/>
  <c r="M882" i="5" s="1"/>
  <c r="D882" i="5"/>
  <c r="L881" i="5"/>
  <c r="M881" i="5" s="1"/>
  <c r="D881" i="5"/>
  <c r="L880" i="5"/>
  <c r="M880" i="5" s="1"/>
  <c r="J880" i="5"/>
  <c r="D880" i="5"/>
  <c r="L876" i="5"/>
  <c r="M876" i="5" s="1"/>
  <c r="J876" i="5"/>
  <c r="D876" i="5"/>
  <c r="L875" i="5"/>
  <c r="M875" i="5" s="1"/>
  <c r="D875" i="5"/>
  <c r="L874" i="5"/>
  <c r="M874" i="5" s="1"/>
  <c r="D874" i="5"/>
  <c r="L873" i="5"/>
  <c r="M873" i="5" s="1"/>
  <c r="D873" i="5"/>
  <c r="L870" i="5"/>
  <c r="M870" i="5" s="1"/>
  <c r="D870" i="5"/>
  <c r="L869" i="5"/>
  <c r="M869" i="5" s="1"/>
  <c r="J869" i="5"/>
  <c r="D869" i="5"/>
  <c r="L868" i="5"/>
  <c r="M868" i="5" s="1"/>
  <c r="I868" i="5"/>
  <c r="D868" i="5"/>
  <c r="L863" i="5"/>
  <c r="M863" i="5" s="1"/>
  <c r="J863" i="5"/>
  <c r="D863" i="5"/>
  <c r="L862" i="5"/>
  <c r="M862" i="5" s="1"/>
  <c r="J862" i="5"/>
  <c r="D862" i="5"/>
  <c r="L861" i="5"/>
  <c r="M861" i="5" s="1"/>
  <c r="D861" i="5"/>
  <c r="L860" i="5"/>
  <c r="M860" i="5" s="1"/>
  <c r="D860" i="5"/>
  <c r="L857" i="5"/>
  <c r="M857" i="5" s="1"/>
  <c r="D857" i="5"/>
  <c r="L856" i="5"/>
  <c r="M856" i="5" s="1"/>
  <c r="J856" i="5"/>
  <c r="D856" i="5"/>
  <c r="L855" i="5"/>
  <c r="M855" i="5" s="1"/>
  <c r="I855" i="5"/>
  <c r="D855" i="5"/>
  <c r="L852" i="5"/>
  <c r="M852" i="5" s="1"/>
  <c r="N852" i="5" s="1"/>
  <c r="D852" i="5"/>
  <c r="L851" i="5"/>
  <c r="M851" i="5" s="1"/>
  <c r="E851" i="5"/>
  <c r="D851" i="5"/>
  <c r="L848" i="5"/>
  <c r="M848" i="5" s="1"/>
  <c r="D848" i="5"/>
  <c r="L847" i="5"/>
  <c r="M847" i="5" s="1"/>
  <c r="D847" i="5"/>
  <c r="L846" i="5"/>
  <c r="M846" i="5" s="1"/>
  <c r="D846" i="5"/>
  <c r="L845" i="5"/>
  <c r="M845" i="5" s="1"/>
  <c r="D845" i="5"/>
  <c r="L844" i="5"/>
  <c r="M844" i="5" s="1"/>
  <c r="D844" i="5"/>
  <c r="L843" i="5"/>
  <c r="M843" i="5" s="1"/>
  <c r="D843" i="5"/>
  <c r="L842" i="5"/>
  <c r="M842" i="5" s="1"/>
  <c r="D842" i="5"/>
  <c r="L841" i="5"/>
  <c r="M841" i="5" s="1"/>
  <c r="D841" i="5"/>
  <c r="L837" i="5"/>
  <c r="M837" i="5" s="1"/>
  <c r="N837" i="5" s="1"/>
  <c r="D837" i="5"/>
  <c r="L836" i="5"/>
  <c r="M836" i="5" s="1"/>
  <c r="E836" i="5"/>
  <c r="D836" i="5"/>
  <c r="L833" i="5"/>
  <c r="M833" i="5" s="1"/>
  <c r="D833" i="5"/>
  <c r="L832" i="5"/>
  <c r="M832" i="5" s="1"/>
  <c r="D832" i="5"/>
  <c r="L831" i="5"/>
  <c r="M831" i="5" s="1"/>
  <c r="D831" i="5"/>
  <c r="L830" i="5"/>
  <c r="M830" i="5" s="1"/>
  <c r="D830" i="5"/>
  <c r="L829" i="5"/>
  <c r="M829" i="5" s="1"/>
  <c r="D829" i="5"/>
  <c r="L828" i="5"/>
  <c r="M828" i="5" s="1"/>
  <c r="D828" i="5"/>
  <c r="L827" i="5"/>
  <c r="M827" i="5" s="1"/>
  <c r="D827" i="5"/>
  <c r="L826" i="5"/>
  <c r="M826" i="5" s="1"/>
  <c r="I826" i="5"/>
  <c r="I833" i="5" s="1"/>
  <c r="D826" i="5"/>
  <c r="L821" i="5"/>
  <c r="M821" i="5" s="1"/>
  <c r="J821" i="5"/>
  <c r="D821" i="5"/>
  <c r="L820" i="5"/>
  <c r="M820" i="5" s="1"/>
  <c r="E820" i="5"/>
  <c r="D820" i="5"/>
  <c r="L817" i="5"/>
  <c r="M817" i="5" s="1"/>
  <c r="D817" i="5"/>
  <c r="L816" i="5"/>
  <c r="M816" i="5" s="1"/>
  <c r="D816" i="5"/>
  <c r="L815" i="5"/>
  <c r="M815" i="5" s="1"/>
  <c r="D815" i="5"/>
  <c r="L814" i="5"/>
  <c r="M814" i="5" s="1"/>
  <c r="D814" i="5"/>
  <c r="L813" i="5"/>
  <c r="M813" i="5" s="1"/>
  <c r="D813" i="5"/>
  <c r="L812" i="5"/>
  <c r="M812" i="5" s="1"/>
  <c r="D812" i="5"/>
  <c r="L811" i="5"/>
  <c r="M811" i="5" s="1"/>
  <c r="I811" i="5"/>
  <c r="D811" i="5"/>
  <c r="L797" i="5"/>
  <c r="M797" i="5" s="1"/>
  <c r="N797" i="5" s="1"/>
  <c r="D797" i="5"/>
  <c r="L796" i="5"/>
  <c r="M796" i="5" s="1"/>
  <c r="E796" i="5"/>
  <c r="D796" i="5"/>
  <c r="L793" i="5"/>
  <c r="M793" i="5" s="1"/>
  <c r="D793" i="5"/>
  <c r="L792" i="5"/>
  <c r="M792" i="5" s="1"/>
  <c r="D792" i="5"/>
  <c r="L791" i="5"/>
  <c r="M791" i="5" s="1"/>
  <c r="D791" i="5"/>
  <c r="L790" i="5"/>
  <c r="M790" i="5" s="1"/>
  <c r="D790" i="5"/>
  <c r="L784" i="5"/>
  <c r="M784" i="5" s="1"/>
  <c r="N784" i="5" s="1"/>
  <c r="D784" i="5"/>
  <c r="L783" i="5"/>
  <c r="M783" i="5" s="1"/>
  <c r="E783" i="5"/>
  <c r="D783" i="5"/>
  <c r="L780" i="5"/>
  <c r="M780" i="5" s="1"/>
  <c r="D780" i="5"/>
  <c r="L779" i="5"/>
  <c r="M779" i="5" s="1"/>
  <c r="D779" i="5"/>
  <c r="L778" i="5"/>
  <c r="M778" i="5" s="1"/>
  <c r="D778" i="5"/>
  <c r="L777" i="5"/>
  <c r="M777" i="5" s="1"/>
  <c r="D777" i="5"/>
  <c r="L772" i="5"/>
  <c r="M772" i="5" s="1"/>
  <c r="J772" i="5"/>
  <c r="D772" i="5"/>
  <c r="L771" i="5"/>
  <c r="M771" i="5" s="1"/>
  <c r="D771" i="5"/>
  <c r="L768" i="5"/>
  <c r="M768" i="5" s="1"/>
  <c r="D768" i="5"/>
  <c r="L767" i="5"/>
  <c r="M767" i="5" s="1"/>
  <c r="D767" i="5"/>
  <c r="L766" i="5"/>
  <c r="M766" i="5" s="1"/>
  <c r="D766" i="5"/>
  <c r="L765" i="5"/>
  <c r="M765" i="5" s="1"/>
  <c r="D765" i="5"/>
  <c r="L764" i="5"/>
  <c r="M764" i="5" s="1"/>
  <c r="D764" i="5"/>
  <c r="L763" i="5"/>
  <c r="M763" i="5" s="1"/>
  <c r="I763" i="5"/>
  <c r="D763" i="5"/>
  <c r="L757" i="5"/>
  <c r="M757" i="5" s="1"/>
  <c r="J757" i="5"/>
  <c r="D757" i="5"/>
  <c r="L756" i="5"/>
  <c r="M756" i="5" s="1"/>
  <c r="D756" i="5"/>
  <c r="L753" i="5"/>
  <c r="M753" i="5" s="1"/>
  <c r="D753" i="5"/>
  <c r="L752" i="5"/>
  <c r="M752" i="5" s="1"/>
  <c r="D752" i="5"/>
  <c r="L751" i="5"/>
  <c r="M751" i="5" s="1"/>
  <c r="D751" i="5"/>
  <c r="L750" i="5"/>
  <c r="M750" i="5" s="1"/>
  <c r="D750" i="5"/>
  <c r="L749" i="5"/>
  <c r="M749" i="5" s="1"/>
  <c r="D749" i="5"/>
  <c r="L748" i="5"/>
  <c r="M748" i="5" s="1"/>
  <c r="I748" i="5"/>
  <c r="D748" i="5"/>
  <c r="L743" i="5"/>
  <c r="M743" i="5" s="1"/>
  <c r="J743" i="5"/>
  <c r="D743" i="5"/>
  <c r="L742" i="5"/>
  <c r="M742" i="5" s="1"/>
  <c r="D742" i="5"/>
  <c r="L739" i="5"/>
  <c r="M739" i="5" s="1"/>
  <c r="D739" i="5"/>
  <c r="L738" i="5"/>
  <c r="M738" i="5" s="1"/>
  <c r="D738" i="5"/>
  <c r="L737" i="5"/>
  <c r="M737" i="5" s="1"/>
  <c r="D737" i="5"/>
  <c r="L736" i="5"/>
  <c r="M736" i="5" s="1"/>
  <c r="D736" i="5"/>
  <c r="L735" i="5"/>
  <c r="M735" i="5" s="1"/>
  <c r="D735" i="5"/>
  <c r="L734" i="5"/>
  <c r="M734" i="5" s="1"/>
  <c r="D734" i="5"/>
  <c r="L733" i="5"/>
  <c r="M733" i="5" s="1"/>
  <c r="I733" i="5"/>
  <c r="D733" i="5"/>
  <c r="L729" i="5"/>
  <c r="M729" i="5" s="1"/>
  <c r="J729" i="5"/>
  <c r="D729" i="5"/>
  <c r="L728" i="5"/>
  <c r="M728" i="5" s="1"/>
  <c r="D728" i="5"/>
  <c r="L725" i="5"/>
  <c r="M725" i="5" s="1"/>
  <c r="D725" i="5"/>
  <c r="L724" i="5"/>
  <c r="M724" i="5" s="1"/>
  <c r="D724" i="5"/>
  <c r="L723" i="5"/>
  <c r="M723" i="5" s="1"/>
  <c r="D723" i="5"/>
  <c r="L722" i="5"/>
  <c r="M722" i="5" s="1"/>
  <c r="D722" i="5"/>
  <c r="L721" i="5"/>
  <c r="M721" i="5" s="1"/>
  <c r="D721" i="5"/>
  <c r="L720" i="5"/>
  <c r="M720" i="5" s="1"/>
  <c r="I720" i="5"/>
  <c r="I725" i="5" s="1"/>
  <c r="D720" i="5"/>
  <c r="L703" i="5"/>
  <c r="M703" i="5" s="1"/>
  <c r="D703" i="5"/>
  <c r="L702" i="5"/>
  <c r="M702" i="5" s="1"/>
  <c r="D702" i="5"/>
  <c r="L699" i="5"/>
  <c r="M699" i="5" s="1"/>
  <c r="D699" i="5"/>
  <c r="L698" i="5"/>
  <c r="M698" i="5" s="1"/>
  <c r="D698" i="5"/>
  <c r="L695" i="5"/>
  <c r="M695" i="5" s="1"/>
  <c r="J695" i="5"/>
  <c r="D695" i="5"/>
  <c r="L694" i="5"/>
  <c r="M694" i="5" s="1"/>
  <c r="I694" i="5"/>
  <c r="D694" i="5"/>
  <c r="L691" i="5"/>
  <c r="M691" i="5" s="1"/>
  <c r="D691" i="5"/>
  <c r="L690" i="5"/>
  <c r="M690" i="5" s="1"/>
  <c r="J690" i="5"/>
  <c r="D690" i="5"/>
  <c r="L689" i="5"/>
  <c r="M689" i="5" s="1"/>
  <c r="D689" i="5"/>
  <c r="L688" i="5"/>
  <c r="M688" i="5" s="1"/>
  <c r="J688" i="5"/>
  <c r="D688" i="5"/>
  <c r="L685" i="5"/>
  <c r="M685" i="5" s="1"/>
  <c r="D685" i="5"/>
  <c r="L684" i="5"/>
  <c r="M684" i="5" s="1"/>
  <c r="J684" i="5"/>
  <c r="D684" i="5"/>
  <c r="L683" i="5"/>
  <c r="M683" i="5" s="1"/>
  <c r="D683" i="5"/>
  <c r="L682" i="5"/>
  <c r="M682" i="5" s="1"/>
  <c r="J682" i="5"/>
  <c r="D682" i="5"/>
  <c r="L679" i="5"/>
  <c r="M679" i="5" s="1"/>
  <c r="D679" i="5"/>
  <c r="L678" i="5"/>
  <c r="M678" i="5" s="1"/>
  <c r="D678" i="5"/>
  <c r="L677" i="5"/>
  <c r="M677" i="5" s="1"/>
  <c r="D677" i="5"/>
  <c r="L676" i="5"/>
  <c r="M676" i="5" s="1"/>
  <c r="D676" i="5"/>
  <c r="L675" i="5"/>
  <c r="M675" i="5" s="1"/>
  <c r="D675" i="5"/>
  <c r="L674" i="5"/>
  <c r="M674" i="5" s="1"/>
  <c r="H674" i="5"/>
  <c r="D674" i="5" s="1"/>
  <c r="L673" i="5"/>
  <c r="M673" i="5" s="1"/>
  <c r="K673" i="5"/>
  <c r="I673" i="5"/>
  <c r="I674" i="5" s="1"/>
  <c r="D673" i="5"/>
  <c r="L667" i="5"/>
  <c r="M667" i="5" s="1"/>
  <c r="D667" i="5"/>
  <c r="L666" i="5"/>
  <c r="M666" i="5" s="1"/>
  <c r="D666" i="5"/>
  <c r="L663" i="5"/>
  <c r="M663" i="5" s="1"/>
  <c r="D663" i="5"/>
  <c r="L662" i="5"/>
  <c r="M662" i="5" s="1"/>
  <c r="D662" i="5"/>
  <c r="L659" i="5"/>
  <c r="M659" i="5" s="1"/>
  <c r="J659" i="5"/>
  <c r="D659" i="5"/>
  <c r="L658" i="5"/>
  <c r="M658" i="5" s="1"/>
  <c r="I658" i="5"/>
  <c r="D658" i="5"/>
  <c r="L655" i="5"/>
  <c r="M655" i="5" s="1"/>
  <c r="D655" i="5"/>
  <c r="L654" i="5"/>
  <c r="M654" i="5" s="1"/>
  <c r="J654" i="5"/>
  <c r="D654" i="5"/>
  <c r="L653" i="5"/>
  <c r="M653" i="5" s="1"/>
  <c r="D653" i="5"/>
  <c r="L652" i="5"/>
  <c r="M652" i="5" s="1"/>
  <c r="J652" i="5"/>
  <c r="D652" i="5"/>
  <c r="L649" i="5"/>
  <c r="M649" i="5" s="1"/>
  <c r="D649" i="5"/>
  <c r="L648" i="5"/>
  <c r="M648" i="5" s="1"/>
  <c r="J648" i="5"/>
  <c r="D648" i="5"/>
  <c r="L647" i="5"/>
  <c r="M647" i="5" s="1"/>
  <c r="D647" i="5"/>
  <c r="L646" i="5"/>
  <c r="M646" i="5" s="1"/>
  <c r="J646" i="5"/>
  <c r="D646" i="5"/>
  <c r="L643" i="5"/>
  <c r="M643" i="5" s="1"/>
  <c r="D643" i="5"/>
  <c r="L642" i="5"/>
  <c r="M642" i="5" s="1"/>
  <c r="D642" i="5"/>
  <c r="L641" i="5"/>
  <c r="M641" i="5" s="1"/>
  <c r="D641" i="5"/>
  <c r="L640" i="5"/>
  <c r="M640" i="5" s="1"/>
  <c r="H640" i="5"/>
  <c r="D640" i="5" s="1"/>
  <c r="L639" i="5"/>
  <c r="M639" i="5" s="1"/>
  <c r="K639" i="5"/>
  <c r="I639" i="5"/>
  <c r="D639" i="5"/>
  <c r="L634" i="5"/>
  <c r="M634" i="5" s="1"/>
  <c r="D634" i="5"/>
  <c r="L633" i="5"/>
  <c r="M633" i="5" s="1"/>
  <c r="D633" i="5"/>
  <c r="L632" i="5"/>
  <c r="M632" i="5" s="1"/>
  <c r="D632" i="5"/>
  <c r="L631" i="5"/>
  <c r="M631" i="5" s="1"/>
  <c r="D631" i="5"/>
  <c r="L628" i="5"/>
  <c r="M628" i="5" s="1"/>
  <c r="D628" i="5"/>
  <c r="L627" i="5"/>
  <c r="M627" i="5" s="1"/>
  <c r="D627" i="5"/>
  <c r="L624" i="5"/>
  <c r="M624" i="5" s="1"/>
  <c r="J624" i="5"/>
  <c r="D624" i="5"/>
  <c r="L623" i="5"/>
  <c r="M623" i="5" s="1"/>
  <c r="I623" i="5"/>
  <c r="D623" i="5"/>
  <c r="L620" i="5"/>
  <c r="M620" i="5" s="1"/>
  <c r="D620" i="5"/>
  <c r="L619" i="5"/>
  <c r="M619" i="5" s="1"/>
  <c r="J619" i="5"/>
  <c r="D619" i="5"/>
  <c r="L618" i="5"/>
  <c r="M618" i="5" s="1"/>
  <c r="D618" i="5"/>
  <c r="L617" i="5"/>
  <c r="M617" i="5" s="1"/>
  <c r="J617" i="5"/>
  <c r="D617" i="5"/>
  <c r="L614" i="5"/>
  <c r="M614" i="5" s="1"/>
  <c r="D614" i="5"/>
  <c r="L613" i="5"/>
  <c r="M613" i="5" s="1"/>
  <c r="J613" i="5"/>
  <c r="D613" i="5"/>
  <c r="L612" i="5"/>
  <c r="M612" i="5" s="1"/>
  <c r="D612" i="5"/>
  <c r="L611" i="5"/>
  <c r="M611" i="5" s="1"/>
  <c r="J611" i="5"/>
  <c r="D611" i="5"/>
  <c r="L608" i="5"/>
  <c r="M608" i="5" s="1"/>
  <c r="D608" i="5"/>
  <c r="L607" i="5"/>
  <c r="M607" i="5" s="1"/>
  <c r="H607" i="5"/>
  <c r="D607" i="5" s="1"/>
  <c r="L606" i="5"/>
  <c r="M606" i="5" s="1"/>
  <c r="K606" i="5"/>
  <c r="I606" i="5"/>
  <c r="I607" i="5" s="1"/>
  <c r="D606" i="5"/>
  <c r="L601" i="5"/>
  <c r="M601" i="5" s="1"/>
  <c r="D601" i="5"/>
  <c r="L600" i="5"/>
  <c r="M600" i="5" s="1"/>
  <c r="D600" i="5"/>
  <c r="L599" i="5"/>
  <c r="M599" i="5" s="1"/>
  <c r="D599" i="5"/>
  <c r="L598" i="5"/>
  <c r="M598" i="5" s="1"/>
  <c r="D598" i="5"/>
  <c r="L595" i="5"/>
  <c r="M595" i="5" s="1"/>
  <c r="D595" i="5"/>
  <c r="L594" i="5"/>
  <c r="M594" i="5" s="1"/>
  <c r="D594" i="5"/>
  <c r="L591" i="5"/>
  <c r="M591" i="5" s="1"/>
  <c r="J591" i="5"/>
  <c r="D591" i="5"/>
  <c r="L590" i="5"/>
  <c r="M590" i="5" s="1"/>
  <c r="I590" i="5"/>
  <c r="D590" i="5"/>
  <c r="L587" i="5"/>
  <c r="M587" i="5" s="1"/>
  <c r="D587" i="5"/>
  <c r="L586" i="5"/>
  <c r="M586" i="5" s="1"/>
  <c r="J586" i="5"/>
  <c r="D586" i="5"/>
  <c r="L585" i="5"/>
  <c r="M585" i="5" s="1"/>
  <c r="D585" i="5"/>
  <c r="L584" i="5"/>
  <c r="M584" i="5" s="1"/>
  <c r="J584" i="5"/>
  <c r="D584" i="5"/>
  <c r="L581" i="5"/>
  <c r="M581" i="5" s="1"/>
  <c r="D581" i="5"/>
  <c r="L580" i="5"/>
  <c r="M580" i="5" s="1"/>
  <c r="J580" i="5"/>
  <c r="D580" i="5"/>
  <c r="L579" i="5"/>
  <c r="M579" i="5" s="1"/>
  <c r="D579" i="5"/>
  <c r="L578" i="5"/>
  <c r="M578" i="5" s="1"/>
  <c r="J578" i="5"/>
  <c r="D578" i="5"/>
  <c r="L575" i="5"/>
  <c r="M575" i="5" s="1"/>
  <c r="D575" i="5"/>
  <c r="L574" i="5"/>
  <c r="M574" i="5" s="1"/>
  <c r="H574" i="5"/>
  <c r="D574" i="5" s="1"/>
  <c r="L573" i="5"/>
  <c r="M573" i="5" s="1"/>
  <c r="D573" i="5"/>
  <c r="L572" i="5"/>
  <c r="M572" i="5" s="1"/>
  <c r="D572" i="5"/>
  <c r="L571" i="5"/>
  <c r="M571" i="5" s="1"/>
  <c r="K571" i="5"/>
  <c r="I571" i="5"/>
  <c r="I574" i="5" s="1"/>
  <c r="D571" i="5"/>
  <c r="L565" i="5"/>
  <c r="M565" i="5" s="1"/>
  <c r="D565" i="5"/>
  <c r="L564" i="5"/>
  <c r="M564" i="5" s="1"/>
  <c r="D564" i="5"/>
  <c r="L563" i="5"/>
  <c r="M563" i="5" s="1"/>
  <c r="D563" i="5"/>
  <c r="L562" i="5"/>
  <c r="M562" i="5" s="1"/>
  <c r="D562" i="5"/>
  <c r="L559" i="5"/>
  <c r="M559" i="5" s="1"/>
  <c r="D559" i="5"/>
  <c r="L558" i="5"/>
  <c r="M558" i="5" s="1"/>
  <c r="D558" i="5"/>
  <c r="L557" i="5"/>
  <c r="M557" i="5" s="1"/>
  <c r="I557" i="5"/>
  <c r="D557" i="5"/>
  <c r="L554" i="5"/>
  <c r="M554" i="5" s="1"/>
  <c r="J554" i="5"/>
  <c r="D554" i="5"/>
  <c r="L553" i="5"/>
  <c r="M553" i="5" s="1"/>
  <c r="I553" i="5"/>
  <c r="D553" i="5"/>
  <c r="L550" i="5"/>
  <c r="M550" i="5" s="1"/>
  <c r="D550" i="5"/>
  <c r="L549" i="5"/>
  <c r="M549" i="5" s="1"/>
  <c r="J549" i="5"/>
  <c r="D549" i="5"/>
  <c r="L548" i="5"/>
  <c r="M548" i="5" s="1"/>
  <c r="D548" i="5"/>
  <c r="L547" i="5"/>
  <c r="M547" i="5" s="1"/>
  <c r="J547" i="5"/>
  <c r="D547" i="5"/>
  <c r="L544" i="5"/>
  <c r="M544" i="5" s="1"/>
  <c r="D544" i="5"/>
  <c r="L543" i="5"/>
  <c r="M543" i="5" s="1"/>
  <c r="J543" i="5"/>
  <c r="D543" i="5"/>
  <c r="L542" i="5"/>
  <c r="M542" i="5" s="1"/>
  <c r="D542" i="5"/>
  <c r="L541" i="5"/>
  <c r="M541" i="5" s="1"/>
  <c r="J541" i="5"/>
  <c r="D541" i="5"/>
  <c r="L538" i="5"/>
  <c r="M538" i="5" s="1"/>
  <c r="D538" i="5"/>
  <c r="L537" i="5"/>
  <c r="M537" i="5" s="1"/>
  <c r="D537" i="5"/>
  <c r="L536" i="5"/>
  <c r="M536" i="5" s="1"/>
  <c r="D536" i="5"/>
  <c r="L535" i="5"/>
  <c r="M535" i="5" s="1"/>
  <c r="H535" i="5"/>
  <c r="D535" i="5" s="1"/>
  <c r="L534" i="5"/>
  <c r="M534" i="5" s="1"/>
  <c r="D534" i="5"/>
  <c r="L533" i="5"/>
  <c r="M533" i="5" s="1"/>
  <c r="D533" i="5"/>
  <c r="L532" i="5"/>
  <c r="M532" i="5" s="1"/>
  <c r="D532" i="5"/>
  <c r="L531" i="5"/>
  <c r="M531" i="5" s="1"/>
  <c r="K531" i="5"/>
  <c r="I531" i="5"/>
  <c r="D531" i="5"/>
  <c r="N510" i="5"/>
  <c r="N506" i="5"/>
  <c r="L498" i="5"/>
  <c r="M498" i="5" s="1"/>
  <c r="J498" i="5"/>
  <c r="D498" i="5"/>
  <c r="L497" i="5"/>
  <c r="M497" i="5" s="1"/>
  <c r="I497" i="5"/>
  <c r="D497" i="5"/>
  <c r="N495" i="5"/>
  <c r="N489" i="5"/>
  <c r="L482" i="5"/>
  <c r="M482" i="5" s="1"/>
  <c r="D482" i="5"/>
  <c r="L481" i="5"/>
  <c r="M481" i="5" s="1"/>
  <c r="D481" i="5"/>
  <c r="L480" i="5"/>
  <c r="M480" i="5" s="1"/>
  <c r="D480" i="5"/>
  <c r="L479" i="5"/>
  <c r="M479" i="5" s="1"/>
  <c r="D479" i="5"/>
  <c r="L478" i="5"/>
  <c r="M478" i="5" s="1"/>
  <c r="H478" i="5"/>
  <c r="D478" i="5" s="1"/>
  <c r="L477" i="5"/>
  <c r="M477" i="5" s="1"/>
  <c r="K477" i="5"/>
  <c r="I477" i="5"/>
  <c r="I478" i="5" s="1"/>
  <c r="D477" i="5"/>
  <c r="L471" i="5"/>
  <c r="M471" i="5" s="1"/>
  <c r="D471" i="5"/>
  <c r="L470" i="5"/>
  <c r="M470" i="5" s="1"/>
  <c r="D470" i="5"/>
  <c r="N468" i="5"/>
  <c r="L460" i="5"/>
  <c r="M460" i="5" s="1"/>
  <c r="J460" i="5"/>
  <c r="D460" i="5"/>
  <c r="L459" i="5"/>
  <c r="M459" i="5" s="1"/>
  <c r="J459" i="5"/>
  <c r="I459" i="5"/>
  <c r="D459" i="5"/>
  <c r="L454" i="5"/>
  <c r="M454" i="5" s="1"/>
  <c r="I454" i="5"/>
  <c r="D454" i="5"/>
  <c r="L453" i="5"/>
  <c r="M453" i="5" s="1"/>
  <c r="D453" i="5"/>
  <c r="L448" i="5"/>
  <c r="M448" i="5" s="1"/>
  <c r="I448" i="5"/>
  <c r="D448" i="5"/>
  <c r="L447" i="5"/>
  <c r="M447" i="5" s="1"/>
  <c r="J447" i="5"/>
  <c r="D447" i="5"/>
  <c r="L444" i="5"/>
  <c r="M444" i="5" s="1"/>
  <c r="D444" i="5"/>
  <c r="L443" i="5"/>
  <c r="M443" i="5" s="1"/>
  <c r="D443" i="5"/>
  <c r="L442" i="5"/>
  <c r="M442" i="5" s="1"/>
  <c r="D442" i="5"/>
  <c r="L441" i="5"/>
  <c r="M441" i="5" s="1"/>
  <c r="D441" i="5"/>
  <c r="L440" i="5"/>
  <c r="M440" i="5" s="1"/>
  <c r="D440" i="5"/>
  <c r="L439" i="5"/>
  <c r="M439" i="5" s="1"/>
  <c r="D439" i="5"/>
  <c r="L438" i="5"/>
  <c r="M438" i="5" s="1"/>
  <c r="D438" i="5"/>
  <c r="L437" i="5"/>
  <c r="M437" i="5" s="1"/>
  <c r="D437" i="5"/>
  <c r="L436" i="5"/>
  <c r="M436" i="5" s="1"/>
  <c r="H436" i="5"/>
  <c r="D436" i="5" s="1"/>
  <c r="L435" i="5"/>
  <c r="M435" i="5" s="1"/>
  <c r="K435" i="5"/>
  <c r="J435" i="5"/>
  <c r="I435" i="5"/>
  <c r="I436" i="5" s="1"/>
  <c r="D435" i="5"/>
  <c r="N430" i="5"/>
  <c r="N426" i="5"/>
  <c r="L418" i="5"/>
  <c r="M418" i="5" s="1"/>
  <c r="J418" i="5"/>
  <c r="D418" i="5"/>
  <c r="L417" i="5"/>
  <c r="M417" i="5" s="1"/>
  <c r="I417" i="5"/>
  <c r="D417" i="5"/>
  <c r="N415" i="5"/>
  <c r="N409" i="5"/>
  <c r="L402" i="5"/>
  <c r="M402" i="5" s="1"/>
  <c r="D402" i="5"/>
  <c r="L401" i="5"/>
  <c r="M401" i="5" s="1"/>
  <c r="D401" i="5"/>
  <c r="L400" i="5"/>
  <c r="M400" i="5" s="1"/>
  <c r="D400" i="5"/>
  <c r="L399" i="5"/>
  <c r="M399" i="5" s="1"/>
  <c r="H399" i="5"/>
  <c r="D399" i="5" s="1"/>
  <c r="L398" i="5"/>
  <c r="M398" i="5" s="1"/>
  <c r="K398" i="5"/>
  <c r="I398" i="5"/>
  <c r="I399" i="5" s="1"/>
  <c r="D398" i="5"/>
  <c r="N394" i="5"/>
  <c r="N390" i="5"/>
  <c r="L382" i="5"/>
  <c r="M382" i="5" s="1"/>
  <c r="J382" i="5"/>
  <c r="D382" i="5"/>
  <c r="L381" i="5"/>
  <c r="M381" i="5" s="1"/>
  <c r="I381" i="5"/>
  <c r="D381" i="5"/>
  <c r="N379" i="5"/>
  <c r="N373" i="5"/>
  <c r="L366" i="5"/>
  <c r="M366" i="5" s="1"/>
  <c r="D366" i="5"/>
  <c r="L365" i="5"/>
  <c r="M365" i="5" s="1"/>
  <c r="D365" i="5"/>
  <c r="L364" i="5"/>
  <c r="M364" i="5" s="1"/>
  <c r="D364" i="5"/>
  <c r="L363" i="5"/>
  <c r="M363" i="5" s="1"/>
  <c r="H363" i="5"/>
  <c r="D363" i="5" s="1"/>
  <c r="L362" i="5"/>
  <c r="M362" i="5" s="1"/>
  <c r="K362" i="5"/>
  <c r="I362" i="5"/>
  <c r="I363" i="5" s="1"/>
  <c r="D362" i="5"/>
  <c r="N357" i="5"/>
  <c r="N353" i="5"/>
  <c r="L345" i="5"/>
  <c r="M345" i="5" s="1"/>
  <c r="J345" i="5"/>
  <c r="D345" i="5"/>
  <c r="L344" i="5"/>
  <c r="M344" i="5" s="1"/>
  <c r="I344" i="5"/>
  <c r="D344" i="5"/>
  <c r="N342" i="5"/>
  <c r="N336" i="5"/>
  <c r="L329" i="5"/>
  <c r="M329" i="5" s="1"/>
  <c r="D329" i="5"/>
  <c r="L328" i="5"/>
  <c r="M328" i="5" s="1"/>
  <c r="D328" i="5"/>
  <c r="L327" i="5"/>
  <c r="M327" i="5" s="1"/>
  <c r="D327" i="5"/>
  <c r="L326" i="5"/>
  <c r="M326" i="5" s="1"/>
  <c r="H326" i="5"/>
  <c r="D326" i="5" s="1"/>
  <c r="L325" i="5"/>
  <c r="M325" i="5" s="1"/>
  <c r="K325" i="5"/>
  <c r="I325" i="5"/>
  <c r="I326" i="5" s="1"/>
  <c r="D325" i="5"/>
  <c r="N321" i="5"/>
  <c r="N317" i="5"/>
  <c r="L309" i="5"/>
  <c r="M309" i="5" s="1"/>
  <c r="J309" i="5"/>
  <c r="D309" i="5"/>
  <c r="L308" i="5"/>
  <c r="M308" i="5" s="1"/>
  <c r="I308" i="5"/>
  <c r="D308" i="5"/>
  <c r="N306" i="5"/>
  <c r="N300" i="5"/>
  <c r="L293" i="5"/>
  <c r="M293" i="5" s="1"/>
  <c r="D293" i="5"/>
  <c r="L292" i="5"/>
  <c r="M292" i="5" s="1"/>
  <c r="D292" i="5"/>
  <c r="L291" i="5"/>
  <c r="M291" i="5" s="1"/>
  <c r="D291" i="5"/>
  <c r="L290" i="5"/>
  <c r="M290" i="5" s="1"/>
  <c r="H290" i="5"/>
  <c r="D290" i="5" s="1"/>
  <c r="L289" i="5"/>
  <c r="M289" i="5" s="1"/>
  <c r="K289" i="5"/>
  <c r="I289" i="5"/>
  <c r="I290" i="5" s="1"/>
  <c r="D289" i="5"/>
  <c r="L279" i="5"/>
  <c r="M279" i="5" s="1"/>
  <c r="I279" i="5"/>
  <c r="D279" i="5"/>
  <c r="L278" i="5"/>
  <c r="M278" i="5" s="1"/>
  <c r="I278" i="5"/>
  <c r="D278" i="5"/>
  <c r="L272" i="5"/>
  <c r="M272" i="5" s="1"/>
  <c r="I272" i="5"/>
  <c r="D272" i="5"/>
  <c r="L271" i="5"/>
  <c r="M271" i="5" s="1"/>
  <c r="D271" i="5"/>
  <c r="L268" i="5"/>
  <c r="M268" i="5" s="1"/>
  <c r="D268" i="5"/>
  <c r="L267" i="5"/>
  <c r="M267" i="5" s="1"/>
  <c r="D267" i="5"/>
  <c r="L266" i="5"/>
  <c r="M266" i="5" s="1"/>
  <c r="D266" i="5"/>
  <c r="L265" i="5"/>
  <c r="M265" i="5" s="1"/>
  <c r="D265" i="5"/>
  <c r="L264" i="5"/>
  <c r="M264" i="5" s="1"/>
  <c r="D264" i="5"/>
  <c r="L263" i="5"/>
  <c r="M263" i="5" s="1"/>
  <c r="H263" i="5"/>
  <c r="D263" i="5" s="1"/>
  <c r="L262" i="5"/>
  <c r="M262" i="5" s="1"/>
  <c r="I263" i="5"/>
  <c r="D262" i="5"/>
  <c r="L255" i="5"/>
  <c r="M255" i="5" s="1"/>
  <c r="J255" i="5"/>
  <c r="D255" i="5"/>
  <c r="L254" i="5"/>
  <c r="M254" i="5" s="1"/>
  <c r="I254" i="5"/>
  <c r="D254" i="5"/>
  <c r="L249" i="5"/>
  <c r="M249" i="5" s="1"/>
  <c r="I249" i="5"/>
  <c r="D249" i="5"/>
  <c r="L248" i="5"/>
  <c r="M248" i="5" s="1"/>
  <c r="D248" i="5"/>
  <c r="L245" i="5"/>
  <c r="M245" i="5" s="1"/>
  <c r="D245" i="5"/>
  <c r="L244" i="5"/>
  <c r="M244" i="5" s="1"/>
  <c r="D244" i="5"/>
  <c r="L243" i="5"/>
  <c r="M243" i="5" s="1"/>
  <c r="D243" i="5"/>
  <c r="L242" i="5"/>
  <c r="M242" i="5" s="1"/>
  <c r="D242" i="5"/>
  <c r="L241" i="5"/>
  <c r="M241" i="5" s="1"/>
  <c r="D241" i="5"/>
  <c r="L240" i="5"/>
  <c r="M240" i="5" s="1"/>
  <c r="H240" i="5"/>
  <c r="D240" i="5" s="1"/>
  <c r="L239" i="5"/>
  <c r="M239" i="5" s="1"/>
  <c r="I239" i="5"/>
  <c r="I240" i="5" s="1"/>
  <c r="D239" i="5"/>
  <c r="L231" i="5"/>
  <c r="M231" i="5" s="1"/>
  <c r="I231" i="5"/>
  <c r="D231" i="5"/>
  <c r="L230" i="5"/>
  <c r="M230" i="5" s="1"/>
  <c r="D230" i="5"/>
  <c r="L227" i="5"/>
  <c r="M227" i="5" s="1"/>
  <c r="D227" i="5"/>
  <c r="L226" i="5"/>
  <c r="M226" i="5" s="1"/>
  <c r="D226" i="5"/>
  <c r="L225" i="5"/>
  <c r="M225" i="5" s="1"/>
  <c r="I225" i="5"/>
  <c r="H225" i="5"/>
  <c r="D225" i="5" s="1"/>
  <c r="L224" i="5"/>
  <c r="M224" i="5" s="1"/>
  <c r="K224" i="5"/>
  <c r="D224" i="5"/>
  <c r="L218" i="5"/>
  <c r="M218" i="5" s="1"/>
  <c r="J218" i="5"/>
  <c r="D218" i="5"/>
  <c r="L217" i="5"/>
  <c r="M217" i="5" s="1"/>
  <c r="I217" i="5"/>
  <c r="D217" i="5"/>
  <c r="L212" i="5"/>
  <c r="M212" i="5" s="1"/>
  <c r="D212" i="5"/>
  <c r="L211" i="5"/>
  <c r="M211" i="5" s="1"/>
  <c r="D211" i="5"/>
  <c r="L210" i="5"/>
  <c r="M210" i="5" s="1"/>
  <c r="I210" i="5"/>
  <c r="D210" i="5"/>
  <c r="L205" i="5"/>
  <c r="M205" i="5" s="1"/>
  <c r="I205" i="5"/>
  <c r="D205" i="5"/>
  <c r="L204" i="5"/>
  <c r="M204" i="5" s="1"/>
  <c r="D204" i="5"/>
  <c r="L201" i="5"/>
  <c r="M201" i="5" s="1"/>
  <c r="D201" i="5"/>
  <c r="L200" i="5"/>
  <c r="M200" i="5" s="1"/>
  <c r="D200" i="5"/>
  <c r="L199" i="5"/>
  <c r="M199" i="5" s="1"/>
  <c r="H199" i="5"/>
  <c r="D199" i="5" s="1"/>
  <c r="L198" i="5"/>
  <c r="M198" i="5" s="1"/>
  <c r="K198" i="5"/>
  <c r="I198" i="5"/>
  <c r="I199" i="5" s="1"/>
  <c r="D198" i="5"/>
  <c r="L190" i="5"/>
  <c r="M190" i="5" s="1"/>
  <c r="D190" i="5"/>
  <c r="L189" i="5"/>
  <c r="M189" i="5" s="1"/>
  <c r="D189" i="5"/>
  <c r="L188" i="5"/>
  <c r="M188" i="5" s="1"/>
  <c r="I188" i="5"/>
  <c r="D188" i="5"/>
  <c r="N187" i="5"/>
  <c r="L181" i="5"/>
  <c r="M181" i="5" s="1"/>
  <c r="I181" i="5"/>
  <c r="D181" i="5"/>
  <c r="L180" i="5"/>
  <c r="M180" i="5" s="1"/>
  <c r="I180" i="5"/>
  <c r="D180" i="5"/>
  <c r="L174" i="5"/>
  <c r="M174" i="5" s="1"/>
  <c r="I174" i="5"/>
  <c r="D174" i="5"/>
  <c r="L173" i="5"/>
  <c r="M173" i="5" s="1"/>
  <c r="D173" i="5"/>
  <c r="L170" i="5"/>
  <c r="M170" i="5" s="1"/>
  <c r="D170" i="5"/>
  <c r="L169" i="5"/>
  <c r="M169" i="5" s="1"/>
  <c r="D169" i="5"/>
  <c r="L168" i="5"/>
  <c r="M168" i="5" s="1"/>
  <c r="D168" i="5"/>
  <c r="L167" i="5"/>
  <c r="M167" i="5" s="1"/>
  <c r="D167" i="5"/>
  <c r="L166" i="5"/>
  <c r="M166" i="5" s="1"/>
  <c r="D166" i="5"/>
  <c r="L165" i="5"/>
  <c r="M165" i="5" s="1"/>
  <c r="D165" i="5"/>
  <c r="L164" i="5"/>
  <c r="M164" i="5" s="1"/>
  <c r="D164" i="5"/>
  <c r="L163" i="5"/>
  <c r="M163" i="5" s="1"/>
  <c r="H163" i="5"/>
  <c r="D163" i="5" s="1"/>
  <c r="L162" i="5"/>
  <c r="M162" i="5" s="1"/>
  <c r="K162" i="5"/>
  <c r="I162" i="5"/>
  <c r="I163" i="5" s="1"/>
  <c r="D162" i="5"/>
  <c r="N157" i="5"/>
  <c r="N153" i="5"/>
  <c r="L145" i="5"/>
  <c r="M145" i="5" s="1"/>
  <c r="J145" i="5"/>
  <c r="D145" i="5"/>
  <c r="L144" i="5"/>
  <c r="M144" i="5" s="1"/>
  <c r="I144" i="5"/>
  <c r="D144" i="5"/>
  <c r="N142" i="5"/>
  <c r="L133" i="5"/>
  <c r="M133" i="5" s="1"/>
  <c r="I133" i="5"/>
  <c r="D133" i="5"/>
  <c r="L132" i="5"/>
  <c r="M132" i="5" s="1"/>
  <c r="I132" i="5"/>
  <c r="D132" i="5"/>
  <c r="L129" i="5"/>
  <c r="M129" i="5" s="1"/>
  <c r="D129" i="5"/>
  <c r="L128" i="5"/>
  <c r="M128" i="5" s="1"/>
  <c r="D128" i="5"/>
  <c r="L127" i="5"/>
  <c r="M127" i="5" s="1"/>
  <c r="D127" i="5"/>
  <c r="L126" i="5"/>
  <c r="M126" i="5" s="1"/>
  <c r="D126" i="5"/>
  <c r="L125" i="5"/>
  <c r="M125" i="5" s="1"/>
  <c r="D125" i="5"/>
  <c r="L124" i="5"/>
  <c r="M124" i="5" s="1"/>
  <c r="D124" i="5"/>
  <c r="L123" i="5"/>
  <c r="M123" i="5" s="1"/>
  <c r="H123" i="5"/>
  <c r="D123" i="5" s="1"/>
  <c r="L122" i="5"/>
  <c r="M122" i="5" s="1"/>
  <c r="K122" i="5"/>
  <c r="I122" i="5"/>
  <c r="I123" i="5" s="1"/>
  <c r="D122" i="5"/>
  <c r="L115" i="5"/>
  <c r="M115" i="5" s="1"/>
  <c r="I115" i="5"/>
  <c r="D115" i="5"/>
  <c r="L114" i="5"/>
  <c r="M114" i="5" s="1"/>
  <c r="D114" i="5"/>
  <c r="L111" i="5"/>
  <c r="M111" i="5" s="1"/>
  <c r="D111" i="5"/>
  <c r="L110" i="5"/>
  <c r="M110" i="5" s="1"/>
  <c r="D110" i="5"/>
  <c r="L109" i="5"/>
  <c r="M109" i="5" s="1"/>
  <c r="I109" i="5"/>
  <c r="H109" i="5"/>
  <c r="D109" i="5" s="1"/>
  <c r="L108" i="5"/>
  <c r="M108" i="5" s="1"/>
  <c r="K108" i="5"/>
  <c r="D108" i="5"/>
  <c r="L102" i="5"/>
  <c r="M102" i="5" s="1"/>
  <c r="J102" i="5"/>
  <c r="D102" i="5"/>
  <c r="L101" i="5"/>
  <c r="M101" i="5" s="1"/>
  <c r="I101" i="5"/>
  <c r="D101" i="5"/>
  <c r="L96" i="5"/>
  <c r="M96" i="5" s="1"/>
  <c r="D96" i="5"/>
  <c r="L95" i="5"/>
  <c r="M95" i="5" s="1"/>
  <c r="D95" i="5"/>
  <c r="L94" i="5"/>
  <c r="M94" i="5" s="1"/>
  <c r="I94" i="5"/>
  <c r="D94" i="5"/>
  <c r="L89" i="5"/>
  <c r="M89" i="5" s="1"/>
  <c r="I89" i="5"/>
  <c r="D89" i="5"/>
  <c r="L88" i="5"/>
  <c r="M88" i="5" s="1"/>
  <c r="D88" i="5"/>
  <c r="L85" i="5"/>
  <c r="M85" i="5" s="1"/>
  <c r="D85" i="5"/>
  <c r="L84" i="5"/>
  <c r="M84" i="5" s="1"/>
  <c r="D84" i="5"/>
  <c r="L83" i="5"/>
  <c r="M83" i="5" s="1"/>
  <c r="H83" i="5"/>
  <c r="D83" i="5" s="1"/>
  <c r="L82" i="5"/>
  <c r="M82" i="5" s="1"/>
  <c r="D82" i="5"/>
  <c r="N796" i="5" l="1"/>
  <c r="AE7" i="11"/>
  <c r="BC17" i="11"/>
  <c r="AE19" i="11"/>
  <c r="AZ31" i="11"/>
  <c r="BC8" i="11"/>
  <c r="AB9" i="11"/>
  <c r="AE17" i="11"/>
  <c r="N611" i="5"/>
  <c r="N1714" i="5"/>
  <c r="N1616" i="5"/>
  <c r="N1768" i="5"/>
  <c r="N1721" i="5"/>
  <c r="N624" i="5"/>
  <c r="N869" i="5"/>
  <c r="N1858" i="5"/>
  <c r="N1378" i="5"/>
  <c r="N876" i="5"/>
  <c r="N1654" i="5"/>
  <c r="N239" i="5"/>
  <c r="N309" i="5"/>
  <c r="N659" i="5"/>
  <c r="N896" i="5"/>
  <c r="N1138" i="5"/>
  <c r="N1230" i="5"/>
  <c r="N772" i="5"/>
  <c r="N1102" i="5"/>
  <c r="N145" i="5"/>
  <c r="N695" i="5"/>
  <c r="N447" i="5"/>
  <c r="N690" i="5"/>
  <c r="N821" i="5"/>
  <c r="N862" i="5"/>
  <c r="N914" i="5"/>
  <c r="N1276" i="5"/>
  <c r="N1380" i="5"/>
  <c r="N1503" i="5"/>
  <c r="N1180" i="5"/>
  <c r="N1702" i="5"/>
  <c r="N2082" i="5"/>
  <c r="N218" i="5"/>
  <c r="N613" i="5"/>
  <c r="N836" i="5"/>
  <c r="N851" i="5"/>
  <c r="N976" i="5"/>
  <c r="N1089" i="5"/>
  <c r="N1178" i="5"/>
  <c r="N1184" i="5"/>
  <c r="N1237" i="5"/>
  <c r="N1303" i="5"/>
  <c r="N382" i="5"/>
  <c r="N580" i="5"/>
  <c r="N646" i="5"/>
  <c r="I817" i="5"/>
  <c r="I816" i="5"/>
  <c r="N944" i="5"/>
  <c r="N2105" i="5"/>
  <c r="N2126" i="5"/>
  <c r="N654" i="5"/>
  <c r="I768" i="5"/>
  <c r="N1271" i="5"/>
  <c r="N1458" i="5"/>
  <c r="N1614" i="5"/>
  <c r="N684" i="5"/>
  <c r="N1091" i="5"/>
  <c r="N1232" i="5"/>
  <c r="N743" i="5"/>
  <c r="I832" i="5"/>
  <c r="N863" i="5"/>
  <c r="N880" i="5"/>
  <c r="N1309" i="5"/>
  <c r="N1344" i="5"/>
  <c r="N1555" i="5"/>
  <c r="N1610" i="5"/>
  <c r="N1416" i="5"/>
  <c r="N1563" i="5"/>
  <c r="N1585" i="5"/>
  <c r="N1667" i="5"/>
  <c r="N1797" i="5"/>
  <c r="N1832" i="5"/>
  <c r="N1854" i="5"/>
  <c r="I1965" i="5"/>
  <c r="I1964" i="5"/>
  <c r="AN9" i="11"/>
  <c r="BC19" i="11"/>
  <c r="AE34" i="11"/>
  <c r="AZ34" i="11"/>
  <c r="N1881" i="5"/>
  <c r="N1937" i="5"/>
  <c r="N1984" i="5"/>
  <c r="N1986" i="5" s="1"/>
  <c r="N2042" i="5"/>
  <c r="AZ10" i="11"/>
  <c r="AN10" i="11" s="1"/>
  <c r="BC12" i="11"/>
  <c r="AB31" i="11"/>
  <c r="AN31" i="11" s="1"/>
  <c r="AZ32" i="11"/>
  <c r="AE36" i="11"/>
  <c r="AZ36" i="11"/>
  <c r="BC39" i="11"/>
  <c r="BC42" i="11"/>
  <c r="AE8" i="11"/>
  <c r="AQ8" i="11" s="1"/>
  <c r="AE14" i="11"/>
  <c r="AZ14" i="11"/>
  <c r="AB32" i="11"/>
  <c r="AN32" i="11" s="1"/>
  <c r="BC33" i="11"/>
  <c r="N1922" i="5"/>
  <c r="N1926" i="5"/>
  <c r="N1956" i="5"/>
  <c r="N2049" i="5"/>
  <c r="AE15" i="11"/>
  <c r="BC7" i="11"/>
  <c r="AQ7" i="11" s="1"/>
  <c r="BC13" i="11"/>
  <c r="BC15" i="11"/>
  <c r="AB16" i="11"/>
  <c r="AB33" i="11"/>
  <c r="AB37" i="11"/>
  <c r="AB12" i="11"/>
  <c r="AB13" i="11"/>
  <c r="C20" i="11"/>
  <c r="M19" i="11"/>
  <c r="AQ19" i="11"/>
  <c r="AB15" i="11"/>
  <c r="BC37" i="11"/>
  <c r="AB39" i="11"/>
  <c r="AQ17" i="11"/>
  <c r="AB38" i="11"/>
  <c r="AN38" i="11" s="1"/>
  <c r="BC43" i="11"/>
  <c r="AQ43" i="11" s="1"/>
  <c r="AE38" i="11"/>
  <c r="AZ38" i="11"/>
  <c r="AB40" i="11"/>
  <c r="AZ15" i="11"/>
  <c r="AB7" i="11"/>
  <c r="BC9" i="11"/>
  <c r="AZ40" i="11"/>
  <c r="BC40" i="11"/>
  <c r="AE42" i="11"/>
  <c r="AQ42" i="11" s="1"/>
  <c r="AB8" i="11"/>
  <c r="AZ8" i="11"/>
  <c r="AE10" i="11"/>
  <c r="BC10" i="11"/>
  <c r="AE12" i="11"/>
  <c r="AQ12" i="11" s="1"/>
  <c r="AZ12" i="11"/>
  <c r="AB14" i="11"/>
  <c r="BC14" i="11"/>
  <c r="AQ14" i="11" s="1"/>
  <c r="AE16" i="11"/>
  <c r="AQ16" i="11" s="1"/>
  <c r="AZ16" i="11"/>
  <c r="AN16" i="11" s="1"/>
  <c r="AE18" i="11"/>
  <c r="BC18" i="11"/>
  <c r="AE31" i="11"/>
  <c r="BC31" i="11"/>
  <c r="AE32" i="11"/>
  <c r="BC32" i="11"/>
  <c r="AE33" i="11"/>
  <c r="AZ33" i="11"/>
  <c r="AB34" i="11"/>
  <c r="AN34" i="11" s="1"/>
  <c r="BC34" i="11"/>
  <c r="AQ34" i="11" s="1"/>
  <c r="AB36" i="11"/>
  <c r="AN36" i="11" s="1"/>
  <c r="BC36" i="11"/>
  <c r="AQ36" i="11" s="1"/>
  <c r="AE37" i="11"/>
  <c r="AQ37" i="11" s="1"/>
  <c r="AZ37" i="11"/>
  <c r="AN37" i="11" s="1"/>
  <c r="BC38" i="11"/>
  <c r="AE39" i="11"/>
  <c r="AQ39" i="11" s="1"/>
  <c r="AZ39" i="11"/>
  <c r="AE40" i="11"/>
  <c r="AE41" i="11"/>
  <c r="BC41" i="11"/>
  <c r="AZ7" i="11"/>
  <c r="AE9" i="11"/>
  <c r="AQ9" i="11" s="1"/>
  <c r="AE13" i="11"/>
  <c r="AQ13" i="11" s="1"/>
  <c r="AZ13" i="11"/>
  <c r="N838" i="5"/>
  <c r="I753" i="5"/>
  <c r="N987" i="5"/>
  <c r="N757" i="5"/>
  <c r="N1097" i="5"/>
  <c r="N1134" i="5"/>
  <c r="N1456" i="5"/>
  <c r="N435" i="5"/>
  <c r="N549" i="5"/>
  <c r="N619" i="5"/>
  <c r="N682" i="5"/>
  <c r="I1080" i="5"/>
  <c r="N1305" i="5"/>
  <c r="N1316" i="5"/>
  <c r="N1662" i="5"/>
  <c r="N498" i="5"/>
  <c r="N957" i="5"/>
  <c r="N255" i="5"/>
  <c r="N418" i="5"/>
  <c r="N541" i="5"/>
  <c r="N554" i="5"/>
  <c r="N584" i="5"/>
  <c r="N729" i="5"/>
  <c r="N966" i="5"/>
  <c r="N1226" i="5"/>
  <c r="N1384" i="5"/>
  <c r="I739" i="5"/>
  <c r="N997" i="5"/>
  <c r="N1140" i="5"/>
  <c r="N1263" i="5"/>
  <c r="N1496" i="5"/>
  <c r="N1463" i="5"/>
  <c r="N1492" i="5"/>
  <c r="N2016" i="5"/>
  <c r="N2031" i="5"/>
  <c r="N1348" i="5"/>
  <c r="N1355" i="5"/>
  <c r="N1757" i="5"/>
  <c r="N1899" i="5"/>
  <c r="N1903" i="5"/>
  <c r="N2132" i="5"/>
  <c r="N2152" i="5"/>
  <c r="N1265" i="5"/>
  <c r="N1391" i="5"/>
  <c r="N1420" i="5"/>
  <c r="N1427" i="5"/>
  <c r="N1452" i="5"/>
  <c r="N1542" i="5"/>
  <c r="N1577" i="5"/>
  <c r="N1656" i="5"/>
  <c r="N1804" i="5"/>
  <c r="N1969" i="5"/>
  <c r="N2131" i="5"/>
  <c r="N1608" i="5"/>
  <c r="N1809" i="5"/>
  <c r="I1980" i="5"/>
  <c r="N1999" i="5"/>
  <c r="N2001" i="5" s="1"/>
  <c r="N2062" i="5"/>
  <c r="N2143" i="5"/>
  <c r="N2055" i="5"/>
  <c r="N2074" i="5"/>
  <c r="N2160" i="5"/>
  <c r="N102" i="5"/>
  <c r="I535" i="5"/>
  <c r="N543" i="5"/>
  <c r="N578" i="5"/>
  <c r="N591" i="5"/>
  <c r="I640" i="5"/>
  <c r="N648" i="5"/>
  <c r="N888" i="5"/>
  <c r="N919" i="5"/>
  <c r="N974" i="5"/>
  <c r="N977" i="5" s="1"/>
  <c r="N1132" i="5"/>
  <c r="I1687" i="5"/>
  <c r="N345" i="5"/>
  <c r="N547" i="5"/>
  <c r="N652" i="5"/>
  <c r="N940" i="5"/>
  <c r="N459" i="5"/>
  <c r="N460" i="5"/>
  <c r="N586" i="5"/>
  <c r="N617" i="5"/>
  <c r="N688" i="5"/>
  <c r="N783" i="5"/>
  <c r="N856" i="5"/>
  <c r="N945" i="5"/>
  <c r="N946" i="5"/>
  <c r="N1095" i="5"/>
  <c r="N1311" i="5"/>
  <c r="N1342" i="5"/>
  <c r="N1414" i="5"/>
  <c r="N1145" i="5"/>
  <c r="N1186" i="5"/>
  <c r="N1191" i="5"/>
  <c r="N1224" i="5"/>
  <c r="N1386" i="5"/>
  <c r="N1490" i="5"/>
  <c r="N1584" i="5"/>
  <c r="N2183" i="5"/>
  <c r="N1269" i="5"/>
  <c r="N1450" i="5"/>
  <c r="N1535" i="5"/>
  <c r="N1547" i="5"/>
  <c r="N1570" i="5"/>
  <c r="N1621" i="5"/>
  <c r="N1350" i="5"/>
  <c r="N1422" i="5"/>
  <c r="N1498" i="5"/>
  <c r="N1554" i="5"/>
  <c r="N1556" i="5" s="1"/>
  <c r="N1660" i="5"/>
  <c r="I1914" i="5"/>
  <c r="I1548" i="5"/>
  <c r="N1704" i="5"/>
  <c r="N1877" i="5"/>
  <c r="N1716" i="5"/>
  <c r="N1755" i="5"/>
  <c r="I1952" i="5"/>
  <c r="I1787" i="5"/>
  <c r="N2066" i="5"/>
  <c r="N2130" i="5"/>
  <c r="N2173" i="5"/>
  <c r="N2048" i="5"/>
  <c r="N2100" i="5"/>
  <c r="N2162" i="5"/>
  <c r="I1981" i="5"/>
  <c r="N1586" i="5" l="1"/>
  <c r="N2163" i="5"/>
  <c r="AN33" i="11"/>
  <c r="AQ32" i="11"/>
  <c r="AQ18" i="11"/>
  <c r="AN14" i="11"/>
  <c r="AQ10" i="11"/>
  <c r="AQ15" i="11"/>
  <c r="AQ33" i="11"/>
  <c r="AN12" i="11"/>
  <c r="AN40" i="11"/>
  <c r="AN15" i="11"/>
  <c r="AQ40" i="11"/>
  <c r="AN7" i="11"/>
  <c r="AQ38" i="11"/>
  <c r="AN39" i="11"/>
  <c r="AN13" i="11"/>
  <c r="AQ41" i="11"/>
  <c r="AQ31" i="11"/>
  <c r="AN8" i="11"/>
  <c r="C21" i="11"/>
  <c r="M20" i="11"/>
  <c r="N461" i="5"/>
  <c r="C22" i="11" l="1"/>
  <c r="M21" i="11"/>
  <c r="C23" i="11" l="1"/>
  <c r="M22" i="11"/>
  <c r="C24" i="11" l="1"/>
  <c r="M23" i="11"/>
  <c r="C25" i="11" l="1"/>
  <c r="M24" i="11"/>
  <c r="C26" i="11" l="1"/>
  <c r="M26" i="11" s="1"/>
  <c r="M25" i="11"/>
  <c r="C14" i="2" l="1"/>
  <c r="F14" i="2"/>
  <c r="D7285" i="2" l="1"/>
  <c r="F7285" i="2" s="1"/>
  <c r="D7283" i="2"/>
  <c r="F7283" i="2" s="1"/>
  <c r="D7281" i="2"/>
  <c r="F7281" i="2" s="1"/>
  <c r="D7274" i="2"/>
  <c r="F7274" i="2" s="1"/>
  <c r="D7272" i="2"/>
  <c r="F7272" i="2" s="1"/>
  <c r="D7270" i="2"/>
  <c r="F7270" i="2" s="1"/>
  <c r="D7268" i="2"/>
  <c r="F7268" i="2" s="1"/>
  <c r="D7266" i="2"/>
  <c r="F7266" i="2" s="1"/>
  <c r="D7264" i="2"/>
  <c r="F7264" i="2" s="1"/>
  <c r="D7262" i="2"/>
  <c r="F7262" i="2" s="1"/>
  <c r="D7260" i="2"/>
  <c r="F7260" i="2" s="1"/>
  <c r="D7258" i="2"/>
  <c r="F7258" i="2" s="1"/>
  <c r="D7256" i="2"/>
  <c r="F7256" i="2" s="1"/>
  <c r="D7254" i="2"/>
  <c r="F7254" i="2" s="1"/>
  <c r="D7252" i="2"/>
  <c r="F7252" i="2" s="1"/>
  <c r="D7250" i="2"/>
  <c r="F7250" i="2" s="1"/>
  <c r="D7248" i="2"/>
  <c r="F7248" i="2" s="1"/>
  <c r="D7241" i="2"/>
  <c r="F7241" i="2" s="1"/>
  <c r="D7239" i="2"/>
  <c r="F7239" i="2" s="1"/>
  <c r="D7232" i="2"/>
  <c r="F7232" i="2" s="1"/>
  <c r="D7229" i="2"/>
  <c r="F7229" i="2" s="1"/>
  <c r="D7227" i="2"/>
  <c r="F7227" i="2" s="1"/>
  <c r="D7225" i="2"/>
  <c r="F7225" i="2" s="1"/>
  <c r="D7222" i="2"/>
  <c r="F7222" i="2" s="1"/>
  <c r="D7220" i="2"/>
  <c r="F7220" i="2" s="1"/>
  <c r="D7218" i="2"/>
  <c r="F7218" i="2" s="1"/>
  <c r="D7216" i="2"/>
  <c r="F7216" i="2" s="1"/>
  <c r="D7214" i="2"/>
  <c r="F7214" i="2" s="1"/>
  <c r="D7212" i="2"/>
  <c r="F7212" i="2" s="1"/>
  <c r="D7210" i="2"/>
  <c r="F7210" i="2" s="1"/>
  <c r="D7208" i="2"/>
  <c r="F7208" i="2" s="1"/>
  <c r="D7205" i="2"/>
  <c r="F7205" i="2" s="1"/>
  <c r="D7203" i="2"/>
  <c r="F7203" i="2" s="1"/>
  <c r="D7196" i="2"/>
  <c r="F7196" i="2" s="1"/>
  <c r="D7194" i="2"/>
  <c r="F7194" i="2" s="1"/>
  <c r="D7192" i="2"/>
  <c r="F7192" i="2" s="1"/>
  <c r="D7190" i="2"/>
  <c r="F7190" i="2" s="1"/>
  <c r="D7184" i="2"/>
  <c r="F7184" i="2" s="1"/>
  <c r="D7180" i="2"/>
  <c r="F7180" i="2" s="1"/>
  <c r="D7178" i="2"/>
  <c r="F7178" i="2" s="1"/>
  <c r="D7176" i="2"/>
  <c r="F7176" i="2" s="1"/>
  <c r="D7171" i="2"/>
  <c r="F7171" i="2" s="1"/>
  <c r="D7168" i="2"/>
  <c r="F7168" i="2" s="1"/>
  <c r="D7166" i="2"/>
  <c r="F7166" i="2" s="1"/>
  <c r="D7162" i="2"/>
  <c r="F7162" i="2" s="1"/>
  <c r="D7160" i="2"/>
  <c r="F7160" i="2" s="1"/>
  <c r="D7158" i="2"/>
  <c r="F7158" i="2" s="1"/>
  <c r="D7156" i="2"/>
  <c r="F7156" i="2" s="1"/>
  <c r="D7153" i="2"/>
  <c r="F7153" i="2" s="1"/>
  <c r="D7151" i="2"/>
  <c r="F7151" i="2" s="1"/>
  <c r="D7149" i="2"/>
  <c r="F7149" i="2" s="1"/>
  <c r="D7147" i="2"/>
  <c r="F7147" i="2" s="1"/>
  <c r="D7145" i="2"/>
  <c r="F7145" i="2" s="1"/>
  <c r="D7134" i="2"/>
  <c r="F7134" i="2" s="1"/>
  <c r="D7131" i="2"/>
  <c r="F7131" i="2" s="1"/>
  <c r="D7128" i="2"/>
  <c r="F7128" i="2" s="1"/>
  <c r="D7125" i="2"/>
  <c r="F7125" i="2" s="1"/>
  <c r="D7120" i="2"/>
  <c r="F7120" i="2" s="1"/>
  <c r="D7117" i="2"/>
  <c r="F7117" i="2" s="1"/>
  <c r="D7115" i="2"/>
  <c r="F7115" i="2" s="1"/>
  <c r="D7112" i="2"/>
  <c r="F7112" i="2" s="1"/>
  <c r="D7110" i="2"/>
  <c r="F7110" i="2" s="1"/>
  <c r="D7107" i="2"/>
  <c r="F7107" i="2" s="1"/>
  <c r="D7104" i="2"/>
  <c r="F7104" i="2" s="1"/>
  <c r="D7102" i="2"/>
  <c r="F7102" i="2" s="1"/>
  <c r="D7099" i="2"/>
  <c r="F7099" i="2" s="1"/>
  <c r="D7097" i="2"/>
  <c r="F7097" i="2" s="1"/>
  <c r="D7094" i="2"/>
  <c r="F7094" i="2" s="1"/>
  <c r="D7092" i="2"/>
  <c r="F7092" i="2" s="1"/>
  <c r="D7089" i="2"/>
  <c r="F7089" i="2" s="1"/>
  <c r="D7087" i="2"/>
  <c r="F7087" i="2" s="1"/>
  <c r="D7084" i="2"/>
  <c r="F7084" i="2" s="1"/>
  <c r="D7081" i="2"/>
  <c r="F7081" i="2" s="1"/>
  <c r="D7079" i="2"/>
  <c r="F7079" i="2" s="1"/>
  <c r="D7077" i="2"/>
  <c r="F7077" i="2" s="1"/>
  <c r="D7072" i="2"/>
  <c r="F7072" i="2" s="1"/>
  <c r="D7070" i="2"/>
  <c r="F7070" i="2" s="1"/>
  <c r="D7068" i="2"/>
  <c r="F7068" i="2" s="1"/>
  <c r="D7066" i="2"/>
  <c r="F7066" i="2" s="1"/>
  <c r="D7063" i="2"/>
  <c r="F7063" i="2" s="1"/>
  <c r="D7061" i="2"/>
  <c r="F7061" i="2" s="1"/>
  <c r="D7059" i="2"/>
  <c r="F7059" i="2" s="1"/>
  <c r="D7056" i="2"/>
  <c r="F7056" i="2" s="1"/>
  <c r="D7054" i="2"/>
  <c r="F7054" i="2" s="1"/>
  <c r="D7052" i="2"/>
  <c r="F7052" i="2" s="1"/>
  <c r="D7284" i="2"/>
  <c r="F7284" i="2" s="1"/>
  <c r="D7271" i="2"/>
  <c r="F7271" i="2" s="1"/>
  <c r="D7263" i="2"/>
  <c r="F7263" i="2" s="1"/>
  <c r="D7286" i="2"/>
  <c r="F7286" i="2" s="1"/>
  <c r="D7273" i="2"/>
  <c r="F7273" i="2" s="1"/>
  <c r="D7265" i="2"/>
  <c r="F7265" i="2" s="1"/>
  <c r="D7257" i="2"/>
  <c r="F7257" i="2" s="1"/>
  <c r="D7280" i="2"/>
  <c r="F7280" i="2" s="1"/>
  <c r="D7267" i="2"/>
  <c r="F7267" i="2" s="1"/>
  <c r="D7259" i="2"/>
  <c r="F7259" i="2" s="1"/>
  <c r="D7282" i="2"/>
  <c r="F7282" i="2" s="1"/>
  <c r="D7269" i="2"/>
  <c r="F7269" i="2" s="1"/>
  <c r="D7261" i="2"/>
  <c r="F7261" i="2" s="1"/>
  <c r="D7253" i="2"/>
  <c r="F7253" i="2" s="1"/>
  <c r="D7240" i="2"/>
  <c r="F7240" i="2" s="1"/>
  <c r="D7226" i="2"/>
  <c r="F7226" i="2" s="1"/>
  <c r="D7217" i="2"/>
  <c r="F7217" i="2" s="1"/>
  <c r="D7209" i="2"/>
  <c r="F7209" i="2" s="1"/>
  <c r="D7195" i="2"/>
  <c r="F7195" i="2" s="1"/>
  <c r="D7183" i="2"/>
  <c r="F7183" i="2" s="1"/>
  <c r="D7170" i="2"/>
  <c r="F7170" i="2" s="1"/>
  <c r="D7159" i="2"/>
  <c r="F7159" i="2" s="1"/>
  <c r="D7150" i="2"/>
  <c r="F7150" i="2" s="1"/>
  <c r="D7132" i="2"/>
  <c r="F7132" i="2" s="1"/>
  <c r="D7119" i="2"/>
  <c r="F7119" i="2" s="1"/>
  <c r="D7108" i="2"/>
  <c r="F7108" i="2" s="1"/>
  <c r="D7098" i="2"/>
  <c r="F7098" i="2" s="1"/>
  <c r="D7088" i="2"/>
  <c r="F7088" i="2" s="1"/>
  <c r="D7078" i="2"/>
  <c r="F7078" i="2" s="1"/>
  <c r="D7067" i="2"/>
  <c r="F7067" i="2" s="1"/>
  <c r="D7057" i="2"/>
  <c r="F7057" i="2" s="1"/>
  <c r="D6916" i="2"/>
  <c r="D6912" i="2"/>
  <c r="D6908" i="2"/>
  <c r="D6902" i="2"/>
  <c r="D6897" i="2"/>
  <c r="D6892" i="2"/>
  <c r="D6887" i="2"/>
  <c r="D6882" i="2"/>
  <c r="D6877" i="2"/>
  <c r="D6872" i="2"/>
  <c r="D6863" i="2"/>
  <c r="D6858" i="2"/>
  <c r="D6853" i="2"/>
  <c r="D6848" i="2"/>
  <c r="D6843" i="2"/>
  <c r="D6838" i="2"/>
  <c r="D6833" i="2"/>
  <c r="D6828" i="2"/>
  <c r="D6823" i="2"/>
  <c r="D7255" i="2"/>
  <c r="F7255" i="2" s="1"/>
  <c r="D7231" i="2"/>
  <c r="F7231" i="2" s="1"/>
  <c r="D7215" i="2"/>
  <c r="F7215" i="2" s="1"/>
  <c r="D7211" i="2"/>
  <c r="F7211" i="2" s="1"/>
  <c r="D7191" i="2"/>
  <c r="F7191" i="2" s="1"/>
  <c r="D7167" i="2"/>
  <c r="F7167" i="2" s="1"/>
  <c r="D7161" i="2"/>
  <c r="F7161" i="2" s="1"/>
  <c r="D7146" i="2"/>
  <c r="F7146" i="2" s="1"/>
  <c r="D7116" i="2"/>
  <c r="F7116" i="2" s="1"/>
  <c r="D7111" i="2"/>
  <c r="F7111" i="2" s="1"/>
  <c r="D7093" i="2"/>
  <c r="F7093" i="2" s="1"/>
  <c r="D7073" i="2"/>
  <c r="F7073" i="2" s="1"/>
  <c r="D7069" i="2"/>
  <c r="F7069" i="2" s="1"/>
  <c r="D7053" i="2"/>
  <c r="F7053" i="2" s="1"/>
  <c r="D7050" i="2"/>
  <c r="F7050" i="2" s="1"/>
  <c r="D7046" i="2"/>
  <c r="F7046" i="2" s="1"/>
  <c r="D7040" i="2"/>
  <c r="F7040" i="2" s="1"/>
  <c r="D7037" i="2"/>
  <c r="F7037" i="2" s="1"/>
  <c r="D7031" i="2"/>
  <c r="F7031" i="2" s="1"/>
  <c r="D7028" i="2"/>
  <c r="F7028" i="2" s="1"/>
  <c r="D7023" i="2"/>
  <c r="F7023" i="2" s="1"/>
  <c r="D7020" i="2"/>
  <c r="F7020" i="2" s="1"/>
  <c r="D7014" i="2"/>
  <c r="F7014" i="2" s="1"/>
  <c r="D7011" i="2"/>
  <c r="F7011" i="2" s="1"/>
  <c r="D7000" i="2"/>
  <c r="F7000" i="2" s="1"/>
  <c r="D6995" i="2"/>
  <c r="F6995" i="2" s="1"/>
  <c r="D6989" i="2"/>
  <c r="F6989" i="2" s="1"/>
  <c r="D6985" i="2"/>
  <c r="F6985" i="2" s="1"/>
  <c r="D6980" i="2"/>
  <c r="F6980" i="2" s="1"/>
  <c r="D6971" i="2"/>
  <c r="F6971" i="2" s="1"/>
  <c r="D6964" i="2"/>
  <c r="F6964" i="2" s="1"/>
  <c r="D6961" i="2"/>
  <c r="F6961" i="2" s="1"/>
  <c r="D6955" i="2"/>
  <c r="F6955" i="2" s="1"/>
  <c r="D6950" i="2"/>
  <c r="F6950" i="2" s="1"/>
  <c r="D6943" i="2"/>
  <c r="F6943" i="2" s="1"/>
  <c r="D6940" i="2"/>
  <c r="F6940" i="2" s="1"/>
  <c r="D6931" i="2"/>
  <c r="F6931" i="2" s="1"/>
  <c r="D6926" i="2"/>
  <c r="F6926" i="2" s="1"/>
  <c r="D6919" i="2"/>
  <c r="F6919" i="2" s="1"/>
  <c r="D6914" i="2"/>
  <c r="D6905" i="2"/>
  <c r="D6903" i="2"/>
  <c r="D7251" i="2"/>
  <c r="F7251" i="2" s="1"/>
  <c r="D7242" i="2"/>
  <c r="F7242" i="2" s="1"/>
  <c r="D7233" i="2"/>
  <c r="F7233" i="2" s="1"/>
  <c r="D7249" i="2"/>
  <c r="F7249" i="2" s="1"/>
  <c r="D7223" i="2"/>
  <c r="F7223" i="2" s="1"/>
  <c r="D7219" i="2"/>
  <c r="F7219" i="2" s="1"/>
  <c r="D7204" i="2"/>
  <c r="F7204" i="2" s="1"/>
  <c r="D7179" i="2"/>
  <c r="F7179" i="2" s="1"/>
  <c r="D7172" i="2"/>
  <c r="F7172" i="2" s="1"/>
  <c r="D7155" i="2"/>
  <c r="F7155" i="2" s="1"/>
  <c r="D7129" i="2"/>
  <c r="F7129" i="2" s="1"/>
  <c r="D7121" i="2"/>
  <c r="F7121" i="2" s="1"/>
  <c r="D7103" i="2"/>
  <c r="F7103" i="2" s="1"/>
  <c r="D7085" i="2"/>
  <c r="F7085" i="2" s="1"/>
  <c r="D7080" i="2"/>
  <c r="F7080" i="2" s="1"/>
  <c r="D7062" i="2"/>
  <c r="F7062" i="2" s="1"/>
  <c r="D7047" i="2"/>
  <c r="F7047" i="2" s="1"/>
  <c r="D7044" i="2"/>
  <c r="F7044" i="2" s="1"/>
  <c r="D7038" i="2"/>
  <c r="F7038" i="2" s="1"/>
  <c r="D7035" i="2"/>
  <c r="F7035" i="2" s="1"/>
  <c r="D7029" i="2"/>
  <c r="F7029" i="2" s="1"/>
  <c r="D7026" i="2"/>
  <c r="F7026" i="2" s="1"/>
  <c r="D7021" i="2"/>
  <c r="F7021" i="2" s="1"/>
  <c r="D7017" i="2"/>
  <c r="F7017" i="2" s="1"/>
  <c r="D7012" i="2"/>
  <c r="F7012" i="2" s="1"/>
  <c r="D7003" i="2"/>
  <c r="F7003" i="2" s="1"/>
  <c r="D6997" i="2"/>
  <c r="F6997" i="2" s="1"/>
  <c r="D6992" i="2"/>
  <c r="F6992" i="2" s="1"/>
  <c r="D6986" i="2"/>
  <c r="F6986" i="2" s="1"/>
  <c r="D6983" i="2"/>
  <c r="F6983" i="2" s="1"/>
  <c r="D6973" i="2"/>
  <c r="F6973" i="2" s="1"/>
  <c r="D6969" i="2"/>
  <c r="F6969" i="2" s="1"/>
  <c r="D6962" i="2"/>
  <c r="F6962" i="2" s="1"/>
  <c r="D6958" i="2"/>
  <c r="F6958" i="2" s="1"/>
  <c r="D6951" i="2"/>
  <c r="F6951" i="2" s="1"/>
  <c r="D6948" i="2"/>
  <c r="F6948" i="2" s="1"/>
  <c r="D6941" i="2"/>
  <c r="F6941" i="2" s="1"/>
  <c r="D6936" i="2"/>
  <c r="F6936" i="2" s="1"/>
  <c r="D6927" i="2"/>
  <c r="F6927" i="2" s="1"/>
  <c r="D6922" i="2"/>
  <c r="F6922" i="2" s="1"/>
  <c r="D6911" i="2"/>
  <c r="D6909" i="2"/>
  <c r="D6900" i="2"/>
  <c r="D6891" i="2"/>
  <c r="D6889" i="2"/>
  <c r="D6880" i="2"/>
  <c r="D6870" i="2"/>
  <c r="D6868" i="2"/>
  <c r="D6856" i="2"/>
  <c r="D6847" i="2"/>
  <c r="D6845" i="2"/>
  <c r="D6836" i="2"/>
  <c r="D6827" i="2"/>
  <c r="D6825" i="2"/>
  <c r="D6818" i="2"/>
  <c r="D6813" i="2"/>
  <c r="D6807" i="2"/>
  <c r="D6802" i="2"/>
  <c r="D6797" i="2"/>
  <c r="D6792" i="2"/>
  <c r="D7228" i="2"/>
  <c r="F7228" i="2" s="1"/>
  <c r="D7213" i="2"/>
  <c r="F7213" i="2" s="1"/>
  <c r="D7193" i="2"/>
  <c r="F7193" i="2" s="1"/>
  <c r="D7135" i="2"/>
  <c r="F7135" i="2" s="1"/>
  <c r="D7113" i="2"/>
  <c r="F7113" i="2" s="1"/>
  <c r="D7095" i="2"/>
  <c r="F7095" i="2" s="1"/>
  <c r="D7051" i="2"/>
  <c r="F7051" i="2" s="1"/>
  <c r="D7045" i="2"/>
  <c r="F7045" i="2" s="1"/>
  <c r="D7033" i="2"/>
  <c r="F7033" i="2" s="1"/>
  <c r="D7027" i="2"/>
  <c r="F7027" i="2" s="1"/>
  <c r="D7015" i="2"/>
  <c r="F7015" i="2" s="1"/>
  <c r="D7010" i="2"/>
  <c r="F7010" i="2" s="1"/>
  <c r="D6990" i="2"/>
  <c r="F6990" i="2" s="1"/>
  <c r="D6984" i="2"/>
  <c r="F6984" i="2" s="1"/>
  <c r="D6966" i="2"/>
  <c r="F6966" i="2" s="1"/>
  <c r="D6960" i="2"/>
  <c r="F6960" i="2" s="1"/>
  <c r="D6944" i="2"/>
  <c r="F6944" i="2" s="1"/>
  <c r="D6939" i="2"/>
  <c r="F6939" i="2" s="1"/>
  <c r="D6920" i="2"/>
  <c r="F6920" i="2" s="1"/>
  <c r="D6915" i="2"/>
  <c r="D6894" i="2"/>
  <c r="D6885" i="2"/>
  <c r="D6878" i="2"/>
  <c r="D6876" i="2"/>
  <c r="D6869" i="2"/>
  <c r="D6860" i="2"/>
  <c r="D6857" i="2"/>
  <c r="D6851" i="2"/>
  <c r="D6842" i="2"/>
  <c r="D6812" i="2"/>
  <c r="D6810" i="2"/>
  <c r="D6800" i="2"/>
  <c r="D6791" i="2"/>
  <c r="D6784" i="2"/>
  <c r="D6778" i="2"/>
  <c r="D7197" i="2"/>
  <c r="F7197" i="2" s="1"/>
  <c r="D7177" i="2"/>
  <c r="F7177" i="2" s="1"/>
  <c r="D7157" i="2"/>
  <c r="F7157" i="2" s="1"/>
  <c r="D7101" i="2"/>
  <c r="F7101" i="2" s="1"/>
  <c r="D7083" i="2"/>
  <c r="F7083" i="2" s="1"/>
  <c r="D7065" i="2"/>
  <c r="F7065" i="2" s="1"/>
  <c r="D7049" i="2"/>
  <c r="F7049" i="2" s="1"/>
  <c r="D7043" i="2"/>
  <c r="F7043" i="2" s="1"/>
  <c r="D7030" i="2"/>
  <c r="F7030" i="2" s="1"/>
  <c r="D7025" i="2"/>
  <c r="F7025" i="2" s="1"/>
  <c r="D7013" i="2"/>
  <c r="F7013" i="2" s="1"/>
  <c r="D7002" i="2"/>
  <c r="F7002" i="2" s="1"/>
  <c r="D6987" i="2"/>
  <c r="F6987" i="2" s="1"/>
  <c r="D6982" i="2"/>
  <c r="F6982" i="2" s="1"/>
  <c r="D6963" i="2"/>
  <c r="F6963" i="2" s="1"/>
  <c r="D6957" i="2"/>
  <c r="F6957" i="2" s="1"/>
  <c r="D6942" i="2"/>
  <c r="F6942" i="2" s="1"/>
  <c r="D6935" i="2"/>
  <c r="F6935" i="2" s="1"/>
  <c r="D6918" i="2"/>
  <c r="F6918" i="2" s="1"/>
  <c r="D6910" i="2"/>
  <c r="D6899" i="2"/>
  <c r="D6896" i="2"/>
  <c r="D6890" i="2"/>
  <c r="D6884" i="2"/>
  <c r="D6881" i="2"/>
  <c r="D6874" i="2"/>
  <c r="D6862" i="2"/>
  <c r="D6830" i="2"/>
  <c r="D6821" i="2"/>
  <c r="D6816" i="2"/>
  <c r="D6806" i="2"/>
  <c r="D6804" i="2"/>
  <c r="D6795" i="2"/>
  <c r="D6789" i="2"/>
  <c r="D6780" i="2"/>
  <c r="D7189" i="2"/>
  <c r="F7189" i="2" s="1"/>
  <c r="D7163" i="2"/>
  <c r="F7163" i="2" s="1"/>
  <c r="D7148" i="2"/>
  <c r="F7148" i="2" s="1"/>
  <c r="D7090" i="2"/>
  <c r="F7090" i="2" s="1"/>
  <c r="D7071" i="2"/>
  <c r="F7071" i="2" s="1"/>
  <c r="D7055" i="2"/>
  <c r="F7055" i="2" s="1"/>
  <c r="D7041" i="2"/>
  <c r="F7041" i="2" s="1"/>
  <c r="D7036" i="2"/>
  <c r="F7036" i="2" s="1"/>
  <c r="D7024" i="2"/>
  <c r="F7024" i="2" s="1"/>
  <c r="D7018" i="2"/>
  <c r="F7018" i="2" s="1"/>
  <c r="D7001" i="2"/>
  <c r="F7001" i="2" s="1"/>
  <c r="D6994" i="2"/>
  <c r="F6994" i="2" s="1"/>
  <c r="D6981" i="2"/>
  <c r="F6981" i="2" s="1"/>
  <c r="D6970" i="2"/>
  <c r="F6970" i="2" s="1"/>
  <c r="D6956" i="2"/>
  <c r="F6956" i="2" s="1"/>
  <c r="D6949" i="2"/>
  <c r="F6949" i="2" s="1"/>
  <c r="D6932" i="2"/>
  <c r="F6932" i="2" s="1"/>
  <c r="D6925" i="2"/>
  <c r="F6925" i="2" s="1"/>
  <c r="D6913" i="2"/>
  <c r="D6904" i="2"/>
  <c r="D6901" i="2"/>
  <c r="D6895" i="2"/>
  <c r="D6886" i="2"/>
  <c r="D6850" i="2"/>
  <c r="D6841" i="2"/>
  <c r="D6835" i="2"/>
  <c r="D6832" i="2"/>
  <c r="D6826" i="2"/>
  <c r="D6820" i="2"/>
  <c r="D6811" i="2"/>
  <c r="D6801" i="2"/>
  <c r="D6799" i="2"/>
  <c r="D6790" i="2"/>
  <c r="D6781" i="2"/>
  <c r="D7221" i="2"/>
  <c r="F7221" i="2" s="1"/>
  <c r="D7207" i="2"/>
  <c r="F7207" i="2" s="1"/>
  <c r="D7152" i="2"/>
  <c r="F7152" i="2" s="1"/>
  <c r="D7126" i="2"/>
  <c r="F7126" i="2" s="1"/>
  <c r="D7106" i="2"/>
  <c r="F7106" i="2" s="1"/>
  <c r="D7060" i="2"/>
  <c r="F7060" i="2" s="1"/>
  <c r="D7039" i="2"/>
  <c r="F7039" i="2" s="1"/>
  <c r="D7034" i="2"/>
  <c r="F7034" i="2" s="1"/>
  <c r="D7022" i="2"/>
  <c r="F7022" i="2" s="1"/>
  <c r="D7016" i="2"/>
  <c r="F7016" i="2" s="1"/>
  <c r="D6998" i="2"/>
  <c r="F6998" i="2" s="1"/>
  <c r="D6991" i="2"/>
  <c r="F6991" i="2" s="1"/>
  <c r="D6974" i="2"/>
  <c r="F6974" i="2" s="1"/>
  <c r="D6967" i="2"/>
  <c r="F6967" i="2" s="1"/>
  <c r="D6954" i="2"/>
  <c r="F6954" i="2" s="1"/>
  <c r="D6947" i="2"/>
  <c r="F6947" i="2" s="1"/>
  <c r="D6928" i="2"/>
  <c r="F6928" i="2" s="1"/>
  <c r="D6921" i="2"/>
  <c r="F6921" i="2" s="1"/>
  <c r="D6873" i="2"/>
  <c r="D6861" i="2"/>
  <c r="D6855" i="2"/>
  <c r="D6852" i="2"/>
  <c r="D6846" i="2"/>
  <c r="D6840" i="2"/>
  <c r="D6837" i="2"/>
  <c r="D6831" i="2"/>
  <c r="D6822" i="2"/>
  <c r="D6817" i="2"/>
  <c r="D6815" i="2"/>
  <c r="D6805" i="2"/>
  <c r="D6796" i="2"/>
  <c r="D6794" i="2"/>
  <c r="D6783" i="2"/>
  <c r="D6777" i="2"/>
  <c r="D6770" i="2"/>
  <c r="D6763" i="2"/>
  <c r="D6759" i="2"/>
  <c r="F6759" i="2" s="1"/>
  <c r="D6754" i="2"/>
  <c r="F6754" i="2" s="1"/>
  <c r="D6752" i="2"/>
  <c r="F6752" i="2" s="1"/>
  <c r="D6748" i="2"/>
  <c r="F6748" i="2" s="1"/>
  <c r="D6746" i="2"/>
  <c r="F6746" i="2" s="1"/>
  <c r="D6742" i="2"/>
  <c r="F6742" i="2" s="1"/>
  <c r="D6739" i="2"/>
  <c r="F6739" i="2" s="1"/>
  <c r="D6737" i="2"/>
  <c r="F6737" i="2" s="1"/>
  <c r="D6735" i="2"/>
  <c r="F6735" i="2" s="1"/>
  <c r="D6733" i="2"/>
  <c r="F6733" i="2" s="1"/>
  <c r="D6729" i="2"/>
  <c r="F6729" i="2" s="1"/>
  <c r="D6727" i="2"/>
  <c r="F6727" i="2" s="1"/>
  <c r="D6725" i="2"/>
  <c r="F6725" i="2" s="1"/>
  <c r="D6723" i="2"/>
  <c r="F6723" i="2" s="1"/>
  <c r="D6720" i="2"/>
  <c r="F6720" i="2" s="1"/>
  <c r="D6718" i="2"/>
  <c r="F6718" i="2" s="1"/>
  <c r="D6716" i="2"/>
  <c r="F6716" i="2" s="1"/>
  <c r="D6713" i="2"/>
  <c r="F6713" i="2" s="1"/>
  <c r="D6711" i="2"/>
  <c r="F6711" i="2" s="1"/>
  <c r="D6709" i="2"/>
  <c r="F6709" i="2" s="1"/>
  <c r="D6707" i="2"/>
  <c r="F6707" i="2" s="1"/>
  <c r="D6704" i="2"/>
  <c r="F6704" i="2" s="1"/>
  <c r="D6702" i="2"/>
  <c r="F6702" i="2" s="1"/>
  <c r="D6700" i="2"/>
  <c r="F6700" i="2" s="1"/>
  <c r="D6696" i="2"/>
  <c r="F6696" i="2" s="1"/>
  <c r="D6694" i="2"/>
  <c r="F6694" i="2" s="1"/>
  <c r="D6691" i="2"/>
  <c r="F6691" i="2" s="1"/>
  <c r="D6689" i="2"/>
  <c r="F6689" i="2" s="1"/>
  <c r="D6687" i="2"/>
  <c r="F6687" i="2" s="1"/>
  <c r="D6684" i="2"/>
  <c r="F6684" i="2" s="1"/>
  <c r="D6682" i="2"/>
  <c r="F6682" i="2" s="1"/>
  <c r="D6680" i="2"/>
  <c r="F6680" i="2" s="1"/>
  <c r="D6678" i="2"/>
  <c r="F6678" i="2" s="1"/>
  <c r="D6676" i="2"/>
  <c r="F6676" i="2" s="1"/>
  <c r="D6673" i="2"/>
  <c r="F6673" i="2" s="1"/>
  <c r="D6671" i="2"/>
  <c r="F6671" i="2" s="1"/>
  <c r="D6669" i="2"/>
  <c r="F6669" i="2" s="1"/>
  <c r="D6667" i="2"/>
  <c r="F6667" i="2" s="1"/>
  <c r="D6664" i="2"/>
  <c r="F6664" i="2" s="1"/>
  <c r="D6662" i="2"/>
  <c r="F6662" i="2" s="1"/>
  <c r="D6660" i="2"/>
  <c r="F6660" i="2" s="1"/>
  <c r="D6658" i="2"/>
  <c r="F6658" i="2" s="1"/>
  <c r="D6656" i="2"/>
  <c r="F6656" i="2" s="1"/>
  <c r="D6643" i="2"/>
  <c r="F6643" i="2" s="1"/>
  <c r="D6638" i="2"/>
  <c r="F6638" i="2" s="1"/>
  <c r="D6631" i="2"/>
  <c r="F6631" i="2" s="1"/>
  <c r="D6623" i="2"/>
  <c r="F6623" i="2" s="1"/>
  <c r="D6611" i="2"/>
  <c r="F6611" i="2" s="1"/>
  <c r="D6605" i="2"/>
  <c r="F6605" i="2" s="1"/>
  <c r="D6592" i="2"/>
  <c r="F6592" i="2" s="1"/>
  <c r="D6773" i="2"/>
  <c r="D6749" i="2"/>
  <c r="F6749" i="2" s="1"/>
  <c r="D6738" i="2"/>
  <c r="F6738" i="2" s="1"/>
  <c r="D6728" i="2"/>
  <c r="F6728" i="2" s="1"/>
  <c r="D6719" i="2"/>
  <c r="F6719" i="2" s="1"/>
  <c r="D6710" i="2"/>
  <c r="F6710" i="2" s="1"/>
  <c r="D6701" i="2"/>
  <c r="F6701" i="2" s="1"/>
  <c r="D6690" i="2"/>
  <c r="F6690" i="2" s="1"/>
  <c r="D6681" i="2"/>
  <c r="F6681" i="2" s="1"/>
  <c r="D6672" i="2"/>
  <c r="F6672" i="2" s="1"/>
  <c r="D6663" i="2"/>
  <c r="F6663" i="2" s="1"/>
  <c r="D6649" i="2"/>
  <c r="F6649" i="2" s="1"/>
  <c r="D6639" i="2"/>
  <c r="F6639" i="2" s="1"/>
  <c r="D6634" i="2"/>
  <c r="F6634" i="2" s="1"/>
  <c r="D6624" i="2"/>
  <c r="F6624" i="2" s="1"/>
  <c r="D6621" i="2"/>
  <c r="F6621" i="2" s="1"/>
  <c r="D6599" i="2"/>
  <c r="F6599" i="2" s="1"/>
  <c r="D6593" i="2"/>
  <c r="F6593" i="2" s="1"/>
  <c r="D6589" i="2"/>
  <c r="F6589" i="2" s="1"/>
  <c r="D6570" i="2"/>
  <c r="F6570" i="2" s="1"/>
  <c r="D6568" i="2"/>
  <c r="F6568" i="2" s="1"/>
  <c r="D6565" i="2"/>
  <c r="F6565" i="2" s="1"/>
  <c r="D6562" i="2"/>
  <c r="F6562" i="2" s="1"/>
  <c r="D6559" i="2"/>
  <c r="F6559" i="2" s="1"/>
  <c r="D6553" i="2"/>
  <c r="F6553" i="2" s="1"/>
  <c r="D6551" i="2"/>
  <c r="F6551" i="2" s="1"/>
  <c r="D6548" i="2"/>
  <c r="F6548" i="2" s="1"/>
  <c r="D6540" i="2"/>
  <c r="F6540" i="2" s="1"/>
  <c r="D6536" i="2"/>
  <c r="F6536" i="2" s="1"/>
  <c r="D6532" i="2"/>
  <c r="F6532" i="2" s="1"/>
  <c r="D6525" i="2"/>
  <c r="F6525" i="2" s="1"/>
  <c r="D6521" i="2"/>
  <c r="F6521" i="2" s="1"/>
  <c r="D6517" i="2"/>
  <c r="F6517" i="2" s="1"/>
  <c r="D6513" i="2"/>
  <c r="F6513" i="2" s="1"/>
  <c r="D6505" i="2"/>
  <c r="F6505" i="2" s="1"/>
  <c r="D6499" i="2"/>
  <c r="F6499" i="2" s="1"/>
  <c r="D6495" i="2"/>
  <c r="F6495" i="2" s="1"/>
  <c r="D6491" i="2"/>
  <c r="F6491" i="2" s="1"/>
  <c r="D6485" i="2"/>
  <c r="F6485" i="2" s="1"/>
  <c r="D6767" i="2"/>
  <c r="D6753" i="2"/>
  <c r="F6753" i="2" s="1"/>
  <c r="D6741" i="2"/>
  <c r="F6741" i="2" s="1"/>
  <c r="D6732" i="2"/>
  <c r="F6732" i="2" s="1"/>
  <c r="D6721" i="2"/>
  <c r="F6721" i="2" s="1"/>
  <c r="D6712" i="2"/>
  <c r="F6712" i="2" s="1"/>
  <c r="D6703" i="2"/>
  <c r="F6703" i="2" s="1"/>
  <c r="D6693" i="2"/>
  <c r="F6693" i="2" s="1"/>
  <c r="D6683" i="2"/>
  <c r="F6683" i="2" s="1"/>
  <c r="D6674" i="2"/>
  <c r="F6674" i="2" s="1"/>
  <c r="D6666" i="2"/>
  <c r="F6666" i="2" s="1"/>
  <c r="D6657" i="2"/>
  <c r="F6657" i="2" s="1"/>
  <c r="D6650" i="2"/>
  <c r="F6650" i="2" s="1"/>
  <c r="D6635" i="2"/>
  <c r="F6635" i="2" s="1"/>
  <c r="D6622" i="2"/>
  <c r="F6622" i="2" s="1"/>
  <c r="D6608" i="2"/>
  <c r="F6608" i="2" s="1"/>
  <c r="D6601" i="2"/>
  <c r="F6601" i="2" s="1"/>
  <c r="D6598" i="2"/>
  <c r="F6598" i="2" s="1"/>
  <c r="D6590" i="2"/>
  <c r="F6590" i="2" s="1"/>
  <c r="D6585" i="2"/>
  <c r="F6585" i="2" s="1"/>
  <c r="D6583" i="2"/>
  <c r="F6583" i="2" s="1"/>
  <c r="D6581" i="2"/>
  <c r="F6581" i="2" s="1"/>
  <c r="D6575" i="2"/>
  <c r="F6575" i="2" s="1"/>
  <c r="D6572" i="2"/>
  <c r="F6572" i="2" s="1"/>
  <c r="D6541" i="2"/>
  <c r="F6541" i="2" s="1"/>
  <c r="D6537" i="2"/>
  <c r="F6537" i="2" s="1"/>
  <c r="D6533" i="2"/>
  <c r="F6533" i="2" s="1"/>
  <c r="D6529" i="2"/>
  <c r="F6529" i="2" s="1"/>
  <c r="D6522" i="2"/>
  <c r="F6522" i="2" s="1"/>
  <c r="D6518" i="2"/>
  <c r="F6518" i="2" s="1"/>
  <c r="D6514" i="2"/>
  <c r="F6514" i="2" s="1"/>
  <c r="D6506" i="2"/>
  <c r="F6506" i="2" s="1"/>
  <c r="D6500" i="2"/>
  <c r="F6500" i="2" s="1"/>
  <c r="D6496" i="2"/>
  <c r="F6496" i="2" s="1"/>
  <c r="D6774" i="2"/>
  <c r="D6771" i="2"/>
  <c r="D6758" i="2"/>
  <c r="F6758" i="2" s="1"/>
  <c r="D6743" i="2"/>
  <c r="F6743" i="2" s="1"/>
  <c r="D6734" i="2"/>
  <c r="F6734" i="2" s="1"/>
  <c r="D6724" i="2"/>
  <c r="F6724" i="2" s="1"/>
  <c r="D6715" i="2"/>
  <c r="F6715" i="2" s="1"/>
  <c r="D6705" i="2"/>
  <c r="F6705" i="2" s="1"/>
  <c r="D6695" i="2"/>
  <c r="F6695" i="2" s="1"/>
  <c r="D6686" i="2"/>
  <c r="F6686" i="2" s="1"/>
  <c r="D6677" i="2"/>
  <c r="F6677" i="2" s="1"/>
  <c r="D6668" i="2"/>
  <c r="F6668" i="2" s="1"/>
  <c r="D6659" i="2"/>
  <c r="F6659" i="2" s="1"/>
  <c r="D6647" i="2"/>
  <c r="F6647" i="2" s="1"/>
  <c r="D6640" i="2"/>
  <c r="F6640" i="2" s="1"/>
  <c r="D6633" i="2"/>
  <c r="F6633" i="2" s="1"/>
  <c r="D6626" i="2"/>
  <c r="F6626" i="2" s="1"/>
  <c r="D6606" i="2"/>
  <c r="F6606" i="2" s="1"/>
  <c r="D6604" i="2"/>
  <c r="F6604" i="2" s="1"/>
  <c r="D6600" i="2"/>
  <c r="F6600" i="2" s="1"/>
  <c r="D6595" i="2"/>
  <c r="F6595" i="2" s="1"/>
  <c r="D6594" i="2"/>
  <c r="F6594" i="2" s="1"/>
  <c r="D6586" i="2"/>
  <c r="F6586" i="2" s="1"/>
  <c r="D6569" i="2"/>
  <c r="F6569" i="2" s="1"/>
  <c r="D6567" i="2"/>
  <c r="F6567" i="2" s="1"/>
  <c r="D6564" i="2"/>
  <c r="F6564" i="2" s="1"/>
  <c r="D6561" i="2"/>
  <c r="F6561" i="2" s="1"/>
  <c r="D6558" i="2"/>
  <c r="F6558" i="2" s="1"/>
  <c r="D6552" i="2"/>
  <c r="F6552" i="2" s="1"/>
  <c r="D6549" i="2"/>
  <c r="F6549" i="2" s="1"/>
  <c r="D6542" i="2"/>
  <c r="F6542" i="2" s="1"/>
  <c r="D6538" i="2"/>
  <c r="F6538" i="2" s="1"/>
  <c r="D6534" i="2"/>
  <c r="F6534" i="2" s="1"/>
  <c r="D6530" i="2"/>
  <c r="F6530" i="2" s="1"/>
  <c r="D6523" i="2"/>
  <c r="F6523" i="2" s="1"/>
  <c r="D6519" i="2"/>
  <c r="F6519" i="2" s="1"/>
  <c r="D6515" i="2"/>
  <c r="F6515" i="2" s="1"/>
  <c r="D6507" i="2"/>
  <c r="F6507" i="2" s="1"/>
  <c r="D6503" i="2"/>
  <c r="F6503" i="2" s="1"/>
  <c r="D6497" i="2"/>
  <c r="F6497" i="2" s="1"/>
  <c r="D6493" i="2"/>
  <c r="F6493" i="2" s="1"/>
  <c r="D6487" i="2"/>
  <c r="F6487" i="2" s="1"/>
  <c r="D6768" i="2"/>
  <c r="D6764" i="2"/>
  <c r="D6760" i="2"/>
  <c r="F6760" i="2" s="1"/>
  <c r="D6747" i="2"/>
  <c r="F6747" i="2" s="1"/>
  <c r="D6736" i="2"/>
  <c r="F6736" i="2" s="1"/>
  <c r="D6726" i="2"/>
  <c r="F6726" i="2" s="1"/>
  <c r="D6717" i="2"/>
  <c r="F6717" i="2" s="1"/>
  <c r="D6708" i="2"/>
  <c r="F6708" i="2" s="1"/>
  <c r="D6699" i="2"/>
  <c r="F6699" i="2" s="1"/>
  <c r="D6688" i="2"/>
  <c r="F6688" i="2" s="1"/>
  <c r="D6679" i="2"/>
  <c r="F6679" i="2" s="1"/>
  <c r="D6670" i="2"/>
  <c r="F6670" i="2" s="1"/>
  <c r="D6661" i="2"/>
  <c r="F6661" i="2" s="1"/>
  <c r="D6642" i="2"/>
  <c r="F6642" i="2" s="1"/>
  <c r="D6627" i="2"/>
  <c r="F6627" i="2" s="1"/>
  <c r="D6609" i="2"/>
  <c r="F6609" i="2" s="1"/>
  <c r="D6607" i="2"/>
  <c r="F6607" i="2" s="1"/>
  <c r="D6602" i="2"/>
  <c r="F6602" i="2" s="1"/>
  <c r="D6597" i="2"/>
  <c r="F6597" i="2" s="1"/>
  <c r="D6584" i="2"/>
  <c r="F6584" i="2" s="1"/>
  <c r="D6582" i="2"/>
  <c r="F6582" i="2" s="1"/>
  <c r="D6580" i="2"/>
  <c r="F6580" i="2" s="1"/>
  <c r="D6573" i="2"/>
  <c r="F6573" i="2" s="1"/>
  <c r="D6543" i="2"/>
  <c r="F6543" i="2" s="1"/>
  <c r="D6539" i="2"/>
  <c r="F6539" i="2" s="1"/>
  <c r="D6535" i="2"/>
  <c r="F6535" i="2" s="1"/>
  <c r="D6531" i="2"/>
  <c r="F6531" i="2" s="1"/>
  <c r="D6524" i="2"/>
  <c r="F6524" i="2" s="1"/>
  <c r="D6520" i="2"/>
  <c r="F6520" i="2" s="1"/>
  <c r="D6516" i="2"/>
  <c r="F6516" i="2" s="1"/>
  <c r="D6508" i="2"/>
  <c r="F6508" i="2" s="1"/>
  <c r="D6504" i="2"/>
  <c r="F6504" i="2" s="1"/>
  <c r="D6498" i="2"/>
  <c r="F6498" i="2" s="1"/>
  <c r="D6494" i="2"/>
  <c r="F6494" i="2" s="1"/>
  <c r="D6490" i="2"/>
  <c r="F6490" i="2" s="1"/>
  <c r="D6484" i="2"/>
  <c r="F6484" i="2" s="1"/>
  <c r="D6480" i="2"/>
  <c r="F6480" i="2" s="1"/>
  <c r="D6476" i="2"/>
  <c r="F6476" i="2" s="1"/>
  <c r="D6472" i="2"/>
  <c r="F6472" i="2" s="1"/>
  <c r="D6466" i="2"/>
  <c r="F6466" i="2" s="1"/>
  <c r="D6462" i="2"/>
  <c r="F6462" i="2" s="1"/>
  <c r="D6458" i="2"/>
  <c r="F6458" i="2" s="1"/>
  <c r="D6454" i="2"/>
  <c r="F6454" i="2" s="1"/>
  <c r="D6445" i="2"/>
  <c r="F6445" i="2" s="1"/>
  <c r="D6438" i="2"/>
  <c r="F6438" i="2" s="1"/>
  <c r="D6434" i="2"/>
  <c r="F6434" i="2" s="1"/>
  <c r="D6384" i="2"/>
  <c r="F6384" i="2" s="1"/>
  <c r="D6380" i="2"/>
  <c r="F6380" i="2" s="1"/>
  <c r="D6376" i="2"/>
  <c r="F6376" i="2" s="1"/>
  <c r="D6372" i="2"/>
  <c r="F6372" i="2" s="1"/>
  <c r="D6368" i="2"/>
  <c r="F6368" i="2" s="1"/>
  <c r="D6364" i="2"/>
  <c r="F6364" i="2" s="1"/>
  <c r="D6483" i="2"/>
  <c r="F6483" i="2" s="1"/>
  <c r="D6475" i="2"/>
  <c r="F6475" i="2" s="1"/>
  <c r="D6465" i="2"/>
  <c r="F6465" i="2" s="1"/>
  <c r="D6457" i="2"/>
  <c r="F6457" i="2" s="1"/>
  <c r="D6444" i="2"/>
  <c r="F6444" i="2" s="1"/>
  <c r="D6433" i="2"/>
  <c r="F6433" i="2" s="1"/>
  <c r="D6428" i="2"/>
  <c r="F6428" i="2" s="1"/>
  <c r="D6423" i="2"/>
  <c r="F6423" i="2" s="1"/>
  <c r="D6420" i="2"/>
  <c r="F6420" i="2" s="1"/>
  <c r="D6411" i="2"/>
  <c r="F6411" i="2" s="1"/>
  <c r="D6406" i="2"/>
  <c r="F6406" i="2" s="1"/>
  <c r="D6397" i="2"/>
  <c r="F6397" i="2" s="1"/>
  <c r="D6382" i="2"/>
  <c r="F6382" i="2" s="1"/>
  <c r="D6377" i="2"/>
  <c r="F6377" i="2" s="1"/>
  <c r="D6374" i="2"/>
  <c r="F6374" i="2" s="1"/>
  <c r="D6369" i="2"/>
  <c r="F6369" i="2" s="1"/>
  <c r="D6366" i="2"/>
  <c r="F6366" i="2" s="1"/>
  <c r="D6358" i="2"/>
  <c r="D6353" i="2"/>
  <c r="D6352" i="2"/>
  <c r="D6351" i="2"/>
  <c r="D6349" i="2"/>
  <c r="D6348" i="2"/>
  <c r="D6347" i="2"/>
  <c r="D6346" i="2"/>
  <c r="D6345" i="2"/>
  <c r="D6344" i="2"/>
  <c r="D6343" i="2"/>
  <c r="D6342" i="2"/>
  <c r="D6337" i="2"/>
  <c r="D6336" i="2"/>
  <c r="D6335" i="2"/>
  <c r="D6334" i="2"/>
  <c r="D6332" i="2"/>
  <c r="D6331" i="2"/>
  <c r="D6330" i="2"/>
  <c r="D6329" i="2"/>
  <c r="D6324" i="2"/>
  <c r="F6324" i="2" s="1"/>
  <c r="D6320" i="2"/>
  <c r="F6320" i="2" s="1"/>
  <c r="D6316" i="2"/>
  <c r="F6316" i="2" s="1"/>
  <c r="D6311" i="2"/>
  <c r="F6311" i="2" s="1"/>
  <c r="D6307" i="2"/>
  <c r="F6307" i="2" s="1"/>
  <c r="D6303" i="2"/>
  <c r="F6303" i="2" s="1"/>
  <c r="D6297" i="2"/>
  <c r="F6297" i="2" s="1"/>
  <c r="D6293" i="2"/>
  <c r="F6293" i="2" s="1"/>
  <c r="D6288" i="2"/>
  <c r="F6288" i="2" s="1"/>
  <c r="D6280" i="2"/>
  <c r="F6280" i="2" s="1"/>
  <c r="D6276" i="2"/>
  <c r="F6276" i="2" s="1"/>
  <c r="D6272" i="2"/>
  <c r="F6272" i="2" s="1"/>
  <c r="D6266" i="2"/>
  <c r="F6266" i="2" s="1"/>
  <c r="D6262" i="2"/>
  <c r="F6262" i="2" s="1"/>
  <c r="D6258" i="2"/>
  <c r="F6258" i="2" s="1"/>
  <c r="D6254" i="2"/>
  <c r="F6254" i="2" s="1"/>
  <c r="D6248" i="2"/>
  <c r="F6248" i="2" s="1"/>
  <c r="D6244" i="2"/>
  <c r="F6244" i="2" s="1"/>
  <c r="D6240" i="2"/>
  <c r="F6240" i="2" s="1"/>
  <c r="D6232" i="2"/>
  <c r="F6232" i="2" s="1"/>
  <c r="D6226" i="2"/>
  <c r="F6226" i="2" s="1"/>
  <c r="D6222" i="2"/>
  <c r="F6222" i="2" s="1"/>
  <c r="D6217" i="2"/>
  <c r="F6217" i="2" s="1"/>
  <c r="D6213" i="2"/>
  <c r="F6213" i="2" s="1"/>
  <c r="D6196" i="2"/>
  <c r="F6196" i="2" s="1"/>
  <c r="D6192" i="2"/>
  <c r="F6192" i="2" s="1"/>
  <c r="D6188" i="2"/>
  <c r="F6188" i="2" s="1"/>
  <c r="D6178" i="2"/>
  <c r="F6178" i="2" s="1"/>
  <c r="D6173" i="2"/>
  <c r="F6173" i="2" s="1"/>
  <c r="D6167" i="2"/>
  <c r="F6167" i="2" s="1"/>
  <c r="D6163" i="2"/>
  <c r="F6163" i="2" s="1"/>
  <c r="D6157" i="2"/>
  <c r="F6157" i="2" s="1"/>
  <c r="D6152" i="2"/>
  <c r="F6152" i="2" s="1"/>
  <c r="D6148" i="2"/>
  <c r="F6148" i="2" s="1"/>
  <c r="D6141" i="2"/>
  <c r="F6141" i="2" s="1"/>
  <c r="D6136" i="2"/>
  <c r="F6136" i="2" s="1"/>
  <c r="D6130" i="2"/>
  <c r="F6130" i="2" s="1"/>
  <c r="D6123" i="2"/>
  <c r="F6123" i="2" s="1"/>
  <c r="D6117" i="2"/>
  <c r="F6117" i="2" s="1"/>
  <c r="D6112" i="2"/>
  <c r="F6112" i="2" s="1"/>
  <c r="D6109" i="2"/>
  <c r="F6109" i="2" s="1"/>
  <c r="D6104" i="2"/>
  <c r="F6104" i="2" s="1"/>
  <c r="D6097" i="2"/>
  <c r="F6097" i="2" s="1"/>
  <c r="D6093" i="2"/>
  <c r="F6093" i="2" s="1"/>
  <c r="D6088" i="2"/>
  <c r="F6088" i="2" s="1"/>
  <c r="D6084" i="2"/>
  <c r="F6084" i="2" s="1"/>
  <c r="D6079" i="2"/>
  <c r="F6079" i="2" s="1"/>
  <c r="D6075" i="2"/>
  <c r="F6075" i="2" s="1"/>
  <c r="D6067" i="2"/>
  <c r="F6067" i="2" s="1"/>
  <c r="D6063" i="2"/>
  <c r="F6063" i="2" s="1"/>
  <c r="D6058" i="2"/>
  <c r="F6058" i="2" s="1"/>
  <c r="D6054" i="2"/>
  <c r="F6054" i="2" s="1"/>
  <c r="D6049" i="2"/>
  <c r="F6049" i="2" s="1"/>
  <c r="D6045" i="2"/>
  <c r="F6045" i="2" s="1"/>
  <c r="D6492" i="2"/>
  <c r="F6492" i="2" s="1"/>
  <c r="D6481" i="2"/>
  <c r="F6481" i="2" s="1"/>
  <c r="D6478" i="2"/>
  <c r="F6478" i="2" s="1"/>
  <c r="D6473" i="2"/>
  <c r="F6473" i="2" s="1"/>
  <c r="D6468" i="2"/>
  <c r="F6468" i="2" s="1"/>
  <c r="D6463" i="2"/>
  <c r="F6463" i="2" s="1"/>
  <c r="D6460" i="2"/>
  <c r="F6460" i="2" s="1"/>
  <c r="D6455" i="2"/>
  <c r="F6455" i="2" s="1"/>
  <c r="D6452" i="2"/>
  <c r="F6452" i="2" s="1"/>
  <c r="D6442" i="2"/>
  <c r="F6442" i="2" s="1"/>
  <c r="D6436" i="2"/>
  <c r="F6436" i="2" s="1"/>
  <c r="D6430" i="2"/>
  <c r="F6430" i="2" s="1"/>
  <c r="D6425" i="2"/>
  <c r="F6425" i="2" s="1"/>
  <c r="D6422" i="2"/>
  <c r="F6422" i="2" s="1"/>
  <c r="D6417" i="2"/>
  <c r="F6417" i="2" s="1"/>
  <c r="D6405" i="2"/>
  <c r="F6405" i="2" s="1"/>
  <c r="D6383" i="2"/>
  <c r="F6383" i="2" s="1"/>
  <c r="D6375" i="2"/>
  <c r="F6375" i="2" s="1"/>
  <c r="D6367" i="2"/>
  <c r="F6367" i="2" s="1"/>
  <c r="D6359" i="2"/>
  <c r="D6354" i="2"/>
  <c r="D6325" i="2"/>
  <c r="F6325" i="2" s="1"/>
  <c r="D6321" i="2"/>
  <c r="F6321" i="2" s="1"/>
  <c r="D6317" i="2"/>
  <c r="F6317" i="2" s="1"/>
  <c r="D6312" i="2"/>
  <c r="F6312" i="2" s="1"/>
  <c r="D6308" i="2"/>
  <c r="F6308" i="2" s="1"/>
  <c r="D6304" i="2"/>
  <c r="F6304" i="2" s="1"/>
  <c r="D6298" i="2"/>
  <c r="F6298" i="2" s="1"/>
  <c r="D6294" i="2"/>
  <c r="F6294" i="2" s="1"/>
  <c r="D6289" i="2"/>
  <c r="F6289" i="2" s="1"/>
  <c r="D6281" i="2"/>
  <c r="F6281" i="2" s="1"/>
  <c r="D6277" i="2"/>
  <c r="F6277" i="2" s="1"/>
  <c r="D6273" i="2"/>
  <c r="F6273" i="2" s="1"/>
  <c r="D6269" i="2"/>
  <c r="F6269" i="2" s="1"/>
  <c r="D6263" i="2"/>
  <c r="F6263" i="2" s="1"/>
  <c r="D6259" i="2"/>
  <c r="F6259" i="2" s="1"/>
  <c r="D6255" i="2"/>
  <c r="F6255" i="2" s="1"/>
  <c r="D6249" i="2"/>
  <c r="F6249" i="2" s="1"/>
  <c r="D6245" i="2"/>
  <c r="F6245" i="2" s="1"/>
  <c r="D6241" i="2"/>
  <c r="F6241" i="2" s="1"/>
  <c r="D6234" i="2"/>
  <c r="F6234" i="2" s="1"/>
  <c r="D6227" i="2"/>
  <c r="F6227" i="2" s="1"/>
  <c r="D6223" i="2"/>
  <c r="F6223" i="2" s="1"/>
  <c r="D6218" i="2"/>
  <c r="F6218" i="2" s="1"/>
  <c r="D6214" i="2"/>
  <c r="F6214" i="2" s="1"/>
  <c r="D6209" i="2"/>
  <c r="F6209" i="2" s="1"/>
  <c r="D6208" i="2"/>
  <c r="F6208" i="2" s="1"/>
  <c r="D6207" i="2"/>
  <c r="F6207" i="2" s="1"/>
  <c r="D6206" i="2"/>
  <c r="F6206" i="2" s="1"/>
  <c r="D6205" i="2"/>
  <c r="F6205" i="2" s="1"/>
  <c r="D6204" i="2"/>
  <c r="F6204" i="2" s="1"/>
  <c r="D6203" i="2"/>
  <c r="F6203" i="2" s="1"/>
  <c r="D6202" i="2"/>
  <c r="F6202" i="2" s="1"/>
  <c r="D6201" i="2"/>
  <c r="F6201" i="2" s="1"/>
  <c r="D6179" i="2"/>
  <c r="F6179" i="2" s="1"/>
  <c r="D6175" i="2"/>
  <c r="F6175" i="2" s="1"/>
  <c r="D6169" i="2"/>
  <c r="F6169" i="2" s="1"/>
  <c r="D6164" i="2"/>
  <c r="F6164" i="2" s="1"/>
  <c r="D6158" i="2"/>
  <c r="F6158" i="2" s="1"/>
  <c r="D6154" i="2"/>
  <c r="F6154" i="2" s="1"/>
  <c r="D6149" i="2"/>
  <c r="F6149" i="2" s="1"/>
  <c r="D6142" i="2"/>
  <c r="F6142" i="2" s="1"/>
  <c r="D6137" i="2"/>
  <c r="F6137" i="2" s="1"/>
  <c r="D6131" i="2"/>
  <c r="F6131" i="2" s="1"/>
  <c r="D6125" i="2"/>
  <c r="F6125" i="2" s="1"/>
  <c r="D6118" i="2"/>
  <c r="F6118" i="2" s="1"/>
  <c r="D6113" i="2"/>
  <c r="F6113" i="2" s="1"/>
  <c r="D6111" i="2"/>
  <c r="D6105" i="2"/>
  <c r="F6105" i="2" s="1"/>
  <c r="D6098" i="2"/>
  <c r="F6098" i="2" s="1"/>
  <c r="D6094" i="2"/>
  <c r="F6094" i="2" s="1"/>
  <c r="D6089" i="2"/>
  <c r="F6089" i="2" s="1"/>
  <c r="D6085" i="2"/>
  <c r="F6085" i="2" s="1"/>
  <c r="D6080" i="2"/>
  <c r="F6080" i="2" s="1"/>
  <c r="D6076" i="2"/>
  <c r="F6076" i="2" s="1"/>
  <c r="D6068" i="2"/>
  <c r="F6068" i="2" s="1"/>
  <c r="D6064" i="2"/>
  <c r="F6064" i="2" s="1"/>
  <c r="D6059" i="2"/>
  <c r="F6059" i="2" s="1"/>
  <c r="D6055" i="2"/>
  <c r="F6055" i="2" s="1"/>
  <c r="D6050" i="2"/>
  <c r="F6050" i="2" s="1"/>
  <c r="D6046" i="2"/>
  <c r="F6046" i="2" s="1"/>
  <c r="D5696" i="2"/>
  <c r="F5696" i="2" s="1"/>
  <c r="D5693" i="2"/>
  <c r="F5693" i="2" s="1"/>
  <c r="D5688" i="2"/>
  <c r="F5688" i="2" s="1"/>
  <c r="D5685" i="2"/>
  <c r="F5685" i="2" s="1"/>
  <c r="D5683" i="2"/>
  <c r="F5683" i="2" s="1"/>
  <c r="D6479" i="2"/>
  <c r="F6479" i="2" s="1"/>
  <c r="D6469" i="2"/>
  <c r="F6469" i="2" s="1"/>
  <c r="D6461" i="2"/>
  <c r="F6461" i="2" s="1"/>
  <c r="D6453" i="2"/>
  <c r="F6453" i="2" s="1"/>
  <c r="D6437" i="2"/>
  <c r="F6437" i="2" s="1"/>
  <c r="D6427" i="2"/>
  <c r="F6427" i="2" s="1"/>
  <c r="D6424" i="2"/>
  <c r="F6424" i="2" s="1"/>
  <c r="D6419" i="2"/>
  <c r="F6419" i="2" s="1"/>
  <c r="D6410" i="2"/>
  <c r="F6410" i="2" s="1"/>
  <c r="D6398" i="2"/>
  <c r="F6398" i="2" s="1"/>
  <c r="D6381" i="2"/>
  <c r="F6381" i="2" s="1"/>
  <c r="D6378" i="2"/>
  <c r="F6378" i="2" s="1"/>
  <c r="D6373" i="2"/>
  <c r="F6373" i="2" s="1"/>
  <c r="D6370" i="2"/>
  <c r="F6370" i="2" s="1"/>
  <c r="D6365" i="2"/>
  <c r="F6365" i="2" s="1"/>
  <c r="D6362" i="2"/>
  <c r="F6362" i="2" s="1"/>
  <c r="D6356" i="2"/>
  <c r="D6326" i="2"/>
  <c r="F6326" i="2" s="1"/>
  <c r="D6322" i="2"/>
  <c r="F6322" i="2" s="1"/>
  <c r="D6318" i="2"/>
  <c r="F6318" i="2" s="1"/>
  <c r="D6313" i="2"/>
  <c r="F6313" i="2" s="1"/>
  <c r="D6309" i="2"/>
  <c r="F6309" i="2" s="1"/>
  <c r="D6305" i="2"/>
  <c r="F6305" i="2" s="1"/>
  <c r="D6299" i="2"/>
  <c r="F6299" i="2" s="1"/>
  <c r="D6295" i="2"/>
  <c r="F6295" i="2" s="1"/>
  <c r="D6291" i="2"/>
  <c r="F6291" i="2" s="1"/>
  <c r="D6283" i="2"/>
  <c r="F6283" i="2" s="1"/>
  <c r="D6278" i="2"/>
  <c r="F6278" i="2" s="1"/>
  <c r="D6274" i="2"/>
  <c r="F6274" i="2" s="1"/>
  <c r="D6270" i="2"/>
  <c r="F6270" i="2" s="1"/>
  <c r="D6264" i="2"/>
  <c r="F6264" i="2" s="1"/>
  <c r="D6260" i="2"/>
  <c r="F6260" i="2" s="1"/>
  <c r="D6256" i="2"/>
  <c r="F6256" i="2" s="1"/>
  <c r="D6252" i="2"/>
  <c r="F6252" i="2" s="1"/>
  <c r="D6246" i="2"/>
  <c r="F6246" i="2" s="1"/>
  <c r="D6242" i="2"/>
  <c r="F6242" i="2" s="1"/>
  <c r="D6235" i="2"/>
  <c r="F6235" i="2" s="1"/>
  <c r="D6228" i="2"/>
  <c r="F6228" i="2" s="1"/>
  <c r="D6224" i="2"/>
  <c r="F6224" i="2" s="1"/>
  <c r="D6219" i="2"/>
  <c r="F6219" i="2" s="1"/>
  <c r="D6215" i="2"/>
  <c r="F6215" i="2" s="1"/>
  <c r="D6211" i="2"/>
  <c r="F6211" i="2" s="1"/>
  <c r="D6195" i="2"/>
  <c r="F6195" i="2" s="1"/>
  <c r="D6191" i="2"/>
  <c r="F6191" i="2" s="1"/>
  <c r="D6183" i="2"/>
  <c r="F6183" i="2" s="1"/>
  <c r="D6176" i="2"/>
  <c r="F6176" i="2" s="1"/>
  <c r="D6170" i="2"/>
  <c r="F6170" i="2" s="1"/>
  <c r="D6165" i="2"/>
  <c r="F6165" i="2" s="1"/>
  <c r="D6160" i="2"/>
  <c r="F6160" i="2" s="1"/>
  <c r="D6155" i="2"/>
  <c r="F6155" i="2" s="1"/>
  <c r="D6150" i="2"/>
  <c r="F6150" i="2" s="1"/>
  <c r="D6143" i="2"/>
  <c r="F6143" i="2" s="1"/>
  <c r="D6139" i="2"/>
  <c r="F6139" i="2" s="1"/>
  <c r="D6132" i="2"/>
  <c r="F6132" i="2" s="1"/>
  <c r="D6126" i="2"/>
  <c r="F6126" i="2" s="1"/>
  <c r="D6121" i="2"/>
  <c r="F6121" i="2" s="1"/>
  <c r="D6114" i="2"/>
  <c r="F6114" i="2" s="1"/>
  <c r="D6107" i="2"/>
  <c r="F6107" i="2" s="1"/>
  <c r="D6099" i="2"/>
  <c r="F6099" i="2" s="1"/>
  <c r="D6095" i="2"/>
  <c r="F6095" i="2" s="1"/>
  <c r="D6090" i="2"/>
  <c r="F6090" i="2" s="1"/>
  <c r="D6086" i="2"/>
  <c r="F6086" i="2" s="1"/>
  <c r="D6081" i="2"/>
  <c r="F6081" i="2" s="1"/>
  <c r="D6077" i="2"/>
  <c r="F6077" i="2" s="1"/>
  <c r="D6069" i="2"/>
  <c r="F6069" i="2" s="1"/>
  <c r="D6065" i="2"/>
  <c r="F6065" i="2" s="1"/>
  <c r="D6060" i="2"/>
  <c r="F6060" i="2" s="1"/>
  <c r="D6056" i="2"/>
  <c r="F6056" i="2" s="1"/>
  <c r="D6051" i="2"/>
  <c r="F6051" i="2" s="1"/>
  <c r="D6047" i="2"/>
  <c r="F6047" i="2" s="1"/>
  <c r="D6486" i="2"/>
  <c r="F6486" i="2" s="1"/>
  <c r="D6482" i="2"/>
  <c r="F6482" i="2" s="1"/>
  <c r="D6477" i="2"/>
  <c r="F6477" i="2" s="1"/>
  <c r="D6474" i="2"/>
  <c r="F6474" i="2" s="1"/>
  <c r="D6467" i="2"/>
  <c r="F6467" i="2" s="1"/>
  <c r="D6464" i="2"/>
  <c r="F6464" i="2" s="1"/>
  <c r="D6459" i="2"/>
  <c r="F6459" i="2" s="1"/>
  <c r="D6456" i="2"/>
  <c r="F6456" i="2" s="1"/>
  <c r="D6451" i="2"/>
  <c r="F6451" i="2" s="1"/>
  <c r="D6443" i="2"/>
  <c r="F6443" i="2" s="1"/>
  <c r="D6435" i="2"/>
  <c r="F6435" i="2" s="1"/>
  <c r="D6429" i="2"/>
  <c r="F6429" i="2" s="1"/>
  <c r="D6426" i="2"/>
  <c r="F6426" i="2" s="1"/>
  <c r="D6421" i="2"/>
  <c r="F6421" i="2" s="1"/>
  <c r="D6418" i="2"/>
  <c r="F6418" i="2" s="1"/>
  <c r="D6404" i="2"/>
  <c r="F6404" i="2" s="1"/>
  <c r="D6399" i="2"/>
  <c r="D6379" i="2"/>
  <c r="F6379" i="2" s="1"/>
  <c r="D6371" i="2"/>
  <c r="F6371" i="2" s="1"/>
  <c r="D6363" i="2"/>
  <c r="F6363" i="2" s="1"/>
  <c r="D6357" i="2"/>
  <c r="D6327" i="2"/>
  <c r="F6327" i="2" s="1"/>
  <c r="D6323" i="2"/>
  <c r="F6323" i="2" s="1"/>
  <c r="D6319" i="2"/>
  <c r="F6319" i="2" s="1"/>
  <c r="D6314" i="2"/>
  <c r="F6314" i="2" s="1"/>
  <c r="D6310" i="2"/>
  <c r="F6310" i="2" s="1"/>
  <c r="D6306" i="2"/>
  <c r="F6306" i="2" s="1"/>
  <c r="D6300" i="2"/>
  <c r="F6300" i="2" s="1"/>
  <c r="D6296" i="2"/>
  <c r="F6296" i="2" s="1"/>
  <c r="D6292" i="2"/>
  <c r="F6292" i="2" s="1"/>
  <c r="D6284" i="2"/>
  <c r="F6284" i="2" s="1"/>
  <c r="D6279" i="2"/>
  <c r="F6279" i="2" s="1"/>
  <c r="D6275" i="2"/>
  <c r="F6275" i="2" s="1"/>
  <c r="D6271" i="2"/>
  <c r="F6271" i="2" s="1"/>
  <c r="D6265" i="2"/>
  <c r="F6265" i="2" s="1"/>
  <c r="D6261" i="2"/>
  <c r="F6261" i="2" s="1"/>
  <c r="D6257" i="2"/>
  <c r="F6257" i="2" s="1"/>
  <c r="D6253" i="2"/>
  <c r="F6253" i="2" s="1"/>
  <c r="D6247" i="2"/>
  <c r="F6247" i="2" s="1"/>
  <c r="D6243" i="2"/>
  <c r="F6243" i="2" s="1"/>
  <c r="D6239" i="2"/>
  <c r="F6239" i="2" s="1"/>
  <c r="D6231" i="2"/>
  <c r="F6231" i="2" s="1"/>
  <c r="D6225" i="2"/>
  <c r="F6225" i="2" s="1"/>
  <c r="D6221" i="2"/>
  <c r="F6221" i="2" s="1"/>
  <c r="D6216" i="2"/>
  <c r="F6216" i="2" s="1"/>
  <c r="D6212" i="2"/>
  <c r="F6212" i="2" s="1"/>
  <c r="D6184" i="2"/>
  <c r="F6184" i="2" s="1"/>
  <c r="D6177" i="2"/>
  <c r="F6177" i="2" s="1"/>
  <c r="D6172" i="2"/>
  <c r="F6172" i="2" s="1"/>
  <c r="D6166" i="2"/>
  <c r="F6166" i="2" s="1"/>
  <c r="D6162" i="2"/>
  <c r="F6162" i="2" s="1"/>
  <c r="D6156" i="2"/>
  <c r="F6156" i="2" s="1"/>
  <c r="D6151" i="2"/>
  <c r="F6151" i="2" s="1"/>
  <c r="D6144" i="2"/>
  <c r="F6144" i="2" s="1"/>
  <c r="D6140" i="2"/>
  <c r="F6140" i="2" s="1"/>
  <c r="D6133" i="2"/>
  <c r="F6133" i="2" s="1"/>
  <c r="D6127" i="2"/>
  <c r="F6127" i="2" s="1"/>
  <c r="D6122" i="2"/>
  <c r="F6122" i="2" s="1"/>
  <c r="D6116" i="2"/>
  <c r="F6116" i="2" s="1"/>
  <c r="D6108" i="2"/>
  <c r="F6108" i="2" s="1"/>
  <c r="D6103" i="2"/>
  <c r="F6103" i="2" s="1"/>
  <c r="D6096" i="2"/>
  <c r="F6096" i="2" s="1"/>
  <c r="D6092" i="2"/>
  <c r="F6092" i="2" s="1"/>
  <c r="D6087" i="2"/>
  <c r="F6087" i="2" s="1"/>
  <c r="D6083" i="2"/>
  <c r="F6083" i="2" s="1"/>
  <c r="D6078" i="2"/>
  <c r="F6078" i="2" s="1"/>
  <c r="D6074" i="2"/>
  <c r="F6074" i="2" s="1"/>
  <c r="D6066" i="2"/>
  <c r="F6066" i="2" s="1"/>
  <c r="D6062" i="2"/>
  <c r="F6062" i="2" s="1"/>
  <c r="D6057" i="2"/>
  <c r="F6057" i="2" s="1"/>
  <c r="D6053" i="2"/>
  <c r="F6053" i="2" s="1"/>
  <c r="D6048" i="2"/>
  <c r="F6048" i="2" s="1"/>
  <c r="D6044" i="2"/>
  <c r="F6044" i="2" s="1"/>
  <c r="D5698" i="2"/>
  <c r="F5698" i="2" s="1"/>
  <c r="D5694" i="2"/>
  <c r="F5694" i="2" s="1"/>
  <c r="D5690" i="2"/>
  <c r="F5690" i="2" s="1"/>
  <c r="D5687" i="2"/>
  <c r="F5687" i="2" s="1"/>
  <c r="D5684" i="2"/>
  <c r="F5684" i="2" s="1"/>
  <c r="D5682" i="2"/>
  <c r="F5682" i="2" s="1"/>
  <c r="D5679" i="2"/>
  <c r="F5679" i="2" s="1"/>
  <c r="D5677" i="2"/>
  <c r="F5677" i="2" s="1"/>
  <c r="D5675" i="2"/>
  <c r="F5675" i="2" s="1"/>
  <c r="D5666" i="2"/>
  <c r="F5666" i="2" s="1"/>
  <c r="D5662" i="2"/>
  <c r="F5662" i="2" s="1"/>
  <c r="D5657" i="2"/>
  <c r="F5657" i="2" s="1"/>
  <c r="D5653" i="2"/>
  <c r="F5653" i="2" s="1"/>
  <c r="D5648" i="2"/>
  <c r="F5648" i="2" s="1"/>
  <c r="D5604" i="2"/>
  <c r="F5604" i="2" s="1"/>
  <c r="D5585" i="2"/>
  <c r="F5585" i="2" s="1"/>
  <c r="D5581" i="2"/>
  <c r="F5581" i="2" s="1"/>
  <c r="D5573" i="2"/>
  <c r="F5573" i="2" s="1"/>
  <c r="D5562" i="2"/>
  <c r="F5562" i="2" s="1"/>
  <c r="D5722" i="2"/>
  <c r="F5722" i="2" s="1"/>
  <c r="D5717" i="2"/>
  <c r="F5717" i="2" s="1"/>
  <c r="D5712" i="2"/>
  <c r="F5712" i="2" s="1"/>
  <c r="D5705" i="2"/>
  <c r="F5705" i="2" s="1"/>
  <c r="D5678" i="2"/>
  <c r="F5678" i="2" s="1"/>
  <c r="D5667" i="2"/>
  <c r="F5667" i="2" s="1"/>
  <c r="D5664" i="2"/>
  <c r="F5664" i="2" s="1"/>
  <c r="D5658" i="2"/>
  <c r="F5658" i="2" s="1"/>
  <c r="D5655" i="2"/>
  <c r="F5655" i="2" s="1"/>
  <c r="D5649" i="2"/>
  <c r="F5649" i="2" s="1"/>
  <c r="D5640" i="2"/>
  <c r="F5640" i="2" s="1"/>
  <c r="D5636" i="2"/>
  <c r="F5636" i="2" s="1"/>
  <c r="D5625" i="2"/>
  <c r="F5625" i="2" s="1"/>
  <c r="D5618" i="2"/>
  <c r="F5618" i="2" s="1"/>
  <c r="D5613" i="2"/>
  <c r="F5613" i="2" s="1"/>
  <c r="D5602" i="2"/>
  <c r="F5602" i="2" s="1"/>
  <c r="D5597" i="2"/>
  <c r="F5597" i="2" s="1"/>
  <c r="D5590" i="2"/>
  <c r="F5590" i="2" s="1"/>
  <c r="D5586" i="2"/>
  <c r="F5586" i="2" s="1"/>
  <c r="D5583" i="2"/>
  <c r="F5583" i="2" s="1"/>
  <c r="D5578" i="2"/>
  <c r="F5578" i="2" s="1"/>
  <c r="D5559" i="2"/>
  <c r="F5559" i="2" s="1"/>
  <c r="D5555" i="2"/>
  <c r="F5555" i="2" s="1"/>
  <c r="D5545" i="2"/>
  <c r="F5545" i="2" s="1"/>
  <c r="D5535" i="2"/>
  <c r="F5535" i="2" s="1"/>
  <c r="D5529" i="2"/>
  <c r="F5529" i="2" s="1"/>
  <c r="D5523" i="2"/>
  <c r="F5523" i="2" s="1"/>
  <c r="D5516" i="2"/>
  <c r="F5516" i="2" s="1"/>
  <c r="D5510" i="2"/>
  <c r="F5510" i="2" s="1"/>
  <c r="D5506" i="2"/>
  <c r="F5506" i="2" s="1"/>
  <c r="D5502" i="2"/>
  <c r="F5502" i="2" s="1"/>
  <c r="D5493" i="2"/>
  <c r="F5493" i="2" s="1"/>
  <c r="D5489" i="2"/>
  <c r="F5489" i="2" s="1"/>
  <c r="D5485" i="2"/>
  <c r="F5485" i="2" s="1"/>
  <c r="D5477" i="2"/>
  <c r="F5477" i="2" s="1"/>
  <c r="D5470" i="2"/>
  <c r="F5470" i="2" s="1"/>
  <c r="D5464" i="2"/>
  <c r="F5464" i="2" s="1"/>
  <c r="D5455" i="2"/>
  <c r="F5455" i="2" s="1"/>
  <c r="D5451" i="2"/>
  <c r="F5451" i="2" s="1"/>
  <c r="D5444" i="2"/>
  <c r="F5444" i="2" s="1"/>
  <c r="D5438" i="2"/>
  <c r="F5438" i="2" s="1"/>
  <c r="D5427" i="2"/>
  <c r="F5427" i="2" s="1"/>
  <c r="D5420" i="2"/>
  <c r="F5420" i="2" s="1"/>
  <c r="D5406" i="2"/>
  <c r="F5406" i="2" s="1"/>
  <c r="D5399" i="2"/>
  <c r="F5399" i="2" s="1"/>
  <c r="D5391" i="2"/>
  <c r="F5391" i="2" s="1"/>
  <c r="D5386" i="2"/>
  <c r="F5386" i="2" s="1"/>
  <c r="D5377" i="2"/>
  <c r="F5377" i="2" s="1"/>
  <c r="D5371" i="2"/>
  <c r="F5371" i="2" s="1"/>
  <c r="D5366" i="2"/>
  <c r="F5366" i="2" s="1"/>
  <c r="D5360" i="2"/>
  <c r="F5360" i="2" s="1"/>
  <c r="D5358" i="2"/>
  <c r="D5356" i="2"/>
  <c r="D5351" i="2"/>
  <c r="F5351" i="2" s="1"/>
  <c r="D5345" i="2"/>
  <c r="F5345" i="2" s="1"/>
  <c r="D5328" i="2"/>
  <c r="F5328" i="2" s="1"/>
  <c r="D5322" i="2"/>
  <c r="F5322" i="2" s="1"/>
  <c r="D5311" i="2"/>
  <c r="F5311" i="2" s="1"/>
  <c r="D5301" i="2"/>
  <c r="F5301" i="2" s="1"/>
  <c r="D5294" i="2"/>
  <c r="F5294" i="2" s="1"/>
  <c r="D5288" i="2"/>
  <c r="F5288" i="2" s="1"/>
  <c r="D5721" i="2"/>
  <c r="F5721" i="2" s="1"/>
  <c r="D5715" i="2"/>
  <c r="F5715" i="2" s="1"/>
  <c r="D5711" i="2"/>
  <c r="F5711" i="2" s="1"/>
  <c r="D5702" i="2"/>
  <c r="F5702" i="2" s="1"/>
  <c r="D5680" i="2"/>
  <c r="F5680" i="2" s="1"/>
  <c r="D5665" i="2"/>
  <c r="F5665" i="2" s="1"/>
  <c r="D5656" i="2"/>
  <c r="F5656" i="2" s="1"/>
  <c r="D5647" i="2"/>
  <c r="F5647" i="2" s="1"/>
  <c r="D5639" i="2"/>
  <c r="F5639" i="2" s="1"/>
  <c r="D5630" i="2"/>
  <c r="F5630" i="2" s="1"/>
  <c r="D5616" i="2"/>
  <c r="F5616" i="2" s="1"/>
  <c r="D5599" i="2"/>
  <c r="F5599" i="2" s="1"/>
  <c r="D5592" i="2"/>
  <c r="F5592" i="2" s="1"/>
  <c r="D5588" i="2"/>
  <c r="F5588" i="2" s="1"/>
  <c r="D5584" i="2"/>
  <c r="F5584" i="2" s="1"/>
  <c r="D5563" i="2"/>
  <c r="F5563" i="2" s="1"/>
  <c r="D5560" i="2"/>
  <c r="F5560" i="2" s="1"/>
  <c r="D5556" i="2"/>
  <c r="F5556" i="2" s="1"/>
  <c r="D5551" i="2"/>
  <c r="F5551" i="2" s="1"/>
  <c r="D5550" i="2"/>
  <c r="F5550" i="2" s="1"/>
  <c r="D5547" i="2"/>
  <c r="F5547" i="2" s="1"/>
  <c r="D5536" i="2"/>
  <c r="F5536" i="2" s="1"/>
  <c r="D5530" i="2"/>
  <c r="F5530" i="2" s="1"/>
  <c r="D5524" i="2"/>
  <c r="F5524" i="2" s="1"/>
  <c r="D5517" i="2"/>
  <c r="F5517" i="2" s="1"/>
  <c r="D5513" i="2"/>
  <c r="F5513" i="2" s="1"/>
  <c r="D5507" i="2"/>
  <c r="F5507" i="2" s="1"/>
  <c r="D5503" i="2"/>
  <c r="F5503" i="2" s="1"/>
  <c r="D5494" i="2"/>
  <c r="F5494" i="2" s="1"/>
  <c r="D5490" i="2"/>
  <c r="F5490" i="2" s="1"/>
  <c r="D5486" i="2"/>
  <c r="F5486" i="2" s="1"/>
  <c r="D5482" i="2"/>
  <c r="F5482" i="2" s="1"/>
  <c r="D5471" i="2"/>
  <c r="F5471" i="2" s="1"/>
  <c r="D5467" i="2"/>
  <c r="F5467" i="2" s="1"/>
  <c r="D5456" i="2"/>
  <c r="F5456" i="2" s="1"/>
  <c r="D5452" i="2"/>
  <c r="F5452" i="2" s="1"/>
  <c r="D5445" i="2"/>
  <c r="F5445" i="2" s="1"/>
  <c r="D5439" i="2"/>
  <c r="F5439" i="2" s="1"/>
  <c r="D5428" i="2"/>
  <c r="F5428" i="2" s="1"/>
  <c r="D5422" i="2"/>
  <c r="F5422" i="2" s="1"/>
  <c r="D5411" i="2"/>
  <c r="F5411" i="2" s="1"/>
  <c r="D5407" i="2"/>
  <c r="F5407" i="2" s="1"/>
  <c r="D5400" i="2"/>
  <c r="F5400" i="2" s="1"/>
  <c r="D5393" i="2"/>
  <c r="F5393" i="2" s="1"/>
  <c r="D5387" i="2"/>
  <c r="F5387" i="2" s="1"/>
  <c r="D5382" i="2"/>
  <c r="F5382" i="2" s="1"/>
  <c r="D5373" i="2"/>
  <c r="F5373" i="2" s="1"/>
  <c r="D5367" i="2"/>
  <c r="F5367" i="2" s="1"/>
  <c r="D5362" i="2"/>
  <c r="F5362" i="2" s="1"/>
  <c r="D5352" i="2"/>
  <c r="F5352" i="2" s="1"/>
  <c r="D5347" i="2"/>
  <c r="F5347" i="2" s="1"/>
  <c r="D5339" i="2"/>
  <c r="F5339" i="2" s="1"/>
  <c r="D5330" i="2"/>
  <c r="F5330" i="2" s="1"/>
  <c r="D5323" i="2"/>
  <c r="F5323" i="2" s="1"/>
  <c r="D5312" i="2"/>
  <c r="F5312" i="2" s="1"/>
  <c r="D5302" i="2"/>
  <c r="F5302" i="2" s="1"/>
  <c r="D5296" i="2"/>
  <c r="F5296" i="2" s="1"/>
  <c r="D5290" i="2"/>
  <c r="F5290" i="2" s="1"/>
  <c r="D5284" i="2"/>
  <c r="F5284" i="2" s="1"/>
  <c r="D5278" i="2"/>
  <c r="F5278" i="2" s="1"/>
  <c r="D5271" i="2"/>
  <c r="F5271" i="2" s="1"/>
  <c r="D5262" i="2"/>
  <c r="F5262" i="2" s="1"/>
  <c r="D5235" i="2"/>
  <c r="D5229" i="2"/>
  <c r="D5225" i="2"/>
  <c r="D5220" i="2"/>
  <c r="D5215" i="2"/>
  <c r="D5210" i="2"/>
  <c r="D5199" i="2"/>
  <c r="D5194" i="2"/>
  <c r="D5188" i="2"/>
  <c r="D5184" i="2"/>
  <c r="D5179" i="2"/>
  <c r="D5725" i="2"/>
  <c r="F5725" i="2" s="1"/>
  <c r="D5720" i="2"/>
  <c r="F5720" i="2" s="1"/>
  <c r="D5714" i="2"/>
  <c r="F5714" i="2" s="1"/>
  <c r="D5710" i="2"/>
  <c r="F5710" i="2" s="1"/>
  <c r="D5700" i="2"/>
  <c r="F5700" i="2" s="1"/>
  <c r="D5673" i="2"/>
  <c r="F5673" i="2" s="1"/>
  <c r="D5663" i="2"/>
  <c r="F5663" i="2" s="1"/>
  <c r="D5660" i="2"/>
  <c r="F5660" i="2" s="1"/>
  <c r="D5654" i="2"/>
  <c r="F5654" i="2" s="1"/>
  <c r="D5650" i="2"/>
  <c r="F5650" i="2" s="1"/>
  <c r="D5641" i="2"/>
  <c r="F5641" i="2" s="1"/>
  <c r="D5635" i="2"/>
  <c r="F5635" i="2" s="1"/>
  <c r="D5623" i="2"/>
  <c r="F5623" i="2" s="1"/>
  <c r="D5612" i="2"/>
  <c r="F5612" i="2" s="1"/>
  <c r="D5594" i="2"/>
  <c r="F5594" i="2" s="1"/>
  <c r="D5591" i="2"/>
  <c r="F5591" i="2" s="1"/>
  <c r="D5582" i="2"/>
  <c r="F5582" i="2" s="1"/>
  <c r="D5579" i="2"/>
  <c r="F5579" i="2" s="1"/>
  <c r="D5561" i="2"/>
  <c r="F5561" i="2" s="1"/>
  <c r="D5557" i="2"/>
  <c r="F5557" i="2" s="1"/>
  <c r="D5553" i="2"/>
  <c r="F5553" i="2" s="1"/>
  <c r="D5537" i="2"/>
  <c r="F5537" i="2" s="1"/>
  <c r="D5531" i="2"/>
  <c r="F5531" i="2" s="1"/>
  <c r="D5526" i="2"/>
  <c r="F5526" i="2" s="1"/>
  <c r="D5521" i="2"/>
  <c r="F5521" i="2" s="1"/>
  <c r="D5518" i="2"/>
  <c r="F5518" i="2" s="1"/>
  <c r="D5514" i="2"/>
  <c r="F5514" i="2" s="1"/>
  <c r="D5508" i="2"/>
  <c r="F5508" i="2" s="1"/>
  <c r="D5504" i="2"/>
  <c r="F5504" i="2" s="1"/>
  <c r="D5500" i="2"/>
  <c r="F5500" i="2" s="1"/>
  <c r="D5497" i="2"/>
  <c r="F5497" i="2" s="1"/>
  <c r="D5491" i="2"/>
  <c r="F5491" i="2" s="1"/>
  <c r="D5487" i="2"/>
  <c r="F5487" i="2" s="1"/>
  <c r="D5483" i="2"/>
  <c r="F5483" i="2" s="1"/>
  <c r="D5472" i="2"/>
  <c r="F5472" i="2" s="1"/>
  <c r="D5468" i="2"/>
  <c r="F5468" i="2" s="1"/>
  <c r="D5458" i="2"/>
  <c r="F5458" i="2" s="1"/>
  <c r="D5453" i="2"/>
  <c r="F5453" i="2" s="1"/>
  <c r="D5446" i="2"/>
  <c r="F5446" i="2" s="1"/>
  <c r="D5441" i="2"/>
  <c r="F5441" i="2" s="1"/>
  <c r="D5429" i="2"/>
  <c r="F5429" i="2" s="1"/>
  <c r="D5423" i="2"/>
  <c r="F5423" i="2" s="1"/>
  <c r="D5409" i="2"/>
  <c r="F5409" i="2" s="1"/>
  <c r="D5401" i="2"/>
  <c r="F5401" i="2" s="1"/>
  <c r="D5396" i="2"/>
  <c r="F5396" i="2" s="1"/>
  <c r="D5389" i="2"/>
  <c r="F5389" i="2" s="1"/>
  <c r="D5383" i="2"/>
  <c r="F5383" i="2" s="1"/>
  <c r="D5374" i="2"/>
  <c r="F5374" i="2" s="1"/>
  <c r="D5368" i="2"/>
  <c r="F5368" i="2" s="1"/>
  <c r="D5363" i="2"/>
  <c r="F5363" i="2" s="1"/>
  <c r="D5354" i="2"/>
  <c r="F5354" i="2" s="1"/>
  <c r="D5348" i="2"/>
  <c r="F5348" i="2" s="1"/>
  <c r="D5341" i="2"/>
  <c r="F5341" i="2" s="1"/>
  <c r="D5336" i="2"/>
  <c r="F5336" i="2" s="1"/>
  <c r="D5331" i="2"/>
  <c r="F5331" i="2" s="1"/>
  <c r="D5325" i="2"/>
  <c r="F5325" i="2" s="1"/>
  <c r="D5319" i="2"/>
  <c r="F5319" i="2" s="1"/>
  <c r="D5314" i="2"/>
  <c r="F5314" i="2" s="1"/>
  <c r="D5304" i="2"/>
  <c r="F5304" i="2" s="1"/>
  <c r="D5298" i="2"/>
  <c r="F5298" i="2" s="1"/>
  <c r="D5291" i="2"/>
  <c r="F5291" i="2" s="1"/>
  <c r="D5285" i="2"/>
  <c r="F5285" i="2" s="1"/>
  <c r="D5279" i="2"/>
  <c r="F5279" i="2" s="1"/>
  <c r="D5273" i="2"/>
  <c r="F5273" i="2" s="1"/>
  <c r="D5265" i="2"/>
  <c r="F5265" i="2" s="1"/>
  <c r="D5237" i="2"/>
  <c r="D5236" i="2"/>
  <c r="D5231" i="2"/>
  <c r="D5226" i="2"/>
  <c r="D5221" i="2"/>
  <c r="D5216" i="2"/>
  <c r="D5211" i="2"/>
  <c r="D5201" i="2"/>
  <c r="D5195" i="2"/>
  <c r="D5189" i="2"/>
  <c r="D5185" i="2"/>
  <c r="D5180" i="2"/>
  <c r="D5174" i="2"/>
  <c r="D5723" i="2"/>
  <c r="F5723" i="2" s="1"/>
  <c r="D5718" i="2"/>
  <c r="F5718" i="2" s="1"/>
  <c r="D5713" i="2"/>
  <c r="F5713" i="2" s="1"/>
  <c r="D5708" i="2"/>
  <c r="F5708" i="2" s="1"/>
  <c r="D5699" i="2"/>
  <c r="F5699" i="2" s="1"/>
  <c r="D5676" i="2"/>
  <c r="F5676" i="2" s="1"/>
  <c r="D5661" i="2"/>
  <c r="F5661" i="2" s="1"/>
  <c r="D5651" i="2"/>
  <c r="F5651" i="2" s="1"/>
  <c r="D5637" i="2"/>
  <c r="F5637" i="2" s="1"/>
  <c r="D5631" i="2"/>
  <c r="F5631" i="2" s="1"/>
  <c r="D5615" i="2"/>
  <c r="F5615" i="2" s="1"/>
  <c r="D5607" i="2"/>
  <c r="F5607" i="2" s="1"/>
  <c r="D5598" i="2"/>
  <c r="F5598" i="2" s="1"/>
  <c r="D5593" i="2"/>
  <c r="F5593" i="2" s="1"/>
  <c r="D5587" i="2"/>
  <c r="F5587" i="2" s="1"/>
  <c r="D5580" i="2"/>
  <c r="F5580" i="2" s="1"/>
  <c r="D5564" i="2"/>
  <c r="F5564" i="2" s="1"/>
  <c r="D5558" i="2"/>
  <c r="F5558" i="2" s="1"/>
  <c r="D5554" i="2"/>
  <c r="F5554" i="2" s="1"/>
  <c r="D5543" i="2"/>
  <c r="F5543" i="2" s="1"/>
  <c r="D5532" i="2"/>
  <c r="F5532" i="2" s="1"/>
  <c r="D5527" i="2"/>
  <c r="F5527" i="2" s="1"/>
  <c r="D5522" i="2"/>
  <c r="F5522" i="2" s="1"/>
  <c r="D5519" i="2"/>
  <c r="F5519" i="2" s="1"/>
  <c r="D5515" i="2"/>
  <c r="F5515" i="2" s="1"/>
  <c r="D5509" i="2"/>
  <c r="F5509" i="2" s="1"/>
  <c r="D5505" i="2"/>
  <c r="F5505" i="2" s="1"/>
  <c r="D5501" i="2"/>
  <c r="F5501" i="2" s="1"/>
  <c r="D5498" i="2"/>
  <c r="F5498" i="2" s="1"/>
  <c r="D5492" i="2"/>
  <c r="F5492" i="2" s="1"/>
  <c r="D5488" i="2"/>
  <c r="F5488" i="2" s="1"/>
  <c r="D5484" i="2"/>
  <c r="F5484" i="2" s="1"/>
  <c r="D5473" i="2"/>
  <c r="F5473" i="2" s="1"/>
  <c r="D5469" i="2"/>
  <c r="F5469" i="2" s="1"/>
  <c r="D5459" i="2"/>
  <c r="F5459" i="2" s="1"/>
  <c r="D5454" i="2"/>
  <c r="F5454" i="2" s="1"/>
  <c r="D5450" i="2"/>
  <c r="F5450" i="2" s="1"/>
  <c r="D5442" i="2"/>
  <c r="F5442" i="2" s="1"/>
  <c r="D5434" i="2"/>
  <c r="F5434" i="2" s="1"/>
  <c r="D5424" i="2"/>
  <c r="F5424" i="2" s="1"/>
  <c r="D5419" i="2"/>
  <c r="F5419" i="2" s="1"/>
  <c r="D5410" i="2"/>
  <c r="F5410" i="2" s="1"/>
  <c r="D5403" i="2"/>
  <c r="F5403" i="2" s="1"/>
  <c r="D5397" i="2"/>
  <c r="F5397" i="2" s="1"/>
  <c r="D5390" i="2"/>
  <c r="F5390" i="2" s="1"/>
  <c r="D5385" i="2"/>
  <c r="F5385" i="2" s="1"/>
  <c r="D5376" i="2"/>
  <c r="F5376" i="2" s="1"/>
  <c r="D5370" i="2"/>
  <c r="F5370" i="2" s="1"/>
  <c r="D5365" i="2"/>
  <c r="F5365" i="2" s="1"/>
  <c r="D5359" i="2"/>
  <c r="F5359" i="2" s="1"/>
  <c r="D5357" i="2"/>
  <c r="F5357" i="2" s="1"/>
  <c r="D5355" i="2"/>
  <c r="F5355" i="2" s="1"/>
  <c r="D5350" i="2"/>
  <c r="F5350" i="2" s="1"/>
  <c r="D5344" i="2"/>
  <c r="F5344" i="2" s="1"/>
  <c r="D5333" i="2"/>
  <c r="F5333" i="2" s="1"/>
  <c r="D5326" i="2"/>
  <c r="F5326" i="2" s="1"/>
  <c r="D5320" i="2"/>
  <c r="F5320" i="2" s="1"/>
  <c r="D5310" i="2"/>
  <c r="F5310" i="2" s="1"/>
  <c r="D5299" i="2"/>
  <c r="F5299" i="2" s="1"/>
  <c r="D5293" i="2"/>
  <c r="F5293" i="2" s="1"/>
  <c r="D5287" i="2"/>
  <c r="F5287" i="2" s="1"/>
  <c r="D5281" i="2"/>
  <c r="F5281" i="2" s="1"/>
  <c r="D5274" i="2"/>
  <c r="F5274" i="2" s="1"/>
  <c r="D5266" i="2"/>
  <c r="F5266" i="2" s="1"/>
  <c r="D5238" i="2"/>
  <c r="D5232" i="2"/>
  <c r="D5227" i="2"/>
  <c r="D5222" i="2"/>
  <c r="D5217" i="2"/>
  <c r="D5212" i="2"/>
  <c r="D5202" i="2"/>
  <c r="D5196" i="2"/>
  <c r="D5190" i="2"/>
  <c r="D5186" i="2"/>
  <c r="D5181" i="2"/>
  <c r="D5176" i="2"/>
  <c r="D5218" i="2"/>
  <c r="D5208" i="2"/>
  <c r="D5192" i="2"/>
  <c r="D5187" i="2"/>
  <c r="D5168" i="2"/>
  <c r="D5159" i="2"/>
  <c r="F5159" i="2" s="1"/>
  <c r="D5153" i="2"/>
  <c r="F5153" i="2" s="1"/>
  <c r="D5151" i="2"/>
  <c r="F5151" i="2" s="1"/>
  <c r="D5145" i="2"/>
  <c r="F5145" i="2" s="1"/>
  <c r="D5141" i="2"/>
  <c r="F5141" i="2" s="1"/>
  <c r="D5138" i="2"/>
  <c r="F5138" i="2" s="1"/>
  <c r="D5136" i="2"/>
  <c r="F5136" i="2" s="1"/>
  <c r="D5133" i="2"/>
  <c r="F5133" i="2" s="1"/>
  <c r="D5130" i="2"/>
  <c r="F5130" i="2" s="1"/>
  <c r="D5124" i="2"/>
  <c r="F5124" i="2" s="1"/>
  <c r="D5121" i="2"/>
  <c r="F5121" i="2" s="1"/>
  <c r="D5118" i="2"/>
  <c r="F5118" i="2" s="1"/>
  <c r="D5116" i="2"/>
  <c r="F5116" i="2" s="1"/>
  <c r="D5112" i="2"/>
  <c r="F5112" i="2" s="1"/>
  <c r="D5104" i="2"/>
  <c r="F5104" i="2" s="1"/>
  <c r="D5102" i="2"/>
  <c r="F5102" i="2" s="1"/>
  <c r="D5099" i="2"/>
  <c r="F5099" i="2" s="1"/>
  <c r="D5097" i="2"/>
  <c r="F5097" i="2" s="1"/>
  <c r="D5095" i="2"/>
  <c r="F5095" i="2" s="1"/>
  <c r="D5093" i="2"/>
  <c r="F5093" i="2" s="1"/>
  <c r="D5091" i="2"/>
  <c r="F5091" i="2" s="1"/>
  <c r="D5089" i="2"/>
  <c r="F5089" i="2" s="1"/>
  <c r="D5087" i="2"/>
  <c r="F5087" i="2" s="1"/>
  <c r="D5084" i="2"/>
  <c r="F5084" i="2" s="1"/>
  <c r="D5082" i="2"/>
  <c r="F5082" i="2" s="1"/>
  <c r="D5080" i="2"/>
  <c r="F5080" i="2" s="1"/>
  <c r="D5078" i="2"/>
  <c r="F5078" i="2" s="1"/>
  <c r="D5076" i="2"/>
  <c r="F5076" i="2" s="1"/>
  <c r="D5073" i="2"/>
  <c r="F5073" i="2" s="1"/>
  <c r="D5069" i="2"/>
  <c r="F5069" i="2" s="1"/>
  <c r="D5066" i="2"/>
  <c r="F5066" i="2" s="1"/>
  <c r="D5064" i="2"/>
  <c r="F5064" i="2" s="1"/>
  <c r="D5062" i="2"/>
  <c r="F5062" i="2" s="1"/>
  <c r="D5060" i="2"/>
  <c r="F5060" i="2" s="1"/>
  <c r="D5057" i="2"/>
  <c r="F5057" i="2" s="1"/>
  <c r="D5055" i="2"/>
  <c r="F5055" i="2" s="1"/>
  <c r="D5053" i="2"/>
  <c r="F5053" i="2" s="1"/>
  <c r="D5051" i="2"/>
  <c r="F5051" i="2" s="1"/>
  <c r="D5042" i="2"/>
  <c r="F5042" i="2" s="1"/>
  <c r="D5039" i="2"/>
  <c r="F5039" i="2" s="1"/>
  <c r="D5033" i="2"/>
  <c r="F5033" i="2" s="1"/>
  <c r="D5031" i="2"/>
  <c r="F5031" i="2" s="1"/>
  <c r="D5029" i="2"/>
  <c r="F5029" i="2" s="1"/>
  <c r="D5027" i="2"/>
  <c r="F5027" i="2" s="1"/>
  <c r="D5025" i="2"/>
  <c r="F5025" i="2" s="1"/>
  <c r="D5019" i="2"/>
  <c r="F5019" i="2" s="1"/>
  <c r="D5012" i="2"/>
  <c r="F5012" i="2" s="1"/>
  <c r="D5007" i="2"/>
  <c r="F5007" i="2" s="1"/>
  <c r="D5003" i="2"/>
  <c r="F5003" i="2" s="1"/>
  <c r="D5000" i="2"/>
  <c r="F5000" i="2" s="1"/>
  <c r="D4998" i="2"/>
  <c r="F4998" i="2" s="1"/>
  <c r="D4995" i="2"/>
  <c r="F4995" i="2" s="1"/>
  <c r="D4988" i="2"/>
  <c r="F4988" i="2" s="1"/>
  <c r="D4986" i="2"/>
  <c r="F4986" i="2" s="1"/>
  <c r="D4983" i="2"/>
  <c r="F4983" i="2" s="1"/>
  <c r="D4979" i="2"/>
  <c r="F4979" i="2" s="1"/>
  <c r="D4977" i="2"/>
  <c r="F4977" i="2" s="1"/>
  <c r="D4973" i="2"/>
  <c r="F4973" i="2" s="1"/>
  <c r="D4969" i="2"/>
  <c r="F4969" i="2" s="1"/>
  <c r="D4966" i="2"/>
  <c r="F4966" i="2" s="1"/>
  <c r="D4963" i="2"/>
  <c r="F4963" i="2" s="1"/>
  <c r="D4960" i="2"/>
  <c r="F4960" i="2" s="1"/>
  <c r="D4958" i="2"/>
  <c r="F4958" i="2" s="1"/>
  <c r="D4956" i="2"/>
  <c r="F4956" i="2" s="1"/>
  <c r="D4953" i="2"/>
  <c r="F4953" i="2" s="1"/>
  <c r="D4951" i="2"/>
  <c r="F4951" i="2" s="1"/>
  <c r="D4947" i="2"/>
  <c r="F4947" i="2" s="1"/>
  <c r="D4945" i="2"/>
  <c r="F4945" i="2" s="1"/>
  <c r="D4942" i="2"/>
  <c r="F4942" i="2" s="1"/>
  <c r="D4940" i="2"/>
  <c r="F4940" i="2" s="1"/>
  <c r="D4938" i="2"/>
  <c r="F4938" i="2" s="1"/>
  <c r="D4636" i="2"/>
  <c r="D4487" i="2"/>
  <c r="F4487" i="2" s="1"/>
  <c r="D4406" i="2"/>
  <c r="F4406" i="2" s="1"/>
  <c r="D4404" i="2"/>
  <c r="F4404" i="2" s="1"/>
  <c r="D4402" i="2"/>
  <c r="F4402" i="2" s="1"/>
  <c r="D4400" i="2"/>
  <c r="F4400" i="2" s="1"/>
  <c r="D4398" i="2"/>
  <c r="F4398" i="2" s="1"/>
  <c r="D4394" i="2"/>
  <c r="F4394" i="2" s="1"/>
  <c r="D4392" i="2"/>
  <c r="F4392" i="2" s="1"/>
  <c r="D4390" i="2"/>
  <c r="F4390" i="2" s="1"/>
  <c r="D4388" i="2"/>
  <c r="F4388" i="2" s="1"/>
  <c r="D4386" i="2"/>
  <c r="F4386" i="2" s="1"/>
  <c r="D4382" i="2"/>
  <c r="F4382" i="2" s="1"/>
  <c r="D4380" i="2"/>
  <c r="F4380" i="2" s="1"/>
  <c r="D4378" i="2"/>
  <c r="F4378" i="2" s="1"/>
  <c r="D4376" i="2"/>
  <c r="F4376" i="2" s="1"/>
  <c r="D4372" i="2"/>
  <c r="F4372" i="2" s="1"/>
  <c r="D4370" i="2"/>
  <c r="F4370" i="2" s="1"/>
  <c r="D4368" i="2"/>
  <c r="F4368" i="2" s="1"/>
  <c r="D4366" i="2"/>
  <c r="F4366" i="2" s="1"/>
  <c r="D4364" i="2"/>
  <c r="F4364" i="2" s="1"/>
  <c r="D4360" i="2"/>
  <c r="F4360" i="2" s="1"/>
  <c r="D4358" i="2"/>
  <c r="F4358" i="2" s="1"/>
  <c r="D4356" i="2"/>
  <c r="F4356" i="2" s="1"/>
  <c r="D4354" i="2"/>
  <c r="F4354" i="2" s="1"/>
  <c r="D4344" i="2"/>
  <c r="F4344" i="2" s="1"/>
  <c r="D4342" i="2"/>
  <c r="F4342" i="2" s="1"/>
  <c r="D4340" i="2"/>
  <c r="F4340" i="2" s="1"/>
  <c r="D4338" i="2"/>
  <c r="F4338" i="2" s="1"/>
  <c r="D4329" i="2"/>
  <c r="F4329" i="2" s="1"/>
  <c r="D4326" i="2"/>
  <c r="F4326" i="2" s="1"/>
  <c r="D4321" i="2"/>
  <c r="F4321" i="2" s="1"/>
  <c r="D4316" i="2"/>
  <c r="F4316" i="2" s="1"/>
  <c r="D4285" i="2"/>
  <c r="F4285" i="2" s="1"/>
  <c r="D4282" i="2"/>
  <c r="F4282" i="2" s="1"/>
  <c r="D5282" i="2"/>
  <c r="F5282" i="2" s="1"/>
  <c r="D5270" i="2"/>
  <c r="F5270" i="2" s="1"/>
  <c r="D5223" i="2"/>
  <c r="D5198" i="2"/>
  <c r="D5169" i="2"/>
  <c r="D5160" i="2"/>
  <c r="F5160" i="2" s="1"/>
  <c r="D5043" i="2"/>
  <c r="F5043" i="2" s="1"/>
  <c r="D5034" i="2"/>
  <c r="F5034" i="2" s="1"/>
  <c r="D4633" i="2"/>
  <c r="D4621" i="2"/>
  <c r="F4621" i="2" s="1"/>
  <c r="D4488" i="2"/>
  <c r="F4488" i="2" s="1"/>
  <c r="D4312" i="2"/>
  <c r="F4312" i="2" s="1"/>
  <c r="D4308" i="2"/>
  <c r="F4308" i="2" s="1"/>
  <c r="D4303" i="2"/>
  <c r="F4303" i="2" s="1"/>
  <c r="D4300" i="2"/>
  <c r="F4300" i="2" s="1"/>
  <c r="D4298" i="2"/>
  <c r="F4298" i="2" s="1"/>
  <c r="D4294" i="2"/>
  <c r="F4294" i="2" s="1"/>
  <c r="D4292" i="2"/>
  <c r="F4292" i="2" s="1"/>
  <c r="D4290" i="2"/>
  <c r="F4290" i="2" s="1"/>
  <c r="D4286" i="2"/>
  <c r="F4286" i="2" s="1"/>
  <c r="D4036" i="2"/>
  <c r="F4036" i="2" s="1"/>
  <c r="D4034" i="2"/>
  <c r="F4034" i="2" s="1"/>
  <c r="D4031" i="2"/>
  <c r="F4031" i="2" s="1"/>
  <c r="D4029" i="2"/>
  <c r="F4029" i="2" s="1"/>
  <c r="D4027" i="2"/>
  <c r="F4027" i="2" s="1"/>
  <c r="D4024" i="2"/>
  <c r="F4024" i="2" s="1"/>
  <c r="D3219" i="2"/>
  <c r="F3219" i="2" s="1"/>
  <c r="D3214" i="2"/>
  <c r="F3214" i="2" s="1"/>
  <c r="D5228" i="2"/>
  <c r="D5209" i="2"/>
  <c r="D5206" i="2"/>
  <c r="D5177" i="2"/>
  <c r="D5171" i="2"/>
  <c r="D5162" i="2"/>
  <c r="F5162" i="2" s="1"/>
  <c r="D5157" i="2"/>
  <c r="F5157" i="2" s="1"/>
  <c r="D5152" i="2"/>
  <c r="F5152" i="2" s="1"/>
  <c r="D5150" i="2"/>
  <c r="F5150" i="2" s="1"/>
  <c r="D5143" i="2"/>
  <c r="F5143" i="2" s="1"/>
  <c r="D5140" i="2"/>
  <c r="F5140" i="2" s="1"/>
  <c r="D5137" i="2"/>
  <c r="F5137" i="2" s="1"/>
  <c r="D5135" i="2"/>
  <c r="F5135" i="2" s="1"/>
  <c r="D5131" i="2"/>
  <c r="F5131" i="2" s="1"/>
  <c r="D5126" i="2"/>
  <c r="F5126" i="2" s="1"/>
  <c r="D5122" i="2"/>
  <c r="F5122" i="2" s="1"/>
  <c r="D5119" i="2"/>
  <c r="F5119" i="2" s="1"/>
  <c r="D5117" i="2"/>
  <c r="F5117" i="2" s="1"/>
  <c r="D5114" i="2"/>
  <c r="F5114" i="2" s="1"/>
  <c r="D5111" i="2"/>
  <c r="F5111" i="2" s="1"/>
  <c r="D5103" i="2"/>
  <c r="F5103" i="2" s="1"/>
  <c r="D5101" i="2"/>
  <c r="F5101" i="2" s="1"/>
  <c r="D5098" i="2"/>
  <c r="F5098" i="2" s="1"/>
  <c r="D5096" i="2"/>
  <c r="F5096" i="2" s="1"/>
  <c r="D5094" i="2"/>
  <c r="F5094" i="2" s="1"/>
  <c r="D5092" i="2"/>
  <c r="F5092" i="2" s="1"/>
  <c r="D5090" i="2"/>
  <c r="F5090" i="2" s="1"/>
  <c r="D5088" i="2"/>
  <c r="F5088" i="2" s="1"/>
  <c r="D5086" i="2"/>
  <c r="F5086" i="2" s="1"/>
  <c r="D5083" i="2"/>
  <c r="F5083" i="2" s="1"/>
  <c r="D5081" i="2"/>
  <c r="F5081" i="2" s="1"/>
  <c r="D5079" i="2"/>
  <c r="F5079" i="2" s="1"/>
  <c r="D5077" i="2"/>
  <c r="F5077" i="2" s="1"/>
  <c r="D5074" i="2"/>
  <c r="F5074" i="2" s="1"/>
  <c r="D5072" i="2"/>
  <c r="F5072" i="2" s="1"/>
  <c r="D5068" i="2"/>
  <c r="F5068" i="2" s="1"/>
  <c r="D5065" i="2"/>
  <c r="F5065" i="2" s="1"/>
  <c r="D5063" i="2"/>
  <c r="F5063" i="2" s="1"/>
  <c r="D5061" i="2"/>
  <c r="F5061" i="2" s="1"/>
  <c r="D5058" i="2"/>
  <c r="F5058" i="2" s="1"/>
  <c r="D5056" i="2"/>
  <c r="F5056" i="2" s="1"/>
  <c r="D5054" i="2"/>
  <c r="F5054" i="2" s="1"/>
  <c r="D5052" i="2"/>
  <c r="F5052" i="2" s="1"/>
  <c r="D5050" i="2"/>
  <c r="F5050" i="2" s="1"/>
  <c r="D5040" i="2"/>
  <c r="F5040" i="2" s="1"/>
  <c r="D5035" i="2"/>
  <c r="F5035" i="2" s="1"/>
  <c r="D5032" i="2"/>
  <c r="F5032" i="2" s="1"/>
  <c r="D5030" i="2"/>
  <c r="F5030" i="2" s="1"/>
  <c r="D5028" i="2"/>
  <c r="F5028" i="2" s="1"/>
  <c r="D5026" i="2"/>
  <c r="F5026" i="2" s="1"/>
  <c r="D5020" i="2"/>
  <c r="F5020" i="2" s="1"/>
  <c r="D5013" i="2"/>
  <c r="F5013" i="2" s="1"/>
  <c r="D5009" i="2"/>
  <c r="F5009" i="2" s="1"/>
  <c r="D5006" i="2"/>
  <c r="F5006" i="2" s="1"/>
  <c r="D5001" i="2"/>
  <c r="F5001" i="2" s="1"/>
  <c r="D4999" i="2"/>
  <c r="F4999" i="2" s="1"/>
  <c r="D4996" i="2"/>
  <c r="F4996" i="2" s="1"/>
  <c r="D4992" i="2"/>
  <c r="F4992" i="2" s="1"/>
  <c r="D4987" i="2"/>
  <c r="F4987" i="2" s="1"/>
  <c r="D4985" i="2"/>
  <c r="F4985" i="2" s="1"/>
  <c r="D4982" i="2"/>
  <c r="F4982" i="2" s="1"/>
  <c r="D4978" i="2"/>
  <c r="F4978" i="2" s="1"/>
  <c r="D4975" i="2"/>
  <c r="F4975" i="2" s="1"/>
  <c r="D4970" i="2"/>
  <c r="F4970" i="2" s="1"/>
  <c r="D4967" i="2"/>
  <c r="F4967" i="2" s="1"/>
  <c r="D4964" i="2"/>
  <c r="F4964" i="2" s="1"/>
  <c r="D4961" i="2"/>
  <c r="F4961" i="2" s="1"/>
  <c r="D4959" i="2"/>
  <c r="F4959" i="2" s="1"/>
  <c r="D4957" i="2"/>
  <c r="F4957" i="2" s="1"/>
  <c r="D4954" i="2"/>
  <c r="F4954" i="2" s="1"/>
  <c r="D4952" i="2"/>
  <c r="F4952" i="2" s="1"/>
  <c r="D4948" i="2"/>
  <c r="F4948" i="2" s="1"/>
  <c r="D4946" i="2"/>
  <c r="F4946" i="2" s="1"/>
  <c r="D4943" i="2"/>
  <c r="F4943" i="2" s="1"/>
  <c r="D4941" i="2"/>
  <c r="F4941" i="2" s="1"/>
  <c r="D4939" i="2"/>
  <c r="F4939" i="2" s="1"/>
  <c r="D4644" i="2"/>
  <c r="F4644" i="2" s="1"/>
  <c r="D4634" i="2"/>
  <c r="D4622" i="2"/>
  <c r="F4622" i="2" s="1"/>
  <c r="D4542" i="2"/>
  <c r="F4542" i="2" s="1"/>
  <c r="D4489" i="2"/>
  <c r="F4489" i="2" s="1"/>
  <c r="D4485" i="2"/>
  <c r="F4485" i="2" s="1"/>
  <c r="D4407" i="2"/>
  <c r="F4407" i="2" s="1"/>
  <c r="D4405" i="2"/>
  <c r="F4405" i="2" s="1"/>
  <c r="D4403" i="2"/>
  <c r="F4403" i="2" s="1"/>
  <c r="D4401" i="2"/>
  <c r="F4401" i="2" s="1"/>
  <c r="D4399" i="2"/>
  <c r="F4399" i="2" s="1"/>
  <c r="D4397" i="2"/>
  <c r="F4397" i="2" s="1"/>
  <c r="D4393" i="2"/>
  <c r="F4393" i="2" s="1"/>
  <c r="D4391" i="2"/>
  <c r="F4391" i="2" s="1"/>
  <c r="D4389" i="2"/>
  <c r="F4389" i="2" s="1"/>
  <c r="D4387" i="2"/>
  <c r="F4387" i="2" s="1"/>
  <c r="D4385" i="2"/>
  <c r="F4385" i="2" s="1"/>
  <c r="D4381" i="2"/>
  <c r="F4381" i="2" s="1"/>
  <c r="D4379" i="2"/>
  <c r="F4379" i="2" s="1"/>
  <c r="D4377" i="2"/>
  <c r="F4377" i="2" s="1"/>
  <c r="D4375" i="2"/>
  <c r="F4375" i="2" s="1"/>
  <c r="D4371" i="2"/>
  <c r="F4371" i="2" s="1"/>
  <c r="D4369" i="2"/>
  <c r="F4369" i="2" s="1"/>
  <c r="D4367" i="2"/>
  <c r="F4367" i="2" s="1"/>
  <c r="D4365" i="2"/>
  <c r="F4365" i="2" s="1"/>
  <c r="D4363" i="2"/>
  <c r="F4363" i="2" s="1"/>
  <c r="D4359" i="2"/>
  <c r="F4359" i="2" s="1"/>
  <c r="D4357" i="2"/>
  <c r="F4357" i="2" s="1"/>
  <c r="D4355" i="2"/>
  <c r="F4355" i="2" s="1"/>
  <c r="D4349" i="2"/>
  <c r="F4349" i="2" s="1"/>
  <c r="D4343" i="2"/>
  <c r="F4343" i="2" s="1"/>
  <c r="D4341" i="2"/>
  <c r="F4341" i="2" s="1"/>
  <c r="D4339" i="2"/>
  <c r="F4339" i="2" s="1"/>
  <c r="D4337" i="2"/>
  <c r="F4337" i="2" s="1"/>
  <c r="D4330" i="2"/>
  <c r="F4330" i="2" s="1"/>
  <c r="D4327" i="2"/>
  <c r="F4327" i="2" s="1"/>
  <c r="D4322" i="2"/>
  <c r="F4322" i="2" s="1"/>
  <c r="D4317" i="2"/>
  <c r="F4317" i="2" s="1"/>
  <c r="D4315" i="2"/>
  <c r="F4315" i="2" s="1"/>
  <c r="D4287" i="2"/>
  <c r="F4287" i="2" s="1"/>
  <c r="D4283" i="2"/>
  <c r="F4283" i="2" s="1"/>
  <c r="D4281" i="2"/>
  <c r="F4281" i="2" s="1"/>
  <c r="D3220" i="2"/>
  <c r="F3220" i="2" s="1"/>
  <c r="D3215" i="2"/>
  <c r="F3215" i="2" s="1"/>
  <c r="D3206" i="2"/>
  <c r="F3206" i="2" s="1"/>
  <c r="D3204" i="2"/>
  <c r="F3204" i="2" s="1"/>
  <c r="D3202" i="2"/>
  <c r="F3202" i="2" s="1"/>
  <c r="D3200" i="2"/>
  <c r="F3200" i="2" s="1"/>
  <c r="D3196" i="2"/>
  <c r="F3196" i="2" s="1"/>
  <c r="D3194" i="2"/>
  <c r="F3194" i="2" s="1"/>
  <c r="D3192" i="2"/>
  <c r="F3192" i="2" s="1"/>
  <c r="D3189" i="2"/>
  <c r="F3189" i="2" s="1"/>
  <c r="D3187" i="2"/>
  <c r="F3187" i="2" s="1"/>
  <c r="D3185" i="2"/>
  <c r="F3185" i="2" s="1"/>
  <c r="D3182" i="2"/>
  <c r="F3182" i="2" s="1"/>
  <c r="D3180" i="2"/>
  <c r="F3180" i="2" s="1"/>
  <c r="D3178" i="2"/>
  <c r="F3178" i="2" s="1"/>
  <c r="D3175" i="2"/>
  <c r="F3175" i="2" s="1"/>
  <c r="D3173" i="2"/>
  <c r="F3173" i="2" s="1"/>
  <c r="D3171" i="2"/>
  <c r="F3171" i="2" s="1"/>
  <c r="D3168" i="2"/>
  <c r="F3168" i="2" s="1"/>
  <c r="D3166" i="2"/>
  <c r="F3166" i="2" s="1"/>
  <c r="D3164" i="2"/>
  <c r="F3164" i="2" s="1"/>
  <c r="D3159" i="2"/>
  <c r="F3159" i="2" s="1"/>
  <c r="D3157" i="2"/>
  <c r="F3157" i="2" s="1"/>
  <c r="D3155" i="2"/>
  <c r="F3155" i="2" s="1"/>
  <c r="D3152" i="2"/>
  <c r="F3152" i="2" s="1"/>
  <c r="D3150" i="2"/>
  <c r="F3150" i="2" s="1"/>
  <c r="D3148" i="2"/>
  <c r="F3148" i="2" s="1"/>
  <c r="D3145" i="2"/>
  <c r="F3145" i="2" s="1"/>
  <c r="D3143" i="2"/>
  <c r="F3143" i="2" s="1"/>
  <c r="D3141" i="2"/>
  <c r="F3141" i="2" s="1"/>
  <c r="D3139" i="2"/>
  <c r="F3139" i="2" s="1"/>
  <c r="D3136" i="2"/>
  <c r="F3136" i="2" s="1"/>
  <c r="D3134" i="2"/>
  <c r="F3134" i="2" s="1"/>
  <c r="D3132" i="2"/>
  <c r="F3132" i="2" s="1"/>
  <c r="D3130" i="2"/>
  <c r="F3130" i="2" s="1"/>
  <c r="D3128" i="2"/>
  <c r="F3128" i="2" s="1"/>
  <c r="D3125" i="2"/>
  <c r="F3125" i="2" s="1"/>
  <c r="D3123" i="2"/>
  <c r="F3123" i="2" s="1"/>
  <c r="D3121" i="2"/>
  <c r="F3121" i="2" s="1"/>
  <c r="D3119" i="2"/>
  <c r="F3119" i="2" s="1"/>
  <c r="D3116" i="2"/>
  <c r="F3116" i="2" s="1"/>
  <c r="D3114" i="2"/>
  <c r="F3114" i="2" s="1"/>
  <c r="D3112" i="2"/>
  <c r="F3112" i="2" s="1"/>
  <c r="D3110" i="2"/>
  <c r="F3110" i="2" s="1"/>
  <c r="D3108" i="2"/>
  <c r="F3108" i="2" s="1"/>
  <c r="D3105" i="2"/>
  <c r="F3105" i="2" s="1"/>
  <c r="D3103" i="2"/>
  <c r="F3103" i="2" s="1"/>
  <c r="D3101" i="2"/>
  <c r="F3101" i="2" s="1"/>
  <c r="D3099" i="2"/>
  <c r="F3099" i="2" s="1"/>
  <c r="D5276" i="2"/>
  <c r="F5276" i="2" s="1"/>
  <c r="D5256" i="2"/>
  <c r="F5256" i="2" s="1"/>
  <c r="D5233" i="2"/>
  <c r="D5213" i="2"/>
  <c r="D5182" i="2"/>
  <c r="D5172" i="2"/>
  <c r="D5167" i="2"/>
  <c r="D5158" i="2"/>
  <c r="F5158" i="2" s="1"/>
  <c r="D5037" i="2"/>
  <c r="D4635" i="2"/>
  <c r="D4486" i="2"/>
  <c r="F4486" i="2" s="1"/>
  <c r="D4324" i="2"/>
  <c r="F4324" i="2" s="1"/>
  <c r="D4320" i="2"/>
  <c r="F4320" i="2" s="1"/>
  <c r="D4309" i="2"/>
  <c r="F4309" i="2" s="1"/>
  <c r="D4307" i="2"/>
  <c r="F4307" i="2" s="1"/>
  <c r="D4302" i="2"/>
  <c r="F4302" i="2" s="1"/>
  <c r="D4299" i="2"/>
  <c r="F4299" i="2" s="1"/>
  <c r="D4297" i="2"/>
  <c r="F4297" i="2" s="1"/>
  <c r="D4293" i="2"/>
  <c r="F4293" i="2" s="1"/>
  <c r="D4291" i="2"/>
  <c r="F4291" i="2" s="1"/>
  <c r="D4289" i="2"/>
  <c r="F4289" i="2" s="1"/>
  <c r="D4037" i="2"/>
  <c r="F4037" i="2" s="1"/>
  <c r="D4035" i="2"/>
  <c r="F4035" i="2" s="1"/>
  <c r="D4033" i="2"/>
  <c r="F4033" i="2" s="1"/>
  <c r="D4030" i="2"/>
  <c r="F4030" i="2" s="1"/>
  <c r="D4028" i="2"/>
  <c r="F4028" i="2" s="1"/>
  <c r="D4025" i="2"/>
  <c r="F4025" i="2" s="1"/>
  <c r="D4023" i="2"/>
  <c r="F4023" i="2" s="1"/>
  <c r="D3221" i="2"/>
  <c r="F3221" i="2" s="1"/>
  <c r="D3217" i="2"/>
  <c r="F3217" i="2" s="1"/>
  <c r="D3205" i="2"/>
  <c r="F3205" i="2" s="1"/>
  <c r="D3195" i="2"/>
  <c r="F3195" i="2" s="1"/>
  <c r="D3186" i="2"/>
  <c r="F3186" i="2" s="1"/>
  <c r="D3176" i="2"/>
  <c r="F3176" i="2" s="1"/>
  <c r="D3167" i="2"/>
  <c r="F3167" i="2" s="1"/>
  <c r="D3156" i="2"/>
  <c r="F3156" i="2" s="1"/>
  <c r="D3146" i="2"/>
  <c r="F3146" i="2" s="1"/>
  <c r="D3138" i="2"/>
  <c r="F3138" i="2" s="1"/>
  <c r="D3129" i="2"/>
  <c r="F3129" i="2" s="1"/>
  <c r="D3120" i="2"/>
  <c r="F3120" i="2" s="1"/>
  <c r="D3111" i="2"/>
  <c r="F3111" i="2" s="1"/>
  <c r="D3102" i="2"/>
  <c r="F3102" i="2" s="1"/>
  <c r="D3095" i="2"/>
  <c r="F3095" i="2" s="1"/>
  <c r="D3091" i="2"/>
  <c r="F3091" i="2" s="1"/>
  <c r="D3086" i="2"/>
  <c r="F3086" i="2" s="1"/>
  <c r="D3082" i="2"/>
  <c r="F3082" i="2" s="1"/>
  <c r="D3078" i="2"/>
  <c r="F3078" i="2" s="1"/>
  <c r="D3073" i="2"/>
  <c r="F3073" i="2" s="1"/>
  <c r="D3069" i="2"/>
  <c r="F3069" i="2" s="1"/>
  <c r="D3064" i="2"/>
  <c r="F3064" i="2" s="1"/>
  <c r="D3060" i="2"/>
  <c r="F3060" i="2" s="1"/>
  <c r="D3055" i="2"/>
  <c r="F3055" i="2" s="1"/>
  <c r="D3051" i="2"/>
  <c r="F3051" i="2" s="1"/>
  <c r="D3047" i="2"/>
  <c r="F3047" i="2" s="1"/>
  <c r="D3042" i="2"/>
  <c r="F3042" i="2" s="1"/>
  <c r="D3038" i="2"/>
  <c r="F3038" i="2" s="1"/>
  <c r="D3033" i="2"/>
  <c r="F3033" i="2" s="1"/>
  <c r="D3029" i="2"/>
  <c r="F3029" i="2" s="1"/>
  <c r="D3025" i="2"/>
  <c r="F3025" i="2" s="1"/>
  <c r="D3017" i="2"/>
  <c r="F3017" i="2" s="1"/>
  <c r="D3010" i="2"/>
  <c r="F3010" i="2" s="1"/>
  <c r="D3004" i="2"/>
  <c r="F3004" i="2" s="1"/>
  <c r="D3218" i="2"/>
  <c r="F3218" i="2" s="1"/>
  <c r="D3203" i="2"/>
  <c r="F3203" i="2" s="1"/>
  <c r="D3193" i="2"/>
  <c r="F3193" i="2" s="1"/>
  <c r="D3183" i="2"/>
  <c r="F3183" i="2" s="1"/>
  <c r="D3174" i="2"/>
  <c r="F3174" i="2" s="1"/>
  <c r="D3165" i="2"/>
  <c r="F3165" i="2" s="1"/>
  <c r="D3153" i="2"/>
  <c r="F3153" i="2" s="1"/>
  <c r="D3144" i="2"/>
  <c r="F3144" i="2" s="1"/>
  <c r="D3135" i="2"/>
  <c r="F3135" i="2" s="1"/>
  <c r="D3126" i="2"/>
  <c r="F3126" i="2" s="1"/>
  <c r="D3118" i="2"/>
  <c r="F3118" i="2" s="1"/>
  <c r="D3109" i="2"/>
  <c r="F3109" i="2" s="1"/>
  <c r="D3100" i="2"/>
  <c r="F3100" i="2" s="1"/>
  <c r="D3094" i="2"/>
  <c r="F3094" i="2" s="1"/>
  <c r="D3090" i="2"/>
  <c r="F3090" i="2" s="1"/>
  <c r="D3085" i="2"/>
  <c r="F3085" i="2" s="1"/>
  <c r="D3081" i="2"/>
  <c r="F3081" i="2" s="1"/>
  <c r="D3076" i="2"/>
  <c r="F3076" i="2" s="1"/>
  <c r="D3072" i="2"/>
  <c r="F3072" i="2" s="1"/>
  <c r="D3068" i="2"/>
  <c r="F3068" i="2" s="1"/>
  <c r="D3063" i="2"/>
  <c r="F3063" i="2" s="1"/>
  <c r="D3059" i="2"/>
  <c r="F3059" i="2" s="1"/>
  <c r="D3054" i="2"/>
  <c r="F3054" i="2" s="1"/>
  <c r="D3050" i="2"/>
  <c r="F3050" i="2" s="1"/>
  <c r="D3045" i="2"/>
  <c r="F3045" i="2" s="1"/>
  <c r="D3041" i="2"/>
  <c r="F3041" i="2" s="1"/>
  <c r="D3037" i="2"/>
  <c r="F3037" i="2" s="1"/>
  <c r="D3032" i="2"/>
  <c r="F3032" i="2" s="1"/>
  <c r="D3028" i="2"/>
  <c r="F3028" i="2" s="1"/>
  <c r="D3022" i="2"/>
  <c r="F3022" i="2" s="1"/>
  <c r="D3016" i="2"/>
  <c r="F3016" i="2" s="1"/>
  <c r="D3009" i="2"/>
  <c r="F3009" i="2" s="1"/>
  <c r="D3003" i="2"/>
  <c r="F3003" i="2" s="1"/>
  <c r="D2843" i="2"/>
  <c r="F2843" i="2" s="1"/>
  <c r="D3201" i="2"/>
  <c r="F3201" i="2" s="1"/>
  <c r="D3190" i="2"/>
  <c r="F3190" i="2" s="1"/>
  <c r="D3181" i="2"/>
  <c r="F3181" i="2" s="1"/>
  <c r="D3172" i="2"/>
  <c r="F3172" i="2" s="1"/>
  <c r="D3160" i="2"/>
  <c r="F3160" i="2" s="1"/>
  <c r="D3151" i="2"/>
  <c r="F3151" i="2" s="1"/>
  <c r="D3142" i="2"/>
  <c r="F3142" i="2" s="1"/>
  <c r="D3133" i="2"/>
  <c r="F3133" i="2" s="1"/>
  <c r="D3124" i="2"/>
  <c r="F3124" i="2" s="1"/>
  <c r="D3115" i="2"/>
  <c r="F3115" i="2" s="1"/>
  <c r="D3106" i="2"/>
  <c r="F3106" i="2" s="1"/>
  <c r="D3098" i="2"/>
  <c r="F3098" i="2" s="1"/>
  <c r="D3093" i="2"/>
  <c r="F3093" i="2" s="1"/>
  <c r="D3089" i="2"/>
  <c r="F3089" i="2" s="1"/>
  <c r="D3084" i="2"/>
  <c r="F3084" i="2" s="1"/>
  <c r="D3080" i="2"/>
  <c r="F3080" i="2" s="1"/>
  <c r="D3075" i="2"/>
  <c r="F3075" i="2" s="1"/>
  <c r="D3071" i="2"/>
  <c r="F3071" i="2" s="1"/>
  <c r="D3066" i="2"/>
  <c r="F3066" i="2" s="1"/>
  <c r="D3062" i="2"/>
  <c r="F3062" i="2" s="1"/>
  <c r="D3058" i="2"/>
  <c r="F3058" i="2" s="1"/>
  <c r="D3053" i="2"/>
  <c r="F3053" i="2" s="1"/>
  <c r="D3049" i="2"/>
  <c r="F3049" i="2" s="1"/>
  <c r="D3044" i="2"/>
  <c r="F3044" i="2" s="1"/>
  <c r="D3040" i="2"/>
  <c r="F3040" i="2" s="1"/>
  <c r="D3036" i="2"/>
  <c r="F3036" i="2" s="1"/>
  <c r="D3031" i="2"/>
  <c r="F3031" i="2" s="1"/>
  <c r="D3027" i="2"/>
  <c r="F3027" i="2" s="1"/>
  <c r="D3021" i="2"/>
  <c r="F3021" i="2" s="1"/>
  <c r="D3015" i="2"/>
  <c r="F3015" i="2" s="1"/>
  <c r="D3006" i="2"/>
  <c r="F3006" i="2" s="1"/>
  <c r="D3001" i="2"/>
  <c r="F3001" i="2" s="1"/>
  <c r="D2500" i="2"/>
  <c r="F2500" i="2" s="1"/>
  <c r="D2498" i="2"/>
  <c r="F2498" i="2" s="1"/>
  <c r="D2496" i="2"/>
  <c r="F2496" i="2" s="1"/>
  <c r="D2494" i="2"/>
  <c r="F2494" i="2" s="1"/>
  <c r="D3213" i="2"/>
  <c r="F3213" i="2" s="1"/>
  <c r="D3197" i="2"/>
  <c r="F3197" i="2" s="1"/>
  <c r="D3188" i="2"/>
  <c r="F3188" i="2" s="1"/>
  <c r="D3179" i="2"/>
  <c r="F3179" i="2" s="1"/>
  <c r="D3169" i="2"/>
  <c r="F3169" i="2" s="1"/>
  <c r="D3158" i="2"/>
  <c r="F3158" i="2" s="1"/>
  <c r="D3149" i="2"/>
  <c r="F3149" i="2" s="1"/>
  <c r="D3140" i="2"/>
  <c r="F3140" i="2" s="1"/>
  <c r="D3131" i="2"/>
  <c r="F3131" i="2" s="1"/>
  <c r="D3122" i="2"/>
  <c r="F3122" i="2" s="1"/>
  <c r="D3113" i="2"/>
  <c r="F3113" i="2" s="1"/>
  <c r="D3104" i="2"/>
  <c r="F3104" i="2" s="1"/>
  <c r="D3096" i="2"/>
  <c r="F3096" i="2" s="1"/>
  <c r="D3092" i="2"/>
  <c r="F3092" i="2" s="1"/>
  <c r="D3088" i="2"/>
  <c r="F3088" i="2" s="1"/>
  <c r="D3083" i="2"/>
  <c r="F3083" i="2" s="1"/>
  <c r="D3079" i="2"/>
  <c r="F3079" i="2" s="1"/>
  <c r="D3074" i="2"/>
  <c r="F3074" i="2" s="1"/>
  <c r="D3070" i="2"/>
  <c r="F3070" i="2" s="1"/>
  <c r="D3065" i="2"/>
  <c r="F3065" i="2" s="1"/>
  <c r="D3061" i="2"/>
  <c r="F3061" i="2" s="1"/>
  <c r="D3056" i="2"/>
  <c r="F3056" i="2" s="1"/>
  <c r="D3052" i="2"/>
  <c r="F3052" i="2" s="1"/>
  <c r="D3048" i="2"/>
  <c r="F3048" i="2" s="1"/>
  <c r="D3043" i="2"/>
  <c r="F3043" i="2" s="1"/>
  <c r="D3039" i="2"/>
  <c r="F3039" i="2" s="1"/>
  <c r="D3034" i="2"/>
  <c r="F3034" i="2" s="1"/>
  <c r="D3030" i="2"/>
  <c r="F3030" i="2" s="1"/>
  <c r="D3026" i="2"/>
  <c r="F3026" i="2" s="1"/>
  <c r="D3018" i="2"/>
  <c r="F3018" i="2" s="1"/>
  <c r="D3013" i="2"/>
  <c r="F3013" i="2" s="1"/>
  <c r="D3005" i="2"/>
  <c r="F3005" i="2" s="1"/>
  <c r="D2996" i="2"/>
  <c r="F2996" i="2" s="1"/>
  <c r="D2495" i="2"/>
  <c r="F2495" i="2" s="1"/>
  <c r="D2490" i="2"/>
  <c r="F2490" i="2" s="1"/>
  <c r="D2486" i="2"/>
  <c r="F2486" i="2" s="1"/>
  <c r="D2479" i="2"/>
  <c r="F2479" i="2" s="1"/>
  <c r="D2475" i="2"/>
  <c r="F2475" i="2" s="1"/>
  <c r="D2471" i="2"/>
  <c r="F2471" i="2" s="1"/>
  <c r="D2467" i="2"/>
  <c r="F2467" i="2" s="1"/>
  <c r="D2194" i="2"/>
  <c r="F2194" i="2" s="1"/>
  <c r="D2502" i="2"/>
  <c r="F2502" i="2" s="1"/>
  <c r="D2493" i="2"/>
  <c r="F2493" i="2" s="1"/>
  <c r="D2489" i="2"/>
  <c r="F2489" i="2" s="1"/>
  <c r="D2483" i="2"/>
  <c r="F2483" i="2" s="1"/>
  <c r="D2478" i="2"/>
  <c r="F2478" i="2" s="1"/>
  <c r="D2474" i="2"/>
  <c r="F2474" i="2" s="1"/>
  <c r="D2470" i="2"/>
  <c r="F2470" i="2" s="1"/>
  <c r="D2499" i="2"/>
  <c r="F2499" i="2" s="1"/>
  <c r="D2492" i="2"/>
  <c r="F2492" i="2" s="1"/>
  <c r="D2488" i="2"/>
  <c r="F2488" i="2" s="1"/>
  <c r="D2482" i="2"/>
  <c r="F2482" i="2" s="1"/>
  <c r="D2477" i="2"/>
  <c r="F2477" i="2" s="1"/>
  <c r="D2473" i="2"/>
  <c r="F2473" i="2" s="1"/>
  <c r="D2469" i="2"/>
  <c r="F2469" i="2" s="1"/>
  <c r="D2497" i="2"/>
  <c r="F2497" i="2" s="1"/>
  <c r="D2491" i="2"/>
  <c r="F2491" i="2" s="1"/>
  <c r="D2487" i="2"/>
  <c r="F2487" i="2" s="1"/>
  <c r="D2481" i="2"/>
  <c r="F2481" i="2" s="1"/>
  <c r="D2476" i="2"/>
  <c r="F2476" i="2" s="1"/>
  <c r="D2472" i="2"/>
  <c r="F2472" i="2" s="1"/>
  <c r="D2468" i="2"/>
  <c r="F2468" i="2" s="1"/>
  <c r="D2458" i="2"/>
  <c r="F2458" i="2" s="1"/>
  <c r="D4477" i="2"/>
  <c r="F4477" i="2" s="1"/>
  <c r="D4629" i="2"/>
  <c r="F4629" i="2" s="1"/>
  <c r="D5191" i="2"/>
  <c r="D6391" i="2"/>
  <c r="D4620" i="2"/>
  <c r="F4620" i="2" s="1"/>
  <c r="D4628" i="2"/>
  <c r="F4628" i="2" s="1"/>
  <c r="D4623" i="2"/>
  <c r="F4623" i="2" s="1"/>
  <c r="D4624" i="2"/>
  <c r="F4624" i="2" s="1"/>
  <c r="D6390" i="2"/>
  <c r="D4631" i="2"/>
  <c r="F4631" i="2" s="1"/>
  <c r="D4619" i="2"/>
  <c r="F4619" i="2" s="1"/>
  <c r="D5175" i="2"/>
  <c r="D6389" i="2"/>
  <c r="D4991" i="2"/>
  <c r="F4991" i="2" s="1"/>
  <c r="D6392" i="2"/>
  <c r="D4630" i="2"/>
  <c r="F4630" i="2" s="1"/>
  <c r="D4627" i="2"/>
  <c r="F4627" i="2" s="1"/>
  <c r="D4626" i="2"/>
  <c r="F4626" i="2" s="1"/>
  <c r="D4625" i="2"/>
  <c r="F4625" i="2" s="1"/>
  <c r="E5172" i="2" l="1"/>
  <c r="F5172" i="2" s="1"/>
  <c r="E5171" i="2"/>
  <c r="F5171" i="2" s="1"/>
  <c r="E5228" i="2"/>
  <c r="F5228" i="2" s="1"/>
  <c r="E5190" i="2"/>
  <c r="F5190" i="2" s="1"/>
  <c r="E5236" i="2"/>
  <c r="F5236" i="2"/>
  <c r="E5210" i="2"/>
  <c r="F5210" i="2" s="1"/>
  <c r="E6329" i="2"/>
  <c r="F6329" i="2" s="1"/>
  <c r="E6346" i="2"/>
  <c r="F6346" i="2" s="1"/>
  <c r="E6768" i="2"/>
  <c r="F6768" i="2" s="1"/>
  <c r="E6831" i="2"/>
  <c r="F6831" i="2" s="1"/>
  <c r="E6850" i="2"/>
  <c r="F6850" i="2" s="1"/>
  <c r="E6780" i="2"/>
  <c r="F6780" i="2" s="1"/>
  <c r="E6890" i="2"/>
  <c r="F6890" i="2" s="1"/>
  <c r="E6784" i="2"/>
  <c r="F6784" i="2" s="1"/>
  <c r="E6885" i="2"/>
  <c r="F6885" i="2" s="1"/>
  <c r="E6802" i="2"/>
  <c r="F6802" i="2" s="1"/>
  <c r="E6880" i="2"/>
  <c r="F6880" i="2" s="1"/>
  <c r="E6914" i="2"/>
  <c r="F6914" i="2" s="1"/>
  <c r="E6863" i="2"/>
  <c r="F6863" i="2" s="1"/>
  <c r="E5175" i="2"/>
  <c r="F5175" i="2" s="1"/>
  <c r="E6391" i="2"/>
  <c r="F6391" i="2" s="1"/>
  <c r="E5167" i="2"/>
  <c r="F5167" i="2" s="1"/>
  <c r="E5233" i="2"/>
  <c r="F5233" i="2" s="1"/>
  <c r="E4634" i="2"/>
  <c r="F4634" i="2" s="1"/>
  <c r="E5209" i="2"/>
  <c r="F5209" i="2" s="1"/>
  <c r="E5223" i="2"/>
  <c r="F5223" i="2" s="1"/>
  <c r="E5208" i="2"/>
  <c r="F5208" i="2" s="1"/>
  <c r="E5186" i="2"/>
  <c r="F5186" i="2" s="1"/>
  <c r="E5212" i="2"/>
  <c r="F5212" i="2" s="1"/>
  <c r="E5232" i="2"/>
  <c r="F5232" i="2" s="1"/>
  <c r="E5185" i="2"/>
  <c r="F5185" i="2" s="1"/>
  <c r="E5211" i="2"/>
  <c r="F5211" i="2" s="1"/>
  <c r="E5231" i="2"/>
  <c r="F5231" i="2" s="1"/>
  <c r="E5179" i="2"/>
  <c r="F5179" i="2" s="1"/>
  <c r="E5199" i="2"/>
  <c r="F5199" i="2" s="1"/>
  <c r="E5225" i="2"/>
  <c r="F5225" i="2" s="1"/>
  <c r="E6356" i="2"/>
  <c r="F6356" i="2" s="1"/>
  <c r="E6332" i="2"/>
  <c r="F6332" i="2" s="1"/>
  <c r="E6337" i="2"/>
  <c r="F6337" i="2" s="1"/>
  <c r="E6345" i="2"/>
  <c r="F6345" i="2" s="1"/>
  <c r="E6349" i="2"/>
  <c r="F6349" i="2" s="1"/>
  <c r="E6358" i="2"/>
  <c r="F6358" i="2" s="1"/>
  <c r="E6764" i="2"/>
  <c r="F6764" i="2" s="1"/>
  <c r="E6773" i="2"/>
  <c r="F6773" i="2" s="1"/>
  <c r="E6770" i="2"/>
  <c r="F6770" i="2" s="1"/>
  <c r="E6796" i="2"/>
  <c r="F6796" i="2" s="1"/>
  <c r="E6822" i="2"/>
  <c r="F6822" i="2"/>
  <c r="E6846" i="2"/>
  <c r="F6846" i="2" s="1"/>
  <c r="E6873" i="2"/>
  <c r="F6873" i="2" s="1"/>
  <c r="E6790" i="2"/>
  <c r="F6790" i="2" s="1"/>
  <c r="E6820" i="2"/>
  <c r="F6820" i="2" s="1"/>
  <c r="E6841" i="2"/>
  <c r="F6841" i="2" s="1"/>
  <c r="E6901" i="2"/>
  <c r="F6901" i="2" s="1"/>
  <c r="E6804" i="2"/>
  <c r="F6804" i="2"/>
  <c r="E6830" i="2"/>
  <c r="F6830" i="2" s="1"/>
  <c r="E6884" i="2"/>
  <c r="F6884" i="2" s="1"/>
  <c r="E6910" i="2"/>
  <c r="F6910" i="2" s="1"/>
  <c r="E6778" i="2"/>
  <c r="F6778" i="2" s="1"/>
  <c r="E6810" i="2"/>
  <c r="F6810" i="2" s="1"/>
  <c r="E6857" i="2"/>
  <c r="F6857" i="2" s="1"/>
  <c r="E6878" i="2"/>
  <c r="F6878" i="2" s="1"/>
  <c r="E6797" i="2"/>
  <c r="F6797" i="2" s="1"/>
  <c r="E6818" i="2"/>
  <c r="F6818" i="2" s="1"/>
  <c r="E6845" i="2"/>
  <c r="F6845" i="2" s="1"/>
  <c r="E6870" i="2"/>
  <c r="F6870" i="2" s="1"/>
  <c r="E6900" i="2"/>
  <c r="F6900" i="2" s="1"/>
  <c r="E6905" i="2"/>
  <c r="F6905" i="2" s="1"/>
  <c r="E6838" i="2"/>
  <c r="F6838" i="2" s="1"/>
  <c r="E6858" i="2"/>
  <c r="F6858" i="2" s="1"/>
  <c r="E6882" i="2"/>
  <c r="F6882" i="2" s="1"/>
  <c r="E6902" i="2"/>
  <c r="F6902" i="2" s="1"/>
  <c r="E5191" i="2"/>
  <c r="F5191" i="2" s="1"/>
  <c r="E4635" i="2"/>
  <c r="F4635" i="2" s="1"/>
  <c r="E4636" i="2"/>
  <c r="F4636" i="2" s="1"/>
  <c r="E5168" i="2"/>
  <c r="F5168" i="2" s="1"/>
  <c r="E5217" i="2"/>
  <c r="F5217" i="2" s="1"/>
  <c r="E5238" i="2"/>
  <c r="F5238" i="2" s="1"/>
  <c r="E5216" i="2"/>
  <c r="F5216" i="2" s="1"/>
  <c r="E6334" i="2"/>
  <c r="F6334" i="2" s="1"/>
  <c r="E6351" i="2"/>
  <c r="F6351" i="2" s="1"/>
  <c r="E6767" i="2"/>
  <c r="F6767" i="2" s="1"/>
  <c r="E6777" i="2"/>
  <c r="F6777" i="2" s="1"/>
  <c r="E6852" i="2"/>
  <c r="F6852" i="2" s="1"/>
  <c r="E6799" i="2"/>
  <c r="F6799" i="2" s="1"/>
  <c r="E6806" i="2"/>
  <c r="F6806" i="2" s="1"/>
  <c r="E6812" i="2"/>
  <c r="F6812" i="2" s="1"/>
  <c r="E6825" i="2"/>
  <c r="F6825" i="2" s="1"/>
  <c r="F6823" i="2"/>
  <c r="E6823" i="2"/>
  <c r="E6887" i="2"/>
  <c r="F6887" i="2" s="1"/>
  <c r="E5037" i="2"/>
  <c r="F5037" i="2" s="1"/>
  <c r="E5182" i="2"/>
  <c r="F5182" i="2" s="1"/>
  <c r="E5177" i="2"/>
  <c r="F5177" i="2" s="1"/>
  <c r="E4633" i="2"/>
  <c r="F4633" i="2" s="1"/>
  <c r="E5169" i="2"/>
  <c r="F5169" i="2" s="1"/>
  <c r="E5187" i="2"/>
  <c r="F5187" i="2" s="1"/>
  <c r="E5176" i="2"/>
  <c r="F5176" i="2" s="1"/>
  <c r="E5196" i="2"/>
  <c r="F5196" i="2" s="1"/>
  <c r="E5222" i="2"/>
  <c r="F5222" i="2" s="1"/>
  <c r="E5174" i="2"/>
  <c r="F5174" i="2" s="1"/>
  <c r="E5195" i="2"/>
  <c r="F5195" i="2" s="1"/>
  <c r="E5221" i="2"/>
  <c r="F5221" i="2" s="1"/>
  <c r="E5237" i="2"/>
  <c r="F5237" i="2" s="1"/>
  <c r="E5188" i="2"/>
  <c r="F5188" i="2" s="1"/>
  <c r="E5215" i="2"/>
  <c r="F5215" i="2" s="1"/>
  <c r="E5235" i="2"/>
  <c r="F5235" i="2" s="1"/>
  <c r="E6357" i="2"/>
  <c r="F6357" i="2" s="1"/>
  <c r="E6399" i="2"/>
  <c r="F6399" i="2" s="1"/>
  <c r="E6354" i="2"/>
  <c r="F6354" i="2" s="1"/>
  <c r="E6330" i="2"/>
  <c r="F6330" i="2" s="1"/>
  <c r="E6335" i="2"/>
  <c r="F6335" i="2" s="1"/>
  <c r="E6343" i="2"/>
  <c r="F6343" i="2" s="1"/>
  <c r="E6347" i="2"/>
  <c r="F6347" i="2" s="1"/>
  <c r="E6352" i="2"/>
  <c r="F6352" i="2" s="1"/>
  <c r="E6771" i="2"/>
  <c r="F6771" i="2" s="1"/>
  <c r="E6783" i="2"/>
  <c r="F6783" i="2" s="1"/>
  <c r="E6815" i="2"/>
  <c r="F6815" i="2" s="1"/>
  <c r="E6837" i="2"/>
  <c r="F6837" i="2" s="1"/>
  <c r="E6855" i="2"/>
  <c r="F6855" i="2" s="1"/>
  <c r="E6801" i="2"/>
  <c r="F6801" i="2" s="1"/>
  <c r="E6832" i="2"/>
  <c r="F6832" i="2" s="1"/>
  <c r="E6886" i="2"/>
  <c r="F6886" i="2" s="1"/>
  <c r="E6913" i="2"/>
  <c r="F6913" i="2" s="1"/>
  <c r="E6789" i="2"/>
  <c r="F6789" i="2" s="1"/>
  <c r="E6816" i="2"/>
  <c r="F6816" i="2" s="1"/>
  <c r="E6874" i="2"/>
  <c r="F6874" i="2" s="1"/>
  <c r="E6896" i="2"/>
  <c r="F6896" i="2" s="1"/>
  <c r="E6791" i="2"/>
  <c r="F6791" i="2" s="1"/>
  <c r="E6842" i="2"/>
  <c r="F6842" i="2" s="1"/>
  <c r="E6869" i="2"/>
  <c r="F6869" i="2" s="1"/>
  <c r="E6894" i="2"/>
  <c r="F6894" i="2" s="1"/>
  <c r="E6807" i="2"/>
  <c r="F6807" i="2" s="1"/>
  <c r="E6827" i="2"/>
  <c r="F6827" i="2" s="1"/>
  <c r="E6856" i="2"/>
  <c r="F6856" i="2" s="1"/>
  <c r="E6889" i="2"/>
  <c r="F6889" i="2" s="1"/>
  <c r="E6911" i="2"/>
  <c r="F6911" i="2" s="1"/>
  <c r="E6828" i="2"/>
  <c r="F6828" i="2" s="1"/>
  <c r="E6848" i="2"/>
  <c r="F6848" i="2" s="1"/>
  <c r="E6872" i="2"/>
  <c r="F6872" i="2" s="1"/>
  <c r="E6892" i="2"/>
  <c r="F6892" i="2" s="1"/>
  <c r="E6912" i="2"/>
  <c r="F6912" i="2" s="1"/>
  <c r="E6392" i="2"/>
  <c r="F6392" i="2" s="1"/>
  <c r="E5218" i="2"/>
  <c r="F5218" i="2" s="1"/>
  <c r="E5189" i="2"/>
  <c r="F5189" i="2" s="1"/>
  <c r="E5184" i="2"/>
  <c r="F5184" i="2" s="1"/>
  <c r="E5229" i="2"/>
  <c r="F5229" i="2" s="1"/>
  <c r="E6342" i="2"/>
  <c r="F6342" i="2" s="1"/>
  <c r="E6805" i="2"/>
  <c r="F6805" i="2" s="1"/>
  <c r="E6826" i="2"/>
  <c r="F6826" i="2" s="1"/>
  <c r="E6904" i="2"/>
  <c r="F6904" i="2" s="1"/>
  <c r="E6862" i="2"/>
  <c r="F6862" i="2" s="1"/>
  <c r="E6860" i="2"/>
  <c r="F6860" i="2" s="1"/>
  <c r="E6847" i="2"/>
  <c r="F6847" i="2" s="1"/>
  <c r="E6909" i="2"/>
  <c r="F6909" i="2" s="1"/>
  <c r="E6843" i="2"/>
  <c r="F6843" i="2" s="1"/>
  <c r="E6908" i="2"/>
  <c r="F6908" i="2" s="1"/>
  <c r="E6389" i="2"/>
  <c r="F6389" i="2" s="1"/>
  <c r="E6390" i="2"/>
  <c r="F6390" i="2" s="1"/>
  <c r="F5213" i="2"/>
  <c r="E5213" i="2"/>
  <c r="E5206" i="2"/>
  <c r="F5206" i="2" s="1"/>
  <c r="E5198" i="2"/>
  <c r="F5198" i="2" s="1"/>
  <c r="E5192" i="2"/>
  <c r="F5192" i="2" s="1"/>
  <c r="E5181" i="2"/>
  <c r="F5181" i="2" s="1"/>
  <c r="E5202" i="2"/>
  <c r="F5202" i="2" s="1"/>
  <c r="E5227" i="2"/>
  <c r="F5227" i="2" s="1"/>
  <c r="E5180" i="2"/>
  <c r="F5180" i="2" s="1"/>
  <c r="E5201" i="2"/>
  <c r="F5201" i="2" s="1"/>
  <c r="E5226" i="2"/>
  <c r="F5226" i="2" s="1"/>
  <c r="E5194" i="2"/>
  <c r="F5194" i="2" s="1"/>
  <c r="E5220" i="2"/>
  <c r="F5220" i="2" s="1"/>
  <c r="E6359" i="2"/>
  <c r="F6359" i="2" s="1"/>
  <c r="E6331" i="2"/>
  <c r="F6331" i="2" s="1"/>
  <c r="E6336" i="2"/>
  <c r="F6336" i="2" s="1"/>
  <c r="E6344" i="2"/>
  <c r="F6344" i="2" s="1"/>
  <c r="E6348" i="2"/>
  <c r="F6348" i="2" s="1"/>
  <c r="E6353" i="2"/>
  <c r="F6353" i="2" s="1"/>
  <c r="E6774" i="2"/>
  <c r="F6774" i="2" s="1"/>
  <c r="E6763" i="2"/>
  <c r="F6763" i="2" s="1"/>
  <c r="E6794" i="2"/>
  <c r="F6794" i="2" s="1"/>
  <c r="E6817" i="2"/>
  <c r="F6817" i="2" s="1"/>
  <c r="E6840" i="2"/>
  <c r="F6840" i="2" s="1"/>
  <c r="E6861" i="2"/>
  <c r="F6861" i="2" s="1"/>
  <c r="E6781" i="2"/>
  <c r="F6781" i="2" s="1"/>
  <c r="E6811" i="2"/>
  <c r="F6811" i="2" s="1"/>
  <c r="E6835" i="2"/>
  <c r="F6835" i="2" s="1"/>
  <c r="E6895" i="2"/>
  <c r="F6895" i="2" s="1"/>
  <c r="E6795" i="2"/>
  <c r="F6795" i="2" s="1"/>
  <c r="E6821" i="2"/>
  <c r="F6821" i="2" s="1"/>
  <c r="E6881" i="2"/>
  <c r="F6881" i="2" s="1"/>
  <c r="E6899" i="2"/>
  <c r="F6899" i="2" s="1"/>
  <c r="E6800" i="2"/>
  <c r="F6800" i="2" s="1"/>
  <c r="E6851" i="2"/>
  <c r="F6851" i="2" s="1"/>
  <c r="E6876" i="2"/>
  <c r="F6876" i="2" s="1"/>
  <c r="E6915" i="2"/>
  <c r="F6915" i="2" s="1"/>
  <c r="E6792" i="2"/>
  <c r="F6792" i="2" s="1"/>
  <c r="E6813" i="2"/>
  <c r="F6813" i="2" s="1"/>
  <c r="E6836" i="2"/>
  <c r="F6836" i="2" s="1"/>
  <c r="E6868" i="2"/>
  <c r="F6868" i="2" s="1"/>
  <c r="E6891" i="2"/>
  <c r="F6891" i="2" s="1"/>
  <c r="E6903" i="2"/>
  <c r="F6903" i="2" s="1"/>
  <c r="E6833" i="2"/>
  <c r="F6833" i="2" s="1"/>
  <c r="E6853" i="2"/>
  <c r="F6853" i="2" s="1"/>
  <c r="E6877" i="2"/>
  <c r="F6877" i="2" s="1"/>
  <c r="E6897" i="2"/>
  <c r="F6897" i="2" s="1"/>
  <c r="E6916" i="2"/>
  <c r="F6916" i="2" s="1"/>
  <c r="E186" i="1"/>
  <c r="F186" i="1" s="1"/>
  <c r="E44" i="1"/>
  <c r="F44" i="1" s="1"/>
  <c r="E718" i="1"/>
  <c r="F718" i="1" s="1"/>
  <c r="E692" i="1"/>
  <c r="F692" i="1" s="1"/>
  <c r="E666" i="1"/>
  <c r="F666" i="1" s="1"/>
  <c r="E620" i="1"/>
  <c r="F620" i="1" s="1"/>
  <c r="E594" i="1"/>
  <c r="F594" i="1" s="1"/>
  <c r="E567" i="1"/>
  <c r="F567" i="1" s="1"/>
  <c r="E540" i="1"/>
  <c r="F540" i="1" s="1"/>
  <c r="E474" i="1"/>
  <c r="F474" i="1" s="1"/>
  <c r="E448" i="1"/>
  <c r="F448" i="1" s="1"/>
  <c r="E422" i="1"/>
  <c r="F422" i="1" s="1"/>
  <c r="E390" i="1"/>
  <c r="F390" i="1" s="1"/>
  <c r="E356" i="1"/>
  <c r="F356" i="1" s="1"/>
  <c r="E305" i="1"/>
  <c r="F305" i="1" s="1"/>
  <c r="E367" i="1"/>
  <c r="F367" i="1" s="1"/>
  <c r="E316" i="1"/>
  <c r="F316" i="1" s="1"/>
  <c r="E373" i="1"/>
  <c r="F373" i="1" s="1"/>
  <c r="E339" i="1"/>
  <c r="F339" i="1" s="1"/>
  <c r="E322" i="1"/>
  <c r="F322" i="1" s="1"/>
  <c r="E384" i="1"/>
  <c r="F384" i="1" s="1"/>
  <c r="E350" i="1"/>
  <c r="F350" i="1" s="1"/>
  <c r="E333" i="1"/>
  <c r="F333" i="1" s="1"/>
  <c r="E299" i="1"/>
  <c r="F299" i="1" s="1"/>
  <c r="E722" i="1"/>
  <c r="F722" i="1" s="1"/>
  <c r="E696" i="1"/>
  <c r="F696" i="1" s="1"/>
  <c r="E670" i="1"/>
  <c r="F670" i="1" s="1"/>
  <c r="E624" i="1"/>
  <c r="F624" i="1" s="1"/>
  <c r="E598" i="1"/>
  <c r="F598" i="1" s="1"/>
  <c r="E572" i="1"/>
  <c r="F572" i="1" s="1"/>
  <c r="E545" i="1"/>
  <c r="F545" i="1" s="1"/>
  <c r="E478" i="1"/>
  <c r="F478" i="1" s="1"/>
  <c r="E452" i="1"/>
  <c r="F452" i="1" s="1"/>
  <c r="E426" i="1"/>
  <c r="F426" i="1" s="1"/>
  <c r="E280" i="1"/>
  <c r="F280" i="1" s="1"/>
  <c r="F277" i="1" s="1"/>
  <c r="E188" i="1"/>
  <c r="F188" i="1" s="1"/>
  <c r="E200" i="1"/>
  <c r="F200" i="1" s="1"/>
  <c r="F197" i="1" s="1"/>
  <c r="E160" i="1"/>
  <c r="F160" i="1" s="1"/>
  <c r="E158" i="1"/>
  <c r="F158" i="1" s="1"/>
  <c r="E46" i="1"/>
  <c r="F46" i="1" s="1"/>
  <c r="E140" i="1"/>
  <c r="F140" i="1" s="1"/>
  <c r="F137" i="1" s="1"/>
  <c r="E58" i="1"/>
  <c r="F58" i="1" s="1"/>
  <c r="F55" i="1" s="1"/>
  <c r="E49" i="1"/>
  <c r="F49" i="1" s="1"/>
  <c r="E22" i="1"/>
  <c r="F22" i="1" s="1"/>
  <c r="E20" i="1"/>
  <c r="F20" i="1" s="1"/>
  <c r="E157" i="1"/>
  <c r="F157" i="1" s="1"/>
  <c r="E191" i="1"/>
  <c r="F191" i="1" s="1"/>
  <c r="E19" i="1"/>
  <c r="F19" i="1" s="1"/>
  <c r="F43" i="1" l="1"/>
  <c r="F185" i="1"/>
  <c r="F641" i="46"/>
  <c r="F745" i="48" l="1"/>
  <c r="F733" i="48"/>
  <c r="F720" i="48"/>
  <c r="F707" i="48"/>
  <c r="F692" i="48"/>
  <c r="F678" i="48"/>
  <c r="F663" i="48"/>
  <c r="F650" i="48"/>
  <c r="F637" i="48"/>
  <c r="F624" i="48"/>
  <c r="F608" i="48"/>
  <c r="F592" i="48"/>
  <c r="F576" i="48"/>
  <c r="F558" i="48"/>
  <c r="F542" i="48"/>
  <c r="F526" i="48"/>
  <c r="F508" i="48"/>
  <c r="F495" i="48"/>
  <c r="F482" i="48"/>
  <c r="F469" i="48"/>
  <c r="F453" i="48"/>
  <c r="F439" i="48"/>
  <c r="F425" i="48"/>
  <c r="F411" i="48"/>
  <c r="F393" i="48"/>
  <c r="F346" i="48"/>
  <c r="F319" i="48"/>
  <c r="F281" i="48"/>
  <c r="F221" i="48"/>
  <c r="F158" i="48"/>
  <c r="F120" i="48"/>
  <c r="F62" i="48"/>
  <c r="F23" i="48"/>
  <c r="F794" i="48" l="1"/>
  <c r="F795" i="48" s="1"/>
  <c r="F796" i="48" s="1"/>
  <c r="F642" i="46" l="1"/>
  <c r="F643" i="46" s="1"/>
  <c r="J8" i="1"/>
  <c r="I8" i="1"/>
  <c r="I6" i="1"/>
  <c r="I5" i="1"/>
  <c r="E5" i="1"/>
  <c r="Q17" i="21" l="1"/>
  <c r="Q213" i="3" l="1"/>
  <c r="Q212" i="3"/>
  <c r="Q210" i="3"/>
  <c r="Q208" i="3"/>
  <c r="Q21" i="21" l="1"/>
  <c r="Q20" i="21"/>
  <c r="Q27" i="21"/>
  <c r="Q25" i="21"/>
  <c r="Q14" i="21"/>
  <c r="Q28" i="21" l="1"/>
  <c r="D7" i="17" l="1"/>
  <c r="E7" i="17" s="1"/>
  <c r="F7" i="17"/>
  <c r="D8" i="17"/>
  <c r="G8" i="17" s="1"/>
  <c r="F8" i="17"/>
  <c r="D9" i="17"/>
  <c r="E9" i="17" s="1"/>
  <c r="F9" i="17"/>
  <c r="D10" i="17"/>
  <c r="E10" i="17" s="1"/>
  <c r="F10" i="17"/>
  <c r="D11" i="17"/>
  <c r="G11" i="17" s="1"/>
  <c r="F11" i="17"/>
  <c r="D12" i="17"/>
  <c r="G12" i="17" s="1"/>
  <c r="F12" i="17"/>
  <c r="D13" i="17"/>
  <c r="G13" i="17" s="1"/>
  <c r="F13" i="17"/>
  <c r="D14" i="17"/>
  <c r="E14" i="17" s="1"/>
  <c r="F14" i="17"/>
  <c r="D15" i="17"/>
  <c r="E15" i="17" s="1"/>
  <c r="F15" i="17"/>
  <c r="D16" i="17"/>
  <c r="G16" i="17" s="1"/>
  <c r="F16" i="17"/>
  <c r="D17" i="17"/>
  <c r="E17" i="17" s="1"/>
  <c r="F17" i="17"/>
  <c r="D18" i="17"/>
  <c r="E18" i="17" s="1"/>
  <c r="F18" i="17"/>
  <c r="D19" i="17"/>
  <c r="G19" i="17" s="1"/>
  <c r="F19" i="17"/>
  <c r="D20" i="17"/>
  <c r="G20" i="17" s="1"/>
  <c r="F20" i="17"/>
  <c r="D21" i="17"/>
  <c r="G21" i="17" s="1"/>
  <c r="F21" i="17"/>
  <c r="D22" i="17"/>
  <c r="E22" i="17" s="1"/>
  <c r="F22" i="17"/>
  <c r="D23" i="17"/>
  <c r="E23" i="17" s="1"/>
  <c r="F23" i="17"/>
  <c r="D24" i="17"/>
  <c r="G24" i="17" s="1"/>
  <c r="F24" i="17"/>
  <c r="D25" i="17"/>
  <c r="E25" i="17" s="1"/>
  <c r="F25" i="17"/>
  <c r="D26" i="17"/>
  <c r="E26" i="17" s="1"/>
  <c r="F26" i="17"/>
  <c r="D27" i="17"/>
  <c r="G27" i="17" s="1"/>
  <c r="F27" i="17"/>
  <c r="D28" i="17"/>
  <c r="G28" i="17" s="1"/>
  <c r="F28" i="17"/>
  <c r="D29" i="17"/>
  <c r="G29" i="17" s="1"/>
  <c r="F29" i="17"/>
  <c r="D30" i="17"/>
  <c r="E30" i="17" s="1"/>
  <c r="F30" i="17"/>
  <c r="D31" i="17"/>
  <c r="E31" i="17" s="1"/>
  <c r="F31" i="17"/>
  <c r="D32" i="17"/>
  <c r="G32" i="17" s="1"/>
  <c r="F32" i="17"/>
  <c r="D33" i="17"/>
  <c r="E33" i="17" s="1"/>
  <c r="F33" i="17"/>
  <c r="D34" i="17"/>
  <c r="E34" i="17" s="1"/>
  <c r="F34" i="17"/>
  <c r="D35" i="17"/>
  <c r="G35" i="17" s="1"/>
  <c r="F35" i="17"/>
  <c r="D36" i="17"/>
  <c r="G36" i="17" s="1"/>
  <c r="F36" i="17"/>
  <c r="D37" i="17"/>
  <c r="G37" i="17" s="1"/>
  <c r="F37" i="17"/>
  <c r="D38" i="17"/>
  <c r="E38" i="17" s="1"/>
  <c r="F38" i="17"/>
  <c r="D39" i="17"/>
  <c r="E39" i="17" s="1"/>
  <c r="F39" i="17"/>
  <c r="D40" i="17"/>
  <c r="G40" i="17" s="1"/>
  <c r="F40" i="17"/>
  <c r="D41" i="17"/>
  <c r="E41" i="17" s="1"/>
  <c r="F41" i="17"/>
  <c r="D42" i="17"/>
  <c r="E42" i="17" s="1"/>
  <c r="F42" i="17"/>
  <c r="D43" i="17"/>
  <c r="G43" i="17" s="1"/>
  <c r="F43" i="17"/>
  <c r="D44" i="17"/>
  <c r="G44" i="17" s="1"/>
  <c r="F44" i="17"/>
  <c r="D45" i="17"/>
  <c r="G45" i="17" s="1"/>
  <c r="F45" i="17"/>
  <c r="D46" i="17"/>
  <c r="F46" i="17"/>
  <c r="D47" i="17"/>
  <c r="F47" i="17"/>
  <c r="D48" i="17"/>
  <c r="G48" i="17" s="1"/>
  <c r="F48" i="17"/>
  <c r="D49" i="17"/>
  <c r="E49" i="17" s="1"/>
  <c r="F49" i="17"/>
  <c r="D50" i="17"/>
  <c r="E50" i="17" s="1"/>
  <c r="F50" i="17"/>
  <c r="D51" i="17"/>
  <c r="G51" i="17" s="1"/>
  <c r="F51" i="17"/>
  <c r="D52" i="17"/>
  <c r="G52" i="17" s="1"/>
  <c r="F52" i="17"/>
  <c r="D53" i="17"/>
  <c r="G53" i="17" s="1"/>
  <c r="F53" i="17"/>
  <c r="D54" i="17"/>
  <c r="E54" i="17" s="1"/>
  <c r="F54" i="17"/>
  <c r="D55" i="17"/>
  <c r="E55" i="17" s="1"/>
  <c r="F55" i="17"/>
  <c r="D56" i="17"/>
  <c r="G56" i="17" s="1"/>
  <c r="F56" i="17"/>
  <c r="D57" i="17"/>
  <c r="E57" i="17" s="1"/>
  <c r="F57" i="17"/>
  <c r="D58" i="17"/>
  <c r="E58" i="17" s="1"/>
  <c r="F58" i="17"/>
  <c r="D59" i="17"/>
  <c r="G59" i="17" s="1"/>
  <c r="F59" i="17"/>
  <c r="D60" i="17"/>
  <c r="G60" i="17" s="1"/>
  <c r="F60" i="17"/>
  <c r="D61" i="17"/>
  <c r="G61" i="17" s="1"/>
  <c r="F61" i="17"/>
  <c r="D62" i="17"/>
  <c r="E62" i="17" s="1"/>
  <c r="F62" i="17"/>
  <c r="D63" i="17"/>
  <c r="E63" i="17" s="1"/>
  <c r="F63" i="17"/>
  <c r="D64" i="17"/>
  <c r="G64" i="17" s="1"/>
  <c r="F64" i="17"/>
  <c r="D65" i="17"/>
  <c r="E65" i="17" s="1"/>
  <c r="F65" i="17"/>
  <c r="D66" i="17"/>
  <c r="E66" i="17" s="1"/>
  <c r="F66" i="17"/>
  <c r="D67" i="17"/>
  <c r="G67" i="17" s="1"/>
  <c r="F67" i="17"/>
  <c r="D68" i="17"/>
  <c r="G68" i="17" s="1"/>
  <c r="F68" i="17"/>
  <c r="D69" i="17"/>
  <c r="G69" i="17" s="1"/>
  <c r="F69" i="17"/>
  <c r="D70" i="17"/>
  <c r="F70" i="17"/>
  <c r="D71" i="17"/>
  <c r="F71" i="17"/>
  <c r="D72" i="17"/>
  <c r="G72" i="17" s="1"/>
  <c r="F72" i="17"/>
  <c r="D73" i="17"/>
  <c r="E73" i="17" s="1"/>
  <c r="F73" i="17"/>
  <c r="D74" i="17"/>
  <c r="F74" i="17"/>
  <c r="D75" i="17"/>
  <c r="G75" i="17" s="1"/>
  <c r="F75" i="17"/>
  <c r="D76" i="17"/>
  <c r="G76" i="17" s="1"/>
  <c r="F76" i="17"/>
  <c r="D77" i="17"/>
  <c r="G77" i="17" s="1"/>
  <c r="F77" i="17"/>
  <c r="D78" i="17"/>
  <c r="E78" i="17" s="1"/>
  <c r="F78" i="17"/>
  <c r="D79" i="17"/>
  <c r="F79" i="17"/>
  <c r="D80" i="17"/>
  <c r="G80" i="17" s="1"/>
  <c r="F80" i="17"/>
  <c r="D81" i="17"/>
  <c r="E81" i="17" s="1"/>
  <c r="F81" i="17"/>
  <c r="D82" i="17"/>
  <c r="E82" i="17" s="1"/>
  <c r="F82" i="17"/>
  <c r="D83" i="17"/>
  <c r="G83" i="17" s="1"/>
  <c r="F83" i="17"/>
  <c r="D84" i="17"/>
  <c r="G84" i="17" s="1"/>
  <c r="F84" i="17"/>
  <c r="D85" i="17"/>
  <c r="G85" i="17" s="1"/>
  <c r="F85" i="17"/>
  <c r="D86" i="17"/>
  <c r="E86" i="17" s="1"/>
  <c r="F86" i="17"/>
  <c r="D87" i="17"/>
  <c r="E87" i="17" s="1"/>
  <c r="F87" i="17"/>
  <c r="D88" i="17"/>
  <c r="G88" i="17" s="1"/>
  <c r="F88" i="17"/>
  <c r="D89" i="17"/>
  <c r="F89" i="17"/>
  <c r="D90" i="17"/>
  <c r="E90" i="17" s="1"/>
  <c r="F90" i="17"/>
  <c r="D91" i="17"/>
  <c r="G91" i="17" s="1"/>
  <c r="F91" i="17"/>
  <c r="D92" i="17"/>
  <c r="G92" i="17" s="1"/>
  <c r="F92" i="17"/>
  <c r="D93" i="17"/>
  <c r="G93" i="17" s="1"/>
  <c r="F93" i="17"/>
  <c r="D94" i="17"/>
  <c r="E94" i="17" s="1"/>
  <c r="F94" i="17"/>
  <c r="D95" i="17"/>
  <c r="E95" i="17" s="1"/>
  <c r="F95" i="17"/>
  <c r="D96" i="17"/>
  <c r="G96" i="17" s="1"/>
  <c r="F96" i="17"/>
  <c r="D97" i="17"/>
  <c r="E97" i="17" s="1"/>
  <c r="F97" i="17"/>
  <c r="D98" i="17"/>
  <c r="E98" i="17" s="1"/>
  <c r="F98" i="17"/>
  <c r="D99" i="17"/>
  <c r="G99" i="17" s="1"/>
  <c r="F99" i="17"/>
  <c r="D100" i="17"/>
  <c r="G100" i="17" s="1"/>
  <c r="F100" i="17"/>
  <c r="D101" i="17"/>
  <c r="G101" i="17" s="1"/>
  <c r="F101" i="17"/>
  <c r="D102" i="17"/>
  <c r="E102" i="17" s="1"/>
  <c r="F102" i="17"/>
  <c r="D103" i="17"/>
  <c r="G103" i="17" s="1"/>
  <c r="F103" i="17"/>
  <c r="D104" i="17"/>
  <c r="G104" i="17" s="1"/>
  <c r="F104" i="17"/>
  <c r="D105" i="17"/>
  <c r="G105" i="17" s="1"/>
  <c r="F105" i="17"/>
  <c r="D106" i="17"/>
  <c r="E106" i="17" s="1"/>
  <c r="F106" i="17"/>
  <c r="D107" i="17"/>
  <c r="G107" i="17" s="1"/>
  <c r="F107" i="17"/>
  <c r="D108" i="17"/>
  <c r="G108" i="17" s="1"/>
  <c r="F108" i="17"/>
  <c r="D109" i="17"/>
  <c r="G109" i="17" s="1"/>
  <c r="F109" i="17"/>
  <c r="D110" i="17"/>
  <c r="E110" i="17" s="1"/>
  <c r="F110" i="17"/>
  <c r="D111" i="17"/>
  <c r="G111" i="17" s="1"/>
  <c r="F111" i="17"/>
  <c r="D112" i="17"/>
  <c r="G112" i="17" s="1"/>
  <c r="F112" i="17"/>
  <c r="D113" i="17"/>
  <c r="G113" i="17" s="1"/>
  <c r="F113" i="17"/>
  <c r="D114" i="17"/>
  <c r="E114" i="17" s="1"/>
  <c r="F114" i="17"/>
  <c r="D115" i="17"/>
  <c r="G115" i="17" s="1"/>
  <c r="F115" i="17"/>
  <c r="D116" i="17"/>
  <c r="G116" i="17" s="1"/>
  <c r="F116" i="17"/>
  <c r="D117" i="17"/>
  <c r="G117" i="17" s="1"/>
  <c r="F117" i="17"/>
  <c r="D118" i="17"/>
  <c r="E118" i="17" s="1"/>
  <c r="F118" i="17"/>
  <c r="D119" i="17"/>
  <c r="G119" i="17" s="1"/>
  <c r="F119" i="17"/>
  <c r="D120" i="17"/>
  <c r="G120" i="17" s="1"/>
  <c r="F120" i="17"/>
  <c r="D121" i="17"/>
  <c r="G121" i="17" s="1"/>
  <c r="F121" i="17"/>
  <c r="D122" i="17"/>
  <c r="E122" i="17" s="1"/>
  <c r="F122" i="17"/>
  <c r="D123" i="17"/>
  <c r="G123" i="17" s="1"/>
  <c r="F123" i="17"/>
  <c r="D124" i="17"/>
  <c r="G124" i="17" s="1"/>
  <c r="F124" i="17"/>
  <c r="D125" i="17"/>
  <c r="G125" i="17" s="1"/>
  <c r="F125" i="17"/>
  <c r="D126" i="17"/>
  <c r="E126" i="17" s="1"/>
  <c r="F126" i="17"/>
  <c r="D127" i="17"/>
  <c r="G127" i="17" s="1"/>
  <c r="F127" i="17"/>
  <c r="D128" i="17"/>
  <c r="G128" i="17" s="1"/>
  <c r="F128" i="17"/>
  <c r="D129" i="17"/>
  <c r="G129" i="17" s="1"/>
  <c r="F129" i="17"/>
  <c r="D130" i="17"/>
  <c r="E130" i="17" s="1"/>
  <c r="F130" i="17"/>
  <c r="D131" i="17"/>
  <c r="G131" i="17" s="1"/>
  <c r="F131" i="17"/>
  <c r="D132" i="17"/>
  <c r="G132" i="17" s="1"/>
  <c r="F132" i="17"/>
  <c r="D133" i="17"/>
  <c r="G133" i="17" s="1"/>
  <c r="F133" i="17"/>
  <c r="D134" i="17"/>
  <c r="E134" i="17" s="1"/>
  <c r="F134" i="17"/>
  <c r="D135" i="17"/>
  <c r="G135" i="17" s="1"/>
  <c r="F135" i="17"/>
  <c r="D136" i="17"/>
  <c r="G136" i="17" s="1"/>
  <c r="F136" i="17"/>
  <c r="D137" i="17"/>
  <c r="G137" i="17" s="1"/>
  <c r="F137" i="17"/>
  <c r="D138" i="17"/>
  <c r="E138" i="17" s="1"/>
  <c r="F138" i="17"/>
  <c r="G39" i="17" l="1"/>
  <c r="H61" i="17"/>
  <c r="H95" i="17"/>
  <c r="G95" i="17"/>
  <c r="H63" i="17"/>
  <c r="H9" i="17"/>
  <c r="H31" i="17"/>
  <c r="H71" i="17"/>
  <c r="H53" i="17"/>
  <c r="H29" i="17"/>
  <c r="H135" i="17"/>
  <c r="G71" i="17"/>
  <c r="H39" i="17"/>
  <c r="H17" i="17"/>
  <c r="H7" i="17"/>
  <c r="H107" i="17"/>
  <c r="H93" i="17"/>
  <c r="H21" i="17"/>
  <c r="H103" i="17"/>
  <c r="H85" i="17"/>
  <c r="G63" i="17"/>
  <c r="H79" i="17"/>
  <c r="H47" i="17"/>
  <c r="H123" i="17"/>
  <c r="H101" i="17"/>
  <c r="H87" i="17"/>
  <c r="G79" i="17"/>
  <c r="H69" i="17"/>
  <c r="H55" i="17"/>
  <c r="G47" i="17"/>
  <c r="H37" i="17"/>
  <c r="H25" i="17"/>
  <c r="H15" i="17"/>
  <c r="H119" i="17"/>
  <c r="G87" i="17"/>
  <c r="H77" i="17"/>
  <c r="G55" i="17"/>
  <c r="H45" i="17"/>
  <c r="H33" i="17"/>
  <c r="H23" i="17"/>
  <c r="H13" i="17"/>
  <c r="E101" i="17"/>
  <c r="H99" i="17"/>
  <c r="E93" i="17"/>
  <c r="H91" i="17"/>
  <c r="H83" i="17"/>
  <c r="H75" i="17"/>
  <c r="E69" i="17"/>
  <c r="H67" i="17"/>
  <c r="E61" i="17"/>
  <c r="H59" i="17"/>
  <c r="E53" i="17"/>
  <c r="H51" i="17"/>
  <c r="H43" i="17"/>
  <c r="E37" i="17"/>
  <c r="H35" i="17"/>
  <c r="G31" i="17"/>
  <c r="E29" i="17"/>
  <c r="H27" i="17"/>
  <c r="G23" i="17"/>
  <c r="E21" i="17"/>
  <c r="H19" i="17"/>
  <c r="G15" i="17"/>
  <c r="H11" i="17"/>
  <c r="G7" i="17"/>
  <c r="H131" i="17"/>
  <c r="H115" i="17"/>
  <c r="H127" i="17"/>
  <c r="H111" i="17"/>
  <c r="E99" i="17"/>
  <c r="H97" i="17"/>
  <c r="E91" i="17"/>
  <c r="H89" i="17"/>
  <c r="E83" i="17"/>
  <c r="H81" i="17"/>
  <c r="H73" i="17"/>
  <c r="E67" i="17"/>
  <c r="H65" i="17"/>
  <c r="E59" i="17"/>
  <c r="H57" i="17"/>
  <c r="E51" i="17"/>
  <c r="H49" i="17"/>
  <c r="E43" i="17"/>
  <c r="H41" i="17"/>
  <c r="E35" i="17"/>
  <c r="E27" i="17"/>
  <c r="E19" i="17"/>
  <c r="E11" i="17"/>
  <c r="H136" i="17"/>
  <c r="H132" i="17"/>
  <c r="H128" i="17"/>
  <c r="H108" i="17"/>
  <c r="H104" i="17"/>
  <c r="G97" i="17"/>
  <c r="G89" i="17"/>
  <c r="G73" i="17"/>
  <c r="G57" i="17"/>
  <c r="G49" i="17"/>
  <c r="G41" i="17"/>
  <c r="G33" i="17"/>
  <c r="G25" i="17"/>
  <c r="G17" i="17"/>
  <c r="G9" i="17"/>
  <c r="H137" i="17"/>
  <c r="H133" i="17"/>
  <c r="H129" i="17"/>
  <c r="H125" i="17"/>
  <c r="H121" i="17"/>
  <c r="H117" i="17"/>
  <c r="H113" i="17"/>
  <c r="H109" i="17"/>
  <c r="H105" i="17"/>
  <c r="H124" i="17"/>
  <c r="H120" i="17"/>
  <c r="H116" i="17"/>
  <c r="H112" i="17"/>
  <c r="G81" i="17"/>
  <c r="G65" i="17"/>
  <c r="E136" i="17"/>
  <c r="E132" i="17"/>
  <c r="E128" i="17"/>
  <c r="E124" i="17"/>
  <c r="E120" i="17"/>
  <c r="E116" i="17"/>
  <c r="E112" i="17"/>
  <c r="E108" i="17"/>
  <c r="G138" i="17"/>
  <c r="G134" i="17"/>
  <c r="G130" i="17"/>
  <c r="G126" i="17"/>
  <c r="G122" i="17"/>
  <c r="G118" i="17"/>
  <c r="G114" i="17"/>
  <c r="G110" i="17"/>
  <c r="G106" i="17"/>
  <c r="G102" i="17"/>
  <c r="H100" i="17"/>
  <c r="H98" i="17"/>
  <c r="H96" i="17"/>
  <c r="H94" i="17"/>
  <c r="H92" i="17"/>
  <c r="H90" i="17"/>
  <c r="H88" i="17"/>
  <c r="H86" i="17"/>
  <c r="H84" i="17"/>
  <c r="H82" i="17"/>
  <c r="H80" i="17"/>
  <c r="H78" i="17"/>
  <c r="H76" i="17"/>
  <c r="H74" i="17"/>
  <c r="H72" i="17"/>
  <c r="H70" i="17"/>
  <c r="H68" i="17"/>
  <c r="H66" i="17"/>
  <c r="H64" i="17"/>
  <c r="H62" i="17"/>
  <c r="H60" i="17"/>
  <c r="H58" i="17"/>
  <c r="H56" i="17"/>
  <c r="H54" i="17"/>
  <c r="H52" i="17"/>
  <c r="H50" i="17"/>
  <c r="H48" i="17"/>
  <c r="H46" i="17"/>
  <c r="H44" i="17"/>
  <c r="H42" i="17"/>
  <c r="H40" i="17"/>
  <c r="H38" i="17"/>
  <c r="H36" i="17"/>
  <c r="H34" i="17"/>
  <c r="H32" i="17"/>
  <c r="H30" i="17"/>
  <c r="H28" i="17"/>
  <c r="H26" i="17"/>
  <c r="H24" i="17"/>
  <c r="H22" i="17"/>
  <c r="H20" i="17"/>
  <c r="H18" i="17"/>
  <c r="H16" i="17"/>
  <c r="H14" i="17"/>
  <c r="H12" i="17"/>
  <c r="H10" i="17"/>
  <c r="H8" i="17"/>
  <c r="E135" i="17"/>
  <c r="E131" i="17"/>
  <c r="E127" i="17"/>
  <c r="E123" i="17"/>
  <c r="E119" i="17"/>
  <c r="E115" i="17"/>
  <c r="E111" i="17"/>
  <c r="E107" i="17"/>
  <c r="E103" i="17"/>
  <c r="H138" i="17"/>
  <c r="H134" i="17"/>
  <c r="H130" i="17"/>
  <c r="H126" i="17"/>
  <c r="H122" i="17"/>
  <c r="H118" i="17"/>
  <c r="H114" i="17"/>
  <c r="H110" i="17"/>
  <c r="H106" i="17"/>
  <c r="H102" i="17"/>
  <c r="E137" i="17"/>
  <c r="E133" i="17"/>
  <c r="E121" i="17"/>
  <c r="E117" i="17"/>
  <c r="E113" i="17"/>
  <c r="E109" i="17"/>
  <c r="E105" i="17"/>
  <c r="E100" i="17"/>
  <c r="G98" i="17"/>
  <c r="E96" i="17"/>
  <c r="G94" i="17"/>
  <c r="E92" i="17"/>
  <c r="G90" i="17"/>
  <c r="E88" i="17"/>
  <c r="G86" i="17"/>
  <c r="E84" i="17"/>
  <c r="G82" i="17"/>
  <c r="G78" i="17"/>
  <c r="G74" i="17"/>
  <c r="G70" i="17"/>
  <c r="E68" i="17"/>
  <c r="G66" i="17"/>
  <c r="E64" i="17"/>
  <c r="G62" i="17"/>
  <c r="E60" i="17"/>
  <c r="G58" i="17"/>
  <c r="E56" i="17"/>
  <c r="G54" i="17"/>
  <c r="E52" i="17"/>
  <c r="G50" i="17"/>
  <c r="E48" i="17"/>
  <c r="G46" i="17"/>
  <c r="G42" i="17"/>
  <c r="E40" i="17"/>
  <c r="G38" i="17"/>
  <c r="E36" i="17"/>
  <c r="G34" i="17"/>
  <c r="E32" i="17"/>
  <c r="G30" i="17"/>
  <c r="E28" i="17"/>
  <c r="G26" i="17"/>
  <c r="E24" i="17"/>
  <c r="G22" i="17"/>
  <c r="E20" i="17"/>
  <c r="G18" i="17"/>
  <c r="E16" i="17"/>
  <c r="G14" i="17"/>
  <c r="G10" i="17"/>
  <c r="E8" i="17"/>
  <c r="B64" i="6" l="1"/>
  <c r="C64" i="6" s="1"/>
  <c r="B60" i="6" l="1"/>
  <c r="C60" i="6" s="1"/>
  <c r="Q11" i="19" l="1"/>
  <c r="Q18" i="21" l="1"/>
  <c r="Q16" i="21"/>
  <c r="Q15" i="21"/>
  <c r="Q10" i="21"/>
  <c r="Q9" i="21"/>
  <c r="Q8" i="21"/>
  <c r="Q7" i="21"/>
  <c r="B52" i="6" l="1"/>
  <c r="B56" i="6"/>
  <c r="C56" i="6" s="1"/>
  <c r="C52" i="6" l="1"/>
  <c r="B44" i="6" l="1"/>
  <c r="L70" i="5" l="1"/>
  <c r="M70" i="5" s="1"/>
  <c r="D70" i="5"/>
  <c r="L71" i="5"/>
  <c r="M71" i="5" s="1"/>
  <c r="D71" i="5"/>
  <c r="L69" i="5"/>
  <c r="M69" i="5" s="1"/>
  <c r="D69" i="5"/>
  <c r="L68" i="5"/>
  <c r="M68" i="5" s="1"/>
  <c r="D68" i="5"/>
  <c r="L67" i="5"/>
  <c r="M67" i="5" s="1"/>
  <c r="D67" i="5"/>
  <c r="L65" i="5"/>
  <c r="M65" i="5" s="1"/>
  <c r="D65" i="5"/>
  <c r="L66" i="5"/>
  <c r="M66" i="5" s="1"/>
  <c r="D66" i="5"/>
  <c r="L72" i="5"/>
  <c r="M72" i="5" s="1"/>
  <c r="D72" i="5"/>
  <c r="L64" i="5"/>
  <c r="M64" i="5" s="1"/>
  <c r="D64" i="5"/>
  <c r="E104" i="17" l="1"/>
  <c r="E85" i="17"/>
  <c r="E71" i="17" l="1"/>
  <c r="E72" i="17"/>
  <c r="E80" i="17"/>
  <c r="E79" i="17"/>
  <c r="E70" i="17"/>
  <c r="E89" i="17"/>
  <c r="E75" i="17"/>
  <c r="E74" i="17"/>
  <c r="L57" i="5" l="1"/>
  <c r="M57" i="5" s="1"/>
  <c r="D57" i="5"/>
  <c r="L56" i="5"/>
  <c r="M56" i="5" s="1"/>
  <c r="D56" i="5"/>
  <c r="L53" i="5"/>
  <c r="M53" i="5" s="1"/>
  <c r="D53" i="5"/>
  <c r="L52" i="5"/>
  <c r="M52" i="5" s="1"/>
  <c r="I52" i="5"/>
  <c r="D52" i="5"/>
  <c r="L51" i="5"/>
  <c r="M51" i="5" s="1"/>
  <c r="D51" i="5"/>
  <c r="L50" i="5"/>
  <c r="M50" i="5" s="1"/>
  <c r="D50" i="5"/>
  <c r="L49" i="5"/>
  <c r="M49" i="5" s="1"/>
  <c r="I49" i="5"/>
  <c r="D49" i="5"/>
  <c r="L46" i="5"/>
  <c r="M46" i="5" s="1"/>
  <c r="J46" i="5"/>
  <c r="D46" i="5"/>
  <c r="L45" i="5"/>
  <c r="M45" i="5" s="1"/>
  <c r="I45" i="5"/>
  <c r="D45" i="5"/>
  <c r="L42" i="5"/>
  <c r="M42" i="5" s="1"/>
  <c r="I42" i="5"/>
  <c r="D42" i="5"/>
  <c r="L41" i="5"/>
  <c r="M41" i="5" s="1"/>
  <c r="J41" i="5"/>
  <c r="D41" i="5"/>
  <c r="L40" i="5"/>
  <c r="M40" i="5" s="1"/>
  <c r="I40" i="5"/>
  <c r="D40" i="5"/>
  <c r="L39" i="5"/>
  <c r="M39" i="5" s="1"/>
  <c r="J39" i="5"/>
  <c r="D39" i="5"/>
  <c r="L18" i="5"/>
  <c r="M18" i="5" s="1"/>
  <c r="D18" i="5"/>
  <c r="L16" i="5"/>
  <c r="M16" i="5" s="1"/>
  <c r="D16" i="5"/>
  <c r="L15" i="5"/>
  <c r="M15" i="5" s="1"/>
  <c r="I15" i="5"/>
  <c r="D15" i="5"/>
  <c r="L14" i="5"/>
  <c r="M14" i="5" s="1"/>
  <c r="D14" i="5"/>
  <c r="L13" i="5"/>
  <c r="M13" i="5" s="1"/>
  <c r="H13" i="5"/>
  <c r="D13" i="5" s="1"/>
  <c r="L12" i="5"/>
  <c r="M12" i="5" s="1"/>
  <c r="D12" i="5"/>
  <c r="N39" i="5" l="1"/>
  <c r="N41" i="5"/>
  <c r="N46" i="5"/>
  <c r="F6" i="17" l="1"/>
  <c r="D6" i="17"/>
  <c r="H6" i="17" s="1"/>
  <c r="F5" i="17"/>
  <c r="D5" i="17"/>
  <c r="H5" i="17" s="1"/>
  <c r="G5" i="17" l="1"/>
  <c r="G6" i="17"/>
  <c r="E6" i="17"/>
  <c r="E5" i="17"/>
  <c r="C19" i="3" l="1"/>
  <c r="C20" i="3" s="1"/>
  <c r="C21" i="3" s="1"/>
  <c r="C22" i="3" s="1"/>
  <c r="C23" i="3" s="1"/>
  <c r="C24" i="3" s="1"/>
  <c r="C25" i="3" s="1"/>
  <c r="C26" i="3" s="1"/>
  <c r="C27" i="3" s="1"/>
  <c r="C28" i="3" s="1"/>
  <c r="C29" i="3" s="1"/>
  <c r="C30" i="3" s="1"/>
  <c r="C31" i="3" s="1"/>
  <c r="C32" i="3" s="1"/>
  <c r="C33" i="3" s="1"/>
  <c r="C34" i="3" s="1"/>
  <c r="C35" i="3" s="1"/>
  <c r="C36" i="3" s="1"/>
  <c r="C48" i="6" l="1"/>
  <c r="C44" i="6"/>
  <c r="C40" i="6"/>
  <c r="I17" i="4" l="1"/>
  <c r="J17" i="4" s="1"/>
  <c r="J14" i="4"/>
  <c r="J23" i="5" l="1"/>
  <c r="N23" i="5" s="1"/>
  <c r="J27" i="5"/>
  <c r="N27" i="5" s="1"/>
  <c r="J2083" i="5"/>
  <c r="N2083" i="5" s="1"/>
  <c r="J2068" i="5"/>
  <c r="N2068" i="5" s="1"/>
  <c r="J1979" i="5"/>
  <c r="N1979" i="5" s="1"/>
  <c r="J1962" i="5"/>
  <c r="N1962" i="5" s="1"/>
  <c r="J1961" i="5"/>
  <c r="N1961" i="5" s="1"/>
  <c r="J1908" i="5"/>
  <c r="N1908" i="5" s="1"/>
  <c r="J2119" i="5"/>
  <c r="N2119" i="5" s="1"/>
  <c r="J2109" i="5"/>
  <c r="N2109" i="5" s="1"/>
  <c r="J2094" i="5"/>
  <c r="N2094" i="5" s="1"/>
  <c r="J2085" i="5"/>
  <c r="N2085" i="5" s="1"/>
  <c r="J2078" i="5"/>
  <c r="N2078" i="5" s="1"/>
  <c r="J1994" i="5"/>
  <c r="N1994" i="5" s="1"/>
  <c r="J1933" i="5"/>
  <c r="N1933" i="5" s="1"/>
  <c r="J1822" i="5"/>
  <c r="N1822" i="5" s="1"/>
  <c r="J1742" i="5"/>
  <c r="N1742" i="5" s="1"/>
  <c r="J1993" i="5"/>
  <c r="N1993" i="5" s="1"/>
  <c r="J1865" i="5"/>
  <c r="N1865" i="5" s="1"/>
  <c r="J1650" i="5"/>
  <c r="N1650" i="5" s="1"/>
  <c r="J1649" i="5"/>
  <c r="N1649" i="5" s="1"/>
  <c r="J1648" i="5"/>
  <c r="N1648" i="5" s="1"/>
  <c r="J1482" i="5"/>
  <c r="N1482" i="5" s="1"/>
  <c r="J2118" i="5"/>
  <c r="N2118" i="5" s="1"/>
  <c r="J2117" i="5"/>
  <c r="N2117" i="5" s="1"/>
  <c r="J2067" i="5"/>
  <c r="N2067" i="5" s="1"/>
  <c r="J1978" i="5"/>
  <c r="N1978" i="5" s="1"/>
  <c r="J1821" i="5"/>
  <c r="N1821" i="5" s="1"/>
  <c r="J1485" i="5"/>
  <c r="N1485" i="5" s="1"/>
  <c r="J2084" i="5"/>
  <c r="N2084" i="5" s="1"/>
  <c r="J1995" i="5"/>
  <c r="N1995" i="5" s="1"/>
  <c r="J1692" i="5"/>
  <c r="N1692" i="5" s="1"/>
  <c r="J1374" i="5"/>
  <c r="N1374" i="5" s="1"/>
  <c r="J1335" i="5"/>
  <c r="N1335" i="5" s="1"/>
  <c r="J1260" i="5"/>
  <c r="N1260" i="5" s="1"/>
  <c r="J1214" i="5"/>
  <c r="N1214" i="5" s="1"/>
  <c r="J1171" i="5"/>
  <c r="N1171" i="5" s="1"/>
  <c r="J1170" i="5"/>
  <c r="N1170" i="5" s="1"/>
  <c r="J1123" i="5"/>
  <c r="N1123" i="5" s="1"/>
  <c r="J1083" i="5"/>
  <c r="N1083" i="5" s="1"/>
  <c r="J1057" i="5"/>
  <c r="N1057" i="5" s="1"/>
  <c r="J1051" i="5"/>
  <c r="N1051" i="5" s="1"/>
  <c r="J1049" i="5"/>
  <c r="N1049" i="5" s="1"/>
  <c r="J899" i="5"/>
  <c r="N899" i="5" s="1"/>
  <c r="J814" i="5"/>
  <c r="N814" i="5" s="1"/>
  <c r="J777" i="5"/>
  <c r="N777" i="5" s="1"/>
  <c r="J679" i="5"/>
  <c r="N679" i="5" s="1"/>
  <c r="J2069" i="5"/>
  <c r="N2069" i="5" s="1"/>
  <c r="J1651" i="5"/>
  <c r="N1651" i="5" s="1"/>
  <c r="J1599" i="5"/>
  <c r="N1599" i="5" s="1"/>
  <c r="J1487" i="5"/>
  <c r="N1487" i="5" s="1"/>
  <c r="J1221" i="5"/>
  <c r="N1221" i="5" s="1"/>
  <c r="J1220" i="5"/>
  <c r="N1220" i="5" s="1"/>
  <c r="J1216" i="5"/>
  <c r="N1216" i="5" s="1"/>
  <c r="J1174" i="5"/>
  <c r="N1174" i="5" s="1"/>
  <c r="J1168" i="5"/>
  <c r="N1168" i="5" s="1"/>
  <c r="J1055" i="5"/>
  <c r="N1055" i="5" s="1"/>
  <c r="J1024" i="5"/>
  <c r="N1024" i="5" s="1"/>
  <c r="J932" i="5"/>
  <c r="N932" i="5" s="1"/>
  <c r="J923" i="5"/>
  <c r="N923" i="5" s="1"/>
  <c r="J897" i="5"/>
  <c r="N897" i="5" s="1"/>
  <c r="J882" i="5"/>
  <c r="N882" i="5" s="1"/>
  <c r="J846" i="5"/>
  <c r="N846" i="5" s="1"/>
  <c r="J830" i="5"/>
  <c r="N830" i="5" s="1"/>
  <c r="J792" i="5"/>
  <c r="N792" i="5" s="1"/>
  <c r="J791" i="5"/>
  <c r="N791" i="5" s="1"/>
  <c r="J779" i="5"/>
  <c r="N779" i="5" s="1"/>
  <c r="J1447" i="5"/>
  <c r="N1447" i="5" s="1"/>
  <c r="J1109" i="5"/>
  <c r="N1109" i="5" s="1"/>
  <c r="J1082" i="5"/>
  <c r="N1082" i="5" s="1"/>
  <c r="J1026" i="5"/>
  <c r="N1026" i="5" s="1"/>
  <c r="J931" i="5"/>
  <c r="N931" i="5" s="1"/>
  <c r="J735" i="5"/>
  <c r="N735" i="5" s="1"/>
  <c r="J573" i="5"/>
  <c r="N573" i="5" s="1"/>
  <c r="J402" i="5"/>
  <c r="N402" i="5" s="1"/>
  <c r="J244" i="5"/>
  <c r="N244" i="5" s="1"/>
  <c r="J168" i="5"/>
  <c r="N168" i="5" s="1"/>
  <c r="J1963" i="5"/>
  <c r="N1963" i="5" s="1"/>
  <c r="J1445" i="5"/>
  <c r="N1445" i="5" s="1"/>
  <c r="J1259" i="5"/>
  <c r="N1259" i="5" s="1"/>
  <c r="J1258" i="5"/>
  <c r="N1258" i="5" s="1"/>
  <c r="J1257" i="5"/>
  <c r="N1257" i="5" s="1"/>
  <c r="J1175" i="5"/>
  <c r="N1175" i="5" s="1"/>
  <c r="J1105" i="5"/>
  <c r="N1105" i="5" s="1"/>
  <c r="J1020" i="5"/>
  <c r="N1020" i="5" s="1"/>
  <c r="J908" i="5"/>
  <c r="N908" i="5" s="1"/>
  <c r="J847" i="5"/>
  <c r="N847" i="5" s="1"/>
  <c r="J831" i="5"/>
  <c r="N831" i="5" s="1"/>
  <c r="J815" i="5"/>
  <c r="N815" i="5" s="1"/>
  <c r="J790" i="5"/>
  <c r="N790" i="5" s="1"/>
  <c r="J678" i="5"/>
  <c r="N678" i="5" s="1"/>
  <c r="J677" i="5"/>
  <c r="N677" i="5" s="1"/>
  <c r="J572" i="5"/>
  <c r="N572" i="5" s="1"/>
  <c r="J565" i="5"/>
  <c r="N565" i="5" s="1"/>
  <c r="J266" i="5"/>
  <c r="N266" i="5" s="1"/>
  <c r="J169" i="5"/>
  <c r="N169" i="5" s="1"/>
  <c r="J82" i="5"/>
  <c r="N82" i="5" s="1"/>
  <c r="J1085" i="5"/>
  <c r="N1085" i="5" s="1"/>
  <c r="J1018" i="5"/>
  <c r="N1018" i="5" s="1"/>
  <c r="J845" i="5"/>
  <c r="N845" i="5" s="1"/>
  <c r="J813" i="5"/>
  <c r="N813" i="5" s="1"/>
  <c r="J267" i="5"/>
  <c r="N267" i="5" s="1"/>
  <c r="J126" i="5"/>
  <c r="N126" i="5" s="1"/>
  <c r="J2106" i="5"/>
  <c r="N2106" i="5" s="1"/>
  <c r="J1824" i="5"/>
  <c r="N1824" i="5" s="1"/>
  <c r="J1300" i="5"/>
  <c r="N1300" i="5" s="1"/>
  <c r="J1217" i="5"/>
  <c r="N1217" i="5" s="1"/>
  <c r="J1084" i="5"/>
  <c r="N1084" i="5" s="1"/>
  <c r="J883" i="5"/>
  <c r="N883" i="5" s="1"/>
  <c r="J778" i="5"/>
  <c r="N778" i="5" s="1"/>
  <c r="J166" i="5"/>
  <c r="N166" i="5" s="1"/>
  <c r="J165" i="5"/>
  <c r="N165" i="5" s="1"/>
  <c r="J125" i="5"/>
  <c r="N125" i="5" s="1"/>
  <c r="J1950" i="5"/>
  <c r="N1950" i="5" s="1"/>
  <c r="J1914" i="5"/>
  <c r="N1914" i="5" s="1"/>
  <c r="J933" i="5"/>
  <c r="N933" i="5" s="1"/>
  <c r="J881" i="5"/>
  <c r="N881" i="5" s="1"/>
  <c r="J401" i="5"/>
  <c r="N401" i="5" s="1"/>
  <c r="J920" i="5"/>
  <c r="N920" i="5" s="1"/>
  <c r="J1169" i="5"/>
  <c r="N1169" i="5" s="1"/>
  <c r="J898" i="5"/>
  <c r="N898" i="5" s="1"/>
  <c r="J892" i="5"/>
  <c r="N892" i="5" s="1"/>
  <c r="J634" i="5"/>
  <c r="N634" i="5" s="1"/>
  <c r="J365" i="5"/>
  <c r="N365" i="5" s="1"/>
  <c r="J167" i="5"/>
  <c r="N167" i="5" s="1"/>
  <c r="J1215" i="5"/>
  <c r="N1215" i="5" s="1"/>
  <c r="J243" i="5"/>
  <c r="N243" i="5" s="1"/>
  <c r="J67" i="5"/>
  <c r="N67" i="5" s="1"/>
  <c r="E77" i="17" l="1"/>
  <c r="E47" i="17"/>
  <c r="E76" i="17"/>
  <c r="E46" i="17"/>
  <c r="E45" i="17"/>
  <c r="E125" i="17" l="1"/>
  <c r="M33" i="12"/>
  <c r="R33" i="12"/>
  <c r="S33" i="12"/>
  <c r="T33" i="12" s="1"/>
  <c r="U33" i="12" s="1"/>
  <c r="X33" i="12"/>
  <c r="M34" i="12"/>
  <c r="R34" i="12"/>
  <c r="S34" i="12"/>
  <c r="T34" i="12" s="1"/>
  <c r="U34" i="12" s="1"/>
  <c r="X34" i="12"/>
  <c r="M35" i="12"/>
  <c r="R35" i="12"/>
  <c r="S35" i="12"/>
  <c r="T35" i="12" s="1"/>
  <c r="U35" i="12" s="1"/>
  <c r="X35" i="12"/>
  <c r="M36" i="12"/>
  <c r="R36" i="12"/>
  <c r="S36" i="12"/>
  <c r="T36" i="12" s="1"/>
  <c r="U36" i="12" s="1"/>
  <c r="X36" i="12"/>
  <c r="M37" i="12"/>
  <c r="R37" i="12"/>
  <c r="S37" i="12"/>
  <c r="T37" i="12" s="1"/>
  <c r="U37" i="12" s="1"/>
  <c r="X37" i="12"/>
  <c r="M38" i="12"/>
  <c r="R38" i="12"/>
  <c r="S38" i="12"/>
  <c r="T38" i="12" s="1"/>
  <c r="U38" i="12" s="1"/>
  <c r="X38" i="12"/>
  <c r="M39" i="12"/>
  <c r="R39" i="12"/>
  <c r="S39" i="12"/>
  <c r="T39" i="12" s="1"/>
  <c r="U39" i="12" s="1"/>
  <c r="X39" i="12"/>
  <c r="M40" i="12"/>
  <c r="R40" i="12"/>
  <c r="S40" i="12"/>
  <c r="T40" i="12" s="1"/>
  <c r="U40" i="12" s="1"/>
  <c r="X40" i="12"/>
  <c r="M41" i="12"/>
  <c r="R41" i="12"/>
  <c r="S41" i="12"/>
  <c r="T41" i="12" s="1"/>
  <c r="U41" i="12" s="1"/>
  <c r="X41" i="12"/>
  <c r="M42" i="12"/>
  <c r="R42" i="12"/>
  <c r="S42" i="12"/>
  <c r="T42" i="12" s="1"/>
  <c r="U42" i="12" s="1"/>
  <c r="X42" i="12"/>
  <c r="M43" i="12"/>
  <c r="R43" i="12"/>
  <c r="S43" i="12"/>
  <c r="T43" i="12" s="1"/>
  <c r="U43" i="12" s="1"/>
  <c r="X43" i="12"/>
  <c r="M44" i="12"/>
  <c r="R44" i="12"/>
  <c r="S44" i="12"/>
  <c r="T44" i="12" s="1"/>
  <c r="U44" i="12" s="1"/>
  <c r="X44" i="12"/>
  <c r="M45" i="12"/>
  <c r="R45" i="12"/>
  <c r="S45" i="12"/>
  <c r="T45" i="12" s="1"/>
  <c r="U45" i="12" s="1"/>
  <c r="X45" i="12"/>
  <c r="M46" i="12"/>
  <c r="R46" i="12"/>
  <c r="S46" i="12"/>
  <c r="T46" i="12" s="1"/>
  <c r="U46" i="12" s="1"/>
  <c r="X46" i="12"/>
  <c r="M47" i="12"/>
  <c r="R47" i="12"/>
  <c r="S47" i="12"/>
  <c r="T47" i="12" s="1"/>
  <c r="U47" i="12" s="1"/>
  <c r="X47" i="12"/>
  <c r="M48" i="12"/>
  <c r="R48" i="12"/>
  <c r="S48" i="12"/>
  <c r="T48" i="12" s="1"/>
  <c r="X48" i="12"/>
  <c r="M49" i="12"/>
  <c r="R49" i="12"/>
  <c r="R50" i="12" s="1"/>
  <c r="R51" i="12" s="1"/>
  <c r="S49" i="12"/>
  <c r="T49" i="12" s="1"/>
  <c r="U49" i="12" s="1"/>
  <c r="X49" i="12"/>
  <c r="C50" i="12"/>
  <c r="C51" i="12" s="1"/>
  <c r="D50" i="12"/>
  <c r="D51" i="12" s="1"/>
  <c r="E50" i="12"/>
  <c r="E51" i="12" s="1"/>
  <c r="F50" i="12"/>
  <c r="F51" i="12" s="1"/>
  <c r="G50" i="12"/>
  <c r="G51" i="12" s="1"/>
  <c r="H50" i="12"/>
  <c r="H51" i="12" s="1"/>
  <c r="I50" i="12"/>
  <c r="I51" i="12" s="1"/>
  <c r="J50" i="12"/>
  <c r="J51" i="12" s="1"/>
  <c r="K50" i="12"/>
  <c r="K51" i="12" s="1"/>
  <c r="L50" i="12"/>
  <c r="L51" i="12" s="1"/>
  <c r="N50" i="12"/>
  <c r="N51" i="12" s="1"/>
  <c r="O50" i="12"/>
  <c r="O51" i="12" s="1"/>
  <c r="P50" i="12"/>
  <c r="Q50" i="12"/>
  <c r="Q51" i="12" s="1"/>
  <c r="V50" i="12"/>
  <c r="V51" i="12" s="1"/>
  <c r="W50" i="12"/>
  <c r="W51" i="12" s="1"/>
  <c r="P51" i="12"/>
  <c r="M50" i="12" l="1"/>
  <c r="M51" i="12" s="1"/>
  <c r="X50" i="12"/>
  <c r="X51" i="12" s="1"/>
  <c r="S50" i="12"/>
  <c r="S51" i="12" s="1"/>
  <c r="U48" i="12"/>
  <c r="T50" i="12"/>
  <c r="U50" i="12" l="1"/>
  <c r="T51" i="12"/>
  <c r="U51" i="12" s="1"/>
  <c r="E129" i="17" l="1"/>
  <c r="G8" i="2" l="1"/>
  <c r="G7" i="2"/>
  <c r="D2985" i="2" l="1"/>
  <c r="F2985" i="2" s="1"/>
  <c r="D2958" i="2"/>
  <c r="F2958" i="2" s="1"/>
  <c r="D2936" i="2"/>
  <c r="F2936" i="2" s="1"/>
  <c r="D2915" i="2"/>
  <c r="F2915" i="2" s="1"/>
  <c r="D2904" i="2"/>
  <c r="F2904" i="2" s="1"/>
  <c r="D2883" i="2"/>
  <c r="F2883" i="2" s="1"/>
  <c r="D2869" i="2"/>
  <c r="F2869" i="2" s="1"/>
  <c r="D2858" i="2"/>
  <c r="F2858" i="2" s="1"/>
  <c r="D2850" i="2"/>
  <c r="F2850" i="2" s="1"/>
  <c r="D2965" i="2"/>
  <c r="F2965" i="2" s="1"/>
  <c r="D2943" i="2"/>
  <c r="F2943" i="2" s="1"/>
  <c r="D2935" i="2"/>
  <c r="F2935" i="2" s="1"/>
  <c r="D2914" i="2"/>
  <c r="F2914" i="2" s="1"/>
  <c r="D2905" i="2"/>
  <c r="F2905" i="2" s="1"/>
  <c r="D2884" i="2"/>
  <c r="F2884" i="2" s="1"/>
  <c r="D2870" i="2"/>
  <c r="F2870" i="2" s="1"/>
  <c r="D2859" i="2"/>
  <c r="F2859" i="2" s="1"/>
  <c r="D2995" i="2"/>
  <c r="F2995" i="2" s="1"/>
  <c r="D2931" i="2"/>
  <c r="F2931" i="2" s="1"/>
  <c r="D2895" i="2"/>
  <c r="F2895" i="2" s="1"/>
  <c r="D2695" i="2"/>
  <c r="F2695" i="2" s="1"/>
  <c r="D2678" i="2"/>
  <c r="F2678" i="2" s="1"/>
  <c r="D2656" i="2"/>
  <c r="F2656" i="2" s="1"/>
  <c r="D2644" i="2"/>
  <c r="F2644" i="2" s="1"/>
  <c r="D2633" i="2"/>
  <c r="F2633" i="2" s="1"/>
  <c r="D2621" i="2"/>
  <c r="F2621" i="2" s="1"/>
  <c r="D2611" i="2"/>
  <c r="F2611" i="2" s="1"/>
  <c r="D2600" i="2"/>
  <c r="F2600" i="2" s="1"/>
  <c r="D2589" i="2"/>
  <c r="F2589" i="2" s="1"/>
  <c r="D2574" i="2"/>
  <c r="F2574" i="2" s="1"/>
  <c r="D2565" i="2"/>
  <c r="F2565" i="2" s="1"/>
  <c r="D2553" i="2"/>
  <c r="F2553" i="2" s="1"/>
  <c r="D2536" i="2"/>
  <c r="F2536" i="2" s="1"/>
  <c r="D2526" i="2"/>
  <c r="F2526" i="2" s="1"/>
  <c r="D2518" i="2"/>
  <c r="F2518" i="2" s="1"/>
  <c r="D2972" i="2"/>
  <c r="F2972" i="2" s="1"/>
  <c r="D2922" i="2"/>
  <c r="F2922" i="2" s="1"/>
  <c r="D2978" i="2"/>
  <c r="F2978" i="2" s="1"/>
  <c r="D2925" i="2"/>
  <c r="F2925" i="2" s="1"/>
  <c r="D2889" i="2"/>
  <c r="F2889" i="2" s="1"/>
  <c r="D2686" i="2"/>
  <c r="F2686" i="2" s="1"/>
  <c r="D2673" i="2"/>
  <c r="F2673" i="2" s="1"/>
  <c r="D2650" i="2"/>
  <c r="F2650" i="2" s="1"/>
  <c r="D2637" i="2"/>
  <c r="F2637" i="2" s="1"/>
  <c r="D2626" i="2"/>
  <c r="F2626" i="2" s="1"/>
  <c r="D2615" i="2"/>
  <c r="F2615" i="2" s="1"/>
  <c r="D2604" i="2"/>
  <c r="F2604" i="2" s="1"/>
  <c r="D2593" i="2"/>
  <c r="F2593" i="2" s="1"/>
  <c r="D2582" i="2"/>
  <c r="F2582" i="2" s="1"/>
  <c r="D2569" i="2"/>
  <c r="F2569" i="2" s="1"/>
  <c r="D2558" i="2"/>
  <c r="F2558" i="2" s="1"/>
  <c r="D2539" i="2"/>
  <c r="F2539" i="2" s="1"/>
  <c r="D2530" i="2"/>
  <c r="F2530" i="2" s="1"/>
  <c r="D2521" i="2"/>
  <c r="F2521" i="2" s="1"/>
  <c r="D2513" i="2"/>
  <c r="F2513" i="2" s="1"/>
  <c r="D2505" i="2"/>
  <c r="F2505" i="2" s="1"/>
  <c r="D2953" i="2"/>
  <c r="F2953" i="2" s="1"/>
  <c r="D2896" i="2"/>
  <c r="F2896" i="2" s="1"/>
  <c r="D2514" i="2"/>
  <c r="F2514" i="2" s="1"/>
  <c r="D2441" i="2"/>
  <c r="F2441" i="2" s="1"/>
  <c r="D2420" i="2"/>
  <c r="F2420" i="2" s="1"/>
  <c r="D2400" i="2"/>
  <c r="F2400" i="2" s="1"/>
  <c r="D2378" i="2"/>
  <c r="F2378" i="2" s="1"/>
  <c r="D2359" i="2"/>
  <c r="F2359" i="2" s="1"/>
  <c r="D2340" i="2"/>
  <c r="F2340" i="2" s="1"/>
  <c r="D2317" i="2"/>
  <c r="F2317" i="2" s="1"/>
  <c r="D2297" i="2"/>
  <c r="F2297" i="2" s="1"/>
  <c r="D2274" i="2"/>
  <c r="F2274" i="2" s="1"/>
  <c r="D2264" i="2"/>
  <c r="F2264" i="2" s="1"/>
  <c r="D2253" i="2"/>
  <c r="F2253" i="2" s="1"/>
  <c r="D2245" i="2"/>
  <c r="F2245" i="2" s="1"/>
  <c r="D2235" i="2"/>
  <c r="F2235" i="2" s="1"/>
  <c r="D2227" i="2"/>
  <c r="F2227" i="2" s="1"/>
  <c r="D2219" i="2"/>
  <c r="F2219" i="2" s="1"/>
  <c r="D2165" i="2"/>
  <c r="D2148" i="2"/>
  <c r="D2126" i="2"/>
  <c r="F2126" i="2" s="1"/>
  <c r="D2114" i="2"/>
  <c r="D2102" i="2"/>
  <c r="F2102" i="2" s="1"/>
  <c r="D2088" i="2"/>
  <c r="F2088" i="2" s="1"/>
  <c r="D2073" i="2"/>
  <c r="F2073" i="2" s="1"/>
  <c r="D2058" i="2"/>
  <c r="F2058" i="2" s="1"/>
  <c r="D2043" i="2"/>
  <c r="F2043" i="2" s="1"/>
  <c r="D2024" i="2"/>
  <c r="F2024" i="2" s="1"/>
  <c r="D1981" i="2"/>
  <c r="F1981" i="2" s="1"/>
  <c r="D2983" i="2"/>
  <c r="F2983" i="2" s="1"/>
  <c r="D2942" i="2"/>
  <c r="F2942" i="2" s="1"/>
  <c r="D2934" i="2"/>
  <c r="F2934" i="2" s="1"/>
  <c r="D2910" i="2"/>
  <c r="F2910" i="2" s="1"/>
  <c r="D2902" i="2"/>
  <c r="F2902" i="2" s="1"/>
  <c r="D2878" i="2"/>
  <c r="F2878" i="2" s="1"/>
  <c r="D2866" i="2"/>
  <c r="F2866" i="2" s="1"/>
  <c r="D2856" i="2"/>
  <c r="F2856" i="2" s="1"/>
  <c r="D2959" i="2"/>
  <c r="F2959" i="2" s="1"/>
  <c r="D2941" i="2"/>
  <c r="F2941" i="2" s="1"/>
  <c r="D2933" i="2"/>
  <c r="F2933" i="2" s="1"/>
  <c r="D2911" i="2"/>
  <c r="F2911" i="2" s="1"/>
  <c r="D2903" i="2"/>
  <c r="F2903" i="2" s="1"/>
  <c r="D2882" i="2"/>
  <c r="F2882" i="2" s="1"/>
  <c r="D2867" i="2"/>
  <c r="F2867" i="2" s="1"/>
  <c r="D2857" i="2"/>
  <c r="F2857" i="2" s="1"/>
  <c r="D2974" i="2"/>
  <c r="F2974" i="2" s="1"/>
  <c r="D2927" i="2"/>
  <c r="F2927" i="2" s="1"/>
  <c r="D2891" i="2"/>
  <c r="F2891" i="2" s="1"/>
  <c r="D2693" i="2"/>
  <c r="F2693" i="2" s="1"/>
  <c r="D2676" i="2"/>
  <c r="F2676" i="2" s="1"/>
  <c r="D2653" i="2"/>
  <c r="F2653" i="2" s="1"/>
  <c r="D2642" i="2"/>
  <c r="F2642" i="2" s="1"/>
  <c r="D2630" i="2"/>
  <c r="F2630" i="2" s="1"/>
  <c r="D2618" i="2"/>
  <c r="F2618" i="2" s="1"/>
  <c r="D2609" i="2"/>
  <c r="F2609" i="2" s="1"/>
  <c r="D2597" i="2"/>
  <c r="F2597" i="2" s="1"/>
  <c r="D2585" i="2"/>
  <c r="F2585" i="2" s="1"/>
  <c r="D2573" i="2"/>
  <c r="D2562" i="2"/>
  <c r="F2562" i="2" s="1"/>
  <c r="D2551" i="2"/>
  <c r="F2551" i="2" s="1"/>
  <c r="D2534" i="2"/>
  <c r="F2534" i="2" s="1"/>
  <c r="D2524" i="2"/>
  <c r="F2524" i="2" s="1"/>
  <c r="D2516" i="2"/>
  <c r="F2516" i="2" s="1"/>
  <c r="D2951" i="2"/>
  <c r="F2951" i="2" s="1"/>
  <c r="D2898" i="2"/>
  <c r="F2898" i="2" s="1"/>
  <c r="D2580" i="2"/>
  <c r="F2580" i="2" s="1"/>
  <c r="D2954" i="2"/>
  <c r="F2954" i="2" s="1"/>
  <c r="D2921" i="2"/>
  <c r="F2921" i="2" s="1"/>
  <c r="D2699" i="2"/>
  <c r="F2699" i="2" s="1"/>
  <c r="D2684" i="2"/>
  <c r="F2684" i="2" s="1"/>
  <c r="D2658" i="2"/>
  <c r="F2658" i="2" s="1"/>
  <c r="D2646" i="2"/>
  <c r="F2646" i="2" s="1"/>
  <c r="D2634" i="2"/>
  <c r="F2634" i="2" s="1"/>
  <c r="D2622" i="2"/>
  <c r="F2622" i="2" s="1"/>
  <c r="D2612" i="2"/>
  <c r="F2612" i="2" s="1"/>
  <c r="D2601" i="2"/>
  <c r="F2601" i="2" s="1"/>
  <c r="D2590" i="2"/>
  <c r="F2590" i="2" s="1"/>
  <c r="D2579" i="2"/>
  <c r="D2566" i="2"/>
  <c r="F2566" i="2" s="1"/>
  <c r="D2556" i="2"/>
  <c r="F2556" i="2" s="1"/>
  <c r="D2537" i="2"/>
  <c r="F2537" i="2" s="1"/>
  <c r="D2527" i="2"/>
  <c r="F2527" i="2" s="1"/>
  <c r="D2519" i="2"/>
  <c r="F2519" i="2" s="1"/>
  <c r="D2511" i="2"/>
  <c r="F2511" i="2" s="1"/>
  <c r="D2948" i="2"/>
  <c r="F2948" i="2" s="1"/>
  <c r="D2892" i="2"/>
  <c r="F2892" i="2" s="1"/>
  <c r="D2506" i="2"/>
  <c r="F2506" i="2" s="1"/>
  <c r="D2457" i="2"/>
  <c r="F2457" i="2" s="1"/>
  <c r="D2436" i="2"/>
  <c r="F2436" i="2" s="1"/>
  <c r="D2417" i="2"/>
  <c r="F2417" i="2" s="1"/>
  <c r="D2396" i="2"/>
  <c r="F2396" i="2" s="1"/>
  <c r="D2375" i="2"/>
  <c r="F2375" i="2" s="1"/>
  <c r="D2356" i="2"/>
  <c r="F2356" i="2" s="1"/>
  <c r="D2337" i="2"/>
  <c r="F2337" i="2" s="1"/>
  <c r="D2312" i="2"/>
  <c r="F2312" i="2" s="1"/>
  <c r="D2293" i="2"/>
  <c r="F2293" i="2" s="1"/>
  <c r="D2270" i="2"/>
  <c r="F2270" i="2" s="1"/>
  <c r="D2262" i="2"/>
  <c r="F2262" i="2" s="1"/>
  <c r="D2251" i="2"/>
  <c r="F2251" i="2" s="1"/>
  <c r="D2243" i="2"/>
  <c r="F2243" i="2" s="1"/>
  <c r="D2233" i="2"/>
  <c r="F2233" i="2" s="1"/>
  <c r="D2225" i="2"/>
  <c r="F2225" i="2" s="1"/>
  <c r="D2209" i="2"/>
  <c r="F2209" i="2" s="1"/>
  <c r="D2184" i="2"/>
  <c r="D2161" i="2"/>
  <c r="D2142" i="2"/>
  <c r="D2124" i="2"/>
  <c r="F2124" i="2" s="1"/>
  <c r="D2111" i="2"/>
  <c r="F2111" i="2" s="1"/>
  <c r="D2098" i="2"/>
  <c r="D2084" i="2"/>
  <c r="F2084" i="2" s="1"/>
  <c r="D2067" i="2"/>
  <c r="F2067" i="2" s="1"/>
  <c r="D2052" i="2"/>
  <c r="F2052" i="2" s="1"/>
  <c r="D2037" i="2"/>
  <c r="F2037" i="2" s="1"/>
  <c r="D2020" i="2"/>
  <c r="F2020" i="2" s="1"/>
  <c r="D2966" i="2"/>
  <c r="F2966" i="2" s="1"/>
  <c r="D2940" i="2"/>
  <c r="F2940" i="2" s="1"/>
  <c r="D2919" i="2"/>
  <c r="F2919" i="2" s="1"/>
  <c r="D2908" i="2"/>
  <c r="F2908" i="2" s="1"/>
  <c r="D2887" i="2"/>
  <c r="F2887" i="2" s="1"/>
  <c r="D2874" i="2"/>
  <c r="F2874" i="2" s="1"/>
  <c r="D2863" i="2"/>
  <c r="F2863" i="2" s="1"/>
  <c r="D2854" i="2"/>
  <c r="F2854" i="2" s="1"/>
  <c r="D2984" i="2"/>
  <c r="F2984" i="2" s="1"/>
  <c r="D2957" i="2"/>
  <c r="F2957" i="2" s="1"/>
  <c r="D2939" i="2"/>
  <c r="F2939" i="2" s="1"/>
  <c r="D2918" i="2"/>
  <c r="F2918" i="2" s="1"/>
  <c r="D2909" i="2"/>
  <c r="F2909" i="2" s="1"/>
  <c r="D2901" i="2"/>
  <c r="F2901" i="2" s="1"/>
  <c r="D2875" i="2"/>
  <c r="F2875" i="2" s="1"/>
  <c r="D2865" i="2"/>
  <c r="F2865" i="2" s="1"/>
  <c r="D2855" i="2"/>
  <c r="F2855" i="2" s="1"/>
  <c r="D2969" i="2"/>
  <c r="F2969" i="2" s="1"/>
  <c r="D2923" i="2"/>
  <c r="F2923" i="2" s="1"/>
  <c r="D2851" i="2"/>
  <c r="F2851" i="2" s="1"/>
  <c r="D2687" i="2"/>
  <c r="F2687" i="2" s="1"/>
  <c r="D2674" i="2"/>
  <c r="F2674" i="2" s="1"/>
  <c r="D2651" i="2"/>
  <c r="F2651" i="2" s="1"/>
  <c r="D2638" i="2"/>
  <c r="F2638" i="2" s="1"/>
  <c r="D2627" i="2"/>
  <c r="F2627" i="2" s="1"/>
  <c r="D2616" i="2"/>
  <c r="F2616" i="2" s="1"/>
  <c r="D2605" i="2"/>
  <c r="F2605" i="2" s="1"/>
  <c r="D2594" i="2"/>
  <c r="F2594" i="2" s="1"/>
  <c r="D2583" i="2"/>
  <c r="F2583" i="2" s="1"/>
  <c r="D2570" i="2"/>
  <c r="F2570" i="2" s="1"/>
  <c r="D2560" i="2"/>
  <c r="F2560" i="2" s="1"/>
  <c r="D2541" i="2"/>
  <c r="F2541" i="2" s="1"/>
  <c r="D2531" i="2"/>
  <c r="F2531" i="2" s="1"/>
  <c r="D2522" i="2"/>
  <c r="F2522" i="2" s="1"/>
  <c r="D2930" i="2"/>
  <c r="F2930" i="2" s="1"/>
  <c r="D2894" i="2"/>
  <c r="F2894" i="2" s="1"/>
  <c r="D2993" i="2"/>
  <c r="F2993" i="2" s="1"/>
  <c r="D2949" i="2"/>
  <c r="F2949" i="2" s="1"/>
  <c r="D2897" i="2"/>
  <c r="F2897" i="2" s="1"/>
  <c r="D2694" i="2"/>
  <c r="F2694" i="2" s="1"/>
  <c r="D2677" i="2"/>
  <c r="F2677" i="2" s="1"/>
  <c r="D2655" i="2"/>
  <c r="F2655" i="2" s="1"/>
  <c r="D2643" i="2"/>
  <c r="F2643" i="2" s="1"/>
  <c r="D2631" i="2"/>
  <c r="F2631" i="2" s="1"/>
  <c r="D2620" i="2"/>
  <c r="F2620" i="2" s="1"/>
  <c r="D2610" i="2"/>
  <c r="F2610" i="2" s="1"/>
  <c r="D2598" i="2"/>
  <c r="F2598" i="2" s="1"/>
  <c r="D2588" i="2"/>
  <c r="F2588" i="2" s="1"/>
  <c r="D2576" i="2"/>
  <c r="F2576" i="2" s="1"/>
  <c r="D2564" i="2"/>
  <c r="F2564" i="2" s="1"/>
  <c r="D2552" i="2"/>
  <c r="F2552" i="2" s="1"/>
  <c r="D2535" i="2"/>
  <c r="F2535" i="2" s="1"/>
  <c r="D2525" i="2"/>
  <c r="F2525" i="2" s="1"/>
  <c r="D2517" i="2"/>
  <c r="F2517" i="2" s="1"/>
  <c r="D2509" i="2"/>
  <c r="F2509" i="2" s="1"/>
  <c r="D2991" i="2"/>
  <c r="F2991" i="2" s="1"/>
  <c r="D2928" i="2"/>
  <c r="F2928" i="2" s="1"/>
  <c r="D2849" i="2"/>
  <c r="F2849" i="2" s="1"/>
  <c r="D2452" i="2"/>
  <c r="F2452" i="2" s="1"/>
  <c r="D2429" i="2"/>
  <c r="F2429" i="2" s="1"/>
  <c r="D2410" i="2"/>
  <c r="F2410" i="2" s="1"/>
  <c r="D2390" i="2"/>
  <c r="F2390" i="2" s="1"/>
  <c r="D2370" i="2"/>
  <c r="F2370" i="2" s="1"/>
  <c r="D2348" i="2"/>
  <c r="F2348" i="2" s="1"/>
  <c r="D2332" i="2"/>
  <c r="F2332" i="2" s="1"/>
  <c r="D2307" i="2"/>
  <c r="F2307" i="2" s="1"/>
  <c r="D2288" i="2"/>
  <c r="F2288" i="2" s="1"/>
  <c r="D2268" i="2"/>
  <c r="F2268" i="2" s="1"/>
  <c r="D2260" i="2"/>
  <c r="F2260" i="2" s="1"/>
  <c r="D2249" i="2"/>
  <c r="F2249" i="2" s="1"/>
  <c r="D2241" i="2"/>
  <c r="F2241" i="2" s="1"/>
  <c r="D2231" i="2"/>
  <c r="F2231" i="2" s="1"/>
  <c r="D2223" i="2"/>
  <c r="F2223" i="2" s="1"/>
  <c r="D2207" i="2"/>
  <c r="F2207" i="2" s="1"/>
  <c r="D2179" i="2"/>
  <c r="E2179" i="2" s="1"/>
  <c r="F2179" i="2" s="1"/>
  <c r="D2156" i="2"/>
  <c r="E2156" i="2" s="1"/>
  <c r="F2156" i="2" s="1"/>
  <c r="D2132" i="2"/>
  <c r="F2132" i="2" s="1"/>
  <c r="D2122" i="2"/>
  <c r="F2122" i="2" s="1"/>
  <c r="D2109" i="2"/>
  <c r="F2109" i="2" s="1"/>
  <c r="D2095" i="2"/>
  <c r="F2095" i="2" s="1"/>
  <c r="D2080" i="2"/>
  <c r="F2080" i="2" s="1"/>
  <c r="D2064" i="2"/>
  <c r="E2064" i="2" s="1"/>
  <c r="F2064" i="2" s="1"/>
  <c r="D2048" i="2"/>
  <c r="E2048" i="2" s="1"/>
  <c r="F2048" i="2" s="1"/>
  <c r="D2033" i="2"/>
  <c r="E2033" i="2" s="1"/>
  <c r="F2033" i="2" s="1"/>
  <c r="D2010" i="2"/>
  <c r="F2010" i="2" s="1"/>
  <c r="D2960" i="2"/>
  <c r="F2960" i="2" s="1"/>
  <c r="D2885" i="2"/>
  <c r="F2885" i="2" s="1"/>
  <c r="D2916" i="2"/>
  <c r="F2916" i="2" s="1"/>
  <c r="D2862" i="2"/>
  <c r="F2862" i="2" s="1"/>
  <c r="D2700" i="2"/>
  <c r="F2700" i="2" s="1"/>
  <c r="D2635" i="2"/>
  <c r="F2635" i="2" s="1"/>
  <c r="D2592" i="2"/>
  <c r="F2592" i="2" s="1"/>
  <c r="D2538" i="2"/>
  <c r="F2538" i="2" s="1"/>
  <c r="D2994" i="2"/>
  <c r="F2994" i="2" s="1"/>
  <c r="D2987" i="2"/>
  <c r="F2987" i="2" s="1"/>
  <c r="D2675" i="2"/>
  <c r="F2675" i="2" s="1"/>
  <c r="D2617" i="2"/>
  <c r="F2617" i="2" s="1"/>
  <c r="D2572" i="2"/>
  <c r="F2572" i="2" s="1"/>
  <c r="F2573" i="2" s="1"/>
  <c r="D2523" i="2"/>
  <c r="F2523" i="2" s="1"/>
  <c r="D2976" i="2"/>
  <c r="F2976" i="2" s="1"/>
  <c r="D2407" i="2"/>
  <c r="F2407" i="2" s="1"/>
  <c r="D2329" i="2"/>
  <c r="F2329" i="2" s="1"/>
  <c r="D2257" i="2"/>
  <c r="F2257" i="2" s="1"/>
  <c r="D2221" i="2"/>
  <c r="F2221" i="2" s="1"/>
  <c r="D2152" i="2"/>
  <c r="D2093" i="2"/>
  <c r="F2093" i="2" s="1"/>
  <c r="D2030" i="2"/>
  <c r="F2030" i="2" s="1"/>
  <c r="D1922" i="2"/>
  <c r="F1922" i="2" s="1"/>
  <c r="D1862" i="2"/>
  <c r="F1862" i="2" s="1"/>
  <c r="D1837" i="2"/>
  <c r="F1837" i="2" s="1"/>
  <c r="D1828" i="2"/>
  <c r="F1828" i="2" s="1"/>
  <c r="D1771" i="2"/>
  <c r="F1771" i="2" s="1"/>
  <c r="D1758" i="2"/>
  <c r="F1758" i="2" s="1"/>
  <c r="D1745" i="2"/>
  <c r="F1745" i="2" s="1"/>
  <c r="D1731" i="2"/>
  <c r="F1731" i="2" s="1"/>
  <c r="D1715" i="2"/>
  <c r="F1715" i="2" s="1"/>
  <c r="D1695" i="2"/>
  <c r="F1695" i="2" s="1"/>
  <c r="D1681" i="2"/>
  <c r="F1681" i="2" s="1"/>
  <c r="D1670" i="2"/>
  <c r="F1670" i="2" s="1"/>
  <c r="D1660" i="2"/>
  <c r="F1660" i="2" s="1"/>
  <c r="D1648" i="2"/>
  <c r="F1648" i="2" s="1"/>
  <c r="D1638" i="2"/>
  <c r="F1638" i="2" s="1"/>
  <c r="D1628" i="2"/>
  <c r="F1628" i="2" s="1"/>
  <c r="D1618" i="2"/>
  <c r="F1618" i="2" s="1"/>
  <c r="D2512" i="2"/>
  <c r="F2512" i="2" s="1"/>
  <c r="D2462" i="2"/>
  <c r="F2462" i="2" s="1"/>
  <c r="D2440" i="2"/>
  <c r="F2440" i="2" s="1"/>
  <c r="D2422" i="2"/>
  <c r="F2422" i="2" s="1"/>
  <c r="D2402" i="2"/>
  <c r="F2402" i="2" s="1"/>
  <c r="D2382" i="2"/>
  <c r="F2382" i="2" s="1"/>
  <c r="D2361" i="2"/>
  <c r="F2361" i="2" s="1"/>
  <c r="D2342" i="2"/>
  <c r="F2342" i="2" s="1"/>
  <c r="D2319" i="2"/>
  <c r="F2319" i="2" s="1"/>
  <c r="D2299" i="2"/>
  <c r="F2299" i="2" s="1"/>
  <c r="D2276" i="2"/>
  <c r="F2276" i="2" s="1"/>
  <c r="D2211" i="2"/>
  <c r="F2211" i="2" s="1"/>
  <c r="D2185" i="2"/>
  <c r="E2185" i="2" s="1"/>
  <c r="F2185" i="2" s="1"/>
  <c r="D2162" i="2"/>
  <c r="E2162" i="2" s="1"/>
  <c r="F2162" i="2" s="1"/>
  <c r="D2143" i="2"/>
  <c r="E2143" i="2" s="1"/>
  <c r="F2143" i="2" s="1"/>
  <c r="D2077" i="2"/>
  <c r="E2077" i="2" s="1"/>
  <c r="F2077" i="2" s="1"/>
  <c r="D2034" i="2"/>
  <c r="E2034" i="2" s="1"/>
  <c r="F2034" i="2" s="1"/>
  <c r="D1999" i="2"/>
  <c r="F1999" i="2" s="1"/>
  <c r="D1990" i="2"/>
  <c r="F1990" i="2" s="1"/>
  <c r="D1974" i="2"/>
  <c r="F1974" i="2" s="1"/>
  <c r="D1954" i="2"/>
  <c r="F1954" i="2" s="1"/>
  <c r="D1943" i="2"/>
  <c r="F1943" i="2" s="1"/>
  <c r="D1931" i="2"/>
  <c r="F1931" i="2" s="1"/>
  <c r="D1919" i="2"/>
  <c r="F1919" i="2" s="1"/>
  <c r="D1907" i="2"/>
  <c r="F1907" i="2" s="1"/>
  <c r="D1890" i="2"/>
  <c r="F1890" i="2" s="1"/>
  <c r="D1875" i="2"/>
  <c r="F1875" i="2" s="1"/>
  <c r="D1852" i="2"/>
  <c r="F1852" i="2" s="1"/>
  <c r="D1825" i="2"/>
  <c r="F1825" i="2" s="1"/>
  <c r="D1813" i="2"/>
  <c r="F1813" i="2" s="1"/>
  <c r="D1804" i="2"/>
  <c r="F1804" i="2" s="1"/>
  <c r="D1794" i="2"/>
  <c r="F1794" i="2" s="1"/>
  <c r="D1739" i="2"/>
  <c r="F1739" i="2" s="1"/>
  <c r="D1707" i="2"/>
  <c r="F1707" i="2" s="1"/>
  <c r="D1615" i="2"/>
  <c r="E1615" i="2" s="1"/>
  <c r="F1615" i="2" s="1"/>
  <c r="D1599" i="2"/>
  <c r="F1599" i="2" s="1"/>
  <c r="D1589" i="2"/>
  <c r="F1589" i="2" s="1"/>
  <c r="D1568" i="2"/>
  <c r="D2443" i="2"/>
  <c r="F2443" i="2" s="1"/>
  <c r="D2425" i="2"/>
  <c r="F2425" i="2" s="1"/>
  <c r="D2406" i="2"/>
  <c r="F2406" i="2" s="1"/>
  <c r="D2385" i="2"/>
  <c r="F2385" i="2" s="1"/>
  <c r="D2363" i="2"/>
  <c r="F2363" i="2" s="1"/>
  <c r="D2344" i="2"/>
  <c r="F2344" i="2" s="1"/>
  <c r="D2321" i="2"/>
  <c r="F2321" i="2" s="1"/>
  <c r="D2302" i="2"/>
  <c r="F2302" i="2" s="1"/>
  <c r="D2938" i="2"/>
  <c r="F2938" i="2" s="1"/>
  <c r="D2871" i="2"/>
  <c r="F2871" i="2" s="1"/>
  <c r="D2967" i="2"/>
  <c r="F2967" i="2" s="1"/>
  <c r="D2907" i="2"/>
  <c r="F2907" i="2" s="1"/>
  <c r="D2853" i="2"/>
  <c r="F2853" i="2" s="1"/>
  <c r="D2685" i="2"/>
  <c r="F2685" i="2" s="1"/>
  <c r="D2625" i="2"/>
  <c r="F2625" i="2" s="1"/>
  <c r="D2578" i="2"/>
  <c r="F2578" i="2" s="1"/>
  <c r="F2579" i="2" s="1"/>
  <c r="D2529" i="2"/>
  <c r="F2529" i="2" s="1"/>
  <c r="D2926" i="2"/>
  <c r="F2926" i="2" s="1"/>
  <c r="D2929" i="2"/>
  <c r="F2929" i="2" s="1"/>
  <c r="D2652" i="2"/>
  <c r="F2652" i="2" s="1"/>
  <c r="D2606" i="2"/>
  <c r="F2606" i="2" s="1"/>
  <c r="D2561" i="2"/>
  <c r="F2561" i="2" s="1"/>
  <c r="D2515" i="2"/>
  <c r="F2515" i="2" s="1"/>
  <c r="D2924" i="2"/>
  <c r="F2924" i="2" s="1"/>
  <c r="D2387" i="2"/>
  <c r="F2387" i="2" s="1"/>
  <c r="D2303" i="2"/>
  <c r="F2303" i="2" s="1"/>
  <c r="D2247" i="2"/>
  <c r="F2247" i="2" s="1"/>
  <c r="D2205" i="2"/>
  <c r="F2205" i="2" s="1"/>
  <c r="D2129" i="2"/>
  <c r="D2076" i="2"/>
  <c r="D2008" i="2"/>
  <c r="F2008" i="2" s="1"/>
  <c r="D1903" i="2"/>
  <c r="F1903" i="2" s="1"/>
  <c r="D1860" i="2"/>
  <c r="F1860" i="2" s="1"/>
  <c r="D1834" i="2"/>
  <c r="F1834" i="2" s="1"/>
  <c r="D1785" i="2"/>
  <c r="F1785" i="2" s="1"/>
  <c r="D1769" i="2"/>
  <c r="F1769" i="2" s="1"/>
  <c r="D1755" i="2"/>
  <c r="F1755" i="2" s="1"/>
  <c r="D1742" i="2"/>
  <c r="F1742" i="2" s="1"/>
  <c r="D1729" i="2"/>
  <c r="F1729" i="2" s="1"/>
  <c r="D1703" i="2"/>
  <c r="F1703" i="2" s="1"/>
  <c r="D1693" i="2"/>
  <c r="F1693" i="2" s="1"/>
  <c r="D1676" i="2"/>
  <c r="F1676" i="2" s="1"/>
  <c r="D1668" i="2"/>
  <c r="F1668" i="2" s="1"/>
  <c r="D1657" i="2"/>
  <c r="F1657" i="2" s="1"/>
  <c r="D1646" i="2"/>
  <c r="F1646" i="2" s="1"/>
  <c r="D1636" i="2"/>
  <c r="F1636" i="2" s="1"/>
  <c r="D1626" i="2"/>
  <c r="F1626" i="2" s="1"/>
  <c r="D1611" i="2"/>
  <c r="D2456" i="2"/>
  <c r="F2456" i="2" s="1"/>
  <c r="D2435" i="2"/>
  <c r="F2435" i="2" s="1"/>
  <c r="D2419" i="2"/>
  <c r="F2419" i="2" s="1"/>
  <c r="D2398" i="2"/>
  <c r="F2398" i="2" s="1"/>
  <c r="D2377" i="2"/>
  <c r="F2377" i="2" s="1"/>
  <c r="D2358" i="2"/>
  <c r="F2358" i="2" s="1"/>
  <c r="D2339" i="2"/>
  <c r="F2339" i="2" s="1"/>
  <c r="D2316" i="2"/>
  <c r="F2316" i="2" s="1"/>
  <c r="D2296" i="2"/>
  <c r="F2296" i="2" s="1"/>
  <c r="D2273" i="2"/>
  <c r="F2273" i="2" s="1"/>
  <c r="D2202" i="2"/>
  <c r="F2202" i="2" s="1"/>
  <c r="D2180" i="2"/>
  <c r="E2180" i="2" s="1"/>
  <c r="F2180" i="2" s="1"/>
  <c r="D2158" i="2"/>
  <c r="E2158" i="2" s="1"/>
  <c r="F2158" i="2" s="1"/>
  <c r="D2130" i="2"/>
  <c r="E2130" i="2" s="1"/>
  <c r="F2130" i="2" s="1"/>
  <c r="D2065" i="2"/>
  <c r="E2065" i="2" s="1"/>
  <c r="F2065" i="2" s="1"/>
  <c r="D2005" i="2"/>
  <c r="F2005" i="2" s="1"/>
  <c r="D1997" i="2"/>
  <c r="F1997" i="2" s="1"/>
  <c r="D1986" i="2"/>
  <c r="F1986" i="2" s="1"/>
  <c r="D1972" i="2"/>
  <c r="F1972" i="2" s="1"/>
  <c r="D1952" i="2"/>
  <c r="F1952" i="2" s="1"/>
  <c r="D1940" i="2"/>
  <c r="F1940" i="2" s="1"/>
  <c r="D1929" i="2"/>
  <c r="F1929" i="2" s="1"/>
  <c r="D1916" i="2"/>
  <c r="F1916" i="2" s="1"/>
  <c r="D1899" i="2"/>
  <c r="F1899" i="2" s="1"/>
  <c r="D1887" i="2"/>
  <c r="F1887" i="2" s="1"/>
  <c r="D1873" i="2"/>
  <c r="F1873" i="2" s="1"/>
  <c r="D1850" i="2"/>
  <c r="F1850" i="2" s="1"/>
  <c r="D1823" i="2"/>
  <c r="F1823" i="2" s="1"/>
  <c r="D1811" i="2"/>
  <c r="F1811" i="2" s="1"/>
  <c r="D1802" i="2"/>
  <c r="F1802" i="2" s="1"/>
  <c r="D1789" i="2"/>
  <c r="F1789" i="2" s="1"/>
  <c r="D2917" i="2"/>
  <c r="F2917" i="2" s="1"/>
  <c r="D2873" i="2"/>
  <c r="F2873" i="2" s="1"/>
  <c r="D2649" i="2"/>
  <c r="F2649" i="2" s="1"/>
  <c r="D2557" i="2"/>
  <c r="F2557" i="2" s="1"/>
  <c r="D2629" i="2"/>
  <c r="F2629" i="2" s="1"/>
  <c r="D2532" i="2"/>
  <c r="F2532" i="2" s="1"/>
  <c r="D2426" i="2"/>
  <c r="F2426" i="2" s="1"/>
  <c r="D2266" i="2"/>
  <c r="F2266" i="2" s="1"/>
  <c r="D2171" i="2"/>
  <c r="D2045" i="2"/>
  <c r="F2045" i="2" s="1"/>
  <c r="D1864" i="2"/>
  <c r="F1864" i="2" s="1"/>
  <c r="D1830" i="2"/>
  <c r="F1830" i="2" s="1"/>
  <c r="D1761" i="2"/>
  <c r="F1761" i="2" s="1"/>
  <c r="D1733" i="2"/>
  <c r="F1733" i="2" s="1"/>
  <c r="D1699" i="2"/>
  <c r="F1699" i="2" s="1"/>
  <c r="D1672" i="2"/>
  <c r="F1672" i="2" s="1"/>
  <c r="D1653" i="2"/>
  <c r="F1653" i="2" s="1"/>
  <c r="D1631" i="2"/>
  <c r="F1631" i="2" s="1"/>
  <c r="D1581" i="2"/>
  <c r="E1581" i="2" s="1"/>
  <c r="F1581" i="2" s="1"/>
  <c r="D2451" i="2"/>
  <c r="F2451" i="2" s="1"/>
  <c r="D2412" i="2"/>
  <c r="F2412" i="2" s="1"/>
  <c r="D2372" i="2"/>
  <c r="F2372" i="2" s="1"/>
  <c r="D2334" i="2"/>
  <c r="F2334" i="2" s="1"/>
  <c r="D2290" i="2"/>
  <c r="F2290" i="2" s="1"/>
  <c r="D2200" i="2"/>
  <c r="F2200" i="2" s="1"/>
  <c r="D2153" i="2"/>
  <c r="D2061" i="2"/>
  <c r="E2061" i="2" s="1"/>
  <c r="F2061" i="2" s="1"/>
  <c r="D1995" i="2"/>
  <c r="F1995" i="2" s="1"/>
  <c r="D1965" i="2"/>
  <c r="F1965" i="2" s="1"/>
  <c r="D1936" i="2"/>
  <c r="F1936" i="2" s="1"/>
  <c r="D1914" i="2"/>
  <c r="F1914" i="2" s="1"/>
  <c r="D1880" i="2"/>
  <c r="E1880" i="2" s="1"/>
  <c r="F1880" i="2" s="1"/>
  <c r="D1848" i="2"/>
  <c r="F1848" i="2" s="1"/>
  <c r="D1809" i="2"/>
  <c r="F1809" i="2" s="1"/>
  <c r="D1778" i="2"/>
  <c r="F1778" i="2" s="1"/>
  <c r="D1711" i="2"/>
  <c r="F1711" i="2" s="1"/>
  <c r="D1612" i="2"/>
  <c r="E1612" i="2" s="1"/>
  <c r="F1612" i="2" s="1"/>
  <c r="D1594" i="2"/>
  <c r="F1594" i="2" s="1"/>
  <c r="D1578" i="2"/>
  <c r="E1578" i="2" s="1"/>
  <c r="F1578" i="2" s="1"/>
  <c r="D2438" i="2"/>
  <c r="F2438" i="2" s="1"/>
  <c r="D2416" i="2"/>
  <c r="F2416" i="2" s="1"/>
  <c r="D2391" i="2"/>
  <c r="F2391" i="2" s="1"/>
  <c r="D2360" i="2"/>
  <c r="F2360" i="2" s="1"/>
  <c r="D2336" i="2"/>
  <c r="F2336" i="2" s="1"/>
  <c r="D2308" i="2"/>
  <c r="F2308" i="2" s="1"/>
  <c r="D2278" i="2"/>
  <c r="F2278" i="2" s="1"/>
  <c r="D2265" i="2"/>
  <c r="F2265" i="2" s="1"/>
  <c r="D2256" i="2"/>
  <c r="F2256" i="2" s="1"/>
  <c r="D2246" i="2"/>
  <c r="F2246" i="2" s="1"/>
  <c r="D2238" i="2"/>
  <c r="F2238" i="2" s="1"/>
  <c r="D2228" i="2"/>
  <c r="F2228" i="2" s="1"/>
  <c r="D2220" i="2"/>
  <c r="F2220" i="2" s="1"/>
  <c r="D2192" i="2"/>
  <c r="F2192" i="2" s="1"/>
  <c r="D2163" i="2"/>
  <c r="D2145" i="2"/>
  <c r="D2125" i="2"/>
  <c r="F2125" i="2" s="1"/>
  <c r="D2112" i="2"/>
  <c r="D2100" i="2"/>
  <c r="D2085" i="2"/>
  <c r="F2085" i="2" s="1"/>
  <c r="D2072" i="2"/>
  <c r="F2072" i="2" s="1"/>
  <c r="D2053" i="2"/>
  <c r="F2053" i="2" s="1"/>
  <c r="D2038" i="2"/>
  <c r="F2038" i="2" s="1"/>
  <c r="D2021" i="2"/>
  <c r="F2021" i="2" s="1"/>
  <c r="D1980" i="2"/>
  <c r="F1980" i="2" s="1"/>
  <c r="D1882" i="2"/>
  <c r="D1861" i="2"/>
  <c r="F1861" i="2" s="1"/>
  <c r="D1836" i="2"/>
  <c r="F1836" i="2" s="1"/>
  <c r="D1827" i="2"/>
  <c r="F1827" i="2" s="1"/>
  <c r="D1773" i="2"/>
  <c r="F1773" i="2" s="1"/>
  <c r="D1759" i="2"/>
  <c r="F1759" i="2" s="1"/>
  <c r="D1747" i="2"/>
  <c r="F1747" i="2" s="1"/>
  <c r="D1734" i="2"/>
  <c r="F1734" i="2" s="1"/>
  <c r="D1718" i="2"/>
  <c r="F1718" i="2" s="1"/>
  <c r="D1697" i="2"/>
  <c r="F1697" i="2" s="1"/>
  <c r="D1682" i="2"/>
  <c r="F1682" i="2" s="1"/>
  <c r="D1671" i="2"/>
  <c r="F1671" i="2" s="1"/>
  <c r="D1659" i="2"/>
  <c r="F1659" i="2" s="1"/>
  <c r="D1647" i="2"/>
  <c r="F1647" i="2" s="1"/>
  <c r="D1637" i="2"/>
  <c r="F1637" i="2" s="1"/>
  <c r="D1627" i="2"/>
  <c r="F1627" i="2" s="1"/>
  <c r="D1617" i="2"/>
  <c r="F1617" i="2" s="1"/>
  <c r="D1584" i="2"/>
  <c r="D1563" i="2"/>
  <c r="D2442" i="2"/>
  <c r="F2442" i="2" s="1"/>
  <c r="D2424" i="2"/>
  <c r="F2424" i="2" s="1"/>
  <c r="D2403" i="2"/>
  <c r="F2403" i="2" s="1"/>
  <c r="D2384" i="2"/>
  <c r="F2384" i="2" s="1"/>
  <c r="D2362" i="2"/>
  <c r="F2362" i="2" s="1"/>
  <c r="D2343" i="2"/>
  <c r="F2343" i="2" s="1"/>
  <c r="D2320" i="2"/>
  <c r="F2320" i="2" s="1"/>
  <c r="D2300" i="2"/>
  <c r="F2300" i="2" s="1"/>
  <c r="D2277" i="2"/>
  <c r="F2277" i="2" s="1"/>
  <c r="D2203" i="2"/>
  <c r="F2203" i="2" s="1"/>
  <c r="D2177" i="2"/>
  <c r="D2155" i="2"/>
  <c r="D2113" i="2"/>
  <c r="D2075" i="2"/>
  <c r="D2036" i="2"/>
  <c r="D2000" i="2"/>
  <c r="F2000" i="2" s="1"/>
  <c r="D1988" i="2"/>
  <c r="F1988" i="2" s="1"/>
  <c r="D1973" i="2"/>
  <c r="F1973" i="2" s="1"/>
  <c r="D1958" i="2"/>
  <c r="F1958" i="2" s="1"/>
  <c r="D1944" i="2"/>
  <c r="F1944" i="2" s="1"/>
  <c r="D1932" i="2"/>
  <c r="F1932" i="2" s="1"/>
  <c r="D1920" i="2"/>
  <c r="F1920" i="2" s="1"/>
  <c r="D1908" i="2"/>
  <c r="F1908" i="2" s="1"/>
  <c r="D1896" i="2"/>
  <c r="F1896" i="2" s="1"/>
  <c r="D1886" i="2"/>
  <c r="F1886" i="2" s="1"/>
  <c r="D1872" i="2"/>
  <c r="F1872" i="2" s="1"/>
  <c r="D1849" i="2"/>
  <c r="F1849" i="2" s="1"/>
  <c r="D1820" i="2"/>
  <c r="F1820" i="2" s="1"/>
  <c r="D1810" i="2"/>
  <c r="F1810" i="2" s="1"/>
  <c r="D1801" i="2"/>
  <c r="F1801" i="2" s="1"/>
  <c r="D1788" i="2"/>
  <c r="F1788" i="2" s="1"/>
  <c r="D1738" i="2"/>
  <c r="F1738" i="2" s="1"/>
  <c r="D1710" i="2"/>
  <c r="F1710" i="2" s="1"/>
  <c r="D1607" i="2"/>
  <c r="D1596" i="2"/>
  <c r="F1596" i="2" s="1"/>
  <c r="D1586" i="2"/>
  <c r="F1586" i="2" s="1"/>
  <c r="D1566" i="2"/>
  <c r="E1566" i="2" s="1"/>
  <c r="F1566" i="2" s="1"/>
  <c r="D1551" i="2"/>
  <c r="D1529" i="2"/>
  <c r="D1507" i="2"/>
  <c r="D1490" i="2"/>
  <c r="D1464" i="2"/>
  <c r="F1464" i="2" s="1"/>
  <c r="D1446" i="2"/>
  <c r="D1424" i="2"/>
  <c r="D1397" i="2"/>
  <c r="D1370" i="2"/>
  <c r="D1353" i="2"/>
  <c r="D1329" i="2"/>
  <c r="D1304" i="2"/>
  <c r="D1248" i="2"/>
  <c r="F1248" i="2" s="1"/>
  <c r="D1238" i="2"/>
  <c r="F1238" i="2" s="1"/>
  <c r="D1229" i="2"/>
  <c r="F1229" i="2" s="1"/>
  <c r="D1220" i="2"/>
  <c r="F1220" i="2" s="1"/>
  <c r="D1204" i="2"/>
  <c r="D1150" i="2"/>
  <c r="D1093" i="2"/>
  <c r="D1071" i="2"/>
  <c r="D1052" i="2"/>
  <c r="D1031" i="2"/>
  <c r="D1013" i="2"/>
  <c r="D991" i="2"/>
  <c r="D896" i="2"/>
  <c r="F896" i="2" s="1"/>
  <c r="D886" i="2"/>
  <c r="F886" i="2" s="1"/>
  <c r="D869" i="2"/>
  <c r="F869" i="2" s="1"/>
  <c r="D855" i="2"/>
  <c r="F855" i="2" s="1"/>
  <c r="D844" i="2"/>
  <c r="F844" i="2" s="1"/>
  <c r="D1546" i="2"/>
  <c r="E1546" i="2" s="1"/>
  <c r="F1546" i="2" s="1"/>
  <c r="D1524" i="2"/>
  <c r="E1524" i="2" s="1"/>
  <c r="F1524" i="2" s="1"/>
  <c r="D1504" i="2"/>
  <c r="E1504" i="2" s="1"/>
  <c r="F1504" i="2" s="1"/>
  <c r="D1480" i="2"/>
  <c r="E1480" i="2" s="1"/>
  <c r="F1480" i="2" s="1"/>
  <c r="D1447" i="2"/>
  <c r="E1447" i="2" s="1"/>
  <c r="F1447" i="2" s="1"/>
  <c r="D1419" i="2"/>
  <c r="E1419" i="2" s="1"/>
  <c r="F1419" i="2" s="1"/>
  <c r="D1398" i="2"/>
  <c r="E1398" i="2" s="1"/>
  <c r="F1398" i="2" s="1"/>
  <c r="D1378" i="2"/>
  <c r="F1378" i="2" s="1"/>
  <c r="D1354" i="2"/>
  <c r="E1354" i="2" s="1"/>
  <c r="F1354" i="2" s="1"/>
  <c r="D1331" i="2"/>
  <c r="E1331" i="2" s="1"/>
  <c r="F1331" i="2" s="1"/>
  <c r="D1305" i="2"/>
  <c r="E1305" i="2" s="1"/>
  <c r="F1305" i="2" s="1"/>
  <c r="D1292" i="2"/>
  <c r="F1292" i="2" s="1"/>
  <c r="D1277" i="2"/>
  <c r="F1277" i="2" s="1"/>
  <c r="D1256" i="2"/>
  <c r="F1256" i="2" s="1"/>
  <c r="D1206" i="2"/>
  <c r="E1206" i="2" s="1"/>
  <c r="F1206" i="2" s="1"/>
  <c r="D1192" i="2"/>
  <c r="F1192" i="2" s="1"/>
  <c r="D1178" i="2"/>
  <c r="F1178" i="2" s="1"/>
  <c r="D1161" i="2"/>
  <c r="E1161" i="2" s="1"/>
  <c r="F1161" i="2" s="1"/>
  <c r="D1140" i="2"/>
  <c r="E1140" i="2" s="1"/>
  <c r="F1140" i="2" s="1"/>
  <c r="D1127" i="2"/>
  <c r="F1127" i="2" s="1"/>
  <c r="D2906" i="2"/>
  <c r="F2906" i="2" s="1"/>
  <c r="D2946" i="2"/>
  <c r="F2946" i="2" s="1"/>
  <c r="D2952" i="2"/>
  <c r="F2952" i="2" s="1"/>
  <c r="D2613" i="2"/>
  <c r="F2613" i="2" s="1"/>
  <c r="D2520" i="2"/>
  <c r="F2520" i="2" s="1"/>
  <c r="D2893" i="2"/>
  <c r="F2893" i="2" s="1"/>
  <c r="D2596" i="2"/>
  <c r="F2596" i="2" s="1"/>
  <c r="D2507" i="2"/>
  <c r="F2507" i="2" s="1"/>
  <c r="D2364" i="2"/>
  <c r="F2364" i="2" s="1"/>
  <c r="D2239" i="2"/>
  <c r="F2239" i="2" s="1"/>
  <c r="D2117" i="2"/>
  <c r="F2117" i="2" s="1"/>
  <c r="D1979" i="2"/>
  <c r="F1979" i="2" s="1"/>
  <c r="D1858" i="2"/>
  <c r="F1858" i="2" s="1"/>
  <c r="D1783" i="2"/>
  <c r="F1783" i="2" s="1"/>
  <c r="D1752" i="2"/>
  <c r="F1752" i="2" s="1"/>
  <c r="D1726" i="2"/>
  <c r="F1726" i="2" s="1"/>
  <c r="D1685" i="2"/>
  <c r="F1685" i="2" s="1"/>
  <c r="D1664" i="2"/>
  <c r="F1664" i="2" s="1"/>
  <c r="D1643" i="2"/>
  <c r="F1643" i="2" s="1"/>
  <c r="D1623" i="2"/>
  <c r="F1623" i="2" s="1"/>
  <c r="D2444" i="2"/>
  <c r="F2444" i="2" s="1"/>
  <c r="D2409" i="2"/>
  <c r="F2409" i="2" s="1"/>
  <c r="D2369" i="2"/>
  <c r="F2369" i="2" s="1"/>
  <c r="D2331" i="2"/>
  <c r="F2331" i="2" s="1"/>
  <c r="D2284" i="2"/>
  <c r="F2284" i="2" s="1"/>
  <c r="D2197" i="2"/>
  <c r="F2197" i="2" s="1"/>
  <c r="D2149" i="2"/>
  <c r="D2049" i="2"/>
  <c r="D1993" i="2"/>
  <c r="F1993" i="2" s="1"/>
  <c r="D1963" i="2"/>
  <c r="F1963" i="2" s="1"/>
  <c r="D1933" i="2"/>
  <c r="F1933" i="2" s="1"/>
  <c r="D1909" i="2"/>
  <c r="F1909" i="2" s="1"/>
  <c r="D1877" i="2"/>
  <c r="F1877" i="2" s="1"/>
  <c r="D1843" i="2"/>
  <c r="F1843" i="2" s="1"/>
  <c r="D1806" i="2"/>
  <c r="F1806" i="2" s="1"/>
  <c r="D1776" i="2"/>
  <c r="F1776" i="2" s="1"/>
  <c r="D1705" i="2"/>
  <c r="F1705" i="2" s="1"/>
  <c r="D1605" i="2"/>
  <c r="E1605" i="2" s="1"/>
  <c r="F1605" i="2" s="1"/>
  <c r="D1592" i="2"/>
  <c r="F1592" i="2" s="1"/>
  <c r="D2510" i="2"/>
  <c r="F2510" i="2" s="1"/>
  <c r="D2460" i="2"/>
  <c r="F2460" i="2" s="1"/>
  <c r="D2433" i="2"/>
  <c r="F2433" i="2" s="1"/>
  <c r="D2411" i="2"/>
  <c r="F2411" i="2" s="1"/>
  <c r="D2380" i="2"/>
  <c r="F2380" i="2" s="1"/>
  <c r="D2355" i="2"/>
  <c r="F2355" i="2" s="1"/>
  <c r="D2333" i="2"/>
  <c r="F2333" i="2" s="1"/>
  <c r="D2298" i="2"/>
  <c r="F2298" i="2" s="1"/>
  <c r="D2275" i="2"/>
  <c r="F2275" i="2" s="1"/>
  <c r="D2263" i="2"/>
  <c r="F2263" i="2" s="1"/>
  <c r="D2252" i="2"/>
  <c r="F2252" i="2" s="1"/>
  <c r="D2244" i="2"/>
  <c r="F2244" i="2" s="1"/>
  <c r="D2234" i="2"/>
  <c r="F2234" i="2" s="1"/>
  <c r="D2226" i="2"/>
  <c r="F2226" i="2" s="1"/>
  <c r="D2217" i="2"/>
  <c r="F2217" i="2" s="1"/>
  <c r="D2181" i="2"/>
  <c r="D2159" i="2"/>
  <c r="D2133" i="2"/>
  <c r="F2133" i="2" s="1"/>
  <c r="D2123" i="2"/>
  <c r="F2123" i="2" s="1"/>
  <c r="D2110" i="2"/>
  <c r="F2110" i="2" s="1"/>
  <c r="D2096" i="2"/>
  <c r="D2081" i="2"/>
  <c r="F2081" i="2" s="1"/>
  <c r="D2066" i="2"/>
  <c r="F2066" i="2" s="1"/>
  <c r="D2050" i="2"/>
  <c r="D2035" i="2"/>
  <c r="D2014" i="2"/>
  <c r="F2014" i="2" s="1"/>
  <c r="D1969" i="2"/>
  <c r="F1969" i="2" s="1"/>
  <c r="D1867" i="2"/>
  <c r="F1867" i="2" s="1"/>
  <c r="D1859" i="2"/>
  <c r="F1859" i="2" s="1"/>
  <c r="D1833" i="2"/>
  <c r="F1833" i="2" s="1"/>
  <c r="D1786" i="2"/>
  <c r="F1786" i="2" s="1"/>
  <c r="D1770" i="2"/>
  <c r="F1770" i="2" s="1"/>
  <c r="D1756" i="2"/>
  <c r="F1756" i="2" s="1"/>
  <c r="D1744" i="2"/>
  <c r="F1744" i="2" s="1"/>
  <c r="D1732" i="2"/>
  <c r="F1732" i="2" s="1"/>
  <c r="D1716" i="2"/>
  <c r="F1716" i="2" s="1"/>
  <c r="D1694" i="2"/>
  <c r="F1694" i="2" s="1"/>
  <c r="D1677" i="2"/>
  <c r="F1677" i="2" s="1"/>
  <c r="D1669" i="2"/>
  <c r="F1669" i="2" s="1"/>
  <c r="D1656" i="2"/>
  <c r="F1656" i="2" s="1"/>
  <c r="D1645" i="2"/>
  <c r="F1645" i="2" s="1"/>
  <c r="D1635" i="2"/>
  <c r="F1635" i="2" s="1"/>
  <c r="D1625" i="2"/>
  <c r="F1625" i="2" s="1"/>
  <c r="D1613" i="2"/>
  <c r="D1579" i="2"/>
  <c r="E1579" i="2" s="1"/>
  <c r="F1579" i="2" s="1"/>
  <c r="D2508" i="2"/>
  <c r="F2508" i="2" s="1"/>
  <c r="D2437" i="2"/>
  <c r="F2437" i="2" s="1"/>
  <c r="D2418" i="2"/>
  <c r="F2418" i="2" s="1"/>
  <c r="D2397" i="2"/>
  <c r="F2397" i="2" s="1"/>
  <c r="D2376" i="2"/>
  <c r="F2376" i="2" s="1"/>
  <c r="D2357" i="2"/>
  <c r="F2357" i="2" s="1"/>
  <c r="D2338" i="2"/>
  <c r="F2338" i="2" s="1"/>
  <c r="D2314" i="2"/>
  <c r="F2314" i="2" s="1"/>
  <c r="D2295" i="2"/>
  <c r="F2295" i="2" s="1"/>
  <c r="D2272" i="2"/>
  <c r="F2272" i="2" s="1"/>
  <c r="D2201" i="2"/>
  <c r="F2201" i="2" s="1"/>
  <c r="D2170" i="2"/>
  <c r="D2151" i="2"/>
  <c r="D2101" i="2"/>
  <c r="D2063" i="2"/>
  <c r="D2032" i="2"/>
  <c r="D1998" i="2"/>
  <c r="F1998" i="2" s="1"/>
  <c r="D1984" i="2"/>
  <c r="F1984" i="2" s="1"/>
  <c r="D1971" i="2"/>
  <c r="F1971" i="2" s="1"/>
  <c r="D1953" i="2"/>
  <c r="F1953" i="2" s="1"/>
  <c r="D1941" i="2"/>
  <c r="F1941" i="2" s="1"/>
  <c r="D1930" i="2"/>
  <c r="F1930" i="2" s="1"/>
  <c r="D1917" i="2"/>
  <c r="F1917" i="2" s="1"/>
  <c r="D1906" i="2"/>
  <c r="F1906" i="2" s="1"/>
  <c r="D1893" i="2"/>
  <c r="F1893" i="2" s="1"/>
  <c r="D1878" i="2"/>
  <c r="F1878" i="2" s="1"/>
  <c r="D1869" i="2"/>
  <c r="F1869" i="2" s="1"/>
  <c r="D1845" i="2"/>
  <c r="F1845" i="2" s="1"/>
  <c r="D1818" i="2"/>
  <c r="F1818" i="2" s="1"/>
  <c r="D1808" i="2"/>
  <c r="F1808" i="2" s="1"/>
  <c r="D1799" i="2"/>
  <c r="F1799" i="2" s="1"/>
  <c r="D1779" i="2"/>
  <c r="F1779" i="2" s="1"/>
  <c r="D1722" i="2"/>
  <c r="F1722" i="2" s="1"/>
  <c r="D1706" i="2"/>
  <c r="F1706" i="2" s="1"/>
  <c r="D1603" i="2"/>
  <c r="F1603" i="2" s="1"/>
  <c r="D1593" i="2"/>
  <c r="F1593" i="2" s="1"/>
  <c r="D1580" i="2"/>
  <c r="D1564" i="2"/>
  <c r="E1564" i="2" s="1"/>
  <c r="F1564" i="2" s="1"/>
  <c r="D1545" i="2"/>
  <c r="D1523" i="2"/>
  <c r="D1503" i="2"/>
  <c r="D1484" i="2"/>
  <c r="D1462" i="2"/>
  <c r="F1462" i="2" s="1"/>
  <c r="D1442" i="2"/>
  <c r="D1418" i="2"/>
  <c r="D1390" i="2"/>
  <c r="D1368" i="2"/>
  <c r="F1368" i="2" s="1"/>
  <c r="D1348" i="2"/>
  <c r="D1321" i="2"/>
  <c r="D1262" i="2"/>
  <c r="F1262" i="2" s="1"/>
  <c r="D1246" i="2"/>
  <c r="F1246" i="2" s="1"/>
  <c r="D1236" i="2"/>
  <c r="F1236" i="2" s="1"/>
  <c r="D1227" i="2"/>
  <c r="F1227" i="2" s="1"/>
  <c r="D1218" i="2"/>
  <c r="F1218" i="2" s="1"/>
  <c r="D1165" i="2"/>
  <c r="D1144" i="2"/>
  <c r="D1087" i="2"/>
  <c r="D1066" i="2"/>
  <c r="D1047" i="2"/>
  <c r="D1027" i="2"/>
  <c r="D1007" i="2"/>
  <c r="D987" i="2"/>
  <c r="D894" i="2"/>
  <c r="F894" i="2" s="1"/>
  <c r="D884" i="2"/>
  <c r="F884" i="2" s="1"/>
  <c r="E271" i="1" s="1"/>
  <c r="F271" i="1" s="1"/>
  <c r="D865" i="2"/>
  <c r="F865" i="2" s="1"/>
  <c r="D853" i="2"/>
  <c r="F853" i="2" s="1"/>
  <c r="D842" i="2"/>
  <c r="F842" i="2" s="1"/>
  <c r="D1538" i="2"/>
  <c r="E1538" i="2" s="1"/>
  <c r="F1538" i="2" s="1"/>
  <c r="D1517" i="2"/>
  <c r="E1517" i="2" s="1"/>
  <c r="F1517" i="2" s="1"/>
  <c r="D1498" i="2"/>
  <c r="E1498" i="2" s="1"/>
  <c r="F1498" i="2" s="1"/>
  <c r="D1459" i="2"/>
  <c r="E1459" i="2" s="1"/>
  <c r="F1459" i="2" s="1"/>
  <c r="D1437" i="2"/>
  <c r="E1437" i="2" s="1"/>
  <c r="F1437" i="2" s="1"/>
  <c r="D1413" i="2"/>
  <c r="F1413" i="2" s="1"/>
  <c r="D1392" i="2"/>
  <c r="E1392" i="2" s="1"/>
  <c r="F1392" i="2" s="1"/>
  <c r="D1374" i="2"/>
  <c r="E1374" i="2" s="1"/>
  <c r="F1374" i="2" s="1"/>
  <c r="D1350" i="2"/>
  <c r="E1350" i="2" s="1"/>
  <c r="F1350" i="2" s="1"/>
  <c r="D1322" i="2"/>
  <c r="E1322" i="2" s="1"/>
  <c r="F1322" i="2" s="1"/>
  <c r="D1300" i="2"/>
  <c r="E1300" i="2" s="1"/>
  <c r="F1300" i="2" s="1"/>
  <c r="D1286" i="2"/>
  <c r="F1286" i="2" s="1"/>
  <c r="D1273" i="2"/>
  <c r="F1273" i="2" s="1"/>
  <c r="D1254" i="2"/>
  <c r="F1254" i="2" s="1"/>
  <c r="D1200" i="2"/>
  <c r="F1200" i="2" s="1"/>
  <c r="D1188" i="2"/>
  <c r="F1188" i="2" s="1"/>
  <c r="D1176" i="2"/>
  <c r="F1176" i="2" s="1"/>
  <c r="D1156" i="2"/>
  <c r="E1156" i="2" s="1"/>
  <c r="F1156" i="2" s="1"/>
  <c r="D1135" i="2"/>
  <c r="F1135" i="2" s="1"/>
  <c r="D2861" i="2"/>
  <c r="F2861" i="2" s="1"/>
  <c r="D2886" i="2"/>
  <c r="F2886" i="2" s="1"/>
  <c r="D2568" i="2"/>
  <c r="F2568" i="2" s="1"/>
  <c r="D2692" i="2"/>
  <c r="F2692" i="2" s="1"/>
  <c r="D2229" i="2"/>
  <c r="F2229" i="2" s="1"/>
  <c r="D1968" i="2"/>
  <c r="F1968" i="2" s="1"/>
  <c r="D1781" i="2"/>
  <c r="F1781" i="2" s="1"/>
  <c r="D1717" i="2"/>
  <c r="F1717" i="2" s="1"/>
  <c r="D1662" i="2"/>
  <c r="F1662" i="2" s="1"/>
  <c r="D1620" i="2"/>
  <c r="F1620" i="2" s="1"/>
  <c r="D2389" i="2"/>
  <c r="F2389" i="2" s="1"/>
  <c r="D2305" i="2"/>
  <c r="F2305" i="2" s="1"/>
  <c r="D2166" i="2"/>
  <c r="D2001" i="2"/>
  <c r="F2001" i="2" s="1"/>
  <c r="D1946" i="2"/>
  <c r="F1946" i="2" s="1"/>
  <c r="D1892" i="2"/>
  <c r="F1892" i="2" s="1"/>
  <c r="D1819" i="2"/>
  <c r="F1819" i="2" s="1"/>
  <c r="D1721" i="2"/>
  <c r="F1721" i="2" s="1"/>
  <c r="D1597" i="2"/>
  <c r="F1597" i="2" s="1"/>
  <c r="D2430" i="2"/>
  <c r="F2430" i="2" s="1"/>
  <c r="D2374" i="2"/>
  <c r="F2374" i="2" s="1"/>
  <c r="D2318" i="2"/>
  <c r="F2318" i="2" s="1"/>
  <c r="D2269" i="2"/>
  <c r="F2269" i="2" s="1"/>
  <c r="D2250" i="2"/>
  <c r="F2250" i="2" s="1"/>
  <c r="D2232" i="2"/>
  <c r="F2232" i="2" s="1"/>
  <c r="D2208" i="2"/>
  <c r="F2208" i="2" s="1"/>
  <c r="D2154" i="2"/>
  <c r="D2118" i="2"/>
  <c r="F2118" i="2" s="1"/>
  <c r="D2094" i="2"/>
  <c r="F2094" i="2" s="1"/>
  <c r="D2062" i="2"/>
  <c r="D2031" i="2"/>
  <c r="D1956" i="2"/>
  <c r="F1956" i="2" s="1"/>
  <c r="D1857" i="2"/>
  <c r="F1857" i="2" s="1"/>
  <c r="D1784" i="2"/>
  <c r="F1784" i="2" s="1"/>
  <c r="D1753" i="2"/>
  <c r="F1753" i="2" s="1"/>
  <c r="D1730" i="2"/>
  <c r="F1730" i="2" s="1"/>
  <c r="D1692" i="2"/>
  <c r="F1692" i="2" s="1"/>
  <c r="D1663" i="2"/>
  <c r="F1663" i="2" s="1"/>
  <c r="D1642" i="2"/>
  <c r="F1642" i="2" s="1"/>
  <c r="D1622" i="2"/>
  <c r="F1622" i="2" s="1"/>
  <c r="D1571" i="2"/>
  <c r="E1571" i="2" s="1"/>
  <c r="F1571" i="2" s="1"/>
  <c r="D2432" i="2"/>
  <c r="F2432" i="2" s="1"/>
  <c r="D2393" i="2"/>
  <c r="F2393" i="2" s="1"/>
  <c r="D2354" i="2"/>
  <c r="F2354" i="2" s="1"/>
  <c r="D2310" i="2"/>
  <c r="F2310" i="2" s="1"/>
  <c r="D2214" i="2"/>
  <c r="F2214" i="2" s="1"/>
  <c r="D2164" i="2"/>
  <c r="D2097" i="2"/>
  <c r="D2004" i="2"/>
  <c r="F2004" i="2" s="1"/>
  <c r="D1977" i="2"/>
  <c r="F1977" i="2" s="1"/>
  <c r="D1951" i="2"/>
  <c r="F1951" i="2" s="1"/>
  <c r="D1928" i="2"/>
  <c r="F1928" i="2" s="1"/>
  <c r="D1900" i="2"/>
  <c r="F1900" i="2" s="1"/>
  <c r="D1876" i="2"/>
  <c r="F1876" i="2" s="1"/>
  <c r="D1824" i="2"/>
  <c r="F1824" i="2" s="1"/>
  <c r="D1805" i="2"/>
  <c r="F1805" i="2" s="1"/>
  <c r="D1777" i="2"/>
  <c r="F1777" i="2" s="1"/>
  <c r="D1689" i="2"/>
  <c r="F1689" i="2" s="1"/>
  <c r="D1591" i="2"/>
  <c r="F1591" i="2" s="1"/>
  <c r="D1567" i="2"/>
  <c r="E1567" i="2" s="1"/>
  <c r="F1567" i="2" s="1"/>
  <c r="D1513" i="2"/>
  <c r="D1479" i="2"/>
  <c r="D1434" i="2"/>
  <c r="E1434" i="2" s="1"/>
  <c r="F1434" i="2" s="1"/>
  <c r="D1385" i="2"/>
  <c r="D1342" i="2"/>
  <c r="D1260" i="2"/>
  <c r="F1260" i="2" s="1"/>
  <c r="D1233" i="2"/>
  <c r="F1233" i="2" s="1"/>
  <c r="D1214" i="2"/>
  <c r="F1214" i="2" s="1"/>
  <c r="D1139" i="2"/>
  <c r="E1139" i="2" s="1"/>
  <c r="F1139" i="2" s="1"/>
  <c r="D1062" i="2"/>
  <c r="D1023" i="2"/>
  <c r="D900" i="2"/>
  <c r="F900" i="2" s="1"/>
  <c r="D879" i="2"/>
  <c r="F879" i="2" s="1"/>
  <c r="D851" i="2"/>
  <c r="F851" i="2" s="1"/>
  <c r="D1536" i="2"/>
  <c r="E1536" i="2" s="1"/>
  <c r="F1536" i="2" s="1"/>
  <c r="D1491" i="2"/>
  <c r="E1491" i="2" s="1"/>
  <c r="F1491" i="2" s="1"/>
  <c r="D1435" i="2"/>
  <c r="E1435" i="2" s="1"/>
  <c r="F1435" i="2" s="1"/>
  <c r="D1386" i="2"/>
  <c r="D1344" i="2"/>
  <c r="E1344" i="2" s="1"/>
  <c r="F1344" i="2" s="1"/>
  <c r="D1297" i="2"/>
  <c r="F1297" i="2" s="1"/>
  <c r="D1269" i="2"/>
  <c r="F1269" i="2" s="1"/>
  <c r="D1198" i="2"/>
  <c r="F1198" i="2" s="1"/>
  <c r="D1174" i="2"/>
  <c r="F1174" i="2" s="1"/>
  <c r="D1133" i="2"/>
  <c r="F1133" i="2" s="1"/>
  <c r="D1118" i="2"/>
  <c r="F1118" i="2" s="1"/>
  <c r="D1108" i="2"/>
  <c r="F1108" i="2" s="1"/>
  <c r="D1088" i="2"/>
  <c r="D1067" i="2"/>
  <c r="D1048" i="2"/>
  <c r="D1028" i="2"/>
  <c r="D1010" i="2"/>
  <c r="D983" i="2"/>
  <c r="F983" i="2" s="1"/>
  <c r="D973" i="2"/>
  <c r="F973" i="2" s="1"/>
  <c r="D964" i="2"/>
  <c r="F964" i="2" s="1"/>
  <c r="D954" i="2"/>
  <c r="F954" i="2" s="1"/>
  <c r="D946" i="2"/>
  <c r="F946" i="2" s="1"/>
  <c r="D935" i="2"/>
  <c r="F935" i="2" s="1"/>
  <c r="D925" i="2"/>
  <c r="F925" i="2" s="1"/>
  <c r="D917" i="2"/>
  <c r="F917" i="2" s="1"/>
  <c r="D908" i="2"/>
  <c r="F908" i="2" s="1"/>
  <c r="D880" i="2"/>
  <c r="F880" i="2" s="1"/>
  <c r="D1559" i="2"/>
  <c r="E1559" i="2" s="1"/>
  <c r="F1559" i="2" s="1"/>
  <c r="D1543" i="2"/>
  <c r="E1543" i="2" s="1"/>
  <c r="F1543" i="2" s="1"/>
  <c r="D1521" i="2"/>
  <c r="E1521" i="2" s="1"/>
  <c r="F1521" i="2" s="1"/>
  <c r="D1492" i="2"/>
  <c r="E1492" i="2" s="1"/>
  <c r="F1492" i="2" s="1"/>
  <c r="D1467" i="2"/>
  <c r="F1467" i="2" s="1"/>
  <c r="D1438" i="2"/>
  <c r="E1438" i="2" s="1"/>
  <c r="F1438" i="2" s="1"/>
  <c r="D1422" i="2"/>
  <c r="E1422" i="2" s="1"/>
  <c r="F1422" i="2" s="1"/>
  <c r="D1394" i="2"/>
  <c r="E1394" i="2" s="1"/>
  <c r="F1394" i="2" s="1"/>
  <c r="D1367" i="2"/>
  <c r="F1367" i="2" s="1"/>
  <c r="D1345" i="2"/>
  <c r="E1345" i="2" s="1"/>
  <c r="F1345" i="2" s="1"/>
  <c r="D1318" i="2"/>
  <c r="E1318" i="2" s="1"/>
  <c r="F1318" i="2" s="1"/>
  <c r="D1263" i="2"/>
  <c r="F1263" i="2" s="1"/>
  <c r="D1245" i="2"/>
  <c r="F1245" i="2" s="1"/>
  <c r="D1232" i="2"/>
  <c r="F1232" i="2" s="1"/>
  <c r="D1223" i="2"/>
  <c r="F1223" i="2" s="1"/>
  <c r="D1213" i="2"/>
  <c r="F1213" i="2" s="1"/>
  <c r="D1152" i="2"/>
  <c r="E1152" i="2" s="1"/>
  <c r="F1152" i="2" s="1"/>
  <c r="D1095" i="2"/>
  <c r="E1095" i="2" s="1"/>
  <c r="F1095" i="2" s="1"/>
  <c r="D1074" i="2"/>
  <c r="E1074" i="2" s="1"/>
  <c r="F1074" i="2" s="1"/>
  <c r="D1054" i="2"/>
  <c r="E1054" i="2" s="1"/>
  <c r="F1054" i="2" s="1"/>
  <c r="D1034" i="2"/>
  <c r="E1034" i="2" s="1"/>
  <c r="F1034" i="2" s="1"/>
  <c r="D1015" i="2"/>
  <c r="E1015" i="2" s="1"/>
  <c r="F1015" i="2" s="1"/>
  <c r="D993" i="2"/>
  <c r="E993" i="2" s="1"/>
  <c r="F993" i="2" s="1"/>
  <c r="D895" i="2"/>
  <c r="F895" i="2" s="1"/>
  <c r="D885" i="2"/>
  <c r="F885" i="2" s="1"/>
  <c r="D867" i="2"/>
  <c r="F867" i="2" s="1"/>
  <c r="D856" i="2"/>
  <c r="F856" i="2" s="1"/>
  <c r="D845" i="2"/>
  <c r="F845" i="2" s="1"/>
  <c r="D1556" i="2"/>
  <c r="E1556" i="2" s="1"/>
  <c r="F1556" i="2" s="1"/>
  <c r="D1540" i="2"/>
  <c r="E1540" i="2" s="1"/>
  <c r="F1540" i="2" s="1"/>
  <c r="D1522" i="2"/>
  <c r="E1522" i="2" s="1"/>
  <c r="F1522" i="2" s="1"/>
  <c r="D1494" i="2"/>
  <c r="E1494" i="2" s="1"/>
  <c r="F1494" i="2" s="1"/>
  <c r="D1461" i="2"/>
  <c r="E1461" i="2" s="1"/>
  <c r="F1461" i="2" s="1"/>
  <c r="D1441" i="2"/>
  <c r="E1441" i="2" s="1"/>
  <c r="F1441" i="2" s="1"/>
  <c r="D1414" i="2"/>
  <c r="F1414" i="2" s="1"/>
  <c r="D1396" i="2"/>
  <c r="E1396" i="2" s="1"/>
  <c r="F1396" i="2" s="1"/>
  <c r="D1376" i="2"/>
  <c r="E1376" i="2" s="1"/>
  <c r="F1376" i="2" s="1"/>
  <c r="D1346" i="2"/>
  <c r="E1346" i="2" s="1"/>
  <c r="F1346" i="2" s="1"/>
  <c r="D1319" i="2"/>
  <c r="E1319" i="2" s="1"/>
  <c r="F1319" i="2" s="1"/>
  <c r="D1298" i="2"/>
  <c r="F1298" i="2" s="1"/>
  <c r="D1284" i="2"/>
  <c r="F1284" i="2" s="1"/>
  <c r="D1272" i="2"/>
  <c r="F1272" i="2" s="1"/>
  <c r="D1255" i="2"/>
  <c r="F1255" i="2" s="1"/>
  <c r="D1199" i="2"/>
  <c r="F1199" i="2" s="1"/>
  <c r="D1186" i="2"/>
  <c r="F1186" i="2" s="1"/>
  <c r="D1175" i="2"/>
  <c r="F1175" i="2" s="1"/>
  <c r="D1153" i="2"/>
  <c r="E1153" i="2" s="1"/>
  <c r="F1153" i="2" s="1"/>
  <c r="D1134" i="2"/>
  <c r="F1134" i="2" s="1"/>
  <c r="D1123" i="2"/>
  <c r="F1123" i="2" s="1"/>
  <c r="D1112" i="2"/>
  <c r="F1112" i="2" s="1"/>
  <c r="D1096" i="2"/>
  <c r="E1096" i="2" s="1"/>
  <c r="F1096" i="2" s="1"/>
  <c r="D1069" i="2"/>
  <c r="E1069" i="2" s="1"/>
  <c r="F1069" i="2" s="1"/>
  <c r="D1051" i="2"/>
  <c r="E1051" i="2" s="1"/>
  <c r="F1051" i="2" s="1"/>
  <c r="D1030" i="2"/>
  <c r="E1030" i="2" s="1"/>
  <c r="F1030" i="2" s="1"/>
  <c r="D1012" i="2"/>
  <c r="E1012" i="2" s="1"/>
  <c r="F1012" i="2" s="1"/>
  <c r="D990" i="2"/>
  <c r="E990" i="2" s="1"/>
  <c r="F990" i="2" s="1"/>
  <c r="D976" i="2"/>
  <c r="F976" i="2" s="1"/>
  <c r="D967" i="2"/>
  <c r="F967" i="2" s="1"/>
  <c r="D959" i="2"/>
  <c r="F959" i="2" s="1"/>
  <c r="D949" i="2"/>
  <c r="F949" i="2" s="1"/>
  <c r="D940" i="2"/>
  <c r="F940" i="2" s="1"/>
  <c r="D932" i="2"/>
  <c r="F932" i="2" s="1"/>
  <c r="D922" i="2"/>
  <c r="F922" i="2" s="1"/>
  <c r="D911" i="2"/>
  <c r="F911" i="2" s="1"/>
  <c r="D903" i="2"/>
  <c r="F903" i="2" s="1"/>
  <c r="D864" i="2"/>
  <c r="F864" i="2" s="1"/>
  <c r="D824" i="2"/>
  <c r="F824" i="2" s="1"/>
  <c r="D763" i="2"/>
  <c r="D747" i="2"/>
  <c r="E747" i="2" s="1"/>
  <c r="F747" i="2" s="1"/>
  <c r="D2852" i="2"/>
  <c r="F2852" i="2" s="1"/>
  <c r="D2899" i="2"/>
  <c r="F2899" i="2" s="1"/>
  <c r="D2639" i="2"/>
  <c r="F2639" i="2" s="1"/>
  <c r="D2811" i="2"/>
  <c r="F2811" i="2" s="1"/>
  <c r="D2446" i="2"/>
  <c r="F2446" i="2" s="1"/>
  <c r="D1866" i="2"/>
  <c r="F1866" i="2" s="1"/>
  <c r="D1764" i="2"/>
  <c r="F1764" i="2" s="1"/>
  <c r="D1701" i="2"/>
  <c r="F1701" i="2" s="1"/>
  <c r="D1655" i="2"/>
  <c r="F1655" i="2" s="1"/>
  <c r="D1608" i="2"/>
  <c r="F1608" i="2" s="1"/>
  <c r="D2431" i="2"/>
  <c r="F2431" i="2" s="1"/>
  <c r="D2351" i="2"/>
  <c r="F2351" i="2" s="1"/>
  <c r="D2215" i="2"/>
  <c r="F2215" i="2" s="1"/>
  <c r="D2115" i="2"/>
  <c r="E2115" i="2" s="1"/>
  <c r="F2115" i="2" s="1"/>
  <c r="D1983" i="2"/>
  <c r="F1983" i="2" s="1"/>
  <c r="D1927" i="2"/>
  <c r="F1927" i="2" s="1"/>
  <c r="D1871" i="2"/>
  <c r="F1871" i="2" s="1"/>
  <c r="D1800" i="2"/>
  <c r="F1800" i="2" s="1"/>
  <c r="D1690" i="2"/>
  <c r="F1690" i="2" s="1"/>
  <c r="D1587" i="2"/>
  <c r="F1587" i="2" s="1"/>
  <c r="D2421" i="2"/>
  <c r="F2421" i="2" s="1"/>
  <c r="D2371" i="2"/>
  <c r="F2371" i="2" s="1"/>
  <c r="D2311" i="2"/>
  <c r="F2311" i="2" s="1"/>
  <c r="D2267" i="2"/>
  <c r="F2267" i="2" s="1"/>
  <c r="D2248" i="2"/>
  <c r="F2248" i="2" s="1"/>
  <c r="D2230" i="2"/>
  <c r="F2230" i="2" s="1"/>
  <c r="D2206" i="2"/>
  <c r="F2206" i="2" s="1"/>
  <c r="D2150" i="2"/>
  <c r="E2150" i="2" s="1"/>
  <c r="F2150" i="2" s="1"/>
  <c r="D2116" i="2"/>
  <c r="F2116" i="2" s="1"/>
  <c r="D2089" i="2"/>
  <c r="F2089" i="2" s="1"/>
  <c r="D2059" i="2"/>
  <c r="F2059" i="2" s="1"/>
  <c r="D2029" i="2"/>
  <c r="F2029" i="2" s="1"/>
  <c r="D1904" i="2"/>
  <c r="F1904" i="2" s="1"/>
  <c r="D1839" i="2"/>
  <c r="F1839" i="2" s="1"/>
  <c r="D1782" i="2"/>
  <c r="F1782" i="2" s="1"/>
  <c r="D1750" i="2"/>
  <c r="F1750" i="2" s="1"/>
  <c r="D1725" i="2"/>
  <c r="F1725" i="2" s="1"/>
  <c r="D1684" i="2"/>
  <c r="F1684" i="2" s="1"/>
  <c r="D1661" i="2"/>
  <c r="F1661" i="2" s="1"/>
  <c r="D1640" i="2"/>
  <c r="F1640" i="2" s="1"/>
  <c r="D1619" i="2"/>
  <c r="F1619" i="2" s="1"/>
  <c r="D1569" i="2"/>
  <c r="D2427" i="2"/>
  <c r="F2427" i="2" s="1"/>
  <c r="D2388" i="2"/>
  <c r="F2388" i="2" s="1"/>
  <c r="D2346" i="2"/>
  <c r="F2346" i="2" s="1"/>
  <c r="D2304" i="2"/>
  <c r="F2304" i="2" s="1"/>
  <c r="D2212" i="2"/>
  <c r="F2212" i="2" s="1"/>
  <c r="D2160" i="2"/>
  <c r="E2160" i="2" s="1"/>
  <c r="F2160" i="2" s="1"/>
  <c r="D2079" i="2"/>
  <c r="E2079" i="2" s="1"/>
  <c r="F2079" i="2" s="1"/>
  <c r="D2002" i="2"/>
  <c r="F2002" i="2" s="1"/>
  <c r="D1975" i="2"/>
  <c r="F1975" i="2" s="1"/>
  <c r="D1947" i="2"/>
  <c r="F1947" i="2" s="1"/>
  <c r="D1926" i="2"/>
  <c r="F1926" i="2" s="1"/>
  <c r="D1898" i="2"/>
  <c r="F1898" i="2" s="1"/>
  <c r="D1874" i="2"/>
  <c r="F1874" i="2" s="1"/>
  <c r="D1822" i="2"/>
  <c r="F1822" i="2" s="1"/>
  <c r="D1803" i="2"/>
  <c r="F1803" i="2" s="1"/>
  <c r="D1775" i="2"/>
  <c r="F1775" i="2" s="1"/>
  <c r="D1614" i="2"/>
  <c r="F1614" i="2" s="1"/>
  <c r="D1588" i="2"/>
  <c r="F1588" i="2" s="1"/>
  <c r="D1557" i="2"/>
  <c r="E1557" i="2" s="1"/>
  <c r="F1557" i="2" s="1"/>
  <c r="D1509" i="2"/>
  <c r="E1509" i="2" s="1"/>
  <c r="F1509" i="2" s="1"/>
  <c r="D1468" i="2"/>
  <c r="F1468" i="2" s="1"/>
  <c r="D1426" i="2"/>
  <c r="E1426" i="2" s="1"/>
  <c r="F1426" i="2" s="1"/>
  <c r="D1377" i="2"/>
  <c r="E1377" i="2" s="1"/>
  <c r="F1377" i="2" s="1"/>
  <c r="D1336" i="2"/>
  <c r="E1336" i="2" s="1"/>
  <c r="F1336" i="2" s="1"/>
  <c r="D1250" i="2"/>
  <c r="F1250" i="2" s="1"/>
  <c r="D1231" i="2"/>
  <c r="F1231" i="2" s="1"/>
  <c r="D1210" i="2"/>
  <c r="E1210" i="2" s="1"/>
  <c r="F1210" i="2" s="1"/>
  <c r="D1097" i="2"/>
  <c r="E1097" i="2" s="1"/>
  <c r="F1097" i="2" s="1"/>
  <c r="D1056" i="2"/>
  <c r="E1056" i="2" s="1"/>
  <c r="F1056" i="2" s="1"/>
  <c r="D1017" i="2"/>
  <c r="E1017" i="2" s="1"/>
  <c r="F1017" i="2" s="1"/>
  <c r="D898" i="2"/>
  <c r="F898" i="2" s="1"/>
  <c r="D875" i="2"/>
  <c r="F875" i="2" s="1"/>
  <c r="D846" i="2"/>
  <c r="F846" i="2" s="1"/>
  <c r="D1530" i="2"/>
  <c r="D1485" i="2"/>
  <c r="D1427" i="2"/>
  <c r="D1380" i="2"/>
  <c r="F1380" i="2" s="1"/>
  <c r="D1338" i="2"/>
  <c r="D1294" i="2"/>
  <c r="F1294" i="2" s="1"/>
  <c r="D1266" i="2"/>
  <c r="F1266" i="2" s="1"/>
  <c r="D1195" i="2"/>
  <c r="F1195" i="2" s="1"/>
  <c r="D1172" i="2"/>
  <c r="F1172" i="2" s="1"/>
  <c r="D1130" i="2"/>
  <c r="F1130" i="2" s="1"/>
  <c r="D1116" i="2"/>
  <c r="F1116" i="2" s="1"/>
  <c r="D1106" i="2"/>
  <c r="F1106" i="2" s="1"/>
  <c r="D1084" i="2"/>
  <c r="E1084" i="2" s="1"/>
  <c r="F1084" i="2" s="1"/>
  <c r="D1063" i="2"/>
  <c r="E1063" i="2" s="1"/>
  <c r="F1063" i="2" s="1"/>
  <c r="D1044" i="2"/>
  <c r="E1044" i="2" s="1"/>
  <c r="F1044" i="2" s="1"/>
  <c r="D1024" i="2"/>
  <c r="E1024" i="2" s="1"/>
  <c r="F1024" i="2" s="1"/>
  <c r="D1002" i="2"/>
  <c r="E1002" i="2" s="1"/>
  <c r="F1002" i="2" s="1"/>
  <c r="D979" i="2"/>
  <c r="F979" i="2" s="1"/>
  <c r="D971" i="2"/>
  <c r="F971" i="2" s="1"/>
  <c r="D962" i="2"/>
  <c r="F962" i="2" s="1"/>
  <c r="D952" i="2"/>
  <c r="F952" i="2" s="1"/>
  <c r="D944" i="2"/>
  <c r="F944" i="2" s="1"/>
  <c r="D933" i="2"/>
  <c r="F933" i="2" s="1"/>
  <c r="D923" i="2"/>
  <c r="F923" i="2" s="1"/>
  <c r="D915" i="2"/>
  <c r="F915" i="2" s="1"/>
  <c r="D906" i="2"/>
  <c r="F906" i="2" s="1"/>
  <c r="D876" i="2"/>
  <c r="F876" i="2" s="1"/>
  <c r="D1553" i="2"/>
  <c r="D1539" i="2"/>
  <c r="D1511" i="2"/>
  <c r="D1487" i="2"/>
  <c r="D1463" i="2"/>
  <c r="F1463" i="2" s="1"/>
  <c r="D1432" i="2"/>
  <c r="D1420" i="2"/>
  <c r="D1387" i="2"/>
  <c r="D1363" i="2"/>
  <c r="D1339" i="2"/>
  <c r="D1312" i="2"/>
  <c r="D1261" i="2"/>
  <c r="F1261" i="2" s="1"/>
  <c r="D1242" i="2"/>
  <c r="F1242" i="2" s="1"/>
  <c r="D1230" i="2"/>
  <c r="F1230" i="2" s="1"/>
  <c r="D1221" i="2"/>
  <c r="F1221" i="2" s="1"/>
  <c r="D1207" i="2"/>
  <c r="D1147" i="2"/>
  <c r="D1089" i="2"/>
  <c r="F1089" i="2" s="1"/>
  <c r="D1068" i="2"/>
  <c r="D1049" i="2"/>
  <c r="D1029" i="2"/>
  <c r="D1011" i="2"/>
  <c r="D989" i="2"/>
  <c r="D893" i="2"/>
  <c r="F893" i="2" s="1"/>
  <c r="D877" i="2"/>
  <c r="F877" i="2" s="1"/>
  <c r="D863" i="2"/>
  <c r="F863" i="2" s="1"/>
  <c r="D854" i="2"/>
  <c r="F854" i="2" s="1"/>
  <c r="D843" i="2"/>
  <c r="F843" i="2" s="1"/>
  <c r="D1554" i="2"/>
  <c r="D1532" i="2"/>
  <c r="D1512" i="2"/>
  <c r="D1489" i="2"/>
  <c r="D1457" i="2"/>
  <c r="D1439" i="2"/>
  <c r="D1412" i="2"/>
  <c r="F1412" i="2" s="1"/>
  <c r="D1389" i="2"/>
  <c r="D1364" i="2"/>
  <c r="D1340" i="2"/>
  <c r="D1314" i="2"/>
  <c r="D1296" i="2"/>
  <c r="F1296" i="2" s="1"/>
  <c r="D1281" i="2"/>
  <c r="F1281" i="2" s="1"/>
  <c r="D1268" i="2"/>
  <c r="F1268" i="2" s="1"/>
  <c r="D1253" i="2"/>
  <c r="F1253" i="2" s="1"/>
  <c r="D1196" i="2"/>
  <c r="F1196" i="2" s="1"/>
  <c r="D1183" i="2"/>
  <c r="F1183" i="2" s="1"/>
  <c r="D1173" i="2"/>
  <c r="F1173" i="2" s="1"/>
  <c r="D1148" i="2"/>
  <c r="D1131" i="2"/>
  <c r="F1131" i="2" s="1"/>
  <c r="D1121" i="2"/>
  <c r="F1121" i="2" s="1"/>
  <c r="D1109" i="2"/>
  <c r="F1109" i="2" s="1"/>
  <c r="D1086" i="2"/>
  <c r="D1065" i="2"/>
  <c r="D1046" i="2"/>
  <c r="D1026" i="2"/>
  <c r="D1005" i="2"/>
  <c r="D986" i="2"/>
  <c r="D974" i="2"/>
  <c r="F974" i="2" s="1"/>
  <c r="D965" i="2"/>
  <c r="F965" i="2" s="1"/>
  <c r="D955" i="2"/>
  <c r="F955" i="2" s="1"/>
  <c r="D947" i="2"/>
  <c r="F947" i="2" s="1"/>
  <c r="D938" i="2"/>
  <c r="F938" i="2" s="1"/>
  <c r="D930" i="2"/>
  <c r="F930" i="2" s="1"/>
  <c r="D920" i="2"/>
  <c r="F920" i="2" s="1"/>
  <c r="D909" i="2"/>
  <c r="F909" i="2" s="1"/>
  <c r="D878" i="2"/>
  <c r="F878" i="2" s="1"/>
  <c r="D835" i="2"/>
  <c r="F835" i="2" s="1"/>
  <c r="D832" i="2"/>
  <c r="F832" i="2" s="1"/>
  <c r="D759" i="2"/>
  <c r="F759" i="2" s="1"/>
  <c r="D742" i="2"/>
  <c r="D731" i="2"/>
  <c r="F731" i="2" s="1"/>
  <c r="D722" i="2"/>
  <c r="F722" i="2" s="1"/>
  <c r="D714" i="2"/>
  <c r="F714" i="2" s="1"/>
  <c r="D705" i="2"/>
  <c r="F705" i="2" s="1"/>
  <c r="D694" i="2"/>
  <c r="F694" i="2" s="1"/>
  <c r="D677" i="2"/>
  <c r="F677" i="2" s="1"/>
  <c r="D664" i="2"/>
  <c r="F664" i="2" s="1"/>
  <c r="D656" i="2"/>
  <c r="F656" i="2" s="1"/>
  <c r="D646" i="2"/>
  <c r="F646" i="2" s="1"/>
  <c r="D637" i="2"/>
  <c r="F637" i="2" s="1"/>
  <c r="D629" i="2"/>
  <c r="F629" i="2" s="1"/>
  <c r="D830" i="2"/>
  <c r="F830" i="2" s="1"/>
  <c r="D817" i="2"/>
  <c r="F817" i="2" s="1"/>
  <c r="D802" i="2"/>
  <c r="F802" i="2" s="1"/>
  <c r="D792" i="2"/>
  <c r="F792" i="2" s="1"/>
  <c r="D781" i="2"/>
  <c r="F781" i="2" s="1"/>
  <c r="D764" i="2"/>
  <c r="D739" i="2"/>
  <c r="D682" i="2"/>
  <c r="F682" i="2" s="1"/>
  <c r="D825" i="2"/>
  <c r="F825" i="2" s="1"/>
  <c r="D758" i="2"/>
  <c r="F758" i="2" s="1"/>
  <c r="D736" i="2"/>
  <c r="F736" i="2" s="1"/>
  <c r="D728" i="2"/>
  <c r="F728" i="2" s="1"/>
  <c r="D719" i="2"/>
  <c r="F719" i="2" s="1"/>
  <c r="D710" i="2"/>
  <c r="F710" i="2" s="1"/>
  <c r="D702" i="2"/>
  <c r="F702" i="2" s="1"/>
  <c r="D688" i="2"/>
  <c r="F688" i="2" s="1"/>
  <c r="D672" i="2"/>
  <c r="F672" i="2" s="1"/>
  <c r="D661" i="2"/>
  <c r="F661" i="2" s="1"/>
  <c r="D651" i="2"/>
  <c r="F651" i="2" s="1"/>
  <c r="D643" i="2"/>
  <c r="F643" i="2" s="1"/>
  <c r="D634" i="2"/>
  <c r="F634" i="2" s="1"/>
  <c r="D840" i="2"/>
  <c r="F840" i="2" s="1"/>
  <c r="D822" i="2"/>
  <c r="F822" i="2" s="1"/>
  <c r="D809" i="2"/>
  <c r="F809" i="2" s="1"/>
  <c r="D799" i="2"/>
  <c r="F799" i="2" s="1"/>
  <c r="D787" i="2"/>
  <c r="F787" i="2" s="1"/>
  <c r="D775" i="2"/>
  <c r="E775" i="2" s="1"/>
  <c r="F775" i="2" s="1"/>
  <c r="D746" i="2"/>
  <c r="D689" i="2"/>
  <c r="F689" i="2" s="1"/>
  <c r="D2544" i="2"/>
  <c r="F2544" i="2" s="1"/>
  <c r="D2107" i="2"/>
  <c r="F2107" i="2" s="1"/>
  <c r="D1749" i="2"/>
  <c r="F1749" i="2" s="1"/>
  <c r="D1641" i="2"/>
  <c r="F1641" i="2" s="1"/>
  <c r="D2309" i="2"/>
  <c r="F2309" i="2" s="1"/>
  <c r="D2003" i="2"/>
  <c r="F2003" i="2" s="1"/>
  <c r="D1897" i="2"/>
  <c r="F1897" i="2" s="1"/>
  <c r="D1723" i="2"/>
  <c r="F1723" i="2" s="1"/>
  <c r="D2448" i="2"/>
  <c r="F2448" i="2" s="1"/>
  <c r="D2341" i="2"/>
  <c r="F2341" i="2" s="1"/>
  <c r="D2259" i="2"/>
  <c r="F2259" i="2" s="1"/>
  <c r="D2222" i="2"/>
  <c r="F2222" i="2" s="1"/>
  <c r="D2127" i="2"/>
  <c r="E2127" i="2" s="1"/>
  <c r="F2127" i="2" s="1"/>
  <c r="D2074" i="2"/>
  <c r="E2074" i="2" s="1"/>
  <c r="F2074" i="2" s="1"/>
  <c r="D2007" i="2"/>
  <c r="F2007" i="2" s="1"/>
  <c r="D1829" i="2"/>
  <c r="F1829" i="2" s="1"/>
  <c r="D1736" i="2"/>
  <c r="F1736" i="2" s="1"/>
  <c r="D1673" i="2"/>
  <c r="F1673" i="2" s="1"/>
  <c r="D1630" i="2"/>
  <c r="F1630" i="2" s="1"/>
  <c r="D2447" i="2"/>
  <c r="F2447" i="2" s="1"/>
  <c r="D2368" i="2"/>
  <c r="F2368" i="2" s="1"/>
  <c r="D2283" i="2"/>
  <c r="F2283" i="2" s="1"/>
  <c r="D2128" i="2"/>
  <c r="E2128" i="2" s="1"/>
  <c r="F2128" i="2" s="1"/>
  <c r="D1994" i="2"/>
  <c r="F1994" i="2" s="1"/>
  <c r="D1934" i="2"/>
  <c r="F1934" i="2" s="1"/>
  <c r="D1889" i="2"/>
  <c r="F1889" i="2" s="1"/>
  <c r="D1812" i="2"/>
  <c r="F1812" i="2" s="1"/>
  <c r="D1712" i="2"/>
  <c r="F1712" i="2" s="1"/>
  <c r="D1572" i="2"/>
  <c r="E1572" i="2" s="1"/>
  <c r="F1572" i="2" s="1"/>
  <c r="D1495" i="2"/>
  <c r="E1495" i="2" s="1"/>
  <c r="F1495" i="2" s="1"/>
  <c r="D1403" i="2"/>
  <c r="E1403" i="2" s="1"/>
  <c r="F1403" i="2" s="1"/>
  <c r="D1310" i="2"/>
  <c r="E1310" i="2" s="1"/>
  <c r="F1310" i="2" s="1"/>
  <c r="D1222" i="2"/>
  <c r="F1222" i="2" s="1"/>
  <c r="D1076" i="2"/>
  <c r="E1076" i="2" s="1"/>
  <c r="F1076" i="2" s="1"/>
  <c r="D995" i="2"/>
  <c r="F995" i="2" s="1"/>
  <c r="D857" i="2"/>
  <c r="F857" i="2" s="1"/>
  <c r="D1510" i="2"/>
  <c r="D1405" i="2"/>
  <c r="F1405" i="2" s="1"/>
  <c r="D1311" i="2"/>
  <c r="D1211" i="2"/>
  <c r="D1146" i="2"/>
  <c r="D1111" i="2"/>
  <c r="F1111" i="2" s="1"/>
  <c r="D1072" i="2"/>
  <c r="E1072" i="2" s="1"/>
  <c r="F1072" i="2" s="1"/>
  <c r="D1033" i="2"/>
  <c r="E1033" i="2" s="1"/>
  <c r="F1033" i="2" s="1"/>
  <c r="D988" i="2"/>
  <c r="D966" i="2"/>
  <c r="F966" i="2" s="1"/>
  <c r="D948" i="2"/>
  <c r="F948" i="2" s="1"/>
  <c r="D929" i="2"/>
  <c r="F929" i="2" s="1"/>
  <c r="D910" i="2"/>
  <c r="F910" i="2" s="1"/>
  <c r="D1561" i="2"/>
  <c r="D1525" i="2"/>
  <c r="D1475" i="2"/>
  <c r="D1428" i="2"/>
  <c r="D1369" i="2"/>
  <c r="F1369" i="2" s="1"/>
  <c r="D1327" i="2"/>
  <c r="D1247" i="2"/>
  <c r="F1247" i="2" s="1"/>
  <c r="D1226" i="2"/>
  <c r="F1226" i="2" s="1"/>
  <c r="D1157" i="2"/>
  <c r="D1081" i="2"/>
  <c r="E1081" i="2" s="1"/>
  <c r="F1081" i="2" s="1"/>
  <c r="D1041" i="2"/>
  <c r="D998" i="2"/>
  <c r="D887" i="2"/>
  <c r="F887" i="2" s="1"/>
  <c r="D858" i="2"/>
  <c r="F858" i="2" s="1"/>
  <c r="D1562" i="2"/>
  <c r="D1526" i="2"/>
  <c r="E1526" i="2" s="1"/>
  <c r="F1526" i="2" s="1"/>
  <c r="D1477" i="2"/>
  <c r="D1423" i="2"/>
  <c r="D1379" i="2"/>
  <c r="F1379" i="2" s="1"/>
  <c r="D1328" i="2"/>
  <c r="D1287" i="2"/>
  <c r="F1287" i="2" s="1"/>
  <c r="D1257" i="2"/>
  <c r="F1257" i="2" s="1"/>
  <c r="D1191" i="2"/>
  <c r="F1191" i="2" s="1"/>
  <c r="D1159" i="2"/>
  <c r="D1126" i="2"/>
  <c r="F1126" i="2" s="1"/>
  <c r="D1100" i="2"/>
  <c r="F1100" i="2" s="1"/>
  <c r="D1055" i="2"/>
  <c r="D1016" i="2"/>
  <c r="D2937" i="2"/>
  <c r="F2937" i="2" s="1"/>
  <c r="D2890" i="2"/>
  <c r="F2890" i="2" s="1"/>
  <c r="D2345" i="2"/>
  <c r="F2345" i="2" s="1"/>
  <c r="D2060" i="2"/>
  <c r="D1735" i="2"/>
  <c r="F1735" i="2" s="1"/>
  <c r="D1633" i="2"/>
  <c r="F1633" i="2" s="1"/>
  <c r="D2428" i="2"/>
  <c r="F2428" i="2" s="1"/>
  <c r="D2213" i="2"/>
  <c r="F2213" i="2" s="1"/>
  <c r="D1976" i="2"/>
  <c r="F1976" i="2" s="1"/>
  <c r="D1855" i="2"/>
  <c r="F1855" i="2" s="1"/>
  <c r="D1688" i="2"/>
  <c r="F1688" i="2" s="1"/>
  <c r="D2401" i="2"/>
  <c r="F2401" i="2" s="1"/>
  <c r="D2292" i="2"/>
  <c r="F2292" i="2" s="1"/>
  <c r="D2242" i="2"/>
  <c r="F2242" i="2" s="1"/>
  <c r="D2174" i="2"/>
  <c r="D2108" i="2"/>
  <c r="F2108" i="2" s="1"/>
  <c r="D2046" i="2"/>
  <c r="E2046" i="2" s="1"/>
  <c r="F2046" i="2" s="1"/>
  <c r="D1865" i="2"/>
  <c r="F1865" i="2" s="1"/>
  <c r="D1768" i="2"/>
  <c r="F1768" i="2" s="1"/>
  <c r="D1702" i="2"/>
  <c r="F1702" i="2" s="1"/>
  <c r="D1654" i="2"/>
  <c r="F1654" i="2" s="1"/>
  <c r="D1609" i="2"/>
  <c r="F1609" i="2" s="1"/>
  <c r="D2413" i="2"/>
  <c r="F2413" i="2" s="1"/>
  <c r="D2335" i="2"/>
  <c r="F2335" i="2" s="1"/>
  <c r="D2199" i="2"/>
  <c r="F2199" i="2" s="1"/>
  <c r="D2051" i="2"/>
  <c r="D1966" i="2"/>
  <c r="F1966" i="2" s="1"/>
  <c r="D1915" i="2"/>
  <c r="F1915" i="2" s="1"/>
  <c r="D1854" i="2"/>
  <c r="F1854" i="2" s="1"/>
  <c r="D1796" i="2"/>
  <c r="F1796" i="2" s="1"/>
  <c r="D1600" i="2"/>
  <c r="F1600" i="2" s="1"/>
  <c r="D1535" i="2"/>
  <c r="D1458" i="2"/>
  <c r="D1365" i="2"/>
  <c r="D1244" i="2"/>
  <c r="F1244" i="2" s="1"/>
  <c r="D1160" i="2"/>
  <c r="D1043" i="2"/>
  <c r="D892" i="2"/>
  <c r="F892" i="2" s="1"/>
  <c r="D1558" i="2"/>
  <c r="E1558" i="2" s="1"/>
  <c r="F1558" i="2" s="1"/>
  <c r="D1453" i="2"/>
  <c r="F1453" i="2" s="1"/>
  <c r="D1366" i="2"/>
  <c r="E1366" i="2" s="1"/>
  <c r="F1366" i="2" s="1"/>
  <c r="D1282" i="2"/>
  <c r="F1282" i="2" s="1"/>
  <c r="D1184" i="2"/>
  <c r="F1184" i="2" s="1"/>
  <c r="D1125" i="2"/>
  <c r="F1125" i="2" s="1"/>
  <c r="D1098" i="2"/>
  <c r="E1098" i="2" s="1"/>
  <c r="F1098" i="2" s="1"/>
  <c r="D1057" i="2"/>
  <c r="E1057" i="2" s="1"/>
  <c r="F1057" i="2" s="1"/>
  <c r="D1018" i="2"/>
  <c r="E1018" i="2" s="1"/>
  <c r="F1018" i="2" s="1"/>
  <c r="D977" i="2"/>
  <c r="F977" i="2" s="1"/>
  <c r="D960" i="2"/>
  <c r="F960" i="2" s="1"/>
  <c r="D939" i="2"/>
  <c r="F939" i="2" s="1"/>
  <c r="D921" i="2"/>
  <c r="F921" i="2" s="1"/>
  <c r="D904" i="2"/>
  <c r="F904" i="2" s="1"/>
  <c r="D1549" i="2"/>
  <c r="D1505" i="2"/>
  <c r="D1460" i="2"/>
  <c r="D1411" i="2"/>
  <c r="D1356" i="2"/>
  <c r="D1306" i="2"/>
  <c r="D1239" i="2"/>
  <c r="F1239" i="2" s="1"/>
  <c r="D1219" i="2"/>
  <c r="F1219" i="2" s="1"/>
  <c r="D1142" i="2"/>
  <c r="D1064" i="2"/>
  <c r="D1025" i="2"/>
  <c r="D899" i="2"/>
  <c r="F899" i="2" s="1"/>
  <c r="D873" i="2"/>
  <c r="F873" i="2" s="1"/>
  <c r="D852" i="2"/>
  <c r="F852" i="2" s="1"/>
  <c r="D1550" i="2"/>
  <c r="D1506" i="2"/>
  <c r="D1452" i="2"/>
  <c r="F1452" i="2" s="1"/>
  <c r="D1408" i="2"/>
  <c r="D1357" i="2"/>
  <c r="D1308" i="2"/>
  <c r="D1278" i="2"/>
  <c r="F1278" i="2" s="1"/>
  <c r="D1208" i="2"/>
  <c r="D1179" i="2"/>
  <c r="F1179" i="2" s="1"/>
  <c r="D1143" i="2"/>
  <c r="D1117" i="2"/>
  <c r="F1117" i="2" s="1"/>
  <c r="D1082" i="2"/>
  <c r="D1042" i="2"/>
  <c r="D999" i="2"/>
  <c r="D972" i="2"/>
  <c r="F972" i="2" s="1"/>
  <c r="D953" i="2"/>
  <c r="F953" i="2" s="1"/>
  <c r="D2672" i="2"/>
  <c r="F2672" i="2" s="1"/>
  <c r="D2280" i="2"/>
  <c r="F2280" i="2" s="1"/>
  <c r="D1841" i="2"/>
  <c r="F1841" i="2" s="1"/>
  <c r="D1683" i="2"/>
  <c r="F1683" i="2" s="1"/>
  <c r="D2392" i="2"/>
  <c r="F2392" i="2" s="1"/>
  <c r="D2173" i="2"/>
  <c r="E2173" i="2" s="1"/>
  <c r="F2173" i="2" s="1"/>
  <c r="D1950" i="2"/>
  <c r="F1950" i="2" s="1"/>
  <c r="D1821" i="2"/>
  <c r="F1821" i="2" s="1"/>
  <c r="D1601" i="2"/>
  <c r="F1601" i="2" s="1"/>
  <c r="D2394" i="2"/>
  <c r="F2394" i="2" s="1"/>
  <c r="D2289" i="2"/>
  <c r="F2289" i="2" s="1"/>
  <c r="D2240" i="2"/>
  <c r="F2240" i="2" s="1"/>
  <c r="D2168" i="2"/>
  <c r="E2168" i="2" s="1"/>
  <c r="F2168" i="2" s="1"/>
  <c r="D2103" i="2"/>
  <c r="F2103" i="2" s="1"/>
  <c r="D2044" i="2"/>
  <c r="F2044" i="2" s="1"/>
  <c r="D1863" i="2"/>
  <c r="F1863" i="2" s="1"/>
  <c r="D1762" i="2"/>
  <c r="F1762" i="2" s="1"/>
  <c r="D1700" i="2"/>
  <c r="F1700" i="2" s="1"/>
  <c r="D1652" i="2"/>
  <c r="F1652" i="2" s="1"/>
  <c r="D1606" i="2"/>
  <c r="E1606" i="2" s="1"/>
  <c r="F1606" i="2" s="1"/>
  <c r="D2408" i="2"/>
  <c r="F2408" i="2" s="1"/>
  <c r="D2330" i="2"/>
  <c r="F2330" i="2" s="1"/>
  <c r="D2182" i="2"/>
  <c r="E2182" i="2" s="1"/>
  <c r="F2182" i="2" s="1"/>
  <c r="D2047" i="2"/>
  <c r="E2047" i="2" s="1"/>
  <c r="F2047" i="2" s="1"/>
  <c r="D1964" i="2"/>
  <c r="F1964" i="2" s="1"/>
  <c r="D1912" i="2"/>
  <c r="F1912" i="2" s="1"/>
  <c r="D1851" i="2"/>
  <c r="F1851" i="2" s="1"/>
  <c r="D1790" i="2"/>
  <c r="F1790" i="2" s="1"/>
  <c r="D1598" i="2"/>
  <c r="F1598" i="2" s="1"/>
  <c r="D1533" i="2"/>
  <c r="E1533" i="2" s="1"/>
  <c r="F1533" i="2" s="1"/>
  <c r="D1450" i="2"/>
  <c r="E1450" i="2" s="1"/>
  <c r="F1450" i="2" s="1"/>
  <c r="D1358" i="2"/>
  <c r="E1358" i="2" s="1"/>
  <c r="F1358" i="2" s="1"/>
  <c r="D1241" i="2"/>
  <c r="F1241" i="2" s="1"/>
  <c r="D1155" i="2"/>
  <c r="E1155" i="2" s="1"/>
  <c r="F1155" i="2" s="1"/>
  <c r="D1039" i="2"/>
  <c r="E1039" i="2" s="1"/>
  <c r="F1039" i="2" s="1"/>
  <c r="D890" i="2"/>
  <c r="F890" i="2" s="1"/>
  <c r="D1552" i="2"/>
  <c r="D1451" i="2"/>
  <c r="F1451" i="2" s="1"/>
  <c r="D1362" i="2"/>
  <c r="D1279" i="2"/>
  <c r="F1279" i="2" s="1"/>
  <c r="D1181" i="2"/>
  <c r="F1181" i="2" s="1"/>
  <c r="D1122" i="2"/>
  <c r="F1122" i="2" s="1"/>
  <c r="D1094" i="2"/>
  <c r="D1053" i="2"/>
  <c r="E1053" i="2" s="1"/>
  <c r="F1053" i="2" s="1"/>
  <c r="D1014" i="2"/>
  <c r="E1014" i="2" s="1"/>
  <c r="F1014" i="2" s="1"/>
  <c r="D975" i="2"/>
  <c r="F975" i="2" s="1"/>
  <c r="D956" i="2"/>
  <c r="F956" i="2" s="1"/>
  <c r="D937" i="2"/>
  <c r="F937" i="2" s="1"/>
  <c r="D919" i="2"/>
  <c r="F919" i="2" s="1"/>
  <c r="D902" i="2"/>
  <c r="F902" i="2" s="1"/>
  <c r="D1547" i="2"/>
  <c r="D1499" i="2"/>
  <c r="D1448" i="2"/>
  <c r="E1448" i="2" s="1"/>
  <c r="F1448" i="2" s="1"/>
  <c r="D1400" i="2"/>
  <c r="D1351" i="2"/>
  <c r="D1301" i="2"/>
  <c r="D1237" i="2"/>
  <c r="F1237" i="2" s="1"/>
  <c r="D1217" i="2"/>
  <c r="F1217" i="2" s="1"/>
  <c r="D1099" i="2"/>
  <c r="D1058" i="2"/>
  <c r="D1019" i="2"/>
  <c r="D897" i="2"/>
  <c r="F897" i="2" s="1"/>
  <c r="D871" i="2"/>
  <c r="F871" i="2" s="1"/>
  <c r="D850" i="2"/>
  <c r="F850" i="2" s="1"/>
  <c r="D1544" i="2"/>
  <c r="D1500" i="2"/>
  <c r="D1449" i="2"/>
  <c r="D1401" i="2"/>
  <c r="D1352" i="2"/>
  <c r="E1352" i="2" s="1"/>
  <c r="F1352" i="2" s="1"/>
  <c r="D1302" i="2"/>
  <c r="D1275" i="2"/>
  <c r="F1275" i="2" s="1"/>
  <c r="D1202" i="2"/>
  <c r="D1177" i="2"/>
  <c r="F1177" i="2" s="1"/>
  <c r="D1138" i="2"/>
  <c r="D1115" i="2"/>
  <c r="F1115" i="2" s="1"/>
  <c r="D1075" i="2"/>
  <c r="E1075" i="2" s="1"/>
  <c r="F1075" i="2" s="1"/>
  <c r="D1035" i="2"/>
  <c r="D994" i="2"/>
  <c r="D970" i="2"/>
  <c r="F970" i="2" s="1"/>
  <c r="D951" i="2"/>
  <c r="F951" i="2" s="1"/>
  <c r="D934" i="2"/>
  <c r="F934" i="2" s="1"/>
  <c r="D916" i="2"/>
  <c r="F916" i="2" s="1"/>
  <c r="D868" i="2"/>
  <c r="F868" i="2" s="1"/>
  <c r="D769" i="2"/>
  <c r="F769" i="2" s="1"/>
  <c r="D735" i="2"/>
  <c r="F735" i="2" s="1"/>
  <c r="D2584" i="2"/>
  <c r="F2584" i="2" s="1"/>
  <c r="D2099" i="2"/>
  <c r="D2349" i="2"/>
  <c r="F2349" i="2" s="1"/>
  <c r="D2078" i="2"/>
  <c r="D1675" i="2"/>
  <c r="F1675" i="2" s="1"/>
  <c r="D2291" i="2"/>
  <c r="F2291" i="2" s="1"/>
  <c r="D1891" i="2"/>
  <c r="F1891" i="2" s="1"/>
  <c r="D1501" i="2"/>
  <c r="D1083" i="2"/>
  <c r="D1410" i="2"/>
  <c r="E1410" i="2" s="1"/>
  <c r="F1410" i="2" s="1"/>
  <c r="D1113" i="2"/>
  <c r="F1113" i="2" s="1"/>
  <c r="D969" i="2"/>
  <c r="F969" i="2" s="1"/>
  <c r="D1575" i="2"/>
  <c r="D1375" i="2"/>
  <c r="D1163" i="2"/>
  <c r="D891" i="2"/>
  <c r="F891" i="2" s="1"/>
  <c r="D1483" i="2"/>
  <c r="D1293" i="2"/>
  <c r="F1293" i="2" s="1"/>
  <c r="D1129" i="2"/>
  <c r="F1129" i="2" s="1"/>
  <c r="D982" i="2"/>
  <c r="F982" i="2" s="1"/>
  <c r="D945" i="2"/>
  <c r="F945" i="2" s="1"/>
  <c r="D924" i="2"/>
  <c r="F924" i="2" s="1"/>
  <c r="D874" i="2"/>
  <c r="F874" i="2" s="1"/>
  <c r="D757" i="2"/>
  <c r="F757" i="2" s="1"/>
  <c r="D729" i="2"/>
  <c r="F729" i="2" s="1"/>
  <c r="D718" i="2"/>
  <c r="F718" i="2" s="1"/>
  <c r="D707" i="2"/>
  <c r="F707" i="2" s="1"/>
  <c r="D690" i="2"/>
  <c r="F690" i="2" s="1"/>
  <c r="D671" i="2"/>
  <c r="F671" i="2" s="1"/>
  <c r="D658" i="2"/>
  <c r="F658" i="2" s="1"/>
  <c r="D644" i="2"/>
  <c r="F644" i="2" s="1"/>
  <c r="D633" i="2"/>
  <c r="F633" i="2" s="1"/>
  <c r="D833" i="2"/>
  <c r="F833" i="2" s="1"/>
  <c r="D810" i="2"/>
  <c r="F810" i="2" s="1"/>
  <c r="D798" i="2"/>
  <c r="F798" i="2" s="1"/>
  <c r="D784" i="2"/>
  <c r="F784" i="2" s="1"/>
  <c r="D752" i="2"/>
  <c r="D691" i="2"/>
  <c r="F691" i="2" s="1"/>
  <c r="D836" i="2"/>
  <c r="F836" i="2" s="1"/>
  <c r="D753" i="2"/>
  <c r="D732" i="2"/>
  <c r="F732" i="2" s="1"/>
  <c r="D721" i="2"/>
  <c r="F721" i="2" s="1"/>
  <c r="D708" i="2"/>
  <c r="F708" i="2" s="1"/>
  <c r="D696" i="2"/>
  <c r="F696" i="2" s="1"/>
  <c r="D675" i="2"/>
  <c r="F675" i="2" s="1"/>
  <c r="D659" i="2"/>
  <c r="F659" i="2" s="1"/>
  <c r="D647" i="2"/>
  <c r="F647" i="2" s="1"/>
  <c r="D636" i="2"/>
  <c r="F636" i="2" s="1"/>
  <c r="D837" i="2"/>
  <c r="F837" i="2" s="1"/>
  <c r="D818" i="2"/>
  <c r="F818" i="2" s="1"/>
  <c r="D801" i="2"/>
  <c r="F801" i="2" s="1"/>
  <c r="D785" i="2"/>
  <c r="F785" i="2" s="1"/>
  <c r="D762" i="2"/>
  <c r="D693" i="2"/>
  <c r="F693" i="2" s="1"/>
  <c r="D754" i="2"/>
  <c r="D1798" i="2"/>
  <c r="F1798" i="2" s="1"/>
  <c r="D2224" i="2"/>
  <c r="F2224" i="2" s="1"/>
  <c r="D1996" i="2"/>
  <c r="F1996" i="2" s="1"/>
  <c r="D1315" i="2"/>
  <c r="D1252" i="2"/>
  <c r="F1252" i="2" s="1"/>
  <c r="D931" i="2"/>
  <c r="F931" i="2" s="1"/>
  <c r="D1249" i="2"/>
  <c r="F1249" i="2" s="1"/>
  <c r="D841" i="2"/>
  <c r="F841" i="2" s="1"/>
  <c r="D1193" i="2"/>
  <c r="F1193" i="2" s="1"/>
  <c r="D963" i="2"/>
  <c r="F963" i="2" s="1"/>
  <c r="D907" i="2"/>
  <c r="F907" i="2" s="1"/>
  <c r="D738" i="2"/>
  <c r="D712" i="2"/>
  <c r="F712" i="2" s="1"/>
  <c r="D681" i="2"/>
  <c r="F681" i="2" s="1"/>
  <c r="D650" i="2"/>
  <c r="F650" i="2" s="1"/>
  <c r="D870" i="2"/>
  <c r="F870" i="2" s="1"/>
  <c r="D805" i="2"/>
  <c r="F805" i="2" s="1"/>
  <c r="D773" i="2"/>
  <c r="E773" i="2" s="1"/>
  <c r="F773" i="2" s="1"/>
  <c r="D678" i="2"/>
  <c r="F678" i="2" s="1"/>
  <c r="D740" i="2"/>
  <c r="E740" i="2" s="1"/>
  <c r="F740" i="2" s="1"/>
  <c r="D715" i="2"/>
  <c r="F715" i="2" s="1"/>
  <c r="D683" i="2"/>
  <c r="F683" i="2" s="1"/>
  <c r="D655" i="2"/>
  <c r="F655" i="2" s="1"/>
  <c r="D630" i="2"/>
  <c r="F630" i="2" s="1"/>
  <c r="D806" i="2"/>
  <c r="F806" i="2" s="1"/>
  <c r="D780" i="2"/>
  <c r="F780" i="2" s="1"/>
  <c r="D680" i="2"/>
  <c r="F680" i="2" s="1"/>
  <c r="D2602" i="2"/>
  <c r="F2602" i="2" s="1"/>
  <c r="D1925" i="2"/>
  <c r="F1925" i="2" s="1"/>
  <c r="D2261" i="2"/>
  <c r="F2261" i="2" s="1"/>
  <c r="D2009" i="2"/>
  <c r="F2009" i="2" s="1"/>
  <c r="D1632" i="2"/>
  <c r="F1632" i="2" s="1"/>
  <c r="D2146" i="2"/>
  <c r="D1814" i="2"/>
  <c r="F1814" i="2" s="1"/>
  <c r="D1409" i="2"/>
  <c r="D1001" i="2"/>
  <c r="D1316" i="2"/>
  <c r="E1316" i="2" s="1"/>
  <c r="F1316" i="2" s="1"/>
  <c r="D1080" i="2"/>
  <c r="E1080" i="2" s="1"/>
  <c r="F1080" i="2" s="1"/>
  <c r="D950" i="2"/>
  <c r="F950" i="2" s="1"/>
  <c r="D1531" i="2"/>
  <c r="D1332" i="2"/>
  <c r="D1085" i="2"/>
  <c r="D860" i="2"/>
  <c r="F860" i="2" s="1"/>
  <c r="D1433" i="2"/>
  <c r="D1265" i="2"/>
  <c r="F1265" i="2" s="1"/>
  <c r="D1107" i="2"/>
  <c r="F1107" i="2" s="1"/>
  <c r="D978" i="2"/>
  <c r="F978" i="2" s="1"/>
  <c r="D943" i="2"/>
  <c r="F943" i="2" s="1"/>
  <c r="D918" i="2"/>
  <c r="F918" i="2" s="1"/>
  <c r="D831" i="2"/>
  <c r="F831" i="2" s="1"/>
  <c r="D751" i="2"/>
  <c r="D727" i="2"/>
  <c r="F727" i="2" s="1"/>
  <c r="D716" i="2"/>
  <c r="F716" i="2" s="1"/>
  <c r="D703" i="2"/>
  <c r="F703" i="2" s="1"/>
  <c r="D686" i="2"/>
  <c r="F686" i="2" s="1"/>
  <c r="D666" i="2"/>
  <c r="F666" i="2" s="1"/>
  <c r="D653" i="2"/>
  <c r="F653" i="2" s="1"/>
  <c r="D642" i="2"/>
  <c r="F642" i="2" s="1"/>
  <c r="D631" i="2"/>
  <c r="F631" i="2" s="1"/>
  <c r="D823" i="2"/>
  <c r="F823" i="2" s="1"/>
  <c r="D808" i="2"/>
  <c r="F808" i="2" s="1"/>
  <c r="D795" i="2"/>
  <c r="F795" i="2" s="1"/>
  <c r="D779" i="2"/>
  <c r="F779" i="2" s="1"/>
  <c r="D748" i="2"/>
  <c r="E748" i="2" s="1"/>
  <c r="F748" i="2" s="1"/>
  <c r="D687" i="2"/>
  <c r="F687" i="2" s="1"/>
  <c r="D774" i="2"/>
  <c r="E774" i="2" s="1"/>
  <c r="F774" i="2" s="1"/>
  <c r="D745" i="2"/>
  <c r="D730" i="2"/>
  <c r="F730" i="2" s="1"/>
  <c r="D717" i="2"/>
  <c r="F717" i="2" s="1"/>
  <c r="D706" i="2"/>
  <c r="F706" i="2" s="1"/>
  <c r="D692" i="2"/>
  <c r="F692" i="2" s="1"/>
  <c r="D667" i="2"/>
  <c r="F667" i="2" s="1"/>
  <c r="D657" i="2"/>
  <c r="F657" i="2" s="1"/>
  <c r="D645" i="2"/>
  <c r="F645" i="2" s="1"/>
  <c r="D632" i="2"/>
  <c r="F632" i="2" s="1"/>
  <c r="D834" i="2"/>
  <c r="F834" i="2" s="1"/>
  <c r="D816" i="2"/>
  <c r="F816" i="2" s="1"/>
  <c r="D797" i="2"/>
  <c r="F797" i="2" s="1"/>
  <c r="D782" i="2"/>
  <c r="F782" i="2" s="1"/>
  <c r="D685" i="2"/>
  <c r="F685" i="2" s="1"/>
  <c r="D1832" i="2"/>
  <c r="F1832" i="2" s="1"/>
  <c r="D1831" i="2"/>
  <c r="F1831" i="2" s="1"/>
  <c r="D2453" i="2"/>
  <c r="F2453" i="2" s="1"/>
  <c r="D1720" i="2"/>
  <c r="F1720" i="2" s="1"/>
  <c r="D859" i="2"/>
  <c r="F859" i="2" s="1"/>
  <c r="D1040" i="2"/>
  <c r="E1040" i="2" s="1"/>
  <c r="F1040" i="2" s="1"/>
  <c r="D1481" i="2"/>
  <c r="D1045" i="2"/>
  <c r="D1381" i="2"/>
  <c r="D1059" i="2"/>
  <c r="D936" i="2"/>
  <c r="F936" i="2" s="1"/>
  <c r="D826" i="2"/>
  <c r="F826" i="2" s="1"/>
  <c r="D725" i="2"/>
  <c r="F725" i="2" s="1"/>
  <c r="D701" i="2"/>
  <c r="F701" i="2" s="1"/>
  <c r="D662" i="2"/>
  <c r="F662" i="2" s="1"/>
  <c r="D640" i="2"/>
  <c r="F640" i="2" s="1"/>
  <c r="D821" i="2"/>
  <c r="F821" i="2" s="1"/>
  <c r="D790" i="2"/>
  <c r="F790" i="2" s="1"/>
  <c r="D744" i="2"/>
  <c r="E744" i="2" s="1"/>
  <c r="F744" i="2" s="1"/>
  <c r="D767" i="2"/>
  <c r="F767" i="2" s="1"/>
  <c r="D726" i="2"/>
  <c r="F726" i="2" s="1"/>
  <c r="D704" i="2"/>
  <c r="F704" i="2" s="1"/>
  <c r="D665" i="2"/>
  <c r="F665" i="2" s="1"/>
  <c r="D641" i="2"/>
  <c r="F641" i="2" s="1"/>
  <c r="D829" i="2"/>
  <c r="F829" i="2" s="1"/>
  <c r="D793" i="2"/>
  <c r="F793" i="2" s="1"/>
  <c r="D741" i="2"/>
  <c r="D676" i="2"/>
  <c r="F676" i="2" s="1"/>
  <c r="D1674" i="2"/>
  <c r="F1674" i="2" s="1"/>
  <c r="D2347" i="2"/>
  <c r="F2347" i="2" s="1"/>
  <c r="D1582" i="2"/>
  <c r="D2455" i="2"/>
  <c r="F2455" i="2" s="1"/>
  <c r="D2131" i="2"/>
  <c r="F2131" i="2" s="1"/>
  <c r="D1741" i="2"/>
  <c r="F1741" i="2" s="1"/>
  <c r="D2373" i="2"/>
  <c r="F2373" i="2" s="1"/>
  <c r="D1937" i="2"/>
  <c r="F1937" i="2" s="1"/>
  <c r="D1574" i="2"/>
  <c r="D1224" i="2"/>
  <c r="F1224" i="2" s="1"/>
  <c r="D1515" i="2"/>
  <c r="D1151" i="2"/>
  <c r="E1151" i="2" s="1"/>
  <c r="F1151" i="2" s="1"/>
  <c r="D992" i="2"/>
  <c r="E992" i="2" s="1"/>
  <c r="F992" i="2" s="1"/>
  <c r="D912" i="2"/>
  <c r="F912" i="2" s="1"/>
  <c r="D1430" i="2"/>
  <c r="D1228" i="2"/>
  <c r="F1228" i="2" s="1"/>
  <c r="D1004" i="2"/>
  <c r="D1528" i="2"/>
  <c r="D1334" i="2"/>
  <c r="D1164" i="2"/>
  <c r="D1022" i="2"/>
  <c r="D961" i="2"/>
  <c r="F961" i="2" s="1"/>
  <c r="D926" i="2"/>
  <c r="F926" i="2" s="1"/>
  <c r="D905" i="2"/>
  <c r="F905" i="2" s="1"/>
  <c r="D776" i="2"/>
  <c r="D733" i="2"/>
  <c r="F733" i="2" s="1"/>
  <c r="D720" i="2"/>
  <c r="F720" i="2" s="1"/>
  <c r="D709" i="2"/>
  <c r="F709" i="2" s="1"/>
  <c r="D699" i="2"/>
  <c r="F699" i="2" s="1"/>
  <c r="D673" i="2"/>
  <c r="F673" i="2" s="1"/>
  <c r="D660" i="2"/>
  <c r="F660" i="2" s="1"/>
  <c r="D648" i="2"/>
  <c r="F648" i="2" s="1"/>
  <c r="D635" i="2"/>
  <c r="F635" i="2" s="1"/>
  <c r="D839" i="2"/>
  <c r="F839" i="2" s="1"/>
  <c r="D819" i="2"/>
  <c r="F819" i="2" s="1"/>
  <c r="D800" i="2"/>
  <c r="F800" i="2" s="1"/>
  <c r="D786" i="2"/>
  <c r="F786" i="2" s="1"/>
  <c r="D766" i="2"/>
  <c r="F766" i="2" s="1"/>
  <c r="D695" i="2"/>
  <c r="F695" i="2" s="1"/>
  <c r="D674" i="2"/>
  <c r="F674" i="2" s="1"/>
  <c r="D761" i="2"/>
  <c r="D734" i="2"/>
  <c r="F734" i="2" s="1"/>
  <c r="D723" i="2"/>
  <c r="F723" i="2" s="1"/>
  <c r="D713" i="2"/>
  <c r="F713" i="2" s="1"/>
  <c r="D700" i="2"/>
  <c r="F700" i="2" s="1"/>
  <c r="D679" i="2"/>
  <c r="F679" i="2" s="1"/>
  <c r="D663" i="2"/>
  <c r="F663" i="2" s="1"/>
  <c r="D649" i="2"/>
  <c r="F649" i="2" s="1"/>
  <c r="D639" i="2"/>
  <c r="F639" i="2" s="1"/>
  <c r="D866" i="2"/>
  <c r="F866" i="2" s="1"/>
  <c r="D820" i="2"/>
  <c r="F820" i="2" s="1"/>
  <c r="D803" i="2"/>
  <c r="F803" i="2" s="1"/>
  <c r="D791" i="2"/>
  <c r="F791" i="2" s="1"/>
  <c r="D768" i="2"/>
  <c r="F768" i="2" s="1"/>
  <c r="D697" i="2"/>
  <c r="F697" i="2" s="1"/>
  <c r="D2806" i="2"/>
  <c r="F2806" i="2" s="1"/>
  <c r="D2771" i="2"/>
  <c r="F2771" i="2" s="1"/>
  <c r="D2743" i="2"/>
  <c r="F2743" i="2" s="1"/>
  <c r="D2735" i="2"/>
  <c r="F2735" i="2" s="1"/>
  <c r="D2724" i="2"/>
  <c r="F2724" i="2" s="1"/>
  <c r="D2716" i="2"/>
  <c r="F2716" i="2" s="1"/>
  <c r="D2708" i="2"/>
  <c r="F2708" i="2" s="1"/>
  <c r="D2832" i="2"/>
  <c r="F2832" i="2" s="1"/>
  <c r="D2818" i="2"/>
  <c r="F2818" i="2" s="1"/>
  <c r="D2810" i="2"/>
  <c r="F2810" i="2" s="1"/>
  <c r="D2772" i="2"/>
  <c r="F2772" i="2" s="1"/>
  <c r="D2801" i="2"/>
  <c r="F2801" i="2" s="1"/>
  <c r="D2766" i="2"/>
  <c r="F2766" i="2" s="1"/>
  <c r="D2742" i="2"/>
  <c r="F2742" i="2" s="1"/>
  <c r="D2734" i="2"/>
  <c r="F2734" i="2" s="1"/>
  <c r="D2723" i="2"/>
  <c r="F2723" i="2" s="1"/>
  <c r="D2715" i="2"/>
  <c r="F2715" i="2" s="1"/>
  <c r="D2707" i="2"/>
  <c r="F2707" i="2" s="1"/>
  <c r="D2833" i="2"/>
  <c r="F2833" i="2" s="1"/>
  <c r="D2819" i="2"/>
  <c r="F2819" i="2" s="1"/>
  <c r="D2777" i="2"/>
  <c r="F2777" i="2" s="1"/>
  <c r="D2748" i="2"/>
  <c r="F2748" i="2" s="1"/>
  <c r="D614" i="2"/>
  <c r="F614" i="2" s="1"/>
  <c r="D604" i="2"/>
  <c r="F604" i="2" s="1"/>
  <c r="D592" i="2"/>
  <c r="F592" i="2" s="1"/>
  <c r="D581" i="2"/>
  <c r="F581" i="2" s="1"/>
  <c r="D567" i="2"/>
  <c r="F567" i="2" s="1"/>
  <c r="D558" i="2"/>
  <c r="F558" i="2" s="1"/>
  <c r="D463" i="2"/>
  <c r="F463" i="2" s="1"/>
  <c r="D451" i="2"/>
  <c r="F451" i="2" s="1"/>
  <c r="D428" i="2"/>
  <c r="F428" i="2" s="1"/>
  <c r="D334" i="2"/>
  <c r="F334" i="2" s="1"/>
  <c r="D325" i="2"/>
  <c r="F325" i="2" s="1"/>
  <c r="D211" i="2"/>
  <c r="F211" i="2" s="1"/>
  <c r="D202" i="2"/>
  <c r="F202" i="2" s="1"/>
  <c r="D185" i="2"/>
  <c r="F185" i="2" s="1"/>
  <c r="D153" i="2"/>
  <c r="F153" i="2" s="1"/>
  <c r="D129" i="2"/>
  <c r="F129" i="2" s="1"/>
  <c r="D114" i="2"/>
  <c r="F114" i="2" s="1"/>
  <c r="D90" i="2"/>
  <c r="F90" i="2" s="1"/>
  <c r="D67" i="2"/>
  <c r="F67" i="2" s="1"/>
  <c r="D45" i="2"/>
  <c r="F45" i="2" s="1"/>
  <c r="D25" i="2"/>
  <c r="F25" i="2" s="1"/>
  <c r="D538" i="2"/>
  <c r="F538" i="2" s="1"/>
  <c r="D529" i="2"/>
  <c r="F529" i="2" s="1"/>
  <c r="D515" i="2"/>
  <c r="F515" i="2" s="1"/>
  <c r="D504" i="2"/>
  <c r="F504" i="2" s="1"/>
  <c r="D494" i="2"/>
  <c r="F494" i="2" s="1"/>
  <c r="D486" i="2"/>
  <c r="F486" i="2" s="1"/>
  <c r="D474" i="2"/>
  <c r="F474" i="2" s="1"/>
  <c r="D438" i="2"/>
  <c r="F438" i="2" s="1"/>
  <c r="D418" i="2"/>
  <c r="F418" i="2" s="1"/>
  <c r="D408" i="2"/>
  <c r="F408" i="2" s="1"/>
  <c r="D398" i="2"/>
  <c r="F398" i="2" s="1"/>
  <c r="D386" i="2"/>
  <c r="F386" i="2" s="1"/>
  <c r="D368" i="2"/>
  <c r="F368" i="2" s="1"/>
  <c r="D341" i="2"/>
  <c r="F341" i="2" s="1"/>
  <c r="D315" i="2"/>
  <c r="F315" i="2" s="1"/>
  <c r="D306" i="2"/>
  <c r="F306" i="2" s="1"/>
  <c r="D297" i="2"/>
  <c r="F297" i="2" s="1"/>
  <c r="D287" i="2"/>
  <c r="F287" i="2" s="1"/>
  <c r="D278" i="2"/>
  <c r="F278" i="2" s="1"/>
  <c r="D269" i="2"/>
  <c r="F269" i="2" s="1"/>
  <c r="D261" i="2"/>
  <c r="F261" i="2" s="1"/>
  <c r="D252" i="2"/>
  <c r="F252" i="2" s="1"/>
  <c r="D242" i="2"/>
  <c r="F242" i="2" s="1"/>
  <c r="D233" i="2"/>
  <c r="F233" i="2" s="1"/>
  <c r="D222" i="2"/>
  <c r="F222" i="2" s="1"/>
  <c r="D191" i="2"/>
  <c r="F191" i="2" s="1"/>
  <c r="D174" i="2"/>
  <c r="F174" i="2" s="1"/>
  <c r="D165" i="2"/>
  <c r="F165" i="2" s="1"/>
  <c r="D145" i="2"/>
  <c r="F145" i="2" s="1"/>
  <c r="D24" i="2"/>
  <c r="F24" i="2" s="1"/>
  <c r="D615" i="2"/>
  <c r="F615" i="2" s="1"/>
  <c r="D606" i="2"/>
  <c r="F606" i="2" s="1"/>
  <c r="D593" i="2"/>
  <c r="F593" i="2" s="1"/>
  <c r="D583" i="2"/>
  <c r="F583" i="2" s="1"/>
  <c r="D568" i="2"/>
  <c r="F568" i="2" s="1"/>
  <c r="D557" i="2"/>
  <c r="F557" i="2" s="1"/>
  <c r="D462" i="2"/>
  <c r="F462" i="2" s="1"/>
  <c r="D450" i="2"/>
  <c r="F450" i="2" s="1"/>
  <c r="D374" i="2"/>
  <c r="F374" i="2" s="1"/>
  <c r="D354" i="2"/>
  <c r="F354" i="2" s="1"/>
  <c r="D326" i="2"/>
  <c r="F326" i="2" s="1"/>
  <c r="D212" i="2"/>
  <c r="F212" i="2" s="1"/>
  <c r="D203" i="2"/>
  <c r="F203" i="2" s="1"/>
  <c r="D186" i="2"/>
  <c r="F186" i="2" s="1"/>
  <c r="D156" i="2"/>
  <c r="F156" i="2" s="1"/>
  <c r="D134" i="2"/>
  <c r="F134" i="2" s="1"/>
  <c r="D126" i="2"/>
  <c r="F126" i="2" s="1"/>
  <c r="D117" i="2"/>
  <c r="F117" i="2" s="1"/>
  <c r="D105" i="2"/>
  <c r="F105" i="2" s="1"/>
  <c r="D95" i="2"/>
  <c r="F95" i="2" s="1"/>
  <c r="D86" i="2"/>
  <c r="F86" i="2" s="1"/>
  <c r="D76" i="2"/>
  <c r="F76" i="2" s="1"/>
  <c r="D66" i="2"/>
  <c r="F66" i="2" s="1"/>
  <c r="D57" i="2"/>
  <c r="F57" i="2" s="1"/>
  <c r="D48" i="2"/>
  <c r="F48" i="2" s="1"/>
  <c r="D39" i="2"/>
  <c r="F39" i="2" s="1"/>
  <c r="D549" i="2"/>
  <c r="F549" i="2" s="1"/>
  <c r="D534" i="2"/>
  <c r="F534" i="2" s="1"/>
  <c r="D522" i="2"/>
  <c r="F522" i="2" s="1"/>
  <c r="D512" i="2"/>
  <c r="F512" i="2" s="1"/>
  <c r="D499" i="2"/>
  <c r="F499" i="2" s="1"/>
  <c r="D491" i="2"/>
  <c r="F491" i="2" s="1"/>
  <c r="D481" i="2"/>
  <c r="F481" i="2" s="1"/>
  <c r="D471" i="2"/>
  <c r="F471" i="2" s="1"/>
  <c r="D435" i="2"/>
  <c r="F435" i="2" s="1"/>
  <c r="D415" i="2"/>
  <c r="F415" i="2" s="1"/>
  <c r="D403" i="2"/>
  <c r="F403" i="2" s="1"/>
  <c r="D394" i="2"/>
  <c r="F394" i="2" s="1"/>
  <c r="D382" i="2"/>
  <c r="F382" i="2" s="1"/>
  <c r="D361" i="2"/>
  <c r="F361" i="2" s="1"/>
  <c r="D342" i="2"/>
  <c r="F342" i="2" s="1"/>
  <c r="D316" i="2"/>
  <c r="F316" i="2" s="1"/>
  <c r="D307" i="2"/>
  <c r="F307" i="2" s="1"/>
  <c r="D298" i="2"/>
  <c r="F298" i="2" s="1"/>
  <c r="D288" i="2"/>
  <c r="F288" i="2" s="1"/>
  <c r="D279" i="2"/>
  <c r="F279" i="2" s="1"/>
  <c r="D271" i="2"/>
  <c r="F271" i="2" s="1"/>
  <c r="D262" i="2"/>
  <c r="F262" i="2" s="1"/>
  <c r="D253" i="2"/>
  <c r="F253" i="2" s="1"/>
  <c r="D243" i="2"/>
  <c r="F243" i="2" s="1"/>
  <c r="D234" i="2"/>
  <c r="F234" i="2" s="1"/>
  <c r="D225" i="2"/>
  <c r="F225" i="2" s="1"/>
  <c r="D194" i="2"/>
  <c r="F194" i="2" s="1"/>
  <c r="D175" i="2"/>
  <c r="F175" i="2" s="1"/>
  <c r="D166" i="2"/>
  <c r="F166" i="2" s="1"/>
  <c r="D148" i="2"/>
  <c r="F148" i="2" s="1"/>
  <c r="D139" i="2"/>
  <c r="F139" i="2" s="1"/>
  <c r="D116" i="2"/>
  <c r="F116" i="2" s="1"/>
  <c r="D96" i="2"/>
  <c r="F96" i="2" s="1"/>
  <c r="D81" i="2"/>
  <c r="F81" i="2" s="1"/>
  <c r="D60" i="2"/>
  <c r="F60" i="2" s="1"/>
  <c r="D47" i="2"/>
  <c r="F47" i="2" s="1"/>
  <c r="D29" i="2"/>
  <c r="F29" i="2" s="1"/>
  <c r="D5733" i="2"/>
  <c r="F5733" i="2" s="1"/>
  <c r="D2789" i="2"/>
  <c r="F2789" i="2" s="1"/>
  <c r="D2739" i="2"/>
  <c r="F2739" i="2" s="1"/>
  <c r="D2712" i="2"/>
  <c r="F2712" i="2" s="1"/>
  <c r="D2828" i="2"/>
  <c r="F2828" i="2" s="1"/>
  <c r="D2758" i="2"/>
  <c r="F2758" i="2" s="1"/>
  <c r="D2727" i="2"/>
  <c r="F2727" i="2" s="1"/>
  <c r="D2839" i="2"/>
  <c r="F2839" i="2" s="1"/>
  <c r="D2815" i="2"/>
  <c r="F2815" i="2" s="1"/>
  <c r="D620" i="2"/>
  <c r="F620" i="2" s="1"/>
  <c r="D597" i="2"/>
  <c r="F597" i="2" s="1"/>
  <c r="D562" i="2"/>
  <c r="F562" i="2" s="1"/>
  <c r="D432" i="2"/>
  <c r="F432" i="2" s="1"/>
  <c r="D215" i="2"/>
  <c r="F215" i="2" s="1"/>
  <c r="D157" i="2"/>
  <c r="F157" i="2" s="1"/>
  <c r="D98" i="2"/>
  <c r="F98" i="2" s="1"/>
  <c r="D36" i="2"/>
  <c r="F36" i="2" s="1"/>
  <c r="D511" i="2"/>
  <c r="F511" i="2" s="1"/>
  <c r="D479" i="2"/>
  <c r="F479" i="2" s="1"/>
  <c r="D414" i="2"/>
  <c r="F414" i="2" s="1"/>
  <c r="D377" i="2"/>
  <c r="F377" i="2" s="1"/>
  <c r="D311" i="2"/>
  <c r="F311" i="2" s="1"/>
  <c r="D283" i="2"/>
  <c r="F283" i="2" s="1"/>
  <c r="D256" i="2"/>
  <c r="F256" i="2" s="1"/>
  <c r="D226" i="2"/>
  <c r="F226" i="2" s="1"/>
  <c r="D170" i="2"/>
  <c r="F170" i="2" s="1"/>
  <c r="D621" i="2"/>
  <c r="F621" i="2" s="1"/>
  <c r="D599" i="2"/>
  <c r="F599" i="2" s="1"/>
  <c r="D561" i="2"/>
  <c r="F561" i="2" s="1"/>
  <c r="D431" i="2"/>
  <c r="F431" i="2" s="1"/>
  <c r="D216" i="2"/>
  <c r="F216" i="2" s="1"/>
  <c r="D182" i="2"/>
  <c r="F182" i="2" s="1"/>
  <c r="D121" i="2"/>
  <c r="F121" i="2" s="1"/>
  <c r="D91" i="2"/>
  <c r="F91" i="2" s="1"/>
  <c r="D62" i="2"/>
  <c r="F62" i="2" s="1"/>
  <c r="D540" i="2"/>
  <c r="F540" i="2" s="1"/>
  <c r="D516" i="2"/>
  <c r="F516" i="2" s="1"/>
  <c r="D487" i="2"/>
  <c r="F487" i="2" s="1"/>
  <c r="D424" i="2"/>
  <c r="F424" i="2" s="1"/>
  <c r="D387" i="2"/>
  <c r="F387" i="2" s="1"/>
  <c r="D338" i="2"/>
  <c r="F338" i="2" s="1"/>
  <c r="D294" i="2"/>
  <c r="F294" i="2" s="1"/>
  <c r="D266" i="2"/>
  <c r="F266" i="2" s="1"/>
  <c r="D238" i="2"/>
  <c r="F238" i="2" s="1"/>
  <c r="D179" i="2"/>
  <c r="F179" i="2" s="1"/>
  <c r="D144" i="2"/>
  <c r="F144" i="2" s="1"/>
  <c r="D87" i="2"/>
  <c r="F87" i="2" s="1"/>
  <c r="D38" i="2"/>
  <c r="F38" i="2" s="1"/>
  <c r="D2796" i="2"/>
  <c r="F2796" i="2" s="1"/>
  <c r="D2764" i="2"/>
  <c r="F2764" i="2" s="1"/>
  <c r="D2741" i="2"/>
  <c r="F2741" i="2" s="1"/>
  <c r="D2733" i="2"/>
  <c r="F2733" i="2" s="1"/>
  <c r="D2722" i="2"/>
  <c r="F2722" i="2" s="1"/>
  <c r="D2714" i="2"/>
  <c r="F2714" i="2" s="1"/>
  <c r="D2706" i="2"/>
  <c r="F2706" i="2" s="1"/>
  <c r="D2840" i="2"/>
  <c r="F2840" i="2" s="1"/>
  <c r="D2830" i="2"/>
  <c r="F2830" i="2" s="1"/>
  <c r="D2816" i="2"/>
  <c r="F2816" i="2" s="1"/>
  <c r="D2800" i="2"/>
  <c r="F2800" i="2" s="1"/>
  <c r="D2765" i="2"/>
  <c r="F2765" i="2" s="1"/>
  <c r="D2794" i="2"/>
  <c r="F2794" i="2" s="1"/>
  <c r="D2759" i="2"/>
  <c r="F2759" i="2" s="1"/>
  <c r="D2740" i="2"/>
  <c r="F2740" i="2" s="1"/>
  <c r="D2732" i="2"/>
  <c r="F2732" i="2" s="1"/>
  <c r="D2721" i="2"/>
  <c r="F2721" i="2" s="1"/>
  <c r="D2713" i="2"/>
  <c r="F2713" i="2" s="1"/>
  <c r="D2705" i="2"/>
  <c r="F2705" i="2" s="1"/>
  <c r="D2841" i="2"/>
  <c r="F2841" i="2" s="1"/>
  <c r="D2831" i="2"/>
  <c r="F2831" i="2" s="1"/>
  <c r="D2817" i="2"/>
  <c r="F2817" i="2" s="1"/>
  <c r="D2802" i="2"/>
  <c r="F2802" i="2" s="1"/>
  <c r="D2767" i="2"/>
  <c r="F2767" i="2" s="1"/>
  <c r="D622" i="2"/>
  <c r="F622" i="2" s="1"/>
  <c r="D612" i="2"/>
  <c r="F612" i="2" s="1"/>
  <c r="D600" i="2"/>
  <c r="F600" i="2" s="1"/>
  <c r="D589" i="2"/>
  <c r="F589" i="2" s="1"/>
  <c r="D577" i="2"/>
  <c r="F577" i="2" s="1"/>
  <c r="D565" i="2"/>
  <c r="F565" i="2" s="1"/>
  <c r="D556" i="2"/>
  <c r="F556" i="2" s="1"/>
  <c r="D458" i="2"/>
  <c r="F458" i="2" s="1"/>
  <c r="D444" i="2"/>
  <c r="F444" i="2" s="1"/>
  <c r="D373" i="2"/>
  <c r="F373" i="2" s="1"/>
  <c r="D332" i="2"/>
  <c r="F332" i="2" s="1"/>
  <c r="D322" i="2"/>
  <c r="F322" i="2" s="1"/>
  <c r="D209" i="2"/>
  <c r="F209" i="2" s="1"/>
  <c r="D200" i="2"/>
  <c r="F200" i="2" s="1"/>
  <c r="D183" i="2"/>
  <c r="F183" i="2" s="1"/>
  <c r="D151" i="2"/>
  <c r="F151" i="2" s="1"/>
  <c r="D127" i="2"/>
  <c r="F127" i="2" s="1"/>
  <c r="D106" i="2"/>
  <c r="F106" i="2" s="1"/>
  <c r="D83" i="2"/>
  <c r="F83" i="2" s="1"/>
  <c r="D63" i="2"/>
  <c r="F63" i="2" s="1"/>
  <c r="D40" i="2"/>
  <c r="F40" i="2" s="1"/>
  <c r="D37" i="2"/>
  <c r="F37" i="2" s="1"/>
  <c r="D550" i="2"/>
  <c r="F550" i="2" s="1"/>
  <c r="D535" i="2"/>
  <c r="F535" i="2" s="1"/>
  <c r="D527" i="2"/>
  <c r="F527" i="2" s="1"/>
  <c r="D513" i="2"/>
  <c r="F513" i="2" s="1"/>
  <c r="D500" i="2"/>
  <c r="F500" i="2" s="1"/>
  <c r="D492" i="2"/>
  <c r="F492" i="2" s="1"/>
  <c r="D483" i="2"/>
  <c r="F483" i="2" s="1"/>
  <c r="D472" i="2"/>
  <c r="F472" i="2" s="1"/>
  <c r="D436" i="2"/>
  <c r="F436" i="2" s="1"/>
  <c r="D416" i="2"/>
  <c r="F416" i="2" s="1"/>
  <c r="D406" i="2"/>
  <c r="F406" i="2" s="1"/>
  <c r="D395" i="2"/>
  <c r="F395" i="2" s="1"/>
  <c r="D383" i="2"/>
  <c r="F383" i="2" s="1"/>
  <c r="D362" i="2"/>
  <c r="F362" i="2" s="1"/>
  <c r="D339" i="2"/>
  <c r="F339" i="2" s="1"/>
  <c r="D313" i="2"/>
  <c r="F313" i="2" s="1"/>
  <c r="D304" i="2"/>
  <c r="F304" i="2" s="1"/>
  <c r="D295" i="2"/>
  <c r="F295" i="2" s="1"/>
  <c r="D285" i="2"/>
  <c r="F285" i="2" s="1"/>
  <c r="D276" i="2"/>
  <c r="F276" i="2" s="1"/>
  <c r="D267" i="2"/>
  <c r="F267" i="2" s="1"/>
  <c r="D258" i="2"/>
  <c r="F258" i="2" s="1"/>
  <c r="D248" i="2"/>
  <c r="F248" i="2" s="1"/>
  <c r="D239" i="2"/>
  <c r="F239" i="2" s="1"/>
  <c r="D228" i="2"/>
  <c r="F228" i="2" s="1"/>
  <c r="D197" i="2"/>
  <c r="F197" i="2" s="1"/>
  <c r="D180" i="2"/>
  <c r="F180" i="2" s="1"/>
  <c r="D172" i="2"/>
  <c r="F172" i="2" s="1"/>
  <c r="D163" i="2"/>
  <c r="F163" i="2" s="1"/>
  <c r="D143" i="2"/>
  <c r="F143" i="2" s="1"/>
  <c r="D624" i="2"/>
  <c r="F624" i="2" s="1"/>
  <c r="D613" i="2"/>
  <c r="F613" i="2" s="1"/>
  <c r="D603" i="2"/>
  <c r="F603" i="2" s="1"/>
  <c r="D591" i="2"/>
  <c r="F591" i="2" s="1"/>
  <c r="D579" i="2"/>
  <c r="F579" i="2" s="1"/>
  <c r="D566" i="2"/>
  <c r="F566" i="2" s="1"/>
  <c r="D555" i="2"/>
  <c r="F555" i="2" s="1"/>
  <c r="D457" i="2"/>
  <c r="F457" i="2" s="1"/>
  <c r="D443" i="2"/>
  <c r="F443" i="2" s="1"/>
  <c r="D372" i="2"/>
  <c r="F372" i="2" s="1"/>
  <c r="D333" i="2"/>
  <c r="F333" i="2" s="1"/>
  <c r="D323" i="2"/>
  <c r="F323" i="2" s="1"/>
  <c r="D210" i="2"/>
  <c r="F210" i="2" s="1"/>
  <c r="D201" i="2"/>
  <c r="F201" i="2" s="1"/>
  <c r="D184" i="2"/>
  <c r="F184" i="2" s="1"/>
  <c r="D154" i="2"/>
  <c r="F154" i="2" s="1"/>
  <c r="D132" i="2"/>
  <c r="F132" i="2" s="1"/>
  <c r="D124" i="2"/>
  <c r="F124" i="2" s="1"/>
  <c r="D115" i="2"/>
  <c r="F115" i="2" s="1"/>
  <c r="D103" i="2"/>
  <c r="F103" i="2" s="1"/>
  <c r="D93" i="2"/>
  <c r="F93" i="2" s="1"/>
  <c r="D84" i="2"/>
  <c r="F84" i="2" s="1"/>
  <c r="D74" i="2"/>
  <c r="F74" i="2" s="1"/>
  <c r="D64" i="2"/>
  <c r="F64" i="2" s="1"/>
  <c r="D55" i="2"/>
  <c r="F55" i="2" s="1"/>
  <c r="D46" i="2"/>
  <c r="F46" i="2" s="1"/>
  <c r="D30" i="2"/>
  <c r="F30" i="2" s="1"/>
  <c r="D544" i="2"/>
  <c r="F544" i="2" s="1"/>
  <c r="D532" i="2"/>
  <c r="F532" i="2" s="1"/>
  <c r="D519" i="2"/>
  <c r="F519" i="2" s="1"/>
  <c r="D510" i="2"/>
  <c r="F510" i="2" s="1"/>
  <c r="D497" i="2"/>
  <c r="F497" i="2" s="1"/>
  <c r="D489" i="2"/>
  <c r="F489" i="2" s="1"/>
  <c r="D477" i="2"/>
  <c r="F477" i="2" s="1"/>
  <c r="D447" i="2"/>
  <c r="F447" i="2" s="1"/>
  <c r="D426" i="2"/>
  <c r="F426" i="2" s="1"/>
  <c r="D413" i="2"/>
  <c r="F413" i="2" s="1"/>
  <c r="D401" i="2"/>
  <c r="F401" i="2" s="1"/>
  <c r="D392" i="2"/>
  <c r="F392" i="2" s="1"/>
  <c r="D376" i="2"/>
  <c r="F376" i="2" s="1"/>
  <c r="D351" i="2"/>
  <c r="F351" i="2" s="1"/>
  <c r="D340" i="2"/>
  <c r="F340" i="2" s="1"/>
  <c r="D314" i="2"/>
  <c r="F314" i="2" s="1"/>
  <c r="D305" i="2"/>
  <c r="F305" i="2" s="1"/>
  <c r="D296" i="2"/>
  <c r="F296" i="2" s="1"/>
  <c r="D286" i="2"/>
  <c r="F286" i="2" s="1"/>
  <c r="D277" i="2"/>
  <c r="F277" i="2" s="1"/>
  <c r="D268" i="2"/>
  <c r="F268" i="2" s="1"/>
  <c r="D259" i="2"/>
  <c r="F259" i="2" s="1"/>
  <c r="D251" i="2"/>
  <c r="F251" i="2" s="1"/>
  <c r="D241" i="2"/>
  <c r="F241" i="2" s="1"/>
  <c r="D232" i="2"/>
  <c r="F232" i="2" s="1"/>
  <c r="D223" i="2"/>
  <c r="F223" i="2" s="1"/>
  <c r="D192" i="2"/>
  <c r="F192" i="2" s="1"/>
  <c r="D173" i="2"/>
  <c r="F173" i="2" s="1"/>
  <c r="D164" i="2"/>
  <c r="F164" i="2" s="1"/>
  <c r="D146" i="2"/>
  <c r="F146" i="2" s="1"/>
  <c r="D133" i="2"/>
  <c r="F133" i="2" s="1"/>
  <c r="D108" i="2"/>
  <c r="F108" i="2" s="1"/>
  <c r="D92" i="2"/>
  <c r="F92" i="2" s="1"/>
  <c r="D75" i="2"/>
  <c r="F75" i="2" s="1"/>
  <c r="D56" i="2"/>
  <c r="F56" i="2" s="1"/>
  <c r="D42" i="2"/>
  <c r="F42" i="2" s="1"/>
  <c r="D27" i="2"/>
  <c r="F27" i="2" s="1"/>
  <c r="D2753" i="2"/>
  <c r="F2753" i="2" s="1"/>
  <c r="D2731" i="2"/>
  <c r="F2731" i="2" s="1"/>
  <c r="D2790" i="2"/>
  <c r="F2790" i="2" s="1"/>
  <c r="D2784" i="2"/>
  <c r="F2784" i="2" s="1"/>
  <c r="D2738" i="2"/>
  <c r="F2738" i="2" s="1"/>
  <c r="D2711" i="2"/>
  <c r="F2711" i="2" s="1"/>
  <c r="D2663" i="2"/>
  <c r="F2663" i="2" s="1"/>
  <c r="D2829" i="2"/>
  <c r="F2829" i="2" s="1"/>
  <c r="D2763" i="2"/>
  <c r="F2763" i="2" s="1"/>
  <c r="D587" i="2"/>
  <c r="F587" i="2" s="1"/>
  <c r="D554" i="2"/>
  <c r="F554" i="2" s="1"/>
  <c r="D358" i="2"/>
  <c r="F358" i="2" s="1"/>
  <c r="D206" i="2"/>
  <c r="F206" i="2" s="1"/>
  <c r="D135" i="2"/>
  <c r="F135" i="2" s="1"/>
  <c r="D77" i="2"/>
  <c r="F77" i="2" s="1"/>
  <c r="D28" i="2"/>
  <c r="F28" i="2" s="1"/>
  <c r="D545" i="2"/>
  <c r="F545" i="2" s="1"/>
  <c r="D520" i="2"/>
  <c r="F520" i="2" s="1"/>
  <c r="D490" i="2"/>
  <c r="F490" i="2" s="1"/>
  <c r="D434" i="2"/>
  <c r="F434" i="2" s="1"/>
  <c r="D393" i="2"/>
  <c r="F393" i="2" s="1"/>
  <c r="D337" i="2"/>
  <c r="F337" i="2" s="1"/>
  <c r="D293" i="2"/>
  <c r="F293" i="2" s="1"/>
  <c r="D265" i="2"/>
  <c r="F265" i="2" s="1"/>
  <c r="D237" i="2"/>
  <c r="F237" i="2" s="1"/>
  <c r="D178" i="2"/>
  <c r="F178" i="2" s="1"/>
  <c r="D141" i="2"/>
  <c r="F141" i="2" s="1"/>
  <c r="D610" i="2"/>
  <c r="F610" i="2" s="1"/>
  <c r="D588" i="2"/>
  <c r="F588" i="2" s="1"/>
  <c r="D467" i="2"/>
  <c r="F467" i="2" s="1"/>
  <c r="D359" i="2"/>
  <c r="F359" i="2" s="1"/>
  <c r="D207" i="2"/>
  <c r="F207" i="2" s="1"/>
  <c r="D152" i="2"/>
  <c r="F152" i="2" s="1"/>
  <c r="D111" i="2"/>
  <c r="F111" i="2" s="1"/>
  <c r="D82" i="2"/>
  <c r="F82" i="2" s="1"/>
  <c r="D53" i="2"/>
  <c r="F53" i="2" s="1"/>
  <c r="D530" i="2"/>
  <c r="F530" i="2" s="1"/>
  <c r="D495" i="2"/>
  <c r="F495" i="2" s="1"/>
  <c r="D439" i="2"/>
  <c r="F439" i="2" s="1"/>
  <c r="D399" i="2"/>
  <c r="F399" i="2" s="1"/>
  <c r="D349" i="2"/>
  <c r="F349" i="2" s="1"/>
  <c r="D303" i="2"/>
  <c r="F303" i="2" s="1"/>
  <c r="D275" i="2"/>
  <c r="F275" i="2" s="1"/>
  <c r="D247" i="2"/>
  <c r="F247" i="2" s="1"/>
  <c r="D229" i="2"/>
  <c r="F229" i="2" s="1"/>
  <c r="D171" i="2"/>
  <c r="F171" i="2" s="1"/>
  <c r="D125" i="2"/>
  <c r="F125" i="2" s="1"/>
  <c r="D54" i="2"/>
  <c r="F54" i="2" s="1"/>
  <c r="D2782" i="2"/>
  <c r="F2782" i="2" s="1"/>
  <c r="D2749" i="2"/>
  <c r="F2749" i="2" s="1"/>
  <c r="D2737" i="2"/>
  <c r="F2737" i="2" s="1"/>
  <c r="D2726" i="2"/>
  <c r="F2726" i="2" s="1"/>
  <c r="D2718" i="2"/>
  <c r="F2718" i="2" s="1"/>
  <c r="D2710" i="2"/>
  <c r="F2710" i="2" s="1"/>
  <c r="D2662" i="2"/>
  <c r="F2662" i="2" s="1"/>
  <c r="D2836" i="2"/>
  <c r="F2836" i="2" s="1"/>
  <c r="D2826" i="2"/>
  <c r="F2826" i="2" s="1"/>
  <c r="D2812" i="2"/>
  <c r="F2812" i="2" s="1"/>
  <c r="D2783" i="2"/>
  <c r="F2783" i="2" s="1"/>
  <c r="D2750" i="2"/>
  <c r="F2750" i="2" s="1"/>
  <c r="D2773" i="2"/>
  <c r="F2773" i="2" s="1"/>
  <c r="D2747" i="2"/>
  <c r="F2747" i="2" s="1"/>
  <c r="D2736" i="2"/>
  <c r="F2736" i="2" s="1"/>
  <c r="D2725" i="2"/>
  <c r="F2725" i="2" s="1"/>
  <c r="D2717" i="2"/>
  <c r="F2717" i="2" s="1"/>
  <c r="D2709" i="2"/>
  <c r="F2709" i="2" s="1"/>
  <c r="D2837" i="2"/>
  <c r="F2837" i="2" s="1"/>
  <c r="D2827" i="2"/>
  <c r="F2827" i="2" s="1"/>
  <c r="D2813" i="2"/>
  <c r="F2813" i="2" s="1"/>
  <c r="D2785" i="2"/>
  <c r="F2785" i="2" s="1"/>
  <c r="D2752" i="2"/>
  <c r="F2752" i="2" s="1"/>
  <c r="D616" i="2"/>
  <c r="F616" i="2" s="1"/>
  <c r="D607" i="2"/>
  <c r="F607" i="2" s="1"/>
  <c r="D594" i="2"/>
  <c r="F594" i="2" s="1"/>
  <c r="D585" i="2"/>
  <c r="F585" i="2" s="1"/>
  <c r="D571" i="2"/>
  <c r="F571" i="2" s="1"/>
  <c r="D560" i="2"/>
  <c r="F560" i="2" s="1"/>
  <c r="D466" i="2"/>
  <c r="F466" i="2" s="1"/>
  <c r="D453" i="2"/>
  <c r="F453" i="2" s="1"/>
  <c r="D430" i="2"/>
  <c r="F430" i="2" s="1"/>
  <c r="D353" i="2"/>
  <c r="F353" i="2" s="1"/>
  <c r="D328" i="2"/>
  <c r="F328" i="2" s="1"/>
  <c r="D213" i="2"/>
  <c r="F213" i="2" s="1"/>
  <c r="D204" i="2"/>
  <c r="F204" i="2" s="1"/>
  <c r="D187" i="2"/>
  <c r="F187" i="2" s="1"/>
  <c r="D155" i="2"/>
  <c r="F155" i="2" s="1"/>
  <c r="D131" i="2"/>
  <c r="F131" i="2" s="1"/>
  <c r="D118" i="2"/>
  <c r="F118" i="2" s="1"/>
  <c r="D94" i="2"/>
  <c r="F94" i="2" s="1"/>
  <c r="D73" i="2"/>
  <c r="F73" i="2" s="1"/>
  <c r="D51" i="2"/>
  <c r="F51" i="2" s="1"/>
  <c r="E513" i="1" s="1"/>
  <c r="F513" i="1" s="1"/>
  <c r="D31" i="2"/>
  <c r="F31" i="2" s="1"/>
  <c r="D541" i="2"/>
  <c r="F541" i="2" s="1"/>
  <c r="D531" i="2"/>
  <c r="F531" i="2" s="1"/>
  <c r="D517" i="2"/>
  <c r="F517" i="2" s="1"/>
  <c r="D508" i="2"/>
  <c r="F508" i="2" s="1"/>
  <c r="D496" i="2"/>
  <c r="F496" i="2" s="1"/>
  <c r="D488" i="2"/>
  <c r="F488" i="2" s="1"/>
  <c r="D476" i="2"/>
  <c r="F476" i="2" s="1"/>
  <c r="D446" i="2"/>
  <c r="F446" i="2" s="1"/>
  <c r="D425" i="2"/>
  <c r="F425" i="2" s="1"/>
  <c r="D410" i="2"/>
  <c r="F410" i="2" s="1"/>
  <c r="D400" i="2"/>
  <c r="F400" i="2" s="1"/>
  <c r="D388" i="2"/>
  <c r="F388" i="2" s="1"/>
  <c r="D370" i="2"/>
  <c r="F370" i="2" s="1"/>
  <c r="D343" i="2"/>
  <c r="F343" i="2" s="1"/>
  <c r="D319" i="2"/>
  <c r="F319" i="2" s="1"/>
  <c r="D309" i="2"/>
  <c r="F309" i="2" s="1"/>
  <c r="D300" i="2"/>
  <c r="F300" i="2" s="1"/>
  <c r="D289" i="2"/>
  <c r="F289" i="2" s="1"/>
  <c r="D281" i="2"/>
  <c r="F281" i="2" s="1"/>
  <c r="D272" i="2"/>
  <c r="F272" i="2" s="1"/>
  <c r="D263" i="2"/>
  <c r="F263" i="2" s="1"/>
  <c r="D254" i="2"/>
  <c r="F254" i="2" s="1"/>
  <c r="D244" i="2"/>
  <c r="F244" i="2" s="1"/>
  <c r="D235" i="2"/>
  <c r="F235" i="2" s="1"/>
  <c r="D224" i="2"/>
  <c r="F224" i="2" s="1"/>
  <c r="D193" i="2"/>
  <c r="F193" i="2" s="1"/>
  <c r="D176" i="2"/>
  <c r="F176" i="2" s="1"/>
  <c r="D167" i="2"/>
  <c r="F167" i="2" s="1"/>
  <c r="D147" i="2"/>
  <c r="F147" i="2" s="1"/>
  <c r="D35" i="2"/>
  <c r="F35" i="2" s="1"/>
  <c r="D618" i="2"/>
  <c r="F618" i="2" s="1"/>
  <c r="D608" i="2"/>
  <c r="F608" i="2" s="1"/>
  <c r="D595" i="2"/>
  <c r="F595" i="2" s="1"/>
  <c r="D586" i="2"/>
  <c r="F586" i="2" s="1"/>
  <c r="D573" i="2"/>
  <c r="F573" i="2" s="1"/>
  <c r="D559" i="2"/>
  <c r="F559" i="2" s="1"/>
  <c r="D465" i="2"/>
  <c r="F465" i="2" s="1"/>
  <c r="D452" i="2"/>
  <c r="F452" i="2" s="1"/>
  <c r="D429" i="2"/>
  <c r="F429" i="2" s="1"/>
  <c r="D357" i="2"/>
  <c r="F357" i="2" s="1"/>
  <c r="D329" i="2"/>
  <c r="F329" i="2" s="1"/>
  <c r="D214" i="2"/>
  <c r="F214" i="2" s="1"/>
  <c r="D205" i="2"/>
  <c r="F205" i="2" s="1"/>
  <c r="D188" i="2"/>
  <c r="F188" i="2" s="1"/>
  <c r="D158" i="2"/>
  <c r="F158" i="2" s="1"/>
  <c r="D136" i="2"/>
  <c r="F136" i="2" s="1"/>
  <c r="D128" i="2"/>
  <c r="F128" i="2" s="1"/>
  <c r="D119" i="2"/>
  <c r="F119" i="2" s="1"/>
  <c r="D107" i="2"/>
  <c r="F107" i="2" s="1"/>
  <c r="D97" i="2"/>
  <c r="F97" i="2" s="1"/>
  <c r="D88" i="2"/>
  <c r="F88" i="2" s="1"/>
  <c r="D80" i="2"/>
  <c r="F80" i="2" s="1"/>
  <c r="D68" i="2"/>
  <c r="F68" i="2" s="1"/>
  <c r="D59" i="2"/>
  <c r="F59" i="2" s="1"/>
  <c r="D50" i="2"/>
  <c r="F50" i="2" s="1"/>
  <c r="D41" i="2"/>
  <c r="F41" i="2" s="1"/>
  <c r="D551" i="2"/>
  <c r="F551" i="2" s="1"/>
  <c r="D537" i="2"/>
  <c r="F537" i="2" s="1"/>
  <c r="D528" i="2"/>
  <c r="F528" i="2" s="1"/>
  <c r="D514" i="2"/>
  <c r="F514" i="2" s="1"/>
  <c r="D503" i="2"/>
  <c r="F503" i="2" s="1"/>
  <c r="D493" i="2"/>
  <c r="F493" i="2" s="1"/>
  <c r="D485" i="2"/>
  <c r="F485" i="2" s="1"/>
  <c r="D473" i="2"/>
  <c r="F473" i="2" s="1"/>
  <c r="D437" i="2"/>
  <c r="F437" i="2" s="1"/>
  <c r="D417" i="2"/>
  <c r="F417" i="2" s="1"/>
  <c r="D407" i="2"/>
  <c r="F407" i="2" s="1"/>
  <c r="D396" i="2"/>
  <c r="F396" i="2" s="1"/>
  <c r="D384" i="2"/>
  <c r="F384" i="2" s="1"/>
  <c r="D363" i="2"/>
  <c r="F363" i="2" s="1"/>
  <c r="D344" i="2"/>
  <c r="F344" i="2" s="1"/>
  <c r="D320" i="2"/>
  <c r="F320" i="2" s="1"/>
  <c r="D310" i="2"/>
  <c r="F310" i="2" s="1"/>
  <c r="D301" i="2"/>
  <c r="F301" i="2" s="1"/>
  <c r="D292" i="2"/>
  <c r="F292" i="2" s="1"/>
  <c r="D282" i="2"/>
  <c r="F282" i="2" s="1"/>
  <c r="D273" i="2"/>
  <c r="F273" i="2" s="1"/>
  <c r="D264" i="2"/>
  <c r="F264" i="2" s="1"/>
  <c r="D255" i="2"/>
  <c r="F255" i="2" s="1"/>
  <c r="D245" i="2"/>
  <c r="F245" i="2" s="1"/>
  <c r="D236" i="2"/>
  <c r="F236" i="2" s="1"/>
  <c r="D227" i="2"/>
  <c r="F227" i="2" s="1"/>
  <c r="D196" i="2"/>
  <c r="F196" i="2" s="1"/>
  <c r="D177" i="2"/>
  <c r="F177" i="2" s="1"/>
  <c r="D168" i="2"/>
  <c r="F168" i="2" s="1"/>
  <c r="D160" i="2"/>
  <c r="F160" i="2" s="1"/>
  <c r="D142" i="2"/>
  <c r="F142" i="2" s="1"/>
  <c r="D120" i="2"/>
  <c r="F120" i="2" s="1"/>
  <c r="D102" i="2"/>
  <c r="F102" i="2" s="1"/>
  <c r="D85" i="2"/>
  <c r="F85" i="2" s="1"/>
  <c r="D65" i="2"/>
  <c r="F65" i="2" s="1"/>
  <c r="D49" i="2"/>
  <c r="F49" i="2" s="1"/>
  <c r="D34" i="2"/>
  <c r="F34" i="2" s="1"/>
  <c r="D26" i="2"/>
  <c r="F26" i="2" s="1"/>
  <c r="D2720" i="2"/>
  <c r="F2720" i="2" s="1"/>
  <c r="D2838" i="2"/>
  <c r="F2838" i="2" s="1"/>
  <c r="D2814" i="2"/>
  <c r="F2814" i="2" s="1"/>
  <c r="D2751" i="2"/>
  <c r="F2751" i="2" s="1"/>
  <c r="D2719" i="2"/>
  <c r="F2719" i="2" s="1"/>
  <c r="D2795" i="2"/>
  <c r="F2795" i="2" s="1"/>
  <c r="D609" i="2"/>
  <c r="F609" i="2" s="1"/>
  <c r="D574" i="2"/>
  <c r="F574" i="2" s="1"/>
  <c r="D456" i="2"/>
  <c r="F456" i="2" s="1"/>
  <c r="D330" i="2"/>
  <c r="F330" i="2" s="1"/>
  <c r="D189" i="2"/>
  <c r="F189" i="2" s="1"/>
  <c r="D122" i="2"/>
  <c r="F122" i="2" s="1"/>
  <c r="D58" i="2"/>
  <c r="F58" i="2" s="1"/>
  <c r="D533" i="2"/>
  <c r="F533" i="2" s="1"/>
  <c r="D498" i="2"/>
  <c r="F498" i="2" s="1"/>
  <c r="D448" i="2"/>
  <c r="F448" i="2" s="1"/>
  <c r="D402" i="2"/>
  <c r="F402" i="2" s="1"/>
  <c r="D350" i="2"/>
  <c r="F350" i="2" s="1"/>
  <c r="D302" i="2"/>
  <c r="F302" i="2" s="1"/>
  <c r="D274" i="2"/>
  <c r="F274" i="2" s="1"/>
  <c r="D246" i="2"/>
  <c r="F246" i="2" s="1"/>
  <c r="D195" i="2"/>
  <c r="F195" i="2" s="1"/>
  <c r="D161" i="2"/>
  <c r="F161" i="2" s="1"/>
  <c r="D576" i="2"/>
  <c r="F576" i="2" s="1"/>
  <c r="D455" i="2"/>
  <c r="F455" i="2" s="1"/>
  <c r="D331" i="2"/>
  <c r="F331" i="2" s="1"/>
  <c r="D199" i="2"/>
  <c r="F199" i="2" s="1"/>
  <c r="D130" i="2"/>
  <c r="F130" i="2" s="1"/>
  <c r="D101" i="2"/>
  <c r="F101" i="2" s="1"/>
  <c r="D72" i="2"/>
  <c r="F72" i="2" s="1"/>
  <c r="D44" i="2"/>
  <c r="F44" i="2" s="1"/>
  <c r="D505" i="2"/>
  <c r="F505" i="2" s="1"/>
  <c r="D475" i="2"/>
  <c r="F475" i="2" s="1"/>
  <c r="D409" i="2"/>
  <c r="F409" i="2" s="1"/>
  <c r="D369" i="2"/>
  <c r="F369" i="2" s="1"/>
  <c r="D312" i="2"/>
  <c r="F312" i="2" s="1"/>
  <c r="D284" i="2"/>
  <c r="F284" i="2" s="1"/>
  <c r="D257" i="2"/>
  <c r="F257" i="2" s="1"/>
  <c r="D219" i="2"/>
  <c r="F219" i="2" s="1"/>
  <c r="D162" i="2"/>
  <c r="F162" i="2" s="1"/>
  <c r="D104" i="2"/>
  <c r="F104" i="2" s="1"/>
  <c r="D69" i="2"/>
  <c r="F69" i="2" s="1"/>
  <c r="D32" i="2"/>
  <c r="F32" i="2" s="1"/>
  <c r="E182" i="1"/>
  <c r="F182" i="1" s="1"/>
  <c r="E174" i="1"/>
  <c r="F174" i="1" s="1"/>
  <c r="E534" i="1"/>
  <c r="F534" i="1" s="1"/>
  <c r="E173" i="1"/>
  <c r="F173" i="1" s="1"/>
  <c r="E183" i="1"/>
  <c r="F183" i="1" s="1"/>
  <c r="E660" i="1"/>
  <c r="F660" i="1" s="1"/>
  <c r="E515" i="1"/>
  <c r="F515" i="1" s="1"/>
  <c r="E13" i="17"/>
  <c r="E12" i="17"/>
  <c r="E44" i="17"/>
  <c r="E1528" i="2" l="1"/>
  <c r="F1528" i="2" s="1"/>
  <c r="E1059" i="2"/>
  <c r="F1059" i="2" s="1"/>
  <c r="E1085" i="2"/>
  <c r="F1085" i="2" s="1"/>
  <c r="E752" i="2"/>
  <c r="E762" i="2" s="1"/>
  <c r="F762" i="2" s="1"/>
  <c r="E1483" i="2"/>
  <c r="F1483" i="2" s="1"/>
  <c r="E1575" i="2"/>
  <c r="F1575" i="2" s="1"/>
  <c r="E1083" i="2"/>
  <c r="F1083" i="2" s="1"/>
  <c r="E994" i="2"/>
  <c r="F994" i="2" s="1"/>
  <c r="E1138" i="2"/>
  <c r="F1138" i="2" s="1"/>
  <c r="E1302" i="2"/>
  <c r="F1302" i="2" s="1"/>
  <c r="E1500" i="2"/>
  <c r="F1500" i="2" s="1"/>
  <c r="E1400" i="2"/>
  <c r="F1400" i="2" s="1"/>
  <c r="E999" i="2"/>
  <c r="F999" i="2" s="1"/>
  <c r="E1143" i="2"/>
  <c r="F1143" i="2" s="1"/>
  <c r="E1308" i="2"/>
  <c r="F1308" i="2" s="1"/>
  <c r="E1506" i="2"/>
  <c r="F1506" i="2" s="1"/>
  <c r="E1411" i="2"/>
  <c r="F1411" i="2" s="1"/>
  <c r="E1160" i="2"/>
  <c r="F1160" i="2" s="1"/>
  <c r="E1535" i="2"/>
  <c r="F1535" i="2" s="1"/>
  <c r="E2060" i="2"/>
  <c r="F2060" i="2" s="1"/>
  <c r="E1016" i="2"/>
  <c r="F1016" i="2" s="1"/>
  <c r="E1159" i="2"/>
  <c r="F1159" i="2" s="1"/>
  <c r="E1328" i="2"/>
  <c r="F1328" i="2" s="1"/>
  <c r="E998" i="2"/>
  <c r="F998" i="2" s="1"/>
  <c r="E1428" i="2"/>
  <c r="F1428" i="2" s="1"/>
  <c r="E988" i="2"/>
  <c r="F988" i="2" s="1"/>
  <c r="E1146" i="2"/>
  <c r="F1146" i="2" s="1"/>
  <c r="E1510" i="2"/>
  <c r="F1510" i="2" s="1"/>
  <c r="E1026" i="2"/>
  <c r="F1026" i="2" s="1"/>
  <c r="E1340" i="2"/>
  <c r="F1340" i="2"/>
  <c r="E1439" i="2"/>
  <c r="F1439" i="2" s="1"/>
  <c r="E1532" i="2"/>
  <c r="F1532" i="2" s="1"/>
  <c r="E1011" i="2"/>
  <c r="F1011" i="2"/>
  <c r="E1339" i="2"/>
  <c r="F1339" i="2" s="1"/>
  <c r="E1432" i="2"/>
  <c r="F1432" i="2" s="1"/>
  <c r="E1539" i="2"/>
  <c r="F1539" i="2"/>
  <c r="E1338" i="2"/>
  <c r="F1338" i="2"/>
  <c r="E1530" i="2"/>
  <c r="F1530" i="2"/>
  <c r="E1028" i="2"/>
  <c r="F1028" i="2"/>
  <c r="E1386" i="2"/>
  <c r="F1386" i="2"/>
  <c r="E1062" i="2"/>
  <c r="F1062" i="2"/>
  <c r="E1479" i="2"/>
  <c r="F1479" i="2"/>
  <c r="E2062" i="2"/>
  <c r="F2062" i="2"/>
  <c r="E1027" i="2"/>
  <c r="F1027" i="2"/>
  <c r="E1144" i="2"/>
  <c r="F1144" i="2"/>
  <c r="E1348" i="2"/>
  <c r="F1348" i="2" s="1"/>
  <c r="E1442" i="2"/>
  <c r="F1442" i="2" s="1"/>
  <c r="E1523" i="2"/>
  <c r="F1523" i="2" s="1"/>
  <c r="E2032" i="2"/>
  <c r="F2032" i="2" s="1"/>
  <c r="E2170" i="2"/>
  <c r="F2170" i="2" s="1"/>
  <c r="E2035" i="2"/>
  <c r="F2035" i="2" s="1"/>
  <c r="E2096" i="2"/>
  <c r="F2096" i="2" s="1"/>
  <c r="E2159" i="2"/>
  <c r="F2159" i="2" s="1"/>
  <c r="E2049" i="2"/>
  <c r="F2049" i="2" s="1"/>
  <c r="E1052" i="2"/>
  <c r="F1052" i="2" s="1"/>
  <c r="E1204" i="2"/>
  <c r="F1204" i="2" s="1"/>
  <c r="E1370" i="2"/>
  <c r="F1370" i="2" s="1"/>
  <c r="E1551" i="2"/>
  <c r="F1551" i="2" s="1"/>
  <c r="E1607" i="2"/>
  <c r="F1607" i="2" s="1"/>
  <c r="E2075" i="2"/>
  <c r="F2075" i="2" s="1"/>
  <c r="E1882" i="2"/>
  <c r="F1882" i="2" s="1"/>
  <c r="E2112" i="2"/>
  <c r="F2112" i="2" s="1"/>
  <c r="E2171" i="2"/>
  <c r="F2171" i="2" s="1"/>
  <c r="E1611" i="2"/>
  <c r="F1611" i="2" s="1"/>
  <c r="E1568" i="2"/>
  <c r="F1568" i="2" s="1"/>
  <c r="E2184" i="2"/>
  <c r="F2184" i="2"/>
  <c r="E2148" i="2"/>
  <c r="F2148" i="2" s="1"/>
  <c r="E776" i="2"/>
  <c r="F776" i="2" s="1"/>
  <c r="E1022" i="2"/>
  <c r="F1022" i="2" s="1"/>
  <c r="E1004" i="2"/>
  <c r="F1004" i="2" s="1"/>
  <c r="E1574" i="2"/>
  <c r="F1574" i="2"/>
  <c r="E1381" i="2"/>
  <c r="F1381" i="2" s="1"/>
  <c r="E1332" i="2"/>
  <c r="F1332" i="2" s="1"/>
  <c r="E2146" i="2"/>
  <c r="F2146" i="2"/>
  <c r="E753" i="2"/>
  <c r="E763" i="2" s="1"/>
  <c r="F763" i="2" s="1"/>
  <c r="E1501" i="2"/>
  <c r="F1501" i="2" s="1"/>
  <c r="E2078" i="2"/>
  <c r="F2078" i="2" s="1"/>
  <c r="E1035" i="2"/>
  <c r="F1035" i="2" s="1"/>
  <c r="E1544" i="2"/>
  <c r="F1544" i="2"/>
  <c r="E1019" i="2"/>
  <c r="F1019" i="2"/>
  <c r="E1552" i="2"/>
  <c r="F1552" i="2"/>
  <c r="E1042" i="2"/>
  <c r="F1042" i="2" s="1"/>
  <c r="E1357" i="2"/>
  <c r="F1357" i="2" s="1"/>
  <c r="E1550" i="2"/>
  <c r="F1550" i="2" s="1"/>
  <c r="E1025" i="2"/>
  <c r="F1025" i="2" s="1"/>
  <c r="E1460" i="2"/>
  <c r="F1460" i="2" s="1"/>
  <c r="E2174" i="2"/>
  <c r="F2174" i="2" s="1"/>
  <c r="E1055" i="2"/>
  <c r="F1055" i="2"/>
  <c r="E1562" i="2"/>
  <c r="F1562" i="2" s="1"/>
  <c r="E1041" i="2"/>
  <c r="F1041" i="2" s="1"/>
  <c r="E1475" i="2"/>
  <c r="F1475" i="2"/>
  <c r="E1211" i="2"/>
  <c r="F1211" i="2"/>
  <c r="E742" i="2"/>
  <c r="F742" i="2" s="1"/>
  <c r="E1046" i="2"/>
  <c r="F1046" i="2" s="1"/>
  <c r="E1364" i="2"/>
  <c r="F1364" i="2" s="1"/>
  <c r="E1457" i="2"/>
  <c r="F1457" i="2" s="1"/>
  <c r="E1554" i="2"/>
  <c r="F1554" i="2" s="1"/>
  <c r="E1029" i="2"/>
  <c r="F1029" i="2" s="1"/>
  <c r="E1147" i="2"/>
  <c r="F1147" i="2"/>
  <c r="E1363" i="2"/>
  <c r="F1363" i="2"/>
  <c r="E1553" i="2"/>
  <c r="F1553" i="2" s="1"/>
  <c r="E1048" i="2"/>
  <c r="F1048" i="2" s="1"/>
  <c r="E1342" i="2"/>
  <c r="F1342" i="2" s="1"/>
  <c r="E254" i="1" s="1"/>
  <c r="F254" i="1" s="1"/>
  <c r="F1513" i="2"/>
  <c r="E1513" i="2"/>
  <c r="E2166" i="2"/>
  <c r="F2166" i="2" s="1"/>
  <c r="E1047" i="2"/>
  <c r="F1047" i="2" s="1"/>
  <c r="E1165" i="2"/>
  <c r="F1165" i="2" s="1"/>
  <c r="E1545" i="2"/>
  <c r="F1545" i="2" s="1"/>
  <c r="E2063" i="2"/>
  <c r="F2063" i="2" s="1"/>
  <c r="E1613" i="2"/>
  <c r="F1613" i="2" s="1"/>
  <c r="E2050" i="2"/>
  <c r="F2050" i="2" s="1"/>
  <c r="E2181" i="2"/>
  <c r="F2181" i="2" s="1"/>
  <c r="E2149" i="2"/>
  <c r="F2149" i="2" s="1"/>
  <c r="E991" i="2"/>
  <c r="F991" i="2" s="1"/>
  <c r="E1071" i="2"/>
  <c r="F1071" i="2" s="1"/>
  <c r="E1304" i="2"/>
  <c r="F1304" i="2" s="1"/>
  <c r="E1397" i="2"/>
  <c r="F1397" i="2" s="1"/>
  <c r="E1490" i="2"/>
  <c r="F1490" i="2" s="1"/>
  <c r="E2113" i="2"/>
  <c r="F2113" i="2" s="1"/>
  <c r="E2152" i="2"/>
  <c r="F2152" i="2" s="1"/>
  <c r="E2165" i="2"/>
  <c r="F2165" i="2" s="1"/>
  <c r="E1164" i="2"/>
  <c r="F1164" i="2" s="1"/>
  <c r="E1045" i="2"/>
  <c r="F1045" i="2" s="1"/>
  <c r="E1433" i="2"/>
  <c r="F1433" i="2" s="1"/>
  <c r="E1531" i="2"/>
  <c r="F1531" i="2" s="1"/>
  <c r="F1001" i="2"/>
  <c r="E1001" i="2"/>
  <c r="E738" i="2"/>
  <c r="F738" i="2" s="1"/>
  <c r="E1315" i="2"/>
  <c r="F1315" i="2" s="1"/>
  <c r="E754" i="2"/>
  <c r="E764" i="2" s="1"/>
  <c r="F764" i="2" s="1"/>
  <c r="E1163" i="2"/>
  <c r="F1163" i="2" s="1"/>
  <c r="E1202" i="2"/>
  <c r="F1202" i="2" s="1"/>
  <c r="E1401" i="2"/>
  <c r="F1401" i="2" s="1"/>
  <c r="E1058" i="2"/>
  <c r="F1058" i="2" s="1"/>
  <c r="E1301" i="2"/>
  <c r="F1301" i="2" s="1"/>
  <c r="E1499" i="2"/>
  <c r="F1499" i="2" s="1"/>
  <c r="E1082" i="2"/>
  <c r="F1082" i="2" s="1"/>
  <c r="E1208" i="2"/>
  <c r="F1208" i="2" s="1"/>
  <c r="E1408" i="2"/>
  <c r="F1408" i="2" s="1"/>
  <c r="E1064" i="2"/>
  <c r="F1064" i="2" s="1"/>
  <c r="E1306" i="2"/>
  <c r="F1306" i="2" s="1"/>
  <c r="E1505" i="2"/>
  <c r="F1505" i="2" s="1"/>
  <c r="E1365" i="2"/>
  <c r="F1365" i="2" s="1"/>
  <c r="E2051" i="2"/>
  <c r="F2051" i="2" s="1"/>
  <c r="E1423" i="2"/>
  <c r="F1423" i="2" s="1"/>
  <c r="E1327" i="2"/>
  <c r="F1327" i="2" s="1"/>
  <c r="E1525" i="2"/>
  <c r="F1525" i="2" s="1"/>
  <c r="E1311" i="2"/>
  <c r="F1311" i="2" s="1"/>
  <c r="E746" i="2"/>
  <c r="F746" i="2" s="1"/>
  <c r="E986" i="2"/>
  <c r="F986" i="2" s="1"/>
  <c r="E1065" i="2"/>
  <c r="F1065" i="2" s="1"/>
  <c r="E1389" i="2"/>
  <c r="F1389" i="2" s="1"/>
  <c r="E1489" i="2"/>
  <c r="F1489" i="2" s="1"/>
  <c r="E1049" i="2"/>
  <c r="F1049" i="2" s="1"/>
  <c r="E1207" i="2"/>
  <c r="F1207" i="2" s="1"/>
  <c r="E1387" i="2"/>
  <c r="F1387" i="2" s="1"/>
  <c r="E1487" i="2"/>
  <c r="F1487" i="2" s="1"/>
  <c r="E1427" i="2"/>
  <c r="F1427" i="2" s="1"/>
  <c r="E1569" i="2"/>
  <c r="F1569" i="2" s="1"/>
  <c r="E1067" i="2"/>
  <c r="F1067" i="2" s="1"/>
  <c r="E1385" i="2"/>
  <c r="F1385" i="2" s="1"/>
  <c r="E2097" i="2"/>
  <c r="F2097" i="2" s="1"/>
  <c r="E987" i="2"/>
  <c r="F987" i="2" s="1"/>
  <c r="E1066" i="2"/>
  <c r="F1066" i="2" s="1"/>
  <c r="E1390" i="2"/>
  <c r="F1390" i="2" s="1"/>
  <c r="E1484" i="2"/>
  <c r="F1484" i="2" s="1"/>
  <c r="E2101" i="2"/>
  <c r="F2101" i="2" s="1"/>
  <c r="E1013" i="2"/>
  <c r="F1013" i="2" s="1"/>
  <c r="E1093" i="2"/>
  <c r="F1093" i="2" s="1"/>
  <c r="E1329" i="2"/>
  <c r="F1329" i="2" s="1"/>
  <c r="E1424" i="2"/>
  <c r="F1424" i="2" s="1"/>
  <c r="E1507" i="2"/>
  <c r="F1507" i="2" s="1"/>
  <c r="E2155" i="2"/>
  <c r="F2155" i="2" s="1"/>
  <c r="E1563" i="2"/>
  <c r="F1563" i="2" s="1"/>
  <c r="E2145" i="2"/>
  <c r="F2145" i="2" s="1"/>
  <c r="E2076" i="2"/>
  <c r="F2076" i="2" s="1"/>
  <c r="E2142" i="2"/>
  <c r="F2142" i="2" s="1"/>
  <c r="E2114" i="2"/>
  <c r="F2114" i="2" s="1"/>
  <c r="E1334" i="2"/>
  <c r="F1334" i="2" s="1"/>
  <c r="E1430" i="2"/>
  <c r="F1430" i="2" s="1"/>
  <c r="E1515" i="2"/>
  <c r="F1515" i="2" s="1"/>
  <c r="E1582" i="2"/>
  <c r="F1582" i="2" s="1"/>
  <c r="E741" i="2"/>
  <c r="F741" i="2" s="1"/>
  <c r="E1481" i="2"/>
  <c r="F1481" i="2" s="1"/>
  <c r="E745" i="2"/>
  <c r="F745" i="2" s="1"/>
  <c r="E751" i="2"/>
  <c r="E761" i="2" s="1"/>
  <c r="F761" i="2" s="1"/>
  <c r="E1409" i="2"/>
  <c r="F1409" i="2" s="1"/>
  <c r="E1375" i="2"/>
  <c r="F1375" i="2" s="1"/>
  <c r="E2099" i="2"/>
  <c r="F2099" i="2" s="1"/>
  <c r="E1449" i="2"/>
  <c r="F1449" i="2" s="1"/>
  <c r="E1099" i="2"/>
  <c r="F1099" i="2" s="1"/>
  <c r="E1351" i="2"/>
  <c r="F1351" i="2" s="1"/>
  <c r="E1547" i="2"/>
  <c r="F1547" i="2" s="1"/>
  <c r="E1094" i="2"/>
  <c r="F1094" i="2" s="1"/>
  <c r="E1362" i="2"/>
  <c r="F1362" i="2" s="1"/>
  <c r="E1142" i="2"/>
  <c r="F1142" i="2" s="1"/>
  <c r="E1356" i="2"/>
  <c r="F1356" i="2" s="1"/>
  <c r="E1549" i="2"/>
  <c r="F1549" i="2" s="1"/>
  <c r="E1043" i="2"/>
  <c r="F1043" i="2" s="1"/>
  <c r="E1458" i="2"/>
  <c r="F1458" i="2" s="1"/>
  <c r="E1477" i="2"/>
  <c r="F1477" i="2" s="1"/>
  <c r="E1157" i="2"/>
  <c r="F1157" i="2" s="1"/>
  <c r="E1561" i="2"/>
  <c r="F1561" i="2" s="1"/>
  <c r="E739" i="2"/>
  <c r="F739" i="2" s="1"/>
  <c r="E1005" i="2"/>
  <c r="F1005" i="2" s="1"/>
  <c r="E1086" i="2"/>
  <c r="F1086" i="2" s="1"/>
  <c r="E1148" i="2"/>
  <c r="F1148" i="2" s="1"/>
  <c r="E1314" i="2"/>
  <c r="F1314" i="2" s="1"/>
  <c r="E1512" i="2"/>
  <c r="F1512" i="2" s="1"/>
  <c r="E989" i="2"/>
  <c r="F989" i="2" s="1"/>
  <c r="E1068" i="2"/>
  <c r="F1068" i="2" s="1"/>
  <c r="E1312" i="2"/>
  <c r="F1312" i="2" s="1"/>
  <c r="E1420" i="2"/>
  <c r="F1420" i="2" s="1"/>
  <c r="E1511" i="2"/>
  <c r="F1511" i="2" s="1"/>
  <c r="E1485" i="2"/>
  <c r="F1485" i="2" s="1"/>
  <c r="E1010" i="2"/>
  <c r="F1010" i="2" s="1"/>
  <c r="E1088" i="2"/>
  <c r="F1088" i="2" s="1"/>
  <c r="E1023" i="2"/>
  <c r="F1023" i="2" s="1"/>
  <c r="E2164" i="2"/>
  <c r="F2164" i="2" s="1"/>
  <c r="E2031" i="2"/>
  <c r="F2031" i="2" s="1"/>
  <c r="E2154" i="2"/>
  <c r="F2154" i="2" s="1"/>
  <c r="E1007" i="2"/>
  <c r="F1007" i="2" s="1"/>
  <c r="E1087" i="2"/>
  <c r="F1087" i="2" s="1"/>
  <c r="E1321" i="2"/>
  <c r="F1321" i="2" s="1"/>
  <c r="E1418" i="2"/>
  <c r="F1418" i="2" s="1"/>
  <c r="E1503" i="2"/>
  <c r="F1503" i="2" s="1"/>
  <c r="E1580" i="2"/>
  <c r="F1580" i="2" s="1"/>
  <c r="E2151" i="2"/>
  <c r="F2151" i="2" s="1"/>
  <c r="E1031" i="2"/>
  <c r="F1031" i="2" s="1"/>
  <c r="E1150" i="2"/>
  <c r="F1150" i="2" s="1"/>
  <c r="E1353" i="2"/>
  <c r="F1353" i="2" s="1"/>
  <c r="E1446" i="2"/>
  <c r="F1446" i="2" s="1"/>
  <c r="E1529" i="2"/>
  <c r="F1529" i="2" s="1"/>
  <c r="E2036" i="2"/>
  <c r="F2036" i="2" s="1"/>
  <c r="E2177" i="2"/>
  <c r="F2177" i="2" s="1"/>
  <c r="E1584" i="2"/>
  <c r="F1584" i="2" s="1"/>
  <c r="E2100" i="2"/>
  <c r="F2100" i="2" s="1"/>
  <c r="E2163" i="2"/>
  <c r="F2163" i="2" s="1"/>
  <c r="E2153" i="2"/>
  <c r="F2153" i="2" s="1"/>
  <c r="E2129" i="2"/>
  <c r="F2129" i="2" s="1"/>
  <c r="E2098" i="2"/>
  <c r="F2098" i="2" s="1"/>
  <c r="E2161" i="2"/>
  <c r="F2161" i="2" s="1"/>
  <c r="E270" i="1"/>
  <c r="F270" i="1" s="1"/>
  <c r="E739" i="1"/>
  <c r="F739" i="1" s="1"/>
  <c r="E709" i="1"/>
  <c r="F709" i="1" s="1"/>
  <c r="E655" i="1"/>
  <c r="F655" i="1" s="1"/>
  <c r="E658" i="1"/>
  <c r="F658" i="1" s="1"/>
  <c r="E514" i="1"/>
  <c r="F514" i="1" s="1"/>
  <c r="E398" i="1"/>
  <c r="F398" i="1" s="1"/>
  <c r="E738" i="1"/>
  <c r="F738" i="1" s="1"/>
  <c r="E512" i="1"/>
  <c r="F512" i="1" s="1"/>
  <c r="E719" i="1"/>
  <c r="F719" i="1" s="1"/>
  <c r="E693" i="1"/>
  <c r="F693" i="1" s="1"/>
  <c r="E667" i="1"/>
  <c r="F667" i="1" s="1"/>
  <c r="E621" i="1"/>
  <c r="F621" i="1" s="1"/>
  <c r="E595" i="1"/>
  <c r="F595" i="1" s="1"/>
  <c r="E542" i="1"/>
  <c r="F542" i="1" s="1"/>
  <c r="E475" i="1"/>
  <c r="F475" i="1" s="1"/>
  <c r="E569" i="1"/>
  <c r="F569" i="1" s="1"/>
  <c r="E423" i="1"/>
  <c r="F423" i="1" s="1"/>
  <c r="E449" i="1"/>
  <c r="F449" i="1" s="1"/>
  <c r="E378" i="1"/>
  <c r="F378" i="1" s="1"/>
  <c r="E361" i="1"/>
  <c r="F361" i="1" s="1"/>
  <c r="E344" i="1"/>
  <c r="F344" i="1" s="1"/>
  <c r="E327" i="1"/>
  <c r="F327" i="1" s="1"/>
  <c r="E310" i="1"/>
  <c r="F310" i="1" s="1"/>
  <c r="E293" i="1"/>
  <c r="F293" i="1" s="1"/>
  <c r="E800" i="1"/>
  <c r="F800" i="1" s="1"/>
  <c r="E839" i="1"/>
  <c r="F839" i="1" s="1"/>
  <c r="E777" i="1"/>
  <c r="F777" i="1" s="1"/>
  <c r="E741" i="1"/>
  <c r="F741" i="1" s="1"/>
  <c r="E713" i="1"/>
  <c r="F713" i="1" s="1"/>
  <c r="E687" i="1"/>
  <c r="F687" i="1" s="1"/>
  <c r="E661" i="1"/>
  <c r="F661" i="1" s="1"/>
  <c r="E641" i="1"/>
  <c r="F641" i="1" s="1"/>
  <c r="E615" i="1"/>
  <c r="F615" i="1" s="1"/>
  <c r="E589" i="1"/>
  <c r="F589" i="1" s="1"/>
  <c r="E469" i="1"/>
  <c r="F469" i="1" s="1"/>
  <c r="E562" i="1"/>
  <c r="F562" i="1" s="1"/>
  <c r="E535" i="1"/>
  <c r="F535" i="1" s="1"/>
  <c r="E495" i="1"/>
  <c r="F495" i="1" s="1"/>
  <c r="E443" i="1"/>
  <c r="F443" i="1" s="1"/>
  <c r="E417" i="1"/>
  <c r="F417" i="1" s="1"/>
  <c r="E382" i="1"/>
  <c r="F382" i="1" s="1"/>
  <c r="E365" i="1"/>
  <c r="F365" i="1" s="1"/>
  <c r="E348" i="1"/>
  <c r="F348" i="1" s="1"/>
  <c r="E331" i="1"/>
  <c r="F331" i="1" s="1"/>
  <c r="E314" i="1"/>
  <c r="F314" i="1" s="1"/>
  <c r="E297" i="1"/>
  <c r="F297" i="1" s="1"/>
  <c r="E821" i="1"/>
  <c r="F821" i="1" s="1"/>
  <c r="E838" i="1"/>
  <c r="F838" i="1" s="1"/>
  <c r="E799" i="1"/>
  <c r="F799" i="1" s="1"/>
  <c r="E776" i="1"/>
  <c r="F776" i="1" s="1"/>
  <c r="E758" i="1"/>
  <c r="F758" i="1" s="1"/>
  <c r="E740" i="1"/>
  <c r="F740" i="1" s="1"/>
  <c r="E712" i="1"/>
  <c r="F712" i="1" s="1"/>
  <c r="E686" i="1"/>
  <c r="F686" i="1" s="1"/>
  <c r="E640" i="1"/>
  <c r="F640" i="1" s="1"/>
  <c r="E614" i="1"/>
  <c r="F614" i="1" s="1"/>
  <c r="E659" i="1"/>
  <c r="F659" i="1" s="1"/>
  <c r="E494" i="1"/>
  <c r="F494" i="1" s="1"/>
  <c r="E533" i="1"/>
  <c r="F533" i="1" s="1"/>
  <c r="E468" i="1"/>
  <c r="F468" i="1" s="1"/>
  <c r="E588" i="1"/>
  <c r="F588" i="1" s="1"/>
  <c r="E561" i="1"/>
  <c r="F561" i="1" s="1"/>
  <c r="E416" i="1"/>
  <c r="F416" i="1" s="1"/>
  <c r="E381" i="1"/>
  <c r="F381" i="1" s="1"/>
  <c r="E364" i="1"/>
  <c r="F364" i="1" s="1"/>
  <c r="E347" i="1"/>
  <c r="F347" i="1" s="1"/>
  <c r="E330" i="1"/>
  <c r="F330" i="1" s="1"/>
  <c r="E313" i="1"/>
  <c r="F313" i="1" s="1"/>
  <c r="E442" i="1"/>
  <c r="F442" i="1" s="1"/>
  <c r="E399" i="1"/>
  <c r="F399" i="1" s="1"/>
  <c r="E296" i="1"/>
  <c r="F296" i="1" s="1"/>
  <c r="E755" i="1"/>
  <c r="F755" i="1" s="1"/>
  <c r="E683" i="1"/>
  <c r="F683" i="1" s="1"/>
  <c r="E637" i="1"/>
  <c r="F637" i="1" s="1"/>
  <c r="G634" i="1" s="1"/>
  <c r="H634" i="1" s="1"/>
  <c r="I634" i="1" s="1"/>
  <c r="J634" i="1" s="1"/>
  <c r="E611" i="1"/>
  <c r="F611" i="1" s="1"/>
  <c r="E585" i="1"/>
  <c r="F585" i="1" s="1"/>
  <c r="E529" i="1"/>
  <c r="F529" i="1" s="1"/>
  <c r="E558" i="1"/>
  <c r="F558" i="1" s="1"/>
  <c r="E491" i="1"/>
  <c r="F491" i="1" s="1"/>
  <c r="E465" i="1"/>
  <c r="F465" i="1" s="1"/>
  <c r="G462" i="1" s="1"/>
  <c r="H462" i="1" s="1"/>
  <c r="I462" i="1" s="1"/>
  <c r="J462" i="1" s="1"/>
  <c r="E439" i="1"/>
  <c r="F439" i="1" s="1"/>
  <c r="E413" i="1"/>
  <c r="F413" i="1" s="1"/>
  <c r="E395" i="1"/>
  <c r="F395" i="1" s="1"/>
  <c r="E260" i="1"/>
  <c r="F260" i="1" s="1"/>
  <c r="E118" i="1"/>
  <c r="F118" i="1" s="1"/>
  <c r="E258" i="1"/>
  <c r="F258" i="1" s="1"/>
  <c r="E116" i="1"/>
  <c r="F116" i="1" s="1"/>
  <c r="E568" i="1"/>
  <c r="F568" i="1" s="1"/>
  <c r="E541" i="1"/>
  <c r="F541" i="1" s="1"/>
  <c r="E835" i="1"/>
  <c r="F835" i="1" s="1"/>
  <c r="G832" i="1" s="1"/>
  <c r="H832" i="1" s="1"/>
  <c r="I832" i="1" s="1"/>
  <c r="J832" i="1" s="1"/>
  <c r="E532" i="1"/>
  <c r="F532" i="1" s="1"/>
  <c r="E820" i="1"/>
  <c r="F820" i="1" s="1"/>
  <c r="E798" i="1"/>
  <c r="F798" i="1" s="1"/>
  <c r="E775" i="1"/>
  <c r="F775" i="1" s="1"/>
  <c r="E35" i="1"/>
  <c r="F35" i="1" s="1"/>
  <c r="E130" i="1"/>
  <c r="F130" i="1" s="1"/>
  <c r="E175" i="1"/>
  <c r="F175" i="1" s="1"/>
  <c r="E256" i="1"/>
  <c r="F256" i="1" s="1"/>
  <c r="E114" i="1"/>
  <c r="F114" i="1" s="1"/>
  <c r="E275" i="1"/>
  <c r="F275" i="1" s="1"/>
  <c r="E179" i="1"/>
  <c r="F179" i="1" s="1"/>
  <c r="E135" i="1"/>
  <c r="F135" i="1" s="1"/>
  <c r="E162" i="1"/>
  <c r="F162" i="1" s="1"/>
  <c r="E24" i="1"/>
  <c r="F24" i="1" s="1"/>
  <c r="E261" i="1"/>
  <c r="F261" i="1" s="1"/>
  <c r="E119" i="1"/>
  <c r="F119" i="1" s="1"/>
  <c r="E795" i="1"/>
  <c r="F795" i="1" s="1"/>
  <c r="E772" i="1"/>
  <c r="F772" i="1" s="1"/>
  <c r="E161" i="1"/>
  <c r="F161" i="1" s="1"/>
  <c r="F155" i="1" s="1"/>
  <c r="E23" i="1"/>
  <c r="F23" i="1" s="1"/>
  <c r="E816" i="1"/>
  <c r="F816" i="1" s="1"/>
  <c r="E735" i="1"/>
  <c r="F735" i="1" s="1"/>
  <c r="G732" i="1" s="1"/>
  <c r="H732" i="1" s="1"/>
  <c r="I732" i="1" s="1"/>
  <c r="J732" i="1" s="1"/>
  <c r="E509" i="1"/>
  <c r="F509" i="1" s="1"/>
  <c r="E172" i="1"/>
  <c r="F172" i="1" s="1"/>
  <c r="E129" i="1"/>
  <c r="F129" i="1" s="1"/>
  <c r="E274" i="1"/>
  <c r="F274" i="1" s="1"/>
  <c r="E134" i="1"/>
  <c r="F134" i="1" s="1"/>
  <c r="E39" i="1"/>
  <c r="F39" i="1" s="1"/>
  <c r="E41" i="1"/>
  <c r="F41" i="1" s="1"/>
  <c r="G506" i="1" l="1"/>
  <c r="H506" i="1" s="1"/>
  <c r="I506" i="1" s="1"/>
  <c r="J506" i="1" s="1"/>
  <c r="G324" i="1"/>
  <c r="H324" i="1" s="1"/>
  <c r="I324" i="1" s="1"/>
  <c r="J324" i="1" s="1"/>
  <c r="F754" i="2"/>
  <c r="F752" i="2"/>
  <c r="F751" i="2"/>
  <c r="F753" i="2"/>
  <c r="G752" i="1"/>
  <c r="H752" i="1" s="1"/>
  <c r="I752" i="1" s="1"/>
  <c r="J752" i="1" s="1"/>
  <c r="G769" i="1"/>
  <c r="H769" i="1" s="1"/>
  <c r="I769" i="1" s="1"/>
  <c r="J769" i="1" s="1"/>
  <c r="G436" i="1"/>
  <c r="H436" i="1" s="1"/>
  <c r="I436" i="1" s="1"/>
  <c r="J436" i="1" s="1"/>
  <c r="G680" i="1"/>
  <c r="H680" i="1" s="1"/>
  <c r="I680" i="1" s="1"/>
  <c r="J680" i="1" s="1"/>
  <c r="E34" i="1"/>
  <c r="F34" i="1" s="1"/>
  <c r="E14" i="1"/>
  <c r="F14" i="1" s="1"/>
  <c r="E112" i="1"/>
  <c r="F112" i="1" s="1"/>
  <c r="E153" i="1"/>
  <c r="F153" i="1" s="1"/>
  <c r="G150" i="1" s="1"/>
  <c r="H150" i="1" s="1"/>
  <c r="I150" i="1" s="1"/>
  <c r="J150" i="1" s="1"/>
  <c r="E128" i="1"/>
  <c r="F128" i="1" s="1"/>
  <c r="G67" i="1" s="1"/>
  <c r="H67" i="1" s="1"/>
  <c r="I67" i="1" s="1"/>
  <c r="J67" i="1" s="1"/>
  <c r="G410" i="1"/>
  <c r="H410" i="1" s="1"/>
  <c r="I410" i="1" s="1"/>
  <c r="J410" i="1" s="1"/>
  <c r="G792" i="1"/>
  <c r="H792" i="1" s="1"/>
  <c r="I792" i="1" s="1"/>
  <c r="J792" i="1" s="1"/>
  <c r="G813" i="1"/>
  <c r="H813" i="1" s="1"/>
  <c r="I813" i="1" s="1"/>
  <c r="J813" i="1" s="1"/>
  <c r="G582" i="1"/>
  <c r="H582" i="1" s="1"/>
  <c r="I582" i="1" s="1"/>
  <c r="J582" i="1" s="1"/>
  <c r="G290" i="1"/>
  <c r="H290" i="1" s="1"/>
  <c r="I290" i="1" s="1"/>
  <c r="J290" i="1" s="1"/>
  <c r="G358" i="1"/>
  <c r="H358" i="1" s="1"/>
  <c r="I358" i="1" s="1"/>
  <c r="J358" i="1" s="1"/>
  <c r="F17" i="1"/>
  <c r="G11" i="1" s="1"/>
  <c r="H11" i="1" s="1"/>
  <c r="I11" i="1" s="1"/>
  <c r="J11" i="1" s="1"/>
  <c r="G392" i="1"/>
  <c r="H392" i="1" s="1"/>
  <c r="I392" i="1" s="1"/>
  <c r="J392" i="1" s="1"/>
  <c r="G488" i="1"/>
  <c r="H488" i="1" s="1"/>
  <c r="I488" i="1" s="1"/>
  <c r="J488" i="1" s="1"/>
  <c r="G608" i="1"/>
  <c r="H608" i="1" s="1"/>
  <c r="I608" i="1" s="1"/>
  <c r="J608" i="1" s="1"/>
  <c r="G307" i="1"/>
  <c r="H307" i="1" s="1"/>
  <c r="I307" i="1" s="1"/>
  <c r="J307" i="1" s="1"/>
  <c r="G375" i="1"/>
  <c r="H375" i="1" s="1"/>
  <c r="I375" i="1" s="1"/>
  <c r="J375" i="1" s="1"/>
  <c r="G652" i="1"/>
  <c r="H652" i="1" s="1"/>
  <c r="I652" i="1" s="1"/>
  <c r="J652" i="1" s="1"/>
  <c r="G555" i="1"/>
  <c r="H555" i="1" s="1"/>
  <c r="I555" i="1" s="1"/>
  <c r="J555" i="1" s="1"/>
  <c r="G706" i="1"/>
  <c r="H706" i="1" s="1"/>
  <c r="I706" i="1" s="1"/>
  <c r="J706" i="1" s="1"/>
  <c r="G210" i="1"/>
  <c r="H210" i="1" s="1"/>
  <c r="I210" i="1" s="1"/>
  <c r="J210" i="1" s="1"/>
  <c r="G526" i="1"/>
  <c r="H526" i="1" s="1"/>
  <c r="I526" i="1" s="1"/>
  <c r="J526" i="1" s="1"/>
  <c r="G341" i="1"/>
  <c r="H341" i="1" s="1"/>
  <c r="I341" i="1" s="1"/>
  <c r="J341" i="1" s="1"/>
  <c r="F67" i="3"/>
  <c r="H67" i="3" s="1"/>
  <c r="F99" i="3"/>
  <c r="H99" i="3" s="1"/>
  <c r="F95" i="3"/>
  <c r="H95" i="3" s="1"/>
  <c r="F97" i="3"/>
  <c r="H97" i="3" s="1"/>
  <c r="F70" i="3"/>
  <c r="H70" i="3" s="1"/>
  <c r="F96" i="3"/>
  <c r="H96" i="3" s="1"/>
  <c r="W27" i="12"/>
  <c r="Y27" i="12"/>
  <c r="Z27" i="12"/>
  <c r="X17" i="12"/>
  <c r="X18" i="12"/>
  <c r="X19" i="12"/>
  <c r="X20" i="12"/>
  <c r="X21" i="12"/>
  <c r="X22" i="12"/>
  <c r="X23" i="12"/>
  <c r="X24" i="12"/>
  <c r="X25" i="12"/>
  <c r="X26" i="12"/>
  <c r="X8" i="12"/>
  <c r="X9" i="12"/>
  <c r="X10" i="12"/>
  <c r="X11" i="12"/>
  <c r="X12" i="12"/>
  <c r="X13" i="12"/>
  <c r="X14" i="12"/>
  <c r="X15" i="12"/>
  <c r="X16" i="12"/>
  <c r="X7" i="12"/>
  <c r="X6" i="12"/>
  <c r="AA11" i="12"/>
  <c r="AA10" i="12"/>
  <c r="AA9" i="12"/>
  <c r="AA8" i="12"/>
  <c r="AA7" i="12"/>
  <c r="AA6" i="12"/>
  <c r="AA13" i="12"/>
  <c r="J6" i="1" l="1"/>
  <c r="X27" i="12"/>
  <c r="F62" i="3"/>
  <c r="H62" i="3" s="1"/>
  <c r="F163" i="3"/>
  <c r="H163" i="3" s="1"/>
  <c r="F127" i="3"/>
  <c r="H127" i="3" s="1"/>
  <c r="F126" i="3"/>
  <c r="H126" i="3" s="1"/>
  <c r="F138" i="3"/>
  <c r="H138" i="3" s="1"/>
  <c r="F140" i="3"/>
  <c r="H140" i="3" s="1"/>
  <c r="F124" i="3"/>
  <c r="H124" i="3" s="1"/>
  <c r="F181" i="3"/>
  <c r="H181" i="3" s="1"/>
  <c r="F146" i="3"/>
  <c r="H146" i="3" s="1"/>
  <c r="F120" i="3"/>
  <c r="H120" i="3" s="1"/>
  <c r="F76" i="3"/>
  <c r="H76" i="3" s="1"/>
  <c r="F75" i="3"/>
  <c r="H75" i="3" s="1"/>
  <c r="F156" i="3"/>
  <c r="H156" i="3" s="1"/>
  <c r="F122" i="3"/>
  <c r="H122" i="3" s="1"/>
  <c r="F168" i="3"/>
  <c r="H168" i="3" s="1"/>
  <c r="F125" i="3"/>
  <c r="H125" i="3" s="1"/>
  <c r="F165" i="3"/>
  <c r="H165" i="3" s="1"/>
  <c r="F117" i="3"/>
  <c r="H117" i="3" s="1"/>
  <c r="F164" i="3"/>
  <c r="H164" i="3" s="1"/>
  <c r="F118" i="3"/>
  <c r="H118" i="3" s="1"/>
  <c r="F74" i="3"/>
  <c r="H74" i="3" s="1"/>
  <c r="F98" i="3"/>
  <c r="H98" i="3" s="1"/>
  <c r="F81" i="3"/>
  <c r="H81" i="3" s="1"/>
  <c r="F143" i="3"/>
  <c r="H143" i="3" s="1"/>
  <c r="F147" i="3"/>
  <c r="H147" i="3" s="1"/>
  <c r="F153" i="3"/>
  <c r="H153" i="3" s="1"/>
  <c r="F121" i="3"/>
  <c r="H121" i="3" s="1"/>
  <c r="F160" i="3"/>
  <c r="H160" i="3" s="1"/>
  <c r="F103" i="3"/>
  <c r="H103" i="3" s="1"/>
  <c r="F157" i="3"/>
  <c r="H157" i="3" s="1"/>
  <c r="F102" i="3"/>
  <c r="H102" i="3" s="1"/>
  <c r="F133" i="3"/>
  <c r="H133" i="3" s="1"/>
  <c r="F64" i="3"/>
  <c r="H64" i="3" s="1"/>
  <c r="F72" i="3"/>
  <c r="H72" i="3" s="1"/>
  <c r="F77" i="3"/>
  <c r="H77" i="3" s="1"/>
  <c r="F173" i="3"/>
  <c r="H173" i="3" s="1"/>
  <c r="F145" i="3"/>
  <c r="H145" i="3" s="1"/>
  <c r="F158" i="3"/>
  <c r="H158" i="3" s="1"/>
  <c r="F137" i="3"/>
  <c r="H137" i="3" s="1"/>
  <c r="F100" i="3"/>
  <c r="H100" i="3" s="1"/>
  <c r="F166" i="3"/>
  <c r="H166" i="3" s="1"/>
  <c r="F119" i="3"/>
  <c r="H119" i="3" s="1"/>
  <c r="F142" i="3"/>
  <c r="H142" i="3" s="1"/>
  <c r="F150" i="3"/>
  <c r="H150" i="3" s="1"/>
  <c r="F187" i="3"/>
  <c r="H187" i="3" s="1"/>
  <c r="AA12" i="12"/>
  <c r="AA14" i="12"/>
  <c r="AA15" i="12"/>
  <c r="AA16" i="12"/>
  <c r="AA17" i="12"/>
  <c r="AA18" i="12"/>
  <c r="AA19" i="12"/>
  <c r="AA20" i="12"/>
  <c r="AA21" i="12"/>
  <c r="AA22" i="12"/>
  <c r="AA23" i="12"/>
  <c r="AA24" i="12"/>
  <c r="AA25" i="12"/>
  <c r="AA26" i="12"/>
  <c r="AA27" i="12"/>
  <c r="F82" i="3" l="1"/>
  <c r="H82" i="3" s="1"/>
  <c r="F104" i="3"/>
  <c r="H104" i="3" s="1"/>
  <c r="F155" i="3"/>
  <c r="H155" i="3" s="1"/>
  <c r="F107" i="3"/>
  <c r="H107" i="3" s="1"/>
  <c r="F130" i="3"/>
  <c r="H130" i="3" s="1"/>
  <c r="F108" i="3"/>
  <c r="H108" i="3" s="1"/>
  <c r="F169" i="3"/>
  <c r="H169" i="3" s="1"/>
  <c r="F116" i="3"/>
  <c r="H116" i="3" s="1"/>
  <c r="F148" i="3"/>
  <c r="H148" i="3" s="1"/>
  <c r="F113" i="3"/>
  <c r="H113" i="3" s="1"/>
  <c r="F78" i="3"/>
  <c r="H78" i="3" s="1"/>
  <c r="F110" i="3"/>
  <c r="H110" i="3" s="1"/>
  <c r="F123" i="3"/>
  <c r="H123" i="3" s="1"/>
  <c r="F172" i="3"/>
  <c r="H172" i="3" s="1"/>
  <c r="F105" i="3"/>
  <c r="H105" i="3" s="1"/>
  <c r="F111" i="3"/>
  <c r="H111" i="3" s="1"/>
  <c r="F149" i="3"/>
  <c r="H149" i="3" s="1"/>
  <c r="F144" i="3"/>
  <c r="H144" i="3" s="1"/>
  <c r="F132" i="3"/>
  <c r="H132" i="3" s="1"/>
  <c r="F101" i="3"/>
  <c r="H101" i="3" s="1"/>
  <c r="F80" i="3"/>
  <c r="H80" i="3" s="1"/>
  <c r="F171" i="3"/>
  <c r="H171" i="3" s="1"/>
  <c r="F170" i="3"/>
  <c r="H170" i="3" s="1"/>
  <c r="F162" i="3"/>
  <c r="H162" i="3" s="1"/>
  <c r="F112" i="3"/>
  <c r="H112" i="3" s="1"/>
  <c r="F106" i="3"/>
  <c r="H106" i="3" s="1"/>
  <c r="F139" i="3"/>
  <c r="H139" i="3" s="1"/>
  <c r="F151" i="3"/>
  <c r="H151" i="3" s="1"/>
  <c r="F128" i="3"/>
  <c r="H128" i="3" s="1"/>
  <c r="F129" i="3"/>
  <c r="H129" i="3" s="1"/>
  <c r="F141" i="3"/>
  <c r="H141" i="3" s="1"/>
  <c r="F83" i="3"/>
  <c r="H83" i="3" s="1"/>
  <c r="F134" i="3"/>
  <c r="H134" i="3" s="1"/>
  <c r="F109" i="3"/>
  <c r="H109" i="3" s="1"/>
  <c r="F154" i="3"/>
  <c r="H154" i="3" s="1"/>
  <c r="F131" i="3"/>
  <c r="H131" i="3" s="1"/>
  <c r="F174" i="3"/>
  <c r="H174" i="3" s="1"/>
  <c r="F152" i="3"/>
  <c r="H152" i="3" s="1"/>
  <c r="F135" i="3"/>
  <c r="H135" i="3" s="1"/>
  <c r="F161" i="3"/>
  <c r="H161" i="3" s="1"/>
  <c r="F167" i="3"/>
  <c r="H167" i="3" s="1"/>
  <c r="F136" i="3"/>
  <c r="H136" i="3" s="1"/>
  <c r="B93" i="6" l="1"/>
  <c r="C93" i="6" s="1"/>
  <c r="B88" i="6"/>
  <c r="C88" i="6" s="1"/>
  <c r="B83" i="6" l="1"/>
  <c r="C83" i="6" s="1"/>
  <c r="B77" i="6" l="1"/>
  <c r="C77" i="6" s="1"/>
  <c r="C36" i="6" l="1"/>
  <c r="C5" i="18" l="1"/>
  <c r="B2" i="18"/>
  <c r="C6" i="18" l="1"/>
  <c r="C7" i="18" s="1"/>
  <c r="C8" i="18" s="1"/>
  <c r="C9" i="18" s="1"/>
  <c r="C10" i="18" s="1"/>
  <c r="C11" i="18" s="1"/>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37" i="3" l="1"/>
  <c r="C38" i="3" s="1"/>
  <c r="C39" i="3" s="1"/>
  <c r="C40" i="3" l="1"/>
  <c r="C41" i="3" s="1"/>
  <c r="C42" i="3" s="1"/>
  <c r="C43" i="3" s="1"/>
  <c r="C44" i="3" s="1"/>
  <c r="C45" i="3" s="1"/>
  <c r="C46" i="3" s="1"/>
  <c r="C47" i="3" s="1"/>
  <c r="C48" i="3" s="1"/>
  <c r="C49" i="3" s="1"/>
  <c r="C50" i="3" s="1"/>
  <c r="C51" i="3" s="1"/>
  <c r="C52" i="3" s="1"/>
  <c r="C53" i="3" s="1"/>
  <c r="C54" i="3" s="1"/>
  <c r="C55" i="3" s="1"/>
  <c r="C56" i="3" s="1"/>
  <c r="C57" i="3" s="1"/>
  <c r="C58" i="3" s="1"/>
  <c r="C59" i="3" s="1"/>
  <c r="C60" i="3" s="1"/>
  <c r="C61" i="3" s="1"/>
  <c r="C62" i="3" s="1"/>
  <c r="C63" i="3" s="1"/>
  <c r="C64" i="3" s="1"/>
  <c r="C65" i="3" s="1"/>
  <c r="C66" i="3" s="1"/>
  <c r="C67" i="3" s="1"/>
  <c r="C68" i="3" s="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C164" i="3" s="1"/>
  <c r="C165" i="3" s="1"/>
  <c r="C166" i="3" s="1"/>
  <c r="C167" i="3" s="1"/>
  <c r="C168" i="3" s="1"/>
  <c r="C169" i="3" s="1"/>
  <c r="C170" i="3" s="1"/>
  <c r="C171" i="3" s="1"/>
  <c r="C172" i="3" s="1"/>
  <c r="C173" i="3" s="1"/>
  <c r="C174" i="3" s="1"/>
  <c r="C175" i="3" s="1"/>
  <c r="C176" i="3" s="1"/>
  <c r="C177" i="3" s="1"/>
  <c r="C178" i="3" s="1"/>
  <c r="C179" i="3" s="1"/>
  <c r="C180" i="3" s="1"/>
  <c r="C181" i="3" s="1"/>
  <c r="C182" i="3" s="1"/>
  <c r="C183" i="3" s="1"/>
  <c r="C184" i="3" s="1"/>
  <c r="C185" i="3" s="1"/>
  <c r="C186" i="3" s="1"/>
  <c r="C187" i="3" s="1"/>
  <c r="F34" i="3" l="1"/>
  <c r="H34" i="3" s="1"/>
  <c r="F50" i="3"/>
  <c r="H50" i="3" s="1"/>
  <c r="F65" i="3"/>
  <c r="H65" i="3" s="1"/>
  <c r="F71" i="3"/>
  <c r="H71" i="3" s="1"/>
  <c r="F92" i="3"/>
  <c r="H92" i="3" s="1"/>
  <c r="F185" i="3"/>
  <c r="H185" i="3" s="1"/>
  <c r="F36" i="3"/>
  <c r="H36" i="3" s="1"/>
  <c r="F38" i="3"/>
  <c r="H38" i="3" s="1"/>
  <c r="F49" i="3"/>
  <c r="H49" i="3" s="1"/>
  <c r="F63" i="3"/>
  <c r="H63" i="3" s="1"/>
  <c r="F69" i="3"/>
  <c r="H69" i="3" s="1"/>
  <c r="F186" i="3"/>
  <c r="H186" i="3" s="1"/>
  <c r="F39" i="3"/>
  <c r="H39" i="3" s="1"/>
  <c r="F68" i="3"/>
  <c r="H68" i="3" s="1"/>
  <c r="F45" i="3"/>
  <c r="H45" i="3" s="1"/>
  <c r="F37" i="3"/>
  <c r="H37" i="3" s="1"/>
  <c r="F35" i="3"/>
  <c r="H35" i="3" s="1"/>
  <c r="F85" i="3"/>
  <c r="H85" i="3" s="1"/>
  <c r="F66" i="3"/>
  <c r="H66" i="3" s="1"/>
  <c r="F25" i="3"/>
  <c r="H25" i="3" s="1"/>
  <c r="F31" i="3"/>
  <c r="H31" i="3" s="1"/>
  <c r="O6" i="1" l="1"/>
  <c r="F28" i="3"/>
  <c r="H28" i="3" s="1"/>
  <c r="F29" i="3"/>
  <c r="H29" i="3" s="1"/>
  <c r="F26" i="3"/>
  <c r="H26" i="3" s="1"/>
  <c r="F42" i="3"/>
  <c r="H42" i="3" s="1"/>
  <c r="F88" i="3"/>
  <c r="H88" i="3" s="1"/>
  <c r="F86" i="3"/>
  <c r="H86" i="3" s="1"/>
  <c r="F73" i="3"/>
  <c r="H73" i="3" s="1"/>
  <c r="F55" i="3"/>
  <c r="H55" i="3" s="1"/>
  <c r="F59" i="3"/>
  <c r="H59" i="3" s="1"/>
  <c r="F176" i="3"/>
  <c r="H176" i="3" s="1"/>
  <c r="F159" i="3"/>
  <c r="H159" i="3" s="1"/>
  <c r="F41" i="3"/>
  <c r="H41" i="3" s="1"/>
  <c r="F48" i="3"/>
  <c r="H48" i="3" s="1"/>
  <c r="F94" i="3"/>
  <c r="H94" i="3" s="1"/>
  <c r="F79" i="3"/>
  <c r="H79" i="3" s="1"/>
  <c r="F90" i="3"/>
  <c r="H90" i="3" s="1"/>
  <c r="F52" i="3"/>
  <c r="H52" i="3" s="1"/>
  <c r="F56" i="3"/>
  <c r="H56" i="3" s="1"/>
  <c r="F40" i="3"/>
  <c r="H40" i="3" s="1"/>
  <c r="F184" i="3"/>
  <c r="H184" i="3" s="1"/>
  <c r="F180" i="3"/>
  <c r="H180" i="3" s="1"/>
  <c r="F27" i="3"/>
  <c r="H27" i="3" s="1"/>
  <c r="F32" i="3"/>
  <c r="H32" i="3" s="1"/>
  <c r="F44" i="3"/>
  <c r="H44" i="3" s="1"/>
  <c r="F47" i="3"/>
  <c r="H47" i="3" s="1"/>
  <c r="F93" i="3"/>
  <c r="H93" i="3" s="1"/>
  <c r="F87" i="3"/>
  <c r="H87" i="3" s="1"/>
  <c r="F91" i="3"/>
  <c r="H91" i="3" s="1"/>
  <c r="F54" i="3"/>
  <c r="H54" i="3" s="1"/>
  <c r="F53" i="3"/>
  <c r="H53" i="3" s="1"/>
  <c r="F177" i="3"/>
  <c r="H177" i="3" s="1"/>
  <c r="F182" i="3"/>
  <c r="H182" i="3" s="1"/>
  <c r="F33" i="3"/>
  <c r="H33" i="3" s="1"/>
  <c r="F43" i="3"/>
  <c r="H43" i="3" s="1"/>
  <c r="F84" i="3"/>
  <c r="H84" i="3" s="1"/>
  <c r="F89" i="3"/>
  <c r="H89" i="3" s="1"/>
  <c r="F51" i="3"/>
  <c r="H51" i="3" s="1"/>
  <c r="F58" i="3"/>
  <c r="H58" i="3" s="1"/>
  <c r="F46" i="3"/>
  <c r="H46" i="3" s="1"/>
  <c r="F60" i="3"/>
  <c r="H60" i="3" s="1"/>
  <c r="F183" i="3"/>
  <c r="H183" i="3" s="1"/>
  <c r="F179" i="3"/>
  <c r="H179" i="3" s="1"/>
  <c r="F18" i="3"/>
  <c r="H18" i="3" s="1"/>
  <c r="F19" i="3"/>
  <c r="H19" i="3" s="1"/>
  <c r="F24" i="3"/>
  <c r="H24" i="3" s="1"/>
  <c r="F22" i="3"/>
  <c r="H22" i="3" s="1"/>
  <c r="F23" i="3"/>
  <c r="H23" i="3" s="1"/>
  <c r="B72" i="6"/>
  <c r="C72" i="6" s="1"/>
  <c r="F57" i="3" l="1"/>
  <c r="H57" i="3" s="1"/>
  <c r="F175" i="3"/>
  <c r="H175" i="3" s="1"/>
  <c r="F178" i="3"/>
  <c r="H178" i="3" s="1"/>
  <c r="F115" i="3"/>
  <c r="H115" i="3" s="1"/>
  <c r="F114" i="3"/>
  <c r="H114" i="3" s="1"/>
  <c r="F21" i="3"/>
  <c r="H21" i="3" s="1"/>
  <c r="F4" i="17" l="1"/>
  <c r="D4" i="17"/>
  <c r="F3" i="17"/>
  <c r="D3" i="17"/>
  <c r="G4" i="17" l="1"/>
  <c r="H4" i="17"/>
  <c r="G3" i="17"/>
  <c r="H3" i="17"/>
  <c r="E4" i="17"/>
  <c r="E3" i="17"/>
  <c r="V27" i="12" l="1"/>
  <c r="U27" i="12"/>
  <c r="T27" i="12"/>
  <c r="S27" i="12"/>
  <c r="R27" i="12"/>
  <c r="Q27" i="12"/>
  <c r="P27" i="12"/>
  <c r="O27" i="12"/>
  <c r="N27" i="12"/>
  <c r="J27" i="12"/>
  <c r="I27" i="12"/>
  <c r="H27" i="12"/>
  <c r="G27" i="12"/>
  <c r="F27" i="12"/>
  <c r="E27" i="12"/>
  <c r="D27" i="12"/>
  <c r="C27" i="12"/>
  <c r="C7" i="6" l="1"/>
  <c r="M26" i="12" l="1"/>
  <c r="L26" i="12"/>
  <c r="K26" i="12"/>
  <c r="M25" i="12"/>
  <c r="L25" i="12"/>
  <c r="K25" i="12"/>
  <c r="M24" i="12"/>
  <c r="L24" i="12"/>
  <c r="K24" i="12"/>
  <c r="M23" i="12"/>
  <c r="L23" i="12"/>
  <c r="K23" i="12"/>
  <c r="M22" i="12"/>
  <c r="L22" i="12"/>
  <c r="K22" i="12"/>
  <c r="M21" i="12"/>
  <c r="L21" i="12"/>
  <c r="K21" i="12"/>
  <c r="M20" i="12"/>
  <c r="L20" i="12"/>
  <c r="K20" i="12"/>
  <c r="M19" i="12"/>
  <c r="L19" i="12"/>
  <c r="K19" i="12"/>
  <c r="M18" i="12"/>
  <c r="L18" i="12"/>
  <c r="K18" i="12"/>
  <c r="M17" i="12"/>
  <c r="L17" i="12"/>
  <c r="K17" i="12"/>
  <c r="M16" i="12"/>
  <c r="L16" i="12"/>
  <c r="K16" i="12"/>
  <c r="M15" i="12"/>
  <c r="L15" i="12"/>
  <c r="K15" i="12"/>
  <c r="M14" i="12"/>
  <c r="L14" i="12"/>
  <c r="K14" i="12"/>
  <c r="M13" i="12"/>
  <c r="L13" i="12"/>
  <c r="K13" i="12"/>
  <c r="M12" i="12"/>
  <c r="L12" i="12"/>
  <c r="K12" i="12"/>
  <c r="M11" i="12"/>
  <c r="L11" i="12"/>
  <c r="K11" i="12"/>
  <c r="M10" i="12"/>
  <c r="L10" i="12"/>
  <c r="K10" i="12"/>
  <c r="M9" i="12"/>
  <c r="L9" i="12"/>
  <c r="K9" i="12"/>
  <c r="M8" i="12"/>
  <c r="L8" i="12"/>
  <c r="K8" i="12"/>
  <c r="M7" i="12"/>
  <c r="L7" i="12"/>
  <c r="K7" i="12"/>
  <c r="M6" i="12"/>
  <c r="L6" i="12"/>
  <c r="K6" i="12"/>
  <c r="M27" i="12" l="1"/>
  <c r="L27" i="12"/>
  <c r="K27" i="12"/>
  <c r="F7" i="6" l="1"/>
  <c r="J24" i="4" l="1"/>
  <c r="J10" i="4"/>
  <c r="J1996" i="5" l="1"/>
  <c r="N1996" i="5" s="1"/>
  <c r="J1410" i="5"/>
  <c r="N1410" i="5" s="1"/>
  <c r="J1279" i="5"/>
  <c r="N1279" i="5" s="1"/>
  <c r="J1218" i="5"/>
  <c r="N1218" i="5" s="1"/>
  <c r="J1212" i="5"/>
  <c r="N1212" i="5" s="1"/>
  <c r="J1210" i="5"/>
  <c r="N1210" i="5" s="1"/>
  <c r="J1172" i="5"/>
  <c r="N1172" i="5" s="1"/>
  <c r="J1166" i="5"/>
  <c r="N1166" i="5" s="1"/>
  <c r="J848" i="5"/>
  <c r="N848" i="5" s="1"/>
  <c r="J736" i="5"/>
  <c r="N736" i="5" s="1"/>
  <c r="J1486" i="5"/>
  <c r="N1486" i="5" s="1"/>
  <c r="J1446" i="5"/>
  <c r="N1446" i="5" s="1"/>
  <c r="N1448" i="5" s="1"/>
  <c r="J1164" i="5"/>
  <c r="N1164" i="5" s="1"/>
  <c r="J1148" i="5"/>
  <c r="N1148" i="5" s="1"/>
  <c r="J1126" i="5"/>
  <c r="N1126" i="5" s="1"/>
  <c r="J1121" i="5"/>
  <c r="N1121" i="5" s="1"/>
  <c r="J1219" i="5"/>
  <c r="N1219" i="5" s="1"/>
  <c r="J1127" i="5"/>
  <c r="N1127" i="5" s="1"/>
  <c r="J793" i="5"/>
  <c r="N793" i="5" s="1"/>
  <c r="N794" i="5" s="1"/>
  <c r="J780" i="5"/>
  <c r="N780" i="5" s="1"/>
  <c r="N781" i="5" s="1"/>
  <c r="J1173" i="5"/>
  <c r="N1173" i="5" s="1"/>
  <c r="J83" i="5"/>
  <c r="N83" i="5" s="1"/>
  <c r="J1763" i="5"/>
  <c r="N1763" i="5" s="1"/>
  <c r="J1712" i="5"/>
  <c r="N1712" i="5" s="1"/>
  <c r="J1761" i="5"/>
  <c r="N1761" i="5" s="1"/>
  <c r="J437" i="5"/>
  <c r="N437" i="5" s="1"/>
  <c r="J448" i="5"/>
  <c r="N448" i="5" s="1"/>
  <c r="N451" i="5" s="1"/>
  <c r="J1708" i="5"/>
  <c r="N1708" i="5" s="1"/>
  <c r="J1710" i="5"/>
  <c r="N1710" i="5" s="1"/>
  <c r="E7" i="6"/>
  <c r="B7" i="6" l="1"/>
  <c r="Q4" i="5" l="1"/>
  <c r="J23" i="4" l="1"/>
  <c r="J7" i="4"/>
  <c r="J8" i="4"/>
  <c r="J24" i="5" s="1"/>
  <c r="N24" i="5" s="1"/>
  <c r="J9" i="4"/>
  <c r="J11" i="4"/>
  <c r="J12" i="4"/>
  <c r="J478" i="5" s="1"/>
  <c r="N478" i="5" s="1"/>
  <c r="J13" i="4"/>
  <c r="J15" i="4"/>
  <c r="J16" i="4"/>
  <c r="J25" i="5" s="1"/>
  <c r="N25" i="5" s="1"/>
  <c r="J18" i="4"/>
  <c r="J19" i="4"/>
  <c r="J20" i="4"/>
  <c r="J21" i="4"/>
  <c r="J22" i="4"/>
  <c r="J6" i="4"/>
  <c r="J73" i="5" l="1"/>
  <c r="N73" i="5" s="1"/>
  <c r="J17" i="5"/>
  <c r="N17" i="5" s="1"/>
  <c r="J31" i="5"/>
  <c r="N31" i="5" s="1"/>
  <c r="J30" i="5"/>
  <c r="N30" i="5" s="1"/>
  <c r="J34" i="5"/>
  <c r="N34" i="5" s="1"/>
  <c r="J32" i="5"/>
  <c r="N32" i="5" s="1"/>
  <c r="J33" i="5"/>
  <c r="N33" i="5" s="1"/>
  <c r="J22" i="5"/>
  <c r="N22" i="5" s="1"/>
  <c r="J35" i="5"/>
  <c r="N35" i="5" s="1"/>
  <c r="J26" i="5"/>
  <c r="N26" i="5" s="1"/>
  <c r="J21" i="5"/>
  <c r="N21" i="5" s="1"/>
  <c r="N28" i="5" s="1"/>
  <c r="J2011" i="5"/>
  <c r="N2011" i="5" s="1"/>
  <c r="J1925" i="5"/>
  <c r="N1925" i="5" s="1"/>
  <c r="N1927" i="5" s="1"/>
  <c r="J1913" i="5"/>
  <c r="N1913" i="5" s="1"/>
  <c r="J1932" i="5"/>
  <c r="N1932" i="5" s="1"/>
  <c r="J1902" i="5"/>
  <c r="N1902" i="5" s="1"/>
  <c r="N1904" i="5" s="1"/>
  <c r="J1885" i="5"/>
  <c r="N1885" i="5" s="1"/>
  <c r="J1868" i="5"/>
  <c r="N1868" i="5" s="1"/>
  <c r="J1840" i="5"/>
  <c r="N1840" i="5" s="1"/>
  <c r="J1777" i="5"/>
  <c r="N1777" i="5" s="1"/>
  <c r="J1756" i="5"/>
  <c r="N1756" i="5" s="1"/>
  <c r="J1733" i="5"/>
  <c r="N1733" i="5" s="1"/>
  <c r="J2006" i="5"/>
  <c r="N2006" i="5" s="1"/>
  <c r="J1890" i="5"/>
  <c r="N1890" i="5" s="1"/>
  <c r="J1857" i="5"/>
  <c r="N1857" i="5" s="1"/>
  <c r="N1859" i="5" s="1"/>
  <c r="J1845" i="5"/>
  <c r="N1845" i="5" s="1"/>
  <c r="J1806" i="5"/>
  <c r="N1806" i="5" s="1"/>
  <c r="J1805" i="5"/>
  <c r="N1805" i="5" s="1"/>
  <c r="J1672" i="5"/>
  <c r="N1672" i="5" s="1"/>
  <c r="J1670" i="5"/>
  <c r="N1670" i="5" s="1"/>
  <c r="J1644" i="5"/>
  <c r="N1644" i="5" s="1"/>
  <c r="J1643" i="5"/>
  <c r="N1643" i="5" s="1"/>
  <c r="J1624" i="5"/>
  <c r="N1624" i="5" s="1"/>
  <c r="J1615" i="5"/>
  <c r="N1615" i="5" s="1"/>
  <c r="J1611" i="5"/>
  <c r="N1611" i="5" s="1"/>
  <c r="J1581" i="5"/>
  <c r="N1581" i="5" s="1"/>
  <c r="J1580" i="5"/>
  <c r="N1580" i="5" s="1"/>
  <c r="J1579" i="5"/>
  <c r="N1579" i="5" s="1"/>
  <c r="J1578" i="5"/>
  <c r="N1578" i="5" s="1"/>
  <c r="J1558" i="5"/>
  <c r="N1558" i="5" s="1"/>
  <c r="J1544" i="5"/>
  <c r="N1544" i="5" s="1"/>
  <c r="J1539" i="5"/>
  <c r="N1539" i="5" s="1"/>
  <c r="J1538" i="5"/>
  <c r="N1538" i="5" s="1"/>
  <c r="J1537" i="5"/>
  <c r="N1537" i="5" s="1"/>
  <c r="J1536" i="5"/>
  <c r="N1536" i="5" s="1"/>
  <c r="J1506" i="5"/>
  <c r="N1506" i="5" s="1"/>
  <c r="J1497" i="5"/>
  <c r="N1497" i="5" s="1"/>
  <c r="J2015" i="5"/>
  <c r="N2015" i="5" s="1"/>
  <c r="N2017" i="5" s="1"/>
  <c r="J1876" i="5"/>
  <c r="N1876" i="5" s="1"/>
  <c r="N1878" i="5" s="1"/>
  <c r="J1727" i="5"/>
  <c r="N1727" i="5" s="1"/>
  <c r="J1691" i="5"/>
  <c r="N1691" i="5" s="1"/>
  <c r="J1690" i="5"/>
  <c r="N1690" i="5" s="1"/>
  <c r="J1689" i="5"/>
  <c r="N1689" i="5" s="1"/>
  <c r="J1688" i="5"/>
  <c r="N1688" i="5" s="1"/>
  <c r="J1687" i="5"/>
  <c r="N1687" i="5" s="1"/>
  <c r="J1678" i="5"/>
  <c r="N1678" i="5" s="1"/>
  <c r="J1655" i="5"/>
  <c r="N1655" i="5" s="1"/>
  <c r="J1631" i="5"/>
  <c r="N1631" i="5" s="1"/>
  <c r="J1604" i="5"/>
  <c r="N1604" i="5" s="1"/>
  <c r="J1603" i="5"/>
  <c r="N1603" i="5" s="1"/>
  <c r="J1602" i="5"/>
  <c r="N1602" i="5" s="1"/>
  <c r="J1601" i="5"/>
  <c r="N1601" i="5" s="1"/>
  <c r="J1600" i="5"/>
  <c r="N1600" i="5" s="1"/>
  <c r="J1597" i="5"/>
  <c r="N1597" i="5" s="1"/>
  <c r="J1588" i="5"/>
  <c r="N1588" i="5" s="1"/>
  <c r="J1571" i="5"/>
  <c r="N1571" i="5" s="1"/>
  <c r="J1566" i="5"/>
  <c r="N1566" i="5" s="1"/>
  <c r="J1565" i="5"/>
  <c r="N1565" i="5" s="1"/>
  <c r="J1564" i="5"/>
  <c r="N1564" i="5" s="1"/>
  <c r="J1499" i="5"/>
  <c r="N1499" i="5" s="1"/>
  <c r="N1500" i="5" s="1"/>
  <c r="J1466" i="5"/>
  <c r="N1466" i="5" s="1"/>
  <c r="J1430" i="5"/>
  <c r="N1430" i="5" s="1"/>
  <c r="J1421" i="5"/>
  <c r="N1421" i="5" s="1"/>
  <c r="J1758" i="5"/>
  <c r="N1758" i="5" s="1"/>
  <c r="J1617" i="5"/>
  <c r="N1617" i="5" s="1"/>
  <c r="J1551" i="5"/>
  <c r="N1551" i="5" s="1"/>
  <c r="J1550" i="5"/>
  <c r="N1550" i="5" s="1"/>
  <c r="J1549" i="5"/>
  <c r="N1549" i="5" s="1"/>
  <c r="J1548" i="5"/>
  <c r="N1548" i="5" s="1"/>
  <c r="J1509" i="5"/>
  <c r="N1509" i="5" s="1"/>
  <c r="J1491" i="5"/>
  <c r="N1491" i="5" s="1"/>
  <c r="J1469" i="5"/>
  <c r="N1469" i="5" s="1"/>
  <c r="J1433" i="5"/>
  <c r="N1433" i="5" s="1"/>
  <c r="J1417" i="5"/>
  <c r="N1417" i="5" s="1"/>
  <c r="J1390" i="5"/>
  <c r="N1390" i="5" s="1"/>
  <c r="N1392" i="5" s="1"/>
  <c r="J1381" i="5"/>
  <c r="N1381" i="5" s="1"/>
  <c r="J1351" i="5"/>
  <c r="N1351" i="5" s="1"/>
  <c r="J1315" i="5"/>
  <c r="N1315" i="5" s="1"/>
  <c r="N1317" i="5" s="1"/>
  <c r="J1312" i="5"/>
  <c r="N1312" i="5" s="1"/>
  <c r="J1306" i="5"/>
  <c r="N1306" i="5" s="1"/>
  <c r="J1266" i="5"/>
  <c r="N1266" i="5" s="1"/>
  <c r="J1243" i="5"/>
  <c r="N1243" i="5" s="1"/>
  <c r="J1233" i="5"/>
  <c r="N1233" i="5" s="1"/>
  <c r="J1202" i="5"/>
  <c r="N1202" i="5" s="1"/>
  <c r="J1179" i="5"/>
  <c r="N1179" i="5" s="1"/>
  <c r="J1156" i="5"/>
  <c r="N1156" i="5" s="1"/>
  <c r="J1139" i="5"/>
  <c r="N1139" i="5" s="1"/>
  <c r="J1135" i="5"/>
  <c r="N1135" i="5" s="1"/>
  <c r="J1118" i="5"/>
  <c r="N1118" i="5" s="1"/>
  <c r="J1106" i="5"/>
  <c r="N1106" i="5" s="1"/>
  <c r="N1107" i="5" s="1"/>
  <c r="J763" i="5"/>
  <c r="N763" i="5" s="1"/>
  <c r="J742" i="5"/>
  <c r="N742" i="5" s="1"/>
  <c r="N744" i="5" s="1"/>
  <c r="J728" i="5"/>
  <c r="N728" i="5" s="1"/>
  <c r="N730" i="5" s="1"/>
  <c r="J666" i="5"/>
  <c r="N666" i="5" s="1"/>
  <c r="J1853" i="5"/>
  <c r="N1853" i="5" s="1"/>
  <c r="N1855" i="5" s="1"/>
  <c r="J1786" i="5"/>
  <c r="N1786" i="5" s="1"/>
  <c r="J1778" i="5"/>
  <c r="N1778" i="5" s="1"/>
  <c r="N1779" i="5" s="1"/>
  <c r="J1732" i="5"/>
  <c r="N1732" i="5" s="1"/>
  <c r="N1734" i="5" s="1"/>
  <c r="J1642" i="5"/>
  <c r="N1642" i="5" s="1"/>
  <c r="J1641" i="5"/>
  <c r="N1641" i="5" s="1"/>
  <c r="J1640" i="5"/>
  <c r="N1640" i="5" s="1"/>
  <c r="J1632" i="5"/>
  <c r="N1632" i="5" s="1"/>
  <c r="J1609" i="5"/>
  <c r="N1609" i="5" s="1"/>
  <c r="J1605" i="5"/>
  <c r="N1605" i="5" s="1"/>
  <c r="J1589" i="5"/>
  <c r="N1589" i="5" s="1"/>
  <c r="J1574" i="5"/>
  <c r="N1574" i="5" s="1"/>
  <c r="J1573" i="5"/>
  <c r="N1573" i="5" s="1"/>
  <c r="J1572" i="5"/>
  <c r="N1572" i="5" s="1"/>
  <c r="J1559" i="5"/>
  <c r="N1559" i="5" s="1"/>
  <c r="J1493" i="5"/>
  <c r="N1493" i="5" s="1"/>
  <c r="J1462" i="5"/>
  <c r="N1462" i="5" s="1"/>
  <c r="N1464" i="5" s="1"/>
  <c r="J1426" i="5"/>
  <c r="N1426" i="5" s="1"/>
  <c r="N1428" i="5" s="1"/>
  <c r="J1394" i="5"/>
  <c r="N1394" i="5" s="1"/>
  <c r="J1385" i="5"/>
  <c r="N1385" i="5" s="1"/>
  <c r="J1379" i="5"/>
  <c r="N1379" i="5" s="1"/>
  <c r="J1358" i="5"/>
  <c r="N1358" i="5" s="1"/>
  <c r="J1345" i="5"/>
  <c r="N1345" i="5" s="1"/>
  <c r="J1326" i="5"/>
  <c r="N1326" i="5" s="1"/>
  <c r="J1319" i="5"/>
  <c r="N1319" i="5" s="1"/>
  <c r="J1310" i="5"/>
  <c r="N1310" i="5" s="1"/>
  <c r="N1313" i="5" s="1"/>
  <c r="J1304" i="5"/>
  <c r="N1304" i="5" s="1"/>
  <c r="J1296" i="5"/>
  <c r="N1296" i="5" s="1"/>
  <c r="J1287" i="5"/>
  <c r="N1287" i="5" s="1"/>
  <c r="J1272" i="5"/>
  <c r="N1272" i="5" s="1"/>
  <c r="J1264" i="5"/>
  <c r="N1264" i="5" s="1"/>
  <c r="N1267" i="5" s="1"/>
  <c r="J1247" i="5"/>
  <c r="N1247" i="5" s="1"/>
  <c r="J1133" i="5"/>
  <c r="N1133" i="5" s="1"/>
  <c r="J1090" i="5"/>
  <c r="N1090" i="5" s="1"/>
  <c r="J771" i="5"/>
  <c r="N771" i="5" s="1"/>
  <c r="N773" i="5" s="1"/>
  <c r="J691" i="5"/>
  <c r="N691" i="5" s="1"/>
  <c r="J1663" i="5"/>
  <c r="N1663" i="5" s="1"/>
  <c r="J1657" i="5"/>
  <c r="N1657" i="5" s="1"/>
  <c r="N1658" i="5" s="1"/>
  <c r="J1627" i="5"/>
  <c r="N1627" i="5" s="1"/>
  <c r="J1453" i="5"/>
  <c r="N1453" i="5" s="1"/>
  <c r="J1397" i="5"/>
  <c r="N1397" i="5" s="1"/>
  <c r="J1187" i="5"/>
  <c r="N1187" i="5" s="1"/>
  <c r="J1181" i="5"/>
  <c r="N1181" i="5" s="1"/>
  <c r="N1182" i="5" s="1"/>
  <c r="J1155" i="5"/>
  <c r="N1155" i="5" s="1"/>
  <c r="N1157" i="5" s="1"/>
  <c r="J689" i="5"/>
  <c r="N689" i="5" s="1"/>
  <c r="J683" i="5"/>
  <c r="N683" i="5" s="1"/>
  <c r="J647" i="5"/>
  <c r="N647" i="5" s="1"/>
  <c r="J618" i="5"/>
  <c r="N618" i="5" s="1"/>
  <c r="J608" i="5"/>
  <c r="N608" i="5" s="1"/>
  <c r="J581" i="5"/>
  <c r="N581" i="5" s="1"/>
  <c r="J574" i="5"/>
  <c r="N574" i="5" s="1"/>
  <c r="J557" i="5"/>
  <c r="N557" i="5" s="1"/>
  <c r="J544" i="5"/>
  <c r="N544" i="5" s="1"/>
  <c r="J163" i="5"/>
  <c r="N163" i="5" s="1"/>
  <c r="J162" i="5"/>
  <c r="N162" i="5" s="1"/>
  <c r="J123" i="5"/>
  <c r="N123" i="5" s="1"/>
  <c r="J122" i="5"/>
  <c r="N122" i="5" s="1"/>
  <c r="J115" i="5"/>
  <c r="N115" i="5" s="1"/>
  <c r="J111" i="5"/>
  <c r="N111" i="5" s="1"/>
  <c r="J94" i="5"/>
  <c r="N94" i="5" s="1"/>
  <c r="J89" i="5"/>
  <c r="N89" i="5" s="1"/>
  <c r="J1423" i="5"/>
  <c r="N1423" i="5" s="1"/>
  <c r="J1361" i="5"/>
  <c r="N1361" i="5" s="1"/>
  <c r="J1354" i="5"/>
  <c r="N1354" i="5" s="1"/>
  <c r="N1356" i="5" s="1"/>
  <c r="J1322" i="5"/>
  <c r="N1322" i="5" s="1"/>
  <c r="J1227" i="5"/>
  <c r="N1227" i="5" s="1"/>
  <c r="J1201" i="5"/>
  <c r="N1201" i="5" s="1"/>
  <c r="N1203" i="5" s="1"/>
  <c r="J1197" i="5"/>
  <c r="N1197" i="5" s="1"/>
  <c r="J1151" i="5"/>
  <c r="N1151" i="5" s="1"/>
  <c r="J1098" i="5"/>
  <c r="N1098" i="5" s="1"/>
  <c r="J1092" i="5"/>
  <c r="N1092" i="5" s="1"/>
  <c r="J748" i="5"/>
  <c r="N748" i="5" s="1"/>
  <c r="J733" i="5"/>
  <c r="N733" i="5" s="1"/>
  <c r="J655" i="5"/>
  <c r="N655" i="5" s="1"/>
  <c r="J641" i="5"/>
  <c r="N641" i="5" s="1"/>
  <c r="J640" i="5"/>
  <c r="N640" i="5" s="1"/>
  <c r="J623" i="5"/>
  <c r="N623" i="5" s="1"/>
  <c r="N625" i="5" s="1"/>
  <c r="J620" i="5"/>
  <c r="N620" i="5" s="1"/>
  <c r="J612" i="5"/>
  <c r="N612" i="5" s="1"/>
  <c r="J585" i="5"/>
  <c r="N585" i="5" s="1"/>
  <c r="J571" i="5"/>
  <c r="N571" i="5" s="1"/>
  <c r="J548" i="5"/>
  <c r="N548" i="5" s="1"/>
  <c r="J439" i="5"/>
  <c r="N439" i="5" s="1"/>
  <c r="J254" i="5"/>
  <c r="N254" i="5" s="1"/>
  <c r="N256" i="5" s="1"/>
  <c r="J241" i="5"/>
  <c r="N241" i="5" s="1"/>
  <c r="J200" i="5"/>
  <c r="N200" i="5" s="1"/>
  <c r="J164" i="5"/>
  <c r="N164" i="5" s="1"/>
  <c r="J1286" i="5"/>
  <c r="N1286" i="5" s="1"/>
  <c r="N1288" i="5" s="1"/>
  <c r="J1185" i="5"/>
  <c r="N1185" i="5" s="1"/>
  <c r="N1188" i="5" s="1"/>
  <c r="J272" i="5"/>
  <c r="N272" i="5" s="1"/>
  <c r="J263" i="5"/>
  <c r="N263" i="5" s="1"/>
  <c r="J262" i="5"/>
  <c r="N262" i="5" s="1"/>
  <c r="J249" i="5"/>
  <c r="N249" i="5" s="1"/>
  <c r="J226" i="5"/>
  <c r="N226" i="5" s="1"/>
  <c r="J201" i="5"/>
  <c r="N201" i="5" s="1"/>
  <c r="J189" i="5"/>
  <c r="N189" i="5" s="1"/>
  <c r="J144" i="5"/>
  <c r="N144" i="5" s="1"/>
  <c r="N146" i="5" s="1"/>
  <c r="J1863" i="5"/>
  <c r="N1863" i="5" s="1"/>
  <c r="J1810" i="5"/>
  <c r="N1810" i="5" s="1"/>
  <c r="J1282" i="5"/>
  <c r="N1282" i="5" s="1"/>
  <c r="J1880" i="5"/>
  <c r="N1880" i="5" s="1"/>
  <c r="N1882" i="5" s="1"/>
  <c r="J1724" i="5"/>
  <c r="N1724" i="5" s="1"/>
  <c r="J1677" i="5"/>
  <c r="N1677" i="5" s="1"/>
  <c r="N1679" i="5" s="1"/>
  <c r="J1661" i="5"/>
  <c r="N1661" i="5" s="1"/>
  <c r="N1664" i="5" s="1"/>
  <c r="J1543" i="5"/>
  <c r="N1543" i="5" s="1"/>
  <c r="N1545" i="5" s="1"/>
  <c r="J1502" i="5"/>
  <c r="N1502" i="5" s="1"/>
  <c r="N1504" i="5" s="1"/>
  <c r="J1459" i="5"/>
  <c r="N1459" i="5" s="1"/>
  <c r="J1457" i="5"/>
  <c r="N1457" i="5" s="1"/>
  <c r="J1451" i="5"/>
  <c r="N1451" i="5" s="1"/>
  <c r="N1454" i="5" s="1"/>
  <c r="J1415" i="5"/>
  <c r="N1415" i="5" s="1"/>
  <c r="N1418" i="5" s="1"/>
  <c r="J1387" i="5"/>
  <c r="N1387" i="5" s="1"/>
  <c r="J1349" i="5"/>
  <c r="N1349" i="5" s="1"/>
  <c r="N1352" i="5" s="1"/>
  <c r="J1327" i="5"/>
  <c r="N1327" i="5" s="1"/>
  <c r="J1248" i="5"/>
  <c r="N1248" i="5" s="1"/>
  <c r="N1249" i="5" s="1"/>
  <c r="J756" i="5"/>
  <c r="N756" i="5" s="1"/>
  <c r="N758" i="5" s="1"/>
  <c r="J685" i="5"/>
  <c r="N685" i="5" s="1"/>
  <c r="J649" i="5"/>
  <c r="N649" i="5" s="1"/>
  <c r="J614" i="5"/>
  <c r="N614" i="5" s="1"/>
  <c r="J590" i="5"/>
  <c r="N590" i="5" s="1"/>
  <c r="N592" i="5" s="1"/>
  <c r="J587" i="5"/>
  <c r="N587" i="5" s="1"/>
  <c r="J550" i="5"/>
  <c r="N550" i="5" s="1"/>
  <c r="J542" i="5"/>
  <c r="N542" i="5" s="1"/>
  <c r="N545" i="5" s="1"/>
  <c r="J279" i="5"/>
  <c r="N279" i="5" s="1"/>
  <c r="J190" i="5"/>
  <c r="N190" i="5" s="1"/>
  <c r="J181" i="5"/>
  <c r="N181" i="5" s="1"/>
  <c r="J1898" i="5"/>
  <c r="N1898" i="5" s="1"/>
  <c r="N1900" i="5" s="1"/>
  <c r="J1811" i="5"/>
  <c r="N1811" i="5" s="1"/>
  <c r="N1812" i="5" s="1"/>
  <c r="J1796" i="5"/>
  <c r="N1796" i="5" s="1"/>
  <c r="N1798" i="5" s="1"/>
  <c r="J1705" i="5"/>
  <c r="N1705" i="5" s="1"/>
  <c r="J1703" i="5"/>
  <c r="N1703" i="5" s="1"/>
  <c r="J1567" i="5"/>
  <c r="N1567" i="5" s="1"/>
  <c r="J1343" i="5"/>
  <c r="N1343" i="5" s="1"/>
  <c r="N1346" i="5" s="1"/>
  <c r="J1270" i="5"/>
  <c r="N1270" i="5" s="1"/>
  <c r="N1273" i="5" s="1"/>
  <c r="J1225" i="5"/>
  <c r="N1225" i="5" s="1"/>
  <c r="N1228" i="5" s="1"/>
  <c r="J1141" i="5"/>
  <c r="N1141" i="5" s="1"/>
  <c r="N1142" i="5" s="1"/>
  <c r="J720" i="5"/>
  <c r="N720" i="5" s="1"/>
  <c r="J606" i="5"/>
  <c r="N606" i="5" s="1"/>
  <c r="J579" i="5"/>
  <c r="N579" i="5" s="1"/>
  <c r="N582" i="5" s="1"/>
  <c r="J227" i="5"/>
  <c r="N227" i="5" s="1"/>
  <c r="J174" i="5"/>
  <c r="N174" i="5" s="1"/>
  <c r="J84" i="5"/>
  <c r="N84" i="5" s="1"/>
  <c r="J1231" i="5"/>
  <c r="N1231" i="5" s="1"/>
  <c r="N1234" i="5" s="1"/>
  <c r="J471" i="5"/>
  <c r="N471" i="5" s="1"/>
  <c r="J133" i="5"/>
  <c r="N133" i="5" s="1"/>
  <c r="J110" i="5"/>
  <c r="N110" i="5" s="1"/>
  <c r="J85" i="5"/>
  <c r="N85" i="5" s="1"/>
  <c r="J1096" i="5"/>
  <c r="N1096" i="5" s="1"/>
  <c r="N1099" i="5" s="1"/>
  <c r="J653" i="5"/>
  <c r="N653" i="5" s="1"/>
  <c r="N656" i="5" s="1"/>
  <c r="J479" i="5"/>
  <c r="N479" i="5" s="1"/>
  <c r="J264" i="5"/>
  <c r="N264" i="5" s="1"/>
  <c r="J210" i="5"/>
  <c r="N210" i="5" s="1"/>
  <c r="J205" i="5"/>
  <c r="N205" i="5" s="1"/>
  <c r="J1981" i="5"/>
  <c r="N1981" i="5" s="1"/>
  <c r="J1965" i="5"/>
  <c r="N1965" i="5" s="1"/>
  <c r="J1952" i="5"/>
  <c r="N1952" i="5" s="1"/>
  <c r="J817" i="5"/>
  <c r="N817" i="5" s="1"/>
  <c r="J833" i="5"/>
  <c r="N833" i="5" s="1"/>
  <c r="J64" i="5"/>
  <c r="N64" i="5" s="1"/>
  <c r="J1745" i="5"/>
  <c r="N1745" i="5" s="1"/>
  <c r="J1774" i="5"/>
  <c r="N1774" i="5" s="1"/>
  <c r="J1894" i="5"/>
  <c r="N1894" i="5" s="1"/>
  <c r="J1917" i="5"/>
  <c r="N1917" i="5" s="1"/>
  <c r="J1849" i="5"/>
  <c r="N1849" i="5" s="1"/>
  <c r="J559" i="5"/>
  <c r="N559" i="5" s="1"/>
  <c r="J558" i="5"/>
  <c r="N558" i="5" s="1"/>
  <c r="J553" i="5"/>
  <c r="N553" i="5" s="1"/>
  <c r="N555" i="5" s="1"/>
  <c r="J497" i="5"/>
  <c r="N497" i="5" s="1"/>
  <c r="N499" i="5" s="1"/>
  <c r="J438" i="5"/>
  <c r="N438" i="5" s="1"/>
  <c r="J230" i="5"/>
  <c r="N230" i="5" s="1"/>
  <c r="J575" i="5"/>
  <c r="N575" i="5" s="1"/>
  <c r="J454" i="5"/>
  <c r="N454" i="5" s="1"/>
  <c r="J1872" i="5"/>
  <c r="N1872" i="5" s="1"/>
  <c r="J1827" i="5"/>
  <c r="N1827" i="5" s="1"/>
  <c r="J643" i="5"/>
  <c r="N643" i="5" s="1"/>
  <c r="J453" i="5"/>
  <c r="N453" i="5" s="1"/>
  <c r="J531" i="5"/>
  <c r="N531" i="5" s="1"/>
  <c r="J477" i="5"/>
  <c r="N477" i="5" s="1"/>
  <c r="J2121" i="5"/>
  <c r="N2121" i="5" s="1"/>
  <c r="J2116" i="5"/>
  <c r="N2116" i="5" s="1"/>
  <c r="J2054" i="5"/>
  <c r="N2054" i="5" s="1"/>
  <c r="J2027" i="5"/>
  <c r="N2027" i="5" s="1"/>
  <c r="J1975" i="5"/>
  <c r="N1975" i="5" s="1"/>
  <c r="J1960" i="5"/>
  <c r="N1960" i="5" s="1"/>
  <c r="J1959" i="5"/>
  <c r="N1959" i="5" s="1"/>
  <c r="J1947" i="5"/>
  <c r="N1947" i="5" s="1"/>
  <c r="J2125" i="5"/>
  <c r="N2125" i="5" s="1"/>
  <c r="N2127" i="5" s="1"/>
  <c r="J2041" i="5"/>
  <c r="N2041" i="5" s="1"/>
  <c r="J2025" i="5"/>
  <c r="N2025" i="5" s="1"/>
  <c r="J2021" i="5"/>
  <c r="N2021" i="5" s="1"/>
  <c r="J1990" i="5"/>
  <c r="N1990" i="5" s="1"/>
  <c r="J1968" i="5"/>
  <c r="N1968" i="5" s="1"/>
  <c r="N1970" i="5" s="1"/>
  <c r="J1951" i="5"/>
  <c r="N1951" i="5" s="1"/>
  <c r="J1936" i="5"/>
  <c r="N1936" i="5" s="1"/>
  <c r="N1938" i="5" s="1"/>
  <c r="J1889" i="5"/>
  <c r="N1889" i="5" s="1"/>
  <c r="J1864" i="5"/>
  <c r="N1864" i="5" s="1"/>
  <c r="J1844" i="5"/>
  <c r="N1844" i="5" s="1"/>
  <c r="J1831" i="5"/>
  <c r="N1831" i="5" s="1"/>
  <c r="N1833" i="5" s="1"/>
  <c r="J1741" i="5"/>
  <c r="N1741" i="5" s="1"/>
  <c r="J2108" i="5"/>
  <c r="N2108" i="5" s="1"/>
  <c r="J2095" i="5"/>
  <c r="N2095" i="5" s="1"/>
  <c r="J2024" i="5"/>
  <c r="N2024" i="5" s="1"/>
  <c r="J1974" i="5"/>
  <c r="N1974" i="5" s="1"/>
  <c r="J1964" i="5"/>
  <c r="N1964" i="5" s="1"/>
  <c r="J1946" i="5"/>
  <c r="N1946" i="5" s="1"/>
  <c r="J1481" i="5"/>
  <c r="N1481" i="5" s="1"/>
  <c r="J2091" i="5"/>
  <c r="N2091" i="5" s="1"/>
  <c r="J2030" i="5"/>
  <c r="N2030" i="5" s="1"/>
  <c r="N2032" i="5" s="1"/>
  <c r="J2010" i="5"/>
  <c r="N2010" i="5" s="1"/>
  <c r="J1989" i="5"/>
  <c r="N1989" i="5" s="1"/>
  <c r="J1955" i="5"/>
  <c r="N1955" i="5" s="1"/>
  <c r="N1957" i="5" s="1"/>
  <c r="J1931" i="5"/>
  <c r="N1931" i="5" s="1"/>
  <c r="N1934" i="5" s="1"/>
  <c r="J1921" i="5"/>
  <c r="N1921" i="5" s="1"/>
  <c r="N1923" i="5" s="1"/>
  <c r="J1907" i="5"/>
  <c r="N1907" i="5" s="1"/>
  <c r="J1886" i="5"/>
  <c r="N1886" i="5" s="1"/>
  <c r="J1867" i="5"/>
  <c r="N1867" i="5" s="1"/>
  <c r="J1773" i="5"/>
  <c r="N1773" i="5" s="1"/>
  <c r="J1772" i="5"/>
  <c r="N1772" i="5" s="1"/>
  <c r="J1767" i="5"/>
  <c r="N1767" i="5" s="1"/>
  <c r="N1769" i="5" s="1"/>
  <c r="J1437" i="5"/>
  <c r="N1437" i="5" s="1"/>
  <c r="J2115" i="5"/>
  <c r="N2115" i="5" s="1"/>
  <c r="J2026" i="5"/>
  <c r="N2026" i="5" s="1"/>
  <c r="J1980" i="5"/>
  <c r="N1980" i="5" s="1"/>
  <c r="J1401" i="5"/>
  <c r="N1401" i="5" s="1"/>
  <c r="J1375" i="5"/>
  <c r="N1375" i="5" s="1"/>
  <c r="J1334" i="5"/>
  <c r="N1334" i="5" s="1"/>
  <c r="J1299" i="5"/>
  <c r="N1299" i="5" s="1"/>
  <c r="J1068" i="5"/>
  <c r="N1068" i="5" s="1"/>
  <c r="J1038" i="5"/>
  <c r="N1038" i="5" s="1"/>
  <c r="J1032" i="5"/>
  <c r="N1032" i="5" s="1"/>
  <c r="J930" i="5"/>
  <c r="N930" i="5" s="1"/>
  <c r="J909" i="5"/>
  <c r="N909" i="5" s="1"/>
  <c r="J842" i="5"/>
  <c r="N842" i="5" s="1"/>
  <c r="J751" i="5"/>
  <c r="N751" i="5" s="1"/>
  <c r="J1888" i="5"/>
  <c r="N1888" i="5" s="1"/>
  <c r="J1866" i="5"/>
  <c r="N1866" i="5" s="1"/>
  <c r="J1823" i="5"/>
  <c r="N1823" i="5" s="1"/>
  <c r="J1337" i="5"/>
  <c r="N1337" i="5" s="1"/>
  <c r="J1081" i="5"/>
  <c r="N1081" i="5" s="1"/>
  <c r="J1064" i="5"/>
  <c r="N1064" i="5" s="1"/>
  <c r="J1040" i="5"/>
  <c r="N1040" i="5" s="1"/>
  <c r="J1034" i="5"/>
  <c r="N1034" i="5" s="1"/>
  <c r="J811" i="5"/>
  <c r="N811" i="5" s="1"/>
  <c r="J766" i="5"/>
  <c r="N766" i="5" s="1"/>
  <c r="J765" i="5"/>
  <c r="N765" i="5" s="1"/>
  <c r="J723" i="5"/>
  <c r="N723" i="5" s="1"/>
  <c r="J676" i="5"/>
  <c r="N676" i="5" s="1"/>
  <c r="J1513" i="5"/>
  <c r="N1513" i="5" s="1"/>
  <c r="J1483" i="5"/>
  <c r="N1483" i="5" s="1"/>
  <c r="J1373" i="5"/>
  <c r="N1373" i="5" s="1"/>
  <c r="J1111" i="5"/>
  <c r="N1111" i="5" s="1"/>
  <c r="J913" i="5"/>
  <c r="N913" i="5" s="1"/>
  <c r="N915" i="5" s="1"/>
  <c r="J750" i="5"/>
  <c r="N750" i="5" s="1"/>
  <c r="J481" i="5"/>
  <c r="N481" i="5" s="1"/>
  <c r="J293" i="5"/>
  <c r="N293" i="5" s="1"/>
  <c r="J2099" i="5"/>
  <c r="N2099" i="5" s="1"/>
  <c r="N2101" i="5" s="1"/>
  <c r="J2022" i="5"/>
  <c r="N2022" i="5" s="1"/>
  <c r="J1101" i="5"/>
  <c r="N1101" i="5" s="1"/>
  <c r="N1103" i="5" s="1"/>
  <c r="J1079" i="5"/>
  <c r="N1079" i="5" s="1"/>
  <c r="J1070" i="5"/>
  <c r="N1070" i="5" s="1"/>
  <c r="J939" i="5"/>
  <c r="N939" i="5" s="1"/>
  <c r="N941" i="5" s="1"/>
  <c r="J929" i="5"/>
  <c r="N929" i="5" s="1"/>
  <c r="J868" i="5"/>
  <c r="N868" i="5" s="1"/>
  <c r="J537" i="5"/>
  <c r="N537" i="5" s="1"/>
  <c r="J536" i="5"/>
  <c r="N536" i="5" s="1"/>
  <c r="J245" i="5"/>
  <c r="N245" i="5" s="1"/>
  <c r="J129" i="5"/>
  <c r="N129" i="5" s="1"/>
  <c r="J124" i="5"/>
  <c r="N124" i="5" s="1"/>
  <c r="J905" i="5"/>
  <c r="N905" i="5" s="1"/>
  <c r="J855" i="5"/>
  <c r="N855" i="5" s="1"/>
  <c r="J832" i="5"/>
  <c r="N832" i="5" s="1"/>
  <c r="J827" i="5"/>
  <c r="N827" i="5" s="1"/>
  <c r="J417" i="5"/>
  <c r="N417" i="5" s="1"/>
  <c r="N419" i="5" s="1"/>
  <c r="J400" i="5"/>
  <c r="N400" i="5" s="1"/>
  <c r="J398" i="5"/>
  <c r="N398" i="5" s="1"/>
  <c r="J170" i="5"/>
  <c r="N170" i="5" s="1"/>
  <c r="J1819" i="5"/>
  <c r="N1819" i="5" s="1"/>
  <c r="J1841" i="5"/>
  <c r="N1841" i="5" s="1"/>
  <c r="J1336" i="5"/>
  <c r="N1336" i="5" s="1"/>
  <c r="J935" i="5"/>
  <c r="N935" i="5" s="1"/>
  <c r="J922" i="5"/>
  <c r="N922" i="5" s="1"/>
  <c r="J826" i="5"/>
  <c r="N826" i="5" s="1"/>
  <c r="J820" i="5"/>
  <c r="N820" i="5" s="1"/>
  <c r="N822" i="5" s="1"/>
  <c r="J816" i="5"/>
  <c r="N816" i="5" s="1"/>
  <c r="J812" i="5"/>
  <c r="N812" i="5" s="1"/>
  <c r="J722" i="5"/>
  <c r="N722" i="5" s="1"/>
  <c r="J440" i="5"/>
  <c r="N440" i="5" s="1"/>
  <c r="J291" i="5"/>
  <c r="N291" i="5" s="1"/>
  <c r="J268" i="5"/>
  <c r="N268" i="5" s="1"/>
  <c r="J242" i="5"/>
  <c r="N242" i="5" s="1"/>
  <c r="J1820" i="5"/>
  <c r="N1820" i="5" s="1"/>
  <c r="J1473" i="5"/>
  <c r="N1473" i="5" s="1"/>
  <c r="J1062" i="5"/>
  <c r="N1062" i="5" s="1"/>
  <c r="J482" i="5"/>
  <c r="N482" i="5" s="1"/>
  <c r="J328" i="5"/>
  <c r="N328" i="5" s="1"/>
  <c r="J364" i="5"/>
  <c r="N364" i="5" s="1"/>
  <c r="J329" i="5"/>
  <c r="N329" i="5" s="1"/>
  <c r="J292" i="5"/>
  <c r="N292" i="5" s="1"/>
  <c r="J841" i="5"/>
  <c r="N841" i="5" s="1"/>
  <c r="J737" i="5"/>
  <c r="N737" i="5" s="1"/>
  <c r="J366" i="5"/>
  <c r="N366" i="5" s="1"/>
  <c r="J327" i="5"/>
  <c r="N327" i="5" s="1"/>
  <c r="J1949" i="5"/>
  <c r="N1949" i="5" s="1"/>
  <c r="J1948" i="5"/>
  <c r="N1948" i="5" s="1"/>
  <c r="J2070" i="5"/>
  <c r="N2070" i="5" s="1"/>
  <c r="N2071" i="5" s="1"/>
  <c r="J2086" i="5"/>
  <c r="N2086" i="5" s="1"/>
  <c r="N2087" i="5" s="1"/>
  <c r="J884" i="5"/>
  <c r="N884" i="5" s="1"/>
  <c r="N885" i="5" s="1"/>
  <c r="J1256" i="5"/>
  <c r="N1256" i="5" s="1"/>
  <c r="J480" i="5"/>
  <c r="N480" i="5" s="1"/>
  <c r="J900" i="5"/>
  <c r="N900" i="5" s="1"/>
  <c r="N901" i="5" s="1"/>
  <c r="J399" i="5"/>
  <c r="N399" i="5" s="1"/>
  <c r="J601" i="5"/>
  <c r="N601" i="5" s="1"/>
  <c r="J1911" i="5"/>
  <c r="N1911" i="5" s="1"/>
  <c r="J1050" i="5"/>
  <c r="N1050" i="5" s="1"/>
  <c r="J1910" i="5"/>
  <c r="N1910" i="5" s="1"/>
  <c r="J1909" i="5"/>
  <c r="N1909" i="5" s="1"/>
  <c r="J1056" i="5"/>
  <c r="N1056" i="5" s="1"/>
  <c r="J1069" i="5"/>
  <c r="N1069" i="5" s="1"/>
  <c r="J1052" i="5"/>
  <c r="N1052" i="5" s="1"/>
  <c r="J1065" i="5"/>
  <c r="N1065" i="5" s="1"/>
  <c r="J1063" i="5"/>
  <c r="N1063" i="5" s="1"/>
  <c r="J1027" i="5"/>
  <c r="N1027" i="5" s="1"/>
  <c r="J1019" i="5"/>
  <c r="N1019" i="5" s="1"/>
  <c r="J1035" i="5"/>
  <c r="N1035" i="5" s="1"/>
  <c r="J1025" i="5"/>
  <c r="N1025" i="5" s="1"/>
  <c r="J1071" i="5"/>
  <c r="N1071" i="5" s="1"/>
  <c r="J1033" i="5"/>
  <c r="N1033" i="5" s="1"/>
  <c r="J1021" i="5"/>
  <c r="N1021" i="5" s="1"/>
  <c r="J1041" i="5"/>
  <c r="N1041" i="5" s="1"/>
  <c r="J1058" i="5"/>
  <c r="N1058" i="5" s="1"/>
  <c r="J1039" i="5"/>
  <c r="N1039" i="5" s="1"/>
  <c r="J2107" i="5"/>
  <c r="N2107" i="5" s="1"/>
  <c r="N2110" i="5" s="1"/>
  <c r="J1793" i="5"/>
  <c r="N1793" i="5" s="1"/>
  <c r="J1764" i="5"/>
  <c r="N1764" i="5" s="1"/>
  <c r="J1749" i="5"/>
  <c r="N1749" i="5" s="1"/>
  <c r="J1748" i="5"/>
  <c r="N1748" i="5" s="1"/>
  <c r="J1717" i="5"/>
  <c r="N1717" i="5" s="1"/>
  <c r="J1792" i="5"/>
  <c r="N1792" i="5" s="1"/>
  <c r="J1791" i="5"/>
  <c r="N1791" i="5" s="1"/>
  <c r="J1762" i="5"/>
  <c r="N1762" i="5" s="1"/>
  <c r="J1752" i="5"/>
  <c r="N1752" i="5" s="1"/>
  <c r="J1743" i="5"/>
  <c r="N1743" i="5" s="1"/>
  <c r="J1715" i="5"/>
  <c r="N1715" i="5" s="1"/>
  <c r="J1713" i="5"/>
  <c r="N1713" i="5" s="1"/>
  <c r="J1646" i="5"/>
  <c r="N1646" i="5" s="1"/>
  <c r="J1598" i="5"/>
  <c r="N1598" i="5" s="1"/>
  <c r="J1750" i="5"/>
  <c r="N1750" i="5" s="1"/>
  <c r="J1747" i="5"/>
  <c r="N1747" i="5" s="1"/>
  <c r="J1645" i="5"/>
  <c r="N1645" i="5" s="1"/>
  <c r="J1255" i="5"/>
  <c r="N1255" i="5" s="1"/>
  <c r="N1261" i="5" s="1"/>
  <c r="J1209" i="5"/>
  <c r="N1209" i="5" s="1"/>
  <c r="J1194" i="5"/>
  <c r="N1194" i="5" s="1"/>
  <c r="J1163" i="5"/>
  <c r="N1163" i="5" s="1"/>
  <c r="J921" i="5"/>
  <c r="N921" i="5" s="1"/>
  <c r="N924" i="5" s="1"/>
  <c r="J721" i="5"/>
  <c r="N721" i="5" s="1"/>
  <c r="J674" i="5"/>
  <c r="N674" i="5" s="1"/>
  <c r="J667" i="5"/>
  <c r="N667" i="5" s="1"/>
  <c r="J663" i="5"/>
  <c r="N663" i="5" s="1"/>
  <c r="J1787" i="5"/>
  <c r="N1787" i="5" s="1"/>
  <c r="J1771" i="5"/>
  <c r="N1771" i="5" s="1"/>
  <c r="N1775" i="5" s="1"/>
  <c r="J1240" i="5"/>
  <c r="N1240" i="5" s="1"/>
  <c r="J749" i="5"/>
  <c r="N749" i="5" s="1"/>
  <c r="J734" i="5"/>
  <c r="N734" i="5" s="1"/>
  <c r="J702" i="5"/>
  <c r="N702" i="5" s="1"/>
  <c r="J699" i="5"/>
  <c r="N699" i="5" s="1"/>
  <c r="J265" i="5"/>
  <c r="N265" i="5" s="1"/>
  <c r="J1647" i="5"/>
  <c r="N1647" i="5" s="1"/>
  <c r="J1124" i="5"/>
  <c r="N1124" i="5" s="1"/>
  <c r="J764" i="5"/>
  <c r="N764" i="5" s="1"/>
  <c r="J642" i="5"/>
  <c r="N642" i="5" s="1"/>
  <c r="J632" i="5"/>
  <c r="N632" i="5" s="1"/>
  <c r="J563" i="5"/>
  <c r="N563" i="5" s="1"/>
  <c r="J290" i="5"/>
  <c r="N290" i="5" s="1"/>
  <c r="J363" i="5"/>
  <c r="N363" i="5" s="1"/>
  <c r="J1698" i="5"/>
  <c r="N1698" i="5" s="1"/>
  <c r="J1696" i="5"/>
  <c r="N1696" i="5" s="1"/>
  <c r="J1694" i="5"/>
  <c r="N1694" i="5" s="1"/>
  <c r="J1241" i="5"/>
  <c r="N1241" i="5" s="1"/>
  <c r="J675" i="5"/>
  <c r="N675" i="5" s="1"/>
  <c r="J598" i="5"/>
  <c r="N598" i="5" s="1"/>
  <c r="J1744" i="5"/>
  <c r="N1744" i="5" s="1"/>
  <c r="J1711" i="5"/>
  <c r="N1711" i="5" s="1"/>
  <c r="J1709" i="5"/>
  <c r="N1709" i="5" s="1"/>
  <c r="J1699" i="5"/>
  <c r="N1699" i="5" s="1"/>
  <c r="J1697" i="5"/>
  <c r="N1697" i="5" s="1"/>
  <c r="J1695" i="5"/>
  <c r="N1695" i="5" s="1"/>
  <c r="J703" i="5"/>
  <c r="N703" i="5" s="1"/>
  <c r="J441" i="5"/>
  <c r="N441" i="5" s="1"/>
  <c r="J532" i="5"/>
  <c r="N532" i="5" s="1"/>
  <c r="J326" i="5"/>
  <c r="N326" i="5" s="1"/>
  <c r="J1836" i="5"/>
  <c r="N1836" i="5" s="1"/>
  <c r="J1835" i="5"/>
  <c r="N1835" i="5" s="1"/>
  <c r="J1725" i="5"/>
  <c r="N1725" i="5" s="1"/>
  <c r="J1729" i="5"/>
  <c r="N1729" i="5" s="1"/>
  <c r="J1674" i="5"/>
  <c r="N1674" i="5" s="1"/>
  <c r="J1673" i="5"/>
  <c r="N1673" i="5" s="1"/>
  <c r="J1671" i="5"/>
  <c r="N1671" i="5" s="1"/>
  <c r="J1625" i="5"/>
  <c r="N1625" i="5" s="1"/>
  <c r="J1918" i="5"/>
  <c r="N1918" i="5" s="1"/>
  <c r="N1919" i="5" s="1"/>
  <c r="J1873" i="5"/>
  <c r="N1873" i="5" s="1"/>
  <c r="J1726" i="5"/>
  <c r="N1726" i="5" s="1"/>
  <c r="J1686" i="5"/>
  <c r="N1686" i="5" s="1"/>
  <c r="J1639" i="5"/>
  <c r="N1639" i="5" s="1"/>
  <c r="J1510" i="5"/>
  <c r="N1510" i="5" s="1"/>
  <c r="J1470" i="5"/>
  <c r="N1470" i="5" s="1"/>
  <c r="J1434" i="5"/>
  <c r="N1434" i="5" s="1"/>
  <c r="J1431" i="5"/>
  <c r="N1431" i="5" s="1"/>
  <c r="J1398" i="5"/>
  <c r="N1398" i="5" s="1"/>
  <c r="J1720" i="5"/>
  <c r="N1720" i="5" s="1"/>
  <c r="N1722" i="5" s="1"/>
  <c r="J1620" i="5"/>
  <c r="N1620" i="5" s="1"/>
  <c r="N1622" i="5" s="1"/>
  <c r="J1508" i="5"/>
  <c r="N1508" i="5" s="1"/>
  <c r="J1507" i="5"/>
  <c r="N1507" i="5" s="1"/>
  <c r="J1432" i="5"/>
  <c r="N1432" i="5" s="1"/>
  <c r="J1321" i="5"/>
  <c r="N1321" i="5" s="1"/>
  <c r="J1283" i="5"/>
  <c r="N1283" i="5" s="1"/>
  <c r="J698" i="5"/>
  <c r="N698" i="5" s="1"/>
  <c r="N700" i="5" s="1"/>
  <c r="J673" i="5"/>
  <c r="N673" i="5" s="1"/>
  <c r="J1850" i="5"/>
  <c r="N1850" i="5" s="1"/>
  <c r="N1851" i="5" s="1"/>
  <c r="J1596" i="5"/>
  <c r="N1596" i="5" s="1"/>
  <c r="N1606" i="5" s="1"/>
  <c r="J1467" i="5"/>
  <c r="N1467" i="5" s="1"/>
  <c r="J1396" i="5"/>
  <c r="N1396" i="5" s="1"/>
  <c r="J1395" i="5"/>
  <c r="N1395" i="5" s="1"/>
  <c r="J1362" i="5"/>
  <c r="N1362" i="5" s="1"/>
  <c r="J1359" i="5"/>
  <c r="N1359" i="5" s="1"/>
  <c r="J1323" i="5"/>
  <c r="N1323" i="5" s="1"/>
  <c r="J1275" i="5"/>
  <c r="N1275" i="5" s="1"/>
  <c r="N1277" i="5" s="1"/>
  <c r="J1190" i="5"/>
  <c r="N1190" i="5" s="1"/>
  <c r="N1192" i="5" s="1"/>
  <c r="J1152" i="5"/>
  <c r="N1152" i="5" s="1"/>
  <c r="J694" i="5"/>
  <c r="N694" i="5" s="1"/>
  <c r="N696" i="5" s="1"/>
  <c r="J1728" i="5"/>
  <c r="N1728" i="5" s="1"/>
  <c r="J1666" i="5"/>
  <c r="N1666" i="5" s="1"/>
  <c r="N1668" i="5" s="1"/>
  <c r="J1628" i="5"/>
  <c r="N1628" i="5" s="1"/>
  <c r="J1626" i="5"/>
  <c r="N1626" i="5" s="1"/>
  <c r="J631" i="5"/>
  <c r="N631" i="5" s="1"/>
  <c r="J344" i="5"/>
  <c r="N344" i="5" s="1"/>
  <c r="N346" i="5" s="1"/>
  <c r="J325" i="5"/>
  <c r="N325" i="5" s="1"/>
  <c r="J231" i="5"/>
  <c r="N231" i="5" s="1"/>
  <c r="J217" i="5"/>
  <c r="N217" i="5" s="1"/>
  <c r="N219" i="5" s="1"/>
  <c r="J212" i="5"/>
  <c r="N212" i="5" s="1"/>
  <c r="J95" i="5"/>
  <c r="N95" i="5" s="1"/>
  <c r="J88" i="5"/>
  <c r="N88" i="5" s="1"/>
  <c r="N92" i="5" s="1"/>
  <c r="J1360" i="5"/>
  <c r="N1360" i="5" s="1"/>
  <c r="J1198" i="5"/>
  <c r="N1198" i="5" s="1"/>
  <c r="J662" i="5"/>
  <c r="N662" i="5" s="1"/>
  <c r="N664" i="5" s="1"/>
  <c r="J658" i="5"/>
  <c r="N658" i="5" s="1"/>
  <c r="N660" i="5" s="1"/>
  <c r="J562" i="5"/>
  <c r="N562" i="5" s="1"/>
  <c r="J535" i="5"/>
  <c r="N535" i="5" s="1"/>
  <c r="J381" i="5"/>
  <c r="N381" i="5" s="1"/>
  <c r="N383" i="5" s="1"/>
  <c r="J308" i="5"/>
  <c r="N308" i="5" s="1"/>
  <c r="N310" i="5" s="1"/>
  <c r="J289" i="5"/>
  <c r="N289" i="5" s="1"/>
  <c r="N294" i="5" s="1"/>
  <c r="J225" i="5"/>
  <c r="N225" i="5" s="1"/>
  <c r="J199" i="5"/>
  <c r="N199" i="5" s="1"/>
  <c r="J114" i="5"/>
  <c r="N114" i="5" s="1"/>
  <c r="N118" i="5" s="1"/>
  <c r="J101" i="5"/>
  <c r="N101" i="5" s="1"/>
  <c r="N103" i="5" s="1"/>
  <c r="J96" i="5"/>
  <c r="N96" i="5" s="1"/>
  <c r="J278" i="5"/>
  <c r="N278" i="5" s="1"/>
  <c r="N280" i="5" s="1"/>
  <c r="J224" i="5"/>
  <c r="N224" i="5" s="1"/>
  <c r="J109" i="5"/>
  <c r="N109" i="5" s="1"/>
  <c r="J1895" i="5"/>
  <c r="N1895" i="5" s="1"/>
  <c r="J1828" i="5"/>
  <c r="N1828" i="5" s="1"/>
  <c r="J1468" i="5"/>
  <c r="N1468" i="5" s="1"/>
  <c r="J1320" i="5"/>
  <c r="N1320" i="5" s="1"/>
  <c r="J1236" i="5"/>
  <c r="N1236" i="5" s="1"/>
  <c r="N1238" i="5" s="1"/>
  <c r="J639" i="5"/>
  <c r="N639" i="5" s="1"/>
  <c r="N644" i="5" s="1"/>
  <c r="J271" i="5"/>
  <c r="N271" i="5" s="1"/>
  <c r="N275" i="5" s="1"/>
  <c r="J248" i="5"/>
  <c r="N248" i="5" s="1"/>
  <c r="N252" i="5" s="1"/>
  <c r="J198" i="5"/>
  <c r="N198" i="5" s="1"/>
  <c r="J1244" i="5"/>
  <c r="N1244" i="5" s="1"/>
  <c r="J436" i="5"/>
  <c r="N436" i="5" s="1"/>
  <c r="J211" i="5"/>
  <c r="N211" i="5" s="1"/>
  <c r="J1144" i="5"/>
  <c r="N1144" i="5" s="1"/>
  <c r="N1146" i="5" s="1"/>
  <c r="J180" i="5"/>
  <c r="N180" i="5" s="1"/>
  <c r="N182" i="5" s="1"/>
  <c r="J173" i="5"/>
  <c r="N173" i="5" s="1"/>
  <c r="J108" i="5"/>
  <c r="N108" i="5" s="1"/>
  <c r="N112" i="5" s="1"/>
  <c r="J132" i="5"/>
  <c r="N132" i="5" s="1"/>
  <c r="N136" i="5" s="1"/>
  <c r="J362" i="5"/>
  <c r="N362" i="5" s="1"/>
  <c r="N367" i="5" s="1"/>
  <c r="J204" i="5"/>
  <c r="N204" i="5" s="1"/>
  <c r="J2096" i="5"/>
  <c r="N2096" i="5" s="1"/>
  <c r="J2092" i="5"/>
  <c r="N2092" i="5" s="1"/>
  <c r="J2075" i="5"/>
  <c r="N2075" i="5" s="1"/>
  <c r="J2060" i="5"/>
  <c r="N2060" i="5" s="1"/>
  <c r="J2043" i="5"/>
  <c r="N2043" i="5" s="1"/>
  <c r="J2023" i="5"/>
  <c r="N2023" i="5" s="1"/>
  <c r="J2012" i="5"/>
  <c r="N2012" i="5" s="1"/>
  <c r="J2007" i="5"/>
  <c r="N2007" i="5" s="1"/>
  <c r="J2077" i="5"/>
  <c r="N2077" i="5" s="1"/>
  <c r="J2056" i="5"/>
  <c r="N2056" i="5" s="1"/>
  <c r="J2047" i="5"/>
  <c r="N2047" i="5" s="1"/>
  <c r="J1790" i="5"/>
  <c r="N1790" i="5" s="1"/>
  <c r="J2122" i="5"/>
  <c r="N2122" i="5" s="1"/>
  <c r="J2061" i="5"/>
  <c r="N2061" i="5" s="1"/>
  <c r="J2046" i="5"/>
  <c r="N2046" i="5" s="1"/>
  <c r="N2050" i="5" s="1"/>
  <c r="J1891" i="5"/>
  <c r="N1891" i="5" s="1"/>
  <c r="J1846" i="5"/>
  <c r="N1846" i="5" s="1"/>
  <c r="J1514" i="5"/>
  <c r="N1514" i="5" s="1"/>
  <c r="J1788" i="5"/>
  <c r="N1788" i="5" s="1"/>
  <c r="J1438" i="5"/>
  <c r="N1438" i="5" s="1"/>
  <c r="J1402" i="5"/>
  <c r="N1402" i="5" s="1"/>
  <c r="J2120" i="5"/>
  <c r="N2120" i="5" s="1"/>
  <c r="J2093" i="5"/>
  <c r="N2093" i="5" s="1"/>
  <c r="J2076" i="5"/>
  <c r="N2076" i="5" s="1"/>
  <c r="J2059" i="5"/>
  <c r="N2059" i="5" s="1"/>
  <c r="J1474" i="5"/>
  <c r="N1474" i="5" s="1"/>
  <c r="N1475" i="5" s="1"/>
  <c r="J1242" i="5"/>
  <c r="N1242" i="5" s="1"/>
  <c r="J1213" i="5"/>
  <c r="N1213" i="5" s="1"/>
  <c r="J1211" i="5"/>
  <c r="N1211" i="5" s="1"/>
  <c r="J1150" i="5"/>
  <c r="N1150" i="5" s="1"/>
  <c r="J1119" i="5"/>
  <c r="N1119" i="5" s="1"/>
  <c r="J934" i="5"/>
  <c r="N934" i="5" s="1"/>
  <c r="J891" i="5"/>
  <c r="N891" i="5" s="1"/>
  <c r="J873" i="5"/>
  <c r="N873" i="5" s="1"/>
  <c r="J1366" i="5"/>
  <c r="N1366" i="5" s="1"/>
  <c r="J1365" i="5"/>
  <c r="N1365" i="5" s="1"/>
  <c r="J1297" i="5"/>
  <c r="N1297" i="5" s="1"/>
  <c r="J1281" i="5"/>
  <c r="N1281" i="5" s="1"/>
  <c r="J1196" i="5"/>
  <c r="N1196" i="5" s="1"/>
  <c r="J936" i="5"/>
  <c r="N936" i="5" s="1"/>
  <c r="J906" i="5"/>
  <c r="N906" i="5" s="1"/>
  <c r="J889" i="5"/>
  <c r="N889" i="5" s="1"/>
  <c r="J875" i="5"/>
  <c r="N875" i="5" s="1"/>
  <c r="J860" i="5"/>
  <c r="N860" i="5" s="1"/>
  <c r="J768" i="5"/>
  <c r="N768" i="5" s="1"/>
  <c r="J767" i="5"/>
  <c r="N767" i="5" s="1"/>
  <c r="J753" i="5"/>
  <c r="N753" i="5" s="1"/>
  <c r="J738" i="5"/>
  <c r="N738" i="5" s="1"/>
  <c r="J1484" i="5"/>
  <c r="N1484" i="5" s="1"/>
  <c r="J1411" i="5"/>
  <c r="N1411" i="5" s="1"/>
  <c r="J1280" i="5"/>
  <c r="N1280" i="5" s="1"/>
  <c r="J1167" i="5"/>
  <c r="N1167" i="5" s="1"/>
  <c r="J1110" i="5"/>
  <c r="N1110" i="5" s="1"/>
  <c r="N1112" i="5" s="1"/>
  <c r="J910" i="5"/>
  <c r="N910" i="5" s="1"/>
  <c r="J890" i="5"/>
  <c r="N890" i="5" s="1"/>
  <c r="J857" i="5"/>
  <c r="N857" i="5" s="1"/>
  <c r="J627" i="5"/>
  <c r="N627" i="5" s="1"/>
  <c r="J594" i="5"/>
  <c r="N594" i="5" s="1"/>
  <c r="J533" i="5"/>
  <c r="N533" i="5" s="1"/>
  <c r="J240" i="5"/>
  <c r="N240" i="5" s="1"/>
  <c r="J128" i="5"/>
  <c r="N128" i="5" s="1"/>
  <c r="J1409" i="5"/>
  <c r="N1409" i="5" s="1"/>
  <c r="N1412" i="5" s="1"/>
  <c r="J1339" i="5"/>
  <c r="N1339" i="5" s="1"/>
  <c r="J1338" i="5"/>
  <c r="N1338" i="5" s="1"/>
  <c r="J1165" i="5"/>
  <c r="N1165" i="5" s="1"/>
  <c r="J1120" i="5"/>
  <c r="N1120" i="5" s="1"/>
  <c r="J1080" i="5"/>
  <c r="N1080" i="5" s="1"/>
  <c r="J907" i="5"/>
  <c r="N907" i="5" s="1"/>
  <c r="J724" i="5"/>
  <c r="N724" i="5" s="1"/>
  <c r="J628" i="5"/>
  <c r="N628" i="5" s="1"/>
  <c r="J595" i="5"/>
  <c r="N595" i="5" s="1"/>
  <c r="J564" i="5"/>
  <c r="N564" i="5" s="1"/>
  <c r="N566" i="5" s="1"/>
  <c r="J538" i="5"/>
  <c r="N538" i="5" s="1"/>
  <c r="J534" i="5"/>
  <c r="N534" i="5" s="1"/>
  <c r="J188" i="5"/>
  <c r="N188" i="5" s="1"/>
  <c r="N193" i="5" s="1"/>
  <c r="J1149" i="5"/>
  <c r="N1149" i="5" s="1"/>
  <c r="J739" i="5"/>
  <c r="N739" i="5" s="1"/>
  <c r="J1789" i="5"/>
  <c r="N1789" i="5" s="1"/>
  <c r="J1869" i="5"/>
  <c r="N1869" i="5" s="1"/>
  <c r="J1195" i="5"/>
  <c r="N1195" i="5" s="1"/>
  <c r="J1122" i="5"/>
  <c r="N1122" i="5" s="1"/>
  <c r="J874" i="5"/>
  <c r="N874" i="5" s="1"/>
  <c r="J725" i="5"/>
  <c r="N725" i="5" s="1"/>
  <c r="J633" i="5"/>
  <c r="N633" i="5" s="1"/>
  <c r="J600" i="5"/>
  <c r="N600" i="5" s="1"/>
  <c r="J599" i="5"/>
  <c r="N599" i="5" s="1"/>
  <c r="J470" i="5"/>
  <c r="N470" i="5" s="1"/>
  <c r="N472" i="5" s="1"/>
  <c r="J444" i="5"/>
  <c r="N444" i="5" s="1"/>
  <c r="J443" i="5"/>
  <c r="N443" i="5" s="1"/>
  <c r="J2129" i="5"/>
  <c r="N2129" i="5" s="1"/>
  <c r="N2133" i="5" s="1"/>
  <c r="J1298" i="5"/>
  <c r="N1298" i="5" s="1"/>
  <c r="J752" i="5"/>
  <c r="N752" i="5" s="1"/>
  <c r="J607" i="5"/>
  <c r="N607" i="5" s="1"/>
  <c r="J943" i="5"/>
  <c r="N943" i="5" s="1"/>
  <c r="N947" i="5" s="1"/>
  <c r="J861" i="5"/>
  <c r="N861" i="5" s="1"/>
  <c r="J442" i="5"/>
  <c r="N442" i="5" s="1"/>
  <c r="J870" i="5"/>
  <c r="N870" i="5" s="1"/>
  <c r="J127" i="5"/>
  <c r="N127" i="5" s="1"/>
  <c r="J65" i="5"/>
  <c r="N65" i="5" s="1"/>
  <c r="J1992" i="5"/>
  <c r="N1992" i="5" s="1"/>
  <c r="J1887" i="5"/>
  <c r="N1887" i="5" s="1"/>
  <c r="J2009" i="5"/>
  <c r="N2009" i="5" s="1"/>
  <c r="J1977" i="5"/>
  <c r="N1977" i="5" s="1"/>
  <c r="J1912" i="5"/>
  <c r="N1912" i="5" s="1"/>
  <c r="J1693" i="5"/>
  <c r="N1693" i="5" s="1"/>
  <c r="J1842" i="5"/>
  <c r="N1842" i="5" s="1"/>
  <c r="J1751" i="5"/>
  <c r="N1751" i="5" s="1"/>
  <c r="J1746" i="5"/>
  <c r="N1746" i="5" s="1"/>
  <c r="J1086" i="5"/>
  <c r="N1086" i="5" s="1"/>
  <c r="J844" i="5"/>
  <c r="N844" i="5" s="1"/>
  <c r="J843" i="5"/>
  <c r="N843" i="5" s="1"/>
  <c r="J1843" i="5"/>
  <c r="N1843" i="5" s="1"/>
  <c r="J1125" i="5"/>
  <c r="N1125" i="5" s="1"/>
  <c r="J829" i="5"/>
  <c r="N829" i="5" s="1"/>
  <c r="J828" i="5"/>
  <c r="N828" i="5" s="1"/>
  <c r="J1991" i="5"/>
  <c r="N1991" i="5" s="1"/>
  <c r="J2008" i="5"/>
  <c r="N2008" i="5" s="1"/>
  <c r="J1129" i="5"/>
  <c r="N1129" i="5" s="1"/>
  <c r="J1128" i="5"/>
  <c r="N1128" i="5" s="1"/>
  <c r="J1976" i="5"/>
  <c r="N1976" i="5" s="1"/>
  <c r="J71" i="5"/>
  <c r="N71" i="5" s="1"/>
  <c r="J51" i="5"/>
  <c r="N51" i="5" s="1"/>
  <c r="J53" i="5"/>
  <c r="N53" i="5" s="1"/>
  <c r="J45" i="5"/>
  <c r="N45" i="5" s="1"/>
  <c r="N47" i="5" s="1"/>
  <c r="J50" i="5"/>
  <c r="N50" i="5" s="1"/>
  <c r="J12" i="5"/>
  <c r="N12" i="5" s="1"/>
  <c r="J70" i="5"/>
  <c r="N70" i="5" s="1"/>
  <c r="J52" i="5"/>
  <c r="N52" i="5" s="1"/>
  <c r="J40" i="5"/>
  <c r="N40" i="5" s="1"/>
  <c r="J42" i="5"/>
  <c r="N42" i="5" s="1"/>
  <c r="J18" i="5"/>
  <c r="N18" i="5" s="1"/>
  <c r="J16" i="5"/>
  <c r="N16" i="5" s="1"/>
  <c r="J15" i="5"/>
  <c r="N15" i="5" s="1"/>
  <c r="J56" i="5"/>
  <c r="N56" i="5" s="1"/>
  <c r="J49" i="5"/>
  <c r="N49" i="5" s="1"/>
  <c r="J57" i="5"/>
  <c r="N57" i="5" s="1"/>
  <c r="J13" i="5"/>
  <c r="N13" i="5" s="1"/>
  <c r="J69" i="5"/>
  <c r="N69" i="5" s="1"/>
  <c r="J66" i="5"/>
  <c r="N66" i="5" s="1"/>
  <c r="J72" i="5"/>
  <c r="N72" i="5" s="1"/>
  <c r="J68" i="5"/>
  <c r="N68" i="5" s="1"/>
  <c r="J14" i="5"/>
  <c r="N14" i="5" s="1"/>
  <c r="N36" i="5" l="1"/>
  <c r="N602" i="5"/>
  <c r="N2063" i="5"/>
  <c r="N1324" i="5"/>
  <c r="N1053" i="5"/>
  <c r="N1376" i="5"/>
  <c r="N692" i="5"/>
  <c r="N1136" i="5"/>
  <c r="N1382" i="5"/>
  <c r="N911" i="5"/>
  <c r="N877" i="5"/>
  <c r="N1153" i="5"/>
  <c r="N1367" i="5"/>
  <c r="N228" i="5"/>
  <c r="N680" i="5"/>
  <c r="N1460" i="5"/>
  <c r="N596" i="5"/>
  <c r="N1284" i="5"/>
  <c r="N86" i="5"/>
  <c r="N1807" i="5"/>
  <c r="N330" i="5"/>
  <c r="N202" i="5"/>
  <c r="N1652" i="5"/>
  <c r="N1022" i="5"/>
  <c r="N893" i="5"/>
  <c r="N1718" i="5"/>
  <c r="N1222" i="5"/>
  <c r="N849" i="5"/>
  <c r="N403" i="5"/>
  <c r="N871" i="5"/>
  <c r="N1087" i="5"/>
  <c r="N818" i="5"/>
  <c r="N1982" i="5"/>
  <c r="N2097" i="5"/>
  <c r="N1753" i="5"/>
  <c r="N1706" i="5"/>
  <c r="N1730" i="5"/>
  <c r="N1870" i="5"/>
  <c r="N551" i="5"/>
  <c r="N650" i="5"/>
  <c r="N1130" i="5"/>
  <c r="N1552" i="5"/>
  <c r="N1471" i="5"/>
  <c r="N1582" i="5"/>
  <c r="N1612" i="5"/>
  <c r="N2013" i="5"/>
  <c r="N1847" i="5"/>
  <c r="N629" i="5"/>
  <c r="N635" i="5"/>
  <c r="N1700" i="5"/>
  <c r="N834" i="5"/>
  <c r="N858" i="5"/>
  <c r="N937" i="5"/>
  <c r="N754" i="5"/>
  <c r="N1036" i="5"/>
  <c r="N1340" i="5"/>
  <c r="N1915" i="5"/>
  <c r="N1997" i="5"/>
  <c r="N1488" i="5"/>
  <c r="N2028" i="5"/>
  <c r="N483" i="5"/>
  <c r="N1829" i="5"/>
  <c r="N234" i="5"/>
  <c r="N1896" i="5"/>
  <c r="N609" i="5"/>
  <c r="N576" i="5"/>
  <c r="N740" i="5"/>
  <c r="N130" i="5"/>
  <c r="N246" i="5"/>
  <c r="N686" i="5"/>
  <c r="N1093" i="5"/>
  <c r="N1363" i="5"/>
  <c r="N1794" i="5"/>
  <c r="N1307" i="5"/>
  <c r="N1575" i="5"/>
  <c r="N1633" i="5"/>
  <c r="N1511" i="5"/>
  <c r="N1618" i="5"/>
  <c r="N864" i="5"/>
  <c r="N445" i="5"/>
  <c r="N1399" i="5"/>
  <c r="N1435" i="5"/>
  <c r="N769" i="5"/>
  <c r="N1176" i="5"/>
  <c r="N1028" i="5"/>
  <c r="N1059" i="5"/>
  <c r="N1066" i="5"/>
  <c r="N1825" i="5"/>
  <c r="N1042" i="5"/>
  <c r="N2123" i="5"/>
  <c r="N1953" i="5"/>
  <c r="N1966" i="5"/>
  <c r="N2057" i="5"/>
  <c r="N1874" i="5"/>
  <c r="N560" i="5"/>
  <c r="N208" i="5"/>
  <c r="N177" i="5"/>
  <c r="N726" i="5"/>
  <c r="N588" i="5"/>
  <c r="N99" i="5"/>
  <c r="N1494" i="5"/>
  <c r="N1424" i="5"/>
  <c r="N1568" i="5"/>
  <c r="N1590" i="5"/>
  <c r="N1540" i="5"/>
  <c r="N1629" i="5"/>
  <c r="N1675" i="5"/>
  <c r="N1759" i="5"/>
  <c r="N1892" i="5"/>
  <c r="N2079" i="5"/>
  <c r="N1837" i="5"/>
  <c r="N704" i="5"/>
  <c r="N1199" i="5"/>
  <c r="N1765" i="5"/>
  <c r="N539" i="5"/>
  <c r="N1515" i="5"/>
  <c r="N1072" i="5"/>
  <c r="N1403" i="5"/>
  <c r="N1439" i="5"/>
  <c r="N2044" i="5"/>
  <c r="N457" i="5"/>
  <c r="N215" i="5"/>
  <c r="N269" i="5"/>
  <c r="N615" i="5"/>
  <c r="N171" i="5"/>
  <c r="N621" i="5"/>
  <c r="N1301" i="5"/>
  <c r="N1328" i="5"/>
  <c r="N1388" i="5"/>
  <c r="N668" i="5"/>
  <c r="N1245" i="5"/>
  <c r="N1560" i="5"/>
  <c r="N43" i="5"/>
  <c r="N54" i="5"/>
  <c r="N58" i="5"/>
  <c r="N19" i="5"/>
  <c r="F30" i="3" l="1"/>
  <c r="H30" i="3" s="1"/>
  <c r="F20" i="3" l="1"/>
  <c r="H20" i="3" s="1"/>
  <c r="F61" i="3" l="1"/>
  <c r="H61" i="3" s="1"/>
  <c r="H189" i="3" s="1"/>
  <c r="H190" i="3" s="1"/>
  <c r="H191"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Jorge Arturo Espinoza</author>
    <author>Jean Inga</author>
  </authors>
  <commentList>
    <comment ref="D5" authorId="0" shapeId="0" xr:uid="{00000000-0006-0000-0000-000001000000}">
      <text>
        <r>
          <rPr>
            <b/>
            <sz val="9"/>
            <color indexed="81"/>
            <rFont val="Tahoma"/>
            <family val="2"/>
          </rPr>
          <t>Jorge Arturo Espinoza:</t>
        </r>
        <r>
          <rPr>
            <sz val="9"/>
            <color indexed="81"/>
            <rFont val="Tahoma"/>
            <family val="2"/>
          </rPr>
          <t xml:space="preserve">
el mayor</t>
        </r>
      </text>
    </comment>
    <comment ref="B19" authorId="0" shapeId="0" xr:uid="{00000000-0006-0000-0000-000002000000}">
      <text>
        <r>
          <rPr>
            <b/>
            <sz val="9"/>
            <color indexed="81"/>
            <rFont val="Tahoma"/>
            <family val="2"/>
          </rPr>
          <t>Jorge Arturo Espinoza:</t>
        </r>
        <r>
          <rPr>
            <sz val="9"/>
            <color indexed="81"/>
            <rFont val="Tahoma"/>
            <family val="2"/>
          </rPr>
          <t xml:space="preserve">
para el transformador</t>
        </r>
      </text>
    </comment>
    <comment ref="B20" authorId="0" shapeId="0" xr:uid="{00000000-0006-0000-0000-000003000000}">
      <text>
        <r>
          <rPr>
            <b/>
            <sz val="9"/>
            <color indexed="81"/>
            <rFont val="Tahoma"/>
            <family val="2"/>
          </rPr>
          <t>Jorge Arturo Espinoza:</t>
        </r>
        <r>
          <rPr>
            <sz val="9"/>
            <color indexed="81"/>
            <rFont val="Tahoma"/>
            <family val="2"/>
          </rPr>
          <t xml:space="preserve">
L1</t>
        </r>
      </text>
    </comment>
    <comment ref="B21" authorId="0" shapeId="0" xr:uid="{00000000-0006-0000-0000-000004000000}">
      <text>
        <r>
          <rPr>
            <b/>
            <sz val="9"/>
            <color indexed="81"/>
            <rFont val="Tahoma"/>
            <family val="2"/>
          </rPr>
          <t>Jorge Arturo Espinoza:</t>
        </r>
        <r>
          <rPr>
            <sz val="9"/>
            <color indexed="81"/>
            <rFont val="Tahoma"/>
            <family val="2"/>
          </rPr>
          <t xml:space="preserve">
L2/N</t>
        </r>
      </text>
    </comment>
    <comment ref="C34" authorId="1" shapeId="0" xr:uid="{00000000-0006-0000-0000-000005000000}">
      <text>
        <r>
          <rPr>
            <b/>
            <sz val="9"/>
            <color indexed="81"/>
            <rFont val="Tahoma"/>
            <family val="2"/>
          </rPr>
          <t>Jean Inga:</t>
        </r>
        <r>
          <rPr>
            <sz val="9"/>
            <color indexed="81"/>
            <rFont val="Tahoma"/>
            <family val="2"/>
          </rPr>
          <t xml:space="preserve">
va trabajar en 500A SE CONSIDERA  ELECTRONICO Ya que la especificacion tecnica solicita.
</t>
        </r>
      </text>
    </comment>
    <comment ref="C112" authorId="1" shapeId="0" xr:uid="{00000000-0006-0000-0000-000006000000}">
      <text>
        <r>
          <rPr>
            <b/>
            <sz val="9"/>
            <color indexed="81"/>
            <rFont val="Tahoma"/>
            <family val="2"/>
          </rPr>
          <t>Jean Inga:</t>
        </r>
        <r>
          <rPr>
            <sz val="9"/>
            <color indexed="81"/>
            <rFont val="Tahoma"/>
            <family val="2"/>
          </rPr>
          <t xml:space="preserve">
se considera electronico ya que la EETT  y se considera de 630A ya que de 500A No hay en electronico
</t>
        </r>
      </text>
    </comment>
    <comment ref="C114" authorId="1" shapeId="0" xr:uid="{00000000-0006-0000-0000-000007000000}">
      <text>
        <r>
          <rPr>
            <b/>
            <sz val="9"/>
            <color indexed="81"/>
            <rFont val="Tahoma"/>
            <family val="2"/>
          </rPr>
          <t>Jean Inga:</t>
        </r>
        <r>
          <rPr>
            <sz val="9"/>
            <color indexed="81"/>
            <rFont val="Tahoma"/>
            <family val="2"/>
          </rPr>
          <t xml:space="preserve">
se considera con otm ya que  asi  reduce la prefundidad del tablero adosado que se va a considerar a solicittud del cliente
</t>
        </r>
      </text>
    </comment>
    <comment ref="B122" authorId="0" shapeId="0" xr:uid="{00000000-0006-0000-0000-000008000000}">
      <text>
        <r>
          <rPr>
            <b/>
            <sz val="9"/>
            <color indexed="81"/>
            <rFont val="Tahoma"/>
            <family val="2"/>
          </rPr>
          <t>Jorge Arturo Espinoza:</t>
        </r>
        <r>
          <rPr>
            <sz val="9"/>
            <color indexed="81"/>
            <rFont val="Tahoma"/>
            <family val="2"/>
          </rPr>
          <t xml:space="preserve">
4, SI ES POR ENCLAVAMIENTO MECANICO</t>
        </r>
      </text>
    </comment>
    <comment ref="C128" authorId="1" shapeId="0" xr:uid="{00000000-0006-0000-0000-000009000000}">
      <text>
        <r>
          <rPr>
            <b/>
            <sz val="9"/>
            <color indexed="81"/>
            <rFont val="Tahoma"/>
            <family val="2"/>
          </rPr>
          <t>Jean Inga:</t>
        </r>
        <r>
          <rPr>
            <sz val="9"/>
            <color indexed="81"/>
            <rFont val="Tahoma"/>
            <family val="2"/>
          </rPr>
          <t xml:space="preserve">
va trabajar en 320A SE CONSIDERA  ELECTRONICO Ya que la especificacion tecnica solicita.
</t>
        </r>
      </text>
    </comment>
    <comment ref="C148" authorId="1" shapeId="0" xr:uid="{00000000-0006-0000-0000-00000A000000}">
      <text>
        <r>
          <rPr>
            <b/>
            <sz val="9"/>
            <color indexed="81"/>
            <rFont val="Tahoma"/>
            <family val="2"/>
          </rPr>
          <t>Jean Inga:</t>
        </r>
        <r>
          <rPr>
            <sz val="9"/>
            <color indexed="81"/>
            <rFont val="Tahoma"/>
            <family val="2"/>
          </rPr>
          <t xml:space="preserve">
se cambio de auto a adosado se consulto con el ing claudio taype 23-01-20</t>
        </r>
      </text>
    </comment>
    <comment ref="C153" authorId="1" shapeId="0" xr:uid="{00000000-0006-0000-0000-00000B000000}">
      <text>
        <r>
          <rPr>
            <b/>
            <sz val="9"/>
            <color indexed="81"/>
            <rFont val="Tahoma"/>
            <family val="2"/>
          </rPr>
          <t>Jean Inga:</t>
        </r>
        <r>
          <rPr>
            <sz val="9"/>
            <color indexed="81"/>
            <rFont val="Tahoma"/>
            <family val="2"/>
          </rPr>
          <t xml:space="preserve">
va trabajar en 320A SE CONSIDERA  ELECTRONICO Ya que la especificacion tecnica solicita.
</t>
        </r>
      </text>
    </comment>
    <comment ref="B157" authorId="0" shapeId="0" xr:uid="{00000000-0006-0000-0000-00000C000000}">
      <text>
        <r>
          <rPr>
            <b/>
            <sz val="9"/>
            <color indexed="81"/>
            <rFont val="Tahoma"/>
            <family val="2"/>
          </rPr>
          <t>Jorge Arturo Espinoza:</t>
        </r>
        <r>
          <rPr>
            <sz val="9"/>
            <color indexed="81"/>
            <rFont val="Tahoma"/>
            <family val="2"/>
          </rPr>
          <t xml:space="preserve">
para el transformador</t>
        </r>
      </text>
    </comment>
    <comment ref="B158" authorId="0" shapeId="0" xr:uid="{00000000-0006-0000-0000-00000D000000}">
      <text>
        <r>
          <rPr>
            <b/>
            <sz val="9"/>
            <color indexed="81"/>
            <rFont val="Tahoma"/>
            <family val="2"/>
          </rPr>
          <t>Jorge Arturo Espinoza:</t>
        </r>
        <r>
          <rPr>
            <sz val="9"/>
            <color indexed="81"/>
            <rFont val="Tahoma"/>
            <family val="2"/>
          </rPr>
          <t xml:space="preserve">
L1</t>
        </r>
      </text>
    </comment>
    <comment ref="B159" authorId="0" shapeId="0" xr:uid="{00000000-0006-0000-0000-00000E000000}">
      <text>
        <r>
          <rPr>
            <b/>
            <sz val="9"/>
            <color indexed="81"/>
            <rFont val="Tahoma"/>
            <family val="2"/>
          </rPr>
          <t>Jorge Arturo Espinoza:</t>
        </r>
        <r>
          <rPr>
            <sz val="9"/>
            <color indexed="81"/>
            <rFont val="Tahoma"/>
            <family val="2"/>
          </rPr>
          <t xml:space="preserve">
L2/N</t>
        </r>
      </text>
    </comment>
    <comment ref="C172" authorId="1" shapeId="0" xr:uid="{00000000-0006-0000-0000-00000F000000}">
      <text>
        <r>
          <rPr>
            <b/>
            <sz val="9"/>
            <color indexed="81"/>
            <rFont val="Tahoma"/>
            <family val="2"/>
          </rPr>
          <t>Jean Inga:</t>
        </r>
        <r>
          <rPr>
            <sz val="9"/>
            <color indexed="81"/>
            <rFont val="Tahoma"/>
            <family val="2"/>
          </rPr>
          <t xml:space="preserve">
se considera juego de terminales de acuerdo al calibre del conductor que se ve en el diagrama
</t>
        </r>
      </text>
    </comment>
    <comment ref="C173" authorId="1" shapeId="0" xr:uid="{00000000-0006-0000-0000-000010000000}">
      <text>
        <r>
          <rPr>
            <b/>
            <sz val="9"/>
            <color indexed="81"/>
            <rFont val="Tahoma"/>
            <family val="2"/>
          </rPr>
          <t>Jean Inga:</t>
        </r>
        <r>
          <rPr>
            <sz val="9"/>
            <color indexed="81"/>
            <rFont val="Tahoma"/>
            <family val="2"/>
          </rPr>
          <t xml:space="preserve">
se considera juego de terminales de acuerdo al calibre del conductor que se ve en el diagrama
</t>
        </r>
      </text>
    </comment>
    <comment ref="C208" authorId="1" shapeId="0" xr:uid="{00000000-0006-0000-0000-000011000000}">
      <text>
        <r>
          <rPr>
            <b/>
            <sz val="9"/>
            <color indexed="81"/>
            <rFont val="Tahoma"/>
            <family val="2"/>
          </rPr>
          <t>Jean Inga:</t>
        </r>
        <r>
          <rPr>
            <sz val="9"/>
            <color indexed="81"/>
            <rFont val="Tahoma"/>
            <family val="2"/>
          </rPr>
          <t xml:space="preserve">
se cambio de auto a adosado se consulto con el ing claudio taype 23-01-20</t>
        </r>
      </text>
    </comment>
    <comment ref="C254" authorId="1" shapeId="0" xr:uid="{00000000-0006-0000-0000-000012000000}">
      <text>
        <r>
          <rPr>
            <b/>
            <sz val="9"/>
            <color indexed="81"/>
            <rFont val="Tahoma"/>
            <family val="2"/>
          </rPr>
          <t>Jean Inga:</t>
        </r>
        <r>
          <rPr>
            <sz val="9"/>
            <color indexed="81"/>
            <rFont val="Tahoma"/>
            <family val="2"/>
          </rPr>
          <t xml:space="preserve">
se considera con otm ya que  asi  reduce la prefundidad del tablero adosado que se va a considerar a solicittud del cliente
</t>
        </r>
      </text>
    </comment>
    <comment ref="C256" authorId="1" shapeId="0" xr:uid="{00000000-0006-0000-0000-000013000000}">
      <text>
        <r>
          <rPr>
            <b/>
            <sz val="9"/>
            <color indexed="81"/>
            <rFont val="Tahoma"/>
            <family val="2"/>
          </rPr>
          <t>Jean Inga:</t>
        </r>
        <r>
          <rPr>
            <sz val="9"/>
            <color indexed="81"/>
            <rFont val="Tahoma"/>
            <family val="2"/>
          </rPr>
          <t xml:space="preserve">
se considera con otm ya que  asi  reduce la prefundidad del tablero adosado que se va a considerar a solicittud del cliente
</t>
        </r>
      </text>
    </comment>
    <comment ref="B264" authorId="0" shapeId="0" xr:uid="{00000000-0006-0000-0000-000014000000}">
      <text>
        <r>
          <rPr>
            <b/>
            <sz val="9"/>
            <color indexed="81"/>
            <rFont val="Tahoma"/>
            <family val="2"/>
          </rPr>
          <t>Jorge Arturo Espinoza:</t>
        </r>
        <r>
          <rPr>
            <sz val="9"/>
            <color indexed="81"/>
            <rFont val="Tahoma"/>
            <family val="2"/>
          </rPr>
          <t xml:space="preserve">
4, SI ES POR ENCLAVAMIENTO MECANICO</t>
        </r>
      </text>
    </comment>
    <comment ref="C541" authorId="1" shapeId="0" xr:uid="{00000000-0006-0000-0000-000015000000}">
      <text>
        <r>
          <rPr>
            <b/>
            <sz val="9"/>
            <color indexed="81"/>
            <rFont val="Tahoma"/>
            <family val="2"/>
          </rPr>
          <t>Jean Inga:</t>
        </r>
        <r>
          <rPr>
            <sz val="9"/>
            <color indexed="81"/>
            <rFont val="Tahoma"/>
            <family val="2"/>
          </rPr>
          <t xml:space="preserve">
SE CONSIDERA EN AC3 YA QUE ALIMENTA A UN EXTRACTO DE SSHH</t>
        </r>
      </text>
    </comment>
    <comment ref="C568" authorId="1" shapeId="0" xr:uid="{00000000-0006-0000-0000-000016000000}">
      <text>
        <r>
          <rPr>
            <b/>
            <sz val="9"/>
            <color indexed="81"/>
            <rFont val="Tahoma"/>
            <family val="2"/>
          </rPr>
          <t>Jean Inga:</t>
        </r>
        <r>
          <rPr>
            <sz val="9"/>
            <color indexed="81"/>
            <rFont val="Tahoma"/>
            <family val="2"/>
          </rPr>
          <t xml:space="preserve">
SE CONSIDERA EN AC3 YA QUE ALIMENTA A UN EXTRACTO DE SSHH</t>
        </r>
      </text>
    </comment>
    <comment ref="C817" authorId="1" shapeId="0" xr:uid="{00000000-0006-0000-0000-000017000000}">
      <text>
        <r>
          <rPr>
            <b/>
            <sz val="9"/>
            <color indexed="81"/>
            <rFont val="Tahoma"/>
            <family val="2"/>
          </rPr>
          <t>Jean Inga:</t>
        </r>
        <r>
          <rPr>
            <sz val="9"/>
            <color indexed="81"/>
            <rFont val="Tahoma"/>
            <family val="2"/>
          </rPr>
          <t xml:space="preserve">
se considera extension de barra ya que los modelos BZM2 No cuentan con terminales.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Jorge Arturo Espinoza</author>
    <author>Paulo Olano</author>
    <author>Roberto Meza</author>
    <author>Jean Inga</author>
    <author>Dario Martinez</author>
    <author>Rosalyn Rincon</author>
  </authors>
  <commentList>
    <comment ref="B7" authorId="0" shapeId="0" xr:uid="{00000000-0006-0000-0100-000001000000}">
      <text>
        <r>
          <rPr>
            <b/>
            <sz val="9"/>
            <color indexed="81"/>
            <rFont val="Tahoma"/>
            <family val="2"/>
          </rPr>
          <t>Jorge Arturo Espinoza:</t>
        </r>
        <r>
          <rPr>
            <sz val="9"/>
            <color indexed="81"/>
            <rFont val="Tahoma"/>
            <family val="2"/>
          </rPr>
          <t xml:space="preserve">
BREAKERS AND SWITCHES + ENCLOSURES</t>
        </r>
      </text>
    </comment>
    <comment ref="B8" authorId="0" shapeId="0" xr:uid="{00000000-0006-0000-0100-000002000000}">
      <text>
        <r>
          <rPr>
            <b/>
            <sz val="9"/>
            <color indexed="81"/>
            <rFont val="Tahoma"/>
            <family val="2"/>
          </rPr>
          <t>Jorge Arturo Espinoza:</t>
        </r>
        <r>
          <rPr>
            <sz val="9"/>
            <color indexed="81"/>
            <rFont val="Tahoma"/>
            <family val="2"/>
          </rPr>
          <t xml:space="preserve">
BUILDING PRODUCTS</t>
        </r>
      </text>
    </comment>
    <comment ref="B10" authorId="1" shapeId="0" xr:uid="{00000000-0006-0000-0100-000003000000}">
      <text>
        <r>
          <rPr>
            <b/>
            <sz val="9"/>
            <color indexed="81"/>
            <rFont val="Tahoma"/>
            <family val="2"/>
          </rPr>
          <t>Paulo Olano:</t>
        </r>
        <r>
          <rPr>
            <sz val="9"/>
            <color indexed="81"/>
            <rFont val="Tahoma"/>
            <family val="2"/>
          </rPr>
          <t xml:space="preserve">
SIEMENS</t>
        </r>
      </text>
    </comment>
    <comment ref="B11" authorId="1" shapeId="0" xr:uid="{00000000-0006-0000-0100-000004000000}">
      <text>
        <r>
          <rPr>
            <b/>
            <sz val="9"/>
            <color indexed="81"/>
            <rFont val="Tahoma"/>
            <family val="2"/>
          </rPr>
          <t>Paulo Olano:</t>
        </r>
        <r>
          <rPr>
            <sz val="9"/>
            <color indexed="81"/>
            <rFont val="Tahoma"/>
            <family val="2"/>
          </rPr>
          <t xml:space="preserve">
LEGRAND</t>
        </r>
      </text>
    </comment>
    <comment ref="C17" authorId="0" shapeId="0" xr:uid="{00000000-0006-0000-0100-000005000000}">
      <text>
        <r>
          <rPr>
            <b/>
            <sz val="9"/>
            <color indexed="81"/>
            <rFont val="Tahoma"/>
            <family val="2"/>
          </rPr>
          <t>Jorge Arturo Espinoza:</t>
        </r>
        <r>
          <rPr>
            <sz val="9"/>
            <color indexed="81"/>
            <rFont val="Tahoma"/>
            <family val="2"/>
          </rPr>
          <t xml:space="preserve">
el menor</t>
        </r>
      </text>
    </comment>
    <comment ref="C111" authorId="0" shapeId="0" xr:uid="{00000000-0006-0000-0100-000006000000}">
      <text>
        <r>
          <rPr>
            <b/>
            <sz val="9"/>
            <color indexed="81"/>
            <rFont val="Tahoma"/>
            <family val="2"/>
          </rPr>
          <t>Jorge Arturo Espinoza:</t>
        </r>
        <r>
          <rPr>
            <sz val="9"/>
            <color indexed="81"/>
            <rFont val="Tahoma"/>
            <family val="2"/>
          </rPr>
          <t xml:space="preserve">
ASUMIDO.
CONSULTAR A ABB.</t>
        </r>
      </text>
    </comment>
    <comment ref="H111" authorId="0" shapeId="0" xr:uid="{00000000-0006-0000-0100-000007000000}">
      <text>
        <r>
          <rPr>
            <b/>
            <sz val="9"/>
            <color indexed="81"/>
            <rFont val="Tahoma"/>
            <family val="2"/>
          </rPr>
          <t>Jorge Arturo Espinoza:</t>
        </r>
        <r>
          <rPr>
            <sz val="9"/>
            <color indexed="81"/>
            <rFont val="Tahoma"/>
            <family val="2"/>
          </rPr>
          <t xml:space="preserve">
no viene de Argentina</t>
        </r>
      </text>
    </comment>
    <comment ref="C151" authorId="0" shapeId="0" xr:uid="{00000000-0006-0000-0100-000008000000}">
      <text>
        <r>
          <rPr>
            <b/>
            <sz val="9"/>
            <color indexed="81"/>
            <rFont val="Tahoma"/>
            <family val="2"/>
          </rPr>
          <t>Jorge Arturo Espinoza:</t>
        </r>
        <r>
          <rPr>
            <sz val="9"/>
            <color indexed="81"/>
            <rFont val="Tahoma"/>
            <family val="2"/>
          </rPr>
          <t xml:space="preserve">
ASUMIDO.
CONSULTAR A ABB.</t>
        </r>
      </text>
    </comment>
    <comment ref="C152" authorId="0" shapeId="0" xr:uid="{00000000-0006-0000-0100-000009000000}">
      <text>
        <r>
          <rPr>
            <b/>
            <sz val="9"/>
            <color indexed="81"/>
            <rFont val="Tahoma"/>
            <family val="2"/>
          </rPr>
          <t>Jorge Arturo Espinoza:</t>
        </r>
        <r>
          <rPr>
            <sz val="9"/>
            <color indexed="81"/>
            <rFont val="Tahoma"/>
            <family val="2"/>
          </rPr>
          <t xml:space="preserve">
ASUMIDO.
CONSULTAR A ABB.</t>
        </r>
      </text>
    </comment>
    <comment ref="C153" authorId="0" shapeId="0" xr:uid="{00000000-0006-0000-0100-00000A000000}">
      <text>
        <r>
          <rPr>
            <b/>
            <sz val="9"/>
            <color indexed="81"/>
            <rFont val="Tahoma"/>
            <family val="2"/>
          </rPr>
          <t>Jorge Arturo Espinoza:</t>
        </r>
        <r>
          <rPr>
            <sz val="9"/>
            <color indexed="81"/>
            <rFont val="Tahoma"/>
            <family val="2"/>
          </rPr>
          <t xml:space="preserve">
ASUMIDO.
CONSULTAR A ABB.</t>
        </r>
      </text>
    </comment>
    <comment ref="C154" authorId="0" shapeId="0" xr:uid="{00000000-0006-0000-0100-00000B000000}">
      <text>
        <r>
          <rPr>
            <b/>
            <sz val="9"/>
            <color indexed="81"/>
            <rFont val="Tahoma"/>
            <family val="2"/>
          </rPr>
          <t>Jorge Arturo Espinoza:</t>
        </r>
        <r>
          <rPr>
            <sz val="9"/>
            <color indexed="81"/>
            <rFont val="Tahoma"/>
            <family val="2"/>
          </rPr>
          <t xml:space="preserve">
ASUMIDO.
CONSULTAR A ABB.</t>
        </r>
      </text>
    </comment>
    <comment ref="C155" authorId="0" shapeId="0" xr:uid="{00000000-0006-0000-0100-00000C000000}">
      <text>
        <r>
          <rPr>
            <b/>
            <sz val="9"/>
            <color indexed="81"/>
            <rFont val="Tahoma"/>
            <family val="2"/>
          </rPr>
          <t>Jorge Arturo Espinoza:</t>
        </r>
        <r>
          <rPr>
            <sz val="9"/>
            <color indexed="81"/>
            <rFont val="Tahoma"/>
            <family val="2"/>
          </rPr>
          <t xml:space="preserve">
ASUMIDO.
CONSULTAR A ABB.</t>
        </r>
      </text>
    </comment>
    <comment ref="C156" authorId="0" shapeId="0" xr:uid="{00000000-0006-0000-0100-00000D000000}">
      <text>
        <r>
          <rPr>
            <b/>
            <sz val="9"/>
            <color indexed="81"/>
            <rFont val="Tahoma"/>
            <family val="2"/>
          </rPr>
          <t>Jorge Arturo Espinoza:</t>
        </r>
        <r>
          <rPr>
            <sz val="9"/>
            <color indexed="81"/>
            <rFont val="Tahoma"/>
            <family val="2"/>
          </rPr>
          <t xml:space="preserve">
ASUMIDO.
CONSULTAR A ABB</t>
        </r>
      </text>
    </comment>
    <comment ref="C157" authorId="0" shapeId="0" xr:uid="{00000000-0006-0000-0100-00000E000000}">
      <text>
        <r>
          <rPr>
            <b/>
            <sz val="9"/>
            <color indexed="81"/>
            <rFont val="Tahoma"/>
            <family val="2"/>
          </rPr>
          <t>Jorge Arturo Espinoza:</t>
        </r>
        <r>
          <rPr>
            <sz val="9"/>
            <color indexed="81"/>
            <rFont val="Tahoma"/>
            <family val="2"/>
          </rPr>
          <t xml:space="preserve">
ASUMIDO.
CONSULTAR A ABB</t>
        </r>
      </text>
    </comment>
    <comment ref="C158" authorId="0" shapeId="0" xr:uid="{00000000-0006-0000-0100-00000F000000}">
      <text>
        <r>
          <rPr>
            <b/>
            <sz val="9"/>
            <color indexed="81"/>
            <rFont val="Tahoma"/>
            <family val="2"/>
          </rPr>
          <t>Jorge Arturo Espinoza:</t>
        </r>
        <r>
          <rPr>
            <sz val="9"/>
            <color indexed="81"/>
            <rFont val="Tahoma"/>
            <family val="2"/>
          </rPr>
          <t xml:space="preserve">
ASUMIDO.
CONSULTAR A ABB</t>
        </r>
      </text>
    </comment>
    <comment ref="C191" authorId="0" shapeId="0" xr:uid="{00000000-0006-0000-0100-000010000000}">
      <text>
        <r>
          <rPr>
            <b/>
            <sz val="9"/>
            <color indexed="81"/>
            <rFont val="Tahoma"/>
            <family val="2"/>
          </rPr>
          <t>Jorge Arturo Espinoza:</t>
        </r>
        <r>
          <rPr>
            <sz val="9"/>
            <color indexed="81"/>
            <rFont val="Tahoma"/>
            <family val="2"/>
          </rPr>
          <t xml:space="preserve">
ASUMIDO.
CONSULTAR A ABB</t>
        </r>
      </text>
    </comment>
    <comment ref="C192" authorId="0" shapeId="0" xr:uid="{00000000-0006-0000-0100-000011000000}">
      <text>
        <r>
          <rPr>
            <b/>
            <sz val="9"/>
            <color indexed="81"/>
            <rFont val="Tahoma"/>
            <family val="2"/>
          </rPr>
          <t>Jorge Arturo Espinoza:</t>
        </r>
        <r>
          <rPr>
            <sz val="9"/>
            <color indexed="81"/>
            <rFont val="Tahoma"/>
            <family val="2"/>
          </rPr>
          <t xml:space="preserve">
ASUMIDO.
CONSULTAR A ABB</t>
        </r>
      </text>
    </comment>
    <comment ref="C193" authorId="0" shapeId="0" xr:uid="{00000000-0006-0000-0100-000012000000}">
      <text>
        <r>
          <rPr>
            <b/>
            <sz val="9"/>
            <color indexed="81"/>
            <rFont val="Tahoma"/>
            <family val="2"/>
          </rPr>
          <t>Jorge Arturo Espinoza:</t>
        </r>
        <r>
          <rPr>
            <sz val="9"/>
            <color indexed="81"/>
            <rFont val="Tahoma"/>
            <family val="2"/>
          </rPr>
          <t xml:space="preserve">
ASUMIDO.
CONSULTAR A ABB</t>
        </r>
      </text>
    </comment>
    <comment ref="C194" authorId="0" shapeId="0" xr:uid="{00000000-0006-0000-0100-000013000000}">
      <text>
        <r>
          <rPr>
            <b/>
            <sz val="9"/>
            <color indexed="81"/>
            <rFont val="Tahoma"/>
            <family val="2"/>
          </rPr>
          <t>Jorge Arturo Espinoza:</t>
        </r>
        <r>
          <rPr>
            <sz val="9"/>
            <color indexed="81"/>
            <rFont val="Tahoma"/>
            <family val="2"/>
          </rPr>
          <t xml:space="preserve">
ASUMIDO.
CONSULTAR A ABB</t>
        </r>
      </text>
    </comment>
    <comment ref="C195" authorId="0" shapeId="0" xr:uid="{00000000-0006-0000-0100-000014000000}">
      <text>
        <r>
          <rPr>
            <b/>
            <sz val="9"/>
            <color indexed="81"/>
            <rFont val="Tahoma"/>
            <family val="2"/>
          </rPr>
          <t>Jorge Arturo Espinoza:</t>
        </r>
        <r>
          <rPr>
            <sz val="9"/>
            <color indexed="81"/>
            <rFont val="Tahoma"/>
            <family val="2"/>
          </rPr>
          <t xml:space="preserve">
ASUMIDO.
CONSULTAR A ABB</t>
        </r>
      </text>
    </comment>
    <comment ref="C196" authorId="0" shapeId="0" xr:uid="{00000000-0006-0000-0100-000015000000}">
      <text>
        <r>
          <rPr>
            <b/>
            <sz val="9"/>
            <color indexed="81"/>
            <rFont val="Tahoma"/>
            <family val="2"/>
          </rPr>
          <t>Jorge Arturo Espinoza:</t>
        </r>
        <r>
          <rPr>
            <sz val="9"/>
            <color indexed="81"/>
            <rFont val="Tahoma"/>
            <family val="2"/>
          </rPr>
          <t xml:space="preserve">
ASUMIDO.
CONSULTAR A ABB</t>
        </r>
      </text>
    </comment>
    <comment ref="C197" authorId="0" shapeId="0" xr:uid="{00000000-0006-0000-0100-000016000000}">
      <text>
        <r>
          <rPr>
            <b/>
            <sz val="9"/>
            <color indexed="81"/>
            <rFont val="Tahoma"/>
            <family val="2"/>
          </rPr>
          <t>Jorge Arturo Espinoza:</t>
        </r>
        <r>
          <rPr>
            <sz val="9"/>
            <color indexed="81"/>
            <rFont val="Tahoma"/>
            <family val="2"/>
          </rPr>
          <t xml:space="preserve">
ASUMIDO.
CONSULTAR A ABB</t>
        </r>
      </text>
    </comment>
    <comment ref="C363" authorId="0" shapeId="0" xr:uid="{00000000-0006-0000-0100-000017000000}">
      <text>
        <r>
          <rPr>
            <b/>
            <sz val="9"/>
            <color indexed="81"/>
            <rFont val="Tahoma"/>
            <family val="2"/>
          </rPr>
          <t>Jorge Arturo Espinoza:</t>
        </r>
        <r>
          <rPr>
            <sz val="9"/>
            <color indexed="81"/>
            <rFont val="Tahoma"/>
            <family val="2"/>
          </rPr>
          <t xml:space="preserve">
ES EXTRAÑO, CONSULTAR A ABB</t>
        </r>
      </text>
    </comment>
    <comment ref="C403" authorId="0" shapeId="0" xr:uid="{00000000-0006-0000-0100-000018000000}">
      <text>
        <r>
          <rPr>
            <b/>
            <sz val="9"/>
            <color indexed="81"/>
            <rFont val="Tahoma"/>
            <family val="2"/>
          </rPr>
          <t>Jorge Arturo Espinoza:</t>
        </r>
        <r>
          <rPr>
            <sz val="9"/>
            <color indexed="81"/>
            <rFont val="Tahoma"/>
            <family val="2"/>
          </rPr>
          <t xml:space="preserve">
ES EXTRAÑO, CONSULTAR A ABB</t>
        </r>
      </text>
    </comment>
    <comment ref="C439" authorId="0" shapeId="0" xr:uid="{00000000-0006-0000-0100-000019000000}">
      <text>
        <r>
          <rPr>
            <b/>
            <sz val="9"/>
            <color indexed="81"/>
            <rFont val="Tahoma"/>
            <family val="2"/>
          </rPr>
          <t>Jorge Arturo Espinoza:</t>
        </r>
        <r>
          <rPr>
            <sz val="9"/>
            <color indexed="81"/>
            <rFont val="Tahoma"/>
            <family val="2"/>
          </rPr>
          <t xml:space="preserve">
ES EXTRAÑO, CONSULTAR A ABB</t>
        </r>
      </text>
    </comment>
    <comment ref="G505" authorId="0" shapeId="0" xr:uid="{00000000-0006-0000-0100-00001A000000}">
      <text>
        <r>
          <rPr>
            <b/>
            <sz val="9"/>
            <color indexed="81"/>
            <rFont val="Tahoma"/>
            <family val="2"/>
          </rPr>
          <t>Jorge Arturo Espinoza:</t>
        </r>
        <r>
          <rPr>
            <sz val="9"/>
            <color indexed="81"/>
            <rFont val="Tahoma"/>
            <family val="2"/>
          </rPr>
          <t xml:space="preserve">
Un=255V y Uc=255V tambien?</t>
        </r>
      </text>
    </comment>
    <comment ref="B511" authorId="0" shapeId="0" xr:uid="{00000000-0006-0000-0100-00001B000000}">
      <text>
        <r>
          <rPr>
            <b/>
            <sz val="9"/>
            <color indexed="81"/>
            <rFont val="Tahoma"/>
            <family val="2"/>
          </rPr>
          <t>Jorge Arturo Espinoza:</t>
        </r>
        <r>
          <rPr>
            <sz val="9"/>
            <color indexed="81"/>
            <rFont val="Tahoma"/>
            <family val="2"/>
          </rPr>
          <t xml:space="preserve">
STOCK ??</t>
        </r>
      </text>
    </comment>
    <comment ref="G511" authorId="0" shapeId="0" xr:uid="{00000000-0006-0000-0100-00001C000000}">
      <text>
        <r>
          <rPr>
            <b/>
            <sz val="9"/>
            <color indexed="81"/>
            <rFont val="Tahoma"/>
            <family val="2"/>
          </rPr>
          <t>Jorge Arturo Espinoza:</t>
        </r>
        <r>
          <rPr>
            <sz val="9"/>
            <color indexed="81"/>
            <rFont val="Tahoma"/>
            <family val="2"/>
          </rPr>
          <t xml:space="preserve">
IT ? o TT ?? Verificar</t>
        </r>
      </text>
    </comment>
    <comment ref="B513" authorId="0" shapeId="0" xr:uid="{00000000-0006-0000-0100-00001D000000}">
      <text>
        <r>
          <rPr>
            <b/>
            <sz val="9"/>
            <color indexed="81"/>
            <rFont val="Tahoma"/>
            <family val="2"/>
          </rPr>
          <t>Jorge Arturo Espinoza:</t>
        </r>
        <r>
          <rPr>
            <sz val="9"/>
            <color indexed="81"/>
            <rFont val="Tahoma"/>
            <family val="2"/>
          </rPr>
          <t xml:space="preserve">
IMPORTACION</t>
        </r>
      </text>
    </comment>
    <comment ref="B514" authorId="0" shapeId="0" xr:uid="{00000000-0006-0000-0100-00001E000000}">
      <text>
        <r>
          <rPr>
            <b/>
            <sz val="9"/>
            <color indexed="81"/>
            <rFont val="Tahoma"/>
            <family val="2"/>
          </rPr>
          <t>Jorge Arturo Espinoza:</t>
        </r>
        <r>
          <rPr>
            <sz val="9"/>
            <color indexed="81"/>
            <rFont val="Tahoma"/>
            <family val="2"/>
          </rPr>
          <t xml:space="preserve">
IMPORTACION</t>
        </r>
      </text>
    </comment>
    <comment ref="B515" authorId="0" shapeId="0" xr:uid="{00000000-0006-0000-0100-00001F000000}">
      <text>
        <r>
          <rPr>
            <b/>
            <sz val="9"/>
            <color indexed="81"/>
            <rFont val="Tahoma"/>
            <family val="2"/>
          </rPr>
          <t>Jorge Arturo Espinoza:</t>
        </r>
        <r>
          <rPr>
            <sz val="9"/>
            <color indexed="81"/>
            <rFont val="Tahoma"/>
            <family val="2"/>
          </rPr>
          <t xml:space="preserve">
IMPORTACION</t>
        </r>
      </text>
    </comment>
    <comment ref="B516" authorId="0" shapeId="0" xr:uid="{00000000-0006-0000-0100-000020000000}">
      <text>
        <r>
          <rPr>
            <b/>
            <sz val="9"/>
            <color indexed="81"/>
            <rFont val="Tahoma"/>
            <family val="2"/>
          </rPr>
          <t>Jorge Arturo Espinoza:</t>
        </r>
        <r>
          <rPr>
            <sz val="9"/>
            <color indexed="81"/>
            <rFont val="Tahoma"/>
            <family val="2"/>
          </rPr>
          <t xml:space="preserve">
IMPORTACION</t>
        </r>
      </text>
    </comment>
    <comment ref="B519" authorId="0" shapeId="0" xr:uid="{00000000-0006-0000-0100-000021000000}">
      <text>
        <r>
          <rPr>
            <b/>
            <sz val="9"/>
            <color indexed="81"/>
            <rFont val="Tahoma"/>
            <family val="2"/>
          </rPr>
          <t>Jorge Arturo Espinoza:</t>
        </r>
        <r>
          <rPr>
            <sz val="9"/>
            <color indexed="81"/>
            <rFont val="Tahoma"/>
            <family val="2"/>
          </rPr>
          <t xml:space="preserve">
NO VIGENTE, IMPORTACION</t>
        </r>
      </text>
    </comment>
    <comment ref="G519" authorId="0" shapeId="0" xr:uid="{00000000-0006-0000-0100-000022000000}">
      <text>
        <r>
          <rPr>
            <b/>
            <sz val="9"/>
            <color indexed="81"/>
            <rFont val="Tahoma"/>
            <family val="2"/>
          </rPr>
          <t>Jorge Arturo Espinoza:</t>
        </r>
        <r>
          <rPr>
            <sz val="9"/>
            <color indexed="81"/>
            <rFont val="Tahoma"/>
            <family val="2"/>
          </rPr>
          <t xml:space="preserve">
LISTA DE PRECIOSA
DICE QUE Un=230V</t>
        </r>
      </text>
    </comment>
    <comment ref="B520" authorId="0" shapeId="0" xr:uid="{00000000-0006-0000-0100-000023000000}">
      <text>
        <r>
          <rPr>
            <b/>
            <sz val="9"/>
            <color indexed="81"/>
            <rFont val="Tahoma"/>
            <family val="2"/>
          </rPr>
          <t>Jorge Arturo Espinoza:</t>
        </r>
        <r>
          <rPr>
            <sz val="9"/>
            <color indexed="81"/>
            <rFont val="Tahoma"/>
            <family val="2"/>
          </rPr>
          <t xml:space="preserve">
IMPORTACION</t>
        </r>
      </text>
    </comment>
    <comment ref="G520" authorId="0" shapeId="0" xr:uid="{00000000-0006-0000-0100-000024000000}">
      <text>
        <r>
          <rPr>
            <b/>
            <sz val="9"/>
            <color indexed="81"/>
            <rFont val="Tahoma"/>
            <family val="2"/>
          </rPr>
          <t>Jorge Arturo Espinoza:</t>
        </r>
        <r>
          <rPr>
            <sz val="9"/>
            <color indexed="81"/>
            <rFont val="Tahoma"/>
            <family val="2"/>
          </rPr>
          <t xml:space="preserve">
FALTA CONSULTAR SI REALMENTE ES:
Un=400/690V
Uc=440V/760V</t>
        </r>
      </text>
    </comment>
    <comment ref="B522" authorId="0" shapeId="0" xr:uid="{00000000-0006-0000-0100-000025000000}">
      <text>
        <r>
          <rPr>
            <b/>
            <sz val="9"/>
            <color indexed="81"/>
            <rFont val="Tahoma"/>
            <family val="2"/>
          </rPr>
          <t>Jorge Arturo Espinoza:</t>
        </r>
        <r>
          <rPr>
            <sz val="9"/>
            <color indexed="81"/>
            <rFont val="Tahoma"/>
            <family val="2"/>
          </rPr>
          <t xml:space="preserve">
IMPORTACION</t>
        </r>
      </text>
    </comment>
    <comment ref="F573" authorId="2" shapeId="0" xr:uid="{00000000-0006-0000-0100-000026000000}">
      <text>
        <r>
          <rPr>
            <b/>
            <sz val="9"/>
            <color indexed="81"/>
            <rFont val="Tahoma"/>
            <family val="2"/>
          </rPr>
          <t>Roberto Meza:</t>
        </r>
        <r>
          <rPr>
            <sz val="9"/>
            <color indexed="81"/>
            <rFont val="Tahoma"/>
            <family val="2"/>
          </rPr>
          <t xml:space="preserve">
precio real</t>
        </r>
      </text>
    </comment>
    <comment ref="F574" authorId="2" shapeId="0" xr:uid="{00000000-0006-0000-0100-000027000000}">
      <text>
        <r>
          <rPr>
            <b/>
            <sz val="9"/>
            <color indexed="81"/>
            <rFont val="Tahoma"/>
            <family val="2"/>
          </rPr>
          <t>Roberto Meza:</t>
        </r>
        <r>
          <rPr>
            <sz val="9"/>
            <color indexed="81"/>
            <rFont val="Tahoma"/>
            <family val="2"/>
          </rPr>
          <t xml:space="preserve">
precio real</t>
        </r>
      </text>
    </comment>
    <comment ref="F577" authorId="2" shapeId="0" xr:uid="{00000000-0006-0000-0100-000028000000}">
      <text>
        <r>
          <rPr>
            <b/>
            <sz val="9"/>
            <color indexed="81"/>
            <rFont val="Tahoma"/>
            <family val="2"/>
          </rPr>
          <t>Roberto Meza:</t>
        </r>
        <r>
          <rPr>
            <sz val="9"/>
            <color indexed="81"/>
            <rFont val="Tahoma"/>
            <family val="2"/>
          </rPr>
          <t xml:space="preserve">
precio real</t>
        </r>
      </text>
    </comment>
    <comment ref="B639" authorId="0" shapeId="0" xr:uid="{00000000-0006-0000-0100-000029000000}">
      <text>
        <r>
          <rPr>
            <b/>
            <sz val="9"/>
            <color indexed="81"/>
            <rFont val="Tahoma"/>
            <family val="2"/>
          </rPr>
          <t>Jorge Arturo Espinoza:</t>
        </r>
        <r>
          <rPr>
            <sz val="9"/>
            <color indexed="81"/>
            <rFont val="Tahoma"/>
            <family val="2"/>
          </rPr>
          <t xml:space="preserve">
NO ESTAN EN LISTA DE PRECIOS</t>
        </r>
      </text>
    </comment>
    <comment ref="B647" authorId="0" shapeId="0" xr:uid="{00000000-0006-0000-0100-00002A000000}">
      <text>
        <r>
          <rPr>
            <b/>
            <sz val="9"/>
            <color indexed="81"/>
            <rFont val="Tahoma"/>
            <family val="2"/>
          </rPr>
          <t>Jorge Arturo Espinoza:</t>
        </r>
        <r>
          <rPr>
            <sz val="9"/>
            <color indexed="81"/>
            <rFont val="Tahoma"/>
            <family val="2"/>
          </rPr>
          <t xml:space="preserve">
PREGUNTAR DISPONIBILIDAD</t>
        </r>
      </text>
    </comment>
    <comment ref="B648" authorId="0" shapeId="0" xr:uid="{00000000-0006-0000-0100-00002B000000}">
      <text>
        <r>
          <rPr>
            <b/>
            <sz val="9"/>
            <color indexed="81"/>
            <rFont val="Tahoma"/>
            <family val="2"/>
          </rPr>
          <t>Jorge Arturo Espinoza:</t>
        </r>
        <r>
          <rPr>
            <sz val="9"/>
            <color indexed="81"/>
            <rFont val="Tahoma"/>
            <family val="2"/>
          </rPr>
          <t xml:space="preserve">
PREGUNTAR DISPONIBILIDAD</t>
        </r>
      </text>
    </comment>
    <comment ref="B649" authorId="0" shapeId="0" xr:uid="{00000000-0006-0000-0100-00002C000000}">
      <text>
        <r>
          <rPr>
            <b/>
            <sz val="9"/>
            <color indexed="81"/>
            <rFont val="Tahoma"/>
            <family val="2"/>
          </rPr>
          <t>Jorge Arturo Espinoza:</t>
        </r>
        <r>
          <rPr>
            <sz val="9"/>
            <color indexed="81"/>
            <rFont val="Tahoma"/>
            <family val="2"/>
          </rPr>
          <t xml:space="preserve">
PREGUNTAR DISPONIBILIDAD</t>
        </r>
      </text>
    </comment>
    <comment ref="B650" authorId="0" shapeId="0" xr:uid="{00000000-0006-0000-0100-00002D000000}">
      <text>
        <r>
          <rPr>
            <b/>
            <sz val="9"/>
            <color indexed="81"/>
            <rFont val="Tahoma"/>
            <family val="2"/>
          </rPr>
          <t>Jorge Arturo Espinoza:</t>
        </r>
        <r>
          <rPr>
            <sz val="9"/>
            <color indexed="81"/>
            <rFont val="Tahoma"/>
            <family val="2"/>
          </rPr>
          <t xml:space="preserve">
PREGUNTAR DISPONIBILIDAD</t>
        </r>
      </text>
    </comment>
    <comment ref="B651" authorId="0" shapeId="0" xr:uid="{00000000-0006-0000-0100-00002E000000}">
      <text>
        <r>
          <rPr>
            <b/>
            <sz val="9"/>
            <color indexed="81"/>
            <rFont val="Tahoma"/>
            <family val="2"/>
          </rPr>
          <t>Jorge Arturo Espinoza:</t>
        </r>
        <r>
          <rPr>
            <sz val="9"/>
            <color indexed="81"/>
            <rFont val="Tahoma"/>
            <family val="2"/>
          </rPr>
          <t xml:space="preserve">
PREGUNTAR DISPONIBILIDAD</t>
        </r>
      </text>
    </comment>
    <comment ref="B655" authorId="0" shapeId="0" xr:uid="{00000000-0006-0000-0100-00002F000000}">
      <text>
        <r>
          <rPr>
            <b/>
            <sz val="9"/>
            <color indexed="81"/>
            <rFont val="Tahoma"/>
            <family val="2"/>
          </rPr>
          <t>Jorge Arturo Espinoza:</t>
        </r>
        <r>
          <rPr>
            <sz val="9"/>
            <color indexed="81"/>
            <rFont val="Tahoma"/>
            <family val="2"/>
          </rPr>
          <t xml:space="preserve">
NO ESTAN EN LISTA DE PRECIOS</t>
        </r>
      </text>
    </comment>
    <comment ref="B656" authorId="0" shapeId="0" xr:uid="{00000000-0006-0000-0100-000030000000}">
      <text>
        <r>
          <rPr>
            <b/>
            <sz val="9"/>
            <color indexed="81"/>
            <rFont val="Tahoma"/>
            <family val="2"/>
          </rPr>
          <t>Jorge Arturo Espinoza:</t>
        </r>
        <r>
          <rPr>
            <sz val="9"/>
            <color indexed="81"/>
            <rFont val="Tahoma"/>
            <family val="2"/>
          </rPr>
          <t xml:space="preserve">
NO ESTAN EN LISTA DE PRECIOS</t>
        </r>
      </text>
    </comment>
    <comment ref="B657" authorId="0" shapeId="0" xr:uid="{00000000-0006-0000-0100-000031000000}">
      <text>
        <r>
          <rPr>
            <b/>
            <sz val="9"/>
            <color indexed="81"/>
            <rFont val="Tahoma"/>
            <family val="2"/>
          </rPr>
          <t>Jorge Arturo Espinoza:</t>
        </r>
        <r>
          <rPr>
            <sz val="9"/>
            <color indexed="81"/>
            <rFont val="Tahoma"/>
            <family val="2"/>
          </rPr>
          <t xml:space="preserve">
NO ESTAN EN LISTA DE PRECIOS</t>
        </r>
      </text>
    </comment>
    <comment ref="B671" authorId="0" shapeId="0" xr:uid="{00000000-0006-0000-0100-000032000000}">
      <text>
        <r>
          <rPr>
            <b/>
            <sz val="9"/>
            <color indexed="81"/>
            <rFont val="Tahoma"/>
            <family val="2"/>
          </rPr>
          <t>Jorge Arturo Espinoza:</t>
        </r>
        <r>
          <rPr>
            <sz val="9"/>
            <color indexed="81"/>
            <rFont val="Tahoma"/>
            <family val="2"/>
          </rPr>
          <t xml:space="preserve">
NO ESTAN EN LISTA DE PRECIOS</t>
        </r>
      </text>
    </comment>
    <comment ref="C671" authorId="0" shapeId="0" xr:uid="{00000000-0006-0000-0100-000033000000}">
      <text>
        <r>
          <rPr>
            <b/>
            <sz val="9"/>
            <color indexed="81"/>
            <rFont val="Tahoma"/>
            <family val="2"/>
          </rPr>
          <t>Jorge Arturo Espinoza:</t>
        </r>
        <r>
          <rPr>
            <sz val="9"/>
            <color indexed="81"/>
            <rFont val="Tahoma"/>
            <family val="2"/>
          </rPr>
          <t xml:space="preserve">
FALTA CONFIRMAR POR ABB</t>
        </r>
      </text>
    </comment>
    <comment ref="B672" authorId="0" shapeId="0" xr:uid="{00000000-0006-0000-0100-000034000000}">
      <text>
        <r>
          <rPr>
            <b/>
            <sz val="9"/>
            <color indexed="81"/>
            <rFont val="Tahoma"/>
            <family val="2"/>
          </rPr>
          <t>Jorge Arturo Espinoza:</t>
        </r>
        <r>
          <rPr>
            <sz val="9"/>
            <color indexed="81"/>
            <rFont val="Tahoma"/>
            <family val="2"/>
          </rPr>
          <t xml:space="preserve">
NO ESTAN EN LISTA DE PRECIOS</t>
        </r>
      </text>
    </comment>
    <comment ref="C672" authorId="0" shapeId="0" xr:uid="{00000000-0006-0000-0100-000035000000}">
      <text>
        <r>
          <rPr>
            <b/>
            <sz val="9"/>
            <color indexed="81"/>
            <rFont val="Tahoma"/>
            <family val="2"/>
          </rPr>
          <t>Jorge Arturo Espinoza:</t>
        </r>
        <r>
          <rPr>
            <sz val="9"/>
            <color indexed="81"/>
            <rFont val="Tahoma"/>
            <family val="2"/>
          </rPr>
          <t xml:space="preserve">
FALTA CONFIRMAR POR ABB</t>
        </r>
      </text>
    </comment>
    <comment ref="B673" authorId="0" shapeId="0" xr:uid="{00000000-0006-0000-0100-000036000000}">
      <text>
        <r>
          <rPr>
            <b/>
            <sz val="9"/>
            <color indexed="81"/>
            <rFont val="Tahoma"/>
            <family val="2"/>
          </rPr>
          <t>Jorge Arturo Espinoza:</t>
        </r>
        <r>
          <rPr>
            <sz val="9"/>
            <color indexed="81"/>
            <rFont val="Tahoma"/>
            <family val="2"/>
          </rPr>
          <t xml:space="preserve">
NO ESTAN EN LISTA DE PRECIOS</t>
        </r>
      </text>
    </comment>
    <comment ref="B685" authorId="0" shapeId="0" xr:uid="{00000000-0006-0000-0100-000037000000}">
      <text>
        <r>
          <rPr>
            <b/>
            <sz val="9"/>
            <color indexed="81"/>
            <rFont val="Tahoma"/>
            <family val="2"/>
          </rPr>
          <t>Jorge Arturo Espinoza:</t>
        </r>
        <r>
          <rPr>
            <sz val="9"/>
            <color indexed="81"/>
            <rFont val="Tahoma"/>
            <family val="2"/>
          </rPr>
          <t xml:space="preserve">
IMPORTACION</t>
        </r>
      </text>
    </comment>
    <comment ref="B686" authorId="0" shapeId="0" xr:uid="{00000000-0006-0000-0100-000038000000}">
      <text>
        <r>
          <rPr>
            <b/>
            <sz val="9"/>
            <color indexed="81"/>
            <rFont val="Tahoma"/>
            <family val="2"/>
          </rPr>
          <t>Jorge Arturo Espinoza:</t>
        </r>
        <r>
          <rPr>
            <sz val="9"/>
            <color indexed="81"/>
            <rFont val="Tahoma"/>
            <family val="2"/>
          </rPr>
          <t xml:space="preserve">
IMPORTACION</t>
        </r>
      </text>
    </comment>
    <comment ref="B687" authorId="0" shapeId="0" xr:uid="{00000000-0006-0000-0100-000039000000}">
      <text>
        <r>
          <rPr>
            <b/>
            <sz val="9"/>
            <color indexed="81"/>
            <rFont val="Tahoma"/>
            <family val="2"/>
          </rPr>
          <t>Jorge Arturo Espinoza:</t>
        </r>
        <r>
          <rPr>
            <sz val="9"/>
            <color indexed="81"/>
            <rFont val="Tahoma"/>
            <family val="2"/>
          </rPr>
          <t xml:space="preserve">
IMPORTACION</t>
        </r>
      </text>
    </comment>
    <comment ref="B688" authorId="0" shapeId="0" xr:uid="{00000000-0006-0000-0100-00003A000000}">
      <text>
        <r>
          <rPr>
            <b/>
            <sz val="9"/>
            <color indexed="81"/>
            <rFont val="Tahoma"/>
            <family val="2"/>
          </rPr>
          <t>Jorge Arturo Espinoza:</t>
        </r>
        <r>
          <rPr>
            <sz val="9"/>
            <color indexed="81"/>
            <rFont val="Tahoma"/>
            <family val="2"/>
          </rPr>
          <t xml:space="preserve">
IMPORTACION</t>
        </r>
      </text>
    </comment>
    <comment ref="B689" authorId="0" shapeId="0" xr:uid="{00000000-0006-0000-0100-00003B000000}">
      <text>
        <r>
          <rPr>
            <b/>
            <sz val="9"/>
            <color indexed="81"/>
            <rFont val="Tahoma"/>
            <family val="2"/>
          </rPr>
          <t>Jorge Arturo Espinoza:</t>
        </r>
        <r>
          <rPr>
            <sz val="9"/>
            <color indexed="81"/>
            <rFont val="Tahoma"/>
            <family val="2"/>
          </rPr>
          <t xml:space="preserve">
IMPORTACION</t>
        </r>
      </text>
    </comment>
    <comment ref="B690" authorId="0" shapeId="0" xr:uid="{00000000-0006-0000-0100-00003C000000}">
      <text>
        <r>
          <rPr>
            <b/>
            <sz val="9"/>
            <color indexed="81"/>
            <rFont val="Tahoma"/>
            <family val="2"/>
          </rPr>
          <t>Jorge Arturo Espinoza:</t>
        </r>
        <r>
          <rPr>
            <sz val="9"/>
            <color indexed="81"/>
            <rFont val="Tahoma"/>
            <family val="2"/>
          </rPr>
          <t xml:space="preserve">
IMPORTACION</t>
        </r>
      </text>
    </comment>
    <comment ref="B691" authorId="0" shapeId="0" xr:uid="{00000000-0006-0000-0100-00003D000000}">
      <text>
        <r>
          <rPr>
            <b/>
            <sz val="9"/>
            <color indexed="81"/>
            <rFont val="Tahoma"/>
            <family val="2"/>
          </rPr>
          <t>Jorge Arturo Espinoza:</t>
        </r>
        <r>
          <rPr>
            <sz val="9"/>
            <color indexed="81"/>
            <rFont val="Tahoma"/>
            <family val="2"/>
          </rPr>
          <t xml:space="preserve">
IMPORTACION</t>
        </r>
      </text>
    </comment>
    <comment ref="B692" authorId="0" shapeId="0" xr:uid="{00000000-0006-0000-0100-00003E000000}">
      <text>
        <r>
          <rPr>
            <b/>
            <sz val="9"/>
            <color indexed="81"/>
            <rFont val="Tahoma"/>
            <family val="2"/>
          </rPr>
          <t>Jorge Arturo Espinoza:</t>
        </r>
        <r>
          <rPr>
            <sz val="9"/>
            <color indexed="81"/>
            <rFont val="Tahoma"/>
            <family val="2"/>
          </rPr>
          <t xml:space="preserve">
IMPORTACION</t>
        </r>
      </text>
    </comment>
    <comment ref="B693" authorId="0" shapeId="0" xr:uid="{00000000-0006-0000-0100-00003F000000}">
      <text>
        <r>
          <rPr>
            <b/>
            <sz val="9"/>
            <color indexed="81"/>
            <rFont val="Tahoma"/>
            <family val="2"/>
          </rPr>
          <t>Jorge Arturo Espinoza:</t>
        </r>
        <r>
          <rPr>
            <sz val="9"/>
            <color indexed="81"/>
            <rFont val="Tahoma"/>
            <family val="2"/>
          </rPr>
          <t xml:space="preserve">
IMPORTACION</t>
        </r>
      </text>
    </comment>
    <comment ref="B694" authorId="0" shapeId="0" xr:uid="{00000000-0006-0000-0100-000040000000}">
      <text>
        <r>
          <rPr>
            <b/>
            <sz val="9"/>
            <color indexed="81"/>
            <rFont val="Tahoma"/>
            <family val="2"/>
          </rPr>
          <t>Jorge Arturo Espinoza:</t>
        </r>
        <r>
          <rPr>
            <sz val="9"/>
            <color indexed="81"/>
            <rFont val="Tahoma"/>
            <family val="2"/>
          </rPr>
          <t xml:space="preserve">
IMPORTACION</t>
        </r>
      </text>
    </comment>
    <comment ref="B695" authorId="0" shapeId="0" xr:uid="{00000000-0006-0000-0100-000041000000}">
      <text>
        <r>
          <rPr>
            <b/>
            <sz val="9"/>
            <color indexed="81"/>
            <rFont val="Tahoma"/>
            <family val="2"/>
          </rPr>
          <t>Jorge Arturo Espinoza:</t>
        </r>
        <r>
          <rPr>
            <sz val="9"/>
            <color indexed="81"/>
            <rFont val="Tahoma"/>
            <family val="2"/>
          </rPr>
          <t xml:space="preserve">
IMPORTACION</t>
        </r>
      </text>
    </comment>
    <comment ref="B696" authorId="0" shapeId="0" xr:uid="{00000000-0006-0000-0100-000042000000}">
      <text>
        <r>
          <rPr>
            <b/>
            <sz val="9"/>
            <color indexed="81"/>
            <rFont val="Tahoma"/>
            <family val="2"/>
          </rPr>
          <t>Jorge Arturo Espinoza:</t>
        </r>
        <r>
          <rPr>
            <sz val="9"/>
            <color indexed="81"/>
            <rFont val="Tahoma"/>
            <family val="2"/>
          </rPr>
          <t xml:space="preserve">
IMPORTACION</t>
        </r>
      </text>
    </comment>
    <comment ref="B697" authorId="0" shapeId="0" xr:uid="{00000000-0006-0000-0100-000043000000}">
      <text>
        <r>
          <rPr>
            <b/>
            <sz val="9"/>
            <color indexed="81"/>
            <rFont val="Tahoma"/>
            <family val="2"/>
          </rPr>
          <t>Jorge Arturo Espinoza:</t>
        </r>
        <r>
          <rPr>
            <sz val="9"/>
            <color indexed="81"/>
            <rFont val="Tahoma"/>
            <family val="2"/>
          </rPr>
          <t xml:space="preserve">
IMPORTACION</t>
        </r>
      </text>
    </comment>
    <comment ref="B725" authorId="0" shapeId="0" xr:uid="{00000000-0006-0000-0100-000044000000}">
      <text>
        <r>
          <rPr>
            <b/>
            <sz val="9"/>
            <color indexed="81"/>
            <rFont val="Tahoma"/>
            <family val="2"/>
          </rPr>
          <t>Jorge Arturo Espinoza:</t>
        </r>
        <r>
          <rPr>
            <sz val="9"/>
            <color indexed="81"/>
            <rFont val="Tahoma"/>
            <family val="2"/>
          </rPr>
          <t xml:space="preserve">
IMPORTACION</t>
        </r>
      </text>
    </comment>
    <comment ref="B726" authorId="0" shapeId="0" xr:uid="{00000000-0006-0000-0100-000045000000}">
      <text>
        <r>
          <rPr>
            <b/>
            <sz val="9"/>
            <color indexed="81"/>
            <rFont val="Tahoma"/>
            <family val="2"/>
          </rPr>
          <t>Jorge Arturo Espinoza:</t>
        </r>
        <r>
          <rPr>
            <sz val="9"/>
            <color indexed="81"/>
            <rFont val="Tahoma"/>
            <family val="2"/>
          </rPr>
          <t xml:space="preserve">
IMPORTACION</t>
        </r>
      </text>
    </comment>
    <comment ref="B727" authorId="0" shapeId="0" xr:uid="{00000000-0006-0000-0100-000046000000}">
      <text>
        <r>
          <rPr>
            <b/>
            <sz val="9"/>
            <color indexed="81"/>
            <rFont val="Tahoma"/>
            <family val="2"/>
          </rPr>
          <t>Jorge Arturo Espinoza:</t>
        </r>
        <r>
          <rPr>
            <sz val="9"/>
            <color indexed="81"/>
            <rFont val="Tahoma"/>
            <family val="2"/>
          </rPr>
          <t xml:space="preserve">
IMPORTACION</t>
        </r>
      </text>
    </comment>
    <comment ref="B728" authorId="0" shapeId="0" xr:uid="{00000000-0006-0000-0100-000047000000}">
      <text>
        <r>
          <rPr>
            <b/>
            <sz val="9"/>
            <color indexed="81"/>
            <rFont val="Tahoma"/>
            <family val="2"/>
          </rPr>
          <t>Jorge Arturo Espinoza:</t>
        </r>
        <r>
          <rPr>
            <sz val="9"/>
            <color indexed="81"/>
            <rFont val="Tahoma"/>
            <family val="2"/>
          </rPr>
          <t xml:space="preserve">
IMPORTACION</t>
        </r>
      </text>
    </comment>
    <comment ref="B729" authorId="0" shapeId="0" xr:uid="{00000000-0006-0000-0100-000048000000}">
      <text>
        <r>
          <rPr>
            <b/>
            <sz val="9"/>
            <color indexed="81"/>
            <rFont val="Tahoma"/>
            <family val="2"/>
          </rPr>
          <t>Jorge Arturo Espinoza:</t>
        </r>
        <r>
          <rPr>
            <sz val="9"/>
            <color indexed="81"/>
            <rFont val="Tahoma"/>
            <family val="2"/>
          </rPr>
          <t xml:space="preserve">
IMPORTACION</t>
        </r>
      </text>
    </comment>
    <comment ref="B730" authorId="0" shapeId="0" xr:uid="{00000000-0006-0000-0100-000049000000}">
      <text>
        <r>
          <rPr>
            <b/>
            <sz val="9"/>
            <color indexed="81"/>
            <rFont val="Tahoma"/>
            <family val="2"/>
          </rPr>
          <t>Jorge Arturo Espinoza:</t>
        </r>
        <r>
          <rPr>
            <sz val="9"/>
            <color indexed="81"/>
            <rFont val="Tahoma"/>
            <family val="2"/>
          </rPr>
          <t xml:space="preserve">
IMPORTACION</t>
        </r>
      </text>
    </comment>
    <comment ref="B731" authorId="0" shapeId="0" xr:uid="{00000000-0006-0000-0100-00004A000000}">
      <text>
        <r>
          <rPr>
            <b/>
            <sz val="9"/>
            <color indexed="81"/>
            <rFont val="Tahoma"/>
            <family val="2"/>
          </rPr>
          <t>Jorge Arturo Espinoza:</t>
        </r>
        <r>
          <rPr>
            <sz val="9"/>
            <color indexed="81"/>
            <rFont val="Tahoma"/>
            <family val="2"/>
          </rPr>
          <t xml:space="preserve">
IMPORTACION</t>
        </r>
      </text>
    </comment>
    <comment ref="B732" authorId="0" shapeId="0" xr:uid="{00000000-0006-0000-0100-00004B000000}">
      <text>
        <r>
          <rPr>
            <b/>
            <sz val="9"/>
            <color indexed="81"/>
            <rFont val="Tahoma"/>
            <family val="2"/>
          </rPr>
          <t>Jorge Arturo Espinoza:</t>
        </r>
        <r>
          <rPr>
            <sz val="9"/>
            <color indexed="81"/>
            <rFont val="Tahoma"/>
            <family val="2"/>
          </rPr>
          <t xml:space="preserve">
IMPORTACION</t>
        </r>
      </text>
    </comment>
    <comment ref="B733" authorId="0" shapeId="0" xr:uid="{00000000-0006-0000-0100-00004C000000}">
      <text>
        <r>
          <rPr>
            <b/>
            <sz val="9"/>
            <color indexed="81"/>
            <rFont val="Tahoma"/>
            <family val="2"/>
          </rPr>
          <t>Jorge Arturo Espinoza:</t>
        </r>
        <r>
          <rPr>
            <sz val="9"/>
            <color indexed="81"/>
            <rFont val="Tahoma"/>
            <family val="2"/>
          </rPr>
          <t xml:space="preserve">
IMPORTACION</t>
        </r>
      </text>
    </comment>
    <comment ref="B734" authorId="0" shapeId="0" xr:uid="{00000000-0006-0000-0100-00004D000000}">
      <text>
        <r>
          <rPr>
            <b/>
            <sz val="9"/>
            <color indexed="81"/>
            <rFont val="Tahoma"/>
            <family val="2"/>
          </rPr>
          <t>Jorge Arturo Espinoza:</t>
        </r>
        <r>
          <rPr>
            <sz val="9"/>
            <color indexed="81"/>
            <rFont val="Tahoma"/>
            <family val="2"/>
          </rPr>
          <t xml:space="preserve">
IMPORTACION</t>
        </r>
      </text>
    </comment>
    <comment ref="B735" authorId="0" shapeId="0" xr:uid="{00000000-0006-0000-0100-00004E000000}">
      <text>
        <r>
          <rPr>
            <b/>
            <sz val="9"/>
            <color indexed="81"/>
            <rFont val="Tahoma"/>
            <family val="2"/>
          </rPr>
          <t>Jorge Arturo Espinoza:</t>
        </r>
        <r>
          <rPr>
            <sz val="9"/>
            <color indexed="81"/>
            <rFont val="Tahoma"/>
            <family val="2"/>
          </rPr>
          <t xml:space="preserve">
IMPORTACION</t>
        </r>
      </text>
    </comment>
    <comment ref="B736" authorId="0" shapeId="0" xr:uid="{00000000-0006-0000-0100-00004F000000}">
      <text>
        <r>
          <rPr>
            <b/>
            <sz val="9"/>
            <color indexed="81"/>
            <rFont val="Tahoma"/>
            <family val="2"/>
          </rPr>
          <t>Jorge Arturo Espinoza:</t>
        </r>
        <r>
          <rPr>
            <sz val="9"/>
            <color indexed="81"/>
            <rFont val="Tahoma"/>
            <family val="2"/>
          </rPr>
          <t xml:space="preserve">
IMPORTACION</t>
        </r>
      </text>
    </comment>
    <comment ref="B738" authorId="0" shapeId="0" xr:uid="{00000000-0006-0000-0100-000050000000}">
      <text>
        <r>
          <rPr>
            <b/>
            <sz val="9"/>
            <color indexed="81"/>
            <rFont val="Tahoma"/>
            <family val="2"/>
          </rPr>
          <t>Jorge Arturo Espinoza:</t>
        </r>
        <r>
          <rPr>
            <sz val="9"/>
            <color indexed="81"/>
            <rFont val="Tahoma"/>
            <family val="2"/>
          </rPr>
          <t xml:space="preserve">
No está en Lista de Precios</t>
        </r>
      </text>
    </comment>
    <comment ref="B739" authorId="0" shapeId="0" xr:uid="{00000000-0006-0000-0100-000051000000}">
      <text>
        <r>
          <rPr>
            <b/>
            <sz val="9"/>
            <color indexed="81"/>
            <rFont val="Tahoma"/>
            <family val="2"/>
          </rPr>
          <t>Jorge Arturo Espinoza:</t>
        </r>
        <r>
          <rPr>
            <sz val="9"/>
            <color indexed="81"/>
            <rFont val="Tahoma"/>
            <family val="2"/>
          </rPr>
          <t xml:space="preserve">
No está en Lista de Precios</t>
        </r>
      </text>
    </comment>
    <comment ref="B740" authorId="0" shapeId="0" xr:uid="{00000000-0006-0000-0100-000052000000}">
      <text>
        <r>
          <rPr>
            <b/>
            <sz val="9"/>
            <color indexed="81"/>
            <rFont val="Tahoma"/>
            <family val="2"/>
          </rPr>
          <t>Jorge Arturo Espinoza:</t>
        </r>
        <r>
          <rPr>
            <sz val="9"/>
            <color indexed="81"/>
            <rFont val="Tahoma"/>
            <family val="2"/>
          </rPr>
          <t xml:space="preserve">
No está en Lista de Precios</t>
        </r>
      </text>
    </comment>
    <comment ref="B741" authorId="0" shapeId="0" xr:uid="{00000000-0006-0000-0100-000053000000}">
      <text>
        <r>
          <rPr>
            <b/>
            <sz val="9"/>
            <color indexed="81"/>
            <rFont val="Tahoma"/>
            <family val="2"/>
          </rPr>
          <t>Jorge Arturo Espinoza:</t>
        </r>
        <r>
          <rPr>
            <sz val="9"/>
            <color indexed="81"/>
            <rFont val="Tahoma"/>
            <family val="2"/>
          </rPr>
          <t xml:space="preserve">
No está en Lista de Precios</t>
        </r>
      </text>
    </comment>
    <comment ref="B742" authorId="0" shapeId="0" xr:uid="{00000000-0006-0000-0100-000054000000}">
      <text>
        <r>
          <rPr>
            <b/>
            <sz val="9"/>
            <color indexed="81"/>
            <rFont val="Tahoma"/>
            <family val="2"/>
          </rPr>
          <t>Jorge Arturo Espinoza:</t>
        </r>
        <r>
          <rPr>
            <sz val="9"/>
            <color indexed="81"/>
            <rFont val="Tahoma"/>
            <family val="2"/>
          </rPr>
          <t xml:space="preserve">
No está en Lista de Precios</t>
        </r>
      </text>
    </comment>
    <comment ref="B751" authorId="0" shapeId="0" xr:uid="{00000000-0006-0000-0100-000055000000}">
      <text>
        <r>
          <rPr>
            <b/>
            <sz val="9"/>
            <color indexed="81"/>
            <rFont val="Tahoma"/>
            <family val="2"/>
          </rPr>
          <t>Jorge Arturo Espinoza:</t>
        </r>
        <r>
          <rPr>
            <sz val="9"/>
            <color indexed="81"/>
            <rFont val="Tahoma"/>
            <family val="2"/>
          </rPr>
          <t xml:space="preserve">
No está en Lista de Precios</t>
        </r>
      </text>
    </comment>
    <comment ref="B757" authorId="0" shapeId="0" xr:uid="{00000000-0006-0000-0100-000056000000}">
      <text>
        <r>
          <rPr>
            <b/>
            <sz val="9"/>
            <color indexed="81"/>
            <rFont val="Tahoma"/>
            <family val="2"/>
          </rPr>
          <t>Jorge Arturo Espinoza:</t>
        </r>
        <r>
          <rPr>
            <sz val="9"/>
            <color indexed="81"/>
            <rFont val="Tahoma"/>
            <family val="2"/>
          </rPr>
          <t xml:space="preserve">
NO ESTA EN LISTA DE PRECIOS</t>
        </r>
      </text>
    </comment>
    <comment ref="B758" authorId="0" shapeId="0" xr:uid="{00000000-0006-0000-0100-000057000000}">
      <text>
        <r>
          <rPr>
            <b/>
            <sz val="9"/>
            <color indexed="81"/>
            <rFont val="Tahoma"/>
            <family val="2"/>
          </rPr>
          <t>Jorge Arturo Espinoza:</t>
        </r>
        <r>
          <rPr>
            <sz val="9"/>
            <color indexed="81"/>
            <rFont val="Tahoma"/>
            <family val="2"/>
          </rPr>
          <t xml:space="preserve">
NO ESTA EN LISTA DE PRECIOS</t>
        </r>
      </text>
    </comment>
    <comment ref="B759" authorId="0" shapeId="0" xr:uid="{00000000-0006-0000-0100-000058000000}">
      <text>
        <r>
          <rPr>
            <b/>
            <sz val="9"/>
            <color indexed="81"/>
            <rFont val="Tahoma"/>
            <family val="2"/>
          </rPr>
          <t>Jorge Arturo Espinoza:</t>
        </r>
        <r>
          <rPr>
            <sz val="9"/>
            <color indexed="81"/>
            <rFont val="Tahoma"/>
            <family val="2"/>
          </rPr>
          <t xml:space="preserve">
NO ESTA EN LISTA DE PRECIOS</t>
        </r>
      </text>
    </comment>
    <comment ref="B761" authorId="0" shapeId="0" xr:uid="{00000000-0006-0000-0100-000059000000}">
      <text>
        <r>
          <rPr>
            <b/>
            <sz val="9"/>
            <color indexed="81"/>
            <rFont val="Tahoma"/>
            <family val="2"/>
          </rPr>
          <t>Jorge Arturo Espinoza:</t>
        </r>
        <r>
          <rPr>
            <sz val="9"/>
            <color indexed="81"/>
            <rFont val="Tahoma"/>
            <family val="2"/>
          </rPr>
          <t xml:space="preserve">
NO ESTA EN LISTA DE PRECIOS</t>
        </r>
      </text>
    </comment>
    <comment ref="B762" authorId="0" shapeId="0" xr:uid="{00000000-0006-0000-0100-00005A000000}">
      <text>
        <r>
          <rPr>
            <b/>
            <sz val="9"/>
            <color indexed="81"/>
            <rFont val="Tahoma"/>
            <family val="2"/>
          </rPr>
          <t>Jorge Arturo Espinoza:</t>
        </r>
        <r>
          <rPr>
            <sz val="9"/>
            <color indexed="81"/>
            <rFont val="Tahoma"/>
            <family val="2"/>
          </rPr>
          <t xml:space="preserve">
NO ESTA EN LISTA DE PRECIOS</t>
        </r>
      </text>
    </comment>
    <comment ref="B763" authorId="0" shapeId="0" xr:uid="{00000000-0006-0000-0100-00005B000000}">
      <text>
        <r>
          <rPr>
            <b/>
            <sz val="9"/>
            <color indexed="81"/>
            <rFont val="Tahoma"/>
            <family val="2"/>
          </rPr>
          <t>Jorge Arturo Espinoza:</t>
        </r>
        <r>
          <rPr>
            <sz val="9"/>
            <color indexed="81"/>
            <rFont val="Tahoma"/>
            <family val="2"/>
          </rPr>
          <t xml:space="preserve">
NO ESTA EN LISTA DE PRECIOS</t>
        </r>
      </text>
    </comment>
    <comment ref="B764" authorId="0" shapeId="0" xr:uid="{00000000-0006-0000-0100-00005C000000}">
      <text>
        <r>
          <rPr>
            <b/>
            <sz val="9"/>
            <color indexed="81"/>
            <rFont val="Tahoma"/>
            <family val="2"/>
          </rPr>
          <t>Jorge Arturo Espinoza:</t>
        </r>
        <r>
          <rPr>
            <sz val="9"/>
            <color indexed="81"/>
            <rFont val="Tahoma"/>
            <family val="2"/>
          </rPr>
          <t xml:space="preserve">
NO ESTA EN LISTA DE PRECIOS</t>
        </r>
      </text>
    </comment>
    <comment ref="B766" authorId="0" shapeId="0" xr:uid="{00000000-0006-0000-0100-00005D000000}">
      <text>
        <r>
          <rPr>
            <b/>
            <sz val="9"/>
            <color indexed="81"/>
            <rFont val="Tahoma"/>
            <family val="2"/>
          </rPr>
          <t>Jorge Arturo Espinoza:</t>
        </r>
        <r>
          <rPr>
            <sz val="9"/>
            <color indexed="81"/>
            <rFont val="Tahoma"/>
            <family val="2"/>
          </rPr>
          <t xml:space="preserve">
NO ESTA EN LISTA DE PRECIOS</t>
        </r>
      </text>
    </comment>
    <comment ref="B767" authorId="0" shapeId="0" xr:uid="{00000000-0006-0000-0100-00005E000000}">
      <text>
        <r>
          <rPr>
            <b/>
            <sz val="9"/>
            <color indexed="81"/>
            <rFont val="Tahoma"/>
            <family val="2"/>
          </rPr>
          <t>Jorge Arturo Espinoza:</t>
        </r>
        <r>
          <rPr>
            <sz val="9"/>
            <color indexed="81"/>
            <rFont val="Tahoma"/>
            <family val="2"/>
          </rPr>
          <t xml:space="preserve">
NO ESTA EN LISTA DE PRECIOS</t>
        </r>
      </text>
    </comment>
    <comment ref="B768" authorId="0" shapeId="0" xr:uid="{00000000-0006-0000-0100-00005F000000}">
      <text>
        <r>
          <rPr>
            <b/>
            <sz val="9"/>
            <color indexed="81"/>
            <rFont val="Tahoma"/>
            <family val="2"/>
          </rPr>
          <t>Jorge Arturo Espinoza:</t>
        </r>
        <r>
          <rPr>
            <sz val="9"/>
            <color indexed="81"/>
            <rFont val="Tahoma"/>
            <family val="2"/>
          </rPr>
          <t xml:space="preserve">
NO ESTA EN LISTA DE PRECIOS</t>
        </r>
      </text>
    </comment>
    <comment ref="B769" authorId="0" shapeId="0" xr:uid="{00000000-0006-0000-0100-000060000000}">
      <text>
        <r>
          <rPr>
            <b/>
            <sz val="9"/>
            <color indexed="81"/>
            <rFont val="Tahoma"/>
            <family val="2"/>
          </rPr>
          <t>Jorge Arturo Espinoza:</t>
        </r>
        <r>
          <rPr>
            <sz val="9"/>
            <color indexed="81"/>
            <rFont val="Tahoma"/>
            <family val="2"/>
          </rPr>
          <t xml:space="preserve">
NO ESTA EN LISTA DE PRECIOS</t>
        </r>
      </text>
    </comment>
    <comment ref="B797" authorId="0" shapeId="0" xr:uid="{00000000-0006-0000-0100-000061000000}">
      <text>
        <r>
          <rPr>
            <b/>
            <sz val="9"/>
            <color indexed="81"/>
            <rFont val="Tahoma"/>
            <family val="2"/>
          </rPr>
          <t>Jorge Arturo Espinoza:</t>
        </r>
        <r>
          <rPr>
            <sz val="9"/>
            <color indexed="81"/>
            <rFont val="Tahoma"/>
            <family val="2"/>
          </rPr>
          <t xml:space="preserve">
IMPORTACION</t>
        </r>
      </text>
    </comment>
    <comment ref="C1239" authorId="0" shapeId="0" xr:uid="{00000000-0006-0000-0100-000062000000}">
      <text>
        <r>
          <rPr>
            <b/>
            <sz val="9"/>
            <color indexed="81"/>
            <rFont val="Tahoma"/>
            <family val="2"/>
          </rPr>
          <t>Jorge Arturo Espinoza:</t>
        </r>
        <r>
          <rPr>
            <sz val="9"/>
            <color indexed="81"/>
            <rFont val="Tahoma"/>
            <family val="2"/>
          </rPr>
          <t xml:space="preserve">
ASUMIDO
FALTA CONFIRMAR</t>
        </r>
      </text>
    </comment>
    <comment ref="B1252" authorId="0" shapeId="0" xr:uid="{00000000-0006-0000-0100-000063000000}">
      <text>
        <r>
          <rPr>
            <b/>
            <sz val="9"/>
            <color indexed="81"/>
            <rFont val="Tahoma"/>
            <family val="2"/>
          </rPr>
          <t>Jorge Arturo Espinoza:</t>
        </r>
        <r>
          <rPr>
            <sz val="9"/>
            <color indexed="81"/>
            <rFont val="Tahoma"/>
            <family val="2"/>
          </rPr>
          <t xml:space="preserve">
(1) Armazon + (2) Placas</t>
        </r>
      </text>
    </comment>
    <comment ref="B1253" authorId="0" shapeId="0" xr:uid="{00000000-0006-0000-0100-000064000000}">
      <text>
        <r>
          <rPr>
            <b/>
            <sz val="9"/>
            <color indexed="81"/>
            <rFont val="Tahoma"/>
            <family val="2"/>
          </rPr>
          <t>Jorge Arturo Espinoza:</t>
        </r>
        <r>
          <rPr>
            <sz val="9"/>
            <color indexed="81"/>
            <rFont val="Tahoma"/>
            <family val="2"/>
          </rPr>
          <t xml:space="preserve">
(1) Armazon + (2) Placas</t>
        </r>
      </text>
    </comment>
    <comment ref="B1254" authorId="0" shapeId="0" xr:uid="{00000000-0006-0000-0100-000065000000}">
      <text>
        <r>
          <rPr>
            <b/>
            <sz val="9"/>
            <color indexed="81"/>
            <rFont val="Tahoma"/>
            <family val="2"/>
          </rPr>
          <t>Jorge Arturo Espinoza:</t>
        </r>
        <r>
          <rPr>
            <sz val="9"/>
            <color indexed="81"/>
            <rFont val="Tahoma"/>
            <family val="2"/>
          </rPr>
          <t xml:space="preserve">
(1) Armazon + (2) Placas</t>
        </r>
      </text>
    </comment>
    <comment ref="B1255" authorId="0" shapeId="0" xr:uid="{00000000-0006-0000-0100-000066000000}">
      <text>
        <r>
          <rPr>
            <b/>
            <sz val="9"/>
            <color indexed="81"/>
            <rFont val="Tahoma"/>
            <family val="2"/>
          </rPr>
          <t>Jorge Arturo Espinoza:</t>
        </r>
        <r>
          <rPr>
            <sz val="9"/>
            <color indexed="81"/>
            <rFont val="Tahoma"/>
            <family val="2"/>
          </rPr>
          <t xml:space="preserve">
(1) Armazon + (2) Placas</t>
        </r>
      </text>
    </comment>
    <comment ref="B1256" authorId="0" shapeId="0" xr:uid="{00000000-0006-0000-0100-000067000000}">
      <text>
        <r>
          <rPr>
            <b/>
            <sz val="9"/>
            <color indexed="81"/>
            <rFont val="Tahoma"/>
            <family val="2"/>
          </rPr>
          <t>Jorge Arturo Espinoza:</t>
        </r>
        <r>
          <rPr>
            <sz val="9"/>
            <color indexed="81"/>
            <rFont val="Tahoma"/>
            <family val="2"/>
          </rPr>
          <t xml:space="preserve">
(1) Armazon + (2) Placas</t>
        </r>
      </text>
    </comment>
    <comment ref="B1257" authorId="0" shapeId="0" xr:uid="{00000000-0006-0000-0100-000068000000}">
      <text>
        <r>
          <rPr>
            <b/>
            <sz val="9"/>
            <color indexed="81"/>
            <rFont val="Tahoma"/>
            <family val="2"/>
          </rPr>
          <t>Jorge Arturo Espinoza:</t>
        </r>
        <r>
          <rPr>
            <sz val="9"/>
            <color indexed="81"/>
            <rFont val="Tahoma"/>
            <family val="2"/>
          </rPr>
          <t xml:space="preserve">
(1) Armazon + (2) Placas</t>
        </r>
      </text>
    </comment>
    <comment ref="C1720" authorId="0" shapeId="0" xr:uid="{00000000-0006-0000-0100-000069000000}">
      <text>
        <r>
          <rPr>
            <b/>
            <sz val="9"/>
            <color indexed="81"/>
            <rFont val="Tahoma"/>
            <family val="2"/>
          </rPr>
          <t>Jorge Arturo Espinoza:</t>
        </r>
        <r>
          <rPr>
            <sz val="9"/>
            <color indexed="81"/>
            <rFont val="Tahoma"/>
            <family val="2"/>
          </rPr>
          <t xml:space="preserve">
fue corregido</t>
        </r>
      </text>
    </comment>
    <comment ref="C1721" authorId="0" shapeId="0" xr:uid="{00000000-0006-0000-0100-00006A000000}">
      <text>
        <r>
          <rPr>
            <b/>
            <sz val="9"/>
            <color indexed="81"/>
            <rFont val="Tahoma"/>
            <family val="2"/>
          </rPr>
          <t>Jorge Arturo Espinoza:</t>
        </r>
        <r>
          <rPr>
            <sz val="9"/>
            <color indexed="81"/>
            <rFont val="Tahoma"/>
            <family val="2"/>
          </rPr>
          <t xml:space="preserve">
fue corregido</t>
        </r>
      </text>
    </comment>
    <comment ref="C1722" authorId="0" shapeId="0" xr:uid="{00000000-0006-0000-0100-00006B000000}">
      <text>
        <r>
          <rPr>
            <b/>
            <sz val="9"/>
            <color indexed="81"/>
            <rFont val="Tahoma"/>
            <family val="2"/>
          </rPr>
          <t>Jorge Arturo Espinoza:</t>
        </r>
        <r>
          <rPr>
            <sz val="9"/>
            <color indexed="81"/>
            <rFont val="Tahoma"/>
            <family val="2"/>
          </rPr>
          <t xml:space="preserve">
fue corregido</t>
        </r>
      </text>
    </comment>
    <comment ref="C1723" authorId="0" shapeId="0" xr:uid="{00000000-0006-0000-0100-00006C000000}">
      <text>
        <r>
          <rPr>
            <b/>
            <sz val="9"/>
            <color indexed="81"/>
            <rFont val="Tahoma"/>
            <family val="2"/>
          </rPr>
          <t>Jorge Arturo Espinoza:</t>
        </r>
        <r>
          <rPr>
            <sz val="9"/>
            <color indexed="81"/>
            <rFont val="Tahoma"/>
            <family val="2"/>
          </rPr>
          <t xml:space="preserve">
fue corregido</t>
        </r>
      </text>
    </comment>
    <comment ref="B1729" authorId="0" shapeId="0" xr:uid="{00000000-0006-0000-0100-00006D000000}">
      <text>
        <r>
          <rPr>
            <b/>
            <sz val="9"/>
            <color indexed="81"/>
            <rFont val="Tahoma"/>
            <family val="2"/>
          </rPr>
          <t>Jorge Arturo Espinoza:</t>
        </r>
        <r>
          <rPr>
            <sz val="9"/>
            <color indexed="81"/>
            <rFont val="Tahoma"/>
            <family val="2"/>
          </rPr>
          <t xml:space="preserve">
(1) Armazon + (1) Placas</t>
        </r>
      </text>
    </comment>
    <comment ref="B1730" authorId="0" shapeId="0" xr:uid="{00000000-0006-0000-0100-00006E000000}">
      <text>
        <r>
          <rPr>
            <b/>
            <sz val="9"/>
            <color indexed="81"/>
            <rFont val="Tahoma"/>
            <family val="2"/>
          </rPr>
          <t>Jorge Arturo Espinoza:</t>
        </r>
        <r>
          <rPr>
            <sz val="9"/>
            <color indexed="81"/>
            <rFont val="Tahoma"/>
            <family val="2"/>
          </rPr>
          <t xml:space="preserve">
(1) Armazon + (1) Placas</t>
        </r>
      </text>
    </comment>
    <comment ref="B1731" authorId="0" shapeId="0" xr:uid="{00000000-0006-0000-0100-00006F000000}">
      <text>
        <r>
          <rPr>
            <b/>
            <sz val="9"/>
            <color indexed="81"/>
            <rFont val="Tahoma"/>
            <family val="2"/>
          </rPr>
          <t>Jorge Arturo Espinoza:</t>
        </r>
        <r>
          <rPr>
            <sz val="9"/>
            <color indexed="81"/>
            <rFont val="Tahoma"/>
            <family val="2"/>
          </rPr>
          <t xml:space="preserve">
(1) Armazon + (1) Placas</t>
        </r>
      </text>
    </comment>
    <comment ref="B1732" authorId="0" shapeId="0" xr:uid="{00000000-0006-0000-0100-000070000000}">
      <text>
        <r>
          <rPr>
            <b/>
            <sz val="9"/>
            <color indexed="81"/>
            <rFont val="Tahoma"/>
            <family val="2"/>
          </rPr>
          <t>Jorge Arturo Espinoza:</t>
        </r>
        <r>
          <rPr>
            <sz val="9"/>
            <color indexed="81"/>
            <rFont val="Tahoma"/>
            <family val="2"/>
          </rPr>
          <t xml:space="preserve">
(1) Armazon + (1) Placas</t>
        </r>
      </text>
    </comment>
    <comment ref="B1733" authorId="0" shapeId="0" xr:uid="{00000000-0006-0000-0100-000071000000}">
      <text>
        <r>
          <rPr>
            <b/>
            <sz val="9"/>
            <color indexed="81"/>
            <rFont val="Tahoma"/>
            <family val="2"/>
          </rPr>
          <t>Jorge Arturo Espinoza:</t>
        </r>
        <r>
          <rPr>
            <sz val="9"/>
            <color indexed="81"/>
            <rFont val="Tahoma"/>
            <family val="2"/>
          </rPr>
          <t xml:space="preserve">
(1) Armazon + (1) Placas</t>
        </r>
      </text>
    </comment>
    <comment ref="B1734" authorId="0" shapeId="0" xr:uid="{00000000-0006-0000-0100-000072000000}">
      <text>
        <r>
          <rPr>
            <b/>
            <sz val="9"/>
            <color indexed="81"/>
            <rFont val="Tahoma"/>
            <family val="2"/>
          </rPr>
          <t>Jorge Arturo Espinoza:</t>
        </r>
        <r>
          <rPr>
            <sz val="9"/>
            <color indexed="81"/>
            <rFont val="Tahoma"/>
            <family val="2"/>
          </rPr>
          <t xml:space="preserve">
(1) Armazon + (1) Placas</t>
        </r>
      </text>
    </comment>
    <comment ref="B1735" authorId="0" shapeId="0" xr:uid="{00000000-0006-0000-0100-000073000000}">
      <text>
        <r>
          <rPr>
            <b/>
            <sz val="9"/>
            <color indexed="81"/>
            <rFont val="Tahoma"/>
            <family val="2"/>
          </rPr>
          <t>Jorge Arturo Espinoza:</t>
        </r>
        <r>
          <rPr>
            <sz val="9"/>
            <color indexed="81"/>
            <rFont val="Tahoma"/>
            <family val="2"/>
          </rPr>
          <t xml:space="preserve">
(1) Armazon + (1) Placas</t>
        </r>
      </text>
    </comment>
    <comment ref="B1736" authorId="0" shapeId="0" xr:uid="{00000000-0006-0000-0100-000074000000}">
      <text>
        <r>
          <rPr>
            <b/>
            <sz val="9"/>
            <color indexed="81"/>
            <rFont val="Tahoma"/>
            <family val="2"/>
          </rPr>
          <t>Jorge Arturo Espinoza:</t>
        </r>
        <r>
          <rPr>
            <sz val="9"/>
            <color indexed="81"/>
            <rFont val="Tahoma"/>
            <family val="2"/>
          </rPr>
          <t xml:space="preserve">
(1) Armazon + (1) Placas</t>
        </r>
      </text>
    </comment>
    <comment ref="B1738" authorId="0" shapeId="0" xr:uid="{00000000-0006-0000-0100-000075000000}">
      <text>
        <r>
          <rPr>
            <b/>
            <sz val="9"/>
            <color indexed="81"/>
            <rFont val="Tahoma"/>
            <family val="2"/>
          </rPr>
          <t>Jorge Arturo Espinoza:</t>
        </r>
        <r>
          <rPr>
            <sz val="9"/>
            <color indexed="81"/>
            <rFont val="Tahoma"/>
            <family val="2"/>
          </rPr>
          <t xml:space="preserve">
(01) placa</t>
        </r>
      </text>
    </comment>
    <comment ref="B1739" authorId="0" shapeId="0" xr:uid="{00000000-0006-0000-0100-000076000000}">
      <text>
        <r>
          <rPr>
            <b/>
            <sz val="9"/>
            <color indexed="81"/>
            <rFont val="Tahoma"/>
            <family val="2"/>
          </rPr>
          <t>Jorge Arturo Espinoza:</t>
        </r>
        <r>
          <rPr>
            <sz val="9"/>
            <color indexed="81"/>
            <rFont val="Tahoma"/>
            <family val="2"/>
          </rPr>
          <t xml:space="preserve">
(01) placa</t>
        </r>
      </text>
    </comment>
    <comment ref="B1741" authorId="0" shapeId="0" xr:uid="{00000000-0006-0000-0100-000077000000}">
      <text>
        <r>
          <rPr>
            <b/>
            <sz val="9"/>
            <color indexed="81"/>
            <rFont val="Tahoma"/>
            <family val="2"/>
          </rPr>
          <t>Jorge Arturo Espinoza:</t>
        </r>
        <r>
          <rPr>
            <sz val="9"/>
            <color indexed="81"/>
            <rFont val="Tahoma"/>
            <family val="2"/>
          </rPr>
          <t xml:space="preserve">
(02) placas + (01) kit cables</t>
        </r>
      </text>
    </comment>
    <comment ref="B1742" authorId="0" shapeId="0" xr:uid="{00000000-0006-0000-0100-000078000000}">
      <text>
        <r>
          <rPr>
            <b/>
            <sz val="9"/>
            <color indexed="81"/>
            <rFont val="Tahoma"/>
            <family val="2"/>
          </rPr>
          <t>Jorge Arturo Espinoza:</t>
        </r>
        <r>
          <rPr>
            <sz val="9"/>
            <color indexed="81"/>
            <rFont val="Tahoma"/>
            <family val="2"/>
          </rPr>
          <t xml:space="preserve">
(02) placas + (01) kit cables</t>
        </r>
      </text>
    </comment>
    <comment ref="C1747" authorId="0" shapeId="0" xr:uid="{00000000-0006-0000-0100-000079000000}">
      <text>
        <r>
          <rPr>
            <b/>
            <sz val="9"/>
            <color indexed="81"/>
            <rFont val="Tahoma"/>
            <family val="2"/>
          </rPr>
          <t>Jorge Arturo Espinoza:</t>
        </r>
        <r>
          <rPr>
            <sz val="9"/>
            <color indexed="81"/>
            <rFont val="Tahoma"/>
            <family val="2"/>
          </rPr>
          <t xml:space="preserve">
ESTIMADO:
SE DEBE CONSULTAR A ABB</t>
        </r>
      </text>
    </comment>
    <comment ref="E1747" authorId="0" shapeId="0" xr:uid="{00000000-0006-0000-0100-00007A000000}">
      <text>
        <r>
          <rPr>
            <b/>
            <sz val="9"/>
            <color indexed="81"/>
            <rFont val="Tahoma"/>
            <family val="2"/>
          </rPr>
          <t>Jorge Arturo Espinoza:</t>
        </r>
        <r>
          <rPr>
            <sz val="9"/>
            <color indexed="81"/>
            <rFont val="Tahoma"/>
            <family val="2"/>
          </rPr>
          <t xml:space="preserve">
E1 -&gt; 400
E2 -&gt; 500
E4 -&gt; 600
E1-4p -&gt; 500
E2-4p -&gt; 600
E4-4p -&gt; 700</t>
        </r>
      </text>
    </comment>
    <comment ref="H1747" authorId="0" shapeId="0" xr:uid="{00000000-0006-0000-0100-00007B000000}">
      <text>
        <r>
          <rPr>
            <b/>
            <sz val="9"/>
            <color indexed="81"/>
            <rFont val="Tahoma"/>
            <family val="2"/>
          </rPr>
          <t>Jorge Arturo Espinoza:</t>
        </r>
        <r>
          <rPr>
            <sz val="9"/>
            <color indexed="81"/>
            <rFont val="Tahoma"/>
            <family val="2"/>
          </rPr>
          <t xml:space="preserve">
NO APARECE EN LISTA DE PRECIOS</t>
        </r>
      </text>
    </comment>
    <comment ref="D1749" authorId="0" shapeId="0" xr:uid="{00000000-0006-0000-0100-00007C000000}">
      <text>
        <r>
          <rPr>
            <b/>
            <sz val="9"/>
            <color indexed="81"/>
            <rFont val="Tahoma"/>
            <family val="2"/>
          </rPr>
          <t>Jorge Arturo Espinoza:</t>
        </r>
        <r>
          <rPr>
            <sz val="9"/>
            <color indexed="81"/>
            <rFont val="Tahoma"/>
            <family val="2"/>
          </rPr>
          <t xml:space="preserve">
E1 -&gt; 400
E2 -&gt; 500
E4 -&gt; 600
E1-4p -&gt; 500
E2-4p -&gt; 600
E4-4p -&gt; 700</t>
        </r>
      </text>
    </comment>
    <comment ref="E1749" authorId="0" shapeId="0" xr:uid="{00000000-0006-0000-0100-00007D000000}">
      <text>
        <r>
          <rPr>
            <b/>
            <sz val="9"/>
            <color indexed="81"/>
            <rFont val="Tahoma"/>
            <family val="2"/>
          </rPr>
          <t>Jorge Arturo Espinoza:</t>
        </r>
        <r>
          <rPr>
            <sz val="9"/>
            <color indexed="81"/>
            <rFont val="Tahoma"/>
            <family val="2"/>
          </rPr>
          <t xml:space="preserve">
E1 -&gt; 400
E2 -&gt; 500
E4 -&gt; 600
E1-4p -&gt; 500
E2-4p -&gt; 600
E4-4p -&gt; 700</t>
        </r>
      </text>
    </comment>
    <comment ref="E1750" authorId="0" shapeId="0" xr:uid="{00000000-0006-0000-0100-00007E000000}">
      <text>
        <r>
          <rPr>
            <b/>
            <sz val="9"/>
            <color indexed="81"/>
            <rFont val="Tahoma"/>
            <family val="2"/>
          </rPr>
          <t>Jorge Arturo Espinoza:</t>
        </r>
        <r>
          <rPr>
            <sz val="9"/>
            <color indexed="81"/>
            <rFont val="Tahoma"/>
            <family val="2"/>
          </rPr>
          <t xml:space="preserve">
E1 -&gt; 400
E2 -&gt; 500
E4 -&gt; 600
E1-4p -&gt; 500
E2-4p -&gt; 600
E4-4p -&gt; 700</t>
        </r>
      </text>
    </comment>
    <comment ref="E1752" authorId="0" shapeId="0" xr:uid="{00000000-0006-0000-0100-00007F000000}">
      <text>
        <r>
          <rPr>
            <b/>
            <sz val="9"/>
            <color indexed="81"/>
            <rFont val="Tahoma"/>
            <family val="2"/>
          </rPr>
          <t>Jorge Arturo Espinoza:</t>
        </r>
        <r>
          <rPr>
            <sz val="9"/>
            <color indexed="81"/>
            <rFont val="Tahoma"/>
            <family val="2"/>
          </rPr>
          <t xml:space="preserve">
E1 -&gt; 400
E2 -&gt; 500
E4 -&gt; 600
E1-4p -&gt; 500
E2-4p -&gt; 600
E4-4p -&gt; 700</t>
        </r>
      </text>
    </comment>
    <comment ref="E1753" authorId="0" shapeId="0" xr:uid="{00000000-0006-0000-0100-000080000000}">
      <text>
        <r>
          <rPr>
            <b/>
            <sz val="9"/>
            <color indexed="81"/>
            <rFont val="Tahoma"/>
            <family val="2"/>
          </rPr>
          <t>Jorge Arturo Espinoza:</t>
        </r>
        <r>
          <rPr>
            <sz val="9"/>
            <color indexed="81"/>
            <rFont val="Tahoma"/>
            <family val="2"/>
          </rPr>
          <t xml:space="preserve">
E1 -&gt; 400
E2 -&gt; 500
E4 -&gt; 600
E1-4p -&gt; 500
E2-4p -&gt; 600
E4-4p -&gt; 700</t>
        </r>
      </text>
    </comment>
    <comment ref="E1755" authorId="0" shapeId="0" xr:uid="{00000000-0006-0000-0100-000081000000}">
      <text>
        <r>
          <rPr>
            <b/>
            <sz val="9"/>
            <color indexed="81"/>
            <rFont val="Tahoma"/>
            <family val="2"/>
          </rPr>
          <t>Jorge Arturo Espinoza:</t>
        </r>
        <r>
          <rPr>
            <sz val="9"/>
            <color indexed="81"/>
            <rFont val="Tahoma"/>
            <family val="2"/>
          </rPr>
          <t xml:space="preserve">
E1 -&gt; 400
E2 -&gt; 500
E4 -&gt; 600
E1-4p -&gt; 500
E2-4p -&gt; 600
E4-4p -&gt; 700</t>
        </r>
      </text>
    </comment>
    <comment ref="E1756" authorId="0" shapeId="0" xr:uid="{00000000-0006-0000-0100-000082000000}">
      <text>
        <r>
          <rPr>
            <b/>
            <sz val="9"/>
            <color indexed="81"/>
            <rFont val="Tahoma"/>
            <family val="2"/>
          </rPr>
          <t>Jorge Arturo Espinoza:</t>
        </r>
        <r>
          <rPr>
            <sz val="9"/>
            <color indexed="81"/>
            <rFont val="Tahoma"/>
            <family val="2"/>
          </rPr>
          <t xml:space="preserve">
E1 -&gt; 400
E2 -&gt; 500
E4 -&gt; 600
E1-4p -&gt; 500
E2-4p -&gt; 600
E4-4p -&gt; 700</t>
        </r>
      </text>
    </comment>
    <comment ref="D1758" authorId="0" shapeId="0" xr:uid="{00000000-0006-0000-0100-000083000000}">
      <text>
        <r>
          <rPr>
            <b/>
            <sz val="9"/>
            <color indexed="81"/>
            <rFont val="Tahoma"/>
            <family val="2"/>
          </rPr>
          <t>Jorge Arturo Espinoza:</t>
        </r>
        <r>
          <rPr>
            <sz val="9"/>
            <color indexed="81"/>
            <rFont val="Tahoma"/>
            <family val="2"/>
          </rPr>
          <t xml:space="preserve">
E1 -&gt; 400
E2 -&gt; 500
E4 -&gt; 600
E1-4p -&gt; 500
E2-4p -&gt; 600
E4-4p -&gt; 700</t>
        </r>
      </text>
    </comment>
    <comment ref="E1758" authorId="0" shapeId="0" xr:uid="{00000000-0006-0000-0100-000084000000}">
      <text>
        <r>
          <rPr>
            <b/>
            <sz val="9"/>
            <color indexed="81"/>
            <rFont val="Tahoma"/>
            <family val="2"/>
          </rPr>
          <t>Jorge Arturo Espinoza:</t>
        </r>
        <r>
          <rPr>
            <sz val="9"/>
            <color indexed="81"/>
            <rFont val="Tahoma"/>
            <family val="2"/>
          </rPr>
          <t xml:space="preserve">
E1 -&gt; 400
E2 -&gt; 500
E4 -&gt; 600
E1-4p -&gt; 500
E2-4p -&gt; 600
E4-4p -&gt; 700</t>
        </r>
      </text>
    </comment>
    <comment ref="E1759" authorId="0" shapeId="0" xr:uid="{00000000-0006-0000-0100-000085000000}">
      <text>
        <r>
          <rPr>
            <b/>
            <sz val="9"/>
            <color indexed="81"/>
            <rFont val="Tahoma"/>
            <family val="2"/>
          </rPr>
          <t>Jorge Arturo Espinoza:</t>
        </r>
        <r>
          <rPr>
            <sz val="9"/>
            <color indexed="81"/>
            <rFont val="Tahoma"/>
            <family val="2"/>
          </rPr>
          <t xml:space="preserve">
E1 -&gt; 400
E2 -&gt; 500
E4 -&gt; 600
E1-4p -&gt; 500
E2-4p -&gt; 600
E4-4p -&gt; 700</t>
        </r>
      </text>
    </comment>
    <comment ref="D1761" authorId="0" shapeId="0" xr:uid="{00000000-0006-0000-0100-000086000000}">
      <text>
        <r>
          <rPr>
            <b/>
            <sz val="9"/>
            <color indexed="81"/>
            <rFont val="Tahoma"/>
            <family val="2"/>
          </rPr>
          <t>Jorge Arturo Espinoza:</t>
        </r>
        <r>
          <rPr>
            <sz val="9"/>
            <color indexed="81"/>
            <rFont val="Tahoma"/>
            <family val="2"/>
          </rPr>
          <t xml:space="preserve">
E1 -&gt; 400
E2 -&gt; 500
E4 -&gt; 600
E1-4p -&gt; 500
E2-4p -&gt; 600
E4-4p -&gt; 700</t>
        </r>
      </text>
    </comment>
    <comment ref="E1761" authorId="0" shapeId="0" xr:uid="{00000000-0006-0000-0100-000087000000}">
      <text>
        <r>
          <rPr>
            <b/>
            <sz val="9"/>
            <color indexed="81"/>
            <rFont val="Tahoma"/>
            <family val="2"/>
          </rPr>
          <t>Jorge Arturo Espinoza:</t>
        </r>
        <r>
          <rPr>
            <sz val="9"/>
            <color indexed="81"/>
            <rFont val="Tahoma"/>
            <family val="2"/>
          </rPr>
          <t xml:space="preserve">
E1 -&gt; 400
E2 -&gt; 500
E4 -&gt; 600
E1-4p -&gt; 500
E2-4p -&gt; 600
E4-4p -&gt; 700</t>
        </r>
      </text>
    </comment>
    <comment ref="E1762" authorId="0" shapeId="0" xr:uid="{00000000-0006-0000-0100-000088000000}">
      <text>
        <r>
          <rPr>
            <b/>
            <sz val="9"/>
            <color indexed="81"/>
            <rFont val="Tahoma"/>
            <family val="2"/>
          </rPr>
          <t>Jorge Arturo Espinoza:</t>
        </r>
        <r>
          <rPr>
            <sz val="9"/>
            <color indexed="81"/>
            <rFont val="Tahoma"/>
            <family val="2"/>
          </rPr>
          <t xml:space="preserve">
E1 -&gt; 400
E2 -&gt; 500
E4 -&gt; 600
E1-4p -&gt; 500
E2-4p -&gt; 600
E4-4p -&gt; 700</t>
        </r>
      </text>
    </comment>
    <comment ref="E1764" authorId="0" shapeId="0" xr:uid="{00000000-0006-0000-0100-000089000000}">
      <text>
        <r>
          <rPr>
            <b/>
            <sz val="9"/>
            <color indexed="81"/>
            <rFont val="Tahoma"/>
            <family val="2"/>
          </rPr>
          <t>Jorge Arturo Espinoza:</t>
        </r>
        <r>
          <rPr>
            <sz val="9"/>
            <color indexed="81"/>
            <rFont val="Tahoma"/>
            <family val="2"/>
          </rPr>
          <t xml:space="preserve">
E1 -&gt; 400
E2 -&gt; 500
E4 -&gt; 600
E1-4p -&gt; 500
E2-4p -&gt; 600
E4-4p -&gt; 700</t>
        </r>
      </text>
    </comment>
    <comment ref="D1768" authorId="0" shapeId="0" xr:uid="{00000000-0006-0000-0100-00008A000000}">
      <text>
        <r>
          <rPr>
            <b/>
            <sz val="9"/>
            <color indexed="81"/>
            <rFont val="Tahoma"/>
            <family val="2"/>
          </rPr>
          <t>Jorge Arturo Espinoza:</t>
        </r>
        <r>
          <rPr>
            <sz val="9"/>
            <color indexed="81"/>
            <rFont val="Tahoma"/>
            <family val="2"/>
          </rPr>
          <t xml:space="preserve">
E1 -&gt; 400
E2 -&gt; 500
E4 -&gt; 600
E1-4p -&gt; 500
E2-4p -&gt; 600
E4-4p -&gt; 700</t>
        </r>
      </text>
    </comment>
    <comment ref="E1768" authorId="0" shapeId="0" xr:uid="{00000000-0006-0000-0100-00008B000000}">
      <text>
        <r>
          <rPr>
            <b/>
            <sz val="9"/>
            <color indexed="81"/>
            <rFont val="Tahoma"/>
            <family val="2"/>
          </rPr>
          <t>Jorge Arturo Espinoza:</t>
        </r>
        <r>
          <rPr>
            <sz val="9"/>
            <color indexed="81"/>
            <rFont val="Tahoma"/>
            <family val="2"/>
          </rPr>
          <t xml:space="preserve">
E1 -&gt; 400
E2 -&gt; 500
E4 -&gt; 600
E1-4p -&gt; 500
E2-4p -&gt; 600
E4-4p -&gt; 700</t>
        </r>
      </text>
    </comment>
    <comment ref="E1769" authorId="0" shapeId="0" xr:uid="{00000000-0006-0000-0100-00008C000000}">
      <text>
        <r>
          <rPr>
            <b/>
            <sz val="9"/>
            <color indexed="81"/>
            <rFont val="Tahoma"/>
            <family val="2"/>
          </rPr>
          <t>Jorge Arturo Espinoza:</t>
        </r>
        <r>
          <rPr>
            <sz val="9"/>
            <color indexed="81"/>
            <rFont val="Tahoma"/>
            <family val="2"/>
          </rPr>
          <t xml:space="preserve">
E1 -&gt; 400
E2 -&gt; 500
E4 -&gt; 600
E1-4p -&gt; 500
E2-4p -&gt; 600
E4-4p -&gt; 700</t>
        </r>
      </text>
    </comment>
    <comment ref="E1770" authorId="0" shapeId="0" xr:uid="{00000000-0006-0000-0100-00008D000000}">
      <text>
        <r>
          <rPr>
            <b/>
            <sz val="9"/>
            <color indexed="81"/>
            <rFont val="Tahoma"/>
            <family val="2"/>
          </rPr>
          <t>Jorge Arturo Espinoza:</t>
        </r>
        <r>
          <rPr>
            <sz val="9"/>
            <color indexed="81"/>
            <rFont val="Tahoma"/>
            <family val="2"/>
          </rPr>
          <t xml:space="preserve">
E1 -&gt; 400
E2 -&gt; 500
E4 -&gt; 600
E1-4p -&gt; 500
E2-4p -&gt; 600
E4-4p -&gt; 700</t>
        </r>
      </text>
    </comment>
    <comment ref="E1771" authorId="0" shapeId="0" xr:uid="{00000000-0006-0000-0100-00008E000000}">
      <text>
        <r>
          <rPr>
            <b/>
            <sz val="9"/>
            <color indexed="81"/>
            <rFont val="Tahoma"/>
            <family val="2"/>
          </rPr>
          <t>Jorge Arturo Espinoza:</t>
        </r>
        <r>
          <rPr>
            <sz val="9"/>
            <color indexed="81"/>
            <rFont val="Tahoma"/>
            <family val="2"/>
          </rPr>
          <t xml:space="preserve">
E1 -&gt; 400
E2 -&gt; 500
E4 -&gt; 600
E1-4p -&gt; 500
E2-4p -&gt; 600
E4-4p -&gt; 700</t>
        </r>
      </text>
    </comment>
    <comment ref="E1773" authorId="0" shapeId="0" xr:uid="{00000000-0006-0000-0100-00008F000000}">
      <text>
        <r>
          <rPr>
            <b/>
            <sz val="9"/>
            <color indexed="81"/>
            <rFont val="Tahoma"/>
            <family val="2"/>
          </rPr>
          <t>Jorge Arturo Espinoza:</t>
        </r>
        <r>
          <rPr>
            <sz val="9"/>
            <color indexed="81"/>
            <rFont val="Tahoma"/>
            <family val="2"/>
          </rPr>
          <t xml:space="preserve">
E1 -&gt; 400
E2 -&gt; 500
E4 -&gt; 600
E1-4p -&gt; 500
E2-4p -&gt; 600
E4-4p -&gt; 700</t>
        </r>
      </text>
    </comment>
    <comment ref="C1775" authorId="0" shapeId="0" xr:uid="{00000000-0006-0000-0100-000090000000}">
      <text>
        <r>
          <rPr>
            <b/>
            <sz val="9"/>
            <color indexed="81"/>
            <rFont val="Tahoma"/>
            <family val="2"/>
          </rPr>
          <t>Jorge Arturo Espinoza:</t>
        </r>
        <r>
          <rPr>
            <sz val="9"/>
            <color indexed="81"/>
            <rFont val="Tahoma"/>
            <family val="2"/>
          </rPr>
          <t xml:space="preserve">
ESTIMADO:
SE DEBE CONSULTAR A ABB</t>
        </r>
      </text>
    </comment>
    <comment ref="E1775" authorId="0" shapeId="0" xr:uid="{00000000-0006-0000-0100-000091000000}">
      <text>
        <r>
          <rPr>
            <b/>
            <sz val="9"/>
            <color indexed="81"/>
            <rFont val="Tahoma"/>
            <family val="2"/>
          </rPr>
          <t>Jorge Arturo Espinoza:</t>
        </r>
        <r>
          <rPr>
            <sz val="9"/>
            <color indexed="81"/>
            <rFont val="Tahoma"/>
            <family val="2"/>
          </rPr>
          <t xml:space="preserve">
E1 -&gt; 400
E2 -&gt; 500
E4 -&gt; 600
E1-4p -&gt; 500
E2-4p -&gt; 600
E4-4p -&gt; 700</t>
        </r>
      </text>
    </comment>
    <comment ref="H1775" authorId="0" shapeId="0" xr:uid="{00000000-0006-0000-0100-000092000000}">
      <text>
        <r>
          <rPr>
            <b/>
            <sz val="9"/>
            <color indexed="81"/>
            <rFont val="Tahoma"/>
            <family val="2"/>
          </rPr>
          <t>Jorge Arturo Espinoza:</t>
        </r>
        <r>
          <rPr>
            <sz val="9"/>
            <color indexed="81"/>
            <rFont val="Tahoma"/>
            <family val="2"/>
          </rPr>
          <t xml:space="preserve">
NO APARECE EN LISTA DE PRECIOS</t>
        </r>
      </text>
    </comment>
    <comment ref="C1776" authorId="0" shapeId="0" xr:uid="{00000000-0006-0000-0100-000093000000}">
      <text>
        <r>
          <rPr>
            <b/>
            <sz val="9"/>
            <color indexed="81"/>
            <rFont val="Tahoma"/>
            <family val="2"/>
          </rPr>
          <t>Jorge Arturo Espinoza:</t>
        </r>
        <r>
          <rPr>
            <sz val="9"/>
            <color indexed="81"/>
            <rFont val="Tahoma"/>
            <family val="2"/>
          </rPr>
          <t xml:space="preserve">
PRECIO DADO POR ABB
EL 28-DIC-2015</t>
        </r>
      </text>
    </comment>
    <comment ref="E1776" authorId="0" shapeId="0" xr:uid="{00000000-0006-0000-0100-000094000000}">
      <text>
        <r>
          <rPr>
            <b/>
            <sz val="9"/>
            <color indexed="81"/>
            <rFont val="Tahoma"/>
            <family val="2"/>
          </rPr>
          <t>Jorge Arturo Espinoza:</t>
        </r>
        <r>
          <rPr>
            <sz val="9"/>
            <color indexed="81"/>
            <rFont val="Tahoma"/>
            <family val="2"/>
          </rPr>
          <t xml:space="preserve">
E1 -&gt; 400
E2 -&gt; 500
E4 -&gt; 600
E1-4p -&gt; 500
E2-4p -&gt; 600
E4-4p -&gt; 700</t>
        </r>
      </text>
    </comment>
    <comment ref="H1776" authorId="0" shapeId="0" xr:uid="{00000000-0006-0000-0100-000095000000}">
      <text>
        <r>
          <rPr>
            <b/>
            <sz val="9"/>
            <color indexed="81"/>
            <rFont val="Tahoma"/>
            <family val="2"/>
          </rPr>
          <t>Jorge Arturo Espinoza:</t>
        </r>
        <r>
          <rPr>
            <sz val="9"/>
            <color indexed="81"/>
            <rFont val="Tahoma"/>
            <family val="2"/>
          </rPr>
          <t xml:space="preserve">
NO APARECE EN LISTA DE PRECIOS</t>
        </r>
      </text>
    </comment>
    <comment ref="E1777" authorId="0" shapeId="0" xr:uid="{00000000-0006-0000-0100-000096000000}">
      <text>
        <r>
          <rPr>
            <b/>
            <sz val="9"/>
            <color indexed="81"/>
            <rFont val="Tahoma"/>
            <family val="2"/>
          </rPr>
          <t>Jorge Arturo Espinoza:</t>
        </r>
        <r>
          <rPr>
            <sz val="9"/>
            <color indexed="81"/>
            <rFont val="Tahoma"/>
            <family val="2"/>
          </rPr>
          <t xml:space="preserve">
E1 -&gt; 400
E2 -&gt; 500
E4 -&gt; 600
E1-4p -&gt; 500
E2-4p -&gt; 600
E4-4p -&gt; 700</t>
        </r>
      </text>
    </comment>
    <comment ref="E1778" authorId="0" shapeId="0" xr:uid="{00000000-0006-0000-0100-000097000000}">
      <text>
        <r>
          <rPr>
            <b/>
            <sz val="9"/>
            <color indexed="81"/>
            <rFont val="Tahoma"/>
            <family val="2"/>
          </rPr>
          <t>Jorge Arturo Espinoza:</t>
        </r>
        <r>
          <rPr>
            <sz val="9"/>
            <color indexed="81"/>
            <rFont val="Tahoma"/>
            <family val="2"/>
          </rPr>
          <t xml:space="preserve">
E1 -&gt; 400
E2 -&gt; 500
E4 -&gt; 600
E1-4p -&gt; 500
E2-4p -&gt; 600
E4-4p -&gt; 700</t>
        </r>
      </text>
    </comment>
    <comment ref="E1779" authorId="0" shapeId="0" xr:uid="{00000000-0006-0000-0100-000098000000}">
      <text>
        <r>
          <rPr>
            <b/>
            <sz val="9"/>
            <color indexed="81"/>
            <rFont val="Tahoma"/>
            <family val="2"/>
          </rPr>
          <t>Jorge Arturo Espinoza:</t>
        </r>
        <r>
          <rPr>
            <sz val="9"/>
            <color indexed="81"/>
            <rFont val="Tahoma"/>
            <family val="2"/>
          </rPr>
          <t xml:space="preserve">
E1 -&gt; 400
E2 -&gt; 500
E4 -&gt; 600
E1-4p -&gt; 500
E2-4p -&gt; 600
E4-4p -&gt; 700</t>
        </r>
      </text>
    </comment>
    <comment ref="E1781" authorId="0" shapeId="0" xr:uid="{00000000-0006-0000-0100-000099000000}">
      <text>
        <r>
          <rPr>
            <b/>
            <sz val="9"/>
            <color indexed="81"/>
            <rFont val="Tahoma"/>
            <family val="2"/>
          </rPr>
          <t>Jorge Arturo Espinoza:</t>
        </r>
        <r>
          <rPr>
            <sz val="9"/>
            <color indexed="81"/>
            <rFont val="Tahoma"/>
            <family val="2"/>
          </rPr>
          <t xml:space="preserve">
E1 -&gt; 400
E2 -&gt; 500
E4 -&gt; 600
E1-4p -&gt; 500
E2-4p -&gt; 600
E4-4p -&gt; 700</t>
        </r>
      </text>
    </comment>
    <comment ref="E1782" authorId="0" shapeId="0" xr:uid="{00000000-0006-0000-0100-00009A000000}">
      <text>
        <r>
          <rPr>
            <b/>
            <sz val="9"/>
            <color indexed="81"/>
            <rFont val="Tahoma"/>
            <family val="2"/>
          </rPr>
          <t>Jorge Arturo Espinoza:</t>
        </r>
        <r>
          <rPr>
            <sz val="9"/>
            <color indexed="81"/>
            <rFont val="Tahoma"/>
            <family val="2"/>
          </rPr>
          <t xml:space="preserve">
E1 -&gt; 400
E2 -&gt; 500
E4 -&gt; 600
E1-4p -&gt; 500
E2-4p -&gt; 600
E4-4p -&gt; 700</t>
        </r>
      </text>
    </comment>
    <comment ref="E1783" authorId="0" shapeId="0" xr:uid="{00000000-0006-0000-0100-00009B000000}">
      <text>
        <r>
          <rPr>
            <b/>
            <sz val="9"/>
            <color indexed="81"/>
            <rFont val="Tahoma"/>
            <family val="2"/>
          </rPr>
          <t>Jorge Arturo Espinoza:</t>
        </r>
        <r>
          <rPr>
            <sz val="9"/>
            <color indexed="81"/>
            <rFont val="Tahoma"/>
            <family val="2"/>
          </rPr>
          <t xml:space="preserve">
E1 -&gt; 400
E2 -&gt; 500
E4 -&gt; 600
E1-4p -&gt; 500
E2-4p -&gt; 600
E4-4p -&gt; 700</t>
        </r>
      </text>
    </comment>
    <comment ref="E1784" authorId="0" shapeId="0" xr:uid="{00000000-0006-0000-0100-00009C000000}">
      <text>
        <r>
          <rPr>
            <b/>
            <sz val="9"/>
            <color indexed="81"/>
            <rFont val="Tahoma"/>
            <family val="2"/>
          </rPr>
          <t>Jorge Arturo Espinoza:</t>
        </r>
        <r>
          <rPr>
            <sz val="9"/>
            <color indexed="81"/>
            <rFont val="Tahoma"/>
            <family val="2"/>
          </rPr>
          <t xml:space="preserve">
E1 -&gt; 400
E2 -&gt; 500
E4 -&gt; 600
E1-4p -&gt; 500
E2-4p -&gt; 600
E4-4p -&gt; 700</t>
        </r>
      </text>
    </comment>
    <comment ref="E1785" authorId="0" shapeId="0" xr:uid="{00000000-0006-0000-0100-00009D000000}">
      <text>
        <r>
          <rPr>
            <b/>
            <sz val="9"/>
            <color indexed="81"/>
            <rFont val="Tahoma"/>
            <family val="2"/>
          </rPr>
          <t>Jorge Arturo Espinoza:</t>
        </r>
        <r>
          <rPr>
            <sz val="9"/>
            <color indexed="81"/>
            <rFont val="Tahoma"/>
            <family val="2"/>
          </rPr>
          <t xml:space="preserve">
E1 -&gt; 400
E2 -&gt; 500
E4 -&gt; 600
E1-4p -&gt; 500
E2-4p -&gt; 600
E4-4p -&gt; 700</t>
        </r>
      </text>
    </comment>
    <comment ref="E1786" authorId="0" shapeId="0" xr:uid="{00000000-0006-0000-0100-00009E000000}">
      <text>
        <r>
          <rPr>
            <b/>
            <sz val="9"/>
            <color indexed="81"/>
            <rFont val="Tahoma"/>
            <family val="2"/>
          </rPr>
          <t>Jorge Arturo Espinoza:</t>
        </r>
        <r>
          <rPr>
            <sz val="9"/>
            <color indexed="81"/>
            <rFont val="Tahoma"/>
            <family val="2"/>
          </rPr>
          <t xml:space="preserve">
E1 -&gt; 400
E2 -&gt; 500
E4 -&gt; 600
E1-4p -&gt; 500
E2-4p -&gt; 600
E4-4p -&gt; 700</t>
        </r>
      </text>
    </comment>
    <comment ref="E1788" authorId="0" shapeId="0" xr:uid="{00000000-0006-0000-0100-00009F000000}">
      <text>
        <r>
          <rPr>
            <b/>
            <sz val="9"/>
            <color indexed="81"/>
            <rFont val="Tahoma"/>
            <family val="2"/>
          </rPr>
          <t>Jorge Arturo Espinoza:</t>
        </r>
        <r>
          <rPr>
            <sz val="9"/>
            <color indexed="81"/>
            <rFont val="Tahoma"/>
            <family val="2"/>
          </rPr>
          <t xml:space="preserve">
E1 -&gt; 400
E2 -&gt; 500
E4 -&gt; 600
E1-4p -&gt; 500
E2-4p -&gt; 600
E4-4p -&gt; 700</t>
        </r>
      </text>
    </comment>
    <comment ref="E1789" authorId="0" shapeId="0" xr:uid="{00000000-0006-0000-0100-0000A0000000}">
      <text>
        <r>
          <rPr>
            <b/>
            <sz val="9"/>
            <color indexed="81"/>
            <rFont val="Tahoma"/>
            <family val="2"/>
          </rPr>
          <t>Jorge Arturo Espinoza:</t>
        </r>
        <r>
          <rPr>
            <sz val="9"/>
            <color indexed="81"/>
            <rFont val="Tahoma"/>
            <family val="2"/>
          </rPr>
          <t xml:space="preserve">
E1 -&gt; 400
E2 -&gt; 500
E4 -&gt; 600
E1-4p -&gt; 500
E2-4p -&gt; 600
E4-4p -&gt; 700</t>
        </r>
      </text>
    </comment>
    <comment ref="E1790" authorId="0" shapeId="0" xr:uid="{00000000-0006-0000-0100-0000A1000000}">
      <text>
        <r>
          <rPr>
            <b/>
            <sz val="9"/>
            <color indexed="81"/>
            <rFont val="Tahoma"/>
            <family val="2"/>
          </rPr>
          <t>Jorge Arturo Espinoza:</t>
        </r>
        <r>
          <rPr>
            <sz val="9"/>
            <color indexed="81"/>
            <rFont val="Tahoma"/>
            <family val="2"/>
          </rPr>
          <t xml:space="preserve">
E1 -&gt; 400
E2 -&gt; 500
E4 -&gt; 600
E1-4p -&gt; 500
E2-4p -&gt; 600
E4-4p -&gt; 700</t>
        </r>
      </text>
    </comment>
    <comment ref="E1794" authorId="0" shapeId="0" xr:uid="{00000000-0006-0000-0100-0000A2000000}">
      <text>
        <r>
          <rPr>
            <b/>
            <sz val="9"/>
            <color indexed="81"/>
            <rFont val="Tahoma"/>
            <family val="2"/>
          </rPr>
          <t>Jorge Arturo Espinoza:</t>
        </r>
        <r>
          <rPr>
            <sz val="9"/>
            <color indexed="81"/>
            <rFont val="Tahoma"/>
            <family val="2"/>
          </rPr>
          <t xml:space="preserve">
E1 -&gt; 400
E2 -&gt; 500
E4 -&gt; 600
E1-4p -&gt; 500
E2-4p -&gt; 600
E4-4p -&gt; 700</t>
        </r>
      </text>
    </comment>
    <comment ref="E1796" authorId="0" shapeId="0" xr:uid="{00000000-0006-0000-0100-0000A3000000}">
      <text>
        <r>
          <rPr>
            <b/>
            <sz val="9"/>
            <color indexed="81"/>
            <rFont val="Tahoma"/>
            <family val="2"/>
          </rPr>
          <t>Jorge Arturo Espinoza:</t>
        </r>
        <r>
          <rPr>
            <sz val="9"/>
            <color indexed="81"/>
            <rFont val="Tahoma"/>
            <family val="2"/>
          </rPr>
          <t xml:space="preserve">
E1 -&gt; 400
E2 -&gt; 500
E4 -&gt; 600
E1-4p -&gt; 500
E2-4p -&gt; 600
E4-4p -&gt; 700</t>
        </r>
      </text>
    </comment>
    <comment ref="E1798" authorId="0" shapeId="0" xr:uid="{00000000-0006-0000-0100-0000A4000000}">
      <text>
        <r>
          <rPr>
            <b/>
            <sz val="9"/>
            <color indexed="81"/>
            <rFont val="Tahoma"/>
            <family val="2"/>
          </rPr>
          <t>Jorge Arturo Espinoza:</t>
        </r>
        <r>
          <rPr>
            <sz val="9"/>
            <color indexed="81"/>
            <rFont val="Tahoma"/>
            <family val="2"/>
          </rPr>
          <t xml:space="preserve">
E1 -&gt; 400
E2 -&gt; 500
E4 -&gt; 600
E1-4p -&gt; 500
E2-4p -&gt; 600
E4-4p -&gt; 700</t>
        </r>
      </text>
    </comment>
    <comment ref="E1799" authorId="0" shapeId="0" xr:uid="{00000000-0006-0000-0100-0000A5000000}">
      <text>
        <r>
          <rPr>
            <b/>
            <sz val="9"/>
            <color indexed="81"/>
            <rFont val="Tahoma"/>
            <family val="2"/>
          </rPr>
          <t>Jorge Arturo Espinoza:</t>
        </r>
        <r>
          <rPr>
            <sz val="9"/>
            <color indexed="81"/>
            <rFont val="Tahoma"/>
            <family val="2"/>
          </rPr>
          <t xml:space="preserve">
E1 -&gt; 400
E2 -&gt; 500
E4 -&gt; 600
E1-4p -&gt; 500
E2-4p -&gt; 600
E4-4p -&gt; 700</t>
        </r>
      </text>
    </comment>
    <comment ref="E1800" authorId="0" shapeId="0" xr:uid="{00000000-0006-0000-0100-0000A6000000}">
      <text>
        <r>
          <rPr>
            <b/>
            <sz val="9"/>
            <color indexed="81"/>
            <rFont val="Tahoma"/>
            <family val="2"/>
          </rPr>
          <t>Jorge Arturo Espinoza:</t>
        </r>
        <r>
          <rPr>
            <sz val="9"/>
            <color indexed="81"/>
            <rFont val="Tahoma"/>
            <family val="2"/>
          </rPr>
          <t xml:space="preserve">
E1 -&gt; 400
E2 -&gt; 500
E4 -&gt; 600
E1-4p -&gt; 500
E2-4p -&gt; 600
E4-4p -&gt; 700</t>
        </r>
      </text>
    </comment>
    <comment ref="E1801" authorId="0" shapeId="0" xr:uid="{00000000-0006-0000-0100-0000A7000000}">
      <text>
        <r>
          <rPr>
            <b/>
            <sz val="9"/>
            <color indexed="81"/>
            <rFont val="Tahoma"/>
            <family val="2"/>
          </rPr>
          <t>Jorge Arturo Espinoza:</t>
        </r>
        <r>
          <rPr>
            <sz val="9"/>
            <color indexed="81"/>
            <rFont val="Tahoma"/>
            <family val="2"/>
          </rPr>
          <t xml:space="preserve">
E1 -&gt; 400
E2 -&gt; 500
E4 -&gt; 600
E1-4p -&gt; 500
E2-4p -&gt; 600
E4-4p -&gt; 700</t>
        </r>
      </text>
    </comment>
    <comment ref="E1802" authorId="0" shapeId="0" xr:uid="{00000000-0006-0000-0100-0000A8000000}">
      <text>
        <r>
          <rPr>
            <b/>
            <sz val="9"/>
            <color indexed="81"/>
            <rFont val="Tahoma"/>
            <family val="2"/>
          </rPr>
          <t>Jorge Arturo Espinoza:</t>
        </r>
        <r>
          <rPr>
            <sz val="9"/>
            <color indexed="81"/>
            <rFont val="Tahoma"/>
            <family val="2"/>
          </rPr>
          <t xml:space="preserve">
E1 -&gt; 400
E2 -&gt; 500
E4 -&gt; 600
E1-4p -&gt; 500
E2-4p -&gt; 600
E4-4p -&gt; 700</t>
        </r>
      </text>
    </comment>
    <comment ref="E1803" authorId="0" shapeId="0" xr:uid="{00000000-0006-0000-0100-0000A9000000}">
      <text>
        <r>
          <rPr>
            <b/>
            <sz val="9"/>
            <color indexed="81"/>
            <rFont val="Tahoma"/>
            <family val="2"/>
          </rPr>
          <t>Jorge Arturo Espinoza:</t>
        </r>
        <r>
          <rPr>
            <sz val="9"/>
            <color indexed="81"/>
            <rFont val="Tahoma"/>
            <family val="2"/>
          </rPr>
          <t xml:space="preserve">
E1 -&gt; 400
E2 -&gt; 500
E4 -&gt; 600
E1-4p -&gt; 500
E2-4p -&gt; 600
E4-4p -&gt; 700</t>
        </r>
      </text>
    </comment>
    <comment ref="E1804" authorId="0" shapeId="0" xr:uid="{00000000-0006-0000-0100-0000AA000000}">
      <text>
        <r>
          <rPr>
            <b/>
            <sz val="9"/>
            <color indexed="81"/>
            <rFont val="Tahoma"/>
            <family val="2"/>
          </rPr>
          <t>Jorge Arturo Espinoza:</t>
        </r>
        <r>
          <rPr>
            <sz val="9"/>
            <color indexed="81"/>
            <rFont val="Tahoma"/>
            <family val="2"/>
          </rPr>
          <t xml:space="preserve">
E1 -&gt; 400
E2 -&gt; 500
E4 -&gt; 600
E1-4p -&gt; 500
E2-4p -&gt; 600
E4-4p -&gt; 700</t>
        </r>
      </text>
    </comment>
    <comment ref="E1805" authorId="0" shapeId="0" xr:uid="{00000000-0006-0000-0100-0000AB000000}">
      <text>
        <r>
          <rPr>
            <b/>
            <sz val="9"/>
            <color indexed="81"/>
            <rFont val="Tahoma"/>
            <family val="2"/>
          </rPr>
          <t>Jorge Arturo Espinoza:</t>
        </r>
        <r>
          <rPr>
            <sz val="9"/>
            <color indexed="81"/>
            <rFont val="Tahoma"/>
            <family val="2"/>
          </rPr>
          <t xml:space="preserve">
E1 -&gt; 400
E2 -&gt; 500
E4 -&gt; 600
E1-4p -&gt; 500
E2-4p -&gt; 600
E4-4p -&gt; 700</t>
        </r>
      </text>
    </comment>
    <comment ref="E1806" authorId="0" shapeId="0" xr:uid="{00000000-0006-0000-0100-0000AC000000}">
      <text>
        <r>
          <rPr>
            <b/>
            <sz val="9"/>
            <color indexed="81"/>
            <rFont val="Tahoma"/>
            <family val="2"/>
          </rPr>
          <t>Jorge Arturo Espinoza:</t>
        </r>
        <r>
          <rPr>
            <sz val="9"/>
            <color indexed="81"/>
            <rFont val="Tahoma"/>
            <family val="2"/>
          </rPr>
          <t xml:space="preserve">
E1 -&gt; 400
E2 -&gt; 500
E4 -&gt; 600
E1-4p -&gt; 500
E2-4p -&gt; 600
E4-4p -&gt; 700</t>
        </r>
      </text>
    </comment>
    <comment ref="E1808" authorId="0" shapeId="0" xr:uid="{00000000-0006-0000-0100-0000AD000000}">
      <text>
        <r>
          <rPr>
            <b/>
            <sz val="9"/>
            <color indexed="81"/>
            <rFont val="Tahoma"/>
            <family val="2"/>
          </rPr>
          <t>Jorge Arturo Espinoza:</t>
        </r>
        <r>
          <rPr>
            <sz val="9"/>
            <color indexed="81"/>
            <rFont val="Tahoma"/>
            <family val="2"/>
          </rPr>
          <t xml:space="preserve">
E1 -&gt; 400
E2 -&gt; 500
E4 -&gt; 600
E1-4p -&gt; 500
E2-4p -&gt; 600
E4-4p -&gt; 700</t>
        </r>
      </text>
    </comment>
    <comment ref="E1809" authorId="0" shapeId="0" xr:uid="{00000000-0006-0000-0100-0000AE000000}">
      <text>
        <r>
          <rPr>
            <b/>
            <sz val="9"/>
            <color indexed="81"/>
            <rFont val="Tahoma"/>
            <family val="2"/>
          </rPr>
          <t>Jorge Arturo Espinoza:</t>
        </r>
        <r>
          <rPr>
            <sz val="9"/>
            <color indexed="81"/>
            <rFont val="Tahoma"/>
            <family val="2"/>
          </rPr>
          <t xml:space="preserve">
E1 -&gt; 400
E2 -&gt; 500
E4 -&gt; 600
E1-4p -&gt; 500
E2-4p -&gt; 600
E4-4p -&gt; 700</t>
        </r>
      </text>
    </comment>
    <comment ref="E1810" authorId="0" shapeId="0" xr:uid="{00000000-0006-0000-0100-0000AF000000}">
      <text>
        <r>
          <rPr>
            <b/>
            <sz val="9"/>
            <color indexed="81"/>
            <rFont val="Tahoma"/>
            <family val="2"/>
          </rPr>
          <t>Jorge Arturo Espinoza:</t>
        </r>
        <r>
          <rPr>
            <sz val="9"/>
            <color indexed="81"/>
            <rFont val="Tahoma"/>
            <family val="2"/>
          </rPr>
          <t xml:space="preserve">
E1 -&gt; 400
E2 -&gt; 500
E4 -&gt; 600
E1-4p -&gt; 500
E2-4p -&gt; 600
E4-4p -&gt; 700</t>
        </r>
      </text>
    </comment>
    <comment ref="E1811" authorId="0" shapeId="0" xr:uid="{00000000-0006-0000-0100-0000B0000000}">
      <text>
        <r>
          <rPr>
            <b/>
            <sz val="9"/>
            <color indexed="81"/>
            <rFont val="Tahoma"/>
            <family val="2"/>
          </rPr>
          <t>Jorge Arturo Espinoza:</t>
        </r>
        <r>
          <rPr>
            <sz val="9"/>
            <color indexed="81"/>
            <rFont val="Tahoma"/>
            <family val="2"/>
          </rPr>
          <t xml:space="preserve">
E1 -&gt; 400
E2 -&gt; 500
E4 -&gt; 600
E1-4p -&gt; 500
E2-4p -&gt; 600
E4-4p -&gt; 700</t>
        </r>
      </text>
    </comment>
    <comment ref="E1812" authorId="0" shapeId="0" xr:uid="{00000000-0006-0000-0100-0000B1000000}">
      <text>
        <r>
          <rPr>
            <b/>
            <sz val="9"/>
            <color indexed="81"/>
            <rFont val="Tahoma"/>
            <family val="2"/>
          </rPr>
          <t>Jorge Arturo Espinoza:</t>
        </r>
        <r>
          <rPr>
            <sz val="9"/>
            <color indexed="81"/>
            <rFont val="Tahoma"/>
            <family val="2"/>
          </rPr>
          <t xml:space="preserve">
E1 -&gt; 400
E2 -&gt; 500
E4 -&gt; 600
E1-4p -&gt; 500
E2-4p -&gt; 600
E4-4p -&gt; 700</t>
        </r>
      </text>
    </comment>
    <comment ref="E1813" authorId="0" shapeId="0" xr:uid="{00000000-0006-0000-0100-0000B2000000}">
      <text>
        <r>
          <rPr>
            <b/>
            <sz val="9"/>
            <color indexed="81"/>
            <rFont val="Tahoma"/>
            <family val="2"/>
          </rPr>
          <t>Jorge Arturo Espinoza:</t>
        </r>
        <r>
          <rPr>
            <sz val="9"/>
            <color indexed="81"/>
            <rFont val="Tahoma"/>
            <family val="2"/>
          </rPr>
          <t xml:space="preserve">
E1 -&gt; 400
E2 -&gt; 500
E4 -&gt; 600
E1-4p -&gt; 500
E2-4p -&gt; 600
E4-4p -&gt; 700</t>
        </r>
      </text>
    </comment>
    <comment ref="E1814" authorId="0" shapeId="0" xr:uid="{00000000-0006-0000-0100-0000B3000000}">
      <text>
        <r>
          <rPr>
            <b/>
            <sz val="9"/>
            <color indexed="81"/>
            <rFont val="Tahoma"/>
            <family val="2"/>
          </rPr>
          <t>Jorge Arturo Espinoza:</t>
        </r>
        <r>
          <rPr>
            <sz val="9"/>
            <color indexed="81"/>
            <rFont val="Tahoma"/>
            <family val="2"/>
          </rPr>
          <t xml:space="preserve">
E1 -&gt; 400
E2 -&gt; 500
E4 -&gt; 600
E1-4p -&gt; 500
E2-4p -&gt; 600
E4-4p -&gt; 700</t>
        </r>
      </text>
    </comment>
    <comment ref="B1818" authorId="0" shapeId="0" xr:uid="{00000000-0006-0000-0100-0000B4000000}">
      <text>
        <r>
          <rPr>
            <b/>
            <sz val="9"/>
            <color indexed="81"/>
            <rFont val="Tahoma"/>
            <family val="2"/>
          </rPr>
          <t>Jorge Arturo Espinoza:</t>
        </r>
        <r>
          <rPr>
            <sz val="9"/>
            <color indexed="81"/>
            <rFont val="Tahoma"/>
            <family val="2"/>
          </rPr>
          <t xml:space="preserve">
</t>
        </r>
      </text>
    </comment>
    <comment ref="E1818" authorId="0" shapeId="0" xr:uid="{00000000-0006-0000-0100-0000B5000000}">
      <text>
        <r>
          <rPr>
            <b/>
            <sz val="9"/>
            <color indexed="81"/>
            <rFont val="Tahoma"/>
            <family val="2"/>
          </rPr>
          <t>Jorge Arturo Espinoza:</t>
        </r>
        <r>
          <rPr>
            <sz val="9"/>
            <color indexed="81"/>
            <rFont val="Tahoma"/>
            <family val="2"/>
          </rPr>
          <t xml:space="preserve">
E1 -&gt; 400
E2 -&gt; 500
E4 -&gt; 600
E1-4p -&gt; 500
E2-4p -&gt; 600
E4-4p -&gt; 700</t>
        </r>
      </text>
    </comment>
    <comment ref="B1819" authorId="0" shapeId="0" xr:uid="{00000000-0006-0000-0100-0000B6000000}">
      <text>
        <r>
          <rPr>
            <b/>
            <sz val="9"/>
            <color indexed="81"/>
            <rFont val="Tahoma"/>
            <family val="2"/>
          </rPr>
          <t>Jorge Arturo Espinoza:</t>
        </r>
        <r>
          <rPr>
            <sz val="9"/>
            <color indexed="81"/>
            <rFont val="Tahoma"/>
            <family val="2"/>
          </rPr>
          <t xml:space="preserve">
</t>
        </r>
      </text>
    </comment>
    <comment ref="E1819" authorId="0" shapeId="0" xr:uid="{00000000-0006-0000-0100-0000B7000000}">
      <text>
        <r>
          <rPr>
            <b/>
            <sz val="9"/>
            <color indexed="81"/>
            <rFont val="Tahoma"/>
            <family val="2"/>
          </rPr>
          <t>Jorge Arturo Espinoza:</t>
        </r>
        <r>
          <rPr>
            <sz val="9"/>
            <color indexed="81"/>
            <rFont val="Tahoma"/>
            <family val="2"/>
          </rPr>
          <t xml:space="preserve">
E1 -&gt; 400
E2 -&gt; 500
E4 -&gt; 600
E1-4p -&gt; 500
E2-4p -&gt; 600
E4-4p -&gt; 700</t>
        </r>
      </text>
    </comment>
    <comment ref="B1820" authorId="0" shapeId="0" xr:uid="{00000000-0006-0000-0100-0000B8000000}">
      <text>
        <r>
          <rPr>
            <b/>
            <sz val="9"/>
            <color indexed="81"/>
            <rFont val="Tahoma"/>
            <family val="2"/>
          </rPr>
          <t>Jorge Arturo Espinoza:</t>
        </r>
        <r>
          <rPr>
            <sz val="9"/>
            <color indexed="81"/>
            <rFont val="Tahoma"/>
            <family val="2"/>
          </rPr>
          <t xml:space="preserve">
NO ESTÁN EN LA LISTA DE PRECIOS</t>
        </r>
      </text>
    </comment>
    <comment ref="E1820" authorId="0" shapeId="0" xr:uid="{00000000-0006-0000-0100-0000B9000000}">
      <text>
        <r>
          <rPr>
            <b/>
            <sz val="9"/>
            <color indexed="81"/>
            <rFont val="Tahoma"/>
            <family val="2"/>
          </rPr>
          <t>Jorge Arturo Espinoza:</t>
        </r>
        <r>
          <rPr>
            <sz val="9"/>
            <color indexed="81"/>
            <rFont val="Tahoma"/>
            <family val="2"/>
          </rPr>
          <t xml:space="preserve">
E1 -&gt; 400
E2 -&gt; 500
E4 -&gt; 600
E1-4p -&gt; 500
E2-4p -&gt; 600
E4-4p -&gt; 700</t>
        </r>
      </text>
    </comment>
    <comment ref="E1821" authorId="0" shapeId="0" xr:uid="{00000000-0006-0000-0100-0000BA000000}">
      <text>
        <r>
          <rPr>
            <b/>
            <sz val="9"/>
            <color indexed="81"/>
            <rFont val="Tahoma"/>
            <family val="2"/>
          </rPr>
          <t>Jorge Arturo Espinoza:</t>
        </r>
        <r>
          <rPr>
            <sz val="9"/>
            <color indexed="81"/>
            <rFont val="Tahoma"/>
            <family val="2"/>
          </rPr>
          <t xml:space="preserve">
E1 -&gt; 400
E2 -&gt; 500
E4 -&gt; 600
E1-4p -&gt; 500
E2-4p -&gt; 600
E4-4p -&gt; 700</t>
        </r>
      </text>
    </comment>
    <comment ref="E1822" authorId="0" shapeId="0" xr:uid="{00000000-0006-0000-0100-0000BB000000}">
      <text>
        <r>
          <rPr>
            <b/>
            <sz val="9"/>
            <color indexed="81"/>
            <rFont val="Tahoma"/>
            <family val="2"/>
          </rPr>
          <t>Jorge Arturo Espinoza:</t>
        </r>
        <r>
          <rPr>
            <sz val="9"/>
            <color indexed="81"/>
            <rFont val="Tahoma"/>
            <family val="2"/>
          </rPr>
          <t xml:space="preserve">
E1 -&gt; 400
E2 -&gt; 500
E4 -&gt; 600
E1-4p -&gt; 500
E2-4p -&gt; 600
E4-4p -&gt; 700</t>
        </r>
      </text>
    </comment>
    <comment ref="E1823" authorId="0" shapeId="0" xr:uid="{00000000-0006-0000-0100-0000BC000000}">
      <text>
        <r>
          <rPr>
            <b/>
            <sz val="9"/>
            <color indexed="81"/>
            <rFont val="Tahoma"/>
            <family val="2"/>
          </rPr>
          <t>Jorge Arturo Espinoza:</t>
        </r>
        <r>
          <rPr>
            <sz val="9"/>
            <color indexed="81"/>
            <rFont val="Tahoma"/>
            <family val="2"/>
          </rPr>
          <t xml:space="preserve">
E1 -&gt; 400
E2 -&gt; 500
E4 -&gt; 600
E1-4p -&gt; 500
E2-4p -&gt; 600
E4-4p -&gt; 700</t>
        </r>
      </text>
    </comment>
    <comment ref="E1824" authorId="0" shapeId="0" xr:uid="{00000000-0006-0000-0100-0000BD000000}">
      <text>
        <r>
          <rPr>
            <b/>
            <sz val="9"/>
            <color indexed="81"/>
            <rFont val="Tahoma"/>
            <family val="2"/>
          </rPr>
          <t>Jorge Arturo Espinoza:</t>
        </r>
        <r>
          <rPr>
            <sz val="9"/>
            <color indexed="81"/>
            <rFont val="Tahoma"/>
            <family val="2"/>
          </rPr>
          <t xml:space="preserve">
E1 -&gt; 400
E2 -&gt; 500
E4 -&gt; 600
E1-4p -&gt; 500
E2-4p -&gt; 600
E4-4p -&gt; 700</t>
        </r>
      </text>
    </comment>
    <comment ref="E1825" authorId="0" shapeId="0" xr:uid="{00000000-0006-0000-0100-0000BE000000}">
      <text>
        <r>
          <rPr>
            <b/>
            <sz val="9"/>
            <color indexed="81"/>
            <rFont val="Tahoma"/>
            <family val="2"/>
          </rPr>
          <t>Jorge Arturo Espinoza:</t>
        </r>
        <r>
          <rPr>
            <sz val="9"/>
            <color indexed="81"/>
            <rFont val="Tahoma"/>
            <family val="2"/>
          </rPr>
          <t xml:space="preserve">
E1 -&gt; 400
E2 -&gt; 500
E4 -&gt; 600
E1-4p -&gt; 500
E2-4p -&gt; 600
E4-4p -&gt; 700</t>
        </r>
      </text>
    </comment>
    <comment ref="E1827" authorId="0" shapeId="0" xr:uid="{00000000-0006-0000-0100-0000BF000000}">
      <text>
        <r>
          <rPr>
            <b/>
            <sz val="9"/>
            <color indexed="81"/>
            <rFont val="Tahoma"/>
            <family val="2"/>
          </rPr>
          <t>Jorge Arturo Espinoza:</t>
        </r>
        <r>
          <rPr>
            <sz val="9"/>
            <color indexed="81"/>
            <rFont val="Tahoma"/>
            <family val="2"/>
          </rPr>
          <t xml:space="preserve">
E1 -&gt; 400
E2 -&gt; 500
E4 -&gt; 600
E1-4p -&gt; 500
E2-4p -&gt; 600
E4-4p -&gt; 700</t>
        </r>
      </text>
    </comment>
    <comment ref="E1828" authorId="0" shapeId="0" xr:uid="{00000000-0006-0000-0100-0000C0000000}">
      <text>
        <r>
          <rPr>
            <b/>
            <sz val="9"/>
            <color indexed="81"/>
            <rFont val="Tahoma"/>
            <family val="2"/>
          </rPr>
          <t>Jorge Arturo Espinoza:</t>
        </r>
        <r>
          <rPr>
            <sz val="9"/>
            <color indexed="81"/>
            <rFont val="Tahoma"/>
            <family val="2"/>
          </rPr>
          <t xml:space="preserve">
E1 -&gt; 400
E2 -&gt; 500
E4 -&gt; 600
E1-4p -&gt; 500
E2-4p -&gt; 600
E4-4p -&gt; 700</t>
        </r>
      </text>
    </comment>
    <comment ref="E1829" authorId="0" shapeId="0" xr:uid="{00000000-0006-0000-0100-0000C1000000}">
      <text>
        <r>
          <rPr>
            <b/>
            <sz val="9"/>
            <color indexed="81"/>
            <rFont val="Tahoma"/>
            <family val="2"/>
          </rPr>
          <t>Jorge Arturo Espinoza:</t>
        </r>
        <r>
          <rPr>
            <sz val="9"/>
            <color indexed="81"/>
            <rFont val="Tahoma"/>
            <family val="2"/>
          </rPr>
          <t xml:space="preserve">
E1 -&gt; 400
E2 -&gt; 500
E4 -&gt; 600
E1-4p -&gt; 500
E2-4p -&gt; 600
E4-4p -&gt; 700</t>
        </r>
      </text>
    </comment>
    <comment ref="E1830" authorId="0" shapeId="0" xr:uid="{00000000-0006-0000-0100-0000C2000000}">
      <text>
        <r>
          <rPr>
            <b/>
            <sz val="9"/>
            <color indexed="81"/>
            <rFont val="Tahoma"/>
            <family val="2"/>
          </rPr>
          <t>Jorge Arturo Espinoza:</t>
        </r>
        <r>
          <rPr>
            <sz val="9"/>
            <color indexed="81"/>
            <rFont val="Tahoma"/>
            <family val="2"/>
          </rPr>
          <t xml:space="preserve">
E1 -&gt; 400
E2 -&gt; 500
E4 -&gt; 600
E1-4p -&gt; 500
E2-4p -&gt; 600
E4-4p -&gt; 700</t>
        </r>
      </text>
    </comment>
    <comment ref="E1831" authorId="0" shapeId="0" xr:uid="{00000000-0006-0000-0100-0000C3000000}">
      <text>
        <r>
          <rPr>
            <b/>
            <sz val="9"/>
            <color indexed="81"/>
            <rFont val="Tahoma"/>
            <family val="2"/>
          </rPr>
          <t>Jorge Arturo Espinoza:</t>
        </r>
        <r>
          <rPr>
            <sz val="9"/>
            <color indexed="81"/>
            <rFont val="Tahoma"/>
            <family val="2"/>
          </rPr>
          <t xml:space="preserve">
E1 -&gt; 400
E2 -&gt; 500
E4 -&gt; 600
E1-4p -&gt; 500
E2-4p -&gt; 600
E4-4p -&gt; 700</t>
        </r>
      </text>
    </comment>
    <comment ref="E1832" authorId="0" shapeId="0" xr:uid="{00000000-0006-0000-0100-0000C4000000}">
      <text>
        <r>
          <rPr>
            <b/>
            <sz val="9"/>
            <color indexed="81"/>
            <rFont val="Tahoma"/>
            <family val="2"/>
          </rPr>
          <t>Jorge Arturo Espinoza:</t>
        </r>
        <r>
          <rPr>
            <sz val="9"/>
            <color indexed="81"/>
            <rFont val="Tahoma"/>
            <family val="2"/>
          </rPr>
          <t xml:space="preserve">
E1 -&gt; 400
E2 -&gt; 500
E4 -&gt; 600
E1-4p -&gt; 500
E2-4p -&gt; 600
E4-4p -&gt; 700</t>
        </r>
      </text>
    </comment>
    <comment ref="E1833" authorId="0" shapeId="0" xr:uid="{00000000-0006-0000-0100-0000C5000000}">
      <text>
        <r>
          <rPr>
            <b/>
            <sz val="9"/>
            <color indexed="81"/>
            <rFont val="Tahoma"/>
            <family val="2"/>
          </rPr>
          <t>Jorge Arturo Espinoza:</t>
        </r>
        <r>
          <rPr>
            <sz val="9"/>
            <color indexed="81"/>
            <rFont val="Tahoma"/>
            <family val="2"/>
          </rPr>
          <t xml:space="preserve">
E1 -&gt; 400
E2 -&gt; 500
E4 -&gt; 600
E1-4p -&gt; 500
E2-4p -&gt; 600
E4-4p -&gt; 700</t>
        </r>
      </text>
    </comment>
    <comment ref="E1834" authorId="0" shapeId="0" xr:uid="{00000000-0006-0000-0100-0000C6000000}">
      <text>
        <r>
          <rPr>
            <b/>
            <sz val="9"/>
            <color indexed="81"/>
            <rFont val="Tahoma"/>
            <family val="2"/>
          </rPr>
          <t>Jorge Arturo Espinoza:</t>
        </r>
        <r>
          <rPr>
            <sz val="9"/>
            <color indexed="81"/>
            <rFont val="Tahoma"/>
            <family val="2"/>
          </rPr>
          <t xml:space="preserve">
E1 -&gt; 400
E2 -&gt; 500
E4 -&gt; 600
E1-4p -&gt; 500
E2-4p -&gt; 600
E4-4p -&gt; 700</t>
        </r>
      </text>
    </comment>
    <comment ref="E1836" authorId="0" shapeId="0" xr:uid="{00000000-0006-0000-0100-0000C7000000}">
      <text>
        <r>
          <rPr>
            <b/>
            <sz val="9"/>
            <color indexed="81"/>
            <rFont val="Tahoma"/>
            <family val="2"/>
          </rPr>
          <t>Jorge Arturo Espinoza:</t>
        </r>
        <r>
          <rPr>
            <sz val="9"/>
            <color indexed="81"/>
            <rFont val="Tahoma"/>
            <family val="2"/>
          </rPr>
          <t xml:space="preserve">
E1 -&gt; 400
E2 -&gt; 500
E4 -&gt; 600
E1-4p -&gt; 500
E2-4p -&gt; 600
E4-4p -&gt; 700</t>
        </r>
      </text>
    </comment>
    <comment ref="E1837" authorId="0" shapeId="0" xr:uid="{00000000-0006-0000-0100-0000C8000000}">
      <text>
        <r>
          <rPr>
            <b/>
            <sz val="9"/>
            <color indexed="81"/>
            <rFont val="Tahoma"/>
            <family val="2"/>
          </rPr>
          <t>Jorge Arturo Espinoza:</t>
        </r>
        <r>
          <rPr>
            <sz val="9"/>
            <color indexed="81"/>
            <rFont val="Tahoma"/>
            <family val="2"/>
          </rPr>
          <t xml:space="preserve">
E1 -&gt; 400
E2 -&gt; 500
E4 -&gt; 600
E1-4p -&gt; 500
E2-4p -&gt; 600
E4-4p -&gt; 700</t>
        </r>
      </text>
    </comment>
    <comment ref="E1839" authorId="0" shapeId="0" xr:uid="{00000000-0006-0000-0100-0000C9000000}">
      <text>
        <r>
          <rPr>
            <b/>
            <sz val="9"/>
            <color indexed="81"/>
            <rFont val="Tahoma"/>
            <family val="2"/>
          </rPr>
          <t>Jorge Arturo Espinoza:</t>
        </r>
        <r>
          <rPr>
            <sz val="9"/>
            <color indexed="81"/>
            <rFont val="Tahoma"/>
            <family val="2"/>
          </rPr>
          <t xml:space="preserve">
E1 -&gt; 400
E2 -&gt; 500
E4 -&gt; 600
E1-4p -&gt; 500
E2-4p -&gt; 600
E4-4p -&gt; 700</t>
        </r>
      </text>
    </comment>
    <comment ref="E1841" authorId="0" shapeId="0" xr:uid="{00000000-0006-0000-0100-0000CA000000}">
      <text>
        <r>
          <rPr>
            <b/>
            <sz val="9"/>
            <color indexed="81"/>
            <rFont val="Tahoma"/>
            <family val="2"/>
          </rPr>
          <t>Jorge Arturo Espinoza:</t>
        </r>
        <r>
          <rPr>
            <sz val="9"/>
            <color indexed="81"/>
            <rFont val="Tahoma"/>
            <family val="2"/>
          </rPr>
          <t xml:space="preserve">
E1 -&gt; 400
E2 -&gt; 500
E4 -&gt; 600
E1-4p -&gt; 500
E2-4p -&gt; 600
E4-4p -&gt; 700</t>
        </r>
      </text>
    </comment>
    <comment ref="E1843" authorId="0" shapeId="0" xr:uid="{00000000-0006-0000-0100-0000CB000000}">
      <text>
        <r>
          <rPr>
            <b/>
            <sz val="9"/>
            <color indexed="81"/>
            <rFont val="Tahoma"/>
            <family val="2"/>
          </rPr>
          <t>Jorge Arturo Espinoza:</t>
        </r>
        <r>
          <rPr>
            <sz val="9"/>
            <color indexed="81"/>
            <rFont val="Tahoma"/>
            <family val="2"/>
          </rPr>
          <t xml:space="preserve">
E1 -&gt; 400
E2 -&gt; 500
E4 -&gt; 600
E1-4p -&gt; 500
E2-4p -&gt; 600
E4-4p -&gt; 700</t>
        </r>
      </text>
    </comment>
    <comment ref="E1845" authorId="0" shapeId="0" xr:uid="{00000000-0006-0000-0100-0000CC000000}">
      <text>
        <r>
          <rPr>
            <b/>
            <sz val="9"/>
            <color indexed="81"/>
            <rFont val="Tahoma"/>
            <family val="2"/>
          </rPr>
          <t>Jorge Arturo Espinoza:</t>
        </r>
        <r>
          <rPr>
            <sz val="9"/>
            <color indexed="81"/>
            <rFont val="Tahoma"/>
            <family val="2"/>
          </rPr>
          <t xml:space="preserve">
E1 -&gt; 400
E2 -&gt; 500
E4 -&gt; 600
E1-4p -&gt; 500
E2-4p -&gt; 600
E4-4p -&gt; 700</t>
        </r>
      </text>
    </comment>
    <comment ref="E1848" authorId="0" shapeId="0" xr:uid="{00000000-0006-0000-0100-0000CD000000}">
      <text>
        <r>
          <rPr>
            <b/>
            <sz val="9"/>
            <color indexed="81"/>
            <rFont val="Tahoma"/>
            <family val="2"/>
          </rPr>
          <t>Jorge Arturo Espinoza:</t>
        </r>
        <r>
          <rPr>
            <sz val="9"/>
            <color indexed="81"/>
            <rFont val="Tahoma"/>
            <family val="2"/>
          </rPr>
          <t xml:space="preserve">
E1 -&gt; 400
E2 -&gt; 500
E4 -&gt; 600
E1-4p -&gt; 500
E2-4p -&gt; 600
E4-4p -&gt; 700</t>
        </r>
      </text>
    </comment>
    <comment ref="E1849" authorId="0" shapeId="0" xr:uid="{00000000-0006-0000-0100-0000CE000000}">
      <text>
        <r>
          <rPr>
            <b/>
            <sz val="9"/>
            <color indexed="81"/>
            <rFont val="Tahoma"/>
            <family val="2"/>
          </rPr>
          <t>Jorge Arturo Espinoza:</t>
        </r>
        <r>
          <rPr>
            <sz val="9"/>
            <color indexed="81"/>
            <rFont val="Tahoma"/>
            <family val="2"/>
          </rPr>
          <t xml:space="preserve">
E1 -&gt; 400
E2 -&gt; 500
E4 -&gt; 600
E1-4p -&gt; 500
E2-4p -&gt; 600
E4-4p -&gt; 700</t>
        </r>
      </text>
    </comment>
    <comment ref="E1850" authorId="0" shapeId="0" xr:uid="{00000000-0006-0000-0100-0000CF000000}">
      <text>
        <r>
          <rPr>
            <b/>
            <sz val="9"/>
            <color indexed="81"/>
            <rFont val="Tahoma"/>
            <family val="2"/>
          </rPr>
          <t>Jorge Arturo Espinoza:</t>
        </r>
        <r>
          <rPr>
            <sz val="9"/>
            <color indexed="81"/>
            <rFont val="Tahoma"/>
            <family val="2"/>
          </rPr>
          <t xml:space="preserve">
E1 -&gt; 400
E2 -&gt; 500
E4 -&gt; 600
E1-4p -&gt; 500
E2-4p -&gt; 600
E4-4p -&gt; 700</t>
        </r>
      </text>
    </comment>
    <comment ref="E1851" authorId="0" shapeId="0" xr:uid="{00000000-0006-0000-0100-0000D0000000}">
      <text>
        <r>
          <rPr>
            <b/>
            <sz val="9"/>
            <color indexed="81"/>
            <rFont val="Tahoma"/>
            <family val="2"/>
          </rPr>
          <t>Jorge Arturo Espinoza:</t>
        </r>
        <r>
          <rPr>
            <sz val="9"/>
            <color indexed="81"/>
            <rFont val="Tahoma"/>
            <family val="2"/>
          </rPr>
          <t xml:space="preserve">
E1 -&gt; 400
E2 -&gt; 500
E4 -&gt; 600
E1-4p -&gt; 500
E2-4p -&gt; 600
E4-4p -&gt; 700</t>
        </r>
      </text>
    </comment>
    <comment ref="E1852" authorId="0" shapeId="0" xr:uid="{00000000-0006-0000-0100-0000D1000000}">
      <text>
        <r>
          <rPr>
            <b/>
            <sz val="9"/>
            <color indexed="81"/>
            <rFont val="Tahoma"/>
            <family val="2"/>
          </rPr>
          <t>Jorge Arturo Espinoza:</t>
        </r>
        <r>
          <rPr>
            <sz val="9"/>
            <color indexed="81"/>
            <rFont val="Tahoma"/>
            <family val="2"/>
          </rPr>
          <t xml:space="preserve">
E1 -&gt; 400
E2 -&gt; 500
E4 -&gt; 600
E1-4p -&gt; 500
E2-4p -&gt; 600
E4-4p -&gt; 700</t>
        </r>
      </text>
    </comment>
    <comment ref="E1854" authorId="0" shapeId="0" xr:uid="{00000000-0006-0000-0100-0000D2000000}">
      <text>
        <r>
          <rPr>
            <b/>
            <sz val="9"/>
            <color indexed="81"/>
            <rFont val="Tahoma"/>
            <family val="2"/>
          </rPr>
          <t>Jorge Arturo Espinoza:</t>
        </r>
        <r>
          <rPr>
            <sz val="9"/>
            <color indexed="81"/>
            <rFont val="Tahoma"/>
            <family val="2"/>
          </rPr>
          <t xml:space="preserve">
E1 -&gt; 400
E2 -&gt; 500
E4 -&gt; 600
E1-4p -&gt; 500
E2-4p -&gt; 600
E4-4p -&gt; 700</t>
        </r>
      </text>
    </comment>
    <comment ref="E1855" authorId="0" shapeId="0" xr:uid="{00000000-0006-0000-0100-0000D3000000}">
      <text>
        <r>
          <rPr>
            <b/>
            <sz val="9"/>
            <color indexed="81"/>
            <rFont val="Tahoma"/>
            <family val="2"/>
          </rPr>
          <t>Jorge Arturo Espinoza:</t>
        </r>
        <r>
          <rPr>
            <sz val="9"/>
            <color indexed="81"/>
            <rFont val="Tahoma"/>
            <family val="2"/>
          </rPr>
          <t xml:space="preserve">
E1 -&gt; 400
E2 -&gt; 500
E4 -&gt; 600
E1-4p -&gt; 500
E2-4p -&gt; 600
E4-4p -&gt; 700</t>
        </r>
      </text>
    </comment>
    <comment ref="E1857" authorId="0" shapeId="0" xr:uid="{00000000-0006-0000-0100-0000D4000000}">
      <text>
        <r>
          <rPr>
            <b/>
            <sz val="9"/>
            <color indexed="81"/>
            <rFont val="Tahoma"/>
            <family val="2"/>
          </rPr>
          <t>Jorge Arturo Espinoza:</t>
        </r>
        <r>
          <rPr>
            <sz val="9"/>
            <color indexed="81"/>
            <rFont val="Tahoma"/>
            <family val="2"/>
          </rPr>
          <t xml:space="preserve">
E1 -&gt; 400
E2 -&gt; 500
E4 -&gt; 600
E1-4p -&gt; 500
E2-4p -&gt; 600
E4-4p -&gt; 700</t>
        </r>
      </text>
    </comment>
    <comment ref="E1858" authorId="0" shapeId="0" xr:uid="{00000000-0006-0000-0100-0000D5000000}">
      <text>
        <r>
          <rPr>
            <b/>
            <sz val="9"/>
            <color indexed="81"/>
            <rFont val="Tahoma"/>
            <family val="2"/>
          </rPr>
          <t>Jorge Arturo Espinoza:</t>
        </r>
        <r>
          <rPr>
            <sz val="9"/>
            <color indexed="81"/>
            <rFont val="Tahoma"/>
            <family val="2"/>
          </rPr>
          <t xml:space="preserve">
E1 -&gt; 400
E2 -&gt; 500
E4 -&gt; 600
E1-4p -&gt; 500
E2-4p -&gt; 600
E4-4p -&gt; 700</t>
        </r>
      </text>
    </comment>
    <comment ref="E1859" authorId="0" shapeId="0" xr:uid="{00000000-0006-0000-0100-0000D6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0" authorId="0" shapeId="0" xr:uid="{00000000-0006-0000-0100-0000D7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1" authorId="0" shapeId="0" xr:uid="{00000000-0006-0000-0100-0000D8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2" authorId="0" shapeId="0" xr:uid="{00000000-0006-0000-0100-0000D9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3" authorId="0" shapeId="0" xr:uid="{00000000-0006-0000-0100-0000DA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4" authorId="0" shapeId="0" xr:uid="{00000000-0006-0000-0100-0000DB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5" authorId="0" shapeId="0" xr:uid="{00000000-0006-0000-0100-0000DC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6" authorId="0" shapeId="0" xr:uid="{00000000-0006-0000-0100-0000DD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7" authorId="0" shapeId="0" xr:uid="{00000000-0006-0000-0100-0000DE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9" authorId="0" shapeId="0" xr:uid="{00000000-0006-0000-0100-0000DF000000}">
      <text>
        <r>
          <rPr>
            <b/>
            <sz val="9"/>
            <color indexed="81"/>
            <rFont val="Tahoma"/>
            <family val="2"/>
          </rPr>
          <t>Jorge Arturo Espinoza:</t>
        </r>
        <r>
          <rPr>
            <sz val="9"/>
            <color indexed="81"/>
            <rFont val="Tahoma"/>
            <family val="2"/>
          </rPr>
          <t xml:space="preserve">
E1 -&gt; 400
E2 -&gt; 500
E4 -&gt; 600
E1-4p -&gt; 500
E2-4p -&gt; 600
E4-4p -&gt; 700</t>
        </r>
      </text>
    </comment>
    <comment ref="E1871" authorId="0" shapeId="0" xr:uid="{00000000-0006-0000-0100-0000E0000000}">
      <text>
        <r>
          <rPr>
            <b/>
            <sz val="9"/>
            <color indexed="81"/>
            <rFont val="Tahoma"/>
            <family val="2"/>
          </rPr>
          <t>Jorge Arturo Espinoza:</t>
        </r>
        <r>
          <rPr>
            <sz val="9"/>
            <color indexed="81"/>
            <rFont val="Tahoma"/>
            <family val="2"/>
          </rPr>
          <t xml:space="preserve">
E1 -&gt; 400
E2 -&gt; 500
E4 -&gt; 600
E1-4p -&gt; 500
E2-4p -&gt; 600
E4-4p -&gt; 700</t>
        </r>
      </text>
    </comment>
    <comment ref="E1872" authorId="0" shapeId="0" xr:uid="{00000000-0006-0000-0100-0000E1000000}">
      <text>
        <r>
          <rPr>
            <b/>
            <sz val="9"/>
            <color indexed="81"/>
            <rFont val="Tahoma"/>
            <family val="2"/>
          </rPr>
          <t>Jorge Arturo Espinoza:</t>
        </r>
        <r>
          <rPr>
            <sz val="9"/>
            <color indexed="81"/>
            <rFont val="Tahoma"/>
            <family val="2"/>
          </rPr>
          <t xml:space="preserve">
E1 -&gt; 400
E2 -&gt; 500
E4 -&gt; 600
E1-4p -&gt; 500
E2-4p -&gt; 600
E4-4p -&gt; 700</t>
        </r>
      </text>
    </comment>
    <comment ref="E1873" authorId="0" shapeId="0" xr:uid="{00000000-0006-0000-0100-0000E2000000}">
      <text>
        <r>
          <rPr>
            <b/>
            <sz val="9"/>
            <color indexed="81"/>
            <rFont val="Tahoma"/>
            <family val="2"/>
          </rPr>
          <t>Jorge Arturo Espinoza:</t>
        </r>
        <r>
          <rPr>
            <sz val="9"/>
            <color indexed="81"/>
            <rFont val="Tahoma"/>
            <family val="2"/>
          </rPr>
          <t xml:space="preserve">
E1 -&gt; 400
E2 -&gt; 500
E4 -&gt; 600
E1-4p -&gt; 500
E2-4p -&gt; 600
E4-4p -&gt; 700</t>
        </r>
      </text>
    </comment>
    <comment ref="E1874" authorId="0" shapeId="0" xr:uid="{00000000-0006-0000-0100-0000E3000000}">
      <text>
        <r>
          <rPr>
            <b/>
            <sz val="9"/>
            <color indexed="81"/>
            <rFont val="Tahoma"/>
            <family val="2"/>
          </rPr>
          <t>Jorge Arturo Espinoza:</t>
        </r>
        <r>
          <rPr>
            <sz val="9"/>
            <color indexed="81"/>
            <rFont val="Tahoma"/>
            <family val="2"/>
          </rPr>
          <t xml:space="preserve">
E1 -&gt; 400
E2 -&gt; 500
E4 -&gt; 600
E1-4p -&gt; 500
E2-4p -&gt; 600
E4-4p -&gt; 700</t>
        </r>
      </text>
    </comment>
    <comment ref="E1875" authorId="0" shapeId="0" xr:uid="{00000000-0006-0000-0100-0000E4000000}">
      <text>
        <r>
          <rPr>
            <b/>
            <sz val="9"/>
            <color indexed="81"/>
            <rFont val="Tahoma"/>
            <family val="2"/>
          </rPr>
          <t>Jorge Arturo Espinoza:</t>
        </r>
        <r>
          <rPr>
            <sz val="9"/>
            <color indexed="81"/>
            <rFont val="Tahoma"/>
            <family val="2"/>
          </rPr>
          <t xml:space="preserve">
E1 -&gt; 400
E2 -&gt; 500
E4 -&gt; 600
E1-4p -&gt; 500
E2-4p -&gt; 600
E4-4p -&gt; 700</t>
        </r>
      </text>
    </comment>
    <comment ref="E1876" authorId="0" shapeId="0" xr:uid="{00000000-0006-0000-0100-0000E5000000}">
      <text>
        <r>
          <rPr>
            <b/>
            <sz val="9"/>
            <color indexed="81"/>
            <rFont val="Tahoma"/>
            <family val="2"/>
          </rPr>
          <t>Jorge Arturo Espinoza:</t>
        </r>
        <r>
          <rPr>
            <sz val="9"/>
            <color indexed="81"/>
            <rFont val="Tahoma"/>
            <family val="2"/>
          </rPr>
          <t xml:space="preserve">
E1 -&gt; 400
E2 -&gt; 500
E4 -&gt; 600
E1-4p -&gt; 500
E2-4p -&gt; 600
E4-4p -&gt; 700</t>
        </r>
      </text>
    </comment>
    <comment ref="E1877" authorId="0" shapeId="0" xr:uid="{00000000-0006-0000-0100-0000E6000000}">
      <text>
        <r>
          <rPr>
            <b/>
            <sz val="9"/>
            <color indexed="81"/>
            <rFont val="Tahoma"/>
            <family val="2"/>
          </rPr>
          <t>Jorge Arturo Espinoza:</t>
        </r>
        <r>
          <rPr>
            <sz val="9"/>
            <color indexed="81"/>
            <rFont val="Tahoma"/>
            <family val="2"/>
          </rPr>
          <t xml:space="preserve">
E1 -&gt; 400
E2 -&gt; 500
E4 -&gt; 600
E1-4p -&gt; 500
E2-4p -&gt; 600
E4-4p -&gt; 700</t>
        </r>
      </text>
    </comment>
    <comment ref="E1878" authorId="0" shapeId="0" xr:uid="{00000000-0006-0000-0100-0000E7000000}">
      <text>
        <r>
          <rPr>
            <b/>
            <sz val="9"/>
            <color indexed="81"/>
            <rFont val="Tahoma"/>
            <family val="2"/>
          </rPr>
          <t>Jorge Arturo Espinoza:</t>
        </r>
        <r>
          <rPr>
            <sz val="9"/>
            <color indexed="81"/>
            <rFont val="Tahoma"/>
            <family val="2"/>
          </rPr>
          <t xml:space="preserve">
E1 -&gt; 400
E2 -&gt; 500
E4 -&gt; 600
E1-4p -&gt; 500
E2-4p -&gt; 600
E4-4p -&gt; 700</t>
        </r>
      </text>
    </comment>
    <comment ref="E1886" authorId="0" shapeId="0" xr:uid="{00000000-0006-0000-0100-0000E8000000}">
      <text>
        <r>
          <rPr>
            <b/>
            <sz val="9"/>
            <color indexed="81"/>
            <rFont val="Tahoma"/>
            <family val="2"/>
          </rPr>
          <t>Jorge Arturo Espinoza:</t>
        </r>
        <r>
          <rPr>
            <sz val="9"/>
            <color indexed="81"/>
            <rFont val="Tahoma"/>
            <family val="2"/>
          </rPr>
          <t xml:space="preserve">
E1 -&gt; 400
E2 -&gt; 500
E4 -&gt; 600
E1-4p -&gt; 500
E2-4p -&gt; 600
E4-4p -&gt; 700</t>
        </r>
      </text>
    </comment>
    <comment ref="E1887" authorId="0" shapeId="0" xr:uid="{00000000-0006-0000-0100-0000E9000000}">
      <text>
        <r>
          <rPr>
            <b/>
            <sz val="9"/>
            <color indexed="81"/>
            <rFont val="Tahoma"/>
            <family val="2"/>
          </rPr>
          <t>Jorge Arturo Espinoza:</t>
        </r>
        <r>
          <rPr>
            <sz val="9"/>
            <color indexed="81"/>
            <rFont val="Tahoma"/>
            <family val="2"/>
          </rPr>
          <t xml:space="preserve">
E1 -&gt; 400
E2 -&gt; 500
E4 -&gt; 600
E1-4p -&gt; 500
E2-4p -&gt; 600
E4-4p -&gt; 700</t>
        </r>
      </text>
    </comment>
    <comment ref="E1889" authorId="0" shapeId="0" xr:uid="{00000000-0006-0000-0100-0000EA000000}">
      <text>
        <r>
          <rPr>
            <b/>
            <sz val="9"/>
            <color indexed="81"/>
            <rFont val="Tahoma"/>
            <family val="2"/>
          </rPr>
          <t>Jorge Arturo Espinoza:</t>
        </r>
        <r>
          <rPr>
            <sz val="9"/>
            <color indexed="81"/>
            <rFont val="Tahoma"/>
            <family val="2"/>
          </rPr>
          <t xml:space="preserve">
E1 -&gt; 400
E2 -&gt; 500
E4 -&gt; 600
E1-4p -&gt; 500
E2-4p -&gt; 600
E4-4p -&gt; 700</t>
        </r>
      </text>
    </comment>
    <comment ref="E1890" authorId="0" shapeId="0" xr:uid="{00000000-0006-0000-0100-0000EB000000}">
      <text>
        <r>
          <rPr>
            <b/>
            <sz val="9"/>
            <color indexed="81"/>
            <rFont val="Tahoma"/>
            <family val="2"/>
          </rPr>
          <t>Jorge Arturo Espinoza:</t>
        </r>
        <r>
          <rPr>
            <sz val="9"/>
            <color indexed="81"/>
            <rFont val="Tahoma"/>
            <family val="2"/>
          </rPr>
          <t xml:space="preserve">
E1 -&gt; 400
E2 -&gt; 500
E4 -&gt; 600
E1-4p -&gt; 500
E2-4p -&gt; 600
E4-4p -&gt; 700</t>
        </r>
      </text>
    </comment>
    <comment ref="E1891" authorId="0" shapeId="0" xr:uid="{00000000-0006-0000-0100-0000EC000000}">
      <text>
        <r>
          <rPr>
            <b/>
            <sz val="9"/>
            <color indexed="81"/>
            <rFont val="Tahoma"/>
            <family val="2"/>
          </rPr>
          <t>Jorge Arturo Espinoza:</t>
        </r>
        <r>
          <rPr>
            <sz val="9"/>
            <color indexed="81"/>
            <rFont val="Tahoma"/>
            <family val="2"/>
          </rPr>
          <t xml:space="preserve">
E1 -&gt; 400
E2 -&gt; 500
E4 -&gt; 600
E1-4p -&gt; 500
E2-4p -&gt; 600
E4-4p -&gt; 700</t>
        </r>
      </text>
    </comment>
    <comment ref="E1892" authorId="0" shapeId="0" xr:uid="{00000000-0006-0000-0100-0000ED000000}">
      <text>
        <r>
          <rPr>
            <b/>
            <sz val="9"/>
            <color indexed="81"/>
            <rFont val="Tahoma"/>
            <family val="2"/>
          </rPr>
          <t>Jorge Arturo Espinoza:</t>
        </r>
        <r>
          <rPr>
            <sz val="9"/>
            <color indexed="81"/>
            <rFont val="Tahoma"/>
            <family val="2"/>
          </rPr>
          <t xml:space="preserve">
E1 -&gt; 400
E2 -&gt; 500
E4 -&gt; 600
E1-4p -&gt; 500
E2-4p -&gt; 600
E4-4p -&gt; 700</t>
        </r>
      </text>
    </comment>
    <comment ref="E1893" authorId="0" shapeId="0" xr:uid="{00000000-0006-0000-0100-0000EE000000}">
      <text>
        <r>
          <rPr>
            <b/>
            <sz val="9"/>
            <color indexed="81"/>
            <rFont val="Tahoma"/>
            <family val="2"/>
          </rPr>
          <t>Jorge Arturo Espinoza:</t>
        </r>
        <r>
          <rPr>
            <sz val="9"/>
            <color indexed="81"/>
            <rFont val="Tahoma"/>
            <family val="2"/>
          </rPr>
          <t xml:space="preserve">
E1 -&gt; 400
E2 -&gt; 500
E4 -&gt; 600
E1-4p -&gt; 500
E2-4p -&gt; 600
E4-4p -&gt; 700</t>
        </r>
      </text>
    </comment>
    <comment ref="E1896" authorId="0" shapeId="0" xr:uid="{00000000-0006-0000-0100-0000EF000000}">
      <text>
        <r>
          <rPr>
            <b/>
            <sz val="9"/>
            <color indexed="81"/>
            <rFont val="Tahoma"/>
            <family val="2"/>
          </rPr>
          <t>Jorge Arturo Espinoza:</t>
        </r>
        <r>
          <rPr>
            <sz val="9"/>
            <color indexed="81"/>
            <rFont val="Tahoma"/>
            <family val="2"/>
          </rPr>
          <t xml:space="preserve">
E1 -&gt; 400
E2 -&gt; 500
E4 -&gt; 600
E1-4p -&gt; 500
E2-4p -&gt; 600
E4-4p -&gt; 700</t>
        </r>
      </text>
    </comment>
    <comment ref="E1897" authorId="0" shapeId="0" xr:uid="{00000000-0006-0000-0100-0000F0000000}">
      <text>
        <r>
          <rPr>
            <b/>
            <sz val="9"/>
            <color indexed="81"/>
            <rFont val="Tahoma"/>
            <family val="2"/>
          </rPr>
          <t>Jorge Arturo Espinoza:</t>
        </r>
        <r>
          <rPr>
            <sz val="9"/>
            <color indexed="81"/>
            <rFont val="Tahoma"/>
            <family val="2"/>
          </rPr>
          <t xml:space="preserve">
E1 -&gt; 400
E2 -&gt; 500
E4 -&gt; 600
E1-4p -&gt; 500
E2-4p -&gt; 600
E4-4p -&gt; 700</t>
        </r>
      </text>
    </comment>
    <comment ref="E1898" authorId="0" shapeId="0" xr:uid="{00000000-0006-0000-0100-0000F1000000}">
      <text>
        <r>
          <rPr>
            <b/>
            <sz val="9"/>
            <color indexed="81"/>
            <rFont val="Tahoma"/>
            <family val="2"/>
          </rPr>
          <t>Jorge Arturo Espinoza:</t>
        </r>
        <r>
          <rPr>
            <sz val="9"/>
            <color indexed="81"/>
            <rFont val="Tahoma"/>
            <family val="2"/>
          </rPr>
          <t xml:space="preserve">
E1 -&gt; 400
E2 -&gt; 500
E4 -&gt; 600
E1-4p -&gt; 500
E2-4p -&gt; 600
E4-4p -&gt; 700</t>
        </r>
      </text>
    </comment>
    <comment ref="E1899" authorId="0" shapeId="0" xr:uid="{00000000-0006-0000-0100-0000F2000000}">
      <text>
        <r>
          <rPr>
            <b/>
            <sz val="9"/>
            <color indexed="81"/>
            <rFont val="Tahoma"/>
            <family val="2"/>
          </rPr>
          <t>Jorge Arturo Espinoza:</t>
        </r>
        <r>
          <rPr>
            <sz val="9"/>
            <color indexed="81"/>
            <rFont val="Tahoma"/>
            <family val="2"/>
          </rPr>
          <t xml:space="preserve">
E1 -&gt; 400
E2 -&gt; 500
E4 -&gt; 600
E1-4p -&gt; 500
E2-4p -&gt; 600
E4-4p -&gt; 700</t>
        </r>
      </text>
    </comment>
    <comment ref="E1900" authorId="0" shapeId="0" xr:uid="{00000000-0006-0000-0100-0000F3000000}">
      <text>
        <r>
          <rPr>
            <b/>
            <sz val="9"/>
            <color indexed="81"/>
            <rFont val="Tahoma"/>
            <family val="2"/>
          </rPr>
          <t>Jorge Arturo Espinoza:</t>
        </r>
        <r>
          <rPr>
            <sz val="9"/>
            <color indexed="81"/>
            <rFont val="Tahoma"/>
            <family val="2"/>
          </rPr>
          <t xml:space="preserve">
E1 -&gt; 400
E2 -&gt; 500
E4 -&gt; 600
E1-4p -&gt; 500
E2-4p -&gt; 600
E4-4p -&gt; 700</t>
        </r>
      </text>
    </comment>
    <comment ref="E1903" authorId="0" shapeId="0" xr:uid="{00000000-0006-0000-0100-0000F4000000}">
      <text>
        <r>
          <rPr>
            <b/>
            <sz val="9"/>
            <color indexed="81"/>
            <rFont val="Tahoma"/>
            <family val="2"/>
          </rPr>
          <t>Jorge Arturo Espinoza:</t>
        </r>
        <r>
          <rPr>
            <sz val="9"/>
            <color indexed="81"/>
            <rFont val="Tahoma"/>
            <family val="2"/>
          </rPr>
          <t xml:space="preserve">
E1 -&gt; 400
E2 -&gt; 500
E4 -&gt; 600
E1-4p -&gt; 500
E2-4p -&gt; 600
E4-4p -&gt; 700</t>
        </r>
      </text>
    </comment>
    <comment ref="E1904" authorId="0" shapeId="0" xr:uid="{00000000-0006-0000-0100-0000F5000000}">
      <text>
        <r>
          <rPr>
            <b/>
            <sz val="9"/>
            <color indexed="81"/>
            <rFont val="Tahoma"/>
            <family val="2"/>
          </rPr>
          <t>Jorge Arturo Espinoza:</t>
        </r>
        <r>
          <rPr>
            <sz val="9"/>
            <color indexed="81"/>
            <rFont val="Tahoma"/>
            <family val="2"/>
          </rPr>
          <t xml:space="preserve">
E1 -&gt; 400
E2 -&gt; 500
E4 -&gt; 600
E1-4p -&gt; 500
E2-4p -&gt; 600
E4-4p -&gt; 700</t>
        </r>
      </text>
    </comment>
    <comment ref="E1906" authorId="0" shapeId="0" xr:uid="{00000000-0006-0000-0100-0000F6000000}">
      <text>
        <r>
          <rPr>
            <b/>
            <sz val="9"/>
            <color indexed="81"/>
            <rFont val="Tahoma"/>
            <family val="2"/>
          </rPr>
          <t>Jorge Arturo Espinoza:</t>
        </r>
        <r>
          <rPr>
            <sz val="9"/>
            <color indexed="81"/>
            <rFont val="Tahoma"/>
            <family val="2"/>
          </rPr>
          <t xml:space="preserve">
E1 -&gt; 400
E2 -&gt; 500
E4 -&gt; 600
E1-4p -&gt; 500
E2-4p -&gt; 600
E4-4p -&gt; 700</t>
        </r>
      </text>
    </comment>
    <comment ref="E1907" authorId="0" shapeId="0" xr:uid="{00000000-0006-0000-0100-0000F7000000}">
      <text>
        <r>
          <rPr>
            <b/>
            <sz val="9"/>
            <color indexed="81"/>
            <rFont val="Tahoma"/>
            <family val="2"/>
          </rPr>
          <t>Jorge Arturo Espinoza:</t>
        </r>
        <r>
          <rPr>
            <sz val="9"/>
            <color indexed="81"/>
            <rFont val="Tahoma"/>
            <family val="2"/>
          </rPr>
          <t xml:space="preserve">
E1 -&gt; 400
E2 -&gt; 500
E4 -&gt; 600
E1-4p -&gt; 500
E2-4p -&gt; 600
E4-4p -&gt; 700</t>
        </r>
      </text>
    </comment>
    <comment ref="E1908" authorId="0" shapeId="0" xr:uid="{00000000-0006-0000-0100-0000F8000000}">
      <text>
        <r>
          <rPr>
            <b/>
            <sz val="9"/>
            <color indexed="81"/>
            <rFont val="Tahoma"/>
            <family val="2"/>
          </rPr>
          <t>Jorge Arturo Espinoza:</t>
        </r>
        <r>
          <rPr>
            <sz val="9"/>
            <color indexed="81"/>
            <rFont val="Tahoma"/>
            <family val="2"/>
          </rPr>
          <t xml:space="preserve">
E1 -&gt; 400
E2 -&gt; 500
E4 -&gt; 600
E1-4p -&gt; 500
E2-4p -&gt; 600
E4-4p -&gt; 700</t>
        </r>
      </text>
    </comment>
    <comment ref="E1909" authorId="0" shapeId="0" xr:uid="{00000000-0006-0000-0100-0000F9000000}">
      <text>
        <r>
          <rPr>
            <b/>
            <sz val="9"/>
            <color indexed="81"/>
            <rFont val="Tahoma"/>
            <family val="2"/>
          </rPr>
          <t>Jorge Arturo Espinoza:</t>
        </r>
        <r>
          <rPr>
            <sz val="9"/>
            <color indexed="81"/>
            <rFont val="Tahoma"/>
            <family val="2"/>
          </rPr>
          <t xml:space="preserve">
E1 -&gt; 400
E2 -&gt; 500
E4 -&gt; 600
E1-4p -&gt; 500
E2-4p -&gt; 600
E4-4p -&gt; 700</t>
        </r>
      </text>
    </comment>
    <comment ref="E1912" authorId="0" shapeId="0" xr:uid="{00000000-0006-0000-0100-0000FA000000}">
      <text>
        <r>
          <rPr>
            <b/>
            <sz val="9"/>
            <color indexed="81"/>
            <rFont val="Tahoma"/>
            <family val="2"/>
          </rPr>
          <t>Jorge Arturo Espinoza:</t>
        </r>
        <r>
          <rPr>
            <sz val="9"/>
            <color indexed="81"/>
            <rFont val="Tahoma"/>
            <family val="2"/>
          </rPr>
          <t xml:space="preserve">
E1 -&gt; 400
E2 -&gt; 500
E4 -&gt; 600
E1-4p -&gt; 500
E2-4p -&gt; 600
E4-4p -&gt; 700</t>
        </r>
      </text>
    </comment>
    <comment ref="E1914" authorId="0" shapeId="0" xr:uid="{00000000-0006-0000-0100-0000FB000000}">
      <text>
        <r>
          <rPr>
            <b/>
            <sz val="9"/>
            <color indexed="81"/>
            <rFont val="Tahoma"/>
            <family val="2"/>
          </rPr>
          <t>Jorge Arturo Espinoza:</t>
        </r>
        <r>
          <rPr>
            <sz val="9"/>
            <color indexed="81"/>
            <rFont val="Tahoma"/>
            <family val="2"/>
          </rPr>
          <t xml:space="preserve">
E1 -&gt; 400
E2 -&gt; 500
E4 -&gt; 600
E1-4p -&gt; 500
E2-4p -&gt; 600
E4-4p -&gt; 700</t>
        </r>
      </text>
    </comment>
    <comment ref="E1915" authorId="0" shapeId="0" xr:uid="{00000000-0006-0000-0100-0000FC000000}">
      <text>
        <r>
          <rPr>
            <b/>
            <sz val="9"/>
            <color indexed="81"/>
            <rFont val="Tahoma"/>
            <family val="2"/>
          </rPr>
          <t>Jorge Arturo Espinoza:</t>
        </r>
        <r>
          <rPr>
            <sz val="9"/>
            <color indexed="81"/>
            <rFont val="Tahoma"/>
            <family val="2"/>
          </rPr>
          <t xml:space="preserve">
E1 -&gt; 400
E2 -&gt; 500
E4 -&gt; 600
E1-4p -&gt; 500
E2-4p -&gt; 600
E4-4p -&gt; 700</t>
        </r>
      </text>
    </comment>
    <comment ref="E1916" authorId="0" shapeId="0" xr:uid="{00000000-0006-0000-0100-0000FD000000}">
      <text>
        <r>
          <rPr>
            <b/>
            <sz val="9"/>
            <color indexed="81"/>
            <rFont val="Tahoma"/>
            <family val="2"/>
          </rPr>
          <t>Jorge Arturo Espinoza:</t>
        </r>
        <r>
          <rPr>
            <sz val="9"/>
            <color indexed="81"/>
            <rFont val="Tahoma"/>
            <family val="2"/>
          </rPr>
          <t xml:space="preserve">
E1 -&gt; 400
E2 -&gt; 500
E4 -&gt; 600
E1-4p -&gt; 500
E2-4p -&gt; 600
E4-4p -&gt; 700</t>
        </r>
      </text>
    </comment>
    <comment ref="E1917" authorId="0" shapeId="0" xr:uid="{00000000-0006-0000-0100-0000FE000000}">
      <text>
        <r>
          <rPr>
            <b/>
            <sz val="9"/>
            <color indexed="81"/>
            <rFont val="Tahoma"/>
            <family val="2"/>
          </rPr>
          <t>Jorge Arturo Espinoza:</t>
        </r>
        <r>
          <rPr>
            <sz val="9"/>
            <color indexed="81"/>
            <rFont val="Tahoma"/>
            <family val="2"/>
          </rPr>
          <t xml:space="preserve">
E1 -&gt; 400
E2 -&gt; 500
E4 -&gt; 600
E1-4p -&gt; 500
E2-4p -&gt; 600
E4-4p -&gt; 700</t>
        </r>
      </text>
    </comment>
    <comment ref="E1919" authorId="0" shapeId="0" xr:uid="{00000000-0006-0000-0100-0000FF000000}">
      <text>
        <r>
          <rPr>
            <b/>
            <sz val="9"/>
            <color indexed="81"/>
            <rFont val="Tahoma"/>
            <family val="2"/>
          </rPr>
          <t>Jorge Arturo Espinoza:</t>
        </r>
        <r>
          <rPr>
            <sz val="9"/>
            <color indexed="81"/>
            <rFont val="Tahoma"/>
            <family val="2"/>
          </rPr>
          <t xml:space="preserve">
E1 -&gt; 400
E2 -&gt; 500
E4 -&gt; 600
E1-4p -&gt; 500
E2-4p -&gt; 600
E4-4p -&gt; 700</t>
        </r>
      </text>
    </comment>
    <comment ref="E1920" authorId="0" shapeId="0" xr:uid="{00000000-0006-0000-0100-000000010000}">
      <text>
        <r>
          <rPr>
            <b/>
            <sz val="9"/>
            <color indexed="81"/>
            <rFont val="Tahoma"/>
            <family val="2"/>
          </rPr>
          <t>Jorge Arturo Espinoza:</t>
        </r>
        <r>
          <rPr>
            <sz val="9"/>
            <color indexed="81"/>
            <rFont val="Tahoma"/>
            <family val="2"/>
          </rPr>
          <t xml:space="preserve">
E1 -&gt; 400
E2 -&gt; 500
E4 -&gt; 600
E1-4p -&gt; 500
E2-4p -&gt; 600
E4-4p -&gt; 700</t>
        </r>
      </text>
    </comment>
    <comment ref="E1922" authorId="0" shapeId="0" xr:uid="{00000000-0006-0000-0100-000001010000}">
      <text>
        <r>
          <rPr>
            <b/>
            <sz val="9"/>
            <color indexed="81"/>
            <rFont val="Tahoma"/>
            <family val="2"/>
          </rPr>
          <t>Jorge Arturo Espinoza:</t>
        </r>
        <r>
          <rPr>
            <sz val="9"/>
            <color indexed="81"/>
            <rFont val="Tahoma"/>
            <family val="2"/>
          </rPr>
          <t xml:space="preserve">
E1 -&gt; 400
E2 -&gt; 500
E4 -&gt; 600
E1-4p -&gt; 500
E2-4p -&gt; 600
E4-4p -&gt; 700</t>
        </r>
      </text>
    </comment>
    <comment ref="E1925" authorId="0" shapeId="0" xr:uid="{00000000-0006-0000-0100-000002010000}">
      <text>
        <r>
          <rPr>
            <b/>
            <sz val="9"/>
            <color indexed="81"/>
            <rFont val="Tahoma"/>
            <family val="2"/>
          </rPr>
          <t>Jorge Arturo Espinoza:</t>
        </r>
        <r>
          <rPr>
            <sz val="9"/>
            <color indexed="81"/>
            <rFont val="Tahoma"/>
            <family val="2"/>
          </rPr>
          <t xml:space="preserve">
E1 -&gt; 400
E2 -&gt; 500
E4 -&gt; 600
E1-4p -&gt; 500
E2-4p -&gt; 600
E4-4p -&gt; 700</t>
        </r>
      </text>
    </comment>
    <comment ref="E1926" authorId="0" shapeId="0" xr:uid="{00000000-0006-0000-0100-000003010000}">
      <text>
        <r>
          <rPr>
            <b/>
            <sz val="9"/>
            <color indexed="81"/>
            <rFont val="Tahoma"/>
            <family val="2"/>
          </rPr>
          <t>Jorge Arturo Espinoza:</t>
        </r>
        <r>
          <rPr>
            <sz val="9"/>
            <color indexed="81"/>
            <rFont val="Tahoma"/>
            <family val="2"/>
          </rPr>
          <t xml:space="preserve">
E1 -&gt; 400
E2 -&gt; 500
E4 -&gt; 600
E1-4p -&gt; 500
E2-4p -&gt; 600
E4-4p -&gt; 700</t>
        </r>
      </text>
    </comment>
    <comment ref="E1927" authorId="0" shapeId="0" xr:uid="{00000000-0006-0000-0100-000004010000}">
      <text>
        <r>
          <rPr>
            <b/>
            <sz val="9"/>
            <color indexed="81"/>
            <rFont val="Tahoma"/>
            <family val="2"/>
          </rPr>
          <t>Jorge Arturo Espinoza:</t>
        </r>
        <r>
          <rPr>
            <sz val="9"/>
            <color indexed="81"/>
            <rFont val="Tahoma"/>
            <family val="2"/>
          </rPr>
          <t xml:space="preserve">
E1 -&gt; 400
E2 -&gt; 500
E4 -&gt; 600
E1-4p -&gt; 500
E2-4p -&gt; 600
E4-4p -&gt; 700</t>
        </r>
      </text>
    </comment>
    <comment ref="E1928" authorId="0" shapeId="0" xr:uid="{00000000-0006-0000-0100-000005010000}">
      <text>
        <r>
          <rPr>
            <b/>
            <sz val="9"/>
            <color indexed="81"/>
            <rFont val="Tahoma"/>
            <family val="2"/>
          </rPr>
          <t>Jorge Arturo Espinoza:</t>
        </r>
        <r>
          <rPr>
            <sz val="9"/>
            <color indexed="81"/>
            <rFont val="Tahoma"/>
            <family val="2"/>
          </rPr>
          <t xml:space="preserve">
E1 -&gt; 400
E2 -&gt; 500
E4 -&gt; 600
E1-4p -&gt; 500
E2-4p -&gt; 600
E4-4p -&gt; 700</t>
        </r>
      </text>
    </comment>
    <comment ref="E1929" authorId="0" shapeId="0" xr:uid="{00000000-0006-0000-0100-000006010000}">
      <text>
        <r>
          <rPr>
            <b/>
            <sz val="9"/>
            <color indexed="81"/>
            <rFont val="Tahoma"/>
            <family val="2"/>
          </rPr>
          <t>Jorge Arturo Espinoza:</t>
        </r>
        <r>
          <rPr>
            <sz val="9"/>
            <color indexed="81"/>
            <rFont val="Tahoma"/>
            <family val="2"/>
          </rPr>
          <t xml:space="preserve">
E1 -&gt; 400
E2 -&gt; 500
E4 -&gt; 600
E1-4p -&gt; 500
E2-4p -&gt; 600
E4-4p -&gt; 700</t>
        </r>
      </text>
    </comment>
    <comment ref="E1930" authorId="0" shapeId="0" xr:uid="{00000000-0006-0000-0100-000007010000}">
      <text>
        <r>
          <rPr>
            <b/>
            <sz val="9"/>
            <color indexed="81"/>
            <rFont val="Tahoma"/>
            <family val="2"/>
          </rPr>
          <t>Jorge Arturo Espinoza:</t>
        </r>
        <r>
          <rPr>
            <sz val="9"/>
            <color indexed="81"/>
            <rFont val="Tahoma"/>
            <family val="2"/>
          </rPr>
          <t xml:space="preserve">
E1 -&gt; 400
E2 -&gt; 500
E4 -&gt; 600
E1-4p -&gt; 500
E2-4p -&gt; 600
E4-4p -&gt; 700</t>
        </r>
      </text>
    </comment>
    <comment ref="E1931" authorId="0" shapeId="0" xr:uid="{00000000-0006-0000-0100-000008010000}">
      <text>
        <r>
          <rPr>
            <b/>
            <sz val="9"/>
            <color indexed="81"/>
            <rFont val="Tahoma"/>
            <family val="2"/>
          </rPr>
          <t>Jorge Arturo Espinoza:</t>
        </r>
        <r>
          <rPr>
            <sz val="9"/>
            <color indexed="81"/>
            <rFont val="Tahoma"/>
            <family val="2"/>
          </rPr>
          <t xml:space="preserve">
E1 -&gt; 400
E2 -&gt; 500
E4 -&gt; 600
E1-4p -&gt; 500
E2-4p -&gt; 600
E4-4p -&gt; 700</t>
        </r>
      </text>
    </comment>
    <comment ref="E1932" authorId="0" shapeId="0" xr:uid="{00000000-0006-0000-0100-000009010000}">
      <text>
        <r>
          <rPr>
            <b/>
            <sz val="9"/>
            <color indexed="81"/>
            <rFont val="Tahoma"/>
            <family val="2"/>
          </rPr>
          <t>Jorge Arturo Espinoza:</t>
        </r>
        <r>
          <rPr>
            <sz val="9"/>
            <color indexed="81"/>
            <rFont val="Tahoma"/>
            <family val="2"/>
          </rPr>
          <t xml:space="preserve">
E1 -&gt; 400
E2 -&gt; 500
E4 -&gt; 600
E1-4p -&gt; 500
E2-4p -&gt; 600
E4-4p -&gt; 700</t>
        </r>
      </text>
    </comment>
    <comment ref="E1933" authorId="0" shapeId="0" xr:uid="{00000000-0006-0000-0100-00000A010000}">
      <text>
        <r>
          <rPr>
            <b/>
            <sz val="9"/>
            <color indexed="81"/>
            <rFont val="Tahoma"/>
            <family val="2"/>
          </rPr>
          <t>Jorge Arturo Espinoza:</t>
        </r>
        <r>
          <rPr>
            <sz val="9"/>
            <color indexed="81"/>
            <rFont val="Tahoma"/>
            <family val="2"/>
          </rPr>
          <t xml:space="preserve">
E1 -&gt; 400
E2 -&gt; 500
E4 -&gt; 600
E1-4p -&gt; 500
E2-4p -&gt; 600
E4-4p -&gt; 700</t>
        </r>
      </text>
    </comment>
    <comment ref="E1934" authorId="0" shapeId="0" xr:uid="{00000000-0006-0000-0100-00000B010000}">
      <text>
        <r>
          <rPr>
            <b/>
            <sz val="9"/>
            <color indexed="81"/>
            <rFont val="Tahoma"/>
            <family val="2"/>
          </rPr>
          <t>Jorge Arturo Espinoza:</t>
        </r>
        <r>
          <rPr>
            <sz val="9"/>
            <color indexed="81"/>
            <rFont val="Tahoma"/>
            <family val="2"/>
          </rPr>
          <t xml:space="preserve">
E1 -&gt; 400
E2 -&gt; 500
E4 -&gt; 600
E1-4p -&gt; 500
E2-4p -&gt; 600
E4-4p -&gt; 700</t>
        </r>
      </text>
    </comment>
    <comment ref="E1936" authorId="0" shapeId="0" xr:uid="{00000000-0006-0000-0100-00000C010000}">
      <text>
        <r>
          <rPr>
            <b/>
            <sz val="9"/>
            <color indexed="81"/>
            <rFont val="Tahoma"/>
            <family val="2"/>
          </rPr>
          <t>Jorge Arturo Espinoza:</t>
        </r>
        <r>
          <rPr>
            <sz val="9"/>
            <color indexed="81"/>
            <rFont val="Tahoma"/>
            <family val="2"/>
          </rPr>
          <t xml:space="preserve">
E1 -&gt; 400
E2 -&gt; 500
E4 -&gt; 600
E1-4p -&gt; 500
E2-4p -&gt; 600
E4-4p -&gt; 700</t>
        </r>
      </text>
    </comment>
    <comment ref="E1937" authorId="0" shapeId="0" xr:uid="{00000000-0006-0000-0100-00000D010000}">
      <text>
        <r>
          <rPr>
            <b/>
            <sz val="9"/>
            <color indexed="81"/>
            <rFont val="Tahoma"/>
            <family val="2"/>
          </rPr>
          <t>Jorge Arturo Espinoza:</t>
        </r>
        <r>
          <rPr>
            <sz val="9"/>
            <color indexed="81"/>
            <rFont val="Tahoma"/>
            <family val="2"/>
          </rPr>
          <t xml:space="preserve">
E1 -&gt; 400
E2 -&gt; 500
E4 -&gt; 600
E1-4p -&gt; 500
E2-4p -&gt; 600
E4-4p -&gt; 700</t>
        </r>
      </text>
    </comment>
    <comment ref="B1961" authorId="0" shapeId="0" xr:uid="{00000000-0006-0000-0100-00000E010000}">
      <text>
        <r>
          <rPr>
            <b/>
            <sz val="9"/>
            <color indexed="81"/>
            <rFont val="Tahoma"/>
            <family val="2"/>
          </rPr>
          <t>Jorge Arturo Espinoza:</t>
        </r>
        <r>
          <rPr>
            <sz val="9"/>
            <color indexed="81"/>
            <rFont val="Tahoma"/>
            <family val="2"/>
          </rPr>
          <t xml:space="preserve">
Viene 04 por defecto</t>
        </r>
      </text>
    </comment>
    <comment ref="B1962" authorId="0" shapeId="0" xr:uid="{00000000-0006-0000-0100-00000F010000}">
      <text>
        <r>
          <rPr>
            <b/>
            <sz val="9"/>
            <color indexed="81"/>
            <rFont val="Tahoma"/>
            <family val="2"/>
          </rPr>
          <t>Jorge Arturo Espinoza:</t>
        </r>
        <r>
          <rPr>
            <sz val="9"/>
            <color indexed="81"/>
            <rFont val="Tahoma"/>
            <family val="2"/>
          </rPr>
          <t xml:space="preserve">
Viene 01 por defecto</t>
        </r>
      </text>
    </comment>
    <comment ref="B1968" authorId="0" shapeId="0" xr:uid="{00000000-0006-0000-0100-000010010000}">
      <text>
        <r>
          <rPr>
            <b/>
            <sz val="9"/>
            <color indexed="81"/>
            <rFont val="Tahoma"/>
            <family val="2"/>
          </rPr>
          <t>Jorge Arturo Espinoza:</t>
        </r>
        <r>
          <rPr>
            <sz val="9"/>
            <color indexed="81"/>
            <rFont val="Tahoma"/>
            <family val="2"/>
          </rPr>
          <t xml:space="preserve">
NECESARIO PARA LOS MODULOS DE COM</t>
        </r>
      </text>
    </comment>
    <comment ref="B1969" authorId="0" shapeId="0" xr:uid="{00000000-0006-0000-0100-000011010000}">
      <text>
        <r>
          <rPr>
            <b/>
            <sz val="9"/>
            <color indexed="81"/>
            <rFont val="Tahoma"/>
            <family val="2"/>
          </rPr>
          <t>Jorge Arturo Espinoza:</t>
        </r>
        <r>
          <rPr>
            <sz val="9"/>
            <color indexed="81"/>
            <rFont val="Tahoma"/>
            <family val="2"/>
          </rPr>
          <t xml:space="preserve">
NECESARIO PARA LOS MODULOS DE COM</t>
        </r>
      </text>
    </comment>
    <comment ref="B1984" authorId="0" shapeId="0" xr:uid="{00000000-0006-0000-0100-000012010000}">
      <text>
        <r>
          <rPr>
            <b/>
            <sz val="9"/>
            <color indexed="81"/>
            <rFont val="Tahoma"/>
            <family val="2"/>
          </rPr>
          <t>Jorge Arturo Espinoza:</t>
        </r>
        <r>
          <rPr>
            <sz val="9"/>
            <color indexed="81"/>
            <rFont val="Tahoma"/>
            <family val="2"/>
          </rPr>
          <t xml:space="preserve">
TAMBIEN SIRVE PARA E4.2 (4p) ??</t>
        </r>
      </text>
    </comment>
    <comment ref="G1984" authorId="0" shapeId="0" xr:uid="{00000000-0006-0000-0100-000013010000}">
      <text>
        <r>
          <rPr>
            <b/>
            <sz val="9"/>
            <color indexed="81"/>
            <rFont val="Tahoma"/>
            <family val="2"/>
          </rPr>
          <t>Jorge Arturo Espinoza:</t>
        </r>
        <r>
          <rPr>
            <sz val="9"/>
            <color indexed="81"/>
            <rFont val="Tahoma"/>
            <family val="2"/>
          </rPr>
          <t xml:space="preserve">
TAMBIEN SIRVE PARA E4.2 (4p) ??</t>
        </r>
      </text>
    </comment>
    <comment ref="B1993" authorId="0" shapeId="0" xr:uid="{00000000-0006-0000-0100-000014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1994" authorId="0" shapeId="0" xr:uid="{00000000-0006-0000-0100-000015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1995" authorId="0" shapeId="0" xr:uid="{00000000-0006-0000-0100-000016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1996" authorId="0" shapeId="0" xr:uid="{00000000-0006-0000-0100-000017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1997" authorId="0" shapeId="0" xr:uid="{00000000-0006-0000-0100-000018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G1997" authorId="0" shapeId="0" xr:uid="{00000000-0006-0000-0100-000019010000}">
      <text>
        <r>
          <rPr>
            <b/>
            <sz val="9"/>
            <color indexed="81"/>
            <rFont val="Tahoma"/>
            <family val="2"/>
          </rPr>
          <t>Jorge Arturo Espinoza:</t>
        </r>
        <r>
          <rPr>
            <sz val="9"/>
            <color indexed="81"/>
            <rFont val="Tahoma"/>
            <family val="2"/>
          </rPr>
          <t xml:space="preserve">
¿Es el mismo codigo para 4p??</t>
        </r>
      </text>
    </comment>
    <comment ref="B1998" authorId="0" shapeId="0" xr:uid="{00000000-0006-0000-0100-00001A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G1998" authorId="0" shapeId="0" xr:uid="{00000000-0006-0000-0100-00001B010000}">
      <text>
        <r>
          <rPr>
            <b/>
            <sz val="9"/>
            <color indexed="81"/>
            <rFont val="Tahoma"/>
            <family val="2"/>
          </rPr>
          <t>Jorge Arturo Espinoza:</t>
        </r>
        <r>
          <rPr>
            <sz val="9"/>
            <color indexed="81"/>
            <rFont val="Tahoma"/>
            <family val="2"/>
          </rPr>
          <t xml:space="preserve">
¿Es el mismo codigo para 4p??</t>
        </r>
      </text>
    </comment>
    <comment ref="B1999" authorId="0" shapeId="0" xr:uid="{00000000-0006-0000-0100-00001C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G1999" authorId="0" shapeId="0" xr:uid="{00000000-0006-0000-0100-00001D010000}">
      <text>
        <r>
          <rPr>
            <b/>
            <sz val="9"/>
            <color indexed="81"/>
            <rFont val="Tahoma"/>
            <family val="2"/>
          </rPr>
          <t>Jorge Arturo Espinoza:</t>
        </r>
        <r>
          <rPr>
            <sz val="9"/>
            <color indexed="81"/>
            <rFont val="Tahoma"/>
            <family val="2"/>
          </rPr>
          <t xml:space="preserve">
¿existe codigo para 4p??</t>
        </r>
      </text>
    </comment>
    <comment ref="B2000" authorId="0" shapeId="0" xr:uid="{00000000-0006-0000-0100-00001E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001" authorId="0" shapeId="0" xr:uid="{00000000-0006-0000-0100-00001F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002" authorId="0" shapeId="0" xr:uid="{00000000-0006-0000-0100-000020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003" authorId="0" shapeId="0" xr:uid="{00000000-0006-0000-0100-000021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004" authorId="0" shapeId="0" xr:uid="{00000000-0006-0000-0100-000022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005" authorId="0" shapeId="0" xr:uid="{00000000-0006-0000-0100-000023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E2014" authorId="0" shapeId="0" xr:uid="{00000000-0006-0000-0100-000024010000}">
      <text>
        <r>
          <rPr>
            <b/>
            <sz val="9"/>
            <color indexed="81"/>
            <rFont val="Tahoma"/>
            <family val="2"/>
          </rPr>
          <t>Jorge Arturo Espinoza:</t>
        </r>
        <r>
          <rPr>
            <sz val="9"/>
            <color indexed="81"/>
            <rFont val="Tahoma"/>
            <family val="2"/>
          </rPr>
          <t xml:space="preserve">
E1 -&gt; 400
E2 -&gt; 500
E4 -&gt; 600
E1-4p -&gt; 500
E2-4p -&gt; 600
E4-4p -&gt; 700</t>
        </r>
      </text>
    </comment>
    <comment ref="E2020" authorId="0" shapeId="0" xr:uid="{00000000-0006-0000-0100-000025010000}">
      <text>
        <r>
          <rPr>
            <b/>
            <sz val="9"/>
            <color indexed="81"/>
            <rFont val="Tahoma"/>
            <family val="2"/>
          </rPr>
          <t>Jorge Arturo Espinoza:</t>
        </r>
        <r>
          <rPr>
            <sz val="9"/>
            <color indexed="81"/>
            <rFont val="Tahoma"/>
            <family val="2"/>
          </rPr>
          <t xml:space="preserve">
E1 -&gt; 400
E2 -&gt; 500
E4 -&gt; 600
E1-4p -&gt; 500
E2-4p -&gt; 600
E4-4p -&gt; 700</t>
        </r>
      </text>
    </comment>
    <comment ref="E2021" authorId="0" shapeId="0" xr:uid="{00000000-0006-0000-0100-000026010000}">
      <text>
        <r>
          <rPr>
            <b/>
            <sz val="9"/>
            <color indexed="81"/>
            <rFont val="Tahoma"/>
            <family val="2"/>
          </rPr>
          <t>Jorge Arturo Espinoza:</t>
        </r>
        <r>
          <rPr>
            <sz val="9"/>
            <color indexed="81"/>
            <rFont val="Tahoma"/>
            <family val="2"/>
          </rPr>
          <t xml:space="preserve">
E1 -&gt; 400
E2 -&gt; 500
E4 -&gt; 600
E1-4p -&gt; 500
E2-4p -&gt; 600
E4-4p -&gt; 700</t>
        </r>
      </text>
    </comment>
    <comment ref="E2024" authorId="0" shapeId="0" xr:uid="{00000000-0006-0000-0100-000027010000}">
      <text>
        <r>
          <rPr>
            <b/>
            <sz val="9"/>
            <color indexed="81"/>
            <rFont val="Tahoma"/>
            <family val="2"/>
          </rPr>
          <t>Jorge Arturo Espinoza:</t>
        </r>
        <r>
          <rPr>
            <sz val="9"/>
            <color indexed="81"/>
            <rFont val="Tahoma"/>
            <family val="2"/>
          </rPr>
          <t xml:space="preserve">
E1 -&gt; 400
E2 -&gt; 500
E4 -&gt; 600
E1-4p -&gt; 500
E2-4p -&gt; 600
E4-4p -&gt; 700</t>
        </r>
      </text>
    </comment>
    <comment ref="E2029" authorId="0" shapeId="0" xr:uid="{00000000-0006-0000-0100-000028010000}">
      <text>
        <r>
          <rPr>
            <b/>
            <sz val="9"/>
            <color indexed="81"/>
            <rFont val="Tahoma"/>
            <family val="2"/>
          </rPr>
          <t>Jorge Arturo Espinoza:</t>
        </r>
        <r>
          <rPr>
            <sz val="9"/>
            <color indexed="81"/>
            <rFont val="Tahoma"/>
            <family val="2"/>
          </rPr>
          <t xml:space="preserve">
E1 -&gt; 400
E2 -&gt; 500
E4 -&gt; 600
E1-4p -&gt; 500
E2-4p -&gt; 600
E4-4p -&gt; 700</t>
        </r>
      </text>
    </comment>
    <comment ref="E2030" authorId="0" shapeId="0" xr:uid="{00000000-0006-0000-0100-000029010000}">
      <text>
        <r>
          <rPr>
            <b/>
            <sz val="9"/>
            <color indexed="81"/>
            <rFont val="Tahoma"/>
            <family val="2"/>
          </rPr>
          <t>Jorge Arturo Espinoza:</t>
        </r>
        <r>
          <rPr>
            <sz val="9"/>
            <color indexed="81"/>
            <rFont val="Tahoma"/>
            <family val="2"/>
          </rPr>
          <t xml:space="preserve">
E1 -&gt; 400
E2 -&gt; 500
E4 -&gt; 600
E1-4p -&gt; 500
E2-4p -&gt; 600
E4-4p -&gt; 700</t>
        </r>
      </text>
    </comment>
    <comment ref="E2043" authorId="0" shapeId="0" xr:uid="{00000000-0006-0000-0100-00002A010000}">
      <text>
        <r>
          <rPr>
            <b/>
            <sz val="9"/>
            <color indexed="81"/>
            <rFont val="Tahoma"/>
            <family val="2"/>
          </rPr>
          <t>Jorge Arturo Espinoza:</t>
        </r>
        <r>
          <rPr>
            <sz val="9"/>
            <color indexed="81"/>
            <rFont val="Tahoma"/>
            <family val="2"/>
          </rPr>
          <t xml:space="preserve">
E1 -&gt; 400
E2 -&gt; 500
E4 -&gt; 600
E1-4p -&gt; 500
E2-4p -&gt; 600
E4-4p -&gt; 700</t>
        </r>
      </text>
    </comment>
    <comment ref="E2044" authorId="0" shapeId="0" xr:uid="{00000000-0006-0000-0100-00002B010000}">
      <text>
        <r>
          <rPr>
            <b/>
            <sz val="9"/>
            <color indexed="81"/>
            <rFont val="Tahoma"/>
            <family val="2"/>
          </rPr>
          <t>Jorge Arturo Espinoza:</t>
        </r>
        <r>
          <rPr>
            <sz val="9"/>
            <color indexed="81"/>
            <rFont val="Tahoma"/>
            <family val="2"/>
          </rPr>
          <t xml:space="preserve">
E1 -&gt; 400
E2 -&gt; 500
E4 -&gt; 600
E1-4p -&gt; 500
E2-4p -&gt; 600
E4-4p -&gt; 700</t>
        </r>
      </text>
    </comment>
    <comment ref="E2045" authorId="0" shapeId="0" xr:uid="{00000000-0006-0000-0100-00002C010000}">
      <text>
        <r>
          <rPr>
            <b/>
            <sz val="9"/>
            <color indexed="81"/>
            <rFont val="Tahoma"/>
            <family val="2"/>
          </rPr>
          <t>Jorge Arturo Espinoza:</t>
        </r>
        <r>
          <rPr>
            <sz val="9"/>
            <color indexed="81"/>
            <rFont val="Tahoma"/>
            <family val="2"/>
          </rPr>
          <t xml:space="preserve">
E1 -&gt; 400
E2 -&gt; 500
E4 -&gt; 600
E1-4p -&gt; 500
E2-4p -&gt; 600
E4-4p -&gt; 700</t>
        </r>
      </text>
    </comment>
    <comment ref="E2058" authorId="0" shapeId="0" xr:uid="{00000000-0006-0000-0100-00002D010000}">
      <text>
        <r>
          <rPr>
            <b/>
            <sz val="9"/>
            <color indexed="81"/>
            <rFont val="Tahoma"/>
            <family val="2"/>
          </rPr>
          <t>Jorge Arturo Espinoza:</t>
        </r>
        <r>
          <rPr>
            <sz val="9"/>
            <color indexed="81"/>
            <rFont val="Tahoma"/>
            <family val="2"/>
          </rPr>
          <t xml:space="preserve">
E1 -&gt; 400
E2 -&gt; 500
E4 -&gt; 600
E1-4p -&gt; 500
E2-4p -&gt; 600
E4-4p -&gt; 700</t>
        </r>
      </text>
    </comment>
    <comment ref="E2059" authorId="0" shapeId="0" xr:uid="{00000000-0006-0000-0100-00002E010000}">
      <text>
        <r>
          <rPr>
            <b/>
            <sz val="9"/>
            <color indexed="81"/>
            <rFont val="Tahoma"/>
            <family val="2"/>
          </rPr>
          <t>Jorge Arturo Espinoza:</t>
        </r>
        <r>
          <rPr>
            <sz val="9"/>
            <color indexed="81"/>
            <rFont val="Tahoma"/>
            <family val="2"/>
          </rPr>
          <t xml:space="preserve">
E1 -&gt; 400
E2 -&gt; 500
E4 -&gt; 600
E1-4p -&gt; 500
E2-4p -&gt; 600
E4-4p -&gt; 700</t>
        </r>
      </text>
    </comment>
    <comment ref="E2072" authorId="0" shapeId="0" xr:uid="{00000000-0006-0000-0100-00002F010000}">
      <text>
        <r>
          <rPr>
            <b/>
            <sz val="9"/>
            <color indexed="81"/>
            <rFont val="Tahoma"/>
            <family val="2"/>
          </rPr>
          <t>Jorge Arturo Espinoza:</t>
        </r>
        <r>
          <rPr>
            <sz val="9"/>
            <color indexed="81"/>
            <rFont val="Tahoma"/>
            <family val="2"/>
          </rPr>
          <t xml:space="preserve">
E1 -&gt; 400
E2 -&gt; 500
E4 -&gt; 600
E1-4p -&gt; 500
E2-4p -&gt; 600
E4-4p -&gt; 700</t>
        </r>
      </text>
    </comment>
    <comment ref="E2073" authorId="0" shapeId="0" xr:uid="{00000000-0006-0000-0100-000030010000}">
      <text>
        <r>
          <rPr>
            <b/>
            <sz val="9"/>
            <color indexed="81"/>
            <rFont val="Tahoma"/>
            <family val="2"/>
          </rPr>
          <t>Jorge Arturo Espinoza:</t>
        </r>
        <r>
          <rPr>
            <sz val="9"/>
            <color indexed="81"/>
            <rFont val="Tahoma"/>
            <family val="2"/>
          </rPr>
          <t xml:space="preserve">
E1 -&gt; 400
E2 -&gt; 500
E4 -&gt; 600
E1-4p -&gt; 500
E2-4p -&gt; 600
E4-4p -&gt; 700</t>
        </r>
      </text>
    </comment>
    <comment ref="E2084" authorId="0" shapeId="0" xr:uid="{00000000-0006-0000-0100-000031010000}">
      <text>
        <r>
          <rPr>
            <b/>
            <sz val="9"/>
            <color indexed="81"/>
            <rFont val="Tahoma"/>
            <family val="2"/>
          </rPr>
          <t>Jorge Arturo Espinoza:</t>
        </r>
        <r>
          <rPr>
            <sz val="9"/>
            <color indexed="81"/>
            <rFont val="Tahoma"/>
            <family val="2"/>
          </rPr>
          <t xml:space="preserve">
E1 -&gt; 400
E2 -&gt; 500
E4 -&gt; 600
E1-4p -&gt; 500
E2-4p -&gt; 600
E4-4p -&gt; 700</t>
        </r>
      </text>
    </comment>
    <comment ref="E2088" authorId="0" shapeId="0" xr:uid="{00000000-0006-0000-0100-000032010000}">
      <text>
        <r>
          <rPr>
            <b/>
            <sz val="9"/>
            <color indexed="81"/>
            <rFont val="Tahoma"/>
            <family val="2"/>
          </rPr>
          <t>Jorge Arturo Espinoza:</t>
        </r>
        <r>
          <rPr>
            <sz val="9"/>
            <color indexed="81"/>
            <rFont val="Tahoma"/>
            <family val="2"/>
          </rPr>
          <t xml:space="preserve">
E1 -&gt; 400
E2 -&gt; 500
E4 -&gt; 600
E1-4p -&gt; 500
E2-4p -&gt; 600
E4-4p -&gt; 700</t>
        </r>
      </text>
    </comment>
    <comment ref="E2093" authorId="0" shapeId="0" xr:uid="{00000000-0006-0000-0100-000033010000}">
      <text>
        <r>
          <rPr>
            <b/>
            <sz val="9"/>
            <color indexed="81"/>
            <rFont val="Tahoma"/>
            <family val="2"/>
          </rPr>
          <t>Jorge Arturo Espinoza:</t>
        </r>
        <r>
          <rPr>
            <sz val="9"/>
            <color indexed="81"/>
            <rFont val="Tahoma"/>
            <family val="2"/>
          </rPr>
          <t xml:space="preserve">
E1 -&gt; 400
E2 -&gt; 500
E4 -&gt; 600
E1-4p -&gt; 500
E2-4p -&gt; 600
E4-4p -&gt; 700</t>
        </r>
      </text>
    </comment>
    <comment ref="E2107" authorId="0" shapeId="0" xr:uid="{00000000-0006-0000-0100-000034010000}">
      <text>
        <r>
          <rPr>
            <b/>
            <sz val="9"/>
            <color indexed="81"/>
            <rFont val="Tahoma"/>
            <family val="2"/>
          </rPr>
          <t>Jorge Arturo Espinoza:</t>
        </r>
        <r>
          <rPr>
            <sz val="9"/>
            <color indexed="81"/>
            <rFont val="Tahoma"/>
            <family val="2"/>
          </rPr>
          <t xml:space="preserve">
E1 -&gt; 400
E2 -&gt; 500
E4 -&gt; 600
E1-4p -&gt; 500
E2-4p -&gt; 600
E4-4p -&gt; 700</t>
        </r>
      </text>
    </comment>
    <comment ref="E2108" authorId="0" shapeId="0" xr:uid="{00000000-0006-0000-0100-000035010000}">
      <text>
        <r>
          <rPr>
            <b/>
            <sz val="9"/>
            <color indexed="81"/>
            <rFont val="Tahoma"/>
            <family val="2"/>
          </rPr>
          <t>Jorge Arturo Espinoza:</t>
        </r>
        <r>
          <rPr>
            <sz val="9"/>
            <color indexed="81"/>
            <rFont val="Tahoma"/>
            <family val="2"/>
          </rPr>
          <t xml:space="preserve">
E1 -&gt; 400
E2 -&gt; 500
E4 -&gt; 600
E1-4p -&gt; 500
E2-4p -&gt; 600
E4-4p -&gt; 700</t>
        </r>
      </text>
    </comment>
    <comment ref="E2114" authorId="0" shapeId="0" xr:uid="{00000000-0006-0000-0100-000036010000}">
      <text>
        <r>
          <rPr>
            <b/>
            <sz val="9"/>
            <color indexed="81"/>
            <rFont val="Tahoma"/>
            <family val="2"/>
          </rPr>
          <t>Jorge Arturo Espinoza:</t>
        </r>
        <r>
          <rPr>
            <sz val="9"/>
            <color indexed="81"/>
            <rFont val="Tahoma"/>
            <family val="2"/>
          </rPr>
          <t xml:space="preserve">
E1 -&gt; 400
E2 -&gt; 500
E4 -&gt; 600
E1-4p -&gt; 500
E2-4p -&gt; 600
E4-4p -&gt; 700</t>
        </r>
      </text>
    </comment>
    <comment ref="B2116" authorId="0" shapeId="0" xr:uid="{00000000-0006-0000-0100-000037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117" authorId="0" shapeId="0" xr:uid="{00000000-0006-0000-0100-000038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118" authorId="0" shapeId="0" xr:uid="{00000000-0006-0000-0100-000039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E2122" authorId="0" shapeId="0" xr:uid="{00000000-0006-0000-0100-00003A010000}">
      <text>
        <r>
          <rPr>
            <b/>
            <sz val="9"/>
            <color indexed="81"/>
            <rFont val="Tahoma"/>
            <family val="2"/>
          </rPr>
          <t>Jorge Arturo Espinoza:</t>
        </r>
        <r>
          <rPr>
            <sz val="9"/>
            <color indexed="81"/>
            <rFont val="Tahoma"/>
            <family val="2"/>
          </rPr>
          <t xml:space="preserve">
E1 -&gt; 400
E2 -&gt; 500
E4 -&gt; 600
E1-4p -&gt; 500
E2-4p -&gt; 600
E4-4p -&gt; 700</t>
        </r>
      </text>
    </comment>
    <comment ref="E2123" authorId="0" shapeId="0" xr:uid="{00000000-0006-0000-0100-00003B010000}">
      <text>
        <r>
          <rPr>
            <b/>
            <sz val="9"/>
            <color indexed="81"/>
            <rFont val="Tahoma"/>
            <family val="2"/>
          </rPr>
          <t>Jorge Arturo Espinoza:</t>
        </r>
        <r>
          <rPr>
            <sz val="9"/>
            <color indexed="81"/>
            <rFont val="Tahoma"/>
            <family val="2"/>
          </rPr>
          <t xml:space="preserve">
E1 -&gt; 400
E2 -&gt; 500
E4 -&gt; 600
E1-4p -&gt; 500
E2-4p -&gt; 600
E4-4p -&gt; 700</t>
        </r>
      </text>
    </comment>
    <comment ref="E2129" authorId="0" shapeId="0" xr:uid="{00000000-0006-0000-0100-00003C010000}">
      <text>
        <r>
          <rPr>
            <b/>
            <sz val="9"/>
            <color indexed="81"/>
            <rFont val="Tahoma"/>
            <family val="2"/>
          </rPr>
          <t>Jorge Arturo Espinoza:</t>
        </r>
        <r>
          <rPr>
            <sz val="9"/>
            <color indexed="81"/>
            <rFont val="Tahoma"/>
            <family val="2"/>
          </rPr>
          <t xml:space="preserve">
E1 -&gt; 400
E2 -&gt; 500
E4 -&gt; 600
E1-4p -&gt; 500
E2-4p -&gt; 600
E4-4p -&gt; 700</t>
        </r>
      </text>
    </comment>
    <comment ref="B2131" authorId="0" shapeId="0" xr:uid="{00000000-0006-0000-0100-00003D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132" authorId="0" shapeId="0" xr:uid="{00000000-0006-0000-0100-00003E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133" authorId="0" shapeId="0" xr:uid="{00000000-0006-0000-0100-00003F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150" authorId="0" shapeId="0" xr:uid="{00000000-0006-0000-0100-000040010000}">
      <text>
        <r>
          <rPr>
            <b/>
            <sz val="9"/>
            <color indexed="81"/>
            <rFont val="Tahoma"/>
            <family val="2"/>
          </rPr>
          <t>Jorge Arturo Espinoza:</t>
        </r>
        <r>
          <rPr>
            <sz val="9"/>
            <color indexed="81"/>
            <rFont val="Tahoma"/>
            <family val="2"/>
          </rPr>
          <t xml:space="preserve">
FUNCIONA SOLO CON UN T5 AGUAS ARRIBA</t>
        </r>
      </text>
    </comment>
    <comment ref="B2153" authorId="0" shapeId="0" xr:uid="{00000000-0006-0000-0100-000041010000}">
      <text>
        <r>
          <rPr>
            <b/>
            <sz val="9"/>
            <color indexed="81"/>
            <rFont val="Tahoma"/>
            <family val="2"/>
          </rPr>
          <t>Jorge Arturo Espinoza:</t>
        </r>
        <r>
          <rPr>
            <sz val="9"/>
            <color indexed="81"/>
            <rFont val="Tahoma"/>
            <family val="2"/>
          </rPr>
          <t xml:space="preserve">
FUNCIONA SOLO CON UN T6 AGUAS ARRIBA</t>
        </r>
      </text>
    </comment>
    <comment ref="B2160" authorId="0" shapeId="0" xr:uid="{00000000-0006-0000-0100-000042010000}">
      <text>
        <r>
          <rPr>
            <b/>
            <sz val="9"/>
            <color indexed="81"/>
            <rFont val="Tahoma"/>
            <family val="2"/>
          </rPr>
          <t>Jorge Arturo Espinoza:</t>
        </r>
        <r>
          <rPr>
            <sz val="9"/>
            <color indexed="81"/>
            <rFont val="Tahoma"/>
            <family val="2"/>
          </rPr>
          <t xml:space="preserve">
FUNCIONA SOLO CON UN T5 AGUAS ARRIBA</t>
        </r>
      </text>
    </comment>
    <comment ref="B2163" authorId="0" shapeId="0" xr:uid="{00000000-0006-0000-0100-000043010000}">
      <text>
        <r>
          <rPr>
            <b/>
            <sz val="9"/>
            <color indexed="81"/>
            <rFont val="Tahoma"/>
            <family val="2"/>
          </rPr>
          <t>Jorge Arturo Espinoza:</t>
        </r>
        <r>
          <rPr>
            <sz val="9"/>
            <color indexed="81"/>
            <rFont val="Tahoma"/>
            <family val="2"/>
          </rPr>
          <t xml:space="preserve">
FUNCIONA SOLO CON UN T6 AGUAS ARRIBA</t>
        </r>
      </text>
    </comment>
    <comment ref="B2238" authorId="0" shapeId="0" xr:uid="{00000000-0006-0000-0100-000044010000}">
      <text>
        <r>
          <rPr>
            <b/>
            <sz val="9"/>
            <color indexed="81"/>
            <rFont val="Tahoma"/>
            <family val="2"/>
          </rPr>
          <t>Jorge Arturo Espinoza:</t>
        </r>
        <r>
          <rPr>
            <sz val="9"/>
            <color indexed="81"/>
            <rFont val="Tahoma"/>
            <family val="2"/>
          </rPr>
          <t xml:space="preserve">
IMPORTACION</t>
        </r>
      </text>
    </comment>
    <comment ref="H2311" authorId="0" shapeId="0" xr:uid="{00000000-0006-0000-0100-000045010000}">
      <text>
        <r>
          <rPr>
            <b/>
            <sz val="9"/>
            <color indexed="81"/>
            <rFont val="Tahoma"/>
            <family val="2"/>
          </rPr>
          <t>Jorge Arturo Espinoza:</t>
        </r>
        <r>
          <rPr>
            <sz val="9"/>
            <color indexed="81"/>
            <rFont val="Tahoma"/>
            <family val="2"/>
          </rPr>
          <t xml:space="preserve">
CORREGIDO</t>
        </r>
      </text>
    </comment>
    <comment ref="H2312" authorId="0" shapeId="0" xr:uid="{00000000-0006-0000-0100-000046010000}">
      <text>
        <r>
          <rPr>
            <b/>
            <sz val="9"/>
            <color indexed="81"/>
            <rFont val="Tahoma"/>
            <family val="2"/>
          </rPr>
          <t>Jorge Arturo Espinoza:</t>
        </r>
        <r>
          <rPr>
            <sz val="9"/>
            <color indexed="81"/>
            <rFont val="Tahoma"/>
            <family val="2"/>
          </rPr>
          <t xml:space="preserve">
CORREGIDO</t>
        </r>
      </text>
    </comment>
    <comment ref="B2333" authorId="0" shapeId="0" xr:uid="{00000000-0006-0000-0100-000047010000}">
      <text>
        <r>
          <rPr>
            <b/>
            <sz val="9"/>
            <color indexed="81"/>
            <rFont val="Tahoma"/>
            <family val="2"/>
          </rPr>
          <t>Jorge Arturo Espinoza:</t>
        </r>
        <r>
          <rPr>
            <sz val="9"/>
            <color indexed="81"/>
            <rFont val="Tahoma"/>
            <family val="2"/>
          </rPr>
          <t xml:space="preserve">
SIN CONTACTO AUX</t>
        </r>
      </text>
    </comment>
    <comment ref="B2334" authorId="0" shapeId="0" xr:uid="{00000000-0006-0000-0100-000048010000}">
      <text>
        <r>
          <rPr>
            <b/>
            <sz val="9"/>
            <color indexed="81"/>
            <rFont val="Tahoma"/>
            <family val="2"/>
          </rPr>
          <t>Jorge Arturo Espinoza:</t>
        </r>
        <r>
          <rPr>
            <sz val="9"/>
            <color indexed="81"/>
            <rFont val="Tahoma"/>
            <family val="2"/>
          </rPr>
          <t xml:space="preserve">
IMPORTACION
1NA+1NC FRONTALES</t>
        </r>
      </text>
    </comment>
    <comment ref="B2336" authorId="0" shapeId="0" xr:uid="{00000000-0006-0000-0100-000049010000}">
      <text>
        <r>
          <rPr>
            <b/>
            <sz val="9"/>
            <color indexed="81"/>
            <rFont val="Tahoma"/>
            <family val="2"/>
          </rPr>
          <t>Jorge Arturo Espinoza:</t>
        </r>
        <r>
          <rPr>
            <sz val="9"/>
            <color indexed="81"/>
            <rFont val="Tahoma"/>
            <family val="2"/>
          </rPr>
          <t xml:space="preserve">
SIN CONTACTO AUX</t>
        </r>
      </text>
    </comment>
    <comment ref="B2337" authorId="0" shapeId="0" xr:uid="{00000000-0006-0000-0100-00004A010000}">
      <text>
        <r>
          <rPr>
            <b/>
            <sz val="9"/>
            <color indexed="81"/>
            <rFont val="Tahoma"/>
            <family val="2"/>
          </rPr>
          <t>Jorge Arturo Espinoza:</t>
        </r>
        <r>
          <rPr>
            <sz val="9"/>
            <color indexed="81"/>
            <rFont val="Tahoma"/>
            <family val="2"/>
          </rPr>
          <t xml:space="preserve">
IMPORTACION
1NA+1NC FRONTALES</t>
        </r>
      </text>
    </comment>
    <comment ref="B2340" authorId="0" shapeId="0" xr:uid="{00000000-0006-0000-0100-00004B010000}">
      <text>
        <r>
          <rPr>
            <b/>
            <sz val="9"/>
            <color indexed="81"/>
            <rFont val="Tahoma"/>
            <family val="2"/>
          </rPr>
          <t>Jorge Arturo Espinoza:</t>
        </r>
        <r>
          <rPr>
            <sz val="9"/>
            <color indexed="81"/>
            <rFont val="Tahoma"/>
            <family val="2"/>
          </rPr>
          <t xml:space="preserve">
SIN CONTACTO AUX</t>
        </r>
      </text>
    </comment>
    <comment ref="B2341" authorId="0" shapeId="0" xr:uid="{00000000-0006-0000-0100-00004C010000}">
      <text>
        <r>
          <rPr>
            <b/>
            <sz val="9"/>
            <color indexed="81"/>
            <rFont val="Tahoma"/>
            <family val="2"/>
          </rPr>
          <t>Jorge Arturo Espinoza:</t>
        </r>
        <r>
          <rPr>
            <sz val="9"/>
            <color indexed="81"/>
            <rFont val="Tahoma"/>
            <family val="2"/>
          </rPr>
          <t xml:space="preserve">
SIN CONTACTO AUX</t>
        </r>
      </text>
    </comment>
    <comment ref="B2342" authorId="0" shapeId="0" xr:uid="{00000000-0006-0000-0100-00004D010000}">
      <text>
        <r>
          <rPr>
            <b/>
            <sz val="9"/>
            <color indexed="81"/>
            <rFont val="Tahoma"/>
            <family val="2"/>
          </rPr>
          <t>Jorge Arturo Espinoza:</t>
        </r>
        <r>
          <rPr>
            <sz val="9"/>
            <color indexed="81"/>
            <rFont val="Tahoma"/>
            <family val="2"/>
          </rPr>
          <t xml:space="preserve">
SIN CONTACTO AUX</t>
        </r>
      </text>
    </comment>
    <comment ref="B2343" authorId="0" shapeId="0" xr:uid="{00000000-0006-0000-0100-00004E010000}">
      <text>
        <r>
          <rPr>
            <b/>
            <sz val="9"/>
            <color indexed="81"/>
            <rFont val="Tahoma"/>
            <family val="2"/>
          </rPr>
          <t>Jorge Arturo Espinoza:</t>
        </r>
        <r>
          <rPr>
            <sz val="9"/>
            <color indexed="81"/>
            <rFont val="Tahoma"/>
            <family val="2"/>
          </rPr>
          <t xml:space="preserve">
SIN CONTACTO AUX</t>
        </r>
      </text>
    </comment>
    <comment ref="B2344" authorId="0" shapeId="0" xr:uid="{00000000-0006-0000-0100-00004F010000}">
      <text>
        <r>
          <rPr>
            <b/>
            <sz val="9"/>
            <color indexed="81"/>
            <rFont val="Tahoma"/>
            <family val="2"/>
          </rPr>
          <t>Jorge Arturo Espinoza:</t>
        </r>
        <r>
          <rPr>
            <sz val="9"/>
            <color indexed="81"/>
            <rFont val="Tahoma"/>
            <family val="2"/>
          </rPr>
          <t xml:space="preserve">
SIN CONTACTO AUX</t>
        </r>
      </text>
    </comment>
    <comment ref="B2345" authorId="0" shapeId="0" xr:uid="{00000000-0006-0000-0100-000050010000}">
      <text>
        <r>
          <rPr>
            <b/>
            <sz val="9"/>
            <color indexed="81"/>
            <rFont val="Tahoma"/>
            <family val="2"/>
          </rPr>
          <t>Jorge Arturo Espinoza:</t>
        </r>
        <r>
          <rPr>
            <sz val="9"/>
            <color indexed="81"/>
            <rFont val="Tahoma"/>
            <family val="2"/>
          </rPr>
          <t xml:space="preserve">
SIN CONTACTO AUX</t>
        </r>
      </text>
    </comment>
    <comment ref="B2346" authorId="0" shapeId="0" xr:uid="{00000000-0006-0000-0100-000051010000}">
      <text>
        <r>
          <rPr>
            <b/>
            <sz val="9"/>
            <color indexed="81"/>
            <rFont val="Tahoma"/>
            <family val="2"/>
          </rPr>
          <t>Jorge Arturo Espinoza:</t>
        </r>
        <r>
          <rPr>
            <sz val="9"/>
            <color indexed="81"/>
            <rFont val="Tahoma"/>
            <family val="2"/>
          </rPr>
          <t xml:space="preserve">
SIN CONTACTO AUX</t>
        </r>
      </text>
    </comment>
    <comment ref="B2347" authorId="0" shapeId="0" xr:uid="{00000000-0006-0000-0100-000052010000}">
      <text>
        <r>
          <rPr>
            <b/>
            <sz val="9"/>
            <color indexed="81"/>
            <rFont val="Tahoma"/>
            <family val="2"/>
          </rPr>
          <t>Jorge Arturo Espinoza:</t>
        </r>
        <r>
          <rPr>
            <sz val="9"/>
            <color indexed="81"/>
            <rFont val="Tahoma"/>
            <family val="2"/>
          </rPr>
          <t xml:space="preserve">
SIN CONTACTO AUX</t>
        </r>
      </text>
    </comment>
    <comment ref="B2348" authorId="0" shapeId="0" xr:uid="{00000000-0006-0000-0100-000053010000}">
      <text>
        <r>
          <rPr>
            <b/>
            <sz val="9"/>
            <color indexed="81"/>
            <rFont val="Tahoma"/>
            <family val="2"/>
          </rPr>
          <t>Jorge Arturo Espinoza:</t>
        </r>
        <r>
          <rPr>
            <sz val="9"/>
            <color indexed="81"/>
            <rFont val="Tahoma"/>
            <family val="2"/>
          </rPr>
          <t xml:space="preserve">
SIN CONTACTO AUX</t>
        </r>
      </text>
    </comment>
    <comment ref="B2349" authorId="0" shapeId="0" xr:uid="{00000000-0006-0000-0100-000054010000}">
      <text>
        <r>
          <rPr>
            <b/>
            <sz val="9"/>
            <color indexed="81"/>
            <rFont val="Tahoma"/>
            <family val="2"/>
          </rPr>
          <t>Jorge Arturo Espinoza:</t>
        </r>
        <r>
          <rPr>
            <sz val="9"/>
            <color indexed="81"/>
            <rFont val="Tahoma"/>
            <family val="2"/>
          </rPr>
          <t xml:space="preserve">
SIN CONTACTO AUX</t>
        </r>
      </text>
    </comment>
    <comment ref="B2360" authorId="0" shapeId="0" xr:uid="{00000000-0006-0000-0100-000055010000}">
      <text>
        <r>
          <rPr>
            <b/>
            <sz val="9"/>
            <color indexed="81"/>
            <rFont val="Tahoma"/>
            <family val="2"/>
          </rPr>
          <t>Jorge Arturo Espinoza:</t>
        </r>
        <r>
          <rPr>
            <sz val="9"/>
            <color indexed="81"/>
            <rFont val="Tahoma"/>
            <family val="2"/>
          </rPr>
          <t xml:space="preserve">
SIN CONTACTO AUX</t>
        </r>
      </text>
    </comment>
    <comment ref="B2361" authorId="0" shapeId="0" xr:uid="{00000000-0006-0000-0100-000056010000}">
      <text>
        <r>
          <rPr>
            <b/>
            <sz val="9"/>
            <color indexed="81"/>
            <rFont val="Tahoma"/>
            <family val="2"/>
          </rPr>
          <t>Jorge Arturo Espinoza:</t>
        </r>
        <r>
          <rPr>
            <sz val="9"/>
            <color indexed="81"/>
            <rFont val="Tahoma"/>
            <family val="2"/>
          </rPr>
          <t xml:space="preserve">
SIN CONTACTO AUX</t>
        </r>
      </text>
    </comment>
    <comment ref="B2362" authorId="0" shapeId="0" xr:uid="{00000000-0006-0000-0100-000057010000}">
      <text>
        <r>
          <rPr>
            <b/>
            <sz val="9"/>
            <color indexed="81"/>
            <rFont val="Tahoma"/>
            <family val="2"/>
          </rPr>
          <t>Jorge Arturo Espinoza:</t>
        </r>
        <r>
          <rPr>
            <sz val="9"/>
            <color indexed="81"/>
            <rFont val="Tahoma"/>
            <family val="2"/>
          </rPr>
          <t xml:space="preserve">
SIN CONTACTO AUX</t>
        </r>
      </text>
    </comment>
    <comment ref="B2363" authorId="0" shapeId="0" xr:uid="{00000000-0006-0000-0100-000058010000}">
      <text>
        <r>
          <rPr>
            <b/>
            <sz val="9"/>
            <color indexed="81"/>
            <rFont val="Tahoma"/>
            <family val="2"/>
          </rPr>
          <t>Jorge Arturo Espinoza:</t>
        </r>
        <r>
          <rPr>
            <sz val="9"/>
            <color indexed="81"/>
            <rFont val="Tahoma"/>
            <family val="2"/>
          </rPr>
          <t xml:space="preserve">
SIN CONTACTO AUX</t>
        </r>
      </text>
    </comment>
    <comment ref="B2364" authorId="0" shapeId="0" xr:uid="{00000000-0006-0000-0100-000059010000}">
      <text>
        <r>
          <rPr>
            <b/>
            <sz val="9"/>
            <color indexed="81"/>
            <rFont val="Tahoma"/>
            <family val="2"/>
          </rPr>
          <t>Jorge Arturo Espinoza:</t>
        </r>
        <r>
          <rPr>
            <sz val="9"/>
            <color indexed="81"/>
            <rFont val="Tahoma"/>
            <family val="2"/>
          </rPr>
          <t xml:space="preserve">
SIN CONTACTO AUX</t>
        </r>
      </text>
    </comment>
    <comment ref="G2371" authorId="0" shapeId="0" xr:uid="{00000000-0006-0000-0100-00005A010000}">
      <text>
        <r>
          <rPr>
            <b/>
            <sz val="9"/>
            <color indexed="81"/>
            <rFont val="Tahoma"/>
            <family val="2"/>
          </rPr>
          <t>Jorge Arturo Espinoza:</t>
        </r>
        <r>
          <rPr>
            <sz val="9"/>
            <color indexed="81"/>
            <rFont val="Tahoma"/>
            <family val="2"/>
          </rPr>
          <t xml:space="preserve">
tambien 22A igual que el AF26 ??</t>
        </r>
      </text>
    </comment>
    <comment ref="B2384" authorId="0" shapeId="0" xr:uid="{00000000-0006-0000-0100-00005B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H2384" authorId="0" shapeId="0" xr:uid="{00000000-0006-0000-0100-00005C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398" authorId="3" shapeId="0" xr:uid="{00000000-0006-0000-0100-00005D010000}">
      <text>
        <r>
          <rPr>
            <b/>
            <sz val="9"/>
            <color indexed="81"/>
            <rFont val="Tahoma"/>
            <family val="2"/>
          </rPr>
          <t>Jean Inga:</t>
        </r>
        <r>
          <rPr>
            <sz val="9"/>
            <color indexed="81"/>
            <rFont val="Tahoma"/>
            <family val="2"/>
          </rPr>
          <t xml:space="preserve">
08-02-2020</t>
        </r>
      </text>
    </comment>
    <comment ref="G2406" authorId="0" shapeId="0" xr:uid="{00000000-0006-0000-0100-00005E010000}">
      <text>
        <r>
          <rPr>
            <b/>
            <sz val="9"/>
            <color indexed="81"/>
            <rFont val="Tahoma"/>
            <family val="2"/>
          </rPr>
          <t>Jorge Arturo Espinoza:</t>
        </r>
        <r>
          <rPr>
            <sz val="9"/>
            <color indexed="81"/>
            <rFont val="Tahoma"/>
            <family val="2"/>
          </rPr>
          <t xml:space="preserve">
kVAR en LdP difiere del catálogo de fábrica. Se ha colocado lo que figura en catalogo de los UA-RA</t>
        </r>
      </text>
    </comment>
    <comment ref="C2409" authorId="0" shapeId="0" xr:uid="{00000000-0006-0000-0100-00005F010000}">
      <text>
        <r>
          <rPr>
            <b/>
            <sz val="9"/>
            <color indexed="81"/>
            <rFont val="Tahoma"/>
            <family val="2"/>
          </rPr>
          <t>Jorge Arturo Espinoza:</t>
        </r>
        <r>
          <rPr>
            <sz val="9"/>
            <color indexed="81"/>
            <rFont val="Tahoma"/>
            <family val="2"/>
          </rPr>
          <t xml:space="preserve">
raro, verificar</t>
        </r>
      </text>
    </comment>
    <comment ref="C2410" authorId="0" shapeId="0" xr:uid="{00000000-0006-0000-0100-000060010000}">
      <text>
        <r>
          <rPr>
            <b/>
            <sz val="9"/>
            <color indexed="81"/>
            <rFont val="Tahoma"/>
            <family val="2"/>
          </rPr>
          <t>Jorge Arturo Espinoza:</t>
        </r>
        <r>
          <rPr>
            <sz val="9"/>
            <color indexed="81"/>
            <rFont val="Tahoma"/>
            <family val="2"/>
          </rPr>
          <t xml:space="preserve">
raro, verificar</t>
        </r>
      </text>
    </comment>
    <comment ref="C2413" authorId="0" shapeId="0" xr:uid="{00000000-0006-0000-0100-000061010000}">
      <text>
        <r>
          <rPr>
            <b/>
            <sz val="9"/>
            <color indexed="81"/>
            <rFont val="Tahoma"/>
            <family val="2"/>
          </rPr>
          <t>Jorge Arturo Espinoza:</t>
        </r>
        <r>
          <rPr>
            <sz val="9"/>
            <color indexed="81"/>
            <rFont val="Tahoma"/>
            <family val="2"/>
          </rPr>
          <t xml:space="preserve">
raro, verificar</t>
        </r>
      </text>
    </comment>
    <comment ref="C2483" authorId="2" shapeId="0" xr:uid="{00000000-0006-0000-0100-000062010000}">
      <text>
        <r>
          <rPr>
            <b/>
            <sz val="9"/>
            <color indexed="81"/>
            <rFont val="Tahoma"/>
            <family val="2"/>
          </rPr>
          <t>Roberto Meza:</t>
        </r>
        <r>
          <rPr>
            <sz val="9"/>
            <color indexed="81"/>
            <rFont val="Tahoma"/>
            <family val="2"/>
          </rPr>
          <t xml:space="preserve">
Falta actualizar precio.</t>
        </r>
      </text>
    </comment>
    <comment ref="B2541" authorId="3" shapeId="0" xr:uid="{00000000-0006-0000-0100-000063010000}">
      <text>
        <r>
          <rPr>
            <b/>
            <sz val="9"/>
            <color indexed="81"/>
            <rFont val="Tahoma"/>
            <family val="2"/>
          </rPr>
          <t>Jean Inga:</t>
        </r>
        <r>
          <rPr>
            <sz val="9"/>
            <color indexed="81"/>
            <rFont val="Tahoma"/>
            <family val="2"/>
          </rPr>
          <t xml:space="preserve">
07-02-20</t>
        </r>
      </text>
    </comment>
    <comment ref="G2556" authorId="0" shapeId="0" xr:uid="{00000000-0006-0000-0100-000064010000}">
      <text>
        <r>
          <rPr>
            <b/>
            <sz val="9"/>
            <color indexed="81"/>
            <rFont val="Tahoma"/>
            <family val="2"/>
          </rPr>
          <t>Jorge Arturo Espinoza:</t>
        </r>
        <r>
          <rPr>
            <sz val="9"/>
            <color indexed="81"/>
            <rFont val="Tahoma"/>
            <family val="2"/>
          </rPr>
          <t xml:space="preserve">
Es desde 230V ??</t>
        </r>
      </text>
    </comment>
    <comment ref="G2557" authorId="0" shapeId="0" xr:uid="{00000000-0006-0000-0100-000065010000}">
      <text>
        <r>
          <rPr>
            <b/>
            <sz val="9"/>
            <color indexed="81"/>
            <rFont val="Tahoma"/>
            <family val="2"/>
          </rPr>
          <t>Jorge Arturo Espinoza:</t>
        </r>
        <r>
          <rPr>
            <sz val="9"/>
            <color indexed="81"/>
            <rFont val="Tahoma"/>
            <family val="2"/>
          </rPr>
          <t xml:space="preserve">
Es desde 230V ??</t>
        </r>
      </text>
    </comment>
    <comment ref="G2558" authorId="0" shapeId="0" xr:uid="{00000000-0006-0000-0100-000066010000}">
      <text>
        <r>
          <rPr>
            <b/>
            <sz val="9"/>
            <color indexed="81"/>
            <rFont val="Tahoma"/>
            <family val="2"/>
          </rPr>
          <t>Jorge Arturo Espinoza:</t>
        </r>
        <r>
          <rPr>
            <sz val="9"/>
            <color indexed="81"/>
            <rFont val="Tahoma"/>
            <family val="2"/>
          </rPr>
          <t xml:space="preserve">
Es desde 230V ??</t>
        </r>
      </text>
    </comment>
    <comment ref="G2560" authorId="0" shapeId="0" xr:uid="{00000000-0006-0000-0100-000067010000}">
      <text>
        <r>
          <rPr>
            <b/>
            <sz val="9"/>
            <color indexed="81"/>
            <rFont val="Tahoma"/>
            <family val="2"/>
          </rPr>
          <t>Jorge Arturo Espinoza:</t>
        </r>
        <r>
          <rPr>
            <sz val="9"/>
            <color indexed="81"/>
            <rFont val="Tahoma"/>
            <family val="2"/>
          </rPr>
          <t xml:space="preserve">
Es desde 230V ??</t>
        </r>
      </text>
    </comment>
    <comment ref="G2561" authorId="0" shapeId="0" xr:uid="{00000000-0006-0000-0100-000068010000}">
      <text>
        <r>
          <rPr>
            <b/>
            <sz val="9"/>
            <color indexed="81"/>
            <rFont val="Tahoma"/>
            <family val="2"/>
          </rPr>
          <t>Jorge Arturo Espinoza:</t>
        </r>
        <r>
          <rPr>
            <sz val="9"/>
            <color indexed="81"/>
            <rFont val="Tahoma"/>
            <family val="2"/>
          </rPr>
          <t xml:space="preserve">
Es desde 230V ??</t>
        </r>
      </text>
    </comment>
    <comment ref="G2562" authorId="0" shapeId="0" xr:uid="{00000000-0006-0000-0100-000069010000}">
      <text>
        <r>
          <rPr>
            <b/>
            <sz val="9"/>
            <color indexed="81"/>
            <rFont val="Tahoma"/>
            <family val="2"/>
          </rPr>
          <t>Jorge Arturo Espinoza:</t>
        </r>
        <r>
          <rPr>
            <sz val="9"/>
            <color indexed="81"/>
            <rFont val="Tahoma"/>
            <family val="2"/>
          </rPr>
          <t xml:space="preserve">
Es desde 230V ??</t>
        </r>
      </text>
    </comment>
    <comment ref="G2564" authorId="0" shapeId="0" xr:uid="{00000000-0006-0000-0100-00006A010000}">
      <text>
        <r>
          <rPr>
            <b/>
            <sz val="9"/>
            <color indexed="81"/>
            <rFont val="Tahoma"/>
            <family val="2"/>
          </rPr>
          <t>Jorge Arturo Espinoza:</t>
        </r>
        <r>
          <rPr>
            <sz val="9"/>
            <color indexed="81"/>
            <rFont val="Tahoma"/>
            <family val="2"/>
          </rPr>
          <t xml:space="preserve">
Es desde 230V ??</t>
        </r>
      </text>
    </comment>
    <comment ref="G2565" authorId="0" shapeId="0" xr:uid="{00000000-0006-0000-0100-00006B010000}">
      <text>
        <r>
          <rPr>
            <b/>
            <sz val="9"/>
            <color indexed="81"/>
            <rFont val="Tahoma"/>
            <family val="2"/>
          </rPr>
          <t>Jorge Arturo Espinoza:</t>
        </r>
        <r>
          <rPr>
            <sz val="9"/>
            <color indexed="81"/>
            <rFont val="Tahoma"/>
            <family val="2"/>
          </rPr>
          <t xml:space="preserve">
Es desde 230V ??</t>
        </r>
      </text>
    </comment>
    <comment ref="G2566" authorId="0" shapeId="0" xr:uid="{00000000-0006-0000-0100-00006C010000}">
      <text>
        <r>
          <rPr>
            <b/>
            <sz val="9"/>
            <color indexed="81"/>
            <rFont val="Tahoma"/>
            <family val="2"/>
          </rPr>
          <t>Jorge Arturo Espinoza:</t>
        </r>
        <r>
          <rPr>
            <sz val="9"/>
            <color indexed="81"/>
            <rFont val="Tahoma"/>
            <family val="2"/>
          </rPr>
          <t xml:space="preserve">
Es desde 230V ??</t>
        </r>
      </text>
    </comment>
    <comment ref="G2568" authorId="0" shapeId="0" xr:uid="{00000000-0006-0000-0100-00006D010000}">
      <text>
        <r>
          <rPr>
            <b/>
            <sz val="9"/>
            <color indexed="81"/>
            <rFont val="Tahoma"/>
            <family val="2"/>
          </rPr>
          <t>Jorge Arturo Espinoza:</t>
        </r>
        <r>
          <rPr>
            <sz val="9"/>
            <color indexed="81"/>
            <rFont val="Tahoma"/>
            <family val="2"/>
          </rPr>
          <t xml:space="preserve">
Es desde 230V ??</t>
        </r>
      </text>
    </comment>
    <comment ref="G2569" authorId="0" shapeId="0" xr:uid="{00000000-0006-0000-0100-00006E010000}">
      <text>
        <r>
          <rPr>
            <b/>
            <sz val="9"/>
            <color indexed="81"/>
            <rFont val="Tahoma"/>
            <family val="2"/>
          </rPr>
          <t>Jorge Arturo Espinoza:</t>
        </r>
        <r>
          <rPr>
            <sz val="9"/>
            <color indexed="81"/>
            <rFont val="Tahoma"/>
            <family val="2"/>
          </rPr>
          <t xml:space="preserve">
Es desde 230V ??</t>
        </r>
      </text>
    </comment>
    <comment ref="G2570" authorId="0" shapeId="0" xr:uid="{00000000-0006-0000-0100-00006F010000}">
      <text>
        <r>
          <rPr>
            <b/>
            <sz val="9"/>
            <color indexed="81"/>
            <rFont val="Tahoma"/>
            <family val="2"/>
          </rPr>
          <t>Jorge Arturo Espinoza:</t>
        </r>
        <r>
          <rPr>
            <sz val="9"/>
            <color indexed="81"/>
            <rFont val="Tahoma"/>
            <family val="2"/>
          </rPr>
          <t xml:space="preserve">
Es desde 230V ??</t>
        </r>
      </text>
    </comment>
    <comment ref="B2613" authorId="0" shapeId="0" xr:uid="{00000000-0006-0000-0100-000070010000}">
      <text>
        <r>
          <rPr>
            <b/>
            <sz val="9"/>
            <color indexed="81"/>
            <rFont val="Tahoma"/>
            <family val="2"/>
          </rPr>
          <t>Jorge Arturo Espinoza:</t>
        </r>
        <r>
          <rPr>
            <sz val="9"/>
            <color indexed="81"/>
            <rFont val="Tahoma"/>
            <family val="2"/>
          </rPr>
          <t xml:space="preserve">
Necesario una sola herramienta</t>
        </r>
      </text>
    </comment>
    <comment ref="B2618" authorId="0" shapeId="0" xr:uid="{00000000-0006-0000-0100-000071010000}">
      <text>
        <r>
          <rPr>
            <b/>
            <sz val="9"/>
            <color indexed="81"/>
            <rFont val="Tahoma"/>
            <family val="2"/>
          </rPr>
          <t>Jorge Arturo Espinoza:</t>
        </r>
        <r>
          <rPr>
            <sz val="9"/>
            <color indexed="81"/>
            <rFont val="Tahoma"/>
            <family val="2"/>
          </rPr>
          <t xml:space="preserve">
Necesario una sola herramienta</t>
        </r>
      </text>
    </comment>
    <comment ref="D2672" authorId="0" shapeId="0" xr:uid="{00000000-0006-0000-0100-000072010000}">
      <text>
        <r>
          <rPr>
            <b/>
            <sz val="9"/>
            <color indexed="81"/>
            <rFont val="Tahoma"/>
            <family val="2"/>
          </rPr>
          <t>Jorge Arturo Espinoza:</t>
        </r>
        <r>
          <rPr>
            <sz val="9"/>
            <color indexed="81"/>
            <rFont val="Tahoma"/>
            <family val="2"/>
          </rPr>
          <t xml:space="preserve">
FALTA CONFIRMAR EL DESCUENTO</t>
        </r>
      </text>
    </comment>
    <comment ref="D2673" authorId="0" shapeId="0" xr:uid="{00000000-0006-0000-0100-000073010000}">
      <text>
        <r>
          <rPr>
            <b/>
            <sz val="9"/>
            <color indexed="81"/>
            <rFont val="Tahoma"/>
            <family val="2"/>
          </rPr>
          <t>Jorge Arturo Espinoza:</t>
        </r>
        <r>
          <rPr>
            <sz val="9"/>
            <color indexed="81"/>
            <rFont val="Tahoma"/>
            <family val="2"/>
          </rPr>
          <t xml:space="preserve">
FALTA CONFIRMAR EL DESCUENTO</t>
        </r>
      </text>
    </comment>
    <comment ref="D2674" authorId="0" shapeId="0" xr:uid="{00000000-0006-0000-0100-000074010000}">
      <text>
        <r>
          <rPr>
            <b/>
            <sz val="9"/>
            <color indexed="81"/>
            <rFont val="Tahoma"/>
            <family val="2"/>
          </rPr>
          <t>Jorge Arturo Espinoza:</t>
        </r>
        <r>
          <rPr>
            <sz val="9"/>
            <color indexed="81"/>
            <rFont val="Tahoma"/>
            <family val="2"/>
          </rPr>
          <t xml:space="preserve">
FALTA CONFIRMAR EL DESCUENTO</t>
        </r>
      </text>
    </comment>
    <comment ref="D2675" authorId="0" shapeId="0" xr:uid="{00000000-0006-0000-0100-000075010000}">
      <text>
        <r>
          <rPr>
            <b/>
            <sz val="9"/>
            <color indexed="81"/>
            <rFont val="Tahoma"/>
            <family val="2"/>
          </rPr>
          <t>Jorge Arturo Espinoza:</t>
        </r>
        <r>
          <rPr>
            <sz val="9"/>
            <color indexed="81"/>
            <rFont val="Tahoma"/>
            <family val="2"/>
          </rPr>
          <t xml:space="preserve">
FALTA CONFIRMAR EL DESCUENTO</t>
        </r>
      </text>
    </comment>
    <comment ref="D2676" authorId="0" shapeId="0" xr:uid="{00000000-0006-0000-0100-000076010000}">
      <text>
        <r>
          <rPr>
            <b/>
            <sz val="9"/>
            <color indexed="81"/>
            <rFont val="Tahoma"/>
            <family val="2"/>
          </rPr>
          <t>Jorge Arturo Espinoza:</t>
        </r>
        <r>
          <rPr>
            <sz val="9"/>
            <color indexed="81"/>
            <rFont val="Tahoma"/>
            <family val="2"/>
          </rPr>
          <t xml:space="preserve">
FALTA CONFIRMAR EL DESCUENTO</t>
        </r>
      </text>
    </comment>
    <comment ref="D2677" authorId="0" shapeId="0" xr:uid="{00000000-0006-0000-0100-000077010000}">
      <text>
        <r>
          <rPr>
            <b/>
            <sz val="9"/>
            <color indexed="81"/>
            <rFont val="Tahoma"/>
            <family val="2"/>
          </rPr>
          <t>Jorge Arturo Espinoza:</t>
        </r>
        <r>
          <rPr>
            <sz val="9"/>
            <color indexed="81"/>
            <rFont val="Tahoma"/>
            <family val="2"/>
          </rPr>
          <t xml:space="preserve">
FALTA CONFIRMAR EL DESCUENTO</t>
        </r>
      </text>
    </comment>
    <comment ref="D2678" authorId="0" shapeId="0" xr:uid="{00000000-0006-0000-0100-000078010000}">
      <text>
        <r>
          <rPr>
            <b/>
            <sz val="9"/>
            <color indexed="81"/>
            <rFont val="Tahoma"/>
            <family val="2"/>
          </rPr>
          <t>Jorge Arturo Espinoza:</t>
        </r>
        <r>
          <rPr>
            <sz val="9"/>
            <color indexed="81"/>
            <rFont val="Tahoma"/>
            <family val="2"/>
          </rPr>
          <t xml:space="preserve">
FALTA CONFIRMAR EL DESCUENTO</t>
        </r>
      </text>
    </comment>
    <comment ref="D2684" authorId="0" shapeId="0" xr:uid="{00000000-0006-0000-0100-000079010000}">
      <text>
        <r>
          <rPr>
            <b/>
            <sz val="9"/>
            <color indexed="81"/>
            <rFont val="Tahoma"/>
            <family val="2"/>
          </rPr>
          <t>Jorge Arturo Espinoza:</t>
        </r>
        <r>
          <rPr>
            <sz val="9"/>
            <color indexed="81"/>
            <rFont val="Tahoma"/>
            <family val="2"/>
          </rPr>
          <t xml:space="preserve">
FALTA CONFIRMAR EL DESCUENTO</t>
        </r>
      </text>
    </comment>
    <comment ref="D2685" authorId="0" shapeId="0" xr:uid="{00000000-0006-0000-0100-00007A010000}">
      <text>
        <r>
          <rPr>
            <b/>
            <sz val="9"/>
            <color indexed="81"/>
            <rFont val="Tahoma"/>
            <family val="2"/>
          </rPr>
          <t>Jorge Arturo Espinoza:</t>
        </r>
        <r>
          <rPr>
            <sz val="9"/>
            <color indexed="81"/>
            <rFont val="Tahoma"/>
            <family val="2"/>
          </rPr>
          <t xml:space="preserve">
FALTA CONFIRMAR EL DESCUENTO</t>
        </r>
      </text>
    </comment>
    <comment ref="D2686" authorId="0" shapeId="0" xr:uid="{00000000-0006-0000-0100-00007B010000}">
      <text>
        <r>
          <rPr>
            <b/>
            <sz val="9"/>
            <color indexed="81"/>
            <rFont val="Tahoma"/>
            <family val="2"/>
          </rPr>
          <t>Jorge Arturo Espinoza:</t>
        </r>
        <r>
          <rPr>
            <sz val="9"/>
            <color indexed="81"/>
            <rFont val="Tahoma"/>
            <family val="2"/>
          </rPr>
          <t xml:space="preserve">
FALTA CONFIRMAR EL DESCUENTO</t>
        </r>
      </text>
    </comment>
    <comment ref="D2687" authorId="0" shapeId="0" xr:uid="{00000000-0006-0000-0100-00007C010000}">
      <text>
        <r>
          <rPr>
            <b/>
            <sz val="9"/>
            <color indexed="81"/>
            <rFont val="Tahoma"/>
            <family val="2"/>
          </rPr>
          <t>Jorge Arturo Espinoza:</t>
        </r>
        <r>
          <rPr>
            <sz val="9"/>
            <color indexed="81"/>
            <rFont val="Tahoma"/>
            <family val="2"/>
          </rPr>
          <t xml:space="preserve">
FALTA CONFIRMAR EL DESCUENTO</t>
        </r>
      </text>
    </comment>
    <comment ref="D2692" authorId="0" shapeId="0" xr:uid="{00000000-0006-0000-0100-00007D010000}">
      <text>
        <r>
          <rPr>
            <b/>
            <sz val="9"/>
            <color indexed="81"/>
            <rFont val="Tahoma"/>
            <family val="2"/>
          </rPr>
          <t>Jorge Arturo Espinoza:</t>
        </r>
        <r>
          <rPr>
            <sz val="9"/>
            <color indexed="81"/>
            <rFont val="Tahoma"/>
            <family val="2"/>
          </rPr>
          <t xml:space="preserve">
FALTA CONFIRMAR EL DESCUENTO</t>
        </r>
      </text>
    </comment>
    <comment ref="D2693" authorId="0" shapeId="0" xr:uid="{00000000-0006-0000-0100-00007E010000}">
      <text>
        <r>
          <rPr>
            <b/>
            <sz val="9"/>
            <color indexed="81"/>
            <rFont val="Tahoma"/>
            <family val="2"/>
          </rPr>
          <t>Jorge Arturo Espinoza:</t>
        </r>
        <r>
          <rPr>
            <sz val="9"/>
            <color indexed="81"/>
            <rFont val="Tahoma"/>
            <family val="2"/>
          </rPr>
          <t xml:space="preserve">
FALTA CONFIRMAR EL DESCUENTO</t>
        </r>
      </text>
    </comment>
    <comment ref="D2694" authorId="0" shapeId="0" xr:uid="{00000000-0006-0000-0100-00007F010000}">
      <text>
        <r>
          <rPr>
            <b/>
            <sz val="9"/>
            <color indexed="81"/>
            <rFont val="Tahoma"/>
            <family val="2"/>
          </rPr>
          <t>Jorge Arturo Espinoza:</t>
        </r>
        <r>
          <rPr>
            <sz val="9"/>
            <color indexed="81"/>
            <rFont val="Tahoma"/>
            <family val="2"/>
          </rPr>
          <t xml:space="preserve">
FALTA CONFIRMAR EL DESCUENTO</t>
        </r>
      </text>
    </comment>
    <comment ref="D2695" authorId="0" shapeId="0" xr:uid="{00000000-0006-0000-0100-000080010000}">
      <text>
        <r>
          <rPr>
            <b/>
            <sz val="9"/>
            <color indexed="81"/>
            <rFont val="Tahoma"/>
            <family val="2"/>
          </rPr>
          <t>Jorge Arturo Espinoza:</t>
        </r>
        <r>
          <rPr>
            <sz val="9"/>
            <color indexed="81"/>
            <rFont val="Tahoma"/>
            <family val="2"/>
          </rPr>
          <t xml:space="preserve">
FALTA CONFIRMAR EL DESCUENTO</t>
        </r>
      </text>
    </comment>
    <comment ref="D2699" authorId="0" shapeId="0" xr:uid="{00000000-0006-0000-0100-000081010000}">
      <text>
        <r>
          <rPr>
            <b/>
            <sz val="9"/>
            <color indexed="81"/>
            <rFont val="Tahoma"/>
            <family val="2"/>
          </rPr>
          <t>Jorge Arturo Espinoza:</t>
        </r>
        <r>
          <rPr>
            <sz val="9"/>
            <color indexed="81"/>
            <rFont val="Tahoma"/>
            <family val="2"/>
          </rPr>
          <t xml:space="preserve">
FALTA CONFIRMAR EL DESCUENTO</t>
        </r>
      </text>
    </comment>
    <comment ref="D2700" authorId="0" shapeId="0" xr:uid="{00000000-0006-0000-0100-000082010000}">
      <text>
        <r>
          <rPr>
            <b/>
            <sz val="9"/>
            <color indexed="81"/>
            <rFont val="Tahoma"/>
            <family val="2"/>
          </rPr>
          <t>Jorge Arturo Espinoza:</t>
        </r>
        <r>
          <rPr>
            <sz val="9"/>
            <color indexed="81"/>
            <rFont val="Tahoma"/>
            <family val="2"/>
          </rPr>
          <t xml:space="preserve">
FALTA CONFIRMAR EL DESCUENTO</t>
        </r>
      </text>
    </comment>
    <comment ref="C2731" authorId="4" shapeId="0" xr:uid="{00000000-0006-0000-0100-000083010000}">
      <text>
        <r>
          <rPr>
            <b/>
            <sz val="9"/>
            <color indexed="81"/>
            <rFont val="Tahoma"/>
            <family val="2"/>
          </rPr>
          <t>Dario Martinez:</t>
        </r>
        <r>
          <rPr>
            <sz val="9"/>
            <color indexed="81"/>
            <rFont val="Tahoma"/>
            <family val="2"/>
          </rPr>
          <t xml:space="preserve">
Se aumento 15% por el mandil.</t>
        </r>
      </text>
    </comment>
    <comment ref="D2810" authorId="0" shapeId="0" xr:uid="{00000000-0006-0000-0100-000084010000}">
      <text>
        <r>
          <rPr>
            <b/>
            <sz val="9"/>
            <color indexed="81"/>
            <rFont val="Tahoma"/>
            <family val="2"/>
          </rPr>
          <t>Jorge Arturo Espinoza:</t>
        </r>
        <r>
          <rPr>
            <sz val="9"/>
            <color indexed="81"/>
            <rFont val="Tahoma"/>
            <family val="2"/>
          </rPr>
          <t xml:space="preserve">
FALTA CONFIRMAR EL DESCUENTO</t>
        </r>
      </text>
    </comment>
    <comment ref="D2811" authorId="0" shapeId="0" xr:uid="{00000000-0006-0000-0100-000085010000}">
      <text>
        <r>
          <rPr>
            <b/>
            <sz val="9"/>
            <color indexed="81"/>
            <rFont val="Tahoma"/>
            <family val="2"/>
          </rPr>
          <t>Jorge Arturo Espinoza:</t>
        </r>
        <r>
          <rPr>
            <sz val="9"/>
            <color indexed="81"/>
            <rFont val="Tahoma"/>
            <family val="2"/>
          </rPr>
          <t xml:space="preserve">
FALTA CONFIRMAR EL DESCUENTO</t>
        </r>
      </text>
    </comment>
    <comment ref="D2812" authorId="0" shapeId="0" xr:uid="{00000000-0006-0000-0100-000086010000}">
      <text>
        <r>
          <rPr>
            <b/>
            <sz val="9"/>
            <color indexed="81"/>
            <rFont val="Tahoma"/>
            <family val="2"/>
          </rPr>
          <t>Jorge Arturo Espinoza:</t>
        </r>
        <r>
          <rPr>
            <sz val="9"/>
            <color indexed="81"/>
            <rFont val="Tahoma"/>
            <family val="2"/>
          </rPr>
          <t xml:space="preserve">
FALTA CONFIRMAR EL DESCUENTO</t>
        </r>
      </text>
    </comment>
    <comment ref="D2813" authorId="0" shapeId="0" xr:uid="{00000000-0006-0000-0100-000087010000}">
      <text>
        <r>
          <rPr>
            <b/>
            <sz val="9"/>
            <color indexed="81"/>
            <rFont val="Tahoma"/>
            <family val="2"/>
          </rPr>
          <t>Jorge Arturo Espinoza:</t>
        </r>
        <r>
          <rPr>
            <sz val="9"/>
            <color indexed="81"/>
            <rFont val="Tahoma"/>
            <family val="2"/>
          </rPr>
          <t xml:space="preserve">
FALTA CONFIRMAR EL DESCUENTO</t>
        </r>
      </text>
    </comment>
    <comment ref="D2814" authorId="0" shapeId="0" xr:uid="{00000000-0006-0000-0100-000088010000}">
      <text>
        <r>
          <rPr>
            <b/>
            <sz val="9"/>
            <color indexed="81"/>
            <rFont val="Tahoma"/>
            <family val="2"/>
          </rPr>
          <t>Jorge Arturo Espinoza:</t>
        </r>
        <r>
          <rPr>
            <sz val="9"/>
            <color indexed="81"/>
            <rFont val="Tahoma"/>
            <family val="2"/>
          </rPr>
          <t xml:space="preserve">
FALTA CONFIRMAR EL DESCUENTO</t>
        </r>
      </text>
    </comment>
    <comment ref="D2815" authorId="0" shapeId="0" xr:uid="{00000000-0006-0000-0100-000089010000}">
      <text>
        <r>
          <rPr>
            <b/>
            <sz val="9"/>
            <color indexed="81"/>
            <rFont val="Tahoma"/>
            <family val="2"/>
          </rPr>
          <t>Jorge Arturo Espinoza:</t>
        </r>
        <r>
          <rPr>
            <sz val="9"/>
            <color indexed="81"/>
            <rFont val="Tahoma"/>
            <family val="2"/>
          </rPr>
          <t xml:space="preserve">
FALTA CONFIRMAR EL DESCUENTO</t>
        </r>
      </text>
    </comment>
    <comment ref="D2816" authorId="0" shapeId="0" xr:uid="{00000000-0006-0000-0100-00008A010000}">
      <text>
        <r>
          <rPr>
            <b/>
            <sz val="9"/>
            <color indexed="81"/>
            <rFont val="Tahoma"/>
            <family val="2"/>
          </rPr>
          <t>Jorge Arturo Espinoza:</t>
        </r>
        <r>
          <rPr>
            <sz val="9"/>
            <color indexed="81"/>
            <rFont val="Tahoma"/>
            <family val="2"/>
          </rPr>
          <t xml:space="preserve">
FALTA CONFIRMAR EL DESCUENTO</t>
        </r>
      </text>
    </comment>
    <comment ref="D2817" authorId="0" shapeId="0" xr:uid="{00000000-0006-0000-0100-00008B010000}">
      <text>
        <r>
          <rPr>
            <b/>
            <sz val="9"/>
            <color indexed="81"/>
            <rFont val="Tahoma"/>
            <family val="2"/>
          </rPr>
          <t>Jorge Arturo Espinoza:</t>
        </r>
        <r>
          <rPr>
            <sz val="9"/>
            <color indexed="81"/>
            <rFont val="Tahoma"/>
            <family val="2"/>
          </rPr>
          <t xml:space="preserve">
FALTA CONFIRMAR EL DESCUENTO</t>
        </r>
      </text>
    </comment>
    <comment ref="D2818" authorId="0" shapeId="0" xr:uid="{00000000-0006-0000-0100-00008C010000}">
      <text>
        <r>
          <rPr>
            <b/>
            <sz val="9"/>
            <color indexed="81"/>
            <rFont val="Tahoma"/>
            <family val="2"/>
          </rPr>
          <t>Jorge Arturo Espinoza:</t>
        </r>
        <r>
          <rPr>
            <sz val="9"/>
            <color indexed="81"/>
            <rFont val="Tahoma"/>
            <family val="2"/>
          </rPr>
          <t xml:space="preserve">
FALTA CONFIRMAR EL DESCUENTO</t>
        </r>
      </text>
    </comment>
    <comment ref="D2819" authorId="0" shapeId="0" xr:uid="{00000000-0006-0000-0100-00008D010000}">
      <text>
        <r>
          <rPr>
            <b/>
            <sz val="9"/>
            <color indexed="81"/>
            <rFont val="Tahoma"/>
            <family val="2"/>
          </rPr>
          <t>Jorge Arturo Espinoza:</t>
        </r>
        <r>
          <rPr>
            <sz val="9"/>
            <color indexed="81"/>
            <rFont val="Tahoma"/>
            <family val="2"/>
          </rPr>
          <t xml:space="preserve">
FALTA CONFIRMAR EL DESCUENTO</t>
        </r>
      </text>
    </comment>
    <comment ref="B2965" authorId="0" shapeId="0" xr:uid="{00000000-0006-0000-0100-00008E010000}">
      <text>
        <r>
          <rPr>
            <b/>
            <sz val="9"/>
            <color indexed="81"/>
            <rFont val="Tahoma"/>
            <family val="2"/>
          </rPr>
          <t>Jorge Arturo Espinoza:</t>
        </r>
        <r>
          <rPr>
            <sz val="9"/>
            <color indexed="81"/>
            <rFont val="Tahoma"/>
            <family val="2"/>
          </rPr>
          <t xml:space="preserve">
</t>
        </r>
      </text>
    </comment>
    <comment ref="E2965" authorId="0" shapeId="0" xr:uid="{00000000-0006-0000-0100-00008F010000}">
      <text>
        <r>
          <rPr>
            <b/>
            <sz val="9"/>
            <color indexed="81"/>
            <rFont val="Tahoma"/>
            <family val="2"/>
          </rPr>
          <t>Jorge Arturo Espinoza:</t>
        </r>
        <r>
          <rPr>
            <sz val="9"/>
            <color indexed="81"/>
            <rFont val="Tahoma"/>
            <family val="2"/>
          </rPr>
          <t xml:space="preserve">
E1 -&gt; 400
E2 -&gt; 500
E4 -&gt; 600
E1-4p -&gt; 500
E2-4p -&gt; 600
E4-4p -&gt; 700</t>
        </r>
      </text>
    </comment>
    <comment ref="B2966" authorId="0" shapeId="0" xr:uid="{00000000-0006-0000-0100-000090010000}">
      <text>
        <r>
          <rPr>
            <b/>
            <sz val="9"/>
            <color indexed="81"/>
            <rFont val="Tahoma"/>
            <family val="2"/>
          </rPr>
          <t>Jorge Arturo Espinoza:</t>
        </r>
        <r>
          <rPr>
            <sz val="9"/>
            <color indexed="81"/>
            <rFont val="Tahoma"/>
            <family val="2"/>
          </rPr>
          <t xml:space="preserve">
</t>
        </r>
      </text>
    </comment>
    <comment ref="C2966" authorId="0" shapeId="0" xr:uid="{00000000-0006-0000-0100-000091010000}">
      <text>
        <r>
          <rPr>
            <b/>
            <sz val="9"/>
            <color indexed="81"/>
            <rFont val="Tahoma"/>
            <family val="2"/>
          </rPr>
          <t>Jorge Arturo Espinoza:</t>
        </r>
        <r>
          <rPr>
            <sz val="9"/>
            <color indexed="81"/>
            <rFont val="Tahoma"/>
            <family val="2"/>
          </rPr>
          <t xml:space="preserve">
FALTA CONFIRMAR PRECIO CON ABB</t>
        </r>
      </text>
    </comment>
    <comment ref="E2966" authorId="0" shapeId="0" xr:uid="{00000000-0006-0000-0100-000092010000}">
      <text>
        <r>
          <rPr>
            <b/>
            <sz val="9"/>
            <color indexed="81"/>
            <rFont val="Tahoma"/>
            <family val="2"/>
          </rPr>
          <t>Jorge Arturo Espinoza:</t>
        </r>
        <r>
          <rPr>
            <sz val="9"/>
            <color indexed="81"/>
            <rFont val="Tahoma"/>
            <family val="2"/>
          </rPr>
          <t xml:space="preserve">
E1 -&gt; 400
E2 -&gt; 500
E4 -&gt; 600
E1-4p -&gt; 500
E2-4p -&gt; 600
E4-4p -&gt; 700</t>
        </r>
      </text>
    </comment>
    <comment ref="B2967" authorId="0" shapeId="0" xr:uid="{00000000-0006-0000-0100-000093010000}">
      <text>
        <r>
          <rPr>
            <b/>
            <sz val="9"/>
            <color indexed="81"/>
            <rFont val="Tahoma"/>
            <family val="2"/>
          </rPr>
          <t>Jorge Arturo Espinoza:</t>
        </r>
        <r>
          <rPr>
            <sz val="9"/>
            <color indexed="81"/>
            <rFont val="Tahoma"/>
            <family val="2"/>
          </rPr>
          <t xml:space="preserve">
</t>
        </r>
      </text>
    </comment>
    <comment ref="C2967" authorId="0" shapeId="0" xr:uid="{00000000-0006-0000-0100-000094010000}">
      <text>
        <r>
          <rPr>
            <b/>
            <sz val="9"/>
            <color indexed="81"/>
            <rFont val="Tahoma"/>
            <family val="2"/>
          </rPr>
          <t>Jorge Arturo Espinoza:</t>
        </r>
        <r>
          <rPr>
            <sz val="9"/>
            <color indexed="81"/>
            <rFont val="Tahoma"/>
            <family val="2"/>
          </rPr>
          <t xml:space="preserve">
FALTA CONFIRMAR PRECIO CON ABB</t>
        </r>
      </text>
    </comment>
    <comment ref="E2967" authorId="0" shapeId="0" xr:uid="{00000000-0006-0000-0100-000095010000}">
      <text>
        <r>
          <rPr>
            <b/>
            <sz val="9"/>
            <color indexed="81"/>
            <rFont val="Tahoma"/>
            <family val="2"/>
          </rPr>
          <t>Jorge Arturo Espinoza:</t>
        </r>
        <r>
          <rPr>
            <sz val="9"/>
            <color indexed="81"/>
            <rFont val="Tahoma"/>
            <family val="2"/>
          </rPr>
          <t xml:space="preserve">
E1 -&gt; 400
E2 -&gt; 500
E4 -&gt; 600
E1-4p -&gt; 500
E2-4p -&gt; 600
E4-4p -&gt; 700</t>
        </r>
      </text>
    </comment>
    <comment ref="B2972" authorId="0" shapeId="0" xr:uid="{00000000-0006-0000-0100-000096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973" authorId="0" shapeId="0" xr:uid="{00000000-0006-0000-0100-000097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974" authorId="0" shapeId="0" xr:uid="{00000000-0006-0000-0100-000098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975" authorId="0" shapeId="0" xr:uid="{00000000-0006-0000-0100-000099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976" authorId="0" shapeId="0" xr:uid="{00000000-0006-0000-0100-00009A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977" authorId="0" shapeId="0" xr:uid="{00000000-0006-0000-0100-00009B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978" authorId="0" shapeId="0" xr:uid="{00000000-0006-0000-0100-00009C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G2978" authorId="0" shapeId="0" xr:uid="{00000000-0006-0000-0100-00009D010000}">
      <text>
        <r>
          <rPr>
            <b/>
            <sz val="9"/>
            <color indexed="81"/>
            <rFont val="Tahoma"/>
            <family val="2"/>
          </rPr>
          <t>Jorge Arturo Espinoza:</t>
        </r>
        <r>
          <rPr>
            <sz val="9"/>
            <color indexed="81"/>
            <rFont val="Tahoma"/>
            <family val="2"/>
          </rPr>
          <t xml:space="preserve">
¿Es el mismo codigo para 4p??</t>
        </r>
      </text>
    </comment>
    <comment ref="D2993" authorId="0" shapeId="0" xr:uid="{00000000-0006-0000-0100-00009E010000}">
      <text>
        <r>
          <rPr>
            <b/>
            <sz val="9"/>
            <color indexed="81"/>
            <rFont val="Tahoma"/>
            <family val="2"/>
          </rPr>
          <t>Jorge Arturo Espinoza:</t>
        </r>
        <r>
          <rPr>
            <sz val="9"/>
            <color indexed="81"/>
            <rFont val="Tahoma"/>
            <family val="2"/>
          </rPr>
          <t xml:space="preserve">
DM: DSCTO MANUAL</t>
        </r>
      </text>
    </comment>
    <comment ref="D3001" authorId="0" shapeId="0" xr:uid="{00000000-0006-0000-0100-00009F010000}">
      <text>
        <r>
          <rPr>
            <b/>
            <sz val="9"/>
            <color indexed="81"/>
            <rFont val="Tahoma"/>
            <family val="2"/>
          </rPr>
          <t>Jorge Arturo Espinoza:</t>
        </r>
        <r>
          <rPr>
            <sz val="9"/>
            <color indexed="81"/>
            <rFont val="Tahoma"/>
            <family val="2"/>
          </rPr>
          <t xml:space="preserve">
DM: DSCTO MANUAL</t>
        </r>
      </text>
    </comment>
    <comment ref="D3002" authorId="0" shapeId="0" xr:uid="{00000000-0006-0000-0100-0000A0010000}">
      <text>
        <r>
          <rPr>
            <b/>
            <sz val="9"/>
            <color indexed="81"/>
            <rFont val="Tahoma"/>
            <family val="2"/>
          </rPr>
          <t>Jorge Arturo Espinoza:</t>
        </r>
        <r>
          <rPr>
            <sz val="9"/>
            <color indexed="81"/>
            <rFont val="Tahoma"/>
            <family val="2"/>
          </rPr>
          <t xml:space="preserve">
DM: DSCTO MANUAL</t>
        </r>
      </text>
    </comment>
    <comment ref="D3003" authorId="0" shapeId="0" xr:uid="{00000000-0006-0000-0100-0000A1010000}">
      <text>
        <r>
          <rPr>
            <b/>
            <sz val="9"/>
            <color indexed="81"/>
            <rFont val="Tahoma"/>
            <family val="2"/>
          </rPr>
          <t>Jorge Arturo Espinoza:</t>
        </r>
        <r>
          <rPr>
            <sz val="9"/>
            <color indexed="81"/>
            <rFont val="Tahoma"/>
            <family val="2"/>
          </rPr>
          <t xml:space="preserve">
DM: DSCTO MANUAL</t>
        </r>
      </text>
    </comment>
    <comment ref="D3004" authorId="0" shapeId="0" xr:uid="{00000000-0006-0000-0100-0000A2010000}">
      <text>
        <r>
          <rPr>
            <b/>
            <sz val="9"/>
            <color indexed="81"/>
            <rFont val="Tahoma"/>
            <family val="2"/>
          </rPr>
          <t>Jorge Arturo Espinoza:</t>
        </r>
        <r>
          <rPr>
            <sz val="9"/>
            <color indexed="81"/>
            <rFont val="Tahoma"/>
            <family val="2"/>
          </rPr>
          <t xml:space="preserve">
DM: DSCTO MANUAL</t>
        </r>
      </text>
    </comment>
    <comment ref="D3005" authorId="0" shapeId="0" xr:uid="{00000000-0006-0000-0100-0000A3010000}">
      <text>
        <r>
          <rPr>
            <b/>
            <sz val="9"/>
            <color indexed="81"/>
            <rFont val="Tahoma"/>
            <family val="2"/>
          </rPr>
          <t>Jorge Arturo Espinoza:</t>
        </r>
        <r>
          <rPr>
            <sz val="9"/>
            <color indexed="81"/>
            <rFont val="Tahoma"/>
            <family val="2"/>
          </rPr>
          <t xml:space="preserve">
DM: DSCTO MANUAL</t>
        </r>
      </text>
    </comment>
    <comment ref="D3006" authorId="0" shapeId="0" xr:uid="{00000000-0006-0000-0100-0000A4010000}">
      <text>
        <r>
          <rPr>
            <b/>
            <sz val="9"/>
            <color indexed="81"/>
            <rFont val="Tahoma"/>
            <family val="2"/>
          </rPr>
          <t>Jorge Arturo Espinoza:</t>
        </r>
        <r>
          <rPr>
            <sz val="9"/>
            <color indexed="81"/>
            <rFont val="Tahoma"/>
            <family val="2"/>
          </rPr>
          <t xml:space="preserve">
DM: DSCTO MANUAL</t>
        </r>
      </text>
    </comment>
    <comment ref="D3007" authorId="0" shapeId="0" xr:uid="{00000000-0006-0000-0100-0000A5010000}">
      <text>
        <r>
          <rPr>
            <b/>
            <sz val="9"/>
            <color indexed="81"/>
            <rFont val="Tahoma"/>
            <family val="2"/>
          </rPr>
          <t>Jorge Arturo Espinoza:</t>
        </r>
        <r>
          <rPr>
            <sz val="9"/>
            <color indexed="81"/>
            <rFont val="Tahoma"/>
            <family val="2"/>
          </rPr>
          <t xml:space="preserve">
DM: DSCTO MANUAL</t>
        </r>
      </text>
    </comment>
    <comment ref="D3008" authorId="0" shapeId="0" xr:uid="{00000000-0006-0000-0100-0000A6010000}">
      <text>
        <r>
          <rPr>
            <b/>
            <sz val="9"/>
            <color indexed="81"/>
            <rFont val="Tahoma"/>
            <family val="2"/>
          </rPr>
          <t>Jorge Arturo Espinoza:</t>
        </r>
        <r>
          <rPr>
            <sz val="9"/>
            <color indexed="81"/>
            <rFont val="Tahoma"/>
            <family val="2"/>
          </rPr>
          <t xml:space="preserve">
DM: DSCTO MANUAL</t>
        </r>
      </text>
    </comment>
    <comment ref="D3010" authorId="0" shapeId="0" xr:uid="{00000000-0006-0000-0100-0000A7010000}">
      <text>
        <r>
          <rPr>
            <b/>
            <sz val="9"/>
            <color indexed="81"/>
            <rFont val="Tahoma"/>
            <family val="2"/>
          </rPr>
          <t>Jorge Arturo Espinoza:</t>
        </r>
        <r>
          <rPr>
            <sz val="9"/>
            <color indexed="81"/>
            <rFont val="Tahoma"/>
            <family val="2"/>
          </rPr>
          <t xml:space="preserve">
DM: DSCTO MANUAL</t>
        </r>
      </text>
    </comment>
    <comment ref="D3013" authorId="0" shapeId="0" xr:uid="{00000000-0006-0000-0100-0000A8010000}">
      <text>
        <r>
          <rPr>
            <b/>
            <sz val="9"/>
            <color indexed="81"/>
            <rFont val="Tahoma"/>
            <family val="2"/>
          </rPr>
          <t>Jorge Arturo Espinoza:</t>
        </r>
        <r>
          <rPr>
            <sz val="9"/>
            <color indexed="81"/>
            <rFont val="Tahoma"/>
            <family val="2"/>
          </rPr>
          <t xml:space="preserve">
DM: DSCTO MANUAL</t>
        </r>
      </text>
    </comment>
    <comment ref="D3014" authorId="0" shapeId="0" xr:uid="{00000000-0006-0000-0100-0000A9010000}">
      <text>
        <r>
          <rPr>
            <b/>
            <sz val="9"/>
            <color indexed="81"/>
            <rFont val="Tahoma"/>
            <family val="2"/>
          </rPr>
          <t>Jorge Arturo Espinoza:</t>
        </r>
        <r>
          <rPr>
            <sz val="9"/>
            <color indexed="81"/>
            <rFont val="Tahoma"/>
            <family val="2"/>
          </rPr>
          <t xml:space="preserve">
DM: DSCTO MANUAL</t>
        </r>
      </text>
    </comment>
    <comment ref="D3015" authorId="0" shapeId="0" xr:uid="{00000000-0006-0000-0100-0000AA010000}">
      <text>
        <r>
          <rPr>
            <b/>
            <sz val="9"/>
            <color indexed="81"/>
            <rFont val="Tahoma"/>
            <family val="2"/>
          </rPr>
          <t>Jorge Arturo Espinoza:</t>
        </r>
        <r>
          <rPr>
            <sz val="9"/>
            <color indexed="81"/>
            <rFont val="Tahoma"/>
            <family val="2"/>
          </rPr>
          <t xml:space="preserve">
DM: DSCTO MANUAL</t>
        </r>
      </text>
    </comment>
    <comment ref="D3016" authorId="0" shapeId="0" xr:uid="{00000000-0006-0000-0100-0000AB010000}">
      <text>
        <r>
          <rPr>
            <b/>
            <sz val="9"/>
            <color indexed="81"/>
            <rFont val="Tahoma"/>
            <family val="2"/>
          </rPr>
          <t>Jorge Arturo Espinoza:</t>
        </r>
        <r>
          <rPr>
            <sz val="9"/>
            <color indexed="81"/>
            <rFont val="Tahoma"/>
            <family val="2"/>
          </rPr>
          <t xml:space="preserve">
DM: DSCTO MANUAL</t>
        </r>
      </text>
    </comment>
    <comment ref="D3017" authorId="0" shapeId="0" xr:uid="{00000000-0006-0000-0100-0000AC010000}">
      <text>
        <r>
          <rPr>
            <b/>
            <sz val="9"/>
            <color indexed="81"/>
            <rFont val="Tahoma"/>
            <family val="2"/>
          </rPr>
          <t>Jorge Arturo Espinoza:</t>
        </r>
        <r>
          <rPr>
            <sz val="9"/>
            <color indexed="81"/>
            <rFont val="Tahoma"/>
            <family val="2"/>
          </rPr>
          <t xml:space="preserve">
DM: DSCTO MANUAL</t>
        </r>
      </text>
    </comment>
    <comment ref="D3018" authorId="0" shapeId="0" xr:uid="{00000000-0006-0000-0100-0000AD010000}">
      <text>
        <r>
          <rPr>
            <b/>
            <sz val="9"/>
            <color indexed="81"/>
            <rFont val="Tahoma"/>
            <family val="2"/>
          </rPr>
          <t>Jorge Arturo Espinoza:</t>
        </r>
        <r>
          <rPr>
            <sz val="9"/>
            <color indexed="81"/>
            <rFont val="Tahoma"/>
            <family val="2"/>
          </rPr>
          <t xml:space="preserve">
DM: DSCTO MANUAL</t>
        </r>
      </text>
    </comment>
    <comment ref="D3019" authorId="0" shapeId="0" xr:uid="{00000000-0006-0000-0100-0000AE010000}">
      <text>
        <r>
          <rPr>
            <b/>
            <sz val="9"/>
            <color indexed="81"/>
            <rFont val="Tahoma"/>
            <family val="2"/>
          </rPr>
          <t>Jorge Arturo Espinoza:</t>
        </r>
        <r>
          <rPr>
            <sz val="9"/>
            <color indexed="81"/>
            <rFont val="Tahoma"/>
            <family val="2"/>
          </rPr>
          <t xml:space="preserve">
DM: DSCTO MANUAL</t>
        </r>
      </text>
    </comment>
    <comment ref="D3020" authorId="0" shapeId="0" xr:uid="{00000000-0006-0000-0100-0000AF010000}">
      <text>
        <r>
          <rPr>
            <b/>
            <sz val="9"/>
            <color indexed="81"/>
            <rFont val="Tahoma"/>
            <family val="2"/>
          </rPr>
          <t>Jorge Arturo Espinoza:</t>
        </r>
        <r>
          <rPr>
            <sz val="9"/>
            <color indexed="81"/>
            <rFont val="Tahoma"/>
            <family val="2"/>
          </rPr>
          <t xml:space="preserve">
DM: DSCTO MANUAL</t>
        </r>
      </text>
    </comment>
    <comment ref="D3022" authorId="0" shapeId="0" xr:uid="{00000000-0006-0000-0100-0000B0010000}">
      <text>
        <r>
          <rPr>
            <b/>
            <sz val="9"/>
            <color indexed="81"/>
            <rFont val="Tahoma"/>
            <family val="2"/>
          </rPr>
          <t>Jorge Arturo Espinoza:</t>
        </r>
        <r>
          <rPr>
            <sz val="9"/>
            <color indexed="81"/>
            <rFont val="Tahoma"/>
            <family val="2"/>
          </rPr>
          <t xml:space="preserve">
DM: DSCTO MANUAL</t>
        </r>
      </text>
    </comment>
    <comment ref="D3025" authorId="0" shapeId="0" xr:uid="{00000000-0006-0000-0100-0000B1010000}">
      <text>
        <r>
          <rPr>
            <b/>
            <sz val="9"/>
            <color indexed="81"/>
            <rFont val="Tahoma"/>
            <family val="2"/>
          </rPr>
          <t>Jorge Arturo Espinoza:</t>
        </r>
        <r>
          <rPr>
            <sz val="9"/>
            <color indexed="81"/>
            <rFont val="Tahoma"/>
            <family val="2"/>
          </rPr>
          <t xml:space="preserve">
DM: DSCTO MANUAL</t>
        </r>
      </text>
    </comment>
    <comment ref="D3026" authorId="0" shapeId="0" xr:uid="{00000000-0006-0000-0100-0000B2010000}">
      <text>
        <r>
          <rPr>
            <b/>
            <sz val="9"/>
            <color indexed="81"/>
            <rFont val="Tahoma"/>
            <family val="2"/>
          </rPr>
          <t>Jorge Arturo Espinoza:</t>
        </r>
        <r>
          <rPr>
            <sz val="9"/>
            <color indexed="81"/>
            <rFont val="Tahoma"/>
            <family val="2"/>
          </rPr>
          <t xml:space="preserve">
DM: DSCTO MANUAL</t>
        </r>
      </text>
    </comment>
    <comment ref="D3027" authorId="0" shapeId="0" xr:uid="{00000000-0006-0000-0100-0000B3010000}">
      <text>
        <r>
          <rPr>
            <b/>
            <sz val="9"/>
            <color indexed="81"/>
            <rFont val="Tahoma"/>
            <family val="2"/>
          </rPr>
          <t>Jorge Arturo Espinoza:</t>
        </r>
        <r>
          <rPr>
            <sz val="9"/>
            <color indexed="81"/>
            <rFont val="Tahoma"/>
            <family val="2"/>
          </rPr>
          <t xml:space="preserve">
DM: DSCTO MANUAL</t>
        </r>
      </text>
    </comment>
    <comment ref="D3028" authorId="0" shapeId="0" xr:uid="{00000000-0006-0000-0100-0000B4010000}">
      <text>
        <r>
          <rPr>
            <b/>
            <sz val="9"/>
            <color indexed="81"/>
            <rFont val="Tahoma"/>
            <family val="2"/>
          </rPr>
          <t>Jorge Arturo Espinoza:</t>
        </r>
        <r>
          <rPr>
            <sz val="9"/>
            <color indexed="81"/>
            <rFont val="Tahoma"/>
            <family val="2"/>
          </rPr>
          <t xml:space="preserve">
DM: DSCTO MANUAL</t>
        </r>
      </text>
    </comment>
    <comment ref="D3029" authorId="0" shapeId="0" xr:uid="{00000000-0006-0000-0100-0000B5010000}">
      <text>
        <r>
          <rPr>
            <b/>
            <sz val="9"/>
            <color indexed="81"/>
            <rFont val="Tahoma"/>
            <family val="2"/>
          </rPr>
          <t>Jorge Arturo Espinoza:</t>
        </r>
        <r>
          <rPr>
            <sz val="9"/>
            <color indexed="81"/>
            <rFont val="Tahoma"/>
            <family val="2"/>
          </rPr>
          <t xml:space="preserve">
DM: DSCTO MANUAL</t>
        </r>
      </text>
    </comment>
    <comment ref="D3030" authorId="0" shapeId="0" xr:uid="{00000000-0006-0000-0100-0000B6010000}">
      <text>
        <r>
          <rPr>
            <b/>
            <sz val="9"/>
            <color indexed="81"/>
            <rFont val="Tahoma"/>
            <family val="2"/>
          </rPr>
          <t>Jorge Arturo Espinoza:</t>
        </r>
        <r>
          <rPr>
            <sz val="9"/>
            <color indexed="81"/>
            <rFont val="Tahoma"/>
            <family val="2"/>
          </rPr>
          <t xml:space="preserve">
DM: DSCTO MANUAL</t>
        </r>
      </text>
    </comment>
    <comment ref="D3031" authorId="0" shapeId="0" xr:uid="{00000000-0006-0000-0100-0000B7010000}">
      <text>
        <r>
          <rPr>
            <b/>
            <sz val="9"/>
            <color indexed="81"/>
            <rFont val="Tahoma"/>
            <family val="2"/>
          </rPr>
          <t>Jorge Arturo Espinoza:</t>
        </r>
        <r>
          <rPr>
            <sz val="9"/>
            <color indexed="81"/>
            <rFont val="Tahoma"/>
            <family val="2"/>
          </rPr>
          <t xml:space="preserve">
DM: DSCTO MANUAL</t>
        </r>
      </text>
    </comment>
    <comment ref="D3032" authorId="0" shapeId="0" xr:uid="{00000000-0006-0000-0100-0000B8010000}">
      <text>
        <r>
          <rPr>
            <b/>
            <sz val="9"/>
            <color indexed="81"/>
            <rFont val="Tahoma"/>
            <family val="2"/>
          </rPr>
          <t>Jorge Arturo Espinoza:</t>
        </r>
        <r>
          <rPr>
            <sz val="9"/>
            <color indexed="81"/>
            <rFont val="Tahoma"/>
            <family val="2"/>
          </rPr>
          <t xml:space="preserve">
DM: DSCTO MANUAL</t>
        </r>
      </text>
    </comment>
    <comment ref="D3033" authorId="0" shapeId="0" xr:uid="{00000000-0006-0000-0100-0000B9010000}">
      <text>
        <r>
          <rPr>
            <b/>
            <sz val="9"/>
            <color indexed="81"/>
            <rFont val="Tahoma"/>
            <family val="2"/>
          </rPr>
          <t>Jorge Arturo Espinoza:</t>
        </r>
        <r>
          <rPr>
            <sz val="9"/>
            <color indexed="81"/>
            <rFont val="Tahoma"/>
            <family val="2"/>
          </rPr>
          <t xml:space="preserve">
DM: DSCTO MANUAL</t>
        </r>
      </text>
    </comment>
    <comment ref="D3034" authorId="0" shapeId="0" xr:uid="{00000000-0006-0000-0100-0000BA010000}">
      <text>
        <r>
          <rPr>
            <b/>
            <sz val="9"/>
            <color indexed="81"/>
            <rFont val="Tahoma"/>
            <family val="2"/>
          </rPr>
          <t>Jorge Arturo Espinoza:</t>
        </r>
        <r>
          <rPr>
            <sz val="9"/>
            <color indexed="81"/>
            <rFont val="Tahoma"/>
            <family val="2"/>
          </rPr>
          <t xml:space="preserve">
DM: DSCTO MANUAL</t>
        </r>
      </text>
    </comment>
    <comment ref="D3036" authorId="0" shapeId="0" xr:uid="{00000000-0006-0000-0100-0000BB010000}">
      <text>
        <r>
          <rPr>
            <b/>
            <sz val="9"/>
            <color indexed="81"/>
            <rFont val="Tahoma"/>
            <family val="2"/>
          </rPr>
          <t>Jorge Arturo Espinoza:</t>
        </r>
        <r>
          <rPr>
            <sz val="9"/>
            <color indexed="81"/>
            <rFont val="Tahoma"/>
            <family val="2"/>
          </rPr>
          <t xml:space="preserve">
DM: DSCTO MANUAL</t>
        </r>
      </text>
    </comment>
    <comment ref="D3037" authorId="0" shapeId="0" xr:uid="{00000000-0006-0000-0100-0000BC010000}">
      <text>
        <r>
          <rPr>
            <b/>
            <sz val="9"/>
            <color indexed="81"/>
            <rFont val="Tahoma"/>
            <family val="2"/>
          </rPr>
          <t>Jorge Arturo Espinoza:</t>
        </r>
        <r>
          <rPr>
            <sz val="9"/>
            <color indexed="81"/>
            <rFont val="Tahoma"/>
            <family val="2"/>
          </rPr>
          <t xml:space="preserve">
DM: DSCTO MANUAL</t>
        </r>
      </text>
    </comment>
    <comment ref="D3038" authorId="0" shapeId="0" xr:uid="{00000000-0006-0000-0100-0000BD010000}">
      <text>
        <r>
          <rPr>
            <b/>
            <sz val="9"/>
            <color indexed="81"/>
            <rFont val="Tahoma"/>
            <family val="2"/>
          </rPr>
          <t>Jorge Arturo Espinoza:</t>
        </r>
        <r>
          <rPr>
            <sz val="9"/>
            <color indexed="81"/>
            <rFont val="Tahoma"/>
            <family val="2"/>
          </rPr>
          <t xml:space="preserve">
DM: DSCTO MANUAL</t>
        </r>
      </text>
    </comment>
    <comment ref="D3039" authorId="0" shapeId="0" xr:uid="{00000000-0006-0000-0100-0000BE010000}">
      <text>
        <r>
          <rPr>
            <b/>
            <sz val="9"/>
            <color indexed="81"/>
            <rFont val="Tahoma"/>
            <family val="2"/>
          </rPr>
          <t>Jorge Arturo Espinoza:</t>
        </r>
        <r>
          <rPr>
            <sz val="9"/>
            <color indexed="81"/>
            <rFont val="Tahoma"/>
            <family val="2"/>
          </rPr>
          <t xml:space="preserve">
DM: DSCTO MANUAL</t>
        </r>
      </text>
    </comment>
    <comment ref="D3040" authorId="0" shapeId="0" xr:uid="{00000000-0006-0000-0100-0000BF010000}">
      <text>
        <r>
          <rPr>
            <b/>
            <sz val="9"/>
            <color indexed="81"/>
            <rFont val="Tahoma"/>
            <family val="2"/>
          </rPr>
          <t>Jorge Arturo Espinoza:</t>
        </r>
        <r>
          <rPr>
            <sz val="9"/>
            <color indexed="81"/>
            <rFont val="Tahoma"/>
            <family val="2"/>
          </rPr>
          <t xml:space="preserve">
DM: DSCTO MANUAL</t>
        </r>
      </text>
    </comment>
    <comment ref="D3041" authorId="0" shapeId="0" xr:uid="{00000000-0006-0000-0100-0000C0010000}">
      <text>
        <r>
          <rPr>
            <b/>
            <sz val="9"/>
            <color indexed="81"/>
            <rFont val="Tahoma"/>
            <family val="2"/>
          </rPr>
          <t>Jorge Arturo Espinoza:</t>
        </r>
        <r>
          <rPr>
            <sz val="9"/>
            <color indexed="81"/>
            <rFont val="Tahoma"/>
            <family val="2"/>
          </rPr>
          <t xml:space="preserve">
DM: DSCTO MANUAL</t>
        </r>
      </text>
    </comment>
    <comment ref="D3042" authorId="0" shapeId="0" xr:uid="{00000000-0006-0000-0100-0000C1010000}">
      <text>
        <r>
          <rPr>
            <b/>
            <sz val="9"/>
            <color indexed="81"/>
            <rFont val="Tahoma"/>
            <family val="2"/>
          </rPr>
          <t>Jorge Arturo Espinoza:</t>
        </r>
        <r>
          <rPr>
            <sz val="9"/>
            <color indexed="81"/>
            <rFont val="Tahoma"/>
            <family val="2"/>
          </rPr>
          <t xml:space="preserve">
DM: DSCTO MANUAL</t>
        </r>
      </text>
    </comment>
    <comment ref="D3043" authorId="0" shapeId="0" xr:uid="{00000000-0006-0000-0100-0000C2010000}">
      <text>
        <r>
          <rPr>
            <b/>
            <sz val="9"/>
            <color indexed="81"/>
            <rFont val="Tahoma"/>
            <family val="2"/>
          </rPr>
          <t>Jorge Arturo Espinoza:</t>
        </r>
        <r>
          <rPr>
            <sz val="9"/>
            <color indexed="81"/>
            <rFont val="Tahoma"/>
            <family val="2"/>
          </rPr>
          <t xml:space="preserve">
DM: DSCTO MANUAL</t>
        </r>
      </text>
    </comment>
    <comment ref="D3044" authorId="0" shapeId="0" xr:uid="{00000000-0006-0000-0100-0000C3010000}">
      <text>
        <r>
          <rPr>
            <b/>
            <sz val="9"/>
            <color indexed="81"/>
            <rFont val="Tahoma"/>
            <family val="2"/>
          </rPr>
          <t>Jorge Arturo Espinoza:</t>
        </r>
        <r>
          <rPr>
            <sz val="9"/>
            <color indexed="81"/>
            <rFont val="Tahoma"/>
            <family val="2"/>
          </rPr>
          <t xml:space="preserve">
DM: DSCTO MANUAL</t>
        </r>
      </text>
    </comment>
    <comment ref="D3045" authorId="0" shapeId="0" xr:uid="{00000000-0006-0000-0100-0000C4010000}">
      <text>
        <r>
          <rPr>
            <b/>
            <sz val="9"/>
            <color indexed="81"/>
            <rFont val="Tahoma"/>
            <family val="2"/>
          </rPr>
          <t>Jorge Arturo Espinoza:</t>
        </r>
        <r>
          <rPr>
            <sz val="9"/>
            <color indexed="81"/>
            <rFont val="Tahoma"/>
            <family val="2"/>
          </rPr>
          <t xml:space="preserve">
DM: DSCTO MANUAL</t>
        </r>
      </text>
    </comment>
    <comment ref="D3047" authorId="0" shapeId="0" xr:uid="{00000000-0006-0000-0100-0000C5010000}">
      <text>
        <r>
          <rPr>
            <b/>
            <sz val="9"/>
            <color indexed="81"/>
            <rFont val="Tahoma"/>
            <family val="2"/>
          </rPr>
          <t>Jorge Arturo Espinoza:</t>
        </r>
        <r>
          <rPr>
            <sz val="9"/>
            <color indexed="81"/>
            <rFont val="Tahoma"/>
            <family val="2"/>
          </rPr>
          <t xml:space="preserve">
DM: DSCTO MANUAL</t>
        </r>
      </text>
    </comment>
    <comment ref="D3048" authorId="0" shapeId="0" xr:uid="{00000000-0006-0000-0100-0000C6010000}">
      <text>
        <r>
          <rPr>
            <b/>
            <sz val="9"/>
            <color indexed="81"/>
            <rFont val="Tahoma"/>
            <family val="2"/>
          </rPr>
          <t>Jorge Arturo Espinoza:</t>
        </r>
        <r>
          <rPr>
            <sz val="9"/>
            <color indexed="81"/>
            <rFont val="Tahoma"/>
            <family val="2"/>
          </rPr>
          <t xml:space="preserve">
DM: DSCTO MANUAL</t>
        </r>
      </text>
    </comment>
    <comment ref="D3049" authorId="0" shapeId="0" xr:uid="{00000000-0006-0000-0100-0000C7010000}">
      <text>
        <r>
          <rPr>
            <b/>
            <sz val="9"/>
            <color indexed="81"/>
            <rFont val="Tahoma"/>
            <family val="2"/>
          </rPr>
          <t>Jorge Arturo Espinoza:</t>
        </r>
        <r>
          <rPr>
            <sz val="9"/>
            <color indexed="81"/>
            <rFont val="Tahoma"/>
            <family val="2"/>
          </rPr>
          <t xml:space="preserve">
DM: DSCTO MANUAL</t>
        </r>
      </text>
    </comment>
    <comment ref="D3050" authorId="0" shapeId="0" xr:uid="{00000000-0006-0000-0100-0000C8010000}">
      <text>
        <r>
          <rPr>
            <b/>
            <sz val="9"/>
            <color indexed="81"/>
            <rFont val="Tahoma"/>
            <family val="2"/>
          </rPr>
          <t>Jorge Arturo Espinoza:</t>
        </r>
        <r>
          <rPr>
            <sz val="9"/>
            <color indexed="81"/>
            <rFont val="Tahoma"/>
            <family val="2"/>
          </rPr>
          <t xml:space="preserve">
DM: DSCTO MANUAL</t>
        </r>
      </text>
    </comment>
    <comment ref="D3051" authorId="0" shapeId="0" xr:uid="{00000000-0006-0000-0100-0000C9010000}">
      <text>
        <r>
          <rPr>
            <b/>
            <sz val="9"/>
            <color indexed="81"/>
            <rFont val="Tahoma"/>
            <family val="2"/>
          </rPr>
          <t>Jorge Arturo Espinoza:</t>
        </r>
        <r>
          <rPr>
            <sz val="9"/>
            <color indexed="81"/>
            <rFont val="Tahoma"/>
            <family val="2"/>
          </rPr>
          <t xml:space="preserve">
DM: DSCTO MANUAL</t>
        </r>
      </text>
    </comment>
    <comment ref="D3052" authorId="0" shapeId="0" xr:uid="{00000000-0006-0000-0100-0000CA010000}">
      <text>
        <r>
          <rPr>
            <b/>
            <sz val="9"/>
            <color indexed="81"/>
            <rFont val="Tahoma"/>
            <family val="2"/>
          </rPr>
          <t>Jorge Arturo Espinoza:</t>
        </r>
        <r>
          <rPr>
            <sz val="9"/>
            <color indexed="81"/>
            <rFont val="Tahoma"/>
            <family val="2"/>
          </rPr>
          <t xml:space="preserve">
DM: DSCTO MANUAL</t>
        </r>
      </text>
    </comment>
    <comment ref="D3053" authorId="0" shapeId="0" xr:uid="{00000000-0006-0000-0100-0000CB010000}">
      <text>
        <r>
          <rPr>
            <b/>
            <sz val="9"/>
            <color indexed="81"/>
            <rFont val="Tahoma"/>
            <family val="2"/>
          </rPr>
          <t>Jorge Arturo Espinoza:</t>
        </r>
        <r>
          <rPr>
            <sz val="9"/>
            <color indexed="81"/>
            <rFont val="Tahoma"/>
            <family val="2"/>
          </rPr>
          <t xml:space="preserve">
DM: DSCTO MANUAL</t>
        </r>
      </text>
    </comment>
    <comment ref="D3054" authorId="0" shapeId="0" xr:uid="{00000000-0006-0000-0100-0000CC010000}">
      <text>
        <r>
          <rPr>
            <b/>
            <sz val="9"/>
            <color indexed="81"/>
            <rFont val="Tahoma"/>
            <family val="2"/>
          </rPr>
          <t>Jorge Arturo Espinoza:</t>
        </r>
        <r>
          <rPr>
            <sz val="9"/>
            <color indexed="81"/>
            <rFont val="Tahoma"/>
            <family val="2"/>
          </rPr>
          <t xml:space="preserve">
DM: DSCTO MANUAL</t>
        </r>
      </text>
    </comment>
    <comment ref="D3055" authorId="0" shapeId="0" xr:uid="{00000000-0006-0000-0100-0000CD010000}">
      <text>
        <r>
          <rPr>
            <b/>
            <sz val="9"/>
            <color indexed="81"/>
            <rFont val="Tahoma"/>
            <family val="2"/>
          </rPr>
          <t>Jorge Arturo Espinoza:</t>
        </r>
        <r>
          <rPr>
            <sz val="9"/>
            <color indexed="81"/>
            <rFont val="Tahoma"/>
            <family val="2"/>
          </rPr>
          <t xml:space="preserve">
DM: DSCTO MANUAL</t>
        </r>
      </text>
    </comment>
    <comment ref="D3056" authorId="0" shapeId="0" xr:uid="{00000000-0006-0000-0100-0000CE010000}">
      <text>
        <r>
          <rPr>
            <b/>
            <sz val="9"/>
            <color indexed="81"/>
            <rFont val="Tahoma"/>
            <family val="2"/>
          </rPr>
          <t>Jorge Arturo Espinoza:</t>
        </r>
        <r>
          <rPr>
            <sz val="9"/>
            <color indexed="81"/>
            <rFont val="Tahoma"/>
            <family val="2"/>
          </rPr>
          <t xml:space="preserve">
DM: DSCTO MANUAL</t>
        </r>
      </text>
    </comment>
    <comment ref="D3058" authorId="0" shapeId="0" xr:uid="{00000000-0006-0000-0100-0000CF010000}">
      <text>
        <r>
          <rPr>
            <b/>
            <sz val="9"/>
            <color indexed="81"/>
            <rFont val="Tahoma"/>
            <family val="2"/>
          </rPr>
          <t>Jorge Arturo Espinoza:</t>
        </r>
        <r>
          <rPr>
            <sz val="9"/>
            <color indexed="81"/>
            <rFont val="Tahoma"/>
            <family val="2"/>
          </rPr>
          <t xml:space="preserve">
DM: DSCTO MANUAL</t>
        </r>
      </text>
    </comment>
    <comment ref="D3059" authorId="0" shapeId="0" xr:uid="{00000000-0006-0000-0100-0000D0010000}">
      <text>
        <r>
          <rPr>
            <b/>
            <sz val="9"/>
            <color indexed="81"/>
            <rFont val="Tahoma"/>
            <family val="2"/>
          </rPr>
          <t>Jorge Arturo Espinoza:</t>
        </r>
        <r>
          <rPr>
            <sz val="9"/>
            <color indexed="81"/>
            <rFont val="Tahoma"/>
            <family val="2"/>
          </rPr>
          <t xml:space="preserve">
DM: DSCTO MANUAL</t>
        </r>
      </text>
    </comment>
    <comment ref="D3060" authorId="0" shapeId="0" xr:uid="{00000000-0006-0000-0100-0000D1010000}">
      <text>
        <r>
          <rPr>
            <b/>
            <sz val="9"/>
            <color indexed="81"/>
            <rFont val="Tahoma"/>
            <family val="2"/>
          </rPr>
          <t>Jorge Arturo Espinoza:</t>
        </r>
        <r>
          <rPr>
            <sz val="9"/>
            <color indexed="81"/>
            <rFont val="Tahoma"/>
            <family val="2"/>
          </rPr>
          <t xml:space="preserve">
DM: DSCTO MANUAL</t>
        </r>
      </text>
    </comment>
    <comment ref="D3061" authorId="0" shapeId="0" xr:uid="{00000000-0006-0000-0100-0000D2010000}">
      <text>
        <r>
          <rPr>
            <b/>
            <sz val="9"/>
            <color indexed="81"/>
            <rFont val="Tahoma"/>
            <family val="2"/>
          </rPr>
          <t>Jorge Arturo Espinoza:</t>
        </r>
        <r>
          <rPr>
            <sz val="9"/>
            <color indexed="81"/>
            <rFont val="Tahoma"/>
            <family val="2"/>
          </rPr>
          <t xml:space="preserve">
DM: DSCTO MANUAL</t>
        </r>
      </text>
    </comment>
    <comment ref="D3062" authorId="0" shapeId="0" xr:uid="{00000000-0006-0000-0100-0000D3010000}">
      <text>
        <r>
          <rPr>
            <b/>
            <sz val="9"/>
            <color indexed="81"/>
            <rFont val="Tahoma"/>
            <family val="2"/>
          </rPr>
          <t>Jorge Arturo Espinoza:</t>
        </r>
        <r>
          <rPr>
            <sz val="9"/>
            <color indexed="81"/>
            <rFont val="Tahoma"/>
            <family val="2"/>
          </rPr>
          <t xml:space="preserve">
DM: DSCTO MANUAL</t>
        </r>
      </text>
    </comment>
    <comment ref="D3063" authorId="0" shapeId="0" xr:uid="{00000000-0006-0000-0100-0000D4010000}">
      <text>
        <r>
          <rPr>
            <b/>
            <sz val="9"/>
            <color indexed="81"/>
            <rFont val="Tahoma"/>
            <family val="2"/>
          </rPr>
          <t>Jorge Arturo Espinoza:</t>
        </r>
        <r>
          <rPr>
            <sz val="9"/>
            <color indexed="81"/>
            <rFont val="Tahoma"/>
            <family val="2"/>
          </rPr>
          <t xml:space="preserve">
DM: DSCTO MANUAL</t>
        </r>
      </text>
    </comment>
    <comment ref="D3064" authorId="0" shapeId="0" xr:uid="{00000000-0006-0000-0100-0000D5010000}">
      <text>
        <r>
          <rPr>
            <b/>
            <sz val="9"/>
            <color indexed="81"/>
            <rFont val="Tahoma"/>
            <family val="2"/>
          </rPr>
          <t>Jorge Arturo Espinoza:</t>
        </r>
        <r>
          <rPr>
            <sz val="9"/>
            <color indexed="81"/>
            <rFont val="Tahoma"/>
            <family val="2"/>
          </rPr>
          <t xml:space="preserve">
DM: DSCTO MANUAL</t>
        </r>
      </text>
    </comment>
    <comment ref="D3065" authorId="0" shapeId="0" xr:uid="{00000000-0006-0000-0100-0000D6010000}">
      <text>
        <r>
          <rPr>
            <b/>
            <sz val="9"/>
            <color indexed="81"/>
            <rFont val="Tahoma"/>
            <family val="2"/>
          </rPr>
          <t>Jorge Arturo Espinoza:</t>
        </r>
        <r>
          <rPr>
            <sz val="9"/>
            <color indexed="81"/>
            <rFont val="Tahoma"/>
            <family val="2"/>
          </rPr>
          <t xml:space="preserve">
DM: DSCTO MANUAL</t>
        </r>
      </text>
    </comment>
    <comment ref="D3066" authorId="0" shapeId="0" xr:uid="{00000000-0006-0000-0100-0000D7010000}">
      <text>
        <r>
          <rPr>
            <b/>
            <sz val="9"/>
            <color indexed="81"/>
            <rFont val="Tahoma"/>
            <family val="2"/>
          </rPr>
          <t>Jorge Arturo Espinoza:</t>
        </r>
        <r>
          <rPr>
            <sz val="9"/>
            <color indexed="81"/>
            <rFont val="Tahoma"/>
            <family val="2"/>
          </rPr>
          <t xml:space="preserve">
DM: DSCTO MANUAL</t>
        </r>
      </text>
    </comment>
    <comment ref="D3068" authorId="0" shapeId="0" xr:uid="{00000000-0006-0000-0100-0000D8010000}">
      <text>
        <r>
          <rPr>
            <b/>
            <sz val="9"/>
            <color indexed="81"/>
            <rFont val="Tahoma"/>
            <family val="2"/>
          </rPr>
          <t>Jorge Arturo Espinoza:</t>
        </r>
        <r>
          <rPr>
            <sz val="9"/>
            <color indexed="81"/>
            <rFont val="Tahoma"/>
            <family val="2"/>
          </rPr>
          <t xml:space="preserve">
DM: DSCTO MANUAL</t>
        </r>
      </text>
    </comment>
    <comment ref="D3069" authorId="0" shapeId="0" xr:uid="{00000000-0006-0000-0100-0000D9010000}">
      <text>
        <r>
          <rPr>
            <b/>
            <sz val="9"/>
            <color indexed="81"/>
            <rFont val="Tahoma"/>
            <family val="2"/>
          </rPr>
          <t>Jorge Arturo Espinoza:</t>
        </r>
        <r>
          <rPr>
            <sz val="9"/>
            <color indexed="81"/>
            <rFont val="Tahoma"/>
            <family val="2"/>
          </rPr>
          <t xml:space="preserve">
DM: DSCTO MANUAL</t>
        </r>
      </text>
    </comment>
    <comment ref="D3070" authorId="0" shapeId="0" xr:uid="{00000000-0006-0000-0100-0000DA010000}">
      <text>
        <r>
          <rPr>
            <b/>
            <sz val="9"/>
            <color indexed="81"/>
            <rFont val="Tahoma"/>
            <family val="2"/>
          </rPr>
          <t>Jorge Arturo Espinoza:</t>
        </r>
        <r>
          <rPr>
            <sz val="9"/>
            <color indexed="81"/>
            <rFont val="Tahoma"/>
            <family val="2"/>
          </rPr>
          <t xml:space="preserve">
DM: DSCTO MANUAL</t>
        </r>
      </text>
    </comment>
    <comment ref="D3071" authorId="0" shapeId="0" xr:uid="{00000000-0006-0000-0100-0000DB010000}">
      <text>
        <r>
          <rPr>
            <b/>
            <sz val="9"/>
            <color indexed="81"/>
            <rFont val="Tahoma"/>
            <family val="2"/>
          </rPr>
          <t>Jorge Arturo Espinoza:</t>
        </r>
        <r>
          <rPr>
            <sz val="9"/>
            <color indexed="81"/>
            <rFont val="Tahoma"/>
            <family val="2"/>
          </rPr>
          <t xml:space="preserve">
DM: DSCTO MANUAL</t>
        </r>
      </text>
    </comment>
    <comment ref="D3072" authorId="0" shapeId="0" xr:uid="{00000000-0006-0000-0100-0000DC010000}">
      <text>
        <r>
          <rPr>
            <b/>
            <sz val="9"/>
            <color indexed="81"/>
            <rFont val="Tahoma"/>
            <family val="2"/>
          </rPr>
          <t>Jorge Arturo Espinoza:</t>
        </r>
        <r>
          <rPr>
            <sz val="9"/>
            <color indexed="81"/>
            <rFont val="Tahoma"/>
            <family val="2"/>
          </rPr>
          <t xml:space="preserve">
DM: DSCTO MANUAL</t>
        </r>
      </text>
    </comment>
    <comment ref="D3073" authorId="0" shapeId="0" xr:uid="{00000000-0006-0000-0100-0000DD010000}">
      <text>
        <r>
          <rPr>
            <b/>
            <sz val="9"/>
            <color indexed="81"/>
            <rFont val="Tahoma"/>
            <family val="2"/>
          </rPr>
          <t>Jorge Arturo Espinoza:</t>
        </r>
        <r>
          <rPr>
            <sz val="9"/>
            <color indexed="81"/>
            <rFont val="Tahoma"/>
            <family val="2"/>
          </rPr>
          <t xml:space="preserve">
DM: DSCTO MANUAL</t>
        </r>
      </text>
    </comment>
    <comment ref="D3074" authorId="0" shapeId="0" xr:uid="{00000000-0006-0000-0100-0000DE010000}">
      <text>
        <r>
          <rPr>
            <b/>
            <sz val="9"/>
            <color indexed="81"/>
            <rFont val="Tahoma"/>
            <family val="2"/>
          </rPr>
          <t>Jorge Arturo Espinoza:</t>
        </r>
        <r>
          <rPr>
            <sz val="9"/>
            <color indexed="81"/>
            <rFont val="Tahoma"/>
            <family val="2"/>
          </rPr>
          <t xml:space="preserve">
DM: DSCTO MANUAL</t>
        </r>
      </text>
    </comment>
    <comment ref="D3075" authorId="0" shapeId="0" xr:uid="{00000000-0006-0000-0100-0000DF010000}">
      <text>
        <r>
          <rPr>
            <b/>
            <sz val="9"/>
            <color indexed="81"/>
            <rFont val="Tahoma"/>
            <family val="2"/>
          </rPr>
          <t>Jorge Arturo Espinoza:</t>
        </r>
        <r>
          <rPr>
            <sz val="9"/>
            <color indexed="81"/>
            <rFont val="Tahoma"/>
            <family val="2"/>
          </rPr>
          <t xml:space="preserve">
DM: DSCTO MANUAL</t>
        </r>
      </text>
    </comment>
    <comment ref="D3076" authorId="0" shapeId="0" xr:uid="{00000000-0006-0000-0100-0000E0010000}">
      <text>
        <r>
          <rPr>
            <b/>
            <sz val="9"/>
            <color indexed="81"/>
            <rFont val="Tahoma"/>
            <family val="2"/>
          </rPr>
          <t>Jorge Arturo Espinoza:</t>
        </r>
        <r>
          <rPr>
            <sz val="9"/>
            <color indexed="81"/>
            <rFont val="Tahoma"/>
            <family val="2"/>
          </rPr>
          <t xml:space="preserve">
DM: DSCTO MANUAL</t>
        </r>
      </text>
    </comment>
    <comment ref="D3078" authorId="0" shapeId="0" xr:uid="{00000000-0006-0000-0100-0000E1010000}">
      <text>
        <r>
          <rPr>
            <b/>
            <sz val="9"/>
            <color indexed="81"/>
            <rFont val="Tahoma"/>
            <family val="2"/>
          </rPr>
          <t>Jorge Arturo Espinoza:</t>
        </r>
        <r>
          <rPr>
            <sz val="9"/>
            <color indexed="81"/>
            <rFont val="Tahoma"/>
            <family val="2"/>
          </rPr>
          <t xml:space="preserve">
DM: DSCTO MANUAL</t>
        </r>
      </text>
    </comment>
    <comment ref="D3079" authorId="0" shapeId="0" xr:uid="{00000000-0006-0000-0100-0000E2010000}">
      <text>
        <r>
          <rPr>
            <b/>
            <sz val="9"/>
            <color indexed="81"/>
            <rFont val="Tahoma"/>
            <family val="2"/>
          </rPr>
          <t>Jorge Arturo Espinoza:</t>
        </r>
        <r>
          <rPr>
            <sz val="9"/>
            <color indexed="81"/>
            <rFont val="Tahoma"/>
            <family val="2"/>
          </rPr>
          <t xml:space="preserve">
DM: DSCTO MANUAL</t>
        </r>
      </text>
    </comment>
    <comment ref="D3080" authorId="0" shapeId="0" xr:uid="{00000000-0006-0000-0100-0000E3010000}">
      <text>
        <r>
          <rPr>
            <b/>
            <sz val="9"/>
            <color indexed="81"/>
            <rFont val="Tahoma"/>
            <family val="2"/>
          </rPr>
          <t>Jorge Arturo Espinoza:</t>
        </r>
        <r>
          <rPr>
            <sz val="9"/>
            <color indexed="81"/>
            <rFont val="Tahoma"/>
            <family val="2"/>
          </rPr>
          <t xml:space="preserve">
DM: DSCTO MANUAL</t>
        </r>
      </text>
    </comment>
    <comment ref="D3081" authorId="0" shapeId="0" xr:uid="{00000000-0006-0000-0100-0000E4010000}">
      <text>
        <r>
          <rPr>
            <b/>
            <sz val="9"/>
            <color indexed="81"/>
            <rFont val="Tahoma"/>
            <family val="2"/>
          </rPr>
          <t>Jorge Arturo Espinoza:</t>
        </r>
        <r>
          <rPr>
            <sz val="9"/>
            <color indexed="81"/>
            <rFont val="Tahoma"/>
            <family val="2"/>
          </rPr>
          <t xml:space="preserve">
DM: DSCTO MANUAL</t>
        </r>
      </text>
    </comment>
    <comment ref="D3082" authorId="0" shapeId="0" xr:uid="{00000000-0006-0000-0100-0000E5010000}">
      <text>
        <r>
          <rPr>
            <b/>
            <sz val="9"/>
            <color indexed="81"/>
            <rFont val="Tahoma"/>
            <family val="2"/>
          </rPr>
          <t>Jorge Arturo Espinoza:</t>
        </r>
        <r>
          <rPr>
            <sz val="9"/>
            <color indexed="81"/>
            <rFont val="Tahoma"/>
            <family val="2"/>
          </rPr>
          <t xml:space="preserve">
DM: DSCTO MANUAL</t>
        </r>
      </text>
    </comment>
    <comment ref="D3083" authorId="0" shapeId="0" xr:uid="{00000000-0006-0000-0100-0000E6010000}">
      <text>
        <r>
          <rPr>
            <b/>
            <sz val="9"/>
            <color indexed="81"/>
            <rFont val="Tahoma"/>
            <family val="2"/>
          </rPr>
          <t>Jorge Arturo Espinoza:</t>
        </r>
        <r>
          <rPr>
            <sz val="9"/>
            <color indexed="81"/>
            <rFont val="Tahoma"/>
            <family val="2"/>
          </rPr>
          <t xml:space="preserve">
DM: DSCTO MANUAL</t>
        </r>
      </text>
    </comment>
    <comment ref="D3084" authorId="0" shapeId="0" xr:uid="{00000000-0006-0000-0100-0000E7010000}">
      <text>
        <r>
          <rPr>
            <b/>
            <sz val="9"/>
            <color indexed="81"/>
            <rFont val="Tahoma"/>
            <family val="2"/>
          </rPr>
          <t>Jorge Arturo Espinoza:</t>
        </r>
        <r>
          <rPr>
            <sz val="9"/>
            <color indexed="81"/>
            <rFont val="Tahoma"/>
            <family val="2"/>
          </rPr>
          <t xml:space="preserve">
DM: DSCTO MANUAL</t>
        </r>
      </text>
    </comment>
    <comment ref="D3085" authorId="0" shapeId="0" xr:uid="{00000000-0006-0000-0100-0000E8010000}">
      <text>
        <r>
          <rPr>
            <b/>
            <sz val="9"/>
            <color indexed="81"/>
            <rFont val="Tahoma"/>
            <family val="2"/>
          </rPr>
          <t>Jorge Arturo Espinoza:</t>
        </r>
        <r>
          <rPr>
            <sz val="9"/>
            <color indexed="81"/>
            <rFont val="Tahoma"/>
            <family val="2"/>
          </rPr>
          <t xml:space="preserve">
DM: DSCTO MANUAL</t>
        </r>
      </text>
    </comment>
    <comment ref="D3086" authorId="0" shapeId="0" xr:uid="{00000000-0006-0000-0100-0000E9010000}">
      <text>
        <r>
          <rPr>
            <b/>
            <sz val="9"/>
            <color indexed="81"/>
            <rFont val="Tahoma"/>
            <family val="2"/>
          </rPr>
          <t>Jorge Arturo Espinoza:</t>
        </r>
        <r>
          <rPr>
            <sz val="9"/>
            <color indexed="81"/>
            <rFont val="Tahoma"/>
            <family val="2"/>
          </rPr>
          <t xml:space="preserve">
DM: DSCTO MANUAL</t>
        </r>
      </text>
    </comment>
    <comment ref="D3088" authorId="0" shapeId="0" xr:uid="{00000000-0006-0000-0100-0000EA010000}">
      <text>
        <r>
          <rPr>
            <b/>
            <sz val="9"/>
            <color indexed="81"/>
            <rFont val="Tahoma"/>
            <family val="2"/>
          </rPr>
          <t>Jorge Arturo Espinoza:</t>
        </r>
        <r>
          <rPr>
            <sz val="9"/>
            <color indexed="81"/>
            <rFont val="Tahoma"/>
            <family val="2"/>
          </rPr>
          <t xml:space="preserve">
DM: DSCTO MANUAL</t>
        </r>
      </text>
    </comment>
    <comment ref="D3089" authorId="0" shapeId="0" xr:uid="{00000000-0006-0000-0100-0000EB010000}">
      <text>
        <r>
          <rPr>
            <b/>
            <sz val="9"/>
            <color indexed="81"/>
            <rFont val="Tahoma"/>
            <family val="2"/>
          </rPr>
          <t>Jorge Arturo Espinoza:</t>
        </r>
        <r>
          <rPr>
            <sz val="9"/>
            <color indexed="81"/>
            <rFont val="Tahoma"/>
            <family val="2"/>
          </rPr>
          <t xml:space="preserve">
DM: DSCTO MANUAL</t>
        </r>
      </text>
    </comment>
    <comment ref="D3090" authorId="0" shapeId="0" xr:uid="{00000000-0006-0000-0100-0000EC010000}">
      <text>
        <r>
          <rPr>
            <b/>
            <sz val="9"/>
            <color indexed="81"/>
            <rFont val="Tahoma"/>
            <family val="2"/>
          </rPr>
          <t>Jorge Arturo Espinoza:</t>
        </r>
        <r>
          <rPr>
            <sz val="9"/>
            <color indexed="81"/>
            <rFont val="Tahoma"/>
            <family val="2"/>
          </rPr>
          <t xml:space="preserve">
DM: DSCTO MANUAL</t>
        </r>
      </text>
    </comment>
    <comment ref="D3091" authorId="0" shapeId="0" xr:uid="{00000000-0006-0000-0100-0000ED010000}">
      <text>
        <r>
          <rPr>
            <b/>
            <sz val="9"/>
            <color indexed="81"/>
            <rFont val="Tahoma"/>
            <family val="2"/>
          </rPr>
          <t>Jorge Arturo Espinoza:</t>
        </r>
        <r>
          <rPr>
            <sz val="9"/>
            <color indexed="81"/>
            <rFont val="Tahoma"/>
            <family val="2"/>
          </rPr>
          <t xml:space="preserve">
DM: DSCTO MANUAL</t>
        </r>
      </text>
    </comment>
    <comment ref="D3092" authorId="0" shapeId="0" xr:uid="{00000000-0006-0000-0100-0000EE010000}">
      <text>
        <r>
          <rPr>
            <b/>
            <sz val="9"/>
            <color indexed="81"/>
            <rFont val="Tahoma"/>
            <family val="2"/>
          </rPr>
          <t>Jorge Arturo Espinoza:</t>
        </r>
        <r>
          <rPr>
            <sz val="9"/>
            <color indexed="81"/>
            <rFont val="Tahoma"/>
            <family val="2"/>
          </rPr>
          <t xml:space="preserve">
DM: DSCTO MANUAL</t>
        </r>
      </text>
    </comment>
    <comment ref="D3093" authorId="0" shapeId="0" xr:uid="{00000000-0006-0000-0100-0000EF010000}">
      <text>
        <r>
          <rPr>
            <b/>
            <sz val="9"/>
            <color indexed="81"/>
            <rFont val="Tahoma"/>
            <family val="2"/>
          </rPr>
          <t>Jorge Arturo Espinoza:</t>
        </r>
        <r>
          <rPr>
            <sz val="9"/>
            <color indexed="81"/>
            <rFont val="Tahoma"/>
            <family val="2"/>
          </rPr>
          <t xml:space="preserve">
DM: DSCTO MANUAL</t>
        </r>
      </text>
    </comment>
    <comment ref="D3094" authorId="0" shapeId="0" xr:uid="{00000000-0006-0000-0100-0000F0010000}">
      <text>
        <r>
          <rPr>
            <b/>
            <sz val="9"/>
            <color indexed="81"/>
            <rFont val="Tahoma"/>
            <family val="2"/>
          </rPr>
          <t>Jorge Arturo Espinoza:</t>
        </r>
        <r>
          <rPr>
            <sz val="9"/>
            <color indexed="81"/>
            <rFont val="Tahoma"/>
            <family val="2"/>
          </rPr>
          <t xml:space="preserve">
DM: DSCTO MANUAL</t>
        </r>
      </text>
    </comment>
    <comment ref="D3095" authorId="0" shapeId="0" xr:uid="{00000000-0006-0000-0100-0000F1010000}">
      <text>
        <r>
          <rPr>
            <b/>
            <sz val="9"/>
            <color indexed="81"/>
            <rFont val="Tahoma"/>
            <family val="2"/>
          </rPr>
          <t>Jorge Arturo Espinoza:</t>
        </r>
        <r>
          <rPr>
            <sz val="9"/>
            <color indexed="81"/>
            <rFont val="Tahoma"/>
            <family val="2"/>
          </rPr>
          <t xml:space="preserve">
DM: DSCTO MANUAL</t>
        </r>
      </text>
    </comment>
    <comment ref="D3096" authorId="0" shapeId="0" xr:uid="{00000000-0006-0000-0100-0000F2010000}">
      <text>
        <r>
          <rPr>
            <b/>
            <sz val="9"/>
            <color indexed="81"/>
            <rFont val="Tahoma"/>
            <family val="2"/>
          </rPr>
          <t>Jorge Arturo Espinoza:</t>
        </r>
        <r>
          <rPr>
            <sz val="9"/>
            <color indexed="81"/>
            <rFont val="Tahoma"/>
            <family val="2"/>
          </rPr>
          <t xml:space="preserve">
DM: DSCTO MANUAL</t>
        </r>
      </text>
    </comment>
    <comment ref="D3098" authorId="0" shapeId="0" xr:uid="{00000000-0006-0000-0100-0000F3010000}">
      <text>
        <r>
          <rPr>
            <b/>
            <sz val="9"/>
            <color indexed="81"/>
            <rFont val="Tahoma"/>
            <family val="2"/>
          </rPr>
          <t>Jorge Arturo Espinoza:</t>
        </r>
        <r>
          <rPr>
            <sz val="9"/>
            <color indexed="81"/>
            <rFont val="Tahoma"/>
            <family val="2"/>
          </rPr>
          <t xml:space="preserve">
DM: DSCTO MANUAL</t>
        </r>
      </text>
    </comment>
    <comment ref="D3099" authorId="0" shapeId="0" xr:uid="{00000000-0006-0000-0100-0000F4010000}">
      <text>
        <r>
          <rPr>
            <b/>
            <sz val="9"/>
            <color indexed="81"/>
            <rFont val="Tahoma"/>
            <family val="2"/>
          </rPr>
          <t>Jorge Arturo Espinoza:</t>
        </r>
        <r>
          <rPr>
            <sz val="9"/>
            <color indexed="81"/>
            <rFont val="Tahoma"/>
            <family val="2"/>
          </rPr>
          <t xml:space="preserve">
DM: DSCTO MANUAL</t>
        </r>
      </text>
    </comment>
    <comment ref="D3100" authorId="0" shapeId="0" xr:uid="{00000000-0006-0000-0100-0000F5010000}">
      <text>
        <r>
          <rPr>
            <b/>
            <sz val="9"/>
            <color indexed="81"/>
            <rFont val="Tahoma"/>
            <family val="2"/>
          </rPr>
          <t>Jorge Arturo Espinoza:</t>
        </r>
        <r>
          <rPr>
            <sz val="9"/>
            <color indexed="81"/>
            <rFont val="Tahoma"/>
            <family val="2"/>
          </rPr>
          <t xml:space="preserve">
DM: DSCTO MANUAL</t>
        </r>
      </text>
    </comment>
    <comment ref="D3101" authorId="0" shapeId="0" xr:uid="{00000000-0006-0000-0100-0000F6010000}">
      <text>
        <r>
          <rPr>
            <b/>
            <sz val="9"/>
            <color indexed="81"/>
            <rFont val="Tahoma"/>
            <family val="2"/>
          </rPr>
          <t>Jorge Arturo Espinoza:</t>
        </r>
        <r>
          <rPr>
            <sz val="9"/>
            <color indexed="81"/>
            <rFont val="Tahoma"/>
            <family val="2"/>
          </rPr>
          <t xml:space="preserve">
DM: DSCTO MANUAL</t>
        </r>
      </text>
    </comment>
    <comment ref="D3102" authorId="0" shapeId="0" xr:uid="{00000000-0006-0000-0100-0000F7010000}">
      <text>
        <r>
          <rPr>
            <b/>
            <sz val="9"/>
            <color indexed="81"/>
            <rFont val="Tahoma"/>
            <family val="2"/>
          </rPr>
          <t>Jorge Arturo Espinoza:</t>
        </r>
        <r>
          <rPr>
            <sz val="9"/>
            <color indexed="81"/>
            <rFont val="Tahoma"/>
            <family val="2"/>
          </rPr>
          <t xml:space="preserve">
DM: DSCTO MANUAL</t>
        </r>
      </text>
    </comment>
    <comment ref="D3103" authorId="0" shapeId="0" xr:uid="{00000000-0006-0000-0100-0000F8010000}">
      <text>
        <r>
          <rPr>
            <b/>
            <sz val="9"/>
            <color indexed="81"/>
            <rFont val="Tahoma"/>
            <family val="2"/>
          </rPr>
          <t>Jorge Arturo Espinoza:</t>
        </r>
        <r>
          <rPr>
            <sz val="9"/>
            <color indexed="81"/>
            <rFont val="Tahoma"/>
            <family val="2"/>
          </rPr>
          <t xml:space="preserve">
DM: DSCTO MANUAL</t>
        </r>
      </text>
    </comment>
    <comment ref="D3104" authorId="0" shapeId="0" xr:uid="{00000000-0006-0000-0100-0000F9010000}">
      <text>
        <r>
          <rPr>
            <b/>
            <sz val="9"/>
            <color indexed="81"/>
            <rFont val="Tahoma"/>
            <family val="2"/>
          </rPr>
          <t>Jorge Arturo Espinoza:</t>
        </r>
        <r>
          <rPr>
            <sz val="9"/>
            <color indexed="81"/>
            <rFont val="Tahoma"/>
            <family val="2"/>
          </rPr>
          <t xml:space="preserve">
DM: DSCTO MANUAL</t>
        </r>
      </text>
    </comment>
    <comment ref="D3105" authorId="0" shapeId="0" xr:uid="{00000000-0006-0000-0100-0000FA010000}">
      <text>
        <r>
          <rPr>
            <b/>
            <sz val="9"/>
            <color indexed="81"/>
            <rFont val="Tahoma"/>
            <family val="2"/>
          </rPr>
          <t>Jorge Arturo Espinoza:</t>
        </r>
        <r>
          <rPr>
            <sz val="9"/>
            <color indexed="81"/>
            <rFont val="Tahoma"/>
            <family val="2"/>
          </rPr>
          <t xml:space="preserve">
DM: DSCTO MANUAL</t>
        </r>
      </text>
    </comment>
    <comment ref="D3106" authorId="0" shapeId="0" xr:uid="{00000000-0006-0000-0100-0000FB010000}">
      <text>
        <r>
          <rPr>
            <b/>
            <sz val="9"/>
            <color indexed="81"/>
            <rFont val="Tahoma"/>
            <family val="2"/>
          </rPr>
          <t>Jorge Arturo Espinoza:</t>
        </r>
        <r>
          <rPr>
            <sz val="9"/>
            <color indexed="81"/>
            <rFont val="Tahoma"/>
            <family val="2"/>
          </rPr>
          <t xml:space="preserve">
DM: DSCTO MANUAL</t>
        </r>
      </text>
    </comment>
    <comment ref="D3108" authorId="0" shapeId="0" xr:uid="{00000000-0006-0000-0100-0000FC010000}">
      <text>
        <r>
          <rPr>
            <b/>
            <sz val="9"/>
            <color indexed="81"/>
            <rFont val="Tahoma"/>
            <family val="2"/>
          </rPr>
          <t>Jorge Arturo Espinoza:</t>
        </r>
        <r>
          <rPr>
            <sz val="9"/>
            <color indexed="81"/>
            <rFont val="Tahoma"/>
            <family val="2"/>
          </rPr>
          <t xml:space="preserve">
DM: DSCTO MANUAL</t>
        </r>
      </text>
    </comment>
    <comment ref="D3109" authorId="0" shapeId="0" xr:uid="{00000000-0006-0000-0100-0000FD010000}">
      <text>
        <r>
          <rPr>
            <b/>
            <sz val="9"/>
            <color indexed="81"/>
            <rFont val="Tahoma"/>
            <family val="2"/>
          </rPr>
          <t>Jorge Arturo Espinoza:</t>
        </r>
        <r>
          <rPr>
            <sz val="9"/>
            <color indexed="81"/>
            <rFont val="Tahoma"/>
            <family val="2"/>
          </rPr>
          <t xml:space="preserve">
DM: DSCTO MANUAL</t>
        </r>
      </text>
    </comment>
    <comment ref="D3110" authorId="0" shapeId="0" xr:uid="{00000000-0006-0000-0100-0000FE010000}">
      <text>
        <r>
          <rPr>
            <b/>
            <sz val="9"/>
            <color indexed="81"/>
            <rFont val="Tahoma"/>
            <family val="2"/>
          </rPr>
          <t>Jorge Arturo Espinoza:</t>
        </r>
        <r>
          <rPr>
            <sz val="9"/>
            <color indexed="81"/>
            <rFont val="Tahoma"/>
            <family val="2"/>
          </rPr>
          <t xml:space="preserve">
DM: DSCTO MANUAL</t>
        </r>
      </text>
    </comment>
    <comment ref="D3111" authorId="0" shapeId="0" xr:uid="{00000000-0006-0000-0100-0000FF010000}">
      <text>
        <r>
          <rPr>
            <b/>
            <sz val="9"/>
            <color indexed="81"/>
            <rFont val="Tahoma"/>
            <family val="2"/>
          </rPr>
          <t>Jorge Arturo Espinoza:</t>
        </r>
        <r>
          <rPr>
            <sz val="9"/>
            <color indexed="81"/>
            <rFont val="Tahoma"/>
            <family val="2"/>
          </rPr>
          <t xml:space="preserve">
DM: DSCTO MANUAL</t>
        </r>
      </text>
    </comment>
    <comment ref="D3112" authorId="0" shapeId="0" xr:uid="{00000000-0006-0000-0100-000000020000}">
      <text>
        <r>
          <rPr>
            <b/>
            <sz val="9"/>
            <color indexed="81"/>
            <rFont val="Tahoma"/>
            <family val="2"/>
          </rPr>
          <t>Jorge Arturo Espinoza:</t>
        </r>
        <r>
          <rPr>
            <sz val="9"/>
            <color indexed="81"/>
            <rFont val="Tahoma"/>
            <family val="2"/>
          </rPr>
          <t xml:space="preserve">
DM: DSCTO MANUAL</t>
        </r>
      </text>
    </comment>
    <comment ref="D3113" authorId="0" shapeId="0" xr:uid="{00000000-0006-0000-0100-000001020000}">
      <text>
        <r>
          <rPr>
            <b/>
            <sz val="9"/>
            <color indexed="81"/>
            <rFont val="Tahoma"/>
            <family val="2"/>
          </rPr>
          <t>Jorge Arturo Espinoza:</t>
        </r>
        <r>
          <rPr>
            <sz val="9"/>
            <color indexed="81"/>
            <rFont val="Tahoma"/>
            <family val="2"/>
          </rPr>
          <t xml:space="preserve">
DM: DSCTO MANUAL</t>
        </r>
      </text>
    </comment>
    <comment ref="D3114" authorId="0" shapeId="0" xr:uid="{00000000-0006-0000-0100-000002020000}">
      <text>
        <r>
          <rPr>
            <b/>
            <sz val="9"/>
            <color indexed="81"/>
            <rFont val="Tahoma"/>
            <family val="2"/>
          </rPr>
          <t>Jorge Arturo Espinoza:</t>
        </r>
        <r>
          <rPr>
            <sz val="9"/>
            <color indexed="81"/>
            <rFont val="Tahoma"/>
            <family val="2"/>
          </rPr>
          <t xml:space="preserve">
DM: DSCTO MANUAL</t>
        </r>
      </text>
    </comment>
    <comment ref="D3115" authorId="0" shapeId="0" xr:uid="{00000000-0006-0000-0100-000003020000}">
      <text>
        <r>
          <rPr>
            <b/>
            <sz val="9"/>
            <color indexed="81"/>
            <rFont val="Tahoma"/>
            <family val="2"/>
          </rPr>
          <t>Jorge Arturo Espinoza:</t>
        </r>
        <r>
          <rPr>
            <sz val="9"/>
            <color indexed="81"/>
            <rFont val="Tahoma"/>
            <family val="2"/>
          </rPr>
          <t xml:space="preserve">
DM: DSCTO MANUAL</t>
        </r>
      </text>
    </comment>
    <comment ref="D3116" authorId="0" shapeId="0" xr:uid="{00000000-0006-0000-0100-000004020000}">
      <text>
        <r>
          <rPr>
            <b/>
            <sz val="9"/>
            <color indexed="81"/>
            <rFont val="Tahoma"/>
            <family val="2"/>
          </rPr>
          <t>Jorge Arturo Espinoza:</t>
        </r>
        <r>
          <rPr>
            <sz val="9"/>
            <color indexed="81"/>
            <rFont val="Tahoma"/>
            <family val="2"/>
          </rPr>
          <t xml:space="preserve">
DM: DSCTO MANUAL</t>
        </r>
      </text>
    </comment>
    <comment ref="D3118" authorId="0" shapeId="0" xr:uid="{00000000-0006-0000-0100-000005020000}">
      <text>
        <r>
          <rPr>
            <b/>
            <sz val="9"/>
            <color indexed="81"/>
            <rFont val="Tahoma"/>
            <family val="2"/>
          </rPr>
          <t>Jorge Arturo Espinoza:</t>
        </r>
        <r>
          <rPr>
            <sz val="9"/>
            <color indexed="81"/>
            <rFont val="Tahoma"/>
            <family val="2"/>
          </rPr>
          <t xml:space="preserve">
DM: DSCTO MANUAL</t>
        </r>
      </text>
    </comment>
    <comment ref="D3119" authorId="0" shapeId="0" xr:uid="{00000000-0006-0000-0100-000006020000}">
      <text>
        <r>
          <rPr>
            <b/>
            <sz val="9"/>
            <color indexed="81"/>
            <rFont val="Tahoma"/>
            <family val="2"/>
          </rPr>
          <t>Jorge Arturo Espinoza:</t>
        </r>
        <r>
          <rPr>
            <sz val="9"/>
            <color indexed="81"/>
            <rFont val="Tahoma"/>
            <family val="2"/>
          </rPr>
          <t xml:space="preserve">
DM: DSCTO MANUAL</t>
        </r>
      </text>
    </comment>
    <comment ref="D3120" authorId="0" shapeId="0" xr:uid="{00000000-0006-0000-0100-000007020000}">
      <text>
        <r>
          <rPr>
            <b/>
            <sz val="9"/>
            <color indexed="81"/>
            <rFont val="Tahoma"/>
            <family val="2"/>
          </rPr>
          <t>Jorge Arturo Espinoza:</t>
        </r>
        <r>
          <rPr>
            <sz val="9"/>
            <color indexed="81"/>
            <rFont val="Tahoma"/>
            <family val="2"/>
          </rPr>
          <t xml:space="preserve">
DM: DSCTO MANUAL</t>
        </r>
      </text>
    </comment>
    <comment ref="D3121" authorId="0" shapeId="0" xr:uid="{00000000-0006-0000-0100-000008020000}">
      <text>
        <r>
          <rPr>
            <b/>
            <sz val="9"/>
            <color indexed="81"/>
            <rFont val="Tahoma"/>
            <family val="2"/>
          </rPr>
          <t>Jorge Arturo Espinoza:</t>
        </r>
        <r>
          <rPr>
            <sz val="9"/>
            <color indexed="81"/>
            <rFont val="Tahoma"/>
            <family val="2"/>
          </rPr>
          <t xml:space="preserve">
DM: DSCTO MANUAL</t>
        </r>
      </text>
    </comment>
    <comment ref="D3122" authorId="0" shapeId="0" xr:uid="{00000000-0006-0000-0100-000009020000}">
      <text>
        <r>
          <rPr>
            <b/>
            <sz val="9"/>
            <color indexed="81"/>
            <rFont val="Tahoma"/>
            <family val="2"/>
          </rPr>
          <t>Jorge Arturo Espinoza:</t>
        </r>
        <r>
          <rPr>
            <sz val="9"/>
            <color indexed="81"/>
            <rFont val="Tahoma"/>
            <family val="2"/>
          </rPr>
          <t xml:space="preserve">
DM: DSCTO MANUAL</t>
        </r>
      </text>
    </comment>
    <comment ref="D3123" authorId="0" shapeId="0" xr:uid="{00000000-0006-0000-0100-00000A020000}">
      <text>
        <r>
          <rPr>
            <b/>
            <sz val="9"/>
            <color indexed="81"/>
            <rFont val="Tahoma"/>
            <family val="2"/>
          </rPr>
          <t>Jorge Arturo Espinoza:</t>
        </r>
        <r>
          <rPr>
            <sz val="9"/>
            <color indexed="81"/>
            <rFont val="Tahoma"/>
            <family val="2"/>
          </rPr>
          <t xml:space="preserve">
DM: DSCTO MANUAL</t>
        </r>
      </text>
    </comment>
    <comment ref="D3124" authorId="0" shapeId="0" xr:uid="{00000000-0006-0000-0100-00000B020000}">
      <text>
        <r>
          <rPr>
            <b/>
            <sz val="9"/>
            <color indexed="81"/>
            <rFont val="Tahoma"/>
            <family val="2"/>
          </rPr>
          <t>Jorge Arturo Espinoza:</t>
        </r>
        <r>
          <rPr>
            <sz val="9"/>
            <color indexed="81"/>
            <rFont val="Tahoma"/>
            <family val="2"/>
          </rPr>
          <t xml:space="preserve">
DM: DSCTO MANUAL</t>
        </r>
      </text>
    </comment>
    <comment ref="D3125" authorId="0" shapeId="0" xr:uid="{00000000-0006-0000-0100-00000C020000}">
      <text>
        <r>
          <rPr>
            <b/>
            <sz val="9"/>
            <color indexed="81"/>
            <rFont val="Tahoma"/>
            <family val="2"/>
          </rPr>
          <t>Jorge Arturo Espinoza:</t>
        </r>
        <r>
          <rPr>
            <sz val="9"/>
            <color indexed="81"/>
            <rFont val="Tahoma"/>
            <family val="2"/>
          </rPr>
          <t xml:space="preserve">
DM: DSCTO MANUAL</t>
        </r>
      </text>
    </comment>
    <comment ref="D3126" authorId="0" shapeId="0" xr:uid="{00000000-0006-0000-0100-00000D020000}">
      <text>
        <r>
          <rPr>
            <b/>
            <sz val="9"/>
            <color indexed="81"/>
            <rFont val="Tahoma"/>
            <family val="2"/>
          </rPr>
          <t>Jorge Arturo Espinoza:</t>
        </r>
        <r>
          <rPr>
            <sz val="9"/>
            <color indexed="81"/>
            <rFont val="Tahoma"/>
            <family val="2"/>
          </rPr>
          <t xml:space="preserve">
DM: DSCTO MANUAL</t>
        </r>
      </text>
    </comment>
    <comment ref="D3128" authorId="0" shapeId="0" xr:uid="{00000000-0006-0000-0100-00000E020000}">
      <text>
        <r>
          <rPr>
            <b/>
            <sz val="9"/>
            <color indexed="81"/>
            <rFont val="Tahoma"/>
            <family val="2"/>
          </rPr>
          <t>Jorge Arturo Espinoza:</t>
        </r>
        <r>
          <rPr>
            <sz val="9"/>
            <color indexed="81"/>
            <rFont val="Tahoma"/>
            <family val="2"/>
          </rPr>
          <t xml:space="preserve">
DM: DSCTO MANUAL</t>
        </r>
      </text>
    </comment>
    <comment ref="D3129" authorId="0" shapeId="0" xr:uid="{00000000-0006-0000-0100-00000F020000}">
      <text>
        <r>
          <rPr>
            <b/>
            <sz val="9"/>
            <color indexed="81"/>
            <rFont val="Tahoma"/>
            <family val="2"/>
          </rPr>
          <t>Jorge Arturo Espinoza:</t>
        </r>
        <r>
          <rPr>
            <sz val="9"/>
            <color indexed="81"/>
            <rFont val="Tahoma"/>
            <family val="2"/>
          </rPr>
          <t xml:space="preserve">
DM: DSCTO MANUAL</t>
        </r>
      </text>
    </comment>
    <comment ref="D3130" authorId="0" shapeId="0" xr:uid="{00000000-0006-0000-0100-000010020000}">
      <text>
        <r>
          <rPr>
            <b/>
            <sz val="9"/>
            <color indexed="81"/>
            <rFont val="Tahoma"/>
            <family val="2"/>
          </rPr>
          <t>Jorge Arturo Espinoza:</t>
        </r>
        <r>
          <rPr>
            <sz val="9"/>
            <color indexed="81"/>
            <rFont val="Tahoma"/>
            <family val="2"/>
          </rPr>
          <t xml:space="preserve">
DM: DSCTO MANUAL</t>
        </r>
      </text>
    </comment>
    <comment ref="D3131" authorId="0" shapeId="0" xr:uid="{00000000-0006-0000-0100-000011020000}">
      <text>
        <r>
          <rPr>
            <b/>
            <sz val="9"/>
            <color indexed="81"/>
            <rFont val="Tahoma"/>
            <family val="2"/>
          </rPr>
          <t>Jorge Arturo Espinoza:</t>
        </r>
        <r>
          <rPr>
            <sz val="9"/>
            <color indexed="81"/>
            <rFont val="Tahoma"/>
            <family val="2"/>
          </rPr>
          <t xml:space="preserve">
DM: DSCTO MANUAL</t>
        </r>
      </text>
    </comment>
    <comment ref="D3132" authorId="0" shapeId="0" xr:uid="{00000000-0006-0000-0100-000012020000}">
      <text>
        <r>
          <rPr>
            <b/>
            <sz val="9"/>
            <color indexed="81"/>
            <rFont val="Tahoma"/>
            <family val="2"/>
          </rPr>
          <t>Jorge Arturo Espinoza:</t>
        </r>
        <r>
          <rPr>
            <sz val="9"/>
            <color indexed="81"/>
            <rFont val="Tahoma"/>
            <family val="2"/>
          </rPr>
          <t xml:space="preserve">
DM: DSCTO MANUAL</t>
        </r>
      </text>
    </comment>
    <comment ref="D3133" authorId="0" shapeId="0" xr:uid="{00000000-0006-0000-0100-000013020000}">
      <text>
        <r>
          <rPr>
            <b/>
            <sz val="9"/>
            <color indexed="81"/>
            <rFont val="Tahoma"/>
            <family val="2"/>
          </rPr>
          <t>Jorge Arturo Espinoza:</t>
        </r>
        <r>
          <rPr>
            <sz val="9"/>
            <color indexed="81"/>
            <rFont val="Tahoma"/>
            <family val="2"/>
          </rPr>
          <t xml:space="preserve">
DM: DSCTO MANUAL</t>
        </r>
      </text>
    </comment>
    <comment ref="D3134" authorId="0" shapeId="0" xr:uid="{00000000-0006-0000-0100-000014020000}">
      <text>
        <r>
          <rPr>
            <b/>
            <sz val="9"/>
            <color indexed="81"/>
            <rFont val="Tahoma"/>
            <family val="2"/>
          </rPr>
          <t>Jorge Arturo Espinoza:</t>
        </r>
        <r>
          <rPr>
            <sz val="9"/>
            <color indexed="81"/>
            <rFont val="Tahoma"/>
            <family val="2"/>
          </rPr>
          <t xml:space="preserve">
DM: DSCTO MANUAL</t>
        </r>
      </text>
    </comment>
    <comment ref="D3135" authorId="0" shapeId="0" xr:uid="{00000000-0006-0000-0100-000015020000}">
      <text>
        <r>
          <rPr>
            <b/>
            <sz val="9"/>
            <color indexed="81"/>
            <rFont val="Tahoma"/>
            <family val="2"/>
          </rPr>
          <t>Jorge Arturo Espinoza:</t>
        </r>
        <r>
          <rPr>
            <sz val="9"/>
            <color indexed="81"/>
            <rFont val="Tahoma"/>
            <family val="2"/>
          </rPr>
          <t xml:space="preserve">
DM: DSCTO MANUAL</t>
        </r>
      </text>
    </comment>
    <comment ref="D3136" authorId="0" shapeId="0" xr:uid="{00000000-0006-0000-0100-000016020000}">
      <text>
        <r>
          <rPr>
            <b/>
            <sz val="9"/>
            <color indexed="81"/>
            <rFont val="Tahoma"/>
            <family val="2"/>
          </rPr>
          <t>Jorge Arturo Espinoza:</t>
        </r>
        <r>
          <rPr>
            <sz val="9"/>
            <color indexed="81"/>
            <rFont val="Tahoma"/>
            <family val="2"/>
          </rPr>
          <t xml:space="preserve">
DM: DSCTO MANUAL</t>
        </r>
      </text>
    </comment>
    <comment ref="D3138" authorId="0" shapeId="0" xr:uid="{00000000-0006-0000-0100-000017020000}">
      <text>
        <r>
          <rPr>
            <b/>
            <sz val="9"/>
            <color indexed="81"/>
            <rFont val="Tahoma"/>
            <family val="2"/>
          </rPr>
          <t>Jorge Arturo Espinoza:</t>
        </r>
        <r>
          <rPr>
            <sz val="9"/>
            <color indexed="81"/>
            <rFont val="Tahoma"/>
            <family val="2"/>
          </rPr>
          <t xml:space="preserve">
DM: DSCTO MANUAL</t>
        </r>
      </text>
    </comment>
    <comment ref="D3139" authorId="0" shapeId="0" xr:uid="{00000000-0006-0000-0100-000018020000}">
      <text>
        <r>
          <rPr>
            <b/>
            <sz val="9"/>
            <color indexed="81"/>
            <rFont val="Tahoma"/>
            <family val="2"/>
          </rPr>
          <t>Jorge Arturo Espinoza:</t>
        </r>
        <r>
          <rPr>
            <sz val="9"/>
            <color indexed="81"/>
            <rFont val="Tahoma"/>
            <family val="2"/>
          </rPr>
          <t xml:space="preserve">
DM: DSCTO MANUAL</t>
        </r>
      </text>
    </comment>
    <comment ref="D3140" authorId="0" shapeId="0" xr:uid="{00000000-0006-0000-0100-000019020000}">
      <text>
        <r>
          <rPr>
            <b/>
            <sz val="9"/>
            <color indexed="81"/>
            <rFont val="Tahoma"/>
            <family val="2"/>
          </rPr>
          <t>Jorge Arturo Espinoza:</t>
        </r>
        <r>
          <rPr>
            <sz val="9"/>
            <color indexed="81"/>
            <rFont val="Tahoma"/>
            <family val="2"/>
          </rPr>
          <t xml:space="preserve">
DM: DSCTO MANUAL</t>
        </r>
      </text>
    </comment>
    <comment ref="D3141" authorId="0" shapeId="0" xr:uid="{00000000-0006-0000-0100-00001A020000}">
      <text>
        <r>
          <rPr>
            <b/>
            <sz val="9"/>
            <color indexed="81"/>
            <rFont val="Tahoma"/>
            <family val="2"/>
          </rPr>
          <t>Jorge Arturo Espinoza:</t>
        </r>
        <r>
          <rPr>
            <sz val="9"/>
            <color indexed="81"/>
            <rFont val="Tahoma"/>
            <family val="2"/>
          </rPr>
          <t xml:space="preserve">
DM: DSCTO MANUAL</t>
        </r>
      </text>
    </comment>
    <comment ref="D3142" authorId="0" shapeId="0" xr:uid="{00000000-0006-0000-0100-00001B020000}">
      <text>
        <r>
          <rPr>
            <b/>
            <sz val="9"/>
            <color indexed="81"/>
            <rFont val="Tahoma"/>
            <family val="2"/>
          </rPr>
          <t>Jorge Arturo Espinoza:</t>
        </r>
        <r>
          <rPr>
            <sz val="9"/>
            <color indexed="81"/>
            <rFont val="Tahoma"/>
            <family val="2"/>
          </rPr>
          <t xml:space="preserve">
DM: DSCTO MANUAL</t>
        </r>
      </text>
    </comment>
    <comment ref="D3143" authorId="0" shapeId="0" xr:uid="{00000000-0006-0000-0100-00001C020000}">
      <text>
        <r>
          <rPr>
            <b/>
            <sz val="9"/>
            <color indexed="81"/>
            <rFont val="Tahoma"/>
            <family val="2"/>
          </rPr>
          <t>Jorge Arturo Espinoza:</t>
        </r>
        <r>
          <rPr>
            <sz val="9"/>
            <color indexed="81"/>
            <rFont val="Tahoma"/>
            <family val="2"/>
          </rPr>
          <t xml:space="preserve">
DM: DSCTO MANUAL</t>
        </r>
      </text>
    </comment>
    <comment ref="D3144" authorId="0" shapeId="0" xr:uid="{00000000-0006-0000-0100-00001D020000}">
      <text>
        <r>
          <rPr>
            <b/>
            <sz val="9"/>
            <color indexed="81"/>
            <rFont val="Tahoma"/>
            <family val="2"/>
          </rPr>
          <t>Jorge Arturo Espinoza:</t>
        </r>
        <r>
          <rPr>
            <sz val="9"/>
            <color indexed="81"/>
            <rFont val="Tahoma"/>
            <family val="2"/>
          </rPr>
          <t xml:space="preserve">
DM: DSCTO MANUAL</t>
        </r>
      </text>
    </comment>
    <comment ref="D3145" authorId="0" shapeId="0" xr:uid="{00000000-0006-0000-0100-00001E020000}">
      <text>
        <r>
          <rPr>
            <b/>
            <sz val="9"/>
            <color indexed="81"/>
            <rFont val="Tahoma"/>
            <family val="2"/>
          </rPr>
          <t>Jorge Arturo Espinoza:</t>
        </r>
        <r>
          <rPr>
            <sz val="9"/>
            <color indexed="81"/>
            <rFont val="Tahoma"/>
            <family val="2"/>
          </rPr>
          <t xml:space="preserve">
DM: DSCTO MANUAL</t>
        </r>
      </text>
    </comment>
    <comment ref="D3146" authorId="0" shapeId="0" xr:uid="{00000000-0006-0000-0100-00001F020000}">
      <text>
        <r>
          <rPr>
            <b/>
            <sz val="9"/>
            <color indexed="81"/>
            <rFont val="Tahoma"/>
            <family val="2"/>
          </rPr>
          <t>Jorge Arturo Espinoza:</t>
        </r>
        <r>
          <rPr>
            <sz val="9"/>
            <color indexed="81"/>
            <rFont val="Tahoma"/>
            <family val="2"/>
          </rPr>
          <t xml:space="preserve">
DM: DSCTO MANUAL</t>
        </r>
      </text>
    </comment>
    <comment ref="D3148" authorId="0" shapeId="0" xr:uid="{00000000-0006-0000-0100-000020020000}">
      <text>
        <r>
          <rPr>
            <b/>
            <sz val="9"/>
            <color indexed="81"/>
            <rFont val="Tahoma"/>
            <family val="2"/>
          </rPr>
          <t>Jorge Arturo Espinoza:</t>
        </r>
        <r>
          <rPr>
            <sz val="9"/>
            <color indexed="81"/>
            <rFont val="Tahoma"/>
            <family val="2"/>
          </rPr>
          <t xml:space="preserve">
DM: DSCTO MANUAL</t>
        </r>
      </text>
    </comment>
    <comment ref="D3149" authorId="0" shapeId="0" xr:uid="{00000000-0006-0000-0100-000021020000}">
      <text>
        <r>
          <rPr>
            <b/>
            <sz val="9"/>
            <color indexed="81"/>
            <rFont val="Tahoma"/>
            <family val="2"/>
          </rPr>
          <t>Jorge Arturo Espinoza:</t>
        </r>
        <r>
          <rPr>
            <sz val="9"/>
            <color indexed="81"/>
            <rFont val="Tahoma"/>
            <family val="2"/>
          </rPr>
          <t xml:space="preserve">
DM: DSCTO MANUAL</t>
        </r>
      </text>
    </comment>
    <comment ref="D3150" authorId="0" shapeId="0" xr:uid="{00000000-0006-0000-0100-000022020000}">
      <text>
        <r>
          <rPr>
            <b/>
            <sz val="9"/>
            <color indexed="81"/>
            <rFont val="Tahoma"/>
            <family val="2"/>
          </rPr>
          <t>Jorge Arturo Espinoza:</t>
        </r>
        <r>
          <rPr>
            <sz val="9"/>
            <color indexed="81"/>
            <rFont val="Tahoma"/>
            <family val="2"/>
          </rPr>
          <t xml:space="preserve">
DM: DSCTO MANUAL</t>
        </r>
      </text>
    </comment>
    <comment ref="D3151" authorId="0" shapeId="0" xr:uid="{00000000-0006-0000-0100-000023020000}">
      <text>
        <r>
          <rPr>
            <b/>
            <sz val="9"/>
            <color indexed="81"/>
            <rFont val="Tahoma"/>
            <family val="2"/>
          </rPr>
          <t>Jorge Arturo Espinoza:</t>
        </r>
        <r>
          <rPr>
            <sz val="9"/>
            <color indexed="81"/>
            <rFont val="Tahoma"/>
            <family val="2"/>
          </rPr>
          <t xml:space="preserve">
DM: DSCTO MANUAL</t>
        </r>
      </text>
    </comment>
    <comment ref="D3152" authorId="0" shapeId="0" xr:uid="{00000000-0006-0000-0100-000024020000}">
      <text>
        <r>
          <rPr>
            <b/>
            <sz val="9"/>
            <color indexed="81"/>
            <rFont val="Tahoma"/>
            <family val="2"/>
          </rPr>
          <t>Jorge Arturo Espinoza:</t>
        </r>
        <r>
          <rPr>
            <sz val="9"/>
            <color indexed="81"/>
            <rFont val="Tahoma"/>
            <family val="2"/>
          </rPr>
          <t xml:space="preserve">
DM: DSCTO MANUAL</t>
        </r>
      </text>
    </comment>
    <comment ref="D3153" authorId="0" shapeId="0" xr:uid="{00000000-0006-0000-0100-000025020000}">
      <text>
        <r>
          <rPr>
            <b/>
            <sz val="9"/>
            <color indexed="81"/>
            <rFont val="Tahoma"/>
            <family val="2"/>
          </rPr>
          <t>Jorge Arturo Espinoza:</t>
        </r>
        <r>
          <rPr>
            <sz val="9"/>
            <color indexed="81"/>
            <rFont val="Tahoma"/>
            <family val="2"/>
          </rPr>
          <t xml:space="preserve">
DM: DSCTO MANUAL</t>
        </r>
      </text>
    </comment>
    <comment ref="D3155" authorId="0" shapeId="0" xr:uid="{00000000-0006-0000-0100-000026020000}">
      <text>
        <r>
          <rPr>
            <b/>
            <sz val="9"/>
            <color indexed="81"/>
            <rFont val="Tahoma"/>
            <family val="2"/>
          </rPr>
          <t>Jorge Arturo Espinoza:</t>
        </r>
        <r>
          <rPr>
            <sz val="9"/>
            <color indexed="81"/>
            <rFont val="Tahoma"/>
            <family val="2"/>
          </rPr>
          <t xml:space="preserve">
DM: DSCTO MANUAL</t>
        </r>
      </text>
    </comment>
    <comment ref="D3156" authorId="0" shapeId="0" xr:uid="{00000000-0006-0000-0100-000027020000}">
      <text>
        <r>
          <rPr>
            <b/>
            <sz val="9"/>
            <color indexed="81"/>
            <rFont val="Tahoma"/>
            <family val="2"/>
          </rPr>
          <t>Jorge Arturo Espinoza:</t>
        </r>
        <r>
          <rPr>
            <sz val="9"/>
            <color indexed="81"/>
            <rFont val="Tahoma"/>
            <family val="2"/>
          </rPr>
          <t xml:space="preserve">
DM: DSCTO MANUAL</t>
        </r>
      </text>
    </comment>
    <comment ref="D3157" authorId="0" shapeId="0" xr:uid="{00000000-0006-0000-0100-000028020000}">
      <text>
        <r>
          <rPr>
            <b/>
            <sz val="9"/>
            <color indexed="81"/>
            <rFont val="Tahoma"/>
            <family val="2"/>
          </rPr>
          <t>Jorge Arturo Espinoza:</t>
        </r>
        <r>
          <rPr>
            <sz val="9"/>
            <color indexed="81"/>
            <rFont val="Tahoma"/>
            <family val="2"/>
          </rPr>
          <t xml:space="preserve">
DM: DSCTO MANUAL</t>
        </r>
      </text>
    </comment>
    <comment ref="D3158" authorId="0" shapeId="0" xr:uid="{00000000-0006-0000-0100-000029020000}">
      <text>
        <r>
          <rPr>
            <b/>
            <sz val="9"/>
            <color indexed="81"/>
            <rFont val="Tahoma"/>
            <family val="2"/>
          </rPr>
          <t>Jorge Arturo Espinoza:</t>
        </r>
        <r>
          <rPr>
            <sz val="9"/>
            <color indexed="81"/>
            <rFont val="Tahoma"/>
            <family val="2"/>
          </rPr>
          <t xml:space="preserve">
DM: DSCTO MANUAL</t>
        </r>
      </text>
    </comment>
    <comment ref="D3159" authorId="0" shapeId="0" xr:uid="{00000000-0006-0000-0100-00002A020000}">
      <text>
        <r>
          <rPr>
            <b/>
            <sz val="9"/>
            <color indexed="81"/>
            <rFont val="Tahoma"/>
            <family val="2"/>
          </rPr>
          <t>Jorge Arturo Espinoza:</t>
        </r>
        <r>
          <rPr>
            <sz val="9"/>
            <color indexed="81"/>
            <rFont val="Tahoma"/>
            <family val="2"/>
          </rPr>
          <t xml:space="preserve">
DM: DSCTO MANUAL</t>
        </r>
      </text>
    </comment>
    <comment ref="D3160" authorId="0" shapeId="0" xr:uid="{00000000-0006-0000-0100-00002B020000}">
      <text>
        <r>
          <rPr>
            <b/>
            <sz val="9"/>
            <color indexed="81"/>
            <rFont val="Tahoma"/>
            <family val="2"/>
          </rPr>
          <t>Jorge Arturo Espinoza:</t>
        </r>
        <r>
          <rPr>
            <sz val="9"/>
            <color indexed="81"/>
            <rFont val="Tahoma"/>
            <family val="2"/>
          </rPr>
          <t xml:space="preserve">
DM: DSCTO MANUAL</t>
        </r>
      </text>
    </comment>
    <comment ref="D3164" authorId="0" shapeId="0" xr:uid="{00000000-0006-0000-0100-00002C020000}">
      <text>
        <r>
          <rPr>
            <b/>
            <sz val="9"/>
            <color indexed="81"/>
            <rFont val="Tahoma"/>
            <family val="2"/>
          </rPr>
          <t>Jorge Arturo Espinoza:</t>
        </r>
        <r>
          <rPr>
            <sz val="9"/>
            <color indexed="81"/>
            <rFont val="Tahoma"/>
            <family val="2"/>
          </rPr>
          <t xml:space="preserve">
DM: DSCTO MANUAL</t>
        </r>
      </text>
    </comment>
    <comment ref="D3165" authorId="0" shapeId="0" xr:uid="{00000000-0006-0000-0100-00002D020000}">
      <text>
        <r>
          <rPr>
            <b/>
            <sz val="9"/>
            <color indexed="81"/>
            <rFont val="Tahoma"/>
            <family val="2"/>
          </rPr>
          <t>Jorge Arturo Espinoza:</t>
        </r>
        <r>
          <rPr>
            <sz val="9"/>
            <color indexed="81"/>
            <rFont val="Tahoma"/>
            <family val="2"/>
          </rPr>
          <t xml:space="preserve">
DM: DSCTO MANUAL</t>
        </r>
      </text>
    </comment>
    <comment ref="D3166" authorId="0" shapeId="0" xr:uid="{00000000-0006-0000-0100-00002E020000}">
      <text>
        <r>
          <rPr>
            <b/>
            <sz val="9"/>
            <color indexed="81"/>
            <rFont val="Tahoma"/>
            <family val="2"/>
          </rPr>
          <t>Jorge Arturo Espinoza:</t>
        </r>
        <r>
          <rPr>
            <sz val="9"/>
            <color indexed="81"/>
            <rFont val="Tahoma"/>
            <family val="2"/>
          </rPr>
          <t xml:space="preserve">
DM: DSCTO MANUAL</t>
        </r>
      </text>
    </comment>
    <comment ref="D3167" authorId="0" shapeId="0" xr:uid="{00000000-0006-0000-0100-00002F020000}">
      <text>
        <r>
          <rPr>
            <b/>
            <sz val="9"/>
            <color indexed="81"/>
            <rFont val="Tahoma"/>
            <family val="2"/>
          </rPr>
          <t>Jorge Arturo Espinoza:</t>
        </r>
        <r>
          <rPr>
            <sz val="9"/>
            <color indexed="81"/>
            <rFont val="Tahoma"/>
            <family val="2"/>
          </rPr>
          <t xml:space="preserve">
DM: DSCTO MANUAL</t>
        </r>
      </text>
    </comment>
    <comment ref="D3168" authorId="0" shapeId="0" xr:uid="{00000000-0006-0000-0100-000030020000}">
      <text>
        <r>
          <rPr>
            <b/>
            <sz val="9"/>
            <color indexed="81"/>
            <rFont val="Tahoma"/>
            <family val="2"/>
          </rPr>
          <t>Jorge Arturo Espinoza:</t>
        </r>
        <r>
          <rPr>
            <sz val="9"/>
            <color indexed="81"/>
            <rFont val="Tahoma"/>
            <family val="2"/>
          </rPr>
          <t xml:space="preserve">
DM: DSCTO MANUAL</t>
        </r>
      </text>
    </comment>
    <comment ref="D3169" authorId="0" shapeId="0" xr:uid="{00000000-0006-0000-0100-000031020000}">
      <text>
        <r>
          <rPr>
            <b/>
            <sz val="9"/>
            <color indexed="81"/>
            <rFont val="Tahoma"/>
            <family val="2"/>
          </rPr>
          <t>Jorge Arturo Espinoza:</t>
        </r>
        <r>
          <rPr>
            <sz val="9"/>
            <color indexed="81"/>
            <rFont val="Tahoma"/>
            <family val="2"/>
          </rPr>
          <t xml:space="preserve">
DM: DSCTO MANUAL</t>
        </r>
      </text>
    </comment>
    <comment ref="D3171" authorId="0" shapeId="0" xr:uid="{00000000-0006-0000-0100-000032020000}">
      <text>
        <r>
          <rPr>
            <b/>
            <sz val="9"/>
            <color indexed="81"/>
            <rFont val="Tahoma"/>
            <family val="2"/>
          </rPr>
          <t>Jorge Arturo Espinoza:</t>
        </r>
        <r>
          <rPr>
            <sz val="9"/>
            <color indexed="81"/>
            <rFont val="Tahoma"/>
            <family val="2"/>
          </rPr>
          <t xml:space="preserve">
DM: DSCTO MANUAL</t>
        </r>
      </text>
    </comment>
    <comment ref="D3172" authorId="0" shapeId="0" xr:uid="{00000000-0006-0000-0100-000033020000}">
      <text>
        <r>
          <rPr>
            <b/>
            <sz val="9"/>
            <color indexed="81"/>
            <rFont val="Tahoma"/>
            <family val="2"/>
          </rPr>
          <t>Jorge Arturo Espinoza:</t>
        </r>
        <r>
          <rPr>
            <sz val="9"/>
            <color indexed="81"/>
            <rFont val="Tahoma"/>
            <family val="2"/>
          </rPr>
          <t xml:space="preserve">
DM: DSCTO MANUAL</t>
        </r>
      </text>
    </comment>
    <comment ref="D3173" authorId="0" shapeId="0" xr:uid="{00000000-0006-0000-0100-000034020000}">
      <text>
        <r>
          <rPr>
            <b/>
            <sz val="9"/>
            <color indexed="81"/>
            <rFont val="Tahoma"/>
            <family val="2"/>
          </rPr>
          <t>Jorge Arturo Espinoza:</t>
        </r>
        <r>
          <rPr>
            <sz val="9"/>
            <color indexed="81"/>
            <rFont val="Tahoma"/>
            <family val="2"/>
          </rPr>
          <t xml:space="preserve">
DM: DSCTO MANUAL</t>
        </r>
      </text>
    </comment>
    <comment ref="D3174" authorId="0" shapeId="0" xr:uid="{00000000-0006-0000-0100-000035020000}">
      <text>
        <r>
          <rPr>
            <b/>
            <sz val="9"/>
            <color indexed="81"/>
            <rFont val="Tahoma"/>
            <family val="2"/>
          </rPr>
          <t>Jorge Arturo Espinoza:</t>
        </r>
        <r>
          <rPr>
            <sz val="9"/>
            <color indexed="81"/>
            <rFont val="Tahoma"/>
            <family val="2"/>
          </rPr>
          <t xml:space="preserve">
DM: DSCTO MANUAL</t>
        </r>
      </text>
    </comment>
    <comment ref="D3175" authorId="0" shapeId="0" xr:uid="{00000000-0006-0000-0100-000036020000}">
      <text>
        <r>
          <rPr>
            <b/>
            <sz val="9"/>
            <color indexed="81"/>
            <rFont val="Tahoma"/>
            <family val="2"/>
          </rPr>
          <t>Jorge Arturo Espinoza:</t>
        </r>
        <r>
          <rPr>
            <sz val="9"/>
            <color indexed="81"/>
            <rFont val="Tahoma"/>
            <family val="2"/>
          </rPr>
          <t xml:space="preserve">
DM: DSCTO MANUAL</t>
        </r>
      </text>
    </comment>
    <comment ref="D3176" authorId="0" shapeId="0" xr:uid="{00000000-0006-0000-0100-000037020000}">
      <text>
        <r>
          <rPr>
            <b/>
            <sz val="9"/>
            <color indexed="81"/>
            <rFont val="Tahoma"/>
            <family val="2"/>
          </rPr>
          <t>Jorge Arturo Espinoza:</t>
        </r>
        <r>
          <rPr>
            <sz val="9"/>
            <color indexed="81"/>
            <rFont val="Tahoma"/>
            <family val="2"/>
          </rPr>
          <t xml:space="preserve">
DM: DSCTO MANUAL</t>
        </r>
      </text>
    </comment>
    <comment ref="D3178" authorId="0" shapeId="0" xr:uid="{00000000-0006-0000-0100-000038020000}">
      <text>
        <r>
          <rPr>
            <b/>
            <sz val="9"/>
            <color indexed="81"/>
            <rFont val="Tahoma"/>
            <family val="2"/>
          </rPr>
          <t>Jorge Arturo Espinoza:</t>
        </r>
        <r>
          <rPr>
            <sz val="9"/>
            <color indexed="81"/>
            <rFont val="Tahoma"/>
            <family val="2"/>
          </rPr>
          <t xml:space="preserve">
DM: DSCTO MANUAL</t>
        </r>
      </text>
    </comment>
    <comment ref="D3179" authorId="0" shapeId="0" xr:uid="{00000000-0006-0000-0100-000039020000}">
      <text>
        <r>
          <rPr>
            <b/>
            <sz val="9"/>
            <color indexed="81"/>
            <rFont val="Tahoma"/>
            <family val="2"/>
          </rPr>
          <t>Jorge Arturo Espinoza:</t>
        </r>
        <r>
          <rPr>
            <sz val="9"/>
            <color indexed="81"/>
            <rFont val="Tahoma"/>
            <family val="2"/>
          </rPr>
          <t xml:space="preserve">
DM: DSCTO MANUAL</t>
        </r>
      </text>
    </comment>
    <comment ref="D3180" authorId="0" shapeId="0" xr:uid="{00000000-0006-0000-0100-00003A020000}">
      <text>
        <r>
          <rPr>
            <b/>
            <sz val="9"/>
            <color indexed="81"/>
            <rFont val="Tahoma"/>
            <family val="2"/>
          </rPr>
          <t>Jorge Arturo Espinoza:</t>
        </r>
        <r>
          <rPr>
            <sz val="9"/>
            <color indexed="81"/>
            <rFont val="Tahoma"/>
            <family val="2"/>
          </rPr>
          <t xml:space="preserve">
DM: DSCTO MANUAL</t>
        </r>
      </text>
    </comment>
    <comment ref="D3181" authorId="0" shapeId="0" xr:uid="{00000000-0006-0000-0100-00003B020000}">
      <text>
        <r>
          <rPr>
            <b/>
            <sz val="9"/>
            <color indexed="81"/>
            <rFont val="Tahoma"/>
            <family val="2"/>
          </rPr>
          <t>Jorge Arturo Espinoza:</t>
        </r>
        <r>
          <rPr>
            <sz val="9"/>
            <color indexed="81"/>
            <rFont val="Tahoma"/>
            <family val="2"/>
          </rPr>
          <t xml:space="preserve">
DM: DSCTO MANUAL</t>
        </r>
      </text>
    </comment>
    <comment ref="D3182" authorId="0" shapeId="0" xr:uid="{00000000-0006-0000-0100-00003C020000}">
      <text>
        <r>
          <rPr>
            <b/>
            <sz val="9"/>
            <color indexed="81"/>
            <rFont val="Tahoma"/>
            <family val="2"/>
          </rPr>
          <t>Jorge Arturo Espinoza:</t>
        </r>
        <r>
          <rPr>
            <sz val="9"/>
            <color indexed="81"/>
            <rFont val="Tahoma"/>
            <family val="2"/>
          </rPr>
          <t xml:space="preserve">
DM: DSCTO MANUAL</t>
        </r>
      </text>
    </comment>
    <comment ref="D3183" authorId="0" shapeId="0" xr:uid="{00000000-0006-0000-0100-00003D020000}">
      <text>
        <r>
          <rPr>
            <b/>
            <sz val="9"/>
            <color indexed="81"/>
            <rFont val="Tahoma"/>
            <family val="2"/>
          </rPr>
          <t>Jorge Arturo Espinoza:</t>
        </r>
        <r>
          <rPr>
            <sz val="9"/>
            <color indexed="81"/>
            <rFont val="Tahoma"/>
            <family val="2"/>
          </rPr>
          <t xml:space="preserve">
DM: DSCTO MANUAL</t>
        </r>
      </text>
    </comment>
    <comment ref="D3185" authorId="0" shapeId="0" xr:uid="{00000000-0006-0000-0100-00003E020000}">
      <text>
        <r>
          <rPr>
            <b/>
            <sz val="9"/>
            <color indexed="81"/>
            <rFont val="Tahoma"/>
            <family val="2"/>
          </rPr>
          <t>Jorge Arturo Espinoza:</t>
        </r>
        <r>
          <rPr>
            <sz val="9"/>
            <color indexed="81"/>
            <rFont val="Tahoma"/>
            <family val="2"/>
          </rPr>
          <t xml:space="preserve">
DM: DSCTO MANUAL</t>
        </r>
      </text>
    </comment>
    <comment ref="D3186" authorId="0" shapeId="0" xr:uid="{00000000-0006-0000-0100-00003F020000}">
      <text>
        <r>
          <rPr>
            <b/>
            <sz val="9"/>
            <color indexed="81"/>
            <rFont val="Tahoma"/>
            <family val="2"/>
          </rPr>
          <t>Jorge Arturo Espinoza:</t>
        </r>
        <r>
          <rPr>
            <sz val="9"/>
            <color indexed="81"/>
            <rFont val="Tahoma"/>
            <family val="2"/>
          </rPr>
          <t xml:space="preserve">
DM: DSCTO MANUAL</t>
        </r>
      </text>
    </comment>
    <comment ref="D3187" authorId="0" shapeId="0" xr:uid="{00000000-0006-0000-0100-000040020000}">
      <text>
        <r>
          <rPr>
            <b/>
            <sz val="9"/>
            <color indexed="81"/>
            <rFont val="Tahoma"/>
            <family val="2"/>
          </rPr>
          <t>Jorge Arturo Espinoza:</t>
        </r>
        <r>
          <rPr>
            <sz val="9"/>
            <color indexed="81"/>
            <rFont val="Tahoma"/>
            <family val="2"/>
          </rPr>
          <t xml:space="preserve">
DM: DSCTO MANUAL</t>
        </r>
      </text>
    </comment>
    <comment ref="D3188" authorId="0" shapeId="0" xr:uid="{00000000-0006-0000-0100-000041020000}">
      <text>
        <r>
          <rPr>
            <b/>
            <sz val="9"/>
            <color indexed="81"/>
            <rFont val="Tahoma"/>
            <family val="2"/>
          </rPr>
          <t>Jorge Arturo Espinoza:</t>
        </r>
        <r>
          <rPr>
            <sz val="9"/>
            <color indexed="81"/>
            <rFont val="Tahoma"/>
            <family val="2"/>
          </rPr>
          <t xml:space="preserve">
DM: DSCTO MANUAL</t>
        </r>
      </text>
    </comment>
    <comment ref="D3189" authorId="0" shapeId="0" xr:uid="{00000000-0006-0000-0100-000042020000}">
      <text>
        <r>
          <rPr>
            <b/>
            <sz val="9"/>
            <color indexed="81"/>
            <rFont val="Tahoma"/>
            <family val="2"/>
          </rPr>
          <t>Jorge Arturo Espinoza:</t>
        </r>
        <r>
          <rPr>
            <sz val="9"/>
            <color indexed="81"/>
            <rFont val="Tahoma"/>
            <family val="2"/>
          </rPr>
          <t xml:space="preserve">
DM: DSCTO MANUAL</t>
        </r>
      </text>
    </comment>
    <comment ref="D3190" authorId="0" shapeId="0" xr:uid="{00000000-0006-0000-0100-000043020000}">
      <text>
        <r>
          <rPr>
            <b/>
            <sz val="9"/>
            <color indexed="81"/>
            <rFont val="Tahoma"/>
            <family val="2"/>
          </rPr>
          <t>Jorge Arturo Espinoza:</t>
        </r>
        <r>
          <rPr>
            <sz val="9"/>
            <color indexed="81"/>
            <rFont val="Tahoma"/>
            <family val="2"/>
          </rPr>
          <t xml:space="preserve">
DM: DSCTO MANUAL</t>
        </r>
      </text>
    </comment>
    <comment ref="D3192" authorId="0" shapeId="0" xr:uid="{00000000-0006-0000-0100-000044020000}">
      <text>
        <r>
          <rPr>
            <b/>
            <sz val="9"/>
            <color indexed="81"/>
            <rFont val="Tahoma"/>
            <family val="2"/>
          </rPr>
          <t>Jorge Arturo Espinoza:</t>
        </r>
        <r>
          <rPr>
            <sz val="9"/>
            <color indexed="81"/>
            <rFont val="Tahoma"/>
            <family val="2"/>
          </rPr>
          <t xml:space="preserve">
DM: DSCTO MANUAL</t>
        </r>
      </text>
    </comment>
    <comment ref="D3193" authorId="0" shapeId="0" xr:uid="{00000000-0006-0000-0100-000045020000}">
      <text>
        <r>
          <rPr>
            <b/>
            <sz val="9"/>
            <color indexed="81"/>
            <rFont val="Tahoma"/>
            <family val="2"/>
          </rPr>
          <t>Jorge Arturo Espinoza:</t>
        </r>
        <r>
          <rPr>
            <sz val="9"/>
            <color indexed="81"/>
            <rFont val="Tahoma"/>
            <family val="2"/>
          </rPr>
          <t xml:space="preserve">
DM: DSCTO MANUAL</t>
        </r>
      </text>
    </comment>
    <comment ref="B3194" authorId="2" shapeId="0" xr:uid="{00000000-0006-0000-0100-000046020000}">
      <text>
        <r>
          <rPr>
            <b/>
            <sz val="9"/>
            <color indexed="81"/>
            <rFont val="Tahoma"/>
            <family val="2"/>
          </rPr>
          <t xml:space="preserve">Roberto Meza:
</t>
        </r>
        <r>
          <rPr>
            <sz val="9"/>
            <color indexed="81"/>
            <rFont val="Tahoma"/>
            <family val="2"/>
          </rPr>
          <t>Se esta considerando  precio de CHK-B1</t>
        </r>
      </text>
    </comment>
    <comment ref="D3194" authorId="0" shapeId="0" xr:uid="{00000000-0006-0000-0100-000047020000}">
      <text>
        <r>
          <rPr>
            <b/>
            <sz val="9"/>
            <color indexed="81"/>
            <rFont val="Tahoma"/>
            <family val="2"/>
          </rPr>
          <t>Jorge Arturo Espinoza:</t>
        </r>
        <r>
          <rPr>
            <sz val="9"/>
            <color indexed="81"/>
            <rFont val="Tahoma"/>
            <family val="2"/>
          </rPr>
          <t xml:space="preserve">
DM: DSCTO MANUAL</t>
        </r>
      </text>
    </comment>
    <comment ref="D3195" authorId="0" shapeId="0" xr:uid="{00000000-0006-0000-0100-000048020000}">
      <text>
        <r>
          <rPr>
            <b/>
            <sz val="9"/>
            <color indexed="81"/>
            <rFont val="Tahoma"/>
            <family val="2"/>
          </rPr>
          <t>Jorge Arturo Espinoza:</t>
        </r>
        <r>
          <rPr>
            <sz val="9"/>
            <color indexed="81"/>
            <rFont val="Tahoma"/>
            <family val="2"/>
          </rPr>
          <t xml:space="preserve">
DM: DSCTO MANUAL</t>
        </r>
      </text>
    </comment>
    <comment ref="D3196" authorId="0" shapeId="0" xr:uid="{00000000-0006-0000-0100-000049020000}">
      <text>
        <r>
          <rPr>
            <b/>
            <sz val="9"/>
            <color indexed="81"/>
            <rFont val="Tahoma"/>
            <family val="2"/>
          </rPr>
          <t>Jorge Arturo Espinoza:</t>
        </r>
        <r>
          <rPr>
            <sz val="9"/>
            <color indexed="81"/>
            <rFont val="Tahoma"/>
            <family val="2"/>
          </rPr>
          <t xml:space="preserve">
DM: DSCTO MANUAL</t>
        </r>
      </text>
    </comment>
    <comment ref="D3197" authorId="0" shapeId="0" xr:uid="{00000000-0006-0000-0100-00004A020000}">
      <text>
        <r>
          <rPr>
            <b/>
            <sz val="9"/>
            <color indexed="81"/>
            <rFont val="Tahoma"/>
            <family val="2"/>
          </rPr>
          <t>Jorge Arturo Espinoza:</t>
        </r>
        <r>
          <rPr>
            <sz val="9"/>
            <color indexed="81"/>
            <rFont val="Tahoma"/>
            <family val="2"/>
          </rPr>
          <t xml:space="preserve">
DM: DSCTO MANUAL</t>
        </r>
      </text>
    </comment>
    <comment ref="D3200" authorId="0" shapeId="0" xr:uid="{00000000-0006-0000-0100-00004B020000}">
      <text>
        <r>
          <rPr>
            <b/>
            <sz val="9"/>
            <color indexed="81"/>
            <rFont val="Tahoma"/>
            <family val="2"/>
          </rPr>
          <t>Jorge Arturo Espinoza:</t>
        </r>
        <r>
          <rPr>
            <sz val="9"/>
            <color indexed="81"/>
            <rFont val="Tahoma"/>
            <family val="2"/>
          </rPr>
          <t xml:space="preserve">
DM: DSCTO MANUAL</t>
        </r>
      </text>
    </comment>
    <comment ref="D3201" authorId="0" shapeId="0" xr:uid="{00000000-0006-0000-0100-00004C020000}">
      <text>
        <r>
          <rPr>
            <b/>
            <sz val="9"/>
            <color indexed="81"/>
            <rFont val="Tahoma"/>
            <family val="2"/>
          </rPr>
          <t>Jorge Arturo Espinoza:</t>
        </r>
        <r>
          <rPr>
            <sz val="9"/>
            <color indexed="81"/>
            <rFont val="Tahoma"/>
            <family val="2"/>
          </rPr>
          <t xml:space="preserve">
DM: DSCTO MANUAL</t>
        </r>
      </text>
    </comment>
    <comment ref="D3202" authorId="0" shapeId="0" xr:uid="{00000000-0006-0000-0100-00004D020000}">
      <text>
        <r>
          <rPr>
            <b/>
            <sz val="9"/>
            <color indexed="81"/>
            <rFont val="Tahoma"/>
            <family val="2"/>
          </rPr>
          <t>Jorge Arturo Espinoza:</t>
        </r>
        <r>
          <rPr>
            <sz val="9"/>
            <color indexed="81"/>
            <rFont val="Tahoma"/>
            <family val="2"/>
          </rPr>
          <t xml:space="preserve">
DM: DSCTO MANUAL</t>
        </r>
      </text>
    </comment>
    <comment ref="D3203" authorId="0" shapeId="0" xr:uid="{00000000-0006-0000-0100-00004E020000}">
      <text>
        <r>
          <rPr>
            <b/>
            <sz val="9"/>
            <color indexed="81"/>
            <rFont val="Tahoma"/>
            <family val="2"/>
          </rPr>
          <t>Jorge Arturo Espinoza:</t>
        </r>
        <r>
          <rPr>
            <sz val="9"/>
            <color indexed="81"/>
            <rFont val="Tahoma"/>
            <family val="2"/>
          </rPr>
          <t xml:space="preserve">
DM: DSCTO MANUAL</t>
        </r>
      </text>
    </comment>
    <comment ref="D3204" authorId="0" shapeId="0" xr:uid="{00000000-0006-0000-0100-00004F020000}">
      <text>
        <r>
          <rPr>
            <b/>
            <sz val="9"/>
            <color indexed="81"/>
            <rFont val="Tahoma"/>
            <family val="2"/>
          </rPr>
          <t>Jorge Arturo Espinoza:</t>
        </r>
        <r>
          <rPr>
            <sz val="9"/>
            <color indexed="81"/>
            <rFont val="Tahoma"/>
            <family val="2"/>
          </rPr>
          <t xml:space="preserve">
DM: DSCTO MANUAL</t>
        </r>
      </text>
    </comment>
    <comment ref="D3205" authorId="0" shapeId="0" xr:uid="{00000000-0006-0000-0100-000050020000}">
      <text>
        <r>
          <rPr>
            <b/>
            <sz val="9"/>
            <color indexed="81"/>
            <rFont val="Tahoma"/>
            <family val="2"/>
          </rPr>
          <t>Jorge Arturo Espinoza:</t>
        </r>
        <r>
          <rPr>
            <sz val="9"/>
            <color indexed="81"/>
            <rFont val="Tahoma"/>
            <family val="2"/>
          </rPr>
          <t xml:space="preserve">
DM: DSCTO MANUAL</t>
        </r>
      </text>
    </comment>
    <comment ref="D3206" authorId="0" shapeId="0" xr:uid="{00000000-0006-0000-0100-000051020000}">
      <text>
        <r>
          <rPr>
            <b/>
            <sz val="9"/>
            <color indexed="81"/>
            <rFont val="Tahoma"/>
            <family val="2"/>
          </rPr>
          <t>Jorge Arturo Espinoza:</t>
        </r>
        <r>
          <rPr>
            <sz val="9"/>
            <color indexed="81"/>
            <rFont val="Tahoma"/>
            <family val="2"/>
          </rPr>
          <t xml:space="preserve">
DM: DSCTO MANUAL</t>
        </r>
      </text>
    </comment>
    <comment ref="B3237" authorId="1" shapeId="0" xr:uid="{00000000-0006-0000-0100-000052020000}">
      <text>
        <r>
          <rPr>
            <b/>
            <sz val="9"/>
            <color indexed="81"/>
            <rFont val="Tahoma"/>
            <family val="2"/>
          </rPr>
          <t>Paulo Olano:</t>
        </r>
        <r>
          <rPr>
            <sz val="9"/>
            <color indexed="81"/>
            <rFont val="Tahoma"/>
            <family val="2"/>
          </rPr>
          <t xml:space="preserve">
PRECIO REMATE DADO POR DANIEL LIRA
</t>
        </r>
      </text>
    </comment>
    <comment ref="B3269" authorId="2" shapeId="0" xr:uid="{00000000-0006-0000-0100-000053020000}">
      <text>
        <r>
          <rPr>
            <b/>
            <sz val="9"/>
            <color indexed="81"/>
            <rFont val="Tahoma"/>
            <family val="2"/>
          </rPr>
          <t>Roberto Meza:</t>
        </r>
        <r>
          <rPr>
            <sz val="9"/>
            <color indexed="81"/>
            <rFont val="Tahoma"/>
            <family val="2"/>
          </rPr>
          <t xml:space="preserve">
Marcial 24/11/17 </t>
        </r>
      </text>
    </comment>
    <comment ref="B3270" authorId="2" shapeId="0" xr:uid="{00000000-0006-0000-0100-000054020000}">
      <text>
        <r>
          <rPr>
            <b/>
            <sz val="9"/>
            <color indexed="81"/>
            <rFont val="Tahoma"/>
            <family val="2"/>
          </rPr>
          <t>Roberto Meza:</t>
        </r>
        <r>
          <rPr>
            <sz val="9"/>
            <color indexed="81"/>
            <rFont val="Tahoma"/>
            <family val="2"/>
          </rPr>
          <t xml:space="preserve">
Marcial 24/11/17 </t>
        </r>
      </text>
    </comment>
    <comment ref="B3271" authorId="2" shapeId="0" xr:uid="{00000000-0006-0000-0100-000055020000}">
      <text>
        <r>
          <rPr>
            <b/>
            <sz val="9"/>
            <color indexed="81"/>
            <rFont val="Tahoma"/>
            <family val="2"/>
          </rPr>
          <t>Roberto Meza:</t>
        </r>
        <r>
          <rPr>
            <sz val="9"/>
            <color indexed="81"/>
            <rFont val="Tahoma"/>
            <family val="2"/>
          </rPr>
          <t xml:space="preserve">
Marcial 24/11/17 </t>
        </r>
      </text>
    </comment>
    <comment ref="B3272" authorId="2" shapeId="0" xr:uid="{00000000-0006-0000-0100-000056020000}">
      <text>
        <r>
          <rPr>
            <b/>
            <sz val="9"/>
            <color indexed="81"/>
            <rFont val="Tahoma"/>
            <family val="2"/>
          </rPr>
          <t>Roberto Meza:</t>
        </r>
        <r>
          <rPr>
            <sz val="9"/>
            <color indexed="81"/>
            <rFont val="Tahoma"/>
            <family val="2"/>
          </rPr>
          <t xml:space="preserve">
Marcial 24/11/17 </t>
        </r>
      </text>
    </comment>
    <comment ref="D3333" authorId="2" shapeId="0" xr:uid="{00000000-0006-0000-0100-000057020000}">
      <text>
        <r>
          <rPr>
            <b/>
            <sz val="9"/>
            <color indexed="81"/>
            <rFont val="Tahoma"/>
            <family val="2"/>
          </rPr>
          <t>Roberto Meza:</t>
        </r>
        <r>
          <rPr>
            <sz val="9"/>
            <color indexed="81"/>
            <rFont val="Tahoma"/>
            <family val="2"/>
          </rPr>
          <t xml:space="preserve">
Precio Andres Castro 29/01/20</t>
        </r>
      </text>
    </comment>
    <comment ref="D3344" authorId="2" shapeId="0" xr:uid="{00000000-0006-0000-0100-000058020000}">
      <text>
        <r>
          <rPr>
            <b/>
            <sz val="9"/>
            <color indexed="81"/>
            <rFont val="Tahoma"/>
            <family val="2"/>
          </rPr>
          <t>Roberto Meza:</t>
        </r>
        <r>
          <rPr>
            <sz val="9"/>
            <color indexed="81"/>
            <rFont val="Tahoma"/>
            <family val="2"/>
          </rPr>
          <t xml:space="preserve">
Precio Andres Castro 29/01/20</t>
        </r>
      </text>
    </comment>
    <comment ref="B3347" authorId="2" shapeId="0" xr:uid="{00000000-0006-0000-0100-000059020000}">
      <text>
        <r>
          <rPr>
            <b/>
            <sz val="9"/>
            <color indexed="81"/>
            <rFont val="Tahoma"/>
            <family val="2"/>
          </rPr>
          <t>Roberto Meza:</t>
        </r>
        <r>
          <rPr>
            <sz val="9"/>
            <color indexed="81"/>
            <rFont val="Tahoma"/>
            <family val="2"/>
          </rPr>
          <t xml:space="preserve">
Marcial 24/11/17 </t>
        </r>
      </text>
    </comment>
    <comment ref="B3348" authorId="2" shapeId="0" xr:uid="{00000000-0006-0000-0100-00005A020000}">
      <text>
        <r>
          <rPr>
            <b/>
            <sz val="9"/>
            <color indexed="81"/>
            <rFont val="Tahoma"/>
            <family val="2"/>
          </rPr>
          <t>Roberto Meza:</t>
        </r>
        <r>
          <rPr>
            <sz val="9"/>
            <color indexed="81"/>
            <rFont val="Tahoma"/>
            <family val="2"/>
          </rPr>
          <t xml:space="preserve">
Marcial 24/11/17 </t>
        </r>
      </text>
    </comment>
    <comment ref="D3363" authorId="1" shapeId="0" xr:uid="{00000000-0006-0000-0100-00005B020000}">
      <text>
        <r>
          <rPr>
            <b/>
            <sz val="9"/>
            <color indexed="81"/>
            <rFont val="Tahoma"/>
            <family val="2"/>
          </rPr>
          <t>Paulo Olano:</t>
        </r>
        <r>
          <rPr>
            <sz val="9"/>
            <color indexed="81"/>
            <rFont val="Tahoma"/>
            <family val="2"/>
          </rPr>
          <t xml:space="preserve">
Marcial septiembre 2019</t>
        </r>
      </text>
    </comment>
    <comment ref="D3364" authorId="1" shapeId="0" xr:uid="{00000000-0006-0000-0100-00005C020000}">
      <text>
        <r>
          <rPr>
            <b/>
            <sz val="9"/>
            <color indexed="81"/>
            <rFont val="Tahoma"/>
            <family val="2"/>
          </rPr>
          <t>Paulo Olano:</t>
        </r>
        <r>
          <rPr>
            <sz val="9"/>
            <color indexed="81"/>
            <rFont val="Tahoma"/>
            <family val="2"/>
          </rPr>
          <t xml:space="preserve">
Marcial septiembre 2019</t>
        </r>
      </text>
    </comment>
    <comment ref="D3365" authorId="1" shapeId="0" xr:uid="{00000000-0006-0000-0100-00005D020000}">
      <text>
        <r>
          <rPr>
            <b/>
            <sz val="9"/>
            <color indexed="81"/>
            <rFont val="Tahoma"/>
            <family val="2"/>
          </rPr>
          <t>Paulo Olano:</t>
        </r>
        <r>
          <rPr>
            <sz val="9"/>
            <color indexed="81"/>
            <rFont val="Tahoma"/>
            <family val="2"/>
          </rPr>
          <t xml:space="preserve">
Marcial septiembre 2019</t>
        </r>
      </text>
    </comment>
    <comment ref="D3366" authorId="1" shapeId="0" xr:uid="{00000000-0006-0000-0100-00005E020000}">
      <text>
        <r>
          <rPr>
            <b/>
            <sz val="9"/>
            <color indexed="81"/>
            <rFont val="Tahoma"/>
            <family val="2"/>
          </rPr>
          <t>Paulo Olano:</t>
        </r>
        <r>
          <rPr>
            <sz val="9"/>
            <color indexed="81"/>
            <rFont val="Tahoma"/>
            <family val="2"/>
          </rPr>
          <t xml:space="preserve">
Marcial septiembre 2019</t>
        </r>
      </text>
    </comment>
    <comment ref="D3367" authorId="1" shapeId="0" xr:uid="{00000000-0006-0000-0100-00005F020000}">
      <text>
        <r>
          <rPr>
            <b/>
            <sz val="9"/>
            <color indexed="81"/>
            <rFont val="Tahoma"/>
            <family val="2"/>
          </rPr>
          <t>Paulo Olano:</t>
        </r>
        <r>
          <rPr>
            <sz val="9"/>
            <color indexed="81"/>
            <rFont val="Tahoma"/>
            <family val="2"/>
          </rPr>
          <t xml:space="preserve">
Marcial septiembre 2019</t>
        </r>
      </text>
    </comment>
    <comment ref="D3368" authorId="1" shapeId="0" xr:uid="{00000000-0006-0000-0100-000060020000}">
      <text>
        <r>
          <rPr>
            <b/>
            <sz val="9"/>
            <color indexed="81"/>
            <rFont val="Tahoma"/>
            <family val="2"/>
          </rPr>
          <t>Paulo Olano:</t>
        </r>
        <r>
          <rPr>
            <sz val="9"/>
            <color indexed="81"/>
            <rFont val="Tahoma"/>
            <family val="2"/>
          </rPr>
          <t xml:space="preserve">
Marcial septiembre 2019</t>
        </r>
      </text>
    </comment>
    <comment ref="D3369" authorId="1" shapeId="0" xr:uid="{00000000-0006-0000-0100-000061020000}">
      <text>
        <r>
          <rPr>
            <b/>
            <sz val="9"/>
            <color indexed="81"/>
            <rFont val="Tahoma"/>
            <family val="2"/>
          </rPr>
          <t>Paulo Olano:</t>
        </r>
        <r>
          <rPr>
            <sz val="9"/>
            <color indexed="81"/>
            <rFont val="Tahoma"/>
            <family val="2"/>
          </rPr>
          <t xml:space="preserve">
Marcial septiembre 2019</t>
        </r>
      </text>
    </comment>
    <comment ref="D3370" authorId="1" shapeId="0" xr:uid="{00000000-0006-0000-0100-000062020000}">
      <text>
        <r>
          <rPr>
            <b/>
            <sz val="9"/>
            <color indexed="81"/>
            <rFont val="Tahoma"/>
            <family val="2"/>
          </rPr>
          <t>Paulo Olano:</t>
        </r>
        <r>
          <rPr>
            <sz val="9"/>
            <color indexed="81"/>
            <rFont val="Tahoma"/>
            <family val="2"/>
          </rPr>
          <t xml:space="preserve">
Marcial septiembre 2019</t>
        </r>
      </text>
    </comment>
    <comment ref="D3371" authorId="1" shapeId="0" xr:uid="{00000000-0006-0000-0100-000063020000}">
      <text>
        <r>
          <rPr>
            <b/>
            <sz val="9"/>
            <color indexed="81"/>
            <rFont val="Tahoma"/>
            <family val="2"/>
          </rPr>
          <t>Paulo Olano:</t>
        </r>
        <r>
          <rPr>
            <sz val="9"/>
            <color indexed="81"/>
            <rFont val="Tahoma"/>
            <family val="2"/>
          </rPr>
          <t xml:space="preserve">
Marcial septiembre 2019</t>
        </r>
      </text>
    </comment>
    <comment ref="D3372" authorId="1" shapeId="0" xr:uid="{00000000-0006-0000-0100-000064020000}">
      <text>
        <r>
          <rPr>
            <b/>
            <sz val="9"/>
            <color indexed="81"/>
            <rFont val="Tahoma"/>
            <family val="2"/>
          </rPr>
          <t>Paulo Olano:</t>
        </r>
        <r>
          <rPr>
            <sz val="9"/>
            <color indexed="81"/>
            <rFont val="Tahoma"/>
            <family val="2"/>
          </rPr>
          <t xml:space="preserve">
Marcial septiembre 2019</t>
        </r>
      </text>
    </comment>
    <comment ref="D3373" authorId="1" shapeId="0" xr:uid="{00000000-0006-0000-0100-000065020000}">
      <text>
        <r>
          <rPr>
            <b/>
            <sz val="9"/>
            <color indexed="81"/>
            <rFont val="Tahoma"/>
            <family val="2"/>
          </rPr>
          <t>Paulo Olano:</t>
        </r>
        <r>
          <rPr>
            <sz val="9"/>
            <color indexed="81"/>
            <rFont val="Tahoma"/>
            <family val="2"/>
          </rPr>
          <t xml:space="preserve">
Marcial septiembre 2019</t>
        </r>
      </text>
    </comment>
    <comment ref="D3374" authorId="1" shapeId="0" xr:uid="{00000000-0006-0000-0100-000066020000}">
      <text>
        <r>
          <rPr>
            <b/>
            <sz val="9"/>
            <color indexed="81"/>
            <rFont val="Tahoma"/>
            <family val="2"/>
          </rPr>
          <t>Paulo Olano:</t>
        </r>
        <r>
          <rPr>
            <sz val="9"/>
            <color indexed="81"/>
            <rFont val="Tahoma"/>
            <family val="2"/>
          </rPr>
          <t xml:space="preserve">
Marcial septiembre 2019</t>
        </r>
      </text>
    </comment>
    <comment ref="D3375" authorId="1" shapeId="0" xr:uid="{00000000-0006-0000-0100-000067020000}">
      <text>
        <r>
          <rPr>
            <b/>
            <sz val="9"/>
            <color indexed="81"/>
            <rFont val="Tahoma"/>
            <family val="2"/>
          </rPr>
          <t>Paulo Olano:</t>
        </r>
        <r>
          <rPr>
            <sz val="9"/>
            <color indexed="81"/>
            <rFont val="Tahoma"/>
            <family val="2"/>
          </rPr>
          <t xml:space="preserve">
Marcial septiembre 2019</t>
        </r>
      </text>
    </comment>
    <comment ref="D3376" authorId="1" shapeId="0" xr:uid="{00000000-0006-0000-0100-000068020000}">
      <text>
        <r>
          <rPr>
            <b/>
            <sz val="9"/>
            <color indexed="81"/>
            <rFont val="Tahoma"/>
            <family val="2"/>
          </rPr>
          <t>Paulo Olano:</t>
        </r>
        <r>
          <rPr>
            <sz val="9"/>
            <color indexed="81"/>
            <rFont val="Tahoma"/>
            <family val="2"/>
          </rPr>
          <t xml:space="preserve">
Marcial septiembre 2019</t>
        </r>
      </text>
    </comment>
    <comment ref="D3379" authorId="1" shapeId="0" xr:uid="{00000000-0006-0000-0100-000069020000}">
      <text>
        <r>
          <rPr>
            <b/>
            <sz val="9"/>
            <color indexed="81"/>
            <rFont val="Tahoma"/>
            <family val="2"/>
          </rPr>
          <t>Paulo Olano:</t>
        </r>
        <r>
          <rPr>
            <sz val="9"/>
            <color indexed="81"/>
            <rFont val="Tahoma"/>
            <family val="2"/>
          </rPr>
          <t xml:space="preserve">
Marcial septiembre 2019</t>
        </r>
      </text>
    </comment>
    <comment ref="D3380" authorId="1" shapeId="0" xr:uid="{00000000-0006-0000-0100-00006A020000}">
      <text>
        <r>
          <rPr>
            <b/>
            <sz val="9"/>
            <color indexed="81"/>
            <rFont val="Tahoma"/>
            <family val="2"/>
          </rPr>
          <t>Paulo Olano:</t>
        </r>
        <r>
          <rPr>
            <sz val="9"/>
            <color indexed="81"/>
            <rFont val="Tahoma"/>
            <family val="2"/>
          </rPr>
          <t xml:space="preserve">
Marcial septiembre 2019</t>
        </r>
      </text>
    </comment>
    <comment ref="D3381" authorId="1" shapeId="0" xr:uid="{00000000-0006-0000-0100-00006B020000}">
      <text>
        <r>
          <rPr>
            <b/>
            <sz val="9"/>
            <color indexed="81"/>
            <rFont val="Tahoma"/>
            <family val="2"/>
          </rPr>
          <t>Paulo Olano:</t>
        </r>
        <r>
          <rPr>
            <sz val="9"/>
            <color indexed="81"/>
            <rFont val="Tahoma"/>
            <family val="2"/>
          </rPr>
          <t xml:space="preserve">
Marcial septiembre 2019</t>
        </r>
      </text>
    </comment>
    <comment ref="D3382" authorId="1" shapeId="0" xr:uid="{00000000-0006-0000-0100-00006C020000}">
      <text>
        <r>
          <rPr>
            <b/>
            <sz val="9"/>
            <color indexed="81"/>
            <rFont val="Tahoma"/>
            <family val="2"/>
          </rPr>
          <t>Paulo Olano:</t>
        </r>
        <r>
          <rPr>
            <sz val="9"/>
            <color indexed="81"/>
            <rFont val="Tahoma"/>
            <family val="2"/>
          </rPr>
          <t xml:space="preserve">
Marcial septiembre 2019</t>
        </r>
      </text>
    </comment>
    <comment ref="D3383" authorId="1" shapeId="0" xr:uid="{00000000-0006-0000-0100-00006D020000}">
      <text>
        <r>
          <rPr>
            <b/>
            <sz val="9"/>
            <color indexed="81"/>
            <rFont val="Tahoma"/>
            <family val="2"/>
          </rPr>
          <t>Paulo Olano:</t>
        </r>
        <r>
          <rPr>
            <sz val="9"/>
            <color indexed="81"/>
            <rFont val="Tahoma"/>
            <family val="2"/>
          </rPr>
          <t xml:space="preserve">
Marcial septiembre 2019</t>
        </r>
      </text>
    </comment>
    <comment ref="D3384" authorId="1" shapeId="0" xr:uid="{00000000-0006-0000-0100-00006E020000}">
      <text>
        <r>
          <rPr>
            <b/>
            <sz val="9"/>
            <color indexed="81"/>
            <rFont val="Tahoma"/>
            <family val="2"/>
          </rPr>
          <t>Paulo Olano:</t>
        </r>
        <r>
          <rPr>
            <sz val="9"/>
            <color indexed="81"/>
            <rFont val="Tahoma"/>
            <family val="2"/>
          </rPr>
          <t xml:space="preserve">
Marcial septiembre 2019</t>
        </r>
      </text>
    </comment>
    <comment ref="D3385" authorId="1" shapeId="0" xr:uid="{00000000-0006-0000-0100-00006F020000}">
      <text>
        <r>
          <rPr>
            <b/>
            <sz val="9"/>
            <color indexed="81"/>
            <rFont val="Tahoma"/>
            <family val="2"/>
          </rPr>
          <t>Paulo Olano:</t>
        </r>
        <r>
          <rPr>
            <sz val="9"/>
            <color indexed="81"/>
            <rFont val="Tahoma"/>
            <family val="2"/>
          </rPr>
          <t xml:space="preserve">
Marcial septiembre 2019</t>
        </r>
      </text>
    </comment>
    <comment ref="D3386" authorId="1" shapeId="0" xr:uid="{00000000-0006-0000-0100-000070020000}">
      <text>
        <r>
          <rPr>
            <b/>
            <sz val="9"/>
            <color indexed="81"/>
            <rFont val="Tahoma"/>
            <family val="2"/>
          </rPr>
          <t>Paulo Olano:</t>
        </r>
        <r>
          <rPr>
            <sz val="9"/>
            <color indexed="81"/>
            <rFont val="Tahoma"/>
            <family val="2"/>
          </rPr>
          <t xml:space="preserve">
Marcial septiembre 2019</t>
        </r>
      </text>
    </comment>
    <comment ref="D3387" authorId="1" shapeId="0" xr:uid="{00000000-0006-0000-0100-000071020000}">
      <text>
        <r>
          <rPr>
            <b/>
            <sz val="9"/>
            <color indexed="81"/>
            <rFont val="Tahoma"/>
            <family val="2"/>
          </rPr>
          <t>Paulo Olano:</t>
        </r>
        <r>
          <rPr>
            <sz val="9"/>
            <color indexed="81"/>
            <rFont val="Tahoma"/>
            <family val="2"/>
          </rPr>
          <t xml:space="preserve">
Marcial septiembre 2019</t>
        </r>
      </text>
    </comment>
    <comment ref="D3388" authorId="1" shapeId="0" xr:uid="{00000000-0006-0000-0100-000072020000}">
      <text>
        <r>
          <rPr>
            <b/>
            <sz val="9"/>
            <color indexed="81"/>
            <rFont val="Tahoma"/>
            <family val="2"/>
          </rPr>
          <t>Paulo Olano:</t>
        </r>
        <r>
          <rPr>
            <sz val="9"/>
            <color indexed="81"/>
            <rFont val="Tahoma"/>
            <family val="2"/>
          </rPr>
          <t xml:space="preserve">
Marcial septiembre 2019</t>
        </r>
      </text>
    </comment>
    <comment ref="D3389" authorId="1" shapeId="0" xr:uid="{00000000-0006-0000-0100-000073020000}">
      <text>
        <r>
          <rPr>
            <b/>
            <sz val="9"/>
            <color indexed="81"/>
            <rFont val="Tahoma"/>
            <family val="2"/>
          </rPr>
          <t>Paulo Olano:</t>
        </r>
        <r>
          <rPr>
            <sz val="9"/>
            <color indexed="81"/>
            <rFont val="Tahoma"/>
            <family val="2"/>
          </rPr>
          <t xml:space="preserve">
Marcial septiembre 2019</t>
        </r>
      </text>
    </comment>
    <comment ref="D3390" authorId="1" shapeId="0" xr:uid="{00000000-0006-0000-0100-000074020000}">
      <text>
        <r>
          <rPr>
            <b/>
            <sz val="9"/>
            <color indexed="81"/>
            <rFont val="Tahoma"/>
            <family val="2"/>
          </rPr>
          <t>Paulo Olano:</t>
        </r>
        <r>
          <rPr>
            <sz val="9"/>
            <color indexed="81"/>
            <rFont val="Tahoma"/>
            <family val="2"/>
          </rPr>
          <t xml:space="preserve">
Marcial septiembre 2019</t>
        </r>
      </text>
    </comment>
    <comment ref="D3391" authorId="1" shapeId="0" xr:uid="{00000000-0006-0000-0100-000075020000}">
      <text>
        <r>
          <rPr>
            <b/>
            <sz val="9"/>
            <color indexed="81"/>
            <rFont val="Tahoma"/>
            <family val="2"/>
          </rPr>
          <t>Paulo Olano:</t>
        </r>
        <r>
          <rPr>
            <sz val="9"/>
            <color indexed="81"/>
            <rFont val="Tahoma"/>
            <family val="2"/>
          </rPr>
          <t xml:space="preserve">
Marcial septiembre 2019</t>
        </r>
      </text>
    </comment>
    <comment ref="D3392" authorId="1" shapeId="0" xr:uid="{00000000-0006-0000-0100-000076020000}">
      <text>
        <r>
          <rPr>
            <b/>
            <sz val="9"/>
            <color indexed="81"/>
            <rFont val="Tahoma"/>
            <family val="2"/>
          </rPr>
          <t>Paulo Olano:</t>
        </r>
        <r>
          <rPr>
            <sz val="9"/>
            <color indexed="81"/>
            <rFont val="Tahoma"/>
            <family val="2"/>
          </rPr>
          <t xml:space="preserve">
Marcial septiembre 2019</t>
        </r>
      </text>
    </comment>
    <comment ref="D3398" authorId="2" shapeId="0" xr:uid="{00000000-0006-0000-0100-000077020000}">
      <text>
        <r>
          <rPr>
            <b/>
            <sz val="9"/>
            <color indexed="81"/>
            <rFont val="Tahoma"/>
            <family val="2"/>
          </rPr>
          <t>Roberto Meza:</t>
        </r>
        <r>
          <rPr>
            <sz val="9"/>
            <color indexed="81"/>
            <rFont val="Tahoma"/>
            <family val="2"/>
          </rPr>
          <t xml:space="preserve">
Falta actualizar precio</t>
        </r>
      </text>
    </comment>
    <comment ref="D3399" authorId="2" shapeId="0" xr:uid="{00000000-0006-0000-0100-000078020000}">
      <text>
        <r>
          <rPr>
            <b/>
            <sz val="9"/>
            <color indexed="81"/>
            <rFont val="Tahoma"/>
            <family val="2"/>
          </rPr>
          <t>Roberto Meza:</t>
        </r>
        <r>
          <rPr>
            <sz val="9"/>
            <color indexed="81"/>
            <rFont val="Tahoma"/>
            <family val="2"/>
          </rPr>
          <t xml:space="preserve">
Falta actualizar precio</t>
        </r>
      </text>
    </comment>
    <comment ref="D3411" authorId="1" shapeId="0" xr:uid="{00000000-0006-0000-0100-000079020000}">
      <text>
        <r>
          <rPr>
            <b/>
            <sz val="9"/>
            <color indexed="81"/>
            <rFont val="Tahoma"/>
            <family val="2"/>
          </rPr>
          <t>Paulo Olano:</t>
        </r>
        <r>
          <rPr>
            <sz val="9"/>
            <color indexed="81"/>
            <rFont val="Tahoma"/>
            <family val="2"/>
          </rPr>
          <t xml:space="preserve">
PRECIO DANIEL LIRA 13/07/2017</t>
        </r>
      </text>
    </comment>
    <comment ref="D3414" authorId="0" shapeId="0" xr:uid="{00000000-0006-0000-0100-00007A020000}">
      <text>
        <r>
          <rPr>
            <b/>
            <sz val="9"/>
            <color indexed="81"/>
            <rFont val="Tahoma"/>
            <family val="2"/>
          </rPr>
          <t>Jorge Arturo Espinoza:</t>
        </r>
        <r>
          <rPr>
            <sz val="9"/>
            <color indexed="81"/>
            <rFont val="Tahoma"/>
            <family val="2"/>
          </rPr>
          <t xml:space="preserve">
PRECIO DADO POR MARCIAL, JUL-2017</t>
        </r>
      </text>
    </comment>
    <comment ref="D3415" authorId="0" shapeId="0" xr:uid="{00000000-0006-0000-0100-00007B020000}">
      <text>
        <r>
          <rPr>
            <b/>
            <sz val="9"/>
            <color indexed="81"/>
            <rFont val="Tahoma"/>
            <family val="2"/>
          </rPr>
          <t>Jorge Arturo Espinoza:</t>
        </r>
        <r>
          <rPr>
            <sz val="9"/>
            <color indexed="81"/>
            <rFont val="Tahoma"/>
            <family val="2"/>
          </rPr>
          <t xml:space="preserve">
PRECIO DADO POR MARCIAL, JUL-2017</t>
        </r>
      </text>
    </comment>
    <comment ref="D3416" authorId="0" shapeId="0" xr:uid="{00000000-0006-0000-0100-00007C020000}">
      <text>
        <r>
          <rPr>
            <b/>
            <sz val="9"/>
            <color indexed="81"/>
            <rFont val="Tahoma"/>
            <family val="2"/>
          </rPr>
          <t>Jorge Arturo Espinoza:</t>
        </r>
        <r>
          <rPr>
            <sz val="9"/>
            <color indexed="81"/>
            <rFont val="Tahoma"/>
            <family val="2"/>
          </rPr>
          <t xml:space="preserve">
PRECIO DADO POR MARCIAL, JUL-2017</t>
        </r>
      </text>
    </comment>
    <comment ref="D3418" authorId="0" shapeId="0" xr:uid="{00000000-0006-0000-0100-00007D020000}">
      <text>
        <r>
          <rPr>
            <b/>
            <sz val="9"/>
            <color indexed="81"/>
            <rFont val="Tahoma"/>
            <family val="2"/>
          </rPr>
          <t>Jorge Arturo Espinoza:</t>
        </r>
        <r>
          <rPr>
            <sz val="9"/>
            <color indexed="81"/>
            <rFont val="Tahoma"/>
            <family val="2"/>
          </rPr>
          <t xml:space="preserve">
PRECIO DADO POR MARCIAL, JUL-2017</t>
        </r>
      </text>
    </comment>
    <comment ref="D3419" authorId="0" shapeId="0" xr:uid="{00000000-0006-0000-0100-00007E020000}">
      <text>
        <r>
          <rPr>
            <b/>
            <sz val="9"/>
            <color indexed="81"/>
            <rFont val="Tahoma"/>
            <family val="2"/>
          </rPr>
          <t>Jorge Arturo Espinoza:</t>
        </r>
        <r>
          <rPr>
            <sz val="9"/>
            <color indexed="81"/>
            <rFont val="Tahoma"/>
            <family val="2"/>
          </rPr>
          <t xml:space="preserve">
PRECIO DADO POR MARCIAL, JUL-2017</t>
        </r>
      </text>
    </comment>
    <comment ref="D3422" authorId="1" shapeId="0" xr:uid="{00000000-0006-0000-0100-00007F020000}">
      <text>
        <r>
          <rPr>
            <b/>
            <sz val="9"/>
            <color indexed="81"/>
            <rFont val="Tahoma"/>
            <family val="2"/>
          </rPr>
          <t>Paulo Olano:</t>
        </r>
        <r>
          <rPr>
            <sz val="9"/>
            <color indexed="81"/>
            <rFont val="Tahoma"/>
            <family val="2"/>
          </rPr>
          <t xml:space="preserve">
agosto 2019 por andres castro</t>
        </r>
      </text>
    </comment>
    <comment ref="D3433" authorId="1" shapeId="0" xr:uid="{00000000-0006-0000-0100-000080020000}">
      <text>
        <r>
          <rPr>
            <b/>
            <sz val="9"/>
            <color indexed="81"/>
            <rFont val="Tahoma"/>
            <family val="2"/>
          </rPr>
          <t>Paulo Olano:</t>
        </r>
        <r>
          <rPr>
            <sz val="9"/>
            <color indexed="81"/>
            <rFont val="Tahoma"/>
            <family val="2"/>
          </rPr>
          <t xml:space="preserve">
agosto 2019 precio por andres castro</t>
        </r>
      </text>
    </comment>
    <comment ref="D3444" authorId="1" shapeId="0" xr:uid="{00000000-0006-0000-0100-000081020000}">
      <text>
        <r>
          <rPr>
            <b/>
            <sz val="9"/>
            <color indexed="81"/>
            <rFont val="Tahoma"/>
            <family val="2"/>
          </rPr>
          <t>Paulo Olano:</t>
        </r>
        <r>
          <rPr>
            <sz val="9"/>
            <color indexed="81"/>
            <rFont val="Tahoma"/>
            <family val="2"/>
          </rPr>
          <t xml:space="preserve">
PRECIO DANIEL LIRA 13/07/2017</t>
        </r>
      </text>
    </comment>
    <comment ref="D3445" authorId="1" shapeId="0" xr:uid="{00000000-0006-0000-0100-000082020000}">
      <text>
        <r>
          <rPr>
            <b/>
            <sz val="9"/>
            <color indexed="81"/>
            <rFont val="Tahoma"/>
            <family val="2"/>
          </rPr>
          <t>Paulo Olano:</t>
        </r>
        <r>
          <rPr>
            <sz val="9"/>
            <color indexed="81"/>
            <rFont val="Tahoma"/>
            <family val="2"/>
          </rPr>
          <t xml:space="preserve">
PRECIO DANIEL LIRA 13/07/2017</t>
        </r>
      </text>
    </comment>
    <comment ref="D3446" authorId="1" shapeId="0" xr:uid="{00000000-0006-0000-0100-000083020000}">
      <text>
        <r>
          <rPr>
            <b/>
            <sz val="9"/>
            <color indexed="81"/>
            <rFont val="Tahoma"/>
            <family val="2"/>
          </rPr>
          <t>Paulo Olano:</t>
        </r>
        <r>
          <rPr>
            <sz val="9"/>
            <color indexed="81"/>
            <rFont val="Tahoma"/>
            <family val="2"/>
          </rPr>
          <t xml:space="preserve">
PRECIO DANIEL LIRA 13/07/2017</t>
        </r>
      </text>
    </comment>
    <comment ref="D3447" authorId="1" shapeId="0" xr:uid="{00000000-0006-0000-0100-000084020000}">
      <text>
        <r>
          <rPr>
            <b/>
            <sz val="9"/>
            <color indexed="81"/>
            <rFont val="Tahoma"/>
            <family val="2"/>
          </rPr>
          <t>Paulo Olano:</t>
        </r>
        <r>
          <rPr>
            <sz val="9"/>
            <color indexed="81"/>
            <rFont val="Tahoma"/>
            <family val="2"/>
          </rPr>
          <t xml:space="preserve">
PRECIO DANIEL LIRA 13/07/2017</t>
        </r>
      </text>
    </comment>
    <comment ref="D3448" authorId="1" shapeId="0" xr:uid="{00000000-0006-0000-0100-000085020000}">
      <text>
        <r>
          <rPr>
            <b/>
            <sz val="9"/>
            <color indexed="81"/>
            <rFont val="Tahoma"/>
            <family val="2"/>
          </rPr>
          <t>Paulo Olano:</t>
        </r>
        <r>
          <rPr>
            <sz val="9"/>
            <color indexed="81"/>
            <rFont val="Tahoma"/>
            <family val="2"/>
          </rPr>
          <t xml:space="preserve">
PRECIO DANIEL LIRA 13/07/2017</t>
        </r>
      </text>
    </comment>
    <comment ref="D3449" authorId="1" shapeId="0" xr:uid="{00000000-0006-0000-0100-000086020000}">
      <text>
        <r>
          <rPr>
            <b/>
            <sz val="9"/>
            <color indexed="81"/>
            <rFont val="Tahoma"/>
            <family val="2"/>
          </rPr>
          <t>Paulo Olano:</t>
        </r>
        <r>
          <rPr>
            <sz val="9"/>
            <color indexed="81"/>
            <rFont val="Tahoma"/>
            <family val="2"/>
          </rPr>
          <t xml:space="preserve">
PRECIO DANIEL LIRA 13/07/2017</t>
        </r>
      </text>
    </comment>
    <comment ref="D3450" authorId="1" shapeId="0" xr:uid="{00000000-0006-0000-0100-000087020000}">
      <text>
        <r>
          <rPr>
            <b/>
            <sz val="9"/>
            <color indexed="81"/>
            <rFont val="Tahoma"/>
            <family val="2"/>
          </rPr>
          <t>Paulo Olano:</t>
        </r>
        <r>
          <rPr>
            <sz val="9"/>
            <color indexed="81"/>
            <rFont val="Tahoma"/>
            <family val="2"/>
          </rPr>
          <t xml:space="preserve">
PRECIO DANIEL LIRA 13/07/2017</t>
        </r>
      </text>
    </comment>
    <comment ref="D3451" authorId="1" shapeId="0" xr:uid="{00000000-0006-0000-0100-000088020000}">
      <text>
        <r>
          <rPr>
            <b/>
            <sz val="9"/>
            <color indexed="81"/>
            <rFont val="Tahoma"/>
            <family val="2"/>
          </rPr>
          <t>Paulo Olano:</t>
        </r>
        <r>
          <rPr>
            <sz val="9"/>
            <color indexed="81"/>
            <rFont val="Tahoma"/>
            <family val="2"/>
          </rPr>
          <t xml:space="preserve">
PRECIO DANIEL LIRA 13/07/2017</t>
        </r>
      </text>
    </comment>
    <comment ref="D3452" authorId="1" shapeId="0" xr:uid="{00000000-0006-0000-0100-000089020000}">
      <text>
        <r>
          <rPr>
            <b/>
            <sz val="9"/>
            <color indexed="81"/>
            <rFont val="Tahoma"/>
            <family val="2"/>
          </rPr>
          <t>Paulo Olano:</t>
        </r>
        <r>
          <rPr>
            <sz val="9"/>
            <color indexed="81"/>
            <rFont val="Tahoma"/>
            <family val="2"/>
          </rPr>
          <t xml:space="preserve">
PRECIO DANIEL LIRA 13/07/2017</t>
        </r>
      </text>
    </comment>
    <comment ref="D3453" authorId="1" shapeId="0" xr:uid="{00000000-0006-0000-0100-00008A020000}">
      <text>
        <r>
          <rPr>
            <b/>
            <sz val="9"/>
            <color indexed="81"/>
            <rFont val="Tahoma"/>
            <family val="2"/>
          </rPr>
          <t>Paulo Olano:</t>
        </r>
        <r>
          <rPr>
            <sz val="9"/>
            <color indexed="81"/>
            <rFont val="Tahoma"/>
            <family val="2"/>
          </rPr>
          <t xml:space="preserve">
PRECIO DANIEL LIRA 13/07/2017</t>
        </r>
      </text>
    </comment>
    <comment ref="D3455" authorId="1" shapeId="0" xr:uid="{00000000-0006-0000-0100-00008B020000}">
      <text>
        <r>
          <rPr>
            <b/>
            <sz val="9"/>
            <color indexed="81"/>
            <rFont val="Tahoma"/>
            <family val="2"/>
          </rPr>
          <t>Paulo Olano:</t>
        </r>
        <r>
          <rPr>
            <sz val="9"/>
            <color indexed="81"/>
            <rFont val="Tahoma"/>
            <family val="2"/>
          </rPr>
          <t xml:space="preserve">
PRECIO DANIEL LIRA 13/07/2017</t>
        </r>
      </text>
    </comment>
    <comment ref="D3459" authorId="0" shapeId="0" xr:uid="{00000000-0006-0000-0100-00008C020000}">
      <text>
        <r>
          <rPr>
            <b/>
            <sz val="9"/>
            <color indexed="81"/>
            <rFont val="Tahoma"/>
            <family val="2"/>
          </rPr>
          <t>Jorge Arturo Espinoza:</t>
        </r>
        <r>
          <rPr>
            <sz val="9"/>
            <color indexed="81"/>
            <rFont val="Tahoma"/>
            <family val="2"/>
          </rPr>
          <t xml:space="preserve">
ASUMIDO</t>
        </r>
      </text>
    </comment>
    <comment ref="D3461" authorId="0" shapeId="0" xr:uid="{00000000-0006-0000-0100-00008D020000}">
      <text>
        <r>
          <rPr>
            <b/>
            <sz val="9"/>
            <color indexed="81"/>
            <rFont val="Tahoma"/>
            <family val="2"/>
          </rPr>
          <t>Jorge Arturo Espinoza:</t>
        </r>
        <r>
          <rPr>
            <sz val="9"/>
            <color indexed="81"/>
            <rFont val="Tahoma"/>
            <family val="2"/>
          </rPr>
          <t xml:space="preserve">
POR MARCIAL.
en-2019
</t>
        </r>
      </text>
    </comment>
    <comment ref="D3462" authorId="0" shapeId="0" xr:uid="{00000000-0006-0000-0100-00008E020000}">
      <text>
        <r>
          <rPr>
            <b/>
            <sz val="9"/>
            <color indexed="81"/>
            <rFont val="Tahoma"/>
            <family val="2"/>
          </rPr>
          <t>Jorge Arturo Espinoza:</t>
        </r>
        <r>
          <rPr>
            <sz val="9"/>
            <color indexed="81"/>
            <rFont val="Tahoma"/>
            <family val="2"/>
          </rPr>
          <t xml:space="preserve">
POR MARCIAL.
en-2019
</t>
        </r>
      </text>
    </comment>
    <comment ref="D3463" authorId="0" shapeId="0" xr:uid="{00000000-0006-0000-0100-00008F020000}">
      <text>
        <r>
          <rPr>
            <b/>
            <sz val="9"/>
            <color indexed="81"/>
            <rFont val="Tahoma"/>
            <family val="2"/>
          </rPr>
          <t>Jorge Arturo Espinoza:</t>
        </r>
        <r>
          <rPr>
            <sz val="9"/>
            <color indexed="81"/>
            <rFont val="Tahoma"/>
            <family val="2"/>
          </rPr>
          <t xml:space="preserve">
aprox
era 258</t>
        </r>
      </text>
    </comment>
    <comment ref="D3464" authorId="0" shapeId="0" xr:uid="{00000000-0006-0000-0100-000090020000}">
      <text>
        <r>
          <rPr>
            <b/>
            <sz val="9"/>
            <color indexed="81"/>
            <rFont val="Tahoma"/>
            <family val="2"/>
          </rPr>
          <t>Jorge Arturo Espinoza:</t>
        </r>
        <r>
          <rPr>
            <sz val="9"/>
            <color indexed="81"/>
            <rFont val="Tahoma"/>
            <family val="2"/>
          </rPr>
          <t xml:space="preserve">
era 258</t>
        </r>
      </text>
    </comment>
    <comment ref="D3465" authorId="0" shapeId="0" xr:uid="{00000000-0006-0000-0100-000091020000}">
      <text>
        <r>
          <rPr>
            <b/>
            <sz val="9"/>
            <color indexed="81"/>
            <rFont val="Tahoma"/>
            <family val="2"/>
          </rPr>
          <t>Jorge Arturo Espinoza:</t>
        </r>
        <r>
          <rPr>
            <sz val="9"/>
            <color indexed="81"/>
            <rFont val="Tahoma"/>
            <family val="2"/>
          </rPr>
          <t xml:space="preserve">
POR ANDRES.
ERA 258
en-2016</t>
        </r>
      </text>
    </comment>
    <comment ref="B3466" authorId="0" shapeId="0" xr:uid="{00000000-0006-0000-0100-000092020000}">
      <text>
        <r>
          <rPr>
            <b/>
            <sz val="9"/>
            <color indexed="81"/>
            <rFont val="Tahoma"/>
            <family val="2"/>
          </rPr>
          <t>Jorge Arturo Espinoza:</t>
        </r>
        <r>
          <rPr>
            <sz val="9"/>
            <color indexed="81"/>
            <rFont val="Tahoma"/>
            <family val="2"/>
          </rPr>
          <t xml:space="preserve">
para un polo</t>
        </r>
      </text>
    </comment>
    <comment ref="D3466" authorId="0" shapeId="0" xr:uid="{00000000-0006-0000-0100-000093020000}">
      <text>
        <r>
          <rPr>
            <b/>
            <sz val="9"/>
            <color indexed="81"/>
            <rFont val="Tahoma"/>
            <family val="2"/>
          </rPr>
          <t>Jorge Arturo Espinoza:</t>
        </r>
        <r>
          <rPr>
            <sz val="9"/>
            <color indexed="81"/>
            <rFont val="Tahoma"/>
            <family val="2"/>
          </rPr>
          <t xml:space="preserve">
POR ANDRES.
ERA 17</t>
        </r>
      </text>
    </comment>
    <comment ref="D3468" authorId="1" shapeId="0" xr:uid="{00000000-0006-0000-0100-000094020000}">
      <text>
        <r>
          <rPr>
            <b/>
            <sz val="9"/>
            <color indexed="81"/>
            <rFont val="Tahoma"/>
            <family val="2"/>
          </rPr>
          <t>Paulo Olano:</t>
        </r>
        <r>
          <rPr>
            <sz val="9"/>
            <color indexed="81"/>
            <rFont val="Tahoma"/>
            <family val="2"/>
          </rPr>
          <t xml:space="preserve">
PRECIO DANIEL LIRA 13/07/2017</t>
        </r>
      </text>
    </comment>
    <comment ref="D3488" authorId="1" shapeId="0" xr:uid="{00000000-0006-0000-0100-000095020000}">
      <text>
        <r>
          <rPr>
            <b/>
            <sz val="9"/>
            <color indexed="81"/>
            <rFont val="Tahoma"/>
            <family val="2"/>
          </rPr>
          <t>Rosalyn Rincón:</t>
        </r>
        <r>
          <rPr>
            <sz val="9"/>
            <color indexed="81"/>
            <rFont val="Tahoma"/>
            <family val="2"/>
          </rPr>
          <t xml:space="preserve">
PRECIO DANIEL LIRA 29/0752019</t>
        </r>
      </text>
    </comment>
    <comment ref="D3491" authorId="1" shapeId="0" xr:uid="{00000000-0006-0000-0100-000096020000}">
      <text>
        <r>
          <rPr>
            <b/>
            <sz val="9"/>
            <color indexed="81"/>
            <rFont val="Tahoma"/>
            <family val="2"/>
          </rPr>
          <t>Paulo Olano:</t>
        </r>
        <r>
          <rPr>
            <sz val="9"/>
            <color indexed="81"/>
            <rFont val="Tahoma"/>
            <family val="2"/>
          </rPr>
          <t xml:space="preserve">
PRECIO DANIEL LIRA 22/01/2020</t>
        </r>
      </text>
    </comment>
    <comment ref="D3492" authorId="1" shapeId="0" xr:uid="{00000000-0006-0000-0100-000097020000}">
      <text>
        <r>
          <rPr>
            <b/>
            <sz val="9"/>
            <color indexed="81"/>
            <rFont val="Tahoma"/>
            <family val="2"/>
          </rPr>
          <t>Paulo Olano:</t>
        </r>
        <r>
          <rPr>
            <sz val="9"/>
            <color indexed="81"/>
            <rFont val="Tahoma"/>
            <family val="2"/>
          </rPr>
          <t xml:space="preserve">
PRECIO DANIEL LIRA 22/01/2020</t>
        </r>
      </text>
    </comment>
    <comment ref="D3493" authorId="1" shapeId="0" xr:uid="{00000000-0006-0000-0100-000098020000}">
      <text>
        <r>
          <rPr>
            <b/>
            <sz val="9"/>
            <color indexed="81"/>
            <rFont val="Tahoma"/>
            <family val="2"/>
          </rPr>
          <t>Paulo Olano:</t>
        </r>
        <r>
          <rPr>
            <sz val="9"/>
            <color indexed="81"/>
            <rFont val="Tahoma"/>
            <family val="2"/>
          </rPr>
          <t xml:space="preserve">
PRECIO DANIEL LIRA 22/01/2020</t>
        </r>
      </text>
    </comment>
    <comment ref="D3495" authorId="1" shapeId="0" xr:uid="{00000000-0006-0000-0100-000099020000}">
      <text>
        <r>
          <rPr>
            <b/>
            <sz val="9"/>
            <color indexed="81"/>
            <rFont val="Tahoma"/>
            <family val="2"/>
          </rPr>
          <t>Paulo Olano:</t>
        </r>
        <r>
          <rPr>
            <sz val="9"/>
            <color indexed="81"/>
            <rFont val="Tahoma"/>
            <family val="2"/>
          </rPr>
          <t xml:space="preserve">
PRECIO DANIEL LIRA 13/07/2017</t>
        </r>
      </text>
    </comment>
    <comment ref="D3496" authorId="1" shapeId="0" xr:uid="{00000000-0006-0000-0100-00009A020000}">
      <text>
        <r>
          <rPr>
            <b/>
            <sz val="9"/>
            <color indexed="81"/>
            <rFont val="Tahoma"/>
            <family val="2"/>
          </rPr>
          <t>Paulo Olano:</t>
        </r>
        <r>
          <rPr>
            <sz val="9"/>
            <color indexed="81"/>
            <rFont val="Tahoma"/>
            <family val="2"/>
          </rPr>
          <t xml:space="preserve">
PRECIO DANIEL LIRA 13/07/2017</t>
        </r>
      </text>
    </comment>
    <comment ref="D3497" authorId="1" shapeId="0" xr:uid="{00000000-0006-0000-0100-00009B020000}">
      <text>
        <r>
          <rPr>
            <b/>
            <sz val="9"/>
            <color indexed="81"/>
            <rFont val="Tahoma"/>
            <family val="2"/>
          </rPr>
          <t>Paulo Olano:</t>
        </r>
        <r>
          <rPr>
            <sz val="9"/>
            <color indexed="81"/>
            <rFont val="Tahoma"/>
            <family val="2"/>
          </rPr>
          <t xml:space="preserve">
PRECIO DANIEL LIRA 13/07/2017</t>
        </r>
      </text>
    </comment>
    <comment ref="D3502" authorId="0" shapeId="0" xr:uid="{00000000-0006-0000-0100-00009C020000}">
      <text>
        <r>
          <rPr>
            <b/>
            <sz val="9"/>
            <color indexed="81"/>
            <rFont val="Tahoma"/>
            <family val="2"/>
          </rPr>
          <t>Jorge Arturo Espinoza:</t>
        </r>
        <r>
          <rPr>
            <sz val="9"/>
            <color indexed="81"/>
            <rFont val="Tahoma"/>
            <family val="2"/>
          </rPr>
          <t xml:space="preserve">
aprox
era 258</t>
        </r>
      </text>
    </comment>
    <comment ref="D3503" authorId="0" shapeId="0" xr:uid="{00000000-0006-0000-0100-00009D020000}">
      <text>
        <r>
          <rPr>
            <b/>
            <sz val="9"/>
            <color indexed="81"/>
            <rFont val="Tahoma"/>
            <family val="2"/>
          </rPr>
          <t>Jorge Arturo Espinoza:</t>
        </r>
        <r>
          <rPr>
            <sz val="9"/>
            <color indexed="81"/>
            <rFont val="Tahoma"/>
            <family val="2"/>
          </rPr>
          <t xml:space="preserve">
era 258</t>
        </r>
      </text>
    </comment>
    <comment ref="D3504" authorId="0" shapeId="0" xr:uid="{00000000-0006-0000-0100-00009E020000}">
      <text>
        <r>
          <rPr>
            <b/>
            <sz val="9"/>
            <color indexed="81"/>
            <rFont val="Tahoma"/>
            <family val="2"/>
          </rPr>
          <t>Jorge Arturo Espinoza:</t>
        </r>
        <r>
          <rPr>
            <sz val="9"/>
            <color indexed="81"/>
            <rFont val="Tahoma"/>
            <family val="2"/>
          </rPr>
          <t xml:space="preserve">
POR ANDRES.
ERA 258
en-2016</t>
        </r>
      </text>
    </comment>
    <comment ref="D3505" authorId="0" shapeId="0" xr:uid="{00000000-0006-0000-0100-00009F020000}">
      <text>
        <r>
          <rPr>
            <b/>
            <sz val="9"/>
            <color indexed="81"/>
            <rFont val="Tahoma"/>
            <family val="2"/>
          </rPr>
          <t>Jorge Arturo Espinoza:</t>
        </r>
        <r>
          <rPr>
            <sz val="9"/>
            <color indexed="81"/>
            <rFont val="Tahoma"/>
            <family val="2"/>
          </rPr>
          <t xml:space="preserve">
POR ANDRES.
ERA 17</t>
        </r>
      </text>
    </comment>
    <comment ref="D3506" authorId="0" shapeId="0" xr:uid="{00000000-0006-0000-0100-0000A0020000}">
      <text>
        <r>
          <rPr>
            <b/>
            <sz val="9"/>
            <color indexed="81"/>
            <rFont val="Tahoma"/>
            <family val="2"/>
          </rPr>
          <t>Jorge Arturo Espinoza:</t>
        </r>
        <r>
          <rPr>
            <sz val="9"/>
            <color indexed="81"/>
            <rFont val="Tahoma"/>
            <family val="2"/>
          </rPr>
          <t xml:space="preserve">
POR ANDRES.
ERA 258
en-2016</t>
        </r>
      </text>
    </comment>
    <comment ref="D3507" authorId="0" shapeId="0" xr:uid="{00000000-0006-0000-0100-0000A1020000}">
      <text>
        <r>
          <rPr>
            <b/>
            <sz val="9"/>
            <color indexed="81"/>
            <rFont val="Tahoma"/>
            <family val="2"/>
          </rPr>
          <t>Jorge Arturo Espinoza:</t>
        </r>
        <r>
          <rPr>
            <sz val="9"/>
            <color indexed="81"/>
            <rFont val="Tahoma"/>
            <family val="2"/>
          </rPr>
          <t xml:space="preserve">
POR ANDRES.
ERA 258
en-2016</t>
        </r>
      </text>
    </comment>
    <comment ref="D3511" authorId="2" shapeId="0" xr:uid="{00000000-0006-0000-0100-0000A2020000}">
      <text>
        <r>
          <rPr>
            <b/>
            <sz val="9"/>
            <color indexed="81"/>
            <rFont val="Tahoma"/>
            <family val="2"/>
          </rPr>
          <t>Roberto Meza:</t>
        </r>
        <r>
          <rPr>
            <sz val="9"/>
            <color indexed="81"/>
            <rFont val="Tahoma"/>
            <family val="2"/>
          </rPr>
          <t xml:space="preserve">
Daniel 7/2/18</t>
        </r>
      </text>
    </comment>
    <comment ref="D3512" authorId="2" shapeId="0" xr:uid="{00000000-0006-0000-0100-0000A3020000}">
      <text>
        <r>
          <rPr>
            <b/>
            <sz val="9"/>
            <color indexed="81"/>
            <rFont val="Tahoma"/>
            <family val="2"/>
          </rPr>
          <t>Roberto Meza:</t>
        </r>
        <r>
          <rPr>
            <sz val="9"/>
            <color indexed="81"/>
            <rFont val="Tahoma"/>
            <family val="2"/>
          </rPr>
          <t xml:space="preserve">
Daniel 7/2/18</t>
        </r>
      </text>
    </comment>
    <comment ref="D3513" authorId="2" shapeId="0" xr:uid="{00000000-0006-0000-0100-0000A4020000}">
      <text>
        <r>
          <rPr>
            <b/>
            <sz val="9"/>
            <color indexed="81"/>
            <rFont val="Tahoma"/>
            <family val="2"/>
          </rPr>
          <t>Roberto Meza:</t>
        </r>
        <r>
          <rPr>
            <sz val="9"/>
            <color indexed="81"/>
            <rFont val="Tahoma"/>
            <family val="2"/>
          </rPr>
          <t xml:space="preserve">
Daniel 7/2/18</t>
        </r>
      </text>
    </comment>
    <comment ref="D3514" authorId="2" shapeId="0" xr:uid="{00000000-0006-0000-0100-0000A5020000}">
      <text>
        <r>
          <rPr>
            <b/>
            <sz val="9"/>
            <color indexed="81"/>
            <rFont val="Tahoma"/>
            <family val="2"/>
          </rPr>
          <t>Roberto Meza:</t>
        </r>
        <r>
          <rPr>
            <sz val="9"/>
            <color indexed="81"/>
            <rFont val="Tahoma"/>
            <family val="2"/>
          </rPr>
          <t xml:space="preserve">
Daniel 7/2/18</t>
        </r>
      </text>
    </comment>
    <comment ref="D3516" authorId="0" shapeId="0" xr:uid="{00000000-0006-0000-0100-0000A6020000}">
      <text>
        <r>
          <rPr>
            <b/>
            <sz val="9"/>
            <color indexed="81"/>
            <rFont val="Tahoma"/>
            <family val="2"/>
          </rPr>
          <t>Jorge Arturo Espinoza:</t>
        </r>
        <r>
          <rPr>
            <sz val="9"/>
            <color indexed="81"/>
            <rFont val="Tahoma"/>
            <family val="2"/>
          </rPr>
          <t xml:space="preserve">
POR ANDRES.
ERA 258
en-2016</t>
        </r>
      </text>
    </comment>
    <comment ref="D3517" authorId="0" shapeId="0" xr:uid="{00000000-0006-0000-0100-0000A7020000}">
      <text>
        <r>
          <rPr>
            <b/>
            <sz val="9"/>
            <color indexed="81"/>
            <rFont val="Tahoma"/>
            <family val="2"/>
          </rPr>
          <t>Jorge Arturo Espinoza:</t>
        </r>
        <r>
          <rPr>
            <sz val="9"/>
            <color indexed="81"/>
            <rFont val="Tahoma"/>
            <family val="2"/>
          </rPr>
          <t xml:space="preserve">
era 258</t>
        </r>
      </text>
    </comment>
    <comment ref="D3518" authorId="0" shapeId="0" xr:uid="{00000000-0006-0000-0100-0000A8020000}">
      <text>
        <r>
          <rPr>
            <b/>
            <sz val="9"/>
            <color indexed="81"/>
            <rFont val="Tahoma"/>
            <family val="2"/>
          </rPr>
          <t>Jorge Arturo Espinoza:</t>
        </r>
        <r>
          <rPr>
            <sz val="9"/>
            <color indexed="81"/>
            <rFont val="Tahoma"/>
            <family val="2"/>
          </rPr>
          <t xml:space="preserve">
aprox
era 258</t>
        </r>
      </text>
    </comment>
    <comment ref="D3531" authorId="0" shapeId="0" xr:uid="{00000000-0006-0000-0100-0000A9020000}">
      <text>
        <r>
          <rPr>
            <b/>
            <sz val="9"/>
            <color indexed="81"/>
            <rFont val="Tahoma"/>
            <family val="2"/>
          </rPr>
          <t>Jorge Arturo Espinoza:</t>
        </r>
        <r>
          <rPr>
            <sz val="9"/>
            <color indexed="81"/>
            <rFont val="Tahoma"/>
            <family val="2"/>
          </rPr>
          <t xml:space="preserve">
aprox
era 258</t>
        </r>
      </text>
    </comment>
    <comment ref="D3532" authorId="0" shapeId="0" xr:uid="{00000000-0006-0000-0100-0000AA020000}">
      <text>
        <r>
          <rPr>
            <b/>
            <sz val="9"/>
            <color indexed="81"/>
            <rFont val="Tahoma"/>
            <family val="2"/>
          </rPr>
          <t>Jorge Arturo Espinoza:</t>
        </r>
        <r>
          <rPr>
            <sz val="9"/>
            <color indexed="81"/>
            <rFont val="Tahoma"/>
            <family val="2"/>
          </rPr>
          <t xml:space="preserve">
aprox
era 258</t>
        </r>
      </text>
    </comment>
    <comment ref="B3550" authorId="0" shapeId="0" xr:uid="{00000000-0006-0000-0100-0000AB020000}">
      <text>
        <r>
          <rPr>
            <b/>
            <sz val="9"/>
            <color indexed="81"/>
            <rFont val="Tahoma"/>
            <family val="2"/>
          </rPr>
          <t>Jorge Arturo Espinoza:</t>
        </r>
        <r>
          <rPr>
            <sz val="9"/>
            <color indexed="81"/>
            <rFont val="Tahoma"/>
            <family val="2"/>
          </rPr>
          <t xml:space="preserve">
MODELOS DESCONTINUADOS</t>
        </r>
      </text>
    </comment>
    <comment ref="D3550" authorId="0" shapeId="0" xr:uid="{00000000-0006-0000-0100-0000AC020000}">
      <text>
        <r>
          <rPr>
            <b/>
            <sz val="9"/>
            <color indexed="81"/>
            <rFont val="Tahoma"/>
            <family val="2"/>
          </rPr>
          <t>Jorge Arturo Espinoza:</t>
        </r>
        <r>
          <rPr>
            <sz val="9"/>
            <color indexed="81"/>
            <rFont val="Tahoma"/>
            <family val="2"/>
          </rPr>
          <t xml:space="preserve">
Precio por Marcial, 2018-02</t>
        </r>
      </text>
    </comment>
    <comment ref="B3551" authorId="0" shapeId="0" xr:uid="{00000000-0006-0000-0100-0000AD020000}">
      <text>
        <r>
          <rPr>
            <b/>
            <sz val="9"/>
            <color indexed="81"/>
            <rFont val="Tahoma"/>
            <family val="2"/>
          </rPr>
          <t>Jorge Arturo Espinoza:</t>
        </r>
        <r>
          <rPr>
            <sz val="9"/>
            <color indexed="81"/>
            <rFont val="Tahoma"/>
            <family val="2"/>
          </rPr>
          <t xml:space="preserve">
MODELOS DESCONTINUADOS</t>
        </r>
      </text>
    </comment>
    <comment ref="D3551" authorId="0" shapeId="0" xr:uid="{00000000-0006-0000-0100-0000AE020000}">
      <text>
        <r>
          <rPr>
            <b/>
            <sz val="9"/>
            <color indexed="81"/>
            <rFont val="Tahoma"/>
            <family val="2"/>
          </rPr>
          <t>Jorge Arturo Espinoza:</t>
        </r>
        <r>
          <rPr>
            <sz val="9"/>
            <color indexed="81"/>
            <rFont val="Tahoma"/>
            <family val="2"/>
          </rPr>
          <t xml:space="preserve">
Precio por Marcial, 2018-02</t>
        </r>
      </text>
    </comment>
    <comment ref="B3552" authorId="0" shapeId="0" xr:uid="{00000000-0006-0000-0100-0000AF020000}">
      <text>
        <r>
          <rPr>
            <b/>
            <sz val="9"/>
            <color indexed="81"/>
            <rFont val="Tahoma"/>
            <family val="2"/>
          </rPr>
          <t>Jorge Arturo Espinoza:</t>
        </r>
        <r>
          <rPr>
            <sz val="9"/>
            <color indexed="81"/>
            <rFont val="Tahoma"/>
            <family val="2"/>
          </rPr>
          <t xml:space="preserve">
MODELOS DESCONTINUADOS</t>
        </r>
      </text>
    </comment>
    <comment ref="D3552" authorId="0" shapeId="0" xr:uid="{00000000-0006-0000-0100-0000B0020000}">
      <text>
        <r>
          <rPr>
            <b/>
            <sz val="9"/>
            <color indexed="81"/>
            <rFont val="Tahoma"/>
            <family val="2"/>
          </rPr>
          <t>Jorge Arturo Espinoza:</t>
        </r>
        <r>
          <rPr>
            <sz val="9"/>
            <color indexed="81"/>
            <rFont val="Tahoma"/>
            <family val="2"/>
          </rPr>
          <t xml:space="preserve">
Precio por Marcial, 2018-02</t>
        </r>
      </text>
    </comment>
    <comment ref="B3554" authorId="0" shapeId="0" xr:uid="{00000000-0006-0000-0100-0000B1020000}">
      <text>
        <r>
          <rPr>
            <b/>
            <sz val="9"/>
            <color indexed="81"/>
            <rFont val="Tahoma"/>
            <family val="2"/>
          </rPr>
          <t>Jorge Arturo Espinoza:</t>
        </r>
        <r>
          <rPr>
            <sz val="9"/>
            <color indexed="81"/>
            <rFont val="Tahoma"/>
            <family val="2"/>
          </rPr>
          <t xml:space="preserve">
MODELOS DESCONTINUADOS</t>
        </r>
      </text>
    </comment>
    <comment ref="B3565" authorId="0" shapeId="0" xr:uid="{00000000-0006-0000-0100-0000B2020000}">
      <text>
        <r>
          <rPr>
            <b/>
            <sz val="9"/>
            <color indexed="81"/>
            <rFont val="Tahoma"/>
            <family val="2"/>
          </rPr>
          <t>Jorge Arturo Espinoza:</t>
        </r>
        <r>
          <rPr>
            <sz val="9"/>
            <color indexed="81"/>
            <rFont val="Tahoma"/>
            <family val="2"/>
          </rPr>
          <t xml:space="preserve">
MODELOS DESCONTINUADOS</t>
        </r>
      </text>
    </comment>
    <comment ref="B3576" authorId="0" shapeId="0" xr:uid="{00000000-0006-0000-0100-0000B3020000}">
      <text>
        <r>
          <rPr>
            <b/>
            <sz val="9"/>
            <color indexed="81"/>
            <rFont val="Tahoma"/>
            <family val="2"/>
          </rPr>
          <t>Jorge Arturo Espinoza:</t>
        </r>
        <r>
          <rPr>
            <sz val="9"/>
            <color indexed="81"/>
            <rFont val="Tahoma"/>
            <family val="2"/>
          </rPr>
          <t xml:space="preserve">
MODELOS DESCONTINUADOS</t>
        </r>
      </text>
    </comment>
    <comment ref="D3585" authorId="0" shapeId="0" xr:uid="{00000000-0006-0000-0100-0000B4020000}">
      <text>
        <r>
          <rPr>
            <b/>
            <sz val="9"/>
            <color indexed="81"/>
            <rFont val="Tahoma"/>
            <family val="2"/>
          </rPr>
          <t>Jorge Arturo Espinoza:</t>
        </r>
        <r>
          <rPr>
            <sz val="9"/>
            <color indexed="81"/>
            <rFont val="Tahoma"/>
            <family val="2"/>
          </rPr>
          <t xml:space="preserve">
ERA $96</t>
        </r>
      </text>
    </comment>
    <comment ref="B3590" authorId="0" shapeId="0" xr:uid="{00000000-0006-0000-0100-0000B5020000}">
      <text>
        <r>
          <rPr>
            <b/>
            <sz val="9"/>
            <color indexed="81"/>
            <rFont val="Tahoma"/>
            <family val="2"/>
          </rPr>
          <t>Jorge Arturo Espinoza:</t>
        </r>
        <r>
          <rPr>
            <sz val="9"/>
            <color indexed="81"/>
            <rFont val="Tahoma"/>
            <family val="2"/>
          </rPr>
          <t xml:space="preserve">
tiempo de importacion = 16 semanas</t>
        </r>
      </text>
    </comment>
    <comment ref="D3590" authorId="1" shapeId="0" xr:uid="{00000000-0006-0000-0100-0000B6020000}">
      <text>
        <r>
          <rPr>
            <b/>
            <sz val="9"/>
            <color indexed="81"/>
            <rFont val="Tahoma"/>
            <family val="2"/>
          </rPr>
          <t>Roberto Meza:</t>
        </r>
        <r>
          <rPr>
            <sz val="9"/>
            <color indexed="81"/>
            <rFont val="Tahoma"/>
            <family val="2"/>
          </rPr>
          <t xml:space="preserve">
ENVIADO POR MARCIAL 06/03/19
</t>
        </r>
      </text>
    </comment>
    <comment ref="B3591" authorId="0" shapeId="0" xr:uid="{00000000-0006-0000-0100-0000B7020000}">
      <text>
        <r>
          <rPr>
            <b/>
            <sz val="9"/>
            <color indexed="81"/>
            <rFont val="Tahoma"/>
            <family val="2"/>
          </rPr>
          <t>Jorge Arturo Espinoza:</t>
        </r>
        <r>
          <rPr>
            <sz val="9"/>
            <color indexed="81"/>
            <rFont val="Tahoma"/>
            <family val="2"/>
          </rPr>
          <t xml:space="preserve">
tiempo de importacion = 16 semanas</t>
        </r>
      </text>
    </comment>
    <comment ref="D3591" authorId="1" shapeId="0" xr:uid="{00000000-0006-0000-0100-0000B8020000}">
      <text>
        <r>
          <rPr>
            <b/>
            <sz val="9"/>
            <color indexed="81"/>
            <rFont val="Tahoma"/>
            <family val="2"/>
          </rPr>
          <t>Paulo Olano:</t>
        </r>
        <r>
          <rPr>
            <sz val="9"/>
            <color indexed="81"/>
            <rFont val="Tahoma"/>
            <family val="2"/>
          </rPr>
          <t xml:space="preserve">
ENVIADO POR MARCIAL 16/02/18
</t>
        </r>
      </text>
    </comment>
    <comment ref="B3592" authorId="0" shapeId="0" xr:uid="{00000000-0006-0000-0100-0000B9020000}">
      <text>
        <r>
          <rPr>
            <b/>
            <sz val="9"/>
            <color indexed="81"/>
            <rFont val="Tahoma"/>
            <family val="2"/>
          </rPr>
          <t>Jorge Arturo Espinoza:</t>
        </r>
        <r>
          <rPr>
            <sz val="9"/>
            <color indexed="81"/>
            <rFont val="Tahoma"/>
            <family val="2"/>
          </rPr>
          <t xml:space="preserve">
tiempo de importacion = 16 semanas</t>
        </r>
      </text>
    </comment>
    <comment ref="D3592" authorId="1" shapeId="0" xr:uid="{00000000-0006-0000-0100-0000BA020000}">
      <text>
        <r>
          <rPr>
            <b/>
            <sz val="9"/>
            <color indexed="81"/>
            <rFont val="Tahoma"/>
            <family val="2"/>
          </rPr>
          <t>Roberto Meza:</t>
        </r>
        <r>
          <rPr>
            <sz val="9"/>
            <color indexed="81"/>
            <rFont val="Tahoma"/>
            <family val="2"/>
          </rPr>
          <t xml:space="preserve">
ENVIADO POR MARCIAL 23/12/19
</t>
        </r>
      </text>
    </comment>
    <comment ref="B3593" authorId="0" shapeId="0" xr:uid="{00000000-0006-0000-0100-0000BB020000}">
      <text>
        <r>
          <rPr>
            <b/>
            <sz val="9"/>
            <color indexed="81"/>
            <rFont val="Tahoma"/>
            <family val="2"/>
          </rPr>
          <t>Jorge Arturo Espinoza:</t>
        </r>
        <r>
          <rPr>
            <sz val="9"/>
            <color indexed="81"/>
            <rFont val="Tahoma"/>
            <family val="2"/>
          </rPr>
          <t xml:space="preserve">
tiempo de importacion = 16 semanas</t>
        </r>
      </text>
    </comment>
    <comment ref="D3593" authorId="1" shapeId="0" xr:uid="{00000000-0006-0000-0100-0000BC020000}">
      <text>
        <r>
          <rPr>
            <b/>
            <sz val="9"/>
            <color indexed="81"/>
            <rFont val="Tahoma"/>
            <family val="2"/>
          </rPr>
          <t>Paulo Olano:</t>
        </r>
        <r>
          <rPr>
            <sz val="9"/>
            <color indexed="81"/>
            <rFont val="Tahoma"/>
            <family val="2"/>
          </rPr>
          <t xml:space="preserve">
ENVIADO POR MARCIAL 16/02/18
</t>
        </r>
      </text>
    </comment>
    <comment ref="B3600" authorId="0" shapeId="0" xr:uid="{00000000-0006-0000-0100-0000BD020000}">
      <text>
        <r>
          <rPr>
            <b/>
            <sz val="9"/>
            <color indexed="81"/>
            <rFont val="Tahoma"/>
            <family val="2"/>
          </rPr>
          <t>Roberto Meza:</t>
        </r>
        <r>
          <rPr>
            <sz val="9"/>
            <color indexed="81"/>
            <rFont val="Tahoma"/>
            <family val="2"/>
          </rPr>
          <t xml:space="preserve">
Tiempo de importacion: 12 semanas</t>
        </r>
      </text>
    </comment>
    <comment ref="D3600" authorId="1" shapeId="0" xr:uid="{00000000-0006-0000-0100-0000BE020000}">
      <text>
        <r>
          <rPr>
            <b/>
            <sz val="9"/>
            <color indexed="81"/>
            <rFont val="Tahoma"/>
            <family val="2"/>
          </rPr>
          <t>Roberto Meza:</t>
        </r>
        <r>
          <rPr>
            <sz val="9"/>
            <color indexed="81"/>
            <rFont val="Tahoma"/>
            <family val="2"/>
          </rPr>
          <t xml:space="preserve">
ENVIADO POR MARCIAL 03/05/2019
</t>
        </r>
      </text>
    </comment>
    <comment ref="B3601" authorId="0" shapeId="0" xr:uid="{00000000-0006-0000-0100-0000BF020000}">
      <text>
        <r>
          <rPr>
            <b/>
            <sz val="9"/>
            <color indexed="81"/>
            <rFont val="Tahoma"/>
            <family val="2"/>
          </rPr>
          <t>Jorge Arturo Espinoza:</t>
        </r>
        <r>
          <rPr>
            <sz val="9"/>
            <color indexed="81"/>
            <rFont val="Tahoma"/>
            <family val="2"/>
          </rPr>
          <t xml:space="preserve">
Tiempo de importacion: 16 semanas</t>
        </r>
      </text>
    </comment>
    <comment ref="D3601" authorId="1" shapeId="0" xr:uid="{00000000-0006-0000-0100-0000C0020000}">
      <text>
        <r>
          <rPr>
            <b/>
            <sz val="9"/>
            <color indexed="81"/>
            <rFont val="Tahoma"/>
            <family val="2"/>
          </rPr>
          <t>Paulo Olano:</t>
        </r>
        <r>
          <rPr>
            <sz val="9"/>
            <color indexed="81"/>
            <rFont val="Tahoma"/>
            <family val="2"/>
          </rPr>
          <t xml:space="preserve">
ENVIADO POR MARCIAL 18/05/2017
</t>
        </r>
      </text>
    </comment>
    <comment ref="B3602" authorId="0" shapeId="0" xr:uid="{00000000-0006-0000-0100-0000C1020000}">
      <text>
        <r>
          <rPr>
            <b/>
            <sz val="9"/>
            <color indexed="81"/>
            <rFont val="Tahoma"/>
            <family val="2"/>
          </rPr>
          <t>Jorge Arturo Espinoza:</t>
        </r>
        <r>
          <rPr>
            <sz val="9"/>
            <color indexed="81"/>
            <rFont val="Tahoma"/>
            <family val="2"/>
          </rPr>
          <t xml:space="preserve">
Tiempo de importacion: 16 semanas</t>
        </r>
      </text>
    </comment>
    <comment ref="D3602" authorId="1" shapeId="0" xr:uid="{00000000-0006-0000-0100-0000C2020000}">
      <text>
        <r>
          <rPr>
            <b/>
            <sz val="9"/>
            <color indexed="81"/>
            <rFont val="Tahoma"/>
            <family val="2"/>
          </rPr>
          <t>Paulo Olano:</t>
        </r>
        <r>
          <rPr>
            <sz val="9"/>
            <color indexed="81"/>
            <rFont val="Tahoma"/>
            <family val="2"/>
          </rPr>
          <t xml:space="preserve">
ENVIADO POR MARCIAL 18/05/2017
</t>
        </r>
      </text>
    </comment>
    <comment ref="B3603" authorId="0" shapeId="0" xr:uid="{00000000-0006-0000-0100-0000C3020000}">
      <text>
        <r>
          <rPr>
            <b/>
            <sz val="9"/>
            <color indexed="81"/>
            <rFont val="Tahoma"/>
            <family val="2"/>
          </rPr>
          <t>Jorge Arturo Espinoza:</t>
        </r>
        <r>
          <rPr>
            <sz val="9"/>
            <color indexed="81"/>
            <rFont val="Tahoma"/>
            <family val="2"/>
          </rPr>
          <t xml:space="preserve">
Tiempo de importacion: 16 semanas</t>
        </r>
      </text>
    </comment>
    <comment ref="D3603" authorId="1" shapeId="0" xr:uid="{00000000-0006-0000-0100-0000C4020000}">
      <text>
        <r>
          <rPr>
            <b/>
            <sz val="9"/>
            <color indexed="81"/>
            <rFont val="Tahoma"/>
            <family val="2"/>
          </rPr>
          <t>Paulo Olano:</t>
        </r>
        <r>
          <rPr>
            <sz val="9"/>
            <color indexed="81"/>
            <rFont val="Tahoma"/>
            <family val="2"/>
          </rPr>
          <t xml:space="preserve">
ENVIADO POR MARCIAL 18/05/2017
</t>
        </r>
      </text>
    </comment>
    <comment ref="B3604" authorId="0" shapeId="0" xr:uid="{00000000-0006-0000-0100-0000C5020000}">
      <text>
        <r>
          <rPr>
            <b/>
            <sz val="9"/>
            <color indexed="81"/>
            <rFont val="Tahoma"/>
            <family val="2"/>
          </rPr>
          <t>Jorge Arturo Espinoza:</t>
        </r>
        <r>
          <rPr>
            <sz val="9"/>
            <color indexed="81"/>
            <rFont val="Tahoma"/>
            <family val="2"/>
          </rPr>
          <t xml:space="preserve">
Tiempo de importacion: 16 semanas</t>
        </r>
      </text>
    </comment>
    <comment ref="D3604" authorId="1" shapeId="0" xr:uid="{00000000-0006-0000-0100-0000C6020000}">
      <text>
        <r>
          <rPr>
            <b/>
            <sz val="9"/>
            <color indexed="81"/>
            <rFont val="Tahoma"/>
            <family val="2"/>
          </rPr>
          <t>Paulo Olano:</t>
        </r>
        <r>
          <rPr>
            <sz val="9"/>
            <color indexed="81"/>
            <rFont val="Tahoma"/>
            <family val="2"/>
          </rPr>
          <t xml:space="preserve">
ENVIADO POR MARCIAL 18/05/2017
</t>
        </r>
      </text>
    </comment>
    <comment ref="B3605" authorId="0" shapeId="0" xr:uid="{00000000-0006-0000-0100-0000C7020000}">
      <text>
        <r>
          <rPr>
            <b/>
            <sz val="9"/>
            <color indexed="81"/>
            <rFont val="Tahoma"/>
            <family val="2"/>
          </rPr>
          <t>Jorge Arturo Espinoza:</t>
        </r>
        <r>
          <rPr>
            <sz val="9"/>
            <color indexed="81"/>
            <rFont val="Tahoma"/>
            <family val="2"/>
          </rPr>
          <t xml:space="preserve">
Tiempo de importacion: 16 semanas</t>
        </r>
      </text>
    </comment>
    <comment ref="D3605" authorId="1" shapeId="0" xr:uid="{00000000-0006-0000-0100-0000C8020000}">
      <text>
        <r>
          <rPr>
            <b/>
            <sz val="9"/>
            <color indexed="81"/>
            <rFont val="Tahoma"/>
            <family val="2"/>
          </rPr>
          <t>Paulo Olano:</t>
        </r>
        <r>
          <rPr>
            <sz val="9"/>
            <color indexed="81"/>
            <rFont val="Tahoma"/>
            <family val="2"/>
          </rPr>
          <t xml:space="preserve">
ENVIADO POR MARCIAL 18/05/2017
</t>
        </r>
      </text>
    </comment>
    <comment ref="B3606" authorId="0" shapeId="0" xr:uid="{00000000-0006-0000-0100-0000C9020000}">
      <text>
        <r>
          <rPr>
            <b/>
            <sz val="9"/>
            <color indexed="81"/>
            <rFont val="Tahoma"/>
            <family val="2"/>
          </rPr>
          <t>Jorge Arturo Espinoza:</t>
        </r>
        <r>
          <rPr>
            <sz val="9"/>
            <color indexed="81"/>
            <rFont val="Tahoma"/>
            <family val="2"/>
          </rPr>
          <t xml:space="preserve">
Tiempo de importacion: 16 semanas</t>
        </r>
      </text>
    </comment>
    <comment ref="D3606" authorId="1" shapeId="0" xr:uid="{00000000-0006-0000-0100-0000CA020000}">
      <text>
        <r>
          <rPr>
            <b/>
            <sz val="9"/>
            <color indexed="81"/>
            <rFont val="Tahoma"/>
            <family val="2"/>
          </rPr>
          <t>Paulo Olano:</t>
        </r>
        <r>
          <rPr>
            <sz val="9"/>
            <color indexed="81"/>
            <rFont val="Tahoma"/>
            <family val="2"/>
          </rPr>
          <t xml:space="preserve">
ENVIADO POR MARCIAL 18/05/2017
</t>
        </r>
      </text>
    </comment>
    <comment ref="B3607" authorId="0" shapeId="0" xr:uid="{00000000-0006-0000-0100-0000CB020000}">
      <text>
        <r>
          <rPr>
            <b/>
            <sz val="9"/>
            <color indexed="81"/>
            <rFont val="Tahoma"/>
            <family val="2"/>
          </rPr>
          <t>Jorge Arturo Espinoza:</t>
        </r>
        <r>
          <rPr>
            <sz val="9"/>
            <color indexed="81"/>
            <rFont val="Tahoma"/>
            <family val="2"/>
          </rPr>
          <t xml:space="preserve">
Tiempo de importacion: 16 semanas</t>
        </r>
      </text>
    </comment>
    <comment ref="D3607" authorId="1" shapeId="0" xr:uid="{00000000-0006-0000-0100-0000CC020000}">
      <text>
        <r>
          <rPr>
            <b/>
            <sz val="9"/>
            <color indexed="81"/>
            <rFont val="Tahoma"/>
            <family val="2"/>
          </rPr>
          <t>Paulo Olano:</t>
        </r>
        <r>
          <rPr>
            <sz val="9"/>
            <color indexed="81"/>
            <rFont val="Tahoma"/>
            <family val="2"/>
          </rPr>
          <t xml:space="preserve">
ENVIADO POR MARCIAL 18/05/2017
</t>
        </r>
      </text>
    </comment>
    <comment ref="B3608" authorId="0" shapeId="0" xr:uid="{00000000-0006-0000-0100-0000CD020000}">
      <text>
        <r>
          <rPr>
            <b/>
            <sz val="9"/>
            <color indexed="81"/>
            <rFont val="Tahoma"/>
            <family val="2"/>
          </rPr>
          <t>Jorge Arturo Espinoza:</t>
        </r>
        <r>
          <rPr>
            <sz val="9"/>
            <color indexed="81"/>
            <rFont val="Tahoma"/>
            <family val="2"/>
          </rPr>
          <t xml:space="preserve">
Tiempo de importacion: 16 semanas</t>
        </r>
      </text>
    </comment>
    <comment ref="D3608" authorId="1" shapeId="0" xr:uid="{00000000-0006-0000-0100-0000CE020000}">
      <text>
        <r>
          <rPr>
            <b/>
            <sz val="9"/>
            <color indexed="81"/>
            <rFont val="Tahoma"/>
            <family val="2"/>
          </rPr>
          <t>Paulo Olano:</t>
        </r>
        <r>
          <rPr>
            <sz val="9"/>
            <color indexed="81"/>
            <rFont val="Tahoma"/>
            <family val="2"/>
          </rPr>
          <t xml:space="preserve">
ENVIADO POR MARCIAL 18/05/2017
</t>
        </r>
      </text>
    </comment>
    <comment ref="B3609" authorId="0" shapeId="0" xr:uid="{00000000-0006-0000-0100-0000CF020000}">
      <text>
        <r>
          <rPr>
            <b/>
            <sz val="9"/>
            <color indexed="81"/>
            <rFont val="Tahoma"/>
            <family val="2"/>
          </rPr>
          <t>Jorge Arturo Espinoza:</t>
        </r>
        <r>
          <rPr>
            <sz val="9"/>
            <color indexed="81"/>
            <rFont val="Tahoma"/>
            <family val="2"/>
          </rPr>
          <t xml:space="preserve">
Tiempo de importacion: 16 semanas</t>
        </r>
      </text>
    </comment>
    <comment ref="D3609" authorId="1" shapeId="0" xr:uid="{00000000-0006-0000-0100-0000D0020000}">
      <text>
        <r>
          <rPr>
            <b/>
            <sz val="9"/>
            <color indexed="81"/>
            <rFont val="Tahoma"/>
            <family val="2"/>
          </rPr>
          <t>Paulo Olano:</t>
        </r>
        <r>
          <rPr>
            <sz val="9"/>
            <color indexed="81"/>
            <rFont val="Tahoma"/>
            <family val="2"/>
          </rPr>
          <t xml:space="preserve">
ENVIADO POR MARCIAL 18/05/2017
</t>
        </r>
      </text>
    </comment>
    <comment ref="B3610" authorId="0" shapeId="0" xr:uid="{00000000-0006-0000-0100-0000D1020000}">
      <text>
        <r>
          <rPr>
            <b/>
            <sz val="9"/>
            <color indexed="81"/>
            <rFont val="Tahoma"/>
            <family val="2"/>
          </rPr>
          <t>Jorge Arturo Espinoza:</t>
        </r>
        <r>
          <rPr>
            <sz val="9"/>
            <color indexed="81"/>
            <rFont val="Tahoma"/>
            <family val="2"/>
          </rPr>
          <t xml:space="preserve">
Tiempo de importacion: 16 semanas</t>
        </r>
      </text>
    </comment>
    <comment ref="D3610" authorId="1" shapeId="0" xr:uid="{00000000-0006-0000-0100-0000D2020000}">
      <text>
        <r>
          <rPr>
            <b/>
            <sz val="9"/>
            <color indexed="81"/>
            <rFont val="Tahoma"/>
            <family val="2"/>
          </rPr>
          <t>Paulo Olano:</t>
        </r>
        <r>
          <rPr>
            <sz val="9"/>
            <color indexed="81"/>
            <rFont val="Tahoma"/>
            <family val="2"/>
          </rPr>
          <t xml:space="preserve">
ENVIADO POR MARCIAL 18/05/2017
</t>
        </r>
      </text>
    </comment>
    <comment ref="B3612" authorId="0" shapeId="0" xr:uid="{00000000-0006-0000-0100-0000D3020000}">
      <text>
        <r>
          <rPr>
            <b/>
            <sz val="9"/>
            <color indexed="81"/>
            <rFont val="Tahoma"/>
            <family val="2"/>
          </rPr>
          <t>Jorge Arturo Espinoza:</t>
        </r>
        <r>
          <rPr>
            <sz val="9"/>
            <color indexed="81"/>
            <rFont val="Tahoma"/>
            <family val="2"/>
          </rPr>
          <t xml:space="preserve">
Tiempo de importacion: 16 semanas</t>
        </r>
      </text>
    </comment>
    <comment ref="D3612" authorId="1" shapeId="0" xr:uid="{00000000-0006-0000-0100-0000D4020000}">
      <text>
        <r>
          <rPr>
            <b/>
            <sz val="9"/>
            <color indexed="81"/>
            <rFont val="Tahoma"/>
            <family val="2"/>
          </rPr>
          <t>Roberto Meza:</t>
        </r>
        <r>
          <rPr>
            <sz val="9"/>
            <color indexed="81"/>
            <rFont val="Tahoma"/>
            <family val="2"/>
          </rPr>
          <t xml:space="preserve">
ENVIADO POR MARCIAL 23/12/2019
</t>
        </r>
      </text>
    </comment>
    <comment ref="B3614" authorId="0" shapeId="0" xr:uid="{00000000-0006-0000-0100-0000D5020000}">
      <text>
        <r>
          <rPr>
            <b/>
            <sz val="9"/>
            <color indexed="81"/>
            <rFont val="Tahoma"/>
            <family val="2"/>
          </rPr>
          <t>Jorge Arturo Espinoza:</t>
        </r>
        <r>
          <rPr>
            <sz val="9"/>
            <color indexed="81"/>
            <rFont val="Tahoma"/>
            <family val="2"/>
          </rPr>
          <t xml:space="preserve">
Tiempo de importacion: 16 semanas</t>
        </r>
      </text>
    </comment>
    <comment ref="D3614" authorId="1" shapeId="0" xr:uid="{00000000-0006-0000-0100-0000D6020000}">
      <text>
        <r>
          <rPr>
            <b/>
            <sz val="9"/>
            <color indexed="81"/>
            <rFont val="Tahoma"/>
            <family val="2"/>
          </rPr>
          <t>Roberto Meza:</t>
        </r>
        <r>
          <rPr>
            <sz val="9"/>
            <color indexed="81"/>
            <rFont val="Tahoma"/>
            <family val="2"/>
          </rPr>
          <t xml:space="preserve">
ENVIADO POR MARCIAL 23/12/2019
</t>
        </r>
      </text>
    </comment>
    <comment ref="D3616" authorId="1" shapeId="0" xr:uid="{00000000-0006-0000-0100-0000D7020000}">
      <text>
        <r>
          <rPr>
            <b/>
            <sz val="9"/>
            <color indexed="81"/>
            <rFont val="Tahoma"/>
            <family val="2"/>
          </rPr>
          <t>Roberto Meza:</t>
        </r>
        <r>
          <rPr>
            <sz val="9"/>
            <color indexed="81"/>
            <rFont val="Tahoma"/>
            <family val="2"/>
          </rPr>
          <t xml:space="preserve">
ENVIADO POR MARCIAL 23/12/2019
</t>
        </r>
      </text>
    </comment>
    <comment ref="B3621" authorId="0" shapeId="0" xr:uid="{00000000-0006-0000-0100-0000D8020000}">
      <text>
        <r>
          <rPr>
            <b/>
            <sz val="9"/>
            <color indexed="81"/>
            <rFont val="Tahoma"/>
            <family val="2"/>
          </rPr>
          <t>Jorge Arturo Espinoza:</t>
        </r>
        <r>
          <rPr>
            <sz val="9"/>
            <color indexed="81"/>
            <rFont val="Tahoma"/>
            <family val="2"/>
          </rPr>
          <t xml:space="preserve">
tiempo de importacion = 16 semanas</t>
        </r>
      </text>
    </comment>
    <comment ref="D3621" authorId="1" shapeId="0" xr:uid="{00000000-0006-0000-0100-0000D9020000}">
      <text>
        <r>
          <rPr>
            <b/>
            <sz val="9"/>
            <color indexed="81"/>
            <rFont val="Tahoma"/>
            <family val="2"/>
          </rPr>
          <t>Paulo Olano:</t>
        </r>
        <r>
          <rPr>
            <sz val="9"/>
            <color indexed="81"/>
            <rFont val="Tahoma"/>
            <family val="2"/>
          </rPr>
          <t xml:space="preserve">
ENVIADO POR MARCIAL 18/05/17
</t>
        </r>
      </text>
    </comment>
    <comment ref="B3622" authorId="0" shapeId="0" xr:uid="{00000000-0006-0000-0100-0000DA020000}">
      <text>
        <r>
          <rPr>
            <b/>
            <sz val="9"/>
            <color indexed="81"/>
            <rFont val="Tahoma"/>
            <family val="2"/>
          </rPr>
          <t>Jorge Arturo Espinoza:</t>
        </r>
        <r>
          <rPr>
            <sz val="9"/>
            <color indexed="81"/>
            <rFont val="Tahoma"/>
            <family val="2"/>
          </rPr>
          <t xml:space="preserve">
tiempo de importacion = 16 semanas</t>
        </r>
      </text>
    </comment>
    <comment ref="D3622" authorId="1" shapeId="0" xr:uid="{00000000-0006-0000-0100-0000DB020000}">
      <text>
        <r>
          <rPr>
            <b/>
            <sz val="9"/>
            <color indexed="81"/>
            <rFont val="Tahoma"/>
            <family val="2"/>
          </rPr>
          <t>Paulo Olano:</t>
        </r>
        <r>
          <rPr>
            <sz val="9"/>
            <color indexed="81"/>
            <rFont val="Tahoma"/>
            <family val="2"/>
          </rPr>
          <t xml:space="preserve">
ENVIADO POR MARCIAL 18/05/17
</t>
        </r>
      </text>
    </comment>
    <comment ref="B3623" authorId="0" shapeId="0" xr:uid="{00000000-0006-0000-0100-0000DC020000}">
      <text>
        <r>
          <rPr>
            <b/>
            <sz val="9"/>
            <color indexed="81"/>
            <rFont val="Tahoma"/>
            <family val="2"/>
          </rPr>
          <t>Jorge Arturo Espinoza:</t>
        </r>
        <r>
          <rPr>
            <sz val="9"/>
            <color indexed="81"/>
            <rFont val="Tahoma"/>
            <family val="2"/>
          </rPr>
          <t xml:space="preserve">
Tiempo de importacion: 16 semanas</t>
        </r>
      </text>
    </comment>
    <comment ref="D3623" authorId="1" shapeId="0" xr:uid="{00000000-0006-0000-0100-0000DD020000}">
      <text>
        <r>
          <rPr>
            <b/>
            <sz val="9"/>
            <color indexed="81"/>
            <rFont val="Tahoma"/>
            <family val="2"/>
          </rPr>
          <t>Paulo Olano:</t>
        </r>
        <r>
          <rPr>
            <sz val="9"/>
            <color indexed="81"/>
            <rFont val="Tahoma"/>
            <family val="2"/>
          </rPr>
          <t xml:space="preserve">
ENVIADO POR MARCIAL 18/05/2017
</t>
        </r>
      </text>
    </comment>
    <comment ref="B3624" authorId="0" shapeId="0" xr:uid="{00000000-0006-0000-0100-0000DE020000}">
      <text>
        <r>
          <rPr>
            <b/>
            <sz val="9"/>
            <color indexed="81"/>
            <rFont val="Tahoma"/>
            <family val="2"/>
          </rPr>
          <t>Jorge Arturo Espinoza:</t>
        </r>
        <r>
          <rPr>
            <sz val="9"/>
            <color indexed="81"/>
            <rFont val="Tahoma"/>
            <family val="2"/>
          </rPr>
          <t xml:space="preserve">
Tiempo de importacion: 16 semanas</t>
        </r>
      </text>
    </comment>
    <comment ref="D3624" authorId="1" shapeId="0" xr:uid="{00000000-0006-0000-0100-0000DF020000}">
      <text>
        <r>
          <rPr>
            <b/>
            <sz val="9"/>
            <color indexed="81"/>
            <rFont val="Tahoma"/>
            <family val="2"/>
          </rPr>
          <t>Paulo Olano:</t>
        </r>
        <r>
          <rPr>
            <sz val="9"/>
            <color indexed="81"/>
            <rFont val="Tahoma"/>
            <family val="2"/>
          </rPr>
          <t xml:space="preserve">
ENVIADO POR MARCIAL 18/05/2017
</t>
        </r>
      </text>
    </comment>
    <comment ref="B3625" authorId="0" shapeId="0" xr:uid="{00000000-0006-0000-0100-0000E0020000}">
      <text>
        <r>
          <rPr>
            <b/>
            <sz val="9"/>
            <color indexed="81"/>
            <rFont val="Tahoma"/>
            <family val="2"/>
          </rPr>
          <t>Jorge Arturo Espinoza:</t>
        </r>
        <r>
          <rPr>
            <sz val="9"/>
            <color indexed="81"/>
            <rFont val="Tahoma"/>
            <family val="2"/>
          </rPr>
          <t xml:space="preserve">
Tiempo de importacion: 16 semanas</t>
        </r>
      </text>
    </comment>
    <comment ref="D3625" authorId="1" shapeId="0" xr:uid="{00000000-0006-0000-0100-0000E1020000}">
      <text>
        <r>
          <rPr>
            <b/>
            <sz val="9"/>
            <color indexed="81"/>
            <rFont val="Tahoma"/>
            <family val="2"/>
          </rPr>
          <t>Paulo Olano:</t>
        </r>
        <r>
          <rPr>
            <sz val="9"/>
            <color indexed="81"/>
            <rFont val="Tahoma"/>
            <family val="2"/>
          </rPr>
          <t xml:space="preserve">
ENVIADO POR MARCIAL 18/05/2017
</t>
        </r>
      </text>
    </comment>
    <comment ref="B3626" authorId="0" shapeId="0" xr:uid="{00000000-0006-0000-0100-0000E2020000}">
      <text>
        <r>
          <rPr>
            <b/>
            <sz val="9"/>
            <color indexed="81"/>
            <rFont val="Tahoma"/>
            <family val="2"/>
          </rPr>
          <t>Jorge Arturo Espinoza:</t>
        </r>
        <r>
          <rPr>
            <sz val="9"/>
            <color indexed="81"/>
            <rFont val="Tahoma"/>
            <family val="2"/>
          </rPr>
          <t xml:space="preserve">
Tiempo de importacion: 16 semanas</t>
        </r>
      </text>
    </comment>
    <comment ref="D3626" authorId="1" shapeId="0" xr:uid="{00000000-0006-0000-0100-0000E3020000}">
      <text>
        <r>
          <rPr>
            <b/>
            <sz val="9"/>
            <color indexed="81"/>
            <rFont val="Tahoma"/>
            <family val="2"/>
          </rPr>
          <t>Paulo Olano:</t>
        </r>
        <r>
          <rPr>
            <sz val="9"/>
            <color indexed="81"/>
            <rFont val="Tahoma"/>
            <family val="2"/>
          </rPr>
          <t xml:space="preserve">
ENVIADO POR MARCIAL 18/05/2017
</t>
        </r>
      </text>
    </comment>
    <comment ref="B3627" authorId="0" shapeId="0" xr:uid="{00000000-0006-0000-0100-0000E4020000}">
      <text>
        <r>
          <rPr>
            <b/>
            <sz val="9"/>
            <color indexed="81"/>
            <rFont val="Tahoma"/>
            <family val="2"/>
          </rPr>
          <t>Jorge Arturo Espinoza:</t>
        </r>
        <r>
          <rPr>
            <sz val="9"/>
            <color indexed="81"/>
            <rFont val="Tahoma"/>
            <family val="2"/>
          </rPr>
          <t xml:space="preserve">
Tiempo de importacion: 16 semanas</t>
        </r>
      </text>
    </comment>
    <comment ref="D3627" authorId="1" shapeId="0" xr:uid="{00000000-0006-0000-0100-0000E5020000}">
      <text>
        <r>
          <rPr>
            <b/>
            <sz val="9"/>
            <color indexed="81"/>
            <rFont val="Tahoma"/>
            <family val="2"/>
          </rPr>
          <t>Paulo Olano:</t>
        </r>
        <r>
          <rPr>
            <sz val="9"/>
            <color indexed="81"/>
            <rFont val="Tahoma"/>
            <family val="2"/>
          </rPr>
          <t xml:space="preserve">
ENVIADO POR MARCIAL 18/05/2017</t>
        </r>
      </text>
    </comment>
    <comment ref="B3629" authorId="0" shapeId="0" xr:uid="{00000000-0006-0000-0100-0000E6020000}">
      <text>
        <r>
          <rPr>
            <b/>
            <sz val="9"/>
            <color indexed="81"/>
            <rFont val="Tahoma"/>
            <family val="2"/>
          </rPr>
          <t>Jorge Arturo Espinoza:</t>
        </r>
        <r>
          <rPr>
            <sz val="9"/>
            <color indexed="81"/>
            <rFont val="Tahoma"/>
            <family val="2"/>
          </rPr>
          <t xml:space="preserve">
Tiempo de importacion: 16 semanas</t>
        </r>
      </text>
    </comment>
    <comment ref="D3629" authorId="1" shapeId="0" xr:uid="{00000000-0006-0000-0100-0000E7020000}">
      <text>
        <r>
          <rPr>
            <b/>
            <sz val="9"/>
            <color indexed="81"/>
            <rFont val="Tahoma"/>
            <family val="2"/>
          </rPr>
          <t>Paulo Olano:</t>
        </r>
        <r>
          <rPr>
            <sz val="9"/>
            <color indexed="81"/>
            <rFont val="Tahoma"/>
            <family val="2"/>
          </rPr>
          <t xml:space="preserve">
ENVIADO POR MARCIAL 18/05/2017
</t>
        </r>
      </text>
    </comment>
    <comment ref="B3632" authorId="0" shapeId="0" xr:uid="{00000000-0006-0000-0100-0000E8020000}">
      <text>
        <r>
          <rPr>
            <b/>
            <sz val="9"/>
            <color indexed="81"/>
            <rFont val="Tahoma"/>
            <family val="2"/>
          </rPr>
          <t>Jorge Arturo Espinoza:</t>
        </r>
        <r>
          <rPr>
            <sz val="9"/>
            <color indexed="81"/>
            <rFont val="Tahoma"/>
            <family val="2"/>
          </rPr>
          <t xml:space="preserve">
Tiempo de importacion: 10 a 12 semanas</t>
        </r>
      </text>
    </comment>
    <comment ref="D3632" authorId="1" shapeId="0" xr:uid="{00000000-0006-0000-0100-0000E9020000}">
      <text>
        <r>
          <rPr>
            <b/>
            <sz val="9"/>
            <color indexed="81"/>
            <rFont val="Tahoma"/>
            <family val="2"/>
          </rPr>
          <t>Paulo Olano:</t>
        </r>
        <r>
          <rPr>
            <sz val="9"/>
            <color indexed="81"/>
            <rFont val="Tahoma"/>
            <family val="2"/>
          </rPr>
          <t xml:space="preserve">
ENVIADO POR DANIEL  19/06/2018
</t>
        </r>
      </text>
    </comment>
    <comment ref="B3633" authorId="0" shapeId="0" xr:uid="{00000000-0006-0000-0100-0000EA020000}">
      <text>
        <r>
          <rPr>
            <b/>
            <sz val="9"/>
            <color indexed="81"/>
            <rFont val="Tahoma"/>
            <family val="2"/>
          </rPr>
          <t>Jorge Arturo Espinoza:</t>
        </r>
        <r>
          <rPr>
            <sz val="9"/>
            <color indexed="81"/>
            <rFont val="Tahoma"/>
            <family val="2"/>
          </rPr>
          <t xml:space="preserve">
Tiempo de importacion: 10 a 12 semanas</t>
        </r>
      </text>
    </comment>
    <comment ref="D3633" authorId="1" shapeId="0" xr:uid="{00000000-0006-0000-0100-0000EB020000}">
      <text>
        <r>
          <rPr>
            <b/>
            <sz val="9"/>
            <color indexed="81"/>
            <rFont val="Tahoma"/>
            <family val="2"/>
          </rPr>
          <t>Paulo Olano:</t>
        </r>
        <r>
          <rPr>
            <sz val="9"/>
            <color indexed="81"/>
            <rFont val="Tahoma"/>
            <family val="2"/>
          </rPr>
          <t xml:space="preserve">
ENVIADO POR DANIEL  19/06/2018
</t>
        </r>
      </text>
    </comment>
    <comment ref="B3634" authorId="0" shapeId="0" xr:uid="{00000000-0006-0000-0100-0000EC020000}">
      <text>
        <r>
          <rPr>
            <b/>
            <sz val="9"/>
            <color indexed="81"/>
            <rFont val="Tahoma"/>
            <family val="2"/>
          </rPr>
          <t>Jorge Arturo Espinoza:</t>
        </r>
        <r>
          <rPr>
            <sz val="9"/>
            <color indexed="81"/>
            <rFont val="Tahoma"/>
            <family val="2"/>
          </rPr>
          <t xml:space="preserve">
Tiempo de importacion: 10 a 12 semanas</t>
        </r>
      </text>
    </comment>
    <comment ref="D3634" authorId="1" shapeId="0" xr:uid="{00000000-0006-0000-0100-0000ED020000}">
      <text>
        <r>
          <rPr>
            <b/>
            <sz val="9"/>
            <color indexed="81"/>
            <rFont val="Tahoma"/>
            <family val="2"/>
          </rPr>
          <t>Paulo Olano:</t>
        </r>
        <r>
          <rPr>
            <sz val="9"/>
            <color indexed="81"/>
            <rFont val="Tahoma"/>
            <family val="2"/>
          </rPr>
          <t xml:space="preserve">
ENVIADO POR DANIEL  19/06/2018
</t>
        </r>
      </text>
    </comment>
    <comment ref="B3635" authorId="0" shapeId="0" xr:uid="{00000000-0006-0000-0100-0000EE020000}">
      <text>
        <r>
          <rPr>
            <b/>
            <sz val="9"/>
            <color indexed="81"/>
            <rFont val="Tahoma"/>
            <family val="2"/>
          </rPr>
          <t>Jorge Arturo Espinoza:</t>
        </r>
        <r>
          <rPr>
            <sz val="9"/>
            <color indexed="81"/>
            <rFont val="Tahoma"/>
            <family val="2"/>
          </rPr>
          <t xml:space="preserve">
Tiempo de importacion: 10 a 12 semanas</t>
        </r>
      </text>
    </comment>
    <comment ref="D3635" authorId="1" shapeId="0" xr:uid="{00000000-0006-0000-0100-0000EF020000}">
      <text>
        <r>
          <rPr>
            <b/>
            <sz val="9"/>
            <color indexed="81"/>
            <rFont val="Tahoma"/>
            <family val="2"/>
          </rPr>
          <t>Paulo Olano:</t>
        </r>
        <r>
          <rPr>
            <sz val="9"/>
            <color indexed="81"/>
            <rFont val="Tahoma"/>
            <family val="2"/>
          </rPr>
          <t xml:space="preserve">
ENVIADO POR DANIEL 19/06/2018
</t>
        </r>
      </text>
    </comment>
    <comment ref="B3638" authorId="0" shapeId="0" xr:uid="{00000000-0006-0000-0100-0000F0020000}">
      <text>
        <r>
          <rPr>
            <b/>
            <sz val="9"/>
            <color indexed="81"/>
            <rFont val="Tahoma"/>
            <family val="2"/>
          </rPr>
          <t>Jorge Arturo Espinoza:</t>
        </r>
        <r>
          <rPr>
            <sz val="9"/>
            <color indexed="81"/>
            <rFont val="Tahoma"/>
            <family val="2"/>
          </rPr>
          <t xml:space="preserve">
tiempo de importacion = 16 semanas</t>
        </r>
      </text>
    </comment>
    <comment ref="D3638" authorId="1" shapeId="0" xr:uid="{00000000-0006-0000-0100-0000F1020000}">
      <text>
        <r>
          <rPr>
            <b/>
            <sz val="9"/>
            <color indexed="81"/>
            <rFont val="Tahoma"/>
            <family val="2"/>
          </rPr>
          <t>Paulo Olano:</t>
        </r>
        <r>
          <rPr>
            <sz val="9"/>
            <color indexed="81"/>
            <rFont val="Tahoma"/>
            <family val="2"/>
          </rPr>
          <t xml:space="preserve">
ENVIADO POR MARCIAL 18/05/17
</t>
        </r>
      </text>
    </comment>
    <comment ref="B3639" authorId="0" shapeId="0" xr:uid="{00000000-0006-0000-0100-0000F2020000}">
      <text>
        <r>
          <rPr>
            <b/>
            <sz val="9"/>
            <color indexed="81"/>
            <rFont val="Tahoma"/>
            <family val="2"/>
          </rPr>
          <t>Jorge Arturo Espinoza:</t>
        </r>
        <r>
          <rPr>
            <sz val="9"/>
            <color indexed="81"/>
            <rFont val="Tahoma"/>
            <family val="2"/>
          </rPr>
          <t xml:space="preserve">
tiempo de importacion: 16 semanas</t>
        </r>
      </text>
    </comment>
    <comment ref="D3639" authorId="0" shapeId="0" xr:uid="{00000000-0006-0000-0100-0000F3020000}">
      <text>
        <r>
          <rPr>
            <b/>
            <sz val="9"/>
            <color indexed="81"/>
            <rFont val="Tahoma"/>
            <family val="2"/>
          </rPr>
          <t>Jorge Arturo Espinoza:</t>
        </r>
        <r>
          <rPr>
            <sz val="9"/>
            <color indexed="81"/>
            <rFont val="Tahoma"/>
            <family val="2"/>
          </rPr>
          <t xml:space="preserve">
DESACTUALIZADO</t>
        </r>
      </text>
    </comment>
    <comment ref="B3640" authorId="0" shapeId="0" xr:uid="{00000000-0006-0000-0100-0000F4020000}">
      <text>
        <r>
          <rPr>
            <b/>
            <sz val="9"/>
            <color indexed="81"/>
            <rFont val="Tahoma"/>
            <family val="2"/>
          </rPr>
          <t>Jorge Arturo Espinoza:</t>
        </r>
        <r>
          <rPr>
            <sz val="9"/>
            <color indexed="81"/>
            <rFont val="Tahoma"/>
            <family val="2"/>
          </rPr>
          <t xml:space="preserve">
Tiempo de importacion: 16 semanas</t>
        </r>
      </text>
    </comment>
    <comment ref="D3640" authorId="0" shapeId="0" xr:uid="{00000000-0006-0000-0100-0000F5020000}">
      <text>
        <r>
          <rPr>
            <b/>
            <sz val="9"/>
            <color indexed="81"/>
            <rFont val="Tahoma"/>
            <family val="2"/>
          </rPr>
          <t xml:space="preserve">Jorge Arturo Espinoza:
</t>
        </r>
        <r>
          <rPr>
            <sz val="9"/>
            <color indexed="81"/>
            <rFont val="Tahoma"/>
            <family val="2"/>
          </rPr>
          <t>ENVIADO POR MARCIAL, EL 03-FEB-2016</t>
        </r>
      </text>
    </comment>
    <comment ref="B3641" authorId="0" shapeId="0" xr:uid="{00000000-0006-0000-0100-0000F6020000}">
      <text>
        <r>
          <rPr>
            <b/>
            <sz val="9"/>
            <color indexed="81"/>
            <rFont val="Tahoma"/>
            <family val="2"/>
          </rPr>
          <t>Jorge Arturo Espinoza:</t>
        </r>
        <r>
          <rPr>
            <sz val="9"/>
            <color indexed="81"/>
            <rFont val="Tahoma"/>
            <family val="2"/>
          </rPr>
          <t xml:space="preserve">
Tiempo de importacion: 16 semanas</t>
        </r>
      </text>
    </comment>
    <comment ref="D3641" authorId="1" shapeId="0" xr:uid="{00000000-0006-0000-0100-0000F7020000}">
      <text>
        <r>
          <rPr>
            <b/>
            <sz val="9"/>
            <color indexed="81"/>
            <rFont val="Tahoma"/>
            <family val="2"/>
          </rPr>
          <t>Paulo Olano:</t>
        </r>
        <r>
          <rPr>
            <sz val="9"/>
            <color indexed="81"/>
            <rFont val="Tahoma"/>
            <family val="2"/>
          </rPr>
          <t xml:space="preserve">
ENVIADO POR MARCIAL 18/05/2017
</t>
        </r>
      </text>
    </comment>
    <comment ref="B3642" authorId="0" shapeId="0" xr:uid="{00000000-0006-0000-0100-0000F8020000}">
      <text>
        <r>
          <rPr>
            <b/>
            <sz val="9"/>
            <color indexed="81"/>
            <rFont val="Tahoma"/>
            <family val="2"/>
          </rPr>
          <t>Jorge Arturo Espinoza:</t>
        </r>
        <r>
          <rPr>
            <sz val="9"/>
            <color indexed="81"/>
            <rFont val="Tahoma"/>
            <family val="2"/>
          </rPr>
          <t xml:space="preserve">
Tiempo de importacion: 16 semanas</t>
        </r>
      </text>
    </comment>
    <comment ref="D3642" authorId="1" shapeId="0" xr:uid="{00000000-0006-0000-0100-0000F9020000}">
      <text>
        <r>
          <rPr>
            <b/>
            <sz val="9"/>
            <color indexed="81"/>
            <rFont val="Tahoma"/>
            <family val="2"/>
          </rPr>
          <t>Paulo Olano:</t>
        </r>
        <r>
          <rPr>
            <sz val="9"/>
            <color indexed="81"/>
            <rFont val="Tahoma"/>
            <family val="2"/>
          </rPr>
          <t xml:space="preserve">
ENVIADO POR MARCIAL 18/05/2017
</t>
        </r>
      </text>
    </comment>
    <comment ref="B3643" authorId="0" shapeId="0" xr:uid="{00000000-0006-0000-0100-0000FA020000}">
      <text>
        <r>
          <rPr>
            <b/>
            <sz val="9"/>
            <color indexed="81"/>
            <rFont val="Tahoma"/>
            <family val="2"/>
          </rPr>
          <t>Jorge Arturo Espinoza:</t>
        </r>
        <r>
          <rPr>
            <sz val="9"/>
            <color indexed="81"/>
            <rFont val="Tahoma"/>
            <family val="2"/>
          </rPr>
          <t xml:space="preserve">
Tiempo de importacion: 16 semanas</t>
        </r>
      </text>
    </comment>
    <comment ref="D3643" authorId="1" shapeId="0" xr:uid="{00000000-0006-0000-0100-0000FB020000}">
      <text>
        <r>
          <rPr>
            <b/>
            <sz val="9"/>
            <color indexed="81"/>
            <rFont val="Tahoma"/>
            <family val="2"/>
          </rPr>
          <t>Paulo Olano:</t>
        </r>
        <r>
          <rPr>
            <sz val="9"/>
            <color indexed="81"/>
            <rFont val="Tahoma"/>
            <family val="2"/>
          </rPr>
          <t xml:space="preserve">
ENVIADO POR MARCIAL 18/05/2017
</t>
        </r>
      </text>
    </comment>
    <comment ref="B3644" authorId="0" shapeId="0" xr:uid="{00000000-0006-0000-0100-0000FC020000}">
      <text>
        <r>
          <rPr>
            <b/>
            <sz val="9"/>
            <color indexed="81"/>
            <rFont val="Tahoma"/>
            <family val="2"/>
          </rPr>
          <t>Jorge Arturo Espinoza:</t>
        </r>
        <r>
          <rPr>
            <sz val="9"/>
            <color indexed="81"/>
            <rFont val="Tahoma"/>
            <family val="2"/>
          </rPr>
          <t xml:space="preserve">
Tiempo de importacion: 16 semanas</t>
        </r>
      </text>
    </comment>
    <comment ref="D3644" authorId="1" shapeId="0" xr:uid="{00000000-0006-0000-0100-0000FD020000}">
      <text>
        <r>
          <rPr>
            <b/>
            <sz val="9"/>
            <color indexed="81"/>
            <rFont val="Tahoma"/>
            <family val="2"/>
          </rPr>
          <t>Paulo Olano:</t>
        </r>
        <r>
          <rPr>
            <sz val="9"/>
            <color indexed="81"/>
            <rFont val="Tahoma"/>
            <family val="2"/>
          </rPr>
          <t xml:space="preserve">
ENVIADO POR DANIEL LIRA 08/09/2017
</t>
        </r>
      </text>
    </comment>
    <comment ref="B3645" authorId="0" shapeId="0" xr:uid="{00000000-0006-0000-0100-0000FE020000}">
      <text>
        <r>
          <rPr>
            <b/>
            <sz val="9"/>
            <color indexed="81"/>
            <rFont val="Tahoma"/>
            <family val="2"/>
          </rPr>
          <t>Jorge Arturo Espinoza:</t>
        </r>
        <r>
          <rPr>
            <sz val="9"/>
            <color indexed="81"/>
            <rFont val="Tahoma"/>
            <family val="2"/>
          </rPr>
          <t xml:space="preserve">
Tiempo de importacion: 16 semanas</t>
        </r>
      </text>
    </comment>
    <comment ref="D3645" authorId="1" shapeId="0" xr:uid="{00000000-0006-0000-0100-0000FF020000}">
      <text>
        <r>
          <rPr>
            <b/>
            <sz val="9"/>
            <color indexed="81"/>
            <rFont val="Tahoma"/>
            <family val="2"/>
          </rPr>
          <t>Paulo Olano:</t>
        </r>
        <r>
          <rPr>
            <sz val="9"/>
            <color indexed="81"/>
            <rFont val="Tahoma"/>
            <family val="2"/>
          </rPr>
          <t xml:space="preserve">
ENVIADO POR MARCIAL 18/05/2017</t>
        </r>
      </text>
    </comment>
    <comment ref="B3646" authorId="0" shapeId="0" xr:uid="{00000000-0006-0000-0100-000000030000}">
      <text>
        <r>
          <rPr>
            <b/>
            <sz val="9"/>
            <color indexed="81"/>
            <rFont val="Tahoma"/>
            <family val="2"/>
          </rPr>
          <t>Jorge Arturo Espinoza:</t>
        </r>
        <r>
          <rPr>
            <sz val="9"/>
            <color indexed="81"/>
            <rFont val="Tahoma"/>
            <family val="2"/>
          </rPr>
          <t xml:space="preserve">
Tiempo de importacion: 16 semanas</t>
        </r>
      </text>
    </comment>
    <comment ref="D3646" authorId="1" shapeId="0" xr:uid="{00000000-0006-0000-0100-000001030000}">
      <text>
        <r>
          <rPr>
            <b/>
            <sz val="9"/>
            <color indexed="81"/>
            <rFont val="Tahoma"/>
            <family val="2"/>
          </rPr>
          <t>Paulo Olano:</t>
        </r>
        <r>
          <rPr>
            <sz val="9"/>
            <color indexed="81"/>
            <rFont val="Tahoma"/>
            <family val="2"/>
          </rPr>
          <t xml:space="preserve">
ENVIADO POR MARCIAL 18/05/2017</t>
        </r>
      </text>
    </comment>
    <comment ref="B3647" authorId="0" shapeId="0" xr:uid="{00000000-0006-0000-0100-000002030000}">
      <text>
        <r>
          <rPr>
            <b/>
            <sz val="9"/>
            <color indexed="81"/>
            <rFont val="Tahoma"/>
            <family val="2"/>
          </rPr>
          <t>Jorge Arturo Espinoza:</t>
        </r>
        <r>
          <rPr>
            <sz val="9"/>
            <color indexed="81"/>
            <rFont val="Tahoma"/>
            <family val="2"/>
          </rPr>
          <t xml:space="preserve">
Tiempo de importacion: 16 semanas.</t>
        </r>
      </text>
    </comment>
    <comment ref="D3647" authorId="0" shapeId="0" xr:uid="{00000000-0006-0000-0100-000003030000}">
      <text>
        <r>
          <rPr>
            <b/>
            <sz val="9"/>
            <color indexed="81"/>
            <rFont val="Tahoma"/>
            <family val="2"/>
          </rPr>
          <t>Jorge Arturo Espinoza:</t>
        </r>
        <r>
          <rPr>
            <sz val="9"/>
            <color indexed="81"/>
            <rFont val="Tahoma"/>
            <family val="2"/>
          </rPr>
          <t xml:space="preserve">
DESACTUALIZADO</t>
        </r>
      </text>
    </comment>
    <comment ref="B3648" authorId="0" shapeId="0" xr:uid="{00000000-0006-0000-0100-000004030000}">
      <text>
        <r>
          <rPr>
            <b/>
            <sz val="9"/>
            <color indexed="81"/>
            <rFont val="Tahoma"/>
            <family val="2"/>
          </rPr>
          <t>Jorge Arturo Espinoza:</t>
        </r>
        <r>
          <rPr>
            <sz val="9"/>
            <color indexed="81"/>
            <rFont val="Tahoma"/>
            <family val="2"/>
          </rPr>
          <t xml:space="preserve">
Tiempo de importacion: 16 semanas.</t>
        </r>
      </text>
    </comment>
    <comment ref="D3648" authorId="0" shapeId="0" xr:uid="{00000000-0006-0000-0100-000005030000}">
      <text>
        <r>
          <rPr>
            <b/>
            <sz val="9"/>
            <color indexed="81"/>
            <rFont val="Tahoma"/>
            <family val="2"/>
          </rPr>
          <t>Jorge Arturo Espinoza:</t>
        </r>
        <r>
          <rPr>
            <sz val="9"/>
            <color indexed="81"/>
            <rFont val="Tahoma"/>
            <family val="2"/>
          </rPr>
          <t xml:space="preserve">
DESACTUALIZADO</t>
        </r>
      </text>
    </comment>
    <comment ref="B3662" authorId="1" shapeId="0" xr:uid="{00000000-0006-0000-0100-000006030000}">
      <text>
        <r>
          <rPr>
            <b/>
            <sz val="9"/>
            <color indexed="81"/>
            <rFont val="Tahoma"/>
            <family val="2"/>
          </rPr>
          <t>Paulo Olano:</t>
        </r>
        <r>
          <rPr>
            <sz val="9"/>
            <color indexed="81"/>
            <rFont val="Tahoma"/>
            <family val="2"/>
          </rPr>
          <t xml:space="preserve">
DIC-2019</t>
        </r>
      </text>
    </comment>
    <comment ref="B3694" authorId="1" shapeId="0" xr:uid="{00000000-0006-0000-0100-000007030000}">
      <text>
        <r>
          <rPr>
            <b/>
            <sz val="9"/>
            <color indexed="81"/>
            <rFont val="Tahoma"/>
            <family val="2"/>
          </rPr>
          <t>Paulo Olano:</t>
        </r>
        <r>
          <rPr>
            <sz val="9"/>
            <color indexed="81"/>
            <rFont val="Tahoma"/>
            <family val="2"/>
          </rPr>
          <t xml:space="preserve">
DIC-2019</t>
        </r>
      </text>
    </comment>
    <comment ref="B3695" authorId="1" shapeId="0" xr:uid="{00000000-0006-0000-0100-000008030000}">
      <text>
        <r>
          <rPr>
            <b/>
            <sz val="9"/>
            <color indexed="81"/>
            <rFont val="Tahoma"/>
            <family val="2"/>
          </rPr>
          <t>Paulo Olano:</t>
        </r>
        <r>
          <rPr>
            <sz val="9"/>
            <color indexed="81"/>
            <rFont val="Tahoma"/>
            <family val="2"/>
          </rPr>
          <t xml:space="preserve">
DIC-2019</t>
        </r>
      </text>
    </comment>
    <comment ref="B3714" authorId="1" shapeId="0" xr:uid="{00000000-0006-0000-0100-000009030000}">
      <text>
        <r>
          <rPr>
            <b/>
            <sz val="9"/>
            <color indexed="81"/>
            <rFont val="Tahoma"/>
            <family val="2"/>
          </rPr>
          <t>Paulo Olano:</t>
        </r>
        <r>
          <rPr>
            <sz val="9"/>
            <color indexed="81"/>
            <rFont val="Tahoma"/>
            <family val="2"/>
          </rPr>
          <t xml:space="preserve">
DIC-2019</t>
        </r>
      </text>
    </comment>
    <comment ref="B3716" authorId="1" shapeId="0" xr:uid="{00000000-0006-0000-0100-00000A030000}">
      <text>
        <r>
          <rPr>
            <b/>
            <sz val="9"/>
            <color indexed="81"/>
            <rFont val="Tahoma"/>
            <family val="2"/>
          </rPr>
          <t>Paulo Olano:</t>
        </r>
        <r>
          <rPr>
            <sz val="9"/>
            <color indexed="81"/>
            <rFont val="Tahoma"/>
            <family val="2"/>
          </rPr>
          <t xml:space="preserve">
DIC-2019</t>
        </r>
      </text>
    </comment>
    <comment ref="B3717" authorId="1" shapeId="0" xr:uid="{00000000-0006-0000-0100-00000B030000}">
      <text>
        <r>
          <rPr>
            <b/>
            <sz val="9"/>
            <color indexed="81"/>
            <rFont val="Tahoma"/>
            <family val="2"/>
          </rPr>
          <t>Paulo Olano:</t>
        </r>
        <r>
          <rPr>
            <sz val="9"/>
            <color indexed="81"/>
            <rFont val="Tahoma"/>
            <family val="2"/>
          </rPr>
          <t xml:space="preserve">
DIC-2019</t>
        </r>
      </text>
    </comment>
    <comment ref="D3746" authorId="1" shapeId="0" xr:uid="{00000000-0006-0000-0100-00000C030000}">
      <text>
        <r>
          <rPr>
            <b/>
            <sz val="9"/>
            <color indexed="81"/>
            <rFont val="Tahoma"/>
            <family val="2"/>
          </rPr>
          <t>Paulo Olano:</t>
        </r>
        <r>
          <rPr>
            <sz val="9"/>
            <color indexed="81"/>
            <rFont val="Tahoma"/>
            <family val="2"/>
          </rPr>
          <t xml:space="preserve">
PRECIO DANIEL LIRA 13/07/2017</t>
        </r>
      </text>
    </comment>
    <comment ref="D3747" authorId="1" shapeId="0" xr:uid="{00000000-0006-0000-0100-00000D030000}">
      <text>
        <r>
          <rPr>
            <b/>
            <sz val="9"/>
            <color indexed="81"/>
            <rFont val="Tahoma"/>
            <family val="2"/>
          </rPr>
          <t>Paulo Olano:</t>
        </r>
        <r>
          <rPr>
            <sz val="9"/>
            <color indexed="81"/>
            <rFont val="Tahoma"/>
            <family val="2"/>
          </rPr>
          <t xml:space="preserve">
PRECIO DANIEL LIRA 13/07/2017</t>
        </r>
      </text>
    </comment>
    <comment ref="D3748" authorId="1" shapeId="0" xr:uid="{00000000-0006-0000-0100-00000E030000}">
      <text>
        <r>
          <rPr>
            <b/>
            <sz val="9"/>
            <color indexed="81"/>
            <rFont val="Tahoma"/>
            <family val="2"/>
          </rPr>
          <t>Paulo Olano:</t>
        </r>
        <r>
          <rPr>
            <sz val="9"/>
            <color indexed="81"/>
            <rFont val="Tahoma"/>
            <family val="2"/>
          </rPr>
          <t xml:space="preserve">
PRECIO DANIEL LIRA 13/07/2017</t>
        </r>
      </text>
    </comment>
    <comment ref="D3749" authorId="1" shapeId="0" xr:uid="{00000000-0006-0000-0100-00000F030000}">
      <text>
        <r>
          <rPr>
            <b/>
            <sz val="9"/>
            <color indexed="81"/>
            <rFont val="Tahoma"/>
            <family val="2"/>
          </rPr>
          <t>Paulo Olano:</t>
        </r>
        <r>
          <rPr>
            <sz val="9"/>
            <color indexed="81"/>
            <rFont val="Tahoma"/>
            <family val="2"/>
          </rPr>
          <t xml:space="preserve">
PRECIO DANIEL LIRA 13/07/2017</t>
        </r>
      </text>
    </comment>
    <comment ref="D3750" authorId="1" shapeId="0" xr:uid="{00000000-0006-0000-0100-000010030000}">
      <text>
        <r>
          <rPr>
            <b/>
            <sz val="9"/>
            <color indexed="81"/>
            <rFont val="Tahoma"/>
            <family val="2"/>
          </rPr>
          <t>Paulo Olano:</t>
        </r>
        <r>
          <rPr>
            <sz val="9"/>
            <color indexed="81"/>
            <rFont val="Tahoma"/>
            <family val="2"/>
          </rPr>
          <t xml:space="preserve">
PRECIO DANIEL LIRA 13/07/2017</t>
        </r>
      </text>
    </comment>
    <comment ref="D3751" authorId="1" shapeId="0" xr:uid="{00000000-0006-0000-0100-000011030000}">
      <text>
        <r>
          <rPr>
            <b/>
            <sz val="9"/>
            <color indexed="81"/>
            <rFont val="Tahoma"/>
            <family val="2"/>
          </rPr>
          <t>Paulo Olano:</t>
        </r>
        <r>
          <rPr>
            <sz val="9"/>
            <color indexed="81"/>
            <rFont val="Tahoma"/>
            <family val="2"/>
          </rPr>
          <t xml:space="preserve">
PRECIO DANIEL LIRA 13/07/2017</t>
        </r>
      </text>
    </comment>
    <comment ref="D3761" authorId="1" shapeId="0" xr:uid="{00000000-0006-0000-0100-000012030000}">
      <text>
        <r>
          <rPr>
            <b/>
            <sz val="9"/>
            <color indexed="81"/>
            <rFont val="Tahoma"/>
            <family val="2"/>
          </rPr>
          <t>Paulo Olano:</t>
        </r>
        <r>
          <rPr>
            <sz val="9"/>
            <color indexed="81"/>
            <rFont val="Tahoma"/>
            <family val="2"/>
          </rPr>
          <t xml:space="preserve">
PRECIO DANIEL LIRA 13/07/2017</t>
        </r>
      </text>
    </comment>
    <comment ref="D3762" authorId="1" shapeId="0" xr:uid="{00000000-0006-0000-0100-000013030000}">
      <text>
        <r>
          <rPr>
            <b/>
            <sz val="9"/>
            <color indexed="81"/>
            <rFont val="Tahoma"/>
            <family val="2"/>
          </rPr>
          <t>Paulo Olano:</t>
        </r>
        <r>
          <rPr>
            <sz val="9"/>
            <color indexed="81"/>
            <rFont val="Tahoma"/>
            <family val="2"/>
          </rPr>
          <t xml:space="preserve">
PRECIO DANIEL LIRA 13/07/2017</t>
        </r>
      </text>
    </comment>
    <comment ref="D3763" authorId="1" shapeId="0" xr:uid="{00000000-0006-0000-0100-000014030000}">
      <text>
        <r>
          <rPr>
            <b/>
            <sz val="9"/>
            <color indexed="81"/>
            <rFont val="Tahoma"/>
            <family val="2"/>
          </rPr>
          <t>Paulo Olano:</t>
        </r>
        <r>
          <rPr>
            <sz val="9"/>
            <color indexed="81"/>
            <rFont val="Tahoma"/>
            <family val="2"/>
          </rPr>
          <t xml:space="preserve">
PRECIO DANIEL LIRA 13/07/2017</t>
        </r>
      </text>
    </comment>
    <comment ref="D3764" authorId="1" shapeId="0" xr:uid="{00000000-0006-0000-0100-000015030000}">
      <text>
        <r>
          <rPr>
            <b/>
            <sz val="9"/>
            <color indexed="81"/>
            <rFont val="Tahoma"/>
            <family val="2"/>
          </rPr>
          <t>Paulo Olano:</t>
        </r>
        <r>
          <rPr>
            <sz val="9"/>
            <color indexed="81"/>
            <rFont val="Tahoma"/>
            <family val="2"/>
          </rPr>
          <t xml:space="preserve">
PRECIO DANIEL LIRA 13/07/2017</t>
        </r>
      </text>
    </comment>
    <comment ref="D3765" authorId="1" shapeId="0" xr:uid="{00000000-0006-0000-0100-000016030000}">
      <text>
        <r>
          <rPr>
            <b/>
            <sz val="9"/>
            <color indexed="81"/>
            <rFont val="Tahoma"/>
            <family val="2"/>
          </rPr>
          <t>Paulo Olano:</t>
        </r>
        <r>
          <rPr>
            <sz val="9"/>
            <color indexed="81"/>
            <rFont val="Tahoma"/>
            <family val="2"/>
          </rPr>
          <t xml:space="preserve">
PRECIO DANIEL LIRA 13/07/2017</t>
        </r>
      </text>
    </comment>
    <comment ref="D3766" authorId="1" shapeId="0" xr:uid="{00000000-0006-0000-0100-000017030000}">
      <text>
        <r>
          <rPr>
            <b/>
            <sz val="9"/>
            <color indexed="81"/>
            <rFont val="Tahoma"/>
            <family val="2"/>
          </rPr>
          <t>Paulo Olano:</t>
        </r>
        <r>
          <rPr>
            <sz val="9"/>
            <color indexed="81"/>
            <rFont val="Tahoma"/>
            <family val="2"/>
          </rPr>
          <t xml:space="preserve">
PRECIO DANIEL LIRA 13/07/2017</t>
        </r>
      </text>
    </comment>
    <comment ref="D3767" authorId="1" shapeId="0" xr:uid="{00000000-0006-0000-0100-000018030000}">
      <text>
        <r>
          <rPr>
            <b/>
            <sz val="9"/>
            <color indexed="81"/>
            <rFont val="Tahoma"/>
            <family val="2"/>
          </rPr>
          <t>Paulo Olano:</t>
        </r>
        <r>
          <rPr>
            <sz val="9"/>
            <color indexed="81"/>
            <rFont val="Tahoma"/>
            <family val="2"/>
          </rPr>
          <t xml:space="preserve">
PRECIO DANIEL LIRA 13/07/2017</t>
        </r>
      </text>
    </comment>
    <comment ref="D3768" authorId="1" shapeId="0" xr:uid="{00000000-0006-0000-0100-000019030000}">
      <text>
        <r>
          <rPr>
            <b/>
            <sz val="9"/>
            <color indexed="81"/>
            <rFont val="Tahoma"/>
            <family val="2"/>
          </rPr>
          <t>Paulo Olano:</t>
        </r>
        <r>
          <rPr>
            <sz val="9"/>
            <color indexed="81"/>
            <rFont val="Tahoma"/>
            <family val="2"/>
          </rPr>
          <t xml:space="preserve">
PRECIO DANIEL LIRA 13/07/2017</t>
        </r>
      </text>
    </comment>
    <comment ref="D3769" authorId="1" shapeId="0" xr:uid="{00000000-0006-0000-0100-00001A030000}">
      <text>
        <r>
          <rPr>
            <b/>
            <sz val="9"/>
            <color indexed="81"/>
            <rFont val="Tahoma"/>
            <family val="2"/>
          </rPr>
          <t>Paulo Olano:</t>
        </r>
        <r>
          <rPr>
            <sz val="9"/>
            <color indexed="81"/>
            <rFont val="Tahoma"/>
            <family val="2"/>
          </rPr>
          <t xml:space="preserve">
PRECIO DANIEL LIRA 13/07/2017</t>
        </r>
      </text>
    </comment>
    <comment ref="D3770" authorId="1" shapeId="0" xr:uid="{00000000-0006-0000-0100-00001B030000}">
      <text>
        <r>
          <rPr>
            <b/>
            <sz val="9"/>
            <color indexed="81"/>
            <rFont val="Tahoma"/>
            <family val="2"/>
          </rPr>
          <t>Paulo Olano:</t>
        </r>
        <r>
          <rPr>
            <sz val="9"/>
            <color indexed="81"/>
            <rFont val="Tahoma"/>
            <family val="2"/>
          </rPr>
          <t xml:space="preserve">
PRECIO DANIEL LIRA 13/07/2017</t>
        </r>
      </text>
    </comment>
    <comment ref="D3823" authorId="0" shapeId="0" xr:uid="{00000000-0006-0000-0100-00001C030000}">
      <text>
        <r>
          <rPr>
            <b/>
            <sz val="9"/>
            <color indexed="81"/>
            <rFont val="Tahoma"/>
            <family val="2"/>
          </rPr>
          <t>Jorge Arturo Espinoza:</t>
        </r>
        <r>
          <rPr>
            <sz val="9"/>
            <color indexed="81"/>
            <rFont val="Tahoma"/>
            <family val="2"/>
          </rPr>
          <t xml:space="preserve">
CORREGIDO</t>
        </r>
      </text>
    </comment>
    <comment ref="B3845" authorId="0" shapeId="0" xr:uid="{00000000-0006-0000-0100-00001D030000}">
      <text>
        <r>
          <rPr>
            <b/>
            <sz val="9"/>
            <color indexed="81"/>
            <rFont val="Tahoma"/>
            <family val="2"/>
          </rPr>
          <t>Jorge Arturo Espinoza:</t>
        </r>
        <r>
          <rPr>
            <sz val="9"/>
            <color indexed="81"/>
            <rFont val="Tahoma"/>
            <family val="2"/>
          </rPr>
          <t xml:space="preserve">
IMPORTACION</t>
        </r>
      </text>
    </comment>
    <comment ref="D3845" authorId="0" shapeId="0" xr:uid="{00000000-0006-0000-0100-00001E030000}">
      <text>
        <r>
          <rPr>
            <b/>
            <sz val="9"/>
            <color indexed="81"/>
            <rFont val="Tahoma"/>
            <family val="2"/>
          </rPr>
          <t>Jorge Arturo Espinoza:</t>
        </r>
        <r>
          <rPr>
            <sz val="9"/>
            <color indexed="81"/>
            <rFont val="Tahoma"/>
            <family val="2"/>
          </rPr>
          <t xml:space="preserve">
PRECIO ACTUALIZADO</t>
        </r>
      </text>
    </comment>
    <comment ref="D3846" authorId="0" shapeId="0" xr:uid="{00000000-0006-0000-0100-00001F030000}">
      <text>
        <r>
          <rPr>
            <b/>
            <sz val="9"/>
            <color indexed="81"/>
            <rFont val="Tahoma"/>
            <family val="2"/>
          </rPr>
          <t>Jorge Arturo Espinoza:</t>
        </r>
        <r>
          <rPr>
            <sz val="9"/>
            <color indexed="81"/>
            <rFont val="Tahoma"/>
            <family val="2"/>
          </rPr>
          <t xml:space="preserve">
PRECIO ACTUALIZADO</t>
        </r>
      </text>
    </comment>
    <comment ref="D3847" authorId="0" shapeId="0" xr:uid="{00000000-0006-0000-0100-000020030000}">
      <text>
        <r>
          <rPr>
            <b/>
            <sz val="9"/>
            <color indexed="81"/>
            <rFont val="Tahoma"/>
            <family val="2"/>
          </rPr>
          <t>Jorge Arturo Espinoza:</t>
        </r>
        <r>
          <rPr>
            <sz val="9"/>
            <color indexed="81"/>
            <rFont val="Tahoma"/>
            <family val="2"/>
          </rPr>
          <t xml:space="preserve">
PRECIO ACTUALIZADO</t>
        </r>
      </text>
    </comment>
    <comment ref="D3848" authorId="0" shapeId="0" xr:uid="{00000000-0006-0000-0100-000021030000}">
      <text>
        <r>
          <rPr>
            <b/>
            <sz val="9"/>
            <color indexed="81"/>
            <rFont val="Tahoma"/>
            <family val="2"/>
          </rPr>
          <t>Jorge Arturo Espinoza:</t>
        </r>
        <r>
          <rPr>
            <sz val="9"/>
            <color indexed="81"/>
            <rFont val="Tahoma"/>
            <family val="2"/>
          </rPr>
          <t xml:space="preserve">
PRECIO ACTUALIZADO</t>
        </r>
      </text>
    </comment>
    <comment ref="D3849" authorId="0" shapeId="0" xr:uid="{00000000-0006-0000-0100-000022030000}">
      <text>
        <r>
          <rPr>
            <b/>
            <sz val="9"/>
            <color indexed="81"/>
            <rFont val="Tahoma"/>
            <family val="2"/>
          </rPr>
          <t>Jorge Arturo Espinoza:</t>
        </r>
        <r>
          <rPr>
            <sz val="9"/>
            <color indexed="81"/>
            <rFont val="Tahoma"/>
            <family val="2"/>
          </rPr>
          <t xml:space="preserve">
PRECIO ACTUALIZADO</t>
        </r>
      </text>
    </comment>
    <comment ref="D3850" authorId="0" shapeId="0" xr:uid="{00000000-0006-0000-0100-000023030000}">
      <text>
        <r>
          <rPr>
            <b/>
            <sz val="9"/>
            <color indexed="81"/>
            <rFont val="Tahoma"/>
            <family val="2"/>
          </rPr>
          <t>Jorge Arturo Espinoza:</t>
        </r>
        <r>
          <rPr>
            <sz val="9"/>
            <color indexed="81"/>
            <rFont val="Tahoma"/>
            <family val="2"/>
          </rPr>
          <t xml:space="preserve">
PRECIO ACTUALIZADO</t>
        </r>
      </text>
    </comment>
    <comment ref="D3851" authorId="0" shapeId="0" xr:uid="{00000000-0006-0000-0100-000024030000}">
      <text>
        <r>
          <rPr>
            <b/>
            <sz val="9"/>
            <color indexed="81"/>
            <rFont val="Tahoma"/>
            <family val="2"/>
          </rPr>
          <t>Jorge Arturo Espinoza:</t>
        </r>
        <r>
          <rPr>
            <sz val="9"/>
            <color indexed="81"/>
            <rFont val="Tahoma"/>
            <family val="2"/>
          </rPr>
          <t xml:space="preserve">
PRECIO ACTUALIZADO</t>
        </r>
      </text>
    </comment>
    <comment ref="D3852" authorId="0" shapeId="0" xr:uid="{00000000-0006-0000-0100-000025030000}">
      <text>
        <r>
          <rPr>
            <b/>
            <sz val="9"/>
            <color indexed="81"/>
            <rFont val="Tahoma"/>
            <family val="2"/>
          </rPr>
          <t>Jorge Arturo Espinoza:</t>
        </r>
        <r>
          <rPr>
            <sz val="9"/>
            <color indexed="81"/>
            <rFont val="Tahoma"/>
            <family val="2"/>
          </rPr>
          <t xml:space="preserve">
PRECIO ACTUALIZADO</t>
        </r>
      </text>
    </comment>
    <comment ref="D3853" authorId="0" shapeId="0" xr:uid="{00000000-0006-0000-0100-000026030000}">
      <text>
        <r>
          <rPr>
            <b/>
            <sz val="9"/>
            <color indexed="81"/>
            <rFont val="Tahoma"/>
            <family val="2"/>
          </rPr>
          <t>Jorge Arturo Espinoza:</t>
        </r>
        <r>
          <rPr>
            <sz val="9"/>
            <color indexed="81"/>
            <rFont val="Tahoma"/>
            <family val="2"/>
          </rPr>
          <t xml:space="preserve">
PRECIO ACTUALIZADO</t>
        </r>
      </text>
    </comment>
    <comment ref="B3865" authorId="0" shapeId="0" xr:uid="{00000000-0006-0000-0100-000027030000}">
      <text>
        <r>
          <rPr>
            <b/>
            <sz val="9"/>
            <color indexed="81"/>
            <rFont val="Tahoma"/>
            <family val="2"/>
          </rPr>
          <t>Jorge Arturo Espinoza:</t>
        </r>
        <r>
          <rPr>
            <sz val="9"/>
            <color indexed="81"/>
            <rFont val="Tahoma"/>
            <family val="2"/>
          </rPr>
          <t xml:space="preserve">
IMPORTACION, NO SE TIENE EN SOTTOCK</t>
        </r>
      </text>
    </comment>
    <comment ref="D3893" authorId="0" shapeId="0" xr:uid="{00000000-0006-0000-0100-000028030000}">
      <text>
        <r>
          <rPr>
            <b/>
            <sz val="9"/>
            <color indexed="81"/>
            <rFont val="Tahoma"/>
            <family val="2"/>
          </rPr>
          <t>Roberto Meza:</t>
        </r>
        <r>
          <rPr>
            <sz val="9"/>
            <color indexed="81"/>
            <rFont val="Tahoma"/>
            <family val="2"/>
          </rPr>
          <t xml:space="preserve">
Marcial / Marzo 2019</t>
        </r>
      </text>
    </comment>
    <comment ref="G3901" authorId="0" shapeId="0" xr:uid="{00000000-0006-0000-0100-000029030000}">
      <text>
        <r>
          <rPr>
            <b/>
            <sz val="9"/>
            <color indexed="81"/>
            <rFont val="Tahoma"/>
            <family val="2"/>
          </rPr>
          <t>Jorge Arturo Espinoza:</t>
        </r>
        <r>
          <rPr>
            <sz val="9"/>
            <color indexed="81"/>
            <rFont val="Tahoma"/>
            <family val="2"/>
          </rPr>
          <t xml:space="preserve">
CORREGIDO POR MI</t>
        </r>
      </text>
    </comment>
    <comment ref="G3902" authorId="0" shapeId="0" xr:uid="{00000000-0006-0000-0100-00002A030000}">
      <text>
        <r>
          <rPr>
            <b/>
            <sz val="9"/>
            <color indexed="81"/>
            <rFont val="Tahoma"/>
            <family val="2"/>
          </rPr>
          <t>Jorge Arturo Espinoza:</t>
        </r>
        <r>
          <rPr>
            <sz val="9"/>
            <color indexed="81"/>
            <rFont val="Tahoma"/>
            <family val="2"/>
          </rPr>
          <t xml:space="preserve">
CORREGIDO POR MI</t>
        </r>
      </text>
    </comment>
    <comment ref="B3967" authorId="0" shapeId="0" xr:uid="{00000000-0006-0000-0100-00002B030000}">
      <text>
        <r>
          <rPr>
            <b/>
            <sz val="9"/>
            <color indexed="81"/>
            <rFont val="Tahoma"/>
            <family val="2"/>
          </rPr>
          <t>Jorge Arturo Espinoza:</t>
        </r>
        <r>
          <rPr>
            <sz val="9"/>
            <color indexed="81"/>
            <rFont val="Tahoma"/>
            <family val="2"/>
          </rPr>
          <t xml:space="preserve">
tiempo de importacion = 16 semanas</t>
        </r>
      </text>
    </comment>
    <comment ref="B3968" authorId="0" shapeId="0" xr:uid="{00000000-0006-0000-0100-00002C030000}">
      <text>
        <r>
          <rPr>
            <b/>
            <sz val="9"/>
            <color indexed="81"/>
            <rFont val="Tahoma"/>
            <family val="2"/>
          </rPr>
          <t>Jorge Arturo Espinoza:</t>
        </r>
        <r>
          <rPr>
            <sz val="9"/>
            <color indexed="81"/>
            <rFont val="Tahoma"/>
            <family val="2"/>
          </rPr>
          <t xml:space="preserve">
tiempo de importacion = 16 semanas</t>
        </r>
      </text>
    </comment>
    <comment ref="G3991" authorId="0" shapeId="0" xr:uid="{00000000-0006-0000-0100-00002D030000}">
      <text>
        <r>
          <rPr>
            <b/>
            <sz val="9"/>
            <color indexed="81"/>
            <rFont val="Tahoma"/>
            <family val="2"/>
          </rPr>
          <t>Jorge Arturo Espinoza:</t>
        </r>
        <r>
          <rPr>
            <sz val="9"/>
            <color indexed="81"/>
            <rFont val="Tahoma"/>
            <family val="2"/>
          </rPr>
          <t xml:space="preserve">
es actuacion del interuptor ? O del relé ?</t>
        </r>
      </text>
    </comment>
    <comment ref="G3992" authorId="0" shapeId="0" xr:uid="{00000000-0006-0000-0100-00002E030000}">
      <text>
        <r>
          <rPr>
            <b/>
            <sz val="9"/>
            <color indexed="81"/>
            <rFont val="Tahoma"/>
            <family val="2"/>
          </rPr>
          <t>Jorge Arturo Espinoza:</t>
        </r>
        <r>
          <rPr>
            <sz val="9"/>
            <color indexed="81"/>
            <rFont val="Tahoma"/>
            <family val="2"/>
          </rPr>
          <t xml:space="preserve">
es actuacion del interuptor ? O del relé ?</t>
        </r>
      </text>
    </comment>
    <comment ref="B4059" authorId="0" shapeId="0" xr:uid="{00000000-0006-0000-0100-00002F030000}">
      <text>
        <r>
          <rPr>
            <b/>
            <sz val="9"/>
            <color indexed="81"/>
            <rFont val="Tahoma"/>
            <family val="2"/>
          </rPr>
          <t>Jorge Arturo Espinoza:</t>
        </r>
        <r>
          <rPr>
            <sz val="9"/>
            <color indexed="81"/>
            <rFont val="Tahoma"/>
            <family val="2"/>
          </rPr>
          <t xml:space="preserve">
VERIFICAR STOCK</t>
        </r>
      </text>
    </comment>
    <comment ref="B4095" authorId="0" shapeId="0" xr:uid="{00000000-0006-0000-0100-000030030000}">
      <text>
        <r>
          <rPr>
            <b/>
            <sz val="9"/>
            <color indexed="81"/>
            <rFont val="Tahoma"/>
            <family val="2"/>
          </rPr>
          <t>Jorge Arturo Espinoza:</t>
        </r>
        <r>
          <rPr>
            <sz val="9"/>
            <color indexed="81"/>
            <rFont val="Tahoma"/>
            <family val="2"/>
          </rPr>
          <t xml:space="preserve">
VERIFICAR STOCK</t>
        </r>
      </text>
    </comment>
    <comment ref="B4179" authorId="0" shapeId="0" xr:uid="{00000000-0006-0000-0100-000031030000}">
      <text>
        <r>
          <rPr>
            <b/>
            <sz val="9"/>
            <color indexed="81"/>
            <rFont val="Tahoma"/>
            <family val="2"/>
          </rPr>
          <t>Jorge Arturo Espinoza:</t>
        </r>
        <r>
          <rPr>
            <sz val="9"/>
            <color indexed="81"/>
            <rFont val="Tahoma"/>
            <family val="2"/>
          </rPr>
          <t xml:space="preserve">
EN STOCK?</t>
        </r>
      </text>
    </comment>
    <comment ref="D4179" authorId="0" shapeId="0" xr:uid="{00000000-0006-0000-0100-000032030000}">
      <text>
        <r>
          <rPr>
            <b/>
            <sz val="9"/>
            <color indexed="81"/>
            <rFont val="Tahoma"/>
            <family val="2"/>
          </rPr>
          <t>Jorge Arturo Espinoza:</t>
        </r>
        <r>
          <rPr>
            <sz val="9"/>
            <color indexed="81"/>
            <rFont val="Tahoma"/>
            <family val="2"/>
          </rPr>
          <t xml:space="preserve">
Enviado por Marcial, en Set-2015
Jorge Bascones, 02-Nov-2015</t>
        </r>
      </text>
    </comment>
    <comment ref="B4203" authorId="0" shapeId="0" xr:uid="{00000000-0006-0000-0100-000033030000}">
      <text>
        <r>
          <rPr>
            <b/>
            <sz val="9"/>
            <color indexed="81"/>
            <rFont val="Tahoma"/>
            <family val="2"/>
          </rPr>
          <t>Jorge Arturo Espinoza:</t>
        </r>
        <r>
          <rPr>
            <sz val="9"/>
            <color indexed="81"/>
            <rFont val="Tahoma"/>
            <family val="2"/>
          </rPr>
          <t xml:space="preserve">
IMPORTACION</t>
        </r>
      </text>
    </comment>
    <comment ref="D4203" authorId="0" shapeId="0" xr:uid="{00000000-0006-0000-0100-000034030000}">
      <text>
        <r>
          <rPr>
            <b/>
            <sz val="9"/>
            <color indexed="81"/>
            <rFont val="Tahoma"/>
            <family val="2"/>
          </rPr>
          <t>Jorge Arturo Espinoza:</t>
        </r>
        <r>
          <rPr>
            <sz val="9"/>
            <color indexed="81"/>
            <rFont val="Tahoma"/>
            <family val="2"/>
          </rPr>
          <t xml:space="preserve">
Enviado por Marcial, en 30-Mar-2016
Paulo Olano, 30-Mar-2016</t>
        </r>
      </text>
    </comment>
    <comment ref="D4207" authorId="2" shapeId="0" xr:uid="{00000000-0006-0000-0100-000035030000}">
      <text>
        <r>
          <rPr>
            <b/>
            <sz val="9"/>
            <color indexed="81"/>
            <rFont val="Tahoma"/>
            <family val="2"/>
          </rPr>
          <t>Roberto Meza:</t>
        </r>
        <r>
          <rPr>
            <sz val="9"/>
            <color indexed="81"/>
            <rFont val="Tahoma"/>
            <family val="2"/>
          </rPr>
          <t xml:space="preserve">
Marcial - Mayo 2018 </t>
        </r>
      </text>
    </comment>
    <comment ref="D4208" authorId="2" shapeId="0" xr:uid="{00000000-0006-0000-0100-000036030000}">
      <text>
        <r>
          <rPr>
            <b/>
            <sz val="9"/>
            <color indexed="81"/>
            <rFont val="Tahoma"/>
            <family val="2"/>
          </rPr>
          <t>Roberto Meza:</t>
        </r>
        <r>
          <rPr>
            <sz val="9"/>
            <color indexed="81"/>
            <rFont val="Tahoma"/>
            <family val="2"/>
          </rPr>
          <t xml:space="preserve">
Marcial - Mayo 2018 </t>
        </r>
      </text>
    </comment>
    <comment ref="D4269" authorId="0" shapeId="0" xr:uid="{00000000-0006-0000-0100-000037030000}">
      <text>
        <r>
          <rPr>
            <b/>
            <sz val="9"/>
            <color indexed="81"/>
            <rFont val="Tahoma"/>
            <family val="2"/>
          </rPr>
          <t>Jorge Arturo Espinoza:</t>
        </r>
        <r>
          <rPr>
            <sz val="9"/>
            <color indexed="81"/>
            <rFont val="Tahoma"/>
            <family val="2"/>
          </rPr>
          <t xml:space="preserve">
Precio por Daniel Lira = $33
(02-Mayo-2016, verbalmente).
</t>
        </r>
      </text>
    </comment>
    <comment ref="D4270" authorId="0" shapeId="0" xr:uid="{00000000-0006-0000-0100-000038030000}">
      <text>
        <r>
          <rPr>
            <b/>
            <sz val="9"/>
            <color indexed="81"/>
            <rFont val="Tahoma"/>
            <family val="2"/>
          </rPr>
          <t>Jorge Arturo Espinoza:</t>
        </r>
        <r>
          <rPr>
            <sz val="9"/>
            <color indexed="81"/>
            <rFont val="Tahoma"/>
            <family val="2"/>
          </rPr>
          <t xml:space="preserve">
Precio por Daniel Lira = $33
(02-Mayo-2016, verbalmente).</t>
        </r>
      </text>
    </comment>
    <comment ref="C4281" authorId="1" shapeId="0" xr:uid="{00000000-0006-0000-0100-000039030000}">
      <text>
        <r>
          <rPr>
            <b/>
            <sz val="9"/>
            <color indexed="81"/>
            <rFont val="Tahoma"/>
            <family val="2"/>
          </rPr>
          <t>Paulo Olano:</t>
        </r>
        <r>
          <rPr>
            <sz val="9"/>
            <color indexed="81"/>
            <rFont val="Tahoma"/>
            <family val="2"/>
          </rPr>
          <t xml:space="preserve">
Nov. 2019</t>
        </r>
      </text>
    </comment>
    <comment ref="C4282" authorId="1" shapeId="0" xr:uid="{00000000-0006-0000-0100-00003A030000}">
      <text>
        <r>
          <rPr>
            <b/>
            <sz val="9"/>
            <color indexed="81"/>
            <rFont val="Tahoma"/>
            <family val="2"/>
          </rPr>
          <t>Paulo Olano:</t>
        </r>
        <r>
          <rPr>
            <sz val="9"/>
            <color indexed="81"/>
            <rFont val="Tahoma"/>
            <family val="2"/>
          </rPr>
          <t xml:space="preserve">
NOV 2019</t>
        </r>
      </text>
    </comment>
    <comment ref="C4283" authorId="1" shapeId="0" xr:uid="{00000000-0006-0000-0100-00003B030000}">
      <text>
        <r>
          <rPr>
            <b/>
            <sz val="9"/>
            <color indexed="81"/>
            <rFont val="Tahoma"/>
            <family val="2"/>
          </rPr>
          <t>Paulo Olano:</t>
        </r>
        <r>
          <rPr>
            <sz val="9"/>
            <color indexed="81"/>
            <rFont val="Tahoma"/>
            <family val="2"/>
          </rPr>
          <t xml:space="preserve">
NOV 2019</t>
        </r>
      </text>
    </comment>
    <comment ref="C4285" authorId="1" shapeId="0" xr:uid="{00000000-0006-0000-0100-00003C030000}">
      <text>
        <r>
          <rPr>
            <b/>
            <sz val="9"/>
            <color indexed="81"/>
            <rFont val="Tahoma"/>
            <family val="2"/>
          </rPr>
          <t>Paulo Olano:</t>
        </r>
        <r>
          <rPr>
            <sz val="9"/>
            <color indexed="81"/>
            <rFont val="Tahoma"/>
            <family val="2"/>
          </rPr>
          <t xml:space="preserve">
NOV 2019</t>
        </r>
      </text>
    </comment>
    <comment ref="C4286" authorId="1" shapeId="0" xr:uid="{00000000-0006-0000-0100-00003D030000}">
      <text>
        <r>
          <rPr>
            <b/>
            <sz val="9"/>
            <color indexed="81"/>
            <rFont val="Tahoma"/>
            <family val="2"/>
          </rPr>
          <t>Paulo Olano:</t>
        </r>
        <r>
          <rPr>
            <sz val="9"/>
            <color indexed="81"/>
            <rFont val="Tahoma"/>
            <family val="2"/>
          </rPr>
          <t xml:space="preserve">
NOV 2019</t>
        </r>
      </text>
    </comment>
    <comment ref="C4287" authorId="1" shapeId="0" xr:uid="{00000000-0006-0000-0100-00003E030000}">
      <text>
        <r>
          <rPr>
            <b/>
            <sz val="9"/>
            <color indexed="81"/>
            <rFont val="Tahoma"/>
            <family val="2"/>
          </rPr>
          <t>Paulo Olano:</t>
        </r>
        <r>
          <rPr>
            <sz val="9"/>
            <color indexed="81"/>
            <rFont val="Tahoma"/>
            <family val="2"/>
          </rPr>
          <t xml:space="preserve">
NOV 2019</t>
        </r>
      </text>
    </comment>
    <comment ref="C4289" authorId="0" shapeId="0" xr:uid="{00000000-0006-0000-0100-00003F030000}">
      <text>
        <r>
          <rPr>
            <b/>
            <sz val="9"/>
            <color indexed="81"/>
            <rFont val="Tahoma"/>
            <family val="2"/>
          </rPr>
          <t>Jorge Arturo Espinoza:</t>
        </r>
        <r>
          <rPr>
            <sz val="9"/>
            <color indexed="81"/>
            <rFont val="Tahoma"/>
            <family val="2"/>
          </rPr>
          <t xml:space="preserve">
PRECIO NEGOCIADO POR PROYECTO PURUCHUCO</t>
        </r>
      </text>
    </comment>
    <comment ref="E4289" authorId="0" shapeId="0" xr:uid="{00000000-0006-0000-0100-000040030000}">
      <text>
        <r>
          <rPr>
            <b/>
            <sz val="9"/>
            <color indexed="81"/>
            <rFont val="Tahoma"/>
            <family val="2"/>
          </rPr>
          <t>Jorge Arturo Espinoza:</t>
        </r>
        <r>
          <rPr>
            <sz val="9"/>
            <color indexed="81"/>
            <rFont val="Tahoma"/>
            <family val="2"/>
          </rPr>
          <t xml:space="preserve">
EVALUAR</t>
        </r>
      </text>
    </comment>
    <comment ref="C4290" authorId="0" shapeId="0" xr:uid="{00000000-0006-0000-0100-000041030000}">
      <text>
        <r>
          <rPr>
            <b/>
            <sz val="9"/>
            <color indexed="81"/>
            <rFont val="Tahoma"/>
            <family val="2"/>
          </rPr>
          <t>Jorge Arturo Espinoza:</t>
        </r>
        <r>
          <rPr>
            <sz val="9"/>
            <color indexed="81"/>
            <rFont val="Tahoma"/>
            <family val="2"/>
          </rPr>
          <t xml:space="preserve">
PRECIO NEGOCIADO POR PROYECTO PURUCHUCO</t>
        </r>
      </text>
    </comment>
    <comment ref="C4291" authorId="1" shapeId="0" xr:uid="{00000000-0006-0000-0100-000042030000}">
      <text>
        <r>
          <rPr>
            <b/>
            <sz val="9"/>
            <color indexed="81"/>
            <rFont val="Tahoma"/>
            <family val="2"/>
          </rPr>
          <t>Paulo Olano:</t>
        </r>
        <r>
          <rPr>
            <sz val="9"/>
            <color indexed="81"/>
            <rFont val="Tahoma"/>
            <family val="2"/>
          </rPr>
          <t xml:space="preserve">
PRECIO DESCONTADO
COSELSA
</t>
        </r>
      </text>
    </comment>
    <comment ref="C4292" authorId="0" shapeId="0" xr:uid="{00000000-0006-0000-0100-000043030000}">
      <text>
        <r>
          <rPr>
            <b/>
            <sz val="9"/>
            <color indexed="81"/>
            <rFont val="Tahoma"/>
            <family val="2"/>
          </rPr>
          <t>Jorge Arturo Espinoza:</t>
        </r>
        <r>
          <rPr>
            <sz val="9"/>
            <color indexed="81"/>
            <rFont val="Tahoma"/>
            <family val="2"/>
          </rPr>
          <t xml:space="preserve">
PRECIO NEGOCIADO POR PROYECTO PURUCHUCO</t>
        </r>
      </text>
    </comment>
    <comment ref="C4293" authorId="0" shapeId="0" xr:uid="{00000000-0006-0000-0100-000044030000}">
      <text>
        <r>
          <rPr>
            <b/>
            <sz val="9"/>
            <color indexed="81"/>
            <rFont val="Tahoma"/>
            <family val="2"/>
          </rPr>
          <t>Jorge Arturo Espinoza:</t>
        </r>
        <r>
          <rPr>
            <sz val="9"/>
            <color indexed="81"/>
            <rFont val="Tahoma"/>
            <family val="2"/>
          </rPr>
          <t xml:space="preserve">
PRECIO NEGOCIADO POR PROYECTO PURUCHUCO</t>
        </r>
      </text>
    </comment>
    <comment ref="C4294" authorId="0" shapeId="0" xr:uid="{00000000-0006-0000-0100-000045030000}">
      <text>
        <r>
          <rPr>
            <b/>
            <sz val="9"/>
            <color indexed="81"/>
            <rFont val="Tahoma"/>
            <family val="2"/>
          </rPr>
          <t>Jorge Arturo Espinoza:</t>
        </r>
        <r>
          <rPr>
            <sz val="9"/>
            <color indexed="81"/>
            <rFont val="Tahoma"/>
            <family val="2"/>
          </rPr>
          <t xml:space="preserve">
PRECIO NEGOCIADO POR PROYECTO PURUCHUCO</t>
        </r>
      </text>
    </comment>
    <comment ref="C4297" authorId="2" shapeId="0" xr:uid="{00000000-0006-0000-0100-000046030000}">
      <text>
        <r>
          <rPr>
            <b/>
            <sz val="9"/>
            <color indexed="81"/>
            <rFont val="Tahoma"/>
            <family val="2"/>
          </rPr>
          <t>Roberto Meza:</t>
        </r>
        <r>
          <rPr>
            <sz val="9"/>
            <color indexed="81"/>
            <rFont val="Tahoma"/>
            <family val="2"/>
          </rPr>
          <t xml:space="preserve">
Marcial 28/08/19</t>
        </r>
      </text>
    </comment>
    <comment ref="E4297" authorId="0" shapeId="0" xr:uid="{00000000-0006-0000-0100-000047030000}">
      <text>
        <r>
          <rPr>
            <b/>
            <sz val="9"/>
            <color indexed="81"/>
            <rFont val="Tahoma"/>
            <family val="2"/>
          </rPr>
          <t>Jorge Arturo Espinoza:</t>
        </r>
        <r>
          <rPr>
            <sz val="9"/>
            <color indexed="81"/>
            <rFont val="Tahoma"/>
            <family val="2"/>
          </rPr>
          <t xml:space="preserve">
EVALUAR</t>
        </r>
      </text>
    </comment>
    <comment ref="C4298" authorId="2" shapeId="0" xr:uid="{00000000-0006-0000-0100-000048030000}">
      <text>
        <r>
          <rPr>
            <b/>
            <sz val="9"/>
            <color indexed="81"/>
            <rFont val="Tahoma"/>
            <family val="2"/>
          </rPr>
          <t>Roberto Meza:</t>
        </r>
        <r>
          <rPr>
            <sz val="9"/>
            <color indexed="81"/>
            <rFont val="Tahoma"/>
            <family val="2"/>
          </rPr>
          <t xml:space="preserve">
Marcial 28/08/19</t>
        </r>
      </text>
    </comment>
    <comment ref="C4299" authorId="2" shapeId="0" xr:uid="{00000000-0006-0000-0100-000049030000}">
      <text>
        <r>
          <rPr>
            <b/>
            <sz val="9"/>
            <color indexed="81"/>
            <rFont val="Tahoma"/>
            <family val="2"/>
          </rPr>
          <t>Roberto Meza:</t>
        </r>
        <r>
          <rPr>
            <sz val="9"/>
            <color indexed="81"/>
            <rFont val="Tahoma"/>
            <family val="2"/>
          </rPr>
          <t xml:space="preserve">
Marcial 28/08/19</t>
        </r>
      </text>
    </comment>
    <comment ref="C4300" authorId="2" shapeId="0" xr:uid="{00000000-0006-0000-0100-00004A030000}">
      <text>
        <r>
          <rPr>
            <b/>
            <sz val="9"/>
            <color indexed="81"/>
            <rFont val="Tahoma"/>
            <family val="2"/>
          </rPr>
          <t>Roberto Meza:</t>
        </r>
        <r>
          <rPr>
            <sz val="9"/>
            <color indexed="81"/>
            <rFont val="Tahoma"/>
            <family val="2"/>
          </rPr>
          <t xml:space="preserve">
Marcial 28/08/19</t>
        </r>
      </text>
    </comment>
    <comment ref="C4302" authorId="2" shapeId="0" xr:uid="{00000000-0006-0000-0100-00004B030000}">
      <text>
        <r>
          <rPr>
            <b/>
            <sz val="9"/>
            <color indexed="81"/>
            <rFont val="Tahoma"/>
            <family val="2"/>
          </rPr>
          <t>Roberto Meza:</t>
        </r>
        <r>
          <rPr>
            <sz val="9"/>
            <color indexed="81"/>
            <rFont val="Tahoma"/>
            <family val="2"/>
          </rPr>
          <t xml:space="preserve">
Marcial 28/08/19</t>
        </r>
      </text>
    </comment>
    <comment ref="E4302" authorId="0" shapeId="0" xr:uid="{00000000-0006-0000-0100-00004C030000}">
      <text>
        <r>
          <rPr>
            <b/>
            <sz val="9"/>
            <color indexed="81"/>
            <rFont val="Tahoma"/>
            <family val="2"/>
          </rPr>
          <t>Jorge Arturo Espinoza:</t>
        </r>
        <r>
          <rPr>
            <sz val="9"/>
            <color indexed="81"/>
            <rFont val="Tahoma"/>
            <family val="2"/>
          </rPr>
          <t xml:space="preserve">
EVALUAR</t>
        </r>
      </text>
    </comment>
    <comment ref="C4303" authorId="2" shapeId="0" xr:uid="{00000000-0006-0000-0100-00004D030000}">
      <text>
        <r>
          <rPr>
            <b/>
            <sz val="9"/>
            <color indexed="81"/>
            <rFont val="Tahoma"/>
            <family val="2"/>
          </rPr>
          <t>Roberto Meza:</t>
        </r>
        <r>
          <rPr>
            <sz val="9"/>
            <color indexed="81"/>
            <rFont val="Tahoma"/>
            <family val="2"/>
          </rPr>
          <t xml:space="preserve">
Marcial 28/08/19</t>
        </r>
      </text>
    </comment>
    <comment ref="C4307" authorId="0" shapeId="0" xr:uid="{00000000-0006-0000-0100-00004E030000}">
      <text>
        <r>
          <rPr>
            <b/>
            <sz val="9"/>
            <color indexed="81"/>
            <rFont val="Tahoma"/>
            <family val="2"/>
          </rPr>
          <t>Jorge Arturo Espinoza:</t>
        </r>
        <r>
          <rPr>
            <sz val="9"/>
            <color indexed="81"/>
            <rFont val="Tahoma"/>
            <family val="2"/>
          </rPr>
          <t xml:space="preserve">
PRECIO NEGOCIADO POR PROYECTO PURUCHUCO</t>
        </r>
      </text>
    </comment>
    <comment ref="E4307" authorId="0" shapeId="0" xr:uid="{00000000-0006-0000-0100-00004F030000}">
      <text>
        <r>
          <rPr>
            <b/>
            <sz val="9"/>
            <color indexed="81"/>
            <rFont val="Tahoma"/>
            <family val="2"/>
          </rPr>
          <t>Jorge Arturo Espinoza:</t>
        </r>
        <r>
          <rPr>
            <sz val="9"/>
            <color indexed="81"/>
            <rFont val="Tahoma"/>
            <family val="2"/>
          </rPr>
          <t xml:space="preserve">
EVALUAR</t>
        </r>
      </text>
    </comment>
    <comment ref="C4308" authorId="0" shapeId="0" xr:uid="{00000000-0006-0000-0100-000050030000}">
      <text>
        <r>
          <rPr>
            <b/>
            <sz val="9"/>
            <color indexed="81"/>
            <rFont val="Tahoma"/>
            <family val="2"/>
          </rPr>
          <t>Jorge Arturo Espinoza:</t>
        </r>
        <r>
          <rPr>
            <sz val="9"/>
            <color indexed="81"/>
            <rFont val="Tahoma"/>
            <family val="2"/>
          </rPr>
          <t xml:space="preserve">
PRECIO NEGOCIADO POR PROYECTO PURUCHUCO</t>
        </r>
      </text>
    </comment>
    <comment ref="C4309" authorId="0" shapeId="0" xr:uid="{00000000-0006-0000-0100-000051030000}">
      <text>
        <r>
          <rPr>
            <b/>
            <sz val="9"/>
            <color indexed="81"/>
            <rFont val="Tahoma"/>
            <family val="2"/>
          </rPr>
          <t>Jorge Arturo Espinoza:</t>
        </r>
        <r>
          <rPr>
            <sz val="9"/>
            <color indexed="81"/>
            <rFont val="Tahoma"/>
            <family val="2"/>
          </rPr>
          <t xml:space="preserve">
PRECIO NEGOCIADO POR PROYECTO PURUCHUCO</t>
        </r>
      </text>
    </comment>
    <comment ref="C4312" authorId="1" shapeId="0" xr:uid="{00000000-0006-0000-0100-000052030000}">
      <text>
        <r>
          <rPr>
            <b/>
            <sz val="9"/>
            <color indexed="81"/>
            <rFont val="Tahoma"/>
            <family val="2"/>
          </rPr>
          <t>Paulo Olano:</t>
        </r>
        <r>
          <rPr>
            <sz val="9"/>
            <color indexed="81"/>
            <rFont val="Tahoma"/>
            <family val="2"/>
          </rPr>
          <t xml:space="preserve">
MARCIAL MARZO 2019</t>
        </r>
      </text>
    </comment>
    <comment ref="C4315" authorId="1" shapeId="0" xr:uid="{00000000-0006-0000-0100-000053030000}">
      <text>
        <r>
          <rPr>
            <b/>
            <sz val="9"/>
            <color indexed="81"/>
            <rFont val="Tahoma"/>
            <family val="2"/>
          </rPr>
          <t>Paulo Olano:</t>
        </r>
        <r>
          <rPr>
            <sz val="9"/>
            <color indexed="81"/>
            <rFont val="Tahoma"/>
            <family val="2"/>
          </rPr>
          <t xml:space="preserve">
MARCIAL MARZO 2019</t>
        </r>
      </text>
    </comment>
    <comment ref="C4316" authorId="1" shapeId="0" xr:uid="{00000000-0006-0000-0100-000054030000}">
      <text>
        <r>
          <rPr>
            <b/>
            <sz val="9"/>
            <color indexed="81"/>
            <rFont val="Tahoma"/>
            <family val="2"/>
          </rPr>
          <t>Paulo Olano:</t>
        </r>
        <r>
          <rPr>
            <sz val="9"/>
            <color indexed="81"/>
            <rFont val="Tahoma"/>
            <family val="2"/>
          </rPr>
          <t xml:space="preserve">
MARCIAL MARZO 2019</t>
        </r>
      </text>
    </comment>
    <comment ref="D4318" authorId="0" shapeId="0" xr:uid="{00000000-0006-0000-0100-000055030000}">
      <text>
        <r>
          <rPr>
            <b/>
            <sz val="9"/>
            <color indexed="81"/>
            <rFont val="Tahoma"/>
            <family val="2"/>
          </rPr>
          <t>Jorge Arturo Espinoza:</t>
        </r>
        <r>
          <rPr>
            <sz val="9"/>
            <color indexed="81"/>
            <rFont val="Tahoma"/>
            <family val="2"/>
          </rPr>
          <t xml:space="preserve">
Precio dado por Marcial, el 01-12-2015</t>
        </r>
      </text>
    </comment>
    <comment ref="D4319" authorId="0" shapeId="0" xr:uid="{00000000-0006-0000-0100-000056030000}">
      <text>
        <r>
          <rPr>
            <b/>
            <sz val="9"/>
            <color indexed="81"/>
            <rFont val="Tahoma"/>
            <family val="2"/>
          </rPr>
          <t>Jorge Arturo Espinoza:</t>
        </r>
        <r>
          <rPr>
            <sz val="9"/>
            <color indexed="81"/>
            <rFont val="Tahoma"/>
            <family val="2"/>
          </rPr>
          <t xml:space="preserve">
Precio dado por Marcial, el 01-12-2015</t>
        </r>
      </text>
    </comment>
    <comment ref="C4320" authorId="2" shapeId="0" xr:uid="{00000000-0006-0000-0100-000057030000}">
      <text>
        <r>
          <rPr>
            <b/>
            <sz val="9"/>
            <color indexed="81"/>
            <rFont val="Tahoma"/>
            <family val="2"/>
          </rPr>
          <t>Roberto Meza:</t>
        </r>
        <r>
          <rPr>
            <sz val="9"/>
            <color indexed="81"/>
            <rFont val="Tahoma"/>
            <family val="2"/>
          </rPr>
          <t xml:space="preserve">
MARCIAL MARZO 2019</t>
        </r>
      </text>
    </comment>
    <comment ref="C4324" authorId="1" shapeId="0" xr:uid="{00000000-0006-0000-0100-000058030000}">
      <text>
        <r>
          <rPr>
            <b/>
            <sz val="9"/>
            <color indexed="81"/>
            <rFont val="Tahoma"/>
            <family val="2"/>
          </rPr>
          <t>Paulo Olano:</t>
        </r>
        <r>
          <rPr>
            <sz val="9"/>
            <color indexed="81"/>
            <rFont val="Tahoma"/>
            <family val="2"/>
          </rPr>
          <t xml:space="preserve">
MARCIAL MARZO 2019</t>
        </r>
      </text>
    </comment>
    <comment ref="C4332" authorId="1" shapeId="0" xr:uid="{00000000-0006-0000-0100-000059030000}">
      <text>
        <r>
          <rPr>
            <b/>
            <sz val="9"/>
            <color indexed="81"/>
            <rFont val="Tahoma"/>
            <family val="2"/>
          </rPr>
          <t>Paulo Olano:</t>
        </r>
        <r>
          <rPr>
            <sz val="9"/>
            <color indexed="81"/>
            <rFont val="Tahoma"/>
            <family val="2"/>
          </rPr>
          <t xml:space="preserve">
ENE-2020 MARCIAL
</t>
        </r>
      </text>
    </comment>
    <comment ref="C4333" authorId="1" shapeId="0" xr:uid="{00000000-0006-0000-0100-00005A030000}">
      <text>
        <r>
          <rPr>
            <b/>
            <sz val="9"/>
            <color indexed="81"/>
            <rFont val="Tahoma"/>
            <family val="2"/>
          </rPr>
          <t>Paulo Olano:</t>
        </r>
        <r>
          <rPr>
            <sz val="9"/>
            <color indexed="81"/>
            <rFont val="Tahoma"/>
            <family val="2"/>
          </rPr>
          <t xml:space="preserve">
ENE-2020 MARCIAL
</t>
        </r>
      </text>
    </comment>
    <comment ref="C4337" authorId="1" shapeId="0" xr:uid="{00000000-0006-0000-0100-00005B030000}">
      <text>
        <r>
          <rPr>
            <b/>
            <sz val="9"/>
            <color indexed="81"/>
            <rFont val="Tahoma"/>
            <family val="2"/>
          </rPr>
          <t>Paulo Olano:</t>
        </r>
        <r>
          <rPr>
            <sz val="9"/>
            <color indexed="81"/>
            <rFont val="Tahoma"/>
            <family val="2"/>
          </rPr>
          <t xml:space="preserve">
MARCIAL MARZO 2019</t>
        </r>
      </text>
    </comment>
    <comment ref="C4338" authorId="1" shapeId="0" xr:uid="{00000000-0006-0000-0100-00005C030000}">
      <text>
        <r>
          <rPr>
            <b/>
            <sz val="9"/>
            <color indexed="81"/>
            <rFont val="Tahoma"/>
            <family val="2"/>
          </rPr>
          <t>Paulo Olano:</t>
        </r>
        <r>
          <rPr>
            <sz val="9"/>
            <color indexed="81"/>
            <rFont val="Tahoma"/>
            <family val="2"/>
          </rPr>
          <t xml:space="preserve">
MARCIAL MARZO 2019</t>
        </r>
      </text>
    </comment>
    <comment ref="C4339" authorId="1" shapeId="0" xr:uid="{00000000-0006-0000-0100-00005D030000}">
      <text>
        <r>
          <rPr>
            <b/>
            <sz val="9"/>
            <color indexed="81"/>
            <rFont val="Tahoma"/>
            <family val="2"/>
          </rPr>
          <t>Paulo Olano:</t>
        </r>
        <r>
          <rPr>
            <sz val="9"/>
            <color indexed="81"/>
            <rFont val="Tahoma"/>
            <family val="2"/>
          </rPr>
          <t xml:space="preserve">
MARCIAL MARZO 2019</t>
        </r>
      </text>
    </comment>
    <comment ref="C4340" authorId="1" shapeId="0" xr:uid="{00000000-0006-0000-0100-00005E030000}">
      <text>
        <r>
          <rPr>
            <b/>
            <sz val="9"/>
            <color indexed="81"/>
            <rFont val="Tahoma"/>
            <family val="2"/>
          </rPr>
          <t>Paulo Olano:</t>
        </r>
        <r>
          <rPr>
            <sz val="9"/>
            <color indexed="81"/>
            <rFont val="Tahoma"/>
            <family val="2"/>
          </rPr>
          <t xml:space="preserve">
MARCIAL MARZO 2019</t>
        </r>
      </text>
    </comment>
    <comment ref="C4341" authorId="1" shapeId="0" xr:uid="{00000000-0006-0000-0100-00005F030000}">
      <text>
        <r>
          <rPr>
            <b/>
            <sz val="9"/>
            <color indexed="81"/>
            <rFont val="Tahoma"/>
            <family val="2"/>
          </rPr>
          <t>Paulo Olano:</t>
        </r>
        <r>
          <rPr>
            <sz val="9"/>
            <color indexed="81"/>
            <rFont val="Tahoma"/>
            <family val="2"/>
          </rPr>
          <t xml:space="preserve">
MARCIAL MARZO 2019</t>
        </r>
      </text>
    </comment>
    <comment ref="C4342" authorId="1" shapeId="0" xr:uid="{00000000-0006-0000-0100-000060030000}">
      <text>
        <r>
          <rPr>
            <b/>
            <sz val="9"/>
            <color indexed="81"/>
            <rFont val="Tahoma"/>
            <family val="2"/>
          </rPr>
          <t>Paulo Olano:</t>
        </r>
        <r>
          <rPr>
            <sz val="9"/>
            <color indexed="81"/>
            <rFont val="Tahoma"/>
            <family val="2"/>
          </rPr>
          <t xml:space="preserve">
MARCIAL MARZO 2019</t>
        </r>
      </text>
    </comment>
    <comment ref="C4343" authorId="1" shapeId="0" xr:uid="{00000000-0006-0000-0100-000061030000}">
      <text>
        <r>
          <rPr>
            <b/>
            <sz val="9"/>
            <color indexed="81"/>
            <rFont val="Tahoma"/>
            <family val="2"/>
          </rPr>
          <t>Paulo Olano:</t>
        </r>
        <r>
          <rPr>
            <sz val="9"/>
            <color indexed="81"/>
            <rFont val="Tahoma"/>
            <family val="2"/>
          </rPr>
          <t xml:space="preserve">
MARCIAL MARZO 2019</t>
        </r>
      </text>
    </comment>
    <comment ref="C4344" authorId="1" shapeId="0" xr:uid="{00000000-0006-0000-0100-000062030000}">
      <text>
        <r>
          <rPr>
            <b/>
            <sz val="9"/>
            <color indexed="81"/>
            <rFont val="Tahoma"/>
            <family val="2"/>
          </rPr>
          <t>Paulo Olano:</t>
        </r>
        <r>
          <rPr>
            <sz val="9"/>
            <color indexed="81"/>
            <rFont val="Tahoma"/>
            <family val="2"/>
          </rPr>
          <t xml:space="preserve">
MARCIAL MARZO 2019</t>
        </r>
      </text>
    </comment>
    <comment ref="C4349" authorId="1" shapeId="0" xr:uid="{00000000-0006-0000-0100-000063030000}">
      <text>
        <r>
          <rPr>
            <b/>
            <sz val="9"/>
            <color indexed="81"/>
            <rFont val="Tahoma"/>
            <family val="2"/>
          </rPr>
          <t>Paulo Olano:</t>
        </r>
        <r>
          <rPr>
            <sz val="9"/>
            <color indexed="81"/>
            <rFont val="Tahoma"/>
            <family val="2"/>
          </rPr>
          <t xml:space="preserve">
MARCIAL MARZO 2019</t>
        </r>
      </text>
    </comment>
    <comment ref="C4354" authorId="1" shapeId="0" xr:uid="{00000000-0006-0000-0100-000064030000}">
      <text>
        <r>
          <rPr>
            <b/>
            <sz val="9"/>
            <color indexed="81"/>
            <rFont val="Tahoma"/>
            <family val="2"/>
          </rPr>
          <t>Paulo Olano:</t>
        </r>
        <r>
          <rPr>
            <sz val="9"/>
            <color indexed="81"/>
            <rFont val="Tahoma"/>
            <family val="2"/>
          </rPr>
          <t xml:space="preserve">
MARCIAL MARZO 2019</t>
        </r>
      </text>
    </comment>
    <comment ref="C4355" authorId="1" shapeId="0" xr:uid="{00000000-0006-0000-0100-000065030000}">
      <text>
        <r>
          <rPr>
            <b/>
            <sz val="9"/>
            <color indexed="81"/>
            <rFont val="Tahoma"/>
            <family val="2"/>
          </rPr>
          <t>Paulo Olano:</t>
        </r>
        <r>
          <rPr>
            <sz val="9"/>
            <color indexed="81"/>
            <rFont val="Tahoma"/>
            <family val="2"/>
          </rPr>
          <t xml:space="preserve">
MARCIAL MARZO 2019</t>
        </r>
      </text>
    </comment>
    <comment ref="C4356" authorId="1" shapeId="0" xr:uid="{00000000-0006-0000-0100-000066030000}">
      <text>
        <r>
          <rPr>
            <b/>
            <sz val="9"/>
            <color indexed="81"/>
            <rFont val="Tahoma"/>
            <family val="2"/>
          </rPr>
          <t>Paulo Olano:</t>
        </r>
        <r>
          <rPr>
            <sz val="9"/>
            <color indexed="81"/>
            <rFont val="Tahoma"/>
            <family val="2"/>
          </rPr>
          <t xml:space="preserve">
MARCIAL MARZO 2019</t>
        </r>
      </text>
    </comment>
    <comment ref="C4357" authorId="1" shapeId="0" xr:uid="{00000000-0006-0000-0100-000067030000}">
      <text>
        <r>
          <rPr>
            <b/>
            <sz val="9"/>
            <color indexed="81"/>
            <rFont val="Tahoma"/>
            <family val="2"/>
          </rPr>
          <t>Paulo Olano:</t>
        </r>
        <r>
          <rPr>
            <sz val="9"/>
            <color indexed="81"/>
            <rFont val="Tahoma"/>
            <family val="2"/>
          </rPr>
          <t xml:space="preserve">
MARCIAL MARZO 2019</t>
        </r>
      </text>
    </comment>
    <comment ref="C4358" authorId="1" shapeId="0" xr:uid="{00000000-0006-0000-0100-000068030000}">
      <text>
        <r>
          <rPr>
            <b/>
            <sz val="9"/>
            <color indexed="81"/>
            <rFont val="Tahoma"/>
            <family val="2"/>
          </rPr>
          <t>Paulo Olano:</t>
        </r>
        <r>
          <rPr>
            <sz val="9"/>
            <color indexed="81"/>
            <rFont val="Tahoma"/>
            <family val="2"/>
          </rPr>
          <t xml:space="preserve">
MARCIAL MARZO 2019</t>
        </r>
      </text>
    </comment>
    <comment ref="C4359" authorId="1" shapeId="0" xr:uid="{00000000-0006-0000-0100-000069030000}">
      <text>
        <r>
          <rPr>
            <b/>
            <sz val="9"/>
            <color indexed="81"/>
            <rFont val="Tahoma"/>
            <family val="2"/>
          </rPr>
          <t>Paulo Olano:</t>
        </r>
        <r>
          <rPr>
            <sz val="9"/>
            <color indexed="81"/>
            <rFont val="Tahoma"/>
            <family val="2"/>
          </rPr>
          <t xml:space="preserve">
MARCIAL MARZO 2019</t>
        </r>
      </text>
    </comment>
    <comment ref="C4360" authorId="1" shapeId="0" xr:uid="{00000000-0006-0000-0100-00006A030000}">
      <text>
        <r>
          <rPr>
            <b/>
            <sz val="9"/>
            <color indexed="81"/>
            <rFont val="Tahoma"/>
            <family val="2"/>
          </rPr>
          <t>Paulo Olano:</t>
        </r>
        <r>
          <rPr>
            <sz val="9"/>
            <color indexed="81"/>
            <rFont val="Tahoma"/>
            <family val="2"/>
          </rPr>
          <t xml:space="preserve">
MARCIAL MARZO 2019</t>
        </r>
      </text>
    </comment>
    <comment ref="C4363" authorId="1" shapeId="0" xr:uid="{00000000-0006-0000-0100-00006B030000}">
      <text>
        <r>
          <rPr>
            <b/>
            <sz val="9"/>
            <color indexed="81"/>
            <rFont val="Tahoma"/>
            <family val="2"/>
          </rPr>
          <t>Paulo Olano:</t>
        </r>
        <r>
          <rPr>
            <sz val="9"/>
            <color indexed="81"/>
            <rFont val="Tahoma"/>
            <family val="2"/>
          </rPr>
          <t xml:space="preserve">
MARCIAL MARZO 2019</t>
        </r>
      </text>
    </comment>
    <comment ref="C4364" authorId="1" shapeId="0" xr:uid="{00000000-0006-0000-0100-00006C030000}">
      <text>
        <r>
          <rPr>
            <b/>
            <sz val="9"/>
            <color indexed="81"/>
            <rFont val="Tahoma"/>
            <family val="2"/>
          </rPr>
          <t>Paulo Olano:</t>
        </r>
        <r>
          <rPr>
            <sz val="9"/>
            <color indexed="81"/>
            <rFont val="Tahoma"/>
            <family val="2"/>
          </rPr>
          <t xml:space="preserve">
MARCIAL MARZO 2019</t>
        </r>
      </text>
    </comment>
    <comment ref="C4365" authorId="1" shapeId="0" xr:uid="{00000000-0006-0000-0100-00006D030000}">
      <text>
        <r>
          <rPr>
            <b/>
            <sz val="9"/>
            <color indexed="81"/>
            <rFont val="Tahoma"/>
            <family val="2"/>
          </rPr>
          <t>Paulo Olano:</t>
        </r>
        <r>
          <rPr>
            <sz val="9"/>
            <color indexed="81"/>
            <rFont val="Tahoma"/>
            <family val="2"/>
          </rPr>
          <t xml:space="preserve">
MARCIAL MARZO 2019</t>
        </r>
      </text>
    </comment>
    <comment ref="C4366" authorId="1" shapeId="0" xr:uid="{00000000-0006-0000-0100-00006E030000}">
      <text>
        <r>
          <rPr>
            <b/>
            <sz val="9"/>
            <color indexed="81"/>
            <rFont val="Tahoma"/>
            <family val="2"/>
          </rPr>
          <t>Paulo Olano:</t>
        </r>
        <r>
          <rPr>
            <sz val="9"/>
            <color indexed="81"/>
            <rFont val="Tahoma"/>
            <family val="2"/>
          </rPr>
          <t xml:space="preserve">
MARCIAL MARZO 2019</t>
        </r>
      </text>
    </comment>
    <comment ref="C4367" authorId="1" shapeId="0" xr:uid="{00000000-0006-0000-0100-00006F030000}">
      <text>
        <r>
          <rPr>
            <b/>
            <sz val="9"/>
            <color indexed="81"/>
            <rFont val="Tahoma"/>
            <family val="2"/>
          </rPr>
          <t>Paulo Olano:</t>
        </r>
        <r>
          <rPr>
            <sz val="9"/>
            <color indexed="81"/>
            <rFont val="Tahoma"/>
            <family val="2"/>
          </rPr>
          <t xml:space="preserve">
MARCIAL MARZO 2019</t>
        </r>
      </text>
    </comment>
    <comment ref="C4368" authorId="1" shapeId="0" xr:uid="{00000000-0006-0000-0100-000070030000}">
      <text>
        <r>
          <rPr>
            <b/>
            <sz val="9"/>
            <color indexed="81"/>
            <rFont val="Tahoma"/>
            <family val="2"/>
          </rPr>
          <t>Paulo Olano:</t>
        </r>
        <r>
          <rPr>
            <sz val="9"/>
            <color indexed="81"/>
            <rFont val="Tahoma"/>
            <family val="2"/>
          </rPr>
          <t xml:space="preserve">
MARCIAL MARZO 2019</t>
        </r>
      </text>
    </comment>
    <comment ref="C4369" authorId="1" shapeId="0" xr:uid="{00000000-0006-0000-0100-000071030000}">
      <text>
        <r>
          <rPr>
            <b/>
            <sz val="9"/>
            <color indexed="81"/>
            <rFont val="Tahoma"/>
            <family val="2"/>
          </rPr>
          <t>Paulo Olano:</t>
        </r>
        <r>
          <rPr>
            <sz val="9"/>
            <color indexed="81"/>
            <rFont val="Tahoma"/>
            <family val="2"/>
          </rPr>
          <t xml:space="preserve">
MARCIAL MARZO 2019</t>
        </r>
      </text>
    </comment>
    <comment ref="C4370" authorId="1" shapeId="0" xr:uid="{00000000-0006-0000-0100-000072030000}">
      <text>
        <r>
          <rPr>
            <b/>
            <sz val="9"/>
            <color indexed="81"/>
            <rFont val="Tahoma"/>
            <family val="2"/>
          </rPr>
          <t>Paulo Olano:</t>
        </r>
        <r>
          <rPr>
            <sz val="9"/>
            <color indexed="81"/>
            <rFont val="Tahoma"/>
            <family val="2"/>
          </rPr>
          <t xml:space="preserve">
MARCIAL MARZO 2019</t>
        </r>
      </text>
    </comment>
    <comment ref="C4371" authorId="1" shapeId="0" xr:uid="{00000000-0006-0000-0100-000073030000}">
      <text>
        <r>
          <rPr>
            <b/>
            <sz val="9"/>
            <color indexed="81"/>
            <rFont val="Tahoma"/>
            <family val="2"/>
          </rPr>
          <t>Paulo Olano:</t>
        </r>
        <r>
          <rPr>
            <sz val="9"/>
            <color indexed="81"/>
            <rFont val="Tahoma"/>
            <family val="2"/>
          </rPr>
          <t xml:space="preserve">
MARCIAL MARZO 2019</t>
        </r>
      </text>
    </comment>
    <comment ref="C4372" authorId="1" shapeId="0" xr:uid="{00000000-0006-0000-0100-000074030000}">
      <text>
        <r>
          <rPr>
            <b/>
            <sz val="9"/>
            <color indexed="81"/>
            <rFont val="Tahoma"/>
            <family val="2"/>
          </rPr>
          <t>Paulo Olano:</t>
        </r>
        <r>
          <rPr>
            <sz val="9"/>
            <color indexed="81"/>
            <rFont val="Tahoma"/>
            <family val="2"/>
          </rPr>
          <t xml:space="preserve">
MARCIAL MARZO 2019</t>
        </r>
      </text>
    </comment>
    <comment ref="C4375" authorId="1" shapeId="0" xr:uid="{00000000-0006-0000-0100-000075030000}">
      <text>
        <r>
          <rPr>
            <b/>
            <sz val="9"/>
            <color indexed="81"/>
            <rFont val="Tahoma"/>
            <family val="2"/>
          </rPr>
          <t>Paulo Olano:</t>
        </r>
        <r>
          <rPr>
            <sz val="9"/>
            <color indexed="81"/>
            <rFont val="Tahoma"/>
            <family val="2"/>
          </rPr>
          <t xml:space="preserve">
MARCIAL MARZO 2019</t>
        </r>
      </text>
    </comment>
    <comment ref="C4376" authorId="1" shapeId="0" xr:uid="{00000000-0006-0000-0100-000076030000}">
      <text>
        <r>
          <rPr>
            <b/>
            <sz val="9"/>
            <color indexed="81"/>
            <rFont val="Tahoma"/>
            <family val="2"/>
          </rPr>
          <t>Paulo Olano:</t>
        </r>
        <r>
          <rPr>
            <sz val="9"/>
            <color indexed="81"/>
            <rFont val="Tahoma"/>
            <family val="2"/>
          </rPr>
          <t xml:space="preserve">
MARCIAL MARZO 2019</t>
        </r>
      </text>
    </comment>
    <comment ref="C4377" authorId="1" shapeId="0" xr:uid="{00000000-0006-0000-0100-000077030000}">
      <text>
        <r>
          <rPr>
            <b/>
            <sz val="9"/>
            <color indexed="81"/>
            <rFont val="Tahoma"/>
            <family val="2"/>
          </rPr>
          <t>Paulo Olano:</t>
        </r>
        <r>
          <rPr>
            <sz val="9"/>
            <color indexed="81"/>
            <rFont val="Tahoma"/>
            <family val="2"/>
          </rPr>
          <t xml:space="preserve">
MARCIAL MARZO 2019</t>
        </r>
      </text>
    </comment>
    <comment ref="C4378" authorId="1" shapeId="0" xr:uid="{00000000-0006-0000-0100-000078030000}">
      <text>
        <r>
          <rPr>
            <b/>
            <sz val="9"/>
            <color indexed="81"/>
            <rFont val="Tahoma"/>
            <family val="2"/>
          </rPr>
          <t>Paulo Olano:</t>
        </r>
        <r>
          <rPr>
            <sz val="9"/>
            <color indexed="81"/>
            <rFont val="Tahoma"/>
            <family val="2"/>
          </rPr>
          <t xml:space="preserve">
MARCIAL MARZO 2019</t>
        </r>
      </text>
    </comment>
    <comment ref="C4379" authorId="1" shapeId="0" xr:uid="{00000000-0006-0000-0100-000079030000}">
      <text>
        <r>
          <rPr>
            <b/>
            <sz val="9"/>
            <color indexed="81"/>
            <rFont val="Tahoma"/>
            <family val="2"/>
          </rPr>
          <t>Paulo Olano:</t>
        </r>
        <r>
          <rPr>
            <sz val="9"/>
            <color indexed="81"/>
            <rFont val="Tahoma"/>
            <family val="2"/>
          </rPr>
          <t xml:space="preserve">
MARCIAL MARZO 2019</t>
        </r>
      </text>
    </comment>
    <comment ref="C4380" authorId="1" shapeId="0" xr:uid="{00000000-0006-0000-0100-00007A030000}">
      <text>
        <r>
          <rPr>
            <b/>
            <sz val="9"/>
            <color indexed="81"/>
            <rFont val="Tahoma"/>
            <family val="2"/>
          </rPr>
          <t>Paulo Olano:</t>
        </r>
        <r>
          <rPr>
            <sz val="9"/>
            <color indexed="81"/>
            <rFont val="Tahoma"/>
            <family val="2"/>
          </rPr>
          <t xml:space="preserve">
MARCIAL MARZO 2019</t>
        </r>
      </text>
    </comment>
    <comment ref="C4381" authorId="1" shapeId="0" xr:uid="{00000000-0006-0000-0100-00007B030000}">
      <text>
        <r>
          <rPr>
            <b/>
            <sz val="9"/>
            <color indexed="81"/>
            <rFont val="Tahoma"/>
            <family val="2"/>
          </rPr>
          <t>Paulo Olano:</t>
        </r>
        <r>
          <rPr>
            <sz val="9"/>
            <color indexed="81"/>
            <rFont val="Tahoma"/>
            <family val="2"/>
          </rPr>
          <t xml:space="preserve">
MARCIAL MARZO 2019</t>
        </r>
      </text>
    </comment>
    <comment ref="C4382" authorId="1" shapeId="0" xr:uid="{00000000-0006-0000-0100-00007C030000}">
      <text>
        <r>
          <rPr>
            <b/>
            <sz val="9"/>
            <color indexed="81"/>
            <rFont val="Tahoma"/>
            <family val="2"/>
          </rPr>
          <t>Paulo Olano:</t>
        </r>
        <r>
          <rPr>
            <sz val="9"/>
            <color indexed="81"/>
            <rFont val="Tahoma"/>
            <family val="2"/>
          </rPr>
          <t xml:space="preserve">
MARCIAL MARZO 2019</t>
        </r>
      </text>
    </comment>
    <comment ref="C4385" authorId="1" shapeId="0" xr:uid="{00000000-0006-0000-0100-00007D030000}">
      <text>
        <r>
          <rPr>
            <b/>
            <sz val="9"/>
            <color indexed="81"/>
            <rFont val="Tahoma"/>
            <family val="2"/>
          </rPr>
          <t>Paulo Olano:</t>
        </r>
        <r>
          <rPr>
            <sz val="9"/>
            <color indexed="81"/>
            <rFont val="Tahoma"/>
            <family val="2"/>
          </rPr>
          <t xml:space="preserve">
MARCIAL MARZO 2019</t>
        </r>
      </text>
    </comment>
    <comment ref="C4386" authorId="1" shapeId="0" xr:uid="{00000000-0006-0000-0100-00007E030000}">
      <text>
        <r>
          <rPr>
            <b/>
            <sz val="9"/>
            <color indexed="81"/>
            <rFont val="Tahoma"/>
            <family val="2"/>
          </rPr>
          <t>Paulo Olano:</t>
        </r>
        <r>
          <rPr>
            <sz val="9"/>
            <color indexed="81"/>
            <rFont val="Tahoma"/>
            <family val="2"/>
          </rPr>
          <t xml:space="preserve">
MARCIAL MARZO 2019</t>
        </r>
      </text>
    </comment>
    <comment ref="C4387" authorId="1" shapeId="0" xr:uid="{00000000-0006-0000-0100-00007F030000}">
      <text>
        <r>
          <rPr>
            <b/>
            <sz val="9"/>
            <color indexed="81"/>
            <rFont val="Tahoma"/>
            <family val="2"/>
          </rPr>
          <t>Paulo Olano:</t>
        </r>
        <r>
          <rPr>
            <sz val="9"/>
            <color indexed="81"/>
            <rFont val="Tahoma"/>
            <family val="2"/>
          </rPr>
          <t xml:space="preserve">
MARCIAL MARZO 2019</t>
        </r>
      </text>
    </comment>
    <comment ref="C4388" authorId="1" shapeId="0" xr:uid="{00000000-0006-0000-0100-000080030000}">
      <text>
        <r>
          <rPr>
            <b/>
            <sz val="9"/>
            <color indexed="81"/>
            <rFont val="Tahoma"/>
            <family val="2"/>
          </rPr>
          <t>Paulo Olano:</t>
        </r>
        <r>
          <rPr>
            <sz val="9"/>
            <color indexed="81"/>
            <rFont val="Tahoma"/>
            <family val="2"/>
          </rPr>
          <t xml:space="preserve">
MARCIAL MARZO 2019</t>
        </r>
      </text>
    </comment>
    <comment ref="C4389" authorId="1" shapeId="0" xr:uid="{00000000-0006-0000-0100-000081030000}">
      <text>
        <r>
          <rPr>
            <b/>
            <sz val="9"/>
            <color indexed="81"/>
            <rFont val="Tahoma"/>
            <family val="2"/>
          </rPr>
          <t>Paulo Olano:</t>
        </r>
        <r>
          <rPr>
            <sz val="9"/>
            <color indexed="81"/>
            <rFont val="Tahoma"/>
            <family val="2"/>
          </rPr>
          <t xml:space="preserve">
MARCIAL MARZO 2019</t>
        </r>
      </text>
    </comment>
    <comment ref="C4390" authorId="1" shapeId="0" xr:uid="{00000000-0006-0000-0100-000082030000}">
      <text>
        <r>
          <rPr>
            <b/>
            <sz val="9"/>
            <color indexed="81"/>
            <rFont val="Tahoma"/>
            <family val="2"/>
          </rPr>
          <t>Paulo Olano:</t>
        </r>
        <r>
          <rPr>
            <sz val="9"/>
            <color indexed="81"/>
            <rFont val="Tahoma"/>
            <family val="2"/>
          </rPr>
          <t xml:space="preserve">
MARCIAL MARZO 2019</t>
        </r>
      </text>
    </comment>
    <comment ref="C4391" authorId="1" shapeId="0" xr:uid="{00000000-0006-0000-0100-000083030000}">
      <text>
        <r>
          <rPr>
            <b/>
            <sz val="9"/>
            <color indexed="81"/>
            <rFont val="Tahoma"/>
            <family val="2"/>
          </rPr>
          <t>Paulo Olano:</t>
        </r>
        <r>
          <rPr>
            <sz val="9"/>
            <color indexed="81"/>
            <rFont val="Tahoma"/>
            <family val="2"/>
          </rPr>
          <t xml:space="preserve">
MARCIAL MARZO 2019</t>
        </r>
      </text>
    </comment>
    <comment ref="C4392" authorId="1" shapeId="0" xr:uid="{00000000-0006-0000-0100-000084030000}">
      <text>
        <r>
          <rPr>
            <b/>
            <sz val="9"/>
            <color indexed="81"/>
            <rFont val="Tahoma"/>
            <family val="2"/>
          </rPr>
          <t>Paulo Olano:</t>
        </r>
        <r>
          <rPr>
            <sz val="9"/>
            <color indexed="81"/>
            <rFont val="Tahoma"/>
            <family val="2"/>
          </rPr>
          <t xml:space="preserve">
MARCIAL MARZO 2019</t>
        </r>
      </text>
    </comment>
    <comment ref="C4393" authorId="1" shapeId="0" xr:uid="{00000000-0006-0000-0100-000085030000}">
      <text>
        <r>
          <rPr>
            <b/>
            <sz val="9"/>
            <color indexed="81"/>
            <rFont val="Tahoma"/>
            <family val="2"/>
          </rPr>
          <t>Paulo Olano:</t>
        </r>
        <r>
          <rPr>
            <sz val="9"/>
            <color indexed="81"/>
            <rFont val="Tahoma"/>
            <family val="2"/>
          </rPr>
          <t xml:space="preserve">
MARCIAL MARZO 2019</t>
        </r>
      </text>
    </comment>
    <comment ref="C4394" authorId="1" shapeId="0" xr:uid="{00000000-0006-0000-0100-000086030000}">
      <text>
        <r>
          <rPr>
            <b/>
            <sz val="9"/>
            <color indexed="81"/>
            <rFont val="Tahoma"/>
            <family val="2"/>
          </rPr>
          <t>Paulo Olano:</t>
        </r>
        <r>
          <rPr>
            <sz val="9"/>
            <color indexed="81"/>
            <rFont val="Tahoma"/>
            <family val="2"/>
          </rPr>
          <t xml:space="preserve">
MARCIAL MARZO 2019</t>
        </r>
      </text>
    </comment>
    <comment ref="C4397" authorId="1" shapeId="0" xr:uid="{00000000-0006-0000-0100-000087030000}">
      <text>
        <r>
          <rPr>
            <b/>
            <sz val="9"/>
            <color indexed="81"/>
            <rFont val="Tahoma"/>
            <family val="2"/>
          </rPr>
          <t>Paulo Olano:</t>
        </r>
        <r>
          <rPr>
            <sz val="9"/>
            <color indexed="81"/>
            <rFont val="Tahoma"/>
            <family val="2"/>
          </rPr>
          <t xml:space="preserve">
MARCIAL MARZO 2019</t>
        </r>
      </text>
    </comment>
    <comment ref="C4398" authorId="1" shapeId="0" xr:uid="{00000000-0006-0000-0100-000088030000}">
      <text>
        <r>
          <rPr>
            <b/>
            <sz val="9"/>
            <color indexed="81"/>
            <rFont val="Tahoma"/>
            <family val="2"/>
          </rPr>
          <t>Paulo Olano:</t>
        </r>
        <r>
          <rPr>
            <sz val="9"/>
            <color indexed="81"/>
            <rFont val="Tahoma"/>
            <family val="2"/>
          </rPr>
          <t xml:space="preserve">
MARCIAL MARZO 2019</t>
        </r>
      </text>
    </comment>
    <comment ref="C4399" authorId="1" shapeId="0" xr:uid="{00000000-0006-0000-0100-000089030000}">
      <text>
        <r>
          <rPr>
            <b/>
            <sz val="9"/>
            <color indexed="81"/>
            <rFont val="Tahoma"/>
            <family val="2"/>
          </rPr>
          <t>Paulo Olano:</t>
        </r>
        <r>
          <rPr>
            <sz val="9"/>
            <color indexed="81"/>
            <rFont val="Tahoma"/>
            <family val="2"/>
          </rPr>
          <t xml:space="preserve">
MARCIAL MARZO 2019</t>
        </r>
      </text>
    </comment>
    <comment ref="C4400" authorId="1" shapeId="0" xr:uid="{00000000-0006-0000-0100-00008A030000}">
      <text>
        <r>
          <rPr>
            <b/>
            <sz val="9"/>
            <color indexed="81"/>
            <rFont val="Tahoma"/>
            <family val="2"/>
          </rPr>
          <t>Paulo Olano:</t>
        </r>
        <r>
          <rPr>
            <sz val="9"/>
            <color indexed="81"/>
            <rFont val="Tahoma"/>
            <family val="2"/>
          </rPr>
          <t xml:space="preserve">
MARCIAL MARZO 2019</t>
        </r>
      </text>
    </comment>
    <comment ref="C4401" authorId="1" shapeId="0" xr:uid="{00000000-0006-0000-0100-00008B030000}">
      <text>
        <r>
          <rPr>
            <b/>
            <sz val="9"/>
            <color indexed="81"/>
            <rFont val="Tahoma"/>
            <family val="2"/>
          </rPr>
          <t>Paulo Olano:</t>
        </r>
        <r>
          <rPr>
            <sz val="9"/>
            <color indexed="81"/>
            <rFont val="Tahoma"/>
            <family val="2"/>
          </rPr>
          <t xml:space="preserve">
MARCIAL MARZO 2019</t>
        </r>
      </text>
    </comment>
    <comment ref="C4402" authorId="1" shapeId="0" xr:uid="{00000000-0006-0000-0100-00008C030000}">
      <text>
        <r>
          <rPr>
            <b/>
            <sz val="9"/>
            <color indexed="81"/>
            <rFont val="Tahoma"/>
            <family val="2"/>
          </rPr>
          <t>Paulo Olano:</t>
        </r>
        <r>
          <rPr>
            <sz val="9"/>
            <color indexed="81"/>
            <rFont val="Tahoma"/>
            <family val="2"/>
          </rPr>
          <t xml:space="preserve">
MARCIAL MARZO 2019</t>
        </r>
      </text>
    </comment>
    <comment ref="C4403" authorId="1" shapeId="0" xr:uid="{00000000-0006-0000-0100-00008D030000}">
      <text>
        <r>
          <rPr>
            <b/>
            <sz val="9"/>
            <color indexed="81"/>
            <rFont val="Tahoma"/>
            <family val="2"/>
          </rPr>
          <t>Paulo Olano:</t>
        </r>
        <r>
          <rPr>
            <sz val="9"/>
            <color indexed="81"/>
            <rFont val="Tahoma"/>
            <family val="2"/>
          </rPr>
          <t xml:space="preserve">
MARCIAL MARZO 2019</t>
        </r>
      </text>
    </comment>
    <comment ref="C4404" authorId="1" shapeId="0" xr:uid="{00000000-0006-0000-0100-00008E030000}">
      <text>
        <r>
          <rPr>
            <b/>
            <sz val="9"/>
            <color indexed="81"/>
            <rFont val="Tahoma"/>
            <family val="2"/>
          </rPr>
          <t>Paulo Olano:</t>
        </r>
        <r>
          <rPr>
            <sz val="9"/>
            <color indexed="81"/>
            <rFont val="Tahoma"/>
            <family val="2"/>
          </rPr>
          <t xml:space="preserve">
MARCIAL MARZO 2019</t>
        </r>
      </text>
    </comment>
    <comment ref="C4405" authorId="1" shapeId="0" xr:uid="{00000000-0006-0000-0100-00008F030000}">
      <text>
        <r>
          <rPr>
            <b/>
            <sz val="9"/>
            <color indexed="81"/>
            <rFont val="Tahoma"/>
            <family val="2"/>
          </rPr>
          <t>Paulo Olano:</t>
        </r>
        <r>
          <rPr>
            <sz val="9"/>
            <color indexed="81"/>
            <rFont val="Tahoma"/>
            <family val="2"/>
          </rPr>
          <t xml:space="preserve">
MARCIAL MARZO 2019</t>
        </r>
      </text>
    </comment>
    <comment ref="C4406" authorId="1" shapeId="0" xr:uid="{00000000-0006-0000-0100-000090030000}">
      <text>
        <r>
          <rPr>
            <b/>
            <sz val="9"/>
            <color indexed="81"/>
            <rFont val="Tahoma"/>
            <family val="2"/>
          </rPr>
          <t>Paulo Olano:</t>
        </r>
        <r>
          <rPr>
            <sz val="9"/>
            <color indexed="81"/>
            <rFont val="Tahoma"/>
            <family val="2"/>
          </rPr>
          <t xml:space="preserve">
MARCIAL MARZO 2019</t>
        </r>
      </text>
    </comment>
    <comment ref="C4407" authorId="1" shapeId="0" xr:uid="{00000000-0006-0000-0100-000091030000}">
      <text>
        <r>
          <rPr>
            <b/>
            <sz val="9"/>
            <color indexed="81"/>
            <rFont val="Tahoma"/>
            <family val="2"/>
          </rPr>
          <t>Paulo Olano:</t>
        </r>
        <r>
          <rPr>
            <sz val="9"/>
            <color indexed="81"/>
            <rFont val="Tahoma"/>
            <family val="2"/>
          </rPr>
          <t xml:space="preserve">
MARCIAL MARZO 2019</t>
        </r>
      </text>
    </comment>
    <comment ref="D4444" authorId="0" shapeId="0" xr:uid="{00000000-0006-0000-0100-000092030000}">
      <text>
        <r>
          <rPr>
            <b/>
            <sz val="9"/>
            <color indexed="81"/>
            <rFont val="Tahoma"/>
            <family val="2"/>
          </rPr>
          <t>Jorge Arturo Espinoza:</t>
        </r>
        <r>
          <rPr>
            <sz val="9"/>
            <color indexed="81"/>
            <rFont val="Tahoma"/>
            <family val="2"/>
          </rPr>
          <t xml:space="preserve">
ASUMIDO</t>
        </r>
      </text>
    </comment>
    <comment ref="D4445" authorId="0" shapeId="0" xr:uid="{00000000-0006-0000-0100-000093030000}">
      <text>
        <r>
          <rPr>
            <b/>
            <sz val="9"/>
            <color indexed="81"/>
            <rFont val="Tahoma"/>
            <family val="2"/>
          </rPr>
          <t>Jorge Arturo Espinoza:</t>
        </r>
        <r>
          <rPr>
            <sz val="9"/>
            <color indexed="81"/>
            <rFont val="Tahoma"/>
            <family val="2"/>
          </rPr>
          <t xml:space="preserve">
ASUMIDO</t>
        </r>
      </text>
    </comment>
    <comment ref="D4483" authorId="0" shapeId="0" xr:uid="{00000000-0006-0000-0100-000094030000}">
      <text>
        <r>
          <rPr>
            <b/>
            <sz val="9"/>
            <color indexed="81"/>
            <rFont val="Tahoma"/>
            <family val="2"/>
          </rPr>
          <t>Jorge Arturo Espinoza:</t>
        </r>
        <r>
          <rPr>
            <sz val="9"/>
            <color indexed="81"/>
            <rFont val="Tahoma"/>
            <family val="2"/>
          </rPr>
          <t xml:space="preserve">
ASUMIDO</t>
        </r>
      </text>
    </comment>
    <comment ref="D4484" authorId="0" shapeId="0" xr:uid="{00000000-0006-0000-0100-000095030000}">
      <text>
        <r>
          <rPr>
            <b/>
            <sz val="9"/>
            <color indexed="81"/>
            <rFont val="Tahoma"/>
            <family val="2"/>
          </rPr>
          <t>Jorge Arturo Espinoza:</t>
        </r>
        <r>
          <rPr>
            <sz val="9"/>
            <color indexed="81"/>
            <rFont val="Tahoma"/>
            <family val="2"/>
          </rPr>
          <t xml:space="preserve">
ASUMIDO</t>
        </r>
      </text>
    </comment>
    <comment ref="C4485" authorId="0" shapeId="0" xr:uid="{00000000-0006-0000-0100-000096030000}">
      <text>
        <r>
          <rPr>
            <b/>
            <sz val="9"/>
            <color indexed="81"/>
            <rFont val="Tahoma"/>
            <family val="2"/>
          </rPr>
          <t>Jorge Arturo Espinoza:</t>
        </r>
        <r>
          <rPr>
            <sz val="9"/>
            <color indexed="81"/>
            <rFont val="Tahoma"/>
            <family val="2"/>
          </rPr>
          <t xml:space="preserve">
CONFIRMADO POR JULIO SOTO</t>
        </r>
      </text>
    </comment>
    <comment ref="C4486" authorId="0" shapeId="0" xr:uid="{00000000-0006-0000-0100-000097030000}">
      <text>
        <r>
          <rPr>
            <b/>
            <sz val="9"/>
            <color indexed="81"/>
            <rFont val="Tahoma"/>
            <family val="2"/>
          </rPr>
          <t>Jorge Arturo Espinoza:</t>
        </r>
        <r>
          <rPr>
            <sz val="9"/>
            <color indexed="81"/>
            <rFont val="Tahoma"/>
            <family val="2"/>
          </rPr>
          <t xml:space="preserve">
CONFIRMADO POR JULIO SOTO</t>
        </r>
      </text>
    </comment>
    <comment ref="C4487" authorId="0" shapeId="0" xr:uid="{00000000-0006-0000-0100-000098030000}">
      <text>
        <r>
          <rPr>
            <b/>
            <sz val="9"/>
            <color indexed="81"/>
            <rFont val="Tahoma"/>
            <family val="2"/>
          </rPr>
          <t>Jorge Arturo Espinoza:</t>
        </r>
        <r>
          <rPr>
            <sz val="9"/>
            <color indexed="81"/>
            <rFont val="Tahoma"/>
            <family val="2"/>
          </rPr>
          <t xml:space="preserve">
CONFIRMADO POR JULIO SOTO</t>
        </r>
      </text>
    </comment>
    <comment ref="C4488" authorId="1" shapeId="0" xr:uid="{00000000-0006-0000-0100-000099030000}">
      <text>
        <r>
          <rPr>
            <b/>
            <sz val="9"/>
            <color indexed="81"/>
            <rFont val="Tahoma"/>
            <family val="2"/>
          </rPr>
          <t>Paulo Olano:</t>
        </r>
        <r>
          <rPr>
            <sz val="9"/>
            <color indexed="81"/>
            <rFont val="Tahoma"/>
            <family val="2"/>
          </rPr>
          <t xml:space="preserve">
PRECIO POR JULIO SOTO
</t>
        </r>
      </text>
    </comment>
    <comment ref="C4489" authorId="1" shapeId="0" xr:uid="{00000000-0006-0000-0100-00009A030000}">
      <text>
        <r>
          <rPr>
            <b/>
            <sz val="9"/>
            <color indexed="81"/>
            <rFont val="Tahoma"/>
            <family val="2"/>
          </rPr>
          <t>Paulo Olano:</t>
        </r>
        <r>
          <rPr>
            <sz val="9"/>
            <color indexed="81"/>
            <rFont val="Tahoma"/>
            <family val="2"/>
          </rPr>
          <t xml:space="preserve">
PRECIO POR JULIO SOTO</t>
        </r>
      </text>
    </comment>
    <comment ref="D4493" authorId="0" shapeId="0" xr:uid="{00000000-0006-0000-0100-00009B030000}">
      <text>
        <r>
          <rPr>
            <b/>
            <sz val="9"/>
            <color indexed="81"/>
            <rFont val="Tahoma"/>
            <family val="2"/>
          </rPr>
          <t>Jorge Arturo Espinoza:</t>
        </r>
        <r>
          <rPr>
            <sz val="9"/>
            <color indexed="81"/>
            <rFont val="Tahoma"/>
            <family val="2"/>
          </rPr>
          <t xml:space="preserve">
era 25.
Reajuste por comparacion con ABB</t>
        </r>
      </text>
    </comment>
    <comment ref="D4500" authorId="1" shapeId="0" xr:uid="{00000000-0006-0000-0100-00009C030000}">
      <text>
        <r>
          <rPr>
            <b/>
            <sz val="9"/>
            <color indexed="81"/>
            <rFont val="Tahoma"/>
            <family val="2"/>
          </rPr>
          <t>Paulo Olano:</t>
        </r>
        <r>
          <rPr>
            <sz val="9"/>
            <color indexed="81"/>
            <rFont val="Tahoma"/>
            <family val="2"/>
          </rPr>
          <t xml:space="preserve">
precio enero 2020 Marcial</t>
        </r>
      </text>
    </comment>
    <comment ref="D4501" authorId="1" shapeId="0" xr:uid="{00000000-0006-0000-0100-00009D030000}">
      <text>
        <r>
          <rPr>
            <b/>
            <sz val="9"/>
            <color indexed="81"/>
            <rFont val="Tahoma"/>
            <family val="2"/>
          </rPr>
          <t>Paulo Olano:</t>
        </r>
        <r>
          <rPr>
            <sz val="9"/>
            <color indexed="81"/>
            <rFont val="Tahoma"/>
            <family val="2"/>
          </rPr>
          <t xml:space="preserve">
precio enero 2020 Marcial</t>
        </r>
      </text>
    </comment>
    <comment ref="D4529" authorId="0" shapeId="0" xr:uid="{00000000-0006-0000-0100-00009E030000}">
      <text>
        <r>
          <rPr>
            <b/>
            <sz val="9"/>
            <color indexed="81"/>
            <rFont val="Tahoma"/>
            <family val="2"/>
          </rPr>
          <t>Jorge Arturo Espinoza:</t>
        </r>
        <r>
          <rPr>
            <sz val="9"/>
            <color indexed="81"/>
            <rFont val="Tahoma"/>
            <family val="2"/>
          </rPr>
          <t xml:space="preserve">
ERA 40</t>
        </r>
      </text>
    </comment>
    <comment ref="D4533" authorId="0" shapeId="0" xr:uid="{00000000-0006-0000-0100-00009F030000}">
      <text>
        <r>
          <rPr>
            <b/>
            <sz val="9"/>
            <color indexed="81"/>
            <rFont val="Tahoma"/>
            <family val="2"/>
          </rPr>
          <t>Jorge Arturo Espinoza:</t>
        </r>
        <r>
          <rPr>
            <sz val="9"/>
            <color indexed="81"/>
            <rFont val="Tahoma"/>
            <family val="2"/>
          </rPr>
          <t xml:space="preserve">
ERA 60</t>
        </r>
      </text>
    </comment>
    <comment ref="D4534" authorId="0" shapeId="0" xr:uid="{00000000-0006-0000-0100-0000A0030000}">
      <text>
        <r>
          <rPr>
            <b/>
            <sz val="9"/>
            <color indexed="81"/>
            <rFont val="Tahoma"/>
            <family val="2"/>
          </rPr>
          <t>Jorge Arturo Espinoza:</t>
        </r>
        <r>
          <rPr>
            <sz val="9"/>
            <color indexed="81"/>
            <rFont val="Tahoma"/>
            <family val="2"/>
          </rPr>
          <t xml:space="preserve">
ERA 60</t>
        </r>
      </text>
    </comment>
    <comment ref="D4535" authorId="0" shapeId="0" xr:uid="{00000000-0006-0000-0100-0000A1030000}">
      <text>
        <r>
          <rPr>
            <b/>
            <sz val="9"/>
            <color indexed="81"/>
            <rFont val="Tahoma"/>
            <family val="2"/>
          </rPr>
          <t>Jorge Arturo Espinoza:</t>
        </r>
        <r>
          <rPr>
            <sz val="9"/>
            <color indexed="81"/>
            <rFont val="Tahoma"/>
            <family val="2"/>
          </rPr>
          <t xml:space="preserve">
ERA 60</t>
        </r>
      </text>
    </comment>
    <comment ref="D4537" authorId="0" shapeId="0" xr:uid="{00000000-0006-0000-0100-0000A2030000}">
      <text>
        <r>
          <rPr>
            <b/>
            <sz val="9"/>
            <color indexed="81"/>
            <rFont val="Tahoma"/>
            <family val="2"/>
          </rPr>
          <t>Jorge Arturo Espinoza:</t>
        </r>
        <r>
          <rPr>
            <sz val="9"/>
            <color indexed="81"/>
            <rFont val="Tahoma"/>
            <family val="2"/>
          </rPr>
          <t xml:space="preserve">
ERA 60</t>
        </r>
      </text>
    </comment>
    <comment ref="D4539" authorId="0" shapeId="0" xr:uid="{00000000-0006-0000-0100-0000A3030000}">
      <text>
        <r>
          <rPr>
            <b/>
            <sz val="9"/>
            <color indexed="81"/>
            <rFont val="Tahoma"/>
            <family val="2"/>
          </rPr>
          <t>Jorge Arturo Espinoza:</t>
        </r>
        <r>
          <rPr>
            <sz val="9"/>
            <color indexed="81"/>
            <rFont val="Tahoma"/>
            <family val="2"/>
          </rPr>
          <t xml:space="preserve">
ERA 50</t>
        </r>
      </text>
    </comment>
    <comment ref="D4540" authorId="0" shapeId="0" xr:uid="{00000000-0006-0000-0100-0000A4030000}">
      <text>
        <r>
          <rPr>
            <b/>
            <sz val="9"/>
            <color indexed="81"/>
            <rFont val="Tahoma"/>
            <family val="2"/>
          </rPr>
          <t>Jorge Arturo Espinoza:</t>
        </r>
        <r>
          <rPr>
            <sz val="9"/>
            <color indexed="81"/>
            <rFont val="Tahoma"/>
            <family val="2"/>
          </rPr>
          <t xml:space="preserve">
ERA 50</t>
        </r>
      </text>
    </comment>
    <comment ref="B4547" authorId="1" shapeId="0" xr:uid="{00000000-0006-0000-0100-0000A5030000}">
      <text>
        <r>
          <rPr>
            <b/>
            <sz val="9"/>
            <color indexed="81"/>
            <rFont val="Tahoma"/>
            <family val="2"/>
          </rPr>
          <t>Paulo Olano:</t>
        </r>
        <r>
          <rPr>
            <sz val="9"/>
            <color indexed="81"/>
            <rFont val="Tahoma"/>
            <family val="2"/>
          </rPr>
          <t xml:space="preserve">
considerando precio barra a tierra, con sus aisladores</t>
        </r>
      </text>
    </comment>
    <comment ref="F4566" authorId="0" shapeId="0" xr:uid="{00000000-0006-0000-0100-0000A6030000}">
      <text>
        <r>
          <rPr>
            <b/>
            <sz val="9"/>
            <color indexed="81"/>
            <rFont val="Tahoma"/>
            <family val="2"/>
          </rPr>
          <t>Jorge Arturo Espinoza:</t>
        </r>
        <r>
          <rPr>
            <sz val="9"/>
            <color indexed="81"/>
            <rFont val="Tahoma"/>
            <family val="2"/>
          </rPr>
          <t xml:space="preserve">
ASUMIDO</t>
        </r>
      </text>
    </comment>
    <comment ref="F4617" authorId="0" shapeId="0" xr:uid="{00000000-0006-0000-0100-0000A7030000}">
      <text>
        <r>
          <rPr>
            <b/>
            <sz val="9"/>
            <color indexed="81"/>
            <rFont val="Tahoma"/>
            <family val="2"/>
          </rPr>
          <t>Jorge Arturo Espinoza:</t>
        </r>
        <r>
          <rPr>
            <sz val="9"/>
            <color indexed="81"/>
            <rFont val="Tahoma"/>
            <family val="2"/>
          </rPr>
          <t xml:space="preserve">
costo minimo representativo, porque  el los ITM Riel-Din ya lo incluye como costo de instalacion.</t>
        </r>
      </text>
    </comment>
    <comment ref="F4618" authorId="0" shapeId="0" xr:uid="{00000000-0006-0000-0100-0000A8030000}">
      <text>
        <r>
          <rPr>
            <b/>
            <sz val="9"/>
            <color indexed="81"/>
            <rFont val="Tahoma"/>
            <family val="2"/>
          </rPr>
          <t>Jorge Arturo Espinoza:</t>
        </r>
        <r>
          <rPr>
            <sz val="9"/>
            <color indexed="81"/>
            <rFont val="Tahoma"/>
            <family val="2"/>
          </rPr>
          <t xml:space="preserve">
costo minimo representativo, porque  el los ITM Riel-Din ya lo incluye como costo de instalacion.</t>
        </r>
      </text>
    </comment>
    <comment ref="C4619" authorId="0" shapeId="0" xr:uid="{00000000-0006-0000-0100-0000A9030000}">
      <text>
        <r>
          <rPr>
            <b/>
            <sz val="9"/>
            <color indexed="81"/>
            <rFont val="Tahoma"/>
            <family val="2"/>
          </rPr>
          <t>Jorge Arturo Espinoza:</t>
        </r>
        <r>
          <rPr>
            <sz val="9"/>
            <color indexed="81"/>
            <rFont val="Tahoma"/>
            <family val="2"/>
          </rPr>
          <t xml:space="preserve">
70 SOLES EL METRO (48 polos)</t>
        </r>
      </text>
    </comment>
    <comment ref="C4620" authorId="0" shapeId="0" xr:uid="{00000000-0006-0000-0100-0000AA030000}">
      <text>
        <r>
          <rPr>
            <b/>
            <sz val="9"/>
            <color indexed="81"/>
            <rFont val="Tahoma"/>
            <family val="2"/>
          </rPr>
          <t>Jorge Arturo Espinoza:</t>
        </r>
        <r>
          <rPr>
            <sz val="9"/>
            <color indexed="81"/>
            <rFont val="Tahoma"/>
            <family val="2"/>
          </rPr>
          <t xml:space="preserve">
70 SOLES EL METRO (48 polos)</t>
        </r>
      </text>
    </comment>
    <comment ref="C4621" authorId="0" shapeId="0" xr:uid="{00000000-0006-0000-0100-0000AB030000}">
      <text>
        <r>
          <rPr>
            <b/>
            <sz val="9"/>
            <color indexed="81"/>
            <rFont val="Tahoma"/>
            <family val="2"/>
          </rPr>
          <t>Jorge Arturo Espinoza:</t>
        </r>
        <r>
          <rPr>
            <sz val="9"/>
            <color indexed="81"/>
            <rFont val="Tahoma"/>
            <family val="2"/>
          </rPr>
          <t xml:space="preserve">
70 SOLES EL METRO (48 polos)</t>
        </r>
      </text>
    </comment>
    <comment ref="C4622" authorId="0" shapeId="0" xr:uid="{00000000-0006-0000-0100-0000AC030000}">
      <text>
        <r>
          <rPr>
            <b/>
            <sz val="9"/>
            <color indexed="81"/>
            <rFont val="Tahoma"/>
            <family val="2"/>
          </rPr>
          <t>Jorge Arturo Espinoza:</t>
        </r>
        <r>
          <rPr>
            <sz val="9"/>
            <color indexed="81"/>
            <rFont val="Tahoma"/>
            <family val="2"/>
          </rPr>
          <t xml:space="preserve">
70 SOLES EL METRO (48 polos)</t>
        </r>
      </text>
    </comment>
    <comment ref="C4623" authorId="0" shapeId="0" xr:uid="{00000000-0006-0000-0100-0000AD030000}">
      <text>
        <r>
          <rPr>
            <b/>
            <sz val="9"/>
            <color indexed="81"/>
            <rFont val="Tahoma"/>
            <family val="2"/>
          </rPr>
          <t>Jorge Arturo Espinoza:</t>
        </r>
        <r>
          <rPr>
            <sz val="9"/>
            <color indexed="81"/>
            <rFont val="Tahoma"/>
            <family val="2"/>
          </rPr>
          <t xml:space="preserve">
70 SOLES EL METRO (48 polos)</t>
        </r>
      </text>
    </comment>
    <comment ref="C4624" authorId="0" shapeId="0" xr:uid="{00000000-0006-0000-0100-0000AE030000}">
      <text>
        <r>
          <rPr>
            <b/>
            <sz val="9"/>
            <color indexed="81"/>
            <rFont val="Tahoma"/>
            <family val="2"/>
          </rPr>
          <t>Jorge Arturo Espinoza:</t>
        </r>
        <r>
          <rPr>
            <sz val="9"/>
            <color indexed="81"/>
            <rFont val="Tahoma"/>
            <family val="2"/>
          </rPr>
          <t xml:space="preserve">
70 SOLES EL METRO (48 polos)</t>
        </r>
      </text>
    </comment>
    <comment ref="C4644" authorId="0" shapeId="0" xr:uid="{00000000-0006-0000-0100-0000AF030000}">
      <text>
        <r>
          <rPr>
            <b/>
            <sz val="9"/>
            <color indexed="81"/>
            <rFont val="Tahoma"/>
            <family val="2"/>
          </rPr>
          <t>Jorge Arturo Espinoza:</t>
        </r>
        <r>
          <rPr>
            <sz val="9"/>
            <color indexed="81"/>
            <rFont val="Tahoma"/>
            <family val="2"/>
          </rPr>
          <t xml:space="preserve">
No es precio de lista de TJ</t>
        </r>
      </text>
    </comment>
    <comment ref="D4647" authorId="1" shapeId="0" xr:uid="{00000000-0006-0000-0100-0000B0030000}">
      <text>
        <r>
          <rPr>
            <b/>
            <sz val="9"/>
            <color indexed="81"/>
            <rFont val="Tahoma"/>
            <family val="2"/>
          </rPr>
          <t>Paulo Olano:</t>
        </r>
        <r>
          <rPr>
            <sz val="9"/>
            <color indexed="81"/>
            <rFont val="Tahoma"/>
            <family val="2"/>
          </rPr>
          <t xml:space="preserve">
DANIEL LIRA JUNIO 2018</t>
        </r>
      </text>
    </comment>
    <comment ref="D4649" authorId="2" shapeId="0" xr:uid="{00000000-0006-0000-0100-0000B1030000}">
      <text>
        <r>
          <rPr>
            <b/>
            <sz val="9"/>
            <color indexed="81"/>
            <rFont val="Tahoma"/>
            <family val="2"/>
          </rPr>
          <t>Roberto Meza:</t>
        </r>
        <r>
          <rPr>
            <sz val="9"/>
            <color indexed="81"/>
            <rFont val="Tahoma"/>
            <family val="2"/>
          </rPr>
          <t xml:space="preserve">
Daniel Lira 10/2019</t>
        </r>
      </text>
    </comment>
    <comment ref="D4657" authorId="0" shapeId="0" xr:uid="{00000000-0006-0000-0100-0000B2030000}">
      <text>
        <r>
          <rPr>
            <b/>
            <sz val="9"/>
            <color indexed="81"/>
            <rFont val="Tahoma"/>
            <family val="2"/>
          </rPr>
          <t>Jorge Arturo Espinoza:</t>
        </r>
        <r>
          <rPr>
            <sz val="9"/>
            <color indexed="81"/>
            <rFont val="Tahoma"/>
            <family val="2"/>
          </rPr>
          <t xml:space="preserve">
Daniel : $ 960</t>
        </r>
      </text>
    </comment>
    <comment ref="D4659" authorId="0" shapeId="0" xr:uid="{00000000-0006-0000-0100-0000B3030000}">
      <text>
        <r>
          <rPr>
            <b/>
            <sz val="9"/>
            <color indexed="81"/>
            <rFont val="Tahoma"/>
            <family val="2"/>
          </rPr>
          <t>Rpsalyn Rincón</t>
        </r>
        <r>
          <rPr>
            <sz val="9"/>
            <color indexed="81"/>
            <rFont val="Tahoma"/>
            <family val="2"/>
          </rPr>
          <t xml:space="preserve">
precio dado por el Ing. Marcial 28/05/2019</t>
        </r>
      </text>
    </comment>
    <comment ref="D4662" authorId="0" shapeId="0" xr:uid="{00000000-0006-0000-0100-0000B4030000}">
      <text>
        <r>
          <rPr>
            <b/>
            <sz val="9"/>
            <color indexed="81"/>
            <rFont val="Tahoma"/>
            <family val="2"/>
          </rPr>
          <t>WH</t>
        </r>
        <r>
          <rPr>
            <sz val="9"/>
            <color indexed="81"/>
            <rFont val="Tahoma"/>
            <family val="2"/>
          </rPr>
          <t xml:space="preserve">
precio 05/12/2019</t>
        </r>
      </text>
    </comment>
    <comment ref="D4664" authorId="0" shapeId="0" xr:uid="{00000000-0006-0000-0100-0000B5030000}">
      <text>
        <r>
          <rPr>
            <b/>
            <sz val="9"/>
            <color indexed="81"/>
            <rFont val="Tahoma"/>
            <family val="2"/>
          </rPr>
          <t>Jorge Arturo Espinoza:</t>
        </r>
        <r>
          <rPr>
            <sz val="9"/>
            <color indexed="81"/>
            <rFont val="Tahoma"/>
            <family val="2"/>
          </rPr>
          <t xml:space="preserve">
Daniel : $ 960</t>
        </r>
      </text>
    </comment>
    <comment ref="D4665" authorId="0" shapeId="0" xr:uid="{00000000-0006-0000-0100-0000B6030000}">
      <text>
        <r>
          <rPr>
            <b/>
            <sz val="9"/>
            <color indexed="81"/>
            <rFont val="Tahoma"/>
            <family val="2"/>
          </rPr>
          <t>Jorge Arturo Espinoza:</t>
        </r>
        <r>
          <rPr>
            <sz val="9"/>
            <color indexed="81"/>
            <rFont val="Tahoma"/>
            <family val="2"/>
          </rPr>
          <t xml:space="preserve">
Daniel : $ 960</t>
        </r>
      </text>
    </comment>
    <comment ref="D4666" authorId="0" shapeId="0" xr:uid="{00000000-0006-0000-0100-0000B7030000}">
      <text>
        <r>
          <rPr>
            <b/>
            <sz val="9"/>
            <color indexed="81"/>
            <rFont val="Tahoma"/>
            <family val="2"/>
          </rPr>
          <t>Jorge Arturo Espinoza:</t>
        </r>
        <r>
          <rPr>
            <sz val="9"/>
            <color indexed="81"/>
            <rFont val="Tahoma"/>
            <family val="2"/>
          </rPr>
          <t xml:space="preserve">
Daniel : $ 960</t>
        </r>
      </text>
    </comment>
    <comment ref="D4677" authorId="1" shapeId="0" xr:uid="{00000000-0006-0000-0100-0000B8030000}">
      <text>
        <r>
          <rPr>
            <b/>
            <sz val="9"/>
            <color indexed="81"/>
            <rFont val="Tahoma"/>
            <family val="2"/>
          </rPr>
          <t>Paulo Olano:</t>
        </r>
        <r>
          <rPr>
            <sz val="9"/>
            <color indexed="81"/>
            <rFont val="Tahoma"/>
            <family val="2"/>
          </rPr>
          <t xml:space="preserve">
PRECIO POR DANIEL LIRA 13/07/17</t>
        </r>
      </text>
    </comment>
    <comment ref="D4678" authorId="1" shapeId="0" xr:uid="{00000000-0006-0000-0100-0000B9030000}">
      <text>
        <r>
          <rPr>
            <b/>
            <sz val="9"/>
            <color indexed="81"/>
            <rFont val="Tahoma"/>
            <family val="2"/>
          </rPr>
          <t>Paulo Olano:</t>
        </r>
        <r>
          <rPr>
            <sz val="9"/>
            <color indexed="81"/>
            <rFont val="Tahoma"/>
            <family val="2"/>
          </rPr>
          <t xml:space="preserve">
PRECIO POR DANIEL LIRA 13/07/17</t>
        </r>
      </text>
    </comment>
    <comment ref="D4680" authorId="2" shapeId="0" xr:uid="{00000000-0006-0000-0100-0000BA030000}">
      <text>
        <r>
          <rPr>
            <b/>
            <sz val="9"/>
            <color indexed="81"/>
            <rFont val="Tahoma"/>
            <family val="2"/>
          </rPr>
          <t>Roberto Meza:</t>
        </r>
        <r>
          <rPr>
            <sz val="9"/>
            <color indexed="81"/>
            <rFont val="Tahoma"/>
            <family val="2"/>
          </rPr>
          <t xml:space="preserve">
Daniel 7/2/18</t>
        </r>
      </text>
    </comment>
    <comment ref="D4681" authorId="2" shapeId="0" xr:uid="{00000000-0006-0000-0100-0000BB030000}">
      <text>
        <r>
          <rPr>
            <b/>
            <sz val="9"/>
            <color indexed="81"/>
            <rFont val="Tahoma"/>
            <family val="2"/>
          </rPr>
          <t>Roberto Meza:</t>
        </r>
        <r>
          <rPr>
            <sz val="9"/>
            <color indexed="81"/>
            <rFont val="Tahoma"/>
            <family val="2"/>
          </rPr>
          <t xml:space="preserve">
Daniel 7/2/18</t>
        </r>
      </text>
    </comment>
    <comment ref="D4683" authorId="1" shapeId="0" xr:uid="{00000000-0006-0000-0100-0000BC030000}">
      <text>
        <r>
          <rPr>
            <b/>
            <sz val="9"/>
            <color indexed="81"/>
            <rFont val="Tahoma"/>
            <family val="2"/>
          </rPr>
          <t>Paulo Olano:</t>
        </r>
        <r>
          <rPr>
            <sz val="9"/>
            <color indexed="81"/>
            <rFont val="Tahoma"/>
            <family val="2"/>
          </rPr>
          <t xml:space="preserve">
BASE DE DATOS ANTIGUA</t>
        </r>
      </text>
    </comment>
    <comment ref="D4771" authorId="0" shapeId="0" xr:uid="{00000000-0006-0000-0100-0000BD030000}">
      <text>
        <r>
          <rPr>
            <b/>
            <sz val="9"/>
            <color indexed="81"/>
            <rFont val="Tahoma"/>
            <family val="2"/>
          </rPr>
          <t>Jorge Arturo Espinoza:</t>
        </r>
        <r>
          <rPr>
            <sz val="9"/>
            <color indexed="81"/>
            <rFont val="Tahoma"/>
            <family val="2"/>
          </rPr>
          <t xml:space="preserve">
ESTIMACION POR MARCIAL</t>
        </r>
      </text>
    </comment>
    <comment ref="D4772" authorId="0" shapeId="0" xr:uid="{00000000-0006-0000-0100-0000BE030000}">
      <text>
        <r>
          <rPr>
            <b/>
            <sz val="9"/>
            <color indexed="81"/>
            <rFont val="Tahoma"/>
            <family val="2"/>
          </rPr>
          <t>Jorge Arturo Espinoza:</t>
        </r>
        <r>
          <rPr>
            <sz val="9"/>
            <color indexed="81"/>
            <rFont val="Tahoma"/>
            <family val="2"/>
          </rPr>
          <t xml:space="preserve">
ESTIMACION POR MARCIAL</t>
        </r>
      </text>
    </comment>
    <comment ref="D4773" authorId="0" shapeId="0" xr:uid="{00000000-0006-0000-0100-0000BF030000}">
      <text>
        <r>
          <rPr>
            <b/>
            <sz val="9"/>
            <color indexed="81"/>
            <rFont val="Tahoma"/>
            <family val="2"/>
          </rPr>
          <t>Jorge Arturo Espinoza:</t>
        </r>
        <r>
          <rPr>
            <sz val="9"/>
            <color indexed="81"/>
            <rFont val="Tahoma"/>
            <family val="2"/>
          </rPr>
          <t xml:space="preserve">
ESTIMACION POR MARCIAL</t>
        </r>
      </text>
    </comment>
    <comment ref="D4774" authorId="0" shapeId="0" xr:uid="{00000000-0006-0000-0100-0000C0030000}">
      <text>
        <r>
          <rPr>
            <b/>
            <sz val="9"/>
            <color indexed="81"/>
            <rFont val="Tahoma"/>
            <family val="2"/>
          </rPr>
          <t>Jorge Arturo Espinoza:</t>
        </r>
        <r>
          <rPr>
            <sz val="9"/>
            <color indexed="81"/>
            <rFont val="Tahoma"/>
            <family val="2"/>
          </rPr>
          <t xml:space="preserve">
ESTIMACION POR MARCIAL</t>
        </r>
      </text>
    </comment>
    <comment ref="D4775" authorId="0" shapeId="0" xr:uid="{00000000-0006-0000-0100-0000C1030000}">
      <text>
        <r>
          <rPr>
            <b/>
            <sz val="9"/>
            <color indexed="81"/>
            <rFont val="Tahoma"/>
            <family val="2"/>
          </rPr>
          <t>Jorge Arturo Espinoza:</t>
        </r>
        <r>
          <rPr>
            <sz val="9"/>
            <color indexed="81"/>
            <rFont val="Tahoma"/>
            <family val="2"/>
          </rPr>
          <t xml:space="preserve">
ESTIMACION POR MARCIAL</t>
        </r>
      </text>
    </comment>
    <comment ref="D4776" authorId="0" shapeId="0" xr:uid="{00000000-0006-0000-0100-0000C2030000}">
      <text>
        <r>
          <rPr>
            <b/>
            <sz val="9"/>
            <color indexed="81"/>
            <rFont val="Tahoma"/>
            <family val="2"/>
          </rPr>
          <t>Jorge Arturo Espinoza:</t>
        </r>
        <r>
          <rPr>
            <sz val="9"/>
            <color indexed="81"/>
            <rFont val="Tahoma"/>
            <family val="2"/>
          </rPr>
          <t xml:space="preserve">
ESTIMACION POR MARCIAL</t>
        </r>
      </text>
    </comment>
    <comment ref="D4777" authorId="0" shapeId="0" xr:uid="{00000000-0006-0000-0100-0000C3030000}">
      <text>
        <r>
          <rPr>
            <b/>
            <sz val="9"/>
            <color indexed="81"/>
            <rFont val="Tahoma"/>
            <family val="2"/>
          </rPr>
          <t>Jorge Arturo Espinoza:</t>
        </r>
        <r>
          <rPr>
            <sz val="9"/>
            <color indexed="81"/>
            <rFont val="Tahoma"/>
            <family val="2"/>
          </rPr>
          <t xml:space="preserve">
ESTIMACION POR MARCIAL</t>
        </r>
      </text>
    </comment>
    <comment ref="D4778" authorId="0" shapeId="0" xr:uid="{00000000-0006-0000-0100-0000C4030000}">
      <text>
        <r>
          <rPr>
            <b/>
            <sz val="9"/>
            <color indexed="81"/>
            <rFont val="Tahoma"/>
            <family val="2"/>
          </rPr>
          <t>Jorge Arturo Espinoza:</t>
        </r>
        <r>
          <rPr>
            <sz val="9"/>
            <color indexed="81"/>
            <rFont val="Tahoma"/>
            <family val="2"/>
          </rPr>
          <t xml:space="preserve">
ESTIMACION POR MARCIAL</t>
        </r>
      </text>
    </comment>
    <comment ref="D4805" authorId="0" shapeId="0" xr:uid="{00000000-0006-0000-0100-0000C5030000}">
      <text>
        <r>
          <rPr>
            <b/>
            <sz val="9"/>
            <color indexed="81"/>
            <rFont val="Tahoma"/>
            <family val="2"/>
          </rPr>
          <t>Jorge Arturo Espinoza:</t>
        </r>
        <r>
          <rPr>
            <sz val="9"/>
            <color indexed="81"/>
            <rFont val="Tahoma"/>
            <family val="2"/>
          </rPr>
          <t xml:space="preserve">
ASUMIDO</t>
        </r>
      </text>
    </comment>
    <comment ref="D4806" authorId="0" shapeId="0" xr:uid="{00000000-0006-0000-0100-0000C6030000}">
      <text>
        <r>
          <rPr>
            <b/>
            <sz val="9"/>
            <color indexed="81"/>
            <rFont val="Tahoma"/>
            <family val="2"/>
          </rPr>
          <t>Jorge Arturo Espinoza:</t>
        </r>
        <r>
          <rPr>
            <sz val="9"/>
            <color indexed="81"/>
            <rFont val="Tahoma"/>
            <family val="2"/>
          </rPr>
          <t xml:space="preserve">
ASUMIDO</t>
        </r>
      </text>
    </comment>
    <comment ref="D4807" authorId="0" shapeId="0" xr:uid="{00000000-0006-0000-0100-0000C7030000}">
      <text>
        <r>
          <rPr>
            <b/>
            <sz val="9"/>
            <color indexed="81"/>
            <rFont val="Tahoma"/>
            <family val="2"/>
          </rPr>
          <t>Jorge Arturo Espinoza:</t>
        </r>
        <r>
          <rPr>
            <sz val="9"/>
            <color indexed="81"/>
            <rFont val="Tahoma"/>
            <family val="2"/>
          </rPr>
          <t xml:space="preserve">
ASUMIDO</t>
        </r>
      </text>
    </comment>
    <comment ref="D4808" authorId="0" shapeId="0" xr:uid="{00000000-0006-0000-0100-0000C8030000}">
      <text>
        <r>
          <rPr>
            <b/>
            <sz val="9"/>
            <color indexed="81"/>
            <rFont val="Tahoma"/>
            <family val="2"/>
          </rPr>
          <t>Jorge Arturo Espinoza:</t>
        </r>
        <r>
          <rPr>
            <sz val="9"/>
            <color indexed="81"/>
            <rFont val="Tahoma"/>
            <family val="2"/>
          </rPr>
          <t xml:space="preserve">
ASUMIDO</t>
        </r>
      </text>
    </comment>
    <comment ref="D4809" authorId="0" shapeId="0" xr:uid="{00000000-0006-0000-0100-0000C9030000}">
      <text>
        <r>
          <rPr>
            <b/>
            <sz val="9"/>
            <color indexed="81"/>
            <rFont val="Tahoma"/>
            <family val="2"/>
          </rPr>
          <t>Jorge Arturo Espinoza:</t>
        </r>
        <r>
          <rPr>
            <sz val="9"/>
            <color indexed="81"/>
            <rFont val="Tahoma"/>
            <family val="2"/>
          </rPr>
          <t xml:space="preserve">
ASUMIDO</t>
        </r>
      </text>
    </comment>
    <comment ref="D4810" authorId="0" shapeId="0" xr:uid="{00000000-0006-0000-0100-0000CA030000}">
      <text>
        <r>
          <rPr>
            <b/>
            <sz val="9"/>
            <color indexed="81"/>
            <rFont val="Tahoma"/>
            <family val="2"/>
          </rPr>
          <t>Jorge Arturo Espinoza:</t>
        </r>
        <r>
          <rPr>
            <sz val="9"/>
            <color indexed="81"/>
            <rFont val="Tahoma"/>
            <family val="2"/>
          </rPr>
          <t xml:space="preserve">
ASUMIDO</t>
        </r>
      </text>
    </comment>
    <comment ref="D4811" authorId="0" shapeId="0" xr:uid="{00000000-0006-0000-0100-0000CB030000}">
      <text>
        <r>
          <rPr>
            <b/>
            <sz val="9"/>
            <color indexed="81"/>
            <rFont val="Tahoma"/>
            <family val="2"/>
          </rPr>
          <t>Jorge Arturo Espinoza:</t>
        </r>
        <r>
          <rPr>
            <sz val="9"/>
            <color indexed="81"/>
            <rFont val="Tahoma"/>
            <family val="2"/>
          </rPr>
          <t xml:space="preserve">
ASUMIDO</t>
        </r>
      </text>
    </comment>
    <comment ref="D4812" authorId="0" shapeId="0" xr:uid="{00000000-0006-0000-0100-0000CC030000}">
      <text>
        <r>
          <rPr>
            <b/>
            <sz val="9"/>
            <color indexed="81"/>
            <rFont val="Tahoma"/>
            <family val="2"/>
          </rPr>
          <t>Jorge Arturo Espinoza:</t>
        </r>
        <r>
          <rPr>
            <sz val="9"/>
            <color indexed="81"/>
            <rFont val="Tahoma"/>
            <family val="2"/>
          </rPr>
          <t xml:space="preserve">
ASUMIDO</t>
        </r>
      </text>
    </comment>
    <comment ref="D4821" authorId="0" shapeId="0" xr:uid="{00000000-0006-0000-0100-0000CD030000}">
      <text>
        <r>
          <rPr>
            <b/>
            <sz val="9"/>
            <color indexed="81"/>
            <rFont val="Tahoma"/>
            <family val="2"/>
          </rPr>
          <t>Jorge Arturo Espinoza:</t>
        </r>
        <r>
          <rPr>
            <sz val="9"/>
            <color indexed="81"/>
            <rFont val="Tahoma"/>
            <family val="2"/>
          </rPr>
          <t xml:space="preserve">
ASUMIDO</t>
        </r>
      </text>
    </comment>
    <comment ref="D4844" authorId="0" shapeId="0" xr:uid="{00000000-0006-0000-0100-0000CE030000}">
      <text>
        <r>
          <rPr>
            <b/>
            <sz val="9"/>
            <color indexed="81"/>
            <rFont val="Tahoma"/>
            <family val="2"/>
          </rPr>
          <t>Jorge Arturo Espinoza:</t>
        </r>
        <r>
          <rPr>
            <sz val="9"/>
            <color indexed="81"/>
            <rFont val="Tahoma"/>
            <family val="2"/>
          </rPr>
          <t xml:space="preserve">
ERA EL PRECIO DE 
2 ITM + ENCLAVAMIENTO</t>
        </r>
      </text>
    </comment>
    <comment ref="H4844" authorId="0" shapeId="0" xr:uid="{00000000-0006-0000-0100-0000CF030000}">
      <text>
        <r>
          <rPr>
            <b/>
            <sz val="9"/>
            <color indexed="81"/>
            <rFont val="Tahoma"/>
            <family val="2"/>
          </rPr>
          <t>Jorge Arturo Espinoza:</t>
        </r>
        <r>
          <rPr>
            <sz val="9"/>
            <color indexed="81"/>
            <rFont val="Tahoma"/>
            <family val="2"/>
          </rPr>
          <t xml:space="preserve">
FALTA CODIGO DE FABRICA</t>
        </r>
      </text>
    </comment>
    <comment ref="D4845" authorId="0" shapeId="0" xr:uid="{00000000-0006-0000-0100-0000D0030000}">
      <text>
        <r>
          <rPr>
            <b/>
            <sz val="9"/>
            <color indexed="81"/>
            <rFont val="Tahoma"/>
            <family val="2"/>
          </rPr>
          <t>Jorge Arturo Espinoza:</t>
        </r>
        <r>
          <rPr>
            <sz val="9"/>
            <color indexed="81"/>
            <rFont val="Tahoma"/>
            <family val="2"/>
          </rPr>
          <t xml:space="preserve">
ERA EL PRECIO DE 
2 ITM + ENCLAVAMIENTO</t>
        </r>
      </text>
    </comment>
    <comment ref="H4845" authorId="0" shapeId="0" xr:uid="{00000000-0006-0000-0100-0000D1030000}">
      <text>
        <r>
          <rPr>
            <b/>
            <sz val="9"/>
            <color indexed="81"/>
            <rFont val="Tahoma"/>
            <family val="2"/>
          </rPr>
          <t>Jorge Arturo Espinoza:</t>
        </r>
        <r>
          <rPr>
            <sz val="9"/>
            <color indexed="81"/>
            <rFont val="Tahoma"/>
            <family val="2"/>
          </rPr>
          <t xml:space="preserve">
FALTA CODIGO DE FABRICA</t>
        </r>
      </text>
    </comment>
    <comment ref="D4846" authorId="0" shapeId="0" xr:uid="{00000000-0006-0000-0100-0000D2030000}">
      <text>
        <r>
          <rPr>
            <b/>
            <sz val="9"/>
            <color indexed="81"/>
            <rFont val="Tahoma"/>
            <family val="2"/>
          </rPr>
          <t>Jorge Arturo Espinoza:</t>
        </r>
        <r>
          <rPr>
            <sz val="9"/>
            <color indexed="81"/>
            <rFont val="Tahoma"/>
            <family val="2"/>
          </rPr>
          <t xml:space="preserve">
ERA EL PRECIO DE 
2 ITM + ENCLAVAMIENTO</t>
        </r>
      </text>
    </comment>
    <comment ref="H4846" authorId="0" shapeId="0" xr:uid="{00000000-0006-0000-0100-0000D3030000}">
      <text>
        <r>
          <rPr>
            <b/>
            <sz val="9"/>
            <color indexed="81"/>
            <rFont val="Tahoma"/>
            <family val="2"/>
          </rPr>
          <t>Jorge Arturo Espinoza:</t>
        </r>
        <r>
          <rPr>
            <sz val="9"/>
            <color indexed="81"/>
            <rFont val="Tahoma"/>
            <family val="2"/>
          </rPr>
          <t xml:space="preserve">
FALTA CODIGO DE FABRICA</t>
        </r>
      </text>
    </comment>
    <comment ref="H4849" authorId="0" shapeId="0" xr:uid="{00000000-0006-0000-0100-0000D4030000}">
      <text>
        <r>
          <rPr>
            <b/>
            <sz val="9"/>
            <color indexed="81"/>
            <rFont val="Tahoma"/>
            <family val="2"/>
          </rPr>
          <t>Jorge Arturo Espinoza:</t>
        </r>
        <r>
          <rPr>
            <sz val="9"/>
            <color indexed="81"/>
            <rFont val="Tahoma"/>
            <family val="2"/>
          </rPr>
          <t xml:space="preserve">
FALTA CODIGO DE FABRICA</t>
        </r>
      </text>
    </comment>
    <comment ref="H4850" authorId="0" shapeId="0" xr:uid="{00000000-0006-0000-0100-0000D5030000}">
      <text>
        <r>
          <rPr>
            <b/>
            <sz val="9"/>
            <color indexed="81"/>
            <rFont val="Tahoma"/>
            <family val="2"/>
          </rPr>
          <t>Jorge Arturo Espinoza:</t>
        </r>
        <r>
          <rPr>
            <sz val="9"/>
            <color indexed="81"/>
            <rFont val="Tahoma"/>
            <family val="2"/>
          </rPr>
          <t xml:space="preserve">
FALTA CODIGO DE FABRICA</t>
        </r>
      </text>
    </comment>
    <comment ref="H4851" authorId="0" shapeId="0" xr:uid="{00000000-0006-0000-0100-0000D6030000}">
      <text>
        <r>
          <rPr>
            <b/>
            <sz val="9"/>
            <color indexed="81"/>
            <rFont val="Tahoma"/>
            <family val="2"/>
          </rPr>
          <t>Jorge Arturo Espinoza:</t>
        </r>
        <r>
          <rPr>
            <sz val="9"/>
            <color indexed="81"/>
            <rFont val="Tahoma"/>
            <family val="2"/>
          </rPr>
          <t xml:space="preserve">
FALTA CODIGO DE FABRICA</t>
        </r>
      </text>
    </comment>
    <comment ref="H4852" authorId="0" shapeId="0" xr:uid="{00000000-0006-0000-0100-0000D7030000}">
      <text>
        <r>
          <rPr>
            <b/>
            <sz val="9"/>
            <color indexed="81"/>
            <rFont val="Tahoma"/>
            <family val="2"/>
          </rPr>
          <t>Jorge Arturo Espinoza:</t>
        </r>
        <r>
          <rPr>
            <sz val="9"/>
            <color indexed="81"/>
            <rFont val="Tahoma"/>
            <family val="2"/>
          </rPr>
          <t xml:space="preserve">
FALTA CODIGO DE FABRICA</t>
        </r>
      </text>
    </comment>
    <comment ref="H4853" authorId="0" shapeId="0" xr:uid="{00000000-0006-0000-0100-0000D8030000}">
      <text>
        <r>
          <rPr>
            <b/>
            <sz val="9"/>
            <color indexed="81"/>
            <rFont val="Tahoma"/>
            <family val="2"/>
          </rPr>
          <t>Jorge Arturo Espinoza:</t>
        </r>
        <r>
          <rPr>
            <sz val="9"/>
            <color indexed="81"/>
            <rFont val="Tahoma"/>
            <family val="2"/>
          </rPr>
          <t xml:space="preserve">
FALTA CODIGO DE FABRICA</t>
        </r>
      </text>
    </comment>
    <comment ref="H4854" authorId="0" shapeId="0" xr:uid="{00000000-0006-0000-0100-0000D9030000}">
      <text>
        <r>
          <rPr>
            <b/>
            <sz val="9"/>
            <color indexed="81"/>
            <rFont val="Tahoma"/>
            <family val="2"/>
          </rPr>
          <t>Jorge Arturo Espinoza:</t>
        </r>
        <r>
          <rPr>
            <sz val="9"/>
            <color indexed="81"/>
            <rFont val="Tahoma"/>
            <family val="2"/>
          </rPr>
          <t xml:space="preserve">
FALTA CODIGO DE FABRICA</t>
        </r>
      </text>
    </comment>
    <comment ref="H4855" authorId="0" shapeId="0" xr:uid="{00000000-0006-0000-0100-0000DA030000}">
      <text>
        <r>
          <rPr>
            <b/>
            <sz val="9"/>
            <color indexed="81"/>
            <rFont val="Tahoma"/>
            <family val="2"/>
          </rPr>
          <t>Jorge Arturo Espinoza:</t>
        </r>
        <r>
          <rPr>
            <sz val="9"/>
            <color indexed="81"/>
            <rFont val="Tahoma"/>
            <family val="2"/>
          </rPr>
          <t xml:space="preserve">
FALTA CODIGO DE FABRICA</t>
        </r>
      </text>
    </comment>
    <comment ref="H4856" authorId="0" shapeId="0" xr:uid="{00000000-0006-0000-0100-0000DB030000}">
      <text>
        <r>
          <rPr>
            <b/>
            <sz val="9"/>
            <color indexed="81"/>
            <rFont val="Tahoma"/>
            <family val="2"/>
          </rPr>
          <t>Jorge Arturo Espinoza:</t>
        </r>
        <r>
          <rPr>
            <sz val="9"/>
            <color indexed="81"/>
            <rFont val="Tahoma"/>
            <family val="2"/>
          </rPr>
          <t xml:space="preserve">
FALTA CODIGO DE FABRICA</t>
        </r>
      </text>
    </comment>
    <comment ref="H4857" authorId="0" shapeId="0" xr:uid="{00000000-0006-0000-0100-0000DC030000}">
      <text>
        <r>
          <rPr>
            <b/>
            <sz val="9"/>
            <color indexed="81"/>
            <rFont val="Tahoma"/>
            <family val="2"/>
          </rPr>
          <t>Jorge Arturo Espinoza:</t>
        </r>
        <r>
          <rPr>
            <sz val="9"/>
            <color indexed="81"/>
            <rFont val="Tahoma"/>
            <family val="2"/>
          </rPr>
          <t xml:space="preserve">
FALTA CODIGO DE FABRICA</t>
        </r>
      </text>
    </comment>
    <comment ref="H4858" authorId="0" shapeId="0" xr:uid="{00000000-0006-0000-0100-0000DD030000}">
      <text>
        <r>
          <rPr>
            <b/>
            <sz val="9"/>
            <color indexed="81"/>
            <rFont val="Tahoma"/>
            <family val="2"/>
          </rPr>
          <t>Jorge Arturo Espinoza:</t>
        </r>
        <r>
          <rPr>
            <sz val="9"/>
            <color indexed="81"/>
            <rFont val="Tahoma"/>
            <family val="2"/>
          </rPr>
          <t xml:space="preserve">
FALTA CODIGO DE FABRICA</t>
        </r>
      </text>
    </comment>
    <comment ref="H4859" authorId="0" shapeId="0" xr:uid="{00000000-0006-0000-0100-0000DE030000}">
      <text>
        <r>
          <rPr>
            <b/>
            <sz val="9"/>
            <color indexed="81"/>
            <rFont val="Tahoma"/>
            <family val="2"/>
          </rPr>
          <t>Jorge Arturo Espinoza:</t>
        </r>
        <r>
          <rPr>
            <sz val="9"/>
            <color indexed="81"/>
            <rFont val="Tahoma"/>
            <family val="2"/>
          </rPr>
          <t xml:space="preserve">
FALTA CODIGO DE FABRICA</t>
        </r>
      </text>
    </comment>
    <comment ref="H4860" authorId="0" shapeId="0" xr:uid="{00000000-0006-0000-0100-0000DF030000}">
      <text>
        <r>
          <rPr>
            <b/>
            <sz val="9"/>
            <color indexed="81"/>
            <rFont val="Tahoma"/>
            <family val="2"/>
          </rPr>
          <t>Jorge Arturo Espinoza:</t>
        </r>
        <r>
          <rPr>
            <sz val="9"/>
            <color indexed="81"/>
            <rFont val="Tahoma"/>
            <family val="2"/>
          </rPr>
          <t xml:space="preserve">
FALTA CODIGO DE FABRICA</t>
        </r>
      </text>
    </comment>
    <comment ref="H4861" authorId="0" shapeId="0" xr:uid="{00000000-0006-0000-0100-0000E0030000}">
      <text>
        <r>
          <rPr>
            <b/>
            <sz val="9"/>
            <color indexed="81"/>
            <rFont val="Tahoma"/>
            <family val="2"/>
          </rPr>
          <t>Jorge Arturo Espinoza:</t>
        </r>
        <r>
          <rPr>
            <sz val="9"/>
            <color indexed="81"/>
            <rFont val="Tahoma"/>
            <family val="2"/>
          </rPr>
          <t xml:space="preserve">
FALTA CODIGO DE FABRICA</t>
        </r>
      </text>
    </comment>
    <comment ref="H4862" authorId="0" shapeId="0" xr:uid="{00000000-0006-0000-0100-0000E1030000}">
      <text>
        <r>
          <rPr>
            <b/>
            <sz val="9"/>
            <color indexed="81"/>
            <rFont val="Tahoma"/>
            <family val="2"/>
          </rPr>
          <t>Jorge Arturo Espinoza:</t>
        </r>
        <r>
          <rPr>
            <sz val="9"/>
            <color indexed="81"/>
            <rFont val="Tahoma"/>
            <family val="2"/>
          </rPr>
          <t xml:space="preserve">
FALTA CODIGO DE FABRICA</t>
        </r>
      </text>
    </comment>
    <comment ref="H4863" authorId="0" shapeId="0" xr:uid="{00000000-0006-0000-0100-0000E2030000}">
      <text>
        <r>
          <rPr>
            <b/>
            <sz val="9"/>
            <color indexed="81"/>
            <rFont val="Tahoma"/>
            <family val="2"/>
          </rPr>
          <t>Jorge Arturo Espinoza:</t>
        </r>
        <r>
          <rPr>
            <sz val="9"/>
            <color indexed="81"/>
            <rFont val="Tahoma"/>
            <family val="2"/>
          </rPr>
          <t xml:space="preserve">
FALTA CODIGO DE FABRICA</t>
        </r>
      </text>
    </comment>
    <comment ref="H4864" authorId="0" shapeId="0" xr:uid="{00000000-0006-0000-0100-0000E3030000}">
      <text>
        <r>
          <rPr>
            <b/>
            <sz val="9"/>
            <color indexed="81"/>
            <rFont val="Tahoma"/>
            <family val="2"/>
          </rPr>
          <t>Jorge Arturo Espinoza:</t>
        </r>
        <r>
          <rPr>
            <sz val="9"/>
            <color indexed="81"/>
            <rFont val="Tahoma"/>
            <family val="2"/>
          </rPr>
          <t xml:space="preserve">
FALTA CODIGO DE FABRICA</t>
        </r>
      </text>
    </comment>
    <comment ref="H4865" authorId="0" shapeId="0" xr:uid="{00000000-0006-0000-0100-0000E4030000}">
      <text>
        <r>
          <rPr>
            <b/>
            <sz val="9"/>
            <color indexed="81"/>
            <rFont val="Tahoma"/>
            <family val="2"/>
          </rPr>
          <t>Jorge Arturo Espinoza:</t>
        </r>
        <r>
          <rPr>
            <sz val="9"/>
            <color indexed="81"/>
            <rFont val="Tahoma"/>
            <family val="2"/>
          </rPr>
          <t xml:space="preserve">
FALTA CODIGO DE FABRICA</t>
        </r>
      </text>
    </comment>
    <comment ref="H4866" authorId="0" shapeId="0" xr:uid="{00000000-0006-0000-0100-0000E5030000}">
      <text>
        <r>
          <rPr>
            <b/>
            <sz val="9"/>
            <color indexed="81"/>
            <rFont val="Tahoma"/>
            <family val="2"/>
          </rPr>
          <t>Jorge Arturo Espinoza:</t>
        </r>
        <r>
          <rPr>
            <sz val="9"/>
            <color indexed="81"/>
            <rFont val="Tahoma"/>
            <family val="2"/>
          </rPr>
          <t xml:space="preserve">
FALTA CODIGO DE FABRICA</t>
        </r>
      </text>
    </comment>
    <comment ref="H4867" authorId="0" shapeId="0" xr:uid="{00000000-0006-0000-0100-0000E6030000}">
      <text>
        <r>
          <rPr>
            <b/>
            <sz val="9"/>
            <color indexed="81"/>
            <rFont val="Tahoma"/>
            <family val="2"/>
          </rPr>
          <t>Jorge Arturo Espinoza:</t>
        </r>
        <r>
          <rPr>
            <sz val="9"/>
            <color indexed="81"/>
            <rFont val="Tahoma"/>
            <family val="2"/>
          </rPr>
          <t xml:space="preserve">
FALTA CODIGO DE FABRICA</t>
        </r>
      </text>
    </comment>
    <comment ref="H4870" authorId="0" shapeId="0" xr:uid="{00000000-0006-0000-0100-0000E7030000}">
      <text>
        <r>
          <rPr>
            <b/>
            <sz val="9"/>
            <color indexed="81"/>
            <rFont val="Tahoma"/>
            <family val="2"/>
          </rPr>
          <t>Jorge Arturo Espinoza:</t>
        </r>
        <r>
          <rPr>
            <sz val="9"/>
            <color indexed="81"/>
            <rFont val="Tahoma"/>
            <family val="2"/>
          </rPr>
          <t xml:space="preserve">
FALTA CODIGO DE FABRICA</t>
        </r>
      </text>
    </comment>
    <comment ref="H4871" authorId="0" shapeId="0" xr:uid="{00000000-0006-0000-0100-0000E8030000}">
      <text>
        <r>
          <rPr>
            <b/>
            <sz val="9"/>
            <color indexed="81"/>
            <rFont val="Tahoma"/>
            <family val="2"/>
          </rPr>
          <t>Jorge Arturo Espinoza:</t>
        </r>
        <r>
          <rPr>
            <sz val="9"/>
            <color indexed="81"/>
            <rFont val="Tahoma"/>
            <family val="2"/>
          </rPr>
          <t xml:space="preserve">
FALTA CODIGO DE FABRICA</t>
        </r>
      </text>
    </comment>
    <comment ref="H4872" authorId="0" shapeId="0" xr:uid="{00000000-0006-0000-0100-0000E9030000}">
      <text>
        <r>
          <rPr>
            <b/>
            <sz val="9"/>
            <color indexed="81"/>
            <rFont val="Tahoma"/>
            <family val="2"/>
          </rPr>
          <t>Jorge Arturo Espinoza:</t>
        </r>
        <r>
          <rPr>
            <sz val="9"/>
            <color indexed="81"/>
            <rFont val="Tahoma"/>
            <family val="2"/>
          </rPr>
          <t xml:space="preserve">
FALTA CODIGO DE FABRICA</t>
        </r>
      </text>
    </comment>
    <comment ref="H4873" authorId="0" shapeId="0" xr:uid="{00000000-0006-0000-0100-0000EA030000}">
      <text>
        <r>
          <rPr>
            <b/>
            <sz val="9"/>
            <color indexed="81"/>
            <rFont val="Tahoma"/>
            <family val="2"/>
          </rPr>
          <t>Jorge Arturo Espinoza:</t>
        </r>
        <r>
          <rPr>
            <sz val="9"/>
            <color indexed="81"/>
            <rFont val="Tahoma"/>
            <family val="2"/>
          </rPr>
          <t xml:space="preserve">
FALTA CODIGO DE FABRICA</t>
        </r>
      </text>
    </comment>
    <comment ref="H4874" authorId="0" shapeId="0" xr:uid="{00000000-0006-0000-0100-0000EB030000}">
      <text>
        <r>
          <rPr>
            <b/>
            <sz val="9"/>
            <color indexed="81"/>
            <rFont val="Tahoma"/>
            <family val="2"/>
          </rPr>
          <t>Jorge Arturo Espinoza:</t>
        </r>
        <r>
          <rPr>
            <sz val="9"/>
            <color indexed="81"/>
            <rFont val="Tahoma"/>
            <family val="2"/>
          </rPr>
          <t xml:space="preserve">
FALTA CODIGO DE FABRICA</t>
        </r>
      </text>
    </comment>
    <comment ref="H4875" authorId="0" shapeId="0" xr:uid="{00000000-0006-0000-0100-0000EC030000}">
      <text>
        <r>
          <rPr>
            <b/>
            <sz val="9"/>
            <color indexed="81"/>
            <rFont val="Tahoma"/>
            <family val="2"/>
          </rPr>
          <t>Jorge Arturo Espinoza:</t>
        </r>
        <r>
          <rPr>
            <sz val="9"/>
            <color indexed="81"/>
            <rFont val="Tahoma"/>
            <family val="2"/>
          </rPr>
          <t xml:space="preserve">
FALTA CODIGO DE FABRICA</t>
        </r>
      </text>
    </comment>
    <comment ref="H4877" authorId="0" shapeId="0" xr:uid="{00000000-0006-0000-0100-0000ED030000}">
      <text>
        <r>
          <rPr>
            <b/>
            <sz val="9"/>
            <color indexed="81"/>
            <rFont val="Tahoma"/>
            <family val="2"/>
          </rPr>
          <t>Jorge Arturo Espinoza:</t>
        </r>
        <r>
          <rPr>
            <sz val="9"/>
            <color indexed="81"/>
            <rFont val="Tahoma"/>
            <family val="2"/>
          </rPr>
          <t xml:space="preserve">
FALTA CODIGO DE FABRICA</t>
        </r>
      </text>
    </comment>
    <comment ref="H4878" authorId="0" shapeId="0" xr:uid="{00000000-0006-0000-0100-0000EE030000}">
      <text>
        <r>
          <rPr>
            <b/>
            <sz val="9"/>
            <color indexed="81"/>
            <rFont val="Tahoma"/>
            <family val="2"/>
          </rPr>
          <t>Jorge Arturo Espinoza:</t>
        </r>
        <r>
          <rPr>
            <sz val="9"/>
            <color indexed="81"/>
            <rFont val="Tahoma"/>
            <family val="2"/>
          </rPr>
          <t xml:space="preserve">
FALTA CODIGO DE FABRICA</t>
        </r>
      </text>
    </comment>
    <comment ref="H4901" authorId="0" shapeId="0" xr:uid="{00000000-0006-0000-0100-0000EF030000}">
      <text>
        <r>
          <rPr>
            <b/>
            <sz val="9"/>
            <color indexed="81"/>
            <rFont val="Tahoma"/>
            <family val="2"/>
          </rPr>
          <t>Jorge Arturo Espinoza:</t>
        </r>
        <r>
          <rPr>
            <sz val="9"/>
            <color indexed="81"/>
            <rFont val="Tahoma"/>
            <family val="2"/>
          </rPr>
          <t xml:space="preserve">
FALTA CODIGO DE FABRICA</t>
        </r>
      </text>
    </comment>
    <comment ref="H4902" authorId="0" shapeId="0" xr:uid="{00000000-0006-0000-0100-0000F0030000}">
      <text>
        <r>
          <rPr>
            <b/>
            <sz val="9"/>
            <color indexed="81"/>
            <rFont val="Tahoma"/>
            <family val="2"/>
          </rPr>
          <t>Jorge Arturo Espinoza:</t>
        </r>
        <r>
          <rPr>
            <sz val="9"/>
            <color indexed="81"/>
            <rFont val="Tahoma"/>
            <family val="2"/>
          </rPr>
          <t xml:space="preserve">
FALTA CODIGO DE FABRICA</t>
        </r>
      </text>
    </comment>
    <comment ref="H4903" authorId="0" shapeId="0" xr:uid="{00000000-0006-0000-0100-0000F1030000}">
      <text>
        <r>
          <rPr>
            <b/>
            <sz val="9"/>
            <color indexed="81"/>
            <rFont val="Tahoma"/>
            <family val="2"/>
          </rPr>
          <t>Jorge Arturo Espinoza:</t>
        </r>
        <r>
          <rPr>
            <sz val="9"/>
            <color indexed="81"/>
            <rFont val="Tahoma"/>
            <family val="2"/>
          </rPr>
          <t xml:space="preserve">
FALTA CODIGO DE FABRICA</t>
        </r>
      </text>
    </comment>
    <comment ref="H4905" authorId="0" shapeId="0" xr:uid="{00000000-0006-0000-0100-0000F2030000}">
      <text>
        <r>
          <rPr>
            <b/>
            <sz val="9"/>
            <color indexed="81"/>
            <rFont val="Tahoma"/>
            <family val="2"/>
          </rPr>
          <t>Jorge Arturo Espinoza:</t>
        </r>
        <r>
          <rPr>
            <sz val="9"/>
            <color indexed="81"/>
            <rFont val="Tahoma"/>
            <family val="2"/>
          </rPr>
          <t xml:space="preserve">
FALTA CODIGO DE FABRICA</t>
        </r>
      </text>
    </comment>
    <comment ref="D4916" authorId="0" shapeId="0" xr:uid="{00000000-0006-0000-0100-0000F3030000}">
      <text>
        <r>
          <rPr>
            <b/>
            <sz val="9"/>
            <color indexed="81"/>
            <rFont val="Tahoma"/>
            <family val="2"/>
          </rPr>
          <t>Jorge Arturo Espinoza:</t>
        </r>
        <r>
          <rPr>
            <sz val="9"/>
            <color indexed="81"/>
            <rFont val="Tahoma"/>
            <family val="2"/>
          </rPr>
          <t xml:space="preserve">
ASUMIDO</t>
        </r>
      </text>
    </comment>
    <comment ref="H4916" authorId="0" shapeId="0" xr:uid="{00000000-0006-0000-0100-0000F4030000}">
      <text>
        <r>
          <rPr>
            <b/>
            <sz val="9"/>
            <color indexed="81"/>
            <rFont val="Tahoma"/>
            <family val="2"/>
          </rPr>
          <t>Jorge Arturo Espinoza:</t>
        </r>
        <r>
          <rPr>
            <sz val="9"/>
            <color indexed="81"/>
            <rFont val="Tahoma"/>
            <family val="2"/>
          </rPr>
          <t xml:space="preserve">
FALTA CODIGO DE FABRICA</t>
        </r>
      </text>
    </comment>
    <comment ref="D4917" authorId="0" shapeId="0" xr:uid="{00000000-0006-0000-0100-0000F5030000}">
      <text>
        <r>
          <rPr>
            <b/>
            <sz val="9"/>
            <color indexed="81"/>
            <rFont val="Tahoma"/>
            <family val="2"/>
          </rPr>
          <t>Jorge Arturo Espinoza:</t>
        </r>
        <r>
          <rPr>
            <sz val="9"/>
            <color indexed="81"/>
            <rFont val="Tahoma"/>
            <family val="2"/>
          </rPr>
          <t xml:space="preserve">
ASUMIDO</t>
        </r>
      </text>
    </comment>
    <comment ref="H4917" authorId="0" shapeId="0" xr:uid="{00000000-0006-0000-0100-0000F6030000}">
      <text>
        <r>
          <rPr>
            <b/>
            <sz val="9"/>
            <color indexed="81"/>
            <rFont val="Tahoma"/>
            <family val="2"/>
          </rPr>
          <t>Jorge Arturo Espinoza:</t>
        </r>
        <r>
          <rPr>
            <sz val="9"/>
            <color indexed="81"/>
            <rFont val="Tahoma"/>
            <family val="2"/>
          </rPr>
          <t xml:space="preserve">
FALTA CODIGO DE FABRICA</t>
        </r>
      </text>
    </comment>
    <comment ref="D4920" authorId="0" shapeId="0" xr:uid="{00000000-0006-0000-0100-0000F7030000}">
      <text>
        <r>
          <rPr>
            <b/>
            <sz val="9"/>
            <color indexed="81"/>
            <rFont val="Tahoma"/>
            <family val="2"/>
          </rPr>
          <t>Roberto Meza:</t>
        </r>
        <r>
          <rPr>
            <sz val="9"/>
            <color indexed="81"/>
            <rFont val="Tahoma"/>
            <family val="2"/>
          </rPr>
          <t xml:space="preserve">
ENVIADO POR MARCIAL
23/12/2019</t>
        </r>
      </text>
    </comment>
    <comment ref="H4920" authorId="0" shapeId="0" xr:uid="{00000000-0006-0000-0100-0000F8030000}">
      <text>
        <r>
          <rPr>
            <b/>
            <sz val="9"/>
            <color indexed="81"/>
            <rFont val="Tahoma"/>
            <family val="2"/>
          </rPr>
          <t>Jorge Arturo Espinoza:</t>
        </r>
        <r>
          <rPr>
            <sz val="9"/>
            <color indexed="81"/>
            <rFont val="Tahoma"/>
            <family val="2"/>
          </rPr>
          <t xml:space="preserve">
FALTA CODIGO DE FABRICA</t>
        </r>
      </text>
    </comment>
    <comment ref="D4922" authorId="0" shapeId="0" xr:uid="{00000000-0006-0000-0100-0000F9030000}">
      <text>
        <r>
          <rPr>
            <b/>
            <sz val="9"/>
            <color indexed="81"/>
            <rFont val="Tahoma"/>
            <family val="2"/>
          </rPr>
          <t>Jorge Arturo Espinoza:</t>
        </r>
        <r>
          <rPr>
            <sz val="9"/>
            <color indexed="81"/>
            <rFont val="Tahoma"/>
            <family val="2"/>
          </rPr>
          <t xml:space="preserve">
INCLUYE COSTO DE:
- CABLEADO
- CONFIGURACION
NO INCLUYE:
- ATC-300
- BARRAS
- TERMINALES
ATC-300:
1815: POR MARCIAL
2025: POR DANIEL</t>
        </r>
      </text>
    </comment>
    <comment ref="H4922" authorId="0" shapeId="0" xr:uid="{00000000-0006-0000-0100-0000FA030000}">
      <text>
        <r>
          <rPr>
            <b/>
            <sz val="9"/>
            <color indexed="81"/>
            <rFont val="Tahoma"/>
            <family val="2"/>
          </rPr>
          <t>Jorge Arturo Espinoza:</t>
        </r>
        <r>
          <rPr>
            <sz val="9"/>
            <color indexed="81"/>
            <rFont val="Tahoma"/>
            <family val="2"/>
          </rPr>
          <t xml:space="preserve">
FALTA CODIGO DE FABRICA</t>
        </r>
      </text>
    </comment>
    <comment ref="B4924" authorId="0" shapeId="0" xr:uid="{00000000-0006-0000-0100-0000FB030000}">
      <text>
        <r>
          <rPr>
            <b/>
            <sz val="9"/>
            <color indexed="81"/>
            <rFont val="Tahoma"/>
            <family val="2"/>
          </rPr>
          <t>Jorge Arturo Espinoza:</t>
        </r>
        <r>
          <rPr>
            <sz val="9"/>
            <color indexed="81"/>
            <rFont val="Tahoma"/>
            <family val="2"/>
          </rPr>
          <t xml:space="preserve">
APROXIMADO
</t>
        </r>
      </text>
    </comment>
    <comment ref="H4924" authorId="0" shapeId="0" xr:uid="{00000000-0006-0000-0100-0000FC030000}">
      <text>
        <r>
          <rPr>
            <b/>
            <sz val="9"/>
            <color indexed="81"/>
            <rFont val="Tahoma"/>
            <family val="2"/>
          </rPr>
          <t>Jorge Arturo Espinoza:</t>
        </r>
        <r>
          <rPr>
            <sz val="9"/>
            <color indexed="81"/>
            <rFont val="Tahoma"/>
            <family val="2"/>
          </rPr>
          <t xml:space="preserve">
FALTA CODIGO DE FABRICA</t>
        </r>
      </text>
    </comment>
    <comment ref="B4925" authorId="0" shapeId="0" xr:uid="{00000000-0006-0000-0100-0000FD030000}">
      <text>
        <r>
          <rPr>
            <b/>
            <sz val="9"/>
            <color indexed="81"/>
            <rFont val="Tahoma"/>
            <family val="2"/>
          </rPr>
          <t>Jorge Arturo Espinoza:</t>
        </r>
        <r>
          <rPr>
            <sz val="9"/>
            <color indexed="81"/>
            <rFont val="Tahoma"/>
            <family val="2"/>
          </rPr>
          <t xml:space="preserve">
APROXIMADO
</t>
        </r>
      </text>
    </comment>
    <comment ref="H4925" authorId="0" shapeId="0" xr:uid="{00000000-0006-0000-0100-0000FE030000}">
      <text>
        <r>
          <rPr>
            <b/>
            <sz val="9"/>
            <color indexed="81"/>
            <rFont val="Tahoma"/>
            <family val="2"/>
          </rPr>
          <t>Jorge Arturo Espinoza:</t>
        </r>
        <r>
          <rPr>
            <sz val="9"/>
            <color indexed="81"/>
            <rFont val="Tahoma"/>
            <family val="2"/>
          </rPr>
          <t xml:space="preserve">
FALTA CODIGO DE FABRICA</t>
        </r>
      </text>
    </comment>
    <comment ref="D4929" authorId="0" shapeId="0" xr:uid="{00000000-0006-0000-0100-0000FF030000}">
      <text>
        <r>
          <rPr>
            <b/>
            <sz val="9"/>
            <color indexed="81"/>
            <rFont val="Tahoma"/>
            <family val="2"/>
          </rPr>
          <t>Jorge Arturo Espinoza:</t>
        </r>
        <r>
          <rPr>
            <sz val="9"/>
            <color indexed="81"/>
            <rFont val="Tahoma"/>
            <family val="2"/>
          </rPr>
          <t xml:space="preserve">
ESTIMADO, FALTA CONFIRMAR</t>
        </r>
      </text>
    </comment>
    <comment ref="H4929" authorId="0" shapeId="0" xr:uid="{00000000-0006-0000-0100-000000040000}">
      <text>
        <r>
          <rPr>
            <b/>
            <sz val="9"/>
            <color indexed="81"/>
            <rFont val="Tahoma"/>
            <family val="2"/>
          </rPr>
          <t>Jorge Arturo Espinoza:</t>
        </r>
        <r>
          <rPr>
            <sz val="9"/>
            <color indexed="81"/>
            <rFont val="Tahoma"/>
            <family val="2"/>
          </rPr>
          <t xml:space="preserve">
FALTA CODIGO DE FABRICA</t>
        </r>
      </text>
    </comment>
    <comment ref="D4930" authorId="0" shapeId="0" xr:uid="{00000000-0006-0000-0100-000001040000}">
      <text>
        <r>
          <rPr>
            <b/>
            <sz val="9"/>
            <color indexed="81"/>
            <rFont val="Tahoma"/>
            <family val="2"/>
          </rPr>
          <t>Jorge Arturo Espinoza:</t>
        </r>
        <r>
          <rPr>
            <sz val="9"/>
            <color indexed="81"/>
            <rFont val="Tahoma"/>
            <family val="2"/>
          </rPr>
          <t xml:space="preserve">
ESTIMADO, FALTA CONFIRMAR</t>
        </r>
      </text>
    </comment>
    <comment ref="H4930" authorId="0" shapeId="0" xr:uid="{00000000-0006-0000-0100-000002040000}">
      <text>
        <r>
          <rPr>
            <b/>
            <sz val="9"/>
            <color indexed="81"/>
            <rFont val="Tahoma"/>
            <family val="2"/>
          </rPr>
          <t>Jorge Arturo Espinoza:</t>
        </r>
        <r>
          <rPr>
            <sz val="9"/>
            <color indexed="81"/>
            <rFont val="Tahoma"/>
            <family val="2"/>
          </rPr>
          <t xml:space="preserve">
FALTA CODIGO DE FABRICA</t>
        </r>
      </text>
    </comment>
    <comment ref="D4931" authorId="0" shapeId="0" xr:uid="{00000000-0006-0000-0100-000003040000}">
      <text>
        <r>
          <rPr>
            <b/>
            <sz val="9"/>
            <color indexed="81"/>
            <rFont val="Tahoma"/>
            <family val="2"/>
          </rPr>
          <t>Jorge Arturo Espinoza:</t>
        </r>
        <r>
          <rPr>
            <sz val="9"/>
            <color indexed="81"/>
            <rFont val="Tahoma"/>
            <family val="2"/>
          </rPr>
          <t xml:space="preserve">
ESTIMADO, FALTA CONFIRMAR</t>
        </r>
      </text>
    </comment>
    <comment ref="H4931" authorId="0" shapeId="0" xr:uid="{00000000-0006-0000-0100-000004040000}">
      <text>
        <r>
          <rPr>
            <b/>
            <sz val="9"/>
            <color indexed="81"/>
            <rFont val="Tahoma"/>
            <family val="2"/>
          </rPr>
          <t>Jorge Arturo Espinoza:</t>
        </r>
        <r>
          <rPr>
            <sz val="9"/>
            <color indexed="81"/>
            <rFont val="Tahoma"/>
            <family val="2"/>
          </rPr>
          <t xml:space="preserve">
FALTA CODIGO DE FABRICA</t>
        </r>
      </text>
    </comment>
    <comment ref="C4938" authorId="1" shapeId="0" xr:uid="{00000000-0006-0000-0100-000005040000}">
      <text>
        <r>
          <rPr>
            <b/>
            <sz val="9"/>
            <color indexed="81"/>
            <rFont val="Tahoma"/>
            <family val="2"/>
          </rPr>
          <t>Paulo Olano:</t>
        </r>
        <r>
          <rPr>
            <sz val="9"/>
            <color indexed="81"/>
            <rFont val="Tahoma"/>
            <family val="2"/>
          </rPr>
          <t xml:space="preserve">
Todos Mennekes
precio OCT-2019</t>
        </r>
      </text>
    </comment>
    <comment ref="C4973" authorId="2" shapeId="0" xr:uid="{00000000-0006-0000-0100-000006040000}">
      <text>
        <r>
          <rPr>
            <b/>
            <sz val="9"/>
            <color indexed="81"/>
            <rFont val="Tahoma"/>
            <family val="2"/>
          </rPr>
          <t>Roberto Meza:</t>
        </r>
        <r>
          <rPr>
            <sz val="9"/>
            <color indexed="81"/>
            <rFont val="Tahoma"/>
            <family val="2"/>
          </rPr>
          <t xml:space="preserve">
Julio Soto 04/01/20</t>
        </r>
      </text>
    </comment>
    <comment ref="C4991" authorId="0" shapeId="0" xr:uid="{00000000-0006-0000-0100-000007040000}">
      <text>
        <r>
          <rPr>
            <b/>
            <sz val="9"/>
            <color indexed="81"/>
            <rFont val="Tahoma"/>
            <family val="2"/>
          </rPr>
          <t>Jorge Arturo Espinoza:</t>
        </r>
        <r>
          <rPr>
            <sz val="9"/>
            <color indexed="81"/>
            <rFont val="Tahoma"/>
            <family val="2"/>
          </rPr>
          <t xml:space="preserve">
pendiente confirmar
REXEL PERU SAC</t>
        </r>
      </text>
    </comment>
    <comment ref="C4992" authorId="0" shapeId="0" xr:uid="{00000000-0006-0000-0100-000008040000}">
      <text>
        <r>
          <rPr>
            <b/>
            <sz val="9"/>
            <color indexed="81"/>
            <rFont val="Tahoma"/>
            <family val="2"/>
          </rPr>
          <t>Jorge Arturo Espinoza:</t>
        </r>
        <r>
          <rPr>
            <sz val="9"/>
            <color indexed="81"/>
            <rFont val="Tahoma"/>
            <family val="2"/>
          </rPr>
          <t xml:space="preserve">
pendiente confirmar
REXEL PERU SAC</t>
        </r>
      </text>
    </comment>
    <comment ref="C5019" authorId="0" shapeId="0" xr:uid="{00000000-0006-0000-0100-000009040000}">
      <text>
        <r>
          <rPr>
            <b/>
            <sz val="9"/>
            <color indexed="81"/>
            <rFont val="Tahoma"/>
            <family val="2"/>
          </rPr>
          <t>Jorge Arturo Espinoza:</t>
        </r>
        <r>
          <rPr>
            <sz val="9"/>
            <color indexed="81"/>
            <rFont val="Tahoma"/>
            <family val="2"/>
          </rPr>
          <t xml:space="preserve">
MEGA ELECTRO INDUSTRIAL</t>
        </r>
      </text>
    </comment>
    <comment ref="D5019" authorId="0" shapeId="0" xr:uid="{00000000-0006-0000-0100-00000A040000}">
      <text>
        <r>
          <rPr>
            <b/>
            <sz val="9"/>
            <color indexed="81"/>
            <rFont val="Tahoma"/>
            <family val="2"/>
          </rPr>
          <t>Jorge Arturo Espinoza:</t>
        </r>
        <r>
          <rPr>
            <sz val="9"/>
            <color indexed="81"/>
            <rFont val="Tahoma"/>
            <family val="2"/>
          </rPr>
          <t xml:space="preserve">
FALTA CONFIRMAR EL DESCUENTO</t>
        </r>
      </text>
    </comment>
    <comment ref="C5020" authorId="0" shapeId="0" xr:uid="{00000000-0006-0000-0100-00000B040000}">
      <text>
        <r>
          <rPr>
            <b/>
            <sz val="9"/>
            <color indexed="81"/>
            <rFont val="Tahoma"/>
            <family val="2"/>
          </rPr>
          <t>Jorge Arturo Espinoza:</t>
        </r>
        <r>
          <rPr>
            <sz val="9"/>
            <color indexed="81"/>
            <rFont val="Tahoma"/>
            <family val="2"/>
          </rPr>
          <t xml:space="preserve">
MEGA ELECTRO INDUSTRIAL</t>
        </r>
      </text>
    </comment>
    <comment ref="D5020" authorId="0" shapeId="0" xr:uid="{00000000-0006-0000-0100-00000C040000}">
      <text>
        <r>
          <rPr>
            <b/>
            <sz val="9"/>
            <color indexed="81"/>
            <rFont val="Tahoma"/>
            <family val="2"/>
          </rPr>
          <t>Jorge Arturo Espinoza:</t>
        </r>
        <r>
          <rPr>
            <sz val="9"/>
            <color indexed="81"/>
            <rFont val="Tahoma"/>
            <family val="2"/>
          </rPr>
          <t xml:space="preserve">
FALTA CONFIRMAR EL DESCUENTO</t>
        </r>
      </text>
    </comment>
    <comment ref="C5025" authorId="0" shapeId="0" xr:uid="{00000000-0006-0000-0100-00000D040000}">
      <text>
        <r>
          <rPr>
            <b/>
            <sz val="9"/>
            <color indexed="81"/>
            <rFont val="Tahoma"/>
            <family val="2"/>
          </rPr>
          <t>Jorge Arturo Espinoza:</t>
        </r>
        <r>
          <rPr>
            <sz val="9"/>
            <color indexed="81"/>
            <rFont val="Tahoma"/>
            <family val="2"/>
          </rPr>
          <t xml:space="preserve">
PRECIO DE GESCEL</t>
        </r>
      </text>
    </comment>
    <comment ref="D5025" authorId="0" shapeId="0" xr:uid="{00000000-0006-0000-0100-00000E040000}">
      <text>
        <r>
          <rPr>
            <b/>
            <sz val="9"/>
            <color indexed="81"/>
            <rFont val="Tahoma"/>
            <family val="2"/>
          </rPr>
          <t>Jorge Arturo Espinoza:</t>
        </r>
        <r>
          <rPr>
            <sz val="9"/>
            <color indexed="81"/>
            <rFont val="Tahoma"/>
            <family val="2"/>
          </rPr>
          <t xml:space="preserve">
FALTA CONFIRMAR EL DESCUENTO</t>
        </r>
      </text>
    </comment>
    <comment ref="C5026" authorId="0" shapeId="0" xr:uid="{00000000-0006-0000-0100-00000F040000}">
      <text>
        <r>
          <rPr>
            <b/>
            <sz val="9"/>
            <color indexed="81"/>
            <rFont val="Tahoma"/>
            <family val="2"/>
          </rPr>
          <t>Jorge Arturo Espinoza:</t>
        </r>
        <r>
          <rPr>
            <sz val="9"/>
            <color indexed="81"/>
            <rFont val="Tahoma"/>
            <family val="2"/>
          </rPr>
          <t xml:space="preserve">
PRECIO DE GESCEL</t>
        </r>
      </text>
    </comment>
    <comment ref="D5026" authorId="0" shapeId="0" xr:uid="{00000000-0006-0000-0100-000010040000}">
      <text>
        <r>
          <rPr>
            <b/>
            <sz val="9"/>
            <color indexed="81"/>
            <rFont val="Tahoma"/>
            <family val="2"/>
          </rPr>
          <t>Jorge Arturo Espinoza:</t>
        </r>
        <r>
          <rPr>
            <sz val="9"/>
            <color indexed="81"/>
            <rFont val="Tahoma"/>
            <family val="2"/>
          </rPr>
          <t xml:space="preserve">
FALTA CONFIRMAR EL DESCUENTO</t>
        </r>
      </text>
    </comment>
    <comment ref="C5027" authorId="0" shapeId="0" xr:uid="{00000000-0006-0000-0100-000011040000}">
      <text>
        <r>
          <rPr>
            <b/>
            <sz val="9"/>
            <color indexed="81"/>
            <rFont val="Tahoma"/>
            <family val="2"/>
          </rPr>
          <t>Jorge Arturo Espinoza:</t>
        </r>
        <r>
          <rPr>
            <sz val="9"/>
            <color indexed="81"/>
            <rFont val="Tahoma"/>
            <family val="2"/>
          </rPr>
          <t xml:space="preserve">
PRECIO DE GESCEL</t>
        </r>
      </text>
    </comment>
    <comment ref="D5027" authorId="0" shapeId="0" xr:uid="{00000000-0006-0000-0100-000012040000}">
      <text>
        <r>
          <rPr>
            <b/>
            <sz val="9"/>
            <color indexed="81"/>
            <rFont val="Tahoma"/>
            <family val="2"/>
          </rPr>
          <t>Jorge Arturo Espinoza:</t>
        </r>
        <r>
          <rPr>
            <sz val="9"/>
            <color indexed="81"/>
            <rFont val="Tahoma"/>
            <family val="2"/>
          </rPr>
          <t xml:space="preserve">
FALTA CONFIRMAR EL DESCUENTO</t>
        </r>
      </text>
    </comment>
    <comment ref="C5028" authorId="0" shapeId="0" xr:uid="{00000000-0006-0000-0100-000013040000}">
      <text>
        <r>
          <rPr>
            <b/>
            <sz val="9"/>
            <color indexed="81"/>
            <rFont val="Tahoma"/>
            <family val="2"/>
          </rPr>
          <t>Jorge Arturo Espinoza:</t>
        </r>
        <r>
          <rPr>
            <sz val="9"/>
            <color indexed="81"/>
            <rFont val="Tahoma"/>
            <family val="2"/>
          </rPr>
          <t xml:space="preserve">
PRECIO DE GESCEL</t>
        </r>
      </text>
    </comment>
    <comment ref="D5028" authorId="0" shapeId="0" xr:uid="{00000000-0006-0000-0100-000014040000}">
      <text>
        <r>
          <rPr>
            <b/>
            <sz val="9"/>
            <color indexed="81"/>
            <rFont val="Tahoma"/>
            <family val="2"/>
          </rPr>
          <t>Jorge Arturo Espinoza:</t>
        </r>
        <r>
          <rPr>
            <sz val="9"/>
            <color indexed="81"/>
            <rFont val="Tahoma"/>
            <family val="2"/>
          </rPr>
          <t xml:space="preserve">
FALTA CONFIRMAR EL DESCUENTO</t>
        </r>
      </text>
    </comment>
    <comment ref="C5029" authorId="0" shapeId="0" xr:uid="{00000000-0006-0000-0100-000015040000}">
      <text>
        <r>
          <rPr>
            <b/>
            <sz val="9"/>
            <color indexed="81"/>
            <rFont val="Tahoma"/>
            <family val="2"/>
          </rPr>
          <t>Jorge Arturo Espinoza:</t>
        </r>
        <r>
          <rPr>
            <sz val="9"/>
            <color indexed="81"/>
            <rFont val="Tahoma"/>
            <family val="2"/>
          </rPr>
          <t xml:space="preserve">
PRECIO DE GESCEL</t>
        </r>
      </text>
    </comment>
    <comment ref="D5029" authorId="0" shapeId="0" xr:uid="{00000000-0006-0000-0100-000016040000}">
      <text>
        <r>
          <rPr>
            <b/>
            <sz val="9"/>
            <color indexed="81"/>
            <rFont val="Tahoma"/>
            <family val="2"/>
          </rPr>
          <t>Jorge Arturo Espinoza:</t>
        </r>
        <r>
          <rPr>
            <sz val="9"/>
            <color indexed="81"/>
            <rFont val="Tahoma"/>
            <family val="2"/>
          </rPr>
          <t xml:space="preserve">
FALTA CONFIRMAR EL DESCUENTO</t>
        </r>
      </text>
    </comment>
    <comment ref="C5030" authorId="0" shapeId="0" xr:uid="{00000000-0006-0000-0100-000017040000}">
      <text>
        <r>
          <rPr>
            <b/>
            <sz val="9"/>
            <color indexed="81"/>
            <rFont val="Tahoma"/>
            <family val="2"/>
          </rPr>
          <t>Jorge Arturo Espinoza:</t>
        </r>
        <r>
          <rPr>
            <sz val="9"/>
            <color indexed="81"/>
            <rFont val="Tahoma"/>
            <family val="2"/>
          </rPr>
          <t xml:space="preserve">
PRECIO DE GESCEL</t>
        </r>
      </text>
    </comment>
    <comment ref="D5030" authorId="0" shapeId="0" xr:uid="{00000000-0006-0000-0100-000018040000}">
      <text>
        <r>
          <rPr>
            <b/>
            <sz val="9"/>
            <color indexed="81"/>
            <rFont val="Tahoma"/>
            <family val="2"/>
          </rPr>
          <t>Jorge Arturo Espinoza:</t>
        </r>
        <r>
          <rPr>
            <sz val="9"/>
            <color indexed="81"/>
            <rFont val="Tahoma"/>
            <family val="2"/>
          </rPr>
          <t xml:space="preserve">
FALTA CONFIRMAR EL DESCUENTO</t>
        </r>
      </text>
    </comment>
    <comment ref="C5031" authorId="0" shapeId="0" xr:uid="{00000000-0006-0000-0100-000019040000}">
      <text>
        <r>
          <rPr>
            <b/>
            <sz val="9"/>
            <color indexed="81"/>
            <rFont val="Tahoma"/>
            <family val="2"/>
          </rPr>
          <t>Jorge Arturo Espinoza:</t>
        </r>
        <r>
          <rPr>
            <sz val="9"/>
            <color indexed="81"/>
            <rFont val="Tahoma"/>
            <family val="2"/>
          </rPr>
          <t xml:space="preserve">
PRECIO DE GESCEL</t>
        </r>
      </text>
    </comment>
    <comment ref="D5031" authorId="0" shapeId="0" xr:uid="{00000000-0006-0000-0100-00001A040000}">
      <text>
        <r>
          <rPr>
            <b/>
            <sz val="9"/>
            <color indexed="81"/>
            <rFont val="Tahoma"/>
            <family val="2"/>
          </rPr>
          <t>Jorge Arturo Espinoza:</t>
        </r>
        <r>
          <rPr>
            <sz val="9"/>
            <color indexed="81"/>
            <rFont val="Tahoma"/>
            <family val="2"/>
          </rPr>
          <t xml:space="preserve">
FALTA CONFIRMAR EL DESCUENTO</t>
        </r>
      </text>
    </comment>
    <comment ref="C5032" authorId="0" shapeId="0" xr:uid="{00000000-0006-0000-0100-00001B040000}">
      <text>
        <r>
          <rPr>
            <b/>
            <sz val="9"/>
            <color indexed="81"/>
            <rFont val="Tahoma"/>
            <family val="2"/>
          </rPr>
          <t>Jorge Arturo Espinoza:</t>
        </r>
        <r>
          <rPr>
            <sz val="9"/>
            <color indexed="81"/>
            <rFont val="Tahoma"/>
            <family val="2"/>
          </rPr>
          <t xml:space="preserve">
PRECIO DE GESCEL</t>
        </r>
      </text>
    </comment>
    <comment ref="D5032" authorId="0" shapeId="0" xr:uid="{00000000-0006-0000-0100-00001C040000}">
      <text>
        <r>
          <rPr>
            <b/>
            <sz val="9"/>
            <color indexed="81"/>
            <rFont val="Tahoma"/>
            <family val="2"/>
          </rPr>
          <t>Jorge Arturo Espinoza:</t>
        </r>
        <r>
          <rPr>
            <sz val="9"/>
            <color indexed="81"/>
            <rFont val="Tahoma"/>
            <family val="2"/>
          </rPr>
          <t xml:space="preserve">
FALTA CONFIRMAR EL DESCUENTO</t>
        </r>
      </text>
    </comment>
    <comment ref="C5033" authorId="0" shapeId="0" xr:uid="{00000000-0006-0000-0100-00001D040000}">
      <text>
        <r>
          <rPr>
            <b/>
            <sz val="9"/>
            <color indexed="81"/>
            <rFont val="Tahoma"/>
            <family val="2"/>
          </rPr>
          <t>Jorge Arturo Espinoza:</t>
        </r>
        <r>
          <rPr>
            <sz val="9"/>
            <color indexed="81"/>
            <rFont val="Tahoma"/>
            <family val="2"/>
          </rPr>
          <t xml:space="preserve">
PRECIO DE GESCEL</t>
        </r>
      </text>
    </comment>
    <comment ref="D5033" authorId="0" shapeId="0" xr:uid="{00000000-0006-0000-0100-00001E040000}">
      <text>
        <r>
          <rPr>
            <b/>
            <sz val="9"/>
            <color indexed="81"/>
            <rFont val="Tahoma"/>
            <family val="2"/>
          </rPr>
          <t>Jorge Arturo Espinoza:</t>
        </r>
        <r>
          <rPr>
            <sz val="9"/>
            <color indexed="81"/>
            <rFont val="Tahoma"/>
            <family val="2"/>
          </rPr>
          <t xml:space="preserve">
FALTA CONFIRMAR EL DESCUENTO</t>
        </r>
      </text>
    </comment>
    <comment ref="C5034" authorId="0" shapeId="0" xr:uid="{00000000-0006-0000-0100-00001F040000}">
      <text>
        <r>
          <rPr>
            <b/>
            <sz val="9"/>
            <color indexed="81"/>
            <rFont val="Tahoma"/>
            <family val="2"/>
          </rPr>
          <t>Jorge Arturo Espinoza:</t>
        </r>
        <r>
          <rPr>
            <sz val="9"/>
            <color indexed="81"/>
            <rFont val="Tahoma"/>
            <family val="2"/>
          </rPr>
          <t xml:space="preserve">
PRECIO DE GESCEL</t>
        </r>
      </text>
    </comment>
    <comment ref="D5034" authorId="0" shapeId="0" xr:uid="{00000000-0006-0000-0100-000020040000}">
      <text>
        <r>
          <rPr>
            <b/>
            <sz val="9"/>
            <color indexed="81"/>
            <rFont val="Tahoma"/>
            <family val="2"/>
          </rPr>
          <t>Jorge Arturo Espinoza:</t>
        </r>
        <r>
          <rPr>
            <sz val="9"/>
            <color indexed="81"/>
            <rFont val="Tahoma"/>
            <family val="2"/>
          </rPr>
          <t xml:space="preserve">
FALTA CONFIRMAR EL DESCUENTO</t>
        </r>
      </text>
    </comment>
    <comment ref="D5035" authorId="0" shapeId="0" xr:uid="{00000000-0006-0000-0100-000021040000}">
      <text>
        <r>
          <rPr>
            <b/>
            <sz val="9"/>
            <color indexed="81"/>
            <rFont val="Tahoma"/>
            <family val="2"/>
          </rPr>
          <t>Jorge Arturo Espinoza:</t>
        </r>
        <r>
          <rPr>
            <sz val="9"/>
            <color indexed="81"/>
            <rFont val="Tahoma"/>
            <family val="2"/>
          </rPr>
          <t xml:space="preserve">
FALTA CONFIRMAR EL DESCUENTO</t>
        </r>
      </text>
    </comment>
    <comment ref="C5039" authorId="0" shapeId="0" xr:uid="{00000000-0006-0000-0100-000022040000}">
      <text>
        <r>
          <rPr>
            <b/>
            <sz val="9"/>
            <color indexed="81"/>
            <rFont val="Tahoma"/>
            <family val="2"/>
          </rPr>
          <t>Jorge Arturo Espinoza:</t>
        </r>
        <r>
          <rPr>
            <sz val="9"/>
            <color indexed="81"/>
            <rFont val="Tahoma"/>
            <family val="2"/>
          </rPr>
          <t xml:space="preserve">
PRECIO DE GESCEL</t>
        </r>
      </text>
    </comment>
    <comment ref="D5039" authorId="0" shapeId="0" xr:uid="{00000000-0006-0000-0100-000023040000}">
      <text>
        <r>
          <rPr>
            <b/>
            <sz val="9"/>
            <color indexed="81"/>
            <rFont val="Tahoma"/>
            <family val="2"/>
          </rPr>
          <t>Jorge Arturo Espinoza:</t>
        </r>
        <r>
          <rPr>
            <sz val="9"/>
            <color indexed="81"/>
            <rFont val="Tahoma"/>
            <family val="2"/>
          </rPr>
          <t xml:space="preserve">
FALTA CONFIRMAR EL DESCUENTO</t>
        </r>
      </text>
    </comment>
    <comment ref="C5040" authorId="0" shapeId="0" xr:uid="{00000000-0006-0000-0100-000024040000}">
      <text>
        <r>
          <rPr>
            <b/>
            <sz val="9"/>
            <color indexed="81"/>
            <rFont val="Tahoma"/>
            <family val="2"/>
          </rPr>
          <t>Jorge Arturo Espinoza:</t>
        </r>
        <r>
          <rPr>
            <sz val="9"/>
            <color indexed="81"/>
            <rFont val="Tahoma"/>
            <family val="2"/>
          </rPr>
          <t xml:space="preserve">
PRECIO DE GESCEL</t>
        </r>
      </text>
    </comment>
    <comment ref="D5040" authorId="0" shapeId="0" xr:uid="{00000000-0006-0000-0100-000025040000}">
      <text>
        <r>
          <rPr>
            <b/>
            <sz val="9"/>
            <color indexed="81"/>
            <rFont val="Tahoma"/>
            <family val="2"/>
          </rPr>
          <t>Jorge Arturo Espinoza:</t>
        </r>
        <r>
          <rPr>
            <sz val="9"/>
            <color indexed="81"/>
            <rFont val="Tahoma"/>
            <family val="2"/>
          </rPr>
          <t xml:space="preserve">
FALTA CONFIRMAR EL DESCUENTO</t>
        </r>
      </text>
    </comment>
    <comment ref="D5042" authorId="0" shapeId="0" xr:uid="{00000000-0006-0000-0100-000026040000}">
      <text>
        <r>
          <rPr>
            <b/>
            <sz val="9"/>
            <color indexed="81"/>
            <rFont val="Tahoma"/>
            <family val="2"/>
          </rPr>
          <t>Jorge Arturo Espinoza:</t>
        </r>
        <r>
          <rPr>
            <sz val="9"/>
            <color indexed="81"/>
            <rFont val="Tahoma"/>
            <family val="2"/>
          </rPr>
          <t xml:space="preserve">
FALTA CONFIRMAR EL DESCUENTO</t>
        </r>
      </text>
    </comment>
    <comment ref="D5043" authorId="0" shapeId="0" xr:uid="{00000000-0006-0000-0100-000027040000}">
      <text>
        <r>
          <rPr>
            <b/>
            <sz val="9"/>
            <color indexed="81"/>
            <rFont val="Tahoma"/>
            <family val="2"/>
          </rPr>
          <t>Jorge Arturo Espinoza:</t>
        </r>
        <r>
          <rPr>
            <sz val="9"/>
            <color indexed="81"/>
            <rFont val="Tahoma"/>
            <family val="2"/>
          </rPr>
          <t xml:space="preserve">
FALTA CONFIRMAR EL DESCUENTO</t>
        </r>
      </text>
    </comment>
    <comment ref="B5046" authorId="1" shapeId="0" xr:uid="{00000000-0006-0000-0100-000028040000}">
      <text>
        <r>
          <rPr>
            <b/>
            <sz val="9"/>
            <color indexed="81"/>
            <rFont val="Tahoma"/>
            <family val="2"/>
          </rPr>
          <t>Paulo Olano:</t>
        </r>
        <r>
          <rPr>
            <sz val="9"/>
            <color indexed="81"/>
            <rFont val="Tahoma"/>
            <family val="2"/>
          </rPr>
          <t xml:space="preserve">
PRECIOS AGOSTO 2019</t>
        </r>
      </text>
    </comment>
    <comment ref="D5101" authorId="0" shapeId="0" xr:uid="{00000000-0006-0000-0100-000029040000}">
      <text>
        <r>
          <rPr>
            <b/>
            <sz val="9"/>
            <color indexed="81"/>
            <rFont val="Tahoma"/>
            <family val="2"/>
          </rPr>
          <t>Jorge Arturo Espinoza:</t>
        </r>
        <r>
          <rPr>
            <sz val="9"/>
            <color indexed="81"/>
            <rFont val="Tahoma"/>
            <family val="2"/>
          </rPr>
          <t xml:space="preserve">
FALTA CONFIRMAR EL DESCUENTO</t>
        </r>
      </text>
    </comment>
    <comment ref="D5102" authorId="0" shapeId="0" xr:uid="{00000000-0006-0000-0100-00002A040000}">
      <text>
        <r>
          <rPr>
            <b/>
            <sz val="9"/>
            <color indexed="81"/>
            <rFont val="Tahoma"/>
            <family val="2"/>
          </rPr>
          <t>Jorge Arturo Espinoza:</t>
        </r>
        <r>
          <rPr>
            <sz val="9"/>
            <color indexed="81"/>
            <rFont val="Tahoma"/>
            <family val="2"/>
          </rPr>
          <t xml:space="preserve">
FALTA CONFIRMAR EL DESCUENTO</t>
        </r>
      </text>
    </comment>
    <comment ref="D5103" authorId="0" shapeId="0" xr:uid="{00000000-0006-0000-0100-00002B040000}">
      <text>
        <r>
          <rPr>
            <b/>
            <sz val="9"/>
            <color indexed="81"/>
            <rFont val="Tahoma"/>
            <family val="2"/>
          </rPr>
          <t>Jorge Arturo Espinoza:</t>
        </r>
        <r>
          <rPr>
            <sz val="9"/>
            <color indexed="81"/>
            <rFont val="Tahoma"/>
            <family val="2"/>
          </rPr>
          <t xml:space="preserve">
FALTA CONFIRMAR EL DESCUENTO</t>
        </r>
      </text>
    </comment>
    <comment ref="D5104" authorId="0" shapeId="0" xr:uid="{00000000-0006-0000-0100-00002C040000}">
      <text>
        <r>
          <rPr>
            <b/>
            <sz val="9"/>
            <color indexed="81"/>
            <rFont val="Tahoma"/>
            <family val="2"/>
          </rPr>
          <t>Jorge Arturo Espinoza:</t>
        </r>
        <r>
          <rPr>
            <sz val="9"/>
            <color indexed="81"/>
            <rFont val="Tahoma"/>
            <family val="2"/>
          </rPr>
          <t xml:space="preserve">
FALTA CONFIRMAR EL DESCUENTO</t>
        </r>
      </text>
    </comment>
    <comment ref="C5140" authorId="2" shapeId="0" xr:uid="{00000000-0006-0000-0100-00002D040000}">
      <text>
        <r>
          <rPr>
            <b/>
            <sz val="9"/>
            <color indexed="81"/>
            <rFont val="Tahoma"/>
            <family val="2"/>
          </rPr>
          <t>Roberto Meza:</t>
        </r>
        <r>
          <rPr>
            <sz val="9"/>
            <color indexed="81"/>
            <rFont val="Tahoma"/>
            <family val="2"/>
          </rPr>
          <t xml:space="preserve">
Precio asumido</t>
        </r>
      </text>
    </comment>
    <comment ref="D5157" authorId="0" shapeId="0" xr:uid="{00000000-0006-0000-0100-00002E040000}">
      <text>
        <r>
          <rPr>
            <b/>
            <sz val="9"/>
            <color indexed="81"/>
            <rFont val="Tahoma"/>
            <family val="2"/>
          </rPr>
          <t>Jorge Arturo Espinoza:</t>
        </r>
        <r>
          <rPr>
            <sz val="9"/>
            <color indexed="81"/>
            <rFont val="Tahoma"/>
            <family val="2"/>
          </rPr>
          <t xml:space="preserve">
FALTA CONFIRMAR EL DESCUENTO</t>
        </r>
      </text>
    </comment>
    <comment ref="D5158" authorId="0" shapeId="0" xr:uid="{00000000-0006-0000-0100-00002F040000}">
      <text>
        <r>
          <rPr>
            <b/>
            <sz val="9"/>
            <color indexed="81"/>
            <rFont val="Tahoma"/>
            <family val="2"/>
          </rPr>
          <t>Jorge Arturo Espinoza:</t>
        </r>
        <r>
          <rPr>
            <sz val="9"/>
            <color indexed="81"/>
            <rFont val="Tahoma"/>
            <family val="2"/>
          </rPr>
          <t xml:space="preserve">
FALTA CONFIRMAR EL DESCUENTO</t>
        </r>
      </text>
    </comment>
    <comment ref="B5159" authorId="3" shapeId="0" xr:uid="{00000000-0006-0000-0100-000030040000}">
      <text>
        <r>
          <rPr>
            <b/>
            <sz val="9"/>
            <color indexed="81"/>
            <rFont val="Tahoma"/>
            <family val="2"/>
          </rPr>
          <t>Jean Inga:</t>
        </r>
        <r>
          <rPr>
            <sz val="9"/>
            <color indexed="81"/>
            <rFont val="Tahoma"/>
            <family val="2"/>
          </rPr>
          <t xml:space="preserve">
26-02-20
</t>
        </r>
      </text>
    </comment>
    <comment ref="B5160" authorId="3" shapeId="0" xr:uid="{00000000-0006-0000-0100-000031040000}">
      <text>
        <r>
          <rPr>
            <b/>
            <sz val="9"/>
            <color indexed="81"/>
            <rFont val="Tahoma"/>
            <family val="2"/>
          </rPr>
          <t>Jean Inga:</t>
        </r>
        <r>
          <rPr>
            <sz val="9"/>
            <color indexed="81"/>
            <rFont val="Tahoma"/>
            <family val="2"/>
          </rPr>
          <t xml:space="preserve">
26-02-20</t>
        </r>
      </text>
    </comment>
    <comment ref="D5160" authorId="0" shapeId="0" xr:uid="{00000000-0006-0000-0100-000032040000}">
      <text>
        <r>
          <rPr>
            <b/>
            <sz val="9"/>
            <color indexed="81"/>
            <rFont val="Tahoma"/>
            <family val="2"/>
          </rPr>
          <t>Jorge Arturo Espinoza:</t>
        </r>
        <r>
          <rPr>
            <sz val="9"/>
            <color indexed="81"/>
            <rFont val="Tahoma"/>
            <family val="2"/>
          </rPr>
          <t xml:space="preserve">
FALTA CONFIRMAR EL DESCUENTO</t>
        </r>
      </text>
    </comment>
    <comment ref="C5175" authorId="0" shapeId="0" xr:uid="{00000000-0006-0000-0100-000033040000}">
      <text>
        <r>
          <rPr>
            <b/>
            <sz val="9"/>
            <color indexed="81"/>
            <rFont val="Tahoma"/>
            <family val="2"/>
          </rPr>
          <t>Jorge Arturo Espinoza:</t>
        </r>
        <r>
          <rPr>
            <sz val="9"/>
            <color indexed="81"/>
            <rFont val="Tahoma"/>
            <family val="2"/>
          </rPr>
          <t xml:space="preserve">
ASUMIDO</t>
        </r>
      </text>
    </comment>
    <comment ref="C5179" authorId="0" shapeId="0" xr:uid="{00000000-0006-0000-0100-000034040000}">
      <text>
        <r>
          <rPr>
            <b/>
            <sz val="9"/>
            <color indexed="81"/>
            <rFont val="Tahoma"/>
            <family val="2"/>
          </rPr>
          <t>Jorge Arturo Espinoza:</t>
        </r>
        <r>
          <rPr>
            <sz val="9"/>
            <color indexed="81"/>
            <rFont val="Tahoma"/>
            <family val="2"/>
          </rPr>
          <t xml:space="preserve">
ASUMIDO</t>
        </r>
      </text>
    </comment>
    <comment ref="C5180" authorId="0" shapeId="0" xr:uid="{00000000-0006-0000-0100-000035040000}">
      <text>
        <r>
          <rPr>
            <b/>
            <sz val="9"/>
            <color indexed="81"/>
            <rFont val="Tahoma"/>
            <family val="2"/>
          </rPr>
          <t>Jorge Arturo Espinoza:</t>
        </r>
        <r>
          <rPr>
            <sz val="9"/>
            <color indexed="81"/>
            <rFont val="Tahoma"/>
            <family val="2"/>
          </rPr>
          <t xml:space="preserve">
ASUMIDO</t>
        </r>
      </text>
    </comment>
    <comment ref="C5181" authorId="0" shapeId="0" xr:uid="{00000000-0006-0000-0100-000036040000}">
      <text>
        <r>
          <rPr>
            <b/>
            <sz val="9"/>
            <color indexed="81"/>
            <rFont val="Tahoma"/>
            <family val="2"/>
          </rPr>
          <t>Jorge Arturo Espinoza:</t>
        </r>
        <r>
          <rPr>
            <sz val="9"/>
            <color indexed="81"/>
            <rFont val="Tahoma"/>
            <family val="2"/>
          </rPr>
          <t xml:space="preserve">
ASUMIDO</t>
        </r>
      </text>
    </comment>
    <comment ref="C5191" authorId="2" shapeId="0" xr:uid="{00000000-0006-0000-0100-000037040000}">
      <text>
        <r>
          <rPr>
            <b/>
            <sz val="9"/>
            <color indexed="81"/>
            <rFont val="Tahoma"/>
            <family val="2"/>
          </rPr>
          <t>Roberto Meza:</t>
        </r>
        <r>
          <rPr>
            <sz val="9"/>
            <color indexed="81"/>
            <rFont val="Tahoma"/>
            <family val="2"/>
          </rPr>
          <t xml:space="preserve">
ASUMIDO
</t>
        </r>
      </text>
    </comment>
    <comment ref="C5194" authorId="0" shapeId="0" xr:uid="{00000000-0006-0000-0100-000038040000}">
      <text>
        <r>
          <rPr>
            <b/>
            <sz val="9"/>
            <color indexed="81"/>
            <rFont val="Tahoma"/>
            <family val="2"/>
          </rPr>
          <t>Jorge Arturo Espinoza:</t>
        </r>
        <r>
          <rPr>
            <sz val="9"/>
            <color indexed="81"/>
            <rFont val="Tahoma"/>
            <family val="2"/>
          </rPr>
          <t xml:space="preserve">
ASUMIDO</t>
        </r>
      </text>
    </comment>
    <comment ref="C5195" authorId="0" shapeId="0" xr:uid="{00000000-0006-0000-0100-000039040000}">
      <text>
        <r>
          <rPr>
            <b/>
            <sz val="9"/>
            <color indexed="81"/>
            <rFont val="Tahoma"/>
            <family val="2"/>
          </rPr>
          <t>Jorge Arturo Espinoza:</t>
        </r>
        <r>
          <rPr>
            <sz val="9"/>
            <color indexed="81"/>
            <rFont val="Tahoma"/>
            <family val="2"/>
          </rPr>
          <t xml:space="preserve">
ASUMIDO</t>
        </r>
      </text>
    </comment>
    <comment ref="C5201" authorId="2" shapeId="0" xr:uid="{00000000-0006-0000-0100-00003A040000}">
      <text>
        <r>
          <rPr>
            <b/>
            <sz val="9"/>
            <color indexed="81"/>
            <rFont val="Tahoma"/>
            <family val="2"/>
          </rPr>
          <t>Roberto Meza:</t>
        </r>
        <r>
          <rPr>
            <sz val="9"/>
            <color indexed="81"/>
            <rFont val="Tahoma"/>
            <family val="2"/>
          </rPr>
          <t xml:space="preserve">
Precio de Julio Soto - Junio 2019</t>
        </r>
      </text>
    </comment>
    <comment ref="C5202" authorId="2" shapeId="0" xr:uid="{00000000-0006-0000-0100-00003B040000}">
      <text>
        <r>
          <rPr>
            <b/>
            <sz val="9"/>
            <color indexed="81"/>
            <rFont val="Tahoma"/>
            <family val="2"/>
          </rPr>
          <t>Roberto Meza:</t>
        </r>
        <r>
          <rPr>
            <sz val="9"/>
            <color indexed="81"/>
            <rFont val="Tahoma"/>
            <family val="2"/>
          </rPr>
          <t xml:space="preserve">
Precio de Julio Soto - Junio 2019</t>
        </r>
      </text>
    </comment>
    <comment ref="B5206" authorId="1" shapeId="0" xr:uid="{00000000-0006-0000-0100-00003C040000}">
      <text>
        <r>
          <rPr>
            <b/>
            <sz val="9"/>
            <color indexed="81"/>
            <rFont val="Tahoma"/>
            <family val="2"/>
          </rPr>
          <t>Paulo Olano:</t>
        </r>
        <r>
          <rPr>
            <sz val="9"/>
            <color indexed="81"/>
            <rFont val="Tahoma"/>
            <family val="2"/>
          </rPr>
          <t xml:space="preserve">
FEB-2020</t>
        </r>
      </text>
    </comment>
    <comment ref="B5208" authorId="1" shapeId="0" xr:uid="{00000000-0006-0000-0100-00003D040000}">
      <text>
        <r>
          <rPr>
            <b/>
            <sz val="9"/>
            <color indexed="81"/>
            <rFont val="Tahoma"/>
            <family val="2"/>
          </rPr>
          <t>Paulo Olano:</t>
        </r>
        <r>
          <rPr>
            <sz val="9"/>
            <color indexed="81"/>
            <rFont val="Tahoma"/>
            <family val="2"/>
          </rPr>
          <t xml:space="preserve">
AGO-2019</t>
        </r>
      </text>
    </comment>
    <comment ref="B5209" authorId="1" shapeId="0" xr:uid="{00000000-0006-0000-0100-00003E040000}">
      <text>
        <r>
          <rPr>
            <b/>
            <sz val="9"/>
            <color indexed="81"/>
            <rFont val="Tahoma"/>
            <family val="2"/>
          </rPr>
          <t>Paulo Olano:</t>
        </r>
        <r>
          <rPr>
            <sz val="9"/>
            <color indexed="81"/>
            <rFont val="Tahoma"/>
            <family val="2"/>
          </rPr>
          <t xml:space="preserve">
AGO-2019</t>
        </r>
      </text>
    </comment>
    <comment ref="B5218" authorId="1" shapeId="0" xr:uid="{00000000-0006-0000-0100-00003F040000}">
      <text>
        <r>
          <rPr>
            <b/>
            <sz val="9"/>
            <color indexed="81"/>
            <rFont val="Tahoma"/>
            <family val="2"/>
          </rPr>
          <t>Paulo Olano:</t>
        </r>
        <r>
          <rPr>
            <sz val="9"/>
            <color indexed="81"/>
            <rFont val="Tahoma"/>
            <family val="2"/>
          </rPr>
          <t xml:space="preserve">
DIC-2019</t>
        </r>
      </text>
    </comment>
    <comment ref="D5220" authorId="2" shapeId="0" xr:uid="{00000000-0006-0000-0100-000040040000}">
      <text>
        <r>
          <rPr>
            <b/>
            <sz val="9"/>
            <color indexed="81"/>
            <rFont val="Tahoma"/>
            <family val="2"/>
          </rPr>
          <t>Roberto Meza:</t>
        </r>
        <r>
          <rPr>
            <sz val="9"/>
            <color indexed="81"/>
            <rFont val="Tahoma"/>
            <family val="2"/>
          </rPr>
          <t xml:space="preserve">
Julio Soto 08/08/19</t>
        </r>
      </text>
    </comment>
    <comment ref="D5221" authorId="2" shapeId="0" xr:uid="{00000000-0006-0000-0100-000041040000}">
      <text>
        <r>
          <rPr>
            <b/>
            <sz val="9"/>
            <color indexed="81"/>
            <rFont val="Tahoma"/>
            <family val="2"/>
          </rPr>
          <t>Roberto Meza:</t>
        </r>
        <r>
          <rPr>
            <sz val="9"/>
            <color indexed="81"/>
            <rFont val="Tahoma"/>
            <family val="2"/>
          </rPr>
          <t xml:space="preserve">
Julio Soto 08/08/19</t>
        </r>
      </text>
    </comment>
    <comment ref="D5222" authorId="2" shapeId="0" xr:uid="{00000000-0006-0000-0100-000042040000}">
      <text>
        <r>
          <rPr>
            <b/>
            <sz val="9"/>
            <color indexed="81"/>
            <rFont val="Tahoma"/>
            <family val="2"/>
          </rPr>
          <t>Roberto Meza:</t>
        </r>
        <r>
          <rPr>
            <sz val="9"/>
            <color indexed="81"/>
            <rFont val="Tahoma"/>
            <family val="2"/>
          </rPr>
          <t xml:space="preserve">
Julio Soto 26/08/19</t>
        </r>
      </text>
    </comment>
    <comment ref="D5223" authorId="2" shapeId="0" xr:uid="{00000000-0006-0000-0100-000043040000}">
      <text>
        <r>
          <rPr>
            <b/>
            <sz val="9"/>
            <color indexed="81"/>
            <rFont val="Tahoma"/>
            <family val="2"/>
          </rPr>
          <t>Roberto Meza:</t>
        </r>
        <r>
          <rPr>
            <sz val="9"/>
            <color indexed="81"/>
            <rFont val="Tahoma"/>
            <family val="2"/>
          </rPr>
          <t xml:space="preserve">
Julio Soto 26/08/19</t>
        </r>
      </text>
    </comment>
    <comment ref="D5244" authorId="0" shapeId="0" xr:uid="{00000000-0006-0000-0100-000044040000}">
      <text>
        <r>
          <rPr>
            <b/>
            <sz val="9"/>
            <color indexed="81"/>
            <rFont val="Tahoma"/>
            <family val="2"/>
          </rPr>
          <t>Jorge Arturo Espinoza:</t>
        </r>
        <r>
          <rPr>
            <sz val="9"/>
            <color indexed="81"/>
            <rFont val="Tahoma"/>
            <family val="2"/>
          </rPr>
          <t xml:space="preserve">
ASUMIDO</t>
        </r>
      </text>
    </comment>
    <comment ref="B5246" authorId="0" shapeId="0" xr:uid="{00000000-0006-0000-0100-000045040000}">
      <text>
        <r>
          <rPr>
            <b/>
            <sz val="9"/>
            <color indexed="81"/>
            <rFont val="Tahoma"/>
            <family val="2"/>
          </rPr>
          <t>Jorge Arturo Espinoza:</t>
        </r>
        <r>
          <rPr>
            <sz val="9"/>
            <color indexed="81"/>
            <rFont val="Tahoma"/>
            <family val="2"/>
          </rPr>
          <t xml:space="preserve">
PARA MEDICION TRIFASICA, USAR 2</t>
        </r>
      </text>
    </comment>
    <comment ref="D5246" authorId="0" shapeId="0" xr:uid="{00000000-0006-0000-0100-000046040000}">
      <text>
        <r>
          <rPr>
            <b/>
            <sz val="9"/>
            <color indexed="81"/>
            <rFont val="Tahoma"/>
            <family val="2"/>
          </rPr>
          <t>Jorge Arturo Espinoza:</t>
        </r>
        <r>
          <rPr>
            <sz val="9"/>
            <color indexed="81"/>
            <rFont val="Tahoma"/>
            <family val="2"/>
          </rPr>
          <t xml:space="preserve">
Era 450</t>
        </r>
      </text>
    </comment>
    <comment ref="B5247" authorId="0" shapeId="0" xr:uid="{00000000-0006-0000-0100-000047040000}">
      <text>
        <r>
          <rPr>
            <b/>
            <sz val="9"/>
            <color indexed="81"/>
            <rFont val="Tahoma"/>
            <family val="2"/>
          </rPr>
          <t>Jorge Arturo Espinoza:</t>
        </r>
        <r>
          <rPr>
            <sz val="9"/>
            <color indexed="81"/>
            <rFont val="Tahoma"/>
            <family val="2"/>
          </rPr>
          <t xml:space="preserve">
PARA MEDICION TRIFASICA, USAR 2</t>
        </r>
      </text>
    </comment>
    <comment ref="D5247" authorId="0" shapeId="0" xr:uid="{00000000-0006-0000-0100-000048040000}">
      <text>
        <r>
          <rPr>
            <b/>
            <sz val="9"/>
            <color indexed="81"/>
            <rFont val="Tahoma"/>
            <family val="2"/>
          </rPr>
          <t>Jorge Arturo Espinoza:</t>
        </r>
        <r>
          <rPr>
            <sz val="9"/>
            <color indexed="81"/>
            <rFont val="Tahoma"/>
            <family val="2"/>
          </rPr>
          <t xml:space="preserve">
Era 450</t>
        </r>
      </text>
    </comment>
    <comment ref="B5248" authorId="0" shapeId="0" xr:uid="{00000000-0006-0000-0100-000049040000}">
      <text>
        <r>
          <rPr>
            <b/>
            <sz val="9"/>
            <color indexed="81"/>
            <rFont val="Tahoma"/>
            <family val="2"/>
          </rPr>
          <t>Jorge Arturo Espinoza:</t>
        </r>
        <r>
          <rPr>
            <sz val="9"/>
            <color indexed="81"/>
            <rFont val="Tahoma"/>
            <family val="2"/>
          </rPr>
          <t xml:space="preserve">
PARA MEDICION TRIFASICA, USAR 2</t>
        </r>
      </text>
    </comment>
    <comment ref="D5248" authorId="0" shapeId="0" xr:uid="{00000000-0006-0000-0100-00004A040000}">
      <text>
        <r>
          <rPr>
            <b/>
            <sz val="9"/>
            <color indexed="81"/>
            <rFont val="Tahoma"/>
            <family val="2"/>
          </rPr>
          <t>Jorge Arturo Espinoza:</t>
        </r>
        <r>
          <rPr>
            <sz val="9"/>
            <color indexed="81"/>
            <rFont val="Tahoma"/>
            <family val="2"/>
          </rPr>
          <t xml:space="preserve">
ASUMIDO</t>
        </r>
      </text>
    </comment>
    <comment ref="D5256" authorId="0" shapeId="0" xr:uid="{00000000-0006-0000-0100-00004B040000}">
      <text>
        <r>
          <rPr>
            <b/>
            <sz val="9"/>
            <color indexed="81"/>
            <rFont val="Tahoma"/>
            <family val="2"/>
          </rPr>
          <t>Jorge Arturo Espinoza:</t>
        </r>
        <r>
          <rPr>
            <sz val="9"/>
            <color indexed="81"/>
            <rFont val="Tahoma"/>
            <family val="2"/>
          </rPr>
          <t xml:space="preserve">
FALTA CONFIRMAR EL DESCUENTO</t>
        </r>
      </text>
    </comment>
    <comment ref="C5262" authorId="2" shapeId="0" xr:uid="{00000000-0006-0000-0100-00004C040000}">
      <text>
        <r>
          <rPr>
            <b/>
            <sz val="9"/>
            <color indexed="81"/>
            <rFont val="Tahoma"/>
            <family val="2"/>
          </rPr>
          <t>Roberto Meza:</t>
        </r>
        <r>
          <rPr>
            <sz val="9"/>
            <color indexed="81"/>
            <rFont val="Tahoma"/>
            <family val="2"/>
          </rPr>
          <t xml:space="preserve">
01/20 Marcial</t>
        </r>
      </text>
    </comment>
    <comment ref="E5262" authorId="0" shapeId="0" xr:uid="{00000000-0006-0000-0100-00004D040000}">
      <text>
        <r>
          <rPr>
            <b/>
            <sz val="9"/>
            <color indexed="81"/>
            <rFont val="Tahoma"/>
            <family val="2"/>
          </rPr>
          <t>Jorge Arturo Espinoza:</t>
        </r>
        <r>
          <rPr>
            <sz val="9"/>
            <color indexed="81"/>
            <rFont val="Tahoma"/>
            <family val="2"/>
          </rPr>
          <t xml:space="preserve">
para compensar alto precio</t>
        </r>
      </text>
    </comment>
    <comment ref="C5265" authorId="2" shapeId="0" xr:uid="{00000000-0006-0000-0100-00004E040000}">
      <text>
        <r>
          <rPr>
            <b/>
            <sz val="9"/>
            <color indexed="81"/>
            <rFont val="Tahoma"/>
            <family val="2"/>
          </rPr>
          <t>Roberto Meza:</t>
        </r>
        <r>
          <rPr>
            <sz val="9"/>
            <color indexed="81"/>
            <rFont val="Tahoma"/>
            <family val="2"/>
          </rPr>
          <t xml:space="preserve">
01/20 Marcial</t>
        </r>
      </text>
    </comment>
    <comment ref="E5265" authorId="0" shapeId="0" xr:uid="{00000000-0006-0000-0100-00004F040000}">
      <text>
        <r>
          <rPr>
            <b/>
            <sz val="9"/>
            <color indexed="81"/>
            <rFont val="Tahoma"/>
            <family val="2"/>
          </rPr>
          <t>Jorge Arturo Espinoza:</t>
        </r>
        <r>
          <rPr>
            <sz val="9"/>
            <color indexed="81"/>
            <rFont val="Tahoma"/>
            <family val="2"/>
          </rPr>
          <t xml:space="preserve">
para compensar alto precio</t>
        </r>
      </text>
    </comment>
    <comment ref="C5266" authorId="2" shapeId="0" xr:uid="{00000000-0006-0000-0100-000050040000}">
      <text>
        <r>
          <rPr>
            <b/>
            <sz val="9"/>
            <color indexed="81"/>
            <rFont val="Tahoma"/>
            <family val="2"/>
          </rPr>
          <t>Roberto Meza:</t>
        </r>
        <r>
          <rPr>
            <sz val="9"/>
            <color indexed="81"/>
            <rFont val="Tahoma"/>
            <family val="2"/>
          </rPr>
          <t xml:space="preserve">
01/20 Marcial</t>
        </r>
      </text>
    </comment>
    <comment ref="E5266" authorId="0" shapeId="0" xr:uid="{00000000-0006-0000-0100-000051040000}">
      <text>
        <r>
          <rPr>
            <b/>
            <sz val="9"/>
            <color indexed="81"/>
            <rFont val="Tahoma"/>
            <family val="2"/>
          </rPr>
          <t>Jorge Arturo Espinoza:</t>
        </r>
        <r>
          <rPr>
            <sz val="9"/>
            <color indexed="81"/>
            <rFont val="Tahoma"/>
            <family val="2"/>
          </rPr>
          <t xml:space="preserve">
para compensar alto precio</t>
        </r>
      </text>
    </comment>
    <comment ref="E5270" authorId="0" shapeId="0" xr:uid="{00000000-0006-0000-0100-000052040000}">
      <text>
        <r>
          <rPr>
            <b/>
            <sz val="9"/>
            <color indexed="81"/>
            <rFont val="Tahoma"/>
            <family val="2"/>
          </rPr>
          <t>Jorge Arturo Espinoza:</t>
        </r>
        <r>
          <rPr>
            <sz val="9"/>
            <color indexed="81"/>
            <rFont val="Tahoma"/>
            <family val="2"/>
          </rPr>
          <t xml:space="preserve">
para compensar alto precio</t>
        </r>
      </text>
    </comment>
    <comment ref="E5271" authorId="0" shapeId="0" xr:uid="{00000000-0006-0000-0100-000053040000}">
      <text>
        <r>
          <rPr>
            <b/>
            <sz val="9"/>
            <color indexed="81"/>
            <rFont val="Tahoma"/>
            <family val="2"/>
          </rPr>
          <t>Jorge Arturo Espinoza:</t>
        </r>
        <r>
          <rPr>
            <sz val="9"/>
            <color indexed="81"/>
            <rFont val="Tahoma"/>
            <family val="2"/>
          </rPr>
          <t xml:space="preserve">
para compensar alto precio</t>
        </r>
      </text>
    </comment>
    <comment ref="E5273" authorId="0" shapeId="0" xr:uid="{00000000-0006-0000-0100-000054040000}">
      <text>
        <r>
          <rPr>
            <b/>
            <sz val="9"/>
            <color indexed="81"/>
            <rFont val="Tahoma"/>
            <family val="2"/>
          </rPr>
          <t>Jorge Arturo Espinoza:</t>
        </r>
        <r>
          <rPr>
            <sz val="9"/>
            <color indexed="81"/>
            <rFont val="Tahoma"/>
            <family val="2"/>
          </rPr>
          <t xml:space="preserve">
para compensar alto precio</t>
        </r>
      </text>
    </comment>
    <comment ref="E5274" authorId="0" shapeId="0" xr:uid="{00000000-0006-0000-0100-000055040000}">
      <text>
        <r>
          <rPr>
            <b/>
            <sz val="9"/>
            <color indexed="81"/>
            <rFont val="Tahoma"/>
            <family val="2"/>
          </rPr>
          <t>Jorge Arturo Espinoza:</t>
        </r>
        <r>
          <rPr>
            <sz val="9"/>
            <color indexed="81"/>
            <rFont val="Tahoma"/>
            <family val="2"/>
          </rPr>
          <t xml:space="preserve">
para compensar alto precio</t>
        </r>
      </text>
    </comment>
    <comment ref="E5276" authorId="0" shapeId="0" xr:uid="{00000000-0006-0000-0100-000056040000}">
      <text>
        <r>
          <rPr>
            <b/>
            <sz val="9"/>
            <color indexed="81"/>
            <rFont val="Tahoma"/>
            <family val="2"/>
          </rPr>
          <t>Jorge Arturo Espinoza:</t>
        </r>
        <r>
          <rPr>
            <sz val="9"/>
            <color indexed="81"/>
            <rFont val="Tahoma"/>
            <family val="2"/>
          </rPr>
          <t xml:space="preserve">
para compensar alto precio</t>
        </r>
      </text>
    </comment>
    <comment ref="E5278" authorId="0" shapeId="0" xr:uid="{00000000-0006-0000-0100-000057040000}">
      <text>
        <r>
          <rPr>
            <b/>
            <sz val="9"/>
            <color indexed="81"/>
            <rFont val="Tahoma"/>
            <family val="2"/>
          </rPr>
          <t>Jorge Arturo Espinoza:</t>
        </r>
        <r>
          <rPr>
            <sz val="9"/>
            <color indexed="81"/>
            <rFont val="Tahoma"/>
            <family val="2"/>
          </rPr>
          <t xml:space="preserve">
para compensar alto precio</t>
        </r>
      </text>
    </comment>
    <comment ref="E5279" authorId="0" shapeId="0" xr:uid="{00000000-0006-0000-0100-000058040000}">
      <text>
        <r>
          <rPr>
            <b/>
            <sz val="9"/>
            <color indexed="81"/>
            <rFont val="Tahoma"/>
            <family val="2"/>
          </rPr>
          <t>Jorge Arturo Espinoza:</t>
        </r>
        <r>
          <rPr>
            <sz val="9"/>
            <color indexed="81"/>
            <rFont val="Tahoma"/>
            <family val="2"/>
          </rPr>
          <t xml:space="preserve">
para compensar alto precio</t>
        </r>
      </text>
    </comment>
    <comment ref="E5281" authorId="0" shapeId="0" xr:uid="{00000000-0006-0000-0100-000059040000}">
      <text>
        <r>
          <rPr>
            <b/>
            <sz val="9"/>
            <color indexed="81"/>
            <rFont val="Tahoma"/>
            <family val="2"/>
          </rPr>
          <t>Jorge Arturo Espinoza:</t>
        </r>
        <r>
          <rPr>
            <sz val="9"/>
            <color indexed="81"/>
            <rFont val="Tahoma"/>
            <family val="2"/>
          </rPr>
          <t xml:space="preserve">
para compensar alto precio</t>
        </r>
      </text>
    </comment>
    <comment ref="E5282" authorId="0" shapeId="0" xr:uid="{00000000-0006-0000-0100-00005A040000}">
      <text>
        <r>
          <rPr>
            <b/>
            <sz val="9"/>
            <color indexed="81"/>
            <rFont val="Tahoma"/>
            <family val="2"/>
          </rPr>
          <t>Jorge Arturo Espinoza:</t>
        </r>
        <r>
          <rPr>
            <sz val="9"/>
            <color indexed="81"/>
            <rFont val="Tahoma"/>
            <family val="2"/>
          </rPr>
          <t xml:space="preserve">
para compensar alto precio</t>
        </r>
      </text>
    </comment>
    <comment ref="E5304" authorId="0" shapeId="0" xr:uid="{00000000-0006-0000-0100-00005B040000}">
      <text>
        <r>
          <rPr>
            <b/>
            <sz val="9"/>
            <color indexed="81"/>
            <rFont val="Tahoma"/>
            <family val="2"/>
          </rPr>
          <t>Jorge Arturo Espinoza:</t>
        </r>
        <r>
          <rPr>
            <sz val="9"/>
            <color indexed="81"/>
            <rFont val="Tahoma"/>
            <family val="2"/>
          </rPr>
          <t xml:space="preserve">
para compensar alto precio</t>
        </r>
      </text>
    </comment>
    <comment ref="D5312" authorId="0" shapeId="0" xr:uid="{00000000-0006-0000-0100-00005C040000}">
      <text>
        <r>
          <rPr>
            <b/>
            <sz val="9"/>
            <color indexed="81"/>
            <rFont val="Tahoma"/>
            <family val="2"/>
          </rPr>
          <t>Jorge Arturo Espinoza:</t>
        </r>
        <r>
          <rPr>
            <sz val="9"/>
            <color indexed="81"/>
            <rFont val="Tahoma"/>
            <family val="2"/>
          </rPr>
          <t xml:space="preserve">
Era 680</t>
        </r>
      </text>
    </comment>
    <comment ref="D5314" authorId="0" shapeId="0" xr:uid="{00000000-0006-0000-0100-00005D040000}">
      <text>
        <r>
          <rPr>
            <b/>
            <sz val="9"/>
            <color indexed="81"/>
            <rFont val="Tahoma"/>
            <family val="2"/>
          </rPr>
          <t>Jorge Arturo Espinoza:</t>
        </r>
        <r>
          <rPr>
            <sz val="9"/>
            <color indexed="81"/>
            <rFont val="Tahoma"/>
            <family val="2"/>
          </rPr>
          <t xml:space="preserve">
ASUMIDO</t>
        </r>
      </text>
    </comment>
    <comment ref="D5322" authorId="0" shapeId="0" xr:uid="{00000000-0006-0000-0100-00005E040000}">
      <text>
        <r>
          <rPr>
            <b/>
            <sz val="9"/>
            <color indexed="81"/>
            <rFont val="Tahoma"/>
            <family val="2"/>
          </rPr>
          <t>Jorge Arturo Espinoza:</t>
        </r>
        <r>
          <rPr>
            <sz val="9"/>
            <color indexed="81"/>
            <rFont val="Tahoma"/>
            <family val="2"/>
          </rPr>
          <t xml:space="preserve">
ASUMIDO</t>
        </r>
      </text>
    </comment>
    <comment ref="D5323" authorId="0" shapeId="0" xr:uid="{00000000-0006-0000-0100-00005F040000}">
      <text>
        <r>
          <rPr>
            <b/>
            <sz val="9"/>
            <color indexed="81"/>
            <rFont val="Tahoma"/>
            <family val="2"/>
          </rPr>
          <t>Jorge Arturo Espinoza:</t>
        </r>
        <r>
          <rPr>
            <sz val="9"/>
            <color indexed="81"/>
            <rFont val="Tahoma"/>
            <family val="2"/>
          </rPr>
          <t xml:space="preserve">
ASUMIDO</t>
        </r>
      </text>
    </comment>
    <comment ref="D5334" authorId="0" shapeId="0" xr:uid="{00000000-0006-0000-0100-000060040000}">
      <text>
        <r>
          <rPr>
            <b/>
            <sz val="9"/>
            <color indexed="81"/>
            <rFont val="Tahoma"/>
            <family val="2"/>
          </rPr>
          <t>Jorge Arturo Espinoza:</t>
        </r>
        <r>
          <rPr>
            <sz val="9"/>
            <color indexed="81"/>
            <rFont val="Tahoma"/>
            <family val="2"/>
          </rPr>
          <t xml:space="preserve">
Era 680</t>
        </r>
      </text>
    </comment>
    <comment ref="D5337" authorId="0" shapeId="0" xr:uid="{00000000-0006-0000-0100-000061040000}">
      <text>
        <r>
          <rPr>
            <b/>
            <sz val="9"/>
            <color indexed="81"/>
            <rFont val="Tahoma"/>
            <family val="2"/>
          </rPr>
          <t>Jorge Arturo Espinoza:</t>
        </r>
        <r>
          <rPr>
            <sz val="9"/>
            <color indexed="81"/>
            <rFont val="Tahoma"/>
            <family val="2"/>
          </rPr>
          <t xml:space="preserve">
Era 680</t>
        </r>
      </text>
    </comment>
    <comment ref="D5340" authorId="0" shapeId="0" xr:uid="{00000000-0006-0000-0100-000062040000}">
      <text>
        <r>
          <rPr>
            <b/>
            <sz val="9"/>
            <color indexed="81"/>
            <rFont val="Tahoma"/>
            <family val="2"/>
          </rPr>
          <t>Jorge Arturo Espinoza:</t>
        </r>
        <r>
          <rPr>
            <sz val="9"/>
            <color indexed="81"/>
            <rFont val="Tahoma"/>
            <family val="2"/>
          </rPr>
          <t xml:space="preserve">
Era 680</t>
        </r>
      </text>
    </comment>
    <comment ref="D5347" authorId="0" shapeId="0" xr:uid="{00000000-0006-0000-0100-000063040000}">
      <text>
        <r>
          <rPr>
            <b/>
            <sz val="9"/>
            <color indexed="81"/>
            <rFont val="Tahoma"/>
            <family val="2"/>
          </rPr>
          <t>Jorge Arturo Espinoza:</t>
        </r>
        <r>
          <rPr>
            <sz val="9"/>
            <color indexed="81"/>
            <rFont val="Tahoma"/>
            <family val="2"/>
          </rPr>
          <t xml:space="preserve">
ASUMIDO</t>
        </r>
      </text>
    </comment>
    <comment ref="D5348" authorId="0" shapeId="0" xr:uid="{00000000-0006-0000-0100-000064040000}">
      <text>
        <r>
          <rPr>
            <b/>
            <sz val="9"/>
            <color indexed="81"/>
            <rFont val="Tahoma"/>
            <family val="2"/>
          </rPr>
          <t>Jorge Arturo Espinoza:</t>
        </r>
        <r>
          <rPr>
            <sz val="9"/>
            <color indexed="81"/>
            <rFont val="Tahoma"/>
            <family val="2"/>
          </rPr>
          <t xml:space="preserve">
ASUMIDO</t>
        </r>
      </text>
    </comment>
    <comment ref="D5350" authorId="0" shapeId="0" xr:uid="{00000000-0006-0000-0100-000065040000}">
      <text>
        <r>
          <rPr>
            <b/>
            <sz val="9"/>
            <color indexed="81"/>
            <rFont val="Tahoma"/>
            <family val="2"/>
          </rPr>
          <t>Jorge Arturo Espinoza:</t>
        </r>
        <r>
          <rPr>
            <sz val="9"/>
            <color indexed="81"/>
            <rFont val="Tahoma"/>
            <family val="2"/>
          </rPr>
          <t xml:space="preserve">
ASUMIDO</t>
        </r>
      </text>
    </comment>
    <comment ref="D5351" authorId="0" shapeId="0" xr:uid="{00000000-0006-0000-0100-000066040000}">
      <text>
        <r>
          <rPr>
            <b/>
            <sz val="9"/>
            <color indexed="81"/>
            <rFont val="Tahoma"/>
            <family val="2"/>
          </rPr>
          <t>Jorge Arturo Espinoza:</t>
        </r>
        <r>
          <rPr>
            <sz val="9"/>
            <color indexed="81"/>
            <rFont val="Tahoma"/>
            <family val="2"/>
          </rPr>
          <t xml:space="preserve">
ASUMIDO</t>
        </r>
      </text>
    </comment>
    <comment ref="C5352" authorId="1" shapeId="0" xr:uid="{00000000-0006-0000-0100-000067040000}">
      <text>
        <r>
          <rPr>
            <b/>
            <sz val="9"/>
            <color indexed="81"/>
            <rFont val="Tahoma"/>
            <family val="2"/>
          </rPr>
          <t>Paulo Olano:</t>
        </r>
        <r>
          <rPr>
            <sz val="9"/>
            <color indexed="81"/>
            <rFont val="Tahoma"/>
            <family val="2"/>
          </rPr>
          <t xml:space="preserve">
marzo 2019 - marcial
</t>
        </r>
      </text>
    </comment>
    <comment ref="C5354" authorId="5" shapeId="0" xr:uid="{00000000-0006-0000-0100-000068040000}">
      <text>
        <r>
          <rPr>
            <b/>
            <sz val="9"/>
            <color indexed="81"/>
            <rFont val="Tahoma"/>
            <family val="2"/>
          </rPr>
          <t>Rosalyn Rincon:</t>
        </r>
        <r>
          <rPr>
            <sz val="9"/>
            <color indexed="81"/>
            <rFont val="Tahoma"/>
            <family val="2"/>
          </rPr>
          <t xml:space="preserve">
27/02/2019
</t>
        </r>
      </text>
    </comment>
    <comment ref="C5355" authorId="1" shapeId="0" xr:uid="{00000000-0006-0000-0100-000069040000}">
      <text>
        <r>
          <rPr>
            <b/>
            <sz val="9"/>
            <color indexed="81"/>
            <rFont val="Tahoma"/>
            <family val="2"/>
          </rPr>
          <t>Paulo Olano:</t>
        </r>
        <r>
          <rPr>
            <sz val="9"/>
            <color indexed="81"/>
            <rFont val="Tahoma"/>
            <family val="2"/>
          </rPr>
          <t xml:space="preserve">
marzo 2019 - marcial
</t>
        </r>
      </text>
    </comment>
    <comment ref="C5357" authorId="1" shapeId="0" xr:uid="{00000000-0006-0000-0100-00006A040000}">
      <text>
        <r>
          <rPr>
            <b/>
            <sz val="9"/>
            <color indexed="81"/>
            <rFont val="Tahoma"/>
            <family val="2"/>
          </rPr>
          <t>Paulo Olano:</t>
        </r>
        <r>
          <rPr>
            <sz val="9"/>
            <color indexed="81"/>
            <rFont val="Tahoma"/>
            <family val="2"/>
          </rPr>
          <t xml:space="preserve">
marzo 2019 - marcial
</t>
        </r>
      </text>
    </comment>
    <comment ref="B5359" authorId="2" shapeId="0" xr:uid="{00000000-0006-0000-0100-00006B040000}">
      <text>
        <r>
          <rPr>
            <b/>
            <sz val="9"/>
            <color indexed="81"/>
            <rFont val="Tahoma"/>
            <family val="2"/>
          </rPr>
          <t>Roberto Meza:</t>
        </r>
        <r>
          <rPr>
            <sz val="9"/>
            <color indexed="81"/>
            <rFont val="Tahoma"/>
            <family val="2"/>
          </rPr>
          <t xml:space="preserve">
Marcial, Julio del 2019</t>
        </r>
      </text>
    </comment>
    <comment ref="B5360" authorId="2" shapeId="0" xr:uid="{00000000-0006-0000-0100-00006C040000}">
      <text>
        <r>
          <rPr>
            <b/>
            <sz val="9"/>
            <color indexed="81"/>
            <rFont val="Tahoma"/>
            <family val="2"/>
          </rPr>
          <t>Roberto Meza:</t>
        </r>
        <r>
          <rPr>
            <sz val="9"/>
            <color indexed="81"/>
            <rFont val="Tahoma"/>
            <family val="2"/>
          </rPr>
          <t xml:space="preserve">
Marcial, Julio del 2019</t>
        </r>
      </text>
    </comment>
    <comment ref="G5382" authorId="0" shapeId="0" xr:uid="{00000000-0006-0000-0100-00006D040000}">
      <text>
        <r>
          <rPr>
            <b/>
            <sz val="9"/>
            <color indexed="81"/>
            <rFont val="Tahoma"/>
            <family val="2"/>
          </rPr>
          <t>Jorge Arturo Espinoza:</t>
        </r>
        <r>
          <rPr>
            <sz val="9"/>
            <color indexed="81"/>
            <rFont val="Tahoma"/>
            <family val="2"/>
          </rPr>
          <t xml:space="preserve">
RX? o  RBX?</t>
        </r>
      </text>
    </comment>
    <comment ref="B5389" authorId="3" shapeId="0" xr:uid="{00000000-0006-0000-0100-00006E040000}">
      <text>
        <r>
          <rPr>
            <b/>
            <sz val="9"/>
            <color indexed="81"/>
            <rFont val="Tahoma"/>
            <family val="2"/>
          </rPr>
          <t xml:space="preserve">PRECIOS ACTUALIZADOS 
ING. MARCIAL 
02-04-19
</t>
        </r>
      </text>
    </comment>
    <comment ref="B5390" authorId="3" shapeId="0" xr:uid="{00000000-0006-0000-0100-00006F040000}">
      <text>
        <r>
          <rPr>
            <b/>
            <sz val="9"/>
            <color indexed="81"/>
            <rFont val="Tahoma"/>
            <family val="2"/>
          </rPr>
          <t>PRECIOS ACTUALIZADOS 
ING. MARCIAL 
02-04-19</t>
        </r>
        <r>
          <rPr>
            <sz val="9"/>
            <color indexed="81"/>
            <rFont val="Tahoma"/>
            <family val="2"/>
          </rPr>
          <t xml:space="preserve">
</t>
        </r>
      </text>
    </comment>
    <comment ref="B5393" authorId="3" shapeId="0" xr:uid="{00000000-0006-0000-0100-000070040000}">
      <text>
        <r>
          <rPr>
            <b/>
            <sz val="9"/>
            <color indexed="81"/>
            <rFont val="Tahoma"/>
            <family val="2"/>
          </rPr>
          <t>PRECIOS ACTUALIZADOS 
ING. MARCIAL 
02-04-19</t>
        </r>
      </text>
    </comment>
    <comment ref="B5396" authorId="3" shapeId="0" xr:uid="{00000000-0006-0000-0100-000071040000}">
      <text>
        <r>
          <rPr>
            <b/>
            <sz val="9"/>
            <color indexed="81"/>
            <rFont val="Tahoma"/>
            <family val="2"/>
          </rPr>
          <t>PRECIOS ACTUALIZADOS 
ING. MARCIAL 
02-04-19</t>
        </r>
      </text>
    </comment>
    <comment ref="C5396" authorId="2" shapeId="0" xr:uid="{00000000-0006-0000-0100-000072040000}">
      <text>
        <r>
          <rPr>
            <b/>
            <sz val="9"/>
            <color indexed="81"/>
            <rFont val="Tahoma"/>
            <family val="2"/>
          </rPr>
          <t>Roberto Meza:</t>
        </r>
        <r>
          <rPr>
            <sz val="9"/>
            <color indexed="81"/>
            <rFont val="Tahoma"/>
            <family val="2"/>
          </rPr>
          <t xml:space="preserve">
19/02/2020</t>
        </r>
      </text>
    </comment>
    <comment ref="B5397" authorId="3" shapeId="0" xr:uid="{00000000-0006-0000-0100-000073040000}">
      <text>
        <r>
          <rPr>
            <b/>
            <sz val="9"/>
            <color indexed="81"/>
            <rFont val="Tahoma"/>
            <family val="2"/>
          </rPr>
          <t>PRECIOS ACTUALIZADOS 
ING. MARCIAL 
02-04-19</t>
        </r>
        <r>
          <rPr>
            <sz val="9"/>
            <color indexed="81"/>
            <rFont val="Tahoma"/>
            <family val="2"/>
          </rPr>
          <t xml:space="preserve">
</t>
        </r>
      </text>
    </comment>
    <comment ref="B5399" authorId="3" shapeId="0" xr:uid="{00000000-0006-0000-0100-000074040000}">
      <text>
        <r>
          <rPr>
            <b/>
            <sz val="9"/>
            <color indexed="81"/>
            <rFont val="Tahoma"/>
            <family val="2"/>
          </rPr>
          <t>PRECIOS ACTUALIZADOS 
ING. MARCIAL 
02-04-19</t>
        </r>
      </text>
    </comment>
    <comment ref="B5403" authorId="3" shapeId="0" xr:uid="{00000000-0006-0000-0100-000075040000}">
      <text>
        <r>
          <rPr>
            <b/>
            <sz val="9"/>
            <color indexed="81"/>
            <rFont val="Tahoma"/>
            <family val="2"/>
          </rPr>
          <t>PRECIOS ACTUALIZADOS 
ING. MARCIAL 
02-04-19</t>
        </r>
      </text>
    </comment>
    <comment ref="C5464" authorId="2" shapeId="0" xr:uid="{00000000-0006-0000-0100-000076040000}">
      <text>
        <r>
          <rPr>
            <b/>
            <sz val="9"/>
            <color indexed="81"/>
            <rFont val="Tahoma"/>
            <family val="2"/>
          </rPr>
          <t>Roberto Meza:</t>
        </r>
        <r>
          <rPr>
            <sz val="9"/>
            <color indexed="81"/>
            <rFont val="Tahoma"/>
            <family val="2"/>
          </rPr>
          <t xml:space="preserve">
19/02/2020</t>
        </r>
      </text>
    </comment>
    <comment ref="C5488" authorId="2" shapeId="0" xr:uid="{00000000-0006-0000-0100-000077040000}">
      <text>
        <r>
          <rPr>
            <b/>
            <sz val="9"/>
            <color indexed="81"/>
            <rFont val="Tahoma"/>
            <family val="2"/>
          </rPr>
          <t>Roberto Meza:</t>
        </r>
        <r>
          <rPr>
            <sz val="9"/>
            <color indexed="81"/>
            <rFont val="Tahoma"/>
            <family val="2"/>
          </rPr>
          <t xml:space="preserve">
01/20 Marcial</t>
        </r>
      </text>
    </comment>
    <comment ref="C5500" authorId="2" shapeId="0" xr:uid="{00000000-0006-0000-0100-000078040000}">
      <text>
        <r>
          <rPr>
            <b/>
            <sz val="9"/>
            <color indexed="81"/>
            <rFont val="Tahoma"/>
            <family val="2"/>
          </rPr>
          <t>Roberto Meza:</t>
        </r>
        <r>
          <rPr>
            <sz val="9"/>
            <color indexed="81"/>
            <rFont val="Tahoma"/>
            <family val="2"/>
          </rPr>
          <t xml:space="preserve">
19/02/2020</t>
        </r>
      </text>
    </comment>
    <comment ref="B5503" authorId="2" shapeId="0" xr:uid="{00000000-0006-0000-0100-000079040000}">
      <text>
        <r>
          <rPr>
            <b/>
            <sz val="9"/>
            <color indexed="81"/>
            <rFont val="Tahoma"/>
            <family val="2"/>
          </rPr>
          <t>Roberto Meza:</t>
        </r>
        <r>
          <rPr>
            <sz val="9"/>
            <color indexed="81"/>
            <rFont val="Tahoma"/>
            <family val="2"/>
          </rPr>
          <t xml:space="preserve">
Marcial, Julio del 2019</t>
        </r>
      </text>
    </comment>
    <comment ref="B5517" authorId="3" shapeId="0" xr:uid="{00000000-0006-0000-0100-00007A040000}">
      <text>
        <r>
          <rPr>
            <b/>
            <sz val="9"/>
            <color indexed="81"/>
            <rFont val="Tahoma"/>
            <family val="2"/>
          </rPr>
          <t>PRECIOS ACTUALIZADOS 
ING. MARCIAL 
02-04-19</t>
        </r>
        <r>
          <rPr>
            <sz val="9"/>
            <color indexed="81"/>
            <rFont val="Tahoma"/>
            <family val="2"/>
          </rPr>
          <t xml:space="preserve">
</t>
        </r>
      </text>
    </comment>
    <comment ref="B5519" authorId="3" shapeId="0" xr:uid="{00000000-0006-0000-0100-00007B040000}">
      <text>
        <r>
          <rPr>
            <b/>
            <sz val="9"/>
            <color indexed="81"/>
            <rFont val="Tahoma"/>
            <family val="2"/>
          </rPr>
          <t xml:space="preserve">
PRECIOS ACTUALIZADOS 
ING. MARCIAL 
02-04-19
</t>
        </r>
      </text>
    </comment>
    <comment ref="C5519" authorId="2" shapeId="0" xr:uid="{00000000-0006-0000-0100-00007C040000}">
      <text>
        <r>
          <rPr>
            <b/>
            <sz val="9"/>
            <color indexed="81"/>
            <rFont val="Tahoma"/>
            <family val="2"/>
          </rPr>
          <t>Roberto Meza:</t>
        </r>
        <r>
          <rPr>
            <sz val="9"/>
            <color indexed="81"/>
            <rFont val="Tahoma"/>
            <family val="2"/>
          </rPr>
          <t xml:space="preserve">
19/02/2020</t>
        </r>
      </text>
    </comment>
    <comment ref="B5520" authorId="3" shapeId="0" xr:uid="{00000000-0006-0000-0100-00007D040000}">
      <text>
        <r>
          <rPr>
            <b/>
            <sz val="9"/>
            <color indexed="81"/>
            <rFont val="Tahoma"/>
            <family val="2"/>
          </rPr>
          <t xml:space="preserve">
PRECIOS ACTUALIZADOS 
ING. MARCIAL 
02-04-19
</t>
        </r>
      </text>
    </comment>
    <comment ref="C5536" authorId="2" shapeId="0" xr:uid="{00000000-0006-0000-0100-00007E040000}">
      <text>
        <r>
          <rPr>
            <b/>
            <sz val="9"/>
            <color indexed="81"/>
            <rFont val="Tahoma"/>
            <family val="2"/>
          </rPr>
          <t>Roberto Meza:</t>
        </r>
        <r>
          <rPr>
            <sz val="9"/>
            <color indexed="81"/>
            <rFont val="Tahoma"/>
            <family val="2"/>
          </rPr>
          <t xml:space="preserve">
19/02/2020</t>
        </r>
      </text>
    </comment>
    <comment ref="B5553" authorId="1" shapeId="0" xr:uid="{00000000-0006-0000-0100-00007F040000}">
      <text>
        <r>
          <rPr>
            <b/>
            <sz val="9"/>
            <color indexed="81"/>
            <rFont val="Tahoma"/>
            <family val="2"/>
          </rPr>
          <t>Paulo Olano:</t>
        </r>
        <r>
          <rPr>
            <sz val="9"/>
            <color indexed="81"/>
            <rFont val="Tahoma"/>
            <family val="2"/>
          </rPr>
          <t xml:space="preserve">
marzo 2019 - marcial
</t>
        </r>
      </text>
    </comment>
    <comment ref="B5562" authorId="2" shapeId="0" xr:uid="{00000000-0006-0000-0100-000080040000}">
      <text>
        <r>
          <rPr>
            <b/>
            <sz val="9"/>
            <color indexed="81"/>
            <rFont val="Tahoma"/>
            <family val="2"/>
          </rPr>
          <t>Roberto Meza:</t>
        </r>
        <r>
          <rPr>
            <sz val="9"/>
            <color indexed="81"/>
            <rFont val="Tahoma"/>
            <family val="2"/>
          </rPr>
          <t xml:space="preserve">
Marzo 2019 x Marcial
</t>
        </r>
      </text>
    </comment>
    <comment ref="C5578" authorId="0" shapeId="0" xr:uid="{00000000-0006-0000-0100-000081040000}">
      <text>
        <r>
          <rPr>
            <b/>
            <sz val="9"/>
            <color indexed="81"/>
            <rFont val="Tahoma"/>
            <family val="2"/>
          </rPr>
          <t>Jorge Arturo Espinoza:</t>
        </r>
        <r>
          <rPr>
            <sz val="9"/>
            <color indexed="81"/>
            <rFont val="Tahoma"/>
            <family val="2"/>
          </rPr>
          <t xml:space="preserve">
*1.2 PORQUE SON PRECIOS AÑO 1012</t>
        </r>
      </text>
    </comment>
    <comment ref="C5579" authorId="0" shapeId="0" xr:uid="{00000000-0006-0000-0100-000082040000}">
      <text>
        <r>
          <rPr>
            <b/>
            <sz val="9"/>
            <color indexed="81"/>
            <rFont val="Tahoma"/>
            <family val="2"/>
          </rPr>
          <t>Jorge Arturo Espinoza:</t>
        </r>
        <r>
          <rPr>
            <sz val="9"/>
            <color indexed="81"/>
            <rFont val="Tahoma"/>
            <family val="2"/>
          </rPr>
          <t xml:space="preserve">
COTIZADO POR CEYESA, PARA PROYECTO DE GLOBELEC</t>
        </r>
      </text>
    </comment>
    <comment ref="C5580" authorId="0" shapeId="0" xr:uid="{00000000-0006-0000-0100-000083040000}">
      <text>
        <r>
          <rPr>
            <b/>
            <sz val="9"/>
            <color indexed="81"/>
            <rFont val="Tahoma"/>
            <family val="2"/>
          </rPr>
          <t>Jorge Arturo Espinoza:</t>
        </r>
        <r>
          <rPr>
            <sz val="9"/>
            <color indexed="81"/>
            <rFont val="Tahoma"/>
            <family val="2"/>
          </rPr>
          <t xml:space="preserve">
COTIZADO POR CEYESA, PARA PROYECTO DE GLOBELEC</t>
        </r>
      </text>
    </comment>
    <comment ref="C5581" authorId="0" shapeId="0" xr:uid="{00000000-0006-0000-0100-000084040000}">
      <text>
        <r>
          <rPr>
            <b/>
            <sz val="9"/>
            <color indexed="81"/>
            <rFont val="Tahoma"/>
            <family val="2"/>
          </rPr>
          <t>Jorge Arturo Espinoza:</t>
        </r>
        <r>
          <rPr>
            <sz val="9"/>
            <color indexed="81"/>
            <rFont val="Tahoma"/>
            <family val="2"/>
          </rPr>
          <t xml:space="preserve">
COTIZADO POR PROMELSA</t>
        </r>
      </text>
    </comment>
    <comment ref="C5582" authorId="0" shapeId="0" xr:uid="{00000000-0006-0000-0100-000085040000}">
      <text>
        <r>
          <rPr>
            <b/>
            <sz val="9"/>
            <color indexed="81"/>
            <rFont val="Tahoma"/>
            <family val="2"/>
          </rPr>
          <t>Jorge Arturo Espinoza:</t>
        </r>
        <r>
          <rPr>
            <sz val="9"/>
            <color indexed="81"/>
            <rFont val="Tahoma"/>
            <family val="2"/>
          </rPr>
          <t xml:space="preserve">
COTIZADO POR CEYESA, PARA PROYECTO DE GLOBELEC</t>
        </r>
      </text>
    </comment>
    <comment ref="C5583" authorId="0" shapeId="0" xr:uid="{00000000-0006-0000-0100-000086040000}">
      <text>
        <r>
          <rPr>
            <b/>
            <sz val="9"/>
            <color indexed="81"/>
            <rFont val="Tahoma"/>
            <family val="2"/>
          </rPr>
          <t>Jorge Arturo Espinoza:</t>
        </r>
        <r>
          <rPr>
            <sz val="9"/>
            <color indexed="81"/>
            <rFont val="Tahoma"/>
            <family val="2"/>
          </rPr>
          <t xml:space="preserve">
COTIZADO POR CEYESA, PARA PROYECTO DE GLOBELEC</t>
        </r>
      </text>
    </comment>
    <comment ref="C5584" authorId="0" shapeId="0" xr:uid="{00000000-0006-0000-0100-000087040000}">
      <text>
        <r>
          <rPr>
            <b/>
            <sz val="9"/>
            <color indexed="81"/>
            <rFont val="Tahoma"/>
            <family val="2"/>
          </rPr>
          <t>Jorge Arturo Espinoza:</t>
        </r>
        <r>
          <rPr>
            <sz val="9"/>
            <color indexed="81"/>
            <rFont val="Tahoma"/>
            <family val="2"/>
          </rPr>
          <t xml:space="preserve">
COTIZADO POR CEYESA, PARA PROYECTO DE GLOBELEC</t>
        </r>
      </text>
    </comment>
    <comment ref="C5585" authorId="0" shapeId="0" xr:uid="{00000000-0006-0000-0100-000088040000}">
      <text>
        <r>
          <rPr>
            <b/>
            <sz val="9"/>
            <color indexed="81"/>
            <rFont val="Tahoma"/>
            <family val="2"/>
          </rPr>
          <t>Jorge Arturo Espinoza:</t>
        </r>
        <r>
          <rPr>
            <sz val="9"/>
            <color indexed="81"/>
            <rFont val="Tahoma"/>
            <family val="2"/>
          </rPr>
          <t xml:space="preserve">
COTIZADO POR CEYESA, PARA PROYECTO DE GLOBELEC</t>
        </r>
      </text>
    </comment>
    <comment ref="C5586" authorId="0" shapeId="0" xr:uid="{00000000-0006-0000-0100-000089040000}">
      <text>
        <r>
          <rPr>
            <b/>
            <sz val="9"/>
            <color indexed="81"/>
            <rFont val="Tahoma"/>
            <family val="2"/>
          </rPr>
          <t>Jorge Arturo Espinoza:</t>
        </r>
        <r>
          <rPr>
            <sz val="9"/>
            <color indexed="81"/>
            <rFont val="Tahoma"/>
            <family val="2"/>
          </rPr>
          <t xml:space="preserve">
COTIZADO POR CEYESA, PARA PROYECTO DE GLOBELEC</t>
        </r>
      </text>
    </comment>
    <comment ref="C5587" authorId="0" shapeId="0" xr:uid="{00000000-0006-0000-0100-00008A040000}">
      <text>
        <r>
          <rPr>
            <b/>
            <sz val="9"/>
            <color indexed="81"/>
            <rFont val="Tahoma"/>
            <family val="2"/>
          </rPr>
          <t>Jorge Arturo Espinoza:</t>
        </r>
        <r>
          <rPr>
            <sz val="9"/>
            <color indexed="81"/>
            <rFont val="Tahoma"/>
            <family val="2"/>
          </rPr>
          <t xml:space="preserve">
COTIZADO POR CEYESA, PARA PROYECTO DE GLOBELEC</t>
        </r>
      </text>
    </comment>
    <comment ref="C5588" authorId="0" shapeId="0" xr:uid="{00000000-0006-0000-0100-00008B040000}">
      <text>
        <r>
          <rPr>
            <b/>
            <sz val="9"/>
            <color indexed="81"/>
            <rFont val="Tahoma"/>
            <family val="2"/>
          </rPr>
          <t>Jorge Arturo Espinoza:</t>
        </r>
        <r>
          <rPr>
            <sz val="9"/>
            <color indexed="81"/>
            <rFont val="Tahoma"/>
            <family val="2"/>
          </rPr>
          <t xml:space="preserve">
COTIZADO POR CEYESA, PARA PROYECTO DE GLOBELEC</t>
        </r>
      </text>
    </comment>
    <comment ref="C5590" authorId="0" shapeId="0" xr:uid="{00000000-0006-0000-0100-00008C040000}">
      <text>
        <r>
          <rPr>
            <b/>
            <sz val="9"/>
            <color indexed="81"/>
            <rFont val="Tahoma"/>
            <family val="2"/>
          </rPr>
          <t>Jorge Arturo Espinoza:</t>
        </r>
        <r>
          <rPr>
            <sz val="9"/>
            <color indexed="81"/>
            <rFont val="Tahoma"/>
            <family val="2"/>
          </rPr>
          <t xml:space="preserve">
COTIZADO POR CEYESA, PARA PROYECTO DE GLOBELEC</t>
        </r>
      </text>
    </comment>
    <comment ref="E5590" authorId="0" shapeId="0" xr:uid="{00000000-0006-0000-0100-00008D040000}">
      <text>
        <r>
          <rPr>
            <b/>
            <sz val="9"/>
            <color indexed="81"/>
            <rFont val="Tahoma"/>
            <family val="2"/>
          </rPr>
          <t>Jorge Arturo Espinoza:</t>
        </r>
        <r>
          <rPr>
            <sz val="9"/>
            <color indexed="81"/>
            <rFont val="Tahoma"/>
            <family val="2"/>
          </rPr>
          <t xml:space="preserve">
CONSIDERANDO CABLES DE FUERZA, EN LA PARTE INFERIOR DEL TABLERO AUTOSOPORTADO:
CABLE + TERM.PRENS + PERNOS/ARANDELAS</t>
        </r>
      </text>
    </comment>
    <comment ref="C5591" authorId="0" shapeId="0" xr:uid="{00000000-0006-0000-0100-00008E040000}">
      <text>
        <r>
          <rPr>
            <b/>
            <sz val="9"/>
            <color indexed="81"/>
            <rFont val="Tahoma"/>
            <family val="2"/>
          </rPr>
          <t>Jorge Arturo Espinoza:</t>
        </r>
        <r>
          <rPr>
            <sz val="9"/>
            <color indexed="81"/>
            <rFont val="Tahoma"/>
            <family val="2"/>
          </rPr>
          <t xml:space="preserve">
COTIZADO POR CEYESA, PARA PROYECTO DE GLOBELEC</t>
        </r>
      </text>
    </comment>
    <comment ref="E5591" authorId="0" shapeId="0" xr:uid="{00000000-0006-0000-0100-00008F040000}">
      <text>
        <r>
          <rPr>
            <b/>
            <sz val="9"/>
            <color indexed="81"/>
            <rFont val="Tahoma"/>
            <family val="2"/>
          </rPr>
          <t>Jorge Arturo Espinoza:</t>
        </r>
        <r>
          <rPr>
            <sz val="9"/>
            <color indexed="81"/>
            <rFont val="Tahoma"/>
            <family val="2"/>
          </rPr>
          <t xml:space="preserve">
CONSIDERANDO CABLES DE FUERZA, EN LA PARTE INFERIOR DEL TABLERO AUTOSOPORTADO:
CABLE + TERM.PRENS + PERNOS/ARANDELAS</t>
        </r>
      </text>
    </comment>
    <comment ref="C5592" authorId="0" shapeId="0" xr:uid="{00000000-0006-0000-0100-000090040000}">
      <text>
        <r>
          <rPr>
            <b/>
            <sz val="9"/>
            <color indexed="81"/>
            <rFont val="Tahoma"/>
            <family val="2"/>
          </rPr>
          <t>Jorge Arturo Espinoza:</t>
        </r>
        <r>
          <rPr>
            <sz val="9"/>
            <color indexed="81"/>
            <rFont val="Tahoma"/>
            <family val="2"/>
          </rPr>
          <t xml:space="preserve">
COTIZADO POR CEYESA, PARA PROYECTO DE GLOBELEC</t>
        </r>
      </text>
    </comment>
    <comment ref="E5592" authorId="0" shapeId="0" xr:uid="{00000000-0006-0000-0100-000091040000}">
      <text>
        <r>
          <rPr>
            <b/>
            <sz val="9"/>
            <color indexed="81"/>
            <rFont val="Tahoma"/>
            <family val="2"/>
          </rPr>
          <t>Jorge Arturo Espinoza:</t>
        </r>
        <r>
          <rPr>
            <sz val="9"/>
            <color indexed="81"/>
            <rFont val="Tahoma"/>
            <family val="2"/>
          </rPr>
          <t xml:space="preserve">
CONSIDERANDO CABLES DE FUERZA, EN LA PARTE INFERIOR DEL TABLERO AUTOSOPORTADO:
CABLE + TERM.PRENS + PERNOS/ARANDELAS</t>
        </r>
      </text>
    </comment>
    <comment ref="C5593" authorId="0" shapeId="0" xr:uid="{00000000-0006-0000-0100-000092040000}">
      <text>
        <r>
          <rPr>
            <b/>
            <sz val="9"/>
            <color indexed="81"/>
            <rFont val="Tahoma"/>
            <family val="2"/>
          </rPr>
          <t>Jorge Arturo Espinoza:</t>
        </r>
        <r>
          <rPr>
            <sz val="9"/>
            <color indexed="81"/>
            <rFont val="Tahoma"/>
            <family val="2"/>
          </rPr>
          <t xml:space="preserve">
COTIZADO POR CEYESA, PARA PROYECTO DE GLOBELEC</t>
        </r>
      </text>
    </comment>
    <comment ref="E5593" authorId="0" shapeId="0" xr:uid="{00000000-0006-0000-0100-000093040000}">
      <text>
        <r>
          <rPr>
            <b/>
            <sz val="9"/>
            <color indexed="81"/>
            <rFont val="Tahoma"/>
            <family val="2"/>
          </rPr>
          <t>Jorge Arturo Espinoza:</t>
        </r>
        <r>
          <rPr>
            <sz val="9"/>
            <color indexed="81"/>
            <rFont val="Tahoma"/>
            <family val="2"/>
          </rPr>
          <t xml:space="preserve">
CONSIDERANDO CABLES DE FUERZA, EN LA PARTE INFERIOR DEL TABLERO AUTOSOPORTADO:
CABLE + TERM.PRENS + PERNOS/ARANDELAS</t>
        </r>
      </text>
    </comment>
    <comment ref="C5594" authorId="0" shapeId="0" xr:uid="{00000000-0006-0000-0100-000094040000}">
      <text>
        <r>
          <rPr>
            <b/>
            <sz val="9"/>
            <color indexed="81"/>
            <rFont val="Tahoma"/>
            <family val="2"/>
          </rPr>
          <t>Jorge Arturo Espinoza:</t>
        </r>
        <r>
          <rPr>
            <sz val="9"/>
            <color indexed="81"/>
            <rFont val="Tahoma"/>
            <family val="2"/>
          </rPr>
          <t xml:space="preserve">
COTIZADO POR CEYESA, PARA PROYECTO DE GLOBELEC</t>
        </r>
      </text>
    </comment>
    <comment ref="E5594" authorId="0" shapeId="0" xr:uid="{00000000-0006-0000-0100-000095040000}">
      <text>
        <r>
          <rPr>
            <b/>
            <sz val="9"/>
            <color indexed="81"/>
            <rFont val="Tahoma"/>
            <family val="2"/>
          </rPr>
          <t>Jorge Arturo Espinoza:</t>
        </r>
        <r>
          <rPr>
            <sz val="9"/>
            <color indexed="81"/>
            <rFont val="Tahoma"/>
            <family val="2"/>
          </rPr>
          <t xml:space="preserve">
CONSIDERANDO CABLES DE FUERZA, EN LA PARTE INFERIOR DEL TABLERO AUTOSOPORTADO:
CABLE + TERM.PRENS + PERNOS/ARANDELAS</t>
        </r>
      </text>
    </comment>
    <comment ref="B5597" authorId="0" shapeId="0" xr:uid="{00000000-0006-0000-0100-000096040000}">
      <text>
        <r>
          <rPr>
            <b/>
            <sz val="9"/>
            <color indexed="81"/>
            <rFont val="Tahoma"/>
            <family val="2"/>
          </rPr>
          <t>Jorge Arturo Espinoza:</t>
        </r>
        <r>
          <rPr>
            <sz val="9"/>
            <color indexed="81"/>
            <rFont val="Tahoma"/>
            <family val="2"/>
          </rPr>
          <t xml:space="preserve">
1P</t>
        </r>
      </text>
    </comment>
    <comment ref="C5597" authorId="0" shapeId="0" xr:uid="{00000000-0006-0000-0100-000097040000}">
      <text>
        <r>
          <rPr>
            <b/>
            <sz val="9"/>
            <color indexed="81"/>
            <rFont val="Tahoma"/>
            <family val="2"/>
          </rPr>
          <t>Jorge Arturo Espinoza:</t>
        </r>
        <r>
          <rPr>
            <sz val="9"/>
            <color indexed="81"/>
            <rFont val="Tahoma"/>
            <family val="2"/>
          </rPr>
          <t xml:space="preserve">
COTIZADO POR CEYESA, PARA PROYECTO DE GLOBELEC</t>
        </r>
      </text>
    </comment>
    <comment ref="E5597" authorId="0" shapeId="0" xr:uid="{00000000-0006-0000-0100-000098040000}">
      <text>
        <r>
          <rPr>
            <b/>
            <sz val="9"/>
            <color indexed="81"/>
            <rFont val="Tahoma"/>
            <family val="2"/>
          </rPr>
          <t>Jorge Arturo Espinoza:</t>
        </r>
        <r>
          <rPr>
            <sz val="9"/>
            <color indexed="81"/>
            <rFont val="Tahoma"/>
            <family val="2"/>
          </rPr>
          <t xml:space="preserve">
CONSIDERANDO CABLES DE FUERZA, EN LA PARTE INFERIOR DEL TABLERO AUTOSOPORTADO:
CABLE + TERM.PRENS + PERNOS/ARANDELAS</t>
        </r>
      </text>
    </comment>
    <comment ref="B5598" authorId="0" shapeId="0" xr:uid="{00000000-0006-0000-0100-000099040000}">
      <text>
        <r>
          <rPr>
            <b/>
            <sz val="9"/>
            <color indexed="81"/>
            <rFont val="Tahoma"/>
            <family val="2"/>
          </rPr>
          <t>Jorge Arturo Espinoza:</t>
        </r>
        <r>
          <rPr>
            <sz val="9"/>
            <color indexed="81"/>
            <rFont val="Tahoma"/>
            <family val="2"/>
          </rPr>
          <t xml:space="preserve">
1N</t>
        </r>
      </text>
    </comment>
    <comment ref="C5598" authorId="0" shapeId="0" xr:uid="{00000000-0006-0000-0100-00009A040000}">
      <text>
        <r>
          <rPr>
            <b/>
            <sz val="9"/>
            <color indexed="81"/>
            <rFont val="Tahoma"/>
            <family val="2"/>
          </rPr>
          <t>Jorge Arturo Espinoza:</t>
        </r>
        <r>
          <rPr>
            <sz val="9"/>
            <color indexed="81"/>
            <rFont val="Tahoma"/>
            <family val="2"/>
          </rPr>
          <t xml:space="preserve">
COTIZADO POR CEYESA, PARA PROYECTO DE GLOBELEC</t>
        </r>
      </text>
    </comment>
    <comment ref="E5598" authorId="0" shapeId="0" xr:uid="{00000000-0006-0000-0100-00009B040000}">
      <text>
        <r>
          <rPr>
            <b/>
            <sz val="9"/>
            <color indexed="81"/>
            <rFont val="Tahoma"/>
            <family val="2"/>
          </rPr>
          <t>Jorge Arturo Espinoza:</t>
        </r>
        <r>
          <rPr>
            <sz val="9"/>
            <color indexed="81"/>
            <rFont val="Tahoma"/>
            <family val="2"/>
          </rPr>
          <t xml:space="preserve">
CONSIDERANDO CABLES DE FUERZA, EN LA PARTE INFERIOR DEL TABLERO AUTOSOPORTADO:
CABLE + TERM.PRENS + PERNOS/ARANDELAS</t>
        </r>
      </text>
    </comment>
    <comment ref="B5599" authorId="0" shapeId="0" xr:uid="{00000000-0006-0000-0100-00009C040000}">
      <text>
        <r>
          <rPr>
            <b/>
            <sz val="9"/>
            <color indexed="81"/>
            <rFont val="Tahoma"/>
            <family val="2"/>
          </rPr>
          <t>Jorge Arturo Espinoza:</t>
        </r>
        <r>
          <rPr>
            <sz val="9"/>
            <color indexed="81"/>
            <rFont val="Tahoma"/>
            <family val="2"/>
          </rPr>
          <t xml:space="preserve">
BASE</t>
        </r>
      </text>
    </comment>
    <comment ref="C5599" authorId="0" shapeId="0" xr:uid="{00000000-0006-0000-0100-00009D040000}">
      <text>
        <r>
          <rPr>
            <b/>
            <sz val="9"/>
            <color indexed="81"/>
            <rFont val="Tahoma"/>
            <family val="2"/>
          </rPr>
          <t>Jorge Arturo Espinoza:</t>
        </r>
        <r>
          <rPr>
            <sz val="9"/>
            <color indexed="81"/>
            <rFont val="Tahoma"/>
            <family val="2"/>
          </rPr>
          <t xml:space="preserve">
COTIZADO POR CEYESA, PARA PROYECTO DE GLOBELEC</t>
        </r>
      </text>
    </comment>
    <comment ref="E5599" authorId="0" shapeId="0" xr:uid="{00000000-0006-0000-0100-00009E040000}">
      <text>
        <r>
          <rPr>
            <b/>
            <sz val="9"/>
            <color indexed="81"/>
            <rFont val="Tahoma"/>
            <family val="2"/>
          </rPr>
          <t>Jorge Arturo Espinoza:</t>
        </r>
        <r>
          <rPr>
            <sz val="9"/>
            <color indexed="81"/>
            <rFont val="Tahoma"/>
            <family val="2"/>
          </rPr>
          <t xml:space="preserve">
CONSIDERANDO CABLES DE FUERZA, EN LA PARTE INFERIOR DEL TABLERO AUTOSOPORTADO:
CABLE + TERM.PRENS + PERNOS/ARANDELAS</t>
        </r>
      </text>
    </comment>
    <comment ref="D5602" authorId="2" shapeId="0" xr:uid="{00000000-0006-0000-0100-00009F040000}">
      <text>
        <r>
          <rPr>
            <b/>
            <sz val="9"/>
            <color indexed="81"/>
            <rFont val="Tahoma"/>
            <family val="2"/>
          </rPr>
          <t>Roberto Meza:</t>
        </r>
        <r>
          <rPr>
            <sz val="9"/>
            <color indexed="81"/>
            <rFont val="Tahoma"/>
            <family val="2"/>
          </rPr>
          <t xml:space="preserve">
10/08/19</t>
        </r>
      </text>
    </comment>
    <comment ref="D5604" authorId="2" shapeId="0" xr:uid="{00000000-0006-0000-0100-0000A0040000}">
      <text>
        <r>
          <rPr>
            <b/>
            <sz val="9"/>
            <color indexed="81"/>
            <rFont val="Tahoma"/>
            <family val="2"/>
          </rPr>
          <t>Roberto Meza:</t>
        </r>
        <r>
          <rPr>
            <sz val="9"/>
            <color indexed="81"/>
            <rFont val="Tahoma"/>
            <family val="2"/>
          </rPr>
          <t xml:space="preserve">
10/08/19</t>
        </r>
      </text>
    </comment>
    <comment ref="B5630" authorId="0" shapeId="0" xr:uid="{00000000-0006-0000-0100-0000A1040000}">
      <text>
        <r>
          <rPr>
            <b/>
            <sz val="9"/>
            <color indexed="81"/>
            <rFont val="Tahoma"/>
            <family val="2"/>
          </rPr>
          <t>Jorge Arturo Espinoza:</t>
        </r>
        <r>
          <rPr>
            <sz val="9"/>
            <color indexed="81"/>
            <rFont val="Tahoma"/>
            <family val="2"/>
          </rPr>
          <t xml:space="preserve">
COTIZADO POR FAMETAL</t>
        </r>
      </text>
    </comment>
    <comment ref="B5631" authorId="0" shapeId="0" xr:uid="{00000000-0006-0000-0100-0000A2040000}">
      <text>
        <r>
          <rPr>
            <b/>
            <sz val="9"/>
            <color indexed="81"/>
            <rFont val="Tahoma"/>
            <family val="2"/>
          </rPr>
          <t>Jorge Arturo Espinoza:</t>
        </r>
        <r>
          <rPr>
            <sz val="9"/>
            <color indexed="81"/>
            <rFont val="Tahoma"/>
            <family val="2"/>
          </rPr>
          <t xml:space="preserve">
COTIZADO POR FAMETAL</t>
        </r>
      </text>
    </comment>
    <comment ref="B5635" authorId="0" shapeId="0" xr:uid="{00000000-0006-0000-0100-0000A3040000}">
      <text>
        <r>
          <rPr>
            <b/>
            <sz val="9"/>
            <color indexed="81"/>
            <rFont val="Tahoma"/>
            <family val="2"/>
          </rPr>
          <t>Jorge Arturo Espinoza:</t>
        </r>
        <r>
          <rPr>
            <sz val="9"/>
            <color indexed="81"/>
            <rFont val="Tahoma"/>
            <family val="2"/>
          </rPr>
          <t xml:space="preserve">
COTIZADO POR CEYESA</t>
        </r>
      </text>
    </comment>
    <comment ref="B5637" authorId="0" shapeId="0" xr:uid="{00000000-0006-0000-0100-0000A4040000}">
      <text>
        <r>
          <rPr>
            <b/>
            <sz val="9"/>
            <color indexed="81"/>
            <rFont val="Tahoma"/>
            <family val="2"/>
          </rPr>
          <t>Jorge Arturo Espinoza:</t>
        </r>
        <r>
          <rPr>
            <sz val="9"/>
            <color indexed="81"/>
            <rFont val="Tahoma"/>
            <family val="2"/>
          </rPr>
          <t xml:space="preserve">
COTIZADO POR CEYESA</t>
        </r>
      </text>
    </comment>
    <comment ref="B5639" authorId="0" shapeId="0" xr:uid="{00000000-0006-0000-0100-0000A5040000}">
      <text>
        <r>
          <rPr>
            <b/>
            <sz val="9"/>
            <color indexed="81"/>
            <rFont val="Tahoma"/>
            <family val="2"/>
          </rPr>
          <t>Jorge Arturo Espinoza:</t>
        </r>
        <r>
          <rPr>
            <sz val="9"/>
            <color indexed="81"/>
            <rFont val="Tahoma"/>
            <family val="2"/>
          </rPr>
          <t xml:space="preserve">
COTIZADO POR CEYESA</t>
        </r>
      </text>
    </comment>
    <comment ref="B5641" authorId="0" shapeId="0" xr:uid="{00000000-0006-0000-0100-0000A6040000}">
      <text>
        <r>
          <rPr>
            <b/>
            <sz val="9"/>
            <color indexed="81"/>
            <rFont val="Tahoma"/>
            <family val="2"/>
          </rPr>
          <t>Jorge Arturo Espinoza:</t>
        </r>
        <r>
          <rPr>
            <sz val="9"/>
            <color indexed="81"/>
            <rFont val="Tahoma"/>
            <family val="2"/>
          </rPr>
          <t xml:space="preserve">
COTIZADO POR CEYESA</t>
        </r>
      </text>
    </comment>
    <comment ref="C5690" authorId="2" shapeId="0" xr:uid="{00000000-0006-0000-0100-0000A7040000}">
      <text>
        <r>
          <rPr>
            <b/>
            <sz val="9"/>
            <color indexed="81"/>
            <rFont val="Tahoma"/>
            <family val="2"/>
          </rPr>
          <t>Roberto Meza:</t>
        </r>
        <r>
          <rPr>
            <sz val="9"/>
            <color indexed="81"/>
            <rFont val="Tahoma"/>
            <family val="2"/>
          </rPr>
          <t xml:space="preserve">
18/02/2020
</t>
        </r>
      </text>
    </comment>
    <comment ref="C5693" authorId="1" shapeId="0" xr:uid="{00000000-0006-0000-0100-0000A8040000}">
      <text>
        <r>
          <rPr>
            <b/>
            <sz val="9"/>
            <color indexed="81"/>
            <rFont val="Tahoma"/>
            <family val="2"/>
          </rPr>
          <t>Jean Inga:</t>
        </r>
        <r>
          <rPr>
            <sz val="9"/>
            <color indexed="81"/>
            <rFont val="Tahoma"/>
            <family val="2"/>
          </rPr>
          <t xml:space="preserve">
18/02/2020</t>
        </r>
      </text>
    </comment>
    <comment ref="C5694" authorId="1" shapeId="0" xr:uid="{00000000-0006-0000-0100-0000A9040000}">
      <text>
        <r>
          <rPr>
            <b/>
            <sz val="9"/>
            <color indexed="81"/>
            <rFont val="Tahoma"/>
            <family val="2"/>
          </rPr>
          <t>Paulo Olano:</t>
        </r>
        <r>
          <rPr>
            <sz val="9"/>
            <color indexed="81"/>
            <rFont val="Tahoma"/>
            <family val="2"/>
          </rPr>
          <t xml:space="preserve">
13/08/2019</t>
        </r>
      </text>
    </comment>
    <comment ref="C5696" authorId="1" shapeId="0" xr:uid="{00000000-0006-0000-0100-0000AA040000}">
      <text>
        <r>
          <rPr>
            <b/>
            <sz val="9"/>
            <color indexed="81"/>
            <rFont val="Tahoma"/>
            <family val="2"/>
          </rPr>
          <t>Paulo Olano:</t>
        </r>
        <r>
          <rPr>
            <sz val="9"/>
            <color indexed="81"/>
            <rFont val="Tahoma"/>
            <family val="2"/>
          </rPr>
          <t xml:space="preserve">
18/02/2020</t>
        </r>
      </text>
    </comment>
    <comment ref="B5698" authorId="0" shapeId="0" xr:uid="{00000000-0006-0000-0100-0000AB040000}">
      <text>
        <r>
          <rPr>
            <b/>
            <sz val="9"/>
            <color indexed="81"/>
            <rFont val="Tahoma"/>
            <family val="2"/>
          </rPr>
          <t>Jorge Arturo Espinoza:</t>
        </r>
        <r>
          <rPr>
            <sz val="9"/>
            <color indexed="81"/>
            <rFont val="Tahoma"/>
            <family val="2"/>
          </rPr>
          <t xml:space="preserve">
Se recomienda minimo uno por cada Relé de Vig.
Repite los valores que muestra el Rele de Vgilancia.</t>
        </r>
      </text>
    </comment>
    <comment ref="C5698" authorId="1" shapeId="0" xr:uid="{00000000-0006-0000-0100-0000AC040000}">
      <text>
        <r>
          <rPr>
            <b/>
            <sz val="9"/>
            <color indexed="81"/>
            <rFont val="Tahoma"/>
            <family val="2"/>
          </rPr>
          <t>Paulo Olano:</t>
        </r>
        <r>
          <rPr>
            <sz val="9"/>
            <color indexed="81"/>
            <rFont val="Tahoma"/>
            <family val="2"/>
          </rPr>
          <t xml:space="preserve">
18/02/2020
</t>
        </r>
      </text>
    </comment>
    <comment ref="C5700" authorId="1" shapeId="0" xr:uid="{00000000-0006-0000-0100-0000AD040000}">
      <text>
        <r>
          <rPr>
            <b/>
            <sz val="9"/>
            <color indexed="81"/>
            <rFont val="Tahoma"/>
            <family val="2"/>
          </rPr>
          <t>Paulo Olano:</t>
        </r>
        <r>
          <rPr>
            <sz val="9"/>
            <color indexed="81"/>
            <rFont val="Tahoma"/>
            <family val="2"/>
          </rPr>
          <t xml:space="preserve">
13/08/2019
</t>
        </r>
      </text>
    </comment>
    <comment ref="C5702" authorId="1" shapeId="0" xr:uid="{00000000-0006-0000-0100-0000AE040000}">
      <text>
        <r>
          <rPr>
            <b/>
            <sz val="9"/>
            <color indexed="81"/>
            <rFont val="Tahoma"/>
            <family val="2"/>
          </rPr>
          <t>Paulo Olano:</t>
        </r>
        <r>
          <rPr>
            <sz val="9"/>
            <color indexed="81"/>
            <rFont val="Tahoma"/>
            <family val="2"/>
          </rPr>
          <t xml:space="preserve">
18/02/2020</t>
        </r>
      </text>
    </comment>
    <comment ref="C5705" authorId="0" shapeId="0" xr:uid="{00000000-0006-0000-0100-0000AF040000}">
      <text>
        <r>
          <rPr>
            <b/>
            <sz val="9"/>
            <color indexed="81"/>
            <rFont val="Tahoma"/>
            <family val="2"/>
          </rPr>
          <t>Jorge Arturo Espinoza:</t>
        </r>
        <r>
          <rPr>
            <sz val="9"/>
            <color indexed="81"/>
            <rFont val="Tahoma"/>
            <family val="2"/>
          </rPr>
          <t xml:space="preserve">
SUELTO</t>
        </r>
      </text>
    </comment>
    <comment ref="B5708" authorId="0" shapeId="0" xr:uid="{00000000-0006-0000-0100-0000B0040000}">
      <text>
        <r>
          <rPr>
            <b/>
            <sz val="9"/>
            <color indexed="81"/>
            <rFont val="Tahoma"/>
            <family val="2"/>
          </rPr>
          <t>Jorge Arturo Espinoza:</t>
        </r>
        <r>
          <rPr>
            <sz val="9"/>
            <color indexed="81"/>
            <rFont val="Tahoma"/>
            <family val="2"/>
          </rPr>
          <t xml:space="preserve">
Se recomienda minimo uno por cada Relé de Vig.
Repite los valores que muestra el Rele de Vgilancia.</t>
        </r>
      </text>
    </comment>
    <comment ref="C5708" authorId="0" shapeId="0" xr:uid="{00000000-0006-0000-0100-0000B1040000}">
      <text>
        <r>
          <rPr>
            <b/>
            <sz val="9"/>
            <color indexed="81"/>
            <rFont val="Tahoma"/>
            <family val="2"/>
          </rPr>
          <t>Jorge Arturo Espinoza:</t>
        </r>
        <r>
          <rPr>
            <sz val="9"/>
            <color indexed="81"/>
            <rFont val="Tahoma"/>
            <family val="2"/>
          </rPr>
          <t xml:space="preserve">
18/02/2020</t>
        </r>
      </text>
    </comment>
    <comment ref="H5708" authorId="0" shapeId="0" xr:uid="{00000000-0006-0000-0100-0000B2040000}">
      <text>
        <r>
          <rPr>
            <b/>
            <sz val="9"/>
            <color indexed="81"/>
            <rFont val="Tahoma"/>
            <family val="2"/>
          </rPr>
          <t>Jorge Arturo Espinoza:</t>
        </r>
        <r>
          <rPr>
            <sz val="9"/>
            <color indexed="81"/>
            <rFont val="Tahoma"/>
            <family val="2"/>
          </rPr>
          <t xml:space="preserve">
Se recomienda minimo uno por cada Relé de Vig.
Repite los valores que muestra el Rele de Vgilancia.</t>
        </r>
      </text>
    </comment>
    <comment ref="B5710" authorId="0" shapeId="0" xr:uid="{00000000-0006-0000-0100-0000B3040000}">
      <text>
        <r>
          <rPr>
            <b/>
            <sz val="9"/>
            <color indexed="81"/>
            <rFont val="Tahoma"/>
            <family val="2"/>
          </rPr>
          <t>Jorge Arturo Espinoza:</t>
        </r>
        <r>
          <rPr>
            <sz val="9"/>
            <color indexed="81"/>
            <rFont val="Tahoma"/>
            <family val="2"/>
          </rPr>
          <t xml:space="preserve">
Se recomienda minimo uno por cada Relé de Vig.
Repite los valores que muestra el Rele de Vgilancia.</t>
        </r>
      </text>
    </comment>
    <comment ref="C5710" authorId="0" shapeId="0" xr:uid="{00000000-0006-0000-0100-0000B4040000}">
      <text>
        <r>
          <rPr>
            <b/>
            <sz val="9"/>
            <color indexed="81"/>
            <rFont val="Tahoma"/>
            <family val="2"/>
          </rPr>
          <t>Jorge Arturo Espinoza:</t>
        </r>
        <r>
          <rPr>
            <sz val="9"/>
            <color indexed="81"/>
            <rFont val="Tahoma"/>
            <family val="2"/>
          </rPr>
          <t xml:space="preserve">
SUELTO</t>
        </r>
      </text>
    </comment>
    <comment ref="H5710" authorId="0" shapeId="0" xr:uid="{00000000-0006-0000-0100-0000B5040000}">
      <text>
        <r>
          <rPr>
            <b/>
            <sz val="9"/>
            <color indexed="81"/>
            <rFont val="Tahoma"/>
            <family val="2"/>
          </rPr>
          <t>Jorge Arturo Espinoza:</t>
        </r>
        <r>
          <rPr>
            <sz val="9"/>
            <color indexed="81"/>
            <rFont val="Tahoma"/>
            <family val="2"/>
          </rPr>
          <t xml:space="preserve">
Se recomienda minimo uno por cada Relé de Vig.
Repite los valores que muestra el Rele de Vgilancia.</t>
        </r>
      </text>
    </comment>
    <comment ref="C5711" authorId="0" shapeId="0" xr:uid="{00000000-0006-0000-0100-0000B6040000}">
      <text>
        <r>
          <rPr>
            <b/>
            <sz val="9"/>
            <color indexed="81"/>
            <rFont val="Tahoma"/>
            <family val="2"/>
          </rPr>
          <t>Jean Inga:</t>
        </r>
        <r>
          <rPr>
            <sz val="9"/>
            <color indexed="81"/>
            <rFont val="Tahoma"/>
            <family val="2"/>
          </rPr>
          <t xml:space="preserve">
18/02/2020</t>
        </r>
      </text>
    </comment>
    <comment ref="C5712" authorId="0" shapeId="0" xr:uid="{00000000-0006-0000-0100-0000B7040000}">
      <text>
        <r>
          <rPr>
            <b/>
            <sz val="9"/>
            <color indexed="81"/>
            <rFont val="Tahoma"/>
            <family val="2"/>
          </rPr>
          <t>Jorge Arturo Espinoza:</t>
        </r>
        <r>
          <rPr>
            <sz val="9"/>
            <color indexed="81"/>
            <rFont val="Tahoma"/>
            <family val="2"/>
          </rPr>
          <t xml:space="preserve">
18/02/2020</t>
        </r>
      </text>
    </comment>
    <comment ref="B5713" authorId="0" shapeId="0" xr:uid="{00000000-0006-0000-0100-0000B8040000}">
      <text>
        <r>
          <rPr>
            <b/>
            <sz val="9"/>
            <color indexed="81"/>
            <rFont val="Tahoma"/>
            <family val="2"/>
          </rPr>
          <t>Jorge Arturo Espinoza:</t>
        </r>
        <r>
          <rPr>
            <sz val="9"/>
            <color indexed="81"/>
            <rFont val="Tahoma"/>
            <family val="2"/>
          </rPr>
          <t xml:space="preserve">
Se recomienda minimo uno por cada Relé de Vig.
Repite los valores que muestra el Rele de Vgilancia.</t>
        </r>
      </text>
    </comment>
    <comment ref="C5713" authorId="0" shapeId="0" xr:uid="{00000000-0006-0000-0100-0000B9040000}">
      <text>
        <r>
          <rPr>
            <b/>
            <sz val="9"/>
            <color indexed="81"/>
            <rFont val="Tahoma"/>
            <family val="2"/>
          </rPr>
          <t xml:space="preserve">Jean Inga:
</t>
        </r>
        <r>
          <rPr>
            <sz val="9"/>
            <color indexed="81"/>
            <rFont val="Tahoma"/>
            <family val="2"/>
          </rPr>
          <t>20/12/2019</t>
        </r>
      </text>
    </comment>
    <comment ref="H5713" authorId="0" shapeId="0" xr:uid="{00000000-0006-0000-0100-0000BA040000}">
      <text>
        <r>
          <rPr>
            <b/>
            <sz val="9"/>
            <color indexed="81"/>
            <rFont val="Tahoma"/>
            <family val="2"/>
          </rPr>
          <t>Jorge Arturo Espinoza:</t>
        </r>
        <r>
          <rPr>
            <sz val="9"/>
            <color indexed="81"/>
            <rFont val="Tahoma"/>
            <family val="2"/>
          </rPr>
          <t xml:space="preserve">
Se recomienda minimo uno por cada Relé de Vig.
Repite los valores que muestra el Rele de Vgilancia.</t>
        </r>
      </text>
    </comment>
    <comment ref="C5714" authorId="0" shapeId="0" xr:uid="{00000000-0006-0000-0100-0000BB040000}">
      <text>
        <r>
          <rPr>
            <b/>
            <sz val="9"/>
            <color indexed="81"/>
            <rFont val="Tahoma"/>
            <family val="2"/>
          </rPr>
          <t>Jean Inga:
18</t>
        </r>
        <r>
          <rPr>
            <sz val="9"/>
            <color indexed="81"/>
            <rFont val="Tahoma"/>
            <family val="2"/>
          </rPr>
          <t>/02/2020</t>
        </r>
      </text>
    </comment>
    <comment ref="C5715" authorId="0" shapeId="0" xr:uid="{00000000-0006-0000-0100-0000BC040000}">
      <text>
        <r>
          <rPr>
            <b/>
            <sz val="9"/>
            <color indexed="81"/>
            <rFont val="Tahoma"/>
            <family val="2"/>
          </rPr>
          <t>Jean Inga:</t>
        </r>
        <r>
          <rPr>
            <sz val="9"/>
            <color indexed="81"/>
            <rFont val="Tahoma"/>
            <family val="2"/>
          </rPr>
          <t xml:space="preserve">
20/12/2019
</t>
        </r>
      </text>
    </comment>
    <comment ref="C5717" authorId="1" shapeId="0" xr:uid="{00000000-0006-0000-0100-0000BD040000}">
      <text>
        <r>
          <rPr>
            <b/>
            <sz val="9"/>
            <color indexed="81"/>
            <rFont val="Tahoma"/>
            <family val="2"/>
          </rPr>
          <t>Paulo Olano:</t>
        </r>
        <r>
          <rPr>
            <sz val="9"/>
            <color indexed="81"/>
            <rFont val="Tahoma"/>
            <family val="2"/>
          </rPr>
          <t xml:space="preserve">
22/02/2019</t>
        </r>
      </text>
    </comment>
    <comment ref="C5718" authorId="1" shapeId="0" xr:uid="{00000000-0006-0000-0100-0000BE040000}">
      <text>
        <r>
          <rPr>
            <b/>
            <sz val="9"/>
            <color indexed="81"/>
            <rFont val="Tahoma"/>
            <family val="2"/>
          </rPr>
          <t>Paulo Olano:</t>
        </r>
        <r>
          <rPr>
            <sz val="9"/>
            <color indexed="81"/>
            <rFont val="Tahoma"/>
            <family val="2"/>
          </rPr>
          <t xml:space="preserve">
22/02/2019
</t>
        </r>
      </text>
    </comment>
    <comment ref="C5720" authorId="0" shapeId="0" xr:uid="{00000000-0006-0000-0100-0000BF040000}">
      <text>
        <r>
          <rPr>
            <b/>
            <sz val="9"/>
            <color indexed="81"/>
            <rFont val="Tahoma"/>
            <family val="2"/>
          </rPr>
          <t>Jorge Arturo Espinoza:</t>
        </r>
        <r>
          <rPr>
            <sz val="9"/>
            <color indexed="81"/>
            <rFont val="Tahoma"/>
            <family val="2"/>
          </rPr>
          <t xml:space="preserve">
SUELTO</t>
        </r>
      </text>
    </comment>
    <comment ref="C5722" authorId="1" shapeId="0" xr:uid="{00000000-0006-0000-0100-0000C0040000}">
      <text>
        <r>
          <rPr>
            <b/>
            <sz val="9"/>
            <color indexed="81"/>
            <rFont val="Tahoma"/>
            <family val="2"/>
          </rPr>
          <t>Paulo Olano:</t>
        </r>
        <r>
          <rPr>
            <sz val="9"/>
            <color indexed="81"/>
            <rFont val="Tahoma"/>
            <family val="2"/>
          </rPr>
          <t xml:space="preserve">
13/08/2019</t>
        </r>
      </text>
    </comment>
    <comment ref="C5723" authorId="1" shapeId="0" xr:uid="{00000000-0006-0000-0100-0000C1040000}">
      <text>
        <r>
          <rPr>
            <b/>
            <sz val="9"/>
            <color indexed="81"/>
            <rFont val="Tahoma"/>
            <family val="2"/>
          </rPr>
          <t>Paulo Olano:</t>
        </r>
        <r>
          <rPr>
            <sz val="9"/>
            <color indexed="81"/>
            <rFont val="Tahoma"/>
            <family val="2"/>
          </rPr>
          <t xml:space="preserve">
22/02/2019</t>
        </r>
      </text>
    </comment>
    <comment ref="C5725" authorId="1" shapeId="0" xr:uid="{00000000-0006-0000-0100-0000C2040000}">
      <text>
        <r>
          <rPr>
            <b/>
            <sz val="9"/>
            <color indexed="81"/>
            <rFont val="Tahoma"/>
            <family val="2"/>
          </rPr>
          <t>Paulo Olano:</t>
        </r>
        <r>
          <rPr>
            <sz val="9"/>
            <color indexed="81"/>
            <rFont val="Tahoma"/>
            <family val="2"/>
          </rPr>
          <t xml:space="preserve">
22/02/2019</t>
        </r>
      </text>
    </comment>
    <comment ref="C6580" authorId="1" shapeId="0" xr:uid="{00000000-0006-0000-0100-0000C3040000}">
      <text>
        <r>
          <rPr>
            <b/>
            <sz val="9"/>
            <color indexed="81"/>
            <rFont val="Tahoma"/>
            <family val="2"/>
          </rPr>
          <t>Paulo Olano:</t>
        </r>
        <r>
          <rPr>
            <sz val="9"/>
            <color indexed="81"/>
            <rFont val="Tahoma"/>
            <family val="2"/>
          </rPr>
          <t xml:space="preserve">
SEP-2019 PRECIO POR MEGA</t>
        </r>
      </text>
    </comment>
    <comment ref="C6581" authorId="1" shapeId="0" xr:uid="{00000000-0006-0000-0100-0000C4040000}">
      <text>
        <r>
          <rPr>
            <b/>
            <sz val="9"/>
            <color indexed="81"/>
            <rFont val="Tahoma"/>
            <family val="2"/>
          </rPr>
          <t>Paulo Olano:</t>
        </r>
        <r>
          <rPr>
            <sz val="9"/>
            <color indexed="81"/>
            <rFont val="Tahoma"/>
            <family val="2"/>
          </rPr>
          <t xml:space="preserve">
SEP-2019 PRECIO POR MEGA</t>
        </r>
      </text>
    </comment>
    <comment ref="C6585" authorId="1" shapeId="0" xr:uid="{00000000-0006-0000-0100-0000C5040000}">
      <text>
        <r>
          <rPr>
            <b/>
            <sz val="9"/>
            <color indexed="81"/>
            <rFont val="Tahoma"/>
            <family val="2"/>
          </rPr>
          <t>Paulo Olano:</t>
        </r>
        <r>
          <rPr>
            <sz val="9"/>
            <color indexed="81"/>
            <rFont val="Tahoma"/>
            <family val="2"/>
          </rPr>
          <t xml:space="preserve">
COTIZACO POR MEGA 09/04/2019</t>
        </r>
      </text>
    </comment>
    <comment ref="C6586" authorId="1" shapeId="0" xr:uid="{00000000-0006-0000-0100-0000C6040000}">
      <text>
        <r>
          <rPr>
            <b/>
            <sz val="9"/>
            <color indexed="81"/>
            <rFont val="Tahoma"/>
            <family val="2"/>
          </rPr>
          <t>Paulo Olano:</t>
        </r>
        <r>
          <rPr>
            <sz val="9"/>
            <color indexed="81"/>
            <rFont val="Tahoma"/>
            <family val="2"/>
          </rPr>
          <t xml:space="preserve">
COTIZACO POR MEGA 09/04/2019</t>
        </r>
      </text>
    </comment>
    <comment ref="C6592" authorId="1" shapeId="0" xr:uid="{00000000-0006-0000-0100-0000C7040000}">
      <text>
        <r>
          <rPr>
            <b/>
            <sz val="9"/>
            <color indexed="81"/>
            <rFont val="Tahoma"/>
            <family val="2"/>
          </rPr>
          <t>Paulo Olano:</t>
        </r>
        <r>
          <rPr>
            <sz val="9"/>
            <color indexed="81"/>
            <rFont val="Tahoma"/>
            <family val="2"/>
          </rPr>
          <t xml:space="preserve">
06/09/2017 JULIO SOTO</t>
        </r>
      </text>
    </comment>
    <comment ref="C6593" authorId="1" shapeId="0" xr:uid="{00000000-0006-0000-0100-0000C8040000}">
      <text>
        <r>
          <rPr>
            <b/>
            <sz val="9"/>
            <color indexed="81"/>
            <rFont val="Tahoma"/>
            <family val="2"/>
          </rPr>
          <t>Paulo Olano:</t>
        </r>
        <r>
          <rPr>
            <sz val="9"/>
            <color indexed="81"/>
            <rFont val="Tahoma"/>
            <family val="2"/>
          </rPr>
          <t xml:space="preserve">
06/09/2017 JULIO SOTO</t>
        </r>
      </text>
    </comment>
    <comment ref="C6594" authorId="1" shapeId="0" xr:uid="{00000000-0006-0000-0100-0000C9040000}">
      <text>
        <r>
          <rPr>
            <b/>
            <sz val="9"/>
            <color indexed="81"/>
            <rFont val="Tahoma"/>
            <family val="2"/>
          </rPr>
          <t>Paulo Olano:</t>
        </r>
        <r>
          <rPr>
            <sz val="9"/>
            <color indexed="81"/>
            <rFont val="Tahoma"/>
            <family val="2"/>
          </rPr>
          <t xml:space="preserve">
26/09/2017 JULIO SOTO
</t>
        </r>
      </text>
    </comment>
    <comment ref="C6595" authorId="0" shapeId="0" xr:uid="{00000000-0006-0000-0100-0000CA040000}">
      <text>
        <r>
          <rPr>
            <b/>
            <sz val="9"/>
            <color indexed="81"/>
            <rFont val="Tahoma"/>
            <family val="2"/>
          </rPr>
          <t>Jorge Arturo Espinoza:</t>
        </r>
        <r>
          <rPr>
            <sz val="9"/>
            <color indexed="81"/>
            <rFont val="Tahoma"/>
            <family val="2"/>
          </rPr>
          <t xml:space="preserve">
COTIZADO POR E&amp;P</t>
        </r>
      </text>
    </comment>
    <comment ref="C6597" authorId="1" shapeId="0" xr:uid="{00000000-0006-0000-0100-0000CB040000}">
      <text>
        <r>
          <rPr>
            <b/>
            <sz val="9"/>
            <color indexed="81"/>
            <rFont val="Tahoma"/>
            <family val="2"/>
          </rPr>
          <t>Paulo Olano:</t>
        </r>
        <r>
          <rPr>
            <sz val="9"/>
            <color indexed="81"/>
            <rFont val="Tahoma"/>
            <family val="2"/>
          </rPr>
          <t xml:space="preserve">
PRECIO SET-2019</t>
        </r>
      </text>
    </comment>
    <comment ref="C6598" authorId="1" shapeId="0" xr:uid="{00000000-0006-0000-0100-0000CC040000}">
      <text>
        <r>
          <rPr>
            <b/>
            <sz val="9"/>
            <color indexed="81"/>
            <rFont val="Tahoma"/>
            <family val="2"/>
          </rPr>
          <t>Paulo Olano:</t>
        </r>
        <r>
          <rPr>
            <sz val="9"/>
            <color indexed="81"/>
            <rFont val="Tahoma"/>
            <family val="2"/>
          </rPr>
          <t xml:space="preserve">
PRECIO SET-2019</t>
        </r>
      </text>
    </comment>
    <comment ref="C6599" authorId="1" shapeId="0" xr:uid="{00000000-0006-0000-0100-0000CD040000}">
      <text>
        <r>
          <rPr>
            <b/>
            <sz val="9"/>
            <color indexed="81"/>
            <rFont val="Tahoma"/>
            <family val="2"/>
          </rPr>
          <t>Paulo Olano:</t>
        </r>
        <r>
          <rPr>
            <sz val="9"/>
            <color indexed="81"/>
            <rFont val="Tahoma"/>
            <family val="2"/>
          </rPr>
          <t xml:space="preserve">
PRECIO SET-2019</t>
        </r>
      </text>
    </comment>
    <comment ref="C6600" authorId="1" shapeId="0" xr:uid="{00000000-0006-0000-0100-0000CE040000}">
      <text>
        <r>
          <rPr>
            <b/>
            <sz val="9"/>
            <color indexed="81"/>
            <rFont val="Tahoma"/>
            <family val="2"/>
          </rPr>
          <t>Paulo Olano:</t>
        </r>
        <r>
          <rPr>
            <sz val="9"/>
            <color indexed="81"/>
            <rFont val="Tahoma"/>
            <family val="2"/>
          </rPr>
          <t xml:space="preserve">
SET-2019</t>
        </r>
      </text>
    </comment>
    <comment ref="C6601" authorId="2" shapeId="0" xr:uid="{00000000-0006-0000-0100-0000CF040000}">
      <text>
        <r>
          <rPr>
            <b/>
            <sz val="9"/>
            <color indexed="81"/>
            <rFont val="Tahoma"/>
            <family val="2"/>
          </rPr>
          <t>Roberto Meza:</t>
        </r>
        <r>
          <rPr>
            <sz val="9"/>
            <color indexed="81"/>
            <rFont val="Tahoma"/>
            <family val="2"/>
          </rPr>
          <t xml:space="preserve">
26/02/2020
</t>
        </r>
      </text>
    </comment>
    <comment ref="C6602" authorId="1" shapeId="0" xr:uid="{00000000-0006-0000-0100-0000D0040000}">
      <text>
        <r>
          <rPr>
            <b/>
            <sz val="9"/>
            <color indexed="81"/>
            <rFont val="Tahoma"/>
            <family val="2"/>
          </rPr>
          <t>Paulo Olano:</t>
        </r>
        <r>
          <rPr>
            <sz val="9"/>
            <color indexed="81"/>
            <rFont val="Tahoma"/>
            <family val="2"/>
          </rPr>
          <t xml:space="preserve">
SET-2019</t>
        </r>
      </text>
    </comment>
    <comment ref="C6604" authorId="1" shapeId="0" xr:uid="{00000000-0006-0000-0100-0000D1040000}">
      <text>
        <r>
          <rPr>
            <b/>
            <sz val="9"/>
            <color indexed="81"/>
            <rFont val="Tahoma"/>
            <family val="2"/>
          </rPr>
          <t>Paulo Olano:</t>
        </r>
        <r>
          <rPr>
            <sz val="9"/>
            <color indexed="81"/>
            <rFont val="Tahoma"/>
            <family val="2"/>
          </rPr>
          <t xml:space="preserve">
SET-2019</t>
        </r>
      </text>
    </comment>
    <comment ref="C6605" authorId="1" shapeId="0" xr:uid="{00000000-0006-0000-0100-0000D2040000}">
      <text>
        <r>
          <rPr>
            <b/>
            <sz val="9"/>
            <color indexed="81"/>
            <rFont val="Tahoma"/>
            <family val="2"/>
          </rPr>
          <t>Paulo Olano:</t>
        </r>
        <r>
          <rPr>
            <sz val="9"/>
            <color indexed="81"/>
            <rFont val="Tahoma"/>
            <family val="2"/>
          </rPr>
          <t xml:space="preserve">
SET-2019</t>
        </r>
      </text>
    </comment>
    <comment ref="C6606" authorId="1" shapeId="0" xr:uid="{00000000-0006-0000-0100-0000D3040000}">
      <text>
        <r>
          <rPr>
            <b/>
            <sz val="9"/>
            <color indexed="81"/>
            <rFont val="Tahoma"/>
            <family val="2"/>
          </rPr>
          <t>Paulo Olano:</t>
        </r>
        <r>
          <rPr>
            <sz val="9"/>
            <color indexed="81"/>
            <rFont val="Tahoma"/>
            <family val="2"/>
          </rPr>
          <t xml:space="preserve">
SET-2019</t>
        </r>
      </text>
    </comment>
    <comment ref="C6607" authorId="1" shapeId="0" xr:uid="{00000000-0006-0000-0100-0000D4040000}">
      <text>
        <r>
          <rPr>
            <b/>
            <sz val="9"/>
            <color indexed="81"/>
            <rFont val="Tahoma"/>
            <family val="2"/>
          </rPr>
          <t>Paulo Olano:</t>
        </r>
        <r>
          <rPr>
            <sz val="9"/>
            <color indexed="81"/>
            <rFont val="Tahoma"/>
            <family val="2"/>
          </rPr>
          <t xml:space="preserve">
SET-2019</t>
        </r>
      </text>
    </comment>
    <comment ref="C6608" authorId="1" shapeId="0" xr:uid="{00000000-0006-0000-0100-0000D5040000}">
      <text>
        <r>
          <rPr>
            <b/>
            <sz val="9"/>
            <color indexed="81"/>
            <rFont val="Tahoma"/>
            <family val="2"/>
          </rPr>
          <t>Paulo Olano:</t>
        </r>
        <r>
          <rPr>
            <sz val="9"/>
            <color indexed="81"/>
            <rFont val="Tahoma"/>
            <family val="2"/>
          </rPr>
          <t xml:space="preserve">
SET-2019</t>
        </r>
      </text>
    </comment>
    <comment ref="C6609" authorId="1" shapeId="0" xr:uid="{00000000-0006-0000-0100-0000D6040000}">
      <text>
        <r>
          <rPr>
            <b/>
            <sz val="9"/>
            <color indexed="81"/>
            <rFont val="Tahoma"/>
            <family val="2"/>
          </rPr>
          <t>Paulo Olano:</t>
        </r>
        <r>
          <rPr>
            <sz val="9"/>
            <color indexed="81"/>
            <rFont val="Tahoma"/>
            <family val="2"/>
          </rPr>
          <t xml:space="preserve">
SET-2019</t>
        </r>
      </text>
    </comment>
    <comment ref="C6611" authorId="3" shapeId="0" xr:uid="{00000000-0006-0000-0100-0000D7040000}">
      <text>
        <r>
          <rPr>
            <b/>
            <sz val="9"/>
            <color indexed="81"/>
            <rFont val="Tahoma"/>
            <family val="2"/>
          </rPr>
          <t>Jean Inga:
precio 22/02/20</t>
        </r>
      </text>
    </comment>
    <comment ref="C6621" authorId="0" shapeId="0" xr:uid="{00000000-0006-0000-0100-0000D8040000}">
      <text>
        <r>
          <rPr>
            <b/>
            <sz val="9"/>
            <color indexed="81"/>
            <rFont val="Tahoma"/>
            <family val="2"/>
          </rPr>
          <t>Jorge Arturo Espinoza:</t>
        </r>
        <r>
          <rPr>
            <sz val="9"/>
            <color indexed="81"/>
            <rFont val="Tahoma"/>
            <family val="2"/>
          </rPr>
          <t xml:space="preserve">
PRECIO NEGOCIADO</t>
        </r>
      </text>
    </comment>
    <comment ref="C6622" authorId="0" shapeId="0" xr:uid="{00000000-0006-0000-0100-0000D9040000}">
      <text>
        <r>
          <rPr>
            <b/>
            <sz val="9"/>
            <color indexed="81"/>
            <rFont val="Tahoma"/>
            <family val="2"/>
          </rPr>
          <t>Jorge Arturo Espinoza:</t>
        </r>
        <r>
          <rPr>
            <sz val="9"/>
            <color indexed="81"/>
            <rFont val="Tahoma"/>
            <family val="2"/>
          </rPr>
          <t xml:space="preserve">
PRECIO NEGOCIADO</t>
        </r>
      </text>
    </comment>
    <comment ref="C6623" authorId="0" shapeId="0" xr:uid="{00000000-0006-0000-0100-0000DA040000}">
      <text>
        <r>
          <rPr>
            <b/>
            <sz val="9"/>
            <color indexed="81"/>
            <rFont val="Tahoma"/>
            <family val="2"/>
          </rPr>
          <t>Jorge Arturo Espinoza:</t>
        </r>
        <r>
          <rPr>
            <sz val="9"/>
            <color indexed="81"/>
            <rFont val="Tahoma"/>
            <family val="2"/>
          </rPr>
          <t xml:space="preserve">
PRECIO NEGOCIADO</t>
        </r>
      </text>
    </comment>
    <comment ref="C6624" authorId="0" shapeId="0" xr:uid="{00000000-0006-0000-0100-0000DB040000}">
      <text>
        <r>
          <rPr>
            <b/>
            <sz val="9"/>
            <color indexed="81"/>
            <rFont val="Tahoma"/>
            <family val="2"/>
          </rPr>
          <t>Jorge Arturo Espinoza:</t>
        </r>
        <r>
          <rPr>
            <sz val="9"/>
            <color indexed="81"/>
            <rFont val="Tahoma"/>
            <family val="2"/>
          </rPr>
          <t xml:space="preserve">
PRECIO NEGOCIADO</t>
        </r>
      </text>
    </comment>
    <comment ref="C6626" authorId="0" shapeId="0" xr:uid="{00000000-0006-0000-0100-0000DC040000}">
      <text>
        <r>
          <rPr>
            <b/>
            <sz val="9"/>
            <color indexed="81"/>
            <rFont val="Tahoma"/>
            <family val="2"/>
          </rPr>
          <t>Jorge Arturo Espinoza:</t>
        </r>
        <r>
          <rPr>
            <sz val="9"/>
            <color indexed="81"/>
            <rFont val="Tahoma"/>
            <family val="2"/>
          </rPr>
          <t xml:space="preserve">
PRECIO NEGOCIADO</t>
        </r>
      </text>
    </comment>
    <comment ref="C6627" authorId="0" shapeId="0" xr:uid="{00000000-0006-0000-0100-0000DD040000}">
      <text>
        <r>
          <rPr>
            <b/>
            <sz val="9"/>
            <color indexed="81"/>
            <rFont val="Tahoma"/>
            <family val="2"/>
          </rPr>
          <t>Jorge Arturo Espinoza:</t>
        </r>
        <r>
          <rPr>
            <sz val="9"/>
            <color indexed="81"/>
            <rFont val="Tahoma"/>
            <family val="2"/>
          </rPr>
          <t xml:space="preserve">
PRECIO NEGOCIADO</t>
        </r>
      </text>
    </comment>
    <comment ref="C6631" authorId="0" shapeId="0" xr:uid="{00000000-0006-0000-0100-0000DE040000}">
      <text>
        <r>
          <rPr>
            <b/>
            <sz val="9"/>
            <color indexed="81"/>
            <rFont val="Tahoma"/>
            <family val="2"/>
          </rPr>
          <t>Jorge Arturo Espinoza:</t>
        </r>
        <r>
          <rPr>
            <sz val="9"/>
            <color indexed="81"/>
            <rFont val="Tahoma"/>
            <family val="2"/>
          </rPr>
          <t xml:space="preserve">
PRECIO NEGOCIADO</t>
        </r>
      </text>
    </comment>
    <comment ref="C6633" authorId="0" shapeId="0" xr:uid="{00000000-0006-0000-0100-0000DF040000}">
      <text>
        <r>
          <rPr>
            <b/>
            <sz val="9"/>
            <color indexed="81"/>
            <rFont val="Tahoma"/>
            <family val="2"/>
          </rPr>
          <t>Jorge Arturo Espinoza:</t>
        </r>
        <r>
          <rPr>
            <sz val="9"/>
            <color indexed="81"/>
            <rFont val="Tahoma"/>
            <family val="2"/>
          </rPr>
          <t xml:space="preserve">
PRECIO NEGOCIADO</t>
        </r>
      </text>
    </comment>
    <comment ref="C6634" authorId="0" shapeId="0" xr:uid="{00000000-0006-0000-0100-0000E0040000}">
      <text>
        <r>
          <rPr>
            <b/>
            <sz val="9"/>
            <color indexed="81"/>
            <rFont val="Tahoma"/>
            <family val="2"/>
          </rPr>
          <t>Jorge Arturo Espinoza:</t>
        </r>
        <r>
          <rPr>
            <sz val="9"/>
            <color indexed="81"/>
            <rFont val="Tahoma"/>
            <family val="2"/>
          </rPr>
          <t xml:space="preserve">
PRECIO NEGOCIADO</t>
        </r>
      </text>
    </comment>
    <comment ref="C6635" authorId="0" shapeId="0" xr:uid="{00000000-0006-0000-0100-0000E1040000}">
      <text>
        <r>
          <rPr>
            <b/>
            <sz val="9"/>
            <color indexed="81"/>
            <rFont val="Tahoma"/>
            <family val="2"/>
          </rPr>
          <t>Jorge Arturo Espinoza:</t>
        </r>
        <r>
          <rPr>
            <sz val="9"/>
            <color indexed="81"/>
            <rFont val="Tahoma"/>
            <family val="2"/>
          </rPr>
          <t xml:space="preserve">
PRECIO NEGOCIADO</t>
        </r>
      </text>
    </comment>
    <comment ref="C6638" authorId="0" shapeId="0" xr:uid="{00000000-0006-0000-0100-0000E2040000}">
      <text>
        <r>
          <rPr>
            <b/>
            <sz val="9"/>
            <color indexed="81"/>
            <rFont val="Tahoma"/>
            <family val="2"/>
          </rPr>
          <t>Jorge Arturo Espinoza:</t>
        </r>
        <r>
          <rPr>
            <sz val="9"/>
            <color indexed="81"/>
            <rFont val="Tahoma"/>
            <family val="2"/>
          </rPr>
          <t xml:space="preserve">
PRECIO NEGOCIADO</t>
        </r>
      </text>
    </comment>
    <comment ref="C6639" authorId="0" shapeId="0" xr:uid="{00000000-0006-0000-0100-0000E3040000}">
      <text>
        <r>
          <rPr>
            <b/>
            <sz val="9"/>
            <color indexed="81"/>
            <rFont val="Tahoma"/>
            <family val="2"/>
          </rPr>
          <t>Jorge Arturo Espinoza:</t>
        </r>
        <r>
          <rPr>
            <sz val="9"/>
            <color indexed="81"/>
            <rFont val="Tahoma"/>
            <family val="2"/>
          </rPr>
          <t xml:space="preserve">
PRECIO NEGOCIADO</t>
        </r>
      </text>
    </comment>
    <comment ref="C6642" authorId="0" shapeId="0" xr:uid="{00000000-0006-0000-0100-0000E4040000}">
      <text>
        <r>
          <rPr>
            <b/>
            <sz val="9"/>
            <color indexed="81"/>
            <rFont val="Tahoma"/>
            <family val="2"/>
          </rPr>
          <t>Jorge Arturo Espinoza:</t>
        </r>
        <r>
          <rPr>
            <sz val="9"/>
            <color indexed="81"/>
            <rFont val="Tahoma"/>
            <family val="2"/>
          </rPr>
          <t xml:space="preserve">
PRECIO NEGOCIADO</t>
        </r>
      </text>
    </comment>
    <comment ref="C6647" authorId="0" shapeId="0" xr:uid="{00000000-0006-0000-0100-0000E5040000}">
      <text>
        <r>
          <rPr>
            <b/>
            <sz val="9"/>
            <color indexed="81"/>
            <rFont val="Tahoma"/>
            <family val="2"/>
          </rPr>
          <t>Jorge Arturo Espinoza:</t>
        </r>
        <r>
          <rPr>
            <sz val="9"/>
            <color indexed="81"/>
            <rFont val="Tahoma"/>
            <family val="2"/>
          </rPr>
          <t xml:space="preserve">
PRECIO NEGOCIADO</t>
        </r>
      </text>
    </comment>
    <comment ref="C6649" authorId="0" shapeId="0" xr:uid="{00000000-0006-0000-0100-0000E6040000}">
      <text>
        <r>
          <rPr>
            <b/>
            <sz val="9"/>
            <color indexed="81"/>
            <rFont val="Tahoma"/>
            <family val="2"/>
          </rPr>
          <t>Jorge Arturo Espinoza:</t>
        </r>
        <r>
          <rPr>
            <sz val="9"/>
            <color indexed="81"/>
            <rFont val="Tahoma"/>
            <family val="2"/>
          </rPr>
          <t xml:space="preserve">
PRECIO NEGOCIADO</t>
        </r>
      </text>
    </comment>
    <comment ref="C6650" authorId="0" shapeId="0" xr:uid="{00000000-0006-0000-0100-0000E7040000}">
      <text>
        <r>
          <rPr>
            <b/>
            <sz val="9"/>
            <color indexed="81"/>
            <rFont val="Tahoma"/>
            <family val="2"/>
          </rPr>
          <t>Jorge Arturo Espinoza:</t>
        </r>
        <r>
          <rPr>
            <sz val="9"/>
            <color indexed="81"/>
            <rFont val="Tahoma"/>
            <family val="2"/>
          </rPr>
          <t xml:space="preserve">
PRECIO NEGOCIADO</t>
        </r>
      </text>
    </comment>
    <comment ref="C7282" authorId="1" shapeId="0" xr:uid="{00000000-0006-0000-0100-0000E8040000}">
      <text>
        <r>
          <rPr>
            <b/>
            <sz val="9"/>
            <color indexed="81"/>
            <rFont val="Tahoma"/>
            <family val="2"/>
          </rPr>
          <t>Paulo Olano:</t>
        </r>
        <r>
          <rPr>
            <sz val="9"/>
            <color indexed="81"/>
            <rFont val="Tahoma"/>
            <family val="2"/>
          </rPr>
          <t xml:space="preserve">
SEP-2019 PRECIO POR MEGA</t>
        </r>
      </text>
    </comment>
    <comment ref="C7283" authorId="1" shapeId="0" xr:uid="{00000000-0006-0000-0100-0000E9040000}">
      <text>
        <r>
          <rPr>
            <b/>
            <sz val="9"/>
            <color indexed="81"/>
            <rFont val="Tahoma"/>
            <family val="2"/>
          </rPr>
          <t>Paulo Olano:</t>
        </r>
        <r>
          <rPr>
            <sz val="9"/>
            <color indexed="81"/>
            <rFont val="Tahoma"/>
            <family val="2"/>
          </rPr>
          <t xml:space="preserve">
SEP-2019 PRECIO POR MEGA</t>
        </r>
      </text>
    </comment>
    <comment ref="C7286" authorId="1" shapeId="0" xr:uid="{00000000-0006-0000-0100-0000EA040000}">
      <text>
        <r>
          <rPr>
            <b/>
            <sz val="9"/>
            <color indexed="81"/>
            <rFont val="Tahoma"/>
            <family val="2"/>
          </rPr>
          <t>Paulo Olano:</t>
        </r>
        <r>
          <rPr>
            <sz val="9"/>
            <color indexed="81"/>
            <rFont val="Tahoma"/>
            <family val="2"/>
          </rPr>
          <t xml:space="preserve">
COTIZACO POR MEGA 09/04/2019</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Jorge Arturo Espinoza</author>
  </authors>
  <commentList>
    <comment ref="B17" authorId="0" shapeId="0" xr:uid="{00000000-0006-0000-0300-000001000000}">
      <text>
        <r>
          <rPr>
            <b/>
            <sz val="9"/>
            <color indexed="81"/>
            <rFont val="Tahoma"/>
            <family val="2"/>
          </rPr>
          <t>Jorge Arturo Espinoza:</t>
        </r>
        <r>
          <rPr>
            <sz val="9"/>
            <color indexed="81"/>
            <rFont val="Tahoma"/>
            <family val="2"/>
          </rPr>
          <t xml:space="preserve">
AGREGADO MANUALMENTE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Jorge Arturo Espinoza</author>
  </authors>
  <commentList>
    <comment ref="I1375" authorId="0" shapeId="0" xr:uid="{00000000-0006-0000-0400-000001000000}">
      <text>
        <r>
          <rPr>
            <b/>
            <sz val="9"/>
            <color indexed="81"/>
            <rFont val="Tahoma"/>
            <family val="2"/>
          </rPr>
          <t>Jorge Arturo Espinoza:</t>
        </r>
        <r>
          <rPr>
            <sz val="9"/>
            <color indexed="81"/>
            <rFont val="Tahoma"/>
            <family val="2"/>
          </rPr>
          <t xml:space="preserve">
Por Daniel Lira</t>
        </r>
      </text>
    </comment>
    <comment ref="E1445" authorId="0" shapeId="0" xr:uid="{00000000-0006-0000-0400-000002000000}">
      <text>
        <r>
          <rPr>
            <b/>
            <sz val="9"/>
            <color indexed="81"/>
            <rFont val="Tahoma"/>
            <family val="2"/>
          </rPr>
          <t>Jorge Arturo Espinoza:</t>
        </r>
        <r>
          <rPr>
            <sz val="9"/>
            <color indexed="81"/>
            <rFont val="Tahoma"/>
            <family val="2"/>
          </rPr>
          <t xml:space="preserve">
NEUTRO</t>
        </r>
      </text>
    </comment>
    <comment ref="G1708" authorId="0" shapeId="0" xr:uid="{00000000-0006-0000-0400-000003000000}">
      <text>
        <r>
          <rPr>
            <b/>
            <sz val="9"/>
            <color indexed="81"/>
            <rFont val="Tahoma"/>
            <family val="2"/>
          </rPr>
          <t>Jorge Arturo Espinoza:</t>
        </r>
        <r>
          <rPr>
            <sz val="9"/>
            <color indexed="81"/>
            <rFont val="Tahoma"/>
            <family val="2"/>
          </rPr>
          <t xml:space="preserve">
No es necesario tanto ancho ?</t>
        </r>
      </text>
    </comment>
    <comment ref="G1710" authorId="0" shapeId="0" xr:uid="{00000000-0006-0000-0400-000004000000}">
      <text>
        <r>
          <rPr>
            <b/>
            <sz val="9"/>
            <color indexed="81"/>
            <rFont val="Tahoma"/>
            <family val="2"/>
          </rPr>
          <t>Jorge Arturo Espinoza:</t>
        </r>
        <r>
          <rPr>
            <sz val="9"/>
            <color indexed="81"/>
            <rFont val="Tahoma"/>
            <family val="2"/>
          </rPr>
          <t xml:space="preserve">
No es necesario tanto ancho ?</t>
        </r>
      </text>
    </comment>
    <comment ref="G1712" authorId="0" shapeId="0" xr:uid="{00000000-0006-0000-0400-000005000000}">
      <text>
        <r>
          <rPr>
            <b/>
            <sz val="9"/>
            <color indexed="81"/>
            <rFont val="Tahoma"/>
            <family val="2"/>
          </rPr>
          <t>Jorge Arturo Espinoza:</t>
        </r>
        <r>
          <rPr>
            <sz val="9"/>
            <color indexed="81"/>
            <rFont val="Tahoma"/>
            <family val="2"/>
          </rPr>
          <t xml:space="preserve">
No es necesario tanto ancho ?</t>
        </r>
      </text>
    </comment>
    <comment ref="G1761" authorId="0" shapeId="0" xr:uid="{00000000-0006-0000-0400-000006000000}">
      <text>
        <r>
          <rPr>
            <b/>
            <sz val="9"/>
            <color indexed="81"/>
            <rFont val="Tahoma"/>
            <family val="2"/>
          </rPr>
          <t>Jorge Arturo Espinoza:</t>
        </r>
        <r>
          <rPr>
            <sz val="9"/>
            <color indexed="81"/>
            <rFont val="Tahoma"/>
            <family val="2"/>
          </rPr>
          <t xml:space="preserve">
No es necesario tanto ancho ?</t>
        </r>
      </text>
    </comment>
    <comment ref="G1763" authorId="0" shapeId="0" xr:uid="{00000000-0006-0000-0400-000007000000}">
      <text>
        <r>
          <rPr>
            <b/>
            <sz val="9"/>
            <color indexed="81"/>
            <rFont val="Tahoma"/>
            <family val="2"/>
          </rPr>
          <t>Jorge Arturo Espinoza:</t>
        </r>
        <r>
          <rPr>
            <sz val="9"/>
            <color indexed="81"/>
            <rFont val="Tahoma"/>
            <family val="2"/>
          </rPr>
          <t xml:space="preserve">
No es necesario tanto ancho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Jorge Arturo Espinoza</author>
  </authors>
  <commentList>
    <comment ref="AB6" authorId="0" shapeId="0" xr:uid="{00000000-0006-0000-0500-000001000000}">
      <text>
        <r>
          <rPr>
            <b/>
            <sz val="9"/>
            <color indexed="81"/>
            <rFont val="Tahoma"/>
            <family val="2"/>
          </rPr>
          <t>Jorge Arturo Espinoza:</t>
        </r>
        <r>
          <rPr>
            <sz val="9"/>
            <color indexed="81"/>
            <rFont val="Tahoma"/>
            <family val="2"/>
          </rPr>
          <t xml:space="preserve">
Estimado por mí.</t>
        </r>
      </text>
    </comment>
    <comment ref="AE6" authorId="0" shapeId="0" xr:uid="{00000000-0006-0000-0500-000002000000}">
      <text>
        <r>
          <rPr>
            <b/>
            <sz val="9"/>
            <color indexed="81"/>
            <rFont val="Tahoma"/>
            <family val="2"/>
          </rPr>
          <t>Jorge Arturo Espinoza:</t>
        </r>
        <r>
          <rPr>
            <sz val="9"/>
            <color indexed="81"/>
            <rFont val="Tahoma"/>
            <family val="2"/>
          </rPr>
          <t xml:space="preserve">
Estimado por mí.</t>
        </r>
      </text>
    </comment>
    <comment ref="AZ6" authorId="0" shapeId="0" xr:uid="{00000000-0006-0000-0500-000003000000}">
      <text>
        <r>
          <rPr>
            <b/>
            <sz val="9"/>
            <color indexed="81"/>
            <rFont val="Tahoma"/>
            <family val="2"/>
          </rPr>
          <t>Jorge Arturo Espinoza:</t>
        </r>
        <r>
          <rPr>
            <sz val="9"/>
            <color indexed="81"/>
            <rFont val="Tahoma"/>
            <family val="2"/>
          </rPr>
          <t xml:space="preserve">
Estimado por mí.</t>
        </r>
      </text>
    </comment>
    <comment ref="BC6" authorId="0" shapeId="0" xr:uid="{00000000-0006-0000-0500-000004000000}">
      <text>
        <r>
          <rPr>
            <b/>
            <sz val="9"/>
            <color indexed="81"/>
            <rFont val="Tahoma"/>
            <family val="2"/>
          </rPr>
          <t>Jorge Arturo Espinoza:</t>
        </r>
        <r>
          <rPr>
            <sz val="9"/>
            <color indexed="81"/>
            <rFont val="Tahoma"/>
            <family val="2"/>
          </rPr>
          <t xml:space="preserve">
Estimado por mí.</t>
        </r>
      </text>
    </comment>
    <comment ref="AB11" authorId="0" shapeId="0" xr:uid="{00000000-0006-0000-0500-000005000000}">
      <text>
        <r>
          <rPr>
            <b/>
            <sz val="9"/>
            <color indexed="81"/>
            <rFont val="Tahoma"/>
            <family val="2"/>
          </rPr>
          <t>Jorge Arturo Espinoza:</t>
        </r>
        <r>
          <rPr>
            <sz val="9"/>
            <color indexed="81"/>
            <rFont val="Tahoma"/>
            <family val="2"/>
          </rPr>
          <t xml:space="preserve">
Estimado por mí.</t>
        </r>
      </text>
    </comment>
    <comment ref="AE11" authorId="0" shapeId="0" xr:uid="{00000000-0006-0000-0500-000006000000}">
      <text>
        <r>
          <rPr>
            <b/>
            <sz val="9"/>
            <color indexed="81"/>
            <rFont val="Tahoma"/>
            <family val="2"/>
          </rPr>
          <t>Jorge Arturo Espinoza:</t>
        </r>
        <r>
          <rPr>
            <sz val="9"/>
            <color indexed="81"/>
            <rFont val="Tahoma"/>
            <family val="2"/>
          </rPr>
          <t xml:space="preserve">
Estimado por mí.</t>
        </r>
      </text>
    </comment>
    <comment ref="AZ11" authorId="0" shapeId="0" xr:uid="{00000000-0006-0000-0500-000007000000}">
      <text>
        <r>
          <rPr>
            <b/>
            <sz val="9"/>
            <color indexed="81"/>
            <rFont val="Tahoma"/>
            <family val="2"/>
          </rPr>
          <t>Jorge Arturo Espinoza:</t>
        </r>
        <r>
          <rPr>
            <sz val="9"/>
            <color indexed="81"/>
            <rFont val="Tahoma"/>
            <family val="2"/>
          </rPr>
          <t xml:space="preserve">
Estimado por mí.</t>
        </r>
      </text>
    </comment>
    <comment ref="BC11" authorId="0" shapeId="0" xr:uid="{00000000-0006-0000-0500-000008000000}">
      <text>
        <r>
          <rPr>
            <b/>
            <sz val="9"/>
            <color indexed="81"/>
            <rFont val="Tahoma"/>
            <family val="2"/>
          </rPr>
          <t>Jorge Arturo Espinoza:</t>
        </r>
        <r>
          <rPr>
            <sz val="9"/>
            <color indexed="81"/>
            <rFont val="Tahoma"/>
            <family val="2"/>
          </rPr>
          <t xml:space="preserve">
Estimado por mí.</t>
        </r>
      </text>
    </comment>
    <comment ref="AB30" authorId="0" shapeId="0" xr:uid="{00000000-0006-0000-0500-000009000000}">
      <text>
        <r>
          <rPr>
            <b/>
            <sz val="9"/>
            <color indexed="81"/>
            <rFont val="Tahoma"/>
            <family val="2"/>
          </rPr>
          <t>Jorge Arturo Espinoza:</t>
        </r>
        <r>
          <rPr>
            <sz val="9"/>
            <color indexed="81"/>
            <rFont val="Tahoma"/>
            <family val="2"/>
          </rPr>
          <t xml:space="preserve">
Estimado por mí.</t>
        </r>
      </text>
    </comment>
    <comment ref="AE30" authorId="0" shapeId="0" xr:uid="{00000000-0006-0000-0500-00000A000000}">
      <text>
        <r>
          <rPr>
            <b/>
            <sz val="9"/>
            <color indexed="81"/>
            <rFont val="Tahoma"/>
            <family val="2"/>
          </rPr>
          <t>Jorge Arturo Espinoza:</t>
        </r>
        <r>
          <rPr>
            <sz val="9"/>
            <color indexed="81"/>
            <rFont val="Tahoma"/>
            <family val="2"/>
          </rPr>
          <t xml:space="preserve">
Estimado por mí.</t>
        </r>
      </text>
    </comment>
    <comment ref="AZ30" authorId="0" shapeId="0" xr:uid="{00000000-0006-0000-0500-00000B000000}">
      <text>
        <r>
          <rPr>
            <b/>
            <sz val="9"/>
            <color indexed="81"/>
            <rFont val="Tahoma"/>
            <family val="2"/>
          </rPr>
          <t>Jorge Arturo Espinoza:</t>
        </r>
        <r>
          <rPr>
            <sz val="9"/>
            <color indexed="81"/>
            <rFont val="Tahoma"/>
            <family val="2"/>
          </rPr>
          <t xml:space="preserve">
Estimado por mí.</t>
        </r>
      </text>
    </comment>
    <comment ref="BC30" authorId="0" shapeId="0" xr:uid="{00000000-0006-0000-0500-00000C000000}">
      <text>
        <r>
          <rPr>
            <b/>
            <sz val="9"/>
            <color indexed="81"/>
            <rFont val="Tahoma"/>
            <family val="2"/>
          </rPr>
          <t>Jorge Arturo Espinoza:</t>
        </r>
        <r>
          <rPr>
            <sz val="9"/>
            <color indexed="81"/>
            <rFont val="Tahoma"/>
            <family val="2"/>
          </rPr>
          <t xml:space="preserve">
Estimado por mí.</t>
        </r>
      </text>
    </comment>
    <comment ref="AB35" authorId="0" shapeId="0" xr:uid="{00000000-0006-0000-0500-00000D000000}">
      <text>
        <r>
          <rPr>
            <b/>
            <sz val="9"/>
            <color indexed="81"/>
            <rFont val="Tahoma"/>
            <family val="2"/>
          </rPr>
          <t>Jorge Arturo Espinoza:</t>
        </r>
        <r>
          <rPr>
            <sz val="9"/>
            <color indexed="81"/>
            <rFont val="Tahoma"/>
            <family val="2"/>
          </rPr>
          <t xml:space="preserve">
Estimado por mí.</t>
        </r>
      </text>
    </comment>
    <comment ref="AE35" authorId="0" shapeId="0" xr:uid="{00000000-0006-0000-0500-00000E000000}">
      <text>
        <r>
          <rPr>
            <b/>
            <sz val="9"/>
            <color indexed="81"/>
            <rFont val="Tahoma"/>
            <family val="2"/>
          </rPr>
          <t>Jorge Arturo Espinoza:</t>
        </r>
        <r>
          <rPr>
            <sz val="9"/>
            <color indexed="81"/>
            <rFont val="Tahoma"/>
            <family val="2"/>
          </rPr>
          <t xml:space="preserve">
Estimado por mí.</t>
        </r>
      </text>
    </comment>
    <comment ref="AZ35" authorId="0" shapeId="0" xr:uid="{00000000-0006-0000-0500-00000F000000}">
      <text>
        <r>
          <rPr>
            <b/>
            <sz val="9"/>
            <color indexed="81"/>
            <rFont val="Tahoma"/>
            <family val="2"/>
          </rPr>
          <t>Jorge Arturo Espinoza:</t>
        </r>
        <r>
          <rPr>
            <sz val="9"/>
            <color indexed="81"/>
            <rFont val="Tahoma"/>
            <family val="2"/>
          </rPr>
          <t xml:space="preserve">
Estimado por mí.</t>
        </r>
      </text>
    </comment>
    <comment ref="BC35" authorId="0" shapeId="0" xr:uid="{00000000-0006-0000-0500-000010000000}">
      <text>
        <r>
          <rPr>
            <b/>
            <sz val="9"/>
            <color indexed="81"/>
            <rFont val="Tahoma"/>
            <family val="2"/>
          </rPr>
          <t>Jorge Arturo Espinoza:</t>
        </r>
        <r>
          <rPr>
            <sz val="9"/>
            <color indexed="81"/>
            <rFont val="Tahoma"/>
            <family val="2"/>
          </rPr>
          <t xml:space="preserve">
Estimado por mí.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Jorge Arturo Espinoza</author>
  </authors>
  <commentList>
    <comment ref="B7" authorId="0" shapeId="0" xr:uid="{00000000-0006-0000-0700-000001000000}">
      <text>
        <r>
          <rPr>
            <b/>
            <sz val="9"/>
            <color indexed="81"/>
            <rFont val="Tahoma"/>
            <family val="2"/>
          </rPr>
          <t>Jorge Arturo Espinoza:</t>
        </r>
        <r>
          <rPr>
            <sz val="9"/>
            <color indexed="81"/>
            <rFont val="Tahoma"/>
            <family val="2"/>
          </rPr>
          <t xml:space="preserve">
Modificado por Roberto</t>
        </r>
      </text>
    </comment>
    <comment ref="E7" authorId="0" shapeId="0" xr:uid="{00000000-0006-0000-0700-000002000000}">
      <text>
        <r>
          <rPr>
            <b/>
            <sz val="9"/>
            <color indexed="81"/>
            <rFont val="Tahoma"/>
            <family val="2"/>
          </rPr>
          <t>Jorge Arturo Espinoza:</t>
        </r>
        <r>
          <rPr>
            <sz val="9"/>
            <color indexed="81"/>
            <rFont val="Tahoma"/>
            <family val="2"/>
          </rPr>
          <t xml:space="preserve">
modificado por Roberto</t>
        </r>
      </text>
    </comment>
    <comment ref="C36" authorId="0" shapeId="0" xr:uid="{00000000-0006-0000-0700-000003000000}">
      <text>
        <r>
          <rPr>
            <b/>
            <sz val="9"/>
            <color indexed="81"/>
            <rFont val="Tahoma"/>
            <family val="2"/>
          </rPr>
          <t>Jorge Arturo Espinoza:</t>
        </r>
        <r>
          <rPr>
            <sz val="9"/>
            <color indexed="81"/>
            <rFont val="Tahoma"/>
            <family val="2"/>
          </rPr>
          <t xml:space="preserve">
modificado por Roberto</t>
        </r>
      </text>
    </comment>
    <comment ref="C40" authorId="0" shapeId="0" xr:uid="{00000000-0006-0000-0700-000004000000}">
      <text>
        <r>
          <rPr>
            <b/>
            <sz val="9"/>
            <color indexed="81"/>
            <rFont val="Tahoma"/>
            <family val="2"/>
          </rPr>
          <t>Jorge Arturo Espinoza:</t>
        </r>
        <r>
          <rPr>
            <sz val="9"/>
            <color indexed="81"/>
            <rFont val="Tahoma"/>
            <family val="2"/>
          </rPr>
          <t xml:space="preserve">
modificado por Roberto</t>
        </r>
      </text>
    </comment>
    <comment ref="C44" authorId="0" shapeId="0" xr:uid="{00000000-0006-0000-0700-000005000000}">
      <text>
        <r>
          <rPr>
            <b/>
            <sz val="9"/>
            <color indexed="81"/>
            <rFont val="Tahoma"/>
            <family val="2"/>
          </rPr>
          <t>Jorge Arturo Espinoza:</t>
        </r>
        <r>
          <rPr>
            <sz val="9"/>
            <color indexed="81"/>
            <rFont val="Tahoma"/>
            <family val="2"/>
          </rPr>
          <t xml:space="preserve">
modificado por Roberto</t>
        </r>
      </text>
    </comment>
    <comment ref="C48" authorId="0" shapeId="0" xr:uid="{00000000-0006-0000-0700-000006000000}">
      <text>
        <r>
          <rPr>
            <b/>
            <sz val="9"/>
            <color indexed="81"/>
            <rFont val="Tahoma"/>
            <family val="2"/>
          </rPr>
          <t>Jorge Arturo Espinoza:</t>
        </r>
        <r>
          <rPr>
            <sz val="9"/>
            <color indexed="81"/>
            <rFont val="Tahoma"/>
            <family val="2"/>
          </rPr>
          <t xml:space="preserve">
modificado por Roberto</t>
        </r>
      </text>
    </comment>
    <comment ref="C52" authorId="0" shapeId="0" xr:uid="{00000000-0006-0000-0700-000007000000}">
      <text>
        <r>
          <rPr>
            <b/>
            <sz val="9"/>
            <color indexed="81"/>
            <rFont val="Tahoma"/>
            <family val="2"/>
          </rPr>
          <t>Jorge Arturo Espinoza:</t>
        </r>
        <r>
          <rPr>
            <sz val="9"/>
            <color indexed="81"/>
            <rFont val="Tahoma"/>
            <family val="2"/>
          </rPr>
          <t xml:space="preserve">
modificado por Roberto</t>
        </r>
      </text>
    </comment>
    <comment ref="C56" authorId="0" shapeId="0" xr:uid="{00000000-0006-0000-0700-000008000000}">
      <text>
        <r>
          <rPr>
            <b/>
            <sz val="9"/>
            <color indexed="81"/>
            <rFont val="Tahoma"/>
            <family val="2"/>
          </rPr>
          <t>Jorge Arturo Espinoza:</t>
        </r>
        <r>
          <rPr>
            <sz val="9"/>
            <color indexed="81"/>
            <rFont val="Tahoma"/>
            <family val="2"/>
          </rPr>
          <t xml:space="preserve">
modificado por Roberto</t>
        </r>
      </text>
    </comment>
    <comment ref="C60" authorId="0" shapeId="0" xr:uid="{00000000-0006-0000-0700-000009000000}">
      <text>
        <r>
          <rPr>
            <b/>
            <sz val="9"/>
            <color indexed="81"/>
            <rFont val="Tahoma"/>
            <family val="2"/>
          </rPr>
          <t>Jorge Arturo Espinoza:</t>
        </r>
        <r>
          <rPr>
            <sz val="9"/>
            <color indexed="81"/>
            <rFont val="Tahoma"/>
            <family val="2"/>
          </rPr>
          <t xml:space="preserve">
modificado por Roberto</t>
        </r>
      </text>
    </comment>
    <comment ref="C64" authorId="0" shapeId="0" xr:uid="{00000000-0006-0000-0700-00000A000000}">
      <text>
        <r>
          <rPr>
            <b/>
            <sz val="9"/>
            <color indexed="81"/>
            <rFont val="Tahoma"/>
            <family val="2"/>
          </rPr>
          <t>Jorge Arturo Espinoza:</t>
        </r>
        <r>
          <rPr>
            <sz val="9"/>
            <color indexed="81"/>
            <rFont val="Tahoma"/>
            <family val="2"/>
          </rPr>
          <t xml:space="preserve">
modificado por Roberto</t>
        </r>
      </text>
    </comment>
    <comment ref="C72" authorId="0" shapeId="0" xr:uid="{00000000-0006-0000-0700-00000B000000}">
      <text>
        <r>
          <rPr>
            <b/>
            <sz val="9"/>
            <color indexed="81"/>
            <rFont val="Tahoma"/>
            <family val="2"/>
          </rPr>
          <t>Jorge Arturo Espinoza:</t>
        </r>
        <r>
          <rPr>
            <sz val="9"/>
            <color indexed="81"/>
            <rFont val="Tahoma"/>
            <family val="2"/>
          </rPr>
          <t xml:space="preserve">
modificado por Roberto</t>
        </r>
      </text>
    </comment>
    <comment ref="C77" authorId="0" shapeId="0" xr:uid="{00000000-0006-0000-0700-00000C000000}">
      <text>
        <r>
          <rPr>
            <b/>
            <sz val="9"/>
            <color indexed="81"/>
            <rFont val="Tahoma"/>
            <family val="2"/>
          </rPr>
          <t>Jorge Arturo Espinoza:</t>
        </r>
        <r>
          <rPr>
            <sz val="9"/>
            <color indexed="81"/>
            <rFont val="Tahoma"/>
            <family val="2"/>
          </rPr>
          <t xml:space="preserve">
modificado por Roberto</t>
        </r>
      </text>
    </comment>
    <comment ref="C83" authorId="0" shapeId="0" xr:uid="{00000000-0006-0000-0700-00000D000000}">
      <text>
        <r>
          <rPr>
            <b/>
            <sz val="9"/>
            <color indexed="81"/>
            <rFont val="Tahoma"/>
            <family val="2"/>
          </rPr>
          <t>Jorge Arturo Espinoza:</t>
        </r>
        <r>
          <rPr>
            <sz val="9"/>
            <color indexed="81"/>
            <rFont val="Tahoma"/>
            <family val="2"/>
          </rPr>
          <t xml:space="preserve">
modificado por Roberto</t>
        </r>
      </text>
    </comment>
    <comment ref="C88" authorId="0" shapeId="0" xr:uid="{00000000-0006-0000-0700-00000E000000}">
      <text>
        <r>
          <rPr>
            <b/>
            <sz val="9"/>
            <color indexed="81"/>
            <rFont val="Tahoma"/>
            <family val="2"/>
          </rPr>
          <t>Jorge Arturo Espinoza:</t>
        </r>
        <r>
          <rPr>
            <sz val="9"/>
            <color indexed="81"/>
            <rFont val="Tahoma"/>
            <family val="2"/>
          </rPr>
          <t xml:space="preserve">
modificado por Roberto</t>
        </r>
      </text>
    </comment>
    <comment ref="C93" authorId="0" shapeId="0" xr:uid="{00000000-0006-0000-0700-00000F000000}">
      <text>
        <r>
          <rPr>
            <b/>
            <sz val="9"/>
            <color indexed="81"/>
            <rFont val="Tahoma"/>
            <family val="2"/>
          </rPr>
          <t>Jorge Arturo Espinoza:</t>
        </r>
        <r>
          <rPr>
            <sz val="9"/>
            <color indexed="81"/>
            <rFont val="Tahoma"/>
            <family val="2"/>
          </rPr>
          <t xml:space="preserve">
modificado por Roberto</t>
        </r>
      </text>
    </comment>
    <comment ref="C98" authorId="0" shapeId="0" xr:uid="{00000000-0006-0000-0700-000010000000}">
      <text>
        <r>
          <rPr>
            <b/>
            <sz val="9"/>
            <color indexed="81"/>
            <rFont val="Tahoma"/>
            <family val="2"/>
          </rPr>
          <t>Jorge Arturo Espinoza:</t>
        </r>
        <r>
          <rPr>
            <sz val="9"/>
            <color indexed="81"/>
            <rFont val="Tahoma"/>
            <family val="2"/>
          </rPr>
          <t xml:space="preserve">
modificado por Roberto</t>
        </r>
      </text>
    </comment>
    <comment ref="C103" authorId="0" shapeId="0" xr:uid="{00000000-0006-0000-0700-000011000000}">
      <text>
        <r>
          <rPr>
            <b/>
            <sz val="9"/>
            <color indexed="81"/>
            <rFont val="Tahoma"/>
            <family val="2"/>
          </rPr>
          <t>Jorge Arturo Espinoza:</t>
        </r>
        <r>
          <rPr>
            <sz val="9"/>
            <color indexed="81"/>
            <rFont val="Tahoma"/>
            <family val="2"/>
          </rPr>
          <t xml:space="preserve">
modificado por Roberto</t>
        </r>
      </text>
    </comment>
    <comment ref="C108" authorId="0" shapeId="0" xr:uid="{00000000-0006-0000-0700-000012000000}">
      <text>
        <r>
          <rPr>
            <b/>
            <sz val="9"/>
            <color indexed="81"/>
            <rFont val="Tahoma"/>
            <family val="2"/>
          </rPr>
          <t>Jorge Arturo Espinoza:</t>
        </r>
        <r>
          <rPr>
            <sz val="9"/>
            <color indexed="81"/>
            <rFont val="Tahoma"/>
            <family val="2"/>
          </rPr>
          <t xml:space="preserve">
modificado por Roberto</t>
        </r>
      </text>
    </comment>
    <comment ref="C113" authorId="0" shapeId="0" xr:uid="{00000000-0006-0000-0700-000013000000}">
      <text>
        <r>
          <rPr>
            <b/>
            <sz val="9"/>
            <color indexed="81"/>
            <rFont val="Tahoma"/>
            <family val="2"/>
          </rPr>
          <t>Jorge Arturo Espinoza:</t>
        </r>
        <r>
          <rPr>
            <sz val="9"/>
            <color indexed="81"/>
            <rFont val="Tahoma"/>
            <family val="2"/>
          </rPr>
          <t xml:space="preserve">
modificado por Roberto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Jean Inga</author>
  </authors>
  <commentList>
    <comment ref="C51" authorId="0" shapeId="0" xr:uid="{00000000-0006-0000-1300-000001000000}">
      <text>
        <r>
          <rPr>
            <b/>
            <sz val="9"/>
            <color indexed="81"/>
            <rFont val="Tahoma"/>
            <family val="2"/>
          </rPr>
          <t>Jean Inga:</t>
        </r>
        <r>
          <rPr>
            <sz val="9"/>
            <color indexed="81"/>
            <rFont val="Tahoma"/>
            <family val="2"/>
          </rPr>
          <t xml:space="preserve">
va trabajar en 500A SE CONSIDERA  ELECTRONICO Ya que la especificacion tecnica solicita.
</t>
        </r>
      </text>
    </comment>
    <comment ref="C120" authorId="0" shapeId="0" xr:uid="{00000000-0006-0000-1300-000002000000}">
      <text>
        <r>
          <rPr>
            <b/>
            <sz val="9"/>
            <color indexed="81"/>
            <rFont val="Tahoma"/>
            <family val="2"/>
          </rPr>
          <t>Jean Inga:</t>
        </r>
        <r>
          <rPr>
            <sz val="9"/>
            <color indexed="81"/>
            <rFont val="Tahoma"/>
            <family val="2"/>
          </rPr>
          <t xml:space="preserve">
va trabajar en 320A SE CONSIDERA  ELECTRONICO Ya que la especificacion tecnica solicita.
</t>
        </r>
      </text>
    </comment>
    <comment ref="C137" authorId="0" shapeId="0" xr:uid="{00000000-0006-0000-1300-000003000000}">
      <text>
        <r>
          <rPr>
            <b/>
            <sz val="9"/>
            <color indexed="81"/>
            <rFont val="Tahoma"/>
            <family val="2"/>
          </rPr>
          <t>Jean Inga:</t>
        </r>
        <r>
          <rPr>
            <sz val="9"/>
            <color indexed="81"/>
            <rFont val="Tahoma"/>
            <family val="2"/>
          </rPr>
          <t xml:space="preserve">
va trabajar en 320A SE CONSIDERA  ELECTRONICO Ya que la especificacion tecnica solicita.
</t>
        </r>
      </text>
    </comment>
    <comment ref="C151" authorId="0" shapeId="0" xr:uid="{00000000-0006-0000-1300-000004000000}">
      <text>
        <r>
          <rPr>
            <b/>
            <sz val="9"/>
            <color indexed="81"/>
            <rFont val="Tahoma"/>
            <family val="2"/>
          </rPr>
          <t>Jean Inga:</t>
        </r>
        <r>
          <rPr>
            <sz val="9"/>
            <color indexed="81"/>
            <rFont val="Tahoma"/>
            <family val="2"/>
          </rPr>
          <t xml:space="preserve">
se considera juego de terminales de acuerdo al calibre del conductor que se ve en el diagrama
</t>
        </r>
      </text>
    </comment>
    <comment ref="C152" authorId="0" shapeId="0" xr:uid="{00000000-0006-0000-1300-000005000000}">
      <text>
        <r>
          <rPr>
            <b/>
            <sz val="9"/>
            <color indexed="81"/>
            <rFont val="Tahoma"/>
            <family val="2"/>
          </rPr>
          <t>Jean Inga:</t>
        </r>
        <r>
          <rPr>
            <sz val="9"/>
            <color indexed="81"/>
            <rFont val="Tahoma"/>
            <family val="2"/>
          </rPr>
          <t xml:space="preserve">
se considera juego de terminales de acuerdo al calibre del conductor que se ve en el diagrama
</t>
        </r>
      </text>
    </comment>
    <comment ref="C424" authorId="0" shapeId="0" xr:uid="{00000000-0006-0000-1300-000006000000}">
      <text>
        <r>
          <rPr>
            <b/>
            <sz val="9"/>
            <color indexed="81"/>
            <rFont val="Tahoma"/>
            <family val="2"/>
          </rPr>
          <t>Jean Inga:</t>
        </r>
        <r>
          <rPr>
            <sz val="9"/>
            <color indexed="81"/>
            <rFont val="Tahoma"/>
            <family val="2"/>
          </rPr>
          <t xml:space="preserve">
SE CONSIDERA EN AC3 YA QUE ALIMENTA A UN EXTRACTO DE SSHH</t>
        </r>
      </text>
    </comment>
    <comment ref="C444" authorId="0" shapeId="0" xr:uid="{00000000-0006-0000-1300-000007000000}">
      <text>
        <r>
          <rPr>
            <b/>
            <sz val="9"/>
            <color indexed="81"/>
            <rFont val="Tahoma"/>
            <family val="2"/>
          </rPr>
          <t>Jean Inga:</t>
        </r>
        <r>
          <rPr>
            <sz val="9"/>
            <color indexed="81"/>
            <rFont val="Tahoma"/>
            <family val="2"/>
          </rPr>
          <t xml:space="preserve">
SE CONSIDERA EN AC3 YA QUE ALIMENTA A UN EXTRACTO DE SSHH</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Jean Inga</author>
  </authors>
  <commentList>
    <comment ref="C40" authorId="0" shapeId="0" xr:uid="{00000000-0006-0000-1400-000001000000}">
      <text>
        <r>
          <rPr>
            <b/>
            <sz val="9"/>
            <color indexed="81"/>
            <rFont val="Tahoma"/>
            <family val="2"/>
          </rPr>
          <t>Jean Inga:</t>
        </r>
        <r>
          <rPr>
            <sz val="9"/>
            <color indexed="81"/>
            <rFont val="Tahoma"/>
            <family val="2"/>
          </rPr>
          <t xml:space="preserve">
va trabajar en 500A SE CONSIDERA  ELECTRONICO Ya que la especificacion tecnica solicita.
</t>
        </r>
      </text>
    </comment>
    <comment ref="C195" authorId="0" shapeId="0" xr:uid="{00000000-0006-0000-1400-000002000000}">
      <text>
        <r>
          <rPr>
            <b/>
            <sz val="9"/>
            <color indexed="81"/>
            <rFont val="Tahoma"/>
            <family val="2"/>
          </rPr>
          <t>Jean Inga:</t>
        </r>
        <r>
          <rPr>
            <sz val="9"/>
            <color indexed="81"/>
            <rFont val="Tahoma"/>
            <family val="2"/>
          </rPr>
          <t xml:space="preserve">
va trabajar en 320A SE CONSIDERA  ELECTRONICO Ya que la especificacion tecnica solicita.
</t>
        </r>
      </text>
    </comment>
    <comment ref="C212" authorId="0" shapeId="0" xr:uid="{00000000-0006-0000-1400-000003000000}">
      <text>
        <r>
          <rPr>
            <b/>
            <sz val="9"/>
            <color indexed="81"/>
            <rFont val="Tahoma"/>
            <family val="2"/>
          </rPr>
          <t>Jean Inga:</t>
        </r>
        <r>
          <rPr>
            <sz val="9"/>
            <color indexed="81"/>
            <rFont val="Tahoma"/>
            <family val="2"/>
          </rPr>
          <t xml:space="preserve">
va trabajar en 320A SE CONSIDERA  ELECTRONICO Ya que la especificacion tecnica solicita.
</t>
        </r>
      </text>
    </comment>
    <comment ref="C226" authorId="0" shapeId="0" xr:uid="{00000000-0006-0000-1400-000004000000}">
      <text>
        <r>
          <rPr>
            <b/>
            <sz val="9"/>
            <color indexed="81"/>
            <rFont val="Tahoma"/>
            <family val="2"/>
          </rPr>
          <t>Jean Inga:</t>
        </r>
        <r>
          <rPr>
            <sz val="9"/>
            <color indexed="81"/>
            <rFont val="Tahoma"/>
            <family val="2"/>
          </rPr>
          <t xml:space="preserve">
se considera juego de terminales de acuerdo al calibre del conductor que se ve en el diagrama
</t>
        </r>
      </text>
    </comment>
    <comment ref="C227" authorId="0" shapeId="0" xr:uid="{00000000-0006-0000-1400-000005000000}">
      <text>
        <r>
          <rPr>
            <b/>
            <sz val="9"/>
            <color indexed="81"/>
            <rFont val="Tahoma"/>
            <family val="2"/>
          </rPr>
          <t>Jean Inga:</t>
        </r>
        <r>
          <rPr>
            <sz val="9"/>
            <color indexed="81"/>
            <rFont val="Tahoma"/>
            <family val="2"/>
          </rPr>
          <t xml:space="preserve">
se considera juego de terminales de acuerdo al calibre del conductor que se ve en el diagrama
</t>
        </r>
      </text>
    </comment>
    <comment ref="C421" authorId="0" shapeId="0" xr:uid="{00000000-0006-0000-1400-000006000000}">
      <text>
        <r>
          <rPr>
            <b/>
            <sz val="9"/>
            <color indexed="81"/>
            <rFont val="Tahoma"/>
            <family val="2"/>
          </rPr>
          <t>Jean Inga:</t>
        </r>
        <r>
          <rPr>
            <sz val="9"/>
            <color indexed="81"/>
            <rFont val="Tahoma"/>
            <family val="2"/>
          </rPr>
          <t xml:space="preserve">
SE CONSIDERA EN AC3 YA QUE ALIMENTA A UN EXTRACTO DE SSHH</t>
        </r>
      </text>
    </comment>
    <comment ref="C441" authorId="0" shapeId="0" xr:uid="{00000000-0006-0000-1400-000007000000}">
      <text>
        <r>
          <rPr>
            <b/>
            <sz val="9"/>
            <color indexed="81"/>
            <rFont val="Tahoma"/>
            <family val="2"/>
          </rPr>
          <t>Jean Inga:</t>
        </r>
        <r>
          <rPr>
            <sz val="9"/>
            <color indexed="81"/>
            <rFont val="Tahoma"/>
            <family val="2"/>
          </rPr>
          <t xml:space="preserve">
SE CONSIDERA EN AC3 YA QUE ALIMENTA A UN EXTRACTO DE SSHH</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Jorge Arturo Espinoza</author>
  </authors>
  <commentList>
    <comment ref="C52" authorId="0" shapeId="0" xr:uid="{00000000-0006-0000-1500-000001000000}">
      <text>
        <r>
          <rPr>
            <b/>
            <sz val="9"/>
            <color indexed="81"/>
            <rFont val="Tahoma"/>
            <family val="2"/>
          </rPr>
          <t>Jorge Arturo Espinoza:</t>
        </r>
        <r>
          <rPr>
            <sz val="9"/>
            <color indexed="81"/>
            <rFont val="Tahoma"/>
            <family val="2"/>
          </rPr>
          <t xml:space="preserve">
FALTA CAMBIAR A RITTAL, POR EL PRECIO</t>
        </r>
      </text>
    </comment>
    <comment ref="C110" authorId="0" shapeId="0" xr:uid="{00000000-0006-0000-1500-000002000000}">
      <text>
        <r>
          <rPr>
            <b/>
            <sz val="9"/>
            <color indexed="81"/>
            <rFont val="Tahoma"/>
            <family val="2"/>
          </rPr>
          <t>Jorge Arturo Espinoza:</t>
        </r>
        <r>
          <rPr>
            <sz val="9"/>
            <color indexed="81"/>
            <rFont val="Tahoma"/>
            <family val="2"/>
          </rPr>
          <t xml:space="preserve">
FALTA CAMBIAR A RITTAL, POR EL PRECIO</t>
        </r>
      </text>
    </comment>
    <comment ref="C211" authorId="0" shapeId="0" xr:uid="{00000000-0006-0000-1500-000003000000}">
      <text>
        <r>
          <rPr>
            <b/>
            <sz val="9"/>
            <color indexed="81"/>
            <rFont val="Tahoma"/>
            <family val="2"/>
          </rPr>
          <t>Jorge Arturo Espinoza:</t>
        </r>
        <r>
          <rPr>
            <sz val="9"/>
            <color indexed="81"/>
            <rFont val="Tahoma"/>
            <family val="2"/>
          </rPr>
          <t xml:space="preserve">
FALTA CAMBIAR A RITTAL, POR EL PRECIO</t>
        </r>
      </text>
    </comment>
    <comment ref="C272" authorId="0" shapeId="0" xr:uid="{00000000-0006-0000-1500-000004000000}">
      <text>
        <r>
          <rPr>
            <b/>
            <sz val="9"/>
            <color indexed="81"/>
            <rFont val="Tahoma"/>
            <family val="2"/>
          </rPr>
          <t>Jorge Arturo Espinoza:</t>
        </r>
        <r>
          <rPr>
            <sz val="9"/>
            <color indexed="81"/>
            <rFont val="Tahoma"/>
            <family val="2"/>
          </rPr>
          <t xml:space="preserve">
FALTA CAMBIAR A RITTAL, POR EL PRECIO</t>
        </r>
      </text>
    </comment>
  </commentList>
</comments>
</file>

<file path=xl/sharedStrings.xml><?xml version="1.0" encoding="utf-8"?>
<sst xmlns="http://schemas.openxmlformats.org/spreadsheetml/2006/main" count="35108" uniqueCount="14301">
  <si>
    <t>Descripción</t>
  </si>
  <si>
    <t>GRH325T33WP40</t>
  </si>
  <si>
    <t>GRH320T33WP17</t>
  </si>
  <si>
    <t>GRH316T33WP09</t>
  </si>
  <si>
    <t>T1600RDM</t>
  </si>
  <si>
    <t>GNS316T33WP35</t>
  </si>
  <si>
    <t>GNS3125T33WP09</t>
  </si>
  <si>
    <t>GNS3800T33WP19</t>
  </si>
  <si>
    <t>T1200NB3M</t>
  </si>
  <si>
    <t>GLS3630AAM</t>
  </si>
  <si>
    <t>GLS3500AAM</t>
  </si>
  <si>
    <t>GLS3400AAM</t>
  </si>
  <si>
    <t>GLS3320AAM</t>
  </si>
  <si>
    <t>3TA631LK</t>
  </si>
  <si>
    <t>GJS3250AAM</t>
  </si>
  <si>
    <t>GJS3200AAM</t>
  </si>
  <si>
    <t>GJS3160AAM</t>
  </si>
  <si>
    <t>T250FJ</t>
  </si>
  <si>
    <t>GES3160AFM</t>
  </si>
  <si>
    <t>3TA160EFK</t>
  </si>
  <si>
    <t>GES3125AFM</t>
  </si>
  <si>
    <t>GES3100AFM</t>
  </si>
  <si>
    <t>GES3080AFM</t>
  </si>
  <si>
    <t>GES3063AFM</t>
  </si>
  <si>
    <t>GES3050AFM</t>
  </si>
  <si>
    <t>GES3040AFM</t>
  </si>
  <si>
    <t>GES3032AFM</t>
  </si>
  <si>
    <t>GES3020AFM</t>
  </si>
  <si>
    <t>3T125EF</t>
  </si>
  <si>
    <t>AUXALRMJPK</t>
  </si>
  <si>
    <t>AA115RPK</t>
  </si>
  <si>
    <t>TC 1000/5</t>
  </si>
  <si>
    <t>TC 600/5</t>
  </si>
  <si>
    <t>TC 250/5</t>
  </si>
  <si>
    <t>BC</t>
  </si>
  <si>
    <t>BT</t>
  </si>
  <si>
    <t>P. Lista</t>
  </si>
  <si>
    <t>P.U.</t>
  </si>
  <si>
    <t>SUB-TOTAL</t>
  </si>
  <si>
    <t>P.U. DESC.</t>
  </si>
  <si>
    <t>TOTAL :</t>
  </si>
  <si>
    <t>CANT.</t>
  </si>
  <si>
    <t>$</t>
  </si>
  <si>
    <t>Estimados señores :</t>
  </si>
  <si>
    <t>Atendiendo a su amable solicitud , nos es grato cotizar lo siguiente :</t>
  </si>
  <si>
    <t>Item</t>
  </si>
  <si>
    <t>Cant.</t>
  </si>
  <si>
    <t>DESCRIPCION</t>
  </si>
  <si>
    <t>GES2040FFG</t>
  </si>
  <si>
    <t>GEE3125FFM</t>
  </si>
  <si>
    <t>GEE3070FFM</t>
  </si>
  <si>
    <t>GEE3020FFM</t>
  </si>
  <si>
    <t>GEE3100FFM</t>
  </si>
  <si>
    <t>GEE3030FFM</t>
  </si>
  <si>
    <t>GEE3040FFM</t>
  </si>
  <si>
    <t>P.U</t>
  </si>
  <si>
    <t>Kg/m.</t>
  </si>
  <si>
    <t>$/m.</t>
  </si>
  <si>
    <t>12x2mm2.</t>
  </si>
  <si>
    <t>15x3mm2.</t>
  </si>
  <si>
    <t>20x3mm2.</t>
  </si>
  <si>
    <t>20x5mm2.</t>
  </si>
  <si>
    <t>20x10mm2.</t>
  </si>
  <si>
    <t>25x5mm2.</t>
  </si>
  <si>
    <t>0.5/400</t>
  </si>
  <si>
    <t>1/750</t>
  </si>
  <si>
    <t>1/1000</t>
  </si>
  <si>
    <t>1.5/1250</t>
  </si>
  <si>
    <t xml:space="preserve">          Aisladores</t>
  </si>
  <si>
    <t>Longitud</t>
  </si>
  <si>
    <t xml:space="preserve">Seccion </t>
  </si>
  <si>
    <t>Aislador</t>
  </si>
  <si>
    <t>TABLERO</t>
  </si>
  <si>
    <t>(m)</t>
  </si>
  <si>
    <t>(mm2)</t>
  </si>
  <si>
    <t>($/m)</t>
  </si>
  <si>
    <t>Base</t>
  </si>
  <si>
    <t>($/pza)</t>
  </si>
  <si>
    <t>GEE3060FFM</t>
  </si>
  <si>
    <t>GEE3050FFM</t>
  </si>
  <si>
    <t>QC2015</t>
  </si>
  <si>
    <t>QC2020</t>
  </si>
  <si>
    <t>QC2030</t>
  </si>
  <si>
    <t>QC2040</t>
  </si>
  <si>
    <t>QC2050</t>
  </si>
  <si>
    <t>QC2060</t>
  </si>
  <si>
    <t>QC2070</t>
  </si>
  <si>
    <t>QC2090</t>
  </si>
  <si>
    <t>QC2100</t>
  </si>
  <si>
    <t>GES2080FFG</t>
  </si>
  <si>
    <t>TC 1600/5</t>
  </si>
  <si>
    <t>GEE3015FFM</t>
  </si>
  <si>
    <t>GES1020FFG</t>
  </si>
  <si>
    <t>GES1030FFG</t>
  </si>
  <si>
    <t>150x10mm2.</t>
  </si>
  <si>
    <t>GJH3250AAM</t>
  </si>
  <si>
    <t>GJH3200AAM</t>
  </si>
  <si>
    <t>GJH3160AAM</t>
  </si>
  <si>
    <t>GEE3080FFM</t>
  </si>
  <si>
    <t>BAB2020</t>
  </si>
  <si>
    <t>BAB2015</t>
  </si>
  <si>
    <t>BAB2030</t>
  </si>
  <si>
    <t>BAB2040</t>
  </si>
  <si>
    <t>BAB2050</t>
  </si>
  <si>
    <t>BAB2060</t>
  </si>
  <si>
    <t>BAB2070</t>
  </si>
  <si>
    <t>BAB3040H</t>
  </si>
  <si>
    <t>BAB3050H</t>
  </si>
  <si>
    <t>BAB3060H</t>
  </si>
  <si>
    <t>BAB3070H</t>
  </si>
  <si>
    <t>BAB3080H</t>
  </si>
  <si>
    <t>BAB3090H</t>
  </si>
  <si>
    <t>BAB3100H</t>
  </si>
  <si>
    <t>BAB3020H</t>
  </si>
  <si>
    <t>BAB3030H</t>
  </si>
  <si>
    <t>BAB3015H</t>
  </si>
  <si>
    <t>QC3015H</t>
  </si>
  <si>
    <t>QC3020H</t>
  </si>
  <si>
    <t>QC3030H</t>
  </si>
  <si>
    <t>QC3040H</t>
  </si>
  <si>
    <t>QC3050H</t>
  </si>
  <si>
    <t>QC3060H</t>
  </si>
  <si>
    <t>QC3070H</t>
  </si>
  <si>
    <t>QC3080H</t>
  </si>
  <si>
    <t>QC3090H</t>
  </si>
  <si>
    <t>QC3100H</t>
  </si>
  <si>
    <t>BR220</t>
  </si>
  <si>
    <t>BR230</t>
  </si>
  <si>
    <t>BR240</t>
  </si>
  <si>
    <t>BR250</t>
  </si>
  <si>
    <t>BR260</t>
  </si>
  <si>
    <t>BR270</t>
  </si>
  <si>
    <t>BR3100</t>
  </si>
  <si>
    <t>BR315</t>
  </si>
  <si>
    <t>BR320</t>
  </si>
  <si>
    <t>BR330</t>
  </si>
  <si>
    <t>BR340</t>
  </si>
  <si>
    <t>BR350</t>
  </si>
  <si>
    <t>BR360</t>
  </si>
  <si>
    <t>BR370</t>
  </si>
  <si>
    <t>BR380</t>
  </si>
  <si>
    <t>BR215</t>
  </si>
  <si>
    <t>GES2020FFG</t>
  </si>
  <si>
    <t>TC 100/5</t>
  </si>
  <si>
    <t>GES2032FFG</t>
  </si>
  <si>
    <t>GEE3160FFM</t>
  </si>
  <si>
    <t>GEB3125FFM</t>
  </si>
  <si>
    <t>GEB3160FFM</t>
  </si>
  <si>
    <t>BZME1-A100-BT-AP</t>
  </si>
  <si>
    <t>BZME1-A80-BT-AP</t>
  </si>
  <si>
    <t>BZME1-A63-BT-AP</t>
  </si>
  <si>
    <t>BZME1-A50-BT-AP</t>
  </si>
  <si>
    <t>BZME1-A40-BT-AP</t>
  </si>
  <si>
    <t>BZME1-A32-BT-AP</t>
  </si>
  <si>
    <t>BZME1-A25-BT-AP</t>
  </si>
  <si>
    <t>BZME1-A20-BT-AP</t>
  </si>
  <si>
    <t>BZME1-A16-BT-AP</t>
  </si>
  <si>
    <t>BZMB1-A100-BT-AP</t>
  </si>
  <si>
    <t>BZMB1-A80-BT-AP</t>
  </si>
  <si>
    <t>BZMB1-A63-BT-AP</t>
  </si>
  <si>
    <t>BZMB1-A50-BT-AP</t>
  </si>
  <si>
    <t>BZMB1-A40-BT-AP</t>
  </si>
  <si>
    <t>BZMB1-A32-BT-AP</t>
  </si>
  <si>
    <t>BZMB1-A25-BT-AP</t>
  </si>
  <si>
    <t>BZMB1-A20-BT-AP</t>
  </si>
  <si>
    <t>BZMB1-A16-BT-AP</t>
  </si>
  <si>
    <t>BZMB2-A125</t>
  </si>
  <si>
    <t>BZMB2-A160</t>
  </si>
  <si>
    <t>BZMB2-A200</t>
  </si>
  <si>
    <t>BZMB2-A250</t>
  </si>
  <si>
    <t>LZMS1-A20</t>
  </si>
  <si>
    <t>LZMS1-A25</t>
  </si>
  <si>
    <t>LZMS1-A32</t>
  </si>
  <si>
    <t>LZMS1-A40</t>
  </si>
  <si>
    <t>LZMS1-A50</t>
  </si>
  <si>
    <t>LZMS1-A63</t>
  </si>
  <si>
    <t>LZMS1-A80</t>
  </si>
  <si>
    <t>LZMS1-A100</t>
  </si>
  <si>
    <t>LZMS1-A125</t>
  </si>
  <si>
    <t>LZMS1-A160</t>
  </si>
  <si>
    <t>LZMS2-A160</t>
  </si>
  <si>
    <t>LZMS2-A200</t>
  </si>
  <si>
    <t>LZMS2-A250</t>
  </si>
  <si>
    <t>LZMS2-A300</t>
  </si>
  <si>
    <t>LZMS3-A320</t>
  </si>
  <si>
    <t>LZMS3-A400</t>
  </si>
  <si>
    <t>LZMS3-A500</t>
  </si>
  <si>
    <t>LZMS3-VE400</t>
  </si>
  <si>
    <t>LZMS3-VE630</t>
  </si>
  <si>
    <t>LZMS4-VE800</t>
  </si>
  <si>
    <t>LZMS4-VE1000</t>
  </si>
  <si>
    <t>LZMS4-VE1250</t>
  </si>
  <si>
    <t>LZMS4-VE1600</t>
  </si>
  <si>
    <t>GHB1015</t>
  </si>
  <si>
    <t>GHB1020</t>
  </si>
  <si>
    <t>GHB1030</t>
  </si>
  <si>
    <t>GHB1040</t>
  </si>
  <si>
    <t>GHB1050</t>
  </si>
  <si>
    <t>GHB1060</t>
  </si>
  <si>
    <t>GHB1070</t>
  </si>
  <si>
    <t>GHB1080</t>
  </si>
  <si>
    <t>GHB1090</t>
  </si>
  <si>
    <t>GHB1100</t>
  </si>
  <si>
    <t>GHB2015</t>
  </si>
  <si>
    <t>GHB2020</t>
  </si>
  <si>
    <t>GHB2030</t>
  </si>
  <si>
    <t>GHB2040</t>
  </si>
  <si>
    <t>GHB2050</t>
  </si>
  <si>
    <t>GHB2060</t>
  </si>
  <si>
    <t>GHB2070</t>
  </si>
  <si>
    <t>GHB2080</t>
  </si>
  <si>
    <t>GHB2090</t>
  </si>
  <si>
    <t>GHB2100</t>
  </si>
  <si>
    <t>GHB3015</t>
  </si>
  <si>
    <t>GHB3020</t>
  </si>
  <si>
    <t>GHB3030</t>
  </si>
  <si>
    <t>GHB3040</t>
  </si>
  <si>
    <t>GHB3050</t>
  </si>
  <si>
    <t>GHB3060</t>
  </si>
  <si>
    <t>GHB3070</t>
  </si>
  <si>
    <t>GHB3080</t>
  </si>
  <si>
    <t>GHB3090</t>
  </si>
  <si>
    <t>GHB3100</t>
  </si>
  <si>
    <t>FD3100L</t>
  </si>
  <si>
    <t>FD3080L</t>
  </si>
  <si>
    <t>FD3070L</t>
  </si>
  <si>
    <t>mMCM-C10/1-MW</t>
  </si>
  <si>
    <t>mMCM-C16/1-MW</t>
  </si>
  <si>
    <t>mMCM-C20/1-MW</t>
  </si>
  <si>
    <t>mMCM-C25/1-MW</t>
  </si>
  <si>
    <t>mMCM-C32/1-MW</t>
  </si>
  <si>
    <t>mMCM-C40/1-MW</t>
  </si>
  <si>
    <t>mMCM-C50/1-MW</t>
  </si>
  <si>
    <t>mMCM-C63/1-MW</t>
  </si>
  <si>
    <t>mMCM-C10/2-MW</t>
  </si>
  <si>
    <t>mMCM-C16/2-MW</t>
  </si>
  <si>
    <t>mMCM-C20/2-MW</t>
  </si>
  <si>
    <t>mMCM-C25/2-MW</t>
  </si>
  <si>
    <t>mMCM-C32/2-MW</t>
  </si>
  <si>
    <t>mMCM-C40/2-MW</t>
  </si>
  <si>
    <t>mMCM-C50/2-MW</t>
  </si>
  <si>
    <t>mMCM-C63/2-MW</t>
  </si>
  <si>
    <t>mMCM-C10/3-MW</t>
  </si>
  <si>
    <t>mMCM-C16/3-MW</t>
  </si>
  <si>
    <t>mMCM-C20/3-MW</t>
  </si>
  <si>
    <t>mMCM-C25/3-MW</t>
  </si>
  <si>
    <t>mMCM-C32/3-MW</t>
  </si>
  <si>
    <t>mMCM-C40/3-MW</t>
  </si>
  <si>
    <t>mMCM-C50/3-MW</t>
  </si>
  <si>
    <t>mMCM-C63/3-MW</t>
  </si>
  <si>
    <t>mRCM-25/2/03-MW</t>
  </si>
  <si>
    <t>mRCM-40/2/03-MW</t>
  </si>
  <si>
    <t>mRCM-63/2/03-MW</t>
  </si>
  <si>
    <t>mRCM-80/2/03-MW</t>
  </si>
  <si>
    <t>mRCM-100/2/03-MW</t>
  </si>
  <si>
    <t>mRCM-25/4/03-MW</t>
  </si>
  <si>
    <t>mRCM-40/4/03-MW</t>
  </si>
  <si>
    <t>mRCM-63/4/03-MW</t>
  </si>
  <si>
    <t>mRCM-80/4/03-MW</t>
  </si>
  <si>
    <t>mRCM-100/4/03-MW</t>
  </si>
  <si>
    <t>mRCM-25/2/003-MW</t>
  </si>
  <si>
    <t>mRCM-40/2/003-MW</t>
  </si>
  <si>
    <t>mRCM-63/2/003-MW</t>
  </si>
  <si>
    <t>mRCM-80/2/003-MW</t>
  </si>
  <si>
    <t>mRCM-100/2/003-MW</t>
  </si>
  <si>
    <t>mRCM-25/4/003-MW</t>
  </si>
  <si>
    <t>mRCM-40/4/003-MW</t>
  </si>
  <si>
    <t>mRCM-63/4/003-MW</t>
  </si>
  <si>
    <t>mRCM-80/4/003-MW</t>
  </si>
  <si>
    <t>mRCM-100/4/003-MW</t>
  </si>
  <si>
    <t>mRCM-25/2/003-A-MW</t>
  </si>
  <si>
    <t>mRCM-40/2/003-A-MW</t>
  </si>
  <si>
    <t>mRCM-63/2/003-A-MW</t>
  </si>
  <si>
    <t>mRCM-25/4/003-A-MW</t>
  </si>
  <si>
    <t>mRCM-40/4/003-A-MW</t>
  </si>
  <si>
    <t>mRCM-63/4/003-A-MW</t>
  </si>
  <si>
    <t>mRCM-80/4/003-A-MW</t>
  </si>
  <si>
    <t>mRCM-100/4/003-A-MW</t>
  </si>
  <si>
    <t>DILM9-10</t>
  </si>
  <si>
    <t>DILM12-10</t>
  </si>
  <si>
    <t>DILM17-10</t>
  </si>
  <si>
    <t>DILM25-10</t>
  </si>
  <si>
    <t>DILM32-10</t>
  </si>
  <si>
    <t>DILM40</t>
  </si>
  <si>
    <t>DILM50</t>
  </si>
  <si>
    <t>DILM65</t>
  </si>
  <si>
    <t>DILM80</t>
  </si>
  <si>
    <t>DILM95</t>
  </si>
  <si>
    <t>DILM115</t>
  </si>
  <si>
    <t>DILM150</t>
  </si>
  <si>
    <t>DILM185-S/22</t>
  </si>
  <si>
    <t>DILM225-S/22</t>
  </si>
  <si>
    <t>DILM250-S/22</t>
  </si>
  <si>
    <t>DILM300-S/22</t>
  </si>
  <si>
    <t>FD3015L</t>
  </si>
  <si>
    <t>FD3020L</t>
  </si>
  <si>
    <t>FD3030L</t>
  </si>
  <si>
    <t>FD3040L</t>
  </si>
  <si>
    <t>FD3050L</t>
  </si>
  <si>
    <t>FD3060L</t>
  </si>
  <si>
    <t>FD3125L</t>
  </si>
  <si>
    <t>FD3150L</t>
  </si>
  <si>
    <t>FD3175L</t>
  </si>
  <si>
    <t>FD3200L</t>
  </si>
  <si>
    <t>FD3225L</t>
  </si>
  <si>
    <t>KD3300</t>
  </si>
  <si>
    <t>KD3350</t>
  </si>
  <si>
    <t>KD3400</t>
  </si>
  <si>
    <t xml:space="preserve">         Barras de Cobre</t>
  </si>
  <si>
    <t>(Pulgadas)</t>
  </si>
  <si>
    <t>(Metros)</t>
  </si>
  <si>
    <t>Seccion</t>
  </si>
  <si>
    <t>Por Fase</t>
  </si>
  <si>
    <t>Costo</t>
  </si>
  <si>
    <t>30x10mm2.</t>
  </si>
  <si>
    <t>50x10mm2.</t>
  </si>
  <si>
    <t>Barra a tierra.</t>
  </si>
  <si>
    <t>ITEM</t>
  </si>
  <si>
    <t>MODELO</t>
  </si>
  <si>
    <t>Serie G</t>
  </si>
  <si>
    <t>B20116RDM</t>
  </si>
  <si>
    <t>GES2063FFG</t>
  </si>
  <si>
    <t>Serie Universal</t>
  </si>
  <si>
    <t>Gi1015</t>
  </si>
  <si>
    <t>Gi1020</t>
  </si>
  <si>
    <t>Gi1030</t>
  </si>
  <si>
    <t>Gi1040</t>
  </si>
  <si>
    <t>Gi1050</t>
  </si>
  <si>
    <t>Gi1060</t>
  </si>
  <si>
    <t>Gi1070</t>
  </si>
  <si>
    <t>Gi1080</t>
  </si>
  <si>
    <t>Gi1090</t>
  </si>
  <si>
    <t>Gi1100</t>
  </si>
  <si>
    <t>Gi2015</t>
  </si>
  <si>
    <t>Gi2020</t>
  </si>
  <si>
    <t>Gi2030</t>
  </si>
  <si>
    <t>Gi2040</t>
  </si>
  <si>
    <t>Gi2050</t>
  </si>
  <si>
    <t>Gi2060</t>
  </si>
  <si>
    <t>Gi2070</t>
  </si>
  <si>
    <t>Gi2080</t>
  </si>
  <si>
    <t>Gi2090</t>
  </si>
  <si>
    <t>Gi2100</t>
  </si>
  <si>
    <t>Gi3015</t>
  </si>
  <si>
    <t>Gi3020</t>
  </si>
  <si>
    <t>Gi3030</t>
  </si>
  <si>
    <t>Gi3040</t>
  </si>
  <si>
    <t>Gi3050</t>
  </si>
  <si>
    <t>Gi3060</t>
  </si>
  <si>
    <t>Gi3070</t>
  </si>
  <si>
    <t>Gi3080</t>
  </si>
  <si>
    <t>Gi3090</t>
  </si>
  <si>
    <t>Gi3100</t>
  </si>
  <si>
    <t>Gi3125</t>
  </si>
  <si>
    <t>MAGNUM 3200</t>
  </si>
  <si>
    <t>MAGNUM 2000</t>
  </si>
  <si>
    <t>MAGNUM 1600</t>
  </si>
  <si>
    <t>MAGNUM 1250</t>
  </si>
  <si>
    <t>Modelo BZME</t>
  </si>
  <si>
    <t>Modelo BZMB</t>
  </si>
  <si>
    <t>BZMB3-A250</t>
  </si>
  <si>
    <t>BZMB3-A320</t>
  </si>
  <si>
    <t>BZMB3-A400</t>
  </si>
  <si>
    <t>Modelo LZM - Termomagneticos</t>
  </si>
  <si>
    <t>Modelo LZM - Electrónicos</t>
  </si>
  <si>
    <t>Accionamiento Motorizado</t>
  </si>
  <si>
    <t>NZM4-XR208-240AC</t>
  </si>
  <si>
    <t>NZM3-XR208-240AC</t>
  </si>
  <si>
    <t>NZM2-XR208-240AC</t>
  </si>
  <si>
    <t>Enclavamiento Mecánico</t>
  </si>
  <si>
    <t>NZM3/4-XMVR</t>
  </si>
  <si>
    <t>Contactos Auxiliares</t>
  </si>
  <si>
    <t>Terminales LZM - NZM</t>
  </si>
  <si>
    <t>Conmutador Manual</t>
  </si>
  <si>
    <t>CONM - 100A 3P</t>
  </si>
  <si>
    <t>CONM - 63A 2P</t>
  </si>
  <si>
    <t>Supresor de Transitorios PSPD</t>
  </si>
  <si>
    <t>PSPD050400Y1K</t>
  </si>
  <si>
    <t>TVSS-160kA</t>
  </si>
  <si>
    <t>Supresor de transitorios TVSS de 160kA / 380Vac.</t>
  </si>
  <si>
    <t>Modelo mMCM</t>
  </si>
  <si>
    <t>Modelo mRCM - Clase AC (30mA)</t>
  </si>
  <si>
    <t>Modelo mRCM - Clase A (30mA)</t>
  </si>
  <si>
    <t>Modelo mRCM - Clase AC (300mA)</t>
  </si>
  <si>
    <t>Serie Quiclag</t>
  </si>
  <si>
    <t>BR390</t>
  </si>
  <si>
    <t>CONTACTOR Serie DIL</t>
  </si>
  <si>
    <t>DILM400-S22</t>
  </si>
  <si>
    <t>DILM500-S22</t>
  </si>
  <si>
    <t>Transformador Núcleo Partido</t>
  </si>
  <si>
    <t>TC NP 3200/5</t>
  </si>
  <si>
    <t>Transformador de corriente nucleo partido de 3200/5A</t>
  </si>
  <si>
    <t>TC NP 2500/5</t>
  </si>
  <si>
    <t>Transformador de corriente nucleo partido de 2500/5A</t>
  </si>
  <si>
    <t>TC NP 2000/5</t>
  </si>
  <si>
    <t>Transformador de corriente nucleo partido de 2000/5A</t>
  </si>
  <si>
    <t>TC NP 1600/5</t>
  </si>
  <si>
    <t>Transformador de corriente nucleo partido de 1600/5A</t>
  </si>
  <si>
    <t>TC NP 1500/5</t>
  </si>
  <si>
    <t>Transformador de corriente nucleo partido de 1500/5A</t>
  </si>
  <si>
    <t>TC NP 1200/5</t>
  </si>
  <si>
    <t>Transformador de corriente nucleo partido de 1200/5A</t>
  </si>
  <si>
    <t>TC NP 1000/5</t>
  </si>
  <si>
    <t>Transformador de corriente nucleo partido de 1000/5A</t>
  </si>
  <si>
    <t>TC NP 800/5</t>
  </si>
  <si>
    <t>Transformador de corriente nucleo partido de 800/5A</t>
  </si>
  <si>
    <t>TC NP 600/5</t>
  </si>
  <si>
    <t>Transformador de corriente nucleo partido de 600/5A</t>
  </si>
  <si>
    <t>TC NP 500/5</t>
  </si>
  <si>
    <t>Transformador de corriente nucleo partido de 500/5A</t>
  </si>
  <si>
    <t>TC NP 400/5</t>
  </si>
  <si>
    <t>Transformador de corriente nucleo partido de 400/5A</t>
  </si>
  <si>
    <t>TC NP 250/5</t>
  </si>
  <si>
    <t>Transformador de corriente nucleo partido de 250/5A</t>
  </si>
  <si>
    <t>TC NP 200/5</t>
  </si>
  <si>
    <t>Transformador de corriente nucleo partido de 200/5A</t>
  </si>
  <si>
    <t>TC NP 100/5</t>
  </si>
  <si>
    <t>Transformador de corriente nucleo partido de 100/5A</t>
  </si>
  <si>
    <t>Transformador Núcleo Cerrado</t>
  </si>
  <si>
    <t>TC 3200/5</t>
  </si>
  <si>
    <t>Transformador de corriente de 3200/5A</t>
  </si>
  <si>
    <t>Transformador de corriente de 2500/5A</t>
  </si>
  <si>
    <t>Transformador de corriente de 2000/5A</t>
  </si>
  <si>
    <t>Transformador de corriente de 1600/5A</t>
  </si>
  <si>
    <t>Transformador de corriente de 1500/5A</t>
  </si>
  <si>
    <t>TC 1200/5</t>
  </si>
  <si>
    <t>Transformador de corriente de 1200/5A</t>
  </si>
  <si>
    <t>Transformador de corriente de 1000/5A</t>
  </si>
  <si>
    <t>Transformador de corriente de 800/5A</t>
  </si>
  <si>
    <t>Transformador de corriente de 600/5A</t>
  </si>
  <si>
    <t>Transformador de corriente de 500/5A</t>
  </si>
  <si>
    <t>Transformador de corriente de 400/5A</t>
  </si>
  <si>
    <t>Transformador de corriente de 250/5A</t>
  </si>
  <si>
    <t>Transformador de corriente de 200/5A</t>
  </si>
  <si>
    <t>Transformador de corriente de 100/5A</t>
  </si>
  <si>
    <t>BSC</t>
  </si>
  <si>
    <t>BN</t>
  </si>
  <si>
    <t>BOR.</t>
  </si>
  <si>
    <t>BE</t>
  </si>
  <si>
    <t>Base portafusibles + Fusibles de protección.</t>
  </si>
  <si>
    <t>LSPT</t>
  </si>
  <si>
    <t>INT. HORARIOS</t>
  </si>
  <si>
    <t>Interruptor Horario Analógico</t>
  </si>
  <si>
    <t>IH-DIG. ORBIS</t>
  </si>
  <si>
    <t>TVSS - SINETAMER</t>
  </si>
  <si>
    <t>SELECT. M-A</t>
  </si>
  <si>
    <t>SELECT. M-0-A</t>
  </si>
  <si>
    <t xml:space="preserve">DESCUENTO :        </t>
  </si>
  <si>
    <t>FORMULA UTILIZADA  =</t>
  </si>
  <si>
    <t>MEDIDAS</t>
  </si>
  <si>
    <t>TOTAL ( $ )</t>
  </si>
  <si>
    <t>6" x 1/2".</t>
  </si>
  <si>
    <t>1.5/1600</t>
  </si>
  <si>
    <t>FUSE (10x38mm)</t>
  </si>
  <si>
    <t>Modelo mMC6</t>
  </si>
  <si>
    <t>BOR.2</t>
  </si>
  <si>
    <t>CONM - 40A 2P</t>
  </si>
  <si>
    <t>D65VMLP480-B2</t>
  </si>
  <si>
    <t>NEMA 12</t>
  </si>
  <si>
    <t>MAGNUM 4000</t>
  </si>
  <si>
    <t>TC 2000/5 M70385</t>
  </si>
  <si>
    <t>TC 1500/5 M70375</t>
  </si>
  <si>
    <t>TC 2500/5 M70386</t>
  </si>
  <si>
    <t>TC 800/5 M70372</t>
  </si>
  <si>
    <t xml:space="preserve">TC 400/5 M70347  </t>
  </si>
  <si>
    <t>TC 200/5 M70344</t>
  </si>
  <si>
    <t>TC 500/5 M70336</t>
  </si>
  <si>
    <t>LZMS2-A100</t>
  </si>
  <si>
    <t>100x10mm2.</t>
  </si>
  <si>
    <t>40x10mm2.</t>
  </si>
  <si>
    <t>120x10mm2.</t>
  </si>
  <si>
    <t>mMC6-C10/1-MW</t>
  </si>
  <si>
    <t>mMC6-C16/1-MW</t>
  </si>
  <si>
    <t>mMC6-C20/1-MW</t>
  </si>
  <si>
    <t>mMC6-C25/1-MW</t>
  </si>
  <si>
    <t>mMC6-C32/1-MW</t>
  </si>
  <si>
    <t>mMC6-C40/1-MW</t>
  </si>
  <si>
    <t>mMC6-C50/1-MW</t>
  </si>
  <si>
    <t>mMC6-C63/1-MW</t>
  </si>
  <si>
    <t>mMC6-C10/2-MW</t>
  </si>
  <si>
    <t>mMC6-C16/2-MW</t>
  </si>
  <si>
    <t>mMC6-C20/2-MW</t>
  </si>
  <si>
    <t>mMC6-C25/2-MW</t>
  </si>
  <si>
    <t>mMC6-C32/2-MW</t>
  </si>
  <si>
    <t>mMC6-C40/2-MW</t>
  </si>
  <si>
    <t>mMC6-C50/2-MW</t>
  </si>
  <si>
    <t>mMC6-C63/2-MW</t>
  </si>
  <si>
    <t>mMC6-C10/3-MW</t>
  </si>
  <si>
    <t>mMC6-C16/3-MW</t>
  </si>
  <si>
    <t>mMC6-C20/3-MW</t>
  </si>
  <si>
    <t>mMC6-C25/3-MW</t>
  </si>
  <si>
    <t>mMC6-C32/3-MW</t>
  </si>
  <si>
    <t>mMC6-C40/3-MW</t>
  </si>
  <si>
    <t>mMC6-C50/3-MW</t>
  </si>
  <si>
    <t>mMC6-C63/3-MW</t>
  </si>
  <si>
    <t>BZME1-1-A20-BT-AP</t>
  </si>
  <si>
    <t>BZME1-1-A25-BT-AP</t>
  </si>
  <si>
    <t>BZME1-1-A32-BT-AP</t>
  </si>
  <si>
    <t>BZME1-1-A40-BT-AP</t>
  </si>
  <si>
    <t>BZME1-1-A50-BT-AP</t>
  </si>
  <si>
    <t>BZME1-1-A63-BT-AP</t>
  </si>
  <si>
    <t>BZME1-1-A80-BT-AP</t>
  </si>
  <si>
    <t>BZME1-1-A100-BT-AP</t>
  </si>
  <si>
    <t>BZME1-2-A20-BT-AP</t>
  </si>
  <si>
    <t>BZME1-2-A25-BT-AP</t>
  </si>
  <si>
    <t>BZME1-2-A32-BT-AP</t>
  </si>
  <si>
    <t>BZME1-2-A40-BT-AP</t>
  </si>
  <si>
    <t>BZME1-2-A50-BT-AP</t>
  </si>
  <si>
    <t>BZME1-2-A63-BT-AP</t>
  </si>
  <si>
    <t>BZME1-2-A80-BT-AP</t>
  </si>
  <si>
    <t>BZME1-2-A100-BT-AP</t>
  </si>
  <si>
    <t>BZME1-4-A16-BT-AP</t>
  </si>
  <si>
    <t>BZME1-4-A20-BT-AP</t>
  </si>
  <si>
    <t>BZME1-4-A25-BT-AP</t>
  </si>
  <si>
    <t>BZME1-4-A32-BT-AP</t>
  </si>
  <si>
    <t>BZME1-4-A40-BT-AP</t>
  </si>
  <si>
    <t>BZME1-4-A50-BT-AP</t>
  </si>
  <si>
    <t>BZME1-4-A63-BT-AP</t>
  </si>
  <si>
    <t>BZME1-4-A80-BT-AP</t>
  </si>
  <si>
    <t>BZME1-4-A100-BT-AP</t>
  </si>
  <si>
    <t>BZMB1-1-A20-BT-AP</t>
  </si>
  <si>
    <t>BZMB1-1-A25-BT-AP</t>
  </si>
  <si>
    <t>BZMB1-1-A32-BT-AP</t>
  </si>
  <si>
    <t>BZMB1-1-A40-BT-AP</t>
  </si>
  <si>
    <t>BZMB1-1-A50-BT-AP</t>
  </si>
  <si>
    <t>BZMB1-1-A63-BT-AP</t>
  </si>
  <si>
    <t>BZMB1-1-A80-BT-AP</t>
  </si>
  <si>
    <t>BZMB1-1-A100-BT-AP</t>
  </si>
  <si>
    <t>BZMB1-2-A20-BT-AP</t>
  </si>
  <si>
    <t>BZMB1-2-A25-BT-AP</t>
  </si>
  <si>
    <t>BZMB1-2-A32-BT-AP</t>
  </si>
  <si>
    <t>BZMB1-2-A40-BT-AP</t>
  </si>
  <si>
    <t>BZMB1-2-A50-BT-AP</t>
  </si>
  <si>
    <t>BZMB1-2-A63-BT-AP</t>
  </si>
  <si>
    <t>BZMB1-2-A80-BT-AP</t>
  </si>
  <si>
    <t>BZMB1-2-A100-BT-AP</t>
  </si>
  <si>
    <t>BZMB1-4-A16-BT-AP</t>
  </si>
  <si>
    <t>BZMB1-4-A20-BT-AP</t>
  </si>
  <si>
    <t>BZMB1-4-A25-BT-AP</t>
  </si>
  <si>
    <t>BZMB1-4-A32-BT-AP</t>
  </si>
  <si>
    <t>BZMB1-4-A40-BT-AP</t>
  </si>
  <si>
    <t>BZMB1-4-A50-BT-AP</t>
  </si>
  <si>
    <t>BZMB1-4-A63-BT-AP</t>
  </si>
  <si>
    <t>BZMB1-4-A80-BT-AP</t>
  </si>
  <si>
    <t>BZMB1-4-A100-BT-AP</t>
  </si>
  <si>
    <t>NEMA 1</t>
  </si>
  <si>
    <t>(Dolares - $)</t>
  </si>
  <si>
    <t xml:space="preserve">INTRODUCIR </t>
  </si>
  <si>
    <t>VALOR</t>
  </si>
  <si>
    <t xml:space="preserve">PRECIO DEL DÓLAR :   S/. </t>
  </si>
  <si>
    <t>Proteccion</t>
  </si>
  <si>
    <t>H = Altura</t>
  </si>
  <si>
    <t>W = Ancho</t>
  </si>
  <si>
    <t>F = Fondo</t>
  </si>
  <si>
    <t>ITEM - HOJA</t>
  </si>
  <si>
    <t>DE CALCULO</t>
  </si>
  <si>
    <t>CALCULO DE BARRAS</t>
  </si>
  <si>
    <t xml:space="preserve">Item - </t>
  </si>
  <si>
    <t xml:space="preserve">Barras </t>
  </si>
  <si>
    <r>
      <t>(Perimetro</t>
    </r>
    <r>
      <rPr>
        <b/>
        <vertAlign val="subscript"/>
        <sz val="11"/>
        <rFont val="Arial"/>
        <family val="2"/>
      </rPr>
      <t>1</t>
    </r>
    <r>
      <rPr>
        <b/>
        <sz val="11"/>
        <rFont val="Arial"/>
        <family val="2"/>
      </rPr>
      <t xml:space="preserve"> - mm)</t>
    </r>
  </si>
  <si>
    <r>
      <t>(Perimetro</t>
    </r>
    <r>
      <rPr>
        <b/>
        <vertAlign val="subscript"/>
        <sz val="11"/>
        <rFont val="Arial"/>
        <family val="2"/>
      </rPr>
      <t>2</t>
    </r>
    <r>
      <rPr>
        <b/>
        <sz val="11"/>
        <rFont val="Arial"/>
        <family val="2"/>
      </rPr>
      <t xml:space="preserve"> - mm)</t>
    </r>
  </si>
  <si>
    <r>
      <t>(Perimetro</t>
    </r>
    <r>
      <rPr>
        <b/>
        <vertAlign val="subscript"/>
        <sz val="11"/>
        <rFont val="Arial"/>
        <family val="2"/>
      </rPr>
      <t>b</t>
    </r>
    <r>
      <rPr>
        <b/>
        <sz val="11"/>
        <rFont val="Arial"/>
        <family val="2"/>
      </rPr>
      <t xml:space="preserve"> - mm)</t>
    </r>
  </si>
  <si>
    <r>
      <t>Perimetro</t>
    </r>
    <r>
      <rPr>
        <b/>
        <vertAlign val="subscript"/>
        <sz val="13"/>
        <rFont val="Arial"/>
        <family val="2"/>
      </rPr>
      <t>b</t>
    </r>
    <r>
      <rPr>
        <b/>
        <sz val="13"/>
        <rFont val="Arial"/>
        <family val="2"/>
      </rPr>
      <t xml:space="preserve"> = 2x(W+F) mm </t>
    </r>
  </si>
  <si>
    <t>2x(600+600) = 2.400</t>
  </si>
  <si>
    <t>Base = 2000x600x600 mm / (HxWxF mm)</t>
  </si>
  <si>
    <t>BAB1015</t>
  </si>
  <si>
    <t>BAB1020</t>
  </si>
  <si>
    <t>BAB1030</t>
  </si>
  <si>
    <t>BAB1040</t>
  </si>
  <si>
    <t>BAB1050</t>
  </si>
  <si>
    <t>BAB1060</t>
  </si>
  <si>
    <t>BAB1070</t>
  </si>
  <si>
    <t>BAB1080</t>
  </si>
  <si>
    <t>$/Kg =</t>
  </si>
  <si>
    <t>Peso</t>
  </si>
  <si>
    <t xml:space="preserve">     Amperaje</t>
  </si>
  <si>
    <t>Medida</t>
  </si>
  <si>
    <t>$/Pza</t>
  </si>
  <si>
    <t>25x10mm2.</t>
  </si>
  <si>
    <t>30x5mm2.</t>
  </si>
  <si>
    <t>40x5mm2.</t>
  </si>
  <si>
    <t>60x10mm2.</t>
  </si>
  <si>
    <t>80x10mm2.</t>
  </si>
  <si>
    <t>160x10mm2.</t>
  </si>
  <si>
    <t>200x10mm2.</t>
  </si>
  <si>
    <t>BASE DE BARRAS</t>
  </si>
  <si>
    <t>A40</t>
  </si>
  <si>
    <t>caracteruisticas:</t>
  </si>
  <si>
    <t>·          Compacto 96x96 mm, pantalla LCD retroiluminada.</t>
  </si>
  <si>
    <t>·          Medida en valores eficaces reales (TRMS):</t>
  </si>
  <si>
    <t>·          Tensión línea-línea y línea-neutro. Precisión 0.2%</t>
  </si>
  <si>
    <t>·          Corriente línea. Precisión 0.2%</t>
  </si>
  <si>
    <t>·          Potencia activa, reactiva, aparente t potencias por fases y totales. Precisión 0.5%</t>
  </si>
  <si>
    <t>·          Máxima demanda de corriente y potencia activa</t>
  </si>
  <si>
    <t>·          Factor de potencia. Precisión 0.5%</t>
  </si>
  <si>
    <t>·          Frecuencia. Precisión 0.1%</t>
  </si>
  <si>
    <t xml:space="preserve">·          Energía activa, reactiva y aparente. Precisión de energía activa (según IEC 62053-22): clase 0.5S, </t>
  </si>
  <si>
    <t xml:space="preserve">           Precisión de energía reactiva (según IEC 62053-23): clase 2.</t>
  </si>
  <si>
    <t>·          Tasa de Distorsión armónica THD de tensión y corriente por fase</t>
  </si>
  <si>
    <t>·          Análisis de armónico individual hasta el rango 63avo de tensión y corriente</t>
  </si>
  <si>
    <t>·          Comunicación: Bus RS485 protocolo MODBUS</t>
  </si>
  <si>
    <t>·          Alimentación auxiliar: 110-400Vac</t>
  </si>
  <si>
    <t>·          Medición de tensión directa entre fases: 50…700Vac</t>
  </si>
  <si>
    <t>A20</t>
  </si>
  <si>
    <t>·          Análisis de armónico individual hasta el rango 51avo de tensión y corriente</t>
  </si>
  <si>
    <t>·          Medición de tensión directa entre fases: 50…500Vac</t>
  </si>
  <si>
    <t xml:space="preserve">Interruptor de Transferencia Automático, 3 polos, …. A, ……Vac, 60Hz, con Dispositivo </t>
  </si>
  <si>
    <t>de Conmutación Automática, marca ABB.</t>
  </si>
  <si>
    <t xml:space="preserve">El Módulo de potencia está formado por dos interruptores tipo caja moldeada, marca </t>
  </si>
  <si>
    <t xml:space="preserve">ABB, Poder de corte ultimo en cortocircuito (Icu) de ....kA,  con sistema de mando </t>
  </si>
  <si>
    <t>eléctrico y enclavamiento mecánico entre interruptores.</t>
  </si>
  <si>
    <t xml:space="preserve">El Dispositivo de Conmutación Automática, modelo ATS022, marca ABB, tiene las </t>
  </si>
  <si>
    <t>siguientes características que a continuación se describe:</t>
  </si>
  <si>
    <t xml:space="preserve">A.- Supervisa la tensión de Suministro Principal y de Emergencia y registra cualquiera </t>
  </si>
  <si>
    <t xml:space="preserve"> de las siguientes anomalías:</t>
  </si>
  <si>
    <t xml:space="preserve">                - Tensión máxima y mínima.</t>
  </si>
  <si>
    <t xml:space="preserve">                - Frecuencia máxima y mínima.</t>
  </si>
  <si>
    <t xml:space="preserve">                - Falta de fase.</t>
  </si>
  <si>
    <t xml:space="preserve">                - Desequilibrio de tensión.</t>
  </si>
  <si>
    <t xml:space="preserve">                - Desequilibrio de frecuencia.</t>
  </si>
  <si>
    <t xml:space="preserve">B.- Controla todas las secuencias de conmutación aplicando los retardos temporales </t>
  </si>
  <si>
    <t xml:space="preserve">     programables siguientes:</t>
  </si>
  <si>
    <t xml:space="preserve"> - Retardo de arranque del generador después de la detección de una anomalía en la </t>
  </si>
  <si>
    <t xml:space="preserve">   red. Regulable de 0 a 30 s. </t>
  </si>
  <si>
    <t>- Retardo de cierre del interruptor suministro Principal. Regulable de 0 a 60 s.</t>
  </si>
  <si>
    <t>- Retardo de cierre del interruptor suministro Emergencia. Regulable de 0 a 60 s.</t>
  </si>
  <si>
    <t xml:space="preserve">- Retardo de apertura del interruptor de suministro Emergencia, después de detección </t>
  </si>
  <si>
    <t xml:space="preserve">  de la estabilización de tensión del suministro Principal. Regulable: 0…59s, 1, 2,...30min.</t>
  </si>
  <si>
    <t xml:space="preserve">- Retardo de apagado del Grupo Electrógeno  después del cierre del interruptor de </t>
  </si>
  <si>
    <t xml:space="preserve">  suministro.</t>
  </si>
  <si>
    <t xml:space="preserve">  Principal. Regulable: 0…59s, 1, 2,…30min.</t>
  </si>
  <si>
    <t xml:space="preserve">C.- Con un display grafico frontal, a través del cual el usuario puede verificar la </t>
  </si>
  <si>
    <t xml:space="preserve">     configuración y ver el estado de la unidad y de los interruptores conectados.</t>
  </si>
  <si>
    <t xml:space="preserve">D.- El display gráfico permite la visualización de la tensión y frecuencia de Suministro </t>
  </si>
  <si>
    <t xml:space="preserve">      Principal y de Emergencia.</t>
  </si>
  <si>
    <t>E.- Bornes para mando de arranque del Grupo electrógeno.</t>
  </si>
  <si>
    <t>TRANSFERENCIA EATON</t>
  </si>
  <si>
    <t>Transferencia Automático, 3 polos, 400 A, 380Vac, 60Hz, con la siguientes características:</t>
  </si>
  <si>
    <t xml:space="preserve">El módulo de potencia está formado por dos interruptores de caja moldeada, 3x400 A, </t>
  </si>
  <si>
    <t xml:space="preserve">capacidad de ruptura en cortocircuito de 70kA @ 415Vac, con sistema de accionamiento </t>
  </si>
  <si>
    <t>motorizado y enclavamiento mecánico.</t>
  </si>
  <si>
    <t xml:space="preserve">Controlador Automático, modelo ATC-300, marca EATON, basado en un microprocesador, </t>
  </si>
  <si>
    <t xml:space="preserve">con pantalla LCD de 16 caracteres, de dos líneas, a continuación se describe sus </t>
  </si>
  <si>
    <t>características de monitoreo y protección  :</t>
  </si>
  <si>
    <t xml:space="preserve">-      Retardo de transferencia de Normal a Emergencia - 0 a 1800 seg. </t>
  </si>
  <si>
    <t>-      Retardo de arranque de grupo - 0 a 120 seg.</t>
  </si>
  <si>
    <t>-      Retardo de transferencia de Emergencia a Normal - 0 a 1800 seg.</t>
  </si>
  <si>
    <t>-      Retardo de enfriamiento de grupo - 0 a 1800 seg.</t>
  </si>
  <si>
    <t xml:space="preserve">-      Supervisión  de mínima y máxima tensión trifásico de grupo electrógeno </t>
  </si>
  <si>
    <t xml:space="preserve">-      Supervisión de mínima y máxima   frecuencia   de   grupo electrógeno </t>
  </si>
  <si>
    <t>-      Supervisión de mínima y máxima trifásico de suministro Normal</t>
  </si>
  <si>
    <t>-      Supervisión mínima y máxima frecuencia de suministro Normal</t>
  </si>
  <si>
    <t>-      Bornes para mando de arranque del grupo electrógeno</t>
  </si>
  <si>
    <t xml:space="preserve">-      Ejercitador de planta, ofrece una operación de prueba automática del grupo. Los ciclos  </t>
  </si>
  <si>
    <t xml:space="preserve">       de prueba disponibles son diarios, de 7, 14 ó 28 días con una duración igual al tiempo </t>
  </si>
  <si>
    <t xml:space="preserve">       de prueba  de motor programado.</t>
  </si>
  <si>
    <t>Esquema mimico con Indicadores Luminosos  tipo LEDs , para señalización de Suministro 1</t>
  </si>
  <si>
    <t xml:space="preserve">Disponible, Suministro 1 Conectado, Suministro 2 Disponible y Suministro 2 Conectado. </t>
  </si>
  <si>
    <t>Indicador Luminoso tipo LED de estado del equipo.</t>
  </si>
  <si>
    <t xml:space="preserve">La pantalla LCD permite la visualización de tensión y frecuencia de cada suministro, revisar </t>
  </si>
  <si>
    <t xml:space="preserve">los parámetros regulados para operación de la transferencia y revisar la historia de las últimas </t>
  </si>
  <si>
    <t xml:space="preserve">16 operaciones de transferencia. </t>
  </si>
  <si>
    <t>La programación se hace con el mismo equipo.</t>
  </si>
  <si>
    <t>1- Selector de dos posiciones " MANUAL - AUTO " .</t>
  </si>
  <si>
    <t xml:space="preserve">1- Lámpara de señalización, color rojo,  de indicación de interruptor disparado </t>
  </si>
  <si>
    <t>"FALLA DE BREAKER" .</t>
  </si>
  <si>
    <t>Magnum</t>
  </si>
  <si>
    <t xml:space="preserve">Interruptor de potencia en aire tipo bastidor abierto, con mecanismo operado por acumulación </t>
  </si>
  <si>
    <r>
      <t xml:space="preserve">de energía, operación manual, modelo </t>
    </r>
    <r>
      <rPr>
        <u/>
        <sz val="11"/>
        <color rgb="FFFF0000"/>
        <rFont val="Times New Roman"/>
        <family val="1"/>
      </rPr>
      <t>Mágnum Narrow, 3x3200 A</t>
    </r>
    <r>
      <rPr>
        <sz val="11"/>
        <color rgb="FF0070C0"/>
        <rFont val="Times New Roman"/>
        <family val="1"/>
      </rPr>
      <t xml:space="preserve">, con capacidad de ruptura </t>
    </r>
  </si>
  <si>
    <r>
      <t xml:space="preserve">de </t>
    </r>
    <r>
      <rPr>
        <u/>
        <sz val="11"/>
        <color rgb="FFFF0000"/>
        <rFont val="Times New Roman"/>
        <family val="1"/>
      </rPr>
      <t>65kA</t>
    </r>
    <r>
      <rPr>
        <sz val="11"/>
        <color rgb="FF0070C0"/>
        <rFont val="Times New Roman"/>
        <family val="1"/>
      </rPr>
      <t xml:space="preserve"> hasta 480 Vac, marca EATON (antes Cutler Hammer) </t>
    </r>
  </si>
  <si>
    <r>
      <t>Con unidad de disparo electrónica modelo Digitrip 520 LSI</t>
    </r>
    <r>
      <rPr>
        <b/>
        <sz val="11"/>
        <color rgb="FF7030A0"/>
        <rFont val="Times New Roman"/>
        <family val="1"/>
      </rPr>
      <t>G</t>
    </r>
    <r>
      <rPr>
        <sz val="11"/>
        <color rgb="FF0070C0"/>
        <rFont val="Times New Roman"/>
        <family val="1"/>
      </rPr>
      <t xml:space="preserve">, Protección Térmica Ajustable </t>
    </r>
  </si>
  <si>
    <t xml:space="preserve">(0.4 a 1.0 de IN con retardos de 2 a 24 seg en 6 x IR), Protección Magnética Ajustable (2 a </t>
  </si>
  <si>
    <t xml:space="preserve">10 de IR con retardos de 0.1 a 0.5 seg, curva Flat y I2t), Disparo Instantáneo Ajustable (Off, 2 </t>
  </si>
  <si>
    <r>
      <t xml:space="preserve">a 10 veces IN) y Rating Plug de </t>
    </r>
    <r>
      <rPr>
        <u/>
        <sz val="11"/>
        <color rgb="FFFF0000"/>
        <rFont val="Times New Roman"/>
        <family val="1"/>
      </rPr>
      <t>3200 Amp</t>
    </r>
    <r>
      <rPr>
        <sz val="11"/>
        <color rgb="FF0070C0"/>
        <rFont val="Times New Roman"/>
        <family val="1"/>
      </rPr>
      <t>.</t>
    </r>
  </si>
  <si>
    <r>
      <t>Protección de Falla  a Tierra Ajustable (0.25 a 1.0 de I</t>
    </r>
    <r>
      <rPr>
        <b/>
        <vertAlign val="subscript"/>
        <sz val="11"/>
        <color rgb="FF7030A0"/>
        <rFont val="Times New Roman"/>
        <family val="1"/>
      </rPr>
      <t>N</t>
    </r>
    <r>
      <rPr>
        <b/>
        <sz val="11"/>
        <color rgb="FF7030A0"/>
        <rFont val="Times New Roman"/>
        <family val="1"/>
      </rPr>
      <t xml:space="preserve"> con retardos de 0.1 a 0.5 seg</t>
    </r>
  </si>
  <si>
    <t>, curva Flat y I2t)</t>
  </si>
  <si>
    <t>Incluye como accesorios Standard:</t>
  </si>
  <si>
    <r>
      <t>-</t>
    </r>
    <r>
      <rPr>
        <sz val="7"/>
        <color rgb="FF0070C0"/>
        <rFont val="Times New Roman"/>
        <family val="1"/>
      </rPr>
      <t xml:space="preserve">       </t>
    </r>
    <r>
      <rPr>
        <sz val="11"/>
        <color rgb="FF0070C0"/>
        <rFont val="Times New Roman"/>
        <family val="1"/>
      </rPr>
      <t>Contactos auxiliares 2NA + 2NC</t>
    </r>
  </si>
  <si>
    <r>
      <t>-</t>
    </r>
    <r>
      <rPr>
        <sz val="7"/>
        <color rgb="FF0070C0"/>
        <rFont val="Times New Roman"/>
        <family val="1"/>
      </rPr>
      <t xml:space="preserve">       </t>
    </r>
    <r>
      <rPr>
        <sz val="11"/>
        <color rgb="FF0070C0"/>
        <rFont val="Times New Roman"/>
        <family val="1"/>
      </rPr>
      <t>Contactos de alarma 2NA + 2NC conmutables</t>
    </r>
  </si>
  <si>
    <r>
      <t>-</t>
    </r>
    <r>
      <rPr>
        <sz val="7"/>
        <color rgb="FF0070C0"/>
        <rFont val="Times New Roman"/>
        <family val="1"/>
      </rPr>
      <t xml:space="preserve">       </t>
    </r>
    <r>
      <rPr>
        <sz val="11"/>
        <color rgb="FF0070C0"/>
        <rFont val="Times New Roman"/>
        <family val="1"/>
      </rPr>
      <t>Pulsadores de operación manual ON – OFF</t>
    </r>
  </si>
  <si>
    <r>
      <t>-</t>
    </r>
    <r>
      <rPr>
        <sz val="7"/>
        <color rgb="FF0070C0"/>
        <rFont val="Times New Roman"/>
        <family val="1"/>
      </rPr>
      <t xml:space="preserve">       </t>
    </r>
    <r>
      <rPr>
        <sz val="11"/>
        <color rgb="FF0070C0"/>
        <rFont val="Times New Roman"/>
        <family val="1"/>
      </rPr>
      <t>Palanca Manual para carga de Resorte</t>
    </r>
  </si>
  <si>
    <r>
      <t>-</t>
    </r>
    <r>
      <rPr>
        <sz val="7"/>
        <color rgb="FF0070C0"/>
        <rFont val="Times New Roman"/>
        <family val="1"/>
      </rPr>
      <t xml:space="preserve">       </t>
    </r>
    <r>
      <rPr>
        <sz val="11"/>
        <color rgb="FF0070C0"/>
        <rFont val="Times New Roman"/>
        <family val="1"/>
      </rPr>
      <t>Contador de Operaciones</t>
    </r>
  </si>
  <si>
    <t>Accesorios Opcionales:</t>
  </si>
  <si>
    <r>
      <t>-</t>
    </r>
    <r>
      <rPr>
        <sz val="7"/>
        <color rgb="FF548235"/>
        <rFont val="Times New Roman"/>
        <family val="1"/>
      </rPr>
      <t xml:space="preserve">       </t>
    </r>
    <r>
      <rPr>
        <sz val="11"/>
        <color rgb="FF548235"/>
        <rFont val="Times New Roman"/>
        <family val="1"/>
      </rPr>
      <t>Bobina de disparo (Shunt Trip en 220 Vac)</t>
    </r>
  </si>
  <si>
    <r>
      <t>-</t>
    </r>
    <r>
      <rPr>
        <sz val="7"/>
        <color rgb="FF548235"/>
        <rFont val="Times New Roman"/>
        <family val="1"/>
      </rPr>
      <t xml:space="preserve">       </t>
    </r>
    <r>
      <rPr>
        <sz val="11"/>
        <color rgb="FF548235"/>
        <rFont val="Times New Roman"/>
        <family val="1"/>
      </rPr>
      <t>Mando motorizado para carga automática del resorte (Motor Operator en 220 Vac)</t>
    </r>
  </si>
  <si>
    <r>
      <t>-</t>
    </r>
    <r>
      <rPr>
        <sz val="7"/>
        <color rgb="FF548235"/>
        <rFont val="Times New Roman"/>
        <family val="1"/>
      </rPr>
      <t xml:space="preserve">       </t>
    </r>
    <r>
      <rPr>
        <sz val="11"/>
        <color rgb="FF548235"/>
        <rFont val="Times New Roman"/>
        <family val="1"/>
      </rPr>
      <t>Bobina de cierre (Spring Release en 220 Vac)</t>
    </r>
  </si>
  <si>
    <r>
      <t>-</t>
    </r>
    <r>
      <rPr>
        <sz val="7"/>
        <color rgb="FF548235"/>
        <rFont val="Times New Roman"/>
        <family val="1"/>
      </rPr>
      <t xml:space="preserve">       </t>
    </r>
    <r>
      <rPr>
        <sz val="11"/>
        <color rgb="FF548235"/>
        <rFont val="Times New Roman"/>
        <family val="1"/>
      </rPr>
      <t>Bobina de Mínima Tensión (Undervoltage Release)</t>
    </r>
  </si>
  <si>
    <r>
      <t>-</t>
    </r>
    <r>
      <rPr>
        <sz val="7"/>
        <color rgb="FF548235"/>
        <rFont val="Times New Roman"/>
        <family val="1"/>
      </rPr>
      <t xml:space="preserve">       </t>
    </r>
    <r>
      <rPr>
        <sz val="11"/>
        <color rgb="FF548235"/>
        <rFont val="Times New Roman"/>
        <family val="1"/>
      </rPr>
      <t>Cubierta de Bloqueo para Pulsadores de Maniobra</t>
    </r>
  </si>
  <si>
    <r>
      <t>-</t>
    </r>
    <r>
      <rPr>
        <sz val="7"/>
        <color rgb="FF548235"/>
        <rFont val="Times New Roman"/>
        <family val="1"/>
      </rPr>
      <t xml:space="preserve">       </t>
    </r>
    <r>
      <rPr>
        <sz val="11"/>
        <color rgb="FF548235"/>
        <rFont val="Times New Roman"/>
        <family val="1"/>
      </rPr>
      <t>Contactos auxiliares 2NA + 2NC (adicionales)</t>
    </r>
  </si>
  <si>
    <t>Consideraciones a tomar en cuenta:</t>
  </si>
  <si>
    <r>
      <t>-</t>
    </r>
    <r>
      <rPr>
        <sz val="7"/>
        <color rgb="FFFF0000"/>
        <rFont val="Times New Roman"/>
        <family val="1"/>
      </rPr>
      <t xml:space="preserve">       </t>
    </r>
    <r>
      <rPr>
        <i/>
        <u/>
        <sz val="10"/>
        <color rgb="FFFF0000"/>
        <rFont val="Arial"/>
        <family val="2"/>
      </rPr>
      <t>El texto subrayado varía de acuerdo al modelo de interruptor, capacidad de ruptura, amperaje, etc.</t>
    </r>
  </si>
  <si>
    <r>
      <t>-</t>
    </r>
    <r>
      <rPr>
        <sz val="7"/>
        <color rgb="FF7030A0"/>
        <rFont val="Times New Roman"/>
        <family val="1"/>
      </rPr>
      <t xml:space="preserve">       </t>
    </r>
    <r>
      <rPr>
        <b/>
        <i/>
        <sz val="10"/>
        <color rgb="FF7030A0"/>
        <rFont val="Arial"/>
        <family val="2"/>
      </rPr>
      <t>El texto en morado se agrega si tiene protección de falla a tierra.</t>
    </r>
  </si>
  <si>
    <r>
      <t>-</t>
    </r>
    <r>
      <rPr>
        <sz val="7"/>
        <color rgb="FF548235"/>
        <rFont val="Times New Roman"/>
        <family val="1"/>
      </rPr>
      <t xml:space="preserve">       </t>
    </r>
    <r>
      <rPr>
        <i/>
        <sz val="10"/>
        <color rgb="FF548235"/>
        <rFont val="Arial"/>
        <family val="2"/>
      </rPr>
      <t>El texto en Verde es opcional y varía de acuerdo a la tensión de control, la tensión del sistema, los requerimientos del cliente y el proyecto.</t>
    </r>
  </si>
  <si>
    <t>BAB2080</t>
  </si>
  <si>
    <t>BAB2090</t>
  </si>
  <si>
    <t>QC1015</t>
  </si>
  <si>
    <t>QC1020</t>
  </si>
  <si>
    <t>QC1030</t>
  </si>
  <si>
    <t>QC1040</t>
  </si>
  <si>
    <t>QC1050</t>
  </si>
  <si>
    <t>QC1060</t>
  </si>
  <si>
    <t>QC1070</t>
  </si>
  <si>
    <t>QC2080</t>
  </si>
  <si>
    <t>BR115</t>
  </si>
  <si>
    <t>BR120</t>
  </si>
  <si>
    <t>BR130</t>
  </si>
  <si>
    <t>BR140</t>
  </si>
  <si>
    <t>BR150</t>
  </si>
  <si>
    <t>BR160</t>
  </si>
  <si>
    <t>BR170</t>
  </si>
  <si>
    <t>BR290</t>
  </si>
  <si>
    <t>BR2100</t>
  </si>
  <si>
    <t>DILM7-10</t>
  </si>
  <si>
    <t>DILM15-10</t>
  </si>
  <si>
    <t>DILM72</t>
  </si>
  <si>
    <t>DILM170</t>
  </si>
  <si>
    <t>BORNES DE 100A
Barras de 20x3mm</t>
  </si>
  <si>
    <t>BORNES DE 225A
Barras de 25x5mm</t>
  </si>
  <si>
    <t>BORNES DE 400A
Barras de 30x10mm</t>
  </si>
  <si>
    <t>PRECIO ($)</t>
  </si>
  <si>
    <t>FONDO (")</t>
  </si>
  <si>
    <t>ANCHO (")</t>
  </si>
  <si>
    <t>ALTO (")</t>
  </si>
  <si>
    <t>GABINETES AUTOSOPORTADOS</t>
  </si>
  <si>
    <t>04</t>
  </si>
  <si>
    <t>06</t>
  </si>
  <si>
    <t>08</t>
  </si>
  <si>
    <t>VOLTAJE</t>
  </si>
  <si>
    <t>(G7*I7*F7+J7*L7)*E7*1,67*1,25</t>
  </si>
  <si>
    <t>-----------------------------------------------------------------------------------</t>
  </si>
  <si>
    <t xml:space="preserve"> NEMA 4 = (NEMA 12) x 1,5</t>
  </si>
  <si>
    <t xml:space="preserve"> NEMA 3R = NEMA 12 + $100</t>
  </si>
  <si>
    <r>
      <rPr>
        <b/>
        <u/>
        <sz val="11"/>
        <rFont val="Arial"/>
        <family val="2"/>
      </rPr>
      <t>NOTA 1</t>
    </r>
    <r>
      <rPr>
        <b/>
        <sz val="11"/>
        <rFont val="Arial"/>
        <family val="2"/>
      </rPr>
      <t xml:space="preserve"> :   </t>
    </r>
  </si>
  <si>
    <r>
      <rPr>
        <b/>
        <u/>
        <sz val="11"/>
        <rFont val="Arial"/>
        <family val="2"/>
      </rPr>
      <t>NOTA 2</t>
    </r>
    <r>
      <rPr>
        <b/>
        <sz val="11"/>
        <rFont val="Arial"/>
        <family val="2"/>
      </rPr>
      <t xml:space="preserve"> :  </t>
    </r>
  </si>
  <si>
    <t xml:space="preserve">en las barras horizontales. </t>
  </si>
  <si>
    <t>BZME1-A125-BT-AP</t>
  </si>
  <si>
    <t>Contacto auxiliar 1NO + 1NC para interruptor LZM</t>
  </si>
  <si>
    <t>CONM - 63A 3P</t>
  </si>
  <si>
    <t>BAB20100</t>
  </si>
  <si>
    <t>Lamparas de señalizacion de presencia de tension , color rojo tipo led , 22mmØ.</t>
  </si>
  <si>
    <t>Modif.</t>
  </si>
  <si>
    <t>SI</t>
  </si>
  <si>
    <r>
      <rPr>
        <b/>
        <u/>
        <sz val="10"/>
        <rFont val="Arial"/>
        <family val="2"/>
      </rPr>
      <t>NOTAS</t>
    </r>
    <r>
      <rPr>
        <b/>
        <sz val="10"/>
        <rFont val="Arial"/>
        <family val="2"/>
      </rPr>
      <t xml:space="preserve"> :</t>
    </r>
  </si>
  <si>
    <t>MARCA</t>
  </si>
  <si>
    <t>CVM-C10-ITF-485-ICT2</t>
  </si>
  <si>
    <t>NZM3-XKP</t>
  </si>
  <si>
    <t>NZM4-XKP</t>
  </si>
  <si>
    <t>XTOB010BC1</t>
  </si>
  <si>
    <t>XTOB012BC1</t>
  </si>
  <si>
    <t>XTOB016BC1</t>
  </si>
  <si>
    <t>DILM32-XHI11</t>
  </si>
  <si>
    <t>FABRICACIONES LOCALES</t>
  </si>
  <si>
    <t>PRODUCTOS DE OTRAS MARCAS AGREGADOS</t>
  </si>
  <si>
    <t>ABB</t>
  </si>
  <si>
    <t>ATS022</t>
  </si>
  <si>
    <t>1SDA065524R1</t>
  </si>
  <si>
    <t>1SCA120095R1001</t>
  </si>
  <si>
    <t>1SCA120071R1001</t>
  </si>
  <si>
    <t>OTM_I-0-II_3p_63A</t>
  </si>
  <si>
    <t>OTM_I-0-II_3p_100A</t>
  </si>
  <si>
    <t>OTM_I-0-II_3p_160A</t>
  </si>
  <si>
    <t>OTM_I-0-II_3p_250A</t>
  </si>
  <si>
    <t>OTM_I-0-II_3p_400A</t>
  </si>
  <si>
    <t>OTM_I-0-II_3p_800A</t>
  </si>
  <si>
    <t>OTM_I-0-II_3p_1000A</t>
  </si>
  <si>
    <t>OTM_I-0-II_3p_1600A</t>
  </si>
  <si>
    <t>1SCA022845R8610</t>
  </si>
  <si>
    <t>1SCA022845R8960</t>
  </si>
  <si>
    <t>1SCA103570R1001</t>
  </si>
  <si>
    <t>1SCA112677R1001</t>
  </si>
  <si>
    <t>1SCA112678R1001</t>
  </si>
  <si>
    <t>DILM32-XHI11-S</t>
  </si>
  <si>
    <t>D2PR4B+D2PA6</t>
  </si>
  <si>
    <t>XTRM10A22B</t>
  </si>
  <si>
    <t>KIT-TRANSF_XT1N_80A</t>
  </si>
  <si>
    <t>1SDA067415P1</t>
  </si>
  <si>
    <t>KIT-TRANSF_XT1N_100A</t>
  </si>
  <si>
    <t>1SDA067416P1</t>
  </si>
  <si>
    <t>KIT-TRANSF_XT1N_125A</t>
  </si>
  <si>
    <t>1SDA067417P1</t>
  </si>
  <si>
    <t>KIT-TRANSF_XT1N_160A</t>
  </si>
  <si>
    <t>1SDA067418P1</t>
  </si>
  <si>
    <t>1SDA068058P1</t>
  </si>
  <si>
    <t>1SDA068059P1</t>
  </si>
  <si>
    <t>KIT-TRANSF_XT3N_200A</t>
  </si>
  <si>
    <t>KIT-TRANSF_XT3N_250A</t>
  </si>
  <si>
    <t>KIT-TRANSF_T5N_400A</t>
  </si>
  <si>
    <t>OTM_I-0-II_3p_630A</t>
  </si>
  <si>
    <t>1SCA103567R1001</t>
  </si>
  <si>
    <t>Boton Parada de Emergencia + base, golpe de puño oprimir-jalar, modelo M22.</t>
  </si>
  <si>
    <t>1SDA054317P1</t>
  </si>
  <si>
    <t>1SDA054396P1</t>
  </si>
  <si>
    <t>KIT-TRANSF_T5N_630A</t>
  </si>
  <si>
    <t>1SDA060268P1</t>
  </si>
  <si>
    <t>KIT-TRANSF_T6N_800A</t>
  </si>
  <si>
    <t>1SDA067415R1</t>
  </si>
  <si>
    <t>XT1N160-80A-3P-TMD</t>
  </si>
  <si>
    <t>1SDA067414R1</t>
  </si>
  <si>
    <t>XT1N160-63A-3P-TMD</t>
  </si>
  <si>
    <t>XT1N160-100A-3P-TMD</t>
  </si>
  <si>
    <t>1SDA067416R1</t>
  </si>
  <si>
    <t>B.N</t>
  </si>
  <si>
    <t>B.T</t>
  </si>
  <si>
    <t>M22-PV+M22-A</t>
  </si>
  <si>
    <t>1000A</t>
  </si>
  <si>
    <t>800A</t>
  </si>
  <si>
    <t>630A</t>
  </si>
  <si>
    <t>400A</t>
  </si>
  <si>
    <t>1SDA070792R1</t>
  </si>
  <si>
    <t>E1.2C-1000A-3P-Ekip Touch LSI</t>
  </si>
  <si>
    <t>1SDA073674R1</t>
  </si>
  <si>
    <t>1SDA073711R1</t>
  </si>
  <si>
    <t>1SDA073687R1</t>
  </si>
  <si>
    <t>T6N800-800A-3P-PR222DS/P-LSI</t>
  </si>
  <si>
    <t>1SDA060270R1</t>
  </si>
  <si>
    <t>T5N630-630A-3P-PR222DS/P-LSI</t>
  </si>
  <si>
    <t>1SDA054398R1</t>
  </si>
  <si>
    <t>1SDA060280R1</t>
  </si>
  <si>
    <t>T6S800-800A-3P-PR222DS/P-LSI</t>
  </si>
  <si>
    <t>1SDA054406R1</t>
  </si>
  <si>
    <t>T5S630-630A-3P-PR222DS/P-LSI</t>
  </si>
  <si>
    <t>T5S400-400A-3P-PR222DS/P-LSI</t>
  </si>
  <si>
    <t>1SDA054337R1</t>
  </si>
  <si>
    <t>XT3S250-200A-3P-TMD</t>
  </si>
  <si>
    <t>1SDA068220R1</t>
  </si>
  <si>
    <t>XT2S160-32A-3P-TMD</t>
  </si>
  <si>
    <t>1SDA066905R1</t>
  </si>
  <si>
    <t>FC-Cu_XT1_3t</t>
  </si>
  <si>
    <t>1SDA067155R1</t>
  </si>
  <si>
    <t>1SDA066909R1</t>
  </si>
  <si>
    <t>FC-Cu_XT2_3t</t>
  </si>
  <si>
    <t>1SDA067167R1</t>
  </si>
  <si>
    <t>FC-Cu_XT3_3t</t>
  </si>
  <si>
    <t>1SDA066913R1</t>
  </si>
  <si>
    <t>1SDA067183R1</t>
  </si>
  <si>
    <t>FC-Cu_XT4_3t</t>
  </si>
  <si>
    <t>1SDA066917R1</t>
  </si>
  <si>
    <t>1SDA067195R1</t>
  </si>
  <si>
    <t>XT1C160-80A-3P-TMD</t>
  </si>
  <si>
    <t>XT1C160-63A-3P-TMD</t>
  </si>
  <si>
    <t>XT1C160-25A-3P-TMD</t>
  </si>
  <si>
    <t>XT1C160-125A-3P-TMD</t>
  </si>
  <si>
    <t>XT1C160-50A-3P-TMD</t>
  </si>
  <si>
    <t>1SDA067396R1</t>
  </si>
  <si>
    <t>1SDA067395R1</t>
  </si>
  <si>
    <t>1SDA067391R1</t>
  </si>
  <si>
    <t>1SDA067398R1</t>
  </si>
  <si>
    <t>1SDA067394R1</t>
  </si>
  <si>
    <t>XT2N160-16A-3P-TMD</t>
  </si>
  <si>
    <t>XT2N160-100A-3P-Ekip LS/I</t>
  </si>
  <si>
    <t>XT2N160-63A-3P-Ekip LS/I</t>
  </si>
  <si>
    <t>XT2N160-50A-3P-TMA</t>
  </si>
  <si>
    <t>XT2N160-100A-3P-TMA</t>
  </si>
  <si>
    <t>XT2N160-63A-3P-TMA</t>
  </si>
  <si>
    <t>XT2N160-32A-3P-TMD</t>
  </si>
  <si>
    <t>XT2N160-25A-3P-TMD</t>
  </si>
  <si>
    <t>XT2N160-160A-3P-TMA</t>
  </si>
  <si>
    <t>1SDA067010R1</t>
  </si>
  <si>
    <t>1SDA067057R1</t>
  </si>
  <si>
    <t>1SDA067056R1</t>
  </si>
  <si>
    <t>1SDA067015R1</t>
  </si>
  <si>
    <t>1SDA067018R1</t>
  </si>
  <si>
    <t>1SDA067016R1</t>
  </si>
  <si>
    <t>1SDA067012R1</t>
  </si>
  <si>
    <t>1SDA067014R1</t>
  </si>
  <si>
    <t>1SDA067020R1</t>
  </si>
  <si>
    <t>1SDA067013R1</t>
  </si>
  <si>
    <t>XT2N160-40A-3P-TMA</t>
  </si>
  <si>
    <t>XT2S160-100A-3P-Ekip LS/I</t>
  </si>
  <si>
    <t>XT2S160-63A-3P-Ekip LS/I</t>
  </si>
  <si>
    <t>XT2S160-100A-3P-TMA</t>
  </si>
  <si>
    <t>1SDA067803R1</t>
  </si>
  <si>
    <t>1SDA067802R1</t>
  </si>
  <si>
    <t>1SDA067558R1</t>
  </si>
  <si>
    <t>XT3N250-200A-3P-TMD</t>
  </si>
  <si>
    <t>XT3N250-250A-3P-TMD</t>
  </si>
  <si>
    <t>XT3S250-250A-3P-TMD</t>
  </si>
  <si>
    <t>1SDA068058R1</t>
  </si>
  <si>
    <t>1SDA068059R1</t>
  </si>
  <si>
    <t>1SDA068221R1</t>
  </si>
  <si>
    <t>XT4N160-160A-3P-Ekip LS/I</t>
  </si>
  <si>
    <t>XT4N160-100A-3P-Ekip LS/I</t>
  </si>
  <si>
    <t>XT4S160-160A-3P-Ekip LS/I</t>
  </si>
  <si>
    <t>XT4N250-200A-3P-TMA</t>
  </si>
  <si>
    <t>XT4S250-250A-3P-Ekip LS/I</t>
  </si>
  <si>
    <t>XT4N160-100A-3P-TMA</t>
  </si>
  <si>
    <t>XT4S250-200A-3P-TMA</t>
  </si>
  <si>
    <t>XT4S250-250A-3P-TMA</t>
  </si>
  <si>
    <t>XT4N160-80A-3P-TMA</t>
  </si>
  <si>
    <t>XT4N250-250A-3P-TMA</t>
  </si>
  <si>
    <t>XT4N160-63A-3P-TMA</t>
  </si>
  <si>
    <t>XT4N250-250A-3P-Ekip LS/I</t>
  </si>
  <si>
    <t>XT4N160-160A-3P-TMA</t>
  </si>
  <si>
    <t>XT4S160-100A-3P-Ekip LS/I</t>
  </si>
  <si>
    <t>XT4S160-160A-3p-TMA</t>
  </si>
  <si>
    <t>1SDA068125R1</t>
  </si>
  <si>
    <t>1SDA068124R1</t>
  </si>
  <si>
    <t>1SDA068474R1</t>
  </si>
  <si>
    <t>1SDA068090R1</t>
  </si>
  <si>
    <t>1SDA068475R1</t>
  </si>
  <si>
    <t>1SDA068087R1</t>
  </si>
  <si>
    <t>1SDA068310R1</t>
  </si>
  <si>
    <t>1SDA068312R1</t>
  </si>
  <si>
    <t>1SDA068305R1</t>
  </si>
  <si>
    <t>1SDA068086R1</t>
  </si>
  <si>
    <t>1SDA068092R1</t>
  </si>
  <si>
    <t>1SDA068085R1</t>
  </si>
  <si>
    <t>1SDA068126R1</t>
  </si>
  <si>
    <t>1SDA068089R1</t>
  </si>
  <si>
    <t>1SDA068473R1</t>
  </si>
  <si>
    <t>1SDA068309R1</t>
  </si>
  <si>
    <t>XT4S160-63A-3P-TMA</t>
  </si>
  <si>
    <t>T4S320-320A-3P-PR222DS/P-LSI</t>
  </si>
  <si>
    <t>1SDA054127R1</t>
  </si>
  <si>
    <t>1SDA054119R1</t>
  </si>
  <si>
    <t>T4N320-320A-3P-PR222DS/P-LSI</t>
  </si>
  <si>
    <t>T5N400-400A-3P-PR222DS/P-LSI</t>
  </si>
  <si>
    <t>T5N400-320A-3P-PR222DS/P-LSI</t>
  </si>
  <si>
    <t>1SDA054321R1</t>
  </si>
  <si>
    <t>T6N630-630A-3P-PR222DS/P-LSI</t>
  </si>
  <si>
    <t>T6S630-630A-3P-PR222DS/P-LSI</t>
  </si>
  <si>
    <t>1SDA060228R1</t>
  </si>
  <si>
    <t>1SDA060238R1</t>
  </si>
  <si>
    <t>T7S1600-1600A-3P-PR232/P-LSI</t>
  </si>
  <si>
    <t>T7S800-800A-3P-PR232/P-LSI</t>
  </si>
  <si>
    <t>T7S1000-1000A-3P-PR232/P-LSI</t>
  </si>
  <si>
    <t>1SDA062995R1</t>
  </si>
  <si>
    <t>1SDA061964R1</t>
  </si>
  <si>
    <t>1SDA062739R1</t>
  </si>
  <si>
    <t>E1.2C-1000A-3P-Ekip Dip LSI</t>
  </si>
  <si>
    <t>E1.2C-630A-3P-Ekip Dip LSI</t>
  </si>
  <si>
    <t>E1.2C-1250A-3P-Ekip Dip LSI</t>
  </si>
  <si>
    <t>1SDA070712R1</t>
  </si>
  <si>
    <t>1SDA070832R1</t>
  </si>
  <si>
    <t>1SDA070752R1</t>
  </si>
  <si>
    <t>E1.2C-800A-3P-Ekip Dip LSI</t>
  </si>
  <si>
    <t>E2.2N-1600A-3P-Ekip Touch LSI</t>
  </si>
  <si>
    <t>1SDA070995R1</t>
  </si>
  <si>
    <t>E4.2N-3200A-3P-Ekip Touch LSI</t>
  </si>
  <si>
    <t>1SDA071145R1</t>
  </si>
  <si>
    <t>1SDA071035R1</t>
  </si>
  <si>
    <t>E2.2N-2000A-3P-Ekip Touch LSI</t>
  </si>
  <si>
    <t>1SDA071065R1</t>
  </si>
  <si>
    <t>E2.2N-2500A-3P-Ekip Touch LSI</t>
  </si>
  <si>
    <t>1SDA071195R1</t>
  </si>
  <si>
    <t>E4.2N-4000A-3P-Ekip Touch LSI</t>
  </si>
  <si>
    <t>1SDA071155R1</t>
  </si>
  <si>
    <t>1SDA071205R1</t>
  </si>
  <si>
    <t>E4.2S-3200A-3P-Ekip Touch LSI</t>
  </si>
  <si>
    <t>E4.2S-4000A-3P-Ekip Touch LSI</t>
  </si>
  <si>
    <t>E1.2N-1000A-3P-Ekip Touch LSI</t>
  </si>
  <si>
    <t>E1.2N-1250A-3P-Ekip Touch LSI</t>
  </si>
  <si>
    <t>E1.2N-1600A-3P-Ekip Touch LSI</t>
  </si>
  <si>
    <t>1SDA070805R1</t>
  </si>
  <si>
    <t>1SDA070845R1</t>
  </si>
  <si>
    <t>1SDA070885R1</t>
  </si>
  <si>
    <t>1SDA073725R1</t>
  </si>
  <si>
    <t>YM_E1.2_220V</t>
  </si>
  <si>
    <t>YM_E2.2-6.2_220V</t>
  </si>
  <si>
    <t>1SDA073700R1</t>
  </si>
  <si>
    <t>FC-CuAl_XT1_3t</t>
  </si>
  <si>
    <t>FC-CuAl_XT2_3t</t>
  </si>
  <si>
    <t>FC-CuAl_XT3_3t</t>
  </si>
  <si>
    <t>FC-CuAl_XT4_3t</t>
  </si>
  <si>
    <t>FC-CuAl_T4_3t</t>
  </si>
  <si>
    <t>1SDA064549R1</t>
  </si>
  <si>
    <t>FC-CuAl_T5_3t</t>
  </si>
  <si>
    <t>FC-CuAl_T6_3t</t>
  </si>
  <si>
    <t>FC-CuAl_T7_3t</t>
  </si>
  <si>
    <t>1SDA063112R1</t>
  </si>
  <si>
    <t>1SDA070795R1</t>
  </si>
  <si>
    <t>S201-C-20A</t>
  </si>
  <si>
    <t>S201-C-16A</t>
  </si>
  <si>
    <t>S202-C-20A</t>
  </si>
  <si>
    <t>S202-C-16A</t>
  </si>
  <si>
    <t>S202-C-32A</t>
  </si>
  <si>
    <t>S202-C-50A</t>
  </si>
  <si>
    <t>S202-C-25A</t>
  </si>
  <si>
    <t>S202M-C-20A</t>
  </si>
  <si>
    <t>S202M-C-16A</t>
  </si>
  <si>
    <t>S202P-C-20A</t>
  </si>
  <si>
    <t>S202P-C-16A</t>
  </si>
  <si>
    <t>S202P-C-25A</t>
  </si>
  <si>
    <t>ITM Riel-Din 2x20A - S202-C-20A - 10kA@400V-IEC60947-2 - marca ABB.</t>
  </si>
  <si>
    <t>ITM Riel-Din 2x32A - S202-C-32A - 10kA@400V-IEC60947-2 - marca ABB.</t>
  </si>
  <si>
    <t>S203-C-32A</t>
  </si>
  <si>
    <t>S203-C-63A</t>
  </si>
  <si>
    <t>S203P-C-50A</t>
  </si>
  <si>
    <t>S203-C-16A</t>
  </si>
  <si>
    <t>S203-C-50A</t>
  </si>
  <si>
    <t>S203-C-20A</t>
  </si>
  <si>
    <t>S203M-C-32A</t>
  </si>
  <si>
    <t>S203M-C-16A</t>
  </si>
  <si>
    <t>S203-C-25A</t>
  </si>
  <si>
    <t>S203P-C-16A</t>
  </si>
  <si>
    <t>S203M-C-20A</t>
  </si>
  <si>
    <t>S202M-C-25A</t>
  </si>
  <si>
    <t>S202M-C-32A</t>
  </si>
  <si>
    <t>S202M-C-40A</t>
  </si>
  <si>
    <t>S202M-C-50A</t>
  </si>
  <si>
    <t>S202P-C-32A</t>
  </si>
  <si>
    <t>S203-C-40A</t>
  </si>
  <si>
    <t>S203M-C-25A</t>
  </si>
  <si>
    <t>S203M-C-40A</t>
  </si>
  <si>
    <t>S203M-C-50A</t>
  </si>
  <si>
    <t>S203M-C-63A</t>
  </si>
  <si>
    <t>S202-C-63A</t>
  </si>
  <si>
    <t>S201-C-25A</t>
  </si>
  <si>
    <t>S201-C-32A</t>
  </si>
  <si>
    <t>S201-C-40A</t>
  </si>
  <si>
    <t>S201-C-50A</t>
  </si>
  <si>
    <t>S201-C-63A</t>
  </si>
  <si>
    <t>ITM Riel-Din 2x40A - S202-C-40A - 10kA@400V-IEC60947-2 - marca ABB.</t>
  </si>
  <si>
    <t>S202-C-40A</t>
  </si>
  <si>
    <t>S202M-C-63A</t>
  </si>
  <si>
    <t>S202P-C-40A</t>
  </si>
  <si>
    <t>S202P-C-50A</t>
  </si>
  <si>
    <t>S202P-C-63A</t>
  </si>
  <si>
    <t>ITM Riel-Din 3x20A - S203-C-20A - 10kA@400V-IEC60947-2 - marca ABB.</t>
  </si>
  <si>
    <t>ITM Riel-Din 3x32A - S203-C-32A - 10kA@400V-IEC60947-2 - marca ABB.</t>
  </si>
  <si>
    <t>ITM Riel-Din 3x50A - S203-C-50A - 10kA@400V-IEC60947-2 - marca ABB.</t>
  </si>
  <si>
    <t>S203P-C-20A</t>
  </si>
  <si>
    <t>S203P-C-25A</t>
  </si>
  <si>
    <t>S203P-C-32A</t>
  </si>
  <si>
    <t>S203P-C-40A</t>
  </si>
  <si>
    <t>S203P-C-63A</t>
  </si>
  <si>
    <t>DSCTO 1</t>
  </si>
  <si>
    <t>DSCTO 2</t>
  </si>
  <si>
    <t>DSCTO 3</t>
  </si>
  <si>
    <t>Familia</t>
  </si>
  <si>
    <t>DSCTO FINAL</t>
  </si>
  <si>
    <t>DSCTO 4</t>
  </si>
  <si>
    <t>Factor de compra local</t>
  </si>
  <si>
    <t xml:space="preserve">Barras princ. </t>
  </si>
  <si>
    <t>terminales</t>
  </si>
  <si>
    <t>Iz</t>
  </si>
  <si>
    <t>Pintada / Desnuda</t>
  </si>
  <si>
    <t>Barra Desnuda (I)</t>
  </si>
  <si>
    <t>Barra Desnuda (II)</t>
  </si>
  <si>
    <t>Barra Pintada (II)</t>
  </si>
  <si>
    <t>Barra Pintada (I)</t>
  </si>
  <si>
    <t>Barra Pintada (III)</t>
  </si>
  <si>
    <t>Por Fase (I, II, III)</t>
  </si>
  <si>
    <t>Pintada</t>
  </si>
  <si>
    <t>Desnuda</t>
  </si>
  <si>
    <t>1SDA055032R1</t>
  </si>
  <si>
    <t>Numero de hilos (3F,2F)</t>
  </si>
  <si>
    <t>Barra + aisladores</t>
  </si>
  <si>
    <t>RES-MON_DIN</t>
  </si>
  <si>
    <t>Nº POLOS</t>
  </si>
  <si>
    <t>DILA-XHI01-S</t>
  </si>
  <si>
    <t>Contacto auxiliar lateral 1NA+1NC para contactor DILM17-DILM38.</t>
  </si>
  <si>
    <t>DILA-XHI10-S</t>
  </si>
  <si>
    <t>SH201-C-16A</t>
  </si>
  <si>
    <t>SH201-C-20A</t>
  </si>
  <si>
    <t>SH201-C-25A</t>
  </si>
  <si>
    <t>SH201-C-32A</t>
  </si>
  <si>
    <t>SH201-C-40A</t>
  </si>
  <si>
    <t>SH201-C-50A</t>
  </si>
  <si>
    <t>SH202-C-16A</t>
  </si>
  <si>
    <t>SH202-C-20A</t>
  </si>
  <si>
    <t>SH202-C-25A</t>
  </si>
  <si>
    <t>SH202-C-32A</t>
  </si>
  <si>
    <t>SH202-C-40A</t>
  </si>
  <si>
    <t>SH202-C-50A</t>
  </si>
  <si>
    <t>SH202-C-63A</t>
  </si>
  <si>
    <t>SH203-C-16A</t>
  </si>
  <si>
    <t>SH203-C-20A</t>
  </si>
  <si>
    <t>SH203-C-25A</t>
  </si>
  <si>
    <t>SH203-C-32A</t>
  </si>
  <si>
    <t>SH203-C-40A</t>
  </si>
  <si>
    <t>SH203-C-50A</t>
  </si>
  <si>
    <t>SH203-C-63A</t>
  </si>
  <si>
    <t>T4N320-320A-3P-PR221DS-LS/I</t>
  </si>
  <si>
    <t>1SDA054117R1</t>
  </si>
  <si>
    <t>T4S320-320A-3P-PR221DS-LS/I</t>
  </si>
  <si>
    <t>1SDA054125R1</t>
  </si>
  <si>
    <t>T5N400-400A-3P-PR221DS-LS/I</t>
  </si>
  <si>
    <t>1SDA054317R1</t>
  </si>
  <si>
    <t>T5S400-400A-3P-PR221DS-LS/I</t>
  </si>
  <si>
    <t>1SDA054333R1</t>
  </si>
  <si>
    <t>T5S630-630A-3P-PR221DS-LS/I</t>
  </si>
  <si>
    <t>1SDA054396R1</t>
  </si>
  <si>
    <t>1SDA054404R1</t>
  </si>
  <si>
    <t>T5N630-630A-3P-PR221DS-LS/I</t>
  </si>
  <si>
    <t>T6N800-800A-3P-PR221DS-LS/I</t>
  </si>
  <si>
    <t>1SDA060268R1</t>
  </si>
  <si>
    <t>1SDA060278R1</t>
  </si>
  <si>
    <t>T6N1000-1000A-3P-PR221DS-LS/I</t>
  </si>
  <si>
    <t>1SDA060537R1</t>
  </si>
  <si>
    <t>T6S800-800A-3P-PR221DS-LS/I</t>
  </si>
  <si>
    <t>T6S1000-1000A-3P-PR221DS-LS/I</t>
  </si>
  <si>
    <t>1SDA060547R1</t>
  </si>
  <si>
    <t>1SDA062866R1</t>
  </si>
  <si>
    <t>1SDA062994R1</t>
  </si>
  <si>
    <t>1SDA062898R1</t>
  </si>
  <si>
    <t>1SDA063026R1</t>
  </si>
  <si>
    <t>T7S1250-1250A-3P-PR231 P-LS/I</t>
  </si>
  <si>
    <t>T7S1600-1600A-3P-PR231 P-LS/I</t>
  </si>
  <si>
    <t>T7H1250-1250A-3P-PR231 P-LS/I</t>
  </si>
  <si>
    <t>T7H1600-1600A-3P-PR231 P-LS/I</t>
  </si>
  <si>
    <t>T7S1250(M)-1250A-3P-PR231 P-LS/I</t>
  </si>
  <si>
    <t>T7S1600(M)-1600A-3P-PR231 P-LS/I</t>
  </si>
  <si>
    <t>T7H1250(M)-1250A-3P-PR231 P-LS/I</t>
  </si>
  <si>
    <t>T7H1600(M)-1600A-3P-PR231 P-LS/I</t>
  </si>
  <si>
    <t>1SDA062882R1</t>
  </si>
  <si>
    <t>1SDA063010R1</t>
  </si>
  <si>
    <t>1SDA062914R1</t>
  </si>
  <si>
    <t>1SDA063042R1</t>
  </si>
  <si>
    <t>FH202-AC-25A-30mA</t>
  </si>
  <si>
    <t>1TMF202006R1250</t>
  </si>
  <si>
    <t>FH202-AC-40A-30mA</t>
  </si>
  <si>
    <t>FH202-AC-63A-30mA</t>
  </si>
  <si>
    <t>1TMF202006R1400</t>
  </si>
  <si>
    <t>1TMF202006R1630</t>
  </si>
  <si>
    <t>FH204-AC-25A-30mA</t>
  </si>
  <si>
    <t>FH204-AC-40A-30mA</t>
  </si>
  <si>
    <t>FH204-AC-63A-30mA</t>
  </si>
  <si>
    <t>1TMF204006R1250</t>
  </si>
  <si>
    <t>1TMF204006R1400</t>
  </si>
  <si>
    <t>1TMF204006R1630</t>
  </si>
  <si>
    <t>F204-AC-80A-30mA</t>
  </si>
  <si>
    <t>F204-AC-100A-30mA</t>
  </si>
  <si>
    <t>2CSF204005R1800</t>
  </si>
  <si>
    <t>2CSF204005R1900</t>
  </si>
  <si>
    <t>F202-A-25A-30mA</t>
  </si>
  <si>
    <t>F202-A-40A-30mA</t>
  </si>
  <si>
    <t>F202-A-63A-30mA</t>
  </si>
  <si>
    <t>2CSF202101R1250</t>
  </si>
  <si>
    <t>2CSF202101R1400</t>
  </si>
  <si>
    <t>2CSF202101R1630</t>
  </si>
  <si>
    <t>F204-A-25A-30mA</t>
  </si>
  <si>
    <t>F204-A-40A-30mA</t>
  </si>
  <si>
    <t>F204-A-63A-30mA</t>
  </si>
  <si>
    <t>F204-A-80A-30mA</t>
  </si>
  <si>
    <t>F204-A-100A-30mA</t>
  </si>
  <si>
    <t>2CSF204101R1250</t>
  </si>
  <si>
    <t>2CSF204101R1400</t>
  </si>
  <si>
    <t>2CSF204101R1630</t>
  </si>
  <si>
    <t>2CSF204101R1800</t>
  </si>
  <si>
    <t>2CSF204101R1900</t>
  </si>
  <si>
    <t>F202-A APR-25A-30mA</t>
  </si>
  <si>
    <t>F202-A APR-40A-30mA</t>
  </si>
  <si>
    <t>F202-A APR-63A-30mA</t>
  </si>
  <si>
    <t>F204-A APR-25A-30mA</t>
  </si>
  <si>
    <t>F204-A APR-40A-30mA</t>
  </si>
  <si>
    <t>F204-A APR-63A-30mA</t>
  </si>
  <si>
    <t>F204-A APR-80A-30mA</t>
  </si>
  <si>
    <t>F204-A APR-100A-30mA</t>
  </si>
  <si>
    <t>2CSF202401R1250</t>
  </si>
  <si>
    <t>2CSF202401R1400</t>
  </si>
  <si>
    <t>2CSF202401R1630</t>
  </si>
  <si>
    <t>2CSF204401R1250</t>
  </si>
  <si>
    <t>2CSF204401R1400</t>
  </si>
  <si>
    <t>2CSF204401R1630</t>
  </si>
  <si>
    <t>2CSF204401R1800</t>
  </si>
  <si>
    <t>2CSF204401R1900</t>
  </si>
  <si>
    <t>1SBL137001R1310</t>
  </si>
  <si>
    <t>1SBL157001R1310</t>
  </si>
  <si>
    <t>1SBL177001R1310</t>
  </si>
  <si>
    <t>1SBL237001P1310</t>
  </si>
  <si>
    <t>1SBL277001P1310</t>
  </si>
  <si>
    <t>SH201-C-63A</t>
  </si>
  <si>
    <t>Contactor 3x09A(AC-3) / 3x25A(AC-1) +1NA - AF09-30-10-13 - bobina 100-250Vac/dc - marca ABB.</t>
  </si>
  <si>
    <t>Contactor 3x18A(AC-3) / 3x30A(AC-1) +1NA - AF16-30-10-13 - bobina 100-250Vac/dc - marca ABB.</t>
  </si>
  <si>
    <t>Contactor 3x26A(AC-3) / 3x45A(AC-1) +1NA - AF26-30-10-13 - bobina 100-250Vac/dc - marca ABB.</t>
  </si>
  <si>
    <t>Contactor 3x32A(AC-3) / 3x50A(AC-1) +1NA - AF30-30-10-13 - bobina 100-250Vac/dc - marca ABB.</t>
  </si>
  <si>
    <t>Contactor 3x12A(AC-3) / 3x28A(AC-1) +1NA - AF12-30-10-13 - bobina 100-250Vac/dc - marca ABB.</t>
  </si>
  <si>
    <t>No olvidar adicionar 0,2 m (Barra de empalme)</t>
  </si>
  <si>
    <t xml:space="preserve"> NEMA 3R = NEMA 12 + $30</t>
  </si>
  <si>
    <t>TABLEROS DE DISTRIBUCION:</t>
  </si>
  <si>
    <t>CÓDIGO</t>
  </si>
  <si>
    <t>FC-CuAl_A1_3t</t>
  </si>
  <si>
    <t>FC-CuAl_A2_3t</t>
  </si>
  <si>
    <t>FC-CuAl_A3_3t</t>
  </si>
  <si>
    <t>1SDA066242R1</t>
  </si>
  <si>
    <t>1SDA066248R1</t>
  </si>
  <si>
    <t>1SDA055024R1</t>
  </si>
  <si>
    <t>A1N/P125-16A-2P-TMF</t>
  </si>
  <si>
    <t>A1N/P125-20A-2P-TMF</t>
  </si>
  <si>
    <t>A1N/P125-25A-2P-TMF</t>
  </si>
  <si>
    <t>A1N/P125-32A-2P-TMF</t>
  </si>
  <si>
    <t>A1N/P125-40A-2P-TMF</t>
  </si>
  <si>
    <t>A1N/P125-50A-2P-TMF</t>
  </si>
  <si>
    <t>A1N/P125-63A-2P-TMF</t>
  </si>
  <si>
    <t>1SDA069551R1</t>
  </si>
  <si>
    <t>1SDA069552R1</t>
  </si>
  <si>
    <t>1SDA069553R1</t>
  </si>
  <si>
    <t>1SDA069555R1</t>
  </si>
  <si>
    <t>1SDA069556R1</t>
  </si>
  <si>
    <t>1SDA069557R1</t>
  </si>
  <si>
    <t>1SDA069559R1</t>
  </si>
  <si>
    <t>A1B125-20A-3P-TMF</t>
  </si>
  <si>
    <t>A1B125-25A-3P-TMF</t>
  </si>
  <si>
    <t>A1B125-40A-3P-TMF</t>
  </si>
  <si>
    <t>A1B125-50A-3P-TMF</t>
  </si>
  <si>
    <t>A1B125-70A-3P-TMF</t>
  </si>
  <si>
    <t>A1B125-80A-3P-TMF</t>
  </si>
  <si>
    <t>A1B125-90A-3P-TMF</t>
  </si>
  <si>
    <t>A1B125-100A-3P-TMF</t>
  </si>
  <si>
    <t>A1B125-125A-3P-TMF</t>
  </si>
  <si>
    <t>1SDA066698R1</t>
  </si>
  <si>
    <t>1SDA066699R1</t>
  </si>
  <si>
    <t>1SDA068758R1</t>
  </si>
  <si>
    <t>1SDA066701R1</t>
  </si>
  <si>
    <t>1SDA066702R1</t>
  </si>
  <si>
    <t>1SDA068769R1</t>
  </si>
  <si>
    <t>1SDA066704R1</t>
  </si>
  <si>
    <t>1SDA066705R1</t>
  </si>
  <si>
    <t>1SDA066706R1</t>
  </si>
  <si>
    <t>1SDA066707R1</t>
  </si>
  <si>
    <t>1SDA066708R1</t>
  </si>
  <si>
    <t>A2C250-160A-3P-TMF</t>
  </si>
  <si>
    <t>A2C250-200A-3P-TMF</t>
  </si>
  <si>
    <t>A2C250-250A-3P-TMF</t>
  </si>
  <si>
    <t>1SDA066776R1</t>
  </si>
  <si>
    <t>1SDA066778R1</t>
  </si>
  <si>
    <t>1SDA066780R1</t>
  </si>
  <si>
    <t>A3N400-320A-3P-TMF</t>
  </si>
  <si>
    <t>1SDA066560R1</t>
  </si>
  <si>
    <t>1SDA066561R1</t>
  </si>
  <si>
    <t>1SDA066566R1</t>
  </si>
  <si>
    <t>A3N400-400A-3P-TMF</t>
  </si>
  <si>
    <t>A3N630-630A-3P-ELT LI</t>
  </si>
  <si>
    <t>OVR-T1_100N_1P</t>
  </si>
  <si>
    <t>OVR-T1_25-440_1P</t>
  </si>
  <si>
    <t>2CTB815101R9300</t>
  </si>
  <si>
    <t>2CTB815101R0500</t>
  </si>
  <si>
    <t>empalmes</t>
  </si>
  <si>
    <t>1SFA611210P1206</t>
  </si>
  <si>
    <t>SEL_1-0-2</t>
  </si>
  <si>
    <t>PULS_START</t>
  </si>
  <si>
    <t>PULS_STOP</t>
  </si>
  <si>
    <t>PULS_STOP_MOD</t>
  </si>
  <si>
    <t>1SFA611100P3001</t>
  </si>
  <si>
    <t>PULS_START_MOD</t>
  </si>
  <si>
    <t>MOE_T4-T5</t>
  </si>
  <si>
    <t>1SDA054897R1</t>
  </si>
  <si>
    <t>MOE_T6</t>
  </si>
  <si>
    <t>1SDA060398R1</t>
  </si>
  <si>
    <t>YC_Emax2_220V</t>
  </si>
  <si>
    <t>YO_Emax2_220V</t>
  </si>
  <si>
    <t>YU_Emax2_220V</t>
  </si>
  <si>
    <t>Rele de apertura (YO) - Emax2 - 220-240V AC/DC.</t>
  </si>
  <si>
    <t>Rele de cierre (YC) - Emax2 - 220-240V AC/DC.</t>
  </si>
  <si>
    <t>Motor-reductor (YM) para la carga automática de los resortes - E1.2 - 220-250V AC/DC.</t>
  </si>
  <si>
    <t>Motor-reductor (YM) para la carga automática de los resortes - E2.2-6.2 - 220-250V AC/DC.</t>
  </si>
  <si>
    <t>Rele de minima tension (YU) - Emax2 - 220-240V AC/DC.</t>
  </si>
  <si>
    <t>YO_T7</t>
  </si>
  <si>
    <t>1SDA062116R1</t>
  </si>
  <si>
    <t>1SDA063548R1</t>
  </si>
  <si>
    <t>1SDA063550R1</t>
  </si>
  <si>
    <t>YU_T7</t>
  </si>
  <si>
    <t>1SDA063552R1</t>
  </si>
  <si>
    <t>YM_T7M</t>
  </si>
  <si>
    <t>YC_T7M</t>
  </si>
  <si>
    <t>1SDA054884R1</t>
  </si>
  <si>
    <t>LAMP_FLUOR</t>
  </si>
  <si>
    <t>LIMIT_SWITCH</t>
  </si>
  <si>
    <t>Switch de puerta - NSYDCM20 - 1NC + 1NA - 10A/500V.</t>
  </si>
  <si>
    <t>Lámpara fluorescente - NSYLAMCS - 11W, 900 lumens, 220V, IP20, con tomacorriente 16A - 372x40x63mm.</t>
  </si>
  <si>
    <t>KIT-TRANSF_T5S_630A</t>
  </si>
  <si>
    <t>KIT-TRANSF_T5S_400A</t>
  </si>
  <si>
    <t>1SDA054333P1</t>
  </si>
  <si>
    <t>KIT-TRANSF_T7S(M)_1250A</t>
  </si>
  <si>
    <t>KIT-TRANSF_T7S(M)_1600A</t>
  </si>
  <si>
    <t>1SDA054404P1</t>
  </si>
  <si>
    <t>KIT-TRANSF_T6S_800A</t>
  </si>
  <si>
    <t>1SDA060278P1</t>
  </si>
  <si>
    <t>KIT-TRANSF_T6S_1000A</t>
  </si>
  <si>
    <t>1SDA060547P1</t>
  </si>
  <si>
    <t>KIT-TRANSF_E1.2N_1250A</t>
  </si>
  <si>
    <t>1SDA070845P1</t>
  </si>
  <si>
    <t>1SDA070885P1</t>
  </si>
  <si>
    <t>KIT-TRANSF_E1.2N_1600A</t>
  </si>
  <si>
    <t>KIT-TRANSF_E2.2N_2000A</t>
  </si>
  <si>
    <t>1SDA071035P1</t>
  </si>
  <si>
    <t>KIT-TRANSF_E2.2N_2500A</t>
  </si>
  <si>
    <t>1SDA071065P1</t>
  </si>
  <si>
    <t>KIT-TRANSF_E4.2N_3200A</t>
  </si>
  <si>
    <t>1SDA071145P1</t>
  </si>
  <si>
    <t>KIT-TRANSF_E4.2N_4000A</t>
  </si>
  <si>
    <t>1SDA071205P1</t>
  </si>
  <si>
    <t>E1.2C-1000A-4P-Ekip Touch LSI</t>
  </si>
  <si>
    <t>1SDA071425R1</t>
  </si>
  <si>
    <t>1SFA611100P3002</t>
  </si>
  <si>
    <t>PULS_DOBLE</t>
  </si>
  <si>
    <t>1SFA611131P1108</t>
  </si>
  <si>
    <t>1SDA051369R1</t>
  </si>
  <si>
    <t>3Q+1SY_T4-T5-T6</t>
  </si>
  <si>
    <t>1SDA051368R1</t>
  </si>
  <si>
    <t>1Q+1SY_T4-T5-T6</t>
  </si>
  <si>
    <t>1S51_T4-T5</t>
  </si>
  <si>
    <t>1SDA055050R1</t>
  </si>
  <si>
    <t>1S51_T6</t>
  </si>
  <si>
    <t>1SDA060393R1</t>
  </si>
  <si>
    <t>1S51_T7</t>
  </si>
  <si>
    <t>1S51_T7M</t>
  </si>
  <si>
    <t>1SDA062105R1</t>
  </si>
  <si>
    <t>1SDA063553R1</t>
  </si>
  <si>
    <t>1Q+1SY_T7</t>
  </si>
  <si>
    <t>1SDA062104R1</t>
  </si>
  <si>
    <t>2Q_T7</t>
  </si>
  <si>
    <t>1SDA062102R1</t>
  </si>
  <si>
    <t>PULS_NEGRO</t>
  </si>
  <si>
    <t>1SFA619100R1016</t>
  </si>
  <si>
    <t>1SFA611100P310610</t>
  </si>
  <si>
    <t>GJH1211001R8220</t>
  </si>
  <si>
    <t>MINICONTACT_2NA+2NC</t>
  </si>
  <si>
    <t>MINICONTACT_4NA</t>
  </si>
  <si>
    <t>E1.2C-800A-3P-Ekip Touch LSI</t>
  </si>
  <si>
    <t>1SDA070755R1</t>
  </si>
  <si>
    <t>1SDA071385R1</t>
  </si>
  <si>
    <t>E1.2C-800A-4P-Ekip Touch LSI</t>
  </si>
  <si>
    <t>TABLERO "TD-GE"</t>
  </si>
  <si>
    <t>T7S800(M)-800A-3P-PR232/P-LSI</t>
  </si>
  <si>
    <t>T7S1000(M)-1000A-3P-PR232/P-LSI</t>
  </si>
  <si>
    <t>T7S1600(M)-1600A-3P-PR232/P-LSI</t>
  </si>
  <si>
    <t>1SDA061982R1</t>
  </si>
  <si>
    <t>1SDA062755R1</t>
  </si>
  <si>
    <t>1SDA063011R1</t>
  </si>
  <si>
    <t>T6S800-800A-4P-PR222DS/P-LSI</t>
  </si>
  <si>
    <t>1SDA060285R1</t>
  </si>
  <si>
    <t>XT1N160-125A-3P-TMD</t>
  </si>
  <si>
    <t>XT1N160-40A-3P-TMD</t>
  </si>
  <si>
    <t>XT1N160-32A-3P-TMD</t>
  </si>
  <si>
    <t>XT1N160-160A-3P-TMD</t>
  </si>
  <si>
    <t>XT1N160-50A-3P-TMD</t>
  </si>
  <si>
    <t>1SDA067411R1</t>
  </si>
  <si>
    <t>1SDA067412R1</t>
  </si>
  <si>
    <t>1SDA067413R1</t>
  </si>
  <si>
    <t>1SDA067417R1</t>
  </si>
  <si>
    <t>1SDA067418R1</t>
  </si>
  <si>
    <t>XT2N160-125A-3P-TMA</t>
  </si>
  <si>
    <t>1SDA067019R1</t>
  </si>
  <si>
    <t>1SDA067553R1</t>
  </si>
  <si>
    <t>XT2S160-16A-3P-TMD</t>
  </si>
  <si>
    <t>1SDA067550R1</t>
  </si>
  <si>
    <t>XT2S160-20A-3P-TMD</t>
  </si>
  <si>
    <t>XT2N160-20A-3P-TMD</t>
  </si>
  <si>
    <t>1SDA067011R1</t>
  </si>
  <si>
    <t>XT2S160-25A-3P-TMD</t>
  </si>
  <si>
    <t>XT2S160-40A-3P-TMA</t>
  </si>
  <si>
    <t>XT2S160-50A-3P-TMA</t>
  </si>
  <si>
    <t>XT2S160-63A-3P-TMA</t>
  </si>
  <si>
    <t>XT2S160-80A-3P-TMA</t>
  </si>
  <si>
    <t>XT2S160-125A-3P-TMA</t>
  </si>
  <si>
    <t>XT2S160-160A-3P-TMA</t>
  </si>
  <si>
    <t>1SDA067551R1</t>
  </si>
  <si>
    <t>1SDA067552R1</t>
  </si>
  <si>
    <t>1SDA067554R1</t>
  </si>
  <si>
    <t>1SDA067555R1</t>
  </si>
  <si>
    <t>1SDA067556R1</t>
  </si>
  <si>
    <t>1SDA067557R1</t>
  </si>
  <si>
    <t>1SDA067559R1</t>
  </si>
  <si>
    <t>1SDA067560R1</t>
  </si>
  <si>
    <t>TABLERO "TGA-P"</t>
  </si>
  <si>
    <t>PANEL 400A</t>
  </si>
  <si>
    <t>PANEL 630A</t>
  </si>
  <si>
    <t>TABLERO "TGA-HAB"</t>
  </si>
  <si>
    <t>TABLERO "TGA-ASC"</t>
  </si>
  <si>
    <t>TABLERO "TGA-IN-EX-AA"</t>
  </si>
  <si>
    <t>TABLERO "TF-AA"</t>
  </si>
  <si>
    <t>PANEL 800A</t>
  </si>
  <si>
    <t>E1.2N-800A-3P-Ekip Touch LSI</t>
  </si>
  <si>
    <t>1SDA070765R1</t>
  </si>
  <si>
    <t>T5H400-400A-3P-PR222DS/P-LSI</t>
  </si>
  <si>
    <t>1SDA068311R1</t>
  </si>
  <si>
    <t>XT4S250-225A-3P-TMA</t>
  </si>
  <si>
    <t>XT4H250-200A-3P-TMA</t>
  </si>
  <si>
    <t>XT4H250-225A-3P-TMA</t>
  </si>
  <si>
    <t>XT4H250-250A-3P-TMA</t>
  </si>
  <si>
    <t>1SDA068343R1</t>
  </si>
  <si>
    <t>1SDA068344R1</t>
  </si>
  <si>
    <t>1SDA068345R1</t>
  </si>
  <si>
    <t>T5H400-400A-3P-PR221DS-LS/I</t>
  </si>
  <si>
    <t>T5H630-630A-3P-PR221DS-LS/I</t>
  </si>
  <si>
    <t>1SDA054412R1</t>
  </si>
  <si>
    <t>1SDA054349R1</t>
  </si>
  <si>
    <t>T5H630-630A-3P-PR222DS/P-LSI</t>
  </si>
  <si>
    <t>1SDA054353R1</t>
  </si>
  <si>
    <t>1SDA054414R1</t>
  </si>
  <si>
    <t>250A</t>
  </si>
  <si>
    <t>200A</t>
  </si>
  <si>
    <t>TABLERO "TP-380"</t>
  </si>
  <si>
    <t>TABLERO "TGN-SG"</t>
  </si>
  <si>
    <t>PANEL 200A</t>
  </si>
  <si>
    <t>1SDA066460R1</t>
  </si>
  <si>
    <t>MOD_XT1-XT3</t>
  </si>
  <si>
    <t>MOE_XT2-XT4</t>
  </si>
  <si>
    <t>1SDA066466R1</t>
  </si>
  <si>
    <t>1SDA066422R1</t>
  </si>
  <si>
    <t>1SDA066433R1</t>
  </si>
  <si>
    <t>1SDA066424R1</t>
  </si>
  <si>
    <t>1S51_XT2-XT4</t>
  </si>
  <si>
    <t>TABLERO "TGN-AA"</t>
  </si>
  <si>
    <t>KIT-TRANSF_XT1S_80A</t>
  </si>
  <si>
    <t>KIT-TRANSF_XT1S_100A</t>
  </si>
  <si>
    <t>KIT-TRANSF_XT1S_125A</t>
  </si>
  <si>
    <t>KIT-TRANSF_XT1S_160A</t>
  </si>
  <si>
    <t>KIT-TRANSF_XT3S_200A</t>
  </si>
  <si>
    <t>KIT-TRANSF_XT3S_250A</t>
  </si>
  <si>
    <t>1SDA067433P1</t>
  </si>
  <si>
    <t>1SDA067434P1</t>
  </si>
  <si>
    <t>1SDA067435P1</t>
  </si>
  <si>
    <t>1SDA067436P1</t>
  </si>
  <si>
    <t>1SDA068220P1</t>
  </si>
  <si>
    <t>1SDA068221P1</t>
  </si>
  <si>
    <t>TABLERO "TT-A1"</t>
  </si>
  <si>
    <t>TABLERO "TG-E1"</t>
  </si>
  <si>
    <t>TABLERO "TG-GEN"</t>
  </si>
  <si>
    <t>PANEL 250A</t>
  </si>
  <si>
    <t>TABLERO "TG-E2"</t>
  </si>
  <si>
    <t>RITTAL</t>
  </si>
  <si>
    <t>1SDA067392R1</t>
  </si>
  <si>
    <t>1SDA067393R1</t>
  </si>
  <si>
    <t>XT1C160-32A-3P-TMD</t>
  </si>
  <si>
    <t>XT1C160-40A-3P-TMD</t>
  </si>
  <si>
    <t>* interpolacion</t>
  </si>
  <si>
    <t>S203-C-50A_NA</t>
  </si>
  <si>
    <t>2CDS283103R0504</t>
  </si>
  <si>
    <t>S203-C-32A_NA</t>
  </si>
  <si>
    <t>2CDS283103R0324</t>
  </si>
  <si>
    <t>S203P-C-50A_NA</t>
  </si>
  <si>
    <t>S203P-C-32A_NA</t>
  </si>
  <si>
    <t>S203M-C-50A_NA</t>
  </si>
  <si>
    <t>S203M-C-32A_NA</t>
  </si>
  <si>
    <t>2CDS273103R0504</t>
  </si>
  <si>
    <t>2CDS273103R0324</t>
  </si>
  <si>
    <t>2CDS253103R0504</t>
  </si>
  <si>
    <t>2CDS253103R0324</t>
  </si>
  <si>
    <t>OTM_I-0-II_3p_315A</t>
  </si>
  <si>
    <t>1SFL547002R1300</t>
  </si>
  <si>
    <t>PULS_NEGRO_MOD</t>
  </si>
  <si>
    <t>XT1C160-100A-3P-TMD</t>
  </si>
  <si>
    <t>1SDA067397R1</t>
  </si>
  <si>
    <t>XT1C160-160A-3P-TMD</t>
  </si>
  <si>
    <t>1SDA067399R1</t>
  </si>
  <si>
    <t>F202-AC-80A-30mA</t>
  </si>
  <si>
    <t>2CSF202005R1800</t>
  </si>
  <si>
    <t>F202-AC-100A-30mA</t>
  </si>
  <si>
    <t>2CSF202005R1900</t>
  </si>
  <si>
    <t>F204-AC-125A-30mA</t>
  </si>
  <si>
    <t>2CSF204001R1950</t>
  </si>
  <si>
    <t>F204-A-125A-30mA</t>
  </si>
  <si>
    <t>2CSF204101R1950</t>
  </si>
  <si>
    <t>F202-A-80A-30mA</t>
  </si>
  <si>
    <t>2CSF202101R1800</t>
  </si>
  <si>
    <t>F202-A-100A-30mA</t>
  </si>
  <si>
    <t>2CSF202101R1900</t>
  </si>
  <si>
    <t>Pulsador rasante con bizel metálico - color Rojo - contacto 1NC - MP1-30R-K - línea modular - marca ABB.</t>
  </si>
  <si>
    <t>Pulsador rasante con bizel metálico - color Verde - contacto 1NA - MP1-30G-K - línea modular - marca ABB.</t>
  </si>
  <si>
    <t>Pulsador rasante con bizel metálico - color Negro - contacto 1NA - MP1-30B-K - línea modular - marca ABB.</t>
  </si>
  <si>
    <t xml:space="preserve">Interruptor Horario Digital </t>
  </si>
  <si>
    <t>XT2N160-100A-4P-Ekip LS/I</t>
  </si>
  <si>
    <t>1SDA067093R1</t>
  </si>
  <si>
    <t>XT1B160-80A-4P-TMD</t>
  </si>
  <si>
    <t>1SDA066817R1</t>
  </si>
  <si>
    <t>XT1C160-80A-4P-TMD</t>
  </si>
  <si>
    <t>1SDA067405R1</t>
  </si>
  <si>
    <t>XT1B160-32A-4P-TMD</t>
  </si>
  <si>
    <t>1SDA066813R1</t>
  </si>
  <si>
    <t>XT1C160-32A-4P-TMD</t>
  </si>
  <si>
    <t>1SDA067401R1</t>
  </si>
  <si>
    <t>S201P-C-20A</t>
  </si>
  <si>
    <t>1SBL181024R7510</t>
  </si>
  <si>
    <t>1SBL241024R7510</t>
  </si>
  <si>
    <t>1SBL281024R7510</t>
  </si>
  <si>
    <t>1SBL351024R7500</t>
  </si>
  <si>
    <t>1SBL371024R7500</t>
  </si>
  <si>
    <t>1SBL411024R7500</t>
  </si>
  <si>
    <t>1SFL431024R8000</t>
  </si>
  <si>
    <t>1SFL451024R8000</t>
  </si>
  <si>
    <t>UA16-30-10_RA_3p</t>
  </si>
  <si>
    <t>AF09-30-10-13_3p</t>
  </si>
  <si>
    <t>AF12-30-10-13_3p</t>
  </si>
  <si>
    <t>AF16-30-10-13_3p</t>
  </si>
  <si>
    <t>AF26-30-10-13_3p</t>
  </si>
  <si>
    <t>AF30-30-10-13_3p</t>
  </si>
  <si>
    <t>UA26-30-10_RA_3p</t>
  </si>
  <si>
    <t>UA30-30-10_RA_3p</t>
  </si>
  <si>
    <t>UA50-30-00_RA_3p</t>
  </si>
  <si>
    <t>UA63-30-00_RA_3p</t>
  </si>
  <si>
    <t>UA75-30-00_RA_3p</t>
  </si>
  <si>
    <t>UA95-30-00_RA_3p</t>
  </si>
  <si>
    <t>UA110-30-00_RA_3p</t>
  </si>
  <si>
    <t>1SDA067055R1</t>
  </si>
  <si>
    <t>XT2N160-25A-3P-Ekip LS/I</t>
  </si>
  <si>
    <t>ITM Caja Moldeada 4x100A (electrónico [0.4-1.0] In) - XT2N160-100A-4P-Ekip LS/I - 65kA@230V, 36kA@415V - marca ABB.</t>
  </si>
  <si>
    <t>ITM Caja Moldeada 3x400A (electrónico [0.4-1.0] In) - T5N400-400A-3P-PR222DS/P-LSI - 70kA@230V, 36kA@415V - marca ABB.</t>
  </si>
  <si>
    <t>ITM Bastidor Abierto 3x630A (electrónico [0.4-1.0] In) - E1.2C-630A-3P-Ekip Dip LSI - 50kA@440Vac - marca ABB.</t>
  </si>
  <si>
    <t>ITM Bastidor Abierto 3x800A (electrónico [0.4-1.0] In) - E1.2C-800A-3P-Ekip Dip LSI - 50kA@440Vac - marca ABB.</t>
  </si>
  <si>
    <t>ITM Bastidor Abierto 3x1000A (electrónico [0.4-1.0] In) - E1.2C-1000A-3P-Ekip Dip LSI - 50kA@440Vac - marca ABB.</t>
  </si>
  <si>
    <t>ITM Bastidor Abierto 3x1250A (electrónico [0.4-1.0] In) - E1.2C-1250A-3P-Ekip Dip LSI - 50kA@440Vac - marca ABB.</t>
  </si>
  <si>
    <t>ITM Bastidor Abierto 3x800A (electrónico [0.4-1.0] In) - E1.2C-800A-3P-Ekip Touch LSI - 50kA@440Vac - marca ABB.</t>
  </si>
  <si>
    <t>ITM Bastidor Abierto 4x800A (electrónico [0.4-1.0] In) - E1.2C-800A-4P-Ekip Touch LSI - 50kA@440Vac - marca ABB.</t>
  </si>
  <si>
    <t>ITM Bastidor Abierto 3x1000A (electrónico [0.4-1.0] In) - E1.2C-1000A-3P-Ekip Touch LSI - 50kA@440Vac - marca ABB.</t>
  </si>
  <si>
    <t>ITM Bastidor Abierto 4x1000A (electrónico [0.4-1.0] In) - E1.2C-1000A-4P-Ekip Touch LSI - 50kA@440Vac - marca ABB.</t>
  </si>
  <si>
    <t>ITM Bastidor Abierto 3x800A (electrónico [0.4-1.0] In) - E1.2N-800A-3P-Ekip Touch LSI - 66kA@440Vac - marca ABB.</t>
  </si>
  <si>
    <t>ITM Bastidor Abierto 3x1000A (electrónico [0.4-1.0] In) - E1.2N-1000A-3P-Ekip Touch LSI - 66kA@440Vac - marca ABB.</t>
  </si>
  <si>
    <t>ITM Bastidor Abierto 3x1250A (electrónico [0.4-1.0] In) - E1.2N-1250A-3P-Ekip Touch LSI - 66kA@440Vac - marca ABB.</t>
  </si>
  <si>
    <t>ITM Bastidor Abierto 3x1600A (electrónico [0.4-1.0] In) - E1.2N-1600A-3P-Ekip Touch LSI - 66kA@440Vac - marca ABB.</t>
  </si>
  <si>
    <t>ITM Bastidor Abierto 3x3200A (electrónico [0.4-1.0] In) - E4.2N-3200A-3P-Ekip Touch LSI - 66kA@440Vac - marca ABB.</t>
  </si>
  <si>
    <t>ITM Bastidor Abierto 3x4000A (electrónico [0.4-1.0] In) - E4.2N-4000A-3P-Ekip Touch LSI - 66kA@440Vac - marca ABB.</t>
  </si>
  <si>
    <t>ITM Bastidor Abierto 3x3200A (electrónico [0.4-1.0] In) - E4.2S-3200A-3P-Ekip Touch LSI - 85kA@440Vac - marca ABB.</t>
  </si>
  <si>
    <t>ITM Bastidor Abierto 3x4000A (electrónico [0.4-1.0] In) - E4.2S-4000A-3P-Ekip Touch LSI - 85kA@440Vac - marca ABB.</t>
  </si>
  <si>
    <t>ITM Caja Moldeada 4x32A (reg.[0.7-1.0] In) - XT1C160-32A-4P-TMD - 40kA@230V, 25kA@415V - marca ABB.</t>
  </si>
  <si>
    <t>ITM Caja Moldeada 3x40A (reg.[0.7-1.0] In) - XT1C160-40A-3P-TMD - 40kA@230V, 25kA@415V - marca ABB.</t>
  </si>
  <si>
    <t>ITM Caja Moldeada 3x63A (reg.[0.7-1.0] In) - XT1C160-63A-3P-TMD - 40kA@230V, 25kA@415V - marca ABB.</t>
  </si>
  <si>
    <t>ITM Caja Moldeada 4x80A (reg.[0.7-1.0] In) - XT1C160-80A-4P-TMD - 40kA@230V, 25kA@415V - marca ABB.</t>
  </si>
  <si>
    <t>ITM Caja Moldeada 3x160A (reg.[0.7-1.0] In) - XT1C160-160A-3P-TMD - 40kA@230V, 25kA@415V - marca ABB.</t>
  </si>
  <si>
    <t>ITM Caja Moldeada 3x100A (reg.[0.7-1.0] In) - XT1N160-100A-3P-TMD - 65kA@230V, 36kA@415V - marca ABB.</t>
  </si>
  <si>
    <t>ITM Caja Moldeada 3x160A (reg.[0.7-1.0] In) - XT1N160-160A-3P-TMD - 65kA@230V, 36kA@415V - marca ABB.</t>
  </si>
  <si>
    <t>ITM Caja Moldeada 3x250A (reg.[0.7-1.0] In) - XT4N250-250A-3P-TMA - 65kA@230V, 36kA@415V - marca ABB.</t>
  </si>
  <si>
    <t>IRIGOYEN</t>
  </si>
  <si>
    <t>CODIGO</t>
  </si>
  <si>
    <t>2CDS281001R0204</t>
  </si>
  <si>
    <t>2CDS282001R0164</t>
  </si>
  <si>
    <t>2CDS282001R0204</t>
  </si>
  <si>
    <t>2CDS282001R0254</t>
  </si>
  <si>
    <t>2CDS282001R0324</t>
  </si>
  <si>
    <t>2CDS282001R0404</t>
  </si>
  <si>
    <t>2CDS282001R0504</t>
  </si>
  <si>
    <t>2CDS282001R0634</t>
  </si>
  <si>
    <t>2CDS283001R0164</t>
  </si>
  <si>
    <t>2CDS283001R0204</t>
  </si>
  <si>
    <t>2CDS283001R0254</t>
  </si>
  <si>
    <t>2CDS283001R0324</t>
  </si>
  <si>
    <t>2CDS283001R0404</t>
  </si>
  <si>
    <t>2CDS283001R0504</t>
  </si>
  <si>
    <t>2CDS283001R0634</t>
  </si>
  <si>
    <t>C1</t>
  </si>
  <si>
    <t>C2</t>
  </si>
  <si>
    <t>(3F)</t>
  </si>
  <si>
    <t>(2F)</t>
  </si>
  <si>
    <t>(3F+N)</t>
  </si>
  <si>
    <t>T8L2000-2000A-3P-PR331 P-LSI</t>
  </si>
  <si>
    <t>1SDA065723R1</t>
  </si>
  <si>
    <t>T8L2500-2500A-3P-PR331 P-LSI</t>
  </si>
  <si>
    <t>1SDA065758R1</t>
  </si>
  <si>
    <t>C3</t>
  </si>
  <si>
    <t>SWITCH_I-0-II_2p_40A</t>
  </si>
  <si>
    <t>1SCA100308R1001</t>
  </si>
  <si>
    <t>SWITCH_I-0-II_2p_100A</t>
  </si>
  <si>
    <t>SWITCH_I-0-II_2p_150A</t>
  </si>
  <si>
    <t>SWITCH_I-0-II_2p_170A</t>
  </si>
  <si>
    <t>SWITCH_I-0-II_2p_250A</t>
  </si>
  <si>
    <t>Conmutador de fuerza (I-0-II), 2p, 40A (AC22), modelo OL40U2RB - marca ABB.</t>
  </si>
  <si>
    <t>Conmutador de fuerza (I-0-II), 2p, 100A (AC22), modelo OL80U2RB - marca ABB.</t>
  </si>
  <si>
    <t>Conmutador de fuerza (I-0-II), 2p, 150A (AC22), modelo OL125U2RB - marca ABB.</t>
  </si>
  <si>
    <t>Conmutador de fuerza (I-0-II), 2p, 170A (AC22), modelo OL160U2RB - marca ABB.</t>
  </si>
  <si>
    <t>Conmutador de fuerza (I-0-II), 2p, 250A (AC22), modelo OL200U2RB - marca ABB.</t>
  </si>
  <si>
    <t>SWITCH_I-0-II_3p_100A</t>
  </si>
  <si>
    <t>SWITCH_I-0-II_3p_40A</t>
  </si>
  <si>
    <t>Conmutador de fuerza (I-0-II), 3p, 40A (AC22), modelo OL40U3RB - marca ABB.</t>
  </si>
  <si>
    <t>Conmutador de fuerza (I-0-II), 3p, 100A (AC22), modelo OL80U3RB - marca ABB.</t>
  </si>
  <si>
    <t>SWITCH_I-0-II_3p_150A</t>
  </si>
  <si>
    <t>Conmutador de fuerza (I-0-II), 3p, 150A (AC22), modelo OL125U3RB - marca ABB.</t>
  </si>
  <si>
    <t>SWITCH_I-0-II_3p_170A</t>
  </si>
  <si>
    <t>Conmutador de fuerza (I-0-II), 3p, 170A (AC22), modelo OL160U3RB - marca ABB.</t>
  </si>
  <si>
    <t>SWITCH_I-0-II_3p_250A</t>
  </si>
  <si>
    <t>Conmutador de fuerza (I-0-II), 3p, 250A (AC22), modelo OL200U3RB - marca ABB.</t>
  </si>
  <si>
    <t>1SCA022790R0640</t>
  </si>
  <si>
    <t>1SCA022790R2000</t>
  </si>
  <si>
    <t>1SCA022790R6920</t>
  </si>
  <si>
    <t>1SCA022790R7310</t>
  </si>
  <si>
    <t>1SCA100309R1001</t>
  </si>
  <si>
    <t>1SCA022790R0720</t>
  </si>
  <si>
    <t>1SCA022790R2180</t>
  </si>
  <si>
    <t>1SCA022790R7060</t>
  </si>
  <si>
    <t>1SCA022790R7490</t>
  </si>
  <si>
    <t>KIT-TRANSF_T6N_1000A</t>
  </si>
  <si>
    <t>1SDA060537P1</t>
  </si>
  <si>
    <t>1SCA120096R1001</t>
  </si>
  <si>
    <t>OTM_I-0-II_3p_40A</t>
  </si>
  <si>
    <t>Etiquetas de fila</t>
  </si>
  <si>
    <t>Total general</t>
  </si>
  <si>
    <t>Suma de CANT.</t>
  </si>
  <si>
    <t>1SCA022847R1210</t>
  </si>
  <si>
    <t>1SCA022847R1630</t>
  </si>
  <si>
    <t>E1.2B-1600A-3P-Ekip Dip LSI</t>
  </si>
  <si>
    <t>ITM Bastidor Abierto 3x1600A (electrónico [0.4-1.0] In) - E1.2B-1600A-3P-Ekip Dip LSI - 42kA@440Vac - marca ABB.</t>
  </si>
  <si>
    <t>E2.2B-2000A-3P-Ekip Dip LSI</t>
  </si>
  <si>
    <t>ITM Bastidor Abierto 3x2000A (electrónico [0.4-1.0] In) - E2.2B-2000A-3P-Ekip Dip LSI - 42kA@440Vac - marca ABB.</t>
  </si>
  <si>
    <t>1SDA070862R1</t>
  </si>
  <si>
    <t>1SDA071022R1</t>
  </si>
  <si>
    <t>E1.2B-800A-3P-Ekip Dip LSI</t>
  </si>
  <si>
    <t>ITM Bastidor Abierto 3x800A (electrónico [0.4-1.0] In) - E1.2B-800A-3P-Ekip Dip LSI - 42kA@440Vac - marca ABB.</t>
  </si>
  <si>
    <t>1SDA070742R1</t>
  </si>
  <si>
    <t>E1.2C-1600A-3P-Ekip Dip LSI</t>
  </si>
  <si>
    <t>1SDA070872R1</t>
  </si>
  <si>
    <t>01.</t>
  </si>
  <si>
    <t>1SDA023384R1</t>
  </si>
  <si>
    <t>Transferencia - (2) ITM Bastidor Abierto 3x1250A + enclav. mecánico + mando elect. - E1.2N-LSI-1250A - 66kA@440V - marca ABB.</t>
  </si>
  <si>
    <t>Transferencia - (2) ITM Bastidor Abierto 3x1600A + enclav. mecánico + mando elect. - E1.2N-LSI-1600A - 66kA@440V - marca ABB.</t>
  </si>
  <si>
    <t>Transferencia - (2) ITM Bastidor Abierto 3x2000A + enclav. mecánico + mando elect. - E2.2N-LSI-2000A - 66kA@440V - marca ABB.</t>
  </si>
  <si>
    <t>Transferencia - (2) ITM Bastidor Abierto 3x2500A + enclav. mecánico + mando elect. - E2.2N-LSI-2500A - 66kA@440V - marca ABB.</t>
  </si>
  <si>
    <t>Transferencia - (2) ITM Bastidor Abierto 3x3200A + enclav. mecánico + mando elect. - E4.2N-LSI-3200A - 66kA@440V - marca ABB.</t>
  </si>
  <si>
    <t>Transferencia - (2) ITM Bastidor Abierto 3x4000A + enclav. mecánico + mando elect. - E4.2N-LSI-4000A - 66kA@440V - marca ABB.</t>
  </si>
  <si>
    <t>CVM-B100-ITF-485-ICT2</t>
  </si>
  <si>
    <t>BZM2-XKSA - Juego de cubrebornes para interruptor BZM2.</t>
  </si>
  <si>
    <t>CUBREBOR_BZM2_3t</t>
  </si>
  <si>
    <t>Terminales BZM</t>
  </si>
  <si>
    <t>SCHNEIDER</t>
  </si>
  <si>
    <t>PM5340</t>
  </si>
  <si>
    <t>PM5560</t>
  </si>
  <si>
    <t>300x200x120mm</t>
  </si>
  <si>
    <t>300x200x155mm</t>
  </si>
  <si>
    <t>300x300x210mm</t>
  </si>
  <si>
    <t>400x300x210mm</t>
  </si>
  <si>
    <t>300x380x155mm</t>
  </si>
  <si>
    <t>380x380x210mm</t>
  </si>
  <si>
    <t>600x380x210mm</t>
  </si>
  <si>
    <t>500x400x210mm</t>
  </si>
  <si>
    <t>Tablero mural en acero - modelo AE, NEMA 12 / IP55 - 300x200x120mm - Ref.:1032.500 - marca RITTAL.</t>
  </si>
  <si>
    <t>Tablero mural en acero - modelo AE, NEMA 12 / IP55 - 300x200x155mm - Ref.:1035.500 - marca RITTAL.</t>
  </si>
  <si>
    <t>Tablero mural en acero - modelo AE, NEMA 4 / IP66 - 300x300x210mm - Ref.:1033.500 - marca RITTAL.</t>
  </si>
  <si>
    <t>Tablero mural en acero - modelo AE, NEMA 4 / IP66 - 400x300x210mm - Ref.:1034.500 - marca RITTAL.</t>
  </si>
  <si>
    <t>Tablero mural en acero - modelo AE, NEMA 4 / IP66 - 300x380x155mm - Ref.:1030.500 - marca RITTAL.</t>
  </si>
  <si>
    <t>Tablero mural en acero - modelo AE, NEMA 4 / IP66 - 380x380x210mm - Ref.:1380.500 - marca RITTAL.</t>
  </si>
  <si>
    <t>Tablero mural en acero - modelo AE, NEMA 4 / IP66 - 600x380x210mm - Ref.:1038.500 - marca RITTAL.</t>
  </si>
  <si>
    <t>500x500x210mm</t>
  </si>
  <si>
    <t>Tablero mural en acero - modelo AE, NEMA 4 / IP66 - 500x400x210mm - Ref.:1045.500 - marca RITTAL.</t>
  </si>
  <si>
    <t>Tablero mural en acero - modelo AE, NEMA 4 / IP66 - 500x500x210mm - Ref.:1050.500 - marca RITTAL.</t>
  </si>
  <si>
    <t>500x500x300mm</t>
  </si>
  <si>
    <t>Tablero mural en acero - modelo AE, NEMA 4 / IP66 - 500x500x300mm - Ref.:1350.500 - marca RITTAL.</t>
  </si>
  <si>
    <t>700x500x250mm</t>
  </si>
  <si>
    <t>600x600x210mm</t>
  </si>
  <si>
    <t>Tablero mural en acero - modelo AE, NEMA 4 / IP66 - 700x500x250mm - Ref.:1057.500 - marca RITTAL.</t>
  </si>
  <si>
    <t>Tablero mural en acero - modelo AE, NEMA 4 / IP66 - 600x600x210mm - Ref.:1060.500 - marca RITTAL.</t>
  </si>
  <si>
    <t>600x600x350mm</t>
  </si>
  <si>
    <t>Tablero mural en acero - modelo AE, NEMA 4 / IP66 - 600x600x350mm - Ref.:1360.500 - marca RITTAL.</t>
  </si>
  <si>
    <t>760x600x210mm</t>
  </si>
  <si>
    <t>Tablero mural en acero - modelo AE, NEMA 4 / IP66 - 760x600x210mm - Ref.:1076.500 - marca RITTAL.</t>
  </si>
  <si>
    <t>760x760x210mm</t>
  </si>
  <si>
    <t>Tablero mural en acero - modelo AE, NEMA 4 / IP66 - 760x760x210mm - Ref.:1077.500 - marca RITTAL.</t>
  </si>
  <si>
    <t>800x600x250mm</t>
  </si>
  <si>
    <t>Tablero mural en acero - modelo AE, NEMA 4 / IP66 - 800x600x250mm - Ref.:1058.500 - marca RITTAL.</t>
  </si>
  <si>
    <t>1000x600x250mm</t>
  </si>
  <si>
    <t>Tablero mural en acero - modelo AE, NEMA 4 / IP66 - 1000x600x250mm - Ref.:1090.500 - marca RITTAL.</t>
  </si>
  <si>
    <t>1200x600x300mm</t>
  </si>
  <si>
    <t>Tablero mural en acero - modelo AE, NEMA 4 / IP66 - 1200x600x300mm - Ref.:1260.500 - marca RITTAL.</t>
  </si>
  <si>
    <t>1000x800x300mm</t>
  </si>
  <si>
    <t>Tablero mural en acero - modelo AE, NEMA 4 / IP66 - 1000x800x300mm - Ref.:1180.500 - marca RITTAL.</t>
  </si>
  <si>
    <t>1200x800x300mm</t>
  </si>
  <si>
    <t>Tablero mural en acero - modelo AE, NEMA 4 / IP66 - 1200x800x300mm - Ref.:1280.500 - marca RITTAL.</t>
  </si>
  <si>
    <t>1200x1000x300mm</t>
  </si>
  <si>
    <t>1400x1000x300mm</t>
  </si>
  <si>
    <t>SOP-FIJ</t>
  </si>
  <si>
    <t>PORTA-ESQ</t>
  </si>
  <si>
    <t>Portaesquemas de plástico A4 con cintas autoadhesivas - Ref.:2514.000 - marca RITTAL.</t>
  </si>
  <si>
    <t>Tablero mural en acero - modelo AE, NEMA 12 / IP55 - 1200x1000x300mm (02 puertas) - Ref.:1213.500 - marca RITTAL.</t>
  </si>
  <si>
    <t>Tablero mural en acero - modelo AE, NEMA 12 / IP55 - 1400x1000x300mm (02 puertas) - Ref.:1114.500 - marca RITTAL.</t>
  </si>
  <si>
    <t>TunT_BZM2_3t: No existe. Tampoco se puede colocar los terminales Tunel del LZM2, porque es demasiado profundo para el BZM2.</t>
  </si>
  <si>
    <t>Módulo de protección diferencial (DR) LZM - NZM</t>
  </si>
  <si>
    <t>NZM1-XFI30R</t>
  </si>
  <si>
    <t>NZM1-XFI300R</t>
  </si>
  <si>
    <t>NZM1-XFIR</t>
  </si>
  <si>
    <r>
      <rPr>
        <sz val="10"/>
        <color rgb="FF0000FF"/>
        <rFont val="Arial"/>
        <family val="2"/>
      </rPr>
      <t xml:space="preserve">Módulo diferencial </t>
    </r>
    <r>
      <rPr>
        <sz val="10"/>
        <color indexed="10"/>
        <rFont val="Arial"/>
        <family val="2"/>
      </rPr>
      <t>para LZMS1</t>
    </r>
    <r>
      <rPr>
        <sz val="10"/>
        <color theme="1"/>
        <rFont val="Arial"/>
        <family val="2"/>
      </rPr>
      <t xml:space="preserve"> - </t>
    </r>
    <r>
      <rPr>
        <sz val="10"/>
        <color rgb="FF0000FF"/>
        <rFont val="Arial"/>
        <family val="2"/>
      </rPr>
      <t>3 polos, I_dif = 0.030A (lateral).</t>
    </r>
  </si>
  <si>
    <r>
      <rPr>
        <sz val="10"/>
        <color rgb="FF0000FF"/>
        <rFont val="Arial"/>
        <family val="2"/>
      </rPr>
      <t xml:space="preserve">Módulo diferencial </t>
    </r>
    <r>
      <rPr>
        <sz val="10"/>
        <color indexed="10"/>
        <rFont val="Arial"/>
        <family val="2"/>
      </rPr>
      <t>para LZMS1</t>
    </r>
    <r>
      <rPr>
        <sz val="10"/>
        <color theme="1"/>
        <rFont val="Arial"/>
        <family val="2"/>
      </rPr>
      <t xml:space="preserve"> - </t>
    </r>
    <r>
      <rPr>
        <sz val="10"/>
        <color rgb="FF0000FF"/>
        <rFont val="Arial"/>
        <family val="2"/>
      </rPr>
      <t>3 polos, I_dif = 0.3A (lateral).</t>
    </r>
  </si>
  <si>
    <r>
      <rPr>
        <sz val="10"/>
        <color rgb="FF0000FF"/>
        <rFont val="Arial"/>
        <family val="2"/>
      </rPr>
      <t xml:space="preserve">Módulo diferencial </t>
    </r>
    <r>
      <rPr>
        <sz val="10"/>
        <color indexed="10"/>
        <rFont val="Arial"/>
        <family val="2"/>
      </rPr>
      <t>para LZMS1</t>
    </r>
    <r>
      <rPr>
        <sz val="10"/>
        <color theme="1"/>
        <rFont val="Arial"/>
        <family val="2"/>
      </rPr>
      <t xml:space="preserve"> - </t>
    </r>
    <r>
      <rPr>
        <sz val="10"/>
        <color rgb="FF0000FF"/>
        <rFont val="Arial"/>
        <family val="2"/>
      </rPr>
      <t>3 polos, I_dif = 0.03 - 0.1 - 0.3 - 0.5 - 1 - 3A (lateral).</t>
    </r>
  </si>
  <si>
    <t>NZM1-XFIU</t>
  </si>
  <si>
    <r>
      <rPr>
        <sz val="10"/>
        <color rgb="FF0000FF"/>
        <rFont val="Arial"/>
        <family val="2"/>
      </rPr>
      <t xml:space="preserve">Módulo diferencial </t>
    </r>
    <r>
      <rPr>
        <sz val="10"/>
        <color indexed="10"/>
        <rFont val="Arial"/>
        <family val="2"/>
      </rPr>
      <t>para LZMS1</t>
    </r>
    <r>
      <rPr>
        <sz val="10"/>
        <color theme="1"/>
        <rFont val="Arial"/>
        <family val="2"/>
      </rPr>
      <t xml:space="preserve"> - </t>
    </r>
    <r>
      <rPr>
        <sz val="10"/>
        <color rgb="FF0000FF"/>
        <rFont val="Arial"/>
        <family val="2"/>
      </rPr>
      <t>3 polos, I_dif = 0.03 - 0.1 - 0.3 - 0.5 - 1 - 3A (debajo del interruptor).</t>
    </r>
  </si>
  <si>
    <t>PULS_STOP_MOD_GEN</t>
  </si>
  <si>
    <t>PULS_START_MOD_GEN</t>
  </si>
  <si>
    <t>PULS_NEGRO_MOD_GEN</t>
  </si>
  <si>
    <t>DILM150-XHI20</t>
  </si>
  <si>
    <t>Contacto auxiliar frontal 2NA para contactor DILM40..DILM170.</t>
  </si>
  <si>
    <t>Contacto auxiliar frontal 1NA+1NC para contactor DILM7..DILM38.</t>
  </si>
  <si>
    <t>Contacto auxiliar lateral 1NC para contactor DILM7..DILM15, DILA.</t>
  </si>
  <si>
    <t>Contacto auxiliar lateral 1NA para contactor DILM7..DILM15, DILA.</t>
  </si>
  <si>
    <t>DILM1000-XHI11-SA</t>
  </si>
  <si>
    <t>Contacto auxiliar lateral 1NA+1NC (externo) para contactor DILM40..DILM1600.</t>
  </si>
  <si>
    <t>DILM150-XHI02</t>
  </si>
  <si>
    <t>Contacto auxiliar frontal 2NC para contactor DILM40..DILM170.</t>
  </si>
  <si>
    <t>DILM12-XMV</t>
  </si>
  <si>
    <t>DILM32-XMV</t>
  </si>
  <si>
    <t>DILM65-XMV</t>
  </si>
  <si>
    <t>Enclavamiento mecánico para contactores DILM7..DILM15, DILA, DILMP.</t>
  </si>
  <si>
    <t>Enclavamiento mecánico para contactores DILM17..DILM38.</t>
  </si>
  <si>
    <t>Enclavamiento mecánico para contactores DILM40..DILM72.</t>
  </si>
  <si>
    <t>TRM</t>
  </si>
  <si>
    <t>TR1</t>
  </si>
  <si>
    <t>Toroide diferencial TRM p/ Riel-Din - d=29mm, In_max=65A@IEC60947-2(anexo M) - marca ABB.</t>
  </si>
  <si>
    <t>TR2</t>
  </si>
  <si>
    <t>TR3</t>
  </si>
  <si>
    <t>TR4</t>
  </si>
  <si>
    <t>2CSM029000R1211</t>
  </si>
  <si>
    <t>2CSG035100R1211</t>
  </si>
  <si>
    <t>2CSG060100R1211</t>
  </si>
  <si>
    <t>2CSG080100R1211</t>
  </si>
  <si>
    <t>2CSG110100R1211</t>
  </si>
  <si>
    <t>2CSG210100R1211</t>
  </si>
  <si>
    <t>TR5</t>
  </si>
  <si>
    <t>TR160</t>
  </si>
  <si>
    <t>2CSG160100R1211</t>
  </si>
  <si>
    <t>Cubrebornes BZM</t>
  </si>
  <si>
    <t>Accesorios BZM</t>
  </si>
  <si>
    <t>BZM1-3-XA230-240VAC</t>
  </si>
  <si>
    <t>M22-K10</t>
  </si>
  <si>
    <t>M22-K01</t>
  </si>
  <si>
    <t>NZM1-XA208-250AC/DC</t>
  </si>
  <si>
    <t>NZM2/3-XA208-250AC/DC</t>
  </si>
  <si>
    <t>NZM4-XA208-250AC/DC</t>
  </si>
  <si>
    <r>
      <rPr>
        <sz val="10"/>
        <color rgb="FF0000FF"/>
        <rFont val="Arial"/>
        <family val="2"/>
      </rPr>
      <t xml:space="preserve">Bobina de Disparo (impulso) </t>
    </r>
    <r>
      <rPr>
        <sz val="10"/>
        <color indexed="10"/>
        <rFont val="Arial"/>
        <family val="2"/>
      </rPr>
      <t>para LZM2-LZM3 / NZM2-NMZ3</t>
    </r>
    <r>
      <rPr>
        <sz val="10"/>
        <color rgb="FF0000FF"/>
        <rFont val="Arial"/>
        <family val="2"/>
      </rPr>
      <t xml:space="preserve"> - 208-250V AC/DC.</t>
    </r>
  </si>
  <si>
    <r>
      <rPr>
        <sz val="10"/>
        <color rgb="FF0000FF"/>
        <rFont val="Arial"/>
        <family val="2"/>
      </rPr>
      <t xml:space="preserve">Bobina de Disparo (impulso) </t>
    </r>
    <r>
      <rPr>
        <sz val="10"/>
        <color indexed="10"/>
        <rFont val="Arial"/>
        <family val="2"/>
      </rPr>
      <t>para LZM1 / NZM1</t>
    </r>
    <r>
      <rPr>
        <sz val="10"/>
        <color rgb="FF0000FF"/>
        <rFont val="Arial"/>
        <family val="2"/>
      </rPr>
      <t xml:space="preserve"> - 208-250V AC/DC.</t>
    </r>
  </si>
  <si>
    <r>
      <rPr>
        <sz val="10"/>
        <color rgb="FF0000FF"/>
        <rFont val="Arial"/>
        <family val="2"/>
      </rPr>
      <t xml:space="preserve">Bobina de Disparo (impulso) </t>
    </r>
    <r>
      <rPr>
        <sz val="10"/>
        <color indexed="10"/>
        <rFont val="Arial"/>
        <family val="2"/>
      </rPr>
      <t>para LZM4 / NZM4</t>
    </r>
    <r>
      <rPr>
        <sz val="10"/>
        <color rgb="FF0000FF"/>
        <rFont val="Arial"/>
        <family val="2"/>
      </rPr>
      <t xml:space="preserve"> - 208-250V AC/DC.</t>
    </r>
  </si>
  <si>
    <t>PAN. LZM1 400A</t>
  </si>
  <si>
    <t>020-TDF-010</t>
  </si>
  <si>
    <t>TABLERO "020-TDF-010"</t>
  </si>
  <si>
    <t>TABLERO "020-TDF-011"</t>
  </si>
  <si>
    <t>ITM LZM4 1000A</t>
  </si>
  <si>
    <t>ITM LZM2 300A</t>
  </si>
  <si>
    <t>ITM LZM2 200A</t>
  </si>
  <si>
    <t>020-TDF-011</t>
  </si>
  <si>
    <t>SIRENA</t>
  </si>
  <si>
    <t>Sirena zumbador, 240Vac, IP 55, 82DB.</t>
  </si>
  <si>
    <t>SIRENA_LUMINOSO</t>
  </si>
  <si>
    <t>Sirena zumbador luminoso, acústico, BIP OS93, orientab., 240Vac, 75DB.</t>
  </si>
  <si>
    <t>REACT_10kVAR/380V_p14</t>
  </si>
  <si>
    <t>COND_10kVAR/380V_p14</t>
  </si>
  <si>
    <t>REACT_20kVAR/380V_p14</t>
  </si>
  <si>
    <t>COND_20kVAR/380V_p14</t>
  </si>
  <si>
    <t>REACT_10kVAR/380V_p7</t>
  </si>
  <si>
    <t>COND_10kVAR/380V_p7</t>
  </si>
  <si>
    <t>REACT_20kVAR/380V_p7</t>
  </si>
  <si>
    <t>REACT_15kVAR/230V_p14</t>
  </si>
  <si>
    <t>COND_15kVAR/230V_p14</t>
  </si>
  <si>
    <t>YO_A1-A2</t>
  </si>
  <si>
    <t>1SDA066137R1</t>
  </si>
  <si>
    <t>YO_A3</t>
  </si>
  <si>
    <t>1SDA054873R1</t>
  </si>
  <si>
    <t>1SDA066149R1</t>
  </si>
  <si>
    <t>1Q+1SY_A3</t>
  </si>
  <si>
    <t>1SDA054910R1</t>
  </si>
  <si>
    <t>1SDA067122R1</t>
  </si>
  <si>
    <t>1SDA067127R1</t>
  </si>
  <si>
    <t>1SDA054866R1</t>
  </si>
  <si>
    <t>YO_T8</t>
  </si>
  <si>
    <t>1SDA038292R1</t>
  </si>
  <si>
    <t>YC_T8</t>
  </si>
  <si>
    <t>1SDA038302R1</t>
  </si>
  <si>
    <t>YU_T8</t>
  </si>
  <si>
    <t>1SDA038312R1</t>
  </si>
  <si>
    <t>MIR-HB_T4-T5</t>
  </si>
  <si>
    <t>1SDA054946R1</t>
  </si>
  <si>
    <t>MIR-VB_T4-T5</t>
  </si>
  <si>
    <t>1SDA054947R1</t>
  </si>
  <si>
    <t>MIR-P_tipoA</t>
  </si>
  <si>
    <t>1SDA054948R1</t>
  </si>
  <si>
    <t>MIR-P_tipoB</t>
  </si>
  <si>
    <t>1SDA054949R1</t>
  </si>
  <si>
    <t>MIR-P_tipoC</t>
  </si>
  <si>
    <t>1SDA054950R1</t>
  </si>
  <si>
    <t>MIR-P_tipoD</t>
  </si>
  <si>
    <t>1SDA054951R1</t>
  </si>
  <si>
    <t>MIR-P_tipoE</t>
  </si>
  <si>
    <t>1SDA054952R1</t>
  </si>
  <si>
    <t>MIR-P_tipoF</t>
  </si>
  <si>
    <t>1SDA054953R1</t>
  </si>
  <si>
    <t>MIR-HB_T6</t>
  </si>
  <si>
    <t>1SDA060685R1</t>
  </si>
  <si>
    <t>MIR-VB_T6</t>
  </si>
  <si>
    <t>1SDA060686R1</t>
  </si>
  <si>
    <t>MS116-0.63</t>
  </si>
  <si>
    <t>1SAM250000R1004</t>
  </si>
  <si>
    <t>MS116-1.0</t>
  </si>
  <si>
    <t>1SAM250000R1005</t>
  </si>
  <si>
    <t>MS116-1.6</t>
  </si>
  <si>
    <t>1SAM250000R1006</t>
  </si>
  <si>
    <t>MS116-2.5</t>
  </si>
  <si>
    <t>1SAM250000R1007</t>
  </si>
  <si>
    <t>MS116-4.0</t>
  </si>
  <si>
    <t>1SAM250000R1008</t>
  </si>
  <si>
    <t>MS116-6.3</t>
  </si>
  <si>
    <t>1SAM250000R1009</t>
  </si>
  <si>
    <t>MS116-10.0</t>
  </si>
  <si>
    <t>1SAM250000R1010</t>
  </si>
  <si>
    <t>GJH1211001R8400</t>
  </si>
  <si>
    <t>RELE_CR-P_2NA/NC</t>
  </si>
  <si>
    <t>Relé enchufable + 2NA/NC (8 pines) - CR-P230AC2 - 8A, bobina 220-250Vac - marca ABB.</t>
  </si>
  <si>
    <t>1SVR405601R3000</t>
  </si>
  <si>
    <t>RELE_CR-P_2NA/NC---Clip</t>
  </si>
  <si>
    <t>CR-PH - Clip de retención plástico (CR-P230AC2) - marca ABB.</t>
  </si>
  <si>
    <t>1SVR405659R0000</t>
  </si>
  <si>
    <t>RELE_CR-P_2NA/NC---Base</t>
  </si>
  <si>
    <t>CR-PLSX - Base lógica (CR-P230AC2) - marca ABB.</t>
  </si>
  <si>
    <t>1SVR405650R0100</t>
  </si>
  <si>
    <t>RELE_CR-M_4NA/NC</t>
  </si>
  <si>
    <t>Relé enchufable + 4NA/NC (14 pines) - CR-M230AC4 - 8A, bobina 220-250Vac - marca ABB.</t>
  </si>
  <si>
    <t>1SVR405613R3000</t>
  </si>
  <si>
    <t>RELE_CR-M_4NA/NC---Clip</t>
  </si>
  <si>
    <t>CR-MH - Clip de retención plástico (CR-M230AC4) - marca ABB.</t>
  </si>
  <si>
    <t>1SVR405659R1000</t>
  </si>
  <si>
    <t>RELE_CR-M_4NA/NC---Base</t>
  </si>
  <si>
    <t>CR-M4LS - Base lógica (CR-M230AC4) - marca ABB.</t>
  </si>
  <si>
    <t>1SVR405651R3100</t>
  </si>
  <si>
    <t>RELE_CR-U_2NA/NC</t>
  </si>
  <si>
    <t>Relé enchufable + 2NA/NC (8 pines) - CR-U230AC2 - 10A, bobina 220-250Vac - marca ABB.</t>
  </si>
  <si>
    <t>1SVR405621R3000</t>
  </si>
  <si>
    <t>RELE_CR-U_2NA/NC---Clip</t>
  </si>
  <si>
    <t>CR-UH - Clip de retención metálico (CR-U230AC2) - marca ABB.</t>
  </si>
  <si>
    <t>1SVR405669R0000</t>
  </si>
  <si>
    <t>RELE_CR-U_2NA/NC---Base</t>
  </si>
  <si>
    <t>CR-U2S - Base lógica (CR-U230AC2) - marca ABB.</t>
  </si>
  <si>
    <t>1SVR405670R0000</t>
  </si>
  <si>
    <t>RELE_CR-U_3NA/NC</t>
  </si>
  <si>
    <t>Relé de interface enchufable + 3NA/NC (11 pines) - CR-U230AC3 - 10A, bobina 220-250Vac - marca ABB.</t>
  </si>
  <si>
    <t>RELE_CR-U_3NA/NC---Clip</t>
  </si>
  <si>
    <t>CR-UH - Clip de retención metálico (CR-U230AC3) - marca ABB.</t>
  </si>
  <si>
    <t>RELE_CR-U_3NA/NC---Base</t>
  </si>
  <si>
    <t>CR-U3S - Base lógica (CR-U230AC3) - marca ABB.</t>
  </si>
  <si>
    <t>1SVR405660R0000</t>
  </si>
  <si>
    <t>SEL_0-1</t>
  </si>
  <si>
    <t>1SFA611201P1106</t>
  </si>
  <si>
    <t>MCB-10</t>
  </si>
  <si>
    <t>1SFA611610R1001</t>
  </si>
  <si>
    <t>MCB-01</t>
  </si>
  <si>
    <t>1SFA611610R1010</t>
  </si>
  <si>
    <t>BORNES DE 800A
Barras de 60x10mm</t>
  </si>
  <si>
    <t>TABLERO "020-TDF-012"</t>
  </si>
  <si>
    <t>PANEL DE BARRAS - CAJA MOLD. (LZM1 / XT2)</t>
  </si>
  <si>
    <t>TABLERO "020-TDF-013"</t>
  </si>
  <si>
    <t>TABLERO "020-TGDFyA-001"</t>
  </si>
  <si>
    <t>XTCEXVSBB</t>
  </si>
  <si>
    <t>XTOB006BC1</t>
  </si>
  <si>
    <t>XTOB004BC1</t>
  </si>
  <si>
    <t>XTOB2P4BC1</t>
  </si>
  <si>
    <t>XTOB1P6BC1</t>
  </si>
  <si>
    <t>ITM LZM4 1250A</t>
  </si>
  <si>
    <t>TABLERO "110-TGF-001"</t>
  </si>
  <si>
    <t>TABLERO "120-TGF-001"</t>
  </si>
  <si>
    <t>03.</t>
  </si>
  <si>
    <t>04.</t>
  </si>
  <si>
    <t>MAGNUM 3000</t>
  </si>
  <si>
    <t>EATON</t>
  </si>
  <si>
    <t>BZM1-XKP</t>
  </si>
  <si>
    <t>BZM2-XKP</t>
  </si>
  <si>
    <t>BZM1-XKAV</t>
  </si>
  <si>
    <t>LZMS2-A25</t>
  </si>
  <si>
    <t>LZMS2-A32</t>
  </si>
  <si>
    <t>Accesorios LZM</t>
  </si>
  <si>
    <t>NZM2/3-XU208-240AC</t>
  </si>
  <si>
    <t>NZM4-XU208-240AC</t>
  </si>
  <si>
    <t>Contacto auxiliar 1NO para interruptor LZM - contacto de estado / contacto de actuación del interruptor.</t>
  </si>
  <si>
    <t>Contacto auxiliar 1NC para interruptor LZM - contacto de estado / contacto de actuación del interruptor.</t>
  </si>
  <si>
    <t>PFIM-100/4/03</t>
  </si>
  <si>
    <t>TC 3000/5</t>
  </si>
  <si>
    <t>Transformador de corriente de 3000/5A</t>
  </si>
  <si>
    <t>TC 2500/5</t>
  </si>
  <si>
    <t>TC 2000/5</t>
  </si>
  <si>
    <t>TC 1500/5</t>
  </si>
  <si>
    <t>TC 800/5</t>
  </si>
  <si>
    <t>TC 500/5</t>
  </si>
  <si>
    <t>TC 400/5</t>
  </si>
  <si>
    <t>TC 200/5</t>
  </si>
  <si>
    <t>TC 160/5</t>
  </si>
  <si>
    <t>Transformador de corriente de 160/5A</t>
  </si>
  <si>
    <t>IH-ANAL_ORBIS</t>
  </si>
  <si>
    <t>IH-ANAL</t>
  </si>
  <si>
    <t>IH_GRASSLIN</t>
  </si>
  <si>
    <t>Interruptor Horario Digital - marca GRASSLIN.</t>
  </si>
  <si>
    <t>Pulsador rasante - color Rojo - contacto 1NC - línea modular.</t>
  </si>
  <si>
    <t>Pulsador rasante - color Verde - contacto 1NA - línea modular.</t>
  </si>
  <si>
    <t>Pulsador rasante - color Negro - contacto 1NA - línea modular.</t>
  </si>
  <si>
    <t>PULS_STOP_GEN</t>
  </si>
  <si>
    <t>Pulsador rasante - color Rojo - contacto 1NC - línea compacta.</t>
  </si>
  <si>
    <t>PULS_START_GEN</t>
  </si>
  <si>
    <t>Pulsador rasante - color Verde - contacto 1NA - línea compacta.</t>
  </si>
  <si>
    <t>PULS_NEGRO_GEN</t>
  </si>
  <si>
    <t>Pulsador rasante - color Negro - contacto 1NA - línea compacta.</t>
  </si>
  <si>
    <t>LAMP_ROJO_220V_GEN</t>
  </si>
  <si>
    <t>LAMP_VERDE_220V_GEN</t>
  </si>
  <si>
    <t>LAMP_AM_220V_GEN</t>
  </si>
  <si>
    <t>LAMP_ROJO_120V_GEN</t>
  </si>
  <si>
    <t>LAMP_VERDE_120V_GEN</t>
  </si>
  <si>
    <t>LAMP_AM_120V_GEN</t>
  </si>
  <si>
    <t xml:space="preserve">Pulsador doble Start/Stop (Rojo/Verde) con lampara tipo LED + contacto 1NA+1NC. </t>
  </si>
  <si>
    <t>Pulsador doble Start/Stop (Rojo/Verde) sin iluminación + contacto 1NA+1NC.</t>
  </si>
  <si>
    <t>MCB-10_GEN</t>
  </si>
  <si>
    <t>Contacto auxiliar 1NA - para selector.</t>
  </si>
  <si>
    <t>MCB-01_GEN</t>
  </si>
  <si>
    <t>Contacto auxiliar 1NC - para selector.</t>
  </si>
  <si>
    <t>NZM3-XKP - Juego de 02 separadores de Fase p/ NZM3 /LZM3.</t>
  </si>
  <si>
    <t>NZM4-XKP - Juego de 02 separadores de Fase p/ NZM3 /LZM4.</t>
  </si>
  <si>
    <t>Rele auxiliar enchufable +4NA/NC (D2PR4B + base D2PA6) - EATON.</t>
  </si>
  <si>
    <t>DILM32-XHI22</t>
  </si>
  <si>
    <t>Contacto auxiliar frontal 2NA+2NC para contactor DILM7..DILM38.</t>
  </si>
  <si>
    <t>XTRM10A22T</t>
  </si>
  <si>
    <t>XTCF020B00B</t>
  </si>
  <si>
    <t>XTCF032C10B</t>
  </si>
  <si>
    <t>XTCF045C10B</t>
  </si>
  <si>
    <t>XTCF063D00B</t>
  </si>
  <si>
    <t>XTCF080D00B</t>
  </si>
  <si>
    <t>XTCF125G00B</t>
  </si>
  <si>
    <t>XTCF160G00B</t>
  </si>
  <si>
    <t>XTCF200G00B</t>
  </si>
  <si>
    <t>mMCM-C10/4-MW</t>
  </si>
  <si>
    <t>mMCM-C16/4-MW</t>
  </si>
  <si>
    <t>mMCM-C20/4-MW</t>
  </si>
  <si>
    <t>mMCM-C25/4-MW</t>
  </si>
  <si>
    <t>mMCM-C32/4-MW</t>
  </si>
  <si>
    <t>mMCM-C40/4-MW</t>
  </si>
  <si>
    <t>mMCM-C50/4-MW</t>
  </si>
  <si>
    <t>mMCM-C63/4-MW</t>
  </si>
  <si>
    <t>LZMS1-4-A20</t>
  </si>
  <si>
    <t>LZMS1-4-A25</t>
  </si>
  <si>
    <t>LZMS1-4-A32</t>
  </si>
  <si>
    <t>LZMS1-4-A40</t>
  </si>
  <si>
    <t>LZMS1-4-A50</t>
  </si>
  <si>
    <t>LZMS1-4-A63</t>
  </si>
  <si>
    <t>LZMS1-4-A80</t>
  </si>
  <si>
    <t>LZMS1-4-A100</t>
  </si>
  <si>
    <t>LZMS1-4-A125</t>
  </si>
  <si>
    <t>LZMS1-4-A160</t>
  </si>
  <si>
    <t>LZMS2-4-A32</t>
  </si>
  <si>
    <t>LZMS2-4-A100</t>
  </si>
  <si>
    <t>LZMS2-4-A160</t>
  </si>
  <si>
    <t>LZMS2-4-A200</t>
  </si>
  <si>
    <t>LZMS2-4-A250</t>
  </si>
  <si>
    <t>LZMS3-4-A320</t>
  </si>
  <si>
    <t>LZMS3-4-A400</t>
  </si>
  <si>
    <t>LZMS3-4-A500</t>
  </si>
  <si>
    <t>Modelo LZM4 - Electrónicos</t>
  </si>
  <si>
    <t>LZMS3-4-VE400</t>
  </si>
  <si>
    <t>LZMS3-4-VE630</t>
  </si>
  <si>
    <t>LZMS4-4-VE800</t>
  </si>
  <si>
    <t>LZMS4-4-VE1000</t>
  </si>
  <si>
    <t>LZMS4-4-VE1250</t>
  </si>
  <si>
    <t>LZMS4-4-VE1600</t>
  </si>
  <si>
    <t>BoxT_LZM2_4t_160A</t>
  </si>
  <si>
    <t>BoxT_LZM2_4t</t>
  </si>
  <si>
    <t>TunT_LZM2_4t</t>
  </si>
  <si>
    <t>BoxT_LZM3_4t</t>
  </si>
  <si>
    <t>TunT_LZM3_4t_320A</t>
  </si>
  <si>
    <t>TunT_LZM3_4t</t>
  </si>
  <si>
    <t>TunT_LZM4_4t</t>
  </si>
  <si>
    <t>Magnum(S)_2500A_4p_Digitrip1150i-LSIG/A</t>
  </si>
  <si>
    <t>ITM Bastidor Abierto 4x2500A (electrónico [0.4-1.0] In) - Magnum(S)_2500A_4p_Digitrip1150i-LSIG/A - 65kA@480Vac, moto-operado, Uc=220Vac.</t>
  </si>
  <si>
    <t>Magnum(S)_2500A_4p_Digitrip520-LSIG</t>
  </si>
  <si>
    <t>ITM Bastidor Abierto 4x2500A (electrónico [0.4-1.0] In) - Magnum(S)_2500A_4p_Digitrip520-LSIG - 65kA@480Vac, moto-operado, Uc=220Vac.</t>
  </si>
  <si>
    <t>Magnum(S)_2500A_4p_Digitrip520-LSI</t>
  </si>
  <si>
    <t>ITM Bastidor Abierto 4x2500A (electrónico [0.4-1.0] In) - Magnum(S)_2500A_4p_Digitrip520-LSI - 65kA@480Vac, moto-operado, Uc=220Vac.</t>
  </si>
  <si>
    <t>Magnum(N)_2000A_4p_Digitrip520-LSIG</t>
  </si>
  <si>
    <t>ITM Bastidor Abierto 4x2000A (electrónico [0.4-1.0] In) - Magnum(N)_2000A_4p_Digitrip520-LSIG - 50kA@480Vac, moto-operado, Uc=220Vac.</t>
  </si>
  <si>
    <t>YO_Magnum_220V</t>
  </si>
  <si>
    <t>YC_Magnum_220V</t>
  </si>
  <si>
    <t>YM_Magnum_220V</t>
  </si>
  <si>
    <t>Motor-reductor (YM) para la carga automática de los resortes - Magnum - 220-250V AC/DC.</t>
  </si>
  <si>
    <t>1S51_Magnum</t>
  </si>
  <si>
    <t>1(S51) contacto por actuacion del relé - 250V - Magnum.</t>
  </si>
  <si>
    <t>Dif-63/4/03-B</t>
  </si>
  <si>
    <t>Interruptor Diferencial 4x63A - 300mA - clase B (para variador, alta inmunización).</t>
  </si>
  <si>
    <t>Dif-125/4/03-B</t>
  </si>
  <si>
    <t>Interruptor Diferencial 4x125A - 300mA - clase B (para variador, alta inmunización).</t>
  </si>
  <si>
    <t>ATC-300</t>
  </si>
  <si>
    <t>KIT-TRANSF_Magnum_2500A</t>
  </si>
  <si>
    <t>NZM2-XMVR</t>
  </si>
  <si>
    <t>NZM3-XMVR</t>
  </si>
  <si>
    <t>NZM4-XMVR</t>
  </si>
  <si>
    <t>BENDER</t>
  </si>
  <si>
    <t>BTICINO</t>
  </si>
  <si>
    <t>MENNEKES</t>
  </si>
  <si>
    <t>INT_DADO_BI</t>
  </si>
  <si>
    <t>DADO INT. BIPOLAR 16A 250VAC 5011 MAGIC - marca Bticino.</t>
  </si>
  <si>
    <t>PLACA_INT_DADO_BI</t>
  </si>
  <si>
    <t>PLACA ALUM 1CAV CHAMPAGNE C/TORN + S RESINA 503/1SR - marca Bticino.</t>
  </si>
  <si>
    <t>RCD_2x25A_300mA_A_K</t>
  </si>
  <si>
    <t>Interruptor diferencial 2x25A - 300mA, clase A, curva K - marca Schneider - Ref.: A9R54225.</t>
  </si>
  <si>
    <t>RCD_4x25A_300mA_B_S</t>
  </si>
  <si>
    <t>SIEMENS</t>
  </si>
  <si>
    <t>LOGO_DM8-24R</t>
  </si>
  <si>
    <t>LOGO_DM8-230R</t>
  </si>
  <si>
    <t>LOGO_DM16-24R</t>
  </si>
  <si>
    <t>Módulo de expansión para micro-PLC LOGO! - Ue=24Vdc - 8 entradas digitales + 8 salidas tipo relé - marca SIEMENS.</t>
  </si>
  <si>
    <t>LOGO_DM16-230R</t>
  </si>
  <si>
    <t>BAT_7Ah</t>
  </si>
  <si>
    <t>REACT_18kVAR/380V_p14</t>
  </si>
  <si>
    <t>COND_18kVAR/380V_p14</t>
  </si>
  <si>
    <t>REACT_30kVAR/230V_p7</t>
  </si>
  <si>
    <t>COND_30kVAR/230V_p7</t>
  </si>
  <si>
    <t>REACT_40kVAR/380V_p14</t>
  </si>
  <si>
    <t>Reactancia para filtro de rechazo de armónicas, para paso de 40 kVAR, 380Vac, 60Hz, p=14%, tipo RBX, marca CIRCUTOR.</t>
  </si>
  <si>
    <t>COND_40kVAR/380V_p14</t>
  </si>
  <si>
    <t>Condensador, Trifásico, para paso de potencia efectiva de 40 kVAR, 380Vac, 60Hz, p=14%, tipo CFB, marca CIRCUTOR.</t>
  </si>
  <si>
    <t>Regulador de factor de potencia, 12 pasos, Ve = 100-520 Vac, modelo Computer SMART III, marca CIRCUTOR.</t>
  </si>
  <si>
    <t>BASE_FUSIBLE_NH</t>
  </si>
  <si>
    <t>BASE PORTAFUSIBLE TRIP.D/POLYESTER FIJ.DIN NH-00 690VCA + PLACAS SEPARADORAS P/BASES PORTAF.UNIPOLARES (EC) NH-00.</t>
  </si>
  <si>
    <t>DF ELECTRIC</t>
  </si>
  <si>
    <t>Modelo 5SL4</t>
  </si>
  <si>
    <t>Modelo 5SV - Clase AC (30mA)</t>
  </si>
  <si>
    <t>Modelo 5SV - Clase A (30mA)</t>
  </si>
  <si>
    <t>5SV3312-6</t>
  </si>
  <si>
    <t>Bastidor abierto</t>
  </si>
  <si>
    <t>3VA1125-5EE32-0AA0</t>
  </si>
  <si>
    <t>3VA1132-5EE32-0AA0</t>
  </si>
  <si>
    <t>3VA1225-5EF32-0AA0</t>
  </si>
  <si>
    <t>S202-C-10A</t>
  </si>
  <si>
    <t>S203-C-10A</t>
  </si>
  <si>
    <t>S204-C-10A</t>
  </si>
  <si>
    <t>S204-C-16A</t>
  </si>
  <si>
    <t>S204-C-20A</t>
  </si>
  <si>
    <t>S204-C-25A</t>
  </si>
  <si>
    <t>S204-C-32A</t>
  </si>
  <si>
    <t>S204-C-40A</t>
  </si>
  <si>
    <t>S204-C-50A</t>
  </si>
  <si>
    <t>S204-C-63A</t>
  </si>
  <si>
    <t>S204M-C-16A</t>
  </si>
  <si>
    <t>S204M-C-20A</t>
  </si>
  <si>
    <t>S204M-C-25A</t>
  </si>
  <si>
    <t>S204M-C-32A</t>
  </si>
  <si>
    <t>S204M-C-40A</t>
  </si>
  <si>
    <t>S204M-C-50A</t>
  </si>
  <si>
    <t>S204M-C-63A</t>
  </si>
  <si>
    <t>S204P-C-16A</t>
  </si>
  <si>
    <t>2CDS284001R0164</t>
  </si>
  <si>
    <t>S204P-C-20A</t>
  </si>
  <si>
    <t>2CDS284001R0204</t>
  </si>
  <si>
    <t>S204P-C-25A</t>
  </si>
  <si>
    <t>2CDS284001R0254</t>
  </si>
  <si>
    <t>S204P-C-32A</t>
  </si>
  <si>
    <t>2CDS284001R0324</t>
  </si>
  <si>
    <t>S204P-C-40A</t>
  </si>
  <si>
    <t>2CDS284001R0404</t>
  </si>
  <si>
    <t>S204P-C-50A</t>
  </si>
  <si>
    <t>2CDS284001R0504</t>
  </si>
  <si>
    <t>S204P-C-63A</t>
  </si>
  <si>
    <t>2CDS284001R0634</t>
  </si>
  <si>
    <t>CLASE AC</t>
  </si>
  <si>
    <t>Interruptor Diferencial 2x25A - 30mA - clase AC - FH202-AC-25A-30mA - marca ABB.</t>
  </si>
  <si>
    <t>Interruptor Diferencial 2x40A -  30mA - clase AC - FH202-AC-40A-30mA - marca ABB.</t>
  </si>
  <si>
    <t>Interruptor Diferencial 2x63A - 30mA - clase AC - FH202-AC-63A-30mA - marca ABB.</t>
  </si>
  <si>
    <t>Interruptor Diferencial 2x80A - 30mA - clase AC - F202-AC-80A-30mA - marca ABB.</t>
  </si>
  <si>
    <t>Interruptor Diferencial 2x100A - 30mA - clase AC - F202-AC-100A-30mA - marca ABB.</t>
  </si>
  <si>
    <t>Interruptor Diferencial 4x25A - 30mA - clase AC - FH204-AC-25A-30mA - marca ABB.</t>
  </si>
  <si>
    <t>Interruptor Diferencial 4x40A - 30mA - clase AC - FH204-AC-40A-30mA - marca ABB.</t>
  </si>
  <si>
    <t>Interruptor Diferencial 4x63A - 30mA - clase AC - FH204-AC-63A-30mA - marca ABB.</t>
  </si>
  <si>
    <t>Interruptor Diferencial 4x80A - 30mA - clase AC - F204-AC-80A-30mA - marca ABB.</t>
  </si>
  <si>
    <t>Interruptor Diferencial 4x100A - 30mA - clase AC - F204-AC-100A-30mA - marca ABB.</t>
  </si>
  <si>
    <t>Interruptor Diferencial 4x125A - 30mA - clase AC - F204-AC-125A-30mA - marca ABB.</t>
  </si>
  <si>
    <t>300mA</t>
  </si>
  <si>
    <t>FH202-AC-25A-300mA</t>
  </si>
  <si>
    <t>Interruptor Diferencial 2x25A - 300mA - clase AC - FH202-AC-25A-300mA  - marca ABB.</t>
  </si>
  <si>
    <t>1TMF202006R3250</t>
  </si>
  <si>
    <t>FH202-AC-40A-300mA</t>
  </si>
  <si>
    <t>Interruptor Diferencial 2x40A - 300mA - clase AC - FH202-AC-40A-300mA - marca ABB.</t>
  </si>
  <si>
    <t>1TMF202006R3400</t>
  </si>
  <si>
    <t>FH202-AC-63A-300mA</t>
  </si>
  <si>
    <t>Interruptor Diferencial 2x63A - 300mA - clase AC - FH202-AC-63A-300mA - marca ABB.</t>
  </si>
  <si>
    <t>1TMF202006R3630</t>
  </si>
  <si>
    <t>FH204-AC-25A-300mA</t>
  </si>
  <si>
    <t>Interruptor Diferencial 4x25A - 300mA - clase AC - FH204-AC-25A-300mA - marca ABB.</t>
  </si>
  <si>
    <t>1TMF204006R3250</t>
  </si>
  <si>
    <t>FH204-AC-40A-300mA</t>
  </si>
  <si>
    <t>Interruptor Diferencial 4x40A - 300mA - clase AC - FH204-AC-40A-300mA - marca ABB.</t>
  </si>
  <si>
    <t>1TMF204006R3400</t>
  </si>
  <si>
    <t>FH204-AC-63A-300mA</t>
  </si>
  <si>
    <t>Interruptor Diferencial 4x63A - 300mA - clase AC - FH204-AC-63A-300mA - marca ABB.</t>
  </si>
  <si>
    <t/>
  </si>
  <si>
    <t>F204-AC-80A-300mA</t>
  </si>
  <si>
    <t>Interruptor Diferencial 4x80A - 300mA - clase AC - F204-AC-80A-300mA - marca ABB.</t>
  </si>
  <si>
    <t>2CSF204005R3800</t>
  </si>
  <si>
    <t>F204-AC-100A-300mA</t>
  </si>
  <si>
    <t>Interruptor Diferencial 4x100A - 300mA - clase AC - F204-AC-100A-300mA - marca ABB.</t>
  </si>
  <si>
    <t>2CSF204005R3900</t>
  </si>
  <si>
    <t>CLASE A</t>
  </si>
  <si>
    <t>Interruptor Diferencial 2x25A - 30mA - clase A (inmunizado) - F202-A-25A-30mA - marca ABB.</t>
  </si>
  <si>
    <t>Interruptor Diferencial 2x40A - 30mA - clase A (inmunizado) - F202-A-40A-30mA - marca ABB.</t>
  </si>
  <si>
    <t>Interruptor Diferencial 2x63A - 30mA - clase A (inmunizado) - F202-A-63A-30mA - marca ABB.</t>
  </si>
  <si>
    <t>Interruptor Diferencial 2x80A - 30mA - clase A (inmunizado) - F202-A-80A-30mA - marca ABB.</t>
  </si>
  <si>
    <t>Interruptor Diferencial 2x100A - 30mA - clase A (inmunizado) - F202-A-100A-30mA - marca ABB.</t>
  </si>
  <si>
    <t>Interruptor Diferencial 4x25A - 30mA - clase A (inmunizado) - F204-A-25A-30mA - marca ABB.</t>
  </si>
  <si>
    <t>Interruptor Diferencial 4x40A - 30mA - clase A (inmunizado) - F204-A-40A-30mA - marca ABB.</t>
  </si>
  <si>
    <t>Interruptor Diferencial 4x63A - 30mA - clase A (inmunizado) - F204-A-63A-30mA - marca ABB.</t>
  </si>
  <si>
    <t>Interruptor Diferencial 4x80A - 30mA - clase A (inmunizado) - F204-A-80A-30mA - marca ABB.</t>
  </si>
  <si>
    <t>Interruptor Diferencial 4x100A - 30mA - clase A (inmunizado) - F204-A-100A-30mA - marca ABB.</t>
  </si>
  <si>
    <t>Interruptor Diferencial 4x125A - 30mA - clase A (inmunizado) - F204-A-125A-30mA - marca ABB.</t>
  </si>
  <si>
    <t>Interruptor Diferencial 2x25A - 30mA - clase A-APR (alta inmunización) - F202-A APR-25A-30mA  - marca ABB.</t>
  </si>
  <si>
    <t>Interruptor Diferencial 2x40A - 30mA - clase A-APR (alta inmunización) - F202-A APR-40A-30mA  - marca ABB.</t>
  </si>
  <si>
    <t>Interruptor Diferencial 2x63A - 30mA - clase A-APR (alta inmunización) - F202-A APR-63A-30mA  - marca ABB.</t>
  </si>
  <si>
    <t>Interruptor Diferencial 4x25A - 30mA - clase A-APR (alta inmunización) - F204-A APR-25A-30mA  - marca ABB.</t>
  </si>
  <si>
    <t>Interruptor Diferencial 4x40A - 30mA - clase A-APR (alta inmunización) - F204-A APR-40A-30mA  - marca ABB.</t>
  </si>
  <si>
    <t>Interruptor Diferencial 4x63A - 30mA - clase A-APR (alta inmunización) - F204-A APR-63A-30mA  - marca ABB.</t>
  </si>
  <si>
    <t>Interruptor Diferencial 4x80A - 30mA - clase A-APR (alta inmunización) - F204-A APR-80A-30mA  - marca ABB.</t>
  </si>
  <si>
    <t>Interruptor Diferencial 4x100A - 30mA - clase A-APR (alta inmunización) - F204-A APR-100A-30mA  - marca ABB.</t>
  </si>
  <si>
    <t>F204-A-25A-300mA</t>
  </si>
  <si>
    <t>Interruptor Diferencial 4x25A - 300mA - clase A (inmunizado) - F204-A-25A-300mA - marca ABB.</t>
  </si>
  <si>
    <t>2CSF204101R3250</t>
  </si>
  <si>
    <t>F204-A-40A-300mA</t>
  </si>
  <si>
    <t>Interruptor Diferencial 4x40A - 300mA - clase A (inmunizado) - F204-A-40A-300mA - marca ABB.</t>
  </si>
  <si>
    <t>2CSF204101R3400</t>
  </si>
  <si>
    <t>F204-A-63A-300mA</t>
  </si>
  <si>
    <t>Interruptor Diferencial 4x63A - 300mA - clase A (inmunizado) - F204-A-63A-300mA - marca ABB.</t>
  </si>
  <si>
    <t>2CSF204101R3630</t>
  </si>
  <si>
    <t>F204-A-80A-300mA</t>
  </si>
  <si>
    <t>Interruptor Diferencial 4x80A - 300mA - clase A (inmunizado) - F204-A-80A-300mA - marca ABB.</t>
  </si>
  <si>
    <t>2CSF204101R3800</t>
  </si>
  <si>
    <t>F204-A-100A-300mA</t>
  </si>
  <si>
    <t>Interruptor Diferencial 4x100A - 300mA - clase A (inmunizado) - F204-A-100A-300mA - marca ABB.</t>
  </si>
  <si>
    <t>2CSF204101R3900</t>
  </si>
  <si>
    <t>F204-A-125A-300mA</t>
  </si>
  <si>
    <t>Interruptor Diferencial 4x125A - 300mA - clase A (inmunizado) - F204-A-125A-300mA - marca ABB.</t>
  </si>
  <si>
    <t>2CSF204101R3950</t>
  </si>
  <si>
    <t>CLASE B</t>
  </si>
  <si>
    <t>F204-B-40A-30mA</t>
  </si>
  <si>
    <t>2CSF204501R1400</t>
  </si>
  <si>
    <t>F204-B-63A-30mA</t>
  </si>
  <si>
    <t>2CSF204501R1630</t>
  </si>
  <si>
    <t>F204-B-125A-30mA</t>
  </si>
  <si>
    <t>2CSF204523R1950</t>
  </si>
  <si>
    <t>F204-B-63A-300mA</t>
  </si>
  <si>
    <t>F204-B-125A-300mA</t>
  </si>
  <si>
    <t>2CSF204523R3950</t>
  </si>
  <si>
    <t>Protector de sobretensiones TIPO 2 - OVR-T2_3N_40-440_P_3P+N(TT)/(TNS) - Un=400V, Up=1.9kV - I_descarga=40kA, Uc=440V - marca ABB.</t>
  </si>
  <si>
    <t>Toroide diferencial TR1 (nucleo cerrado) - d=35mm, In_max=75A@IEC60947-2(anexo M) - marca ABB.</t>
  </si>
  <si>
    <t>Toroide diferencial TR2 (nucleo cerrado) - d=60mm, In_max=85A@IEC60947-2(anexo M) - marca ABB.</t>
  </si>
  <si>
    <t>Toroide diferencial TR3 (nucleo cerrado) - d=80mm, In_max=160A@IEC60947-2(anexo M) - marca ABB.</t>
  </si>
  <si>
    <t>Toroide diferencial TR4 (nucleo cerrado) - d=110mm, In_max=250A@IEC60947-2(anexo M) - marca ABB.</t>
  </si>
  <si>
    <t>ELR96P</t>
  </si>
  <si>
    <t>Relé de protección diferencial p/cuadro ELR96P - Reg.: 0.03..30A - Ue=110/230/400 Vac, 96x96mm (HxW). - marca ABB.</t>
  </si>
  <si>
    <t>2CSG152434R1202</t>
  </si>
  <si>
    <t>Toroide diferencial TR160 (nucleo cerrado) - d=160mm, In_max=400A@IEC60947-2(anexo M) - marca ABB.</t>
  </si>
  <si>
    <t>Toroide diferencial TR5 (nucleo cerrado) - d=210mm, In_max=630A@IEC60947-2(anexo M) - marca ABB.</t>
  </si>
  <si>
    <t>A1N/P125-70A-2P-TMF</t>
  </si>
  <si>
    <t>1SDA069560R1</t>
  </si>
  <si>
    <t>A1B125-20A-4P-TMF</t>
  </si>
  <si>
    <t>1SDA066734R1</t>
  </si>
  <si>
    <t>A1B125-25A-4P-TMF</t>
  </si>
  <si>
    <t>1SDA066735R1</t>
  </si>
  <si>
    <t>A1B125-40A-4P-TMF</t>
  </si>
  <si>
    <t>1SDA066737R1</t>
  </si>
  <si>
    <t>A1B125-50A-4P-TMF</t>
  </si>
  <si>
    <t>1SDA066738R1</t>
  </si>
  <si>
    <t>A1B125-70A-4P-TMF</t>
  </si>
  <si>
    <t>1SDA066740R1</t>
  </si>
  <si>
    <t>A1B125-80A-4P-TMF</t>
  </si>
  <si>
    <t>1SDA066741R1</t>
  </si>
  <si>
    <t>A1B125-90A-4P-TMF</t>
  </si>
  <si>
    <t>1SDA066742R1</t>
  </si>
  <si>
    <t>A1B125-100A-4P-TMF</t>
  </si>
  <si>
    <t>1SDA066743R1</t>
  </si>
  <si>
    <t>A1B125-125A-4P-TMF</t>
  </si>
  <si>
    <t>1SDA066744R1</t>
  </si>
  <si>
    <t>A1C125-20A-3P-TMF</t>
  </si>
  <si>
    <t>1SDA066710R1</t>
  </si>
  <si>
    <t>A1C125-25A-3P-TMF</t>
  </si>
  <si>
    <t>1SDA066711R1</t>
  </si>
  <si>
    <t>1SDA066712R1</t>
  </si>
  <si>
    <t>A1C125-40A-3P-TMF</t>
  </si>
  <si>
    <t>1SDA066713R1</t>
  </si>
  <si>
    <t>A1C125-50A-3P-TMF</t>
  </si>
  <si>
    <t>1SDA066714R1</t>
  </si>
  <si>
    <t>1SDA066715R1</t>
  </si>
  <si>
    <t>A1C125-70A-3P-TMF</t>
  </si>
  <si>
    <t>1SDA066716R1</t>
  </si>
  <si>
    <t>A1C125-80A-3P-TMF</t>
  </si>
  <si>
    <t>1SDA066717R1</t>
  </si>
  <si>
    <t>A1C125-90A-3P-TMF</t>
  </si>
  <si>
    <t>1SDA066718R1</t>
  </si>
  <si>
    <t>A1C125-100A-3P-TMF</t>
  </si>
  <si>
    <t>1SDA066719R1</t>
  </si>
  <si>
    <t>A1C125-125A-3P-TMF</t>
  </si>
  <si>
    <t>1SDA066720R1</t>
  </si>
  <si>
    <t>A2B250-160A-4P-TMF</t>
  </si>
  <si>
    <t>1SDA066555R1</t>
  </si>
  <si>
    <t>A2B250-175A-4P-TMF</t>
  </si>
  <si>
    <t>1SDA066556R1</t>
  </si>
  <si>
    <t>A2B250-200A-4P-TMF</t>
  </si>
  <si>
    <t>1SDA066557R1</t>
  </si>
  <si>
    <t>A2B250-225A-4P-TMF</t>
  </si>
  <si>
    <t>1SDA066558R1</t>
  </si>
  <si>
    <t>A2B250-250A-4P-TMF</t>
  </si>
  <si>
    <t>1SDA066559R1</t>
  </si>
  <si>
    <t>A2C250-125A-3P-TMF</t>
  </si>
  <si>
    <t>1SDA066775R1</t>
  </si>
  <si>
    <t>A2N250-160A-3P-TMF</t>
  </si>
  <si>
    <t>1SDA066782R1</t>
  </si>
  <si>
    <t>A2N250-200A-3P-TMF</t>
  </si>
  <si>
    <t>1SDA066784R1</t>
  </si>
  <si>
    <t>A2N250-250A-3P-TMF</t>
  </si>
  <si>
    <t>1SDA066786R1</t>
  </si>
  <si>
    <t>A3N630-630A-4P-ELT LI</t>
  </si>
  <si>
    <t>1SDA066574R1</t>
  </si>
  <si>
    <t>FC-CuAl_A1_4t</t>
  </si>
  <si>
    <t>1SDA066243R1</t>
  </si>
  <si>
    <t>FC-CuAl_A2_4t</t>
  </si>
  <si>
    <t>1SDA066249R1</t>
  </si>
  <si>
    <t>FC-CuAl_A3_3t_2-240mm2</t>
  </si>
  <si>
    <t>FC-CuAl_A3_4t</t>
  </si>
  <si>
    <t>1SDA055025R1</t>
  </si>
  <si>
    <t>FC-CuAl_A3_4t_2-240mm2</t>
  </si>
  <si>
    <t>1SDA055033R1</t>
  </si>
  <si>
    <t>PLL_A1-A2</t>
  </si>
  <si>
    <t>XT1B160-40A-4P-TMD</t>
  </si>
  <si>
    <t>1SDA066814R1</t>
  </si>
  <si>
    <t>XT1B160-50A-4P-TMD</t>
  </si>
  <si>
    <t>1SDA066815R1</t>
  </si>
  <si>
    <t>XT1B160-63A-4P-TMD</t>
  </si>
  <si>
    <t>1SDA066816R1</t>
  </si>
  <si>
    <t>XT1B160-100A-4P-TMD</t>
  </si>
  <si>
    <t>1SDA066818R1</t>
  </si>
  <si>
    <t>XT1B160-125A-4P-TMD</t>
  </si>
  <si>
    <t>1SDA066888R1</t>
  </si>
  <si>
    <t>XT1B160-160A-4P-TMD</t>
  </si>
  <si>
    <t>1SDA066821R1</t>
  </si>
  <si>
    <t>XT1C160-25A-4P-TMD</t>
  </si>
  <si>
    <t>ITM Caja Moldeada 4x25A (reg.[0.7-1.0] In) - XT1C160-25A-4P-TMD - 40kA@230V, 25kA@415V - marca ABB.</t>
  </si>
  <si>
    <t>1SDA067400R1</t>
  </si>
  <si>
    <t>XT1C160-40A-4P-TMD</t>
  </si>
  <si>
    <t>ITM Caja Moldeada 4x40A (reg.[0.7-1.0] In) - XT1C160-40A-4P-TMD - 40kA@230V, 25kA@415V - marca ABB.</t>
  </si>
  <si>
    <t>1SDA067402R1</t>
  </si>
  <si>
    <t>XT1C160-50A-4P-TMD</t>
  </si>
  <si>
    <t>ITM Caja Moldeada 4x50A (reg.[0.7-1.0] In) - XT1C160-50A-4P-TMD - 40kA@230V, 25kA@415V - marca ABB.</t>
  </si>
  <si>
    <t>1SDA067403R1</t>
  </si>
  <si>
    <t>XT1C160-63A-4P-TMD</t>
  </si>
  <si>
    <t>ITM Caja Moldeada 4x63A (reg.[0.7-1.0] In) - XT1C160-63A-4P-TMD - 40kA@230V, 25kA@415V - marca ABB.</t>
  </si>
  <si>
    <t>1SDA067404R1</t>
  </si>
  <si>
    <t>XT1C160-100A-4P-TMD</t>
  </si>
  <si>
    <t>ITM Caja Moldeada 4x100A (reg.[0.7-1.0] In) - XT1C160-100A-4P-TMD - 40kA@230V, 25kA@415V - marca ABB.</t>
  </si>
  <si>
    <t>1SDA067406R1</t>
  </si>
  <si>
    <t>XT1C160-125A-4P-TMD</t>
  </si>
  <si>
    <t>1SDA067409R1</t>
  </si>
  <si>
    <t>XT1C160-160A-4P-TMD</t>
  </si>
  <si>
    <t>1SDA067410R1</t>
  </si>
  <si>
    <t>XT2N160-32A-4P-TMD</t>
  </si>
  <si>
    <t>1SDA067034R1</t>
  </si>
  <si>
    <t>XT2N160-40A-4P-TMA</t>
  </si>
  <si>
    <t>1SDA067035R1</t>
  </si>
  <si>
    <t>XT2N160-50A-4P-TMA</t>
  </si>
  <si>
    <t>1SDA067036R1</t>
  </si>
  <si>
    <t>XT2N160-63A-4P-TMA</t>
  </si>
  <si>
    <t>1SDA067037R1</t>
  </si>
  <si>
    <t>XT2N160-80A-3P-TMA</t>
  </si>
  <si>
    <t>XT2N160-80A-4P-TMA</t>
  </si>
  <si>
    <t>1SDA067038R1</t>
  </si>
  <si>
    <t>XT2N160-100A-4P-TMA</t>
  </si>
  <si>
    <t>1SDA067039R1</t>
  </si>
  <si>
    <t>XT2S160-20A-4P-TMD</t>
  </si>
  <si>
    <t>1SDA067572R1</t>
  </si>
  <si>
    <t>XT2S160-32A-4P-TMD</t>
  </si>
  <si>
    <t>1SDA067574R1</t>
  </si>
  <si>
    <t>XT2S160-40A-4P-TMA</t>
  </si>
  <si>
    <t>1SDA067575R1</t>
  </si>
  <si>
    <t>XT2S160-50A-4P-TMA</t>
  </si>
  <si>
    <t>1SDA067576R1</t>
  </si>
  <si>
    <t>XT2S160-63A-4P-TMA</t>
  </si>
  <si>
    <t>1SDA067577R1</t>
  </si>
  <si>
    <t>XT2S160-80A-4P-TMA</t>
  </si>
  <si>
    <t>1SDA067578R1</t>
  </si>
  <si>
    <t>XT2S160-100A-4P-TMA</t>
  </si>
  <si>
    <t>1SDA067579R1</t>
  </si>
  <si>
    <t>XT3N250-200A-4P-TMD</t>
  </si>
  <si>
    <t>1SDA068069R1</t>
  </si>
  <si>
    <t>XT3N250-250A-4P-TMD</t>
  </si>
  <si>
    <t>1SDA068070R1</t>
  </si>
  <si>
    <t>XT3S250-250A-4P-TMD</t>
  </si>
  <si>
    <t>1SDA068232R1</t>
  </si>
  <si>
    <t>XT4S250-200A-4P-TMA</t>
  </si>
  <si>
    <t>1SDA068329R1</t>
  </si>
  <si>
    <t>XT4S250-250A-4P-TMA</t>
  </si>
  <si>
    <t>1SDA068331R1</t>
  </si>
  <si>
    <t>XT1D-3P</t>
  </si>
  <si>
    <t>1SDA068208R1</t>
  </si>
  <si>
    <t>XT1D-4P</t>
  </si>
  <si>
    <t>1SDA068209R1</t>
  </si>
  <si>
    <t>XT3D-3P</t>
  </si>
  <si>
    <t>1SDA068210R1</t>
  </si>
  <si>
    <t>XT3D-4P</t>
  </si>
  <si>
    <t>1SDA068211R1</t>
  </si>
  <si>
    <t>FC-Cu_XT1_4t</t>
  </si>
  <si>
    <t>1SDA066906R1</t>
  </si>
  <si>
    <t>FC-CuAl_XT1_4t</t>
  </si>
  <si>
    <t>1SDA067156R1</t>
  </si>
  <si>
    <t>FC-Cu_XT2_4t</t>
  </si>
  <si>
    <t>1SDA066910R1</t>
  </si>
  <si>
    <t>FC-CuAl_XT2_4t</t>
  </si>
  <si>
    <t>1SDA067168R1</t>
  </si>
  <si>
    <t>FC-Cu_XT3_4t</t>
  </si>
  <si>
    <t>1SDA066914R1</t>
  </si>
  <si>
    <t>FC-CuAl_XT3_4t</t>
  </si>
  <si>
    <t>1SDA067184R1</t>
  </si>
  <si>
    <t>FC-Cu_XT4_4t</t>
  </si>
  <si>
    <t>1SDA066918R1</t>
  </si>
  <si>
    <t>FC-CuAl_XT4_4t</t>
  </si>
  <si>
    <t>1SDA067196R1</t>
  </si>
  <si>
    <t>3Q_XT1</t>
  </si>
  <si>
    <t>1SDA066426R1</t>
  </si>
  <si>
    <t>3Q_XT2-XT4</t>
  </si>
  <si>
    <t>1SDA066427R1</t>
  </si>
  <si>
    <t>3Q_XT3</t>
  </si>
  <si>
    <t>1SDA066428R1</t>
  </si>
  <si>
    <t>1(S51) contacto por actuacion del relé - XT2-XT4 - relé electrónico (SA) - versión no cableada - marca ABB.</t>
  </si>
  <si>
    <t>MIR-H_XT1-XT4</t>
  </si>
  <si>
    <t>MIR-H - XT1, XT2, XT3, XT4 - Grupo armazón para enclavamiento horizontal - marca ABB.</t>
  </si>
  <si>
    <t>1SDA066637R1</t>
  </si>
  <si>
    <t>MIR-V_XT1-XT4</t>
  </si>
  <si>
    <t>MIR-V - XT1, XT2, XT3, XT4 - Grupo armazón para enclavamiento vertical - marca ABB.</t>
  </si>
  <si>
    <t>1SDA066638R1</t>
  </si>
  <si>
    <t>MIR-P_XT1-F</t>
  </si>
  <si>
    <t>Placa para enclavamiento XT1 (F) - marca ABB.</t>
  </si>
  <si>
    <t>1SDA066639R1</t>
  </si>
  <si>
    <t>MIR-P_XT3-F</t>
  </si>
  <si>
    <t>Placa para enclavamiento XT3 (F) - marca ABB.</t>
  </si>
  <si>
    <t>1SDA066643R1</t>
  </si>
  <si>
    <t>MIR-P_XT2-F</t>
  </si>
  <si>
    <t>Placa para enclavamiento XT2 (F) - marca ABB.</t>
  </si>
  <si>
    <t>1SDA066641R1</t>
  </si>
  <si>
    <t>MIR-P_XT4-F</t>
  </si>
  <si>
    <t>Placa para enclavamiento XT4 (F) - marca ABB.</t>
  </si>
  <si>
    <t>1SDA066645R1</t>
  </si>
  <si>
    <t>T5S400-400A-4P-PR221DS-LS/I</t>
  </si>
  <si>
    <t>1SDA054341R1</t>
  </si>
  <si>
    <t>T5S630-630A-4P-PR221DS-LS/I</t>
  </si>
  <si>
    <t>1SDA054408R1</t>
  </si>
  <si>
    <t>T6S800-800A-4P-PR221DS-LS/I</t>
  </si>
  <si>
    <t>1SDA060283R1</t>
  </si>
  <si>
    <t>T6S1000-1000A-4P-PR221DS-LS/I</t>
  </si>
  <si>
    <t>1SDA060556R1</t>
  </si>
  <si>
    <t>T7S1250-1250A-4P-PR231 P-LS/I</t>
  </si>
  <si>
    <t>1SDA062874R1</t>
  </si>
  <si>
    <t>T7S1250(M)-1250A-4P-PR231 P-LS/I</t>
  </si>
  <si>
    <t>1SDA062890R1</t>
  </si>
  <si>
    <t>T7S1250-1250A-3P-PR232/P-LSI</t>
  </si>
  <si>
    <t>1SDA062867R1</t>
  </si>
  <si>
    <t>FC-CuAl_T4_4t</t>
  </si>
  <si>
    <t>1SDA064550R1</t>
  </si>
  <si>
    <t>FC-CuAl_T5_4t</t>
  </si>
  <si>
    <t>FC-CuAl_T6_4t</t>
  </si>
  <si>
    <t>1SDA023394R1</t>
  </si>
  <si>
    <t>FC-CuAl_T7_4t</t>
  </si>
  <si>
    <t>1SDA063113R1</t>
  </si>
  <si>
    <t>Relé de apertura (YO) - T4-T5-T6 - SOR versión no cableada - 220-240V AC/DC - marca ABB.</t>
  </si>
  <si>
    <t>Mando motor (MOE) - T4-T5 - 220-250V AC/DC - (YM+YO+YC) - marca ABB.</t>
  </si>
  <si>
    <t>Mando motor (MOE) - T6 - 220-250V AC/DC - (YM+YO+YC) - marca ABB.</t>
  </si>
  <si>
    <t>Motor-reductor (YM) para la carga automática de los resortes - T7(M) - 220-250V AC/DC - marca ABB.</t>
  </si>
  <si>
    <t>Relé de apertura (YO) - T7 / T7(M) - SOR versión no cableada - 220-240V AC/DC - marca ABB.</t>
  </si>
  <si>
    <t>Relé de cierre (YC) - T7(M) - SCR versión no cableada - 220-240V AC/DC - marca ABB.</t>
  </si>
  <si>
    <t>1(Q) contacto conmutado NA/NC + 1(SY) contacto por disparo de interruptor - T4-T5-T6 - version no cableada - marca ABB.</t>
  </si>
  <si>
    <t>3(Q) contactos conmutado NA/NC + 1(SY) contacto por disparo de interruptor - T4-T5-T6 - version no cableada - marca ABB.</t>
  </si>
  <si>
    <t>1(Q) contactos conmutado NA/NC + 1(SY) contacto por disparo de interruptor - T7 - version no cableada - marca ABB.</t>
  </si>
  <si>
    <t>2(Q) contactos conmutado NA/NC - T7 / T7(M) - version no cableada - marca ABB.</t>
  </si>
  <si>
    <t>1(S51) contacto por actuacion del relé - T4-T5 - relé electrónico (SA) - marca ABB.</t>
  </si>
  <si>
    <t>1(S51) contacto por actuacion del relé - T6 - relé electrónico (SA) - marca ABB.</t>
  </si>
  <si>
    <t>1(S51) contacto por actuacion del relé - T7 - relé electrónico (SA) - marca ABB.</t>
  </si>
  <si>
    <t>1(S51) contacto por actuacion del relé - T7(M) - relé electrónico (SA) - marca ABB.</t>
  </si>
  <si>
    <t>MIR-HB T4..T5 - Grupo armazón para enclavamiento horizontal - marca ABB.</t>
  </si>
  <si>
    <t>MIR-VB T4..T5 - Grupo armazón para enclavamiento vertical - marca ABB.</t>
  </si>
  <si>
    <t>MIR-P tipo A - Placa para enclavamiento  T4 (F-P-W) + T4 (F-P-W) - marca ABB.</t>
  </si>
  <si>
    <t>MIR-P tipo B - Placa para enclavamiento T4 (F-P-W) + T5-400 (F-P-W) / T5-630(F) - marca ABB.</t>
  </si>
  <si>
    <t>MIR-P tipo C - Placa para enclavamiento T4 (F-P-W) + T5-630 (P-W) - marca ABB.</t>
  </si>
  <si>
    <t>MIR-P tipo D - Placa para enclavamiento T5-400 (F-P-W) / T5-630 (F) + T5-400 (F-P-W) / T5-630 (F) - marca ABB.</t>
  </si>
  <si>
    <t>MIR-P tipo E - Placa para enclavamiento T5-400 (F-P-W) / T5-630 (F) + T5-630 (P-W) - marca ABB.</t>
  </si>
  <si>
    <t>MIR-P tipo F - Placa para enclavamiento T5-630 (P-W) / T5-630 (P-W) - marca ABB.</t>
  </si>
  <si>
    <t>MIR-HB_T6 - Placa para enclavamiento horizontal - interruptores T6 - marca ABB.</t>
  </si>
  <si>
    <t>MIR-VB_T6 - Placa para enclavamiento vertical - interruptores T6 - marca ABB.</t>
  </si>
  <si>
    <t>MIR_T7</t>
  </si>
  <si>
    <t>MIR_T7 - Placa para enclavamiento - interruptor T7 - marca ABB.</t>
  </si>
  <si>
    <t>1SDA062129R1</t>
  </si>
  <si>
    <t>KIT-CAB_T7</t>
  </si>
  <si>
    <t>Kit de cables para enclavamiento - interruptores T7 - marca ABB.</t>
  </si>
  <si>
    <t>1SDA062127R1</t>
  </si>
  <si>
    <t>E2.2N-2000A-4P-Ekip Touch LSI</t>
  </si>
  <si>
    <t>ITM Bastidor Abierto 4x2000A (electrónico [0.4-1.0] In) - E2.2N-2000A-4P-Ekip Touch LSI - 66kA@440Vac - marca ABB.</t>
  </si>
  <si>
    <t>1SDA071665R1</t>
  </si>
  <si>
    <t>E2.2N-2000A-4P-Ekip Touch LSIG</t>
  </si>
  <si>
    <t>ITM Bastidor Abierto 4x2000A (electrónico [0.4-1.0] In) - E2.2N-2000A-4P-Ekip Touch LSIG - 66kA@440Vac - marca ABB.</t>
  </si>
  <si>
    <t>1SDA071666R1</t>
  </si>
  <si>
    <t>E2.2N-2500A-4P-Ekip Touch LSI</t>
  </si>
  <si>
    <t>ITM Bastidor Abierto 4x2500A (electrónico [0.4-1.0] In) - E2.2N-2500A-4P-Ekip Touch LSI - 66kA@440Vac - marca ABB.</t>
  </si>
  <si>
    <t>1SDA071695R1</t>
  </si>
  <si>
    <t>E2.2N-2500A-4P-Ekip Touch LSIG</t>
  </si>
  <si>
    <t>ITM Bastidor Abierto 4x2500A (electrónico [0.4-1.0] In) - E2.2N-2500A-4P-Ekip Touch LSIG - 66kA@440Vac - marca ABB.</t>
  </si>
  <si>
    <t>1SDA071696R1</t>
  </si>
  <si>
    <t>E2.2N-2500A-4P-Ekip Hi-Touch LSIG</t>
  </si>
  <si>
    <t>ITM Bastidor Abierto 4x2500A (electrónico [0.4-1.0] In) - E2.2N-2500A-4P-Ekip Hi-touch LSIG (funciones avanzadas) - 66kA@440Vac - marca ABB.</t>
  </si>
  <si>
    <t>1SDA071699R1</t>
  </si>
  <si>
    <t>1S51_E1.2</t>
  </si>
  <si>
    <t>1(S51) contacto por actuacion del relé - 250V - Emax E1.2.</t>
  </si>
  <si>
    <t>1SDA073776R1</t>
  </si>
  <si>
    <t>1SDA073778R1</t>
  </si>
  <si>
    <t>EKIP-MEAS_E1.2</t>
  </si>
  <si>
    <t>Módulo de medición "Ekip Measuring" - Emax E1.2 - marca ABB.</t>
  </si>
  <si>
    <t>1SDA074184R1</t>
  </si>
  <si>
    <t>EKIP-MEAS_E2.2</t>
  </si>
  <si>
    <t>Módulo de medición "Ekip Measuring" - Emax E2.2 - marca ABB.</t>
  </si>
  <si>
    <t>1SDA074185R1</t>
  </si>
  <si>
    <t>EKIP-MEAS_E4.2</t>
  </si>
  <si>
    <t>Módulo de medición "Ekip Measuring" - Emax E4.2 - marca ABB.</t>
  </si>
  <si>
    <t>1SDA074186R1</t>
  </si>
  <si>
    <t>EKIP-MEAS-PRO_E1.2</t>
  </si>
  <si>
    <t>Módulo de medición + protección "Ekip Measuring Pro" - Emax E1.2 - marca ABB.</t>
  </si>
  <si>
    <t>1SDA074187R1</t>
  </si>
  <si>
    <t>EKIP-MEAS-PRO_E2.2</t>
  </si>
  <si>
    <t>Módulo de medición + protección "Ekip Measuring Pro" - Emax E2.2 - marca ABB.</t>
  </si>
  <si>
    <t>1SDA074188R1</t>
  </si>
  <si>
    <t>EKIP-MEAS-PRO_E4.2</t>
  </si>
  <si>
    <t>Módulo de medición + protección "Ekip Measuring Pro" - Emax E4.2 - marca ABB.</t>
  </si>
  <si>
    <t>1SDA074189R1</t>
  </si>
  <si>
    <t>RATING-PLUG-RC_2000A</t>
  </si>
  <si>
    <t>RATING-PLUG-RC_3200A</t>
  </si>
  <si>
    <t>RATING-PLUG-RC_4000A</t>
  </si>
  <si>
    <t>TOROID-RC_E1.2-E2.2</t>
  </si>
  <si>
    <t>Toroide diferencial para Emax2 - Id = 3..30A - Emax E1.2 (3p/4p), E2.2 (3p) - marca ABB.</t>
  </si>
  <si>
    <t>1SDA073741R1</t>
  </si>
  <si>
    <t>TOROID-RC_E2.2-E4.2</t>
  </si>
  <si>
    <t>1SDA073742R1</t>
  </si>
  <si>
    <t>1SDA073881R1</t>
  </si>
  <si>
    <t>1SDA073885R1</t>
  </si>
  <si>
    <t>MEC_E2.2</t>
  </si>
  <si>
    <t>1SDA073889R1</t>
  </si>
  <si>
    <t>MEC_E4.2</t>
  </si>
  <si>
    <t>1SDA073890R1</t>
  </si>
  <si>
    <t>MEC_E6.2</t>
  </si>
  <si>
    <t>1SDA073891R1</t>
  </si>
  <si>
    <t>1SDA073893R1</t>
  </si>
  <si>
    <t>1SDA073895R1</t>
  </si>
  <si>
    <t>RCQ020_415V</t>
  </si>
  <si>
    <t>1SDA065980R1</t>
  </si>
  <si>
    <t>RCQ020_230V</t>
  </si>
  <si>
    <t>1SDA065979R1</t>
  </si>
  <si>
    <t>TR_D110mm</t>
  </si>
  <si>
    <t>Toroide diferencial para RCQ020 - núcleo cerrado, d=110 mm. - marca ABB.</t>
  </si>
  <si>
    <t>1SDA037395R1</t>
  </si>
  <si>
    <t>TR_D185mm</t>
  </si>
  <si>
    <t>Toroide diferencial para RCQ020 - núcleo cerrado, d=185 mm. - marca ABB.</t>
  </si>
  <si>
    <t>1SDA050543R1</t>
  </si>
  <si>
    <t>OTM_I-0-II_3p_80A</t>
  </si>
  <si>
    <t>1SCA120093R1001</t>
  </si>
  <si>
    <t>Transferencia - (2) ITM Caja Moldeada 3x80A + enclav. mecánico + mando elect. - XT1N-TMD-80A - 65kA@220V - ABB.</t>
  </si>
  <si>
    <t>Transferencia - (2) ITM Caja Moldeada 3x100A + enclav. mecánico + mando elect. - XT1N-TMD-100A - 65kA@220V - ABB.</t>
  </si>
  <si>
    <t>Transferencia - (2) ITM Caja Moldeada 3x125A + enclav. mecánico + mando elect. - XT1N-TMD-125A - 65kA@220V - ABB.</t>
  </si>
  <si>
    <t>Transferencia - (2) ITM Caja Moldeada 3x160A + enclav. mecánico + mando elect. - XT1N-TMD-160A - 65kA@220V - ABB.</t>
  </si>
  <si>
    <t>Transferencia - (2) ITM Caja Moldeada 3x200A + enclav. mecánico + mando elect. - XT3N-TMD-200A - 65kA@220V - ABB.</t>
  </si>
  <si>
    <t>Transferencia - (2) ITM Caja Moldeada 3x250A + enclav. mecánico + mando elect. - XT3N-TMD-250A - 65kA@220V - ABB.</t>
  </si>
  <si>
    <t>1SDA062882P1</t>
  </si>
  <si>
    <t>1SDA063010P1</t>
  </si>
  <si>
    <t>AF09-40-00-13_4p</t>
  </si>
  <si>
    <t>Contactor 4x09A(AC-3) / 4x25A(AC-1) - AF09-40-00-13 - bobina 100-250Vac/dc - marca ABB.</t>
  </si>
  <si>
    <t>1SBL137201R1300</t>
  </si>
  <si>
    <t>AF16-40-00-13_4p</t>
  </si>
  <si>
    <t>Contactor 4x18A(AC-3) / 4x30A(AC-1) - AF16-40-00-13 - bobina 100-250Vac/dc - marca ABB.</t>
  </si>
  <si>
    <t>1SBL177201R1300</t>
  </si>
  <si>
    <t>AF26-40-00-13_4p</t>
  </si>
  <si>
    <t>Contactor 4x22A(AC-3) / 4x45A(AC-1) - AF26-40-00-13 - bobina 100-250Vac/dc - marca ABB.</t>
  </si>
  <si>
    <t>1SBL237201R1300</t>
  </si>
  <si>
    <t>AF38-30-10-13_3p</t>
  </si>
  <si>
    <t>Contactor 3x38A(AC-3) / 3x50A(AC-1) +1NA - AF38-30-10-13 - bobina 100-250Vac/dc - marca ABB.</t>
  </si>
  <si>
    <t>1SBL297001P1310</t>
  </si>
  <si>
    <t>Contactor 4x22A(AC-3) / 4x55A(AC-1) - AF38-40-10-13 - bobina 100-250Vac/dc - marca ABB.</t>
  </si>
  <si>
    <t>1SBL297201R1300</t>
  </si>
  <si>
    <t>AF45-40-00-13_4p</t>
  </si>
  <si>
    <t>Contactor 4x37A(AC-3) / 4x70A(AC-1) - AF45-40-10-13 - bobina 100-250Vac/dc - marca ABB.</t>
  </si>
  <si>
    <t>1SBL337201R7000</t>
  </si>
  <si>
    <t>AF50-40-00-13_4p</t>
  </si>
  <si>
    <t>Contactor 4x50A(AC-3) / 4x100A(AC-1) - AF50-40-10-13 - bobina 100-250Vac/dc - marca ABB.</t>
  </si>
  <si>
    <t>1SBL357201R7000</t>
  </si>
  <si>
    <t>AF75-40-00-13_4p</t>
  </si>
  <si>
    <t>Contactor 4x75A(AC-3) / 4x125A(AC-1) - AF75-40-10-13 - bobina 100-250Vac/dc - marca ABB.</t>
  </si>
  <si>
    <t>1SBL417201R7000</t>
  </si>
  <si>
    <t>CA4-22M</t>
  </si>
  <si>
    <t>Contacto auxiliar frontal 2NA+2NC para contactor AF09..AF16-30-10, frontal - Modelo CA4-22M - marca ABB.</t>
  </si>
  <si>
    <t>SK1-11</t>
  </si>
  <si>
    <t>1SAM201903R1001</t>
  </si>
  <si>
    <t>Minicontactor de control +2NA +2NC - Modelo K6-22Z - bobina 220-240Vac - marca ABB.</t>
  </si>
  <si>
    <t>MINICONTACT_2NA+2NC_24V</t>
  </si>
  <si>
    <t>Minicontactor de control +2NA +2NC - Modelo K6-22Z - bobina 24Vac - marca ABB.</t>
  </si>
  <si>
    <t>GJH1211001R0221</t>
  </si>
  <si>
    <t>Minicontactor de control +4NA - Modelo K6-22Z - bobina 220-240Vac - marca ABB.</t>
  </si>
  <si>
    <t>1SFA619100R1041</t>
  </si>
  <si>
    <t>1SFA619100R1012</t>
  </si>
  <si>
    <t>Pulsador doble Start+Stop - color Verde+Rojo - contactos 1NA+1NC - MPD2-11C-K - línea modular - marca ABB.</t>
  </si>
  <si>
    <t>LED_ROJO_220V</t>
  </si>
  <si>
    <t>1SFA611621R1071</t>
  </si>
  <si>
    <t>LAMP_ROJO_220V</t>
  </si>
  <si>
    <t>LAMP_VERDE_220V</t>
  </si>
  <si>
    <t>LAMP_AM_220V</t>
  </si>
  <si>
    <t>LAMP_ROJO_120V</t>
  </si>
  <si>
    <t>LAMP_VERDE_120V</t>
  </si>
  <si>
    <t>LAMP_AM_120V</t>
  </si>
  <si>
    <t>Marca.</t>
  </si>
  <si>
    <t>DESCRIPCIÓN</t>
  </si>
  <si>
    <t>XT1 - 400A
(30p)</t>
  </si>
  <si>
    <t>barritas</t>
  </si>
  <si>
    <t>XT1 - 400A
(6p)</t>
  </si>
  <si>
    <t>XT1 - 800A
(6p)</t>
  </si>
  <si>
    <t>XT1 - 800A
(30p)</t>
  </si>
  <si>
    <t>XT4 - 400A
(6p)</t>
  </si>
  <si>
    <t>XT4 - 400A
(30p)</t>
  </si>
  <si>
    <t>XT4 - 800A
(6p)</t>
  </si>
  <si>
    <t>XT4 - 800A
(30p)</t>
  </si>
  <si>
    <t>PANEL DE BARRAS - CAJA MOLD. (BZM1 / XT1 / A1)</t>
  </si>
  <si>
    <t>XTOB024CC1</t>
  </si>
  <si>
    <t>XTOB032CC1</t>
  </si>
  <si>
    <t>01</t>
  </si>
  <si>
    <t>PROYECTO:</t>
  </si>
  <si>
    <t>OFERTA ECONÓMICA</t>
  </si>
  <si>
    <t>+ I.G.V.:</t>
  </si>
  <si>
    <t>TG</t>
  </si>
  <si>
    <t>Barras princ (3F+N)</t>
  </si>
  <si>
    <t>(Princ) 3x1600A 3WL</t>
  </si>
  <si>
    <t>(Deriv) 3x400A 3VA1</t>
  </si>
  <si>
    <t>(Panel) 400A</t>
  </si>
  <si>
    <t>Barras para entrada desde Busbar (v1)</t>
  </si>
  <si>
    <t>Barras p/lleg. (3F+N)</t>
  </si>
  <si>
    <t xml:space="preserve">4x2500A E2.2 </t>
  </si>
  <si>
    <t>Barras para salida hacia Busbar (v1)</t>
  </si>
  <si>
    <t>Barras p/sal. (3F+N)</t>
  </si>
  <si>
    <t>Barras princ (3F)</t>
  </si>
  <si>
    <t>Barras de unión
ITM-barra / ITM-ITM</t>
  </si>
  <si>
    <t>3x400A T5</t>
  </si>
  <si>
    <t>3x400A</t>
  </si>
  <si>
    <t>3x630A</t>
  </si>
  <si>
    <t>3x1600A</t>
  </si>
  <si>
    <t>- - - - - - - - - - - - - - - - - - - - - - - - - - - - - - - - - - - - - - - - - - - - - - - - - - - - - - - - - - - - - - - - - - - - - - - - - - - - - - - - - - - - - - - - - - - - - - - - - - - - - - - - - - - - - - - - - - - - - - -</t>
  </si>
  <si>
    <t>T-SG</t>
  </si>
  <si>
    <t>(Princ) 3x1000A T6</t>
  </si>
  <si>
    <t>(Deriv) 3x400A T5</t>
  </si>
  <si>
    <t>(Deriv) 3x630A T5</t>
  </si>
  <si>
    <t>(Panel) 225A</t>
  </si>
  <si>
    <t>(Princ) 3x400A T5</t>
  </si>
  <si>
    <t xml:space="preserve">3x400A E2.2 </t>
  </si>
  <si>
    <t>TT-BACI</t>
  </si>
  <si>
    <t>Barras princ (N)</t>
  </si>
  <si>
    <t>T-BACI</t>
  </si>
  <si>
    <t>TG-1</t>
  </si>
  <si>
    <t>(Deriv) 4x800A T6</t>
  </si>
  <si>
    <t>TTA-1</t>
  </si>
  <si>
    <t>(Princ) 3x800A T6</t>
  </si>
  <si>
    <t>(Deriv) OTM 800A (N)</t>
  </si>
  <si>
    <t>(Deriv) OTM 800A (E)</t>
  </si>
  <si>
    <t>(Deriv) OTM p/800A</t>
  </si>
  <si>
    <t>(Deriv) OTM p/500A</t>
  </si>
  <si>
    <t>TGE</t>
  </si>
  <si>
    <t>STG-2</t>
  </si>
  <si>
    <t>STG-3</t>
  </si>
  <si>
    <t>TG-4</t>
  </si>
  <si>
    <t xml:space="preserve">3x800A T6 </t>
  </si>
  <si>
    <t xml:space="preserve">3x400A A3 </t>
  </si>
  <si>
    <t xml:space="preserve">3x320A A3 </t>
  </si>
  <si>
    <t>TG.GE</t>
  </si>
  <si>
    <t>T1, T2, T3</t>
  </si>
  <si>
    <t>TG-BT01</t>
  </si>
  <si>
    <t>(Deriv) 4x2500A E2.2</t>
  </si>
  <si>
    <t>(Deriv) 4x2000A E2.2</t>
  </si>
  <si>
    <t>("CGE-3"): 4x2500A</t>
  </si>
  <si>
    <t>("4"): 4x2500A</t>
  </si>
  <si>
    <t>("T-3"): 4x2500A</t>
  </si>
  <si>
    <t>("2"): 4x2500A</t>
  </si>
  <si>
    <t>Barras de unión</t>
  </si>
  <si>
    <t>TG-BT02</t>
  </si>
  <si>
    <t>("T2"): 4x2500A</t>
  </si>
  <si>
    <t>("6"): 4x2500A</t>
  </si>
  <si>
    <t>("CGE-2"): 4x2500A</t>
  </si>
  <si>
    <t>("8"): 4x2500A</t>
  </si>
  <si>
    <t>(Deriv) 4x400A T5</t>
  </si>
  <si>
    <t>TG-BT03</t>
  </si>
  <si>
    <t>("T-1"): 4x2500A</t>
  </si>
  <si>
    <t>("10"): 4x2500A</t>
  </si>
  <si>
    <t>("CGE-1"): 4x2500A</t>
  </si>
  <si>
    <t>("12"): 4x2500A</t>
  </si>
  <si>
    <t>(Deriv) 4x1250A T7</t>
  </si>
  <si>
    <t>4x800A T6</t>
  </si>
  <si>
    <t>4x1250A T7</t>
  </si>
  <si>
    <t>TG-UPS</t>
  </si>
  <si>
    <t>("E-1"): 4x800A</t>
  </si>
  <si>
    <t>("E-2"): 4x800A</t>
  </si>
  <si>
    <t>(Deriv) 4x80A XT2</t>
  </si>
  <si>
    <t>Enclavamiento 4x80A</t>
  </si>
  <si>
    <t>TD-UPS</t>
  </si>
  <si>
    <t>("E-3"): 4x800A</t>
  </si>
  <si>
    <t>TG-N</t>
  </si>
  <si>
    <t>ITM LZM4 800A</t>
  </si>
  <si>
    <t>ITM LZM3 400A</t>
  </si>
  <si>
    <t>PAN. BZM1 400A</t>
  </si>
  <si>
    <t>Barras para entrada de Busbar (v1)</t>
  </si>
  <si>
    <t>ITM MGN 3000A</t>
  </si>
  <si>
    <t>STG-1</t>
  </si>
  <si>
    <t>PAN. LZM1 800A</t>
  </si>
  <si>
    <t>PAN. LZM2 800A</t>
  </si>
  <si>
    <t>TGE-1</t>
  </si>
  <si>
    <t>PAN. LZM2 400A</t>
  </si>
  <si>
    <t>ITM LZM1 100A</t>
  </si>
  <si>
    <t>ITM LZM1 160A</t>
  </si>
  <si>
    <t>TGE-2</t>
  </si>
  <si>
    <t>ITM. LZM2 250A</t>
  </si>
  <si>
    <t>ITM. LZM3 500A</t>
  </si>
  <si>
    <t>(1+G)*(1+U)</t>
  </si>
  <si>
    <t>OTM_I-0-II_4p_40A</t>
  </si>
  <si>
    <t>OTM_I-0-II_4p_63A</t>
  </si>
  <si>
    <t>OTM_I-0-II_4p_80A</t>
  </si>
  <si>
    <t>OTM_I-0-II_4p_100A</t>
  </si>
  <si>
    <t>OTM_I-0-II_4p_160A</t>
  </si>
  <si>
    <t>OTM_I-0-II_4p_250A</t>
  </si>
  <si>
    <t>OTM_I-0-II_4p_315A</t>
  </si>
  <si>
    <t>OTM_I-0-II_4p_400A</t>
  </si>
  <si>
    <t>1SCA120102R1001</t>
  </si>
  <si>
    <t>1SCA120101R1001</t>
  </si>
  <si>
    <t>1SCA120100R1001</t>
  </si>
  <si>
    <t>1SCA120098R1001</t>
  </si>
  <si>
    <t>1SCA022848R1510</t>
  </si>
  <si>
    <t>1SCA022846R1590</t>
  </si>
  <si>
    <t>1SCA022847R2870</t>
  </si>
  <si>
    <t>1SCA022847R3250</t>
  </si>
  <si>
    <t>OTM_I-0-II_4p_630A</t>
  </si>
  <si>
    <t>1SCA022873R1990</t>
  </si>
  <si>
    <t>Sistema de Transferencia Automática:</t>
  </si>
  <si>
    <t>1Q_OTM_40-125A</t>
  </si>
  <si>
    <t>1(Q) contacto conmutado de estado 1NA/NC para OTM40..125A - marca ABB.</t>
  </si>
  <si>
    <t>1Q_OTM_160-2500A</t>
  </si>
  <si>
    <t>1(Q) contacto conmutado de estado 1NA para OTM160..2500A - marca ABB.</t>
  </si>
  <si>
    <t>1SVR427032R0000</t>
  </si>
  <si>
    <t>TELERGON</t>
  </si>
  <si>
    <t>Magnum(MWN)-extraib_800A_4p_LSIA + enc</t>
  </si>
  <si>
    <t>ITM Bastidor Abierto 4x800A ([0.4-1.0] In) extraíble - Magnum(MWN)_800A_4p_LSIA - 50kA@480Vac, Uc=120Vac, moto-operado + enc. mec.</t>
  </si>
  <si>
    <t>Magnum(MWN)-extraib_2000A_3p_LSIA + enc</t>
  </si>
  <si>
    <t>ITM Bastidor Abierto 3x2000A ([0.4-1.0] In) extraíble - Magnum(MWN)_2000A_3p_LSIA - 50kA@480Vac, Uc=120Vac, moto-operado + enc. mec.</t>
  </si>
  <si>
    <t>Magnum(MWN)-extraib_1250A_3p_LSIA + enc</t>
  </si>
  <si>
    <t>ITM Bastidor Abierto 3x1250A([0.4-1.0] In) extraíble - Magnum(MWN)_1250A_3p_LSIA - 50kA@480Vac, Uc=120Vac, moto-operado + enc. mec.</t>
  </si>
  <si>
    <t>KIT-TRANSF_Magnum_800A</t>
  </si>
  <si>
    <t>KIT-TRANSF_Magnum_1250/2000A</t>
  </si>
  <si>
    <t>GES7160AFM</t>
  </si>
  <si>
    <t>GES7125AFM</t>
  </si>
  <si>
    <t>GES7100AFM</t>
  </si>
  <si>
    <t>GES7080AFM</t>
  </si>
  <si>
    <t>GES7063AFM</t>
  </si>
  <si>
    <t>GES7050AFM</t>
  </si>
  <si>
    <t>GES7040AFM</t>
  </si>
  <si>
    <t>GES7032AFM</t>
  </si>
  <si>
    <t>GES7020AFM</t>
  </si>
  <si>
    <t>Jgo. de 4 terminales hasta 125A - modelo GES.</t>
  </si>
  <si>
    <t>TunT_GES_4t_160A</t>
  </si>
  <si>
    <t>000-SWB-002</t>
  </si>
  <si>
    <t>(Panel) 800A</t>
  </si>
  <si>
    <t>4x800A MAGNUM</t>
  </si>
  <si>
    <t>ICCGSA - AUTOSOPORTADOS</t>
  </si>
  <si>
    <t>AUDAX</t>
  </si>
  <si>
    <t>CVM-B100-ETHERNET</t>
  </si>
  <si>
    <t>CVM-B100-PROFIBUS</t>
  </si>
  <si>
    <t>GJS4200AAM</t>
  </si>
  <si>
    <t>GLS4400AAM</t>
  </si>
  <si>
    <t>ICCGSA - Autosoportados</t>
  </si>
  <si>
    <t>IT</t>
  </si>
  <si>
    <t>ITM LZM3 300A</t>
  </si>
  <si>
    <t>020-TDF-012</t>
  </si>
  <si>
    <t>COMAP</t>
  </si>
  <si>
    <t>CCF06303PSO</t>
  </si>
  <si>
    <t>CCF04003PSO</t>
  </si>
  <si>
    <t>UM-C15230Z</t>
  </si>
  <si>
    <t>IA-NT PWR</t>
  </si>
  <si>
    <t>UM-C21230Z</t>
  </si>
  <si>
    <t>InteliATS</t>
  </si>
  <si>
    <t>CVM-C10</t>
  </si>
  <si>
    <t>CVM-B100</t>
  </si>
  <si>
    <t>CONMUTADOR 1-0-2, LTH 400A, 3 POLOS - modelo CCF04003PSO, marca TELERGON</t>
  </si>
  <si>
    <t>CONMUTADOR 1-0-2, LTH 630A, 3 POLOS - modelo CCF06303PSO, marca TELERGON</t>
  </si>
  <si>
    <t>MANDO MOTORIZADO P/CONMUTADOR DE 315-400A - modelo UM-C15230Z, marca TELERGON</t>
  </si>
  <si>
    <t>MANDO MOTORIZADO P/CONMUTADOR DE 500-630A - modelo UM-C21230Z, marca TELERGON</t>
  </si>
  <si>
    <t>CONTROLADOR DE TRANSFERENCIA AUTOMATICA - modelo INTELIATS, marca COMAP</t>
  </si>
  <si>
    <t>Medidor multifunción + Analizador de Redes - Modelo: CVM-B100 - presición 0.2% - RS485, Modbus RTU / BACnet - marca Circuitor.</t>
  </si>
  <si>
    <t>3VA2225-5HL32-0AA0</t>
  </si>
  <si>
    <t>3VA9267-0HA20</t>
  </si>
  <si>
    <t>REACT_20kVAR/230V_p14</t>
  </si>
  <si>
    <t>COND_20kVAR/230V_p14</t>
  </si>
  <si>
    <t>Magnum(MWS)-extraib_2500A_3p_LSIA</t>
  </si>
  <si>
    <t>BoxT_GES_4t</t>
  </si>
  <si>
    <t>Jgo. de 4 terminales 160A - modelo GES.</t>
  </si>
  <si>
    <t>DILM9-10_120V</t>
  </si>
  <si>
    <t>DILM7-10_120V</t>
  </si>
  <si>
    <t>DILM12-10_120V</t>
  </si>
  <si>
    <t>DILM15-10_120V</t>
  </si>
  <si>
    <t>DILM17-10_120V</t>
  </si>
  <si>
    <t>DILM25-10_120V</t>
  </si>
  <si>
    <t>DILM32-10_120V</t>
  </si>
  <si>
    <t>Supresor varistor para contactor magnético DILM7..12, 130 – 240Vac, modelo XT.</t>
  </si>
  <si>
    <t>GRASSLIN</t>
  </si>
  <si>
    <t>Transformador de tensión monofásico 220 / 120 Vac - 100VA.</t>
  </si>
  <si>
    <t>Transformador de tensión monofásico 380 / 24 Vac - 100VA.</t>
  </si>
  <si>
    <t>Transformador de tensión monofásico 380 / 220 Vac - 250VA.</t>
  </si>
  <si>
    <t>Transformador de tensión monofásico 380 / 220 Vac - 100VA.</t>
  </si>
  <si>
    <t>Transformador de tensión monofásico 460 / 220 Vac - 100VA.</t>
  </si>
  <si>
    <t>Transformador de tensión monofásico 460 / 220 Vac - 50VA.</t>
  </si>
  <si>
    <t>Transformador de tensión monofásico 460 / 120 Vac - 100VA.</t>
  </si>
  <si>
    <t>Transformador de tensión monofásico 460 / 120 Vac - 50VA.</t>
  </si>
  <si>
    <t>020-TGDFyA-001</t>
  </si>
  <si>
    <t>GLS4320AAM</t>
  </si>
  <si>
    <t>020-TDF-020 EMERGENCIA</t>
  </si>
  <si>
    <t>Transformador de tensión monofásico 380 / 120 Vac - 100VA.</t>
  </si>
  <si>
    <t>GJS4250AAM</t>
  </si>
  <si>
    <t>BoxT_GES_2t</t>
  </si>
  <si>
    <t>Jgo. de 2 terminales hasta 125A - modelo GES.</t>
  </si>
  <si>
    <t>Jgo. de 2 terminales 160A - modelo GES.</t>
  </si>
  <si>
    <t>TunT_GES_2t_160A</t>
  </si>
  <si>
    <t>GES2125FFG</t>
  </si>
  <si>
    <t>GES2100FFG</t>
  </si>
  <si>
    <t>GES2050FFG</t>
  </si>
  <si>
    <t>Magnum(MWS)-extraib_2500A_4p_LSIA</t>
  </si>
  <si>
    <t>ITM Bastidor Abierto 3x2500A ([0.4-1.0] In) extraíble - Magnum(MWS)_2500A_3p_LSIA - 65kA@480Vac.</t>
  </si>
  <si>
    <t>ITM Bastidor Abierto 4x2500A ([0.4-1.0] In) extraíble - Magnum(MWS)_2500A_4p_LSIA - 65kA@480Vac.</t>
  </si>
  <si>
    <t>000-SWB-001</t>
  </si>
  <si>
    <t>3x400A GES</t>
  </si>
  <si>
    <t>3x300A GES</t>
  </si>
  <si>
    <t>Magnum(MWS)-extraib_3200A_3p_LSIA</t>
  </si>
  <si>
    <t>ITM Bastidor Abierto 3x3200A ([0.4-1.0] In) extraíble - Magnum(MWS)_3200A_3p_LSIA - 65kA@480Vac.</t>
  </si>
  <si>
    <t>3x2000A MAGNUM</t>
  </si>
  <si>
    <t>3x1250A MAGNUM</t>
  </si>
  <si>
    <t>020-SWB-001</t>
  </si>
  <si>
    <t>3x3200A MAGNUM</t>
  </si>
  <si>
    <t>3x1600A LZM4</t>
  </si>
  <si>
    <t>(Panel) 1600A</t>
  </si>
  <si>
    <t>3x3200A</t>
  </si>
  <si>
    <t>GES7025AFM</t>
  </si>
  <si>
    <t>BZMB1-2-A16-BT-AP</t>
  </si>
  <si>
    <t>PARA SELECTIVIDAD:</t>
  </si>
  <si>
    <t>T6S1000-1000A-3P-PR222DS/P-LSI</t>
  </si>
  <si>
    <t>ITM Caja Moldeada 3x1000A (electrónico [0.4-1.0] In) - T6S1000-1000A-3P-PR222DS/P-LSI - 85kA@230V, 50kA@415V - marca ABB.</t>
  </si>
  <si>
    <t>1SDA060552R1</t>
  </si>
  <si>
    <t>T7H1600-1600A-3P-PR232/P-LSI</t>
  </si>
  <si>
    <t>1SDA063027R1</t>
  </si>
  <si>
    <t>T6H800-800A-3P-PR222DS/P-LSI</t>
  </si>
  <si>
    <t>1SDA060291R1</t>
  </si>
  <si>
    <t>T6H1000-1000A-3P-PR222DS/P-LSI</t>
  </si>
  <si>
    <t>1SDA060563R1</t>
  </si>
  <si>
    <t>XT2H160-160A-3P-TMA</t>
  </si>
  <si>
    <t>1SDA067604R1</t>
  </si>
  <si>
    <t>XT2H160-63A-3P-TMA</t>
  </si>
  <si>
    <t>1SDA067600R1</t>
  </si>
  <si>
    <t>XT2H160-40A-3P-TMA</t>
  </si>
  <si>
    <t>1SDA067598R1</t>
  </si>
  <si>
    <t>1SDA063043R1</t>
  </si>
  <si>
    <t>T7H1600(M)-1600A-3P-PR232/P-LSI</t>
  </si>
  <si>
    <t>XT2H160-40A-4P-TMA</t>
  </si>
  <si>
    <t>1SDA067619R1</t>
  </si>
  <si>
    <t>A1N/P125-80A-2P-TMF</t>
  </si>
  <si>
    <t>1SDA069561R1</t>
  </si>
  <si>
    <t>A1N/P125-90A-2P-TMF</t>
  </si>
  <si>
    <t>1SDA069562R1</t>
  </si>
  <si>
    <t>A1N/P125-100A-2P-TMF</t>
  </si>
  <si>
    <t>1SDA069563R1</t>
  </si>
  <si>
    <t>XT2H160-125A-3P-TMA</t>
  </si>
  <si>
    <t>1SDA067603R1</t>
  </si>
  <si>
    <t>1SDA067602R1</t>
  </si>
  <si>
    <t>XT2H160-100A-3P-TMA</t>
  </si>
  <si>
    <t>XT2H160-80A-3P-TMA</t>
  </si>
  <si>
    <t>1SDA067601R1</t>
  </si>
  <si>
    <t>XT2H160-50A-3P-TMA</t>
  </si>
  <si>
    <t>1SDA067597R1</t>
  </si>
  <si>
    <t>1SDA067596R1</t>
  </si>
  <si>
    <t>1SDA067595R1</t>
  </si>
  <si>
    <t>1SDA067594R1</t>
  </si>
  <si>
    <t>1SDA067599R1</t>
  </si>
  <si>
    <t>1SCA022353R4970</t>
  </si>
  <si>
    <t>1SCA022379R8100</t>
  </si>
  <si>
    <t>TERASAKI</t>
  </si>
  <si>
    <t>EPC06101</t>
  </si>
  <si>
    <t>EPC06161</t>
  </si>
  <si>
    <t>EPC06201</t>
  </si>
  <si>
    <t>EPC06251</t>
  </si>
  <si>
    <t>EPC06321</t>
  </si>
  <si>
    <t>EPC06401</t>
  </si>
  <si>
    <t>EPC06501</t>
  </si>
  <si>
    <t>EPC06631</t>
  </si>
  <si>
    <t>EPC06102</t>
  </si>
  <si>
    <t>EPC06162</t>
  </si>
  <si>
    <t>EPC06202</t>
  </si>
  <si>
    <t>EPC06252</t>
  </si>
  <si>
    <t>EPC06322</t>
  </si>
  <si>
    <t>EPC06402</t>
  </si>
  <si>
    <t>EPC06502</t>
  </si>
  <si>
    <t>EPC06632</t>
  </si>
  <si>
    <t>EPC06103</t>
  </si>
  <si>
    <t>EPC06163</t>
  </si>
  <si>
    <t>EPC06203</t>
  </si>
  <si>
    <t>EPC06253</t>
  </si>
  <si>
    <t>EPC06323</t>
  </si>
  <si>
    <t>EPC06403</t>
  </si>
  <si>
    <t>EPC06503</t>
  </si>
  <si>
    <t>EPC06633</t>
  </si>
  <si>
    <t>EPC06104</t>
  </si>
  <si>
    <t>EPC06164</t>
  </si>
  <si>
    <t>EPC06204</t>
  </si>
  <si>
    <t>EPC06254</t>
  </si>
  <si>
    <t>EPC06324</t>
  </si>
  <si>
    <t>EPC06404</t>
  </si>
  <si>
    <t>EPC06504</t>
  </si>
  <si>
    <t>EPC06634</t>
  </si>
  <si>
    <t>SGR2025030AC</t>
  </si>
  <si>
    <t>SGR2040030AC</t>
  </si>
  <si>
    <t>SGR2063030AC</t>
  </si>
  <si>
    <t>SGR4025030AC</t>
  </si>
  <si>
    <t>SGR4040030AC</t>
  </si>
  <si>
    <t>SGR4063030AC</t>
  </si>
  <si>
    <t>SGR2025030A</t>
  </si>
  <si>
    <t>SGR2040030A</t>
  </si>
  <si>
    <t>SGR2063030A</t>
  </si>
  <si>
    <t>SGR4025030A</t>
  </si>
  <si>
    <t>SGR4040030A</t>
  </si>
  <si>
    <t>SGR4063030A</t>
  </si>
  <si>
    <t>Panel de barras de cobre:</t>
  </si>
  <si>
    <t>1SDA067017R1</t>
  </si>
  <si>
    <t>OTM_I-0-II_4p_1000A</t>
  </si>
  <si>
    <t>1SCA112703R1001</t>
  </si>
  <si>
    <t>XT2H160-16A-3P-TMD</t>
  </si>
  <si>
    <t>XT2H160-20A-3P-TMD</t>
  </si>
  <si>
    <t>XT2H160-25A-3P-TMD</t>
  </si>
  <si>
    <t>XT2H160-32A-3P-TMD</t>
  </si>
  <si>
    <t>Interruptor principal:</t>
  </si>
  <si>
    <t>PANEL DE BARRAS - CAJA MOLD. (BZM2 / LZM2 / XT4 / A2)</t>
  </si>
  <si>
    <t>PANEL DE BARRAS - Riel-Din/BR/QC/BAB - ENTRADA TRIFÁSICA</t>
  </si>
  <si>
    <t>PANEL DE BARRAS - Riel-Din/BR/QC/BAB - ENTRADA MONOFÁSICA (2p)</t>
  </si>
  <si>
    <t>02.</t>
  </si>
  <si>
    <t>ST SP240-P</t>
  </si>
  <si>
    <t>RM OT210-1P2</t>
  </si>
  <si>
    <t>RM ST60 3N2</t>
  </si>
  <si>
    <t>RM ST60 3Y2</t>
  </si>
  <si>
    <t>RM ST120 3N2</t>
  </si>
  <si>
    <t>RM ST120 3Y2</t>
  </si>
  <si>
    <t>LA ST180 3N2</t>
  </si>
  <si>
    <t>LA ST180 3Y2</t>
  </si>
  <si>
    <t>HFD3015L</t>
  </si>
  <si>
    <t>HFD3020L</t>
  </si>
  <si>
    <t>HFD3030L</t>
  </si>
  <si>
    <t>HFD3040L</t>
  </si>
  <si>
    <t>HFD3050L</t>
  </si>
  <si>
    <t>HFD3060L</t>
  </si>
  <si>
    <t>HFD3070L</t>
  </si>
  <si>
    <t>HFD3080L</t>
  </si>
  <si>
    <t>HFD3100L</t>
  </si>
  <si>
    <t>HFD3125L</t>
  </si>
  <si>
    <t>SINE TAMMER</t>
  </si>
  <si>
    <t>--------------------------------------------------------------------</t>
  </si>
  <si>
    <t>PW9130i3000T-XL</t>
  </si>
  <si>
    <t>BBAT8GP09</t>
  </si>
  <si>
    <t>BANCO DE BATERÍAS PARA UPS 8 BAT X 9AH - CONFIGURABLE - 48V / 96V PARA AUTONOMÍA 20MIN.</t>
  </si>
  <si>
    <t>IEDA POWER</t>
  </si>
  <si>
    <t>NZM2-XMVR - Bloqueo mecánico para enclavamiento manual entre dos interruptores LZM2.</t>
  </si>
  <si>
    <t>NZM3-XMVR - Bloqueo mecánico para enclavamiento manual entre dos interruptores LZM3.</t>
  </si>
  <si>
    <t>NZM4-XMVR - Bloqueo mecánico para enclavamiento manual entre dos interruptores LZM4.</t>
  </si>
  <si>
    <t>TS8_2000x600x600mm</t>
  </si>
  <si>
    <t>TS8_2000x800x600mm</t>
  </si>
  <si>
    <t>TS8_TapLat_600mm</t>
  </si>
  <si>
    <t>Tapas latelares p/ TS 8, atornillables, chapa de acero, NEMA 12 / IP55, RAL 7035 - 600mm. (2 pzas.) - Ref.: 8106.235 - marca RITTAL.</t>
  </si>
  <si>
    <t>TS8_ZocFront+Post_600mm</t>
  </si>
  <si>
    <t>Zócalos frontal y porterior p/ TS 8, chapa de acero - 600mm. (2 juegos) - Ref.: 8601.600 - marca RITTAL.</t>
  </si>
  <si>
    <t>TS8_ZocFront+Post_800mm</t>
  </si>
  <si>
    <t>Zócalos frontal y porterior p/ TS 8, chapa de acero - 800mm. (2 juegos) - Ref.: 8601.800 - marca RITTAL.</t>
  </si>
  <si>
    <t>TS8_ZocLat_600mm</t>
  </si>
  <si>
    <t>Zócalos laterales p/ TS 8, chapa de acero - 600mm. (2 juegos) - Ref.: 8601.060 - marca RITTAL.</t>
  </si>
  <si>
    <t>TS8_PortEsq</t>
  </si>
  <si>
    <t>Portaplanos de plástico DIN A4 autoadhesivo p/ TS 8, RAL 7035 - Ref.: 2514.000 - marca RITTAL.</t>
  </si>
  <si>
    <t>TS8_Cancamos</t>
  </si>
  <si>
    <t>Cáncamos combinados p/ TS 8, chapa de acero galvanizada (4 pzas.) - Ref.: 4540.000 - marca RITTAL.</t>
  </si>
  <si>
    <t>TS8_2000x800x800mm</t>
  </si>
  <si>
    <t>TS8_2000x1200x800mm</t>
  </si>
  <si>
    <t>TS8_TapLat_800mm</t>
  </si>
  <si>
    <t>Tapas latelares p/ TS 8, atornillables, chapa de acero, NEMA 12 / IP55, RAL 7035 - 800mm. (2 pzas.) - Ref.: 8108.235 - marca RITTAL.</t>
  </si>
  <si>
    <t>Zócalos frontal y porterior p/ TS 8, chapa de acero - 800mm. (2 juegos) - Ref.: '8601.800 - marca RITTAL.</t>
  </si>
  <si>
    <t>TS8_ZocFront+Post_1200mm</t>
  </si>
  <si>
    <t>Zócalos frontal y porterior p/ TS 8, chapa de acero - 1200mm. (2 juegos) - Ref.: 8601.200 - marca RITTAL.</t>
  </si>
  <si>
    <t>TS8_ZocLat_800mm</t>
  </si>
  <si>
    <t>Zócalos laterales p/ TS 8, chapa de acero - 800mm. (2 juegos) - Ref.: 8601.080 - marca RITTAL.</t>
  </si>
  <si>
    <t>AF38-40-00-13_4p</t>
  </si>
  <si>
    <t>CA4-10</t>
  </si>
  <si>
    <t>1SBN010110R1010</t>
  </si>
  <si>
    <t>CA4-01</t>
  </si>
  <si>
    <t>1SBN010110R1001</t>
  </si>
  <si>
    <t>CONTACTOR 4 POLOS</t>
  </si>
  <si>
    <t>AF26-30-00-13_3p</t>
  </si>
  <si>
    <t>1SBL237001R1300</t>
  </si>
  <si>
    <t>AF26-30-11-13_3p</t>
  </si>
  <si>
    <t>1SBL237001R1311</t>
  </si>
  <si>
    <t>AF30-30-00-13_3p</t>
  </si>
  <si>
    <t>1SBL277001R1300</t>
  </si>
  <si>
    <t>AF30-30-11-13_3p</t>
  </si>
  <si>
    <t>Contactor 3x26A(AC-3) / 3x45A(AC-1) - AF26-30-00-13 - bobina 100-250Vac/dc - marca ABB.</t>
  </si>
  <si>
    <t>Contactor 3x26A(AC-3) / 3x45A(AC-1) +1NA +1NC frontales - AF26-30-11-13 - bobina 100-250Vac/dc - marca ABB.</t>
  </si>
  <si>
    <t>Contactor 3x32A(AC-3) / 3x50A(AC-1) +1NA - AF30-30-00-13 - bobina 100-250Vac/dc - marca ABB.</t>
  </si>
  <si>
    <t>Contactor 3x32A(AC-3) / 3x50A(AC-1) +1NA +1NC frontales - AF30-30-11-13 - bobina 100-250Vac/dc - marca ABB.</t>
  </si>
  <si>
    <t>1SBL277001R1311</t>
  </si>
  <si>
    <t>UVD_Emax2_220V</t>
  </si>
  <si>
    <t>Retardador electrónico para rele de minima tension (UVD) - Emax2 - 220-240V AC/DC.</t>
  </si>
  <si>
    <t>1SDA038320R1</t>
  </si>
  <si>
    <t>1SDA073199R1</t>
  </si>
  <si>
    <t>1SDA073069R1</t>
  </si>
  <si>
    <t>1SDA073065R1</t>
  </si>
  <si>
    <t>E2.2H-2500A-4P-Ekip Touch LSI_ext</t>
  </si>
  <si>
    <t>E2.2H-2500A-4P-Ekip Hi-Touch LSIG_ext</t>
  </si>
  <si>
    <t>E4.2H-4000A-4P-Ekip Hi-Touch LSIG_ext</t>
  </si>
  <si>
    <t>ITM Bastidor Abierto 4x2500A (Ith= [0.4-1.0] In) extraíble - E2.2H-2500A-3P-Ekip Touch LSI  - 100kA@440Vac - marca ABB.</t>
  </si>
  <si>
    <t>ITM Bastidor Abierto 4x2500A (Ith= [0.4-1.0] In) extraíble - E2.2H-2500A-3P-Ekip Hi-touch LSIG (funciones avanzadas) - 100kA@440Vac - marca ABB.</t>
  </si>
  <si>
    <t>ITM Bastidor Abierto 4x4000A (Ith= [0.4-1.0] In) extraíble - E4.2H-4000A-3P-Ekip Hi-touch LSIG (funciones avanzadas) - 100kA@440Vac - marca ABB.</t>
  </si>
  <si>
    <t>1S51_E2.2-E6.2</t>
  </si>
  <si>
    <t>AUP_E2.2-E6.2</t>
  </si>
  <si>
    <t>1(S51) contacto por actuacion del relé - 250V - Emax E2.2..E6.2.</t>
  </si>
  <si>
    <t>1SDA073764R1</t>
  </si>
  <si>
    <t>5(AUP) contactos de posición insertado/extraído - 250V - Emax E2...E6.2.</t>
  </si>
  <si>
    <t>RTC_E2.2-E6.2</t>
  </si>
  <si>
    <t>1(RTC) contacto de señalización "listo para cerrar" - 250V - Emax E2...E6.2.</t>
  </si>
  <si>
    <t>1SDA073773R1</t>
  </si>
  <si>
    <t>KIT-CAB_E1.2-E6.2_A/HB</t>
  </si>
  <si>
    <t>KIT-CAB_E1.2-E6.2_A/VB</t>
  </si>
  <si>
    <t>GRUPO 1</t>
  </si>
  <si>
    <t>GRUPO 2</t>
  </si>
  <si>
    <t>GRUPO 3</t>
  </si>
  <si>
    <t>Mecanismo de enclavamiento de interruptor -  Emax E2.2 (3p/4p) - marca ABB.</t>
  </si>
  <si>
    <t>Mecanismo de enclavamiento de interruptor -  Emax E4.2 (3p/4p)  - marca ABB.</t>
  </si>
  <si>
    <t>Mecanismo de enclavamiento de interruptor -  Emax E6.2 (3p)  - marca ABB.</t>
  </si>
  <si>
    <t>Kit de cables para enclavamiento horizontal, enclavamiento tipo A - interruptores Emax E1.2-E6.2 - marca ABB.</t>
  </si>
  <si>
    <t>Kit de cables para enclavamiento vertical, enclavamiento tipo A - interruptores Emax E1.2-E6.2 - marca ABB.</t>
  </si>
  <si>
    <t>Soporte para enclavamiento de interruptor fijo - enclavamiento tipo A -  Emax E1.2 - marca ABB.</t>
  </si>
  <si>
    <t>KIT-CAB_E2.2-E6.2_C/HB</t>
  </si>
  <si>
    <t>1SDA073882R1</t>
  </si>
  <si>
    <t>KIT-CAB_E2.2-E6.2_C/VB</t>
  </si>
  <si>
    <t>Kit de cables para enclavamiento vertical, enclavamiento tipo B, C, D - interruptores Emax E2.2-E6.2 - marca ABB.</t>
  </si>
  <si>
    <t>Kit de cables para enclavamiento horizontal, enclavamiento tipo B, C, D - interruptores Emax E2.2-E6.2 - marca ABB.</t>
  </si>
  <si>
    <t>1SDA073886R1</t>
  </si>
  <si>
    <t>GRUPO 4</t>
  </si>
  <si>
    <t>SOP_fijo_E1.2_A</t>
  </si>
  <si>
    <t>1SDA073897R1</t>
  </si>
  <si>
    <t>SOP_ext_E1.2_A</t>
  </si>
  <si>
    <t>Soporte para enclavamiento de interruptor extraíble - enclavamiento tipo A -  Emax E1.2 - marca ABB.</t>
  </si>
  <si>
    <t>1SDA073896R1</t>
  </si>
  <si>
    <t>SOP_E2.2..E6.2_A</t>
  </si>
  <si>
    <t>SOP_E2.2..E6.2_C</t>
  </si>
  <si>
    <t>Soporte para enclavamiento de interruptor fijo/extraíble - enclavamiento tipo A, B, D -  Emax E2.2..E6.2 - marca ABB.</t>
  </si>
  <si>
    <t>Soporte para enclavamiento de interruptor fijo/extraíble - enclavamiento tipo C -  Emax E2.2..E6.2 - marca ABB.</t>
  </si>
  <si>
    <t>1SDA067804R1</t>
  </si>
  <si>
    <t>XT2S160-160A-3P-Ekip LS/I</t>
  </si>
  <si>
    <t>XT2H160-63A-4P-Ekip LS/I</t>
  </si>
  <si>
    <t>XT2H160-100A-4P-Ekip LS/I</t>
  </si>
  <si>
    <t>XT2H160-160A-4P-Ekip LS/I</t>
  </si>
  <si>
    <t>1SDA067892R1</t>
  </si>
  <si>
    <t>1SDA067893R1</t>
  </si>
  <si>
    <t>1SDA067895R1</t>
  </si>
  <si>
    <t>1SDA067620R1</t>
  </si>
  <si>
    <t>1SDA067618R1</t>
  </si>
  <si>
    <t>1SDA067621R1</t>
  </si>
  <si>
    <t>1SDA067622R1</t>
  </si>
  <si>
    <t>1SDA067623R1</t>
  </si>
  <si>
    <t>1SDA067626R1</t>
  </si>
  <si>
    <t>1SDA067627R1</t>
  </si>
  <si>
    <t>XT2H160-50A-4P-TMA</t>
  </si>
  <si>
    <t>XT2H160-63A-4P-TMA</t>
  </si>
  <si>
    <t>XT2H160-80A-4P-TMA</t>
  </si>
  <si>
    <t>XT2H160-100A-4P-TMA</t>
  </si>
  <si>
    <t>XT2H160-125A-4P-TMA</t>
  </si>
  <si>
    <t>XT2H160-160A-4P-TMA</t>
  </si>
  <si>
    <t>E2.2-2500A-4P_ext(FP)</t>
  </si>
  <si>
    <t>Parte fija de interruptor extraíble - Frame E2.2 N/S/H 4x2500A - marca ABB.</t>
  </si>
  <si>
    <t>1SDA073912R1</t>
  </si>
  <si>
    <t>E4.2-4000A-4P_ext(FP)</t>
  </si>
  <si>
    <t>1SDA073916R1</t>
  </si>
  <si>
    <t>Parte fija de interruptor extraíble - Frame E4.2 N/S/H/V 4x4000A - marca ABB.</t>
  </si>
  <si>
    <t>1SDA067092R1</t>
  </si>
  <si>
    <t>1SDA067095R1</t>
  </si>
  <si>
    <t>XT2N160-63A-4P-Ekip LS/I</t>
  </si>
  <si>
    <t>XT2N160-160A-4P-Ekip LS/I</t>
  </si>
  <si>
    <t>ITM Caja Moldeada 4x63A (electrónico [0.4-1.0] In) - XT2N160-63A-4P-Ekip LS/I - 65kA@230V, 36kA@415V - marca ABB.</t>
  </si>
  <si>
    <t>ITM Caja Moldeada 4x160A (electrónico [0.4-1.0] In) - XT2N160-160A-4P-Ekip LS/I - 65kA@230V, 36kA@415V - marca ABB.</t>
  </si>
  <si>
    <t>1SDA067042R1</t>
  </si>
  <si>
    <t>1SDA067043R1</t>
  </si>
  <si>
    <t>XT2N160-125A-4P-TMA</t>
  </si>
  <si>
    <t>XT2N160-160A-4P-TMA</t>
  </si>
  <si>
    <t>XT2S160-100A-4P-Ekip LS/I</t>
  </si>
  <si>
    <t>XT2S160-63A-4P-Ekip LS/I</t>
  </si>
  <si>
    <t>XT2S160-160A-4P-Ekip LS/I</t>
  </si>
  <si>
    <t>T7H1250(M)-1250A-3P-PR232/P-LSI</t>
  </si>
  <si>
    <t>1SDA062923R1</t>
  </si>
  <si>
    <t>1SDA067835R1</t>
  </si>
  <si>
    <t>1SDA067836R1</t>
  </si>
  <si>
    <t>1SDA067838R1</t>
  </si>
  <si>
    <t>XT4N160-100A-4P-Ekip LS/I</t>
  </si>
  <si>
    <t>XT4N160-160A-4P-Ekip LS/I</t>
  </si>
  <si>
    <t>XT4N250-250A-4P-Ekip LS/I</t>
  </si>
  <si>
    <t>XT4S160-100A-4P-Ekip LS/I</t>
  </si>
  <si>
    <t>XT4S160-160A-4P-Ekip LS/I</t>
  </si>
  <si>
    <t>XT4S250-250A-4P-Ekip LS/I</t>
  </si>
  <si>
    <t>XT4H160-100A-4P-Ekip LS/I</t>
  </si>
  <si>
    <t>XT4H160-160A-4P-Ekip LS/I</t>
  </si>
  <si>
    <t>XT4H250-250A-4P-Ekip LS/I</t>
  </si>
  <si>
    <t>1SDA068145R1</t>
  </si>
  <si>
    <t>1SDA068146R1</t>
  </si>
  <si>
    <t>1SDA068147R1</t>
  </si>
  <si>
    <t>1SDA068493R1</t>
  </si>
  <si>
    <t>1SDA068494R1</t>
  </si>
  <si>
    <t>1SDA068495R1</t>
  </si>
  <si>
    <t>1SDA068533R1</t>
  </si>
  <si>
    <t>1SDA068534R1</t>
  </si>
  <si>
    <t>1SDA068535R1</t>
  </si>
  <si>
    <t>XT2N160-16A-4P-TMD</t>
  </si>
  <si>
    <t>XT2N160-20A-4P-TMD</t>
  </si>
  <si>
    <t>XT2N160-25A-4P-TMD</t>
  </si>
  <si>
    <t>1SDA067031R1</t>
  </si>
  <si>
    <t>1SDA067032R1</t>
  </si>
  <si>
    <t>1SDA067033R1</t>
  </si>
  <si>
    <t>XT1N160-32A-4P-TMD</t>
  </si>
  <si>
    <t>XT1N160-40A-4P-TMD</t>
  </si>
  <si>
    <t>XT1N160-50A-4P-TMD</t>
  </si>
  <si>
    <t>XT1N160-63A-4P-TMD</t>
  </si>
  <si>
    <t>XT1N160-80A-4P-TMD</t>
  </si>
  <si>
    <t>XT1N160-100A-4P-TMD</t>
  </si>
  <si>
    <t>XT1N160-125A-4P-TMD</t>
  </si>
  <si>
    <t>XT1N160-160A-4P-TMD</t>
  </si>
  <si>
    <t>ITM Caja Moldeada 4x100A (reg.[0.7-1.0] In) - XT1N160-100A-4P-TMD - 65kA@230V, 36kA@415V - marca ABB.</t>
  </si>
  <si>
    <t>1SDA067419R1</t>
  </si>
  <si>
    <t>1SDA067420R1</t>
  </si>
  <si>
    <t>1SDA067421R1</t>
  </si>
  <si>
    <t>1SDA067422R1</t>
  </si>
  <si>
    <t>1SDA067423R1</t>
  </si>
  <si>
    <t>1SDA067424R1</t>
  </si>
  <si>
    <t>1SDA067427R1</t>
  </si>
  <si>
    <t>1SDA067428R1</t>
  </si>
  <si>
    <t>XT1B160-25A-4P-TMD</t>
  </si>
  <si>
    <t>XT1B160-20A-4P-TMD</t>
  </si>
  <si>
    <t>XT1B160-16A-4P-TMD</t>
  </si>
  <si>
    <t>1SDA066812R1</t>
  </si>
  <si>
    <t>1SDA066811R1</t>
  </si>
  <si>
    <t>1SDA066810R1</t>
  </si>
  <si>
    <t>E2.2H-2000A-4P-Ekip Touch LSI</t>
  </si>
  <si>
    <t>ITM Bastidor Abierto 4x2000A (electrónico [0.4-1.0] In) - E2.2H-2000A-4P-Ekip Touch LSI - 100kA@440Vac - marca ABB.</t>
  </si>
  <si>
    <t>1SDA071685R1</t>
  </si>
  <si>
    <t>T5H630-630A-4P-PR222DS/P-LSI</t>
  </si>
  <si>
    <t>1SDA054418R1</t>
  </si>
  <si>
    <t>E2.2H-2500A-4P-Ekip Touch LSI</t>
  </si>
  <si>
    <t>ITM Bastidor Abierto 4x2500A (electrónico [0.4-1.0] In) - E2.2H-2500A-4P-Ekip Touch LSI - 100kA@440Vac - marca ABB.</t>
  </si>
  <si>
    <t>1SDA071715R1</t>
  </si>
  <si>
    <t>T7H1000(M)-1000A-4P-PR232/P-LSI</t>
  </si>
  <si>
    <t>1SDA062795R1</t>
  </si>
  <si>
    <t>T6H800-800A-4P-PR222DS/P-LSI</t>
  </si>
  <si>
    <t>XT2H160-32A-4P-TMD</t>
  </si>
  <si>
    <t>T7S1600-1600A-4P-PR232/P-LSI</t>
  </si>
  <si>
    <t>1SDA063003R1</t>
  </si>
  <si>
    <t>T4N320-320A-4P-PR222DS/P-LSI</t>
  </si>
  <si>
    <t>T4S320-320A-4P-PR222DS/P-LSI</t>
  </si>
  <si>
    <t>1SDA054123R1</t>
  </si>
  <si>
    <t>1SDA054131R1</t>
  </si>
  <si>
    <t>1SDA063019R1</t>
  </si>
  <si>
    <t>T7S1600(M)-1600A-4P-PR232/P-LSI</t>
  </si>
  <si>
    <t>ITM Caja Moldeada 4x1600A (electrónico [0.4-1.0] In) - T7S1600(M)-1600A-4P-PR232/P-LSI - 50kA@415V - marca ABB.</t>
  </si>
  <si>
    <t>T7S1000-1000A-4P-PR232/P-LSI</t>
  </si>
  <si>
    <t>1SDA062747R1</t>
  </si>
  <si>
    <t>T6N800-800A-4P-PR222DS/P-LSI</t>
  </si>
  <si>
    <t>KIT-TRANSF_XT1H_160A</t>
  </si>
  <si>
    <t>XT4N250-250A-4P-TMA</t>
  </si>
  <si>
    <t>El presupuesto se ha realizado en base a los diagramas unifilares de los planos.</t>
  </si>
  <si>
    <t xml:space="preserve">Cualquier modificación, producto o equipo que sea requerido por el cliente  </t>
  </si>
  <si>
    <t xml:space="preserve"> y que no se indique en nuestra oferta será cotizado de manera adicional.</t>
  </si>
  <si>
    <t>T5N400-400A-4P-PR221DS-LS/I</t>
  </si>
  <si>
    <t>1SDA054325R1</t>
  </si>
  <si>
    <t>1SDA054328R1</t>
  </si>
  <si>
    <t>T5N400-400A-4P-PR222DS/P-LSI</t>
  </si>
  <si>
    <t>BN-TD</t>
  </si>
  <si>
    <t>Barra a neutro.</t>
  </si>
  <si>
    <t>BTA-TD</t>
  </si>
  <si>
    <t>Barra a tierra aislada.</t>
  </si>
  <si>
    <t>BTA-TA</t>
  </si>
  <si>
    <t>ENC-MEC-QC</t>
  </si>
  <si>
    <t>RES-TRI_QC</t>
  </si>
  <si>
    <t>Espacio de reserva trifásica - tipo tornillo/engrampe.</t>
  </si>
  <si>
    <t>RES-TRI+DIF_QC</t>
  </si>
  <si>
    <t>Espacio de reserva trifásica + interruptor diferencial - tipo tornillo/engrampe.</t>
  </si>
  <si>
    <t>RES-MON_QC</t>
  </si>
  <si>
    <t>Espacio de reserva monofasica - tipo tornillo/engrampe.</t>
  </si>
  <si>
    <t>RES-MON+DIF_QC</t>
  </si>
  <si>
    <t>Espacio de reserva monofasica + interruptor diferencial - tipo tornillo/engrampe.</t>
  </si>
  <si>
    <t>RES-TRI_DIN</t>
  </si>
  <si>
    <t>Espacio de reserva trifásica - Riel-Din.</t>
  </si>
  <si>
    <t>RES-TRI+DIF_DIN</t>
  </si>
  <si>
    <t>Espacio de reserva trifásica + interruptor diferencial - Riel-Din.</t>
  </si>
  <si>
    <t>Espacio de reserva monofasica - Riel-Din.</t>
  </si>
  <si>
    <t>RES-MON+DIF_DIN</t>
  </si>
  <si>
    <t>Espacio de reserva monofasica + interruptor diferencial - Riel-Din.</t>
  </si>
  <si>
    <t>RES-DIF</t>
  </si>
  <si>
    <t>Espacio de reserva para interruptor diferencial monofásico.</t>
  </si>
  <si>
    <t>RES-MON_MOLD</t>
  </si>
  <si>
    <t>Espacio de reserva monofásica - Caja moldeada.</t>
  </si>
  <si>
    <t>RES-TRI_MOLD</t>
  </si>
  <si>
    <t>Espacio de reserva trifásica - Caja moldeada.</t>
  </si>
  <si>
    <t>RES-TRI_160F_MOLD</t>
  </si>
  <si>
    <t>Espacio de reserva trifásica - Caja moldeada - Frame 160A.</t>
  </si>
  <si>
    <t>RES-TRI_250F_MOLD</t>
  </si>
  <si>
    <t>Espacio de reserva trifásica - Caja moldeada - Frame 250A.</t>
  </si>
  <si>
    <t>RES-TRI+DIF_MOLD</t>
  </si>
  <si>
    <t>Espacio de reserva trifásica + interruptor diferencial - Caja moldeada.</t>
  </si>
  <si>
    <t>RES-TRI_40A_MOLD</t>
  </si>
  <si>
    <t>ITM Caja moldeada existente 40A (espacio de reserva trifásico).</t>
  </si>
  <si>
    <t>RES-TRI_50A_MOLD</t>
  </si>
  <si>
    <t>ITM Caja moldeada existente 50A (espacio de reserva trifásico).</t>
  </si>
  <si>
    <t>RES-TRI_80A_MOLD</t>
  </si>
  <si>
    <t>ITM Caja moldeada existente 80A (espacio de reserva trifásico).</t>
  </si>
  <si>
    <t>RES-TRI_160A_MOLD</t>
  </si>
  <si>
    <t>ITM Caja moldeada existente 160A (espacio de reserva trifásico).</t>
  </si>
  <si>
    <t>RES-TRI_250A_MOLD</t>
  </si>
  <si>
    <t>ITM Caja moldeada existente 250A (espacio de reserva trifásico).</t>
  </si>
  <si>
    <t>RES-TRI_320A_MOLD</t>
  </si>
  <si>
    <t>ITM Caja moldeada existente 320A (espacio de reserva trifásico).</t>
  </si>
  <si>
    <t>RES-TRI_400A_MOLD</t>
  </si>
  <si>
    <t>ITM Caja moldeada existente 400A (espacio de reserva trifásico).</t>
  </si>
  <si>
    <t>RES-TRI_630A_MOLD</t>
  </si>
  <si>
    <t>ITM Caja moldeada existente 630A (espacio de reserva trifásico).</t>
  </si>
  <si>
    <t>RES-CONT</t>
  </si>
  <si>
    <t>Espacio de reserva para contactor trifásico</t>
  </si>
  <si>
    <t>RES-LAMP</t>
  </si>
  <si>
    <t>Espacio de reserva para lámpara 22mm.</t>
  </si>
  <si>
    <t>TECH_INC</t>
  </si>
  <si>
    <t>Techo inclinado para tablero NEMA 4</t>
  </si>
  <si>
    <t>ABRAZ</t>
  </si>
  <si>
    <t>Abrazaderas para fijación a poste</t>
  </si>
  <si>
    <t>RIEL-DIN_RES</t>
  </si>
  <si>
    <t>Riel de reserva para componentes Din.</t>
  </si>
  <si>
    <t>RIEL-DIN</t>
  </si>
  <si>
    <t>Riel para componentes Din.</t>
  </si>
  <si>
    <t>PEINE_3F_12p</t>
  </si>
  <si>
    <t>"Peine" trifásico para 12 polos.</t>
  </si>
  <si>
    <t>PEINE_3F_9p</t>
  </si>
  <si>
    <t>"Peine" trifásico para 9 polos.</t>
  </si>
  <si>
    <t>PEINE_3F_6p</t>
  </si>
  <si>
    <t>"Peine" trifásico para 6 polos.</t>
  </si>
  <si>
    <t>PEINE_2F_12p</t>
  </si>
  <si>
    <t>"Peine" monofásico para 12 polos.</t>
  </si>
  <si>
    <t>PEINE_2F_9p</t>
  </si>
  <si>
    <t>"Peine" monofásico para 9 polos.</t>
  </si>
  <si>
    <t>PEINE_2F_6p</t>
  </si>
  <si>
    <t>"Peine" monofásico para 6 polos.</t>
  </si>
  <si>
    <t>DIRIS</t>
  </si>
  <si>
    <t>Se ha cotizado tableros con grado de protección NEMA 1 (equivalente IP10 / IP40,</t>
  </si>
  <si>
    <t>instalacion interior, proteccion a suciedad) o NEMA 12 (equivalente IP52 / IP54 / IP55,</t>
  </si>
  <si>
    <t>instalacion interior, proteccion a polvo y goteos de agua) o NEMA 3R (equivalente IP14,</t>
  </si>
  <si>
    <t>instalacion exterior, proteccion a suciedad, lluvia y nieve) o NEMA 4 (equivalente IP65 / IP66,</t>
  </si>
  <si>
    <t>instalacion exterior, proteccion a polvo en viento, agua proyectada y nieve)</t>
  </si>
  <si>
    <t>de fabricación nacional.</t>
  </si>
  <si>
    <t>instalacion interior, proteccion a suciedad) o NEMA 3R (equivalente IP14,</t>
  </si>
  <si>
    <t>instalacion exterior, proteccion a suciedad, lluvia y nieve) de fabricación nacional.</t>
  </si>
  <si>
    <t xml:space="preserve">El gabinete con grado de protección NEMA 12 empotrado (ITEM X) será construído </t>
  </si>
  <si>
    <t>como un gabinete adosado adaptado para empotrarse.</t>
  </si>
  <si>
    <t>El gabinete con grado de protección NEMA 3R empotrado (ITEM X) será construído</t>
  </si>
  <si>
    <t>Se ha considerado (en todos los tableros) interruptores diferenciales de CLASE A (inmunizado, para uso con</t>
  </si>
  <si>
    <t>cargas de corriente alterna y/o corriente pulsante DC), en cumplimiento de las epecificaciones técnicas (pg.51).</t>
  </si>
  <si>
    <t>Se ha considerado (en todos los tableros) interruptores termomagnéticos Riel-Din modelo "S200", con capacidad</t>
  </si>
  <si>
    <t>de ruptura de 10kA a 400V, según norma IEC60947-2 y fabricado bajo los estándares de esta norma.</t>
  </si>
  <si>
    <t>Esto, en cumplimiento de las especificaciones técnicas (pg.49).</t>
  </si>
  <si>
    <t>Se ha considerado en todos los tableros interruptores en caja moldeada con relé TERMOMAGNÉTICO regulable</t>
  </si>
  <si>
    <t>[0.7-1.0] In, para aquellos cuya corriente nominal se encuentra en el rango de 100A a 250A; e interruptores</t>
  </si>
  <si>
    <t>en caja moldeada con relé ELECTRÓNICO regulable [0.4-1.0] In, para aquellos cuya corriente nominal se</t>
  </si>
  <si>
    <t>encuentra en el rango de 320A a 630A. Este criterio, en cumplimiento de las especificaciones técnicas (pg.50).</t>
  </si>
  <si>
    <t>Se ha considerado los tableros "TTA-GE"(item 01), "TTA-1"(item 03) y "TC-HVAC"(item 04), con "interruptores</t>
  </si>
  <si>
    <t xml:space="preserve">de entrada" de tipo BASTIDOR ABIERTO con relé electrónico regulable [0.4-1.0] In, en cumplimiento de las </t>
  </si>
  <si>
    <t>especificaciones técnicas (pg.33).</t>
  </si>
  <si>
    <t>Se ha cotizado los tableros "TT-A1"(item 01), "TGA-G"(item 02), "TD-GE"(item 03) y "TP-380"(item 11)</t>
  </si>
  <si>
    <t xml:space="preserve">con interruptores generales de tipo BASTIDOR ABIERTO con relé electrónico de protección L-S-I </t>
  </si>
  <si>
    <t xml:space="preserve"> y pantalla gráfica Touch-screen.</t>
  </si>
  <si>
    <t>Se ha considerado en el tablero principal "TG", interruptores con capacidad de ruptura de 25kA.</t>
  </si>
  <si>
    <t>En el caso de los interruptores modulares DIN, en conjunto con un principal caja moldeada LZMS2,</t>
  </si>
  <si>
    <t>soportan un cortocircuito de hasta 25kA (conocido como "Back-up" o capacidad integrada).</t>
  </si>
  <si>
    <t>Se ha cotizado los sub-tableros de distribución con el concepto de "back-up" según</t>
  </si>
  <si>
    <t>normativa IEC. Se ha aplicado back-up debido a que para todos los sub-tableros de distribución</t>
  </si>
  <si>
    <t>se indica una corriente de falla de "Icc=25kA" en barra, según los diagramas unifilares.</t>
  </si>
  <si>
    <t>Según las tablas de back-up de fábrica de ABB:</t>
  </si>
  <si>
    <t>I_b ( S200 &gt;&gt; XT1C ) = 25kA @ 415Vac</t>
  </si>
  <si>
    <t>I_b ( XT1B &gt;&gt; XT1C ) = 25kA @ 415Vac</t>
  </si>
  <si>
    <t>I_b ( S200 &gt;&gt; S200M ) = 25kA @ 220Vac</t>
  </si>
  <si>
    <t>En consecuencia, los interruptores principales de los sub-tableros de distribución son interruptores</t>
  </si>
  <si>
    <t>en caja moldeada modelo XT1C o Riel-Din modelo S200M según sea el caso, para que se pueda</t>
  </si>
  <si>
    <t>cumplir el concepto de back-up hasta 25kA.</t>
  </si>
  <si>
    <t>Se ha cotizado los tableros generales con el concepto de "selectividad" según normativa IEC.</t>
  </si>
  <si>
    <t>Se ha aplicado selectividad en cumplimiento de las especificaciones técnicas (pag.37 y pag.12)</t>
  </si>
  <si>
    <t>en donde se indica que se debe "brindar una correcta selectividad y coordinación en la protección,</t>
  </si>
  <si>
    <t>considerando los interruptores aguas arriba y aguas abajo".</t>
  </si>
  <si>
    <t>Por ejemplo, según las tablas de selectividad de fábrica de ABB:</t>
  </si>
  <si>
    <t>I_s ( XT1N-125A &gt;&gt; T5N-400A ) = 36kA @ 415Vac</t>
  </si>
  <si>
    <t>I_s ( XT2S-80A &gt;&gt; T5S-630A ) = 50kA @ 415Vac</t>
  </si>
  <si>
    <t>I_s ( XT2N-100A &gt;&gt; XT4N-250A ) = 36kA @ 415Vac</t>
  </si>
  <si>
    <t>En consecuencia, se ha cotizado modelos de interruptores de tal manera que I_s sea mayor que</t>
  </si>
  <si>
    <t>Icc en barra indicado en los diagramas unifilares, para que se pueda cumplir la selectividad.</t>
  </si>
  <si>
    <t xml:space="preserve">La selectividad ha sido aplicado desde el 1er nivel hasta el el 3er nivel de distribución (hasta los tableros </t>
  </si>
  <si>
    <t xml:space="preserve">generales que derivan del tablero principal). Por ejemplo, los tableros "TGA-P"(item 04), "TGA-HAB"(item 05), </t>
  </si>
  <si>
    <t>TGN-SG(item 12), "TGN-AA"(item 13), … etc.</t>
  </si>
  <si>
    <t>Debido a la selectividad, algunos interruptores han sufrido aumentos de corriente nominal.</t>
  </si>
  <si>
    <t>Los interruptores generales de los tableros  "TLF-1.COC"(item 41), "TG-UPS"(item 09), "TGN-AA"(item 13)</t>
  </si>
  <si>
    <t>Asimismo, este cambio también se ve reflejado en su interruptor alimentador  aguas arriba, en los tableros</t>
  </si>
  <si>
    <t>TGA-G(item 02) y "TP-380"(item11).</t>
  </si>
  <si>
    <t>Se ha cotizado los interruptores en caja moldeada con corriente nominal a partir de 400A con relés</t>
  </si>
  <si>
    <t>electrónicos de alta gama (PR222DS/P-LSI y PR232/P-LSI), los cuales permiten una mayor resolución en la</t>
  </si>
  <si>
    <t>configuración de las protecciones y el funcionamiento de las 3 protecciones al mismo tiempo (L-S-I):</t>
  </si>
  <si>
    <t>L(sobrecarga) + S(c.c retardado) + I(c.c. instantáneo).</t>
  </si>
  <si>
    <t>En TJ CASTRO no fabricamos ni comercializamos UPS's, transformadores de</t>
  </si>
  <si>
    <t>Se ha cotizado los 02 tableros banco de condensadores "TA-BC"(item 10) y "TBC-380"(item 17) como un sistema de:</t>
  </si>
  <si>
    <t>Banco de Condensadores trifásico con reactancias para filtro de rechazo de armónicas, con factor de</t>
  </si>
  <si>
    <t>desintonia p=7% , en cumplimiento de las especificaciones técnicas (pg.19-20).</t>
  </si>
  <si>
    <t>Se ha considerado el sistema monofásico 220VAC (L-N) de fase y neutro seccionables.</t>
  </si>
  <si>
    <t>Por lo tanto, se ha cotizado interruptores de 2 polos, según lo acordado con del cliente.</t>
  </si>
  <si>
    <t>Se ha cotizado un solo selector M-0-A para el Tablero Bomba de Desague (ITEM X)</t>
  </si>
  <si>
    <t>según diseño propuesto por T.J. Castro.</t>
  </si>
  <si>
    <t>ESPECIFICACIONES
TÉCNICAS</t>
  </si>
  <si>
    <t>ESPECIFICACIONES TÉCNICAS</t>
  </si>
  <si>
    <t>-( * )-</t>
  </si>
  <si>
    <t>Transferencia de interruptores ABB.</t>
  </si>
  <si>
    <t>Kit de componentes para realizar una transferencia automática con AT021/ATS022, compuesta por:
    - (2) Interruptores automáticos.
    - (2) Estructuras de enclavamiento mecánico de los interruptores.
    - (2) Mando eléctrico Apertura + Cierre + Motor carga resortes (si es necesario) de los interruptores (YO+YC+YM).
    - Contactos auxiliares de estado (Q) y/o disparo del interruptor (SY).
    - Contactor/contactores de control con enclavamiento eléctrico.
(Según el modelo de los interruptores).</t>
  </si>
  <si>
    <t>Conmutador motorizado bajo carga (I-0-II), modelo OTM, marca ABB.</t>
  </si>
  <si>
    <t xml:space="preserve">Conmutador Motorizado bajo carga I-0-II; OTM compuesto por dos interruptores seccionadores individuales enclavados mecánicamente que previenen cualquier situación de paralelismo entre las fuentes durante la conmutación. </t>
  </si>
  <si>
    <t>Controlador de Conmutación Automática ATS022 - pantalla digital, con módulo de com. Modbus - marca ABB.</t>
  </si>
  <si>
    <t>El ATS es un dispositivo de conmutación automática, que al detectar una falla en la línea principal, puede controlar la puesta en marcha de un generador y conmutar automáticamente de una red a otra transmitiendo órdenes a los interruptores automáticos. Cambia automáticamente al generador o transformador después de un retardo predefinido. Tiene las siguientes características:</t>
  </si>
  <si>
    <r>
      <rPr>
        <b/>
        <sz val="10"/>
        <rFont val="Arial"/>
        <family val="2"/>
      </rPr>
      <t xml:space="preserve">A) </t>
    </r>
    <r>
      <rPr>
        <sz val="10"/>
        <rFont val="Arial"/>
        <family val="2"/>
      </rPr>
      <t>Supervisa la tensión de Suministro Principal y de Emergencia y registra cualquiera de las siguientes anomalías:
          - Tensión máxima y mínima.
          - Frecuencia máxima y mínima.
          - Falta de fase.
          - Desequilibrio de tensión.
          - Desequilibrio de frecuencia.</t>
    </r>
  </si>
  <si>
    <r>
      <rPr>
        <b/>
        <sz val="10"/>
        <rFont val="Arial"/>
        <family val="2"/>
      </rPr>
      <t xml:space="preserve">B) </t>
    </r>
    <r>
      <rPr>
        <sz val="10"/>
        <rFont val="Arial"/>
        <family val="2"/>
      </rPr>
      <t>Controla todas las secuencias de conmutación aplicando los retardos temporales programables siguientes:
          - Retardo de arranque del generador después de la detección de una anomalía en la red. Regulable de 0 a 30 s. 
          - Retardo de cierre del interruptor suministro Principal. Regulable de 0 a 60 s.
          - Retardo de cierre del interruptor suministro Emergencia. Regulable de 0 a 60 s.
          - Retardo de apertura del interruptor de suministro Emergencia, después de detección   de la estabilización de tensión
            del suministro principal. Regulable: 0…59s, 1, 2,...30min.
          - Retardo de apagado del Grupo Electrógeno  después del cierre del interruptor de suministro principal. 
            Regulable: 0…59s, 1, 2,…30min.</t>
    </r>
  </si>
  <si>
    <r>
      <rPr>
        <b/>
        <sz val="10"/>
        <rFont val="Arial"/>
        <family val="2"/>
      </rPr>
      <t xml:space="preserve">C) </t>
    </r>
    <r>
      <rPr>
        <sz val="10"/>
        <rFont val="Arial"/>
        <family val="2"/>
      </rPr>
      <t>Con un display grafico frontal, a través del cual el usuario puede verificar la configuración y ver el estado de la unidad
     y de los interruptores conectados.</t>
    </r>
  </si>
  <si>
    <r>
      <rPr>
        <b/>
        <sz val="10"/>
        <rFont val="Arial"/>
        <family val="2"/>
      </rPr>
      <t xml:space="preserve">D) </t>
    </r>
    <r>
      <rPr>
        <sz val="10"/>
        <rFont val="Arial"/>
        <family val="2"/>
      </rPr>
      <t>El display gráfico permite la visualización de la tensión y frecuencia de Suministro Principal y de Emergencia.</t>
    </r>
  </si>
  <si>
    <r>
      <rPr>
        <b/>
        <sz val="10"/>
        <rFont val="Arial"/>
        <family val="2"/>
      </rPr>
      <t xml:space="preserve">E) </t>
    </r>
    <r>
      <rPr>
        <sz val="10"/>
        <rFont val="Arial"/>
        <family val="2"/>
      </rPr>
      <t>Bornes para mando de arranque del Grupo electrógeno.</t>
    </r>
  </si>
  <si>
    <t>Accesorios:</t>
  </si>
  <si>
    <t>ADOSADO</t>
  </si>
  <si>
    <t>ROT_TAG-TA</t>
  </si>
  <si>
    <t>ROT_TAG-TD</t>
  </si>
  <si>
    <t>ROT_CIRC</t>
  </si>
  <si>
    <t>Rotulado por circuito.</t>
  </si>
  <si>
    <t>Rotulado para TAG - tablero de distribución.</t>
  </si>
  <si>
    <t>T6N630-630A-4P-PR222DS/P-LSI</t>
  </si>
  <si>
    <t>ITM Caja Moldeada 4x630A (electrónico [0.4-1.0] In) - T5N630-630A-4P-PR222DS/P-LSI - 70kA@230V, 36kA@415V - marca ABB.</t>
  </si>
  <si>
    <t>1SDA060233R1</t>
  </si>
  <si>
    <t>1SDA060275R1</t>
  </si>
  <si>
    <t>XT4N250-200A-4P-TMA</t>
  </si>
  <si>
    <t>1SDA068109R1</t>
  </si>
  <si>
    <t>1SDA068111R1</t>
  </si>
  <si>
    <t>T6S630-630A-4P-PR222DS/P-LSI</t>
  </si>
  <si>
    <t>1SDA060243R1</t>
  </si>
  <si>
    <t>TRAFO_2F_220-120V_100VA</t>
  </si>
  <si>
    <t>TRAFO_2F_380-24V_100VA</t>
  </si>
  <si>
    <t>TRAFO_2F_380-120V_100VA</t>
  </si>
  <si>
    <t>TRAFO_2F_380-220V_100VA</t>
  </si>
  <si>
    <t>TRAFO_2F_380-220V_250VA</t>
  </si>
  <si>
    <t>TRAFO_2F_460-120V_50VA</t>
  </si>
  <si>
    <t>TRAFO_2F_460-120V_100VA</t>
  </si>
  <si>
    <t>TRAFO_2F_460-220V_50VA</t>
  </si>
  <si>
    <t>TRAFO_2F_460-220V_100VA</t>
  </si>
  <si>
    <t>TRAFO_3F_460-120V_100VA_AUD</t>
  </si>
  <si>
    <t>TRAFO_2F_440-220V_100VA_AUD</t>
  </si>
  <si>
    <t>TRAFO_2F_440-220V_500VA_AUD</t>
  </si>
  <si>
    <t>TRAFO_2F_460-230V_5000VA_AUD</t>
  </si>
  <si>
    <t>TRAFO_3F_220-380V_100VA_AUD</t>
  </si>
  <si>
    <t>TRAFO_3F_460-230V_5000VA_AUD</t>
  </si>
  <si>
    <t>TRAFO_3F_480-232V_100VA_AUD</t>
  </si>
  <si>
    <t>1SDA066317R1</t>
  </si>
  <si>
    <t>ITM Caja Moldeada 4x100A (electrónico [0.4-1.0] In) - XT4N160-100A-3P-Ekip LS/I - 65kA@230V, 36kA@415V - marca ABB.</t>
  </si>
  <si>
    <t>ITM Caja Moldeada 4x160A (electrónico [0.4-1.0] In) - XT4N160-160A-3P-Ekip LS/I - 65kA@230V, 36kA@415V - marca ABB.</t>
  </si>
  <si>
    <t>T5S630-630A-4P-PR222DS/P-LSI</t>
  </si>
  <si>
    <t>1SDA054410R1</t>
  </si>
  <si>
    <t>T5N630-630A-4P-PR222DS/P-LSI</t>
  </si>
  <si>
    <t>1SDA054402R1</t>
  </si>
  <si>
    <t>T7S800-800A-4P-PR232/P-LSI</t>
  </si>
  <si>
    <t>1SDA061974R1</t>
  </si>
  <si>
    <t>T7S1250-1250A-4P-PR232/P-LSI</t>
  </si>
  <si>
    <t>1SDA062875R1</t>
  </si>
  <si>
    <t>T7S1000(M)-1000A-4P-PR232/P-LSI</t>
  </si>
  <si>
    <t>1SDA062763R1</t>
  </si>
  <si>
    <t>T7S800(M)-800A-4P-PR232/P-LSI</t>
  </si>
  <si>
    <t>1SDA061990R1</t>
  </si>
  <si>
    <t>T7S1250(M)-1250A-4P-PR232/P-LSI</t>
  </si>
  <si>
    <t>1SDA062891R1</t>
  </si>
  <si>
    <t>1SDA060558R1</t>
  </si>
  <si>
    <t>T6S1000-1000A-4P-PR222DS/P-LSI</t>
  </si>
  <si>
    <t>T5S400-400A-4P-PR222DS/P-LSI</t>
  </si>
  <si>
    <t>1SDA054344R1</t>
  </si>
  <si>
    <t>E1.2N-1600A-4P-Ekip Touch LSI</t>
  </si>
  <si>
    <t>ITM Bastidor Abierto 4x1600A (electrónico [0.4-1.0] In) - E1.2N-1600A-4P-Ekip Touch LSI - 66kA@440Vac - marca ABB.</t>
  </si>
  <si>
    <t>1SDA071515R1</t>
  </si>
  <si>
    <t>SPV050400Y2K</t>
  </si>
  <si>
    <t>PSPD120400Y3K</t>
  </si>
  <si>
    <t>PSPD250400Y3K</t>
  </si>
  <si>
    <t>RELE_TENSION_230Vac</t>
  </si>
  <si>
    <t>1SVR730884R1300</t>
  </si>
  <si>
    <t>RELE_TENSION_400Vac</t>
  </si>
  <si>
    <t>1SVR730884R3300</t>
  </si>
  <si>
    <t>XT2S160-125A-4P-TMA</t>
  </si>
  <si>
    <t>1SDA067582R1</t>
  </si>
  <si>
    <t>XT2S160-160A-4P-TMA</t>
  </si>
  <si>
    <t>1SDA067583R1</t>
  </si>
  <si>
    <t>ITM Bastidor Abierto 3x1600A (electrónico [0.4-1.0] In) - E2.2N-1600A-3P-Ekip Touch LSI - 66kA@440Vac - marca ABB.</t>
  </si>
  <si>
    <t>ITM Bastidor Abierto 3x2000A (electrónico [0.4-1.0] In) - E2.2N-2000A-3P-Ekip Touch LSI - 66kA@440Vac - marca ABB.</t>
  </si>
  <si>
    <t>QC123PL</t>
  </si>
  <si>
    <t>BAB2020H</t>
  </si>
  <si>
    <t>BAB2030H</t>
  </si>
  <si>
    <t>BAB2015H</t>
  </si>
  <si>
    <t>BAB2040H</t>
  </si>
  <si>
    <t>BAB2050H</t>
  </si>
  <si>
    <t>BAB2060H</t>
  </si>
  <si>
    <t>QC2020H</t>
  </si>
  <si>
    <t>QC2030H</t>
  </si>
  <si>
    <t>QC2050H</t>
  </si>
  <si>
    <t>QC2060H</t>
  </si>
  <si>
    <t>QC2080H</t>
  </si>
  <si>
    <t>QBGF2015</t>
  </si>
  <si>
    <t>QBGF2020</t>
  </si>
  <si>
    <t>QBGF2030</t>
  </si>
  <si>
    <t>QBGFEP2020</t>
  </si>
  <si>
    <t>QBGFEP2015</t>
  </si>
  <si>
    <t>PLK1</t>
  </si>
  <si>
    <t>PLK3</t>
  </si>
  <si>
    <t>TERMODIFERENCIALES (UL)</t>
  </si>
  <si>
    <t>Bloqueo por candado PLK1 para interruptor FD / HFD</t>
  </si>
  <si>
    <t>05.</t>
  </si>
  <si>
    <t>06.</t>
  </si>
  <si>
    <t>08.</t>
  </si>
  <si>
    <t>COND_30kVAR/380V_p7</t>
  </si>
  <si>
    <t>REACT_30kVAR/380V_p7</t>
  </si>
  <si>
    <t>Interruptor Principal:</t>
  </si>
  <si>
    <t>Juego de fusiles + portafusibles para medición de tensión.</t>
  </si>
  <si>
    <t>Juego de bornes seccionables para medición de corriente.</t>
  </si>
  <si>
    <t>PSPD100400Y3K</t>
  </si>
  <si>
    <t>TG-TR1</t>
  </si>
  <si>
    <t>3x1600A MAGNUM</t>
  </si>
  <si>
    <t>3x800A LZM4</t>
  </si>
  <si>
    <t>3x400A LZM3</t>
  </si>
  <si>
    <t>3x320A LZM3</t>
  </si>
  <si>
    <t>AUTOSOPORTADO</t>
  </si>
  <si>
    <t>REACT_15kVAR/380V_p7</t>
  </si>
  <si>
    <t>COND_15kVAR/380V_p7</t>
  </si>
  <si>
    <t>50x5mm2.</t>
  </si>
  <si>
    <t>07.</t>
  </si>
  <si>
    <t>1SDA066150R1</t>
  </si>
  <si>
    <t>3Q+1SY_A3</t>
  </si>
  <si>
    <t>1SDA054911R1</t>
  </si>
  <si>
    <t>1SDA066258R1</t>
  </si>
  <si>
    <t>1SVR730830R0400</t>
  </si>
  <si>
    <t>CM-ESS.2S</t>
  </si>
  <si>
    <t>Transformador de tensión trifásico 460 / 380 Vac - 2000VA - (alto x ancho x fondo) 270 x 240 x 250 mm.</t>
  </si>
  <si>
    <t>Moneda</t>
  </si>
  <si>
    <t>2CSG213605R4011</t>
  </si>
  <si>
    <t>VLMD_P</t>
  </si>
  <si>
    <t>2CSG213625R4011</t>
  </si>
  <si>
    <t>AMTD-2P</t>
  </si>
  <si>
    <t>2CSM100140R1121</t>
  </si>
  <si>
    <t>SNT_1/200A</t>
  </si>
  <si>
    <t>Resistencia Shunt para medición de corriente DC, Uo=60mV DC - modelo SNT_1/200A - marca ABB.</t>
  </si>
  <si>
    <t>SH0306</t>
  </si>
  <si>
    <t>13016</t>
  </si>
  <si>
    <t>YSHUNTC2560</t>
  </si>
  <si>
    <t>25536</t>
  </si>
  <si>
    <t>Resistencia Shunt para medición de corriente DC, I_med=300A DC, Uo=60mV DC - modelo SH0306 - marca SIEMENS.</t>
  </si>
  <si>
    <t>Resistencia Shunt para medición de corriente DC, I_med=500A DC, Uo=60mV DC - modelo YSHUNTC2560- marca SIEMENS.</t>
  </si>
  <si>
    <t>1SVR750669R9400</t>
  </si>
  <si>
    <t>CM-IVN.S</t>
  </si>
  <si>
    <t>( * )</t>
  </si>
  <si>
    <t>Notas:</t>
  </si>
  <si>
    <t>El informe del estudio de coordinación de protecciones será entregado al finalizar la entrega de los tableros.</t>
  </si>
  <si>
    <t>Diagrama unifilar de la simulación del sistema eléctrico en software.</t>
  </si>
  <si>
    <t>Reporte de corrientes de cortocircuito por tablero de acuerdo a IEC-60909.</t>
  </si>
  <si>
    <t>A1.</t>
  </si>
  <si>
    <t>A2.</t>
  </si>
  <si>
    <t>El estudio de coordinación de protecciones contempla solo el sistema en baja tensión.</t>
  </si>
  <si>
    <t>El cumplimiento de la selectividad implica un aumento del precio de venta de los tableros, por las</t>
  </si>
  <si>
    <t>A3.</t>
  </si>
  <si>
    <t>Reporte de selectividad energética por tablero.</t>
  </si>
  <si>
    <t>A4.</t>
  </si>
  <si>
    <t>A5.</t>
  </si>
  <si>
    <t>-</t>
  </si>
  <si>
    <t>Informe de coordinación de protecciones en baja tensión. Anexos:</t>
  </si>
  <si>
    <t>Longitud de cables alimentadores en los niveles de distribución según el alcance requerido por el proyecto.</t>
  </si>
  <si>
    <t>Tiempo de entrega:</t>
  </si>
  <si>
    <t>Curvas tiempo-corriente y configuración de protecciones.</t>
  </si>
  <si>
    <t>Información requerida para el estudio:</t>
  </si>
  <si>
    <t>características superiores en modelo y tecnología que deben tener los interruptores y sus respectivos</t>
  </si>
  <si>
    <t>Cuadro de cargas por tablero o cuadro de caída de tensión, con la última información as-built.</t>
  </si>
  <si>
    <t>Los tableros fabricados por T.J. Castro serán entregados con sus interruptores ya configurados de</t>
  </si>
  <si>
    <t>acuerdo estudio de coordinación de protecciones realizado.</t>
  </si>
  <si>
    <t>Tablas de selectividad energética del fabricante.</t>
  </si>
  <si>
    <t>*</t>
  </si>
  <si>
    <t>Documentos entregables:</t>
  </si>
  <si>
    <t>De no entrregarse la información requerida (longitud de cables alimentadores y/o cuadro de cargas)</t>
  </si>
  <si>
    <t>requerida será la longitud de los cables alimentadores.</t>
  </si>
  <si>
    <t>relés de protección.</t>
  </si>
  <si>
    <t>según el alcance requerido por el proyecto. El resultado final se plasmará en un informe, y las</t>
  </si>
  <si>
    <t>(ESTUDIO)</t>
  </si>
  <si>
    <t>ESTUDIO DE COORDINACIÓN DE PROTECCIONES :</t>
  </si>
  <si>
    <t>dólar</t>
  </si>
  <si>
    <t>S2C-S/H6R</t>
  </si>
  <si>
    <t>2CDS200922R0001</t>
  </si>
  <si>
    <t>S2C-H6R</t>
  </si>
  <si>
    <t>2CDS200912R0001</t>
  </si>
  <si>
    <t>S2C-H6-20R</t>
  </si>
  <si>
    <t>2CDS200946R0002</t>
  </si>
  <si>
    <t>2(Q) contacto de estado NA - modelo S2C-H6-20R - p/Riel-Din, montaje lateral derecho - marca ABB.</t>
  </si>
  <si>
    <t>TRAFO_3F_460-380V_2000VA</t>
  </si>
  <si>
    <t>RELE_TENSION_PVE_400Vac</t>
  </si>
  <si>
    <t>1SVR550871R9500</t>
  </si>
  <si>
    <t>T.J. Castro podría presentar un informe básico (sin curvas de protecciones), en donde la información</t>
  </si>
  <si>
    <t>S2C-H20L</t>
  </si>
  <si>
    <t>2(Q) contacto de estado NA - modelo S2C-H20L - p/Riel-Din, montaje lateral izquierdo - marca ABB.</t>
  </si>
  <si>
    <t>2CDS200936R0002</t>
  </si>
  <si>
    <t>S2C-H10</t>
  </si>
  <si>
    <t>1(Q) contacto de estado NA - modelo S2C-H10 - p/S200, montaje integrado inferior - marca ABB.</t>
  </si>
  <si>
    <t>2CDS200970R0012</t>
  </si>
  <si>
    <t>1Q/1SY_XT1..XT4</t>
  </si>
  <si>
    <t>1(Q) contacto conmutado NA/NC / 1(SY) contacto por disparo de interruptor - XT1..XT4 - versión no cableada - marca ABB.</t>
  </si>
  <si>
    <t>1Q+1SY_XT1..XT4</t>
  </si>
  <si>
    <t>1SDA066431R1</t>
  </si>
  <si>
    <t>2Q+1SY_XT1..XT4</t>
  </si>
  <si>
    <t>Unidad de acoplamiento para Umed &lt;= 690V AC / 1000V DC - modelo CM-IVN.S - marca ABB.</t>
  </si>
  <si>
    <t>E1.2N-1250A-3P-Ekip Dip LSI</t>
  </si>
  <si>
    <t>ITM Bastidor Abierto 3x1600A (electrónico [0.4-1.0] In) - E1.2C-1600A-3P-Ekip Dip LSI - 50kA@440Vac - marca ABB.</t>
  </si>
  <si>
    <t>ITM Bastidor Abierto 3x1250A (electrónico [0.4-1.0] In) - E1.2N-1250A-3P-Ekip Dip LSI - 66kA@440Vac - marca ABB.</t>
  </si>
  <si>
    <t>1SDA070842R1</t>
  </si>
  <si>
    <t>E2.2N-2000A-3P-Ekip Dip LSI</t>
  </si>
  <si>
    <t>1SDA071032R1</t>
  </si>
  <si>
    <t>planos aprobados para fabricación, catálogos, protocolos de prueba y carta de garantía.</t>
  </si>
  <si>
    <t>Al finalizar la entrega de todos los tableros T.J. Castro entregará un Dossier con los</t>
  </si>
  <si>
    <t>Precio de Lista</t>
  </si>
  <si>
    <t>Dscto efectivo</t>
  </si>
  <si>
    <t>De ser requerido un sustento técnico de la coordinación en la etapa de evaluación del presupuesto,</t>
  </si>
  <si>
    <t>el proyecto).</t>
  </si>
  <si>
    <t>Datos del suministro en Media Tensión o Baja tensión (Potencia de cortocircuito, datos del transformador</t>
  </si>
  <si>
    <t>Media/Baja tensión).</t>
  </si>
  <si>
    <t>mMCM-C6/2-MW</t>
  </si>
  <si>
    <t>Este informe tomará entre 10 a 15 días útiles (según el número de circuitos y el alcance requerido por</t>
  </si>
  <si>
    <t>TS8_ZocFront+Post200_600mm</t>
  </si>
  <si>
    <t>Zócalos frontal y porterior h=200mm. p/ TS 8, chapa de acero - 600mm. (2 juegos) - Ref.: 8602.600 - marca RITTAL.</t>
  </si>
  <si>
    <t>TS8_ZocFront+Post200_800mm</t>
  </si>
  <si>
    <t>Zócalos frontal y porterior h=200mm. p/ TS 8, chapa de acero - 800mm. (2 juegos) - Ref.: 8602.800 - marca RITTAL.</t>
  </si>
  <si>
    <t>TS8_ZocLat200_600mm</t>
  </si>
  <si>
    <t>Zócalos laterales h=200mm. p/ TS 8, chapa de acero - 600mm. (2 juegos) - Ref.: 8602.060 - marca RITTAL.</t>
  </si>
  <si>
    <t>TS8_ZocFront+Post200_1200mm</t>
  </si>
  <si>
    <t>Zócalos frontal y porterior h=200mm. p/ TS 8, chapa de acero - 1200mm. (2 juegos) - Ref.: 8602.200 - marca RITTAL.</t>
  </si>
  <si>
    <t>TS8_ZocLat200_800mm</t>
  </si>
  <si>
    <t>Zócalos laterales h=200mm. p/ TS 8, chapa de acero - 800mm. (2 juegos) - Ref.: 8602.080 - marca RITTAL.</t>
  </si>
  <si>
    <t>BT-TA</t>
  </si>
  <si>
    <t>BN-TA</t>
  </si>
  <si>
    <t>protecciones de los interruptores termomagnéticos en baja tensión serán regulados bajo la</t>
  </si>
  <si>
    <t>configuración más óptima de acuerdo al estudio realizado.</t>
  </si>
  <si>
    <t>20 a 30 días útiles (según el número de circuitos y el alcance requerido por el proyecto), una vez</t>
  </si>
  <si>
    <t>entregado toda la información requerida para el estudio.</t>
  </si>
  <si>
    <t>FPF13KUG-100</t>
  </si>
  <si>
    <t>FANDIS</t>
  </si>
  <si>
    <t>REJ+FILT-12K</t>
  </si>
  <si>
    <t>Rejilla + filtro - 150x150mm. - modelo FPF12K - marca FANDIS.</t>
  </si>
  <si>
    <t>REJ+FILT-13K</t>
  </si>
  <si>
    <t>Rejilla + filtro - 204x204mm. - modelo FPF13K - marca FANDIS.</t>
  </si>
  <si>
    <t>FPF12KUG-100</t>
  </si>
  <si>
    <t>REJ+FILT-15K</t>
  </si>
  <si>
    <t>Rejilla + filtro - 250x250mm. - modelo FPF15K - marca FANDIS.</t>
  </si>
  <si>
    <t>FPF15KUG-100</t>
  </si>
  <si>
    <t>VENT+REJ+FILT-13K</t>
  </si>
  <si>
    <t>VENT+REJ+FILT-15K</t>
  </si>
  <si>
    <t>FPF13KPU230BE-110</t>
  </si>
  <si>
    <t>FPF15KU230BE-110</t>
  </si>
  <si>
    <t>TRT-10A230V-NO</t>
  </si>
  <si>
    <t>TRT-10A230V-NC</t>
  </si>
  <si>
    <t>TRT-1NA</t>
  </si>
  <si>
    <t>TRT-1NC</t>
  </si>
  <si>
    <t>Termostato para ventilación - 1NA - 230V - marca FANDIS.</t>
  </si>
  <si>
    <t>Termostato para calefacción - 1NC - 230Vac - marca FANDIS.</t>
  </si>
  <si>
    <t>CALEFACT-60W_FAND</t>
  </si>
  <si>
    <t>RACM-60</t>
  </si>
  <si>
    <t>Calefactor resistivo 60W, modelo RACM - marca FANDIS.</t>
  </si>
  <si>
    <t>T5N630-500A-3P-TMA</t>
  </si>
  <si>
    <t>1SDA054456R1</t>
  </si>
  <si>
    <t>T5S630-500A-3P-TMA</t>
  </si>
  <si>
    <t>1SDA054461R1</t>
  </si>
  <si>
    <t>XT2N160-160A-3P-Ekip LS/I</t>
  </si>
  <si>
    <t>1SDA067058R1</t>
  </si>
  <si>
    <t>OTM_I-0-II_3p_1250A</t>
  </si>
  <si>
    <t>1SCA112676R1001</t>
  </si>
  <si>
    <t>E4.2N-3200A-4P-Ekip Touch LSI</t>
  </si>
  <si>
    <t>ITM Bastidor Abierto 4x3200A (electrónico [0.4-1.0] In) - E4.2N-3200A-4P-Ekip Touch LSI - 66kA@440Vac - marca ABB.</t>
  </si>
  <si>
    <t>1SDA071775R1</t>
  </si>
  <si>
    <t>4x3200A</t>
  </si>
  <si>
    <t>4x1000A</t>
  </si>
  <si>
    <t>4x630A</t>
  </si>
  <si>
    <t>RES-TRI_320F_MOLD</t>
  </si>
  <si>
    <t>TG-T.M.1</t>
  </si>
  <si>
    <t>4x1000A T6</t>
  </si>
  <si>
    <t>4x630A T6</t>
  </si>
  <si>
    <t>3x630A T6</t>
  </si>
  <si>
    <t>(Panel) 3p-800A</t>
  </si>
  <si>
    <t>(Panel) 3p-630A</t>
  </si>
  <si>
    <t xml:space="preserve">INTERRUPTORES </t>
  </si>
  <si>
    <t>CUMPLEN SELECTVIDAD</t>
  </si>
  <si>
    <t>E2.2N-1600A-4P-Ekip Touch LSI</t>
  </si>
  <si>
    <t>ITM Bastidor Abierto 4x1600A (electrónico [0.4-1.0] In) - E2.2N-1600A-4P-Ekip Touch LSI - 66kA@440Vac - marca ABB.</t>
  </si>
  <si>
    <t>1SDA071625R1</t>
  </si>
  <si>
    <t>XT4S160-125A-3p-TMA</t>
  </si>
  <si>
    <t>XT4S160-80A-3p-TMA</t>
  </si>
  <si>
    <t>XT4S160-100A-3p-TMA</t>
  </si>
  <si>
    <t>1SDA068306R1</t>
  </si>
  <si>
    <t>1SDA068307R1</t>
  </si>
  <si>
    <t>1SDA068308R1</t>
  </si>
  <si>
    <t>E1.2N-1250A-4P-Ekip Touch LSI</t>
  </si>
  <si>
    <t>ITM Bastidor Abierto 4x1250A (electrónico [0.4-1.0] In) - E1.2N-1250A-4P-Ekip Touch LSI - 66kA@440Vac - marca ABB.</t>
  </si>
  <si>
    <t>1SDA071475R1</t>
  </si>
  <si>
    <t>Conmutador motorizado bajo carga (I-0-II), modelo OTM-C, 3p, 40A (AC21..AC22) / 40A (AC23) - marca ABB.</t>
  </si>
  <si>
    <t>Conmutador motorizado bajo carga (I-0-II), modelo OTM-C, 3p, 63A (AC21..AC22) / 63A (AC23) - marca ABB.</t>
  </si>
  <si>
    <t>Conmutador motorizado bajo carga (I-0-II), modelo OTM-C, 3p, 80A (AC21..AC22) / 80A (AC23) - marca ABB.</t>
  </si>
  <si>
    <t>Conmutador motorizado bajo carga (I-0-II), modelo OTM-C, 3p, 100A (AC21..AC22) / 80A (AC23) - marca ABB.</t>
  </si>
  <si>
    <t>Conmutador motorizado bajo carga (I-0-II), modelo OTM-C, 3p, 160A (AC21..AC22) / 160A (AC23) - marca ABB.</t>
  </si>
  <si>
    <t>Conmutador motorizado bajo carga (I-0-II), modelo OTM-C, 3p, 250A (AC21..AC22) / 250A (AC23) - marca ABB.</t>
  </si>
  <si>
    <t>Conmutador motorizado bajo carga (I-0-II), modelo OTM-C, 3p, 315A (AC21..AC22) / 315A (AC23) - marca ABB.</t>
  </si>
  <si>
    <t>Conmutador motorizado bajo carga (I-0-II), modelo OTM-C, 3p, 400A (AC21..AC22) / 400A (AC23) - marca ABB.</t>
  </si>
  <si>
    <t>Conmutador motorizado bajo carga (I-0-II), modelo OTM-C, 3p, 630A (AC21..AC22) / 630A (AC23) - marca ABB.</t>
  </si>
  <si>
    <t>Conmutador motorizado bajo carga (I-0-II), modelo OTM-C, 3p, 800A (AC21..AC22) / 800A (AC23) - marca ABB.</t>
  </si>
  <si>
    <t>Conmutador motorizado bajo carga (I-0-II), modelo OTM-C, 3p, 1000A (AC21..AC22) / 1000A (AC23) - marca ABB.</t>
  </si>
  <si>
    <t>Conmutador motorizado bajo carga (I-0-II), modelo OTM-C, 3p, 1250A (AC21..AC22) / 1250A (AC23) - marca ABB.</t>
  </si>
  <si>
    <t>Conmutador motorizado bajo carga (I-0-II), modelo OTM-C, 3p, 1600A (AC21..AC22) / 1250A (AC23) - marca ABB.</t>
  </si>
  <si>
    <t>Conmutador motorizado bajo carga (I-0-II), modelo OTM-C, 4p, 40A (AC21..AC22) / 40A (AC23) - marca ABB.</t>
  </si>
  <si>
    <t>Conmutador motorizado bajo carga (I-0-II), modelo OTM-C, 4p, 63A (AC21..AC22) / 63A (AC23) - marca ABB.</t>
  </si>
  <si>
    <t>Conmutador motorizado bajo carga (I-0-II), modelo OTM-C, 4p, 80A (AC21..AC22) / 80A (AC23) - marca ABB.</t>
  </si>
  <si>
    <t>Conmutador motorizado bajo carga (I-0-II), modelo OTM-C, 4p, 100A (AC21..AC22) / 80A (AC23) - marca ABB.</t>
  </si>
  <si>
    <t>Conmutador motorizado bajo carga (I-0-II), modelo OTM-C, 4p, 160A (AC21..AC22) / 160A (AC23) - marca ABB.</t>
  </si>
  <si>
    <t>Conmutador motorizado bajo carga (I-0-II), modelo OTM-C, 4p, 250A (AC21..AC22) / 250A (AC23) - marca ABB.</t>
  </si>
  <si>
    <t>Conmutador motorizado bajo carga (I-0-II), modelo OTM-C, 4p, 315A (AC21..AC22) / 315A (AC23) - marca ABB.</t>
  </si>
  <si>
    <t>Conmutador motorizado bajo carga (I-0-II), modelo OTM-C, 4p, 400A (AC21..AC22) / 400A (AC23) - marca ABB.</t>
  </si>
  <si>
    <t>Conmutador motorizado bajo carga (I-0-II), modelo OTM-C, 4p, 630A (AC21..AC22) / 630A (AC23) - marca ABB.</t>
  </si>
  <si>
    <t>Conmutador motorizado bajo carga (I-0-II), modelo OTM-C, 4p, 1000A (AC21..AC22) / 1000A (AC23) - marca ABB.</t>
  </si>
  <si>
    <t>3x1250A</t>
  </si>
  <si>
    <t>3x1000A</t>
  </si>
  <si>
    <t>3x320A</t>
  </si>
  <si>
    <t>Relés auxiliares para cada paso.</t>
  </si>
  <si>
    <t>Sistema de Medición:</t>
  </si>
  <si>
    <t>CMC_29kVAR/230V</t>
  </si>
  <si>
    <t>CMC_42kVAR/230V</t>
  </si>
  <si>
    <t>CMC_32kVAR/230V</t>
  </si>
  <si>
    <t>Sistema de Ventilación forzada:</t>
  </si>
  <si>
    <t>Ventilador + Rejilla + filtro.</t>
  </si>
  <si>
    <t>Rejilla + filtro.</t>
  </si>
  <si>
    <t>Termostato para ventilación.</t>
  </si>
  <si>
    <t>Contactor.</t>
  </si>
  <si>
    <t>Juego de fusibles + bornes</t>
  </si>
  <si>
    <t>TOTAL (INC. IGV): S/.</t>
  </si>
  <si>
    <t>LOS PRECIOS SON EN SOLES.</t>
  </si>
  <si>
    <t>TRAFO_2F_460-220V_1000VA</t>
  </si>
  <si>
    <t>Transformador de tensión monofásico 460 / 220 Vac - 1000VA.</t>
  </si>
  <si>
    <t>Juego de fusibles y/o bornes</t>
  </si>
  <si>
    <t>YO_XT1..XT4</t>
  </si>
  <si>
    <t>T6N1000-1000A-3P-PR222DS/P-LSI</t>
  </si>
  <si>
    <t>1SDA060539R1</t>
  </si>
  <si>
    <t>Estudio de selectividad y/o back-up de los interruptores que contemplan los niveles de distribución</t>
  </si>
  <si>
    <t>PRECIO TOTAL (DESCONTADO): S/.</t>
  </si>
  <si>
    <t>SEÑORES : SIGRAL | PMP Holding.</t>
  </si>
  <si>
    <t>P. U. (S/.)
(Inc. Dscto.)</t>
  </si>
  <si>
    <t>SUB-TOTAL (S/.)
(Inc. Dscto.)</t>
  </si>
  <si>
    <t>T.J. Castro no podrá presentar ningún informe ni sustento técnico sobre la selectividad y/o back-up.</t>
  </si>
  <si>
    <t>Interruptores derivados:</t>
  </si>
  <si>
    <t>Juego de fusibles y/o bornes para alimentación de control.</t>
  </si>
  <si>
    <t>Juego de bornes para señal/señales remotas.</t>
  </si>
  <si>
    <t xml:space="preserve">Al finalizar la entrega de todos los tableros T.J. Castro entregará un Dossier </t>
  </si>
  <si>
    <t>con los planos aprobados para fabricación, catálogos, protocolos y carta de garantía.</t>
  </si>
  <si>
    <t>PURUCHUCO</t>
  </si>
  <si>
    <t>TABLERO BANCO DE CONDENSADORES "BC1" - 720kVAR@400Vac, p=7% , 3Ø+N , 60Hz.</t>
  </si>
  <si>
    <t>REACT_40kVAR/380V_p7</t>
  </si>
  <si>
    <t>CMC_40kVAR/400V</t>
  </si>
  <si>
    <t>REACT_60kVAR/380V_p7</t>
  </si>
  <si>
    <t>CMC_60kVAR/400V</t>
  </si>
  <si>
    <t>CMC_80kVAR/400V</t>
  </si>
  <si>
    <t>Lamparas de señalizacion, tipo LED, 220V , 22mm.</t>
  </si>
  <si>
    <t>TABLERO BANCO DE CONDENSADORES "BC2" - 720kVAR@400Vac, p=7% , 3Ø+N , 60Hz.</t>
  </si>
  <si>
    <t>TABLERO BANCO DE CONDENSADORES "BC3" - 720kVAR@400Vac, p=7% , 3Ø+N , 60Hz.</t>
  </si>
  <si>
    <t>TABLERO BANCO DE CONDENSADORES "BC4" - 720kVAR@400Vac, p=7% , 3Ø+N , 60Hz.</t>
  </si>
  <si>
    <t>TABLERO BANCO DE CONDENSADORES "BC5" - 360kVAR@400Vac, p=7% , 3Ø+N , 60Hz.</t>
  </si>
  <si>
    <t>CMC_30kVAR/400V</t>
  </si>
  <si>
    <t>Contactor para maniobra de condensadores - 40kVAR@400V - Modelo CMC - bobina 230Vac/60Hz. - marca CIRCUITOR.</t>
  </si>
  <si>
    <t>LA ST120 3N2</t>
  </si>
  <si>
    <t>LA ST120 3Y2</t>
  </si>
  <si>
    <t>LA ST240 3N2</t>
  </si>
  <si>
    <t>LA ST240 3Y2</t>
  </si>
  <si>
    <t>Ventilador + rejilla + filtro - 204x204mm. - Ue=230V, 110/120 m3/h, 204x204mm. - modelo FPF13K - marca FANDIS.</t>
  </si>
  <si>
    <t>IP42 (Fab. Nacional)</t>
  </si>
  <si>
    <t>TABLERO  "TGN-1" : 380V, 3Ø+N+T, 60Hz.</t>
  </si>
  <si>
    <t>3x630</t>
  </si>
  <si>
    <t>3x630A - T5</t>
  </si>
  <si>
    <t>3x3200A - E2.2</t>
  </si>
  <si>
    <t>3x4000A - E2.2</t>
  </si>
  <si>
    <t>3x400A - T5</t>
  </si>
  <si>
    <t xml:space="preserve">4x4000A - E4.2 </t>
  </si>
  <si>
    <t xml:space="preserve">4x3200A - E4.2 </t>
  </si>
  <si>
    <t>TC 4000/5</t>
  </si>
  <si>
    <t>Transformador de corriente de 4000/5A</t>
  </si>
  <si>
    <t xml:space="preserve">De ser requerido este sustento, favor de ponerse en contacto con T.J. Castro S.A.C. </t>
  </si>
  <si>
    <t>LAMP_FLUOR_FAND</t>
  </si>
  <si>
    <t>Lámpara fluorescente - 230V, 60Hz 13W - modelo CLG, marca FANDIS.</t>
  </si>
  <si>
    <t>LIMIT_SWITCH_FAND</t>
  </si>
  <si>
    <t>Switch de puerta - FC-001.</t>
  </si>
  <si>
    <t>FOTOCELDA</t>
  </si>
  <si>
    <t>BASE_FOTOCELDA</t>
  </si>
  <si>
    <t>FOTOCELDA 1800VA 220V N/C (NF) 10 LUX STIELECTRONICA</t>
  </si>
  <si>
    <t>BASE C/SOPORTE P/CONTROL FOTOCELDA P/ADOSAR STIELECTRONICA</t>
  </si>
  <si>
    <t>0400RTF82S</t>
  </si>
  <si>
    <t>0400TPLS476</t>
  </si>
  <si>
    <t>STIELECTRONICA</t>
  </si>
  <si>
    <t>OTM_I-0-II_4p_800A</t>
  </si>
  <si>
    <t>1SCA022872R8340</t>
  </si>
  <si>
    <t>Conmutador motorizado bajo carga (I-0-II), modelo OTM-C, 4p, 800A (AC21..AC22) / 800A (AC23) - marca ABB.</t>
  </si>
  <si>
    <t>OTM_I-0-II_4p_1250A</t>
  </si>
  <si>
    <t>Conmutador motorizado bajo carga (I-0-II), modelo OTM-C, 4p, 1250A (AC21..AC22) / 1250A (AC23) - marca ABB.</t>
  </si>
  <si>
    <t>OTM_I-0-II_4p_1600A</t>
  </si>
  <si>
    <t>Conmutador motorizado bajo carga (I-0-II), modelo OTM-C, 4p, 1600A (AC21..AC22) / 1600A (AC23) - marca ABB.</t>
  </si>
  <si>
    <t>1SCA112702R1001</t>
  </si>
  <si>
    <t>1SCA112704R1001</t>
  </si>
  <si>
    <t>Juego de terminales para salida de cables alimentadores mayores o iguales a 50mm2.</t>
  </si>
  <si>
    <t xml:space="preserve">3x160A </t>
  </si>
  <si>
    <t xml:space="preserve">3x250A </t>
  </si>
  <si>
    <t xml:space="preserve">3x320A </t>
  </si>
  <si>
    <t xml:space="preserve">3x400A </t>
  </si>
  <si>
    <t xml:space="preserve">3x630A </t>
  </si>
  <si>
    <t xml:space="preserve">3x800A </t>
  </si>
  <si>
    <t xml:space="preserve">3x1000A </t>
  </si>
  <si>
    <t xml:space="preserve">3x1250A </t>
  </si>
  <si>
    <t xml:space="preserve">3x1600A </t>
  </si>
  <si>
    <t>60Hz, controlado por un Dispositivo de Conmutación Automática.</t>
  </si>
  <si>
    <t>El módulo de potencia está formado por:</t>
  </si>
  <si>
    <t>descripción:</t>
  </si>
  <si>
    <t>A) Supervisa la tensión de Red Principal y de Emergencia y registra cualquiera de las siguientes anomalías:</t>
  </si>
  <si>
    <t>- Tensión máxima y mínima.</t>
  </si>
  <si>
    <t>- Frecuencia máxima y mínima.</t>
  </si>
  <si>
    <t>- Falta de fase.</t>
  </si>
  <si>
    <t>- Desequilibrio de tensión.</t>
  </si>
  <si>
    <t>- Desequilibrio de frecuencia.</t>
  </si>
  <si>
    <t>B) Controla todas las secuencias de conmutación aplicando los retardos temporales programables siguientes:</t>
  </si>
  <si>
    <t>- Retardo de arranque del generador después de la detección de una anomalía en la red. Regulable de</t>
  </si>
  <si>
    <t xml:space="preserve">  0 a 30 s. </t>
  </si>
  <si>
    <t>- Retardo de apertura del interruptor de suministro Emergencia, después de detección de la estabilización</t>
  </si>
  <si>
    <t xml:space="preserve">  de tensión del suministro principal. Regulable: 0…59s, 1, 2,...30min.</t>
  </si>
  <si>
    <t xml:space="preserve">- Retardo de apagado del Grupo Electrógeno  después del cierre del interruptor de suministro principal. </t>
  </si>
  <si>
    <t xml:space="preserve">  Regulable: 0…59s, 1, 2,…30min.</t>
  </si>
  <si>
    <t>C) Con un display grafico frontal, a través del cual el usuario puede verificar la configuración y ver el estado</t>
  </si>
  <si>
    <t xml:space="preserve">     de la unidad y de los interruptores conectados.</t>
  </si>
  <si>
    <t>D) El display gráfico permite la visualización de la tensión y frecuencia de Suministro Principal y de Emergencia.</t>
  </si>
  <si>
    <t xml:space="preserve">     Emergencia.</t>
  </si>
  <si>
    <t>E) Bornes para mando de arranque del Grupo electrógeno.</t>
  </si>
  <si>
    <t>1SDA062883R1</t>
  </si>
  <si>
    <t>Con sistema de mando eléctrico y accesorios para enclavamiento mecánico.</t>
  </si>
  <si>
    <t>3x1250A - T7</t>
  </si>
  <si>
    <t>4x2500A</t>
  </si>
  <si>
    <t>TABLERO  "TNL11-1" : 380V, 3Ø+N+T, 60Hz.</t>
  </si>
  <si>
    <t>Sistema de señalización remota (p/ modelo XT):</t>
  </si>
  <si>
    <t>Sistema de señalización remota (p/ modelo T5):</t>
  </si>
  <si>
    <t>Juego de bornes para señales remotas.</t>
  </si>
  <si>
    <t>TABLERO  "TNL21-1" : 380V, 3Ø+N+T, 60Hz.</t>
  </si>
  <si>
    <t>T7S1250(M)-1250A-3P-PR232/P-LSI</t>
  </si>
  <si>
    <t>TNL21-1</t>
  </si>
  <si>
    <t>(Panel) 3p-400A</t>
  </si>
  <si>
    <t>TABLERO  "TNL22-1" : 380V, 3Ø+N+T, 60Hz.</t>
  </si>
  <si>
    <t>TABLERO  "TNL31-1" : 380V, 3Ø+N+T, 60Hz.</t>
  </si>
  <si>
    <t>TNL31-1</t>
  </si>
  <si>
    <t>3x800A - T6</t>
  </si>
  <si>
    <t>Portalámpara + lampara tipo LED - color Rojo - alimentacion: 220Vac, d=22mm. - línea compacta.</t>
  </si>
  <si>
    <t>Portalámpara + lampara tipo LED - color Verde - alimentacion: 220Vac, d=22mm. - línea compacta.</t>
  </si>
  <si>
    <t>Portalámpara + lampara tipo LED - color Amarillo - alimentacion: 220Vac, d=22mm. - línea compacta.</t>
  </si>
  <si>
    <t>Portalámpara + lampara tipo LED - color Rojo - alimentacion: 110-130Vac, d=22mm. - línea compacta.</t>
  </si>
  <si>
    <t>Portalámpara + lampara tipo LED - color Verde - alimentacion: 110-130Vac, d=22mm. - línea compacta.</t>
  </si>
  <si>
    <t>Portalámpara + lampara tipo LED - color Amarillo - alimentacion: 110-130Vac, d=22mm. - línea compacta.</t>
  </si>
  <si>
    <t>TNL22-1</t>
  </si>
  <si>
    <t>TABLERO  "TNL32-1" : 380V, 3Ø+N+T, 60Hz.</t>
  </si>
  <si>
    <t>TABLERO  "TEL21-1" : 380V, 3Ø+N+T, 60Hz.</t>
  </si>
  <si>
    <t>TABLERO  "TEL22-1" : 380V, 3Ø+N+T, 60Hz.</t>
  </si>
  <si>
    <t>A1C125-20A-4P-TMF</t>
  </si>
  <si>
    <t>A1C125-25A-4P-TMF</t>
  </si>
  <si>
    <t>A1C125-40A-4P-TMF</t>
  </si>
  <si>
    <t>A1C125-50A-4P-TMF</t>
  </si>
  <si>
    <t>A1C125-70A-4P-TMF</t>
  </si>
  <si>
    <t>A1C125-80A-4P-TMF</t>
  </si>
  <si>
    <t>A1C125-90A-4P-TMF</t>
  </si>
  <si>
    <t>A1C125-100A-4P-TMF</t>
  </si>
  <si>
    <t>A1C125-125A-4P-TMF</t>
  </si>
  <si>
    <t>1SDA066746R1</t>
  </si>
  <si>
    <t>1SDA066747R1</t>
  </si>
  <si>
    <t>1SDA066748R1</t>
  </si>
  <si>
    <t>1SDA066749R1</t>
  </si>
  <si>
    <t>1SDA066750R1</t>
  </si>
  <si>
    <t>1SDA066751R1</t>
  </si>
  <si>
    <t>1SDA066752R1</t>
  </si>
  <si>
    <t>1SDA066753R1</t>
  </si>
  <si>
    <t>1SDA066754R1</t>
  </si>
  <si>
    <t>1SDA066755R1</t>
  </si>
  <si>
    <t>1SDA066756R1</t>
  </si>
  <si>
    <t xml:space="preserve">Los interruptores termomagnéticos cumplen con selectividad en los tableros generales (hasta el 3er nivel), </t>
  </si>
  <si>
    <t>Los tableros de distribución (derivados) no forman parte del estudio de coordinación.</t>
  </si>
  <si>
    <t>Ver las notas del item 38 "Estudio de coordinación de protecciones".</t>
  </si>
  <si>
    <t>En los tableros de distribución (derivados) se ha considerado una corriente de corto-circuito (Icc) de 10kA@380Vac.</t>
  </si>
  <si>
    <t>Este valor será corroborado con el corriento en software del sistema eléctrico.</t>
  </si>
  <si>
    <t>Se ha considerado que el UPS que figura dentro del tablero "XX"(item XX) irá instalado</t>
  </si>
  <si>
    <t>fuera del tablero, por lo que no ha sido considerado dentro de este presupuesto.</t>
  </si>
  <si>
    <t>aislamiento ni estabilizadores. Estos quedarán a cargo del cliente.</t>
  </si>
  <si>
    <t>Se ha considerado todos los gabinetes de distribución (derivados) con mandil empernado a la estructura.</t>
  </si>
  <si>
    <t>1SDA071142R1</t>
  </si>
  <si>
    <t>ITM Bastidor Abierto 3x2000A (electrónico [0.4-1.0] In) - E2.2N-2000A-3P-Ekip Dip LSI - 66kA@440Vac - marca ABB.</t>
  </si>
  <si>
    <t>E4.2N-3200A-3P-Ekip Dip LSI</t>
  </si>
  <si>
    <t>ITM Bastidor Abierto 3x3200A (electrónico [0.4-1.0] In) - E4.2N-2000A-3P-Ekip Dip LSI - 66kA@440Vac - marca ABB.</t>
  </si>
  <si>
    <t>TABLERO  "TGN-2" : 380V, 3Ø+N+T, 60Hz.</t>
  </si>
  <si>
    <t>TABLERO  "TNL11-2" : 380V, 3Ø+N+T, 60Hz.</t>
  </si>
  <si>
    <t>TABLERO  "TNL21-2" : 380V, 3Ø+N+T, 60Hz.</t>
  </si>
  <si>
    <t>TNL21-2</t>
  </si>
  <si>
    <t>TABLERO  "TNL22-2" : 380V, 3Ø+N+T, 60Hz.</t>
  </si>
  <si>
    <t>TABLERO  "TNL31-2" : 380V, 3Ø+N+T, 60Hz.</t>
  </si>
  <si>
    <t>Toroide diferencial para Emax2 - Id = 3..30A - Emax E2.2 (4p), E4.2 (3p) - marca ABB.</t>
  </si>
  <si>
    <t>1SDA074255R1</t>
  </si>
  <si>
    <t>1SDA074256R1</t>
  </si>
  <si>
    <t>1SDA074257R1</t>
  </si>
  <si>
    <t>Calibre del relé de protección "Rating Plug" In=2000A + Protección Diferencial (Id = 3..30A) - Emax2 - marca ABB.</t>
  </si>
  <si>
    <t>Calibre del relé de protección "Rating Plug" In=3200A + Protección Diferencial (Id = 3..30A) - Emax2 - marca ABB.</t>
  </si>
  <si>
    <t>Calibre del relé de protección "Rating Plug" In=4000A + Protección Diferencial (Id = 3..30A) - Emax2 - marca ABB.</t>
  </si>
  <si>
    <t>TABLERO  "TEL31-2" : 380V, 3Ø+N+T, 60Hz.</t>
  </si>
  <si>
    <t>TABLERO  "TEL32-2" : 380V, 3Ø+N+T, 60Hz.</t>
  </si>
  <si>
    <t>Mando motor (MOD) - para XT1/XT3 - 220-250V AC/DC - (YO+YC) - marca ABB.</t>
  </si>
  <si>
    <t>Mando motor con energía acumulada (MOE) - para XT2/XT4 - 220-250V AC/DC - (YM+YO+YC) - marca ABB.</t>
  </si>
  <si>
    <t>TABLERO  "TNL32-2" : 380V, 3Ø+N+T, 60Hz.</t>
  </si>
  <si>
    <t>TNL32-2</t>
  </si>
  <si>
    <t>TABLERO  "TEL21-2" : 380V, 3Ø+N+T, 60Hz.</t>
  </si>
  <si>
    <t>TABLERO  "TEL22-2" : 380V, 3Ø+N+T, 60Hz.</t>
  </si>
  <si>
    <t>TABLERO  "TGN-3" : 380V, 3Ø+N+T, 60Hz.</t>
  </si>
  <si>
    <t>TGN-3</t>
  </si>
  <si>
    <t>3x1600A - T5</t>
  </si>
  <si>
    <t>3x800A - T5</t>
  </si>
  <si>
    <t>TABLERO  "TNL2-3" : 380V, 3Ø+N+T, 60Hz.</t>
  </si>
  <si>
    <t>TNL2-3</t>
  </si>
  <si>
    <t>3x1600A - T7</t>
  </si>
  <si>
    <t>3x320A - T4</t>
  </si>
  <si>
    <t>Se ha considerado los tableros de distribución del tipo empotrados con grado de protección IP-40 (instalacion</t>
  </si>
  <si>
    <t>interior, proteccion a suciedad) de fabricación nacional y los tableros de distribución del tipo adosados con</t>
  </si>
  <si>
    <t>grado de protección IP-54 (instalacion interior, proteccion a polvo y goteos de agua) de fabricación nacional.</t>
  </si>
  <si>
    <t>A1B125-15A-3P-TMF</t>
  </si>
  <si>
    <t>1SDA066697R1</t>
  </si>
  <si>
    <t>A1N/P125-125A-2P-TMF</t>
  </si>
  <si>
    <t>1SDA069564R1</t>
  </si>
  <si>
    <t>SNT_1/150A</t>
  </si>
  <si>
    <t>Resistencia Shunt para medición de corriente DC, Uo=60mV DC - modelo SNT_1/150A - marca ABB.</t>
  </si>
  <si>
    <t>2CSM100130R1121</t>
  </si>
  <si>
    <t>TABLERO  "TNL3-3" : 380V, 3Ø+N+T, 60Hz.</t>
  </si>
  <si>
    <t>TABLERO  "TEL3-3" : 380V, 3Ø+N+T, 60Hz.</t>
  </si>
  <si>
    <t>TABLERO  "TGN-4" : 380V, 3Ø+N+T, 60Hz.</t>
  </si>
  <si>
    <t>TABLERO  "TNL2-4" : 380V, 3Ø+N+T, 60Hz.</t>
  </si>
  <si>
    <t>(Fabricacion Nacional)</t>
  </si>
  <si>
    <t>MANDIL</t>
  </si>
  <si>
    <t>ABISAGRADO</t>
  </si>
  <si>
    <t>Interruptores cumplen</t>
  </si>
  <si>
    <t>con selectividad</t>
  </si>
  <si>
    <t>TABLERO  "TNL3-4" : 380V, 3Ø+N+T, 60Hz.</t>
  </si>
  <si>
    <t>TABLERO  "TGNM-4" : 380V, 3Ø+N+T, 60Hz.</t>
  </si>
  <si>
    <t>TABLERO  "TGNM-3" : 380V, 3Ø+N+T, 60Hz.</t>
  </si>
  <si>
    <t>TABLERO  "TGNM-2" : 380V, 3Ø+N+T, 60Hz.</t>
  </si>
  <si>
    <t>TABLERO  "TGNM-1" : 380V, 3Ø+N+T, 60Hz.</t>
  </si>
  <si>
    <t>TABLERO  "TGEM-2" : 380V, 3Ø+N+T, 60Hz.</t>
  </si>
  <si>
    <t>TABLERO  "TGEM-4" : 380V, 3Ø+N+T, 60Hz.</t>
  </si>
  <si>
    <t>TABLERO  "TGEM-3" : 380V, 3Ø+N+T, 60Hz.</t>
  </si>
  <si>
    <t>TABLERO  "TGEM-1" : 380V, 3Ø+N+T, 60Hz.</t>
  </si>
  <si>
    <t>Transformador de corriente de 2000/5A, para Banco de Condensadores.</t>
  </si>
  <si>
    <t>TABLERO  "TG-CH" : 380V, 3Ø+N+T, 60Hz.</t>
  </si>
  <si>
    <t>TABLERO  "TM3-4" : 380/220V, 3Ø+N+T, 60Hz.</t>
  </si>
  <si>
    <t>TABLERO  "TM2-4" : 380/220V, 3Ø+N+T, 60Hz.</t>
  </si>
  <si>
    <t>TABLERO  "TM1-4" : 380/220V, 3Ø+N+T, 60Hz.</t>
  </si>
  <si>
    <t>TABLERO  "TME1-4" : 380/220V, 3Ø+N+T, 60Hz.</t>
  </si>
  <si>
    <t>TABLERO  "TNSG2-1" : 380/220V, 3Ø+N+T, 60Hz.</t>
  </si>
  <si>
    <t>TABLERO  "TNSG3-1" : 380/220V, 3Ø+N+T, 60Hz.</t>
  </si>
  <si>
    <t>TABLERO  "TESG2-1" : 380/220V, 3Ø+N+T, 60Hz.</t>
  </si>
  <si>
    <t>TABLERO  "TESG3-1" : 380/220V, 3Ø+N+T, 60Hz.</t>
  </si>
  <si>
    <t>TABLERO  "TNSG2-2" : 380/220V, 3Ø+N+T, 60Hz.</t>
  </si>
  <si>
    <t>TABLERO  "TNSG3-2" : 380/220V, 3Ø+N+T, 60Hz.</t>
  </si>
  <si>
    <t>TABLERO  "TESG2-2" : 380/220V, 3Ø+N+T, 60Hz.</t>
  </si>
  <si>
    <t>TABLERO  "TESG3-2" : 380/220V, 3Ø+N+T, 60Hz.</t>
  </si>
  <si>
    <t>TABLERO  "TNSG2-3" : 380/220V, 3Ø+N+T, 60Hz.</t>
  </si>
  <si>
    <t>TABLERO  "TNSG3-3" : 380/220V, 3Ø+N+T, 60Hz.</t>
  </si>
  <si>
    <t>TABLERO  "TESG2-3" : 380/220V, 3Ø+N+T, 60Hz.</t>
  </si>
  <si>
    <t>TABLERO  "TESG3-3" : 380/220V, 3Ø+N+T, 60Hz.</t>
  </si>
  <si>
    <t>TABLERO  "TNSG2-4" : 380/220V, 3Ø+N+T, 60Hz.</t>
  </si>
  <si>
    <t>TABLERO  "TNSG3-4" : 380/220V, 3Ø+N+T, 60Hz.</t>
  </si>
  <si>
    <t>TABLERO  "TESG2-4" : 380/220V, 3Ø+N+T, 60Hz.</t>
  </si>
  <si>
    <t>TABLERO  "TESG3-4" : 380/220V, 3Ø+N+T, 60Hz.</t>
  </si>
  <si>
    <t>TABLERO  "TB-C" : 380/220V, 3Ø+N+T, 60Hz.</t>
  </si>
  <si>
    <t>TABLERO  "TB-S" : 380/220V, 3Ø+N+T, 60Hz.</t>
  </si>
  <si>
    <t>TABLERO  "TB-P" : 380/220V, 3Ø+N+T, 60Hz.</t>
  </si>
  <si>
    <t>TABLERO  "TME1-1" : 380/220V, 3Ø+N+T, 60Hz.</t>
  </si>
  <si>
    <t>TABLERO  "TM1-1" : 380/220V, 3Ø+N+T, 60Hz.</t>
  </si>
  <si>
    <t>TABLERO  "TM2-1" : 380/220V, 3Ø+N+T, 60Hz.</t>
  </si>
  <si>
    <t>TABLERO  "TM3-1" : 380/220V, 3Ø+N+T, 60Hz.</t>
  </si>
  <si>
    <t>A1C125-15A-3P-TMF</t>
  </si>
  <si>
    <t>1SDA066709R1</t>
  </si>
  <si>
    <t>A1N/P125-15A-2P-TMF</t>
  </si>
  <si>
    <t>1SDA069550R1</t>
  </si>
  <si>
    <t>1Q+1SY_A1(2p)</t>
  </si>
  <si>
    <t>1SDA066151R1</t>
  </si>
  <si>
    <t>1Q+1SY_A1-A2(3p)</t>
  </si>
  <si>
    <t>2Q+1SY_A1-A2(3p)</t>
  </si>
  <si>
    <t>TABLERO  "TME2-1" : 380/220V, 3Ø+N+T, 60Hz.</t>
  </si>
  <si>
    <t>TABLERO  "TM1-2" : 380/220V, 3Ø+N+T, 60Hz.</t>
  </si>
  <si>
    <t>TABLERO  "TM3-2" : 380/220V, 3Ø+N+T, 60Hz.</t>
  </si>
  <si>
    <t>TABLERO  "TM2-2" : 380/220V, 3Ø+N+T, 60Hz.</t>
  </si>
  <si>
    <t>TABLERO  "TM1-3" : 380/220V, 3Ø+N+T, 60Hz.</t>
  </si>
  <si>
    <t>TABLERO  "TM2-3" : 380/220V, 3Ø+N+T, 60Hz.</t>
  </si>
  <si>
    <t>TABLERO  "TM3-3" : 380/220V, 3Ø+N+T, 60Hz.</t>
  </si>
  <si>
    <t>TABLERO  "TNS-1" : 380/220V, 3Ø+N+T, 60Hz.</t>
  </si>
  <si>
    <t>TABLERO  "TES-1" : 380/220V, 3Ø+N+T, 60Hz.</t>
  </si>
  <si>
    <t>TABLERO  "TN1-1" : 380/220V, 3Ø+N+T, 60Hz.</t>
  </si>
  <si>
    <t>TABLERO  "TN2-1" : 380/220V, 3Ø+N+T, 60Hz.</t>
  </si>
  <si>
    <t>TABLERO  "TN3-1" : 380/220V, 3Ø+N+T, 60Hz.</t>
  </si>
  <si>
    <t>TABLERO  "TGEL-1" : 380/220V, 3Ø+N+T, 60Hz.</t>
  </si>
  <si>
    <t>TABLERO  "TSS-1" : 380/220V, 3Ø+N+T, 60Hz.</t>
  </si>
  <si>
    <t>Transferencia manual Trifasica compuesta por :</t>
  </si>
  <si>
    <t>Enclavamiento mecanico que permita la conexión de un solo suministro.</t>
  </si>
  <si>
    <t>TABLERO  "TEAA1-1" : 380/220V, 3Ø+N+T, 60Hz.</t>
  </si>
  <si>
    <t>TABLERO  "TEAA2-1" : 380/220V, 3Ø+N+T, 60Hz.</t>
  </si>
  <si>
    <t>TABLERO  "TJFS-1" : 380/220V, 3Ø+N+T, 60Hz.</t>
  </si>
  <si>
    <t>SubPanel por Peine:</t>
  </si>
  <si>
    <t>SubPanel-1:</t>
  </si>
  <si>
    <t>SubPanel-2:</t>
  </si>
  <si>
    <t>SubPanel-3:</t>
  </si>
  <si>
    <t>SubPanel-4:</t>
  </si>
  <si>
    <t>TABLERO  "TNALS-1" : 380/220V, 3Ø+N+T, 60Hz.</t>
  </si>
  <si>
    <t>TABLERO  "TNAL1-1" : 380/220V, 3Ø+N+T, 60Hz.</t>
  </si>
  <si>
    <t>TABLERO  "TNAL2-1" : 380/220V, 3Ø+N+T, 60Hz.</t>
  </si>
  <si>
    <t>TABLERO  "TNAL3-1" : 380/220V, 3Ø+N+T, 60Hz.</t>
  </si>
  <si>
    <t>TABLERO  "TNAEX-1" : 380/220V, 3Ø+N+T, 60Hz.</t>
  </si>
  <si>
    <t>TABLERO  "TEALS-1" : 380/220V, 3Ø+N+T, 60Hz.</t>
  </si>
  <si>
    <t>TABLERO  "TEAL1-1" : 380/220V, 3Ø+N+T, 60Hz.</t>
  </si>
  <si>
    <t>TABLERO  "TEAL2-1" : 380/220V, 3Ø+N+T, 60Hz.</t>
  </si>
  <si>
    <t>TABLERO  "TEAL3-1" : 380/220V, 3Ø+N+T, 60Hz.</t>
  </si>
  <si>
    <t>TABLERO  "TEAEX-1" : 380/220V, 3Ø+N+T, 60Hz.</t>
  </si>
  <si>
    <t>TABLERO  "TE-OA" : 380/220V, 3Ø+N+T, 60Hz.</t>
  </si>
  <si>
    <t>TABLERO  "TS-OA" : 380/220V, 3Ø+N+T, 60Hz.</t>
  </si>
  <si>
    <t>TABLERO  "TNS-2" : 380/220V, 3Ø+N+T, 60Hz.</t>
  </si>
  <si>
    <t>TABLERO  "TES-2" : 380/220V, 3Ø+N+T, 60Hz.</t>
  </si>
  <si>
    <t>TABLERO  "TN1-2" : 380/220V, 3Ø+N+T, 60Hz.</t>
  </si>
  <si>
    <t>TABLERO  "TN2-2" : 380/220V, 3Ø+N+T, 60Hz.</t>
  </si>
  <si>
    <t>TABLERO  "TN3-2" : 380/220V, 3Ø+N+T, 60Hz.</t>
  </si>
  <si>
    <t>TABLERO  "TGEL-2" : 380/220V, 3Ø+N+T, 60Hz.</t>
  </si>
  <si>
    <t>TABLERO  "TSS-2" : 380/220V, 3Ø+N+T, 60Hz.</t>
  </si>
  <si>
    <t>TABLERO  "TEAA1-2" : 380/220V, 3Ø+N+T, 60Hz.</t>
  </si>
  <si>
    <t>TABLERO  "TEAA2-2" : 380/220V, 3Ø+N+T, 60Hz.</t>
  </si>
  <si>
    <t>TABLERO  "TJFS-2" : 380/220V, 3Ø+N+T, 60Hz.</t>
  </si>
  <si>
    <t>TABLERO  "TNALS-2" : 380/220V, 3Ø+N+T, 60Hz.</t>
  </si>
  <si>
    <t>TABLERO  "TNAL1-2" : 380/220V, 3Ø+N+T, 60Hz.</t>
  </si>
  <si>
    <t>TABLERO  "TNAL2-2" : 380/220V, 3Ø+N+T, 60Hz.</t>
  </si>
  <si>
    <t>TABLERO  "TNAL3-2" : 380/220V, 3Ø+N+T, 60Hz.</t>
  </si>
  <si>
    <t>TABLERO  "TNAEX-2" : 380/220V, 3Ø+N+T, 60Hz.</t>
  </si>
  <si>
    <t>TABLERO  "TEALS-2" : 380/220V, 3Ø+N+T, 60Hz.</t>
  </si>
  <si>
    <t>TABLERO  "TEAL1-2" : 380/220V, 3Ø+N+T, 60Hz.</t>
  </si>
  <si>
    <t>TABLERO  "TEAL2-2" : 380/220V, 3Ø+N+T, 60Hz.</t>
  </si>
  <si>
    <t>TABLERO  "TEAL3-2" : 380/220V, 3Ø+N+T, 60Hz.</t>
  </si>
  <si>
    <t>TABLERO  "TEAEX-2" : 380/220V, 3Ø+N+T, 60Hz.</t>
  </si>
  <si>
    <t>TABLERO  "TNS-3" : 380/220V, 3Ø+N+T, 60Hz.</t>
  </si>
  <si>
    <t>TABLERO  "TES-3" : 380/220V, 3Ø+N+T, 60Hz.</t>
  </si>
  <si>
    <t>TABLERO  "TN1-3" : 380/220V, 3Ø+N+T, 60Hz.</t>
  </si>
  <si>
    <t>TABLERO  "TN2-3" : 380/220V, 3Ø+N+T, 60Hz.</t>
  </si>
  <si>
    <t>TABLERO  "TSS-3" : 380/220V, 3Ø+N+T, 60Hz.</t>
  </si>
  <si>
    <t>TABLERO  "TEAA1-3" : 380/220V, 3Ø+N+T, 60Hz.</t>
  </si>
  <si>
    <t>TABLERO  "TEAA2-3" : 380/220V, 3Ø+N+T, 60Hz.</t>
  </si>
  <si>
    <t>TABLERO  "TJFS-3" : 380/220V, 3Ø+N+T, 60Hz.</t>
  </si>
  <si>
    <t>TABLERO  "TGEL-3" : 380/220V, 3Ø+N+T, 60Hz.</t>
  </si>
  <si>
    <t>TABLERO  "TNALS-3" : 380/220V, 3Ø+N+T, 60Hz.</t>
  </si>
  <si>
    <t>TABLERO  "TNAL1-3" : 380/220V, 3Ø+N+T, 60Hz.</t>
  </si>
  <si>
    <t>TABLERO  "TNAL2-3" : 380/220V, 3Ø+N+T, 60Hz.</t>
  </si>
  <si>
    <t>TABLERO  "TNAL3-3" : 380/220V, 3Ø+N+T, 60Hz.</t>
  </si>
  <si>
    <t>TABLERO  "TNAEX-3" : 380/220V, 3Ø+N+T, 60Hz.</t>
  </si>
  <si>
    <t>TABLERO  "TEALS-3" : 380/220V, 3Ø+N+T, 60Hz.</t>
  </si>
  <si>
    <t>TABLERO  "TEAL1-3" : 380/220V, 3Ø+N+T, 60Hz.</t>
  </si>
  <si>
    <t>TABLERO  "TEAL2-3" : 380/220V, 3Ø+N+T, 60Hz.</t>
  </si>
  <si>
    <t>TABLERO  "TEAL3-3" : 380/220V, 3Ø+N+T, 60Hz.</t>
  </si>
  <si>
    <t>TABLERO  "TEAEX-3" : 380/220V, 3Ø+N+T, 60Hz.</t>
  </si>
  <si>
    <t>TABLERO  "TNS-4" : 380/220V, 3Ø+N+T, 60Hz.</t>
  </si>
  <si>
    <t>TABLERO  "TES-4" : 380/220V, 3Ø+N+T, 60Hz.</t>
  </si>
  <si>
    <t>TABLERO  "TN1-4" : 380/220V, 3Ø+N+T, 60Hz.</t>
  </si>
  <si>
    <t>TABLERO  "TG-B" : 380/220V, 3Ø+N+T, 60Hz.</t>
  </si>
  <si>
    <t>TABLERO  "TN3-4" : 380/220V, 3Ø+N+T, 60Hz.</t>
  </si>
  <si>
    <t>TABLERO  "TN2-4" : 380/220V, 3Ø+N+T, 60Hz.</t>
  </si>
  <si>
    <t>TABLERO  "TSS-4" : 380/220V, 3Ø+N+T, 60Hz.</t>
  </si>
  <si>
    <t>TABLERO  "TEAA1-4" : 380/220V, 3Ø+N+T, 60Hz.</t>
  </si>
  <si>
    <t>TABLERO  "TEAA2-4" : 380/220V, 3Ø+N+T, 60Hz.</t>
  </si>
  <si>
    <t>TABLERO  "TJFS-4" : 380/220V, 3Ø+N+T, 60Hz.</t>
  </si>
  <si>
    <t>TABLERO  "TGEL-4/5" : 380/220V, 3Ø+N+T, 60Hz.</t>
  </si>
  <si>
    <t>TABLERO  "TNALS-4" : 380/220V, 3Ø+N+T, 60Hz.</t>
  </si>
  <si>
    <t>TABLERO  "TNAL1-4" : 380/220V, 3Ø+N+T, 60Hz.</t>
  </si>
  <si>
    <t>TABLERO  "TNAL2-4" : 380/220V, 3Ø+N+T, 60Hz.</t>
  </si>
  <si>
    <t>TABLERO  "TNAL3-4" : 380/220V, 3Ø+N+T, 60Hz.</t>
  </si>
  <si>
    <t>TABLERO  "TEALS-4" : 380/220V, 3Ø+N+T, 60Hz.</t>
  </si>
  <si>
    <t>TABLERO  "TEAL1-4" : 380/220V, 3Ø+N+T, 60Hz.</t>
  </si>
  <si>
    <t>TABLERO  "TEAL2-4" : 380/220V, 3Ø+N+T, 60Hz.</t>
  </si>
  <si>
    <t>TABLERO  "TEAL3-4" : 380/220V, 3Ø+N+T, 60Hz.</t>
  </si>
  <si>
    <t>TABLERO  "T-TC1" : 380/220V, 3Ø+N+T, 60Hz.</t>
  </si>
  <si>
    <t>TABLERO  "T-BI1" : 380/220V, 3Ø+N+T, 60Hz.</t>
  </si>
  <si>
    <t>TABLERO  "T-BTI1" : 380/220V, 3Ø+N+T, 60Hz.</t>
  </si>
  <si>
    <t>TABLERO  "T-TC2" : 380/220V, 3Ø+N+T, 60Hz.</t>
  </si>
  <si>
    <t>TABLERO  "T-BI2" : 380/220V, 3Ø+N+T, 60Hz.</t>
  </si>
  <si>
    <t>TABLERO  "T-BTI2" : 380/220V, 3Ø+N+T, 60Hz.</t>
  </si>
  <si>
    <t>TABLERO  "T-BCI" : 380/220V, 3Ø+N+T, 60Hz.</t>
  </si>
  <si>
    <t>TABLERO  "T-ASC11/21" : 380/220V, 3Ø+N+T, 60Hz.</t>
  </si>
  <si>
    <t>TABLERO  "T-ASC13/14/22/31/42/43" : 380/220V, 3Ø+N+T, 60Hz.</t>
  </si>
  <si>
    <t>TABLERO  "T-ASC32" : 380/220V, 3Ø+N+T, 60Hz.</t>
  </si>
  <si>
    <t>TABLERO  "T-ASC12/33" : 380/220V, 3Ø+N+T, 60Hz.</t>
  </si>
  <si>
    <t>TABLERO  "T-ASC41" : 380/220V, 3Ø+N+T, 60Hz.</t>
  </si>
  <si>
    <t>ITM Riel-Din 2x80A - S802C-C-80A - 25kA@415Vac - marca ABB.</t>
  </si>
  <si>
    <t>ITM Caja Moldeada 4x63A (reg.[0.7-1.0] In) - XT4N160-63A-4P-TMA - 65kA@230V, 36kA@415V - marca ABB.</t>
  </si>
  <si>
    <t>ITM Caja Moldeada 4x80A (reg.[0.7-1.0] In) - XT4N160-80A-4P-TMA - 65kA@230V, 36kA@415V - marca ABB.</t>
  </si>
  <si>
    <t>ITM Caja Moldeada 4x100A (reg.[0.7-1.0] In) - XT4N160-100A-4P-TMA - 65kA@230V, 36kA@415V - marca ABB.</t>
  </si>
  <si>
    <t>ITM Caja Moldeada 4x160A (reg.[0.7-1.0] In) - XT4N160-160A-4P-TMA - 65kA@230V, 36kA@415V - marca ABB.</t>
  </si>
  <si>
    <t>XT4N160-63A-4P-TMA</t>
  </si>
  <si>
    <t>XT4N160-80A-4P-TMA</t>
  </si>
  <si>
    <t>XT4N160-100A-4P-TMA</t>
  </si>
  <si>
    <t>XT4N160-160A-4P-TMA</t>
  </si>
  <si>
    <t>1SDA068108R1</t>
  </si>
  <si>
    <t>XT4N160-125A-3P-TMA</t>
  </si>
  <si>
    <t>1SDA068088R1</t>
  </si>
  <si>
    <t>XT4N160-125A-4P-TMA</t>
  </si>
  <si>
    <t>ITM Caja Moldeada 4x125A (reg.[0.7-1.0] In) - XT4N160-125A-4P-TMA - 65kA@230V, 36kA@415V - marca ABB.</t>
  </si>
  <si>
    <t>1SDA068107R1</t>
  </si>
  <si>
    <t>1SDA068101R1</t>
  </si>
  <si>
    <t>1SDA068100R1</t>
  </si>
  <si>
    <t>1SDA068099R1</t>
  </si>
  <si>
    <t>1SDA054329R1</t>
  </si>
  <si>
    <t>T5N400-320A-4P-PR222DS/P-LSI</t>
  </si>
  <si>
    <t>ITM Caja Moldeada 4x400A (electrónico [0.4-1.0] In) - T5N400-400A-4P-PR222DS/P-LSI - 70kA@230V, 36A@415V - marca ABB.</t>
  </si>
  <si>
    <t>ITM Caja Moldeada 4x320A (electrónico [0.4-1.0] In) - T5N400-320A-4P-PR222DS/P-LSI - 70kA@230V, 36A@415V - marca ABB.</t>
  </si>
  <si>
    <t>ITM Caja Moldeada 4x200A (reg.[0.7-1.0] In) - XT3N250-200A-4P-TMD - 50kA@230V, 36kA@415V - marca ABB.</t>
  </si>
  <si>
    <t>ITM Caja Moldeada 4x250A (reg.[0.7-1.0] In) - XT4N250-250A-4P-TMA - 65kA@230V, 36kA@415V - marca ABB.</t>
  </si>
  <si>
    <t>En este presupuesto, los interruptores termomagnéticos cumplen con selectividad en los tableros generales</t>
  </si>
  <si>
    <t>(hasta el 3er y/o 4to nivel), y con back-up en los tableros derivados (hasta el 5to y/o 6to nivel).</t>
  </si>
  <si>
    <t>Ver las notas del item 239 "Estudio de coordinación de protecciones".</t>
  </si>
  <si>
    <t>EQUIPOS BIOMÉDICOS</t>
  </si>
  <si>
    <t>isoMED427P-2</t>
  </si>
  <si>
    <t>IR427-2</t>
  </si>
  <si>
    <t>STW2</t>
  </si>
  <si>
    <t>Transformador de corriente para los vigilantes de  aislamiento - modelo STW2, marca BENDER.</t>
  </si>
  <si>
    <t>MK2430-12</t>
  </si>
  <si>
    <t>Repetidores de alarma sugeridos para Sala de Operaciones / cuarto de enfermeras (UCI) - modelo MK2430-12, marca BENDER</t>
  </si>
  <si>
    <t>MK2007CBM</t>
  </si>
  <si>
    <t>MK7</t>
  </si>
  <si>
    <t>AN450</t>
  </si>
  <si>
    <t>Fuente de alimentacion para repetidores MK2430-12 o MK2007CBM o MK7 - modelo AN450, marca BENDER.</t>
  </si>
  <si>
    <t>ES710/10000-E</t>
  </si>
  <si>
    <t>Transformador de aislacion de 10KVA - modelo ES710/10000-E, marca BENDER.</t>
  </si>
  <si>
    <t>Ver las notas del item 170 "Estudio de coordinación de protecciones".</t>
  </si>
  <si>
    <t>En este presupuesto, los interruptores termomagnéticos cumplen con selectividad en todos los niveles (desde</t>
  </si>
  <si>
    <t>el 1er nivel hasta el 6to/7mo nivel de distribución), según lo indicado en las especificaciones técnicas.</t>
  </si>
  <si>
    <t>Para la selección de los interruptores de acuerdo a los criterios de selectividad, se ha considerado una corriente</t>
  </si>
  <si>
    <t>de corto-circuito en barra  (Icc) de 5kA en los tablero derivados del ultimo nivel (6to/7mo nivel). Asimismo, se ha</t>
  </si>
  <si>
    <t>Estos valores serán corroborados posteriormente con el corriento en software del sistema eléctrico.</t>
  </si>
  <si>
    <t>considerado una Icc de 10kA en los tableros del penúltimo nivel (5to/6to nivel), que alimentan a aquellos tableros</t>
  </si>
  <si>
    <t>del último nivel .</t>
  </si>
  <si>
    <t>Existen tableros no cotizados cuyos diagramas unifilares no se muestra (no se conoce el equipamiento interno),</t>
  </si>
  <si>
    <t>por lo que no se garatiza la selectividad en dichos tableros.</t>
  </si>
  <si>
    <t>Por mejora técnica, en todas las salidas en donde se indica un Control Externo (BMS) se ha considerado un control</t>
  </si>
  <si>
    <t>del tipo "Local-Remoto" mediante selector de tres posiciones (1-0-R). Por seguridad, en caso de fallo del sistema</t>
  </si>
  <si>
    <t>de control del BMS, debe tenerse la opción de accionar los circuitos manualmente desde el mismo tablero.</t>
  </si>
  <si>
    <t>PROFORMA 2016/1606</t>
  </si>
  <si>
    <t>TABLERO DE TRANSFERENCIA AUTOMÁTICA + DISTRIBUCIÓN "TTA-1 + TGE-1" : 380V, 3Ø+N+T, 60Hz.</t>
  </si>
  <si>
    <t>TABLERO DE TRANSFERENCIA AUTOMÁTICA + DISTRIBUCIÓN "TTA-2 + TGE-2" : 380V, 3Ø+N+T, 60Hz.</t>
  </si>
  <si>
    <t>TABLERO DE TRANSFERENCIA AUTOMÁTICA + DISTRIBUCIÓN "TTA-3 + TGE-3" : 380V, 3Ø+N+T, 60Hz.</t>
  </si>
  <si>
    <t>TABLERO DE TRANSFERENCIA AUTOMÁTICA + DISTRIBUCIÓN "TTA-4 + TGE-4" : 380V, 3Ø+N+T, 60Hz.</t>
  </si>
  <si>
    <t>02</t>
  </si>
  <si>
    <t>1.- Para  cualquier  información adicional contactarse con el Ing. Jorge Espinoza - celular 981322796.</t>
  </si>
  <si>
    <t>JE</t>
  </si>
  <si>
    <t>PROFORMA : PL-2016-1606</t>
  </si>
  <si>
    <t>Lima , 09 de Diciembre del 2016</t>
  </si>
  <si>
    <t>Ing. María Oliva Suárez</t>
  </si>
  <si>
    <t>REAL PLAZA PURUCHUCO</t>
  </si>
  <si>
    <t xml:space="preserve">                   una vez enviada su O/C y aprobado las dimensiones y planos mecánicos de los tableros.</t>
  </si>
  <si>
    <r>
      <t>NOTAS</t>
    </r>
    <r>
      <rPr>
        <b/>
        <sz val="9"/>
        <rFont val="Arial"/>
        <family val="2"/>
      </rPr>
      <t xml:space="preserve">:  </t>
    </r>
  </si>
  <si>
    <r>
      <t>CONDICIONES DE VENTA</t>
    </r>
    <r>
      <rPr>
        <sz val="11"/>
        <rFont val="Arial"/>
        <family val="2"/>
      </rPr>
      <t xml:space="preserve">:  </t>
    </r>
  </si>
  <si>
    <r>
      <t xml:space="preserve">1.- Forma de Pago:  </t>
    </r>
    <r>
      <rPr>
        <sz val="11"/>
        <rFont val="Arial"/>
        <family val="2"/>
      </rPr>
      <t>50% con la  orden de compra, saldo contra entrega.</t>
    </r>
  </si>
  <si>
    <r>
      <t xml:space="preserve">2.- Tiempo de Entrega:  </t>
    </r>
    <r>
      <rPr>
        <b/>
        <u/>
        <sz val="11"/>
        <rFont val="Arial"/>
        <family val="2"/>
      </rPr>
      <t>14 a 16 semanas</t>
    </r>
  </si>
  <si>
    <r>
      <t xml:space="preserve">3.- Validez de la oferta:  </t>
    </r>
    <r>
      <rPr>
        <sz val="11"/>
        <rFont val="Arial"/>
        <family val="2"/>
      </rPr>
      <t>30 días.</t>
    </r>
  </si>
  <si>
    <r>
      <t xml:space="preserve">Cta. Cte. Banco de Crédito (Dólares): </t>
    </r>
    <r>
      <rPr>
        <b/>
        <sz val="11"/>
        <rFont val="Arial"/>
        <family val="2"/>
      </rPr>
      <t>191-0667656-1-08</t>
    </r>
  </si>
  <si>
    <r>
      <t xml:space="preserve">Cta. Cte. Banco de Crédito (Soles): </t>
    </r>
    <r>
      <rPr>
        <b/>
        <sz val="11"/>
        <rFont val="Arial"/>
        <family val="2"/>
      </rPr>
      <t>191-0845885-0-91</t>
    </r>
  </si>
  <si>
    <t>Para cumplir la selectividad requerida, se ha aumentado la corriente nominal del interruptor principal en los</t>
  </si>
  <si>
    <t>tableros "TTA-1" (item 1), "TGN-3"(item 10), y "TGN-4"(item 15). Ver las notas del item 239 "Estudio de coordinación</t>
  </si>
  <si>
    <t>de protecciones".</t>
  </si>
  <si>
    <t>de corto-circuito en barra  (Icc) de 5kA en los tableros derivados del ultimo nivel (6to/7mo nivel). Asimismo, se ha</t>
  </si>
  <si>
    <t>Ver imagen adjunta (solo referencial).</t>
  </si>
  <si>
    <t>10.</t>
  </si>
  <si>
    <t>09.</t>
  </si>
  <si>
    <t>12.</t>
  </si>
  <si>
    <t>13.</t>
  </si>
  <si>
    <t>14.</t>
  </si>
  <si>
    <t>15.</t>
  </si>
  <si>
    <t>16.</t>
  </si>
  <si>
    <t>17.</t>
  </si>
  <si>
    <t>18.</t>
  </si>
  <si>
    <t>19.</t>
  </si>
  <si>
    <t>20.</t>
  </si>
  <si>
    <t>21.</t>
  </si>
  <si>
    <t>22.</t>
  </si>
  <si>
    <t>23.</t>
  </si>
  <si>
    <t>24.</t>
  </si>
  <si>
    <t>25.</t>
  </si>
  <si>
    <t>26.</t>
  </si>
  <si>
    <t>27.</t>
  </si>
  <si>
    <t>28.</t>
  </si>
  <si>
    <t>29.</t>
  </si>
  <si>
    <t>30.</t>
  </si>
  <si>
    <t>31.</t>
  </si>
  <si>
    <t>32.</t>
  </si>
  <si>
    <t>SOCOMEC</t>
  </si>
  <si>
    <t>DIRIS-A40</t>
  </si>
  <si>
    <t>4825 0201</t>
  </si>
  <si>
    <t>DIRIS-A40/Com</t>
  </si>
  <si>
    <t>4825 0092</t>
  </si>
  <si>
    <t>DIRIS-A40/Temp</t>
  </si>
  <si>
    <t>4825 0206</t>
  </si>
  <si>
    <t>Módulo de Temperatura para Analizador de Red, DIRIS-A40, marca SOCOMEC.</t>
  </si>
  <si>
    <t>DIRIS-A40/Mem</t>
  </si>
  <si>
    <t>4825 0097</t>
  </si>
  <si>
    <t>Módulo de memoria para Analizador de Red, DIRIS-A40, marca SOCOMEC.</t>
  </si>
  <si>
    <t>DIRIS-A40/Imp</t>
  </si>
  <si>
    <t>4825 0090</t>
  </si>
  <si>
    <t>Módulo de salida de impulsos para Analizador de Red, DIRIS-A40, marca SOCOMEC.</t>
  </si>
  <si>
    <t>Analizador de Redes DIRIS-A40 - precisión (V, I) 0.2%, precisión de energía activa / reactiva: clase 0,5S / clase 2 - marca SOCOMEC.</t>
  </si>
  <si>
    <t>410-QD1B-90B10</t>
  </si>
  <si>
    <t>Medidor de energía CIRWATT B 410D (conexión directa), Trifásico, 4 Hilos, 400/230V, 60 Hz, 10(100)A, Precisión en energía activa: Clase 1, puerto de comunicación RS485, marca CIRCUTOR.</t>
  </si>
  <si>
    <t>QB4H0</t>
  </si>
  <si>
    <t>410-QT5B-90B10</t>
  </si>
  <si>
    <t>Medidor de energía CIRWATT B 410T (conexión indirecta), Trifásico, 4 Hilos, 400/230V, 60 Hz, /5 A, Precisión en energía activa: Clase 1, puerto de comunicación RS485, marca CIRCUTOR.</t>
  </si>
  <si>
    <t>QB8D0</t>
  </si>
  <si>
    <t>(Ver Notas )</t>
  </si>
  <si>
    <t>FORMATO</t>
  </si>
  <si>
    <t xml:space="preserve">PRESUPUESTO  </t>
  </si>
  <si>
    <t>F-VTA.001</t>
  </si>
  <si>
    <t xml:space="preserve"> Jr. Carlos Gutierrez Nº 448 - La Victoria / Central Telefónica:  (051) 472-3848 - Entel 998117606</t>
  </si>
  <si>
    <t>PL Nº 2016-2298</t>
  </si>
  <si>
    <t xml:space="preserve">Señores:                         </t>
  </si>
  <si>
    <t>CONSTRUCTORA MALAGA</t>
  </si>
  <si>
    <t>Att.:</t>
  </si>
  <si>
    <t>ING. CESAR VASQUEZ / ING. OSCAR PONCE</t>
  </si>
  <si>
    <t>RUC: 20100292956</t>
  </si>
  <si>
    <t>Obra:</t>
  </si>
  <si>
    <t>NEOPLASICAS MACRO REGION CENTRO DEL PERU</t>
  </si>
  <si>
    <t>Presente.-</t>
  </si>
  <si>
    <t>En atencion a su amable solicitud nos es grato ofrecerles lo siguiente :</t>
  </si>
  <si>
    <t>P. Unitario</t>
  </si>
  <si>
    <t xml:space="preserve">P. Total </t>
  </si>
  <si>
    <t>TABLERO BANCO DE CONDENSADORES "BCA-2" - 400kVAR@380Vac, p=14% , 3Ø+N , 60Hz.</t>
  </si>
  <si>
    <t>IP-54 (Fab. Nacional)</t>
  </si>
  <si>
    <t>Pasos de 40kVAR@380Vac, p=14% - paso 1 al paso 10:</t>
  </si>
  <si>
    <t>UNIFILAR: IEM-01R</t>
  </si>
  <si>
    <t>Apertura Remota + Señalización:</t>
  </si>
  <si>
    <t>Juego de barras para conexión interna (1000A).</t>
  </si>
  <si>
    <t>TABLERO DE TRANFERENCIOA AUTOMÁTICA "TTA-02" : 380V, 3Ø+N+T, 60Hz.</t>
  </si>
  <si>
    <t>Transferencia Automática mediante enclavamiento de interruptores, 2000A, 4 polos, 380Vac,</t>
  </si>
  <si>
    <t>Interruptor tipo Bastidor Abierto, de ejecución fijo, modelo Emax2.2, marca ABB, con la siguiente</t>
  </si>
  <si>
    <t xml:space="preserve">El Dispositivo de Conmutación Automática, modelo ATS022, marca ABB, al detectar una falla </t>
  </si>
  <si>
    <t xml:space="preserve">en la línea principal, puede controlar la puesta en marcha de un generador y conmutar </t>
  </si>
  <si>
    <t xml:space="preserve">automáticamente de una  red a otra transmitiendo órdenes a los interruptores automáticos. </t>
  </si>
  <si>
    <t xml:space="preserve">Cambia automáticamente al generador  o transformador después de un retardo predefinido. </t>
  </si>
  <si>
    <t>Tiene las siguientes características:</t>
  </si>
  <si>
    <t xml:space="preserve">- Retardo de arranque del generador después de la detección de una anomalía en la red. </t>
  </si>
  <si>
    <t xml:space="preserve">Regulable de  0 a 30 s. </t>
  </si>
  <si>
    <t xml:space="preserve">- Retardo de apertura del interruptor de suministro Emergencia, después de detección de la </t>
  </si>
  <si>
    <t xml:space="preserve">  estabilización de tensión del suministro principal. Regulable: 0…59s, 1, 2,...30min.</t>
  </si>
  <si>
    <t xml:space="preserve"> suministro principal.  Regulable: 0…59s, 1, 2,…30min.</t>
  </si>
  <si>
    <t>C) Con un display grafico frontal, a través del cual el usuario puede verificar la configuración y</t>
  </si>
  <si>
    <t xml:space="preserve">      ver el estado de la unidad y de los interruptores conectados.</t>
  </si>
  <si>
    <t>D) El display gráfico permite la visualización de la tensión y frecuencia de Suministro Principal</t>
  </si>
  <si>
    <t xml:space="preserve">     y de Emergencia. Emergencia.</t>
  </si>
  <si>
    <t>Juego de terminales para entrada de cables de dos ternas (o más) por fase.</t>
  </si>
  <si>
    <t>Sistema de señalización de tensión:</t>
  </si>
  <si>
    <t>Juego de barras para entrada desde el Ducto de Barras (entrada de 4x2000A).</t>
  </si>
  <si>
    <t>TABLERO  "TG-T2" : 380V, 3Ø+N+T, 60Hz.</t>
  </si>
  <si>
    <t>(  -  )</t>
  </si>
  <si>
    <t>Interruptor Derivado:</t>
  </si>
  <si>
    <t>Panel de Control Remoto para Mando Motor (p/ modelo E2.2-2000A):</t>
  </si>
  <si>
    <t>Sistema de medición - 2000A:</t>
  </si>
  <si>
    <t>Juego de barras para salida hacia el Ducto de Barras (salida de 4x2000A).</t>
  </si>
  <si>
    <t>TABLERO  "TGN-2.1" : 380V, 3Ø+N+T, 60Hz.</t>
  </si>
  <si>
    <t>Panel de Control Remoto para Mando Motor (p/ modelo T7-1600A):</t>
  </si>
  <si>
    <t>Sistema de medición - 1600A:</t>
  </si>
  <si>
    <t>Juego de barras para entrada desde el Ducto de Barras (de 4x2000A).</t>
  </si>
  <si>
    <t>TABLERO  "TGE-2.1" : 380V, 3Ø+N+T, 60Hz.</t>
  </si>
  <si>
    <t xml:space="preserve">El Dispositivo de Conmutación Automática, modelo ATS022, marca ABB, al detectar una falla en la </t>
  </si>
  <si>
    <t xml:space="preserve">línea principal, puede controlar la puesta en marcha de un generador y conmutar automáticamente </t>
  </si>
  <si>
    <t>IP 54</t>
  </si>
  <si>
    <t>Espacios de reserva tetrapolar para modelo XT1C</t>
  </si>
  <si>
    <t>TABLERO  "T(Q)" : 380/220V, 3Ø+N+T, 60Hz.</t>
  </si>
  <si>
    <t>Aparato de vigilancia de aislamiento con vigilancia de carga y temperatura integrada y generador de corriente de prueba para dispositivos
de busqueda de fallos de aislamiento en sistemas IT MEDICOS- modelo isoMED427P-2, marca BENDER.</t>
  </si>
  <si>
    <t>TABLERO  "T(BM)" : 380/220V, 3Ø+N+T, 60Hz.</t>
  </si>
  <si>
    <t>Transferencia manual compuesta por :</t>
  </si>
  <si>
    <t>Espacios de reserva tetrapolar para modelo XT2N</t>
  </si>
  <si>
    <t>TABLERO DE TRANSFERENCIA AUTOMÁTICA "TT-BCI" : 380V, 3Ø+N+T, 60Hz.</t>
  </si>
  <si>
    <t>Transferencia Automática mediante conmutador seccionador + interruptores, 160A, 3 polos, 380Vac,</t>
  </si>
  <si>
    <t>Conmutador seccionador bajo carga (motorizado), modelo OTM-C, marca ABB, con la siguiente</t>
  </si>
  <si>
    <t>Interruptor tipo Caja Moldeada, de ejecución fijo, modelo Tmax XT1, marca ABB, con la siguiente</t>
  </si>
  <si>
    <t xml:space="preserve">de una  red a otra transmitiendo órdenes a los interruptores automáticos. Cambia automáticamente </t>
  </si>
  <si>
    <t>al generador o transformador después de un retardo predefinido. Tiene las siguientes características:</t>
  </si>
  <si>
    <t>TABLERO  "T(TI)" : 380/220V, 3Ø+N+T, 60Hz.</t>
  </si>
  <si>
    <t>Espacio de reserva monofasica + diferencial de 02 polos</t>
  </si>
  <si>
    <t>TABLERO  "T(TI)-B5.2" : 380/220V, 3Ø+N+T, 60Hz.</t>
  </si>
  <si>
    <t>TABLERO  "T(TI)-B5.3" : 380/220V, 3Ø+N+T, 60Hz.</t>
  </si>
  <si>
    <t>TABLERO  "T(TI)-A3.1" : 380/220V, 3Ø+N+T, 60Hz.</t>
  </si>
  <si>
    <t>TABLERO  "TE-A1.3" : 380/220V, 3Ø+N+T, 60Hz.</t>
  </si>
  <si>
    <t>TABLERO  "TE-C1" : 380/220V, 3Ø+N+T, 60Hz.</t>
  </si>
  <si>
    <t>TABLERO  "TE-C2" : 380/220V, 3Ø+N+T, 60Hz.</t>
  </si>
  <si>
    <t>TABLERO  "TE-C3" : 380/220V, 3Ø+N+T, 60Hz.</t>
  </si>
  <si>
    <t>Espacio de reserva monofasica.</t>
  </si>
  <si>
    <t>TABLERO  "TE(B4)" : 380/220V, 3Ø+N+T, 60Hz.</t>
  </si>
  <si>
    <t>TABLERO  "TE-B2.1" : 380/220V, 3Ø+N+T, 60Hz.</t>
  </si>
  <si>
    <t>TABLERO  "TE-B2.2" : 380/220V, 3Ø+N+T, 60Hz.</t>
  </si>
  <si>
    <t>TABLERO  "TE-B4.S" : 380/220V, 3Ø+N+T, 60Hz.</t>
  </si>
  <si>
    <t>TABLERO  "TE-B4.1" : 380/220V, 3Ø+N+T, 60Hz.</t>
  </si>
  <si>
    <t>TABLERO  "TE-B4.2" : 380/220V, 3Ø+N+T, 60Hz.</t>
  </si>
  <si>
    <t>TABLERO  "TE-B4.3" : 380/220V, 3Ø+N+T, 60Hz.</t>
  </si>
  <si>
    <t>TABLERO  "TE-C1 (2)" : 380/220V, 3Ø+N+T, 60Hz.</t>
  </si>
  <si>
    <t>TABLERO  "TE(AA)-3.3" : 380/220V, 3Ø+N+T, 60Hz.</t>
  </si>
  <si>
    <t>TABLERO  "TE(AA)-3.4" : 380/220V, 3Ø+N+T, 60Hz.</t>
  </si>
  <si>
    <t>TABLERO  "TE(AA)-4.1" : 380/220V, 3Ø+N+T, 60Hz.</t>
  </si>
  <si>
    <t>TABLERO  "TE(E1)" : 380/220V, 3Ø+N+T, 60Hz.</t>
  </si>
  <si>
    <t>TABLERO  "TE(E4)" : 380/220V, 3Ø+N+T, 60Hz.</t>
  </si>
  <si>
    <t>TABLERO  "TE-C2 (2)" : 380/220V, 3Ø+N+T, 60Hz.</t>
  </si>
  <si>
    <t>TABLERO  "TE-C3 (2)" : 380/220V, 3Ø+N+T, 60Hz.</t>
  </si>
  <si>
    <t>TABLERO  "TEB-S3" : 380/220V, 3Ø+N+T, 60Hz.</t>
  </si>
  <si>
    <t>Espacio de reserva tetrapolar para modelo XT1</t>
  </si>
  <si>
    <t>PRECIO TOTAL DESCONTADO</t>
  </si>
  <si>
    <t>LOS PRECIOS SON EN SOLES</t>
  </si>
  <si>
    <t>IGV</t>
  </si>
  <si>
    <t>En este presupuesto, los interruptores termomagnéticos cumplen con selectividad en todos los niveles, según</t>
  </si>
  <si>
    <t>lo indicado en las especificaciones técnicas.</t>
  </si>
  <si>
    <t>Ver las notas del item 141 "Estudio de coordinación de protecciones".</t>
  </si>
  <si>
    <t>Para cumplir la selectividad requerida, se ha aumentado la corriente nominal del interruptor general de ciertos</t>
  </si>
  <si>
    <t>tableros. Ver las notas del item 141 "Estudio de coordinación de protecciones".</t>
  </si>
  <si>
    <t>No se ha cotizado los tableros "TGE 01" ni "TGE 02". Se asume que será parte del suministro del equipador</t>
  </si>
  <si>
    <t>de los grupos electrógenos.</t>
  </si>
  <si>
    <t>Por corrección técnica, en los tableros  "TTA-02"(item 02) / "TTA-01"(item 07), se ha aumentado un interruptor de salida</t>
  </si>
  <si>
    <t>de 4x2000A /  4x2500A para el Ducto de Barra que alimenta a los tableros "TGN(E)-2" / "TGN(E)-1" respectivamente.</t>
  </si>
  <si>
    <t>Esto debido a que debe existir obligatoriamente una protección termomagnética para el Ducto de Barra.</t>
  </si>
  <si>
    <t>Por optimización técnica, se ha omitido el interruptor de llegada de los tableros "TG-T2"(item 08) y "TG-T1"(item 03).</t>
  </si>
  <si>
    <t>No son necesarios estos puesto que estos tableros irán en un cuerpo contiguo (al lado) a sus respectivos alimentadores</t>
  </si>
  <si>
    <t>(tableros de transferencias "TTA-02" y "TTA-01".</t>
  </si>
  <si>
    <t>Por optimización técnica, en los tableros "TG-T2"(item 08) y "TG-T1"(item 03)  se ha omitido los interruptores de salida</t>
  </si>
  <si>
    <t>para los bancos de condensadores puesto que estos tableros irán en un cuerpo contiguo (al lado) a sus respectivos</t>
  </si>
  <si>
    <t>Bancos de Condensadores, los cuales ya tienen su interruptor termomagnético.</t>
  </si>
  <si>
    <t>Por optimización técnica, en los tableros "TGN(E)-2"(item 05) y "TGN(E)-1"(item 09) no se ha considerado ningún interruptor</t>
  </si>
  <si>
    <t>de llegada desde el Ducto de Barras, debido a la corta longitud del Ducto de Barras y debido a que los tableros salida / llegada</t>
  </si>
  <si>
    <t>estarán dentro del mismo compartimiento de espacio.</t>
  </si>
  <si>
    <t>Por recomendación técnica, se ha considerado el tablero "TT-BCI"(item 11) como una transferencia automática.</t>
  </si>
  <si>
    <t>Por recomendación técnica, se ha omitido los Mandos Remotos de los interruptores de los tableros "TTA-02"(item 02)</t>
  </si>
  <si>
    <t>y "TTA-01"(item 07). El enclavamiento eléctrico y mecánico están relacionados directamente a los comandos del</t>
  </si>
  <si>
    <t>controlador de la transferencia, que es completamente automática.</t>
  </si>
  <si>
    <t>Solo se tendrá la opción de señalizar los estados de los interruptores (ON/OFF) vía remota por medio de contactos</t>
  </si>
  <si>
    <t>secos o por medio de comunicación Modbus.</t>
  </si>
  <si>
    <t>En los tableros "TGN(E)-2"(item 04, item 05) y "TGN(E)-1"(item 09, item 10) se ha considerado los interruptores principales</t>
  </si>
  <si>
    <t>con Mando Remoto + Señalización Remota (ON/OFF), y los interruptores derivados solo con Señalización Remota (ON/OFF).</t>
  </si>
  <si>
    <t>11.</t>
  </si>
  <si>
    <t xml:space="preserve">Se ha considerado los tableros autosoportados con grado de protección IP-54 (instalacion interior, </t>
  </si>
  <si>
    <t>proteccion a polvo y goteos de agua) de fabricación nacional.</t>
  </si>
  <si>
    <t xml:space="preserve">El alcance de nuestra oferta comprende estrictamente el equipamiento tal y como se muestra </t>
  </si>
  <si>
    <t>en nuestra propuesta por el suministro de los tableros eléctricos en baja tensión (BT).</t>
  </si>
  <si>
    <t>Se considera en el presupuesto a los tableros de distribucion tipo de encerramiento IP 54.</t>
  </si>
  <si>
    <t>Uso interior, Adosados o Empotrados según sus especificaciones.</t>
  </si>
  <si>
    <t>Se recomienda a considerar monitoreo de fugas a tierra por circuito en los tableros de Quirofanos.</t>
  </si>
  <si>
    <t>En los tableros Biomedicos solo se consideran monitor de aislamiento general sin deteccion de punto de falla.</t>
  </si>
  <si>
    <t>Se recomienda a utilizar una proteccion contra sobretensiones transitorias por cada transformador de aislamiento, en el</t>
  </si>
  <si>
    <t>tablero de sala de operaciones.</t>
  </si>
  <si>
    <t>No se considera la proteccion termomagnetica despues del transformador de aislamiento</t>
  </si>
  <si>
    <t>en el tablero T(Q), por optimizacion tecnica.</t>
  </si>
  <si>
    <t xml:space="preserve">En el tablero T(Q) y para los tableros de equipos biomedicos, se considera un ITM trifasico antes del transformador de aislamiento, </t>
  </si>
  <si>
    <t>debidamente cableado para salida monofasica.</t>
  </si>
  <si>
    <t>Todos los Repetidores de alarma para la indicacion de alarma y prueba de aislacion (modelos K2/K7)</t>
  </si>
  <si>
    <t>serán entregados como producto suelto, para que el cliente lo instale en donde se requiera.</t>
  </si>
  <si>
    <t>En TJ CASTRO no fabricamos ni comercializamos UPS's, ni estabilizadores, esto quedara a cargo del cliente.</t>
  </si>
  <si>
    <t>Por ello se considera que los UPS, estaran fuera del tablero.</t>
  </si>
  <si>
    <t>No se esta considerando en la oferta de la cotizacion el tablero de electrobombas,</t>
  </si>
  <si>
    <t>Estos tableros son mayormente suministrados por el EQUIPADOR de las bombas.</t>
  </si>
  <si>
    <t xml:space="preserve">Por optimizacion tecnica en los tableros de distribucion que contengas transferencias manuales, y esto sea derivado a una </t>
  </si>
  <si>
    <t xml:space="preserve">protecciion termomagnetica, esta ultima no sera considerada, ya que de la transferencia manual va a derivar directo </t>
  </si>
  <si>
    <t>al panel de barras que contiene a los circuitos derivados.</t>
  </si>
  <si>
    <t>En caso de existir discrepancias entre las especificaciones tecnicas y los planos del Proyecto,</t>
  </si>
  <si>
    <t>tendrá preeminencia lo indicado en planos.</t>
  </si>
  <si>
    <t xml:space="preserve">En el proyecto se esta utilizando un protector de sobretensiones TIPO 2, modelo OVR, marca ABB. Con una corriente </t>
  </si>
  <si>
    <t>pico por fase de 40kA.</t>
  </si>
  <si>
    <t>En los tableros que contiene circuitos que derivan a subtableros con un ITM general mayor, se considera</t>
  </si>
  <si>
    <t>el de mayor amperaje para ambos tableros.</t>
  </si>
  <si>
    <t>Algunos tableros no se esta garantizando selectividad, debido al cruce de curvas en la zona de sobrecarga.</t>
  </si>
  <si>
    <t xml:space="preserve">Para dar cumplimiento a la selectividad requerida, se han modificado las corrientes nominales de los interruptores de los tableros </t>
  </si>
  <si>
    <t xml:space="preserve">En el tablero TE(DC), se omite los ITM de 30A, por los ITM de 100A, segun indicado en su tablero general TGE-2.1, y asi dar </t>
  </si>
  <si>
    <t>cumplimiento a la selectividad requerida.</t>
  </si>
  <si>
    <t xml:space="preserve">Se considera en algunos casos por estudio de selectividad y optimizacion tecnica, la capacidad de ruptura de los ITM generales de </t>
  </si>
  <si>
    <t>los tableros derivados 25kA y no 36kA.</t>
  </si>
  <si>
    <t>Se encuentran tableros de distribucion que contienen circuitos que derivan a otros subtableros, los cuales no se encuentran</t>
  </si>
  <si>
    <t>en diagramas unifilares, por ende se considera el amperaje tal como muestra el tablero principal, para realizar</t>
  </si>
  <si>
    <t>el estudio de selectividad.</t>
  </si>
  <si>
    <t>Se esta considerando los tableros "TE-C1" "TE-C2" "TE-C3", dobles segun sus nomenclatura en los diagramas</t>
  </si>
  <si>
    <t>unifilares, pero diferentes segun sus caracteristicas.</t>
  </si>
  <si>
    <t>En todos los tableros autosoportados se ha considerado sistema de ventilación forzada mediante ventiladores y rejillas.</t>
  </si>
  <si>
    <t>33.</t>
  </si>
  <si>
    <t>34.</t>
  </si>
  <si>
    <t xml:space="preserve">Forma de pago : </t>
  </si>
  <si>
    <t xml:space="preserve">Tiempo estimado :  </t>
  </si>
  <si>
    <t>de entrega</t>
  </si>
  <si>
    <t>Garantía :</t>
  </si>
  <si>
    <t>Cuenta Corriente:</t>
  </si>
  <si>
    <t xml:space="preserve">  Banco de Crédito del Perú – Dolares  191-0667656-1-08</t>
  </si>
  <si>
    <t xml:space="preserve">                                              - Soles     191-0845885-0-91</t>
  </si>
  <si>
    <t xml:space="preserve">  Banco Continental               - Dólares  115-0100026258</t>
  </si>
  <si>
    <t xml:space="preserve">                                              - Soles       115-0100052763</t>
  </si>
  <si>
    <t>Lugar de entrega : La entrega de los productos se realizan en nuestro almacén</t>
  </si>
  <si>
    <t>Lima, 07 de Diciembre 2016</t>
  </si>
  <si>
    <t>Rev. 03</t>
  </si>
  <si>
    <t>DADA</t>
  </si>
  <si>
    <t>XT1C</t>
  </si>
  <si>
    <t>S20</t>
  </si>
  <si>
    <t>mMCM-</t>
  </si>
  <si>
    <t>LZMS1-</t>
  </si>
  <si>
    <t>AF</t>
  </si>
  <si>
    <t>DILM</t>
  </si>
  <si>
    <t>FH20</t>
  </si>
  <si>
    <t>mRCM</t>
  </si>
  <si>
    <t>Primera Aparicion</t>
  </si>
  <si>
    <t>LZMS1</t>
  </si>
  <si>
    <t>mMCM</t>
  </si>
  <si>
    <t>F204-A-</t>
  </si>
  <si>
    <t>F202-A-</t>
  </si>
  <si>
    <t>Panel trifásico de 36 polos - 3F.</t>
  </si>
  <si>
    <t xml:space="preserve"> COTIZADOR :</t>
  </si>
  <si>
    <t xml:space="preserve"> CONTACTO :</t>
  </si>
  <si>
    <t xml:space="preserve"> CLIENTE :</t>
  </si>
  <si>
    <t xml:space="preserve"> PROYECTO :</t>
  </si>
  <si>
    <t>SIGRAL S.A.</t>
  </si>
  <si>
    <t>IP-40</t>
  </si>
  <si>
    <t>IP-54</t>
  </si>
  <si>
    <t>IP-10</t>
  </si>
  <si>
    <t>IP-23</t>
  </si>
  <si>
    <t>IP-52</t>
  </si>
  <si>
    <t>IP-55</t>
  </si>
  <si>
    <t>IP-14</t>
  </si>
  <si>
    <t>IP-65</t>
  </si>
  <si>
    <t>IP-66</t>
  </si>
  <si>
    <t>NEMA 3R</t>
  </si>
  <si>
    <t>NEMA 4</t>
  </si>
  <si>
    <t>Color</t>
  </si>
  <si>
    <t>RAL 7032</t>
  </si>
  <si>
    <t>RAL 7035</t>
  </si>
  <si>
    <t>NOTAS :</t>
  </si>
  <si>
    <t>Marca</t>
  </si>
  <si>
    <t>Tension</t>
  </si>
  <si>
    <t>380/220Vac (3F+N)</t>
  </si>
  <si>
    <t>220Vac (3F)</t>
  </si>
  <si>
    <t>220Vac (1F+N)</t>
  </si>
  <si>
    <t>220Vac (2F)</t>
  </si>
  <si>
    <t>460Vac (3F)</t>
  </si>
  <si>
    <t>480Vac (3F)</t>
  </si>
  <si>
    <t>Vendedor</t>
  </si>
  <si>
    <t>Roberto Meza</t>
  </si>
  <si>
    <t>Luis Hernández</t>
  </si>
  <si>
    <t>Paulo Olano</t>
  </si>
  <si>
    <t>Walter Huamán</t>
  </si>
  <si>
    <t>Luis Gutiérrez</t>
  </si>
  <si>
    <t>Teléfono</t>
  </si>
  <si>
    <t>977574781</t>
  </si>
  <si>
    <t>Gabriel Artica</t>
  </si>
  <si>
    <t>998377673</t>
  </si>
  <si>
    <t>Grado de Protección</t>
  </si>
  <si>
    <t>VARIABLES GLOBALES</t>
  </si>
  <si>
    <t>Contacto</t>
  </si>
  <si>
    <t>Cliente</t>
  </si>
  <si>
    <t>Proyecto</t>
  </si>
  <si>
    <t>PL</t>
  </si>
  <si>
    <t>Cotizador</t>
  </si>
  <si>
    <t>Dscto</t>
  </si>
  <si>
    <t>PrecioTot</t>
  </si>
  <si>
    <t>ContactoImp</t>
  </si>
  <si>
    <t>ClienteImp</t>
  </si>
  <si>
    <t>ProyectoImp</t>
  </si>
  <si>
    <t>PLImp</t>
  </si>
  <si>
    <t>CotizadorImp_Fil</t>
  </si>
  <si>
    <t>CotizadorImp_Col</t>
  </si>
  <si>
    <t>DsctoImp_Fil</t>
  </si>
  <si>
    <t>DctoImp_Col</t>
  </si>
  <si>
    <t>PrecioTotImp_Fil</t>
  </si>
  <si>
    <t>PrecioTotImp_Col</t>
  </si>
  <si>
    <t>Item1Imp_Fil</t>
  </si>
  <si>
    <t>Item1Imp_Col</t>
  </si>
  <si>
    <t>FilIni</t>
  </si>
  <si>
    <t>FilFin</t>
  </si>
  <si>
    <t>FilFinTab</t>
  </si>
  <si>
    <t>FilasBorr</t>
  </si>
  <si>
    <t>FilasImpTab</t>
  </si>
  <si>
    <t>FilIniNotas</t>
  </si>
  <si>
    <t>B10</t>
  </si>
  <si>
    <t>A9</t>
  </si>
  <si>
    <t>B11</t>
  </si>
  <si>
    <t>D3</t>
  </si>
  <si>
    <t>DISTRIBUCIÓN</t>
  </si>
  <si>
    <t>Espesor</t>
  </si>
  <si>
    <t>Rev. 01</t>
  </si>
  <si>
    <t>Andrés Castro</t>
  </si>
  <si>
    <t>Liliam Córdova</t>
  </si>
  <si>
    <t>Daniel Lira</t>
  </si>
  <si>
    <t>Marcial Huaraca</t>
  </si>
  <si>
    <t>DESCUENTOS:</t>
  </si>
  <si>
    <t>T.C. - Soles a Dólares</t>
  </si>
  <si>
    <t>P. Instalación</t>
  </si>
  <si>
    <t xml:space="preserve"> Descripción</t>
  </si>
  <si>
    <t>Base de Datos - TJ Castro</t>
  </si>
  <si>
    <t xml:space="preserve"> Grado Protección</t>
  </si>
  <si>
    <t xml:space="preserve"> Color</t>
  </si>
  <si>
    <t xml:space="preserve"> Tensión</t>
  </si>
  <si>
    <t xml:space="preserve"> Vendedor</t>
  </si>
  <si>
    <t xml:space="preserve"> Marca</t>
  </si>
  <si>
    <t xml:space="preserve"> Espesor de Plancha</t>
  </si>
  <si>
    <t xml:space="preserve"> Grado de Protección</t>
  </si>
  <si>
    <t>1/16" (1.58 mm.)</t>
  </si>
  <si>
    <t>5/64" (1.98 mm.)</t>
  </si>
  <si>
    <t>1.5 mm.</t>
  </si>
  <si>
    <t>2.0 mm.</t>
  </si>
  <si>
    <t xml:space="preserve"> Tiempo de entrega</t>
  </si>
  <si>
    <t>Forma de Pago</t>
  </si>
  <si>
    <t>02 semanas</t>
  </si>
  <si>
    <t>03 semanas</t>
  </si>
  <si>
    <t>04 semanas</t>
  </si>
  <si>
    <t>Plazo de Entrega</t>
  </si>
  <si>
    <t>05 semanas</t>
  </si>
  <si>
    <t>10 días</t>
  </si>
  <si>
    <t>06 a 07 semanas</t>
  </si>
  <si>
    <t>07 a 08 semanas</t>
  </si>
  <si>
    <t>08 a 09 semanas</t>
  </si>
  <si>
    <t>10 a 11 semanas</t>
  </si>
  <si>
    <t>12 a 13 semanas</t>
  </si>
  <si>
    <t>14 a 15 semanas</t>
  </si>
  <si>
    <t>50%, saldo contra-entrega</t>
  </si>
  <si>
    <t>40%, saldo contra-entrega</t>
  </si>
  <si>
    <t>35%, saldo contra-entrega</t>
  </si>
  <si>
    <t>50%, saldo factura a 15 días</t>
  </si>
  <si>
    <t>40%, saldo factura a 15 días</t>
  </si>
  <si>
    <t>35%, saldo factura a 15 días</t>
  </si>
  <si>
    <t>50%, saldo factura a 30 días</t>
  </si>
  <si>
    <t>40%, saldo factura a 30 días</t>
  </si>
  <si>
    <t>35%, saldo factura a 30 días</t>
  </si>
  <si>
    <r>
      <rPr>
        <b/>
        <u/>
        <sz val="10"/>
        <color theme="1" tint="0.14999847407452621"/>
        <rFont val="Arial"/>
        <family val="2"/>
      </rPr>
      <t>10 a 12 Semanas</t>
    </r>
    <r>
      <rPr>
        <sz val="10"/>
        <color theme="1" tint="0.14999847407452621"/>
        <rFont val="Arial"/>
        <family val="2"/>
      </rPr>
      <t>, con entregas parciales una vez de recibir el adelanto correspondiente, una vez aprobado los planos de fabricación o de la aprobación de las dimensiones de las gabinetes de los tableros de distribución.</t>
    </r>
  </si>
  <si>
    <r>
      <rPr>
        <b/>
        <u/>
        <sz val="10"/>
        <color theme="1" tint="0.14999847407452621"/>
        <rFont val="Arial"/>
        <family val="2"/>
      </rPr>
      <t>02 años</t>
    </r>
    <r>
      <rPr>
        <sz val="10"/>
        <color theme="1" tint="0.14999847407452621"/>
        <rFont val="Arial"/>
        <family val="2"/>
      </rPr>
      <t xml:space="preserve"> contra desperfectos de fabricación, previa verificación de nuestro departamento técnico. Dicha garantía no cubre daños causados por mala operación, golpes o funcionamiento fuera de los rangos especificados.</t>
    </r>
  </si>
  <si>
    <r>
      <t>Condiciones Comerciales</t>
    </r>
    <r>
      <rPr>
        <b/>
        <sz val="11"/>
        <color theme="1" tint="0.14999847407452621"/>
        <rFont val="Arial"/>
        <family val="2"/>
      </rPr>
      <t xml:space="preserve"> :</t>
    </r>
  </si>
  <si>
    <r>
      <rPr>
        <b/>
        <u/>
        <sz val="10"/>
        <color theme="1" tint="0.14999847407452621"/>
        <rFont val="Arial"/>
        <family val="2"/>
      </rPr>
      <t>50%</t>
    </r>
    <r>
      <rPr>
        <sz val="10"/>
        <color theme="1" tint="0.14999847407452621"/>
        <rFont val="Arial"/>
        <family val="2"/>
      </rPr>
      <t xml:space="preserve"> con su amable orden de compra, saldo contra entrega.</t>
    </r>
  </si>
  <si>
    <t>Validez de la oferta:</t>
  </si>
  <si>
    <t>15 días, pasada esta fecha favor de consultar por variación de precios.</t>
  </si>
  <si>
    <t>(Fab. Nacional)</t>
  </si>
  <si>
    <r>
      <t xml:space="preserve">Estará equipado con componentes de fuerza </t>
    </r>
    <r>
      <rPr>
        <b/>
        <sz val="11"/>
        <rFont val="Arial"/>
        <family val="2"/>
      </rPr>
      <t>marca ABB,</t>
    </r>
    <r>
      <rPr>
        <sz val="11"/>
        <rFont val="Arial"/>
        <family val="2"/>
      </rPr>
      <t xml:space="preserve"> para un sistema trifásico de </t>
    </r>
    <r>
      <rPr>
        <b/>
        <sz val="11"/>
        <rFont val="Arial"/>
        <family val="2"/>
      </rPr>
      <t>380/220 Vac,</t>
    </r>
    <r>
      <rPr>
        <sz val="11"/>
        <rFont val="Arial"/>
        <family val="2"/>
      </rPr>
      <t xml:space="preserve"> 60Hz, fase a neutro y fase a tierra. </t>
    </r>
  </si>
  <si>
    <t xml:space="preserve"> Forma de Pago</t>
  </si>
  <si>
    <t>981138015</t>
  </si>
  <si>
    <t>981138041</t>
  </si>
  <si>
    <t>981138241</t>
  </si>
  <si>
    <t>981138462</t>
  </si>
  <si>
    <t>994264063</t>
  </si>
  <si>
    <t>998119178</t>
  </si>
  <si>
    <t>981450063</t>
  </si>
  <si>
    <t>Lugar de entrega :</t>
  </si>
  <si>
    <t>La entrega de los productos se realizan en nuestro almacén, ubicado en Jr. Carlos Gutierrez 448 - La Victoria.</t>
  </si>
  <si>
    <t>(en blanco)</t>
  </si>
  <si>
    <t>Las barras de los tableros estarán identificadas con los colores Rojo, Negro y Azul para las fases y  Verde para línea a tierra , de acuerdo al CNE - utilización 2006 - sección 030,036.</t>
  </si>
  <si>
    <t>50% con su amable Orden de Compra, saldo contra-entrega.</t>
  </si>
  <si>
    <t>P. Total</t>
  </si>
  <si>
    <t>Modelo / Código</t>
  </si>
  <si>
    <t>Cod. pedido/fabrica</t>
  </si>
  <si>
    <t>ITM Riel-Din 1x16A - SH201-C-16A - 10kA@230Vac, 6kA@400Vac-IEC60898 - marca ABB.</t>
  </si>
  <si>
    <t>ITM Riel-Din 1x20A - SH201-C-20A - 10kA@230Vac, 6kA@400Vac-IEC60898 - marca ABB.</t>
  </si>
  <si>
    <t>ITM Riel-Din 1x25A - SH201-C-25A - 10kA@230Vac, 6kA@400Vac-IEC60898 - marca ABB.</t>
  </si>
  <si>
    <t>ITM Riel-Din 1x32A - SH201-C-32A - 10kA@230Vac, 6kA@400Vac-IEC60898 - marca ABB.</t>
  </si>
  <si>
    <t>ITM Riel-Din 1x40A - SH201-C-40A - 10kA@230Vac, 6kA@400Vac-IEC60898 - marca ABB.</t>
  </si>
  <si>
    <t>ITM Riel-Din 1x50A - SH201-C-50A - 10kA@230Vac, 6kA@400Vac-IEC60898 - marca ABB.</t>
  </si>
  <si>
    <t>ITM Riel-Din 1x63A - SH201-C-63A - 10kA@230Vac, 6kA@400Vac-IEC60898 - marca ABB.</t>
  </si>
  <si>
    <t>ITM Riel-Din 2x16A - SH202-C-16A - 10kA@230Vac, 6kA@400Vac-IEC60898 - marca ABB.</t>
  </si>
  <si>
    <t>ITM Riel-Din 2x20A - SH202-C-20A - 10kA@230Vac, 6kA@400Vac-IEC60898 - marca ABB.</t>
  </si>
  <si>
    <t>ITM Riel-Din 2x25A - SH202-C-25A - 10kA@230Vac, 6kA@400Vac-IEC60898 - marca ABB.</t>
  </si>
  <si>
    <t>ITM Riel-Din 2x32A - SH202-C-32A - 10kA@230Vac, 6kA@400Vac-IEC60898 - marca ABB.</t>
  </si>
  <si>
    <t>ITM Riel-Din 2x40A - SH202-C-40A - 10kA@230Vac, 6kA@400Vac-IEC60898 - marca ABB.</t>
  </si>
  <si>
    <t>ITM Riel-Din 2x50A - SH202-C-50A - 10kA@230Vac, 6kA@400Vac-IEC60898 - marca ABB.</t>
  </si>
  <si>
    <t>ITM Riel-Din 2x63A - SH202-C-63A - 10kA@230Vac, 6kA@400Vac-IEC60898 - marca ABB.</t>
  </si>
  <si>
    <t>ITM Riel-Din 3x16A - SH203-C-16A - 10kA@230Vac, 6kA@400Vac-IEC60898 - marca ABB.</t>
  </si>
  <si>
    <t>ITM Riel-Din 3x20A - SH203-C-20A - 10kA@230Vac, 6kA@400Vac-IEC60898 - marca ABB.</t>
  </si>
  <si>
    <t>ITM Riel-Din 3x25A - SH203-C-25A - 10kA@230Vac, 6kA@400Vac-IEC60898 - marca ABB.</t>
  </si>
  <si>
    <t>ITM Riel-Din 3x32A - SH203-C-32A - 10kA@230Vac, 6kA@400Vac-IEC60898 - marca ABB.</t>
  </si>
  <si>
    <t>ITM Riel-Din 3x40A - SH203-C-40A - 10kA@230Vac, 6kA@400Vac-IEC60898 - marca ABB.</t>
  </si>
  <si>
    <t>ITM Riel-Din 3x50A - SH203-C-50A - 10kA@230Vac, 6kA@400Vac-IEC60898 - marca ABB.</t>
  </si>
  <si>
    <t>ITM Riel-Din 3x63A - SH203-C-63A - 10kA@230Vac, 6kA@400Vac-IEC60898 - marca ABB.</t>
  </si>
  <si>
    <t>ITM Riel-Din 1x16A - S201-C-16A - 10kA@230Vac-IEC60947-2 - marca ABB.</t>
  </si>
  <si>
    <t>ITM Riel-Din 1x20A - S201-C-20A - 10kA@230Vac-IEC60947-2 - marca ABB.</t>
  </si>
  <si>
    <t>ITM Riel-Din 1x25A - S201-C-25A - 10kA@230Vac-IEC60947-2 - marca ABB.</t>
  </si>
  <si>
    <t>ITM Riel-Din 1x32A - S201-C-32A - 10kA@230Vac-IEC60947-2 - marca ABB.</t>
  </si>
  <si>
    <t>ITM Riel-Din 1x40A - S201-C-40A - 10kA@230Vac-IEC60947-2 - marca ABB.</t>
  </si>
  <si>
    <t>ITM Riel-Din 1x50A - S201-C-50A - 10kA@230Vac-IEC60947-2 - marca ABB.</t>
  </si>
  <si>
    <t>ITM Riel-Din 1x63A - S201-C-63A - 10kA@230Vac-IEC60947-2 - marca ABB.</t>
  </si>
  <si>
    <t>ITM Riel-Din 2x10A - S202-C-10A - 10kA@400Vac-IEC60947-2 - marca ABB.</t>
  </si>
  <si>
    <t>ITM Riel-Din 2x16A - S202-C-16A - 10kA@400Vac-IEC60947-2 - marca ABB.</t>
  </si>
  <si>
    <t>ITM Riel-Din 2x20A - S202-C-20A - 10kA@400Vac-IEC60947-2 - marca ABB.</t>
  </si>
  <si>
    <t>ITM Riel-Din 2x25A - S202-C-25A - 10kA@400Vac-IEC60947-2 - marca ABB.</t>
  </si>
  <si>
    <t>ITM Riel-Din 2x32A - S202-C-32A - 10kA@400Vac-IEC60947-2 - marca ABB.</t>
  </si>
  <si>
    <t>ITM Riel-Din 2x40A - S202-C-40A - 10kA@400Vac-IEC60947-2 - marca ABB.</t>
  </si>
  <si>
    <t>ITM Riel-Din 2x50A - S202-C-50A - 10kA@400Vac-IEC60947-2 - marca ABB.</t>
  </si>
  <si>
    <t>ITM Riel-Din 2x63A - S202-C-63A - 10kA@400Vac-IEC60947-2 - marca ABB.</t>
  </si>
  <si>
    <t>ITM Riel-Din 2x16A - S202M-C-16A - 15kA@400Vac-IEC60947-2 - marca ABB.</t>
  </si>
  <si>
    <t>ITM Riel-Din 2x20A - S202M-C-20A - 15kA@400Vac-IEC60947-2 - marca ABB.</t>
  </si>
  <si>
    <t>ITM Riel-Din 2x25A - S202M-C-25A - 15kA@400Vac-IEC60947-2 - marca ABB.</t>
  </si>
  <si>
    <t>ITM Riel-Din 2x32A - S202M-C-32A - 15kA@400Vac-IEC60947-2 - marca ABB.</t>
  </si>
  <si>
    <t>ITM Riel-Din 2x40A - S202M-C-40A - 15kA@400Vac-IEC60947-2 - marca ABB.</t>
  </si>
  <si>
    <t>ITM Riel-Din 2x50A - S202M-C-50A - 10kA@400Vac-IEC60947-2 - marca ABB.</t>
  </si>
  <si>
    <t>ITM Riel-Din 2x63A - S202M-C-63A - 10kA@400Vac-IEC60947-2 - marca ABB.</t>
  </si>
  <si>
    <t>ITM Riel-Din 2x16A - S202P-C-16A - 25kA@400Vac-IEC60947-2 - marca ABB.</t>
  </si>
  <si>
    <t>ITM Riel-Din 2x20A - S202P-C-20A - 25kA@400Vac-IEC60947-2 - marca ABB.</t>
  </si>
  <si>
    <t>ITM Riel-Din 2x25A - S202P-C-25A - 25kA@400Vac-IEC60947-2 - marca ABB.</t>
  </si>
  <si>
    <t>ITM Riel-Din 2x32A - S202P-C-32A - 15kA@400Vac-IEC60947-2 - marca ABB.</t>
  </si>
  <si>
    <t>ITM Riel-Din 2x40A - S202P-C-40A - 15kA@400Vac-IEC60947-2 - marca ABB.</t>
  </si>
  <si>
    <t>ITM Riel-Din 2x50A - S202P-C-50A - 15kA@400Vac-IEC60947-2 - marca ABB.</t>
  </si>
  <si>
    <t>ITM Riel-Din 2x63A - S202P-C-50A - 15kA@400Vac-IEC60947-2 - marca ABB.</t>
  </si>
  <si>
    <t>ITM Riel-Din 3x10A - S203-C-10A - 10kA@400Vac-IEC60947-2 - marca ABB.</t>
  </si>
  <si>
    <t>ITM Riel-Din 3x16A - S203-C-16A - 10kA@400Vac-IEC60947-2 - marca ABB.</t>
  </si>
  <si>
    <t>ITM Riel-Din 3x20A - S203-C-20A - 10kA@400Vac-IEC60947-2 - marca ABB.</t>
  </si>
  <si>
    <t>ITM Riel-Din 3x25A - S203-C-25A - 10kA@400Vac-IEC60947-2 - marca ABB.</t>
  </si>
  <si>
    <t>ITM Riel-Din 3x32A - S203-C-32A - 10kA@400Vac-IEC60947-2 - marca ABB.</t>
  </si>
  <si>
    <t>ITM Riel-Din 3x40A - S203-C-40A - 10kA@400Vac-IEC60947-2 - marca ABB.</t>
  </si>
  <si>
    <t>ITM Riel-Din 3x50A - S203-C-50A - 10kA@400Vac-IEC60947-2 - marca ABB.</t>
  </si>
  <si>
    <t>ITM Riel-Din 3x63A - S203-C-63A - 10kA@400Vac-IEC60947-2 - marca ABB.</t>
  </si>
  <si>
    <t>ITM Riel-Din 3x16A - S203P-C-16A - 25kA@400Vac-IEC60947-2 - marca ABB.</t>
  </si>
  <si>
    <t>ITM Riel-Din 3x20A - S203P-C-20A - 25kA@400Vac-IEC60947-2 - marca ABB.</t>
  </si>
  <si>
    <t>ITM Riel-Din 3x25A - S203P-C-25A - 25kA@400Vac-IEC60947-2 - marca ABB.</t>
  </si>
  <si>
    <t>ITM Riel-Din 3x32A - S203P-C-32A - 15kA@400Vac-IEC60947-2 - marca ABB.</t>
  </si>
  <si>
    <t>ITM Riel-Din 3x40A - S203P-C-40A - 15kA@400Vac-IEC60947-2 - marca ABB.</t>
  </si>
  <si>
    <t>ITM Riel-Din 3x50A - S203P-C-50A - 15kA@400Vac-IEC60947-2 - marca ABB.</t>
  </si>
  <si>
    <t>ITM Riel-Din 3x63A - S203P-C-50A - 15kA@400Vac-IEC60947-2 - marca ABB.</t>
  </si>
  <si>
    <t>ITM Riel-Din 4x10A - S204-C-10A - 10kA@400Vac-IEC60947-2 - marca ABB.</t>
  </si>
  <si>
    <t>ITM Riel-Din 4x16A - S204-C-16A - 10kA@400Vac-IEC60947-2 - marca ABB.</t>
  </si>
  <si>
    <t>ITM Riel-Din 4x20A - S204-C-20A - 10kA@400Vac-IEC60947-2 - marca ABB.</t>
  </si>
  <si>
    <t>ITM Riel-Din 4x25A - S204-C-25A - 10kA@400Vac-IEC60947-2 - marca ABB.</t>
  </si>
  <si>
    <t>ITM Riel-Din 4x32A - S204-C-32A - 10kA@400Vac-IEC60947-2 - marca ABB.</t>
  </si>
  <si>
    <t>ITM Riel-Din 4x40A - S204-C-40A - 10kA@400Vac-IEC60947-2 - marca ABB.</t>
  </si>
  <si>
    <t>ITM Riel-Din 4x50A - S204-C-50A - 10kA@400Vac-IEC60947-2 - marca ABB.</t>
  </si>
  <si>
    <t>ITM Riel-Din 4x63A - S204-C-63A - 10kA@400Vac-IEC60947-2 - marca ABB.</t>
  </si>
  <si>
    <t>ITM Riel-Din 4x16A - S204M-C-16A - 15kA@400Vac-IEC60947-2 - marca ABB.</t>
  </si>
  <si>
    <t>ITM Riel-Din 4x20A - S204M-C-20A - 15kA@400Vac-IEC60947-2 - marca ABB.</t>
  </si>
  <si>
    <t>ITM Riel-Din 4x25A - S204M-C-25A - 15kA@400Vac-IEC60947-2 - marca ABB.</t>
  </si>
  <si>
    <t>ITM Riel-Din 4x32A - S204M-C-32A - 15kA@400Vac-IEC60947-2 - marca ABB.</t>
  </si>
  <si>
    <t>ITM Riel-Din 4x40A - S204M-C-40A - 15kA@400Vac-IEC60947-2 - marca ABB.</t>
  </si>
  <si>
    <t>ITM Riel-Din 4x16A - S204P-C-16A - 25kA@400Vac-IEC60947-2 - marca ABB.</t>
  </si>
  <si>
    <t>ITM Riel-Din 4x20A - S204P-C-20A - 25kA@400Vac-IEC60947-2 - marca ABB.</t>
  </si>
  <si>
    <t>ITM Riel-Din 4x25A - S204P-C-25A - 25kA@400Vac-IEC60947-2 - marca ABB.</t>
  </si>
  <si>
    <t>ITM Riel-Din 4x32A - S204P-C-32A - 15kA@400Vac-IEC60947-2 - marca ABB.</t>
  </si>
  <si>
    <t>ITM Riel-Din 4x40A - S204P-C-40A - 15kA@400Vac-IEC60947-2 - marca ABB.</t>
  </si>
  <si>
    <t>S2C-EST</t>
  </si>
  <si>
    <t>Base enchufable (1 polo) + accesorios de fijación - modelo S2C-EST - p/ S200, F200, DS200 - marca ABB.</t>
  </si>
  <si>
    <t>2CSS200999R0001</t>
  </si>
  <si>
    <t>Protector contra sobretensiones (Tipo 1) - OVR-T1_25-440_1P - Un=400/690V,  Uc=440V, Up=2.5kV - I_impulso=25kA - marca ABB.</t>
  </si>
  <si>
    <t>Protector contra sobretensiones (Tipo 1) - OVR-T1_100N_1P - Un=230/400V, Uc=255V, Up=2kV - I_impulso=100kA - marca ABB.</t>
  </si>
  <si>
    <t>OVR-T2_3N_40-440_P-QS_3P+N</t>
  </si>
  <si>
    <t>2CTB803973R1400</t>
  </si>
  <si>
    <t>A41 111 - 100</t>
  </si>
  <si>
    <t>Medidor monofásico conexion directa, 80A, Categoría Steel (energía activa), Ue=57.7...288 Vac, clase B (CI. 1), salida de pulsos, modelo A41 111 - 100, marca ABB.</t>
  </si>
  <si>
    <t>2CMA170554R1000</t>
  </si>
  <si>
    <t>A43 111 - 100</t>
  </si>
  <si>
    <t>Medidor trifasico conexion directa, 80A, Categoría Steel (energía activa), Ue=3x57.7/100...288/500Vac, clase B (CI. 1), salida de pulsos , modelo A43 111 - 100, marca ABB.</t>
  </si>
  <si>
    <t>2CMA170520R1000</t>
  </si>
  <si>
    <t>VLM-2-60/72</t>
  </si>
  <si>
    <t>Voltímetro analógico DC, U_med=0-60Vdc, 72x72mm. - modelo VLM-2-60/72 - marca ABB.</t>
  </si>
  <si>
    <t>2CSG212110R4001</t>
  </si>
  <si>
    <t>VLM-2-80/72</t>
  </si>
  <si>
    <t>Voltímetro analógico DC, U_med=0-80Vdc, 72x72mm. - modelo VLM-2-80/72 - marca ABB.</t>
  </si>
  <si>
    <t>2CSG212120R4001</t>
  </si>
  <si>
    <t>VLM-2-100/72</t>
  </si>
  <si>
    <t>Voltímetro analógico DC, U_med=0-100Vdc, 72x72mm. - modelo VLM-2-100/72 - marca ABB.</t>
  </si>
  <si>
    <t>2CSG212130R4001</t>
  </si>
  <si>
    <t>VLM-2-150/72</t>
  </si>
  <si>
    <t>Voltímetro analógico DC, U_med=0-150Vdc, 72x72mm. - modelo VLM-2-150/72 - marca ABB.</t>
  </si>
  <si>
    <t>2CSG212150R4001</t>
  </si>
  <si>
    <t>COP-72</t>
  </si>
  <si>
    <t>Tapa transparente IP55, 72x72mm. - modelo COP-72 - marca ABB.</t>
  </si>
  <si>
    <t>2CSG400000R5041</t>
  </si>
  <si>
    <t>VLM-2-60/96</t>
  </si>
  <si>
    <t>Voltímetro analógico DC, U_med=0-60Vdc, 96x96mm. - modelo VLM-2-60/96 - marca ABB.</t>
  </si>
  <si>
    <t>2CSG213110R4001</t>
  </si>
  <si>
    <t>VLM-2-80/96</t>
  </si>
  <si>
    <t>Voltímetro analógico DC, U_med=0-80Vdc, 96x96mm. - modelo VLM-2-80/96 - marca ABB.</t>
  </si>
  <si>
    <t>2CSG213120R4001</t>
  </si>
  <si>
    <t>VLM-2-100/96</t>
  </si>
  <si>
    <t>Voltímetro analógico DC, U_med=0-100Vdc, 96x96mm. - modelo VLM-2-100/96 - marca ABB.</t>
  </si>
  <si>
    <t>2CSG213130R4001</t>
  </si>
  <si>
    <t>VLM-2-150/96</t>
  </si>
  <si>
    <t>Voltímetro analógico DC, U_med=0-150Vdc, 96x96mm. - modelo VLM-2-150/96 - marca ABB.</t>
  </si>
  <si>
    <t>2CSG213150R4001</t>
  </si>
  <si>
    <t>COP-96</t>
  </si>
  <si>
    <t>Tapa transparente IP55, 96x96mm. - modelo COP-96 - marca ABB.</t>
  </si>
  <si>
    <t>2CSG500000R5041</t>
  </si>
  <si>
    <t>Voltímetro digital AC/DC, U_med=0-600V AC/DC, modelo VLMD_P,  Uc= 230 Vac - marca ABB.</t>
  </si>
  <si>
    <t>AMT2-A2/72</t>
  </si>
  <si>
    <t>Amperímetro analógico DC, I_med= In/60mV DC, 72x72mm. - modelo AMT2-A2/96 - marca ABB.</t>
  </si>
  <si>
    <t>2CSG422270R4001</t>
  </si>
  <si>
    <t>SCL-A2-100/72</t>
  </si>
  <si>
    <t>Escala impresa para amperímetro analógico 100A DC - modelo SCL-A2-100/72 - marca ABB.</t>
  </si>
  <si>
    <t>2CSG232189R5011</t>
  </si>
  <si>
    <t>SCL-A2-150/72</t>
  </si>
  <si>
    <t>Escala impresa para amperímetro analógico 150A DC - modelo SCL-A2-150/72 - marca ABB.</t>
  </si>
  <si>
    <t>2CSG232209R5011</t>
  </si>
  <si>
    <t>SCL-A2-200/72</t>
  </si>
  <si>
    <t>Escala impresa para amperímetro analógico 200A DC - modelo SCL-A2-200/72 - marca ABB.</t>
  </si>
  <si>
    <t>2CSG232229R5011</t>
  </si>
  <si>
    <t>AMT2-A2/96</t>
  </si>
  <si>
    <t>Amperímetro analógico DC, I_med= In/60mV DC, 96x96mm. - modelo AMT2-A2/96 - marca ABB.</t>
  </si>
  <si>
    <t>2CSG423270R4001</t>
  </si>
  <si>
    <t>SCL-A2-100/96</t>
  </si>
  <si>
    <t>Escala impresa para amperímetro analógico 100A DC - modelo SCL-A2-100/96 - marca ABB.</t>
  </si>
  <si>
    <t>2CSG233189R5011</t>
  </si>
  <si>
    <t>SCL-A2-150/96</t>
  </si>
  <si>
    <t>Escala impresa para amperímetro analógico 150A DC - modelo SCL-A2-150/96 - marca ABB.</t>
  </si>
  <si>
    <t>2CSG233209R5011</t>
  </si>
  <si>
    <t>SCL-A2-200/96</t>
  </si>
  <si>
    <t>Escala impresa para amperímetro analógico 200A DC - modelo SCL-A2-200/96 - marca ABB.</t>
  </si>
  <si>
    <t>2CSG233229R5011</t>
  </si>
  <si>
    <t>Amperímetro digital DC, I_med=5A DC / In/60mV DC, Uc= 230 Vac - modelo AMTD-2P - marca ABB.</t>
  </si>
  <si>
    <t>SNT_1/100A</t>
  </si>
  <si>
    <t>Resistencia Shunt para medición de corriente DC, Uo=60mV DC - modelo SNT_1/100A - marca ABB.</t>
  </si>
  <si>
    <t>2CSM100120R1121</t>
  </si>
  <si>
    <t>ITM Caja Moldeada 2x16A - A1N/P125-16A-2P-TMF - 50kA@230Vac, 36kA@400Vac, 10kA@125Vdc - marca ABB.</t>
  </si>
  <si>
    <t>ITM Caja Moldeada 2x20A - A1N/P125-20A-2P-TMF - 50kA@230Vac, 36kA@400Vac, 10kA@125Vdc - marca ABB.</t>
  </si>
  <si>
    <t>ITM Caja Moldeada 2x25A - A1N/P125-25A-2P-TMF - 50kA@230Vac, 36kA@400Vac, 10kA@125Vdc - marca ABB.</t>
  </si>
  <si>
    <t>ITM Caja Moldeada 2x32A - A1N/P125-32A-2P-TMF - 50kA@230Vac, 36kA@400Vac, 10kA@125Vdc - marca ABB.</t>
  </si>
  <si>
    <t>ITM Caja Moldeada 2x40A - A1N/P125-40A-2P-TMF - 50kA@230Vac, 36kA@400Vac, 10kA@125Vdc - marca ABB.</t>
  </si>
  <si>
    <t>ITM Caja Moldeada 2x50A - A1N/P125-50A-2P-TMF - 50kA@230Vac, 36kA@400Vac, 10kA@125Vdc - marca ABB.</t>
  </si>
  <si>
    <t>ITM Caja Moldeada 2x63A - A1N/P125-63A-2P-TMF - 50kA@230Vac, 36kA@400Vac, 10kA@125Vdc - marca ABB.</t>
  </si>
  <si>
    <t>ITM Caja Moldeada 2x70A - A1N/P125-70A-2P-TMF - 50kA@230Vac, 36kA@400Vac, 10kA@125Vdc - marca ABB.</t>
  </si>
  <si>
    <t>ITM Caja Moldeada 2x80A - A1N/P125-80A-2P-TMF - 50kA@230Vac, 36kA@400Vac, 10kA@125Vdc - marca ABB.</t>
  </si>
  <si>
    <t>ITM Caja Moldeada 2x90A - A1N/P125-90A-2P-TMF - 50kA@230Vac, 36kA@400Vac, 10kA@125Vdc - marca ABB.</t>
  </si>
  <si>
    <t>ITM Caja Moldeada 2x100A - A1N/P125-100A-2P-TMF - 50kA@230Vac, 36kA@400Vac, 10kA@125Vdc - marca ABB.</t>
  </si>
  <si>
    <t>ITM Caja Moldeada 2x125A - A1N/P125-125A-2P-TMF - 50kA@230Vac, 36kA@400Vac, 10kA@125Vdc - marca ABB.</t>
  </si>
  <si>
    <t>ITM Caja Moldeada 3x15A - A1B125-15A-3P-TMF - 25kA@230Vac, 18kA@400Vac - marca ABB.</t>
  </si>
  <si>
    <t>ITM Caja Moldeada 3x20A - A1B125-20A-3P-TMF - 25kA@230Vac, 18kA@400Vac - marca ABB.</t>
  </si>
  <si>
    <t>ITM Caja Moldeada 3x25A - A1B125-25A-3P-TMF - 25kA@230Vac, 18kA@400Vac - marca ABB.</t>
  </si>
  <si>
    <t>ITM Caja Moldeada 3x40A - A1B125-40A-3P-TMF - 25kA@230Vac, 18kA@400Vac - marca ABB.</t>
  </si>
  <si>
    <t>ITM Caja Moldeada 3x50A - A1B125-50A-3P-TMF - 25kA@230Vac, 18kA@400Vac - marca ABB.</t>
  </si>
  <si>
    <t>ITM Caja Moldeada 3x70A - A1B125-70A-3P-TMF - 25kA@230Vac, 18kA@400Vac - marca ABB.</t>
  </si>
  <si>
    <t>ITM Caja Moldeada 3x80A - A1B125-80A-3P-TMF - 25kA@230Vac, 18kA@400Vac - marca ABB.</t>
  </si>
  <si>
    <t>ITM Caja Moldeada 3x90A - A1B125-90A-3P-TMF - 25kA@230Vac, 18kA@400Vac - marca ABB.</t>
  </si>
  <si>
    <t>ITM Caja Moldeada 3x100A - A1B125-100A-3P-TMF - 25kA@230Vac, 18kA@400Vac - marca ABB.</t>
  </si>
  <si>
    <t>ITM Caja Moldeada 3x125A - A1B125-125A-3P-TMF - 25kA@230Vac, 18kA@400Vac - marca ABB.</t>
  </si>
  <si>
    <t>ITM Caja Moldeada 4x20A - A1B125-20A-4P-TMF - 25kA@230Vac, 18kA@400Vac - marca ABB.</t>
  </si>
  <si>
    <t>ITM Caja Moldeada 4x25A - A1B125-25A-4P-TMF - 25kA@230Vac, 18kA@400Vac - marca ABB.</t>
  </si>
  <si>
    <t>ITM Caja Moldeada 4x40A - A1B125-40A-4P-TMF - 25kA@230Vac, 18kA@400Vac - marca ABB.</t>
  </si>
  <si>
    <t>ITM Caja Moldeada 4x50A - A1B125-50A-4P-TMF - 25kA@230Vac, 18kA@400Vac - marca ABB.</t>
  </si>
  <si>
    <t>ITM Caja Moldeada 4x70A - A1B125-70A-4P-TMF - 25kA@230Vac, 18kA@400Vac - marca ABB.</t>
  </si>
  <si>
    <t>ITM Caja Moldeada 4x80A - A1B125-80A-4P-TMF - 25kA@230Vac, 18kA@400Vac - marca ABB.</t>
  </si>
  <si>
    <t>ITM Caja Moldeada 4x90A - A1B125-90A-4P-TMF - 25kA@230Vac, 18kA@400Vac - marca ABB.</t>
  </si>
  <si>
    <t>ITM Caja Moldeada 4x100A - A1B125-100A-4P-TMF - 25kA@230Vac, 18kA@400Vac - marca ABB.</t>
  </si>
  <si>
    <t>ITM Caja Moldeada 4x125A - A1B125-125A-4P-TMF - 25kA@230Vac, 18kA@400Vac - marca ABB.</t>
  </si>
  <si>
    <t>ITM Caja Moldeada 4x160A - A2B250-160A-4P-TMF - 25kA@230Vac, 18kA@400Vac - marca ABB.</t>
  </si>
  <si>
    <t>ITM Caja Moldeada 4x175A - A2B250-175A-4P-TMF - 25kA@230Vac, 18kA@400Vac - marca ABB.</t>
  </si>
  <si>
    <t>ITM Caja Moldeada 4x200A - A2B250-200A-4P-TMF - 25kA@230Vac, 18kA@400Vac - marca ABB.</t>
  </si>
  <si>
    <t>ITM Caja Moldeada 4x225A - A2B250-225A-4P-TMF - 25kA@230Vac, 18kA@400Vac - marca ABB.</t>
  </si>
  <si>
    <t>ITM Caja Moldeada 4x250A - A2B250-250A-4P-TMF - 25kA@230Vac, 18kA@400Vac - marca ABB.</t>
  </si>
  <si>
    <t>ITM Caja Moldeada 3x125A - A2C250-125A-3P-TMF - 50kA@230Vac, 25kA@400Vac - marca ABB.</t>
  </si>
  <si>
    <t>ITM Caja Moldeada 3x160A - A2C250-160A-3P-TMF - 50kA@230Vac, 25kA@400Vac - marca ABB.</t>
  </si>
  <si>
    <t>ITM Caja Moldeada 3x200A - A2C250-200A-3P-TMF - 50kA@230Vac, 25kA@400Vac - marca ABB.</t>
  </si>
  <si>
    <t>ITM Caja Moldeada 3x250A - A2C250-250A-3P-TMF - 50kA@230Vac, 25kA@400Vac - marca ABB.</t>
  </si>
  <si>
    <t>ITM Caja Moldeada 3x160A - A2N250-160A-3P-TMF - 50kA@230Vac, 36kA@400Vac - marca ABB.</t>
  </si>
  <si>
    <t>ITM Caja Moldeada 3x200A - A2N250-200A-3P-TMF - 50kA@230Vac, 36kA@400Vac - marca ABB.</t>
  </si>
  <si>
    <t>ITM Caja Moldeada 3x250A - A2N250-250A-3P-TMF - 50kA@230Vac, 36kA@400Vac - marca ABB.</t>
  </si>
  <si>
    <t>ITM Caja Moldeada 3x320A - A3N400-320A-3P-TMF - 85kA@230Vac, 36kA@400Vac - marca ABB.</t>
  </si>
  <si>
    <t>ITM Caja Moldeada 3x400A - A3N400-400A-3P-TMF - 85kA@230Vac, 36kA@400Vac - marca ABB.</t>
  </si>
  <si>
    <t>ITM Caja Moldeada 3x630A - A3N630-630A-3P-ELT LI - 85kA@230Vac, 36kA@400Vac - marca ABB.</t>
  </si>
  <si>
    <t>ITM Caja Moldeada 4x630A - A3N630-630A-4P-ELT LI - 85kA@230Vac, 36kA@400Vac - marca ABB.</t>
  </si>
  <si>
    <t>AUX-C_A1..A2</t>
  </si>
  <si>
    <t>XT1B160-16A-3P-TMD</t>
  </si>
  <si>
    <t>1SDA066799R1</t>
  </si>
  <si>
    <t>XT1B160-20A-3P-TMD</t>
  </si>
  <si>
    <t>1SDA066800R1</t>
  </si>
  <si>
    <t>XT1B160-25A-3P-TMD</t>
  </si>
  <si>
    <t>1SDA066801R1</t>
  </si>
  <si>
    <t>XT1B160-32A-3P-TMD</t>
  </si>
  <si>
    <t>1SDA066802R1</t>
  </si>
  <si>
    <t>XT1B160-40A-3P-TMD</t>
  </si>
  <si>
    <t>1SDA066803R1</t>
  </si>
  <si>
    <t>XT1B160-50A-3P-TMD</t>
  </si>
  <si>
    <t>1SDA066804R1</t>
  </si>
  <si>
    <t>XT1B160-63A-3P-TMD</t>
  </si>
  <si>
    <t>1SDA066805R1</t>
  </si>
  <si>
    <t>XT1B160-80A-3P-TMD</t>
  </si>
  <si>
    <t>1SDA066806R1</t>
  </si>
  <si>
    <t>XT1B160-100A-3P-TMD</t>
  </si>
  <si>
    <t>1SDA066807R1</t>
  </si>
  <si>
    <t>XT1B160-125A-3P-TMD</t>
  </si>
  <si>
    <t>1SDA066808R1</t>
  </si>
  <si>
    <t>XT1B160-160A-3P-TMD</t>
  </si>
  <si>
    <t>1SDA066809R1</t>
  </si>
  <si>
    <t>ITM Caja Moldeada 3x25A (reg.[0.7-1.0] In) - XT1C160-25A-3P-TMD - 40kA@230Vac, 25kA@415Vac - marca ABB.</t>
  </si>
  <si>
    <t>ITM Caja Moldeada 3x32A (reg.[0.7-1.0] In) - XT1C160-32A-3P-TMD - 40kA@230Vac, 25kA@415Vac - marca ABB.</t>
  </si>
  <si>
    <t>ITM Caja Moldeada 3x40A (reg.[0.7-1.0] In) - XT1C160-40A-3P-TMD - 40kA@230Vac, 25kA@415Vac - marca ABB.</t>
  </si>
  <si>
    <t>ITM Caja Moldeada 3x50A (reg.[0.7-1.0] In) - XT1C160-50A-3P-TMD - 40kA@230Vac, 25kA@415Vac - marca ABB.</t>
  </si>
  <si>
    <t>ITM Caja Moldeada 3x63A (reg.[0.7-1.0] In) - XT1C160-63A-3P-TMD - 40kA@230Vac, 25kA@415Vac - marca ABB.</t>
  </si>
  <si>
    <t>ITM Caja Moldeada 3x80A (reg.[0.7-1.0] In) - XT1C160-80A-3P-TMD - 40kA@230Vac, 25kA@415Vac - marca ABB.</t>
  </si>
  <si>
    <t>ITM Caja Moldeada 3x100A (reg.[0.7-1.0] In) - XT1C160-100A-3P-TMD - 40kA@230Vac, 25kA@415Vac - marca ABB.</t>
  </si>
  <si>
    <t>ITM Caja Moldeada 3x125A (reg.[0.7-1.0] In) - XT1C160-125A-3P-TMD - 40kA@230Vac, 25kA@415Vac - marca ABB.</t>
  </si>
  <si>
    <t>ITM Caja Moldeada 3x160A (reg.[0.7-1.0] In) - XT1C160-160A-3P-TMD - 40kA@230Vac, 25kA@415Vac - marca ABB.</t>
  </si>
  <si>
    <t>ITM Caja Moldeada 3x32A (reg.[0.7-1.0] In) - XT1N160-32A-3P-TMD - 65kA@230Vac, 36kA@415Vac - marca ABB.</t>
  </si>
  <si>
    <t>ITM Caja Moldeada 3x40A (reg.[0.7-1.0] In) - XT1N160-40A-3P-TMD - 65kA@230Vac, 36kA@415Vac - marca ABB.</t>
  </si>
  <si>
    <t>ITM Caja Moldeada 3x50A (reg.[0.7-1.0] In) - XT1N160-50A-3P-TMD - 65kA@230Vac, 36kA@415Vac - marca ABB.</t>
  </si>
  <si>
    <t>ITM Caja Moldeada 3x63A (reg.[0.7-1.0] In) - XT1N160-63A-3P-TMD - 65kA@230Vac, 36kA@415Vac - marca ABB.</t>
  </si>
  <si>
    <t>ITM Caja Moldeada 3x80A (reg.[0.7-1.0] In) - XT1N160-80A-3P-TMD - 65kA@230Vac, 36kA@415Vac - marca ABB.</t>
  </si>
  <si>
    <t>ITM Caja Moldeada 3x100A (reg.[0.7-1.0] In) - XT1N160-100A-3P-TMD - 65kA@230Vac, 36kA@415Vac - marca ABB.</t>
  </si>
  <si>
    <t>ITM Caja Moldeada 3x125A (reg.[0.7-1.0] In) - XT1N160-125A-3P-TMD - 65kA@230Vac, 36kA@415Vac - marca ABB.</t>
  </si>
  <si>
    <t>ITM Caja Moldeada 3x160A (reg.[0.7-1.0] In) - XT1N160-160A-3P-TMD - 65kA@230Vac, 36kA@415Vac - marca ABB.</t>
  </si>
  <si>
    <t>ITM Caja Moldeada 4x16A (reg.[0.7-1.0] In) - XT1B160-16A-4P-TMD - 25kA@230Vac, 18kA@415Vac - marca ABB.</t>
  </si>
  <si>
    <t>ITM Caja Moldeada 4x20A (reg.[0.7-1.0] In) - XT1B160-20A-4P-TMD - 25kA@230Vac, 18kA@415Vac - marca ABB.</t>
  </si>
  <si>
    <t>ITM Caja Moldeada 4x25A (reg.[0.7-1.0] In) - XT1B160-25A-4P-TMD - 25kA@230Vac, 18kA@415Vac - marca ABB.</t>
  </si>
  <si>
    <t>ITM Caja Moldeada 4x32A (reg.[0.7-1.0] In) - XT1B160-32A-4P-TMD - 25kA@230Vac, 18kA@415Vac - marca ABB.</t>
  </si>
  <si>
    <t>ITM Caja Moldeada 4x40A (reg.[0.7-1.0] In) - XT1B160-40A-4P-TMD - 25kA@230Vac, 18kA@415Vac - marca ABB.</t>
  </si>
  <si>
    <t>ITM Caja Moldeada 4x50A (reg.[0.7-1.0] In) - XT1B160-50A-4P-TMD - 25kA@230Vac, 18kA@415Vac - marca ABB.</t>
  </si>
  <si>
    <t>ITM Caja Moldeada 4x63A (reg.[0.7-1.0] In) - XT1B160-63A-4P-TMD - 25kA@230Vac, 18kA@415Vac - marca ABB.</t>
  </si>
  <si>
    <t>ITM Caja Moldeada 4x80A (reg.[0.7-1.0] In) - XT1B160-80A-4P-TMD - 25kA@230Vac, 18kA@415Vac - marca ABB.</t>
  </si>
  <si>
    <t>ITM Caja Moldeada 4x100A (reg.[0.7-1.0] In) - XT1B160-100A-4P-TMD - 25kA@230Vac, 18kA@415Vac - marca ABB.</t>
  </si>
  <si>
    <t>ITM Caja Moldeada 4x125A (reg.[0.7-1.0] In) - XT1B160-125A-4P-TMD - 25kA@230Vac, 18kA@415Vac - marca ABB.</t>
  </si>
  <si>
    <t>ITM Caja Moldeada 4x160A (reg.[0.7-1.0] In) - XT1B160-160A-4P-TMD - 25kA@230Vac, 18kA@415Vac - marca ABB.</t>
  </si>
  <si>
    <t>ITM Caja Moldeada 4x25A (reg.[0.7-1.0] In) - XT1C160-25A-4P-TMD - 40kA@230Vac, 25kA@415Vac - marca ABB.</t>
  </si>
  <si>
    <t>ITM Caja Moldeada 4x32A (reg.[0.7-1.0] In) - XT1C160-32A-4P-TMD - 40kA@230Vac, 25kA@415Vac - marca ABB.</t>
  </si>
  <si>
    <t>ITM Caja Moldeada 4x40A (reg.[0.7-1.0] In) - XT1C160-40A-4P-TMD - 40kA@230Vac, 25kA@415Vac - marca ABB.</t>
  </si>
  <si>
    <t>ITM Caja Moldeada 4x50A (reg.[0.7-1.0] In) - XT1C160-50A-4P-TMD - 40kA@230Vac, 25kA@415Vac - marca ABB.</t>
  </si>
  <si>
    <t>ITM Caja Moldeada 4x63A (reg.[0.7-1.0] In) - XT1C160-63A-4P-TMD - 40kA@230Vac, 25kA@415Vac - marca ABB.</t>
  </si>
  <si>
    <t>ITM Caja Moldeada 4x80A (reg.[0.7-1.0] In) - XT1C160-80A-4P-TMD - 40kA@230Vac, 25kA@415Vac - marca ABB.</t>
  </si>
  <si>
    <t>ITM Caja Moldeada 4x100A (reg.[0.7-1.0] In) - XT1C160-100A-4P-TMD - 40kA@230Vac, 25kA@415Vac - marca ABB.</t>
  </si>
  <si>
    <t>ITM Caja Moldeada 4x125A (reg.[0.7-1.0] In) - XT1C160-125A-4P-TMD - 40kA@230Vac, 25kA@415Vac - marca ABB.</t>
  </si>
  <si>
    <t>ITM Caja Moldeada 4x160A (reg.[0.7-1.0] In) - XT1C160-160A-4P-TMD - 40kA@230Vac, 25kA@415Vac - marca ABB.</t>
  </si>
  <si>
    <t>ITM Caja Moldeada 4x32A (reg.[0.7-1.0] In) - XT1N160-32A-4P-TMD - 65kA@230Vac, 36kA@415Vac - marca ABB.</t>
  </si>
  <si>
    <t>ITM Caja Moldeada 4x40A (reg.[0.7-1.0] In) - XT1N160-40A-4P-TMD - 65kA@230Vac, 36kA@415Vac - marca ABB.</t>
  </si>
  <si>
    <t>ITM Caja Moldeada 4x50A (reg.[0.7-1.0] In) - XT1N160-50A-4P-TMD - 65kA@230Vac, 36kA@415Vac - marca ABB.</t>
  </si>
  <si>
    <t>ITM Caja Moldeada 4x80A (reg.[0.7-1.0] In) - XT1N160-80A-4P-TMD - 65kA@230Vac, 36kA@415Vac - marca ABB.</t>
  </si>
  <si>
    <t>ITM Caja Moldeada 4x100A (reg.[0.7-1.0] In) - XT1N160-100A-4P-TMD - 65kA@230Vac, 36kA@415Vac - marca ABB.</t>
  </si>
  <si>
    <t>ITM Caja Moldeada 4x125A (reg.[0.7-1.0] In) - XT1N160-125A-4P-TMD - 65kA@230Vac, 36kA@415Vac - marca ABB.</t>
  </si>
  <si>
    <t>ITM Caja Moldeada 4x160A (reg.[0.7-1.0] In) - XT1N160-160A-4P-TMD - 65kA@230Vac, 36kA@415Vac - marca ABB.</t>
  </si>
  <si>
    <t>ITM Caja Moldeada 3x16A (reg.[0.7-1.0] In) - XT2N160-16A-3P-TMD - 65kA@230Vac, 36kA@415Vac - marca ABB.</t>
  </si>
  <si>
    <t>ITM Caja Moldeada 3x20A (reg.[0.7-1.0] In) - XT2N160-20A-3P-TMD - 65kA@230Vac, 36kA@415Vac - marca ABB.</t>
  </si>
  <si>
    <t>ITM Caja Moldeada 3x25A (reg.[0.7-1.0] In) - XT2N160-25A-3P-TMD - 65kA@230Vac, 36kA@415Vac - marca ABB.</t>
  </si>
  <si>
    <t>ITM Caja Moldeada 3x32A (reg.[0.7-1.0] In) - XT2N160-32A-3P-TMD - 65kA@230Vac, 36kA@415Vac - marca ABB.</t>
  </si>
  <si>
    <t>ITM Caja Moldeada 3x40A (reg.[0.7-1.0] In) - XT2N160-40A-3P-TMA - 65kA@230Vac, 36kA@415Vac - marca ABB.</t>
  </si>
  <si>
    <t>ITM Caja Moldeada 3x50A (reg.[0.7-1.0] In) - XT2N160-50A-3P-TMA - 65kA@230Vac, 36kA@415Vac - marca ABB.</t>
  </si>
  <si>
    <t>ITM Caja Moldeada 3x63A (reg.[0.7-1.0] In) - XT2N160-63A-3P-TMA - 65kA@230Vac, 36kA@415Vac - marca ABB.</t>
  </si>
  <si>
    <t>ITM Caja Moldeada 3x80A (reg.[0.7-1.0] In) - XT2N160-80A-3P-TMA - 65kA@230Vac, 36kA@415Vac - marca ABB.</t>
  </si>
  <si>
    <t>ITM Caja Moldeada 3x100A (reg.[0.7-1.0] In) - XT2N160-100A-3P-TMA - 65kA@230Vac, 36kA@415Vac - marca ABB.</t>
  </si>
  <si>
    <t>ITM Caja Moldeada 3x125A (reg.[0.7-1.0] In) - XT2N160-125A-3P-TMA - 65kA@230Vac, 36kA@415Vac - marca ABB.</t>
  </si>
  <si>
    <t>ITM Caja Moldeada 3x160A (reg.[0.7-1.0] In) - XT2N160-160A-3P-TMA - 65kA@230Vac, 36kA@415Vac - marca ABB.</t>
  </si>
  <si>
    <t>ITM Caja Moldeada 4x16A (reg.[0.7-1.0] In) - XT2N160-16A-4P-TMD - 65kA@230Vac, 36kA@415Vac - marca ABB.</t>
  </si>
  <si>
    <t>ITM Caja Moldeada 4x20A (reg.[0.7-1.0] In) - XT2N160-20A-4P-TMD - 65kA@230Vac, 36kA@415Vac - marca ABB.</t>
  </si>
  <si>
    <t>ITM Caja Moldeada 4x25A (reg.[0.7-1.0] In) - XT2N160-25A-4P-TMD - 65kA@230Vac, 36kA@415Vac - marca ABB.</t>
  </si>
  <si>
    <t>ITM Caja Moldeada 4x32A (reg.[0.7-1.0] In) - XT2N160-32A-4P-TMD - 65kA@230Vac, 36kA@415Vac - marca ABB.</t>
  </si>
  <si>
    <t>ITM Caja Moldeada 4x40A (reg.[0.7-1.0] In) - XT2N160-40A-4P-TMA - 65kA@230Vac, 36kA@415Vac - marca ABB.</t>
  </si>
  <si>
    <t>ITM Caja Moldeada 4x50A (reg.[0.7-1.0] In) - XT2N160-50A-4P-TMA - 65kA@230Vac, 36kA@415Vac - marca ABB.</t>
  </si>
  <si>
    <t>ITM Caja Moldeada 4x63A (reg.[0.7-1.0] In) - XT2N160-63A-4P-TMA - 65kA@230Vac, 36kA@415Vac - marca ABB.</t>
  </si>
  <si>
    <t>ITM Caja Moldeada 4x80A (reg.[0.7-1.0] In) - XT2N160-80A-4P-TMA - 65kA@230Vac, 36kA@415Vac - marca ABB.</t>
  </si>
  <si>
    <t>ITM Caja Moldeada 4x100A (reg.[0.7-1.0] In) - XT2N160-100A-4P-TMA - 65kA@230Vac, 36kA@415Vac - marca ABB.</t>
  </si>
  <si>
    <t>ITM Caja Moldeada 4x125A (reg.[0.7-1.0] In) - XT2N160-125A-4P-TMA - 65kA@230Vac, 36kA@415Vac - marca ABB.</t>
  </si>
  <si>
    <t>ITM Caja Moldeada 3x16A (reg.[0.7-1.0] In) - XT2S160-16A-3P-TMD - 85kA@230Vac, 50kA@415Vac - marca ABB</t>
  </si>
  <si>
    <t>ITM Caja Moldeada 3x20A (reg.[0.7-1.0] In) - XT2S160-20A-3P-TMD - 85kA@230Vac, 50kA@415Vac - marca ABB</t>
  </si>
  <si>
    <t>ITM Caja Moldeada 3x25A (reg.[0.7-1.0] In) - XT2S160-25A-3P-TMD - 85kA@230Vac, 50kA@415Vac - marca ABB</t>
  </si>
  <si>
    <t>ITM Caja Moldeada 3x32A (reg.[0.7-1.0] In) - XT2S160-32A-3P-TMD - 85kA@230Vac, 50kA@415Vac - marca ABB</t>
  </si>
  <si>
    <t>ITM Caja Moldeada 3x40A (reg.[0.7-1.0] In) - XT2S160-40A-3P-TMA - 85kA@230Vac, 50kA@415Vac - marca ABB.</t>
  </si>
  <si>
    <t>ITM Caja Moldeada 3x50A (reg.[0.7-1.0] In) - XT2S160-50A-3P-TMA - 85kA@230Vac, 50kA@415Vac - marca ABB.</t>
  </si>
  <si>
    <t>ITM Caja Moldeada 3x63A (reg.[0.7-1.0] In) - XT2S160-63A-3P-TMA - 85kA@230Vac, 50kA@415Vac - marca ABB.</t>
  </si>
  <si>
    <t>ITM Caja Moldeada 3x80A (reg.[0.7-1.0] In) - XT2S160-80A-3P-TMA - 85kA@230Vac, 50kA@415Vac - marca ABB.</t>
  </si>
  <si>
    <t>ITM Caja Moldeada 3x100A (reg.[0.7-1.0] In) - XT2S160-100A-3P-TMA - 85kA@230Vac, 50kA@415Vac - marca ABB.</t>
  </si>
  <si>
    <t>ITM Caja Moldeada 3x125A (reg.[0.7-1.0] In) - XT2S160-125A-3P-TMA - 85kA@230Vac, 50kA@415Vac - marca ABB.</t>
  </si>
  <si>
    <t>ITM Caja Moldeada 3x160A (reg.[0.7-1.0] In) - XT2S160-160A-3P-TMA - 85kA@230Vac, 50kA@415Vac - marca ABB.</t>
  </si>
  <si>
    <t>ITM Caja Moldeada 4x20A (reg.[0.7-1.0] In) - XT2S160-20A-4P-TMD - 85kA@230Vac, 50kA@415Vac - marca ABB</t>
  </si>
  <si>
    <t>ITM Caja Moldeada 4x32A (reg.[0.7-1.0] In) - XT2S160-32A-4P-TMD - 85kA@230Vac, 50kA@415Vac - marca ABB</t>
  </si>
  <si>
    <t>ITM Caja Moldeada 4x40A (reg.[0.7-1.0] In) - XT2S160-40A-4P-TMA - 85kA@230Vac, 50kA@415Vac - marca ABB.</t>
  </si>
  <si>
    <t>ITM Caja Moldeada 4x50A (reg.[0.7-1.0] In) - XT2S160-50A-4P-TMA - 85kA@230Vac, 50kA@415Vac - marca ABB.</t>
  </si>
  <si>
    <t>ITM Caja Moldeada 4x63A (reg.[0.7-1.0] In) - XT2S160-63A-3P-TMA - 85kA@230Vac, 50kA@415Vac - marca ABB.</t>
  </si>
  <si>
    <t>ITM Caja Moldeada 4x80A (reg.[0.7-1.0] In) - XT2S160-80A-4P-TMA - 85kA@230Vac, 50kA@415Vac - marca ABB.</t>
  </si>
  <si>
    <t>ITM Caja Moldeada 4x100A (reg.[0.7-1.0] In) - XT2S160-100A-4P-TMA - 85kA@230Vac, 50kA@415Vac - marca ABB.</t>
  </si>
  <si>
    <t>ITM Caja Moldeada 4x125A (reg.[0.7-1.0] In) - XT2S160-125A-4P-TMA - 85kA@230Vac, 50kA@415Vac - marca ABB.</t>
  </si>
  <si>
    <t>ITM Caja Moldeada 4x160A (reg.[0.7-1.0] In) - XT2S160-160A-4P-TMA - 85kA@230Vac, 50kA@415Vac - marca ABB.</t>
  </si>
  <si>
    <t>ITM Caja Moldeada 3x16A (reg.[0.7-1.0] In) - XT2H160-16A-3P-TMD - 100kA@230Vac, 70kA@415Vac - marca ABB.</t>
  </si>
  <si>
    <t>ITM Caja Moldeada 3x20A (reg.[0.7-1.0] In) - XT2H160-20A-3P-TMD - 100kA@230Vac, 70kA@415Vac - marca ABB.</t>
  </si>
  <si>
    <t>ITM Caja Moldeada 3x25A (reg.[0.7-1.0] In) - XT2H160-25A-3P-TMD - 100kA@230Vac, 70kA@415Vac - marca ABB.</t>
  </si>
  <si>
    <t>ITM Caja Moldeada 3x32A (reg.[0.7-1.0] In) - XT2H160-32A-3P-TMD - 100kA@230Vac, 70kA@415Vac - marca ABB.</t>
  </si>
  <si>
    <t>ITM Caja Moldeada 3x40A (reg.[0.7-1.0] In) - XT2H160-40A-3P-TMA - 100kA@230Vac, 70kA@415Vac - marca ABB.</t>
  </si>
  <si>
    <t>ITM Caja Moldeada 3x50A (reg.[0.7-1.0] In) - XT2H160-50A-3P-TMA - 100kA@230Vac, 70kA@415Vac - marca ABB.</t>
  </si>
  <si>
    <t>ITM Caja Moldeada 3x63A (reg.[0.7-1.0] In) - XT2H160-63A-3P-TMA - 100kA@230Vac, 70kA@415Vac - marca ABB.</t>
  </si>
  <si>
    <t>ITM Caja Moldeada 3x80A (reg.[0.7-1.0] In) - XT2H160-80A-3P-TMA - 100kA@230Vac, 70kA@415Vac - marca ABB.</t>
  </si>
  <si>
    <t>ITM Caja Moldeada 3x100A (reg.[0.7-1.0] In) - XT2H160-100A-3P-TMA - 100kA@230Vac, 70kA@415Vac - marca ABB.</t>
  </si>
  <si>
    <t>ITM Caja Moldeada 3x125A (reg.[0.7-1.0] In) - XT2H160-125A-3P-TMA - 100kA@230Vac, 70kA@415Vac - marca ABB.</t>
  </si>
  <si>
    <t>ITM Caja Moldeada 3x160A (reg.[0.7-1.0] In) - XT2H160-160A-3P-TMA - 100kA@230Vac, 70kA@415Vac - marca ABB.</t>
  </si>
  <si>
    <t>ITM Caja Moldeada 4x40A (reg.[0.7-1.0] In) - XT2H160-40A-4P-TMA - 100kA@230Vac, 70kA@415Vac - marca ABB.</t>
  </si>
  <si>
    <t>ITM Caja Moldeada 4x50A (reg.[0.7-1.0] In) - XT2H160-50A-4P-TMA - 100kA@230Vac, 70kA@415Vac - marca ABB.</t>
  </si>
  <si>
    <t>ITM Caja Moldeada 4x63A (reg.[0.7-1.0] In) - XT2H160-63A-4P-TMA - 100kA@230Vac, 70kA@415Vac - marca ABB.</t>
  </si>
  <si>
    <t>ITM Caja Moldeada 4x80A (reg.[0.7-1.0] In) - XT2H160-80A-4P-TMA - 100kA@230Vac, 70kA@415Vac - marca ABB.</t>
  </si>
  <si>
    <t>ITM Caja Moldeada 4x100A (reg.[0.7-1.0] In) - XT2H160-100A-4P-TMA - 100kA@230Vac, 70kA@415Vac - marca ABB.</t>
  </si>
  <si>
    <t>ITM Caja Moldeada 4x125A (reg.[0.7-1.0] In) - XT2H160-125A-4P-TMA - 100kA@230Vac, 70kA@415Vac - marca ABB.</t>
  </si>
  <si>
    <t>ITM Caja Moldeada 4x160A (reg.[0.7-1.0] In) - XT2H160-160A-4P-TMA - 100kA@230Vac, 70kA@415Vac - marca ABB.</t>
  </si>
  <si>
    <t>ITM Caja Moldeada 3x200A (reg.[0.7-1.0] In) - XT3N250-200A-3P-TMD - 50kA@230Vac, 36kA@415Vac - marca ABB.</t>
  </si>
  <si>
    <t>ITM Caja Moldeada 3x250A (reg.[0.7-1.0] In) - XT3N250-250A-3P-TMD - 50kA@230Vac, 36kA@415Vac - marca ABB.</t>
  </si>
  <si>
    <t>ITM Caja Moldeada 4x250A (reg.[0.7-1.0] In) - XT3N250-250A-4P-TMD - 50kA@230Vac, 36kA@415Vac - marca ABB.</t>
  </si>
  <si>
    <t>ITM Caja Moldeada 3x200A (reg.[0.7-1.0] In) - XT3S250-200A-3P-TMD - 85kA@230Vac, 50kA@415Vac - marca ABB.</t>
  </si>
  <si>
    <t>ITM Caja Moldeada 3x250A (reg.[0.7-1.0] In) - XT3S250-250A-3P-TMD - 85kA@230Vac, 50kA@415Vac - marca ABB.</t>
  </si>
  <si>
    <t>ITM Caja Moldeada 4x250A (reg.[0.7-1.0] In) - XT3S250-250A-4P-TMD - 85kA@230Vac, 50kA@415Vac - marca ABB.</t>
  </si>
  <si>
    <t>ITM Caja Moldeada 3x63A (reg.[0.7-1.0] In) - XT4N160-63A-3P-TMA - 65kA@230Vac, 36kA@415Vac - marca ABB.</t>
  </si>
  <si>
    <t>ITM Caja Moldeada 3x80A (reg.[0.7-1.0] In) - XT4N160-80A-3P-TMA - 65kA@230Vac, 36kA@415Vac - marca ABB.</t>
  </si>
  <si>
    <t>ITM Caja Moldeada 3x100A (reg.[0.7-1.0] In) - XT4N160-100A-3P-TMA - 65kA@230Vac, 36kA@415Vac - marca ABB.</t>
  </si>
  <si>
    <t>ITM Caja Moldeada 3x125A (reg.[0.7-1.0] In) - XT4N160-125A-3P-TMA - 65kA@230Vac, 36kA@415Vac - marca ABB.</t>
  </si>
  <si>
    <t>ITM Caja Moldeada 3x160A (reg.[0.7-1.0] In) - XT4N160-160A-3P-TMA - 65kA@230Vac, 36kA@415Vac - marca ABB.</t>
  </si>
  <si>
    <t>ITM Caja Moldeada 3x200A (reg.[0.7-1.0] In) - XT4N250-200A-3P-TMA - 65kA@230Vac, 36kA@415Vac - marca ABB.</t>
  </si>
  <si>
    <t>ITM Caja Moldeada 3x250A (reg.[0.7-1.0] In) - XT4N250-250A-3P-TMA - 65kA@230Vac, 36kA@415Vac - marca ABB.</t>
  </si>
  <si>
    <t>ITM Caja Moldeada 3x63A (reg.[0.7-1.0] In) - XT4S160-63A-3P-TMA - 85kA@230Vac, 50kA@415Vac - marca ABB.</t>
  </si>
  <si>
    <t>ITM Caja Moldeada 3x80A (reg.[0.7-1.0] In) - XT4S160-80A-3P-TMA - 85kA@230Vac, 50kA@415Vac - marca ABB.</t>
  </si>
  <si>
    <t>ITM Caja Moldeada 3x100A (reg.[0.7-1.0] In) - XT4S160-100A-3P-TMA - 85kA@230Vac, 50kA@415Vac - marca ABB.</t>
  </si>
  <si>
    <t>ITM Caja Moldeada 3x125A (reg.[0.7-1.0] In) - XT4S160-125A-3P-TMA - 85kA@230Vac, 50kA@415Vac - marca ABB.</t>
  </si>
  <si>
    <t>ITM Caja Moldeada 3x160A (reg.[0.7-1.0] In) - XT4S160-160A-3P-TMA - 85kA@230Vac, 50kA@415Vac - marca ABB.</t>
  </si>
  <si>
    <t>ITM Caja Moldeada 3x200A (reg.[0.7-1.0] In) - XT4S250-200A-3P-TMA - 85kA@230Vac, 50kA@415Vac - marca ABB.</t>
  </si>
  <si>
    <t>ITM Caja Moldeada 3x225A (reg.[0.7-1.0] In) - XT4S250-225A-3P-TMA - 85kA@230Vac, 50kA@415Vac - marca ABB.</t>
  </si>
  <si>
    <t>ITM Caja Moldeada 3x250A (reg.[0.7-1.0] In) - XT4S250-250A-3P-TMA - 85kA@230Vac, 50kA@415Vac - marca ABB.</t>
  </si>
  <si>
    <t>ITM Caja Moldeada 3x200A (reg.[0.7-1.0] In) - XT4H250-200A-3P-TMA - 100kA@230Vac, 70kA@415Vac - marca ABB.</t>
  </si>
  <si>
    <t>ITM Caja Moldeada 3x225A (reg.[0.7-1.0] In) - XT4H250-225A-3P-TMA - 100kA@230Vac, 70kA@415Vac - marca ABB.</t>
  </si>
  <si>
    <t>ITM Caja Moldeada 3x250A (reg.[0.7-1.0] In) - XT4H250-250A-3P-TMA - 100kA@230Vac, 70kA@415Vac - marca ABB.</t>
  </si>
  <si>
    <t>ITM Caja Moldeada 3x25A (electrónico [0.4-1.0] In) - XT2N160-25A-3P-Ekip LS/I - 65kA@230Vac, 36kA@415Vac - marca ABB.</t>
  </si>
  <si>
    <t>ITM Caja Moldeada 3x63A (electrónico [0.4-1.0] In) - XT2N160-63A-3P-Ekip LS/I - 65kA@230Vac, 36kA@415Vac - marca ABB.</t>
  </si>
  <si>
    <t>ITM Caja Moldeada 3x100A (electrónico [0.4-1.0] In) - XT2N160-100A-3P-Ekip LS/I - 65kA@230Vac, 36kA@415Vac - marca ABB.</t>
  </si>
  <si>
    <t>ITM Caja Moldeada 3x160A (electrónico [0.4-1.0] In) - XT2N160-160A-3P-Ekip LS/I - 65kA@230Vac, 36kA@415Vac - marca ABB.</t>
  </si>
  <si>
    <t>ITM Caja Moldeada 3x63A (electrónico [0.4-1.0] In) - XT2S160-63A-3P-Ekip LS/I - 85kA@230Vac, 50kA@415Vac - marca ABB.</t>
  </si>
  <si>
    <t>ITM Caja Moldeada 3x100A (electrónico [0.4-1.0] In) - XT2S160-100A-3P-Ekip LS/I - 85kA@230Vac, 50kA@415Vac - marca ABB.</t>
  </si>
  <si>
    <t>ITM Caja Moldeada 3x160A (electrónico [0.4-1.0] In) - XT2S160-160A-3P-Ekip LS/I - 85kA@230Vac, 50kA@415Vac - marca ABB.</t>
  </si>
  <si>
    <t>ITM Caja Moldeada 4x63A (electrónico [0.4-1.0] In) - XT2N160-63A-4P-Ekip LS/I - 65kA@230Vac, 36kA@415Vac - marca ABB.</t>
  </si>
  <si>
    <t>ITM Caja Moldeada 4x100A (electrónico [0.4-1.0] In) - XT2N160-100A-4P-Ekip LS/I - 65kA@230Vac, 36kA@415Vac - marca ABB.</t>
  </si>
  <si>
    <t>ITM Caja Moldeada 4x160A (electrónico [0.4-1.0] In) - XT2N160-160A-4P-Ekip LS/I - 65kA@230Vac, 36kA@415Vac - marca ABB.</t>
  </si>
  <si>
    <t>ITM Caja Moldeada 4x63A (electrónico [0.4-1.0] In) - XT2S160-63A-4P-Ekip LS/I - 85kA@230Vac, 50kA@415Vac - marca ABB.</t>
  </si>
  <si>
    <t>ITM Caja Moldeada 4x100A (electrónico [0.4-1.0] In) - XT2S160-100A-4P-Ekip LS/I - 85kA@230Vac, 50kA@415Vac - marca ABB.</t>
  </si>
  <si>
    <t>ITM Caja Moldeada 4x160A (electrónico [0.4-1.0] In) - XT2S160-160A-4P-Ekip LS/I - 85kA@230Vac, 50kA@415Vac - marca ABB.</t>
  </si>
  <si>
    <t>ITM Caja Moldeada 4x63A (electrónico [0.4-1.0] In) - XT2H160-63A-4P-Ekip LS/I - 100kA@230Vac, 70kA@415Vac - marca ABB.</t>
  </si>
  <si>
    <t>ITM Caja Moldeada 4x100A (electrónico [0.4-1.0] In) - XT2H160-100A-4P-Ekip LS/I - 100kA@230Vac, 70kA@415Vac - marca ABB.</t>
  </si>
  <si>
    <t>ITM Caja Moldeada 4x160A (electrónico [0.4-1.0] In) - XT2H160-160A-4P-Ekip LS/I - 100kA@230Vac, 70kA@415Vac - marca ABB.</t>
  </si>
  <si>
    <t>ITM Caja Moldeada 3x100A (electrónico [0.4-1.0] In) - XT4N160-100A-3P-Ekip LS/I - 65kA@230Vac, 36kA@415Vac - marca ABB.</t>
  </si>
  <si>
    <t>ITM Caja Moldeada 3x160A (electrónico [0.4-1.0] In) - XT4N160-160A-3P-Ekip LS/I - 65kA@230Vac, 36kA@415Vac - marca ABB.</t>
  </si>
  <si>
    <t>ITM Caja Moldeada 3x250A (electrónico [0.4-1.0] In) - XT4N250-250A-3P-Ekip LS/I - 65kA@230Vac, 36kA@415Vac - marca ABB.</t>
  </si>
  <si>
    <t>ITM Caja Moldeada 3x100A (electrónico [0.4-1.0] In) - XT4S160-100A-3P-Ekip LS/I - 85kA@230Vac, 50kA@415Vac - marca ABB.</t>
  </si>
  <si>
    <t>ITM Caja Moldeada 3x160A (electrónico [0.4-1.0] In) - XT4S160-160A-3P-Ekip LS/I - 85kA@230Vac, 50kA@415Vac - marca ABB.</t>
  </si>
  <si>
    <t>ITM Caja Moldeada 3x250A (electrónico [0.4-1.0] In) - XT4S250-250A-3P-Ekip LS/I - 85kA@230Vac, 50kA@415Vac - marca ABB.</t>
  </si>
  <si>
    <t>XT4N160-63A-4P-Ekip LS/I</t>
  </si>
  <si>
    <t>ITM Caja Moldeada 4x63A (electrónico [0.4-1.0] In) - XT4N160-63A-4P-Ekip LS/I - 65kA@230Vac, 36kA@415Vac - marca ABB.</t>
  </si>
  <si>
    <t>1SDA068144R1</t>
  </si>
  <si>
    <t>ITM Caja Moldeada 4x100A (electrónico [0.4-1.0] In) - XT4N160-100A-4P-Ekip LS/I - 65kA@230Vac, 36kA@415Vac - marca ABB.</t>
  </si>
  <si>
    <t>ITM Caja Moldeada 4x160A (electrónico [0.4-1.0] In) - XT4N160-160A-4P-Ekip LS/I - 65kA@230Vac, 36kA@415Vac - marca ABB.</t>
  </si>
  <si>
    <t>ITM Caja Moldeada 4x100A (electrónico [0.4-1.0] In) - XT4S160-100A-4P-Ekip LS/I - 85kA@230Vac, 50kA@415Vac - marca ABB.</t>
  </si>
  <si>
    <t>ITM Caja Moldeada 4x160A (electrónico [0.4-1.0] In) - XT4S160-160A-4P-Ekip LS/I - 85kA@230Vac, 50kA@415Vac - marca ABB.</t>
  </si>
  <si>
    <t>ITM Caja Moldeada 4x100A (electrónico [0.4-1.0] In) - XT4H160-100A-4P-Ekip LS/I - 100kA@230Vac, 70kA@415Vac - marca ABB.</t>
  </si>
  <si>
    <t>ITM Caja Moldeada 4x160A (electrónico [0.4-1.0] In) - XT4H160-160A-4P-Ekip LS/I - 100kA@230Vac, 70kA@415Vac - marca ABB.</t>
  </si>
  <si>
    <t>ITM Caja Moldeada 4x250A (electrónico [0.4-1.0] In) - XT4H250-250A-4P-Ekip LS/I - 100kA@230Vac, 70kA@415Vac - marca ABB.</t>
  </si>
  <si>
    <t>ITM Caja Moldeada 3x320A (electrónico [0.4-1.0] In)  - T4N320-320A-3P-PR221DS-LS/I - 70kA@230Vac, 36kA@415Vac - marca ABB.</t>
  </si>
  <si>
    <t>ITM Caja Moldeada 3x320A (electrónico [0.4-1.0] In) - T4S320-320A-3P-PR221DS-LS/I - 85kA@230Vac, 50kA@415Vac - marca ABB.</t>
  </si>
  <si>
    <t>ITM Caja Moldeada 3x400A (electrónico [0.4-1.0] In) - T5N400-400A-3P-PR221DS-LS/I - 70kA@230Vac, 36kA@415Vac - marca ABB.</t>
  </si>
  <si>
    <t>ITM Caja Moldeada 3x630A (electrónico [0.4-1.0] In) - T5N630-630A-3P-PR221DS-LS/I - 70kA@230Vac, 36kA@415Vac - marca ABB.</t>
  </si>
  <si>
    <t>ITM Caja Moldeada 3x400A (electrónico [0.4-1.0] In) - T5S400-400A-3P-PR221DS-LS/I - 85kA@230Vac, 50kA@415Vac - marca ABB.</t>
  </si>
  <si>
    <t>ITM Caja Moldeada 3x630A (electrónico [0.4-1.0] In) - T5S630-630A-3P-PR221DS-LS/I - 85kA@230Vac, 50kA@415Vac - marca ABB.</t>
  </si>
  <si>
    <t>ITM Caja Moldeada 4x400A (electrónico [0.4-1.0] In) - T5N400-400A-4P-PR221DS-LS/I - 70kA@230Vac, 36kA@415Vac - marca ABB.</t>
  </si>
  <si>
    <t>ITM Caja Moldeada 4x400A (electrónico [0.4-1.0] In) - T5S400-400A-4P-PR221DS-LS/I - 85kA@230Vac, 50kA@415Vac - marca ABB.</t>
  </si>
  <si>
    <t>ITM Caja Moldeada 4x630A (electrónico [0.4-1.0] In) - T5S630-630A-4P-PR221DS-LS/I - 85kA@230Vac, 50kA@415Vac - marca ABB.</t>
  </si>
  <si>
    <t>ITM Caja Moldeada 3x400A (electrónico [0.4-1.0] In) - T5H400-400A-3P-PR221DS-LS/I - 100kA@230Vac, 70kA@415Vac - marca ABB.</t>
  </si>
  <si>
    <t>ITM Caja Moldeada 3x630A (electrónico [0.4-1.0] In) - T5H630-630A-3P-PR221DS-LS/I - 100kA@230Vac, 70kA@415Vac - marca ABB.</t>
  </si>
  <si>
    <t>ITM Caja Moldeada 3x800A (electrónico [0.4-1.0] In) - T6N800-800A-3P-PR221DS-LS/I - 70kA@230Vac, 36kA@415Vac - marca ABB.</t>
  </si>
  <si>
    <t>ITM Caja Moldeada 3x1000A (electrónico [0.4-1.0] In) - T6N1000-1000A-3P-PR221DS-LS/I - 70kA@230Vac, 36kA@415Vac - marca ABB.</t>
  </si>
  <si>
    <t>ITM Caja Moldeada 3x800A (electrónico [0.4-1.0] In) - T6S800-800A-3P-PR221DS-LS/I - 85kA@230Vac, 50kA@415Vac - marca ABB.</t>
  </si>
  <si>
    <t>ITM Caja Moldeada 3x1000A (electrónico [0.4-1.0] In) - T6S1000-1000A-3P-PR221DS-LS/I - 85kA@230Vac, 50kA@415Vac - marca ABB.</t>
  </si>
  <si>
    <t>ITM Caja Moldeada 4x800A (electrónico [0.4-1.0] In) - T6S800-800A-4P-PR221DS-LS/I - 85kA@230Vac, 50kA@415Vac - marca ABB.</t>
  </si>
  <si>
    <t>ITM Caja Moldeada 4x1000A (electrónico [0.4-1.0] In) - T6S1000-1000A-4P-PR221DS-LS/I - 85kA@230Vac, 50kA@415Vac - marca ABB.</t>
  </si>
  <si>
    <t>ITM Caja Moldeada 4x1250A (electrónico [0.4-1.0] In) - T7S1250-1250A-4P-PR231 P-LS/I - 50kA@415Vac - marca ABB.</t>
  </si>
  <si>
    <t>ITM Caja Moldeada 3x1250A (electrónico [0.4-1.0] In) - T7H1250-1250A-3P-PR231 P-LS/I - 70kA@415Vac - marca ABB.</t>
  </si>
  <si>
    <t>ITM Caja Moldeada 3x1600A (electrónico [0.4-1.0] In) - T7H1600-1600A-3P-PR231 P-LS/I - 70kA@415Vac - marca ABB.</t>
  </si>
  <si>
    <t>ITM Caja Moldeada 3x1250A (electrónico [0.4-1.0] In) - T7S1250-1250A-3P-PR231 P-LS/I (Motorizable) - 50kA@415Vac - marca ABB.</t>
  </si>
  <si>
    <t>ITM Caja Moldeada 4x1250A (electrónico [0.4-1.0] In) - T7S1250-1250A-4P-PR231 P-LS/I (Motorizable) - 50kA@415Vac - marca ABB.</t>
  </si>
  <si>
    <t>ITM Caja Moldeada 3x1600A (electrónico [0.4-1.0] In) - T7S1600-1600A-3P-PR231 P-LS/I (Motorizable) - 50kA@415Vac - marca ABB.</t>
  </si>
  <si>
    <t>ITM Caja Moldeada 3x1250A (electrónico [0.4-1.0] In) - T7H1250-1250A-3P-PR231 P-LS/I (Motorizable) - 70kA@415Vac - marca ABB.</t>
  </si>
  <si>
    <t>ITM Caja Moldeada 3x1600A (electrónico [0.4-1.0] In) - T7H1600-1600A-3P-PR231 P-LS/I (Motorizable) - 70kA@415Vac - marca ABB.</t>
  </si>
  <si>
    <t>ITM Caja Moldeada 3x2000A (electrónico [0.4-1.0] In) - T8L2000-2000A-3P-PR331 P-LSI - 85kA@415Vac - marca ABB.</t>
  </si>
  <si>
    <t>ITM Caja Moldeada 3x2500A (electrónico [0.4-1.0] In) - T8L2500-2500A-3P-PR331 P-LSI - 85kA@415Vac - marca ABB.</t>
  </si>
  <si>
    <t>ITM Caja Moldeada 3x320A (electrónico [0.4-1.0] In) - T4N320-320A-3P-PR222DS/P-LSI - 70kA@230Vac, 36kA@415Vac - marca ABB.</t>
  </si>
  <si>
    <t>ITM Caja Moldeada 3x320A (electrónico [0.4-1.0] In) - T4S320-320A-3P-PR222DS/P-LSI - 85kA@230Vac, 50kA@415Vac - marca ABB.</t>
  </si>
  <si>
    <t>T4H320-320A-3P-PR222DS/P-LSI</t>
  </si>
  <si>
    <t>ITM Caja Moldeada 3x320A (electrónico [0.4-1.0] In) - T4H320-320A-3P-PR222DS/P-LSI - 100kA@230Vac, 70kA@415Vac - marca ABB.</t>
  </si>
  <si>
    <t>1SDA054135R1</t>
  </si>
  <si>
    <t>ITM Caja Moldeada 4x320A (electrónico [0.4-1.0] In) - T4N320-320A-4P-PR222DS/P-LSI - 70kA@230Vac, 36kA@415Vac - marca ABB.</t>
  </si>
  <si>
    <t>ITM Caja Moldeada 4x320A (electrónico [0.4-1.0] In) - T4S320-320A-4P-PR222DS/P-LSI - 85kA@230Vac, 50kA@415Vac - marca ABB.</t>
  </si>
  <si>
    <t>ITM Caja Moldeada 3x320A (electrónico [0.4-1.0] In) - T5N400-320A-3P-PR222DS/P-LSI - 70kA@230Vac, 36kA@415Vac - marca ABB.</t>
  </si>
  <si>
    <t>ITM Caja Moldeada 3x400A (electrónico [0.4-1.0] In) - T5N400-400A-3P-PR222DS/P-LSI - 70kA@230Vac, 36kA@415Vac - marca ABB.</t>
  </si>
  <si>
    <t>ITM Caja Moldeada 3x630A (electrónico [0.4-1.0] In) - T5N630-630A-3P-PR222DS/P-LSI - 70kA@230Vac, 36kA@415Vac - marca ABB.</t>
  </si>
  <si>
    <t>ITM Caja Moldeada 3x500A (reg.[0.7-1.0] In) - T5N630-500A-3P-TMA - 70kA@230Vac, 36kA@415Vac - marca ABB.</t>
  </si>
  <si>
    <t>ITM Caja Moldeada 3x500A (reg.[0.7-1.0] In) - T5S630-500A-3P-TMA - 85kA@230Vac, 50kA@415Vac - marca ABB.</t>
  </si>
  <si>
    <t>ITM Caja Moldeada 3x400A (electrónico [0.4-1.0] In) - T5S400-400A-3P-PR222DS/P-LSI - 85kA@230Vac, 50kA@415Vac - marca ABB.</t>
  </si>
  <si>
    <t>ITM Caja Moldeada 3x630A (electrónico [0.4-1.0] In) - T5S630-630A-3P-PR222DS/P-LSI - 85kA@230Vac, 50kA@415Vac - marca ABB.</t>
  </si>
  <si>
    <t>ITM Caja Moldeada 3x400A (electrónico [0.4-1.0] In) - T5H400-400A-3P-PR222DS/P-LSI - 100kA@230Vac, 70kA@415Vac - marca ABB.</t>
  </si>
  <si>
    <t>ITM Caja Moldeada 3x630A (electrónico [0.4-1.0] In) - T5H630-630A-3P-PR222DS/P-LSI - 100kA@230Vac, 70kA@415Vac - marca ABB.</t>
  </si>
  <si>
    <t>ITM Caja Moldeada 4x320A (electrónico [0.4-1.0] In) - T5N400-320A-4P-PR222DS/P-LSI - 70kA@230Vac, 36A@415Vac - marca ABB.</t>
  </si>
  <si>
    <t>ITM Caja Moldeada 4x400A (electrónico [0.4-1.0] In) - T5N400-400A-4P-PR222DS/P-LSI - 70kA@230Vac, 36A@415Vac - marca ABB.</t>
  </si>
  <si>
    <t>ITM Caja Moldeada 4x630A (electrónico [0.4-1.0] In) - T5N630-630A-4P-PR222DS/P-LSI - 70kA@230Vac, 36kA@415Vac - marca ABB.</t>
  </si>
  <si>
    <t>ITM Caja Moldeada 4x400A (electrónico [0.4-1.0] In) - T5S400-400A-4P-PR222DS/P-LSI - 85kA@230Vac, 50kA@415Vac - marca ABB.</t>
  </si>
  <si>
    <t>ITM Caja Moldeada 4x630A (electrónico [0.4-1.0] In) - T5S630-630A-4P-PR222DS/P-LSI - 85kA@230Vac, 50kA@415Vac - marca ABB.</t>
  </si>
  <si>
    <t>ITM Caja Moldeada 4x630A (electrónico [0.4-1.0] In) - T5H630-630A-4P-PR222DS/P-LSI - 100kA@230Vac, 70kA@415Vac - marca ABB.</t>
  </si>
  <si>
    <t>ITM Caja Moldeada 3x630A (electrónico [0.4-1.0] In) - T6N630-630A-3P-PR222DS/P-LSI - 70kA@230Vac, 36kA@415Vac - marca ABB.</t>
  </si>
  <si>
    <t>ITM Caja Moldeada 3x800A (electrónico [0.4-1.0] In) - T6N800-800A-3P-PR222DS/P-LSI - 70kA@230Vac, 36kA@415Vac - marca ABB.</t>
  </si>
  <si>
    <t>ITM Caja Moldeada 3x1000A (electrónico [0.4-1.0] In) - T6N1000-1000A-3P-PR222DS/P-LSI - 70kA@230Vac, 36kA@415Vac - marca ABB.</t>
  </si>
  <si>
    <t>ITM Caja Moldeada 3x630A (electrónico [0.4-1.0] In) - T6S630-630A-3P-PR222DS/P-LSI - 85kA@230Vac, 50kA@415Vac - marca ABB.</t>
  </si>
  <si>
    <t>ITM Caja Moldeada 3x800A (electrónico [0.4-1.0] In) - T6S800-800A-3P-PR222DS/P-LSI - 85kA@230Vac, 50kA@415Vac - marca ABB.</t>
  </si>
  <si>
    <t>ITM Caja Moldeada 3x800A (electrónico [0.4-1.0] In) - T6H800-800A-3P-PR222DS/P-LSI - 100kA@230Vac, 70kA@415Vac - marca ABB.</t>
  </si>
  <si>
    <t>ITM Caja Moldeada 3x1000A (electrónico [0.4-1.0] In) - T6S1000-1000A-3P-PR222DS/P-LSI - 85kA@230Vac, 50kA@415Vac - marca ABB.</t>
  </si>
  <si>
    <t>ITM Caja Moldeada 3x1000A (electrónico [0.4-1.0] In) - T6H1000-1000A-3P-PR222DS/P-LSI - 100kA@230Vac, 70kA@415Vac - marca ABB.</t>
  </si>
  <si>
    <t>ITM Caja Moldeada 4x630A (electrónico [0.4-1.0] In) - T6N630-630A-4P-PR222DS/P-LSI - 70kA@230Vac, 36kA@415Vac - marca ABB.</t>
  </si>
  <si>
    <t>ITM Caja Moldeada 4x800A (electrónico [0.4-1.0] In) - T6N800-800A-4P-PR222DS/P-LSI - 70kA@230Vac, 36kA@415Vac - marca ABB.</t>
  </si>
  <si>
    <t>ITM Caja Moldeada 4x630A (electrónico [0.4-1.0] In) - T6S630-630A-4P-PR222DS/P-LSI - 85kA@230Vac, 50kA@415Vac - marca ABB.</t>
  </si>
  <si>
    <t>ITM Caja Moldeada 4x800A (electrónico [0.4-1.0] In) - T6S800-800A-4P-PR222DS/P-LSI - 85kA@230Vac, 50kA@415Vac - marca ABB.</t>
  </si>
  <si>
    <t>ITM Caja Moldeada 4x1000A (electrónico [0.4-1.0] In) - T6S1000-1000A-4P-PR222DS/P-LSI - 85kA@230Vac, 50kA@415Vac - marca ABB.</t>
  </si>
  <si>
    <t>ITM Caja Moldeada 4x800A (electrónico [0.4-1.0] In) - T6H800-800A-4P-PR222DS/P-LSI - 100kA@230Vac, 70kA@415Vac - marca ABB.</t>
  </si>
  <si>
    <t>ITM Caja Moldeada 3x1600A (electrónico [0.4-1.0] In) - T7H1600-1600A-3P-PR232/P-LSI - 70kA@415Vac - marca ABB.</t>
  </si>
  <si>
    <t>ITM Caja Moldeada 4x800A (electrónico [0.4-1.0] In) - T7S1000-800A-4P-PR232/P-LSI - 50kA@415Vac - marca ABB.</t>
  </si>
  <si>
    <t>ITM Caja Moldeada 4x1000A (electrónico [0.4-1.0] In) - T7S1000-1000A-4P-PR232/P-LSI - 50kA@415Vac - marca ABB.</t>
  </si>
  <si>
    <t>ITM Caja Moldeada 4x1250A (electrónico [0.4-1.0] In) - T7S1250-1250A-4P-PR232/P-LSI - 50kA@415Vac - marca ABB.</t>
  </si>
  <si>
    <t>ITM Caja Moldeada 4x1600A (electrónico [0.4-1.0] In) - T7S1600-1600A-4P-PR232/P-LSI - 50kA@415Vac - marca ABB.</t>
  </si>
  <si>
    <t>ITM Caja Moldeada 3x800A (electrónico [0.4-1.0] In) - T7S800(M)-800A-3P-PR232/P-LSI - 50kA@415Vac - marca ABB.</t>
  </si>
  <si>
    <t>ITM Caja Moldeada 3x1000A (electrónico [0.4-1.0] In) - T7S1000(M)-1000A-3P-PR232/P-LSI - 50kA@415Vac - marca ABB.</t>
  </si>
  <si>
    <t>ITM Caja Moldeada 3x1250A (electrónico [0.4-1.0] In) - T7S1250(M)-1250A-3P-PR232/P-LSI - 50kA@415Vac - marca ABB.</t>
  </si>
  <si>
    <t>ITM Caja Moldeada 3x1600A (electrónico [0.4-1.0] In) - T7S1600(M)-1600A-3P-PR232/P-LSI - 50kA@415Vac - marca ABB.</t>
  </si>
  <si>
    <t>ITM Caja Moldeada 3x1250A (electrónico [0.4-1.0] In) - T7H1250(M)-1250A-3P-PR232/P-LSI - 70kA@415Vac - marca ABB.</t>
  </si>
  <si>
    <t>ITM Caja Moldeada 3x1600A (electrónico [0.4-1.0] In) - T7H1600(M)-1600A-3P-PR232/P-LSI - 70kA@415Vac - marca ABB.</t>
  </si>
  <si>
    <t>ITM Caja Moldeada 4x800A (electrónico [0.4-1.0] In) - T7S800(M)-800A-4P-PR232/P-LSI - 50kA@415Vac - marca ABB.</t>
  </si>
  <si>
    <t>ITM Caja Moldeada 4x1000A (electrónico [0.4-1.0] In) - T7S1000(M)-1000A-4P-PR232/P-LSI - 50kA@415Vac - marca ABB.</t>
  </si>
  <si>
    <t>ITM Caja Moldeada 4x1600A (electrónico [0.4-1.0] In) - T7S1600(M)-1600A-4P-PR232/P-LSI - 50kA@415Vac - marca ABB.</t>
  </si>
  <si>
    <t>ITM Caja Moldeada 4x1000A (electrónico [0.4-1.0] In) - T7H1000(M)-1000A-4P-PR232/P-LSI - 70kA@415Vac - marca ABB.</t>
  </si>
  <si>
    <t>XLP_000-6CC</t>
  </si>
  <si>
    <t>Seccionador tripolar de montaje y operación horizontal - 100A@500Vac, 100A@220Vdc - modelo XLP_000-6CC - marca ABB.</t>
  </si>
  <si>
    <t>1SEP201428R0001</t>
  </si>
  <si>
    <t>Controlador de Conmutación Automática ATS022 - pantalla digital, con módulo de com. Modbus-RS485 para monitoreo - marca ABB.</t>
  </si>
  <si>
    <t>OTM_I-0-II_3p_200A</t>
  </si>
  <si>
    <t>Conmutador motorizado bajo carga (I-0-II), modelo OTM-C, 3p, 200A (AC21..AC22) / 200A (AC23) - marca ABB.</t>
  </si>
  <si>
    <t>Transferencia - (2) ITM Caja Moldeada 3x80A + enclav. mecánico + mando elect. - XT1S-TMD-80A - 50kA@415Vac - ABB.</t>
  </si>
  <si>
    <t>Transferencia - (2) ITM Caja Moldeada 3x100A + enclav. mecánico + mando elect. - XT1S-TMD-100A - 50kA@415Vac - ABB.</t>
  </si>
  <si>
    <t>Transferencia - (2) ITM Caja Moldeada 3x125A + enclav. mecánico + mando elect. - XT1S-TMD-125A - 50kA@415Vac - ABB.</t>
  </si>
  <si>
    <t>Transferencia - (2) ITM Caja Moldeada 3x160A + enclav. mecánico + mando elect. - XT1S-TMD-160A - 50kA@415Vac - ABB.</t>
  </si>
  <si>
    <t>Transferencia - (2) ITM Caja Moldeada 3x200A + enclav. mecánico + mando elect. - XT3S-TMD-200A - 50kA@415Vac - ABB.</t>
  </si>
  <si>
    <t>Transferencia - (2) ITM Caja Moldeada 3x250A + enclav. mecánico + mando elect. - XT3S-TMD-250A - 50kA@415Vac - ABB.</t>
  </si>
  <si>
    <t>Transferencia - (2) ITM Caja Moldeada 3x400A + enclav. mecánico + mando elect. - T5N-LS/I-400A - 36kA@415Vac - marca ABB.</t>
  </si>
  <si>
    <t>Transferencia - (2) ITM Caja Moldeada 3x630A + enclav. mecánico + mando elect. - T5N-LS/I-630A - 36kA@415Vac - marca ABB.</t>
  </si>
  <si>
    <t>Transferencia - (2) ITM Caja Moldeada 3x800A + enclav. mecánico + mando elect. - T6N-LS/I-800A - 36kA@400Vac - marca ABB.</t>
  </si>
  <si>
    <t>Transferencia - (2) ITM Caja Moldeada 3x1000A + enclav. mecánico + mando elect. - T6N-LS/I-1000A - 36kA@415Vac - marca ABB.</t>
  </si>
  <si>
    <t>Transferencia - (2) ITM Caja Moldeada 3x400A + enclav. mecánico + mando elect. - T5S-LS/I-400A - 50kA@415Vac - marca ABB.</t>
  </si>
  <si>
    <t>Transferencia - (2) ITM Caja Moldeada 3x630A + enclav. mecánico + mando elect. - T5S-LS/I-630A - 50kA@415Vac - marca ABB.</t>
  </si>
  <si>
    <t>Transferencia - (2) ITM Caja Moldeada 3x800A + enclav. mecánico + mando elect. - T6S-LS/I-800A - 50kA@415Vac - marca ABB.</t>
  </si>
  <si>
    <t>Transferencia - (2) ITM Caja Moldeada 3x1000A + enclav. mecánico + mando elect. - T6S-LS/I-1000A - 50kA@415Vac - marca ABB.</t>
  </si>
  <si>
    <t>Transferencia - (2) ITM Caja Moldeada 3x1250A + enclav. mecánico + mando elect. - T7S(M)-LS/I-1250A - 50kA@415Vac - marca ABB.</t>
  </si>
  <si>
    <t>Transferencia - (2) ITM Caja Moldeada 3x1600A + enclav. mecánico + mando elect. - T7S(M)-LS/I-1600A - 50kA@415Vac - marca ABB.</t>
  </si>
  <si>
    <t>AF52-30-00-13_3p</t>
  </si>
  <si>
    <t>Contactor 3x53A(AC-3) / 3x100A(AC-1) - AF52-30-00-13 - bobina 100-250Vac/dc - marca ABB.</t>
  </si>
  <si>
    <t>1SBL367001R1300</t>
  </si>
  <si>
    <t>AF65-30-00-13_3p</t>
  </si>
  <si>
    <t>Contactor 3x63A(AC-3) / 3x105A(AC-1) - AF65-30-00-13 - bobina 100-250Vac/dc - marca ABB.</t>
  </si>
  <si>
    <t>1SBL387001R1300</t>
  </si>
  <si>
    <t>AF80-30-00-13_3p</t>
  </si>
  <si>
    <t>Contactor 3x80A(AC-3) / 3x125A(AC-1) - AF80-30-00-13 - bobina 100-250Vac/dc - marca ABB.</t>
  </si>
  <si>
    <t>1SBL397001R1300</t>
  </si>
  <si>
    <t>1SBN010140R1122</t>
  </si>
  <si>
    <t>CA4-22E</t>
  </si>
  <si>
    <t>Contacto auxiliar frontal 2NA+2NC para contactor AF26..AF96-30-00, frontal - Modelo CA4-22E - marca ABB.</t>
  </si>
  <si>
    <t>1SBN010140R1022</t>
  </si>
  <si>
    <t>VM4</t>
  </si>
  <si>
    <t>1SBN030105T1000</t>
  </si>
  <si>
    <t>VM96-4</t>
  </si>
  <si>
    <t>1SBN033405T1000</t>
  </si>
  <si>
    <t>SEL_1-0-2_mod</t>
  </si>
  <si>
    <t>SEL_N-0-E_mod</t>
  </si>
  <si>
    <t>SEL_0-1_mod</t>
  </si>
  <si>
    <t>Selector 3 posiciones mantenidos - 1-0-2 / M-0-A - maneta corta, contactos 2NA - C3SS1-10B-20 - compacto - marca ABB.</t>
  </si>
  <si>
    <t>1SFA619210R1026</t>
  </si>
  <si>
    <t>SEL_N-0-E</t>
  </si>
  <si>
    <t>Selector 3 posiciones mantenidos - N-0-E / 1-0-2  - maneta corta, contactos 2NA - C3SS1-10B-20 - compacto - marca ABB.</t>
  </si>
  <si>
    <t>Selector 2 posiciones mantenidos - 0-1 - maneta corta, contacto 1NA+1NC - C2SS2-10B-11 - compacto - marca ABB.</t>
  </si>
  <si>
    <t>1SFA619201R1076</t>
  </si>
  <si>
    <t>1SFA619403R5231</t>
  </si>
  <si>
    <t>1SFA619403R5232</t>
  </si>
  <si>
    <t>1SFA619403R5233</t>
  </si>
  <si>
    <t>1SFA619403R5131</t>
  </si>
  <si>
    <t>1SFA619403R5132</t>
  </si>
  <si>
    <t>1SFA619403R5133</t>
  </si>
  <si>
    <t>LAMP_ROJO_120Vdc</t>
  </si>
  <si>
    <t>1SFA619403R5151</t>
  </si>
  <si>
    <t>LAMP_VERDE_120Vdc</t>
  </si>
  <si>
    <t>1SFA619403R5152</t>
  </si>
  <si>
    <t>LAMP_AM_120Vdc</t>
  </si>
  <si>
    <t>1SFA619403R5153</t>
  </si>
  <si>
    <t>Relé de monitoreo de tensión (UL) modelo CM-PVE - Ue=320..460Vac - Max/min tensión, pérdida de fase, t=0.5s. - marca ABB.</t>
  </si>
  <si>
    <t>Relé de monitoreo de tensión (UL) modelo CM-MPS.31S -  Ue=160..300Vac - Max/min tensión, pérdida /secuencia /desbalance de fase, t=0, 0.1.. 30s. - marca ABB.</t>
  </si>
  <si>
    <t>Relé de monitoreo de tensión (UL) modelo CM-MPS.41S - Ue=300..500Vac - Max/min tensión, pérdida /secuencia /desbalance de fase, t=0, 0.1.. 30s. - marca ABB.</t>
  </si>
  <si>
    <t>Relé de monitoreo de tensión (UL) modelo CM-ESS.2S, Umed=30..300V AC/DC, Uc= 24-240V AC/DC - Max/min tensión, t=0, 0.1.. 30s., 2 salidas NA/NC - marca ABB.</t>
  </si>
  <si>
    <t>RELE_TENSION_500Vac</t>
  </si>
  <si>
    <t>Relé de monitoreo de tensión (UL) modelo CM-MPN.52S - Ue=350..580Vac - Max/min tensión, pérdida /secuencia /desbalance de fase, t=0, 0.1.. 30s. - marca ABB.</t>
  </si>
  <si>
    <t>1SVR750487R8300</t>
  </si>
  <si>
    <t>CM-IWS.1S</t>
  </si>
  <si>
    <t>Relé de monitoreo de aislamiento (UL) modelo CM-IWS.1S - Umed &lt;=  0-250V AC / 0-300V DC, R_an=1..100kOhm., Uc = 24-240V AC/DC, C_fuga&lt;= 10uF - marca ABB.</t>
  </si>
  <si>
    <t>1SVR730660R0100</t>
  </si>
  <si>
    <t>A1X1PK</t>
  </si>
  <si>
    <t>FUSIBLE_NH-000_63A</t>
  </si>
  <si>
    <t>FUSIBLE_NH-000_50A</t>
  </si>
  <si>
    <t>FUSIBLE_NH-000_50A_FS</t>
  </si>
  <si>
    <t>407FS52050</t>
  </si>
  <si>
    <t>FERRAZ SHAWMUT</t>
  </si>
  <si>
    <t>BORNE-70mm2</t>
  </si>
  <si>
    <t>Borne 70mm2, color gris - modelo UKH 50 - marca PHOENIX CONTACT.</t>
  </si>
  <si>
    <t>PHOENIX CONTACT</t>
  </si>
  <si>
    <t>BORNE-70mm2_azul</t>
  </si>
  <si>
    <t>Borne 70mm2, azul (señalizado) - modelo UKH 50 - marca PHOENIX CONTACT.</t>
  </si>
  <si>
    <t>BORNE-95mm2</t>
  </si>
  <si>
    <t>Borne 95mm2, color plomo - modelo UKH 95 - marca PHOENIX CONTACT.</t>
  </si>
  <si>
    <t>PUENTE_FIJO</t>
  </si>
  <si>
    <t>Puente fijo, modelo FBI 2-20 - PHOENIX CONTACT</t>
  </si>
  <si>
    <t>MARCADORES</t>
  </si>
  <si>
    <t>Tira de marcadores ZB10 (10 unidades) sin rotular - marca PHOENIX CONTACT.</t>
  </si>
  <si>
    <t>Protector contra Sobretensión Transitorio 1F+N , Ue=220Vac, corriente pico por fase 60kA - marca SINE TAMMER.</t>
  </si>
  <si>
    <t>Protector contra Sobretensión Transitorio 1F+T , Ue=220Vac, corriente pico por fase 100kA - marca SINE TAMMER.</t>
  </si>
  <si>
    <t>Protector contra Sobretensión Transitorio 3F+T , Ue=220Vac, corriente pico por fase 40kA - modelo RM-ST, marca SINE TAMMER.</t>
  </si>
  <si>
    <t>Protector contra Sobretensión Transitorio 3F+N+T , Ue=380/220Vac, corriente pico por fase 40kA - modelo RM-ST, marca SINE TAMMER.</t>
  </si>
  <si>
    <t>Protector contra Sobretensión Transitorio 3F+T , Ue=220Vac, corriente pico por fase 80kA - modelo RM-ST, marca SINE TAMMER.</t>
  </si>
  <si>
    <t>Protector contra Sobretensión Transitorio 3F+N+T , Ue=380/220Vac, corriente pico por fase 80kA - modelo RM-ST, marca SINE TAMMER.</t>
  </si>
  <si>
    <t>Protector contra Sobretensión Transitorio 3F+T , Ue=220Vac, corriente pico 120kA - modelo LA-ST, marca SINE TAMMER.</t>
  </si>
  <si>
    <t>Protector contra Sobretensión Transitorio 3F+N+T , Ue=380/220Vac, corriente pico 120kA - modelo LA-ST, marca SINE TAMMER.</t>
  </si>
  <si>
    <t>Protector contra Sobretensión Transitorio 3F+T , Ue=220Vac, corriente pico 180kA - modelo LA-ST, marca SINE TAMMER.</t>
  </si>
  <si>
    <t>Protector contra Sobretensión Transitorio 3F+N+T , Ue=380/220Vac, corriente pico 180kA - modelo LA-ST, marca SINE TAMMER.</t>
  </si>
  <si>
    <t>Protector contra Sobretensión Transitorio 3F+T , Ue=220Vac, corriente pico 240kA - modelo LA-ST, marca SINE TAMMER.</t>
  </si>
  <si>
    <t>Protector contra Sobretensión Transitorio 3F+N+T , Ue=380/220Vac, corriente pico 240kA - modelo LA-ST, marca SINE TAMMER.</t>
  </si>
  <si>
    <t>Relé de vigilancia de aislamiento - modelo isoMED427P-2 - Con vigilancia de carga y temperatura integrada y generador de corriente de prueba - Sistemas IT MEDICOS - marca BENDER.</t>
  </si>
  <si>
    <t>B72075301</t>
  </si>
  <si>
    <t>(econom.)</t>
  </si>
  <si>
    <t>Relé de vigilancia de aislamiento - modelo IR427-2 - Con vigilancia de carga y temperatura del transformador - marca BENDER.</t>
  </si>
  <si>
    <t>B72075300</t>
  </si>
  <si>
    <t>Transformador de corriente de carga, d=13mm. para isoMED427P-2 / IR427-2 - modelo STW2, marca BENDER.</t>
  </si>
  <si>
    <t>B942709</t>
  </si>
  <si>
    <t>B95100002</t>
  </si>
  <si>
    <t xml:space="preserve">Repetidor de alarma sugeridos para UCI - modelo MK2007CBM, marca BENDER. </t>
  </si>
  <si>
    <t>B923813</t>
  </si>
  <si>
    <t xml:space="preserve">Repetidor de alarma para la indicacion de alarma y prueba de aislacion para IR427-2 - modelo MK7, marca BENDER. </t>
  </si>
  <si>
    <t>B95100201</t>
  </si>
  <si>
    <t>Fuente de alimentacion para 04 repetidores MK2430-12 / MK2007CBM / MK7 - modelo AN450, marca BENDER.</t>
  </si>
  <si>
    <t>B924201</t>
  </si>
  <si>
    <t>ES710/5000-E</t>
  </si>
  <si>
    <t>Transformador de aislamiento de 5KVA, eficiencia=96%, h_max=5000msnm, normas IEC, VDE - modelo ES710/5000-E - marca BENDER.</t>
  </si>
  <si>
    <t>B92090103</t>
  </si>
  <si>
    <t>ES710/8000-E</t>
  </si>
  <si>
    <t>B92090105</t>
  </si>
  <si>
    <t>B92090106</t>
  </si>
  <si>
    <t>B91080101</t>
  </si>
  <si>
    <t>SS.AA. 380/220Vac</t>
  </si>
  <si>
    <t>4x2000A - E2.2</t>
  </si>
  <si>
    <t>Barras de unión
(ITM-barra / ITM-ITM)</t>
  </si>
  <si>
    <t>TTA-02</t>
  </si>
  <si>
    <t>TGN-2.1</t>
  </si>
  <si>
    <t>4x1600A - T7</t>
  </si>
  <si>
    <t>4x400A - T5</t>
  </si>
  <si>
    <t>4x630A - T6</t>
  </si>
  <si>
    <t>4x630A - T5</t>
  </si>
  <si>
    <t>4x1600A T7</t>
  </si>
  <si>
    <t>TGE-2.1</t>
  </si>
  <si>
    <t>TBC2</t>
  </si>
  <si>
    <t>3x1000A T6</t>
  </si>
  <si>
    <t>TG-T1</t>
  </si>
  <si>
    <t>4x2500A - E2.2</t>
  </si>
  <si>
    <t>TTA-01</t>
  </si>
  <si>
    <t>TGN-1.1</t>
  </si>
  <si>
    <t>4x800A - T6</t>
  </si>
  <si>
    <t>TGE-1.1</t>
  </si>
  <si>
    <t>Se ha considerado que los tableros generales "TG-P3"(item 06) y "TDB-E"(item 05) estén preparados para conexión a las salidas hacia</t>
  </si>
  <si>
    <t>el Ducto de Barras o las entradas desde el Ducto de Barras (en donde sea requerido según el diagrama unifilar) mediante un acople</t>
  </si>
  <si>
    <t>de barras. No forma parte del suministro la conexión con banda flexible entre dicho acople y el ducto de barras. La geometría y</t>
  </si>
  <si>
    <t>disposición física exacta de la llegada/entrada del Ducto de Barras serán definidas en la etapa de aprobación de planos mecánicos.</t>
  </si>
  <si>
    <t>Se ha cotizado el tablero "BC"(item 01) como un sistema de:</t>
  </si>
  <si>
    <t>Banco de Condensadores trifásico de 110kVAR@380Vac, incluye reactancias para filtro de rechazo de armónicas con un</t>
  </si>
  <si>
    <t>factor de desintonia p=7% , en cumplimiento de las especificaciones técnicas (pg.19-20).</t>
  </si>
  <si>
    <t>(Building Products)</t>
  </si>
  <si>
    <t>AUTOSOPORTADOS</t>
  </si>
  <si>
    <t>ADOSADOS</t>
  </si>
  <si>
    <t>EMPOTRADOS</t>
  </si>
  <si>
    <t>OTROS</t>
  </si>
  <si>
    <t>FORMATO DE
PRESUPUESTO v.2</t>
  </si>
  <si>
    <t xml:space="preserve">Tableros eléctricos tipo Autosoportado, modular, grado de protección IP-54, fabricados en plancha galvanizada de 1/16" de espesor , con puerta de acceso frontal en plancha de 5/64"  de espesor y chapa, tratamiento anticorrosivo de fosfatizado y acabado con pintura electrostática color RAL 7032 , interiormente llevará un juego de barras de cobre electrolítico de 99,9% de conductividad debidamente dimensionado y soportado sobre sus respectivos aisladores. </t>
  </si>
  <si>
    <t xml:space="preserve">Estará equipado con componentes marca ABB, para un sistema trifásico de 380/220 Vac, 60Hz, barra a neutro y barra a tierra. </t>
  </si>
  <si>
    <t>TABLEROS ELÉCTRICOS  AUTOSOPORTADOS</t>
  </si>
  <si>
    <t>TABLEROS ELÉCTRICOS  DE DISTRIBUCIÓN</t>
  </si>
  <si>
    <t>ELÉCTRICOS , segun el estudio realizado.</t>
  </si>
  <si>
    <r>
      <t xml:space="preserve">Tablero eléctrico de distribución, para </t>
    </r>
    <r>
      <rPr>
        <b/>
        <sz val="11"/>
        <rFont val="Arial"/>
        <family val="2"/>
      </rPr>
      <t xml:space="preserve">EMPOTRAR / ADOSAR, </t>
    </r>
    <r>
      <rPr>
        <sz val="11"/>
        <rFont val="Arial"/>
        <family val="2"/>
      </rPr>
      <t>grado de encerramiento tipo</t>
    </r>
    <r>
      <rPr>
        <b/>
        <sz val="11"/>
        <rFont val="Arial"/>
        <family val="2"/>
      </rPr>
      <t xml:space="preserve"> IP-42</t>
    </r>
    <r>
      <rPr>
        <sz val="11"/>
        <rFont val="Arial"/>
        <family val="2"/>
      </rPr>
      <t>, la caja y puerta de acceso frontal con chapa, fabricadas en plancha galvanizado con acabado electrostático RAL 7032 al horno; incluye directorio de circuitos e interiormente estará equipado con conectores de cobre.</t>
    </r>
  </si>
  <si>
    <t>NEMA 1 / NEMA 3R</t>
  </si>
  <si>
    <t>NEMA 12 / NEMA 3R</t>
  </si>
  <si>
    <t>IP-20</t>
  </si>
  <si>
    <t>IP-20 / IP-14</t>
  </si>
  <si>
    <t>NEMA 12 / NEMA 4</t>
  </si>
  <si>
    <t>IP-54 / IP-14</t>
  </si>
  <si>
    <t>IP-54 / IP-65</t>
  </si>
  <si>
    <t>IP-40 / IP-14</t>
  </si>
  <si>
    <t>125Vdc (2P)</t>
  </si>
  <si>
    <t>250Vdc (2P)</t>
  </si>
  <si>
    <t>480Vdc (2P)</t>
  </si>
  <si>
    <t>400/230Vac (3F+N)</t>
  </si>
  <si>
    <t>230Vac (3F)</t>
  </si>
  <si>
    <t>48Vdc (2P)</t>
  </si>
  <si>
    <t>TABLEROS ELÉCTRICOS AUTOSOPORTADOS</t>
  </si>
  <si>
    <t>A1B125-63A-3P-TMF</t>
  </si>
  <si>
    <t>A1B125-32A-3P-TMF</t>
  </si>
  <si>
    <t>PSPD120220Y3K</t>
  </si>
  <si>
    <t>SH203-C-10A</t>
  </si>
  <si>
    <t>REACT_15kVAR/220V_p7</t>
  </si>
  <si>
    <t>COND_15kVAR/220V_p7</t>
  </si>
  <si>
    <t>CMC_10kVAR/230V</t>
  </si>
  <si>
    <t>REACT_10kVAR/220V_p7</t>
  </si>
  <si>
    <t>COND_10kVAR/220V_p7</t>
  </si>
  <si>
    <t>REG_SMART_III_6p</t>
  </si>
  <si>
    <t>SELECT. N-0-E</t>
  </si>
  <si>
    <t>ITM Riel-Din 3x10A - SH203-C-10A - 10kA@230Vac, 6kA@400Vac-IEC60898 - marca ABB.</t>
  </si>
  <si>
    <t>A1N/P125-32A-1P-TMF</t>
  </si>
  <si>
    <t>ITM Caja Moldeada 1x32A - A1N/P125-32A-1P-TMF - 25kA@230V, 5kA@400V - marca ABB.</t>
  </si>
  <si>
    <t>1SDA066688R1</t>
  </si>
  <si>
    <t>ITM Caja Moldeada 3x32A - A1B125-32A-3P-TMF - 25kA@230Vac, 18kA@400Vac - marca ABB.</t>
  </si>
  <si>
    <t>ITM Caja Moldeada 3x63A - A1B125-63A-3P-TMF - 25kA@230Vac, 18kA@400Vac - marca ABB.</t>
  </si>
  <si>
    <t>A1B125-32A-4P-TMF</t>
  </si>
  <si>
    <t>ITM Caja Moldeada 4x32A - A1B125-32A-4P-TMF - 25kA@230Vac, 18kA@400Vac - marca ABB.</t>
  </si>
  <si>
    <t>A1B125-63A-4P-TMF</t>
  </si>
  <si>
    <t>ITM Caja Moldeada 4x63A - A1B125-63A-4P-TMF - 25kA@230Vac, 18kA@400Vac - marca ABB.</t>
  </si>
  <si>
    <t>A1C125-32A-3P-TMF</t>
  </si>
  <si>
    <t>A1C125-63A-3P-TMF</t>
  </si>
  <si>
    <t>ITM Caja Moldeada 4x20A - A1C125-20A-3P-TMF - 30kA@230Vac, 25kA@400Vac, 10kA@250Vdc - marca ABB.</t>
  </si>
  <si>
    <t>ITM Caja Moldeada 4x25A - A1C125-25A-3P-TMF - 30kA@230Vac, 25kA@400Vac, 10kA@250Vdc - marca ABB.</t>
  </si>
  <si>
    <t>A1C125-32A-4P-TMF</t>
  </si>
  <si>
    <t>ITM Caja Moldeada 4x32A - A1C125-32A-3P-TMF - 30kA@230Vac, 25kA@400Vac, 10kA@250Vdc - marca ABB.</t>
  </si>
  <si>
    <t>ITM Caja Moldeada 4x40A - A1C125-40A-3P-TMF - 30kA@230Vac, 25kA@400Vac, 10kA@250Vdc - marca ABB.</t>
  </si>
  <si>
    <t>ITM Caja Moldeada 4x50A - A1C125-50A-3P-TMF - 30kA@230Vac, 25kA@400Vac, 10kA@250Vdc - marca ABB.</t>
  </si>
  <si>
    <t>A1C125-63A-4P-TMF</t>
  </si>
  <si>
    <t>ITM Caja Moldeada 4x63A - A1C125-63A-3P-TMF - 30kA@230Vac, 25kA@400Vac, 10kA@250Vdc - marca ABB.</t>
  </si>
  <si>
    <t>ITM Caja Moldeada 4x70A - A1C125-70A-3P-TMF - 30kA@230Vac, 25kA@400Vac, 10kA@250Vdc - marca ABB.</t>
  </si>
  <si>
    <t>ITM Caja Moldeada 4x80A - A1C125-80A-3P-TMF - 30kA@230Vac, 25kA@400Vac, 10kA@250Vdc - marca ABB.</t>
  </si>
  <si>
    <t>ITM Caja Moldeada 4x90A - A1C125-90A-3P-TMF - 30kA@230Vac, 25kA@400Vac, 10kA@250Vdc - marca ABB.</t>
  </si>
  <si>
    <t>ITM Caja Moldeada 4x100A - A1C125-100A-3P-TMF - 30kA@230Vac, 25kA@400Vac, 10kA@250Vdc - marca ABB.</t>
  </si>
  <si>
    <t>ITM Caja Moldeada 4x125A - A1C125-125A-3P-TMF - 30kA@230Vac, 25kA@400Vac, 10kA@250Vdc - marca ABB.</t>
  </si>
  <si>
    <t>A2N250-160A-2P-TMF</t>
  </si>
  <si>
    <t>ITM Caja Moldeada 2x160A - A2N250-160A-2P-TMF - 10kA@125Vdc - marca ABB.</t>
  </si>
  <si>
    <t>1SDA066543R1</t>
  </si>
  <si>
    <t>A2N250-200A-2P-TMF</t>
  </si>
  <si>
    <t>ITM Caja Moldeada 2x200A - A2N250-200A-2P-TMF - 10kA@125Vdc - marca ABB.</t>
  </si>
  <si>
    <t>1SDA066545R1</t>
  </si>
  <si>
    <t>A2N250-250A-2P-TMF</t>
  </si>
  <si>
    <t>ITM Caja Moldeada 2x250A - A2N250-250A-2P-TMF - 10kA@125Vdc - marca ABB.</t>
  </si>
  <si>
    <t>1SDA066547R1</t>
  </si>
  <si>
    <t>A2N250-125A-3P-TMF</t>
  </si>
  <si>
    <t>ITM Caja Moldeada 3x125A - A2N250-125A-3P-TMF - 50kA@230Vac, 36kA@400Vac - marca ABB.</t>
  </si>
  <si>
    <t>1SDA066781R1</t>
  </si>
  <si>
    <t>A2N250-125A-4P-TMF</t>
  </si>
  <si>
    <t>ITM Caja Moldeada 4x125A - A2N250-125A-4P-TMF - 50kA@230Vac, 36kA@400Vac, 10kA@250Vdc - marca ABB.</t>
  </si>
  <si>
    <t>1SDA066793R1</t>
  </si>
  <si>
    <t>A2N250-160A-4P-TMF</t>
  </si>
  <si>
    <t>ITM Caja Moldeada 4x160A - A2N250-160A-4P-TMF - 50kA@230Vac, 36kA@400Vac, 10kA@250Vdc - marca ABB.</t>
  </si>
  <si>
    <t>1SDA066794R1</t>
  </si>
  <si>
    <t>A2N250-200A-4P-TMF</t>
  </si>
  <si>
    <t>ITM Caja Moldeada 4x200A - A2N250-200A-4P-TMF - 50kA@230Vac, 36kA@400Vac, 10kA@250Vdc - marca ABB.</t>
  </si>
  <si>
    <t>1SDA066796R1</t>
  </si>
  <si>
    <t>A2N250-250A-4P-TMF</t>
  </si>
  <si>
    <t>ITM Caja Moldeada 4x250A - A2N250-250A-4P-TMF - 50kA@230Vac, 36kA@400Vac, 10kA@250Vdc - marca ABB.</t>
  </si>
  <si>
    <t>1SDA066798R1</t>
  </si>
  <si>
    <t>FC-CuAl_A1 - Terminales + Cubrebornes - cables de cobre/aluminio hasta 1x50mm2 - 3 terminales (internos)</t>
  </si>
  <si>
    <t>FC-CuAl_A1 - Terminales + Cubrebornes - cables de cobre/aluminio hasta 1x50mm2 - 4 terminales (internos)</t>
  </si>
  <si>
    <t>FC-CuAl_A2 - Terminales + Cubrebornes - cables de cobre/aluminio hasta 1x120mm2 - 3 terminales (internos)</t>
  </si>
  <si>
    <t>FC-CuAl_A2 - Terminales + Cubrebornes - cables de cobre/aluminio hasta 1x120mm2 - 4 terminales (internos)</t>
  </si>
  <si>
    <t>FC-CuAl_A3 - Terminales - cables de cobre/aluminio hasta 1x300mm2 - 3 terminales (internos)</t>
  </si>
  <si>
    <t>FC-CuAl_A3 - Terminales + Cubrebornes - cables de cobre/aluminio hasta 2x240mm2 - 3 terminales (externos)</t>
  </si>
  <si>
    <t>FC-CuAl_A3 - Terminales - cables de cobre/aluminio hasta 1x300mm2 - 4 terminales (internos)</t>
  </si>
  <si>
    <t>FC-CuAl_A3 - Terminales + Cubrebornes - cables de cobre/aluminio hasta 2x240mm2 - 4 terminales (externos)</t>
  </si>
  <si>
    <t>Bobina de apertura (YO) - A1..A2 - SOR versión no cableada - 220-240V AC/DC - marca ABB.</t>
  </si>
  <si>
    <t>Bobina de apertura (YO) - A3 - SOR versión no cableada - 220-240V AC/DC - marca ABB.</t>
  </si>
  <si>
    <t>XT4N160-50A-3P-TMA</t>
  </si>
  <si>
    <t>ITM Caja Moldeada 3x50A (reg.[0.7-1.0] In) - XT4N160-50A-3P-TMA - 65kA@230Vac, 36kA@415Vac - marca ABB.</t>
  </si>
  <si>
    <t>1SDA068084R1</t>
  </si>
  <si>
    <t>XT4N160-40A-4P-TMA</t>
  </si>
  <si>
    <t>ITM Caja Moldeada 4x40A (reg.[0.7-1.0] In) - XT4N160-40A-4P-TMA - 65kA@230Vac, 36kA@415Vac, 36kA@500Vdc - marca ABB.</t>
  </si>
  <si>
    <t>1SDA068097R1</t>
  </si>
  <si>
    <t>XT4N160-50A-4P-TMA</t>
  </si>
  <si>
    <t>ITM Caja Moldeada 4x50A (reg.[0.7-1.0] In) - XT4N160-50A-4P-TMA - 65kA@230Vac, 36kA@415Vac, 36kA@500Vdc - marca ABB.</t>
  </si>
  <si>
    <t>1SDA068098R1</t>
  </si>
  <si>
    <t>ITM Caja Moldeada 4x63A (reg.[0.7-1.0] In) - XT4N160-63A-4P-TMA - 65kA@230Vac, 36kA@415Vac, 36kA@500Vdc - marca ABB.</t>
  </si>
  <si>
    <t>ITM Caja Moldeada 4x80A (reg.[0.7-1.0] In) - XT4N160-80A-4P-TMA - 65kA@230Vac, 36kA@415Vac, 36kA@500Vdc - marca ABB.</t>
  </si>
  <si>
    <t>ITM Caja Moldeada 4x100A (reg.[0.7-1.0] In) - XT4N160-100A-4P-TMA - 65kA@230Vac, 36kA@415Vac, 36kA@500Vdc - marca ABB.</t>
  </si>
  <si>
    <t>ITM Caja Moldeada 4x125A (reg.[0.7-1.0] In) - XT4N160-125A-4P-TMA - 65kA@230Vac, 36kA@415Vac, 36kA@500Vdc - marca ABB.</t>
  </si>
  <si>
    <t>ITM Caja Moldeada 4x160A (reg.[0.7-1.0] In) - XT4N160-160A-4P-TMA - 65kA@230Vac, 36kA@415Vac, 36kA@500Vdc - marca ABB.</t>
  </si>
  <si>
    <t>ITM Caja Moldeada 4x200A (reg.[0.7-1.0] In) - XT4N250-200A-4P-TMA - 65kA@230Vac, 36kA@415Vac, 36kA@500Vdc - marca ABB.</t>
  </si>
  <si>
    <t>ITM Caja Moldeada 4x250A (reg.[0.7-1.0] In) - XT4N250-250A-4P-TMA - 65kA@230Vac, 36kA@415Vac, 36kA@500Vdc - marca ABB.</t>
  </si>
  <si>
    <t>XT4S160-50A-3P-TMA</t>
  </si>
  <si>
    <t>ITM Caja Moldeada 3x50A (reg.[0.7-1.0] In) - XT4S160-50A-3P-TMA - 85kA@230Vac, 50kA@415Vac - marca ABB.</t>
  </si>
  <si>
    <t>1SDA068304R1</t>
  </si>
  <si>
    <t>XT4S160-50A-4P-TMA</t>
  </si>
  <si>
    <t>ITM Caja Moldeada 4x50A (reg.[0.7-1.0] In) - XT4S160-50A-4P-TMA - 85kA@230Vac, 50kA@415Vac, 50kA@500Vdc - marca ABB.</t>
  </si>
  <si>
    <t>1SDA068318R1</t>
  </si>
  <si>
    <t>XT4S160-63A-4P-TMA</t>
  </si>
  <si>
    <t>ITM Caja Moldeada 4x63A (reg.[0.7-1.0] In) - XT4S160-63A-4P-TMA - 85kA@230Vac, 50kA@415Vac, 50kA@500Vdc - marca ABB.</t>
  </si>
  <si>
    <t>1SDA068319R1</t>
  </si>
  <si>
    <t>XT4S160-80A-4p-TMA</t>
  </si>
  <si>
    <t>ITM Caja Moldeada 4x80A (reg.[0.7-1.0] In) - XT4S160-80A-4P-TMA - 85kA@230Vac, 50kA@415Vac, 50kA@500Vdc - marca ABB.</t>
  </si>
  <si>
    <t>1SDA068320R1</t>
  </si>
  <si>
    <t>XT4S160-100A-4p-TMA</t>
  </si>
  <si>
    <t>ITM Caja Moldeada 4x100A (reg.[0.7-1.0] In) - XT4S160-100A-4P-TMA - 85kA@230Vac, 50kA@415Vac, 50kA@500Vdc - marca ABB.</t>
  </si>
  <si>
    <t>1SDA068321R1</t>
  </si>
  <si>
    <t>XT4S160-125A-4p-TMA</t>
  </si>
  <si>
    <t>ITM Caja Moldeada 4x125A (reg.[0.7-1.0] In) - XT4S160-125A-4P-TMA - 85kA@230Vac, 50kA@415Vac, 50kA@500Vdc - marca ABB.</t>
  </si>
  <si>
    <t>1SDA068327R1</t>
  </si>
  <si>
    <t>XT4S160-160A-4p-TMA</t>
  </si>
  <si>
    <t>ITM Caja Moldeada 4x160A (reg.[0.7-1.0] In) - XT4S160-160A-4P-TMA - 85kA@230Vac, 50kA@415Vac, 50kA@500Vdc - marca ABB.</t>
  </si>
  <si>
    <t>1SDA068328R1</t>
  </si>
  <si>
    <t>ITM Caja Moldeada 4x200A (reg.[0.7-1.0] In) - XT4S250-200A-4P-TMA - 85kA@230Vac, 50kA@415Vac, 50kA@500Vdc - marca ABB.</t>
  </si>
  <si>
    <t>XT4S250-225A-4P-TMA</t>
  </si>
  <si>
    <t>ITM Caja Moldeada 4x250A (reg.[0.7-1.0] In) - XT4S250-225A-4P-TMA - 85kA@230Vac, 50kA@415Vac, 50kA@500Vdc - marca ABB.</t>
  </si>
  <si>
    <t>1SDA068330R1</t>
  </si>
  <si>
    <t>ITM Caja Moldeada 4x250A (reg.[0.7-1.0] In) - XT4S250-250A-4P-TMA - 85kA@230Vac, 50kA@415Vac, 50kA@500Vdc - marca ABB.</t>
  </si>
  <si>
    <t>FC-Cu_XT1 - Terminales - cables de cobre hasta 1x50mm2 - 3 terminales (internos)</t>
  </si>
  <si>
    <t>FC-Cu_XT1 - Terminales - cables de cobre hasta 1x50mm2 - 4 terminales (internos)</t>
  </si>
  <si>
    <t>FC-CuAl_XT1 - Terminales + Cubrebornes - cables de cobre/aluminio hasta 1x95mm2 - 3 terminales (externos)</t>
  </si>
  <si>
    <t>FC-CuAl_XT1 - Terminales + Cubrebornes - cables de cobre/aluminio hasta 1x95mm2 - 4 terminales (externos)</t>
  </si>
  <si>
    <t>FC-Cu_XT2 - Terminales - cables de cobre hasta 1x70mm2 - 3 terminales (internos)</t>
  </si>
  <si>
    <t>FC-Cu_XT2 - Terminales - cables de cobre hasta 1x70mm2 - 4 terminales (internos)</t>
  </si>
  <si>
    <t>FC-CuAl_XT2 - Terminales + Cubrebornes - cables de cobre/aluminio hasta 1x185mm2 - 3 terminales (externos)</t>
  </si>
  <si>
    <t>FC-CuAl_XT2 - Terminales + Cubrebornes - cables de cobre/aluminio hasta 1x185mm2 - 4 terminales (externos)</t>
  </si>
  <si>
    <t>FC-Cu_XT3 - Terminales - cables de cobre hasta 1x150mm2 - 3 terminales (internos)</t>
  </si>
  <si>
    <t>FC-Cu_XT3 - Terminales - cables de cobre hasta 1x150mm2 - 4 terminales (internos)</t>
  </si>
  <si>
    <t>FC-CuAl_XT3 - Terminales + Adaptador - cables de cobre/aluminio hasta 1x240mm2 - 3 terminales (externos)</t>
  </si>
  <si>
    <t>FC-CuAl_XT3 - Terminales + Adaptador - cables de cobre/aluminio hasta 1x240mm2 - 4 terminales (externos)</t>
  </si>
  <si>
    <t>FC-Cu_XT4 - Terminales - cables de cobre hasta 1x150mm2 - 3 terminales (internos)</t>
  </si>
  <si>
    <t>FC-Cu_XT4 - Terminales - cables de cobre hasta 1x150mm2 - 4 terminales (internos)</t>
  </si>
  <si>
    <t>FC-CuAl_XT4 - Terminales + Adaptador - cables de cobre/aluminio hasta 1x240mm2 - 3 terminales (externos)</t>
  </si>
  <si>
    <t>FC-CuAl_XT4 - Terminales + Adaptador - cables de cobre/aluminio hasta 1x240mm2 - 4 terminales (externos)</t>
  </si>
  <si>
    <t>Bobina de apertura (YO) - XT1..XT4 - SOR versión no cableada - 220-240V AC/DC - marca ABB.</t>
  </si>
  <si>
    <t>T5N400-320A-3P-TMA</t>
  </si>
  <si>
    <t>ITM Caja Moldeada 3x320A (reg.[0.7-1.0] In) - T5N400-320A-3P-TMA - 70kA@230Vac, 36kA@415Vac - marca ABB.</t>
  </si>
  <si>
    <t>1SDA054436R1</t>
  </si>
  <si>
    <t>T5N400-400A-3P-TMA</t>
  </si>
  <si>
    <t>ITM Caja Moldeada 3x400A (reg.[0.7-1.0] In) - T5N400-400A-3P-TMA - 70kA@230Vac, 36kA@415Vac - marca ABB.</t>
  </si>
  <si>
    <t>1SDA054437R1</t>
  </si>
  <si>
    <t>T5S400-320A-3P-TMA</t>
  </si>
  <si>
    <t>ITM Caja Moldeada 3x320A (reg.[0.7-1.0] In) - T5S400-320A-3P-TMA - 85kA@230Vac, 50kA@415Vac - marca ABB.</t>
  </si>
  <si>
    <t>1SDA054440R1</t>
  </si>
  <si>
    <t>T5S400-400A-3P-TMA</t>
  </si>
  <si>
    <t>ITM Caja Moldeada 3x400A (reg.[0.7-1.0] In) - T5S400-400A-3P-TMA - 85kA@230Vac, 50kA@415Vac - marca ABB.</t>
  </si>
  <si>
    <t>1SDA054441R1</t>
  </si>
  <si>
    <t>T5N400-320A-4P-TMA</t>
  </si>
  <si>
    <t>ITM Caja Moldeada 4x320A (reg.[0.7-1.0] In) - T5N400-320A-4P-TMA - 70kA@230Vac, 36kA@415Vac, 25kA@500Vdc - marca ABB.</t>
  </si>
  <si>
    <t>1SDA054477R1</t>
  </si>
  <si>
    <t>T5N400-400A-4P-TMA</t>
  </si>
  <si>
    <t>ITM Caja Moldeada 4x400A (reg.[0.7-1.0] In) - T5N400-400A-4P-TMA - 70kA@230Vac, 36kA@415Vac, 25kA@500Vdc - marca ABB.</t>
  </si>
  <si>
    <t>1SDA054478R1</t>
  </si>
  <si>
    <t>T5N630-500A-4P-TMA</t>
  </si>
  <si>
    <t>ITM Caja Moldeada 4x500A (reg.[0.7-1.0] In) - T5N630-500A-4P-TMA - 70kA@230Vac, 36kA@415Vac, 25kA@500Vdc - marca ABB.</t>
  </si>
  <si>
    <t>1SDA054487R1</t>
  </si>
  <si>
    <t>T5S400-320A-4P-TMA</t>
  </si>
  <si>
    <t>ITM Caja Moldeada 4x320A (reg.[0.7-1.0] In) - T5S400-320A-4P-TMA - 85kA@230Vac, 50kA@415Vac, 36kA@500Vdc - marca ABB.</t>
  </si>
  <si>
    <t>1SDA054479R1</t>
  </si>
  <si>
    <t>T5S400-400A-4P-TMA</t>
  </si>
  <si>
    <t>ITM Caja Moldeada 4x400A (reg.[0.7-1.0] In) - T5S400-400A-4P-TMA - 85kA@230Vac, 50kA@415Vac, 36kA@500Vdc - marca ABB.</t>
  </si>
  <si>
    <t>1SDA054480R1</t>
  </si>
  <si>
    <t>T5S630-500A-4P-TMA</t>
  </si>
  <si>
    <t>ITM Caja Moldeada 4x500A (reg.[0.7-1.0] In) - T5S630-500A-4P-TMA - 85kA@230Vac, 50kA@415Vac, 36kA@500Vdc - marca ABB.</t>
  </si>
  <si>
    <t>1SDA054489R1</t>
  </si>
  <si>
    <t>T5N630-630A-4P-PR221DS-LS/I</t>
  </si>
  <si>
    <t>ITM Caja Moldeada 4x630A (electrónico [0.4-1.0] In) - T5N630-630A-4P-PR221DS-LS/I - 70kA@230Vac, 36kA@415Vac - marca ABB.</t>
  </si>
  <si>
    <t>1SDA054400R1</t>
  </si>
  <si>
    <t>T6N800-800A-4P-PR221DS-LS/I</t>
  </si>
  <si>
    <t>ITM Caja Moldeada 4x800A (electrónico [0.4-1.0] In) - T6N800-800A-4P-PR221DS-LS/I - 70kA@230V, 36kA@415V - marca ABB.</t>
  </si>
  <si>
    <t>1SDA060273R1</t>
  </si>
  <si>
    <t>T6N1000-1000A-4P-PR221DS-LS/I</t>
  </si>
  <si>
    <t>ITM Caja Moldeada 4x1000A (electrónico [0.4-1.0] In) - T6N1000-1000A-4P-PR221DS-LS/I - 70kA@230V, 36kA@415V - marca ABB.</t>
  </si>
  <si>
    <t>1SDA060542R1</t>
  </si>
  <si>
    <t>T6N1000-1000A-4P-PR222DS/P-LSI</t>
  </si>
  <si>
    <t>ITM Caja Moldeada 4x1000A (electrónico [0.4-1.0] In) - T6N1000-1000A-4P-PR222DS/P-LSI - 70kA@230Vac, 36kA@415Vac - marca ABB.</t>
  </si>
  <si>
    <t>1SDA060544R1</t>
  </si>
  <si>
    <t>FC-CuAl_T4 - Terminales + Cubrebornes - cables de cobre/aluminio hasta 1x240mm2 - 4 terminales (externos)</t>
  </si>
  <si>
    <t>FC-CuAl_T5_3t_400A</t>
  </si>
  <si>
    <t>FC-CuAl_T5-400A - Terminales - cables de cobre/aluminio hasta 1x300mm2 - 3 terminales (internos).</t>
  </si>
  <si>
    <t>FC-CuAl_T5_4t_400A</t>
  </si>
  <si>
    <t>FC-CuAl_T5-400A - Terminales - cables de cobre/aluminio hasta 1x300mm2 - 4 terminales (internos).</t>
  </si>
  <si>
    <t>FC-CuAl_T5 - Terminales + Cubrebornes - cables de cobre/aluminio hasta 2x240mm2 - 4 terminales (externos)</t>
  </si>
  <si>
    <t>FC-CuAl_T6-800A - Terminales + Cubrebornes  - cables de cobre/aluminio hasta 3x185mm2 - 4 terminales (externos)</t>
  </si>
  <si>
    <t>FC-CuAl_T7-1250A/T7(M)-1250A - Terminales + Cubrebornes - cables de cobre/aluminio hasta 4x240mm2 - 4 terminales (externos)</t>
  </si>
  <si>
    <t>YO_T4-T5-T6</t>
  </si>
  <si>
    <t>Bobina de apertura (YO) - T4-T5-T6 - SOR versión no cableada - 220-240V AC/DC - marca ABB.</t>
  </si>
  <si>
    <t>YO_T4-T5-T6_48V</t>
  </si>
  <si>
    <t>Bobina de apertura (YO) - T4-T5-T6 - SOR versión no cableada - 48..60V AC/DC - marca ABB.</t>
  </si>
  <si>
    <t>1SDA054864R1</t>
  </si>
  <si>
    <t>Bobina de mínima tensión (YU) - T4-T5-T6 - UVR versión no cableada - 220-240V AC/DC - marca ABB.</t>
  </si>
  <si>
    <t>Bobina de apertura (YO) - T7 / T7(M) - SOR versión no cableada - 220-240V AC/DC - marca ABB.</t>
  </si>
  <si>
    <t>Bobina de cierre (YC) - T7(M) - SCR versión no cableada - 220-240V AC/DC - marca ABB.</t>
  </si>
  <si>
    <t>Bobina de mínima tensión (YU) - T7 / T7(M) - UVR versión no cableada - 220-240V AC/DC - marca ABB.</t>
  </si>
  <si>
    <t>Bobina de apertura (YO) - T8 - SOR versión no cableada - 220-240V AC/DC - marca ABB.</t>
  </si>
  <si>
    <t>Bobina de cierre (YC) - T8 - SCR versión no cableada - 220-240V AC/DC - marca ABB.</t>
  </si>
  <si>
    <t>Bobina de mínima tensión (YU) - T8 - UVR versión no cableada - 220-240V AC/DC - marca ABB.</t>
  </si>
  <si>
    <t>E1.2N-800A-4P-Ekip Hi-Touch LSIG</t>
  </si>
  <si>
    <t>ITM Bastidor Abierto 4x800A (electrónico [0.4-1.0] In) - E1.2N-800A-4P-Ekip Hi-touch LSIG (funciones avanzadas) - 66kA@440Vac - marca ABB.</t>
  </si>
  <si>
    <t>1SDA071399R1</t>
  </si>
  <si>
    <t>E1.2N-1600A-4P-Ekip Hi-Touch LSIG</t>
  </si>
  <si>
    <t>ITM Bastidor Abierto 4x1600A (electrónico [0.4-1.0] In) - E1.2N-1600A-4P-Ekip Hi-touch LSIG (funciones avanzadas) - 66kA@440Vac - marca ABB.</t>
  </si>
  <si>
    <t>1SDA071519R1</t>
  </si>
  <si>
    <t>Bobina de apertura (YO) - Emax2 - 220-240V AC/DC.</t>
  </si>
  <si>
    <t>Bobina de cierre (YC) - Emax2 - 220-240V AC/DC.</t>
  </si>
  <si>
    <t>EKIP-COM_E1.2-E6.2</t>
  </si>
  <si>
    <t>Módulo de comunicación RS-485, Modbus RTU -Emax E1.2…E6.2  - marca ABB.</t>
  </si>
  <si>
    <t>1SDA074150R1</t>
  </si>
  <si>
    <t>1SDA073804R1</t>
  </si>
  <si>
    <t>VV-ACS355-P/11kW</t>
  </si>
  <si>
    <t>3AUA0000058192</t>
  </si>
  <si>
    <t>DM</t>
  </si>
  <si>
    <t>CHK-04</t>
  </si>
  <si>
    <t>Reactancia de Entrada de L=1.5mH, IP 00 - modelo CHK-04, marca ABB</t>
  </si>
  <si>
    <t>NOCH0030-62</t>
  </si>
  <si>
    <t>Reactancia de Salida (Filtro du/dt). IP 22 - modelo NOCH0030-62, marca ABB.</t>
  </si>
  <si>
    <t>CBR-V 660</t>
  </si>
  <si>
    <t>Resistencia de Frenado de 33 Ohm. 1130W, IP 21 - modelo CBR-V 660 DHT 415 33R, marca ABB .</t>
  </si>
  <si>
    <t>KIT P/PANEL</t>
  </si>
  <si>
    <t>VV-ACS355-P/5.5kW</t>
  </si>
  <si>
    <t>3AUA0000058190</t>
  </si>
  <si>
    <t>CHK-03</t>
  </si>
  <si>
    <t>Reactancia de Entrada de L=2.7mH, IP 00 - modelo CHK-03, marca ABB</t>
  </si>
  <si>
    <t>NOCH0016-62</t>
  </si>
  <si>
    <t>Reactancia de Salida (Filtro du/dt) L=150uH. IP 22 - modelo NOCH0016-62, marca ABB.</t>
  </si>
  <si>
    <t>CBR-V 460</t>
  </si>
  <si>
    <t>Resistencia de Frenado de 80 Ohm. 790W, IP 21 - modelo CBR-V 460 DHT 281 80R, marca ABB .</t>
  </si>
  <si>
    <t>VV-ACS355-P/1.5kW</t>
  </si>
  <si>
    <t>3AUA0000058186</t>
  </si>
  <si>
    <t>CHK-02</t>
  </si>
  <si>
    <t>Reactancia de Entrada de L=4.6mH, IP 00 - modelo CHK-02, marca ABB</t>
  </si>
  <si>
    <t>ACS-CHK-C3</t>
  </si>
  <si>
    <t>Reactancia de Salida L=0.8mH. IP 20 - modelo ACS-CHK-C3, marca ABB.</t>
  </si>
  <si>
    <t>CBR-V 210</t>
  </si>
  <si>
    <t>Resistencia de Frenado de 200 Ohm. 360W, IP 21 - modelo CBR-V 210 DT 281 200R, marca ABB .</t>
  </si>
  <si>
    <t>VV-ACS355-P/2.2kW</t>
  </si>
  <si>
    <t>3AUA0000058187</t>
  </si>
  <si>
    <t>VV-ACS355-P/0.75kW</t>
  </si>
  <si>
    <t>3AUA0000058184</t>
  </si>
  <si>
    <t>CHK-01</t>
  </si>
  <si>
    <t>Reactancia de Entrada de L=6.4mH, IP 00 - modelo CHK-01, marca ABB</t>
  </si>
  <si>
    <t>ACS-CHK-B3</t>
  </si>
  <si>
    <t>Reactancia de Salida L=1.5mH. IP 20 - modelo ACS-CHK-B3, marca ABB.</t>
  </si>
  <si>
    <t>VV-ACS355-P/1.1kW</t>
  </si>
  <si>
    <t>3AUA0000058185</t>
  </si>
  <si>
    <t>BZM3-XKA1</t>
  </si>
  <si>
    <t>BZM3-XKA2</t>
  </si>
  <si>
    <t>Motor operador 220Vac. (Bobina de apertura + Bobina de cierre + motor-reductor) para interruptor LZM2</t>
  </si>
  <si>
    <t>Motor operador 220Vac. (Bobina de apertura + Bobina de cierre + motor-reductor) para interruptor LZM3</t>
  </si>
  <si>
    <t>Motor operador 220Vac. (Bobina de apertura + Bobina de cierre + motor-reductor) para interruptor LZM4</t>
  </si>
  <si>
    <t>NZM1-XKA</t>
  </si>
  <si>
    <t>NZM2-160-XKC</t>
  </si>
  <si>
    <t>NZM2-250-XKC</t>
  </si>
  <si>
    <t>NZM2-XKA</t>
  </si>
  <si>
    <t>NZM3-XKC</t>
  </si>
  <si>
    <t>NZM3-XKA1</t>
  </si>
  <si>
    <t>NZM3-XKA2</t>
  </si>
  <si>
    <t>NZM4-XKA</t>
  </si>
  <si>
    <t>CONM - 63A 4P</t>
  </si>
  <si>
    <t>BREMAS</t>
  </si>
  <si>
    <t>CONM - 40A 4P</t>
  </si>
  <si>
    <t>CONM - 25A 4P</t>
  </si>
  <si>
    <t>CONM - 40A 3P</t>
  </si>
  <si>
    <t>CONM - 32A 3P</t>
  </si>
  <si>
    <t>CONM - 25A 3P</t>
  </si>
  <si>
    <t>CONM - 100A 2P</t>
  </si>
  <si>
    <t>CONM - 32A 2P</t>
  </si>
  <si>
    <t>CONM - 25A 2P</t>
  </si>
  <si>
    <t>Modelo ER</t>
  </si>
  <si>
    <t>ER-C16/1-MW</t>
  </si>
  <si>
    <t>ER-C20/1-MW</t>
  </si>
  <si>
    <t>ER-C20/3-MW</t>
  </si>
  <si>
    <t>ELSTER</t>
  </si>
  <si>
    <t>ORBIS</t>
  </si>
  <si>
    <t>Interruptor Horario digital, marca ORBIS.</t>
  </si>
  <si>
    <t>Selector tres posiciones "NORMAL-0-EMERGENCIA".</t>
  </si>
  <si>
    <t>SELECT. A-P</t>
  </si>
  <si>
    <t>Selector dos posiciones "AUTO-PRUEBA".</t>
  </si>
  <si>
    <t>ENC-MEC-160F</t>
  </si>
  <si>
    <t>Bloqueo mecánico para enclavamiento manual entre dos interruptores (permite la conexión de un solo suministro) - Frame 160A.</t>
  </si>
  <si>
    <t>ENC-MEC-250F</t>
  </si>
  <si>
    <t>Bloqueo mecánico para enclavamiento manual entre dos interruptores (permite la conexión de un solo suministro) - Frame 250A.</t>
  </si>
  <si>
    <t>ENC-MEC-320F</t>
  </si>
  <si>
    <t>Bloqueo mecánico para enclavamiento manual entre dos interruptores (permite la conexión de un solo suministro) - Frame 320A.</t>
  </si>
  <si>
    <t>ENC-MEC-630F</t>
  </si>
  <si>
    <t>Bloqueo mecánico para enclavamiento manual entre dos interruptores (permite la conexión de un solo suministro) - Frame  630A.</t>
  </si>
  <si>
    <t>ENC-MEC-1000F</t>
  </si>
  <si>
    <t>Bloqueo mecánico para enclavamiento manual entre dos interruptores (permite la conexión de un solo suministro) - Frame 1000A.</t>
  </si>
  <si>
    <t>ENC-MEC-1600F</t>
  </si>
  <si>
    <t>Bloqueo mecánico para enclavamiento manual entre dos interruptores (permite la conexión de un solo suministro) - Frame 1600A.</t>
  </si>
  <si>
    <t>ZB12-0.16</t>
  </si>
  <si>
    <t>ZB12-0.24</t>
  </si>
  <si>
    <t>ZB12-0.4</t>
  </si>
  <si>
    <t>ZB12-0.6</t>
  </si>
  <si>
    <t>ZB12-1</t>
  </si>
  <si>
    <t>ZB12-1.6</t>
  </si>
  <si>
    <t>ZB12-2.4</t>
  </si>
  <si>
    <t>ZB12-4</t>
  </si>
  <si>
    <t>ZB12-6</t>
  </si>
  <si>
    <t>ZB12-10</t>
  </si>
  <si>
    <t>ZB12-12</t>
  </si>
  <si>
    <t>ZB12-16</t>
  </si>
  <si>
    <t>ZB32-0.16</t>
  </si>
  <si>
    <t>ZB32-0.24</t>
  </si>
  <si>
    <t>ZB32-0.4</t>
  </si>
  <si>
    <t>ZB32-0.6</t>
  </si>
  <si>
    <t>ZB32-1</t>
  </si>
  <si>
    <t>ZB32-1.6</t>
  </si>
  <si>
    <t>ZB32-2.4</t>
  </si>
  <si>
    <t>ZB32-4</t>
  </si>
  <si>
    <t>ZB32-6</t>
  </si>
  <si>
    <t>ZB32-10</t>
  </si>
  <si>
    <t>ZB32-16</t>
  </si>
  <si>
    <t>ZB32-24</t>
  </si>
  <si>
    <t>ZB32-32</t>
  </si>
  <si>
    <t>Bobina de apertura (YO) - Magnum - 220-240V AC/DC.</t>
  </si>
  <si>
    <t>Bobina de cierre (YC) - Magnum - 220-240V AC/DC.</t>
  </si>
  <si>
    <t>Soporte para fijación mural, distancia a pared de 15mm (4 pzas.) - Ref.:2508.100 - marca RITTAL.</t>
  </si>
  <si>
    <t>REACT_12.5kVAR/230V_p7</t>
  </si>
  <si>
    <t>COND_12.5kVAR/230V_p7</t>
  </si>
  <si>
    <t>Regulador de factor de potencia, 6 pasos, Ve = 100-520 Vac, modelo Computer SMART III, marca CIRCUTOR.</t>
  </si>
  <si>
    <t>CMC_12.5kVAR/230V</t>
  </si>
  <si>
    <t>Fusible 63A NH-000, 500VCA, 120kA C/I Falla clase gL - marca DF ELECTRIC.</t>
  </si>
  <si>
    <t>Fusible 50A NH-000, 500VCA, 120kA C/I Falla clase gL/gG - marca DF ELECTRIC.</t>
  </si>
  <si>
    <t>Fusible 50A NH-000, 500VAC, 120kA, gL/gG - marca FERRAZ SHAWMUT.</t>
  </si>
  <si>
    <t>FUSIBLE_J_250A_FS</t>
  </si>
  <si>
    <t>423FSAJT250</t>
  </si>
  <si>
    <t>BASE_FUSIBLE_J_400A</t>
  </si>
  <si>
    <t>Base Portafusible 1 polo, 201..400A, modelo 64031J - 3"x10", marca FERRAZ SHAWMUT.</t>
  </si>
  <si>
    <t>424FS64031J</t>
  </si>
  <si>
    <t>RM ST180 3N2</t>
  </si>
  <si>
    <t>Protector contra Sobretensión Transitorio 3F+T , Ue=220Vac, corriente pico por fase 120kA - modelo RM-ST, marca SINE TAMMER.</t>
  </si>
  <si>
    <t>RM ST180 3Y2</t>
  </si>
  <si>
    <t>Protector contra Sobretensión Transitorio 3F+N+T , Ue=380/220Vac, corriente pico por fase 120kA - modelo RM-ST, marca SINE TAMMER.</t>
  </si>
  <si>
    <t>Mandil abisagrado</t>
  </si>
  <si>
    <t>Bobina de disparo 380-600Vac para modelos GE/GJ/GL - marca EATON.</t>
  </si>
  <si>
    <t>ITM de  x 20A - tornillo - BAB,  10kA / 240Vac. , marca EATON.</t>
  </si>
  <si>
    <t>Bloqueo por candado en palanca de maniobra del interruptor - BZM1-XKAV - marca marca EATON.</t>
  </si>
  <si>
    <t>Bobina de mínima tensión para interruptor modelo LZMS2, 208V – 240V, 50/60 Hz. - marca marca EATON.</t>
  </si>
  <si>
    <t>Bobina de mínima tensión para interruptor modelo LZMS4, 208V – 240V, 50/60 Hz. - marca marca EATON.</t>
  </si>
  <si>
    <t xml:space="preserve">Contactor 20A (AC-1 ) / 7A (AC-3) + 1NA, bob. 220Vac. , marca EATON. </t>
  </si>
  <si>
    <t xml:space="preserve">Contactor 20A (AC-1 ) / 9A (AC-3) + 1NA, bob. 220Vac. , marca EATON. </t>
  </si>
  <si>
    <t xml:space="preserve">Contactor 20A (AC-1 ) / 12A (AC-3) + 1NA, bob. 220Vac. , marca EATON. </t>
  </si>
  <si>
    <t xml:space="preserve">Contactor 20A (AC-1 ) / 15A (AC-3) + 1NA, bob. 220Vac. , marca EATON. </t>
  </si>
  <si>
    <t xml:space="preserve">Contactor 35A (AC-1 ) / 17A (AC-3) + 1NA, bob. 220Vac. , marca EATON. </t>
  </si>
  <si>
    <t xml:space="preserve">Contactor 40A (AC-1 ) / 25A (AC-3) + 1NA, bob. 220Vac. , marca EATON. </t>
  </si>
  <si>
    <t xml:space="preserve">Contactor 40A (AC-1 ) / 32A (AC-3) + 1NA, bob. 220Vac. , marca EATON. </t>
  </si>
  <si>
    <t xml:space="preserve">Contactor 50A (AC-1 ) / 40A (AC-3) bob. 220Vac. , marca EATON. </t>
  </si>
  <si>
    <t xml:space="preserve">Contactor 65A (AC-1 ) / 50A (AC-3) bob. 220Vac. , marca EATON. </t>
  </si>
  <si>
    <t xml:space="preserve">Contactor 80A (AC-1 ) / 65A (AC-3) bob. 220Vac. , marca EATON. </t>
  </si>
  <si>
    <t xml:space="preserve">Contactor 80A (AC-1 ) / 72A (AC-3) bob. 220Vac. , marca EATON. </t>
  </si>
  <si>
    <t xml:space="preserve">Contactor 90A (AC-1 ) / 80A (AC-3) bob. 220Vac. , marca EATON. </t>
  </si>
  <si>
    <t xml:space="preserve">Contactor 110A (AC-1 ) / 95A (AC-3) bob. 220Vac. marca EATON. </t>
  </si>
  <si>
    <t xml:space="preserve">Contactor 130A (AC-1 ) / 115A (AC-3) bob. 220Vac. marca EATON. </t>
  </si>
  <si>
    <t xml:space="preserve">Contactor 160A (AC-1 ) / 150A (AC-3) bob. 220Vac. marca EATON. </t>
  </si>
  <si>
    <t xml:space="preserve">Contactor 185A (AC-1 ) / 170A (AC-3) bob. 220Vac. marca EATON. </t>
  </si>
  <si>
    <t xml:space="preserve">Contactor 275A (AC-1 ) / 185A (AC-3) bob. 220Vac. marca EATON. </t>
  </si>
  <si>
    <t xml:space="preserve">Contactor 315A (AC-1 ) / 225A (AC-3) bob. 220Vac. marca EATON. </t>
  </si>
  <si>
    <t xml:space="preserve">Contactor 330A (AC-1 ) / 250A (AC-3) bob. 220Vac. marca EATON. </t>
  </si>
  <si>
    <t xml:space="preserve">Contactor 400A (AC-1 ) / 300A (AC-3) bob. 220Vac. marca EATON. </t>
  </si>
  <si>
    <t xml:space="preserve">Contactor 500A (AC-1 ) / 400A (AC-3) bob. 220Vac. marca EATON. </t>
  </si>
  <si>
    <t xml:space="preserve">Contactor 700A (AC-1 ) / 500A (AC-3) bob. 220Vac. marca EATON. </t>
  </si>
  <si>
    <t xml:space="preserve">Contactor 20A (AC-1 ) / 7A (AC-3) + 1NA, bob. 110/120Vac., marca EATON. </t>
  </si>
  <si>
    <t xml:space="preserve">Contactor 20A (AC-1 ) / 9A (AC-3)+ 1NA, bob. 110/120Vac., marca EATON. </t>
  </si>
  <si>
    <t xml:space="preserve">Contactor 20A (AC-1 ) / 12A (AC-3) + 1NA, bob. 110/120Vac., marca EATON. </t>
  </si>
  <si>
    <t xml:space="preserve">Contactor 20A (AC-1 ) / 15A (AC-3) + 1NA, bob. 110/120Vac., marca EATON. </t>
  </si>
  <si>
    <t xml:space="preserve">Contactor 35A (AC-1 ) / 17A (AC-3) + 1NA, bob. 110/120Vac., marca EATON. </t>
  </si>
  <si>
    <t xml:space="preserve">Contactor 40A (AC-1 ) / 25A (AC-3) + 1NA, bob. 110/120Vac., marca EATON. </t>
  </si>
  <si>
    <t xml:space="preserve">Contactor 40A (AC-1 ) / 32A (AC-3) + 1NA, bob. 110/120Vac., marca EATON. </t>
  </si>
  <si>
    <t>Módulo de comunicación RS 485 MODBUS, para Analizador de Red, DIRIS-A40, marca SOCOMEC.</t>
  </si>
  <si>
    <t>DIRIS-A40/Com_Prof</t>
  </si>
  <si>
    <t>Módulo de comunicación RS 485, PROFIBUS PD, para Analizador de Red, DIRIS-A40, marca SOCOMEC.</t>
  </si>
  <si>
    <t>4825 0205</t>
  </si>
  <si>
    <t>PRODUCTOS marca EATON AGREGADOS MANUALMENTE</t>
  </si>
  <si>
    <t>Minicontactor de control DILER-22 / XTRM10A22B, 10A, 2NA+2NC, bobina 220Vac, marca EATON.</t>
  </si>
  <si>
    <t>Minicontactor de control XTRM10A22T, 10A, 2NA+2NC, bobina 24Vac, marca EATON.</t>
  </si>
  <si>
    <t>Contactor 4x12A(AC-3) / 4x22A(AC-1) - bobina 220Vac - Marca marca EATON.</t>
  </si>
  <si>
    <t>Contactor 4x18A(AC-3) / 4x32A(AC-1) - bobina 220Vac - Marca marca EATON.</t>
  </si>
  <si>
    <t>Contactor 4x25A(AC-3) / 4x45A(AC-1) - bobina 220Vac - Marca marca EATON.</t>
  </si>
  <si>
    <t>Contactor 4x40A(AC-3) / 4x63A(AC-1) - bobina 220Vac - Marca marca EATON.</t>
  </si>
  <si>
    <t>Contactor 4x50A(AC-3) / 4x80A(AC-1) - bobina 220Vac - Marca marca EATON.</t>
  </si>
  <si>
    <t>Contactor 4x80A(AC-3) / 4x125A(AC-1) - bobina 220Vac - Marca marca EATON.</t>
  </si>
  <si>
    <t>Contactor 4x95A(AC-3) / 4x160A(AC-1) - bobina 220Vac - Marca marca EATON.</t>
  </si>
  <si>
    <t>Contactor 4x115A(AC-3) / 4x200A(AC-1) - bobina 220Vac - Marca marca EATON.</t>
  </si>
  <si>
    <t>ITM de 4x10A - modular DIN - mMCM,  15kA - 230/400Vac., IEC 60947-2 , marca EATON.</t>
  </si>
  <si>
    <t>ITM de 4x16A - modular DIN - mMCM,  15kA - 230/400Vac., IEC 60947-2 , marca EATON.</t>
  </si>
  <si>
    <t>ITM de 4x20A - modular DIN - mMCM,  15kA - 230/400Vac., IEC 60947-2 , marca EATON.</t>
  </si>
  <si>
    <t>ITM de 4x25A - modular DIN - mMCM,  15kA - 230/400Vac., IEC 60947-2 , marca EATON.</t>
  </si>
  <si>
    <t>ITM de 4x32A - modular DIN - mMCM,  15kA - 230/400Vac., IEC 60947-2 , marca EATON.</t>
  </si>
  <si>
    <t>ITM de 4x40A - modular DIN - mMCM,  15kA - 230/400Vac., IEC 60947-2 , marca EATON.</t>
  </si>
  <si>
    <t>ITM de 4x50A - modular DIN - mMCM,  15kA - 230/400Vac., IEC 60947-2 , marca EATON.</t>
  </si>
  <si>
    <t>ITM de 4x63A - modular DIN - mMCM,  15kA - 230/400Vac., IEC 60947-2 , marca EATON.</t>
  </si>
  <si>
    <t>Controlador para Transferencia Automática, modelo ATC-300+, marca marca EATON.</t>
  </si>
  <si>
    <t>Kit de Transferencia para (2)ITM Bastidor Abierto 2500A - Enclav. mecánico + mando eléctrico + Circuito de control - marca EATON.</t>
  </si>
  <si>
    <t>Kit de Transferencia para (2)ITM Bastidor Abierto 800A - Circuito de control - marca EATON.</t>
  </si>
  <si>
    <t>Kit de Transferencia para (2)ITM Bastidor Abierto 1200/2000A - Circuito de control - marca EATON.</t>
  </si>
  <si>
    <t>Transformador de tensión monofásico 460 / 220 Vac - 5kVA.</t>
  </si>
  <si>
    <t>Transformador de tensión monofásico 460 / 220 Vac - 6kVA.</t>
  </si>
  <si>
    <t>Transformador de tensión monofásico 460 / 220 Vac - 10kVA.</t>
  </si>
  <si>
    <t>TRAFO_2F_480-240V_200VA</t>
  </si>
  <si>
    <t>Transformador de tensión monofásico 480 / 240 Vac - 200VA.</t>
  </si>
  <si>
    <t>COND_30kVAR/460V</t>
  </si>
  <si>
    <t>Juego de terminales para entrada de cables alimentadores (en interruptor principal).</t>
  </si>
  <si>
    <t>S201-B-6A</t>
  </si>
  <si>
    <t>ITM Riel-Din 1x6A - S201-B-6A - 10kA@230V-IEC60947-2 - marca ABB.</t>
  </si>
  <si>
    <t>S201-B-10A</t>
  </si>
  <si>
    <t>ITM Riel-Din 1x10A - S201-B-10A - 10kA@230V-IEC60947-2 - marca ABB.</t>
  </si>
  <si>
    <t>S201-B-16A</t>
  </si>
  <si>
    <t>ITM Riel-Din 1x16A - S201-B-16A - 10kA@230V-IEC60947-2 - marca ABB.</t>
  </si>
  <si>
    <t>2CDS251001R1165</t>
  </si>
  <si>
    <t>S201-B-20A</t>
  </si>
  <si>
    <t>ITM Riel-Din 1x20A - S201-B-20A - 10kA@230V-IEC60947-2 - marca ABB.</t>
  </si>
  <si>
    <t>S201-B-25A</t>
  </si>
  <si>
    <t>ITM Riel-Din 1x25A - S201-B-25A - 10kA@230V-IEC60947-2 - marca ABB.</t>
  </si>
  <si>
    <t>S201-B-32A</t>
  </si>
  <si>
    <t>ITM Riel-Din 1x32A - S201-B-32A - 10kA@230V-IEC60947-2 - marca ABB.</t>
  </si>
  <si>
    <t>S201-B-40A</t>
  </si>
  <si>
    <t>ITM Riel-Din 1x40A - S201-B-40A - 10kA@230V-IEC60947-2 - marca ABB.</t>
  </si>
  <si>
    <t>S201-B-50A</t>
  </si>
  <si>
    <t>ITM Riel-Din 1x50A - S201-B-50A - 10kA@230V-IEC60947-2 - marca ABB.</t>
  </si>
  <si>
    <t>S201-B-63A</t>
  </si>
  <si>
    <t>ITM Riel-Din 1x63A - S201-B-63A - 10kA@230V-IEC60947-2 - marca ABB.</t>
  </si>
  <si>
    <t>S202-B-6A</t>
  </si>
  <si>
    <t>ITM Riel-Din 2x6A - S202-B-6A - 10kA@230V-IEC60947-2 - marca ABB.</t>
  </si>
  <si>
    <t>S202-B-10A</t>
  </si>
  <si>
    <t>ITM Riel-Din 2x10A - S202-B-10A - 10kA@230V-IEC60947-2 - marca ABB.</t>
  </si>
  <si>
    <t>S202-B-16A</t>
  </si>
  <si>
    <t>ITM Riel-Din 2x16A - S202-B-16A - 10kA@230V-IEC60947-2 - marca ABB.</t>
  </si>
  <si>
    <t>S202-B-20A</t>
  </si>
  <si>
    <t>ITM Riel-Din 2x20A - S202-B-20A - 10kA@230V-IEC60947-2 - marca ABB.</t>
  </si>
  <si>
    <t>S202-B-25A</t>
  </si>
  <si>
    <t>ITM Riel-Din 2x25A - S202-B-25A - 10kA@230V-IEC60947-2 - marca ABB.</t>
  </si>
  <si>
    <t>S202-B-32A</t>
  </si>
  <si>
    <t>ITM Riel-Din 2x32A - S202-B-32A - 10kA@230V-IEC60947-2 - marca ABB.</t>
  </si>
  <si>
    <t>S202-B-40A</t>
  </si>
  <si>
    <t>ITM Riel-Din 2x40A - S202-B-40A - 10kA@230V-IEC60947-2 - marca ABB.</t>
  </si>
  <si>
    <t>S202-B-50A</t>
  </si>
  <si>
    <t>ITM Riel-Din 2x50A - S202-B-50A - 10kA@230V-IEC60947-2 - marca ABB.</t>
  </si>
  <si>
    <t>S202-B-63A</t>
  </si>
  <si>
    <t>ITM Riel-Din 2x63A - S202-B-63A - 10kA@230V-IEC60947-2 - marca ABB.</t>
  </si>
  <si>
    <t>S203-B-6A</t>
  </si>
  <si>
    <t>ITM Riel-Din 3x6A - S203-B-6A - 10kA@230V-IEC60947-2 - marca ABB.</t>
  </si>
  <si>
    <t>S203-B-10A</t>
  </si>
  <si>
    <t>ITM Riel-Din 3x10A - S203-B-10A - 10kA@230V-IEC60947-2 - marca ABB.</t>
  </si>
  <si>
    <t>S203-B-16A</t>
  </si>
  <si>
    <t>ITM Riel-Din 3x16A - S203-B-16A - 10kA@230V-IEC60947-2 - marca ABB.</t>
  </si>
  <si>
    <t>S203-B-20A</t>
  </si>
  <si>
    <t>ITM Riel-Din 3x20A - S203-B-20A - 10kA@230V-IEC60947-2 - marca ABB.</t>
  </si>
  <si>
    <t>S203-B-25A</t>
  </si>
  <si>
    <t>ITM Riel-Din 3x25A - S203-B-25A - 10kA@230V-IEC60947-2 - marca ABB.</t>
  </si>
  <si>
    <t>S203-B-32A</t>
  </si>
  <si>
    <t>ITM Riel-Din 3x32A - S203-B-32A - 10kA@230V-IEC60947-2 - marca ABB.</t>
  </si>
  <si>
    <t>S203-B-40A</t>
  </si>
  <si>
    <t>ITM Riel-Din 3x40A - S203-B-40A - 10kA@230V-IEC60947-2 - marca ABB.</t>
  </si>
  <si>
    <t>S203-B-50A</t>
  </si>
  <si>
    <t>ITM Riel-Din 3x50A - S203-B-50A - 10kA@230V-IEC60947-2 - marca ABB.</t>
  </si>
  <si>
    <t>S203-B-63A</t>
  </si>
  <si>
    <t>ITM Riel-Din 3x63A - S203-B-63A - 10kA@230V-IEC60947-2 - marca ABB.</t>
  </si>
  <si>
    <t>S204-B-6A</t>
  </si>
  <si>
    <t>ITM Riel-Din 4x6A - S204-B-6A - 10kA@230V-IEC60947-2 - marca ABB.</t>
  </si>
  <si>
    <t>S204-B-10A</t>
  </si>
  <si>
    <t>ITM Riel-Din 4x10A - S204-B-10A - 10kA@230V-IEC60947-2 - marca ABB.</t>
  </si>
  <si>
    <t>S204-B-16A</t>
  </si>
  <si>
    <t>ITM Riel-Din 4x16A - S204-B-16A - 10kA@230V-IEC60947-2 - marca ABB.</t>
  </si>
  <si>
    <t>S204-B-20A</t>
  </si>
  <si>
    <t>ITM Riel-Din 4x20A - S204-B-20A - 10kA@230V-IEC60947-2 - marca ABB.</t>
  </si>
  <si>
    <t>S204-B-25A</t>
  </si>
  <si>
    <t>ITM Riel-Din 4x25A - S204-B-25A - 10kA@230V-IEC60947-2 - marca ABB.</t>
  </si>
  <si>
    <t>S204-B-32A</t>
  </si>
  <si>
    <t>ITM Riel-Din 4x32A - S204-B-32A - 10kA@230V-IEC60947-2 - marca ABB.</t>
  </si>
  <si>
    <t>S204-B-40A</t>
  </si>
  <si>
    <t>ITM Riel-Din 4x40A - S204-B-40A - 10kA@230V-IEC60947-2 - marca ABB.</t>
  </si>
  <si>
    <t>S204-B-50A</t>
  </si>
  <si>
    <t>ITM Riel-Din 4x50A - S204-B-50A - 10kA@230V-IEC60947-2 - marca ABB.</t>
  </si>
  <si>
    <t>S204-B-63A</t>
  </si>
  <si>
    <t>ITM Riel-Din 4x63A - S204-B-63A - 10kA@230V-IEC60947-2 - marca ABB.</t>
  </si>
  <si>
    <t>S202-C-6A</t>
  </si>
  <si>
    <t>ITM Riel-Din 2x6A - S202-C-6A - 10kA@400V-IEC60947-2 - marca ABB.</t>
  </si>
  <si>
    <t>S202-C-80A</t>
  </si>
  <si>
    <t>ITM Riel-Din 2x80A - S202-C-80A - 10kA@400Vac-IEC60947-2 - marca ABB.</t>
  </si>
  <si>
    <t>2CDS252001R0804</t>
  </si>
  <si>
    <t>S202-C-100A</t>
  </si>
  <si>
    <t>ITM Riel-Din 2x100A - S202-C-63A - 10kA@400Vac-IEC60947-2 - marca ABB.</t>
  </si>
  <si>
    <t>2CDS252001R0824</t>
  </si>
  <si>
    <t>S203-C-6A</t>
  </si>
  <si>
    <t>ITM Riel-Din 3x6A - S203-C-6A - 10kA@400V-IEC60947-2 - marca ABB.</t>
  </si>
  <si>
    <t>S203-C-80A</t>
  </si>
  <si>
    <t>ITM Riel-Din 3x80A - S203-C-80A - 10kA@400Vac-IEC60947-2 - marca ABB.</t>
  </si>
  <si>
    <t>2CDS253001R0804</t>
  </si>
  <si>
    <t>S203-C-100A</t>
  </si>
  <si>
    <t>ITM Riel-Din 3x100A - S203-C-100A - 10kA@400Vac-IEC60947-2 - marca ABB.</t>
  </si>
  <si>
    <t>2CDS253001R0824</t>
  </si>
  <si>
    <t>ITM Riel-Din 3x50A + neutro seccionable NA - S203-C-50A_NA - 10kA@400Vac - marca ABB.</t>
  </si>
  <si>
    <t>ITM Riel-Din 3x32A + neutro seccionable NA - S203-C-32A_NA - 10kA@400Vac - marca ABB.</t>
  </si>
  <si>
    <t>ITM Riel-Din 3x50A + neutro seccionable NA - S203M-C-50A_NA - 15kA@400Vac - marca ABB.</t>
  </si>
  <si>
    <t>ITM Riel-Din 3x32A + neutro seccionable NA - S203M-C-32A_NA - 15kA@400Vac - marca ABB.</t>
  </si>
  <si>
    <t>ITM Riel-Din 3x50A + neutro seccionable NA - S203P-C-50A_NA - 15kA@400Vac - marca ABB.</t>
  </si>
  <si>
    <t>ITM Riel-Din 3x32A + neutro seccionable NA - S203P-C-32A_NA - 15kA@400Vac - marca ABB.</t>
  </si>
  <si>
    <t>S202-K16-16A</t>
  </si>
  <si>
    <t>ITM Riel-Din 2x16A - S202-K16-16A - 20kA@230V-IEC60947-2, 6kA@230/440V-IEC60898 - marca ABB.</t>
  </si>
  <si>
    <t>2CDS252001R0467</t>
  </si>
  <si>
    <t>S202-K20-20A</t>
  </si>
  <si>
    <t>ITM Riel-Din 2x20A - S202-K20-20A - 20kA@230V-IEC60947-2, 6kA@230/440V-IEC60898 - marca ABB.</t>
  </si>
  <si>
    <t>2CDS252001R0487</t>
  </si>
  <si>
    <t>S202-K25-25A</t>
  </si>
  <si>
    <t>ITM Riel-Din 2x25A - S202-K25-25A - 20kA@230V-IEC60947-2, 6kA@230/440V-IEC60898 - marca ABB.</t>
  </si>
  <si>
    <t>2CDS252001R0517</t>
  </si>
  <si>
    <t>S202-K32-32A</t>
  </si>
  <si>
    <t>ITM Riel-Din 2x32A - S202-K32-32A - 20kA@230V-IEC60947-2, 6kA@230/440V-IEC60898 - marca ABB.</t>
  </si>
  <si>
    <t>2CDS252001R0537</t>
  </si>
  <si>
    <t>S202-K40-40A</t>
  </si>
  <si>
    <t>ITM Riel-Din 2x40A - S202-K40-40A - 20kA@230V-IEC60947-2, 6kA@230/440V-IEC60898 - marca ABB.</t>
  </si>
  <si>
    <t>2CDS252001R0557</t>
  </si>
  <si>
    <t>S202-K50-50A</t>
  </si>
  <si>
    <t>ITM Riel-Din 2x50A - S202-K50-50A - 20kA@230V-IEC60947-2, 6kA@230/440V-IEC60898 - marca ABB.</t>
  </si>
  <si>
    <t>2CDS252001R0577</t>
  </si>
  <si>
    <t>S202-K63-63A</t>
  </si>
  <si>
    <t>ITM Riel-Din 2x63A - S202-K63-63A - 20kA@230V-IEC60947-2, 6kA@230/440V-IEC60898 - marca ABB.</t>
  </si>
  <si>
    <t>2CDS252001R0607</t>
  </si>
  <si>
    <t>S203-K10-10A</t>
  </si>
  <si>
    <t>ITM Riel-Din 3x10A - S203-K10-10A - 20kA@230V-IEC60947-2, 6kA@230/440V-IEC60898 - marca ABB.</t>
  </si>
  <si>
    <t>2CDS253001R0427</t>
  </si>
  <si>
    <t>S203-K16-16A</t>
  </si>
  <si>
    <t>ITM Riel-Din 3x16A - S203-K16-16A - 20kA@230V-IEC60947-2, 6kA@230/440V-IEC60898 - marca ABB.</t>
  </si>
  <si>
    <t>2CDS253001R0467</t>
  </si>
  <si>
    <t>S203-K20-20A</t>
  </si>
  <si>
    <t>ITM Riel-Din 3x20A - S203-K20-20A - 20kA@230V-IEC60947-2, 6kA@230/440V-IEC60898 - marca ABB.</t>
  </si>
  <si>
    <t>2CDS253001R0487</t>
  </si>
  <si>
    <t>S203-K25-25A</t>
  </si>
  <si>
    <t>ITM Riel-Din 3x25A - S203-K25-25A - 20kA@230V-IEC60947-2, 6kA@230/440V-IEC60898 - marca ABB.</t>
  </si>
  <si>
    <t>2CDS253001R0517</t>
  </si>
  <si>
    <t>S203-K32-32A</t>
  </si>
  <si>
    <t>ITM Riel-Din 3x32A - S203-K32-32A - 20kA@230V-IEC60947-2, 6kA@230/440V-IEC60898 - marca ABB.</t>
  </si>
  <si>
    <t>2CDS253001R0537</t>
  </si>
  <si>
    <t>S203-K40-40A</t>
  </si>
  <si>
    <t>ITM Riel-Din 3x40A - S203-K40-40A - 20kA@230V-IEC60947-2, 6kA@230/440V-IEC60898 - marca ABB.</t>
  </si>
  <si>
    <t>2CDS253001R0557</t>
  </si>
  <si>
    <t>S203-K50-50A</t>
  </si>
  <si>
    <t>ITM Riel-Din 3x50A - S203-K50-50A - 20kA@230V-IEC60947-2, 6kA@230/440V-IEC60898 - marca ABB.</t>
  </si>
  <si>
    <t>2CDS253001R0577</t>
  </si>
  <si>
    <t>S203-K63-63A</t>
  </si>
  <si>
    <t>ITM Riel-Din 3x63A - S203-K63-63A - 20kA@230V-IEC60947-2, 6kA@230/440V-IEC60898 - marca ABB.</t>
  </si>
  <si>
    <t>2CDS253001R0607</t>
  </si>
  <si>
    <t>CLASE A (HOME)</t>
  </si>
  <si>
    <t>FH202-A-25A-30mA</t>
  </si>
  <si>
    <t>Interruptor Diferencial 2x25A - 30mA - clase A (inmunizado) - FH202-A-25A-30mA - marca ABB.</t>
  </si>
  <si>
    <t>2CSF202102R1250</t>
  </si>
  <si>
    <t>FH202-A-40A-30mA</t>
  </si>
  <si>
    <t>Interruptor Diferencial 2x40A - 30mA - clase A (inmunizado) - FH202-A-40A-30mA - marca ABB.</t>
  </si>
  <si>
    <t>2CSF202102R1400</t>
  </si>
  <si>
    <t>FH202-A-63A-30mA</t>
  </si>
  <si>
    <t>Interruptor Diferencial 2x63A - 30mA - clase A (inmunizado) - FH202-A-63A-30mA - marca ABB.</t>
  </si>
  <si>
    <t>2CSF202102R1630</t>
  </si>
  <si>
    <t>FH204-A-25A-30mA</t>
  </si>
  <si>
    <t>Interruptor Diferencial 4x25A - 30mA - clase A (inmunizado) - FH204-A-25A-30mA - marca ABB.</t>
  </si>
  <si>
    <t>2CSF204102R1250</t>
  </si>
  <si>
    <t>FH204-A-40A-30mA</t>
  </si>
  <si>
    <t>Interruptor Diferencial 4x40A - 30mA - clase A (inmunizado) - FH204-A-40A-30mA - marca ABB.</t>
  </si>
  <si>
    <t>2CSF204102R1400</t>
  </si>
  <si>
    <t>FH204-A-63A-30mA</t>
  </si>
  <si>
    <t>Interruptor Diferencial 4x63A - 30mA - clase A (inmunizado) - FH204-A-63A-30mA - marca ABB.</t>
  </si>
  <si>
    <t>2CSF204102R1630</t>
  </si>
  <si>
    <t>CLASE A-APR</t>
  </si>
  <si>
    <t>S2C-A2</t>
  </si>
  <si>
    <t>Bobina de emision, Shunt Trip, 110...415VAC- modelo S2C-A2 - p/Riel-Din - marca ABB.</t>
  </si>
  <si>
    <t>2CDS200909R0002</t>
  </si>
  <si>
    <t>2CTB803972R1100</t>
  </si>
  <si>
    <t>A43 212 - 100</t>
  </si>
  <si>
    <t>Medidor trifasico conexion directa, 80A, Categoría Bronce (energía act./react.), clase B,  comunicacion RS-485 Modbus, pulse output , tipo A43 212 - 100, marca ABB.</t>
  </si>
  <si>
    <t>2CMA170522R1000</t>
  </si>
  <si>
    <t>A44 212 - 100</t>
  </si>
  <si>
    <t>Medidor trifasico conexion indirecta, Categoría Bronce (energía act./react.), clase B, comunicacion RS-485 Modbus, pulse output , tipo A44 212 - 100, marca ABB.</t>
  </si>
  <si>
    <t>2CMA170534R1000</t>
  </si>
  <si>
    <t>A2B250-160A-3P-TMF</t>
  </si>
  <si>
    <t>ITM Caja Moldeada 3x160A - A2B250-160A-3P-TMF - 25kA@230Vac, 18kA@400Vac - marca ABB.</t>
  </si>
  <si>
    <t>1SDA066549R1</t>
  </si>
  <si>
    <t>A2B250-175A-3P-TMF</t>
  </si>
  <si>
    <t>ITM Caja Moldeada 3x175A - A2B250-175A-3P-TMF - 25kA@230Vac, 18kA@400Vac - marca ABB.</t>
  </si>
  <si>
    <t>1SDA066550R1</t>
  </si>
  <si>
    <t>A2B250-200A-3P-TMF</t>
  </si>
  <si>
    <t>ITM Caja Moldeada 3x200A - A2B250-200A-3P-TMF - 25kA@230Vac, 18kA@400Vac - marca ABB.</t>
  </si>
  <si>
    <t>1SDA066551R1</t>
  </si>
  <si>
    <t>A2B250-225A-3P-TMF</t>
  </si>
  <si>
    <t>ITM Caja Moldeada 3x225A - A2B250-225A-3P-TMF - 25kA@230Vac, 18kA@400Vac - marca ABB.</t>
  </si>
  <si>
    <t>1SDA066552R1</t>
  </si>
  <si>
    <t>A2B250-250A-3P-TMF</t>
  </si>
  <si>
    <t>ITM Caja Moldeada 3x250A - A2B250-250A-3P-TMF - 25kA@230Vac, 18kA@400Vac - marca ABB.</t>
  </si>
  <si>
    <t>1SDA066553R1</t>
  </si>
  <si>
    <t>XT4H160-100A-3P-TMA</t>
  </si>
  <si>
    <t>ITM Caja Moldeada 3x100A (reg.[0.7-1.0] In) - XT4H160-100A-3P-TMA - 100kA@230V, 70kA@415V - marca ABB.</t>
  </si>
  <si>
    <t>1SDA068340R1</t>
  </si>
  <si>
    <t>XT2H160-63A-3P-Ekip LS/I</t>
  </si>
  <si>
    <t>ITM Caja Moldeada 3x63A (electrónico [0.4-1.0] In) - XT2H160-63A-3P-Ekip LS/I - 100kA@230V, 70kA@415V - marca ABB.</t>
  </si>
  <si>
    <t>1SDA067859R1</t>
  </si>
  <si>
    <t>XT2H160-100A-3P-Ekip LS/I</t>
  </si>
  <si>
    <t>ITM Caja Moldeada 3x100A (electrónico [0.4-1.0] In) - XT2H160-100A-3P-Ekip LS/I - 100kA@230V, 70kA@415V - marca ABB.</t>
  </si>
  <si>
    <t>1SDA067860R1</t>
  </si>
  <si>
    <t>XT2H160-160A-3P-Ekip LS/I</t>
  </si>
  <si>
    <t>ITM Caja Moldeada 3x160A (electrónico [0.4-1.0] In) - XT2H160-160A-3P-Ekip LS/I - 100kA@230V, 70kA@415V - marca ABB.</t>
  </si>
  <si>
    <t>1SDA067861R1</t>
  </si>
  <si>
    <t>XT4H160-100A-3P-Ekip LS/I</t>
  </si>
  <si>
    <t>ITM Caja Moldeada 3x100A (electrónico [0.4-1.0] In) - XT4H160-100A-3P-Ekip LS/I - 100kA@230V, 70kA@415V - marca ABB.</t>
  </si>
  <si>
    <t>1SDA068513R1</t>
  </si>
  <si>
    <t>XT4H160-160A-3P-Ekip LS/I</t>
  </si>
  <si>
    <t>ITM Caja Moldeada 3x160A (electrónico [0.4-1.0] In) - XT4H160-160A-3P-Ekip LS/I - 100kA@230V, 70kA@415V - marca ABB.</t>
  </si>
  <si>
    <t>1SDA068514R1</t>
  </si>
  <si>
    <t>XT4H250-250A-3P-Ekip LS/I</t>
  </si>
  <si>
    <t>ITM Caja Moldeada 3x250A (electrónico [0.4-1.0] In) - XT4H250-250A-3P-Ekip LS/I - 100kA@230V, 70kA@415V - marca ABB.</t>
  </si>
  <si>
    <t>1SDA068515R1</t>
  </si>
  <si>
    <t>Para soluciones con gran presición de regulación</t>
  </si>
  <si>
    <t>(por ejemplo selectividad  en transformador de aislamiento)</t>
  </si>
  <si>
    <t>ITM Caja Moldeada 3x63A (electrónico [0.4-1.0] In) - XT2N160-63A-3P-Ekip LSI - 65kA@230Vac, 36kA@415Vac - marca ABB.</t>
  </si>
  <si>
    <t>1SDA067069R1</t>
  </si>
  <si>
    <t>XT2N160-100A-3P-Ekip LSI</t>
  </si>
  <si>
    <t>ITM Caja Moldeada 3x100A (electrónico [0.4-1.0] In) - XT2N160-100A-3P-Ekip LSI - 65kA@230Vac, 36kA@415Vac - marca ABB.</t>
  </si>
  <si>
    <t>1SDA067070R1</t>
  </si>
  <si>
    <t>XT2N160-160A-3P-Ekip LSI</t>
  </si>
  <si>
    <t>ITM Caja Moldeada 3x160A (electrónico [0.4-1.0] In) - XT2N160-160A-3P-Ekip LSI - 65kA@230Vac, 36kA@415Vac - marca ABB.</t>
  </si>
  <si>
    <t>1SDA067071R1</t>
  </si>
  <si>
    <t>XT4N160-160A-3P-Ekip LSI</t>
  </si>
  <si>
    <t>1SDA068135R1</t>
  </si>
  <si>
    <t>XT4N250-250A-3P-Ekip LSI</t>
  </si>
  <si>
    <t>ITM Caja Moldeada 3x250A (electrónico [0.4-1.0] In) - XT4N250-250A-3P-Ekip LSI - 65kA@230Vac, 36kA@415Vac - marca ABB.</t>
  </si>
  <si>
    <t>1SDA068136R1</t>
  </si>
  <si>
    <t>YO_XT1..XT4_24V</t>
  </si>
  <si>
    <t>Bobina de apertura (YO) - XT1..XT4 - SOR versión no cableada - 24-30V AC/DC - marca ABB.</t>
  </si>
  <si>
    <t>1SDA066314R1</t>
  </si>
  <si>
    <t>RHE_XT1-XT3</t>
  </si>
  <si>
    <t>1SDA066479R1</t>
  </si>
  <si>
    <t>RHE_XT2-XT4</t>
  </si>
  <si>
    <t>1SDA069055R1</t>
  </si>
  <si>
    <t>RHE_T4-T5</t>
  </si>
  <si>
    <t>1SDA054929R1</t>
  </si>
  <si>
    <t>RHE_T6</t>
  </si>
  <si>
    <t>1SDA060409R1</t>
  </si>
  <si>
    <t>RHE_T7</t>
  </si>
  <si>
    <t>1SDA062122R1</t>
  </si>
  <si>
    <t>T4H320-320A-3P-PR221DS-LS/I</t>
  </si>
  <si>
    <t>ITM Caja Moldeada 3x320A (electrónico [0.4-1.0] In) - T4H320-320A-3P-PR221DS-LS/I - 100kA@230Vac, 70kA@415Vac - marca ABB.</t>
  </si>
  <si>
    <t>1SDA054133R1</t>
  </si>
  <si>
    <t>1SDA054352R1</t>
  </si>
  <si>
    <t>T7H1250-1250A-3P-PR232/P-LSI</t>
  </si>
  <si>
    <t>1SDA062899R1</t>
  </si>
  <si>
    <t>YO_T4-T5-T6_24V</t>
  </si>
  <si>
    <t>Bobina de apertura (YO) - T4-T5-T6 - SOR versión no cableada - 24..30V AC/DC - marca ABB.</t>
  </si>
  <si>
    <t>1SDA054863R1</t>
  </si>
  <si>
    <t>E1.2N-1250A-4P-Ekip Touch LSIG</t>
  </si>
  <si>
    <t>ITM Bastidor Abierto 4x1250A (electrónico [0.4-1.0] In) - E1.2N-1250A-4P-Ekip Touch LSIG - 66kA@440Vac - marca ABB.</t>
  </si>
  <si>
    <t>1SDA071476R1</t>
  </si>
  <si>
    <t>E2.2N-2000A-3P-Ekip Touch LSIG</t>
  </si>
  <si>
    <t>ITM Bastidor Abierto 3x2000A (electrónico [0.4-1.0] In) - E2.2N-2000A-3P-Ekip Touch LSIG - 66kA@440Vac - marca ABB.</t>
  </si>
  <si>
    <t>1SDA071036R1</t>
  </si>
  <si>
    <t>E2.2N-1250A-4P-Ekip Touch LSI</t>
  </si>
  <si>
    <t>ITM Bastidor Abierto 4x1250A (electrónico [0.4-1.0] In) - E2.2N-1250A-4P-Ekip Touch LSI - 66kA@440Vac - marca ABB.</t>
  </si>
  <si>
    <t>1SDA071585R1</t>
  </si>
  <si>
    <t>E2.2N-1250A-4P-Ekip Touch LSIG</t>
  </si>
  <si>
    <t>ITM Bastidor Abierto 4x1250A (electrónico [0.4-1.0] In) - E2.2N-1250A-4P-Ekip Touch LSIG - 66kA@440Vac - marca ABB.</t>
  </si>
  <si>
    <t>1SDA071586R1</t>
  </si>
  <si>
    <t>E2.2N-1600A-4P-Ekip Touch LSIG</t>
  </si>
  <si>
    <t>ITM Bastidor Abierto 4x1600A (electrónico [0.4-1.0] In) - E2.2N-1600A-4P-Ekip Touch LSIG - 66kA@440Vac - marca ABB.</t>
  </si>
  <si>
    <t>1SDA071626R1</t>
  </si>
  <si>
    <t>E6.2H-5000A-3P-Ekip Touch LSI</t>
  </si>
  <si>
    <t>ITM Bastidor Abierto 3x5000A (electrónico [0.4-1.0] In) - E6.2H-5000A-3P-Ekip Touch LSI - 100kA@440Vac - marca ABB.</t>
  </si>
  <si>
    <t>1SDA071265R1</t>
  </si>
  <si>
    <t>1SDA073866R1</t>
  </si>
  <si>
    <t>1SDA073867R1</t>
  </si>
  <si>
    <t>YO_Emax2_24V</t>
  </si>
  <si>
    <t>Bobina de apertura (YO) - Emax2 - 24V AC/DC.</t>
  </si>
  <si>
    <t>1SDA073668R1</t>
  </si>
  <si>
    <t>EQUIPOS UL</t>
  </si>
  <si>
    <t>E1B-A_800A-3P-PR121/P-LSIG_UL</t>
  </si>
  <si>
    <t>ITM Bastidor Abierto (UL) 3x800A (electrónico [0.4-1.0] In) - E1B-A_800A-3P-PR121/P-LSIG - 42kA@480Vac - marca ABB.</t>
  </si>
  <si>
    <t>1SDA057215R1</t>
  </si>
  <si>
    <t>E1B-A_800A-3P-PR122/P-LSIG_UL</t>
  </si>
  <si>
    <t>ITM Bastidor Abierto (UL) 3x800A (electrónico [0.4-1.0] In) - E1B-A_800A-3P-PR122/P-LSIG - 42kA@480Vac - marca ABB.</t>
  </si>
  <si>
    <t>1SDA057227R1</t>
  </si>
  <si>
    <t>E1B-A_800A-3P-PR121/P-LSI_UL</t>
  </si>
  <si>
    <t>ITM Bastidor Abierto (UL) 3x800A (electrónico [0.4-1.0] In) - E1B-A_800A-3P-PR121/P-LSI - 42kA@480Vac - marca ABB.</t>
  </si>
  <si>
    <t>1SDA057211R1</t>
  </si>
  <si>
    <t>TRAFO-N_E1-E2-E4</t>
  </si>
  <si>
    <t>Transformador de corriente para Neutro p/ Emax E1, E2, E4 - Iu N = 2000A - marca ABB.</t>
  </si>
  <si>
    <t>1SDA058191R1</t>
  </si>
  <si>
    <t>G 10.1</t>
  </si>
  <si>
    <t>KIT-CAB_E1..E6_B/HB</t>
  </si>
  <si>
    <t>Kit de cables para enclavamiento horizontal, enclavamiento tipo B - interruptores E1..E6.2 - marca ABB. (UL)</t>
  </si>
  <si>
    <t>1SDA038330R1</t>
  </si>
  <si>
    <t>G 10.2</t>
  </si>
  <si>
    <t>SOP_fijo_E1..E2</t>
  </si>
  <si>
    <t>Mecanismo para enclavamiento para interruptor fijo / parte movil -  E1..E2 (3p) - marca ABB. (UL)</t>
  </si>
  <si>
    <t>1SDA038366R1</t>
  </si>
  <si>
    <t>G 10.3</t>
  </si>
  <si>
    <t>SOP_ext_E1..E6_B</t>
  </si>
  <si>
    <t>Mecanismo para enclavamiento para interruptor fijo / parte fija - enclavamiento tipo A / B / D -  E1..E6 - marca ABB. (UL)</t>
  </si>
  <si>
    <t>1SDA038364R1</t>
  </si>
  <si>
    <t>G 10.4</t>
  </si>
  <si>
    <t>MEC_E1..E6</t>
  </si>
  <si>
    <t>Soporte de enclavamiento de interruptor -  E1..E6 - marca ABB. (UL)</t>
  </si>
  <si>
    <t>1SDA038358R1</t>
  </si>
  <si>
    <t>YO_E1..E6_220V</t>
  </si>
  <si>
    <t>Rele de apertura (YO) - E1..E6 - 220-240V AC/DC. (UL).</t>
  </si>
  <si>
    <t>YC_E1..E6_220V</t>
  </si>
  <si>
    <t>Rele de cierre (YC) - E1..E6 - 220-240V AC/DC. (UL).</t>
  </si>
  <si>
    <t>YM_E1..E6_220V</t>
  </si>
  <si>
    <t>Motor-reductor (YM) para la carga automática de los resortes - E1..E6- 220-250V AC/DC. (UL).</t>
  </si>
  <si>
    <t>1SDA038324R1</t>
  </si>
  <si>
    <t>1S51_E1..E6</t>
  </si>
  <si>
    <t>1(S51) contacto por actuacion del relé - E1..E6 - 250V. (UL).</t>
  </si>
  <si>
    <t>1SDA058260R1</t>
  </si>
  <si>
    <t>PR120/K</t>
  </si>
  <si>
    <t>1SDA058255R1</t>
  </si>
  <si>
    <t>T5N400-300A-3P-TMA_UL</t>
  </si>
  <si>
    <t>ITM Caja Moldeada (UL) 3x300A (reg.[0.7-1.0] In)  - T5N400-300A-3P-TMA - 25kA@480V - marca ABB.</t>
  </si>
  <si>
    <t>1SDA060630R1</t>
  </si>
  <si>
    <t>T5N400-400A-3P-TMA_UL</t>
  </si>
  <si>
    <t>ITM Caja Moldeada (UL) 3x400A (reg.[0.7-1.0] In)  - T5N400-400A-3P-TMA - 25kA@480V - marca ABB.</t>
  </si>
  <si>
    <t>1SDA060631R1</t>
  </si>
  <si>
    <t>T5N400-300A-3P-PR221DS-LSIG_UL</t>
  </si>
  <si>
    <t>ITM Caja Moldeada (UL) 3x300A (electrónico [0.4-1.0] In)  - T5N400-300A-3P-PR222DS-LSIG - 25kA@480V - marca ABB.</t>
  </si>
  <si>
    <t>1SDA058154R1</t>
  </si>
  <si>
    <t>T1N100-15A-3P-TMF_UL</t>
  </si>
  <si>
    <t>ITM Caja Moldeada (UL) 3x15A - T1N100-15A-3P-TMF - 35kA@240Vac, 14kA@480Vac - marca ABB.</t>
  </si>
  <si>
    <t>1SDA053533R1</t>
  </si>
  <si>
    <t>T1N100-20A-3P-TMF_UL</t>
  </si>
  <si>
    <t>1SDA053534R1</t>
  </si>
  <si>
    <t>T1N100-25A-3P-TMF_UL</t>
  </si>
  <si>
    <t>1SDA053535R1</t>
  </si>
  <si>
    <t>T1N100-30A-3P-TMF_UL</t>
  </si>
  <si>
    <t>1SDA053536R1</t>
  </si>
  <si>
    <t>T1N100-40A-3P-TMF_UL</t>
  </si>
  <si>
    <t>1SDA053537R1</t>
  </si>
  <si>
    <t>T1N100-50A-3P-TMF_UL</t>
  </si>
  <si>
    <t>1SDA053538R1</t>
  </si>
  <si>
    <t>T1N100-60A-3P-TMF_UL</t>
  </si>
  <si>
    <t>1SDA053539R1</t>
  </si>
  <si>
    <t>T1N100-70A-3P-TMF_UL</t>
  </si>
  <si>
    <t>1SDA053540R1</t>
  </si>
  <si>
    <t>T1N100-80A-3P-TMF_UL</t>
  </si>
  <si>
    <t>1SDA053541R1</t>
  </si>
  <si>
    <t>T1N100-90A-3P-TMF_UL</t>
  </si>
  <si>
    <t>1SDA053542R1</t>
  </si>
  <si>
    <t>T1N100-100A-3P-TMF_UL</t>
  </si>
  <si>
    <t>1SDA053543R1</t>
  </si>
  <si>
    <t>1Q+1SY_T1..T6</t>
  </si>
  <si>
    <t>1(Q) contacto conmutado NA/NC + 1(SY) contacto por disparo de interruptor - T1..T6 - version no cableada - marca ABB.</t>
  </si>
  <si>
    <t>A2N250-125A-2P-TMF_UL</t>
  </si>
  <si>
    <t>ITM Caja Moldeada (UL) 2x125A - A2N250-125A-2P-TMF - 25kA@240Vac, 10kA@250Vdc - marca ABB.</t>
  </si>
  <si>
    <t>A2A250-150A-3P-TMF_UL</t>
  </si>
  <si>
    <t>A2A250-200A-3P-TMF_UL</t>
  </si>
  <si>
    <t>A1A100-15A-2P-TMF_UL</t>
  </si>
  <si>
    <t>ITM Caja Moldeada (UL) 2x15A - A1A100-15A-2P-TMF - 10kA@240Vac - marca ABB.</t>
  </si>
  <si>
    <t>A1A100-20A-2P-TMF_UL</t>
  </si>
  <si>
    <t>ITM Caja Moldeada (UL) 2x20A - A1A100-20A-2P-TMF - 10kA@240Vac - marca ABB.</t>
  </si>
  <si>
    <t>A1A100-25A-2P-TMF_UL</t>
  </si>
  <si>
    <t>ITM Caja Moldeada (UL) 2x25A - A1A100-25A-2P-TMF - 10kA@240Vac - marca ABB.</t>
  </si>
  <si>
    <t>A1A100-30A-2P-TMF_UL</t>
  </si>
  <si>
    <t>ITM Caja Moldeada (UL) 2x30A - A1A100-30A-2P-TMF - 10kA@240Vac - marca ABB.</t>
  </si>
  <si>
    <t>A1A100-40A-2P-TMF_UL</t>
  </si>
  <si>
    <t>ITM Caja Moldeada (UL) 2x40A - A1A100-40A-2P-TMF - 10kA@240Vac - marca ABB.</t>
  </si>
  <si>
    <t>A1A100-50A-2P-TMF_UL</t>
  </si>
  <si>
    <t>ITM Caja Moldeada (UL) 2x50A - A1A100-50A-2P-TMF - 10kA@240Vac - marca ABB.</t>
  </si>
  <si>
    <t>A1A100-60A-2P-TMF_UL</t>
  </si>
  <si>
    <t>ITM Caja Moldeada (UL) 2x60A - A1A100-60A-2P-TMF - 10kA@240Vac - marca ABB.</t>
  </si>
  <si>
    <t>A1A100-70A-2P-TMF_UL</t>
  </si>
  <si>
    <t>ITM Caja Moldeada (UL) 2x70A - A1A100-70A-2P-TMF - 10kA@240Vac - marca ABB.</t>
  </si>
  <si>
    <t>A1A100-80A-2P-TMF_UL</t>
  </si>
  <si>
    <t>ITM Caja Moldeada (UL) 2x80A - A1A100-80A-2P-TMF - 10kA@240Vac - marca ABB.</t>
  </si>
  <si>
    <t>A1A100-90A-2P-TMF_UL</t>
  </si>
  <si>
    <t>ITM Caja Moldeada (UL) 2x90A - A1A100-90A-2P-TMF - 10kA@240Vac - marca ABB.</t>
  </si>
  <si>
    <t>A1A100-100A-2P-TMF_UL</t>
  </si>
  <si>
    <t>ITM Caja Moldeada (UL) 2x100A - A1A100-100A-2P-TMF - 10kA@240Vac - marca ABB.</t>
  </si>
  <si>
    <t>A1A100-15A-3P-TMF_UL</t>
  </si>
  <si>
    <t>ITM Caja Moldeada (UL) 3x15A - A1A100-15A-3P-TMF - 10kA@240Vac - marca ABB.</t>
  </si>
  <si>
    <t>A1A100-20A-3P-TMF_UL</t>
  </si>
  <si>
    <t>ITM Caja Moldeada (UL) 3x20A - A1A100-20A-3P-TMF - 10kA@240Vac - marca ABB.</t>
  </si>
  <si>
    <t>A1A100-25A-3P-TMF_UL</t>
  </si>
  <si>
    <t>ITM Caja Moldeada (UL) 3x25A - A1A100-25A-3P-TMF - 10kA@240Vac - marca ABB.</t>
  </si>
  <si>
    <t>A1A100-30A-3P-TMF_UL</t>
  </si>
  <si>
    <t>ITM Caja Moldeada (UL) 3x30A - A1A100-30A-3P-TMF - 10kA@240Vac - marca ABB.</t>
  </si>
  <si>
    <t>A1A100-40A-3P-TMF_UL</t>
  </si>
  <si>
    <t>ITM Caja Moldeada (UL) 3x40A - A1A100-40A-3P-TMF - 10kA@240Vac - marca ABB.</t>
  </si>
  <si>
    <t>A1A100-50A-3P-TMF_UL</t>
  </si>
  <si>
    <t>ITM Caja Moldeada (UL) 3x50A - A1A100-50A-3P-TMF - 10kA@240Vac - marca ABB.</t>
  </si>
  <si>
    <t>A1A100-60A-3P-TMF_UL</t>
  </si>
  <si>
    <t>ITM Caja Moldeada (UL) 3x60A - A1A100-60A-3P-TMF - 10kA@240Vac - marca ABB.</t>
  </si>
  <si>
    <t>A1A100-70A-3P-TMF_UL</t>
  </si>
  <si>
    <t>ITM Caja Moldeada (UL) 3x70A - A1A100-70A-3P-TMF - 10kA@240Vac - marca ABB.</t>
  </si>
  <si>
    <t>A1A100-80A-3P-TMF_UL</t>
  </si>
  <si>
    <t>ITM Caja Moldeada (UL) 3x80A - A1A100-80A-3P-TMF - 10kA@240Vac - marca ABB.</t>
  </si>
  <si>
    <t>A1A100-90A-3P-TMF_UL</t>
  </si>
  <si>
    <t>ITM Caja Moldeada (UL) 3x90A - A1A100-90A-3P-TMF - 10kA@240Vac - marca ABB.</t>
  </si>
  <si>
    <t>A1A100-100A-3P-TMF_UL</t>
  </si>
  <si>
    <t>ITM Caja Moldeada (UL) 3x100A - A1A100-100A-3P-TMF - 10kA@240Vac - marca ABB.</t>
  </si>
  <si>
    <t>A1N100-15A-2P-TMF_UL</t>
  </si>
  <si>
    <t>ITM Caja Moldeada (UL) 2x15A - A1N100-15A-2P-TMF - 25kA@240Vac, 10kA@250Vdc - marca ABB.</t>
  </si>
  <si>
    <t>A1N100-20A-2P-TMF_UL</t>
  </si>
  <si>
    <t>ITM Caja Moldeada (UL) 2x20A - A1N100-20A-2P-TMF - 25kA@240Vac, 10kA@250Vdc - marca ABB.</t>
  </si>
  <si>
    <t>A1N100-25A-2P-TMF_UL</t>
  </si>
  <si>
    <t>ITM Caja Moldeada (UL) 2x25A - A1N100-25A-2P-TMF - 25kA@240Vac, 10kA@250Vdc - marca ABB.</t>
  </si>
  <si>
    <t>A1N100-30A-2P-TMF_UL</t>
  </si>
  <si>
    <t>ITM Caja Moldeada (UL) 2x30A - A1N100-30A-2P-TMF - 25kA@240Vac, 10kA@250Vdc - marca ABB.</t>
  </si>
  <si>
    <t>A1N100-40A-2P-TMF_UL</t>
  </si>
  <si>
    <t>ITM Caja Moldeada (UL) 2x40A - A1N100-40A-2P-TMF - 25kA@240Vac, 10kA@250Vdc - marca ABB.</t>
  </si>
  <si>
    <t>A1N100-50A-2P-TMF_UL</t>
  </si>
  <si>
    <t>ITM Caja Moldeada (UL) 2x50A - A1N100-50A-2P-TMF - 25kA@240Vac, 10kA@250Vdc - marca ABB.</t>
  </si>
  <si>
    <t>A1N100-60A-2P-TMF_UL</t>
  </si>
  <si>
    <t>ITM Caja Moldeada (UL) 2x60A - A1N100-60A-2P-TMF - 25kA@240Vac, 10kA@250Vdc - marca ABB.</t>
  </si>
  <si>
    <t>A1N100-70A-2P-TMF_UL</t>
  </si>
  <si>
    <t>ITM Caja Moldeada (UL) 2x70A - A1N100-70A-2P-TMF - 25kA@240Vac, 10kA@250Vdc - marca ABB.</t>
  </si>
  <si>
    <t>A1N100-80A-2P-TMF_UL</t>
  </si>
  <si>
    <t>ITM Caja Moldeada (UL) 2x80A - A1N100-80A-2P-TMF - 25kA@240Vac, 10kA@250Vdc - marca ABB.</t>
  </si>
  <si>
    <t>A1N100-90A-2P-TMF_UL</t>
  </si>
  <si>
    <t>ITM Caja Moldeada (UL) 2x90A - A1N100-90A-2P-TMF - 25kA@240Vac, 10kA@250Vdc - marca ABB.</t>
  </si>
  <si>
    <t>A1N100-100A-2P-TMF_UL</t>
  </si>
  <si>
    <t>ITM Caja Moldeada (UL) 2x100A - A1N100-100A-2P-TMF - 25kA@240Vac, 10kA@250Vdc - marca ABB.</t>
  </si>
  <si>
    <t>1Q+1SY_A1(2p)_UL</t>
  </si>
  <si>
    <t>1(Q) contacto conmutado NA/NC + 1(SY) contacto por disparo de interruptor, versión cableada - A1 (2p) - marca ABB.</t>
  </si>
  <si>
    <t>1Q+1SY_A1-A2(3p)_UL</t>
  </si>
  <si>
    <t>1(Q) contacto conmutado NA/NC + 1(SY) contacto por disparo de interruptor, versión cableada - A1..A2 (3p) - marca ABB.</t>
  </si>
  <si>
    <t>2Q+1SY_A2(2p)_UL</t>
  </si>
  <si>
    <t>OTM_I-0-II_3p_125A</t>
  </si>
  <si>
    <t>Conmutador motorizado bajo carga (I-0-II), modelo OTM-C, 3p, 125A (AC21..AC22) / 125A (AC23) - marca ABB.</t>
  </si>
  <si>
    <t>OTM_I-0-II_4p_125A</t>
  </si>
  <si>
    <t>Conmutador motorizado bajo carga (I-0-II), modelo OTM-C, 4p, 125A (AC21..AC22) / 125A (AC23) - marca ABB.</t>
  </si>
  <si>
    <t>OT_I-0-II_3p_160A</t>
  </si>
  <si>
    <t>Conmutador manual bajo carga (I-0-II), modelo OT-C, 3p, 160A (AC21..AC22) / 160A (AC23) - marca ABB.</t>
  </si>
  <si>
    <t>1SCA022772R6510</t>
  </si>
  <si>
    <t>OT_I-0-II_3p_200A</t>
  </si>
  <si>
    <t>Conmutador manual bajo carga (I-0-II), modelo OT-C, 3p, 200A (AC21..AC22) / 200A (AC23) - marca ABB.</t>
  </si>
  <si>
    <t>1SCA022771R7520</t>
  </si>
  <si>
    <t>OT_I-0-II_3p_250A</t>
  </si>
  <si>
    <t>Conmutador manual bajo carga (I-0-II), modelo OT-C, 3p, 250A (AC21..AC22) / 250A (AC23) - marca ABB.</t>
  </si>
  <si>
    <t>1SCA022771R3450</t>
  </si>
  <si>
    <t>OT_I-0-II_3p_315A</t>
  </si>
  <si>
    <t>Conmutador manual bajo carga (I-0-II), modelo OT-C, 3p, 315A (AC21..AC22) / 315A (AC23) - marca ABB.</t>
  </si>
  <si>
    <t>1SCA022772R6780</t>
  </si>
  <si>
    <t>OT_I-0-II_3p_400A</t>
  </si>
  <si>
    <t>Conmutador manual bajo carga (I-0-II), modelo OT-C, 3p, 400A (AC21..AC22) / 400A (AC23) - marca ABB.</t>
  </si>
  <si>
    <t>1SCA022771R8500</t>
  </si>
  <si>
    <t>OT_I-0-II_3p_630A</t>
  </si>
  <si>
    <t>Conmutador manual bajo carga (I-0-II), modelo OT-C, 3p, 630A (AC21..AC22) / 630A (AC23) - marca ABB.</t>
  </si>
  <si>
    <t>1SCA022785R6050</t>
  </si>
  <si>
    <t>OT_I-0-II_3p_800A</t>
  </si>
  <si>
    <t>Conmutador manual bajo carga (I-0-II), modelo OT-C, 3p, 800A (AC21..AC22) / 800A (AC23) - marca ABB.</t>
  </si>
  <si>
    <t>1SCA022785R6300</t>
  </si>
  <si>
    <t>OT_I-0-II_3p_1000A</t>
  </si>
  <si>
    <t>Conmutador manual bajo carga (I-0-II), modelo OT-C, 3p, 1000A (AC21..AC22) / 1000A (AC23) - marca ABB.</t>
  </si>
  <si>
    <t>1SCA022872R1680</t>
  </si>
  <si>
    <t>OT_I-0-II_3p_1250A</t>
  </si>
  <si>
    <t>Conmutador manual bajo carga (I-0-II), modelo OT-C, 3p, 1250A (AC21..AC22) / 1250A (AC23) - marca ABB.</t>
  </si>
  <si>
    <t>1SCA022872R0790</t>
  </si>
  <si>
    <t>OT_I-0-II_3p_1600A</t>
  </si>
  <si>
    <t>Conmutador manual bajo carga (I-0-II), modelo OT-C, 3p, 1600A (AC21..AC22) / 1250A (AC23) - marca ABB.</t>
  </si>
  <si>
    <t>1SCA022872R1840</t>
  </si>
  <si>
    <t>CONTACTOR 3 POLOS (Vc=100-250Vac/dc)</t>
  </si>
  <si>
    <t>AF96-30-00-13_3p</t>
  </si>
  <si>
    <t>Contactor 3x96A(AC-3) / 3x130A(AC-1) - AF96-30-00-13 - bobina 100-250Vac/dc - marca ABB.</t>
  </si>
  <si>
    <t>1SBL407001R1300</t>
  </si>
  <si>
    <t>AF116-30-00-13_3p</t>
  </si>
  <si>
    <t>Contactor 3x116A(AC-3) / 3x160A(AC-1) - AF116-30-00-13 - bobina 100-250Vac/dc - marca ABB.</t>
  </si>
  <si>
    <t>1SFL427001R1300</t>
  </si>
  <si>
    <t>AF190-30-00-13_3p</t>
  </si>
  <si>
    <t>Contactor 3x190A(AC-3) / 3x275A(AC-1) - AF190-30-00-13 - bobina 100-250Vac/dc - marca ABB.</t>
  </si>
  <si>
    <t>1SFL487002R1300</t>
  </si>
  <si>
    <t>AF265-30-00-13_3p</t>
  </si>
  <si>
    <t>Contactor 3x265A(AC-3) / 3x400A(AC-1) - AF265-30-00-13 - bobina 100-250Vac/dc - marca ABB.</t>
  </si>
  <si>
    <t>CONTACTOR 3 POLOS (Vc=24-60Vac/dc)</t>
  </si>
  <si>
    <t>AF09-30-10-11_3p</t>
  </si>
  <si>
    <t>Contactor 3x09A(AC-3) / 3x25A(AC-1) +1NA - AF09-30-10-11 - bobina 24-60Vac/dc - marca ABB.</t>
  </si>
  <si>
    <t>1SBL137001R1110</t>
  </si>
  <si>
    <t>AF12-30-10-11_3p</t>
  </si>
  <si>
    <t>Contactor 3x12A(AC-3) / 3x28A(AC-1) +1NA - AF12-30-10-11 - bobina 24-60Vac/dc - marca ABB.</t>
  </si>
  <si>
    <t>1SBL157001R1110</t>
  </si>
  <si>
    <t>AF16-30-10-11_3p</t>
  </si>
  <si>
    <t>Contactor 3x18A(AC-3) / 3x30A(AC-1) +1NA - AF16-30-10-11 - bobina 24-60Vac/dcc - marca ABB.</t>
  </si>
  <si>
    <t>1SBL177001R1110</t>
  </si>
  <si>
    <t>AF26-30-10-11_3p</t>
  </si>
  <si>
    <t>Contactor 3x26A(AC-3) / 3x45A(AC-1) +1NA - AF26-30-10-11 - bobina 24-60Vac/dc - marca ABB.</t>
  </si>
  <si>
    <t>1SBL237001P1110</t>
  </si>
  <si>
    <t>AF30-30-10-11_3p</t>
  </si>
  <si>
    <t>Contactor 3x32A(AC-3) / 3x50A(AC-1) +1NA - AF30-30-10-11 - bobina 24-60Vac/dc - marca ABB.</t>
  </si>
  <si>
    <t>1SBL277001P1110</t>
  </si>
  <si>
    <t>AF38-30-10-11_3p</t>
  </si>
  <si>
    <t>Contactor 3x38A(AC-3) / 3x50A(AC-1) +1NA - AF38-30-10-11 - bobina 24-60Vac/dc - marca ABB.</t>
  </si>
  <si>
    <t>1SBL297001P1110</t>
  </si>
  <si>
    <t>AF52-30-00-11_3p</t>
  </si>
  <si>
    <t>Contactor 3x53A(AC-3) / 3x100A(AC-1) - AF52-30-00-11 - bobina 24-60Vac/dc - marca ABB.</t>
  </si>
  <si>
    <t>1SBL367001R1100</t>
  </si>
  <si>
    <t>AF65-30-00-11_3p</t>
  </si>
  <si>
    <t>Contactor 3x63A(AC-3) / 3x105A(AC-1) - AF65-30-00-11 - bobina 24-60Vac/dc - marca ABB.</t>
  </si>
  <si>
    <t>1SBL387001R1100</t>
  </si>
  <si>
    <t>AF80-30-00-11_3p</t>
  </si>
  <si>
    <t>Contactor 3x80A(AC-3) / 3x125A(AC-1) - AF80-30-00-11 - bobina 24-60Vac/dc - marca ABB.</t>
  </si>
  <si>
    <t>1SBL397001R1100</t>
  </si>
  <si>
    <t>AF96-30-00-11_3p</t>
  </si>
  <si>
    <t>Contactor 3x96A(AC-3) / 3x130A(AC-1) - AF96-30-00-11 - bobina 24-60Vac/dc - marca ABB.</t>
  </si>
  <si>
    <t>1SBL407001R1100</t>
  </si>
  <si>
    <t>AF116-30-00-11_3p</t>
  </si>
  <si>
    <t>Contactor 3x116A(AC-3) / 3x160A(AC-1) - AF116-30-00 - bobina 24-60Vac/dc - marca ABB.</t>
  </si>
  <si>
    <t>1SFL427001R1100</t>
  </si>
  <si>
    <t>Contacto auxiliar frontal 1NC para contactor AF09..AF96, frontal - Modelo CA4-01 - marca ABB.</t>
  </si>
  <si>
    <t>CA4-11</t>
  </si>
  <si>
    <t>Contacto auxiliar frontal 1NA+1NC para contactor AF09..AF96, lateral - Modelo CA4-11 - marca ABB.</t>
  </si>
  <si>
    <t>1SBN010120R1011</t>
  </si>
  <si>
    <t>CAL-19-11</t>
  </si>
  <si>
    <t>Contacto auxiliar frontal 1NA+1NC para contactor AF116..AF370, frontal - Modelo CAL19-11 - marca ABB.</t>
  </si>
  <si>
    <t>1SFN010820R1011</t>
  </si>
  <si>
    <t>BEY16-4</t>
  </si>
  <si>
    <t>Set de conexión para arranque Estrella Triángulo p/ contactores AF09…16, modelo BEY16-4 - marca ABB.</t>
  </si>
  <si>
    <t>1SBN081313R2000</t>
  </si>
  <si>
    <t>BEY38-4</t>
  </si>
  <si>
    <t>Set de conexión para arranque Estrella Triángulo p/ contactores AF26…38, modelo BEY38-4 - marca ABB.</t>
  </si>
  <si>
    <t>1SBN082713R2000</t>
  </si>
  <si>
    <t>BEY65-4</t>
  </si>
  <si>
    <t>Set de conexión para arranque Estrella Triángulo p/ contactores AF52…65, modelo BEY65-4 - marca ABB.</t>
  </si>
  <si>
    <t>1SBN083413R2000</t>
  </si>
  <si>
    <t>BEY96-4</t>
  </si>
  <si>
    <t>Set de conexión para arranque Estrella Triángulo p/ contactores AF80…96, modelo BEY96-4 - marca ABB.</t>
  </si>
  <si>
    <t>1SBN083913R2000</t>
  </si>
  <si>
    <t>MS116 Guardamotor - Ith=0.4 ..0.63A - 0.16HP@220Vac / 0.33HP@440V - Icu=50kA@400Vac, clase disparo 10A - marca ABB.</t>
  </si>
  <si>
    <t>MS116 Guardamotor - Ith=0.63 ..1.0A - 0.25HP@220Vac / 0.5HP@440V - Icu=50kA@400Vac, clase disparo 10A - marca ABB.</t>
  </si>
  <si>
    <t>MS116 Guardamotor - Ith=1.0 ..1.6A - 0.3HP@220Vac / 0.75HP@440V - Icu=50kA@400Vac, clase disparo 10A - marca ABB.</t>
  </si>
  <si>
    <t>MS116 Guardamotor - Ith=1.6 ..2.5A - 0.5HP@220Vac / 1.5HP@440V - Icu=50kA@400Vac, clase disparo 10A - marca ABB.</t>
  </si>
  <si>
    <t>MS116 Guardamotor - Ith=2.5 ..4.0A - 1.0HP@220Vac / 2.0HP@440V - Icu=50kA@400Vac, clase disparo 10A - marca ABB.</t>
  </si>
  <si>
    <t>MS116 Guardamotor - Ith=4.0 ..6.3A - 2.0HP@220Vac / 4.0HP@440V - Icu=50kA@400Vac, clase disparo 10A - marca ABB.</t>
  </si>
  <si>
    <t>MS116 Guardamotor - Ith=6.3 ..10.0A - 3.0HP@220Vac / 5.5HP@440V - Icu=50kA@400Vac, clase disparo 10A - marca ABB.</t>
  </si>
  <si>
    <t>MS132-1.6</t>
  </si>
  <si>
    <t>MS132 Guardamotor - Ith=1.0 ..1.6A - 0.3HP@220Vac / 0.75HP@440V - Icu=100kA@400Vac, clase disparo 10 - marca ABB.</t>
  </si>
  <si>
    <t>1SAM350000R1006</t>
  </si>
  <si>
    <t>MS132-2.5</t>
  </si>
  <si>
    <t>MS132 Guardamotor - Ith=1.6 ..2.5A - 0.5HP@220Vac / 1.5HP@440V - Icu=100kA@400Vac, clase disparo 10 - marca ABB.</t>
  </si>
  <si>
    <t>1SAM350000R1007</t>
  </si>
  <si>
    <t>MS132-4.0</t>
  </si>
  <si>
    <t>MS132 Guardamotor - Ith=2.5 ..4.0A - 1.0HP@220Vac / 2.0HP@440V - Icu=100kA@400Vac, clase disparo 10 - marca ABB.</t>
  </si>
  <si>
    <t>1SAM350000R1008</t>
  </si>
  <si>
    <t>MS132-6.3</t>
  </si>
  <si>
    <t>MS132 Guardamotor - Ith=4.0 ..6.3A - 2.0HP@220Vac / 4.0HP@440V - Icu=100kA@400Vac, clase disparo 10 - marca ABB.</t>
  </si>
  <si>
    <t>1SAM350000R1009</t>
  </si>
  <si>
    <t>MS132-10.0</t>
  </si>
  <si>
    <t>MS132 Guardamotor - Ith=6.3 ..10.0A - 3.0HP@220Vac / 5.5HP@440V - Icu=100kA@400Vac, clase disparo 10 - marca ABB.</t>
  </si>
  <si>
    <t>1SAM350000R1010</t>
  </si>
  <si>
    <t>MS132-12.0</t>
  </si>
  <si>
    <t>MS132 Guardamotor - Ith=8.0 ..12.0A - 4.0HP@220Vac / 7.5HP@440V - Icu=100kA@400Vac, clase disparo 10 - marca ABB.</t>
  </si>
  <si>
    <t>1SAM350000R1012</t>
  </si>
  <si>
    <t>MS132-16.0</t>
  </si>
  <si>
    <t>MS132 Guardamotor - Ith=10.0 ..16.0A - 5.0HP@220Vac / 10.0HP@440V - Icu=100kA@400Vac, clase disparo 10 - marca ABB.</t>
  </si>
  <si>
    <t>1SAM350000R1011</t>
  </si>
  <si>
    <t>MS132-20.0</t>
  </si>
  <si>
    <t>MS132 Guardamotor - Ith=16.0 ..20.0A - 7.5HP@220Vac / 15.0HP@440V - Icu=100kA@400Vac, clase disparo 10 - marca ABB.</t>
  </si>
  <si>
    <t>1SAM350000R1013</t>
  </si>
  <si>
    <t>MS132-25.0</t>
  </si>
  <si>
    <t>MS132 Guardamotor - Ith=20.0 ..25.0A - 10.0HP@220Vac / 20.0HP@440V - Icu=50kA@400Vac, clase disparo 10 - marca ABB.</t>
  </si>
  <si>
    <t>1SAM350000R1014</t>
  </si>
  <si>
    <t>MS132-32.0</t>
  </si>
  <si>
    <t>MS132 Guardamotor - Ith=25.0 ..32.0A - 12.0HP@220Vac / 25.0HP@440V - Icu=25kA@400Vac, clase disparo 10 - marca ABB.</t>
  </si>
  <si>
    <t>1SAM350000R1015</t>
  </si>
  <si>
    <t>MS165-25</t>
  </si>
  <si>
    <t>MS165 Guardamotor - Ith=18 ..25A - 8HP@220Vac / 20HP@440V - Icu=75kA@400Vac, clase disparo 10 - marca ABB.</t>
  </si>
  <si>
    <t>1SAM451000R1013</t>
  </si>
  <si>
    <t>MS165-32</t>
  </si>
  <si>
    <t>MS165 Guardamotor - Ith=23 ..32A - 10HP@220Vac / 25HP@440V - Icu=75kA@400Vac, clase disparo 10 - marca ABB.</t>
  </si>
  <si>
    <t>1SAM451000R1014</t>
  </si>
  <si>
    <t>MS165-42</t>
  </si>
  <si>
    <t>MS165 Guardamotor - Ith=30 ..42A - 15HP@220Vac / 30HP@440V - Icu=25kA@400Vac, clase disparo 10 - marca ABB.</t>
  </si>
  <si>
    <t>1SAM451000R1015</t>
  </si>
  <si>
    <t>MS165-54</t>
  </si>
  <si>
    <t>MS165 Guardamotor - Ith=40 ..54A - 20HP@220Vac / 40HP@440V - Icu=25kA@400Vac, clase disparo 10 - marca ABB.</t>
  </si>
  <si>
    <t>1SAM451000R1016</t>
  </si>
  <si>
    <t>MS165-65</t>
  </si>
  <si>
    <t>MS165 Guardamotor - Ith=52 ..65A - 23HP@220Vac / 50HP@440V - Icu=25kA@400Vac, clase disparo 10 - marca ABB.</t>
  </si>
  <si>
    <t>1SAM451000R1017</t>
  </si>
  <si>
    <t>Contacto 1NA+1NC de señalización de disparo (falla) p/Guardamotor MS116/MS132/MS165, modelo SK1-11, montaje lateral derecho, marca ABB.</t>
  </si>
  <si>
    <t>BEA16-4</t>
  </si>
  <si>
    <t>Kit de conexión de guardamotor a contactor, MS116-0.16.. .25/MS132-0.16.. .25 + AF09...AF16, modelo BEA16-4, marca ABB.</t>
  </si>
  <si>
    <t>1SBN081306T1000</t>
  </si>
  <si>
    <t>BEA26-4</t>
  </si>
  <si>
    <t>Kit de conexión de guardamotor a contactor, MS116-0.16...16/MS132-0.16...10 + AF26...AF38, modelo BEA26-4, marca ABB.</t>
  </si>
  <si>
    <t>1SBN082306T1000</t>
  </si>
  <si>
    <t>BEA38-4</t>
  </si>
  <si>
    <t>Kit de conexión de guardamotor a contactor, MS116-20...32/MS132-12...32 + AF26...AF38, modelo BEA38-4, marca ABB.</t>
  </si>
  <si>
    <t>1SBN082306T2000</t>
  </si>
  <si>
    <t>BEA65-4</t>
  </si>
  <si>
    <t>Kit de conexión de guardamotor a contactor, MS116/MS132/MS165 + AF40...AF65, modelo BEA65-4, marca ABB.</t>
  </si>
  <si>
    <t>1SBN083406R1000</t>
  </si>
  <si>
    <t>TF42-29</t>
  </si>
  <si>
    <t>1SAZ721201R1052</t>
  </si>
  <si>
    <t>TF42-35</t>
  </si>
  <si>
    <t>1SAZ721201R1053</t>
  </si>
  <si>
    <t>TF42-38</t>
  </si>
  <si>
    <t>1SAZ721201R1055</t>
  </si>
  <si>
    <t>TF65-33</t>
  </si>
  <si>
    <t>TF65-33 Relé de sobrecarga - Ith=25 …33A, clase disparo 10 - p/ contactor AF52 … AF65 - marca ABB.</t>
  </si>
  <si>
    <t>1SAZ811201R1002</t>
  </si>
  <si>
    <t>TF65-40</t>
  </si>
  <si>
    <t>TF65-40 Relé de sobrecarga - Ith=30…40A, clase disparo 10 - p/ contactor AF52 … AF65 - marca ABB.</t>
  </si>
  <si>
    <t>1SAZ811201R1003</t>
  </si>
  <si>
    <t>TF65-47</t>
  </si>
  <si>
    <t>TF65-47 Relé de sobrecarga - Ith=36 …47A, clase disparo 10 - p/ contactor AF52 … AF65 - marca ABB.</t>
  </si>
  <si>
    <t>1SAZ811201R1004</t>
  </si>
  <si>
    <t>TF65-53</t>
  </si>
  <si>
    <t>TF65-53 Relé de sobrecarga - Ith=44 …53A, clase disparo 10 - p/ contactor AF52 … AF65 - marca ABB.</t>
  </si>
  <si>
    <t>1SAZ811201R1005</t>
  </si>
  <si>
    <t>TF96-51</t>
  </si>
  <si>
    <t>TF96-51 Relé de sobrecarga - Ith=40 …51A, clase disparo 10 - p/ contactor AF80 … AF96 - marca ABB.</t>
  </si>
  <si>
    <t>1SAZ911201R1001</t>
  </si>
  <si>
    <t>TF96-60</t>
  </si>
  <si>
    <t>TF96-60 Relé de sobrecarga - Ith=48 …60A, clase disparo 10 - p/ contactor AF80 … AF96 - marca ABB.</t>
  </si>
  <si>
    <t>1SAZ911201R1002</t>
  </si>
  <si>
    <t>TF96-68</t>
  </si>
  <si>
    <t>TF96-68 Relé de sobrecarga - Ith=57 …68A, clase disparo 10 - p/ contactor AF80 … AF96 - marca ABB.</t>
  </si>
  <si>
    <t>1SAZ911201R1003</t>
  </si>
  <si>
    <t>TF96-78</t>
  </si>
  <si>
    <t>TF96-78 Relé de sobrecarga - Ith=65 …78A, clase disparo 10 - p/ contactor AF80 … AF96 - marca ABB.</t>
  </si>
  <si>
    <t>1SAZ911201R1004</t>
  </si>
  <si>
    <t>TF96-87</t>
  </si>
  <si>
    <t>TF96-87 Relé de sobrecarga - Ith=75 …87A, clase disparo 10 - p/ contactor AF80 … AF96 - marca ABB.</t>
  </si>
  <si>
    <t>1SAZ911201R1005</t>
  </si>
  <si>
    <t>TF96-96</t>
  </si>
  <si>
    <t>TF96-96 Relé de sobrecarga - Ith=84 …96A, clase disparo 10 - p/ contactor AF80 … AF96 - marca ABB.</t>
  </si>
  <si>
    <t>1SAZ911201R1006</t>
  </si>
  <si>
    <t>CT-ERE-ON</t>
  </si>
  <si>
    <t>Temporizador electrónico +1NA/NC, td=0.3 …30s., Uc=24Vac/dc / 230Vac, modelo CT-ERE-ON - marca ABB.</t>
  </si>
  <si>
    <t>1SVR550107R4100</t>
  </si>
  <si>
    <t>PULS_STOP+led_220V</t>
  </si>
  <si>
    <t>1SFA619100R1341</t>
  </si>
  <si>
    <t>PULS_START+led_220V</t>
  </si>
  <si>
    <t>1SFA619100R1312</t>
  </si>
  <si>
    <t>MA1-8052</t>
  </si>
  <si>
    <t>Capuchón de goma IP67 para pulsadores rasantes - modelo MA1-8052 - marca ABB.</t>
  </si>
  <si>
    <t>1SFA611920R8052</t>
  </si>
  <si>
    <t>PULS_STOP+led_24V</t>
  </si>
  <si>
    <t>1SFA619100R1141</t>
  </si>
  <si>
    <t>PULS_START+led_24V</t>
  </si>
  <si>
    <t>1SFA619100R1112</t>
  </si>
  <si>
    <t>MEP2-0</t>
  </si>
  <si>
    <t>Caja de plástico color gris y gris claro, de 2 agujeros - modelo MEP2-0 - marca ABB.</t>
  </si>
  <si>
    <t>1SFA611812R1000</t>
  </si>
  <si>
    <t>MA6-1002</t>
  </si>
  <si>
    <t>Placa de plástico color aluminio, de 2 agujeros sin texto - modelo MA6-1002 - marca ABB.</t>
  </si>
  <si>
    <t>1SFA611930R1002</t>
  </si>
  <si>
    <t>MEP3-0</t>
  </si>
  <si>
    <t>Caja de plástico color gris y gris claro, de 3 agujeros - modelo MEP3-0 - marca ABB.</t>
  </si>
  <si>
    <t>1SFA611813R1000</t>
  </si>
  <si>
    <t>MA6-1003</t>
  </si>
  <si>
    <t>Placa de plástico color aluminio, de 3 agujeros sin texto - modelo MA6-1002 - marca ABB.</t>
  </si>
  <si>
    <t>1SFA611930R1003</t>
  </si>
  <si>
    <t>MA1-8015</t>
  </si>
  <si>
    <t>Herramienta para montaje de los pilotos - modelo MA1-8015 - marca ABB.</t>
  </si>
  <si>
    <t>1SFA611920R8015</t>
  </si>
  <si>
    <t>PULS_EMERG</t>
  </si>
  <si>
    <t>Pulsador compacto "Parada de Emergencia" - color Rojo - contactos 1NA+1NC - modelo CE4P-10R-11 - línea modular - marca ABB.</t>
  </si>
  <si>
    <t>1SFA619551R1071</t>
  </si>
  <si>
    <t>MEPY1-0</t>
  </si>
  <si>
    <t>Cajas de plástico color amarillo vacías para pulsador modular y compacto.</t>
  </si>
  <si>
    <t>1SFA611821R1000</t>
  </si>
  <si>
    <t>MA1-8053</t>
  </si>
  <si>
    <t>Cubierta pulsador 40 mm (para parada de emergencia).</t>
  </si>
  <si>
    <t>1SFA611920R8053</t>
  </si>
  <si>
    <t>LAMP_ROJO_24V</t>
  </si>
  <si>
    <t>1SFA619403R5021</t>
  </si>
  <si>
    <t>LAMP_VERDE_24V</t>
  </si>
  <si>
    <t>1SFA619403R5022</t>
  </si>
  <si>
    <t>LAMP_AM_24V</t>
  </si>
  <si>
    <t>1SFA619403R5023</t>
  </si>
  <si>
    <t>TABLEROS METALICOS AUTOSOPORTADOS - Serie Modular IS2</t>
  </si>
  <si>
    <t>IS2_2100x600x600mm</t>
  </si>
  <si>
    <t>GA206060P</t>
  </si>
  <si>
    <t>IS2_2100x800x600mm</t>
  </si>
  <si>
    <t>GA208060P</t>
  </si>
  <si>
    <t>IS2_2100x600x800mm</t>
  </si>
  <si>
    <t>GA206080P</t>
  </si>
  <si>
    <t>IS2_2100x800x800mm</t>
  </si>
  <si>
    <t>GA208080P</t>
  </si>
  <si>
    <t>IS2_2100x1000x600mm</t>
  </si>
  <si>
    <t>GA201060P</t>
  </si>
  <si>
    <t>IS2_2100x1000x800mm</t>
  </si>
  <si>
    <t>GA201080P</t>
  </si>
  <si>
    <t>IS2_2100x1000x1000mm</t>
  </si>
  <si>
    <t>GA201010P</t>
  </si>
  <si>
    <t>2 CUERPOS</t>
  </si>
  <si>
    <t>IS2_2100x1200x600mm</t>
  </si>
  <si>
    <t>GA201260P</t>
  </si>
  <si>
    <t>IS2_2100x1200x800mm</t>
  </si>
  <si>
    <t>GA201280P</t>
  </si>
  <si>
    <t>IS2_2100x1600x600mm</t>
  </si>
  <si>
    <t>GA201660P</t>
  </si>
  <si>
    <t>IS2_2100x1600x800mm</t>
  </si>
  <si>
    <t>GA201680P</t>
  </si>
  <si>
    <t>ACCESORIOS</t>
  </si>
  <si>
    <t>IS2_PortEsq</t>
  </si>
  <si>
    <t>Portaplanos de plástico A4 para tablero modelo IS2, RAL 7035 - marca ABB.</t>
  </si>
  <si>
    <t>EV1075K</t>
  </si>
  <si>
    <t>IS2_Cancamos</t>
  </si>
  <si>
    <t>Cáncamos de elevacion para tablero modelo IS2 (04 armellas tipo M12) - marca ABB.</t>
  </si>
  <si>
    <t>AA9610</t>
  </si>
  <si>
    <t>SRN3215K</t>
  </si>
  <si>
    <t>SRN3415K</t>
  </si>
  <si>
    <t>SRN4320K</t>
  </si>
  <si>
    <t>SRN4420K</t>
  </si>
  <si>
    <t>SRN5420K</t>
  </si>
  <si>
    <t>SRN5425K</t>
  </si>
  <si>
    <t>SRN10625K</t>
  </si>
  <si>
    <t>SRN10630K</t>
  </si>
  <si>
    <t>SRN10830K</t>
  </si>
  <si>
    <t>SRN12630K</t>
  </si>
  <si>
    <t>SRN12830K</t>
  </si>
  <si>
    <t>SOP-FIJ_SR2</t>
  </si>
  <si>
    <t>Soporte para fijación mural, (1 pza), para tablero serie SR2 - marca ABB.</t>
  </si>
  <si>
    <t>AA1206</t>
  </si>
  <si>
    <t>PORTA-ESQ_SR2</t>
  </si>
  <si>
    <t>Portaesquemas de plástico A4, para tablero serie SR2 - marca ABB.</t>
  </si>
  <si>
    <t>400x200mm_ACOPLE VERT</t>
  </si>
  <si>
    <t>Empaquetadura de acople vertical IP65 - 400x200mm, para tablero serie SR2 - marca ABB.</t>
  </si>
  <si>
    <t>GZ4020</t>
  </si>
  <si>
    <t>400x250mm_ACOPLE VERT</t>
  </si>
  <si>
    <t>Empaquetadura de acople vertical IP65 - 400x250mm, para tablero serie SR2 - marca ABB.</t>
  </si>
  <si>
    <t>GZ4025</t>
  </si>
  <si>
    <t>600x250mm_ACOPLE VERT</t>
  </si>
  <si>
    <t>Empaquetadura de acople vertical IP65 - 600x250mm, para tablero serie SR2 - marca ABB.</t>
  </si>
  <si>
    <t>GZ6025</t>
  </si>
  <si>
    <t>800x300mm_ACOPLE VERT</t>
  </si>
  <si>
    <t>Empaquetadura de acople vertical IP65 - 800x300mm, para tablero serie SR2 - marca ABB.</t>
  </si>
  <si>
    <t>GZ8030</t>
  </si>
  <si>
    <t>400x200mm_ZOCALO SOP INF</t>
  </si>
  <si>
    <t>Zocalo soporte inferior - 400x200mm, para tablero serie SR2 - marca ABB.</t>
  </si>
  <si>
    <t>ZA4020</t>
  </si>
  <si>
    <t>400x250mm_ZOCALO SOP INF</t>
  </si>
  <si>
    <t>Zocalo soporte inferior - 400x250mm, para tablero serie SR2 - marca ABB.</t>
  </si>
  <si>
    <t>ZA4025</t>
  </si>
  <si>
    <t>600x250mm_ZOCALO SOP INF</t>
  </si>
  <si>
    <t>Zocalo soporte inferior - 600x250mm, para tablero serie SR2 - marca ABB.</t>
  </si>
  <si>
    <t>ZA6025</t>
  </si>
  <si>
    <t>800x300mm_ZOCALO SOP INF</t>
  </si>
  <si>
    <t>Zocalo soporte inferior - 800x300mm, para tablero serie SR2 - marca ABB.</t>
  </si>
  <si>
    <t>ZA8030</t>
  </si>
  <si>
    <t>EGB3125FFG</t>
  </si>
  <si>
    <t>EGB3160FFG</t>
  </si>
  <si>
    <t>MWI64N3HEA</t>
  </si>
  <si>
    <t>LZMS2-A63</t>
  </si>
  <si>
    <t>Modelo LZM - solo magnéticos</t>
  </si>
  <si>
    <t>LZMS2-S200</t>
  </si>
  <si>
    <t>LZMS3-S500</t>
  </si>
  <si>
    <t>ENC. TRIPLE</t>
  </si>
  <si>
    <t>Enclavamiento mecánico triple para LZM4, fabricacion nacional.</t>
  </si>
  <si>
    <t>M22-CK11</t>
  </si>
  <si>
    <t>ER-C32/1-MW</t>
  </si>
  <si>
    <t>ER-C16/2-MW</t>
  </si>
  <si>
    <t>ER-C20/2-MW</t>
  </si>
  <si>
    <t>ER-C32/2-MW</t>
  </si>
  <si>
    <t>Modelo mMCT.</t>
  </si>
  <si>
    <t>mMCT-C80/1</t>
  </si>
  <si>
    <t>mMCT-C100/1</t>
  </si>
  <si>
    <t>mMCT-C125/1</t>
  </si>
  <si>
    <t>mMCT-C80/2</t>
  </si>
  <si>
    <t>mMCT-C100/2</t>
  </si>
  <si>
    <t>mMCT-C125/2</t>
  </si>
  <si>
    <t>mMCT-C80/3</t>
  </si>
  <si>
    <t>mMCT-C100/3</t>
  </si>
  <si>
    <t>mMCT-C125/3</t>
  </si>
  <si>
    <t>DILM150-XHI22</t>
  </si>
  <si>
    <t>DILM150-XMVE</t>
  </si>
  <si>
    <t>SISTEMA DE MEDICION</t>
  </si>
  <si>
    <t>410-QT5A-A0B10</t>
  </si>
  <si>
    <t>Medidor de energía CIRWATT B 410T (conexión indirecta), Trifásico, 4 Hilos, 400/230V, 60 Hz, /5 A, Precisión en energía activa: Clase 0.5 marca CIRCUTOR.</t>
  </si>
  <si>
    <t>AMPER-M10230</t>
  </si>
  <si>
    <t>Amperímetro analógico AC, sin escala, …/5A, medidas 96x96mm. - modelo EC96 - marca CIRCUTOR.</t>
  </si>
  <si>
    <t>M10230</t>
  </si>
  <si>
    <t>VOLT-M10436</t>
  </si>
  <si>
    <t>Voltímetro analógico AC, U_med=0-300V, medidas 96x96mm. - modelo EC96 - marca CIRCUTOR.</t>
  </si>
  <si>
    <t>M10436</t>
  </si>
  <si>
    <t>LSPT-R</t>
  </si>
  <si>
    <t>Lamparas de señalizacion para parada, color rojo tipo led , 22mmØ.</t>
  </si>
  <si>
    <t>LSPT-A</t>
  </si>
  <si>
    <t>Lamparas de señalizacion para falla, color amarillo tipo led , 22mmØ.</t>
  </si>
  <si>
    <t>LSPT-V</t>
  </si>
  <si>
    <t>Lamparas de señalizacion para arranque, color verde tipo led , 22mmØ.</t>
  </si>
  <si>
    <t>PULS_VERDE</t>
  </si>
  <si>
    <t xml:space="preserve">Pulsador Start (Verde) + contacto 1NA+1NC. </t>
  </si>
  <si>
    <t>PULS_ROJO</t>
  </si>
  <si>
    <t xml:space="preserve">Pulsador Stop (Rojo) + contacto 1NA+1NC. </t>
  </si>
  <si>
    <t>ENC-MEC-RD</t>
  </si>
  <si>
    <t>Bloqueo mecánico para enclavamiento manual entre dos interruptores - Riel-Din.</t>
  </si>
  <si>
    <t>RES-TETRA_DIN</t>
  </si>
  <si>
    <t>Espacio de reserva tetrapolar - Riel-Din.</t>
  </si>
  <si>
    <t>RES-TETRA_MOLD</t>
  </si>
  <si>
    <t>Espacio de reserva tetrapolar - Caja moldeada.</t>
  </si>
  <si>
    <t>PSPD400400Y3K</t>
  </si>
  <si>
    <t>PSPD120480Y3K</t>
  </si>
  <si>
    <t>Protector contra Sobretensión Transitorio, Trifásico, corriente pico por fase de 120kA, 4 Hilos, Estrella, 480Vac, con LED de indicación de estado de cada fase y contactos auxiliares de señalización de estado.</t>
  </si>
  <si>
    <t>PSPD250480Y3K</t>
  </si>
  <si>
    <t>Protector contra Sobretensión Transitorio, Trifásico, corriente pico por fase de 250kA, 4 Hilos, Estrella, 480Vac, con LED de indicación de estado de cada fase y contactos auxiliares de señalización de estado.</t>
  </si>
  <si>
    <t>EATON/MOELLER</t>
  </si>
  <si>
    <t>XTRE010B22B + XTCEXFCA22</t>
  </si>
  <si>
    <t>Contactor, 2NA + 2 NC, Bobina 240Vac</t>
  </si>
  <si>
    <t>TOMA-I-EMP_2P+T(16A)_IP67</t>
  </si>
  <si>
    <t>ENCH-IND 2P+T(16A)_IP67</t>
  </si>
  <si>
    <t>TOMA-I-EMP_3P+T(16A)_IP67</t>
  </si>
  <si>
    <t>ENCH-IND 3P+T(16A)_IP67</t>
  </si>
  <si>
    <t>TOMA-I-EMP_2P+T(32A)_IP67</t>
  </si>
  <si>
    <t>ENCH-IND 2P+T(32A)_IP67</t>
  </si>
  <si>
    <t>TOMA-I-EMP_3P+T(32A)_IP67</t>
  </si>
  <si>
    <t>ENCH-IND 3P+T(32A)_IP67</t>
  </si>
  <si>
    <t>TOMA-I-EMP_3P+N+T(16A)_IP67</t>
  </si>
  <si>
    <t>ENCH-IND 3P+N+T(16A)_IP67</t>
  </si>
  <si>
    <t>TRAFO_2F_440-24V_500VA</t>
  </si>
  <si>
    <t>Transformador de tensión monofásico 440 / 24 Vac - 500VA.</t>
  </si>
  <si>
    <t>TRAFO_2F_440-24V_750VA</t>
  </si>
  <si>
    <t>Transformador de tensión monofásico 440 / 24 Vac - 750VA.</t>
  </si>
  <si>
    <t>TRAFO_3F_440-220V_200VA</t>
  </si>
  <si>
    <t>Transformador de tensión de aislamiento trifásico 440 / 220 Vac - 200VA.</t>
  </si>
  <si>
    <t>CIRCUTOR</t>
  </si>
  <si>
    <t>C0050E2A</t>
  </si>
  <si>
    <t>Transformador de Tensión, 240/120Vac, 50VA - marca EATON.</t>
  </si>
  <si>
    <t>TSR-2</t>
  </si>
  <si>
    <t>Transformador sumador 2 entradas 5+5/5A, marca CIRCUTOR</t>
  </si>
  <si>
    <t>230Vac:</t>
  </si>
  <si>
    <t>REACT_20kVAR/220V_p7</t>
  </si>
  <si>
    <t>COND_20kVAR/220V_p7</t>
  </si>
  <si>
    <t>380Vac:</t>
  </si>
  <si>
    <t>COND_60kVAR/380V_p7</t>
  </si>
  <si>
    <t>400Vac:</t>
  </si>
  <si>
    <t>REACT_10kVAR/400V_p7</t>
  </si>
  <si>
    <t>REACT_15kVAR/400V_p7</t>
  </si>
  <si>
    <t>COND_15kVAR/400V_p7</t>
  </si>
  <si>
    <t>REACT_20kVAR/400V_p7</t>
  </si>
  <si>
    <t>REACT_30kVAR/400V_p7</t>
  </si>
  <si>
    <t>REACT_40kVAR/400V_p7</t>
  </si>
  <si>
    <t>COND_40kVAR/400V_p7</t>
  </si>
  <si>
    <t>REACT_60kVAR/400V_p7</t>
  </si>
  <si>
    <t>REACT_80kVAR/400V_p7</t>
  </si>
  <si>
    <t>440Vac:</t>
  </si>
  <si>
    <t>REACT_60kVAR/440V_p7</t>
  </si>
  <si>
    <t>COND_60kVAR/440V_p7</t>
  </si>
  <si>
    <t>460Vac:</t>
  </si>
  <si>
    <t>REG_SMART_III_14p</t>
  </si>
  <si>
    <t>Regulador de factor de potencia, 14 pasos, Tensión de alimentación: 100 – 520 V AC, tipo Computer SMART III, marca CIRCUTOR.</t>
  </si>
  <si>
    <t>REG_SMART_III_12p</t>
  </si>
  <si>
    <t>CMC_10kVAR/400V</t>
  </si>
  <si>
    <t>CMC_15kVAR/400V</t>
  </si>
  <si>
    <t>CMC_20kVAR/400V</t>
  </si>
  <si>
    <t>CMC_40kVAR/380V</t>
  </si>
  <si>
    <t>RGU-10</t>
  </si>
  <si>
    <t>Relé electrónico de protección diferencial - Reg.: 0.03…3A, serie RGU-10, marca CIRCUTOR.</t>
  </si>
  <si>
    <t>WGC-350x150</t>
  </si>
  <si>
    <t>F45-3-11-0</t>
  </si>
  <si>
    <t>Amperímetro digital (UL) 150ADC (50 mV), alimentación 24VDC Falcon F45-3-11-0, marca SIMPSON.</t>
  </si>
  <si>
    <t>700SP01293</t>
  </si>
  <si>
    <t>SIMPSON</t>
  </si>
  <si>
    <t>SNT_1/150A_SIMPSON</t>
  </si>
  <si>
    <t>Resistencia Shunt para medición de corriente DC, Uo=50mV DC - modelo 06714 - marca SIMPSON.</t>
  </si>
  <si>
    <t>700SP01297</t>
  </si>
  <si>
    <t>F45-3-14-0</t>
  </si>
  <si>
    <t>Voltimetro digital (UL) VDC Falcon F45-3-14-0, marca SIMPSON.</t>
  </si>
  <si>
    <t>700SP01298</t>
  </si>
  <si>
    <t>02750</t>
  </si>
  <si>
    <t>Amperímetro (UL Recognized) Serie Wide-Vue (analógico), marca SIMPSON.</t>
  </si>
  <si>
    <t>700SP50035</t>
  </si>
  <si>
    <t>06714</t>
  </si>
  <si>
    <t>Resistencia Shunt para medición de corriente DC, Uo=50mV DC  - marca SIMPSON.</t>
  </si>
  <si>
    <t>09800</t>
  </si>
  <si>
    <t>Voltímetro (UL Recognized) Serie Wide-Vue (analógico), marca SIMPSON.</t>
  </si>
  <si>
    <t>700SP50011</t>
  </si>
  <si>
    <t>Panel de Control Local-Remoto para Mando Motor (p/ modelo T5-400A):</t>
  </si>
  <si>
    <t>Panel de Control Local-Remoto para Mando Motor (p/ modelo T5-630A):</t>
  </si>
  <si>
    <t>Se ha cotizado tableros con grado de protección NEMA 1 (equivalente IP10 / IP20 / IP23 / IP40* ,</t>
  </si>
  <si>
    <t>SH202-C-6A</t>
  </si>
  <si>
    <t>ITM Riel-Din 2x6A - SH202-C-6A - 10kA@230Vac, 6kA@400Vac-IEC60898 - marca ABB.</t>
  </si>
  <si>
    <t>SH202-C-10A</t>
  </si>
  <si>
    <t>ITM Riel-Din 2x10A - SH202-C-10A - 10kA@230Vac, 6kA@400Vac-IEC60898 - marca ABB.</t>
  </si>
  <si>
    <t>OVR TIPO 1</t>
  </si>
  <si>
    <t>OVR TIPO 2</t>
  </si>
  <si>
    <t>OVR-T2_1N_40-275_P-QS_1P+N</t>
  </si>
  <si>
    <t>Protector de sobretensiones (Tipo 2) - OVR-T2_1N_40-275_P-QS_1P+N - Un=230V, Uc=275V, Up=1.25kV - I_descarga=40kA - marca ABB.</t>
  </si>
  <si>
    <t>E1.2N-800A-4P-Ekip Touch LSI</t>
  </si>
  <si>
    <t>ITM Bastidor Abierto 4x800A (electrónico [0.4-1.0] In) - E1.2N-800A-4P-Ekip Touch LSI - 66kA@440Vac - marca ABB.</t>
  </si>
  <si>
    <t>1SDA071395R1</t>
  </si>
  <si>
    <t>E1.2N-1000A-4P-Ekip Touch LSI</t>
  </si>
  <si>
    <t>ITM Bastidor Abierto 4x1000A (electrónico [0.4-1.0] In) - E1.2N-1000A-4P-Ekip Touch LSI - 66kA@440Vac - marca ABB.</t>
  </si>
  <si>
    <t>1SDA071435R1</t>
  </si>
  <si>
    <t>OT_I-0-II_3p_2000A</t>
  </si>
  <si>
    <t>Conmutador manual bajo carga (I-0-II), modelo OT-C, 3p, 2000A (AC21..AC22) - marca ABB.</t>
  </si>
  <si>
    <t>1SCA103908R1001</t>
  </si>
  <si>
    <t>IH_GRASSLIN doble</t>
  </si>
  <si>
    <t>Interruptor Horario Digital de dos canales - marca GRASSLIN.</t>
  </si>
  <si>
    <t>TRAFO_2F_440-24V_100VA</t>
  </si>
  <si>
    <t>Transformador de tensión monofásico 440 / 24 Vac - 100VA.</t>
  </si>
  <si>
    <r>
      <t>Condiciones Comerciales</t>
    </r>
    <r>
      <rPr>
        <b/>
        <sz val="11"/>
        <color rgb="FF000066"/>
        <rFont val="Arial"/>
        <family val="2"/>
      </rPr>
      <t xml:space="preserve"> :</t>
    </r>
  </si>
  <si>
    <t>Banco de Crédito del Perú:</t>
  </si>
  <si>
    <t>Dólares: 191-0667656-1-08   |   Soles: 191-0845885-0-91</t>
  </si>
  <si>
    <t>Dólares: 0011-0115-0100026258   |   Soles: 0011-0115-0100052763</t>
  </si>
  <si>
    <t xml:space="preserve">Banco Continental:  </t>
  </si>
  <si>
    <t xml:space="preserve">Banco Interbank:  </t>
  </si>
  <si>
    <t>Dólares: 200-3000469928   |   Soles: 289-3000627891</t>
  </si>
  <si>
    <t>BUILDING PRODUCTS</t>
  </si>
  <si>
    <t>SH201-C-6A</t>
  </si>
  <si>
    <t>ITM Riel-Din 1x6A - SH201-C-6A - 10kA@230Vac, 6kA@400Vac-IEC60898 - marca ABB.</t>
  </si>
  <si>
    <t>SH201-C-10A</t>
  </si>
  <si>
    <t>ITM Riel-Din 1x10A - SH201-C-10A - 10kA@230Vac, 6kA@400Vac-IEC60898 - marca ABB.</t>
  </si>
  <si>
    <t>SH204-C-10A</t>
  </si>
  <si>
    <t>ITM Riel-Din 4x10A - SH204-C-10A - 10kA@230Vac, 6kA@400Vac-IEC60898 - marca ABB.</t>
  </si>
  <si>
    <t>SH204-C-16A</t>
  </si>
  <si>
    <t>ITM Riel-Din 4x16A - SH204-C-16A - 10kA@230Vac, 6kA@400Vac-IEC60898 - marca ABB.</t>
  </si>
  <si>
    <t>SH204-C-20A</t>
  </si>
  <si>
    <t>ITM Riel-Din 4x20A - SH204-C-20A - 10kA@230Vac, 6kA@400Vac-IEC60898 - marca ABB.</t>
  </si>
  <si>
    <t>SH204-C-25A</t>
  </si>
  <si>
    <t>ITM Riel-Din 4x25A - SH204-C-25A - 10kA@230Vac, 6kA@400Vac-IEC60898 - marca ABB.</t>
  </si>
  <si>
    <t>SH204-C-32A</t>
  </si>
  <si>
    <t>ITM Riel-Din 4x32A - SH204-C-32A - 10kA@230Vac, 6kA@400Vac-IEC60898 - marca ABB.</t>
  </si>
  <si>
    <t>SH204-C-40A</t>
  </si>
  <si>
    <t>ITM Riel-Din 4x40A - SH204-C-40A - 10kA@230Vac, 6kA@400Vac-IEC60898 - marca ABB.</t>
  </si>
  <si>
    <t>S201-C-10NA</t>
  </si>
  <si>
    <t>ITM Riel-Din 2x10A - S201-C-10NA - 10kA@400Vac-IEC60947-2 - marca ABB.</t>
  </si>
  <si>
    <t>2CDS251103R0104</t>
  </si>
  <si>
    <t>S201-C-16NA</t>
  </si>
  <si>
    <t>ITM Riel-Din 2x16A - S201-C-16NA - 10kA@400Vac-IEC60947-2 - marca ABB.</t>
  </si>
  <si>
    <t>2CDS251103R0164</t>
  </si>
  <si>
    <t>S201-C-20NA</t>
  </si>
  <si>
    <t>ITM Riel-Din 2x20A - S201-C-20NA - 10kA@400Vac-IEC60947-2 - marca ABB.</t>
  </si>
  <si>
    <t>2CDS251103R0204</t>
  </si>
  <si>
    <t>S201-C-0.5NA</t>
  </si>
  <si>
    <t>ITM Riel-Din 2x0.5A - S201-C-0.5NA - 10kA@400Vac-IEC60947-2 - marca ABB.</t>
  </si>
  <si>
    <t>2CDS251103R0984</t>
  </si>
  <si>
    <t>S201-C-1NA</t>
  </si>
  <si>
    <t>ITM Riel-Din 2x1A - S201-C-1NA - 10kA@400Vac-IEC60947-2 - marca ABB.</t>
  </si>
  <si>
    <t>2CDS251103R0014</t>
  </si>
  <si>
    <t>S201-C-2NA</t>
  </si>
  <si>
    <t>ITM Riel-Din 2x2A - S201-C-2NA - 10kA@400Vac-IEC60947-2 - marca ABB.</t>
  </si>
  <si>
    <t>2CDS251103R0024</t>
  </si>
  <si>
    <t>S201-C-3NA</t>
  </si>
  <si>
    <t>ITM Riel-Din 2x3A - S201-C-3NA - 10kA@400Vac-IEC60947-2 - marca ABB.</t>
  </si>
  <si>
    <t>2CDS251103R0034</t>
  </si>
  <si>
    <t>S201-C-6NA</t>
  </si>
  <si>
    <t>ITM Riel-Din 2x6A - S201-C-6NA - 10kA@400Vac-IEC60947-2 - marca ABB.</t>
  </si>
  <si>
    <t>2CDS251103R0064</t>
  </si>
  <si>
    <t>S203-C-10NA</t>
  </si>
  <si>
    <t>ITM Riel-Din 4x10A - S203-C-10NA - 10kA@400Vac-IEC60947-2 - marca ABB.</t>
  </si>
  <si>
    <t>2CDS253103R0104</t>
  </si>
  <si>
    <t>S203-C-16NA</t>
  </si>
  <si>
    <t>ITM Riel-Din 4x16A - S203-C-16NA - 10kA@400Vac-IEC60947-2 - marca ABB.</t>
  </si>
  <si>
    <t>2CDS253103R0164</t>
  </si>
  <si>
    <t>S203-C-25NA</t>
  </si>
  <si>
    <t>ITM Riel-Din 4x25A - S203-C-25NA - 10kA@400Vac-IEC60947-2 - marca ABB.</t>
  </si>
  <si>
    <t>2CDS253103R0254</t>
  </si>
  <si>
    <t>S203-C-40NA</t>
  </si>
  <si>
    <t>ITM Riel-Din 4x40A - S203-C-40NA - 10kA@400Vac-IEC60947-2 - marca ABB.</t>
  </si>
  <si>
    <t>2CDS253103R0404</t>
  </si>
  <si>
    <t>S203-C-6NA</t>
  </si>
  <si>
    <t>ITM Riel-Din 4x6A - S203-C-6NA - 10kA@400Vac-IEC60947-2 - marca ABB.</t>
  </si>
  <si>
    <t>2CDS253103R0064</t>
  </si>
  <si>
    <t>S203-C-32NA</t>
  </si>
  <si>
    <t>ITM Riel-Din 4x32A - S203-C-32NA - 10kA@400Vac-IEC60947-2 - marca ABB.</t>
  </si>
  <si>
    <t>S201-C-10A</t>
  </si>
  <si>
    <t>ITM Riel-Din 1x10A - S201-C-10A - 10kA@230Vac-IEC60947-2 - marca ABB.</t>
  </si>
  <si>
    <t>S202-C-2A</t>
  </si>
  <si>
    <t>ITM Riel-Din 2x2A - S202-C-2A - 10kA@400V-IEC60947-2 - marca ABB.</t>
  </si>
  <si>
    <t>S202-C-4A</t>
  </si>
  <si>
    <t>ITM Riel-Din 2x4A - S202-C-4A - 10kA@400V-IEC60947-2 - marca ABB.</t>
  </si>
  <si>
    <t>S202M-C-10A</t>
  </si>
  <si>
    <t>ITM Riel-Din 2x10A - S202M-C-10A - 15kA@400Vac-IEC60947-2 - marca ABB.</t>
  </si>
  <si>
    <t>S204M-C-10A</t>
  </si>
  <si>
    <t>ITM Riel-Din 4x10A - S204M-C-10A - 15kA@400Vac-IEC60947-2 - marca ABB.</t>
  </si>
  <si>
    <t>S201-D-6A</t>
  </si>
  <si>
    <t>ITM Riel-Din 1x6A - S201-D-6A - 10kA@230Vac-IEC60947-2 - marca ABB.</t>
  </si>
  <si>
    <t>2CDS251001R0061</t>
  </si>
  <si>
    <t>S201-D-10A</t>
  </si>
  <si>
    <t>ITM Riel-Din 1x10A - S201-D-10A - 10kA@230Vac-IEC60947-2 - marca ABB.</t>
  </si>
  <si>
    <t>2CDS251001R0101</t>
  </si>
  <si>
    <t>S201-D-16A</t>
  </si>
  <si>
    <t>ITM Riel-Din 1x16A - S201-D-16A - 10kA@230Vac-IEC60947-2 - marca ABB.</t>
  </si>
  <si>
    <t>2CDS251001R0161</t>
  </si>
  <si>
    <t>S201-D-20A</t>
  </si>
  <si>
    <t>ITM Riel-Din 1x20A - S201-D-20A - 10kA@230Vac-IEC60947-2 - marca ABB.</t>
  </si>
  <si>
    <t>2CDS251001R0201</t>
  </si>
  <si>
    <t>S201-D-25A</t>
  </si>
  <si>
    <t>ITM Riel-Din 1x25A - S201-D-25A - 10kA@230Vac-IEC60947-2 - marca ABB.</t>
  </si>
  <si>
    <t>2CDS251001R0251</t>
  </si>
  <si>
    <t>S201-D-32A</t>
  </si>
  <si>
    <t>ITM Riel-Din 1x32A - S201-D-32A - 10kA@230Vac-IEC60947-2 - marca ABB.</t>
  </si>
  <si>
    <t>2CDS251001R0321</t>
  </si>
  <si>
    <t>S201-D-40A</t>
  </si>
  <si>
    <t>ITM Riel-Din 1x40A - S201-D-40A - 10kA@230Vac-IEC60947-2 - marca ABB.</t>
  </si>
  <si>
    <t>2CDS251001R0401</t>
  </si>
  <si>
    <t>S201-D-50A</t>
  </si>
  <si>
    <t>ITM Riel-Din 1x50A - S201-D-50A - 10kA@230Vac-IEC60947-2 - marca ABB.</t>
  </si>
  <si>
    <t>2CDS251001R0501</t>
  </si>
  <si>
    <t>S201-D-63A</t>
  </si>
  <si>
    <t>ITM Riel-Din 1x63A - S201-D-63A - 10kA@230Vac-IEC60947-2 - marca ABB.</t>
  </si>
  <si>
    <t>2CDS251001R0631</t>
  </si>
  <si>
    <t>S202-D-6A</t>
  </si>
  <si>
    <t>ITM Riel-Din 2x6A - S202-D-6A - 10kA@230Vac-IEC60947-2 - marca ABB.</t>
  </si>
  <si>
    <t>2CDS252001R0061</t>
  </si>
  <si>
    <t>S202-D-10A</t>
  </si>
  <si>
    <t>ITM Riel-Din 2x10A - S202-D-10A - 10kA@230Vac-IEC60947-2 - marca ABB.</t>
  </si>
  <si>
    <t>2CDS252001R0101</t>
  </si>
  <si>
    <t>S202-D-16A</t>
  </si>
  <si>
    <t>ITM Riel-Din 2x16A - S202-D-16A - 10kA@230Vac-IEC60947-2 - marca ABB.</t>
  </si>
  <si>
    <t>2CDS252001R0161</t>
  </si>
  <si>
    <t>S202-D-20A</t>
  </si>
  <si>
    <t>ITM Riel-Din 2x20A - S202-D-20A - 10kA@230Vac-IEC60947-2 - marca ABB.</t>
  </si>
  <si>
    <t>2CDS252001R0201</t>
  </si>
  <si>
    <t>S202-D-25A</t>
  </si>
  <si>
    <t>ITM Riel-Din 2x25A - S202-D-25A - 10kA@230Vac-IEC60947-2 - marca ABB.</t>
  </si>
  <si>
    <t>2CDS252001R0251</t>
  </si>
  <si>
    <t>S202-D-32A</t>
  </si>
  <si>
    <t>ITM Riel-Din 2x32A - S202-D-32A - 10kA@230Vac-IEC60947-2 - marca ABB.</t>
  </si>
  <si>
    <t>2CDS252001R0321</t>
  </si>
  <si>
    <t>S202-D-40A</t>
  </si>
  <si>
    <t>ITM Riel-Din 2x40A - S202-D-40A - 10kA@230Vac-IEC60947-2 - marca ABB.</t>
  </si>
  <si>
    <t>2CDS252001R0401</t>
  </si>
  <si>
    <t>S202-D-50A</t>
  </si>
  <si>
    <t>ITM Riel-Din 2x50A - S202-D-50A - 10kA@230Vac-IEC60947-2 - marca ABB.</t>
  </si>
  <si>
    <t>2CDS252001R0501</t>
  </si>
  <si>
    <t>S202-D-63A</t>
  </si>
  <si>
    <t>ITM Riel-Din 2x63A - S202-D-63A - 10kA@230Vac-IEC60947-2 - marca ABB.</t>
  </si>
  <si>
    <t>2CDS252001R0631</t>
  </si>
  <si>
    <t>S203-D-6A</t>
  </si>
  <si>
    <t>ITM Riel-Din 3x6A - S203-D-6A - 10kA@230Vac-IEC60947-2 - marca ABB.</t>
  </si>
  <si>
    <t>2CDS253001R0061</t>
  </si>
  <si>
    <t>S203-D-10A</t>
  </si>
  <si>
    <t>ITM Riel-Din 3x10A - S203-D-10A - 10kA@230Vac-IEC60947-2 - marca ABB.</t>
  </si>
  <si>
    <t>2CDS253001R0101</t>
  </si>
  <si>
    <t>S203-D-16A</t>
  </si>
  <si>
    <t>ITM Riel-Din 3x16A - S203-D-16A - 10kA@230Vac-IEC60947-2 - marca ABB.</t>
  </si>
  <si>
    <t>2CDS253001R0161</t>
  </si>
  <si>
    <t>S203-D-20A</t>
  </si>
  <si>
    <t>ITM Riel-Din 3x20A - S203-D-20A - 10kA@230Vac-IEC60947-2 - marca ABB.</t>
  </si>
  <si>
    <t>2CDS253001R0201</t>
  </si>
  <si>
    <t>S203-D-25A</t>
  </si>
  <si>
    <t>ITM Riel-Din 3x25A - S203-D-25A - 10kA@230Vac-IEC60947-2 - marca ABB.</t>
  </si>
  <si>
    <t>2CDS253001R0251</t>
  </si>
  <si>
    <t>S203-D-32A</t>
  </si>
  <si>
    <t>ITM Riel-Din 3x32A - S203-D-32A - 10kA@230Vac-IEC60947-2 - marca ABB.</t>
  </si>
  <si>
    <t>2CDS253001R0321</t>
  </si>
  <si>
    <t>S203-D-40A</t>
  </si>
  <si>
    <t>ITM Riel-Din 3x40A - S203-D-40A - 10kA@230Vac-IEC60947-2 - marca ABB.</t>
  </si>
  <si>
    <t>2CDS253001R0401</t>
  </si>
  <si>
    <t>S203-D-50A</t>
  </si>
  <si>
    <t>ITM Riel-Din 3x50A - S203-D-50A - 10kA@230Vac-IEC60947-2 - marca ABB.</t>
  </si>
  <si>
    <t>2CDS253001R0501</t>
  </si>
  <si>
    <t>S203-D-63A</t>
  </si>
  <si>
    <t>ITM Riel-Din 3x63A - S203-D-63A - 10kA@230Vac-IEC60947-2 - marca ABB.</t>
  </si>
  <si>
    <t>2CDS253001R0631</t>
  </si>
  <si>
    <t>S204-D-6A</t>
  </si>
  <si>
    <t>ITM Riel-Din 4x6A - S204-D-6A - 10kA@230Vac-IEC60947-2 - marca ABB.</t>
  </si>
  <si>
    <t>2CDS254001R0061</t>
  </si>
  <si>
    <t>S204-D-10A</t>
  </si>
  <si>
    <t>ITM Riel-Din 4x10A - S204-D-10A - 10kA@230Vac-IEC60947-2 - marca ABB.</t>
  </si>
  <si>
    <t>2CDS254001R0101</t>
  </si>
  <si>
    <t>S204-D-16A</t>
  </si>
  <si>
    <t>ITM Riel-Din 4x16A - S204-D-16A - 10kA@230Vac-IEC60947-2 - marca ABB.</t>
  </si>
  <si>
    <t>2CDS254001R0161</t>
  </si>
  <si>
    <t>S204-D-20A</t>
  </si>
  <si>
    <t>ITM Riel-Din 4x20A - S204-D-20A - 10kA@230Vac-IEC60947-2 - marca ABB.</t>
  </si>
  <si>
    <t>2CDS254001R0201</t>
  </si>
  <si>
    <t>S204-D-25A</t>
  </si>
  <si>
    <t>ITM Riel-Din 4x25A - S204-D-25A - 10kA@230Vac-IEC60947-2 - marca ABB.</t>
  </si>
  <si>
    <t>2CDS254001R0251</t>
  </si>
  <si>
    <t>S204-D-32A</t>
  </si>
  <si>
    <t>ITM Riel-Din 4x32A - S204-D-32A - 10kA@230Vac-IEC60947-2 - marca ABB.</t>
  </si>
  <si>
    <t>2CDS254001R0321</t>
  </si>
  <si>
    <t>S204-D-40A</t>
  </si>
  <si>
    <t>ITM Riel-Din 4x40A - S204-D-40A - 10kA@230Vac-IEC60947-2 - marca ABB.</t>
  </si>
  <si>
    <t>2CDS254001R0401</t>
  </si>
  <si>
    <t>S204-D-50A</t>
  </si>
  <si>
    <t>ITM Riel-Din 4x50A - S204-D-50A - 10kA@230Vac-IEC60947-2 - marca ABB.</t>
  </si>
  <si>
    <t>2CDS254001R0501</t>
  </si>
  <si>
    <t>S204-D-63A</t>
  </si>
  <si>
    <t>ITM Riel-Din 4x63A - S204-D-63A - 10kA@230Vac-IEC60947-2 - marca ABB.</t>
  </si>
  <si>
    <t>2CDS254001R0631</t>
  </si>
  <si>
    <t>S201-K-16A</t>
  </si>
  <si>
    <t>ITM Riel-Din 1x16A - S201-K-16A - 10kA@230Vac-IEC60947-2 - marca ABB.</t>
  </si>
  <si>
    <t>2CDS251001R0467</t>
  </si>
  <si>
    <t>S201-K-20A</t>
  </si>
  <si>
    <t>ITM Riel-Din 1x20A - S201-K-20A - 10kA@230Vac-IEC60947-2 - marca ABB.</t>
  </si>
  <si>
    <t>2CDS251001R0487</t>
  </si>
  <si>
    <t>S201-K-25A</t>
  </si>
  <si>
    <t>ITM Riel-Din 1x25A - S201-K-25A - 10kA@230Vac-IEC60947-2 - marca ABB.</t>
  </si>
  <si>
    <t>2CDS251001R0517</t>
  </si>
  <si>
    <t>S201-K-32A</t>
  </si>
  <si>
    <t>ITM Riel-Din 1x32A - S201-K-32A - 10kA@230Vac-IEC60947-2 - marca ABB.</t>
  </si>
  <si>
    <t>2CDS251001R0537</t>
  </si>
  <si>
    <t>S201-K-40A</t>
  </si>
  <si>
    <t>ITM Riel-Din 1x40A - S201-K-40A - 10kA@230Vac-IEC60947-2 - marca ABB.</t>
  </si>
  <si>
    <t>2CDS251001R0557</t>
  </si>
  <si>
    <t>S201-K-50A</t>
  </si>
  <si>
    <t>ITM Riel-Din 1x50A - S201-K-50A - 10kA@230Vac-IEC60947-2 - marca ABB.</t>
  </si>
  <si>
    <t>2CDS251001R0577</t>
  </si>
  <si>
    <t>S201-K-63A</t>
  </si>
  <si>
    <t>ITM Riel-Din 1x63A - S201-K-63A - 10kA@230Vac-IEC60947-2 - marca ABB.</t>
  </si>
  <si>
    <t>2CDS251001R0607</t>
  </si>
  <si>
    <t>S202-K-16A</t>
  </si>
  <si>
    <t>ITM Riel-Din 2x16A - S202-K-16A - 10kA@230Vac-IEC60947-2 - marca ABB.</t>
  </si>
  <si>
    <t>S202-K-20A</t>
  </si>
  <si>
    <t>ITM Riel-Din 2x20A - S202-K-20A - 10kA@230Vac-IEC60947-2 - marca ABB.</t>
  </si>
  <si>
    <t>S202-K-25A</t>
  </si>
  <si>
    <t>ITM Riel-Din 2x25A - S202-K-25A - 10kA@230Vac-IEC60947-2 - marca ABB.</t>
  </si>
  <si>
    <t>S202-K-32A</t>
  </si>
  <si>
    <t>ITM Riel-Din 2x32A - S202-K-32A - 10kA@230Vac-IEC60947-2 - marca ABB.</t>
  </si>
  <si>
    <t>S202-K-40A</t>
  </si>
  <si>
    <t>ITM Riel-Din 2x40A - S202-K-40A - 10kA@230Vac-IEC60947-2 - marca ABB.</t>
  </si>
  <si>
    <t>S202-K-50A</t>
  </si>
  <si>
    <t>ITM Riel-Din 2x50A - S202-K-50A - 10kA@230Vac-IEC60947-2 - marca ABB.</t>
  </si>
  <si>
    <t>S202-K-63A</t>
  </si>
  <si>
    <t>ITM Riel-Din 2x63A - S202-K-63A - 10kA@230Vac-IEC60947-2 - marca ABB.</t>
  </si>
  <si>
    <t>S203-K-16A</t>
  </si>
  <si>
    <t>ITM Riel-Din 3x16A - S203-K-16A - 10kA@230Vac-IEC60947-2 - marca ABB.</t>
  </si>
  <si>
    <t>S203-K-20A</t>
  </si>
  <si>
    <t>ITM Riel-Din 3x20A - S203-K-20A - 10kA@230Vac-IEC60947-2 - marca ABB.</t>
  </si>
  <si>
    <t>S203-K-25A</t>
  </si>
  <si>
    <t>ITM Riel-Din 3x25A - S203-K-25A - 10kA@230Vac-IEC60947-2 - marca ABB.</t>
  </si>
  <si>
    <t>S203-K-32A</t>
  </si>
  <si>
    <t>ITM Riel-Din 3x32A - S203-K-32A - 10kA@230Vac-IEC60947-2 - marca ABB.</t>
  </si>
  <si>
    <t>S203-K-40A</t>
  </si>
  <si>
    <t>ITM Riel-Din 3x40A - S203-K-40A - 10kA@230Vac-IEC60947-2 - marca ABB.</t>
  </si>
  <si>
    <t>S203-K-50A</t>
  </si>
  <si>
    <t>ITM Riel-Din 3x50A - S203-K-50A - 10kA@230Vac-IEC60947-2 - marca ABB.</t>
  </si>
  <si>
    <t>S203-K-63A</t>
  </si>
  <si>
    <t>ITM Riel-Din 3x63A - S203-K-63A - 10kA@230Vac-IEC60947-2 - marca ABB.</t>
  </si>
  <si>
    <t>F202-A-25A-300mA</t>
  </si>
  <si>
    <t>Interruptor Diferencial 2x25A - 300mA - clase A (inmunizado) - F202-A-25A-300mA - marca ABB.</t>
  </si>
  <si>
    <t>2CSF202101R3250</t>
  </si>
  <si>
    <t>F202-A-40A-300mA</t>
  </si>
  <si>
    <t>Interruptor Diferencial 2x40A - 300mA - clase A (inmunizado) - F202-A-40A-300mA - marca ABB.</t>
  </si>
  <si>
    <t>2CSF202101R3400</t>
  </si>
  <si>
    <t>F202-A-63A-300mA</t>
  </si>
  <si>
    <t>Interruptor Diferencial 2x63A - 300mA - clase A (inmunizado) - F202-A-63A-300mA - marca ABB.</t>
  </si>
  <si>
    <t>2CSF202101R3630</t>
  </si>
  <si>
    <t>F202-A-80A-300mA</t>
  </si>
  <si>
    <t>Interruptor Diferencial 2x80A - 300mA - clase A (inmunizado) - F202-A-80A-300mA - marca ABB.</t>
  </si>
  <si>
    <t>2CSF202101R3800</t>
  </si>
  <si>
    <t>F202-A-100A-300mA</t>
  </si>
  <si>
    <t>Interruptor Diferencial 2x100A - 300mA - clase A (inmunizado) - F202-A-100A-300mA - marca ABB.</t>
  </si>
  <si>
    <t>2CSF202101R3900</t>
  </si>
  <si>
    <t>Interruptor Diferencial 4x40A - 30mA - clase B (alta inmunización: para variador, corriente pulsante o con rizado) - F204-B-40A-30mA - marca ABB.</t>
  </si>
  <si>
    <t>Interruptor Diferencial 4x63A - 30mA - clase B (alta inmunización: para variador, corriente pulsante o con rizado) - F204-B-63A-30mA - marca ABB.</t>
  </si>
  <si>
    <t>Interruptor Diferencial 4x125A - 30mA - clase B (alta inmunización: para variador, corriente pulsante o con rizado) - F204-B-125A-30mA - marca ABB.</t>
  </si>
  <si>
    <t>Interruptor Diferencial 4x63A - 300mA - clase B (alta inmunización: para variador, corriente pulsante o con rizado) - F204-B-63A-300mA - marca ABB.</t>
  </si>
  <si>
    <t>Interruptor Diferencial 4x125A - 300mA - clase B (alta inmunización: para variador, corriente pulsante o con rizado) - F204-B-125A-300mA - marca ABB.</t>
  </si>
  <si>
    <t>ACCESORIOS MCB</t>
  </si>
  <si>
    <t>1SY contacto por disparo de interruptor / 1(Q) contacto de estado (seleccionable) NA/NC - modelo S2C-S/H6R - p/Riel-Din, montaje lateral derecho - marca ABB.</t>
  </si>
  <si>
    <t>1(Q) contacto de estado NA/NC - modelo S2C-H6R - p/Riel-Din, montaje lateral derecho - marca ABB.</t>
  </si>
  <si>
    <t>2CDS200970R0002</t>
  </si>
  <si>
    <t>S2C-H01</t>
  </si>
  <si>
    <t>1(Q) contacto de estado NC - modelo S2C-H01 - p/S200, montaje integrado inferior - marca ABB.</t>
  </si>
  <si>
    <t>2CDS200970R0001</t>
  </si>
  <si>
    <t>S2C-H10x15</t>
  </si>
  <si>
    <t>1(Q) contacto de estado NA - modelo S2C-H10 (x15 unid) - p/S200, montaje integrado inferior - marca ABB.</t>
  </si>
  <si>
    <t>SA1E</t>
  </si>
  <si>
    <t>Dispositivo para bloqueo por candado en palanca de maniobra (bloqueo en posición "abierto" y "cerrado") - para uso con S200/F200 - modelo SA1E - marca ABB (no inluye el candado ni llaves).</t>
  </si>
  <si>
    <t>GJF1101903R0004</t>
  </si>
  <si>
    <t>OVR-T2_40-440_P-QS_1P</t>
  </si>
  <si>
    <t>Protector de sobretensiones (Tipo 2) - OVR-T2_40-440_P-QS_1P - Un=230/400V, Uc=440V, Up=1.8kV - I_descarga=40kA - marca ABB.</t>
  </si>
  <si>
    <t>2CTB803871R1200</t>
  </si>
  <si>
    <t xml:space="preserve">OVR T1-T2 3L 12.5-275s P TS QS </t>
  </si>
  <si>
    <t>Protector de sobretensiones (Tipo 1+2) - OVR T1-T2 3L 12.5-275s P TS QS - Un=230/400V,  Uc=275V, Up=1.4kV - I_descarga=80kA - marca ABB.</t>
  </si>
  <si>
    <t>2CTB815710R0600</t>
  </si>
  <si>
    <t>Protector de sobretensiones (Tipo 2) - OVR-T2_3N_40-440_P-QS_3P+N - Un=400/690V, Uc=440/760V, Up=2.1kV - I_descarga=40kA - marca ABB.</t>
  </si>
  <si>
    <t>OVR T2 3L 40-275 P QS</t>
  </si>
  <si>
    <t>Protector de sobretensiones (Tipo 2) - OVR-T2_3N_40-275_P_3P -  Uc=275V, Up=1.25kV - I_descarga=40kA - marca ABB.</t>
  </si>
  <si>
    <t>2CTB803873R2400</t>
  </si>
  <si>
    <t>OVR T2 3L 40-440 P QS</t>
  </si>
  <si>
    <t>Protector de sobretensiones (Tipo 2) - OVR-T2_3N_40-440_P_3P -  Uc=440V, Up=1.8kV - I_descarga=40kA - marca ABB.</t>
  </si>
  <si>
    <t>2CTB803873R2800</t>
  </si>
  <si>
    <t>OVRH  TIPO 1 (UL)</t>
  </si>
  <si>
    <t>OVRHSP802203Y</t>
  </si>
  <si>
    <t>Supresor contra sobretensiones (Tipo 1, UL 1449) - OVRHSP802203Y - I_max=80kA por fase, Un=220/380V,  MCOV=320V (L-N), VPR=1.2kV (L-N) - marca ABB.</t>
  </si>
  <si>
    <t>2CJB108220Y0000</t>
  </si>
  <si>
    <t>OVRHSP1002203Y</t>
  </si>
  <si>
    <t>Supresor contra sobretensiones (Tipo 1, UL 1449) - OVRHSP1002203Y - I_max=100kA por fase, Un=220/380V,  MCOV=320V (L-N), VPR=1.2kV (L-N) - marca ABB.</t>
  </si>
  <si>
    <t>2CJB110220Y0000</t>
  </si>
  <si>
    <t>OVRHSP1202203Y</t>
  </si>
  <si>
    <t>Supresor contra sobretensiones (Tipo 1, UL 1449) - OVRHSP1202203Y - I_max=120kA por fase, Un=220/380V,  MCOV=320V (L-N), VPR=1.0kV (L-N) - marca ABB.</t>
  </si>
  <si>
    <t>2CJB112220Y0000</t>
  </si>
  <si>
    <t>OVRHSP2402203Y</t>
  </si>
  <si>
    <t>Supresor contra sobretensiones (Tipo 1, UL 1449) - OVRHSP2402203Y - I_max=240kA por fase, Un=220/380V,  MCOV=320V (L-N), VPR=1.2kV (L-N) - marca ABB.</t>
  </si>
  <si>
    <t>2CJB124220Y0000</t>
  </si>
  <si>
    <t>OVRHSP3002203Y</t>
  </si>
  <si>
    <t>Supresor contra sobretensiones (Tipo 1, UL 1449) - OVRHSP3002203Y - I_max=300kA por fase, Un=220/380V,  MCOV=320V (L-N), VPR=1.2kV (L-N) - marca ABB.</t>
  </si>
  <si>
    <t>2CJB130220Y0000</t>
  </si>
  <si>
    <t>OVRHSP4002203Y</t>
  </si>
  <si>
    <t>Supresor contra sobretensiones (Tipo 1, UL 1449) - OVRHSP4002203Y - I_max=400kA por fase, Un=220/380V,  MCOV=320V (L-N), VPR=1.2kV (L-N) - marca ABB.</t>
  </si>
  <si>
    <t>2CJB140220Y0000</t>
  </si>
  <si>
    <t>OVRH  TIPO 2 (UL)</t>
  </si>
  <si>
    <t>OVRHTE252203Y</t>
  </si>
  <si>
    <t>2CJB302220Y0000</t>
  </si>
  <si>
    <t>OVRHTE502203Y</t>
  </si>
  <si>
    <t>2CJB305220Y0000</t>
  </si>
  <si>
    <t>RD2</t>
  </si>
  <si>
    <t>Relé de protección diferencial RD2 - Reg.: 0.03 - 0.1 - 0.3 - 0.5 - 1 - 2A - Ue=230-400 Vac - marca ABB.</t>
  </si>
  <si>
    <t>2CSM142120R1201</t>
  </si>
  <si>
    <t>RD2-48</t>
  </si>
  <si>
    <t>Relé de protección diferencial RD2-48 - Reg.: 0.03 - 0.1 - 0.3 - 0.5 - 1 - 2A - Ue=48-150 Vac/dc - marca ABB.</t>
  </si>
  <si>
    <t>2CSM242120R1201</t>
  </si>
  <si>
    <t>ELR48P</t>
  </si>
  <si>
    <t>Relé de protección diferencial p/cuadro ELR48P - Reg.: 0.03..30A - Ue=110/230 Vac, 48x48mm (HxW). - marca ABB.</t>
  </si>
  <si>
    <t>2CSG252211R1202</t>
  </si>
  <si>
    <t>M2M_Modbus</t>
  </si>
  <si>
    <t>Medidor multifunción + Analizador de Redes - Modelo M2M - presición 0.5%, tensión auxiliar 24-240Vac/dc - RS485, Modbus RTU - marca ABB.</t>
  </si>
  <si>
    <t>2CSG299893R4052</t>
  </si>
  <si>
    <t>BREAKERS AND SWITCHES</t>
  </si>
  <si>
    <t>A1N/P125-20A-1P-TMF</t>
  </si>
  <si>
    <t>1SDA066686R1</t>
  </si>
  <si>
    <t>A1N/P125-40A-1P-TMF</t>
  </si>
  <si>
    <t>ITM Caja Moldeada 1x40A - A1N/P125-40A-1P-TMF - 25kA@230V, 5kA@400V - marca ABB.</t>
  </si>
  <si>
    <t>1SDA066689R1</t>
  </si>
  <si>
    <t>A1N/P125-50A-1P-TMF</t>
  </si>
  <si>
    <t>ITM Caja Moldeada 1x50A - A1N/P125-50A-1P-TMF - 25kA@230V, 5kA@400V - marca ABB.</t>
  </si>
  <si>
    <t>1SDA066690R1</t>
  </si>
  <si>
    <t>ITM Caja Moldeada 3x15A - A1C125-15A-3P-TMF - 30kA@230Vac, 25kA@400Vac, 5kA@125Vdc - marca ABB.</t>
  </si>
  <si>
    <t>ITM Caja Moldeada 3x20A - A1C125-20A-3P-TMF - 30kA@230Vac, 25kA@400Vac, 5kA@125Vdc - marca ABB.</t>
  </si>
  <si>
    <t>ITM Caja Moldeada 3x25A - A1C125-25A-3P-TMF - 30kA@230Vac, 25kA@400Vac, 5kA@125Vdc - marca ABB.</t>
  </si>
  <si>
    <t>ITM Caja Moldeada 3x32A - A1C125-32A-3P-TMF - 30kA@230Vac, 25kA@400Vac, 5kA@125Vdc - marca ABB.</t>
  </si>
  <si>
    <t>ITM Caja Moldeada 3x40A - A1C125-40A-3P-TMF - 30kA@230Vac, 25kA@400Vac, 5kA@125Vdc - marca ABB.</t>
  </si>
  <si>
    <t>ITM Caja Moldeada 3x50A - A1C125-50A-3P-TMF - 30kA@230Vac, 25kA@400Vac, 5kA@125Vdc - marca ABB.</t>
  </si>
  <si>
    <t>ITM Caja Moldeada 3x63A - A1C125-63A-3P-TMF - 30kA@230Vac, 25kA@400Vac, 5kA@125Vdc - marca ABB.</t>
  </si>
  <si>
    <t>ITM Caja Moldeada 3x70A - A1C125-70A-3P-TMF - 30kA@230Vac, 25kA@400Vac, 5kA@125Vdc - marca ABB.</t>
  </si>
  <si>
    <t>ITM Caja Moldeada 3x80A - A1C125-80A-3P-TMF - 30kA@230Vac, 25kA@400Vac, 5kA@125Vdc - marca ABB.</t>
  </si>
  <si>
    <t>ITM Caja Moldeada 3x90A - A1C125-90A-3P-TMF - 30kA@230Vac, 25kA@400Vac, 5kA@125Vdc - marca ABB.</t>
  </si>
  <si>
    <t>ITM Caja Moldeada 3x100A - A1C125-100A-3P-TMF - 30kA@230Vac, 25kA@400Vac, 5kA@125Vdc - marca ABB.</t>
  </si>
  <si>
    <t>ITM Caja Moldeada 3x125A - A1C125-125A-3P-TMF - 30kA@230Vac, 25kA@400Vac, 5kA@125Vdc - marca ABB.</t>
  </si>
  <si>
    <t>A1N125-20A-3P-TMF</t>
  </si>
  <si>
    <t>ITM Caja Moldeada 3x20A - A1N125-20A-3P-TMF - 50kA@230V, 36kA@400V - marca ABB.</t>
  </si>
  <si>
    <t>1SDA066722R1</t>
  </si>
  <si>
    <t>A1N125-25A-3P-TMF</t>
  </si>
  <si>
    <t>ITM Caja Moldeada 3x25A - A1N125-25A-3P-TMF - 50kA@230V, 36kA@400V - marca ABB.</t>
  </si>
  <si>
    <t>1SDA066723R1</t>
  </si>
  <si>
    <t>A1N125-32A-3P-TMF</t>
  </si>
  <si>
    <t>ITM Caja Moldeada 3x32A - A1N125-32A-3P-TMF - 50kA@230V, 36kA@400V - marca ABB.</t>
  </si>
  <si>
    <t>1SDA068760R1</t>
  </si>
  <si>
    <t>A1N125-40A-3P-TMF</t>
  </si>
  <si>
    <t>ITM Caja Moldeada 3x40A - A1N125-40A-3P-TMF - 50kA@230V, 36kA@400V - marca ABB.</t>
  </si>
  <si>
    <t>1SDA066725R1</t>
  </si>
  <si>
    <t>A1N125-50A-3P-TMF</t>
  </si>
  <si>
    <t>ITM Caja Moldeada 3x50A - A1N125-50A-3P-TMF - 50kA@230V, 36kA@400V - marca ABB.</t>
  </si>
  <si>
    <t>1SDA066726R1</t>
  </si>
  <si>
    <t>A1N125-63A-3P-TMF</t>
  </si>
  <si>
    <t>ITM Caja Moldeada 3x63A - A1N125-63A-3P-TMF - 50kA@230V, 36kA@400V - marca ABB.</t>
  </si>
  <si>
    <t>1SDA068771R1</t>
  </si>
  <si>
    <t>A1N125-70A-3P-TMF</t>
  </si>
  <si>
    <t>ITM Caja Moldeada 3x70A - A1N125-70A-3P-TMF - 50kA@230V, 36kA@400V - marca ABB.</t>
  </si>
  <si>
    <t>1SDA066728R1</t>
  </si>
  <si>
    <t>A1N125-80A-3P-TMF</t>
  </si>
  <si>
    <t>ITM Caja Moldeada 3x80A - A1N125-80A-3P-TMF - 50kA@230V, 36kA@400V - marca ABB.</t>
  </si>
  <si>
    <t>1SDA066729R1</t>
  </si>
  <si>
    <t>A1N125-90A-3P-TMF</t>
  </si>
  <si>
    <t>ITM Caja Moldeada 3x90A - A1N125-90A-3P-TMF - 50kA@230V, 36kA@400V - marca ABB.</t>
  </si>
  <si>
    <t>1SDA066730R1</t>
  </si>
  <si>
    <t>A1N125-100A-3P-TMF</t>
  </si>
  <si>
    <t>ITM Caja Moldeada 3x100A - A1N125-100A-3P-TMF - 50kA@230V, 36kA@400V - marca ABB.</t>
  </si>
  <si>
    <t>1SDA066731R1</t>
  </si>
  <si>
    <t>A1N125-125A-3P-TMF</t>
  </si>
  <si>
    <t>ITM Caja Moldeada 3x125A - A1N125-125A-3P-TMF - 50kA@230V, 36kA@400V - marca ABB.</t>
  </si>
  <si>
    <t>1SDA066732R1</t>
  </si>
  <si>
    <t>1SDA068762R1</t>
  </si>
  <si>
    <t>1SDA068773R1</t>
  </si>
  <si>
    <t>A1N125-20A-4P-TMF</t>
  </si>
  <si>
    <t>ITM Caja Moldeada 4x20A - A1N125-20A-4P-TMF - 50kA@230V, 36kA@400V - marca ABB.</t>
  </si>
  <si>
    <t>1SDA066758R1</t>
  </si>
  <si>
    <t>A1N125-25A-4P-TMF</t>
  </si>
  <si>
    <t>ITM Caja Moldeada 4x25A - A1N125-25A-4P-TMF - 50kA@230V, 36kA@400V - marca ABB.</t>
  </si>
  <si>
    <t>1SDA066759R1</t>
  </si>
  <si>
    <t>A1N125-32A-4P-TMF</t>
  </si>
  <si>
    <t>ITM Caja Moldeada 4x32A - A1N125-32A-4P-TMF - 50kA@230V, 36kA@400V - marca ABB.</t>
  </si>
  <si>
    <t>1SDA068764R1</t>
  </si>
  <si>
    <t>A1N125-40A-4P-TMF</t>
  </si>
  <si>
    <t>ITM Caja Moldeada 4x40A - A1N125-40A-4P-TMF - 50kA@230V, 36kA@400V - marca ABB.</t>
  </si>
  <si>
    <t>1SDA066761R1</t>
  </si>
  <si>
    <t>A1N125-50A-4P-TMF</t>
  </si>
  <si>
    <t>ITM Caja Moldeada 4x50A - A1N125-50A-4P-TMF - 50kA@230V, 36kA@400V - marca ABB.</t>
  </si>
  <si>
    <t>1SDA066762R1</t>
  </si>
  <si>
    <t>A1N125-63A-4P-TMF</t>
  </si>
  <si>
    <t>ITM Caja Moldeada 4x63A - A1N125-63A-4P-TMF - 50kA@230V, 36kA@400V - marca ABB.</t>
  </si>
  <si>
    <t>1SDA068775R1</t>
  </si>
  <si>
    <t>A1N125-70A-4P-TMF</t>
  </si>
  <si>
    <t>ITM Caja Moldeada 4x70A - A1N125-70A-4P-TMF - 50kA@230V, 36kA@400V - marca ABB.</t>
  </si>
  <si>
    <t>1SDA066764R1</t>
  </si>
  <si>
    <t>A1N125-80A-4P-TMF</t>
  </si>
  <si>
    <t>ITM Caja Moldeada 4x80A - A1N125-80A-4P-TMF - 50kA@230V, 36kA@400V - marca ABB.</t>
  </si>
  <si>
    <t>1SDA066765R1</t>
  </si>
  <si>
    <t>A1N125-90A-4P-TMF</t>
  </si>
  <si>
    <t>ITM Caja Moldeada 4x90A - A1N125-90A-4P-TMF - 50kA@230V, 36kA@400V - marca ABB.</t>
  </si>
  <si>
    <t>1SDA066766R1</t>
  </si>
  <si>
    <t>A1N125-100A-4P-TMF</t>
  </si>
  <si>
    <t>ITM Caja Moldeada 4x100A - A1N125-100A-4P-TMF - 50kA@230V, 36kA@400V - marca ABB.</t>
  </si>
  <si>
    <t>1SDA066767R1</t>
  </si>
  <si>
    <t>1(Q) contacto conmutado de estado (NA/NC) / 1(SY) contacto por disparo de interruptor p/ A1, A2 - modelo AUX-C - marca ABB.</t>
  </si>
  <si>
    <t>1(Q) contacto conmutado de estado (NA/NC) + 1(SY) contacto por disparo de interruptor, versión cableada - A1 (2p) - marca ABB.</t>
  </si>
  <si>
    <t>1(Q) contacto conmutado de estado (NA/NC) + 1(SY) contacto por disparo de interruptor, versión cableada - A1..A2 (3p) - marca ABB.</t>
  </si>
  <si>
    <t>1(Q) contacto conmutado de estado (NA/NC) + 1(SY) contacto por disparo de interruptor, versión cableada - A3 - marca ABB.</t>
  </si>
  <si>
    <t>2Q+1SY_A2(2p)</t>
  </si>
  <si>
    <t>2(Q) contacto conmutado de estado (NA/NC) + 1(SY) contacto por disparo de interruptor, versión cableada - A2 (2p) - marca ABB.</t>
  </si>
  <si>
    <t>1SDA066152R1</t>
  </si>
  <si>
    <t>2(Q) contacto conmutado de estado (NA/NC) + 1(SY) contacto por disparo de interruptor, versión cableada - A1-A2 (3p) - marca ABB.</t>
  </si>
  <si>
    <t>3(Q) contacto conmutado de estado (NA/NC) + 1(SY) contacto por disparo de interruptor, versión cableada - A3 - marca ABB.</t>
  </si>
  <si>
    <t>1SDA066172R1</t>
  </si>
  <si>
    <t>PLL-ext_A1-A2</t>
  </si>
  <si>
    <t>Dispositivo para bloqueo por candado, en palanca de maniobra (bloqueo en posición abierto) - para uso con A1/A2 - modelo PLL_ext_A1-A2 - marca ABB (no inluye el candado ni llaves).</t>
  </si>
  <si>
    <t>1SDA066259R1</t>
  </si>
  <si>
    <t>ITM Caja Moldeada 3x16A (reg.[0.7-1.0] In) - XT1B160-16A-3P-TMD - 25kA@230Vac, 18kA@415Vac, 18kA@250Vdc - marca ABB.</t>
  </si>
  <si>
    <t>ITM Caja Moldeada 3x20A (reg.[0.7-1.0] In) - XT1B160-20A-3P-TMD - 25kA@230Vac, 18kA@415Vac, 18kA@250Vdc - marca ABB.</t>
  </si>
  <si>
    <t>ITM Caja Moldeada 3x25A (reg.[0.7-1.0] In)  - XT1B160-25A-3P-TMD - 25kA@230Vac,18kA@415Vac, 18kA@250Vdc - marca ABB.</t>
  </si>
  <si>
    <t>ITM Caja Moldeada 3x32A (reg.[0.7-1.0] In) - XT1B160-32A-3P-TMD - 25kA@230Vac, 18kA@415Vac, 18kA@250Vdc - marca ABB.</t>
  </si>
  <si>
    <t>ITM Caja Moldeada 3x40A (reg.[0.7-1.0] In) - XT1B160-40A-3P-TMD - 25kA@230Vac, 18kA@415Vac, 18kA@250Vdc - marca ABB.</t>
  </si>
  <si>
    <t>ITM Caja Moldeada 3x50A (reg.[0.7-1.0] In) - XT1B160-50A-3P-TMD - 25kA@230Vac, 18kA@415Vac, 18kA@250Vdc - marca ABB.</t>
  </si>
  <si>
    <t>ITM Caja Moldeada 3x63A (reg.[0.7-1.0] In) - XT1B160-63A-3P-TMD - 25kA@230Vac, 18kA@415Vac, 18kA@250Vdc - marca ABB.</t>
  </si>
  <si>
    <t>ITM Caja Moldeada 3x80A (reg.[0.7-1.0] In) - XT1B160-80A-3P-TMD - 25kA@230Vac, 18kA@415Vac, 18kA@250Vdc - marca ABB.</t>
  </si>
  <si>
    <t>ITM Caja Moldeada 3x100A (reg.[0.7-1.0] In) - XT1B160-100A-3P-TMD - 25kA@230Vac, 18kA@415Vac, 18kA@250Vdc - marca ABB.</t>
  </si>
  <si>
    <t>ITM Caja Moldeada 3x125A (reg.[0.7-1.0] In) - XT1B160-125A-3P-TMD - 25kA@230Vac, 18kA@415Vac, 18kA@250Vdc - marca ABB.</t>
  </si>
  <si>
    <t>ITM Caja Moldeada 3x160A (reg.[0.7-1.0] In) - XT1B160-160A-3P-TMD - 25kA@230Vac, 18kA@415Vac, 18kA@250Vdc - marca ABB.</t>
  </si>
  <si>
    <t>XT2N160-32A-3P-MA</t>
  </si>
  <si>
    <t>1SDA067050R1</t>
  </si>
  <si>
    <t>ITM Caja Moldeada 4x160A (reg.[0.7-1.0] In) - XT2N160-160A-4P-TMA - 65kA@230Vac, 36kA@415Vac, 36kA@500Vdc - marca ABB.</t>
  </si>
  <si>
    <t>XT2H160-20A-4P-TMD</t>
  </si>
  <si>
    <t>ITM Caja Moldeada 4x20A (reg.[0.7-1.0] In) - XT2H160-20A-4P-TMD - 100kA@230Vac, 70kA@415Vac - marca ABB.</t>
  </si>
  <si>
    <t>1SDA067616R1</t>
  </si>
  <si>
    <t>ITM Caja Moldeada 4x32A (reg.[0.7-1.0] In) - XT2H160-32A-4P-TMD - 100kA@230Vac, 70kA@415Vac - marca ABB.</t>
  </si>
  <si>
    <t>CAJA MOLDEADA EXTRAIBLE (XT2 160)- 4x100A,  Icu=70kA, Tipo H</t>
  </si>
  <si>
    <t xml:space="preserve">XT2H 160 Ekip LSIG In=100A 4p F F       </t>
  </si>
  <si>
    <t>ITM Caja Moldeada 4x100A (reg.[0.7-1.0] In) - XT2H160-100A-4P-LSIG - 100kA@230Vac, 70kA@415Vac - marca ABB.</t>
  </si>
  <si>
    <t>1SDA067911R1</t>
  </si>
  <si>
    <t xml:space="preserve">XT2 W FP 4p HR                          </t>
  </si>
  <si>
    <t>Kit W PF HR/VR (Parte fija de extraible) - marca ABB.</t>
  </si>
  <si>
    <t>1SDA068203R1</t>
  </si>
  <si>
    <t xml:space="preserve">KIT W MP XT2 4p                         </t>
  </si>
  <si>
    <t>Kit W MP (Kit de transformación interruptor fijo en parte movil de extraible) - marca ABB.</t>
  </si>
  <si>
    <t>1SDA066285R1</t>
  </si>
  <si>
    <t xml:space="preserve">SOR-C XT2-XT4 W 220-240Vac-220-250Vdc   </t>
  </si>
  <si>
    <t>Bobina de disparo (Se utiliza si hay protección diferencial) - marca ABB.</t>
  </si>
  <si>
    <t>1SDA066332R1</t>
  </si>
  <si>
    <t xml:space="preserve">AUX-C 2Q+2SY+1S51 250Vac/dc XT2-XT4 W   </t>
  </si>
  <si>
    <t>Contactos auxiliares - marca ABB.</t>
  </si>
  <si>
    <t>1SDA066439R1</t>
  </si>
  <si>
    <t>ITM Caja Moldeada 4x200A (reg.[0.7-1.0] In) - XT3N250-200A-4P-TMD - 50kA@230Vac, 36kA@415Vac, 36kA@500Vdc - marca ABB.</t>
  </si>
  <si>
    <t>1SDA068096R1</t>
  </si>
  <si>
    <t>XT4N250-200A-3P-MA</t>
  </si>
  <si>
    <t>1SDA068121R1</t>
  </si>
  <si>
    <t>XT4H160-125A-3P-TMA</t>
  </si>
  <si>
    <t>ITM Caja Moldeada 3x125A (reg.[0.7-1.0] In) - XT4H160-125A-3P-TMA - 100kA@230V, 70kA@415V - marca ABB.</t>
  </si>
  <si>
    <t>1SDA068341R1</t>
  </si>
  <si>
    <t>XT4H160-160A-3P-TMA</t>
  </si>
  <si>
    <t>ITM Caja Moldeada 3x160A (reg.[0.7-1.0] In) - XT4H160-160A-3P-TMA - 100kA@230V, 70kA@415V - marca ABB.</t>
  </si>
  <si>
    <t>1SDA068342R1</t>
  </si>
  <si>
    <t>XT4H250-200A-4P-TMA</t>
  </si>
  <si>
    <t>ITM Caja Moldeada 4x200A (reg.[0.7-1.0] In) - XT4H250-200A-4P-TMA - 100kA@230Vac, 70kA@415Vac, 50kA@500Vdc - marca ABB.</t>
  </si>
  <si>
    <t>1SDA068362R1</t>
  </si>
  <si>
    <t>XT4H250-250A-4P-TMA</t>
  </si>
  <si>
    <t>ITM Caja Moldeada 4x250A (reg.[0.7-1.0] In) - XT4H250-250A-4P-TMA - 100kA@230Vac, 70kA@415Vac, 50kA@500Vdc - marca ABB.</t>
  </si>
  <si>
    <t>1SDA068364R1</t>
  </si>
  <si>
    <t>CAJA MOLDEADA EXTRAIBLE (XT4 160)- 4x160A,  Icu=70kA, Tipo H</t>
  </si>
  <si>
    <t xml:space="preserve">XT4H 160 Ekip LSIG In=160A 4p F F       </t>
  </si>
  <si>
    <t>ITM Caja Moldeada 4x160A (reg.[0.7-1.0] In) - XT4H160-160A-4P-LSIG - 100kA@230Vac, 70kA@415Vac - marca ABB.</t>
  </si>
  <si>
    <t>1SDA068549R1</t>
  </si>
  <si>
    <t xml:space="preserve">XT4 W FP 4p HR                          </t>
  </si>
  <si>
    <t>Parte fija de extraible (W) - marca ABB.</t>
  </si>
  <si>
    <t>1SDA068207R1</t>
  </si>
  <si>
    <t xml:space="preserve">KIT P MP XT4 4p                         </t>
  </si>
  <si>
    <t>Kit de tranformación de fijo a parte móvil de enchufable - marca ABB.</t>
  </si>
  <si>
    <t>1SDA066283R1</t>
  </si>
  <si>
    <t xml:space="preserve">KIT W MP XT4 4p                         </t>
  </si>
  <si>
    <t>Kit de transformación de la parte móvil de versión enchufable en parte móvil de versión extraíble - marca ABB.</t>
  </si>
  <si>
    <t>1SDA066287R1</t>
  </si>
  <si>
    <t>Relé de apertura - marca ABB.</t>
  </si>
  <si>
    <t>Contactos Auxiliares - marca ABB.</t>
  </si>
  <si>
    <t>CAJA MOLDEADA EXTRAIBLE (XT4 250)- 4x250A,  Icu=70kA, Tipo H</t>
  </si>
  <si>
    <t xml:space="preserve">XT4H 250 Ekip LSIG In=250A 4p F F       </t>
  </si>
  <si>
    <t>ITM Caja Moldeada 4x250A (reg.[0.7-1.0] In) - XT4H250-250A-4P-LSIG - 100kA@230Vac, 70kA@415Vac, 50kA@500Vdc - marca ABB.</t>
  </si>
  <si>
    <t>1SDA068550R1</t>
  </si>
  <si>
    <t>XT2L160-63A-4P-Ekip LS/I</t>
  </si>
  <si>
    <t>ITM Caja Moldeada 4x63A (electrónico [0.4-1.0] In) - XT2L160-63A-4P-Ekip LS/I - 120kA@415Vac - marca ABB.</t>
  </si>
  <si>
    <t>1SDA067949R1</t>
  </si>
  <si>
    <t>XT2L160-100A-4P-Ekip LS/I</t>
  </si>
  <si>
    <t>ITM Caja Moldeada 4x100A (electrónico [0.4-1.0] In) - XT2L160-100A-4P-Ekip LS/I - 120kA@415Vac - marca ABB.</t>
  </si>
  <si>
    <t>1SDA067950R1</t>
  </si>
  <si>
    <t>XT2L160-160A-4P-Ekip LS/I</t>
  </si>
  <si>
    <t>ITM Caja Moldeada 4x160A (electrónico [0.4-1.0] In) - XT2L160-160A-4P-Ekip LS/I - 120kA@415Vac - marca ABB.</t>
  </si>
  <si>
    <t>1SDA067952R1</t>
  </si>
  <si>
    <t>XT4L160-100A-4P-Ekip LS/I</t>
  </si>
  <si>
    <t>ITM Caja Moldeada 4x100A (electrónico [0.4-1.0] In) - XT4L160-100A-4P-Ekip LS/I - 120kA@415Vac - marca ABB.</t>
  </si>
  <si>
    <t>1SDA068573R1</t>
  </si>
  <si>
    <t>XT4L160-160A-4P-Ekip LS/I</t>
  </si>
  <si>
    <t>ITM Caja Moldeada 4x160A (electrónico [0.4-1.0] In) - XT4L160-160A-4P-Ekip LS/I - 120kA@415Vac - marca ABB.</t>
  </si>
  <si>
    <t>1SDA068574R1</t>
  </si>
  <si>
    <t>XT4L250-250A-4P-Ekip LS/I</t>
  </si>
  <si>
    <t>ITM Caja Moldeada 4x250A (electrónico [0.4-1.0] In) - XT4L250-250A-4P-Ekip LS/I - 120kA@415Vac - marca ABB.</t>
  </si>
  <si>
    <t>1SDA068575R1</t>
  </si>
  <si>
    <t>XT4S160-63A-3P-Ekip LSI</t>
  </si>
  <si>
    <t>ITM Caja Moldeada 3x63A (electrónico [0.4-1.0] In) - XT4S160-63A-3P-Ekip LSI - 85kA@230Vac, 50kA@415Vac - marca ABB.</t>
  </si>
  <si>
    <t>1SDA068482R1</t>
  </si>
  <si>
    <t>ITM Caja Moldeada 3x160A (electrónico [0.4-1.0] In) - XT4N160-160A-3P-Ekip LSI - 65kA@230Vac, 36kA@415Vac - marca ABB.</t>
  </si>
  <si>
    <t>XT2N160-63A-4P-Ekip LSIG</t>
  </si>
  <si>
    <t>ITM Caja Moldeada 4x63A (electrónico [0.4-1.0] In) - XT2N160-63A-4P-Ekip LSIG - 65kA@230Vac, 36kA@415Vac - marca ABB.</t>
  </si>
  <si>
    <t>1SDA067110R1</t>
  </si>
  <si>
    <t>XT2N160-100A-4P-Ekip LSIG</t>
  </si>
  <si>
    <t>ITM Caja Moldeada 4x100A (electrónico [0.4-1.0] In) - XT2N160-100A-4P-Ekip LSIG - 65kA@230Vac, 36kA@415Vac - marca ABB.</t>
  </si>
  <si>
    <t>1SDA067111R1</t>
  </si>
  <si>
    <t>XT2S160-63A-4P-Ekip LSIG</t>
  </si>
  <si>
    <t>ITM Caja Moldeada 4x63A (electrónico [0.4-1.0] In) - XT2S160-63A-4P-Ekip LSIG - 85kA@230Vac, 50kA@415Vac - marca ABB.</t>
  </si>
  <si>
    <t>1SDA067853R1</t>
  </si>
  <si>
    <t>XT2S160-100A-4P-Ekip LSIG</t>
  </si>
  <si>
    <t>ITM Caja Moldeada 4x100A (electrónico [0.4-1.0] In) - XT2S160-100A-4P-Ekip LSIG - 85kA@230Vac, 50kA@415Vac - marca ABB.</t>
  </si>
  <si>
    <t>1SDA067854R1</t>
  </si>
  <si>
    <t>XT2S160-160A-4P-Ekip LSIG</t>
  </si>
  <si>
    <t>ITM Caja Moldeada 4x160A (electrónico [0.4-1.0] In) - XT2S160-160A-4P-Ekip LSIG - 85kA@230Vac, 50kA@415Vac - marca ABB.</t>
  </si>
  <si>
    <t>1SDA067856R1</t>
  </si>
  <si>
    <t>XT4S160-100A-3P-Ekip LSIG</t>
  </si>
  <si>
    <t>ITM Caja Moldeada 3x100A (electrónico [0.4-1.0] In) - XT4S160-100A-3P-Ekip LSIG - 85kA@230Vac, 50kA@415Vac - marca ABB.</t>
  </si>
  <si>
    <t>1SDA068488R1</t>
  </si>
  <si>
    <t>XT4N160-63A-4P-Ekip LSIG</t>
  </si>
  <si>
    <t>ITM Caja Moldeada 4x63A (electrónico [0.4-1.0] In) - XT4N160-63A-4P-Ekip LSIG - 65kA@230Vac, 36kA@415Vac - marca ABB.</t>
  </si>
  <si>
    <t>1SDA068159R1</t>
  </si>
  <si>
    <t>XT4N160-100A-4P-Ekip LSIG</t>
  </si>
  <si>
    <t>ITM Caja Moldeada 4x100A (electrónico [0.4-1.0] In) - XT4N160-100A-4P-Ekip LSIG - 65kA@230Vac, 36kA@415Vac - marca ABB.</t>
  </si>
  <si>
    <t>1SDA068160R1</t>
  </si>
  <si>
    <t>XT4N160-160A-4P-Ekip LSIG</t>
  </si>
  <si>
    <t>ITM Caja Moldeada 4x160A (electrónico [0.4-1.0] In) - XT4N160-160A-4P-Ekip LSIG - 65kA@230Vac, 36kA@415Vac - marca ABB.</t>
  </si>
  <si>
    <t>1SDA068161R1</t>
  </si>
  <si>
    <t>XT4S160-100A-4P-Ekip LSIG</t>
  </si>
  <si>
    <t>ITM Caja Moldeada 4x100A (electrónico [0.4-1.0] In) - XT4S160-100A-4P-Ekip LSIG - 85kA@230Vac, 50kA@415Vac - marca ABB.</t>
  </si>
  <si>
    <t>1SDA068508R1</t>
  </si>
  <si>
    <t>XT4S160-160A-4P-Ekip LSIG</t>
  </si>
  <si>
    <t>ITM Caja Moldeada 4x160A (electrónico [0.4-1.0] In) - XT4S160-160A-4P-Ekip LSIG - 85kA@230Vac, 50kA@415Vac - marca ABB.</t>
  </si>
  <si>
    <t>1SDA068509R1</t>
  </si>
  <si>
    <t>XT4N250-250A-3P-Ekip LSIG</t>
  </si>
  <si>
    <t>ITM Caja Moldeada 3x250A (electrónico [0.4-1.0] In) - XT4N250-250A-3P-Ekip LSIG - 65kA@230Vac, 36kA@415Vac - marca ABB.</t>
  </si>
  <si>
    <t>1SDA068141R1</t>
  </si>
  <si>
    <t>XT4N250-250A-4P-Ekip LSIG</t>
  </si>
  <si>
    <t>ITM Caja Moldeada 4x250A (electrónico [0.4-1.0] In) - XT4N250-250A-4P-Ekip LSIG - 65kA@230Vac, 36kA@415Vac - marca ABB.</t>
  </si>
  <si>
    <t>1SDA068162R1</t>
  </si>
  <si>
    <t>YO_XT1..XT4_120V</t>
  </si>
  <si>
    <t>Bobina de apertura (YO) - XT1..XT4 - SOR versión no cableada - 110-125V AC/DC - marca ABB.</t>
  </si>
  <si>
    <t>1SDA066316R1</t>
  </si>
  <si>
    <t>YU_XT1..XT4_48V</t>
  </si>
  <si>
    <t>Bobina de mínima tensión (YU) - XT1..XT4 - UVR versión no cableada - 48V AC/DC - marca ABB.</t>
  </si>
  <si>
    <t>1SDA069064R1</t>
  </si>
  <si>
    <t>1(Q) contacto conmutado de estado (NA/NC) / 1(SY) contacto por disparo de interruptor - XT1..XT4 - versión no cableada - marca ABB.</t>
  </si>
  <si>
    <t>1(Q) contacto conmutado de estado (NA/NC) + 1(SY) contacto por disparo de interruptor - XT1..XT4 - versión cableada - marca ABB.</t>
  </si>
  <si>
    <t>2(Q) contacto conmutado de estado (NA/NC) + 1(SY) contacto por disparo de interruptor - XT1..XT4 - versión cableada - marca ABB.</t>
  </si>
  <si>
    <t>3(Q) contacto conmutado de estado (NA/NC) - XT1 - versión cableada (izquierdo) - marca ABB.</t>
  </si>
  <si>
    <t>3(Q) contacto conmutado de estado (NA/NC) - XT2-XT4 - versión cableada (izquierdo) - marca ABB.</t>
  </si>
  <si>
    <t>3(Q) contacto conmutado de estado (NA/NC) - XT3 - versión cableada (izquierdo) - marca ABB.</t>
  </si>
  <si>
    <t>RC_Inst_XT1-3p</t>
  </si>
  <si>
    <t>Bloque relé diferencial para XT1-3p - modelo RC_Inst_XT1-3p - Reg.: 0.03 - 0.1 - 0.3 - 0.5 - 1 - 3A - marca ABB.</t>
  </si>
  <si>
    <t>RC_Inst_XT3-3p</t>
  </si>
  <si>
    <t>Bloque relé diferencial para XT3-3p - modelo RC_Inst_XT3-3p - Reg.: 0.03 - 0.1 - 0.3 - 0.5 - 1 - 3A - marca ABB.</t>
  </si>
  <si>
    <t>RC_Sel_XT2-4p</t>
  </si>
  <si>
    <t>Bloque relé diferencial para XT2-4p - modelo RC_Sel_XT2-4p - Reg.: 0.03 ... 10A - marca ABB.</t>
  </si>
  <si>
    <t>1SDA067126R1</t>
  </si>
  <si>
    <t>RC_Sel_XT4-4p</t>
  </si>
  <si>
    <t>Bloque relé diferencial para XT4-4p - modelo RC_Sel_XT4-4p - Reg.: 0.03 ... 10A - marca ABB.</t>
  </si>
  <si>
    <t>1SDA067131R1</t>
  </si>
  <si>
    <t>Mando giratorio reenviado - RHE (sobre puerta) normal para fijo y enchufable - p/modelo XT1-XT3, marca ABB.</t>
  </si>
  <si>
    <t>Mando giratorio reenviado - RHE (sobre puerta) normal para fijo y enchufable - p/modelo XT2-XT4, marca ABB.</t>
  </si>
  <si>
    <t>IP54_RHE_XT1..XT4</t>
  </si>
  <si>
    <t>Protección IP-54 para mando giratorio reenviado - RHE (sobre puerta) - p/modelo XT1..XT4, marca ABB.</t>
  </si>
  <si>
    <t>1SDA066587R1</t>
  </si>
  <si>
    <t>PLL_XT1-XT3</t>
  </si>
  <si>
    <t>Dispositivo para bloqueo por candado, fijo en interruptor (bloqueo en posición abierto) - p/modelo XT1-XT3 - marca ABB (no inluye el candado ni llaves).</t>
  </si>
  <si>
    <t>1SDA066589R1</t>
  </si>
  <si>
    <t>PLL_XT2-XT4</t>
  </si>
  <si>
    <t>Dispositivo para bloqueo por candado, fijo en interruptor (bloqueo en posición abierto) - p/modelo XT2-XT4 - marca ABB (no inluye el candado ni llaves).</t>
  </si>
  <si>
    <t>1SDA066590R1</t>
  </si>
  <si>
    <t>1SDA066171R1</t>
  </si>
  <si>
    <t>Ekip-Com_XT2-XT4</t>
  </si>
  <si>
    <t>Módulo de comunicación Ekip-Com (protocolo Modbus RTU) - p/ relé Ekip p/modelo XT2 / XT4 - marca ABB.</t>
  </si>
  <si>
    <t>1SDA068661R1</t>
  </si>
  <si>
    <t>KIT MC - XT2</t>
  </si>
  <si>
    <t>MC Terminales Multicable 6x (2,5….35mm2 ), 4 unidades, - p/modelo XT2.</t>
  </si>
  <si>
    <t>1SDA066926R1</t>
  </si>
  <si>
    <t>KIT MC - XT4</t>
  </si>
  <si>
    <t>MC Terminales Multicable 6x (2,5….35mm2 ), 4 unidades, - p/modelo XT4.</t>
  </si>
  <si>
    <t>1SDA066934R1</t>
  </si>
  <si>
    <t>T4N250-250A-3P-TMA</t>
  </si>
  <si>
    <t>1SDA054179R1</t>
  </si>
  <si>
    <t>T4N250-160A-4P-TMA</t>
  </si>
  <si>
    <t>1SDA054272R1</t>
  </si>
  <si>
    <t>T4N250-200A-4P-TMA</t>
  </si>
  <si>
    <t>1SDA054273R1</t>
  </si>
  <si>
    <t>T4N250-250A-4P-TMA</t>
  </si>
  <si>
    <t>1SDA054274R1</t>
  </si>
  <si>
    <t>T6N630-630A-3P-TMA</t>
  </si>
  <si>
    <t>1SDA060202R1</t>
  </si>
  <si>
    <t>T5N400-320A-3P-PR221DS-LS/I</t>
  </si>
  <si>
    <t>ITM Caja Moldeada 3x320A (electrónico [0.4-1.0] In) - T5N400-320A-3P-PR221DS-LS/I - 70kA@230Vac, 36kA@415Vac - marca ABB.</t>
  </si>
  <si>
    <t>1SDA054316R1</t>
  </si>
  <si>
    <t>CAJA MOLDEADA EXTRAIBLE (T5 400)- 4x400A,  Icu=70kA, Tipo H</t>
  </si>
  <si>
    <t xml:space="preserve">T5H 400 PR222DS/P-LSIG In=400 4p F F    </t>
  </si>
  <si>
    <t>ITM Caja Moldeada 4x400A (electrónico [0.4-1.0] In) - T5H400-400A-4P--LSIG - 100kA@230Vac, 70kA@415Vac - marca ABB.</t>
  </si>
  <si>
    <t>1SDA054363R1</t>
  </si>
  <si>
    <t xml:space="preserve">T5 400 W FP 4p EF                       </t>
  </si>
  <si>
    <t>Parte Fija - T5 400 W FP EF - marca ABB.</t>
  </si>
  <si>
    <t>1SDA054758R1</t>
  </si>
  <si>
    <t xml:space="preserve">KIT MP T5 400 W 4p                      </t>
  </si>
  <si>
    <t>Kit de transformación de fijo en parte móvil de extraible T4, … , T7 - marca ABB.</t>
  </si>
  <si>
    <t>1SDA054846R1</t>
  </si>
  <si>
    <t xml:space="preserve">KIT FLD for RC T4-T5 W 4p &lt;MP P         </t>
  </si>
  <si>
    <t>Kit de transformación de parte movil de enchufable en parte móvil de extraible … - marca ABB.</t>
  </si>
  <si>
    <t>1SDA055366R1</t>
  </si>
  <si>
    <t>CAJA MOLDEADA EXTRAIBLE (T5 630)- 4x630A,  Icu=70kA, Tipo H</t>
  </si>
  <si>
    <t xml:space="preserve">T5H 630 PR222DS/P-LSIG In=400 4p F F    </t>
  </si>
  <si>
    <t>ITM Caja Moldeada 4x630A (electrónico [0.4-1.0] In) - T5H630-630A-4P--LSIG - 100kA@230Vac, 70kA@415Vac - marca ABB.</t>
  </si>
  <si>
    <t>1SDA054419R1</t>
  </si>
  <si>
    <t xml:space="preserve">T5 630 W FP 4p EF                       </t>
  </si>
  <si>
    <t>Parte Fija - T5 630 W FP EF - marca ABB.</t>
  </si>
  <si>
    <t>1SDA054771R1</t>
  </si>
  <si>
    <t xml:space="preserve">KIT MP T5 630 W 4p                      </t>
  </si>
  <si>
    <t>1SDA054850R1</t>
  </si>
  <si>
    <t>T6N630-630A-3P-PR221DS-LS/I</t>
  </si>
  <si>
    <t>ITM Caja Moldeada 3x630A (electrónico [0.4-1.0] In) - T6N630-630A-3P-PR221DS-LS/I - 70kA@230Vac, 36kA@415Vac - marca ABB.</t>
  </si>
  <si>
    <t>1SDA060226R1</t>
  </si>
  <si>
    <t>T6H800-800A-3P-PR221DS-LS/I</t>
  </si>
  <si>
    <t>ITM Caja Moldeada 3x800A (electrónico [0.4-1.0] In) - T6H800-800A-3P-PR221DS-LS/I - 100kA@230Vac, 70kA@415Vac - marca ABB.</t>
  </si>
  <si>
    <t>1SDA060289R1</t>
  </si>
  <si>
    <t>CAJA MOLDEADA EXTRAIBLE - 4x800A,  Icu=70kA, Tipo H</t>
  </si>
  <si>
    <t xml:space="preserve">T6H 800 PR222DS/P-LSIG In=800 4p F F    </t>
  </si>
  <si>
    <t>ITM Caja Moldeada 4x800A (electrónico [0.4-1.0] In) - T6H800-800A-4P-LSIG - 100kA@230Vac, 70kA@415Vac - marca ABB.</t>
  </si>
  <si>
    <t>1SDA060297R1</t>
  </si>
  <si>
    <t xml:space="preserve">T6 W FP 4p EF                           </t>
  </si>
  <si>
    <t>T6 630/800 W FP EF  marca ABB.</t>
  </si>
  <si>
    <t>1SDA060387R1</t>
  </si>
  <si>
    <t xml:space="preserve">KIT MP T6 630/800 W 4p                  </t>
  </si>
  <si>
    <t>Kit de transformación de fijo en parte móvil de extraible T4, … , T7  marca ABB.</t>
  </si>
  <si>
    <t>1SDA060391R1</t>
  </si>
  <si>
    <t>T7S1000-1000A-3P-PR231 P-LS/I</t>
  </si>
  <si>
    <t>1SDA062738R1</t>
  </si>
  <si>
    <t>T7S1000-1000A-4P-PR231 P-LS/I</t>
  </si>
  <si>
    <t>ITM Caja Moldeada 4x1000A (electrónico [0.4-1.0] In) - T7S1000-1000A-4P-PR231 P-LS/I - 50kA@415Vac - marca ABB.</t>
  </si>
  <si>
    <t>1SDA062746R1</t>
  </si>
  <si>
    <t>T7S1600-1600A-4P-PR231 P-LS/I</t>
  </si>
  <si>
    <t>ITM Caja Moldeada 4x1600A (electrónico [0.4-1.0] In) - T7S1600-1600A-4P-PR231 P-LS/I - 50kA@415Vac - marca ABB.</t>
  </si>
  <si>
    <t>1SDA063002R1</t>
  </si>
  <si>
    <t>T7L1000-1000A-3P-PR221 P-LS/I</t>
  </si>
  <si>
    <t>ITM Caja Moldeada 3x1000A (electrónico [0.4-1.0] In) - T7L1000-1000A-3P-PR221 P-LS/I - 120kA@415Vac - marca ABB.</t>
  </si>
  <si>
    <t>1SDA060574R1</t>
  </si>
  <si>
    <t>T7S1000(M)-1000A-3P-PR231 P-LS/I</t>
  </si>
  <si>
    <t>ITM Caja Moldeada 3x1000A (electrónico [0.4-1.0] In) - T7S1000-1000A-3P-PR231 P-LS/I (Motorizable) - 50kA@415Vac - marca ABB.</t>
  </si>
  <si>
    <t>1SDA062754R1</t>
  </si>
  <si>
    <t>T7S1000(M)-1000A-4P-PR231 P-LS/I</t>
  </si>
  <si>
    <t>ITM Caja Moldeada 4x1000A (electrónico [0.4-1.0] In) - T7S1000-1000A-4P-PR231 P-LS/I (Motorizable) - 50kA@415Vac - marca ABB.</t>
  </si>
  <si>
    <t>1SDA062762R1</t>
  </si>
  <si>
    <t>T7S1600(M)-1600A-4P-PR231 P-LS/I</t>
  </si>
  <si>
    <t>ITM Caja Moldeada 4x1600A (electrónico [0.4-1.0] In) - T7S1600-1600A-4P-PR231 P-LS/I (Motorizable) - 50kA@415Vac - marca ABB.</t>
  </si>
  <si>
    <t>1SDA063018R1</t>
  </si>
  <si>
    <t>CAJA MOLDEADA EXTRAIBLE (T7 1600) - 4x1600A,  Icu=70kA, Tipo H</t>
  </si>
  <si>
    <t xml:space="preserve">T7H 1600 PR331/P LSIG In=1600A 4p F F   </t>
  </si>
  <si>
    <t>ITM Caja Moldeada 4x1600A (electrónico [0.4-1.0] In) - T7H1600-1600A-4P-LSIG - 70kA@415Vac - marca ABB.</t>
  </si>
  <si>
    <t>1SDA062780R1</t>
  </si>
  <si>
    <t xml:space="preserve">T7-X1 W FP 4p EF-EF                     </t>
  </si>
  <si>
    <t>T7-T7M W FP EF - Extraible parte fija (Terminales anteriores prolongados) - marca ABB.</t>
  </si>
  <si>
    <t>1SDA062049R1</t>
  </si>
  <si>
    <t xml:space="preserve">KIT MP T7-T7M-X1 W 4p                   </t>
  </si>
  <si>
    <t>Kit de transformación de fijo en parte móvil de extraible T4, … , T7  (Kit W MP T7-T7M) - marca ABB.</t>
  </si>
  <si>
    <t>1SDA062163R1</t>
  </si>
  <si>
    <t>CAJA MOLDEADA EXTRAIBLE (T7 1000) - 4x1000A,  Icu=70kA, Tipo H</t>
  </si>
  <si>
    <t xml:space="preserve">T7H 1000 PR331/P LSIG In=1000A 4p F F   </t>
  </si>
  <si>
    <t>ITM Caja Moldeada 4x1000A (electrónico [0.4-1.0] In) - T7H1000-1000A-4P-LSIG - 70kA@415Vac - marca ABB.</t>
  </si>
  <si>
    <t>T4H320-320A-4P-PR222DS/P-LSI</t>
  </si>
  <si>
    <t>ITM Caja Moldeada 4x320A (electrónico [0.4-1.0] In) - T4H320-320A-4P-PR222DS/P-LSI - 100kA@230Vac, 70kA@415Vac - marca ABB.</t>
  </si>
  <si>
    <t>1SDA054139R1</t>
  </si>
  <si>
    <t>T4N320-320A-4P-PR222DS/P-LSIG</t>
  </si>
  <si>
    <t>ITM Caja Moldeada 4x320A (electrónico [0.4-1.0] In) - T4N320-320A-4P-PR222DS/P-LSIG - 70kA@230Vac, 36kA@415Vac - marca ABB.</t>
  </si>
  <si>
    <t>1SDA054124R1</t>
  </si>
  <si>
    <t>T4L320-320A-4P-PR222DS/P-LSI</t>
  </si>
  <si>
    <t>ITM Caja Moldeada 4x320A (electrónico [0.4-1.0] In) - T4L320-320A-4P-PR222DS/P-LSI - 120kA@415Vac - marca ABB.</t>
  </si>
  <si>
    <t>1SDA054147R1</t>
  </si>
  <si>
    <t>T5S400-320A-3P-PR222DS/P-LSI</t>
  </si>
  <si>
    <t>ITM Caja Moldeada 3x320A (electrónico [0.4-1.0] In) - T5S400-320A-3P-PR222DS/P-LSI - 85kA@230Vac, 50kA@415Vac - marca ABB.</t>
  </si>
  <si>
    <t>1SDA054336R1</t>
  </si>
  <si>
    <t>T5H400-400A-3P-PR222DS/P-LSIG</t>
  </si>
  <si>
    <t>ITM Caja Moldeada 3x400A (electrónico [0.4-1.0] In) - T5H400-400A-3P-PR222DS/P-LSIG - 100kA@230Vac, 70kA@415Vac - marca ABB.</t>
  </si>
  <si>
    <t>1SDA054355R1</t>
  </si>
  <si>
    <t>T5L630-630A-3P-PR222DS/P-LSI</t>
  </si>
  <si>
    <t>1SDA054422R1</t>
  </si>
  <si>
    <t>T5N400-400A-3P-PR222DS/P-LSIG</t>
  </si>
  <si>
    <t>ITM Caja Moldeada 3x400A (electrónico [0.4-1.0] In) - T5N400-400A-3P-PR222DS/P-LSIG - 70kA@230Vac, 36A@415Vac - marca ABB.</t>
  </si>
  <si>
    <t>1SDA054323R1</t>
  </si>
  <si>
    <t>T5N630-630A-3P-PR222DS/P-LSIG</t>
  </si>
  <si>
    <t>ITM Caja Moldeada 3x630A (electrónico [0.4-1.0] In) - T5N630-630A-3P-PR222DS/P-LSIG - 70kA@230Vac, 36kA@415Vac - marca ABB.</t>
  </si>
  <si>
    <t>1SDA054399R1</t>
  </si>
  <si>
    <t>T5N400-320A-4P-PR222DS/P-LSIG</t>
  </si>
  <si>
    <t>ITM Caja Moldeada 4x320A (electrónico [0.4-1.0] In) - T5N400-320A-4P-PR222DS/P-LSIG - 70kA@230Vac, 36A@415Vac - marca ABB.</t>
  </si>
  <si>
    <t>1SDA054330R1</t>
  </si>
  <si>
    <t>T5N400-400A-4P-PR222DS/P-LSIG</t>
  </si>
  <si>
    <t>ITM Caja Moldeada 4x400A (electrónico [0.4-1.0] In) - T5N400-400A-4P-PR222DS/P-LSIG - 70kA@230Vac, 36A@415Vac - marca ABB.</t>
  </si>
  <si>
    <t>1SDA054331R1</t>
  </si>
  <si>
    <t>T5N630-630A-4P-PR222DS/P-LSIG</t>
  </si>
  <si>
    <t>ITM Caja Moldeada 4x630A (electrónico [0.4-1.0] In) - T5N630-630A-4P-PR222DS/P-LSIG - 70kA@230Vac, 36kA@415Vac - marca ABB.</t>
  </si>
  <si>
    <t>1SDA054403R1</t>
  </si>
  <si>
    <t>T5S400-320A-4P-PR222DS/P-LSI</t>
  </si>
  <si>
    <t>ITM Caja Moldeada 4x320A (electrónico [0.4-1.0] In) - T5S400-320A-4P-PR222DS/P-LSI - 85kA@230Vac, 50kA@415Vac - marca ABB.</t>
  </si>
  <si>
    <t>T5S400-320A-4P-PR222DS/P-LSIG</t>
  </si>
  <si>
    <t>ITM Caja Moldeada 4x320A (electrónico [0.4-1.0] In) - T5S400-320A-4P-PR222DS/P-LSIG - 85kA@230Vac, 50kA@415Vac - marca ABB.</t>
  </si>
  <si>
    <t>1SDA054346R1</t>
  </si>
  <si>
    <t>1SDA054345R1</t>
  </si>
  <si>
    <t>T5S400-400A-4P-PR222DS/P-LSIG</t>
  </si>
  <si>
    <t>ITM Caja Moldeada 4x400A (electrónico [0.4-1.0] In) - T5S400-400A-4P-PR222DS/P-LSIG - 85kA@230Vac, 50kA@415Vac - marca ABB.</t>
  </si>
  <si>
    <t>1SDA054347R1</t>
  </si>
  <si>
    <t>T5S630-630A-4P-PR222DS/P-LSIG</t>
  </si>
  <si>
    <t>ITM Caja Moldeada 4x630A (electrónico [0.4-1.0] In) - T5S630-630A-4P-PR222DS/P-LSIG - 85kA@230Vac, 50kA@415Vac - marca ABB.</t>
  </si>
  <si>
    <t>1SDA054411R1</t>
  </si>
  <si>
    <t>T5H400-400A-4P-PR222DS/P-LSI</t>
  </si>
  <si>
    <t>ITM Caja Moldeada 4x400A (electrónico [0.4-1.0] In) - T5H400-400A-4P-PR222DS/P-LSI - 100kA@230Vac, 70kA@415Vac - marca ABB.</t>
  </si>
  <si>
    <t>1SDA054361R1</t>
  </si>
  <si>
    <t>T5L400-400A-4P-PR222DS/P-LSI</t>
  </si>
  <si>
    <t>1SDA054377R1</t>
  </si>
  <si>
    <t>T5L630-630A-4P-PR222DS/P-LSI</t>
  </si>
  <si>
    <t>1SDA054426R1</t>
  </si>
  <si>
    <t>T6N1000-1000A-3P-PR222DS/P-LSIG</t>
  </si>
  <si>
    <t>ITM Caja Moldeada 3x1000A (electrónico [0.4-1.0] In) - T6N1000-1000A-3P-PR222DS/P-LSIG - 70kA@230Vac, 36kA@415Vac - marca ABB.</t>
  </si>
  <si>
    <t>1SDA060540R1</t>
  </si>
  <si>
    <t>T6S800-800A-3P-PR222DS/P-LSIG</t>
  </si>
  <si>
    <t>ITM Caja Moldeada 3x800A (electrónico [0.4-1.0] In) - T6S800-800A-3P-PR222DS/P-LSIG - 85kA@230Vac, 50kA@415Vac - marca ABB.</t>
  </si>
  <si>
    <t>1SDA060281R1</t>
  </si>
  <si>
    <t>T6H630-630A-3P-PR222DS/P-LSI</t>
  </si>
  <si>
    <t>ITM Caja Moldeada 3x630A (electrónico [0.4-1.0] In) - T6H630-630A-3P-PR222DS/P-LSI - 100kA@230Vac, 70kA@415Vac - marca ABB.</t>
  </si>
  <si>
    <t>1SDA060248R1</t>
  </si>
  <si>
    <t>T6S800-800A-4P-PR222DS/P-LSIG</t>
  </si>
  <si>
    <t>ITM Caja Moldeada 4x800A (electrónico [0.4-1.0] In) - T6S800-800A-4P-PR222DS/P-LSIG - 85kA@230Vac, 50kA@415Vac - marca ABB.</t>
  </si>
  <si>
    <t>1SDA060286R1</t>
  </si>
  <si>
    <t>T6H800-800A-4P-PR222DS/P-LSIG</t>
  </si>
  <si>
    <t>ITM Caja Moldeada 4x800A (electrónico [0.4-1.0] In) - T6H800-800A-4P-PR222DS/P-LSIG - 100kA@230Vac, 70kA@415Vac - marca ABB.</t>
  </si>
  <si>
    <t>1SDA060569R1</t>
  </si>
  <si>
    <t>T6L630-630A-4P-PR222DS/P-LSI</t>
  </si>
  <si>
    <t>ITM Caja Moldeada 4x630A (electrónico [0.4-1.0] In) - T6L630-630A-4P-PR222DS/P-LSI - 100kA@415Vac - marca ABB.</t>
  </si>
  <si>
    <t>1SDA060264R1</t>
  </si>
  <si>
    <t>T6L800-800A-4P-PR222DS/P-LSI</t>
  </si>
  <si>
    <t>ITM Caja Moldeada 4x800A (electrónico [0.4-1.0] In) - T6L800-800A-4P-PR222DS/P-LSI - 100kA@415Vac - marca ABB.</t>
  </si>
  <si>
    <t>1SDA060307R1</t>
  </si>
  <si>
    <t>T7S1600-1600A-3P-PR332/P-LSIG</t>
  </si>
  <si>
    <t>1SDA062999R1</t>
  </si>
  <si>
    <t>T7H800-800A-3P-PR232/P-LSI</t>
  </si>
  <si>
    <t>ITM Caja Moldeada 3x800A (electrónico [0.4-1.0] In) - T7H800-800A-3P-PR232/P-LSI - 70kA@415Vac - marca ABB.</t>
  </si>
  <si>
    <t>1SDA062643R1</t>
  </si>
  <si>
    <t>T7H1000-1000A-3P-PR232/P-LSI</t>
  </si>
  <si>
    <t>ITM Caja Moldeada 3x1000A (electrónico [0.4-1.0] In) - T7H1000-1000A-3P-PR232/P-LSI - 70kA@415Vac - marca ABB.</t>
  </si>
  <si>
    <t>1SDA062771R1</t>
  </si>
  <si>
    <t>ITM Caja Moldeada 3x1250A (electrónico [0.4-1.0] In) - T7H1250-1250A-3P-PR232/P-LSI - 70kA@415V - marca ABB.</t>
  </si>
  <si>
    <t>T7L1000-1000A-3P-PR232/P-LSI</t>
  </si>
  <si>
    <t>ITM Caja Moldeada 3x1000A (electrónico [0.4-1.0] In) - T7L1000-1000A-3P-PR232/P-LSI - 120kA@415Vac - marca ABB.</t>
  </si>
  <si>
    <t>1SDA062803R1</t>
  </si>
  <si>
    <t>T7S1600(M)-1600A-3P-PR332/P-LSIG</t>
  </si>
  <si>
    <t>ITM Caja Moldeada 3x1600A (electrónico [0.4-1.0] In) - T7S1600(M)-1600A-3PPR332/P-LSIG - 50kA@415Vac - marca ABB.</t>
  </si>
  <si>
    <t>1SDA063015R1</t>
  </si>
  <si>
    <t>T7H1250-1250A-4P-PR232/P-LSI</t>
  </si>
  <si>
    <t>ITM Caja Moldeada 4x1250A (electrónico [0.4-1.0] In) - T7H1250-1250A-4P-PR232/P-LSI - 70kA@415Vac - marca ABB.</t>
  </si>
  <si>
    <t>1SDA062907R1</t>
  </si>
  <si>
    <t>T7H1600-1600A-4P-PR232/P-LSI</t>
  </si>
  <si>
    <t>ITM Caja Moldeada 4x1600A (electrónico [0.4-1.0] In) - T7H1600-1600A-4P-PR232/P-LSI - 70kA@415Vac - marca ABB.</t>
  </si>
  <si>
    <t>T7L1250-1250A-4P-PR232/P-LSI</t>
  </si>
  <si>
    <t>ITM Caja Moldeada 4x1250A (electrónico [0.4-1.0] In) - T7L1250-1250A-4P-PR232/P-LSI - 120kA@415Vac - marca ABB.</t>
  </si>
  <si>
    <t>1SDA062939R1</t>
  </si>
  <si>
    <t>T7L1600-1600A-4P-PR232/P-LSI</t>
  </si>
  <si>
    <t>ITM Caja Moldeada 4x1600A (electrónico [0.4-1.0] In) - T7L1600-1600A-4P-PR232/P-LSI - 120kA@415Vac - marca ABB.</t>
  </si>
  <si>
    <t>1SDA063067R1</t>
  </si>
  <si>
    <t>T7H800(M)-800A-3P-PR232/P-LSI</t>
  </si>
  <si>
    <t>ITM Caja Moldeada 3x800A (electrónico [0.4-1.0] In) - T7H800(M)-800A-3P-PR232/P-LSI - 70kA@415Vac - marca ABB.</t>
  </si>
  <si>
    <t>1SDA062659R1</t>
  </si>
  <si>
    <t>T7H1000(M)-1000A-3P-PR232/P-LSI</t>
  </si>
  <si>
    <t>ITM Caja Moldeada 3x1000A (electrónico [0.4-1.0] In) - T7H1000(M)-1000A-3P-PR232/P-LSI - 70kA@415Vac - marca ABB.</t>
  </si>
  <si>
    <t>1SDA062790R1</t>
  </si>
  <si>
    <t>T7H1250(M)-1250A-4P-PR232/P-LSI</t>
  </si>
  <si>
    <t>ITM Caja Moldeada 4x1250A (electrónico [0.4-1.0] In) - T7H12500(M)-1250A-4P-PR232/P-LSI - 70kA@415Vac - marca ABB.</t>
  </si>
  <si>
    <t>T7H1250(M)-1250A-4P-PR331/P-LSIG</t>
  </si>
  <si>
    <t>ITM Caja Moldeada 4x1250A (electrónico [0.4-1.0] In) - T7H1250(M)-1250A-3P-PR331/P-LSIG - 70kA@415Vac - marca ABB.</t>
  </si>
  <si>
    <t>1SDA062924R1</t>
  </si>
  <si>
    <t>T7H1600(M)-1600A-4P-PR331/P-LSIG</t>
  </si>
  <si>
    <t>ITM Caja Moldeada 4x1600A (electrónico [0.4-1.0] In) - T7H1600(M)-1600A-3P-PR331/P-LSIG - 70kA@415Vac - marca ABB.</t>
  </si>
  <si>
    <t>1SDA063052R1</t>
  </si>
  <si>
    <t>T7L800(M)-800A-4P-PR232/P-LSI</t>
  </si>
  <si>
    <t>ITM Caja Moldeada 4x800A (electrónico [0.4-1.0] In) - T7L800(M)-800A-4P-PR232/P-LSI - 120kA@415Vac - marca ABB.</t>
  </si>
  <si>
    <t>1SDA062699R1</t>
  </si>
  <si>
    <t>T7L1000(M)-1000A-4P-PR232/P-LSI</t>
  </si>
  <si>
    <t>ITM Caja Moldeada 4x1000A (electrónico [0.4-1.0] In) - T7L1000(M)-1000A-4P-PR232/P-LSI - 120kA@415Vac - marca ABB.</t>
  </si>
  <si>
    <t>1SDA062827R1</t>
  </si>
  <si>
    <t>T7L1250(M)-1250A-4P-PR232/P-LSI</t>
  </si>
  <si>
    <t>ITM Caja Moldeada 4x1250A (electrónico [0.4-1.0] In) - T7L1250(M)-1250A-4P-PR232/P-LSI - 120kA@415Vac - marca ABB.</t>
  </si>
  <si>
    <t>1SDA062955R1</t>
  </si>
  <si>
    <t>T7L1600(M)-1600A-4P-PR232/P-LSI</t>
  </si>
  <si>
    <t>ITM Caja Moldeada 4x1600A (electrónico [0.4-1.0] In) - T7L1600(M)-1600A-4P-PR232/P-LSI - 120kA@415Vac - marca ABB.</t>
  </si>
  <si>
    <t>1SDA063086R1</t>
  </si>
  <si>
    <t>FC-CuAl_T4 - Terminales + Cubrebornes - cables de cobre/aluminio hasta 1x240mm2 - 3 terminales (externos).</t>
  </si>
  <si>
    <t>FC-CuAl_T5 - Terminales + Cubrebornes - cables de cobre/aluminio hasta 2x240mm2 - 3 terminales (externos).</t>
  </si>
  <si>
    <t>FC-CuAl_T6-800A - Terminales + Cubrebornes  - cables de cobre/aluminio hasta 3x185mm2 - 3 terminales (externos).</t>
  </si>
  <si>
    <t>FC-CuAl_T6_3t_1000A</t>
  </si>
  <si>
    <t>FC-CuAl_T6-1000A - Terminales + Cubrebornes  - cables de cobre/aluminio hasta 4x150mm2 - 3 terminales (externos).</t>
  </si>
  <si>
    <t>1SDA060687R1</t>
  </si>
  <si>
    <t>FC-CuAl_T7-1250A/T7(M)-1250A - Terminales + Cubrebornes - cables de cobre/aluminio hasta 4x240mm2 - 3 terminales (externos).</t>
  </si>
  <si>
    <t>FC-CuAl_T6_4t_1000A</t>
  </si>
  <si>
    <t>FC-CuAl_T6-1000A - Terminales + Cubrebornes  - cables de cobre/aluminio hasta 4x150mm2 - 4 terminales (externos).</t>
  </si>
  <si>
    <t>1SDA060688R1</t>
  </si>
  <si>
    <t>YO_T4-T5-T6_120V</t>
  </si>
  <si>
    <t>Bobina de apertura (YO) - T4-T5-T6 - SOR versión no cableada - 110-125V AC/DC - marca ABB.</t>
  </si>
  <si>
    <t>1SDA054865R1</t>
  </si>
  <si>
    <t>YU_T4-T5-T6</t>
  </si>
  <si>
    <t>YU_T4-T5-T6_48V</t>
  </si>
  <si>
    <t>Bobina de mínima tensión (YU) - T4-T5-T6 - UVR versión no cableada - 48V AC/DC - marca ABB.</t>
  </si>
  <si>
    <t>1SDA054881R1</t>
  </si>
  <si>
    <t>UVD_T4-T5-T6</t>
  </si>
  <si>
    <t>Retardador electronico (UVD) para relé de mínima tensión (YU) - T4-T5-T6 - 220...250 V AC/DC - marca ABB.</t>
  </si>
  <si>
    <t>1SDA051361R1</t>
  </si>
  <si>
    <t>UVD_T7-Emax</t>
  </si>
  <si>
    <t>Retardador electronico (UVD) para relé de mínima tensión (YU) - T7-Emax - 220...250 V AC/DC - marca ABB.</t>
  </si>
  <si>
    <t>RHD_NOR_ENCH_T5</t>
  </si>
  <si>
    <t>1SDA054926R1</t>
  </si>
  <si>
    <t>Mando giratorio reenviado - RHE (sobre puerta) normal para fijo y enchufable - p/modelo T4-T5, marca ABB.</t>
  </si>
  <si>
    <t>Mando giratorio reenviado - RHE (sobre puerta) normal para fijo y enchufable - p/modelo T6, marca ABB.</t>
  </si>
  <si>
    <t>Mando giratorio reenviado - RHE (sobre puerta) normal para fijo, enchufable y extraible - p/modelo T7, marca ABB.</t>
  </si>
  <si>
    <t>IP54_RHE_T4..T7</t>
  </si>
  <si>
    <t>Protección IP-54 para mando giratorio reenviado - RHE (sobre puerta) - p/modelo T4..T7, marca ABB.</t>
  </si>
  <si>
    <t>1SDA054938R1</t>
  </si>
  <si>
    <t>FLD_T4-T5</t>
  </si>
  <si>
    <t>Frontal para bloqueo por candado, fijo en interruptor (bloqueo en posición abierto) - p/modelo T4-T5 - marca ABB (no inluye el candado ni llaves).</t>
  </si>
  <si>
    <t>1SDA054944R1</t>
  </si>
  <si>
    <t>FLD_T6</t>
  </si>
  <si>
    <t>Frontal para bloqueo por candado, fijo en interruptor (bloqueo en posición abierto) - p/modelo T6 - marca ABB (no inluye el candado ni llaves).</t>
  </si>
  <si>
    <t>1SDA060417R1</t>
  </si>
  <si>
    <t>PLL_T7</t>
  </si>
  <si>
    <t>Dispositivo para bloqueo por candado, fijo en interruptor (bloqueo en posición abierto) - p/modelo T7 - marca ABB (no inluye el candado ni llaves).</t>
  </si>
  <si>
    <t>1SDA062150R1</t>
  </si>
  <si>
    <t>PLL_T7M</t>
  </si>
  <si>
    <t>Dispositivo para bloqueo por candado, fijo en interruptor (bloqueo en posición abierto) - p/modelo T7(M) - marca ABB (no inluye el candado ni llaves).</t>
  </si>
  <si>
    <t>1SDA069656R1</t>
  </si>
  <si>
    <t>PR222DS/PD-LSIG</t>
  </si>
  <si>
    <t>Relé electrónico modelo PR222DS/PD-LSIG (protocolo Modbus RTU) - p/modelo T4..T6 - marca ABB.</t>
  </si>
  <si>
    <t>1SDA055067R1</t>
  </si>
  <si>
    <t>PR330/V + T-INT TEN</t>
  </si>
  <si>
    <t>Módulo de medida PR330/V + Toma interna de tensión  p/ relé electrónico PR33x p/modelo T7 - marca ABB.</t>
  </si>
  <si>
    <t>1SDA063144R1</t>
  </si>
  <si>
    <t>PR330/V + T-EXT TEN</t>
  </si>
  <si>
    <t>Módulo de medida PR330/V + Toma externa de tensión  p/ relé electrónico PR33x p/modelo T7 - marca ABB.</t>
  </si>
  <si>
    <t>1SDA069126R1</t>
  </si>
  <si>
    <t>1(Q) contacto conmutado de estado (NA/NC) + 1(SY) contacto por disparo de interruptor - T4-T5-T6 - version no cableada - marca ABB.</t>
  </si>
  <si>
    <t>AUX-E-C_1Q+1SY_T4-T5</t>
  </si>
  <si>
    <t>1(Q) contacto conmutado de estado + 1(SY) contacto por disparo de interruptor (AUX-E-C) p/PR222DS/PD (T4-T5) - version cableada - marca ABB.</t>
  </si>
  <si>
    <t>1SDA054916R1</t>
  </si>
  <si>
    <t>AUX-E-C_1Q+1SY_T6</t>
  </si>
  <si>
    <t>1(Q) contacto conmutado de estado + 1(SY) contacto por disparo de interruptor (AUX-E-C) p/PR222DS/PD (T6) - version cableada - marca ABB.</t>
  </si>
  <si>
    <t>1SDA064161R1</t>
  </si>
  <si>
    <t>RC222/5_T5-4p</t>
  </si>
  <si>
    <t>Bloque relé diferencial para Tmax T5-4p - modelo RC222/5 - marca ABB.</t>
  </si>
  <si>
    <t>1SDA054955R1</t>
  </si>
  <si>
    <t>E1.2B-1250A-3P-Ekip Dip LSI</t>
  </si>
  <si>
    <t>ITM Bastidor Abierto 3x1250A (electrónico [0.4-1.0] In) - E1.2B-1250A-3P-Ekip Dip LSI - 42kA@440Vac - marca ABB.</t>
  </si>
  <si>
    <t>1SDA070822R1</t>
  </si>
  <si>
    <t>E1.2B-1000A-3P-Ekip Dip LSI</t>
  </si>
  <si>
    <t>ITM Bastidor Abierto 3x1000A (electrónico [0.4-1.0] In) - E1.2B-1000A-3P-Ekip Dip LSI - 42kA@440Vac - marca ABB.</t>
  </si>
  <si>
    <t>1SDA070782R1</t>
  </si>
  <si>
    <t>E1.2B-1000A-3P-Ekip Touch LSI</t>
  </si>
  <si>
    <t>ITM Bastidor Abierto 3x1000A (electrónico [0.4-1.0] In) - E1.2B-1000A-3P-Ekip Touch LSI - 42kA@440Vac - marca ABB.</t>
  </si>
  <si>
    <t>1SDA070785R1</t>
  </si>
  <si>
    <t>E1.2B-1000A-4P-Ekip Dip LSI</t>
  </si>
  <si>
    <t>ITM Bastidor Abierto 4x1000A (electrónico [0.4-1.0] In) - E1.2B-1000A-4P-Ekip Dip LSI - 42kA@440Vac - marca ABB.</t>
  </si>
  <si>
    <t>1SDA071412R1</t>
  </si>
  <si>
    <t>E1.2B-1000A-4P-Ekip Touch LSI</t>
  </si>
  <si>
    <t>ITM Bastidor Abierto 4x1000A (electrónico [0.4-1.0] In) - E1.2B-1000A-4P-Ekip Touch LSI - 42kA@440Vac - marca ABB.</t>
  </si>
  <si>
    <t>1SDA071415R1</t>
  </si>
  <si>
    <t>E1.2B-800A-4P-Ekip Touch LSI</t>
  </si>
  <si>
    <t>1SDA071375R1</t>
  </si>
  <si>
    <t>E1.2N-1600A-3P-Ekip Dip LSI</t>
  </si>
  <si>
    <t>ITM Bastidor Abierto 3x1600A (electrónico [0.4-1.0] In) - E1.2N-1600A-3P-Ekip Dip LSI - 66kA@440Vac - marca ABB.</t>
  </si>
  <si>
    <t>1SDA070882R1</t>
  </si>
  <si>
    <t>E1.2N-800A-3P-Ekip Touch LSIG</t>
  </si>
  <si>
    <t>ITM Bastidor Abierto 3x800A (electrónico [0.4-1.0] In) - E1.2N-800A-3P-Ekip Touch LSIG - 66kA@440Vac - marca ABB.</t>
  </si>
  <si>
    <t>1SDA070766R1</t>
  </si>
  <si>
    <t>E1.2N-1250A-3P-Ekip Touch LSIG</t>
  </si>
  <si>
    <t>ITM Bastidor Abierto 3x1250A (electrónico [0.4-1.0] In) - E1.2N-1250A-3P-Ekip Touch LSIG - 66kA@440Vac - marca ABB.</t>
  </si>
  <si>
    <t>1SDA070846R1</t>
  </si>
  <si>
    <t>E1.2N-1600A-3P-Ekip Touch LSIG</t>
  </si>
  <si>
    <t>ITM Bastidor Abierto 3x1600A (electrónico [0.4-1.0] In) - E1.2N-1600A-3P-Ekip Touch LSIG - 66kA@440Vac - marca ABB.</t>
  </si>
  <si>
    <t>1SDA070886R1</t>
  </si>
  <si>
    <t>E1.2N-1000A-4P-Ekip Touch LSIG</t>
  </si>
  <si>
    <t>ITM Bastidor Abierto 4x1000A (electrónico [0.4-1.0] In) - E1.2N-1000A-4P-Ekip Touch LSIG - 66kA@440Vac - marca ABB.</t>
  </si>
  <si>
    <t>1SDA071436R1</t>
  </si>
  <si>
    <t>E1.2N-1600A-4P-Ekip Touch LSIG</t>
  </si>
  <si>
    <t>ITM Bastidor Abierto 4x1600A (electrónico [0.4-1.0] In) - E1.2N-1600A-4P-Ekip Touch LSIG - 66kA@440Vac - marca ABB.</t>
  </si>
  <si>
    <t>1SDA071516R1</t>
  </si>
  <si>
    <t>E2.2B-2000A-4P-Ekip Touch LSI</t>
  </si>
  <si>
    <t>ITM Bastidor Abierto 4x2000A (electrónico [0.4-1.0] In) - E2.2B-2000A-4P-Ekip Touch LSI - 42kA@440Vac - marca ABB.</t>
  </si>
  <si>
    <t>1SDA071655R1</t>
  </si>
  <si>
    <t>E2.2B-2000A-4P-Ekip Touch LSIG</t>
  </si>
  <si>
    <t>ITM Bastidor Abierto 4x2000A (electrónico [0.4-1.0] In) - E2.2B-2000A-4P-Ekip Touch LSIG - 42kA@440Vac - marca ABB.</t>
  </si>
  <si>
    <t>1SDA071656R1</t>
  </si>
  <si>
    <t>ITM Bastidor Abierto 3x2500A (electrónico [0.4-1.0] In) - E2.2N-2500A-3P-Ekip Touch LSI - 66kA@440Vac - marca ABB.</t>
  </si>
  <si>
    <t>E2.2N-1000A-4P-Ekip Touch LSIG</t>
  </si>
  <si>
    <t>ITM Bastidor Abierto 4x1000A (electrónico [0.4-1.0] In) - E2.2N-1000A-4P-Ekip Touch LSIG - 66kA@440Vac - marca ABB.</t>
  </si>
  <si>
    <t>1SDA071556R1</t>
  </si>
  <si>
    <t>E2.2S-1600A-4P-Ekip Hi-Touch LSIG</t>
  </si>
  <si>
    <t>ITM Bastidor Abierto 4x1600A (electrónico [0.4-1.0] In) - E2.2S-1600A-4P-Ekip Hi-touch LSIG (funciones avanzadas) - 85kA@440Vac - marca ABB.</t>
  </si>
  <si>
    <t>1SDA071639R1</t>
  </si>
  <si>
    <t>E2.2S-1600A-4P-Ekip Touch LSI</t>
  </si>
  <si>
    <t>ITM Bastidor Abierto 4x1600A (electrónico [0.4-1.0] In) - E2.2S-1600A-4P-Ekip Touch LSI - 85kA@440Vac - marca ABB.</t>
  </si>
  <si>
    <t>1SDA071635R1</t>
  </si>
  <si>
    <t>E2.2S-2000A-4P-Ekip Touch LSI</t>
  </si>
  <si>
    <t>ITM Bastidor Abierto 4x2000A (electrónico [0.4-1.0] In) - E2.2S-2000A-4P-Ekip Touch LSI - 85kA@440Vac - marca ABB.</t>
  </si>
  <si>
    <t>1SDA071675R1</t>
  </si>
  <si>
    <t xml:space="preserve">Ekip Comm 110-240VAC/DC E1.2..E6.2    </t>
  </si>
  <si>
    <t>Ekip de Comunicación Ethernet/IP E1.2..E6.2 - marca ABB.</t>
  </si>
  <si>
    <t>1SDA074155R1</t>
  </si>
  <si>
    <t>MOC Coumput.Maniobras Mec. E1.2</t>
  </si>
  <si>
    <t>Cuentamaniobras mecánico - MOC (E1.2) - marca ABB.</t>
  </si>
  <si>
    <t>1SDA073780R1</t>
  </si>
  <si>
    <t>E2.2S-2500A-4P-Ekip Touch LSI</t>
  </si>
  <si>
    <t>ITM Bastidor Abierto 4x2500A (electrónico [0.4-1.0] In) - E2.2S-2500A-4P-Ekip Touch LSI - 85kA@440Vac - marca ABB.</t>
  </si>
  <si>
    <t>1SDA071705R1</t>
  </si>
  <si>
    <t>E2.2H-2000A-4P-Ekip Touch LSIG</t>
  </si>
  <si>
    <t>ITM Bastidor Abierto 4x2000A (electrónico [0.4-1.0] In) - E2.2H-2000A-4P-Ekip Touch LSIG - 100kA@440Vac - marca ABB.</t>
  </si>
  <si>
    <t>1SDA071686R1</t>
  </si>
  <si>
    <t>E2.2H-2500A-4P-Ekip Touch LSIG</t>
  </si>
  <si>
    <t>ITM Bastidor Abierto 4x2500A (electrónico [0.4-1.0] In) - E2.2H-2500A-4P-Ekip Touch LSIG - 100kA@440Vac - marca ABB.</t>
  </si>
  <si>
    <t>1SDA071716R1</t>
  </si>
  <si>
    <t>E2.2H-2500A-4P-Ekip Hi-Touch LSIG</t>
  </si>
  <si>
    <t>ITM Bastidor Abierto 4x2500A (electrónico [0.4-1.0] In) - E2.2H-2500A-4P-Ekip Hi-touch LSIG (funciones avanzadas) - 100kA@440Vac - marca ABB.</t>
  </si>
  <si>
    <t>1SDA071719R1</t>
  </si>
  <si>
    <t>E2.2S-1250A-4P-Ekip Touch LSIG</t>
  </si>
  <si>
    <t>ITM Bastidor Abierto 4x1250A (electrónico [0.4-1.0] In) - E2.2S-1250A-4P-Ekip Touch LSIG - 85kA@440Vac - marca ABB.</t>
  </si>
  <si>
    <t>1SDA071596R1</t>
  </si>
  <si>
    <t>E2.2S-1600A-4P-Ekip Touch LSIG</t>
  </si>
  <si>
    <t>ITM Bastidor Abierto 4x1600A (electrónico [0.4-1.0] In) - E2.2S-1600A-4P-Ekip Touch LSIG - 85kA@440Vac - marca ABB.</t>
  </si>
  <si>
    <t>1SDA071636R1</t>
  </si>
  <si>
    <t>E2.2S-2000A-4P-Ekip Touch LSIG</t>
  </si>
  <si>
    <t>ITM Bastidor Abierto 4x2000A (electrónico [0.4-1.0] In) - E2.2S-2000A-4P-Ekip Touch LSIG - 85kA@440Vac - marca ABB.</t>
  </si>
  <si>
    <t>1SDA071676R1</t>
  </si>
  <si>
    <t>E2.2S-2500A-4P-Ekip Touch LSIG</t>
  </si>
  <si>
    <t>ITM Bastidor Abierto 4x2500A (electrónico [0.4-1.0] In) - E2.2S-2500A-4P-Ekip Touch LSIG - 85kA@440Vac - marca ABB.</t>
  </si>
  <si>
    <t>1SDA071706R1</t>
  </si>
  <si>
    <t>E4.2S-3200A-4P-Ekip Touch LSIG</t>
  </si>
  <si>
    <t>ITM Bastidor Abierto 4x3200A (electrónico [0.4-1.0] In) - E4.2S-3200A-4P-Ekip Touch LSIG- 85kA@440Vac - marca ABB.</t>
  </si>
  <si>
    <t>1SDA071786R1</t>
  </si>
  <si>
    <t>E4.2S-4000A-4P-Ekip Touch LSIG</t>
  </si>
  <si>
    <t>ITM Bastidor Abierto 4x4000A (electrónico [0.4-1.0] In) - E4.2S-4000A-4P-Ekip Touch LSIG - 85kA@440Vac - marca ABB.</t>
  </si>
  <si>
    <t>1SDA071836R1</t>
  </si>
  <si>
    <t>E4.2H-3200A-4P-Ekip Touch LSI</t>
  </si>
  <si>
    <t>ITM Bastidor Abierto 4x3200A (electrónico [0.4-1.0] In) - E4.2H-3200A-4P-Ekip Touch LSI - 100kA@440Vac - marca ABB.</t>
  </si>
  <si>
    <t>1SDA071795R1</t>
  </si>
  <si>
    <t>IP54_E1.2</t>
  </si>
  <si>
    <t>Marco de protección IP-54 para puerta p/ modelo E1.2 - marca ABB.</t>
  </si>
  <si>
    <t>IP54_E2.2..E6.2</t>
  </si>
  <si>
    <t>Marco de protección IP-54 para puerta p/ modelo E2.2..E6.2 - marca ABB.</t>
  </si>
  <si>
    <t>Bloqueo por candado en posicion abierto, D=7mm - para interruptores Emax E1.2 - marca ABB.</t>
  </si>
  <si>
    <t>1SDA073801R1</t>
  </si>
  <si>
    <t>PLL_E1.2</t>
  </si>
  <si>
    <t>4Q_Emax2</t>
  </si>
  <si>
    <t>4(Q) contactos conmutado de estado (NA/NC) - Emax 2 - marca ABB.</t>
  </si>
  <si>
    <t>1S51_Emax2</t>
  </si>
  <si>
    <t>1(S51) contacto por actuacion del relé - 250V - Emax 2 - marca ABB.</t>
  </si>
  <si>
    <t>EKIP-SUPPLY-220V</t>
  </si>
  <si>
    <t>Módulo de alimentación - Ekip Supply - Vc=110-240V AC/DC - Emax E1.2…E6.2  - marca ABB.</t>
  </si>
  <si>
    <t>1SDA074172R1</t>
  </si>
  <si>
    <t>EKIP-SUPPLY-24V</t>
  </si>
  <si>
    <t>Módulo de alimentación - Ekip Supply - Vc=24-48VDC - Emax E1.2…E6.2  - marca ABB.</t>
  </si>
  <si>
    <t>1SDA074173R1</t>
  </si>
  <si>
    <t>EKIP-COM</t>
  </si>
  <si>
    <t>Módulo de comunicación RS-485, Modbus RTU -Emax E1.2..E6.2  - marca ABB.</t>
  </si>
  <si>
    <t>EKIP-SIGN-10K_E1.2-E6.2</t>
  </si>
  <si>
    <t>Módulo de señalización - Ekip Signalling 10K - Emax E1.2…E6.2  - marca ABB.</t>
  </si>
  <si>
    <t>1SDA074171R1</t>
  </si>
  <si>
    <t>Relé de protección diferencial para cuadro RCQ020 - Reg.: 0.03 .0.5A / 1..30A - Ue=415Vac - marca ABB.</t>
  </si>
  <si>
    <t>Relé de protección diferencial para cuadro RCQ020 - Reg.: 0.03 .0.5A / 1..30A - Ue=115-230Vac - marca ABB.</t>
  </si>
  <si>
    <t>BASTIDOR ABIERTO EXTRAIBLE DE 4 x 1600A (Icu=85kA)</t>
  </si>
  <si>
    <t xml:space="preserve">E2.2S 1600 Ekip Hi-Touch LSIG 4p WMP    </t>
  </si>
  <si>
    <t>ITM Bastidor Abierto 4x1600A (electrónico [0.4-1.0] In) - E2.2S-1600A-4P-Ekip Hi Touch LSIG - 85kA@440Vac - marca ABB.</t>
  </si>
  <si>
    <t>1SDA072989R1</t>
  </si>
  <si>
    <t xml:space="preserve">E2.2 W FP Iu=2000 4p HR HR              </t>
  </si>
  <si>
    <t>Parte fija del interruptor extraible (E2.2S) - marca ABB.</t>
  </si>
  <si>
    <t>1SDA073910R1</t>
  </si>
  <si>
    <t xml:space="preserve">AUX 4Q 400Vac E2.2...E6.2               </t>
  </si>
  <si>
    <t>Contacto auxiliares de abierto/cerrado - AUX (E2.2S) - marca ABB.</t>
  </si>
  <si>
    <t>1SDA073753R1</t>
  </si>
  <si>
    <t xml:space="preserve">S51 24V E2.2...E6.2                     </t>
  </si>
  <si>
    <t>Contacto de señalización actuación relés de protección - S51 (E2.2S) - marca ABB.</t>
  </si>
  <si>
    <t>1SDA073779R1</t>
  </si>
  <si>
    <t xml:space="preserve">MOC Coumput.Maniobras Mec. E2.2...E6.2  </t>
  </si>
  <si>
    <t>Cuentamaniobras mecánico - MOC (E2.2S) - marca ABB.</t>
  </si>
  <si>
    <t>1SDA073781R1</t>
  </si>
  <si>
    <t xml:space="preserve">PLC E2.2..E6.2 Padlocks in open D=8mm   </t>
  </si>
  <si>
    <t>Bloqueo para candados en posición de abierto PLC (E2.2S) - marca ABB.</t>
  </si>
  <si>
    <t>1SDA073805R1</t>
  </si>
  <si>
    <t>PLP Position padlock D=4/6/8mmE2.2..E6.2</t>
  </si>
  <si>
    <t>Bloqueo por candados en insertado/prueba/extraído - PLP (E2.2S) - marca ABB.</t>
  </si>
  <si>
    <t>1SDA073841R1</t>
  </si>
  <si>
    <t xml:space="preserve">Ekip Supply 110-240VAC/DC E1.2..E6.2    </t>
  </si>
  <si>
    <t>Modulo de alimentación - Ekip Supply 110-240V CA/CC (E2.2S) - marca ABB.</t>
  </si>
  <si>
    <t>BASTIDOR ABIERTO EXTRAIBLE DE 4 x 2500A, Icu=85kA, tipo E2.2S</t>
  </si>
  <si>
    <t xml:space="preserve">E2.2S 2500 Ekip Hi-Touch LSIG 4p WMP    </t>
  </si>
  <si>
    <t>ITM Bastidor Abierto 4x2500A (electrónico [0.4-1.0] In) - E2.2S-2500A-4P-Ekip Hi Touch LSIG - 85kA@440Vac - marca ABB.</t>
  </si>
  <si>
    <t>1SDA073059R1</t>
  </si>
  <si>
    <t>Contactos Auxiliares (E 2.2) - marca ABB.</t>
  </si>
  <si>
    <t>Actuación de relé (E 2.2) - marca ABB.</t>
  </si>
  <si>
    <t>---------------------------------------------------------------------</t>
  </si>
  <si>
    <t>SECCIONADORES</t>
  </si>
  <si>
    <t>T5D-400A-3P</t>
  </si>
  <si>
    <t>Seccionador Caja Moldeada In=3x400A, Ie=400A (AC22) / 400A (AC23), Icw(1s)=6kA - T5D-400A-3P - marca ABB.</t>
  </si>
  <si>
    <t>1SDA054599R1</t>
  </si>
  <si>
    <t>T5D-630A-3P</t>
  </si>
  <si>
    <t>Seccionador Caja Moldeada In=3x630A, Ie=500A (AC22) / 400A (AC23), Icw(1s)=6kA - T5D-630A-3P - marca ABB.</t>
  </si>
  <si>
    <t>1SDA054601R1</t>
  </si>
  <si>
    <t>T6D-630A-3P</t>
  </si>
  <si>
    <t>Seccionador Caja Moldeada In=3x630A, Ie=630A (AC22) / 630A (AC23), Icw(1s)=15kA - T6D-630A-3P - marca ABB.</t>
  </si>
  <si>
    <t>1SDA060343R1</t>
  </si>
  <si>
    <t>T6D-800A-3P</t>
  </si>
  <si>
    <t>Seccionador Caja Moldeada In=3x800A, Ie=800A (AC22) / 800A (AC23), Icw(1s)=15kA - T6D-800A-3P - marca ABB.</t>
  </si>
  <si>
    <t>1SDA060345R1</t>
  </si>
  <si>
    <t>T6D-1000A-3P</t>
  </si>
  <si>
    <t>Seccionador Caja Moldeada In=3x1000A, Ie=1000A (AC22) / 800A (AC23), Icw(1s)=15kA - T6D-1000A-3P - marca ABB.</t>
  </si>
  <si>
    <t>1SDA060594R1</t>
  </si>
  <si>
    <t>T7D-1000A-3P</t>
  </si>
  <si>
    <t>Seccionador Caja Moldeada Ie=3x1000A, Icw(1s)=20kA - T7D-1000A-3P - marca ABB.</t>
  </si>
  <si>
    <t>1SDA062032R1</t>
  </si>
  <si>
    <t>T7D-1250A-3P</t>
  </si>
  <si>
    <t>Seccionador Caja Moldeada Ie=3x1250A, Icw(1s)=20kA - T7D-1250A-3P - marca ABB.</t>
  </si>
  <si>
    <t>1SDA062036R1</t>
  </si>
  <si>
    <t>T7D-1600A-3P</t>
  </si>
  <si>
    <t>Seccionador Caja Moldeada Ie=3x1600A, Icw(1s)=20kA - T7D-1600A-3P - marca ABB.</t>
  </si>
  <si>
    <t>1SDA062040R1</t>
  </si>
  <si>
    <t>E1.2N-1600A-3P/MS</t>
  </si>
  <si>
    <t>Seccionador Bastidor Abierto Ie=3x1600A, Icw(1s)=66kA - E1.2N-1600A-3P/MS - marca ABB.</t>
  </si>
  <si>
    <t>1SDA073401R1</t>
  </si>
  <si>
    <t>E2.2N-2000A-3P/MS</t>
  </si>
  <si>
    <t>Seccionador Bastidor Abierto Ie=3x2000A, Icw(1s)=66kA - E2.2N-2000A-3P/MS - marca ABB.</t>
  </si>
  <si>
    <t>1SDA073412R1</t>
  </si>
  <si>
    <t>E2.2N-2500A-3P/MS</t>
  </si>
  <si>
    <t>Seccionador Bastidor Abierto Ie=3x2500A, Icw(1s)=66kA - E2.2N-2500A-3P/MS - marca ABB.</t>
  </si>
  <si>
    <t>1SDA073414R1</t>
  </si>
  <si>
    <t>E2.2H-2000A-3P/MS</t>
  </si>
  <si>
    <t>Seccionador Bastidor Abierto Ie=3x2000A, Icw(1s)=85kA, Icm=187kA - E2.2H-2000A-3P/MS - marca ABB.</t>
  </si>
  <si>
    <t>1SDA073413R1</t>
  </si>
  <si>
    <t>E2.2H-2500A-3P/MS</t>
  </si>
  <si>
    <t>Seccionador Bastidor Abierto Ie=3x2500A, Icw(1s)=85kA, Icm=187kA - E2.2H-2500A-3P/MS - marca ABB.</t>
  </si>
  <si>
    <t>1SDA073415R1</t>
  </si>
  <si>
    <t>T5D-400A-4P</t>
  </si>
  <si>
    <t>Seccionador Caja Moldeada In=4x400A, Ie=400A (AC22) / 400A (AC23), Icw(1s)=6kA - T5D-400A-4P - marca ABB.</t>
  </si>
  <si>
    <t>1SDA054600R1</t>
  </si>
  <si>
    <t>T5D-630A-4P</t>
  </si>
  <si>
    <t>Seccionador Caja Moldeada In=4x630A, Ie=500A (AC22) / 400A (AC23), Icw(1s)=6kA - T5D-630A-4P - marca ABB.</t>
  </si>
  <si>
    <t>1SDA054602R1</t>
  </si>
  <si>
    <t>T6D-630A-4P</t>
  </si>
  <si>
    <t>Seccionador Caja Moldeada In=4x630A, Ie=630A (AC22) / 630A (AC23), Icw(1s)=15kA - T6D-630A-4P - marca ABB.</t>
  </si>
  <si>
    <t>1SDA060344R1</t>
  </si>
  <si>
    <t>T6D-800A-4P</t>
  </si>
  <si>
    <t>Seccionador Caja Moldeada In=4x800A, Ie=800A (AC22) / 800A (AC23), Icw(1s)=15kA - T6D-800A-4P - marca ABB.</t>
  </si>
  <si>
    <t>1SDA060346R1</t>
  </si>
  <si>
    <t>T6D-1000A-4P</t>
  </si>
  <si>
    <t>Seccionador Caja Moldeada In=4x1000A, Ie=1000A (AC22) / 800A (AC23), Icw(1s)=15kA - T6D-1000A-4P - marca ABB.</t>
  </si>
  <si>
    <t>1SDA060595R1</t>
  </si>
  <si>
    <t>T7D-1000A-4P</t>
  </si>
  <si>
    <t>Seccionador Caja Moldeada Ie=4x1000A, Icw(1s)=20kA - T7D-1000A-4P - marca ABB.</t>
  </si>
  <si>
    <t>1SDA062033R1</t>
  </si>
  <si>
    <t>T7D-1250A-4P</t>
  </si>
  <si>
    <t>Seccionador Caja Moldeada Ie=4x1250A, Icw(1s)=20kA - T7D-1250A-4P - marca ABB.</t>
  </si>
  <si>
    <t>1SDA062037R1</t>
  </si>
  <si>
    <t>T7D-1600A-4P</t>
  </si>
  <si>
    <t>Seccionador Caja Moldeada Ie=4x1600A, Icw(1s)=20kA - T7D-1600A-4P - marca ABB.</t>
  </si>
  <si>
    <t>1SDA062041R1</t>
  </si>
  <si>
    <t>E1.2N-1600A-4P/MS</t>
  </si>
  <si>
    <t>Seccionador Bastidor Abierto Ie=4x1600A, Icw(1s)=66kA - E1.2N-1600A-4P/MS - marca ABB.</t>
  </si>
  <si>
    <t>1SDA073440R1</t>
  </si>
  <si>
    <t>E2.2N-2000A-4P/MS</t>
  </si>
  <si>
    <t>Seccionador Bastidor Abierto Ie=4x2000A, Icw(1s)=66kA - E2.2N-2000A-4P/MS - marca ABB.</t>
  </si>
  <si>
    <t>1SDA073451R1</t>
  </si>
  <si>
    <t>E2.2N-2500A-4P/MS</t>
  </si>
  <si>
    <t>Seccionador Bastidor Abierto Ie=4x2500A, Icw(1s)=66kA - E2.2N-2500A-4P/MS - marca ABB.</t>
  </si>
  <si>
    <t>1SDA073453R1</t>
  </si>
  <si>
    <t>E2.2H-2000A-4P/MS</t>
  </si>
  <si>
    <t>Seccionador Bastidor Abierto Ie=4x2000A, Icw(1s)=85kA, Icm=187kA - E2.2H-2000A-4P/MS - marca ABB.</t>
  </si>
  <si>
    <t>1SDA073452R1</t>
  </si>
  <si>
    <t>E2.2H-2500A-4P/MS</t>
  </si>
  <si>
    <t>Seccionador Bastidor Abierto Ie=4x2500A, Icw(1s)=85kA, Icm=187kA - E2.2H-2500A-4P/MS - marca ABB.</t>
  </si>
  <si>
    <t>1SDA073454R1</t>
  </si>
  <si>
    <t>NH-080</t>
  </si>
  <si>
    <t>Fusible NH000 80A, 500VAC, IR 120KA, gL/gG, Y216543H FERRAZ SHAWMUT</t>
  </si>
  <si>
    <t>1SCA022845R9260</t>
  </si>
  <si>
    <t>OTM_I-0-II_3p_2000A</t>
  </si>
  <si>
    <t>Conmutador motorizado bajo carga (I-0-II), modelo OTM, 3p, 2000A (AC21..AC22) - marca ABB.</t>
  </si>
  <si>
    <t>1SCA112709R1001</t>
  </si>
  <si>
    <t>OTM_I-0-II_3p_2500A</t>
  </si>
  <si>
    <t>Conmutador motorizado bajo carga (I-0-II), modelo OTM, 3p, 2500A (AC21..AC22) - marca ABB.</t>
  </si>
  <si>
    <t>1SCA112710R1001</t>
  </si>
  <si>
    <t>OTM_I-0-II_4p_2000A</t>
  </si>
  <si>
    <t>Conmutador motorizado bajo carga (I-0-II), modelo OTM-C, 4p, 2000A (AC21..AC22) / 2000A (AC23) - marca ABB.</t>
  </si>
  <si>
    <t>1SCA112712R1001</t>
  </si>
  <si>
    <t>OT_I-0-II_3p_2500A</t>
  </si>
  <si>
    <t>Conmutador manual bajo carga (I-0-II), modelo OT-C, 3p, 2500A (AC21..AC22) - marca ABB.</t>
  </si>
  <si>
    <t>1SCA105615R1001</t>
  </si>
  <si>
    <t>CONTROL PRODUCTS</t>
  </si>
  <si>
    <t>AF40-30-00-13_3p</t>
  </si>
  <si>
    <t>Contactor 3x40A(AC-3) / 3x70A(AC-1) - AF40-30-00-13 - bobina 100-250Vac/dc - marca ABB.</t>
  </si>
  <si>
    <t>1SBL347001R1300</t>
  </si>
  <si>
    <t>AF140-30-00-13_3p</t>
  </si>
  <si>
    <t>Contactor 3x140A(AC-3) / 3x200A(AC-1) - AF140-30-00-13 - bobina 100-250Vac/dc - marca ABB.</t>
  </si>
  <si>
    <t>1SFL447001R1300</t>
  </si>
  <si>
    <t>AF146-30-00-13_3p</t>
  </si>
  <si>
    <t>Contactor 3x146A(AC-3) / 3x225A(AC-1) - AF146-30-00-13 - bobina 100-250Vac/dc - marca ABB.</t>
  </si>
  <si>
    <t>1SFL467001R1300</t>
  </si>
  <si>
    <t>1SBL137001R1301</t>
  </si>
  <si>
    <t>Contactor AF09-30-01-13 mas contacto 1NC</t>
  </si>
  <si>
    <t>1SBN030111R1000</t>
  </si>
  <si>
    <t>Kit de enclavamiento para contactores VEM4</t>
  </si>
  <si>
    <t>Contactor AC6-b - 8kVAR / 230Vac, 12.5kVAR / 400Vac +1NA - UA16-30-10_RA_3p - bobina 200-220Vac - marca ABB.</t>
  </si>
  <si>
    <t>Contactor AC6-b - 12.5kVAR / 230Vac, 22kVAR / 400Vac +1NA - UA26-30-10_RA_3p - bobina 200-220Vac - marca ABB.</t>
  </si>
  <si>
    <t>Contactor AC6-b - 16kVAR / 230Vac, 27.5kVAR / 400Vac +1NA - UA30-30-10_RA_3p - bobina 200-220Vac - marca ABB.</t>
  </si>
  <si>
    <t>Contactor AC6-b - 25kVAR / 230Vac, 40kVAR / 400Vac - UA50-30-00_RA_3p - bobina 200-220Vac - marca ABB.</t>
  </si>
  <si>
    <t>Contactor AC6-b - 30kVAR / 230Vac, 50kVAR / 400Vac - UA63-30-00_RA_3p - bobina 200-220Vac - marca ABB.</t>
  </si>
  <si>
    <t>Contactor AC6-b - 35kVAR / 230Vac, 60kVAR / 400Vac - UA75-30-00_RA_3p - bobina 200-220Vac - marca ABB.</t>
  </si>
  <si>
    <t>Contactor AC6-b - 40kVAR / 230Vac, 70kVAR / 400Vac - UA95-30-00_RA_3p - bobina 200-220Vac - marca ABB.</t>
  </si>
  <si>
    <t>Contactor AC6-b - 45kVAR / 230Vac, 80kVAR / 400Vac - UA110-30-00_RA_3p - bobina 200-220Vac - marca ABB.</t>
  </si>
  <si>
    <t>MS495-63.0</t>
  </si>
  <si>
    <t>MS495 Guardamotor - Ith=45.0 ..63.0A - 16.0HP@220Vac / 33.0HP@440V - Icu=25kA@400Vac, clase disparo 10 - marca ABB.</t>
  </si>
  <si>
    <t>1SAM550000R1007</t>
  </si>
  <si>
    <t>MS495-75.0</t>
  </si>
  <si>
    <t>MS495 Guardamotor - Ith=57.0 ..75.0A - 20.0HP@220Vac / 40.0HP@440V - Icu=25kA@400Vac, clase disparo 10 - marca ABB.</t>
  </si>
  <si>
    <t>1SAM550000R1008</t>
  </si>
  <si>
    <t>MS495-90.0</t>
  </si>
  <si>
    <t>MS495 Guardamotor - Ith=70.0 ..90.0A - 25.0HP@220Vac / 50.0HP@440V - Icu=25kA@400Vac, clase disparo 10 - marca ABB.</t>
  </si>
  <si>
    <t>1SAM550000R1009</t>
  </si>
  <si>
    <t>MS495-100.0</t>
  </si>
  <si>
    <t>MS495 Guardamotor - Ith=80.0 ..100.0A - 30.0HP@220Vac / 60.0HP@440V - Icu=25kA@400Vac, clase disparo 10 - marca ABB.</t>
  </si>
  <si>
    <t>1SAM550000R1010</t>
  </si>
  <si>
    <t>HKF1-11</t>
  </si>
  <si>
    <t>Contacto auxiliar p/Guardamotor MS116/MS132/MS165, modelo HKF1-11, montaje frontal, marca ABB.</t>
  </si>
  <si>
    <t>1SAM201901R1001</t>
  </si>
  <si>
    <t>HK1-11</t>
  </si>
  <si>
    <t>Contacto auxiliar p/Guardamotor MS116/MS132/MS165, modelo HK1-11, montaje lateral derecho, marca ABB.</t>
  </si>
  <si>
    <t>1SAM201902R1001</t>
  </si>
  <si>
    <t>TF42-1.0</t>
  </si>
  <si>
    <t>TF42-1.0 Relé de sobrecarga - Ith=0.74…1.00A, clase disparo 10 - p/ contactor AF09 … AF38 - marca ABB.</t>
  </si>
  <si>
    <t>1SAZ721201R1023</t>
  </si>
  <si>
    <t>TF42-1.3</t>
  </si>
  <si>
    <t>TF42-1.3 Relé de sobrecarga - Ith=1.00…1.30A, clase disparo 10 - p/ contactor AF09 … AF38 - marca ABB.</t>
  </si>
  <si>
    <t>1SAZ721201R1025</t>
  </si>
  <si>
    <t>TF42-1.7</t>
  </si>
  <si>
    <t>TF42-1.7 Relé de sobrecarga - Ith=1.30…1.70A, clase disparo 10 - p/ contactor AF09 … AF38 - marca ABB.</t>
  </si>
  <si>
    <t>1SAZ721201R1028</t>
  </si>
  <si>
    <t>TF42-2.3</t>
  </si>
  <si>
    <t>TF42-2.3 Relé de sobrecarga - Ith=1.70…2.30A, clase disparo 10 - p/ contactor AF09 … AF38 - marca ABB.</t>
  </si>
  <si>
    <t>1SAZ721201R1031</t>
  </si>
  <si>
    <t>TF42-3.1</t>
  </si>
  <si>
    <t>TF42-3.1 Relé de sobrecarga - Ith=2.30...3.10A, clase disparo 10 - p/ contactor AF09 … AF38 - marca ABB.</t>
  </si>
  <si>
    <t>1SAZ721201R1033</t>
  </si>
  <si>
    <t>TF42-4.2</t>
  </si>
  <si>
    <t>TF42-4.2 Relé de sobrecarga - Ith=3.10…4.20A, clase disparo 10 - p/ contactor AF09 … AF38 - marca ABB.</t>
  </si>
  <si>
    <t>1SAZ721201R1035</t>
  </si>
  <si>
    <t>TF42-5.7</t>
  </si>
  <si>
    <t>TF42-5.7 Relé de sobrecarga - Ith=4.20…5.70A, clase disparo 10 - p/ contactor AF09 … AF38 - marca ABB.</t>
  </si>
  <si>
    <t>1SAZ721201R1038</t>
  </si>
  <si>
    <t>TF42-7.6</t>
  </si>
  <si>
    <t>TF42-7.6 Relé de sobrecarga - Ith=5.70…7.60A, clase disparo 10 - p/ contactor AF09 … AF38 - marca ABB.</t>
  </si>
  <si>
    <t>1SAZ721201R1040</t>
  </si>
  <si>
    <t>TF42-10</t>
  </si>
  <si>
    <t>TF42-10 Relé de sobrecarga - Ith=7.60…10.0A, clase disparo 10 - p/ contactor AF09 … AF38 - marca ABB.</t>
  </si>
  <si>
    <t>1SAZ721201R1043</t>
  </si>
  <si>
    <t>TF42-13</t>
  </si>
  <si>
    <t>TF42-13 Relé de sobrecarga - Ith=10.0…13.0A, clase disparo 10 - p/ contactor AF09 … AF38 - marca ABB.</t>
  </si>
  <si>
    <t>1SAZ721201R1045</t>
  </si>
  <si>
    <t>TF42-16</t>
  </si>
  <si>
    <t>TF42-16 Relé de sobrecarga - Ith=13.0…16.0A, clase disparo 10 - p/ contactor AF09 … AF38 - marca ABB.</t>
  </si>
  <si>
    <t>1SAZ721201R1047</t>
  </si>
  <si>
    <t>TF42-20</t>
  </si>
  <si>
    <t>TF42-20 Relé de sobrecarga - Ith=16.0…20.0A, clase disparo 10 - p/ contactor AF09 … AF38 - marca ABB.</t>
  </si>
  <si>
    <t>1SAZ721201R1049</t>
  </si>
  <si>
    <t>TF42-24</t>
  </si>
  <si>
    <t>TF42-24 Relé de sobrecarga - Ith=20.0...24.0A, clase disparo 10 - p/ contactor AF09 … AF38 - marca ABB.</t>
  </si>
  <si>
    <t>1SAZ721201R1051</t>
  </si>
  <si>
    <t>TF42-38 Relé de sobrecarga - Ith=24.0...29.0A, clase disparo 10 - p/ contactor AF09 … AF38 - marca ABB.</t>
  </si>
  <si>
    <t>TF42-38 Relé de sobrecarga - Ith=29.0...35.0A, clase disparo 10 - p/ contactor AF09 … AF38 - marca ABB.</t>
  </si>
  <si>
    <t>TF42-38 Relé de sobrecarga - Ith=35.0...38.0A, clase disparo 10 - p/ contactor AF09 … AF38 - marca ABB.</t>
  </si>
  <si>
    <t>MCBH5-00</t>
  </si>
  <si>
    <t>Soporte para 5 blocks línea modular, modelo MCBH5-00 - marca ABB.</t>
  </si>
  <si>
    <t>1SFA611601R1100</t>
  </si>
  <si>
    <t>Selector 3 posiciones mantenidos - 1-0-2 / M-0-A - maneta corta, contactos 2NA - M3SS1-10B-KAA - línea modular - marca ABB.</t>
  </si>
  <si>
    <t>Selector 3 posiciones mantenidos - N-0-E / 1-0-2 - maneta corta, contactos 2NA - M3SS1-10B-KAA - línea modular - marca ABB.</t>
  </si>
  <si>
    <t>Selector 2 posiciones mantenidos - 0-1 - maneta corta, contacto 1NA - M2SS2-10B-KA - línea modular - marca ABB.</t>
  </si>
  <si>
    <t>Contacto auxiliar 1NA - p/ línea modular - marca ABB.</t>
  </si>
  <si>
    <t>Contacto auxiliar 1NC - p/ línea modular - marca ABB.</t>
  </si>
  <si>
    <t>MCB-20</t>
  </si>
  <si>
    <t>Bloque de contacto doble (2NA) p/ línea modular - marca ABB.</t>
  </si>
  <si>
    <t>1SFA611610R1002</t>
  </si>
  <si>
    <t>Lámpara tipo LED montable - color Rojo - alimentacion: 220-230Vac - MLBL-07R - línea modular - marca ABB.</t>
  </si>
  <si>
    <t>Portalámpara + lampara tipo LED - color Rojo - alimentacion: 220-230Vac, d=22mm. - CL2-523R - línea compacta - marca ABB.</t>
  </si>
  <si>
    <t>Portalámpara + lampara tipo LED - color Verde - alimentacion: 220-230Vac, d=22mm. - CL2-523G - línea compacta - marca ABB.</t>
  </si>
  <si>
    <t>Portalámpara + lampara tipo LED - color amarillo - alimentacion: 220-230Vac, d=22mm. - CL2-523Y - línea compacta - marca ABB.</t>
  </si>
  <si>
    <t>Portalámpara + lampara tipo LED - color Rojo - alimentacion: 110-130Vac, d=22mm. - CL2-513R - línea compacta - marca ABB.</t>
  </si>
  <si>
    <t>Portalámpara + lampara tipo LED - color Verde - alimentacion: 110-130Vac, d=22mm. - CL2-513G - línea compacta - marca ABB.</t>
  </si>
  <si>
    <t>Portalámpara + lampara tipo LED - color amarillo - alimentacion: 110-130Vac, d=22mm. - CL2-513Y - línea compacta - marca ABB.</t>
  </si>
  <si>
    <t>Portalámpara + lampara tipo LED - color Rojo - alimentacion: 110-130Vdc, d=22mm. - CL2-515R - línea compacta - marca ABB.</t>
  </si>
  <si>
    <t>Portalámpara + lampara tipo LED - color Verde - alimentacion: 110-130Vdc, d=22mm. - CL2-515G - línea compacta - marca ABB.</t>
  </si>
  <si>
    <t>Portalámpara + lampara tipo LED - color amarillo - alimentacion: 110-130Vdc, d=22mm. - CL2-515Y - línea compacta - marca ABB.</t>
  </si>
  <si>
    <t>Portalámpara + lampara tipo LED - color Rojo - alimentacion: 24Vac/dc, d=22mm. - CL2-502R - línea compacta - marca ABB.</t>
  </si>
  <si>
    <t>Portalámpara + lampara tipo LED - color Verde - alimentacion: 24Vac/dc, d=22mm. - CL2-502G - línea compacta - marca ABB.</t>
  </si>
  <si>
    <t>Portalámpara + lampara tipo LED - color amarillo - alimentacion: 24Vac/dc, d=22mm. - CL2-502Y - línea compacta - marca ABB.</t>
  </si>
  <si>
    <t>1SVR427054R0000</t>
  </si>
  <si>
    <t>CM-SRS.22S</t>
  </si>
  <si>
    <t>Relé de monitoreo por corriente, tiempo de disparo ajustable, I=0.3 .. 15A, Uc=24-250V AC/DC, 02 contactos NA/NC - modelo CM-SRS.22S - marca ABB.</t>
  </si>
  <si>
    <t>1SVR730840R0500</t>
  </si>
  <si>
    <t>PS4/60/16A</t>
  </si>
  <si>
    <t>Peine de cobre tetrapolar (L1+L2+L3+N) - p/modelo DIN de 60 polos, marca ABB.</t>
  </si>
  <si>
    <t>2CDL240110R1660</t>
  </si>
  <si>
    <t>PS4/58/16NA</t>
  </si>
  <si>
    <t>Peine de cobre Bipolar (L1+N) - p/modelo DIN de 58 polos, marca ABB.</t>
  </si>
  <si>
    <t>2CDL240213R1658</t>
  </si>
  <si>
    <t>VV-ACS580-P/37kW</t>
  </si>
  <si>
    <t>VARIADOR DE VELOCIDAD 37kW - 380V/480V (IP21) - MODELO ACS580-01-073A-4+J400 - marca ABB.</t>
  </si>
  <si>
    <t>74612850</t>
  </si>
  <si>
    <t>CHK-XX</t>
  </si>
  <si>
    <t>Reactancia de entrada (integrado)</t>
  </si>
  <si>
    <t>NOCH0120-62</t>
  </si>
  <si>
    <t>Reactancia de Salida (Filtro du/dt). IP 22 - modelo NOCH0120-62, para ACS580/880 - marca ABB.</t>
  </si>
  <si>
    <t>64782126</t>
  </si>
  <si>
    <t>ACS-BRK-D</t>
  </si>
  <si>
    <t>Chopper + Resistencia de Frenado de 10.5 Ohm. 7000W - modelo ACS-BRK-D, para ACS580/880 - marca ABB .</t>
  </si>
  <si>
    <t>64102931</t>
  </si>
  <si>
    <t>ACS-AP-W</t>
  </si>
  <si>
    <t>Panel de control asistente con interface Bluetooth para ACS580/ACS880 - modelo ACS-AP-W, marca ABB.</t>
  </si>
  <si>
    <t>3AXD50000025965</t>
  </si>
  <si>
    <t>DPMP-EXT</t>
  </si>
  <si>
    <t>Kit de la plataforma del panel y del adaptador de bus de campo (CDPI-01 + DPMP-02) - marca ABB.</t>
  </si>
  <si>
    <t>3AXD50000010763</t>
  </si>
  <si>
    <t>FMBA-XX</t>
  </si>
  <si>
    <t>Modbus (integrado)</t>
  </si>
  <si>
    <t>DriveWindow Light 2</t>
  </si>
  <si>
    <t>(Software libre y cable convencional)</t>
  </si>
  <si>
    <t>MT-310B</t>
  </si>
  <si>
    <t>Potenciómetro, incluye de escala 0-10 K (dimensión de placa 48.5mm x 44.5 mm) - modelo MT-310B - marca ABB.</t>
  </si>
  <si>
    <t>1SFA611410P3106</t>
  </si>
  <si>
    <t>RETA-02</t>
  </si>
  <si>
    <t>Módulo de comunicación Ethernet - modelo RETA-02 - marca ABB.</t>
  </si>
  <si>
    <t>VV-ACS355-P/22kW</t>
  </si>
  <si>
    <t>3AUA0000058195</t>
  </si>
  <si>
    <t>CHK-06</t>
  </si>
  <si>
    <t>Reactancia de Entrada de L=0.7mH, IP 00 - modelo CHK-06, marca ABB</t>
  </si>
  <si>
    <t>CBT-V 560</t>
  </si>
  <si>
    <t>Resistencia de Frenado de 18 Ohm. 2200W, IP 21 - modelo CBT-V 560 GHT 281 18R, marca ABB .</t>
  </si>
  <si>
    <t>3AUA0000023613</t>
  </si>
  <si>
    <t>Kit de montaje para panel (covertura IP66 + cable de 3m + tornillos de fijación)</t>
  </si>
  <si>
    <t>FMBA-01</t>
  </si>
  <si>
    <t>Módulo de comunicación Modbus p/ ACS355 - marca ABB.</t>
  </si>
  <si>
    <t>Software p/PC + cable p/programación</t>
  </si>
  <si>
    <t>MPOT-01</t>
  </si>
  <si>
    <t>Potenciómetro de 10kW (c/conmutadores START/STOP y AV/RTR)</t>
  </si>
  <si>
    <t>VV-ACS355-P/18.5kW_</t>
  </si>
  <si>
    <t>3AUA0000058194</t>
  </si>
  <si>
    <t>VV-ACS355-P/15kW_</t>
  </si>
  <si>
    <t>3AUA0000058193</t>
  </si>
  <si>
    <t>CHK-05</t>
  </si>
  <si>
    <t>Reactancia de Entrada de L=1.1mH, IP 00 - modelo CHK-05, marca ABB</t>
  </si>
  <si>
    <t>VV-ACS355-P/7.5kW</t>
  </si>
  <si>
    <t>3AUA0000058191</t>
  </si>
  <si>
    <t>Resistencia de Frenado de 80 Ohm. 790W, IP 21 - modelo CBR-V 460 DT 281 80R, marca ABB .</t>
  </si>
  <si>
    <t>VV-ACS355-P/4kW</t>
  </si>
  <si>
    <t>3AUA0000058189</t>
  </si>
  <si>
    <t>VV-ACS355-P/3kW</t>
  </si>
  <si>
    <t>VV-ACS355-P/0.55kW</t>
  </si>
  <si>
    <t>VV-ACS355-P/0.75kW-1F+N</t>
  </si>
  <si>
    <t>3AUA0000058167</t>
  </si>
  <si>
    <t>CBR-V 160</t>
  </si>
  <si>
    <t>Resistencia de Frenado de 70 Ohm. 280W, IP 21 - modelo CBR-V 160 DT 281 70R, marca ABB .</t>
  </si>
  <si>
    <t>CHK-B1</t>
  </si>
  <si>
    <t>Reactancia de Entrada de L=2.8mH, IP 00 - modelo CHK-B1, marca ABB</t>
  </si>
  <si>
    <t>1 CUERPO (PUERTA CIEGA)</t>
  </si>
  <si>
    <t>1 CUERPO (PUERTA TRANSPARENTE)</t>
  </si>
  <si>
    <t>IS2_V_2100x600x600mm</t>
  </si>
  <si>
    <t>GA206060PV</t>
  </si>
  <si>
    <t>IS2_V_2100x800x600mm</t>
  </si>
  <si>
    <t>GA208060PV</t>
  </si>
  <si>
    <t>IS2_V_2100x600x800mm</t>
  </si>
  <si>
    <t>GA206080PV</t>
  </si>
  <si>
    <t>IS2_V_2100x800x800mm</t>
  </si>
  <si>
    <t>GA208080PV</t>
  </si>
  <si>
    <t>TABLEROS METALICOS MURALES - Serie SR2 (PUERTA CIEGA)</t>
  </si>
  <si>
    <t>SRN3315K</t>
  </si>
  <si>
    <t>SRN4315K</t>
  </si>
  <si>
    <t>SRN4620K</t>
  </si>
  <si>
    <t>SRN5320K</t>
  </si>
  <si>
    <t>SRN6420K</t>
  </si>
  <si>
    <t>SRN6425K</t>
  </si>
  <si>
    <t>SRN6625K</t>
  </si>
  <si>
    <t>SRN7520K</t>
  </si>
  <si>
    <t>SRN7525K</t>
  </si>
  <si>
    <t>SRN8625K</t>
  </si>
  <si>
    <t>SRN8630K</t>
  </si>
  <si>
    <t>SRN8830K</t>
  </si>
  <si>
    <t>TABLEROS METALICOS MURALES - Serie SR2 (PUERTA TRANSPARENTE)</t>
  </si>
  <si>
    <t>SR2_V_500x400x200mm</t>
  </si>
  <si>
    <t>Tablero metalico mural - serie SR2, TYPE 12 / IP65 - 500x400x200mm - con placa base y puerta transparente - marca ABB.</t>
  </si>
  <si>
    <t>SRN5420VK</t>
  </si>
  <si>
    <t>SR2_V_500x400x250mm</t>
  </si>
  <si>
    <t>Tablero metalico mural - serie SR2, TYPE 12 / IP65 - 500x400x250mm - con placa base y puerta transparente - marca ABB.</t>
  </si>
  <si>
    <t>SRN5425VK</t>
  </si>
  <si>
    <t>SR2_V_600x400x200mm</t>
  </si>
  <si>
    <t>Tablero metalico mural - serie SR2, TYPE 12 / IP65 - 600x400x200mm - con placa base y puerta transparente - marca ABB.</t>
  </si>
  <si>
    <t>SRN6420VK</t>
  </si>
  <si>
    <t>SR2_V_600x400x250mm</t>
  </si>
  <si>
    <t>Tablero metalico mural - serie SR2, TYPE 12 / IP65 - 600x400x250mm - con placa base y puerta transparente - marca ABB.</t>
  </si>
  <si>
    <t>SRN6425VK</t>
  </si>
  <si>
    <t>SR2_V_700x500x200mm</t>
  </si>
  <si>
    <t>Tablero metalico mural - serie SR2, TYPE 12 / IP65 - 700x500x200mm - con placa base y puerta transparente - marca ABB.</t>
  </si>
  <si>
    <t>SRN7520VK</t>
  </si>
  <si>
    <t>SR2_V_700x500x250mm</t>
  </si>
  <si>
    <t>Tablero metalico mural - serie SR2, TYPE 12 / IP65 - 700x500x250mm - con placa base y puerta transparente - marca ABB.</t>
  </si>
  <si>
    <t>SRN7525VK</t>
  </si>
  <si>
    <t>SR2_V_800x600x250mm</t>
  </si>
  <si>
    <t>Tablero metalico mural - serie SR2, TYPE 12 / IP65 - 800x600x250mm - con placa base y puerta transparente - marca ABB.</t>
  </si>
  <si>
    <t>SRN8625VK</t>
  </si>
  <si>
    <t>SR2_V_800x600x300mm</t>
  </si>
  <si>
    <t>Tablero metalico mural - serie SR2, TYPE 12 / IP65 - 800x600x300mm - con placa base y puerta transparente - marca ABB.</t>
  </si>
  <si>
    <t>SRN8630VK</t>
  </si>
  <si>
    <t>SR2_V_1000x600x250mm</t>
  </si>
  <si>
    <t>Tablero metalico mural - serie SR2, TYPE 12 / IP65 - 1000x600x250mm - con placa base y puerta transparente - marca ABB.</t>
  </si>
  <si>
    <t>SRN10625VK</t>
  </si>
  <si>
    <t>SR2_V_1000x600x300mm</t>
  </si>
  <si>
    <t>Tablero metalico mural - serie SR2, TYPE 12 / IP65 - 1000x600x300mm - con placa base y puerta transparente - marca ABB.</t>
  </si>
  <si>
    <t>SRN10630VK</t>
  </si>
  <si>
    <t>SR2_V_1000x800x300mm</t>
  </si>
  <si>
    <t>Tablero metalico mural - serie SR2, TYPE 12 / IP65 - 1000x800x300mm - con placa base y puerta transparente - marca ABB.</t>
  </si>
  <si>
    <t>SRN10830VK</t>
  </si>
  <si>
    <t>SR2_V_1200x600x300mm</t>
  </si>
  <si>
    <t>Tablero metalico mural - serie SR2, TYPE 12 / IP65 - 1200x600x300mm - con placa base y puerta transparente - marca ABB.</t>
  </si>
  <si>
    <t>SRN12630VK</t>
  </si>
  <si>
    <t>SR2_V_1200x800x300mm</t>
  </si>
  <si>
    <t>Tablero metalico mural - serie SR2, TYPE 12 / IP65 - 1200x800x300mm - con placa base y puerta transparente - marca ABB.</t>
  </si>
  <si>
    <t>SRN12830VK</t>
  </si>
  <si>
    <t>MIS_232x250x108mm</t>
  </si>
  <si>
    <t>Tablero termoplástico para Empotrar, serie MISTRAL 41F p/transparente 8 modulos. 232x250x108mm - IP41, IK08, RAL 9016 - marca ABB.</t>
  </si>
  <si>
    <t>1SLM004100A1202</t>
  </si>
  <si>
    <t>1SDA071066R1</t>
  </si>
  <si>
    <t>ITM Bastidor Abierto 3x2500A (electrónico [0.4-1.0] In) - E2.2N-2500A-3P-Ekip Touch LSIG - 66kA@440Vac - marca ABB.</t>
  </si>
  <si>
    <t>EQUIPOS UL (ABB)</t>
  </si>
  <si>
    <t>ITM de 3x2500A , ( Reg. 1250-2500A ) GRH,  135kA-220Vac. / 70kA-380Vac. - marca EATON.</t>
  </si>
  <si>
    <t>ITM de 3x2000A , ( Reg. 1000-2000A ) GRH,  125kA-240Vac. / 65kA-480Vac. - marca EATON.</t>
  </si>
  <si>
    <t>ITM de 3x1600A , ( Reg. 800-1600A ) GRH,  125kA-240Vac. / 65kA-480Vac. - marca EATON.</t>
  </si>
  <si>
    <t>ITM de 3x1600A , ( Reg. 800-1600A ) GNS,  65kA-240Vac. / 50kA-480Vac. - marca EATON.</t>
  </si>
  <si>
    <t>GNS4125T33WP09</t>
  </si>
  <si>
    <t>ITM de 4x1250A , ( Reg. 630-1250A ) GNS,  65kA-240Vac. / 50kA-480Vac. - marca EATON.</t>
  </si>
  <si>
    <t>ITM de 3x1250A , ( Reg. 630-1250A ) GNS,  65kA-240Vac. / 50kA-480Vac. - marca EATON.</t>
  </si>
  <si>
    <t>ITM de 3x800A , ( Reg. 400-800A ) GNS,  65kA-240Vac. / 50kA-480Vac. - marca EATON.</t>
  </si>
  <si>
    <t>Terminal T1200NB3M</t>
  </si>
  <si>
    <t>GLS363036M</t>
  </si>
  <si>
    <t>ITM de 3x630A LSIG , ( Reg. 504-630A ) GLS,  85kA-240Vac. / 50kA-480Vac. - marca EATON.</t>
  </si>
  <si>
    <t>ITM de 3x630A , ( Reg. 504-630A ) GLS,  85kA-240Vac. / 50kA-480Vac. - marca EATON.</t>
  </si>
  <si>
    <t>ITM de 3x500A , ( Reg. 400-500A ) GLS,  85kA-240Vac. / 50kA-480Vac. - marca EATON.</t>
  </si>
  <si>
    <t>ITM de 3x400A , ( Reg. 320-400A ) GLS,  85kA-240Vac. / 50kA-480Vac. - marca EATON.</t>
  </si>
  <si>
    <t>ITM de 3x320A , ( Reg. 250-320A ) GLS,  85kA-240Vac. / 50kA-480Vac. - marca EATON.</t>
  </si>
  <si>
    <t>3TA632LK</t>
  </si>
  <si>
    <t>Jgo. de 3 terminales - p/modelo GL, hasta 630A, marca EATON.</t>
  </si>
  <si>
    <t>Jgo. de 3 terminales - p/modelo GL, hasta 400A, marca EATON.</t>
  </si>
  <si>
    <t>ITM de 3x250A , ( Reg. 200-250A ) GJS,  85kA-240Vac. - marca EATON.</t>
  </si>
  <si>
    <t>ITM de 3x200A , ( Reg. 200-160A ) GJS,  85kA-240Vac. - marca EATON.</t>
  </si>
  <si>
    <t>ITM de 3x160A , ( Reg. 128-160A ) GJS,  85kA-240Vac. - marca EATON.</t>
  </si>
  <si>
    <t>GJS3125AAM</t>
  </si>
  <si>
    <t>ITM de 3x125A , ( Reg. 100-125A ) GJS,  85kA-240Vac. - marca EATON.</t>
  </si>
  <si>
    <t xml:space="preserve">Jgo. de terminales - p/modelo GJ/JG, hasta 250A - marca EATON. </t>
  </si>
  <si>
    <t>ITM de 3x160A , ( Reg. 125-160A ) GES,  85kA-240Vac. / 35kA-480Vac. - marca EATON.</t>
  </si>
  <si>
    <t>ITM de 3x125A , ( Reg. 100-125A ) GES,  85kA-240Vac. / 35kA-480Vac. - marca EATON.</t>
  </si>
  <si>
    <t>ITM de 3x100A , ( Reg. 80-100A ) GES,  85kA-240Vac. / 35kA-480Vac. - marca EATON.</t>
  </si>
  <si>
    <t>ITM de 3x80A , ( Reg. 63-80A ) GES,  85kA-240Vac. / 35kA-480Vac. - marca EATON.</t>
  </si>
  <si>
    <t>ITM de 3x63A , ( Reg. 50-63A ) GES,  85kA-240Vac. / 35kA-480Vac. - marca EATON.</t>
  </si>
  <si>
    <t>ITM de 3x50A , ( Reg. 40-50A ) GES,  85kA-240Vac. / 35kA-480Vac. - marca EATON.</t>
  </si>
  <si>
    <t>ITM de 3x40A , ( Reg. 32-40A ) GES,  85kA-240Vac. / 35kA-480Vac. - marca EATON.</t>
  </si>
  <si>
    <t>ITM de 3x32A , ( Reg. 25-32A ) GES,  85kA-240Vac. / 35kA-480Vac. - marca EATON.</t>
  </si>
  <si>
    <t>ITM de 3x20A , ( Reg. 16-20A ) GES,  85kA-240Vac. / 35kA-480Vac. - marca EATON.</t>
  </si>
  <si>
    <t>ITM de 4x400A , ( Reg. 320-400A ) GLS,  85kA-240Vac. / 50kA-380Vac. - marca EATON.</t>
  </si>
  <si>
    <t>ITM de 4x320A , ( Reg. 250-320A ) GLS,  85kA-240Vac. / 50kA-380Vac. - marca EATON.</t>
  </si>
  <si>
    <t>ITM de 4x250A , ( Reg. 200-250A ) GJS,  85kA-240Vac / 50kA-380Vac. - marca EATON.</t>
  </si>
  <si>
    <t>ITM de 4x200A , ( Reg. 160-200A ) GJS,  85kA-240Vac / 50kA-380Vac. - marca EATON.</t>
  </si>
  <si>
    <t>GES4032AFM</t>
  </si>
  <si>
    <t>ITM de 4x32A , ( Reg. 25-32A ) GES,  85kA-220Vac. / 40kA-380Vac. - EATON.</t>
  </si>
  <si>
    <t>ITM de 4x160A , ( Reg. 125-160A ) GES,  85kA-220Vac. / 40kA-380Vac. - marca EATON.</t>
  </si>
  <si>
    <t>ITM de 4x125A , ( Reg. 100-125A ) GES,  85kA-220Vac. / 40kA-380Vac. - marca EATON.</t>
  </si>
  <si>
    <t>ITM de 4x100A , ( Reg. 80-100A ) GES,  85kA-220Vac. / 40kA-380Vac. - marca EATON.</t>
  </si>
  <si>
    <t>ITM de 4x80A , ( Reg. 63-80A ) GES,  85kA-220Vac. / 40kA-380Vac. - marca EATON.</t>
  </si>
  <si>
    <t>ITM de 4x63A , ( Reg. 50-63A ) GES,  85kA-220Vac. / 40kA-380Vac. - marca EATON.</t>
  </si>
  <si>
    <t>ITM de 4x50A , ( Reg. 40-50A ) GES,  85kA-220Vac. / 40kA-380Vac. - marca EATON.</t>
  </si>
  <si>
    <t>ITM de 4x40A , ( Reg. 32-40A ) GES,  85kA-220Vac. / 40kA-380Vac. - marca EATON.</t>
  </si>
  <si>
    <t>ITM de 4x32A , ( Reg. 25-32A ) GES,  85kA-220Vac. / 40kA-380Vac. - marca EATON.</t>
  </si>
  <si>
    <t>ITM de 4x25A , ( Reg. 20-25A ) GES,  85kA-220Vac. / 40kA-380Vac. - marca EATON.</t>
  </si>
  <si>
    <t>ITM de 4x20A , ( Reg. 16-20A ) GES,  85kA-220Vac. / 40kA-380Vac. - marca EATON.</t>
  </si>
  <si>
    <t>ITM de 2x125A , GES,  85kA-240Vac. / 35kA-480Vac. - marca EATON.</t>
  </si>
  <si>
    <t>ITM de 2x100A , GES,  85kA-240Vac. / 35kA-480Vac. - marca EATON.</t>
  </si>
  <si>
    <t>ITM de 2x80A , GES,  85kA-240Vac. / 35kA-480Vac. - marca EATON.</t>
  </si>
  <si>
    <t>ITM de 2x63A , GES,  85kA-240Vac. / 35kA-480Vac. - marca EATON.</t>
  </si>
  <si>
    <t>ITM de 2x50A , GES,  85kA-240Vac. / 35kA-480Vac. - marca EATON.</t>
  </si>
  <si>
    <t>ITM de 2x40A , GES,  85kA-240Vac. / 35kA-480Vac. - marca EATON.</t>
  </si>
  <si>
    <t>ITM de 2x32A , GES,  85kA-240Vac. / 35kA-480Vac. - marca EATON.</t>
  </si>
  <si>
    <t>ITM de 2x20A , GES,  85kA-240Vac. / 35kA-480Vac. - marca EATON.</t>
  </si>
  <si>
    <t>ITM de 1x20A , GES,  85kA-240Vac. / 35kA-480Vac. - marca EATON.</t>
  </si>
  <si>
    <t>ITM de 1x30A , GES,  85kA-240Vac. / 35kA-480Vac. - marca EATON.</t>
  </si>
  <si>
    <t>ITM de 3x160A - GEE,  35kA-240Vac. / 25kA-480Vac. - marca EATON.</t>
  </si>
  <si>
    <t>ITM de 3x125A - GEE,  35kA-240Vac. / 25kA-480Vac. - marca EATON.</t>
  </si>
  <si>
    <t>ITM de 3x100A - GEE,  35kA-240Vac. / 25kA-480Vac. - marca EATON.</t>
  </si>
  <si>
    <t>ITM de 3x80A - GEE,  35kA-240Vac. / 25kA-480Vac. - marca EATON.</t>
  </si>
  <si>
    <t>ITM de 3x70A - GEE,  35kA-240Vac. / 25kA-480Vac. - marca EATON.</t>
  </si>
  <si>
    <t>ITM de 3x60A - GEE,  35kA-240Vac. / 25kA-480Vac. - marca EATON.</t>
  </si>
  <si>
    <t>ITM de 3x50A - GEE,  35kA-240Vac. / 25kA-480Vac. - marca EATON.</t>
  </si>
  <si>
    <t>ITM de 3x40A - GEE,  35kA-240Vac. / 25kA-480Vac. - marca EATON.</t>
  </si>
  <si>
    <t>ITM de 3x30A - GEE,  35kA-240Vac. / 25kA-480Vac. - marca EATON.</t>
  </si>
  <si>
    <t>ITM de 3x20A - GEE,  35kA-240Vac. / 25kA-480Vac. - marca EATON.</t>
  </si>
  <si>
    <t>ITM de 3x15A - GEE,  35kA-240Vac. / 25kA-480Vac. - marca EATON.</t>
  </si>
  <si>
    <t>ITM de 3x160A - GEB,  25kA-240Vac. / 18kA-480Vac. - marca EATON.</t>
  </si>
  <si>
    <t>ITM de 3x125A - GEB,  25kA-240Vac. / 18kA-480Vac. - marca EATON.</t>
  </si>
  <si>
    <t>ELEBN3125G</t>
  </si>
  <si>
    <t>Modulo de protección de falla a tierra, 3 Polos, 125A, 120 – 480 Vac, para Interruptor Tamaño EG, marca EATON.</t>
  </si>
  <si>
    <t xml:space="preserve">Kit de 3 terminales hasta 125A para ITM de modelo GE </t>
  </si>
  <si>
    <t xml:space="preserve">kit de 3 terminales hasta 160A </t>
  </si>
  <si>
    <t>ITM de 3x125A - caja moldeada - EGB + terminales p/conexion,  25kA-240Vac. / 18kA-415Vac. - marca EATON.</t>
  </si>
  <si>
    <t>ITM de 3x160A - caja moldeada - EGB + terminales p/conexión,  25kA-240Vac. / 18kA-415Vac. - marca EATON.</t>
  </si>
  <si>
    <t>EGS3050FFG</t>
  </si>
  <si>
    <t>EFPHLOFF</t>
  </si>
  <si>
    <t>Bloqueo por candado EFPHLOFF para interruptor EGS, marca EATON.</t>
  </si>
  <si>
    <t>ITM de 3x15A - FD + terminales internos p/ conexión,  65kA-240Vac. / 35kA-480Vac. (UL) , marca EATON.</t>
  </si>
  <si>
    <t>ITM de 3x20A - FD + terminales internos p/ conexión,  65kA-240Vac. / 35kA-480Vac. (UL), marca EATON.</t>
  </si>
  <si>
    <t>ITM de 3x30A - FD + terminales internos p/ conexión,  65kA-240Vac. / 35kA-480Vac. (UL), marca EATON.</t>
  </si>
  <si>
    <t>ITM de 3x40A - FD + terminales internos p/ conexión,  65kA-240Vac. / 35kA-480Vac. (UL), marca EATON.</t>
  </si>
  <si>
    <t>ITM de 3x50A - FD + terminales internos p/ conexión,  65kA-240Vac. / 35kA-480Vac. (UL), marca EATON.</t>
  </si>
  <si>
    <t>ITM de 3x60A - FD + terminales internos p/ conexión,  65kA-240Vac. / 35kA-480Vac. (UL), marca EATON.</t>
  </si>
  <si>
    <t>ITM de 3x70A - FD + terminales internos p/ conexión,  65kA-240Vac. / 35kA-480Vac. (UL), marca EATON.</t>
  </si>
  <si>
    <t>ITM de 3x80A - FD + terminales internos p/ conexión,  65kA-240Vac. / 35kA-480Vac. (UL), marca EATON.</t>
  </si>
  <si>
    <t>ITM de 3x100A - FD + terminales internos p/ conexión,  65kA-240Vac. / 35kA-480Vac. (UL), marca EATON.</t>
  </si>
  <si>
    <t>ITM de 3x125A - FD + terminales internos p/ conexión,  65kA-240Vac. / 35kA-480Vac. (UL), marca EATON.</t>
  </si>
  <si>
    <t>ITM de 3x150A - FD + terminales internos p/ conexión,  65kA-240Vac. / 35kA-480Vac. (UL), marca EATON.</t>
  </si>
  <si>
    <t>ITM de 3x175A - FD + terminales internos p/ conexión,  65kA-240Vac. / 35kA-480Vac. (UL), marca EATON.</t>
  </si>
  <si>
    <t>ITM de 3x200A - FD + terminales internos p/ conexión,  65kA-240Vac. / 35kA-480Vac. (UL), marca EATON.</t>
  </si>
  <si>
    <t>ITM de 3x225A - FD + terminales internos p/ conexión,  65kA-240Vac. / 35kA-480Vac. (UL), marca EATON.</t>
  </si>
  <si>
    <t>ITM de 3x15A , HFD + terminales internos p/ conexión,  100kA@240Vac. - 65kA@480Vac. (UL), marca EATON.</t>
  </si>
  <si>
    <t>ITM de 3x20A , HFD + terminales internos p/ conexión,  100kA@240Vac. - 65kA@480Vac. (UL), marca EATON.</t>
  </si>
  <si>
    <t>ITM de 3x30A , HFD + terminales internos p/ conexión,  100kA@240Vac. - 65kA@480Vac. (UL), marca EATON.</t>
  </si>
  <si>
    <t>ITM de 3x40A , HFD + terminales internos p/ conexión,  100kA@240Vac. - 65kA@480Vac. (UL), marca EATON.</t>
  </si>
  <si>
    <t>ITM de 3x50A , HFD + terminales internos p/ conexión,  100kA@240Vac. - 65kA@480Vac. (UL), marca EATON.</t>
  </si>
  <si>
    <t>ITM de 3x60A , HFD + terminales internos p/ conexión,  100kA@240Vac. - 65kA@480Vac. (UL), marca EATON.</t>
  </si>
  <si>
    <t>ITM de 3x70A , HFD + terminales internos p/ conexión,  100kA@240Vac. - 65kA@480Vac. (UL), marca EATON.</t>
  </si>
  <si>
    <t>ITM de 3x80A , HFD + terminales internos p/ conexión,  100kA@240Vac. - 65kA@480Vac. (UL), marca EATON.</t>
  </si>
  <si>
    <t>ITM de 3x100A , HFD + terminales internos p/ conexión,  100kA@240Vac. - 65kA@480Vac. (UL), marca EATON.</t>
  </si>
  <si>
    <t>ITM de 3x125A , HFD + terminales internos p/ conexión,  100kA@240Vac. - 65kA@480Vac. (UL), marca EATON.</t>
  </si>
  <si>
    <t>HFD3150L</t>
  </si>
  <si>
    <t>ITM de 3x150A , HFD + terminales internos p/ conexión,  100kA@240Vac. - 65kA@480Vac. (UL), marca EATON.</t>
  </si>
  <si>
    <t>HFD3175L</t>
  </si>
  <si>
    <t>ITM de 3x175A , HFD + terminales internos p/ conexión,  100kA@240Vac. - 65kA@480Vac. (UL), marca EATON.</t>
  </si>
  <si>
    <t>HFD3200L</t>
  </si>
  <si>
    <t>ITM de 3x200A , HFD + terminales internos p/ conexión,  100kA@240Vac. - 65kA@480Vac. (UL), marca EATON.</t>
  </si>
  <si>
    <t>HKD3300</t>
  </si>
  <si>
    <t>ITM de 3x300A - HKD,  100kA-240Vac. / 65kA-480Vac. , marca EATON.</t>
  </si>
  <si>
    <t>ITM de 3x300A - KD,  65kA-240Vac. / 35kA-480Vac. , marca EATON.</t>
  </si>
  <si>
    <t>ITM de 3x350A - KD,  65kA-240Vac. / 35kA-480Vac. , marca EATON.</t>
  </si>
  <si>
    <t>ITM de 3x400A - KD,  65kA-240Vac. / 35kA-480Vac. , marca EATON.</t>
  </si>
  <si>
    <t>LD3500</t>
  </si>
  <si>
    <t>ITM 3x500A - modelo LD, 35kA - 480Vac  /  65kA - 240Vac  /  22kA - 250Vdc, tipo MCCB. (UL 489), marca EATON.</t>
  </si>
  <si>
    <t>LD3600</t>
  </si>
  <si>
    <t>ITM 3x600A - modelo LD, 35kA - 480Vac  /  65kA - 240Vac  /  22kA - 250Vdc, tipo MCCB. (UL 489), marca EATON.</t>
  </si>
  <si>
    <t>LD3600-LSI</t>
  </si>
  <si>
    <t>ITM 3x600A - modelo LD, interruptor en caja moldeada con unidad de protección electrónica LSI, 65 kA @ 240V, (UL 489) marca EATON.</t>
  </si>
  <si>
    <t>HLD3500</t>
  </si>
  <si>
    <t>ITM 3x500A - modelo HLD, disparador de de sobrecarga: Fijo, Disparador Magnético Ajustable: (5 – 10) x In, 100 kA @ 240V, (UL 489) marca EATON.</t>
  </si>
  <si>
    <t>HLD3600-LSI</t>
  </si>
  <si>
    <t>ITM 3x600A - modelo LD, interruptor en caja moldeada con unidad de protección electrónica LSI, 100 kA @ 240V, (UL 489) marca EATON.</t>
  </si>
  <si>
    <t>ITM de 1x15A - GHB,  65kA-120Vac. / 14kA-277Vac. (UL), marca EATON.</t>
  </si>
  <si>
    <t>ITM de 1x20A - GHB,  65kA-120Vac. / 14kA-277Vac. (UL), marca EATON.</t>
  </si>
  <si>
    <t>ITM de 1x30A - GHB,  65kA-120Vac. / 14kA-277Vac. (UL), marca EATON.</t>
  </si>
  <si>
    <t>ITM de 1x40A - GHB,  65kA-120Vac. / 14kA-277Vac. (UL), marca EATON.</t>
  </si>
  <si>
    <t>ITM de 1x50A - GHB,  65kA-120Vac. / 14kA-277Vac. (UL), marca EATON.</t>
  </si>
  <si>
    <t>ITM de 1x60A - GHB,  65kA-120Vac. / 14kA-277Vac. (UL), marca EATON.</t>
  </si>
  <si>
    <t>ITM de 1x70A - GHB,  65kA-120Vac. / 14kA-277Vac. (UL), marca EATON.</t>
  </si>
  <si>
    <t>ITM de 1x80A - GHB,  65kA-120Vac. / 14kA-277Vac. (UL), marca EATON.</t>
  </si>
  <si>
    <t>ITM de 1x90A - GHB,  65kA-120Vac. / 14kA-277Vac. (UL), marca EATON.</t>
  </si>
  <si>
    <t>ITM de 1x100 - GHB,  65kA-120Vac. / 14kA-277Vac. (UL), marca EATON.</t>
  </si>
  <si>
    <t>ITM de 2x15A - GHB,  65kA-240Vac. / 14kA-480Vac. (UL), marca EATON.</t>
  </si>
  <si>
    <t>ITM de 2x20A - GHB,  65kA-240Vac. / 14kA-480Vac. (UL), marca EATON.</t>
  </si>
  <si>
    <t>ITM de 2x30A - GHB,  65kA-240Vac. / 14kA-480Vac. (UL), marca EATON.</t>
  </si>
  <si>
    <t>ITM de 2x40A - GHB,  65kA-240Vac. / 14kA-480Vac. (UL), marca EATON.</t>
  </si>
  <si>
    <t>ITM de 2x50A - GHB,  65kA-240Vac. / 14kA-480Vac. (UL), marca EATON.</t>
  </si>
  <si>
    <t>ITM de 2x60A - GHB,  65kA-240Vac. / 14kA-480Vac. (UL), marca EATON.</t>
  </si>
  <si>
    <t>ITM de 2x70A - GHB,  65kA-240Vac. / 14kA-480Vac. (UL), marca EATON.</t>
  </si>
  <si>
    <t>ITM de 2x80A - GHB,  65kA-240Vac. / 14kA-480Vac. (UL), marca EATON.</t>
  </si>
  <si>
    <t>ITM de 2x90A - GHB,  65kA-240Vac. / 14kA-480Vac. (UL), marca EATON.</t>
  </si>
  <si>
    <t>ITM de 2x100A - GHB,  65kA-240Vac. / 14kA-480Vac. (UL), marca EATON.</t>
  </si>
  <si>
    <t>ITM de 3x15A - GHB,  65kA-240Vac. / 14kA-480Vac. (UL), marca EATON.</t>
  </si>
  <si>
    <t>ITM de 3x20A - GHB,  65kA-240Vac. / 14kA-480Vac. (UL), marca EATON.</t>
  </si>
  <si>
    <t>ITM de 3x30A - GHB,  65kA-240Vac. / 14kA-480Vac. (UL), marca EATON.</t>
  </si>
  <si>
    <t>ITM de 3x40A - GHB,  65kA-240Vac. / 14kA-480Vac. (UL), marca EATON.</t>
  </si>
  <si>
    <t>ITM de 3x50A - GHB,  65kA-240Vac. / 14kA-480Vac. (UL), marca EATON.</t>
  </si>
  <si>
    <t>ITM de 3x60A - GHB,  65kA-240Vac. / 14kA-480Vac. (UL), marca EATON.</t>
  </si>
  <si>
    <t>ITM de 3x70A - GHB,  65kA-240Vac. / 14kA-480Vac. (UL), marca EATON.</t>
  </si>
  <si>
    <t>ITM de 3x80A - GHB,  65kA-240Vac. / 14kA-480Vac. (UL), marca EATON.</t>
  </si>
  <si>
    <t>ITM de 3x90A - GHB,  65kA-240Vac. / 14kA-480Vac. (UL), marca EATON.</t>
  </si>
  <si>
    <t>ITM de 3x100A - GHB,  65kA-240Vac. / 14kA-480Vac. (UL), marca EATON.</t>
  </si>
  <si>
    <t>GHC3030</t>
  </si>
  <si>
    <t>ITM de 3x30A - GHC,  65kA-240Vac. / 14kA-480Vac. (UL), marca EATON.</t>
  </si>
  <si>
    <t>1223C77G03</t>
  </si>
  <si>
    <t>PKL_GHB</t>
  </si>
  <si>
    <t>Bloqueo por candado para interruptor GHB</t>
  </si>
  <si>
    <t>ITM de 3x250A , ( Reg. 200-250A ) GJH,  100kA-240Vac. - 65kA-460Vac. (UL) - marca EATON.</t>
  </si>
  <si>
    <t>ITM de 3x200A , ( Reg. 160-200A ) GJH,  100kA-240Vac. - 65kA-460Vac. (UL) - marca EATON.</t>
  </si>
  <si>
    <t>ITM de 3x160A , ( Reg. 128-160A ) GJH,  100kA-240Vac. - 65kA-460Vac. (UL) - marca EATON.</t>
  </si>
  <si>
    <t>JGH3250FAG</t>
  </si>
  <si>
    <t>ITM de 3x250A - JGH,  100kA@240Vac. - 65kA@480Vac. (UL), marca EATON.</t>
  </si>
  <si>
    <t>JGH3200FAG</t>
  </si>
  <si>
    <t>ITM de 3x200A - JGH,  100kA@240Vac. - 65kA@480Vac. (UL), marca EATON.</t>
  </si>
  <si>
    <t>JGH3125FAG</t>
  </si>
  <si>
    <t>ITM de 3x125A - JGH,  100kA@240Vac. - 65kA@480Vac. (UL), marca EATON.</t>
  </si>
  <si>
    <t>JGS3250FAG</t>
  </si>
  <si>
    <t>ITM de 3x250A - JGS,  65kA@240Vac. - 35kA@480Vac. (UL), marca EATON.</t>
  </si>
  <si>
    <t>JGS3200FAG</t>
  </si>
  <si>
    <t>ITM de 3x200A - JGS,  65kA@240Vac. - 35kA@480Vac. (UL), marca EATON.</t>
  </si>
  <si>
    <t>JGS3125FAG</t>
  </si>
  <si>
    <t>ITM de 3x125A - JGS,  65kA@240Vac. - 35kA@480Vac. (UL), marca EATON.</t>
  </si>
  <si>
    <t>JGS325032G</t>
  </si>
  <si>
    <t>ITM de 3x250A - JGS,  85kA@240Vac. - 35kA@480Vac. (UL), marca EATON.</t>
  </si>
  <si>
    <t>JGS316032G</t>
  </si>
  <si>
    <t>ITM de 3x160A - JGS,  85kA@240Vac. - 35kA@480Vac. (UL), marca EATON.</t>
  </si>
  <si>
    <t>JGE3200FAG</t>
  </si>
  <si>
    <t>FJPHLOFF</t>
  </si>
  <si>
    <t>LGH340033G</t>
  </si>
  <si>
    <t>ITM de 3x400A , ( Reg. 320-400A ) LGH,  100kA-240Vac. - 65kA-480Vac - marca EATON.</t>
  </si>
  <si>
    <t>LGH363033G</t>
  </si>
  <si>
    <t>ITM de 3x630A , ( Reg. 504-630A ) LGH,  100kA-240Vac. - 65kA-480Vac - marca EATON.</t>
  </si>
  <si>
    <t>NGH308033E</t>
  </si>
  <si>
    <t>ITM de 3x800A , ( Reg. 640-800A ) NGH,  100kA-240Vac. - 65kA-480Vac - marca EATON.</t>
  </si>
  <si>
    <t>EGH3040FFG</t>
  </si>
  <si>
    <t>ITM de 3x40A - EGH,  70kA-415Vac. - 65kA-480Vac - marca EATON.</t>
  </si>
  <si>
    <t>EGH3100FFG</t>
  </si>
  <si>
    <t>ITM de 3x100A - EGH,  70kA-415Vac. - 65kA-480Vac - marca EATON.</t>
  </si>
  <si>
    <t>NGS308032E</t>
  </si>
  <si>
    <t>ITM de 3x800A , ( Reg. 640-800A ) NGS,  85kA-240Vac. - 50kA-480Vac - LSI - marca EATON.</t>
  </si>
  <si>
    <t>PLK5</t>
  </si>
  <si>
    <t>Bloqueo por candado PLK5 para interruptor de modelo NG, marca EATON.</t>
  </si>
  <si>
    <t>TA1200NB1</t>
  </si>
  <si>
    <t>NGH308036E</t>
  </si>
  <si>
    <t>ITM de 3x800A , ( Reg. 640-800A ) NGH,  100kA-240Vac. - 65kA-480Vac - LSIG - marca EATON.</t>
  </si>
  <si>
    <t>LGH363036G</t>
  </si>
  <si>
    <t>ITM de 3x630A , ( Reg. 504-630A ) LGH,  100kA-240Vac. - 65kA-480Vac - LSIG - marca EATON.</t>
  </si>
  <si>
    <t>LGH340036G</t>
  </si>
  <si>
    <t>ITM de 3x400A , ( Reg. 320-400A ) LGH,  100kA-240Vac. - 65kA-480Vac - LSIG - marca EATON.</t>
  </si>
  <si>
    <t>NGH308036E+HMVD5B</t>
  </si>
  <si>
    <t>ITM de 3x800A , ( Reg. 640-800A ) NGH,  100kA-240Vac. - 65kA-480Vac - LSIG + Mando giratorio- marca EATON.</t>
  </si>
  <si>
    <t>LGH363036G+KLHMVD12B</t>
  </si>
  <si>
    <t>ITM de 3x630A , ( Reg. 500-630A ) LGH,  100kA-240Vac. - 65kA-480Vac - LSIG + Mando giratorio- marca EATON.</t>
  </si>
  <si>
    <t>LGH340036G+KLHMVD12B</t>
  </si>
  <si>
    <t>ITM de 3x400A , ( Reg. 320-400A ) LGH,  100kA-240Vac. - 65kA-480Vac - LSIG + Mando giratorio- marca EATON.</t>
  </si>
  <si>
    <t>LGS360032G</t>
  </si>
  <si>
    <t>ITM de 3x600A , ( Reg. 240-600A ) LGS,  85kA-240Vac. - 50kA-480Vac - LSI - marca EATON.</t>
  </si>
  <si>
    <t>LGS340032G</t>
  </si>
  <si>
    <t>ITM de 3x400A , ( Reg. 160-400A ) LGS,  85kA-240Vac. - 50kA-480Vac - LSI - marca EATON.</t>
  </si>
  <si>
    <t>LGE340032G</t>
  </si>
  <si>
    <t>ITM de 3x400A , ( Reg. 160-400A ) LGE,  65kA-240Vac. - 35kA-480Vac - LSI - marca EATON.</t>
  </si>
  <si>
    <t>LPHL</t>
  </si>
  <si>
    <t>Bloqueo por candado LPHL para interruptor de modelo LG, marca EATON.</t>
  </si>
  <si>
    <t>HFDE310036L</t>
  </si>
  <si>
    <t>ITM de 3x100A - HFDE,  70kA-415Vac. - 65kA-480Vac - LSIG - marca EATON.</t>
  </si>
  <si>
    <t>HFDE304036L</t>
  </si>
  <si>
    <t>ITM de 3x40A - HFDE,  70kA-415Vac. - 65kA-480Vac - LSIG - marca EATON.</t>
  </si>
  <si>
    <t>HFDE304036L+HM1R12</t>
  </si>
  <si>
    <t>ITM de 3x40A - HFDE,  70kA-415Vac. - 65kA-480Vac - LSIG + Mando giratorio - marca EATON.</t>
  </si>
  <si>
    <t>HFDE308036L+HM1R12</t>
  </si>
  <si>
    <t>ITM de 3x80A - HFDE,  70kA-415Vac. - 65kA-480Vac - LSIG + Mando giratorio - marca EATON.</t>
  </si>
  <si>
    <t>HFDE310036L+HM1R12</t>
  </si>
  <si>
    <t>ITM de 3x100A - HFDE,  70kA-415Vac. - 65kA-480Vac - LSIG + Mando giratorio - marca EATON.</t>
  </si>
  <si>
    <t>HFDE316036L+HM1R12</t>
  </si>
  <si>
    <t>ITM de 3x160A - HFDE,  70kA-415Vac. - 65kA-480Vac - LSIG + Mando giratorio - marca EATON.</t>
  </si>
  <si>
    <t>Contacto auxiliar NA para interruptores NGH / LGH / HFDE</t>
  </si>
  <si>
    <t>HM1R06</t>
  </si>
  <si>
    <t>Palanca Rotativa Externa con bloqueo para candado p/ HFDE</t>
  </si>
  <si>
    <t>KLMMVD06B</t>
  </si>
  <si>
    <t>Palanca Rotativa Externa con bloqueo para candado p/ LGH</t>
  </si>
  <si>
    <t>HMVD5B</t>
  </si>
  <si>
    <t>Palanca Rotativa Externa con bloqueo para candado p/ NGH</t>
  </si>
  <si>
    <t>Fi2100</t>
  </si>
  <si>
    <t>ITM de 2x100A - modelo Fi,  25kA-240Vac / 14kA-440Vac / 10kA-250Vdc, marca EATON.</t>
  </si>
  <si>
    <t>Fi2125</t>
  </si>
  <si>
    <t>ITM de 2x125A - modelo Fi,  25kA-240Vac / 14kA-440Vac / 10kA-250Vdc, marca EATON.</t>
  </si>
  <si>
    <t>ITM de 1x15A - Gi,  25kA-240Vac. / 14kA-480Vac. , marca EATON.</t>
  </si>
  <si>
    <t>ITM de 1x20A - Gi,  25kA-240Vac. / 14kA-480Vac. , marca EATON.</t>
  </si>
  <si>
    <t>ITM de 1x30A - Gi,  25kA-240Vac. / 14kA-480Vac. , marca EATON.</t>
  </si>
  <si>
    <t>ITM de 1x40A - Gi,  25kA-240Vac. / 14kA-480Vac. , marca EATON.</t>
  </si>
  <si>
    <t>ITM de 1x50A - Gi,  25kA-240Vac. / 14kA-480Vac. , marca EATON.</t>
  </si>
  <si>
    <t>ITM de 1x60A - Gi,  25kA-240Vac. / 14kA-480Vac. , marca EATON.</t>
  </si>
  <si>
    <t>ITM de 1x70A - Gi,  25kA-240Vac. / 14kA-480Vac. , marca EATON.</t>
  </si>
  <si>
    <t>ITM de 1x80A - Gi,  25kA-240Vac. / 14kA-480Vac. , marca EATON.</t>
  </si>
  <si>
    <t>ITM de 1x90A - Gi,  25kA-240Vac. / 14kA-480Vac. , marca EATON.</t>
  </si>
  <si>
    <t>ITM de 1x100A - Gi,  25kA-240Vac. / 14kA-480Vac. , marca EATON.</t>
  </si>
  <si>
    <t>ITM de 2x15A - Gi,  25kA-240Vac. / 14kA-480Vac. , marca EATON.</t>
  </si>
  <si>
    <t>ITM de 2x20A - Gi,  25kA-240Vac. / 14kA-480Vac. , marca EATON.</t>
  </si>
  <si>
    <t>ITM de 2x30A - Gi,  25kA-240Vac. / 14kA-480Vac. , marca EATON.</t>
  </si>
  <si>
    <t>ITM de 2x40A - Gi,  25kA-240Vac. / 14kA-480Vac. , marca EATON.</t>
  </si>
  <si>
    <t>ITM de 2x50A - Gi,  25kA-240Vac. / 14kA-480Vac. , marca EATON.</t>
  </si>
  <si>
    <t>ITM de 2x60A - Gi,  25kA-240Vac. / 14kA-480Vac. , marca EATON.</t>
  </si>
  <si>
    <t>ITM de 2x70A - Gi,  25kA-240Vac. / 14kA-480Vac. , marca EATON.</t>
  </si>
  <si>
    <t>ITM de 2x80A - Gi,  25kA-240Vac. / 14kA-480Vac. , marca EATON.</t>
  </si>
  <si>
    <t>ITM de 2x90A - Gi,  25kA-240Vac. / 14kA-480Vac. , marca EATON.</t>
  </si>
  <si>
    <t>ITM de 2x100A - Gi,  25kA-240Vac. / 14kA-480Vac. , marca EATON.</t>
  </si>
  <si>
    <t>ITM de 3x15A - Gi,  25kA-240Vac. / 14kA-480Vac. , marca EATON.</t>
  </si>
  <si>
    <t>ITM de 3x20A - Gi,  25kA-240Vac. / 14kA-480Vac. , marca EATON.</t>
  </si>
  <si>
    <t>ITM de 3x30A - Gi,  25kA-240Vac. / 14kA-480Vac., marca EATON.</t>
  </si>
  <si>
    <t>ITM de 3x40A - Gi,  25kA-240Vac. / 14kA-480Vac. , marca EATON.</t>
  </si>
  <si>
    <t>ITM de 3x50A - Gi,  25kA-240Vac. / 14kA-480Vac., marca EATON.</t>
  </si>
  <si>
    <t>ITM de 3x60A - Gi,  25kA-240Vac. / 14kA-480Vac. , marca EATON.</t>
  </si>
  <si>
    <t>ITM de 3x70A - Gi,  25kA-240Vac. / 14kA-480Vac. , marca EATON.</t>
  </si>
  <si>
    <t>ITM de 3x80A - Gi,  25kA-240Vac. / 14kA-480Vac. , marca EATON.</t>
  </si>
  <si>
    <t>ITM de 3x90A - Gi,  25kA-240Vac. / 14kA-480Vac. , marca EATON.</t>
  </si>
  <si>
    <t>ITM de 3x100A - Gi,  25kA-240Vac. / 14kA-480Vac., marca EATON.</t>
  </si>
  <si>
    <t>ITM de 3x125A - Gi,  25kA-240Vac. / 14kA-480Vac., marca EATON.</t>
  </si>
  <si>
    <t>MAGNUM 5000_85kA</t>
  </si>
  <si>
    <t>ITM Bastidor Abierto de 3x5000A , ( Reg. 0.4-1.0 de In ) MWI Magnum, 85kA / 415Vac. + contactos de estado + contacto de alarma - marca EATON.</t>
  </si>
  <si>
    <t>MAGNUM 4000_85kA</t>
  </si>
  <si>
    <t>ITM Bastidor Abierto de 3x4000A , ( Reg. 0.4-1.0 de In ) MWI Magnum, 85kA / 415Vac. + contactos de estado + contacto de alarma - marca EATON.</t>
  </si>
  <si>
    <t>MAGNUM 3200(M)_65kA</t>
  </si>
  <si>
    <t>ITM Bastidor Abierto de 3x3200A , ( Reg. 0.4-1.0 de In ) MWN Magnum, 65kA@415Vac. + contactos de estado + contacto de alarma + Comando motorizado- marca EATON.</t>
  </si>
  <si>
    <t>MAGNUM 2500(M)_65kA</t>
  </si>
  <si>
    <t>ITM Bastidor Abierto de 3x2500A , ( Reg. 0.4-1.0 de In ) MWN Magnum, 65kA@415Vac. + contactos de estado + contacto de alarma + Comando motorizado- marca EATON.</t>
  </si>
  <si>
    <t>MAGNUM 2000_50kA</t>
  </si>
  <si>
    <t>ITM Bastidor Abierto de 3x2000A , ( Reg. 0.4-1.0 de In ) MWN Magnum, 50kA@415Vac. + contactos de estado + contacto de alarma - marca EATON.</t>
  </si>
  <si>
    <t>MAGNUM 1600(M)_50kA</t>
  </si>
  <si>
    <t>ITM Bastidor Abierto de 3x1600A , ( Reg. 0.4-1.0 de In ) MWN Magnum, 50kA@415Vac. + contactos de estado + contacto de alarma + Comando motorizado- marca EATON.</t>
  </si>
  <si>
    <t>ITM Bastidor Abierto de 3x4000A , ( Reg. 0.4-1.0 de In ) MWI Magnum, 65kA hasta 690Vac. + contactos de estado + contacto de alarma - marca EATON.</t>
  </si>
  <si>
    <t>ITM Bastidor Abierto de 3x3200A , ( Reg. 0.4-1.0 de In ) MWI Magnum, 65kA hasta 690Vac. + contactos de estado + contacto de alarma - marca EATON.</t>
  </si>
  <si>
    <t>ITM Bastidor Abierto de 3x3000A , ( Reg. 0.4-1.0 de In ) MWI Magnum, 65kA hasta 690Vac. + contactos de estado + contacto de alarma - marca EATON.</t>
  </si>
  <si>
    <t>MAGNUM 2500</t>
  </si>
  <si>
    <t>ITM Bastidor Abierto de 3x2500A , ( Reg. 0.4-1.0 de In ) MWN Magnum, 65kA@440Vac. + contactos de estado + contacto de alarma - marca EATON.</t>
  </si>
  <si>
    <t>MAGNUM 2000(M)</t>
  </si>
  <si>
    <t>ITM Bastidor Abierto de 3x2000A , ( Reg. 0.4-1.0 de In ) MWN Magnum, 65kA@440Vac. + contactos de estado + contacto de alarma + Comando motorizado- marca EATON.</t>
  </si>
  <si>
    <t>ITM Bastidor Abierto de 3x2000A , ( Reg. 0.4-1.0 de In ) MWN Magnum, 65kA@440Vac. + contactos de estado + contacto de alarma - marca EATON.</t>
  </si>
  <si>
    <t>MAGNUM 2000-LSIG</t>
  </si>
  <si>
    <t>ITM Bastidor Abierto de 3x2000A LSIG , ( Reg. 0.4-1.0 de In ) MWN Magnum, 50kA@440Vac. + contactos de estado + contacto de alarma - marca EATON.</t>
  </si>
  <si>
    <t>ITM Bastidor Abierto de 3x1600A , ( Reg. 0.4-1.0 de In ) MWN Magnum, 65kA@440Vac. + contactos de estado + contacto de alarma - marca EATON.</t>
  </si>
  <si>
    <t>MAGNUM 1600(M)</t>
  </si>
  <si>
    <t>ITM Bastidor Abierto de 3x1600A , ( Reg. 0.4-1.0 de In ) MWN Magnum, 65kA@440Vac. + contactos de estado + contacto de alarma + Comando motorizado- marca EATON.</t>
  </si>
  <si>
    <t>ITM Bastidor Abierto de 3x1250A , ( Reg. 0.4-1.0 de In ) MWN Magnum, 50kA@480Vac. + contactos de estado + contacto de alarma - marca EATON.</t>
  </si>
  <si>
    <t>MAGNUM 1000</t>
  </si>
  <si>
    <t>ITM Bastidor Abierto de 3x1000A , ( Reg. 0.4-1.0 de In ) MWN Magnum, 50kA@440Vac. + contactos de estado + contacto de alarma - marca EATON.</t>
  </si>
  <si>
    <t>ITM de 1x15A - engrampe - BR,  10kA / 240Vac. , marca EATON.</t>
  </si>
  <si>
    <t>ITM de 1x20A - engrampe - BR,  10kA / 240Vac. , marca EATON.</t>
  </si>
  <si>
    <t>ITM de 1x30A - engrampe - BR,  10kA / 240Vac. , marca EATON.</t>
  </si>
  <si>
    <t>ITM de 1x40A - engrampe - BR,  10kA / 240Vac. , marca EATON.</t>
  </si>
  <si>
    <t>ITM de 1x50A - engrampe - BR,  10kA / 240Vac. , marca EATON.</t>
  </si>
  <si>
    <t>ITM de 1x60A - engrampe - BR,  10kA / 240Vac. , marca EATON.</t>
  </si>
  <si>
    <t>ITM de 1x70A - engrampe - BR,  10kA / 240Vac. , marca EATON.</t>
  </si>
  <si>
    <t>ITM de 2x15A - engrampe - BR,  10kA / 240Vac. , marca EATON.</t>
  </si>
  <si>
    <t>ITM de 2x20A - engrampe - BR,  10kA / 240Vac. , marca EATON.</t>
  </si>
  <si>
    <t>ITM de 2x30A - engrampe - BR,  10kA / 240Vac. , marca EATON.</t>
  </si>
  <si>
    <t>ITM de 2x40A - engrampe - BR,  10kA / 240Vac. , marca EATON.</t>
  </si>
  <si>
    <t>ITM de 2x50A - engrampe - BR,  10kA / 240Vac. , marca EATON.</t>
  </si>
  <si>
    <t>ITM de 2x60A - engrampe - BR,  10kA / 240Vac. , marca EATON.</t>
  </si>
  <si>
    <t>ITM de 2x70A - engrampe - BR,  10kA / 240Vac. , marca EATON.</t>
  </si>
  <si>
    <t>ITM de 2x90A - engrampe - BR,  10kA / 240Vac. , marca EATON.</t>
  </si>
  <si>
    <t>ITM de 2x100A - engrampe - BR,  10kA / 240Vac. , marca EATON.</t>
  </si>
  <si>
    <t>ITM de 3x15A - engrampe - BR,  10kA / 240Vac. , marca EATON.</t>
  </si>
  <si>
    <t>ITM de 3x20A - engrampe - BR,  10kA / 240Vac. , marca EATON.</t>
  </si>
  <si>
    <t>ITM de 3x30A - engrampe - BR,  10kA / 240Vac. , marca EATON.</t>
  </si>
  <si>
    <t>ITM de 3x40A - engrampe - BR,  10kA / 240Vac. , marca EATON.</t>
  </si>
  <si>
    <t>ITM de 3x50A - engrampe - BR,  10kA / 240Vac. , marca EATON.</t>
  </si>
  <si>
    <t>ITM de 3x60A - engrampe - BR,  10kA / 240Vac. , marca EATON.</t>
  </si>
  <si>
    <t>ITM de 3x70A - engrampe - BR,  10kA / 240Vac. , marca EATON.</t>
  </si>
  <si>
    <t>ITM de 3x80A - engrampe - BR,  10kA / 240Vac. , marca EATON.</t>
  </si>
  <si>
    <t>ITM de 3x90A - engrampe - BR,  10kA / 240Vac. , marca EATON.</t>
  </si>
  <si>
    <t>ITM de 3x100A - engrampe - BR,  10kA / 240Vac. , marca EATON.</t>
  </si>
  <si>
    <t>Bloqueo por candado QC123PL para interruptor QC/BR</t>
  </si>
  <si>
    <t>ITM de 1x15A - tornillo - QC,  10kA / 240Vac. , marca EATON.</t>
  </si>
  <si>
    <t>ITM de 1x20A - tornillo - QC,  10kA / 240Vac. , marca EATON.</t>
  </si>
  <si>
    <t>ITM de 1x30A - tornillo - QC,  10kA / 240Vac. , marca EATON.</t>
  </si>
  <si>
    <t>ITM de 1x40A - tornillo - QC,  10kA / 240Vac. , marca EATON.</t>
  </si>
  <si>
    <t>ITM de 1x50A - tornillo - QC,  10kA / 240Vac. , marca EATON.</t>
  </si>
  <si>
    <t>ITM de 1x60A - tornillo - QC,  10kA / 240Vac. , marca EATON.</t>
  </si>
  <si>
    <t>ITM de 1x70A - tornillo - QC,  10kA / 240Vac. , marca EATON.</t>
  </si>
  <si>
    <t>ITM de 2x15A - tornillo - QC,  10kA / 240Vac. , marca EATON.</t>
  </si>
  <si>
    <t>ITM de 2x20A - tornillo - QC,  10kA / 240Vac. , marca EATON.</t>
  </si>
  <si>
    <t>ITM de 2x30A - tornillo - QC,  10kA / 240Vac. , marca EATON.</t>
  </si>
  <si>
    <t>ITM de 2x40A - tornillo - QC,  10kA / 240Vac. , marca EATON.</t>
  </si>
  <si>
    <t>ITM de 2x50A - tornillo - QC,  10kA / 240Vac. , marca EATON.</t>
  </si>
  <si>
    <t>ITM de 2x60A - tornillo - QC,  10kA / 240Vac. , marca EATON.</t>
  </si>
  <si>
    <t>ITM de 2x70A - tornillo - QC,  10kA / 240Vac. , marca EATON.</t>
  </si>
  <si>
    <t>ITM de 2x80A - tornillo - QC,  10kA / 240Vac. , marca EATON.</t>
  </si>
  <si>
    <t>ITM de 2x90A - tornillo - QC,  10kA / 240Vac. , marca EATON.</t>
  </si>
  <si>
    <t>ITM de 2x100A - tornillo - QC,  10kA / 240Vac. , marca EATON.</t>
  </si>
  <si>
    <t>QC2015H</t>
  </si>
  <si>
    <t>ITM de 1x15A - tornillo - BAB,  10kA / 240Vac. , marca EATON.</t>
  </si>
  <si>
    <t>ITM de 1x30A - tornillo - BAB,  10kA / 240Vac. , marca EATON.</t>
  </si>
  <si>
    <t>ITM de 1x40A - tornillo - BAB,  10kA / 240Vac. , marca EATON.</t>
  </si>
  <si>
    <t>ITM de 1x50A - tornillo - BAB,  10kA / 240Vac. , marca EATON.</t>
  </si>
  <si>
    <t>ITM de 1x60A - tornillo - BAB,  10kA / 240Vac. , marca EATON.</t>
  </si>
  <si>
    <t>ITM de 1x70A - tornillo - BAB,  10kA / 240Vac. , marca EATON.</t>
  </si>
  <si>
    <t>ITM de 1x80A - tornillo - BAB,  10kA / 240Vac. , marca EATON.</t>
  </si>
  <si>
    <t>ITM de 2x15A - tornillo - BAB,  10kA / 240Vac. , marca EATON.</t>
  </si>
  <si>
    <t>ITM de 2x20A - tornillo - BAB,  10kA / 240Vac. , marca EATON.</t>
  </si>
  <si>
    <t>ITM de 2x30A - tornillo - BAB,  10kA / 240Vac. , marca EATON.</t>
  </si>
  <si>
    <t>ITM de 2x40A - tornillo - BAB,  10kA / 240Vac. , marca EATON.</t>
  </si>
  <si>
    <t>ITM de 2x50A - tornillo - BAB,  10kA / 240Vac. , marca EATON.</t>
  </si>
  <si>
    <t>ITM de 2x60A - tornillo - BAB,  10kA / 240Vac. , marca EATON.</t>
  </si>
  <si>
    <t>ITM de 2x70A - tornillo - BAB,  10kA / 240Vac. , marca EATON.</t>
  </si>
  <si>
    <t>ITM de 2x80A - tornillo - BAB,  10kA / 240Vac. , marca EATON.</t>
  </si>
  <si>
    <t>ITM de 2x90A - tornillo - BAB,  10kA / 240Vac. , marca EATON.</t>
  </si>
  <si>
    <t>ITM de 2x100A - tornillo - BAB,  10kA / 240Vac. , marca EATON.</t>
  </si>
  <si>
    <t>ITM de 2x15A - tornillo - BABH,  10kA / 240Vac. (UL), marca EATON.</t>
  </si>
  <si>
    <t>ITM de 2x20A - tornillo - BABH,  10kA / 240Vac. (UL), marca EATON.</t>
  </si>
  <si>
    <t>ITM de 2x30A - tornillo - BABH,  10kA / 240Vac. (UL), marca EATON.</t>
  </si>
  <si>
    <t>ITM de 2x40A - tornillo - BABH,  10kA / 240Vac. (UL), marca EATON.</t>
  </si>
  <si>
    <t>ITM de 2x50A - tornillo - BABH,  10kA / 240Vac. (UL), marca EATON.</t>
  </si>
  <si>
    <t>ITM de 2x60A - tornillo - BABH,  10kA / 240Vac. (UL), marca EATON.</t>
  </si>
  <si>
    <t>BAB2015C</t>
  </si>
  <si>
    <t>ITM de 2x15A - tornillo - BABC,  10kA - 120/240Vac. (UL), marca EATON.</t>
  </si>
  <si>
    <t>BAB2020C</t>
  </si>
  <si>
    <t>ITM de 2x20A - tornillo - BABC,  10kA - 120/240Vac. (UL), marca EATON.</t>
  </si>
  <si>
    <t>BABRSP2020</t>
  </si>
  <si>
    <t>ITM de 2x20A - tornillo - BABRS, con control remoto, 10kA - 120/240Vac. (UL), marca EATON.</t>
  </si>
  <si>
    <t>BABRSP2015</t>
  </si>
  <si>
    <t>ITM de 2x15A - tornillo - BABRS, con control remoto, 10kA - 120/240Vac. (UL), marca EATON.</t>
  </si>
  <si>
    <t>XRU1D24U</t>
  </si>
  <si>
    <t>Juego de rele y accesorios para ITM BABRS de control remoto</t>
  </si>
  <si>
    <t>C0100E2B</t>
  </si>
  <si>
    <t>Transformador C0100E2B 100 VA 24 V para control remoto</t>
  </si>
  <si>
    <t>ITM de 3x15A - tornillo - BABH,  10kA / 240Vac. (UL), marca EATON.</t>
  </si>
  <si>
    <t>ITM de 3x20A - tornillo - BABH,  10kA / 240Vac. (UL), marca EATON.</t>
  </si>
  <si>
    <t>ITM de 3x30A - tornillo - BABH,  10kA / 240Vac. (UL), marca EATON.</t>
  </si>
  <si>
    <t>ITM de 3x40A - tornillo - BABH,  10kA / 240Vac. (UL), marca EATON.</t>
  </si>
  <si>
    <t>ITM de 3x50A - tornillo - BABH,  10kA / 240Vac. (UL), marca EATON.</t>
  </si>
  <si>
    <t>ITM de 3x60A - tornillo - BABH,  10kA / 240Vac. (UL), marca EATON.</t>
  </si>
  <si>
    <t>ITM de 3x70A - tornillo - BABH,  10kA / 240Vac. (UL), marca EATON.</t>
  </si>
  <si>
    <t>ITM de 3x80A - tornillo - BABH,  10kA / 240Vac. (UL), marca EATON.</t>
  </si>
  <si>
    <t>ITM de 3x90A - tornillo - BABH,  10kA / 240Vac. (UL), marca EATON.</t>
  </si>
  <si>
    <t>ITM de 3x100A - tornillo - BABH,  10kA / 240Vac. (UL), marca EATON.</t>
  </si>
  <si>
    <t>BAB2020HS</t>
  </si>
  <si>
    <t>ITM de 2x20A - tornillo - BABHS (Incluye bobina de disparo), 10kA / 240Vac. (UL), marca EATON.</t>
  </si>
  <si>
    <t>BAB3030HS</t>
  </si>
  <si>
    <t>ITM de 3x30A - tornillo - BABH (Incluye bobina de disparo), 10kA / 240Vac. (UL), marca EATON.</t>
  </si>
  <si>
    <t>QL123PL</t>
  </si>
  <si>
    <t>Bloqueo por candado QL123PL para interruptor BAB/QBGF, marca EATON.</t>
  </si>
  <si>
    <t>Interruptor termomagnético 2x15A y diferencial Id=5mA - QBGF, (UL) - marca EATON.</t>
  </si>
  <si>
    <t>Interruptor termomagnético 2x20A y diferencial Id=5mA - QBGF, (UL) - marca EATON.</t>
  </si>
  <si>
    <t>Interruptor termomagnético 2x30A y diferencial Id=5mA - QBGF, (UL) - marca EATON.</t>
  </si>
  <si>
    <t>Interruptor termomagnético 2x15A y diferencial Id=30mA - QBGFEP, (UL) - marca EATON.</t>
  </si>
  <si>
    <t>Interruptor termomagnético 2x20A y diferencial Id=30mA - QBGFEP, (UL) - marca EATON.</t>
  </si>
  <si>
    <t>QBGFEP2030</t>
  </si>
  <si>
    <t>Interruptor termomagnético 2x30A y diferencial Id=30mA - QBGFEP, (UL) - marca EATON.</t>
  </si>
  <si>
    <t>ITM de 1x20A - caja moldeada - BZME1 + terminales internos p/ conexión,  36kA-240Vac. - marca EATON.</t>
  </si>
  <si>
    <t>ITM de 1x25A - caja moldeada - BZME1 + terminales internos p/ conexión,   36kA-240Vac. - marca EATON.</t>
  </si>
  <si>
    <t>ITM de 1x32A - caja moldeada - BZME1 + terminales internos p/ conexión,   36kA-240Vac. - marca EATON.</t>
  </si>
  <si>
    <t>ITM de 1x40A - caja moldeada - BZME1 + terminales internos p/ conexión,   36kA-240Vac. - marca EATON.</t>
  </si>
  <si>
    <t>ITM de 1x50A - caja moldeada - BZME1 + terminales internos p/ conexión,   36kA-240Vac. - marca EATON.</t>
  </si>
  <si>
    <t>ITM de 1x63A - caja moldeada - BZME1 + terminales internos p/ conexión,   36kA-240Vac. - marca EATON.</t>
  </si>
  <si>
    <t>ITM de 1x80A - caja moldeada - BZME1 + terminales internos p/ conexión,   36kA-240Vac. - marca EATON.</t>
  </si>
  <si>
    <t>ITM de 1x100A - caja moldeada - BZME1 + terminales internos p/ conexión,   36kA-240Vac. - marca EATON.</t>
  </si>
  <si>
    <t>BZME1-2-A16-BT-AP</t>
  </si>
  <si>
    <t>ITM de 2x16A - caja moldeada - BZME1 + terminales internos p/ conexión,   36kA-240Vac. - marca EATON.</t>
  </si>
  <si>
    <t>ITM de 2x20A - caja moldeada - BZME1 + terminales internos p/ conexión,   36kA-240Vac. - marca EATON.</t>
  </si>
  <si>
    <t>ITM de 2x25A - caja moldeada - BZME1 + terminales internos p/ conexión,   36kA-240Vac. - marca EATON.</t>
  </si>
  <si>
    <t>ITM de 2x32A - caja moldeada - BZME1 + terminales internos p/ conexión,   36kA-240Vac. - marca EATON.</t>
  </si>
  <si>
    <t>ITM de 2x40A - caja moldeada - BZME1 + terminales internos p/ conexión,   36kA-240Vac. - marca EATON.</t>
  </si>
  <si>
    <t>ITM de 2x50A - caja moldeada - BZME1 + terminales internos p/ conexión,   36kA-240Vac. - marca EATON.</t>
  </si>
  <si>
    <t>ITM de 2x63A - caja moldeada - BZME1 + terminales internos p/ conexión,   36kA-240Vac. - marca EATON.</t>
  </si>
  <si>
    <t>ITM de 2x80A - caja moldeada - BZME1 + terminales internos p/ conexión,   36kA-240Vac. - marca EATON.</t>
  </si>
  <si>
    <t>ITM de 2x100A - caja moldeada - BZME1 + terminales internos p/ conexión,   36kA-240Vac. - marca EATON.</t>
  </si>
  <si>
    <t>ITM de 3x16A - caja moldeada - BZME1 + terminales internos p/ conexión,  36kA@240Vac.- 18kA@415Vac. - marca EATON.</t>
  </si>
  <si>
    <t>ITM de 3x20A - caja moldeada - BZME1 + terminales internos p/ conexión,  36kA@240Vac.- 18kA@415Vac. - marca EATON.</t>
  </si>
  <si>
    <t>ITM de 3x25A - caja moldeada - BZME1 + terminales internos p/ conexión,  36kA@240Vac.- 18kA@415Vac. - marca EATON.</t>
  </si>
  <si>
    <t>ITM de 3x32A - caja moldeada - BZME1 + terminales internos p/ conexión,  36kA@240Vac.- 18kA@415Vac. - marca EATON.</t>
  </si>
  <si>
    <t>ITM de 3x40A - caja moldeada - BZME1 + terminales internos p/ conexión,  36kA@240Vac.- 18kA@415Vac. - marca EATON.</t>
  </si>
  <si>
    <t>ITM de 3x50A - caja moldeada - BZME1 + terminales internos p/ conexión,  36kA@240Vac.- 18kA@415Vac. - marca EATON.</t>
  </si>
  <si>
    <t>ITM de 3x63A - caja moldeada - BZME1 + terminales internos p/ conexión,  36kA@240Vac.- 18kA@415Vac. - marca EATON.</t>
  </si>
  <si>
    <t>ITM de 3x80A - caja moldeada - BZME1 + terminales internos p/ conexión,  36kA@240Vac.- 18kA@415Vac. - marca EATON.</t>
  </si>
  <si>
    <t>ITM de 3x100A - caja moldeada - BZME1 + terminales internos p/ conexión,  36kA@240Vac.- 18kA@415Vac. - marca EATON.</t>
  </si>
  <si>
    <t>ITM de 3x125A - caja moldeada - BZME1 + terminales internos p/ conexión,  36kA@240Vac.- 18kA@415Vac. - marca EATON.</t>
  </si>
  <si>
    <t>ITM de 4x16A - caja moldeada - BZME1 + terminales internos p/ conexión,  36kA@240Vac.- 18kA@415Vac. - marca EATON.</t>
  </si>
  <si>
    <t>ITM de 4x20A - caja moldeada - BZME1 + terminales internos p/ conexión,  36kA@240Vac.- 18kA@415Vac. - marca EATON.</t>
  </si>
  <si>
    <t>ITM de 4x25A - caja moldeada - BZME1 + terminales internos p/ conexión,  36kA@240Vac.- 18kA@415Vac. - marca EATON.</t>
  </si>
  <si>
    <t>ITM de 4x32A - caja moldeada - BZME1 + terminales internos p/ conexión,  36kA@240Vac.- 18kA@415Vac. - marca EATON.</t>
  </si>
  <si>
    <t>ITM de 4x40A - caja moldeada - BZME1 + terminales internos p/ conexión,  36kA@240Vac.- 18kA@415Vac. - marca EATON.</t>
  </si>
  <si>
    <t>ITM de 4x50A - caja moldeada - BZME1 + terminales internos p/ conexión,  36kA@240Vac.- 18kA@415Vac. - marca EATON.</t>
  </si>
  <si>
    <t>ITM de 4x63A - caja moldeada - BZME1 + terminales internos p/ conexión,  36kA@240Vac.- 18kA@415Vac. - marca EATON.</t>
  </si>
  <si>
    <t>ITM de 4x80A - caja moldeada - BZME1 + terminales internos p/ conexión,  36kA@240Vac.- 18kA@415Vac. - marca EATON.</t>
  </si>
  <si>
    <t>ITM de 4x100A - caja moldeada - BZME1 + terminales internos p/ conexión,  36kA@240Vac.- 18kA@415Vac. - marca EATON.</t>
  </si>
  <si>
    <t>ITM de 1x20A - caja moldeada - BZMB1 + terminales internos p/ conexión,   50kA-240Vac. - marca EATON.</t>
  </si>
  <si>
    <t>ITM de 1x25A - caja moldeada - BZMB1 + terminales internos p/ conexión,   50kA-240Vac. - marca EATON.</t>
  </si>
  <si>
    <t>ITM de 1x32A - caja moldeada - BZMB1 + terminales internos p/ conexión,   50kA-240Vac. - marca EATON.</t>
  </si>
  <si>
    <t>ITM de 1x40A - caja moldeada - BZMB1 + terminales internos p/ conexión,   50kA-240Vac. - marca EATON.</t>
  </si>
  <si>
    <t>ITM de 1x50A - caja moldeada - BZMB1 + terminales internos p/ conexión,   50kA-240Vac. - marca EATON.</t>
  </si>
  <si>
    <t>ITM de 1x63A - caja moldeada - BZMB1 + terminales internos p/ conexión,   50kA-240Vac. - marca EATON.</t>
  </si>
  <si>
    <t>ITM de 1x80A - caja moldeada - BZMB1 + terminales internos p/ conexión,   50kA-240Vac. - marca EATON.</t>
  </si>
  <si>
    <t>ITM de 1x100A - caja moldeada - BZMB1 + terminales internos p/ conexión,   50kA-240Vac. - marca EATON.</t>
  </si>
  <si>
    <t>ITM de 2x16A - caja moldeada - BZMB1 + terminales internos p/ conexión,   50kA-240Vac.- 25kA@415Vac. - marca EATON.</t>
  </si>
  <si>
    <t>ITM de 2x20A - caja moldeada - BZMB1 + terminales internos p/ conexión,   50kA-240Vac.- 25kA@415Vac. - marca EATON.</t>
  </si>
  <si>
    <t>ITM de 2x25A - caja moldeada - BZMB1 + terminales internos p/ conexión,   50kA-240Vac.- 25kA@415Vac. - marca EATON.</t>
  </si>
  <si>
    <t>ITM de 2x32A - caja moldeada - BZMB1 + terminales internos p/ conexión,   50kA-240Vac.- 25kA@415Vac. - marca EATON.</t>
  </si>
  <si>
    <t>ITM de 2x40A - caja moldeada - BZMB1 + terminales internos p/ conexión,   50kA-240Vac.- 25kA@415Vac. - marca EATON.</t>
  </si>
  <si>
    <t>ITM de 2x50A - caja moldeada - BZMB1 + terminales internos p/ conexión,   50kA-240Vac.- 25kA@415Vac. - marca EATON.</t>
  </si>
  <si>
    <t>ITM de 2x63A - caja moldeada - BZMB1 + terminales internos p/ conexión,   50kA-240Vac.- 25kA@415Vac. - marca EATON.</t>
  </si>
  <si>
    <t>ITM de 2x80A - caja moldeada - BZMB1 + terminales internos p/ conexión,   50kA-240Vac.- 25kA@415Vac. - marca EATON.</t>
  </si>
  <si>
    <t>ITM de 2x100A - caja moldeada - BZMB1 + terminales internos p/ conexión,   50kA-240Vac.- 25kA@415Vac. - marca EATON.</t>
  </si>
  <si>
    <t>ITM de 3x16A - caja moldeada - BZMB1 + terminales internos p/ conexión,  50kA@240Vac.- 25kA@415Vac. - marca EATON.</t>
  </si>
  <si>
    <t>ITM de 3x20A - caja moldeada - BZMB1 + terminales internos p/ conexión,  50kA@240Vac.- 25kA@415Vac. - marca EATON.</t>
  </si>
  <si>
    <t>ITM de 3x25A - caja moldeada - BZMB1 + terminales internos p/ conexión,  50kA@240Vac.- 25kA@415Vac. - marca EATON.</t>
  </si>
  <si>
    <t>ITM de 3x32A - caja moldeada - BZMB1 + terminales internos p/ conexión,  50kA@240Vac.- 25kA@415Vac. - marca EATON.</t>
  </si>
  <si>
    <t>ITM de 3x40A - caja moldeada - BZMB1 + terminales internos p/ conexión,  50kA@240Vac.- 25kA@415Vac. - marca EATON.</t>
  </si>
  <si>
    <t>ITM de 3x50A - caja moldeada - BZMB1 + terminales internos p/ conexión,  50kA@240Vac.- 25kA@415Vac. - marca EATON.</t>
  </si>
  <si>
    <t>ITM de 3x63A - caja moldeada - BZMB1 + terminales internos p/ conexión,  50kA@240Vac.- 25kA@415Vac. - marca EATON.</t>
  </si>
  <si>
    <t>ITM de 3x80A - caja moldeada - BZMB1 + terminales internos p/ conexión,  50kA@240Vac.- 25kA@415Vac. - marca EATON.</t>
  </si>
  <si>
    <t>ITM de 3x100A - caja moldeada - BZMB1 + terminales internos p/ conexión,  50kA@240Vac.- 25kA@415Vac. - marca EATON.</t>
  </si>
  <si>
    <t>ITM de 4x16A - caja moldeada - BZMB1 + terminales internos p/ conexión,  50kA@240Vac.- 25kA@415Vac. - marca EATON.</t>
  </si>
  <si>
    <t>ITM de 4x20A - caja moldeada - BZMB1 + terminales internos p/ conexión,  50kA@240Vac.- 25kA@415Vac. - marca EATON.</t>
  </si>
  <si>
    <t>ITM de 4x25A - caja moldeada - BZMB1 + terminales internos p/ conexión,  50kA@240Vac.- 25kA@415Vac. - marca EATON.</t>
  </si>
  <si>
    <t>ITM de 4x32A - caja moldeada - BZMB1 + terminales internos p/ conexión,  50kA@240Vac.- 25kA@415Vac. - marca EATON.</t>
  </si>
  <si>
    <t>ITM de 4x40A - caja moldeada - BZMB1 + terminales internos p/ conexión,  50kA@240Vac.- 25kA@415Vac. - marca EATON.</t>
  </si>
  <si>
    <t>ITM de 4x50A - caja moldeada - BZMB1 + terminales internos p/ conexión,  50kA@240Vac.- 25kA@415Vac. - marca EATON.</t>
  </si>
  <si>
    <t>ITM de 4x63A - caja moldeada - BZMB1 + terminales internos p/ conexión,  50kA@240Vac.- 25kA@415Vac. - marca EATON.</t>
  </si>
  <si>
    <t>ITM de 4x80A - caja moldeada - BZMB1 + terminales internos p/ conexión,  50kA@240Vac.- 25kA@415Vac. - marca EATON.</t>
  </si>
  <si>
    <t>ITM de 4x100A - caja moldeada - BZMB1 + terminales internos p/ conexión,  50kA@240Vac.- 25kA@415Vac. - marca EATON.</t>
  </si>
  <si>
    <t>BZMB1-4-A160-BT-AP</t>
  </si>
  <si>
    <t>ITM de 3x125A - caja moldeada - BZMB2,  50kA-240Vac. - 25kA@415Vac. - marca EATON.</t>
  </si>
  <si>
    <t>ITM de 3x160A - caja moldeada - BZMB2,  50kA-240Vac. - 25kA@415Vac. - marca EATON.</t>
  </si>
  <si>
    <t>ITM de 3x200A - caja moldeada - BZMB2,  50kA-240Vac. - 25kA@415Vac. - marca EATON.</t>
  </si>
  <si>
    <t>ITM de 3x250A - caja moldeada - BZMB2,  50kA-240Vac. - 25kA@415Vac. - marca EATON.</t>
  </si>
  <si>
    <t>ITM de 3x250A - caja moldeada - BZMB3,  50kA-240Vac. - 25kA@415Vac. - marca EATON.</t>
  </si>
  <si>
    <t>ITM de 3x320A - caja moldeada - BZMB3,  50kA-240Vac. - 25kA@415Vac. - marca EATON.</t>
  </si>
  <si>
    <t>ITM de 3x400A - caja moldeada - BZMB3,  50kA-240Vac. - 25kA@415Vac. - marca EATON.</t>
  </si>
  <si>
    <t>M22-K10_bz</t>
  </si>
  <si>
    <t>M22-K01_bz</t>
  </si>
  <si>
    <t>Jgo. de 3 terminales tipo tunel hasta 320A ( 1x185mm² ) para BZM3 - TunT_BZM3_3t_320A.</t>
  </si>
  <si>
    <t>Jgo. de 3 terminales tipo tunel hasta 400A ( 2x240mm² ) para BZM3 - TunT_BZM3_3t.</t>
  </si>
  <si>
    <t>ITM de 3x20A , ( Reg. 15-20A ) LZMS1 + terminales internos p/ conexión,  90kA@240Vac. - 70kA@415Vac. - marca EATON.</t>
  </si>
  <si>
    <t>ITM de 3x25A , ( Reg. 20-25A ) LZMS1 + terminales internos p/ conexión,  90kA@240Vac. - 70kA@415Vac. - marca EATON.</t>
  </si>
  <si>
    <t>ITM de 3x32A , ( Reg. 25-32A ) LZMS1 + terminales internos p/ conexión,  90kA@240Vac. - 70kA@415Vac. - marca EATON.</t>
  </si>
  <si>
    <t>ITM de 3x40A , ( Reg. 32-40A ) LZMS1 + terminales internos p/ conexión,  90kA@240Vac. - 70kA@415Vac. - marca EATON.</t>
  </si>
  <si>
    <t>ITM de 3x50A , ( Reg. 40-50A ) LZMS1 + terminales internos p/ conexión,  90kA@240Vac. - 70kA@415Vac. - marca EATON.</t>
  </si>
  <si>
    <t>ITM de 3x63A , ( Reg. 50-63A ) LZMS1 + terminales internos p/ conexión,  90kA@240Vac. - 70kA@415Vac. - marca EATON.</t>
  </si>
  <si>
    <t>ITM de 3x80A , ( Reg. 63-80A ) LZMS1 + terminales internos p/ conexión,  90kA@240Vac. - 70kA@415Vac. - marca EATON.</t>
  </si>
  <si>
    <t>ITM de 3x100A , ( Reg. 80-100A ) LZMS1 + terminales internos p/ conexión,  90kA@240Vac. - 70kA@415Vac. - marca EATON.</t>
  </si>
  <si>
    <t>ITM de 3x125A , ( Reg. 100-125A ) LZMS1 + terminales internos p/ conexión, 90kA@240Vac. - 70kA@415Vac. - marca EATON.</t>
  </si>
  <si>
    <t>ITM de 3x160A , ( Reg. 125-160A ) LZMS1 + terminales internos p/ conexión, 90kA@240Vac. - 70kA@415Vac. - marca EATON.</t>
  </si>
  <si>
    <t>LZMS1-A100+NZM1-XDV</t>
  </si>
  <si>
    <t>ITM de 3x100A , ( Reg. 80-100A ) LZMS1 + terminales internos p/ conexión,  90kA@240Vac. - 70kA@415Vac + Palanca rotativa. - marca EATON.</t>
  </si>
  <si>
    <t>LZMS1-A80+NZM1-XDV</t>
  </si>
  <si>
    <t>ITM de 3x80A , ( Reg. 63-80A ) LZMS1 + terminales internos p/ conexión,  90kA@240Vac. - 70kA@415Vac + Palanca rotativa. - marca EATON.</t>
  </si>
  <si>
    <t>LZMS1-A50+NZM1-XDV</t>
  </si>
  <si>
    <t>ITM de 3x50A , ( Reg. 40-50A ) LZMS1 + terminales internos p/ conexión,  90kA@240Vac. - 70kA@415Vac + Palanca rotativa. - marca EATON.</t>
  </si>
  <si>
    <t>LZMS1-A40+NZM1-XDV</t>
  </si>
  <si>
    <t>ITM de 3x40A , ( Reg. 80-100A ) LZMS1 + terminales internos p/ conexión,  90kA@240Vac. - 70kA@415Vac + Palanca rotativa. - marca EATON.</t>
  </si>
  <si>
    <t>LZMS1-A20+NZM1-XDV</t>
  </si>
  <si>
    <t>ITM de 3x20A , ( Reg. 16-20A ) LZMS1 + terminales internos p/ conexión,  90kA@240Vac. - 70kA@415Vac + Palanca rotativa. - marca EATON.</t>
  </si>
  <si>
    <t>LZMS2-A250+NZM2-XDV</t>
  </si>
  <si>
    <t>ITM de 3x250A , ( Reg. 200-250A ) LZMS2, 100kA@240Vac. - 70kA@415Vac + Palanca rotativa - marca EATON.</t>
  </si>
  <si>
    <t>LZMS3-VE400+NZM3-XDV</t>
  </si>
  <si>
    <t>ITM de 3x400A , ( Reg. 320-400A ) LZMS3, 100kA@240Vac. - 70kA@415Vac + Palanca rotativa. - marca EATON.</t>
  </si>
  <si>
    <t>ITM de 3x25A , ( Reg. 20-25A ) LZMS2, 70kA@240Vac. - 70kA@415Vac. - marca EATON.</t>
  </si>
  <si>
    <t>ITM de 3x32A , ( Reg. 26-32A ) LZMS2, 70kA@240Vac. - 70kA@415Vac. - marca EATON.</t>
  </si>
  <si>
    <t>LZMS2-A40</t>
  </si>
  <si>
    <t>ITM de 3x40A , ( Reg. 32-40A ) LZMS2, 70kA@240Vac. - 70kA@415Vac. - marca EATON.</t>
  </si>
  <si>
    <t>ITM de 3x63A , ( Reg. 50-63A ) LZMS2, 70kA@240Vac. - 70kA@415Vac. - marca EATON.</t>
  </si>
  <si>
    <t>LZMS2-A80</t>
  </si>
  <si>
    <t>ITM de 3x80A , ( Reg. 63-80A ) LZMS2, 70kA@240Vac. - 70kA@415Vac. - marca EATON.</t>
  </si>
  <si>
    <t>ITM de 3x100A , ( Reg. 80-100A ) LZMS2, 70kA@240Vac. - 70kA@415Vac. - marca EATON.</t>
  </si>
  <si>
    <t>LZMS2-A125</t>
  </si>
  <si>
    <t>ITM de 3x125A , ( Reg. 100-125A ) LZMS2, 100kA@240Vac. - 70kA@415Vac. - marca EATON.</t>
  </si>
  <si>
    <t>ITM de 3x160A , ( Reg. 125-160A ) LZMS2, 100kA@240Vac. - 70kA@415Vac. - marca EATON.</t>
  </si>
  <si>
    <t>ITM de 3x200A , ( Reg. 160-200A ) LZMS2, 100kA@240Vac. - 70kA@415Vac. - marca EATON.</t>
  </si>
  <si>
    <t>ITM de 3x250A , ( Reg. 200-250A ) LZMS2, 100kA@240Vac. - 70kA@415Vac. - marca EATON.</t>
  </si>
  <si>
    <t>ITM de 3x300A , ( Reg. 240-300A ) LZMS2, 100kA@240Vac. - 70kA@415Vac. - marca EATON.</t>
  </si>
  <si>
    <t>ITM de 3x320A , ( Reg. 250-320A ) LZMS3, 100kA@240Vac. - 70kA@415Vac. - marca EATON.</t>
  </si>
  <si>
    <t>ITM de 3x400A , ( Reg. 320-400A ) LZMS3, 100kA@240Vac. - 70kA@415Vac. - marca EATON.</t>
  </si>
  <si>
    <t>ITM de 3x500A , ( Reg. 400-500A ) LZMS3, 100kA@240Vac. - 70kA@415Vac. - marca EATON.</t>
  </si>
  <si>
    <t>ITM de 3x400A , electrónico ( Reg. 200-400A ) LZMS3, 100kA@240Vac. - 70kA@415Vac. - marca EATON.</t>
  </si>
  <si>
    <t>ITM de 3x630A , electrónico ( Reg. 315-630A ) LZMS3, 100kA@240Vac. - 70kA@415Vac. - marca EATON.</t>
  </si>
  <si>
    <t>ITM de 3x800A , electrónico ( Reg. 400-800A ) LZMS4, 100kA@240Vac. - 70kA@415Vac. - marca EATON.</t>
  </si>
  <si>
    <t>ITM de 3x1000A , electrónico ( Reg. 500-1000A ) LZMS4, 100kA@240Vac. - 70kA@415Vac. - marca EATON.</t>
  </si>
  <si>
    <t>ITM de 3x1250A , electrónico ( Reg. 630-1250A ) LZMS4, 100kA@240Vac. - 70kA@415Vac. - marca EATON.</t>
  </si>
  <si>
    <t>ITM de 3x1600A , electrónico ( Reg. 800-1600A ) LZMS4, 100kA@240Vac. - 70kA@415Vac. - marca EATON.</t>
  </si>
  <si>
    <t>IM de 3x200A (solo magnético reg.[8 - 14] In) - LZMS2, 100kA@240Vac. - 70kA@415Vac. - marca EATON.</t>
  </si>
  <si>
    <t>IM de 3x500A (solo magnético reg.[8 - 14] In) - LZMS3, 100kA@240Vac. - 70kA@415Vac. - marca EATON.</t>
  </si>
  <si>
    <t>Palanca Rotativa</t>
  </si>
  <si>
    <t>BZM1-XTVD</t>
  </si>
  <si>
    <t>Palanca Rotativa Externa con bloqueo para candado p/ BZMB1</t>
  </si>
  <si>
    <t>NZM1-XTVD</t>
  </si>
  <si>
    <t>Palanca Rotativa Externa con bloqueo para candado p/ NZM1 / LZM1</t>
  </si>
  <si>
    <t>NZM2-XTVD</t>
  </si>
  <si>
    <t>Palanca Rotativa Externa con bloqueo para candado p/ NZM2 / LZM2</t>
  </si>
  <si>
    <t>NZM3-XTVD</t>
  </si>
  <si>
    <t>Palanca Rotativa Externa con bloqueo para candado p/ NZM3 / LZM3</t>
  </si>
  <si>
    <t>BZM1-XV4</t>
  </si>
  <si>
    <t>Eje para palanca externa p/ BZMB1</t>
  </si>
  <si>
    <t>LZM1-XV4</t>
  </si>
  <si>
    <t>Eje para palanca externa p/ LZMS1</t>
  </si>
  <si>
    <t>Jgo. de 3 terminales tipo tunel hasta 160A + Cubrebornes ( 1x16-95mm² ) para LZMS1 - TunT_LZM1_3t.</t>
  </si>
  <si>
    <t>Jgo. de 3 terminales internos p/ conexión hasta 160A ( 1x4-185mm² ) para LZMS2 - BoxT_LZM2_3t_160A.</t>
  </si>
  <si>
    <t>Jgo. de 3 terminales internos p/ conexión hasta 250A ( 1x4-185mm² ) para LZMS2 - BoxT_LZM2_3t.</t>
  </si>
  <si>
    <t>Jgo. de 3 terminales tipo tunel hasta 300A + Cubrebornes ( 1x16-185m² ) para LZMS2 - TunT_LZM2_3t.</t>
  </si>
  <si>
    <t>Jgo. de 3 terminales internos p/ conexión hasta 400A ( 1x35-240mm² ) para LZMS3 - BoxT_LZM3_3t.</t>
  </si>
  <si>
    <t>Jgo. de 3 terminales tipo tunel hasta 320A + Cubrebornes ( 1x16-185m² ) para LZMS3 - TunT_LZM3_3t_320A.</t>
  </si>
  <si>
    <t>Jgo. de 3 terminales tipo tunel hasta 630A + Cubrebornes ( 2x50-240m² ) para LZMS3 - TunT_LZM3_3t.</t>
  </si>
  <si>
    <t>Jgo. de 3 terminales tipo tunel hasta 1250A + Cubrebornes ( 4x50-240m² ) para LZMS4 - TunT_LZM4_3t.</t>
  </si>
  <si>
    <t>Conmutador de 3 posiciones, 1-0-2, 4 polos de 63A en AC-22, marca BREMAS.</t>
  </si>
  <si>
    <t>Conmutador de 3 posiciones, 1-0-2, 4 polos de 40A en AC-22, marca BREMAS.</t>
  </si>
  <si>
    <t>Conmutador de 3 posiciones, 1-0-2, 4 polos de 25A en AC-22, marca BREMAS.</t>
  </si>
  <si>
    <t>Conmutador de 3 posiciones, 1-0-2, 3 polos de 100A en AC-22, marca BREMAS.</t>
  </si>
  <si>
    <t>Conmutador de 3 posiciones, 1-0-2, 3 polos de 63A en AC-22, marca BREMAS.</t>
  </si>
  <si>
    <t>Conmutador de 3 posiciones, 1-0-2, 3 polos de 40A en AC-22, marca BREMAS.</t>
  </si>
  <si>
    <t>Conmutador de 3 posiciones, 1-0-2, 3 polos de 32A en AC-22, marca BREMAS.</t>
  </si>
  <si>
    <t>Conmutador de 3 posiciones, 1-0-2, 3 polos de 25A en AC-22, marca BREMAS.</t>
  </si>
  <si>
    <t>Conmutador de 3 posiciones, 1-0-2, 2 polos de 100A en AC-22, marca BREMAS.</t>
  </si>
  <si>
    <t>Conmutador de 3 posiciones, 1-0-2, 2 polos de 63A en AC-22, marca BREMAS.</t>
  </si>
  <si>
    <t>Conmutador de 3 posiciones, 1-0-2, 2 polos de 40A en AC-22, marca BREMAS.</t>
  </si>
  <si>
    <t>Conmutador de 3 posiciones, 1-0-2, 2 polos de 32A en AC-22, marca BREMAS.</t>
  </si>
  <si>
    <t>Conmutador de 3 posiciones, 1-0-2, 2 polos de 25A en AC-22, marca BREMAS.</t>
  </si>
  <si>
    <t xml:space="preserve">Supresor de transitorios 50kA@400Vac. </t>
  </si>
  <si>
    <t>Modelo ER-EATON</t>
  </si>
  <si>
    <t>ER-C10/1</t>
  </si>
  <si>
    <t>ITM de 1 x 10A - modular DIN - ER,  15kA - 230/400Vac., IEC 60947-2 , EATON.</t>
  </si>
  <si>
    <t>ER-C16/1</t>
  </si>
  <si>
    <t>ITM de 1 x 16A - modular DIN - ER,  15kA - 230/400Vac., IEC 60947-2 , EATON.</t>
  </si>
  <si>
    <t>ER-C20/1</t>
  </si>
  <si>
    <t>ITM de 1 x 20A - modular DIN - ER,  15kA - 230/400Vac., IEC 60947-2 , EATON.</t>
  </si>
  <si>
    <t>ER-C25/1</t>
  </si>
  <si>
    <t>ITM de 1 x 25A - modular DIN - ER,  15kA - 230/400Vac., IEC 60947-2 , EATON.</t>
  </si>
  <si>
    <t>ER-C32/1</t>
  </si>
  <si>
    <t>ITM de 1 x 32A - modular DIN - ER,  15kA - 230/400Vac., IEC 60947-2 , EATON.</t>
  </si>
  <si>
    <t>ER-C40/1</t>
  </si>
  <si>
    <t>ITM de 1 x 40A - modular DIN - ER,  15kA - 230/400Vac., IEC 60947-2 , EATON.</t>
  </si>
  <si>
    <t>ER-C50/1</t>
  </si>
  <si>
    <t>ITM de 1 x 50A - modular DIN - ER,  15kA - 230/400Vac., IEC 60947-2 , EATON.</t>
  </si>
  <si>
    <t>ER-C63/1</t>
  </si>
  <si>
    <t>ITM de 1 x 63A - modular DIN - ER,  15kA - 230/400Vac., IEC 60947-2 , EATON.</t>
  </si>
  <si>
    <t>ER-C6/2</t>
  </si>
  <si>
    <t>ITM de 2 x 6A - modular DIN - ER,  15kA - 230/400Vac., IEC 60947-2 , EATON.</t>
  </si>
  <si>
    <t>ER-C10/2</t>
  </si>
  <si>
    <t>ITM de 2 x 10A - modular DIN - ER,  15kA - 230/400Vac., IEC 60947-2 , EATON.</t>
  </si>
  <si>
    <t>ER-C16/2</t>
  </si>
  <si>
    <t>ITM de 2 x 16A - modular DIN - ER,  15kA - 230/400Vac., IEC 60947-2 , EATON.</t>
  </si>
  <si>
    <t>ER-C20/2</t>
  </si>
  <si>
    <t>ITM de 2 x 20A - modular DIN - ER,  15kA - 230/400Vac., IEC 60947-2 , EATON.</t>
  </si>
  <si>
    <t>ER-C25/2</t>
  </si>
  <si>
    <t>ITM de 2 x 25A - modular DIN - ER,  15kA - 230/400Vac., IEC 60947-2 , EATON.</t>
  </si>
  <si>
    <t>ER-C32/2</t>
  </si>
  <si>
    <t>ITM de 2 x 32A - modular DIN - ER,  15kA - 230/400Vac., IEC 60947, EATON.</t>
  </si>
  <si>
    <t>ER-C40/2</t>
  </si>
  <si>
    <t>ITM de 2 x 40A - modular DIN - ER,  15kA - 230/400Vac., IEC 60947-2 , EATON.</t>
  </si>
  <si>
    <t>ER-C50/2</t>
  </si>
  <si>
    <t>ITM de 2 x 50A - modular DIN - ER,  15kA - 230/400Vac., IEC 60947-2 , EATON.</t>
  </si>
  <si>
    <t>ER-C63/2</t>
  </si>
  <si>
    <t>ITM de 2 x 63A - modular DIN - ER,  15kA - 230/400Vac., IEC 60947-2 , EATON.</t>
  </si>
  <si>
    <t>ER-C10/3</t>
  </si>
  <si>
    <t>ITM de 3 x 10A - modular DIN - ER,  15kA - 230/400Vac., IEC 60947-2 , EATON.</t>
  </si>
  <si>
    <t>ER-C16/3</t>
  </si>
  <si>
    <t>ITM de 3 x 16A - modular DIN - ER,  15kA - 230/400Vac., IEC 60947-2 , EATON.</t>
  </si>
  <si>
    <t>ER-C20/3</t>
  </si>
  <si>
    <t>ITM de 3 x 20A - modular DIN - ER,  15kA - 230/400Vac., IEC 60947-2 , EATON.</t>
  </si>
  <si>
    <t>ER-C25/3</t>
  </si>
  <si>
    <t>ITM de 3 x 25A - modular DIN - ER,  15kA - 230/400Vac., IEC 60947-2 , EATON.</t>
  </si>
  <si>
    <t>ER-C32/3</t>
  </si>
  <si>
    <t>ITM de 3 x 32A - modular DIN - ER,  15kA - 230/400Vac., IEC 60947-2 , EATON.</t>
  </si>
  <si>
    <t>ER-C40/3</t>
  </si>
  <si>
    <t>ITM de 3 x 40A - modular DIN - ER,  15kA - 230/400Vac., IEC 60947-2 , EATON.</t>
  </si>
  <si>
    <t>ER-C50/3</t>
  </si>
  <si>
    <t>ITM de 3 x 50A - modular DIN - ER,  15kA - 230/400Vac., IEC 60947-2 , EATON.</t>
  </si>
  <si>
    <t>ER-C63/3</t>
  </si>
  <si>
    <t>ITM de 3 x 63A - modular DIN - ER,  15kA - 230/400Vac., IEC 60947-2 , EATON.</t>
  </si>
  <si>
    <t>ITM de 1x10A - modular DIN - mMCM,  15kA - 230/400Vac., IEC 60947-2 , marca EATON.</t>
  </si>
  <si>
    <t>ITM de 1x16A - modular DIN - mMCM,  15kA - 230/400Vac., IEC 60947-2 , marca EATON.</t>
  </si>
  <si>
    <t>ITM de 1x20A - modular DIN - mMCM,  15kA - 230/400Vac., IEC 60947-2 , marca EATON.</t>
  </si>
  <si>
    <t>ITM de 1x25A - modular DIN - mMCM,  15kA - 230/400Vac., IEC 60947-2 , marca EATON.</t>
  </si>
  <si>
    <t>ITM de 1x32A - modular DIN - mMCM,  15kA - 230/400Vac., IEC 60947-2 , marca EATON.</t>
  </si>
  <si>
    <t>ITM de 1x40A - modular DIN - mMCM,  15kA - 230/400Vac., IEC 60947-2 , marca EATON.</t>
  </si>
  <si>
    <t>ITM de 1x50A - modular DIN - mMCM,  15kA - 230/400Vac., IEC 60947-2 , marca EATON.</t>
  </si>
  <si>
    <t>ITM de 1x63A - modular DIN - mMCM,  15kA - 230/400Vac., IEC 60947-2 , marca EATON.</t>
  </si>
  <si>
    <t>ITM de 2x6A - modular DIN - mMCM,  15kA - 230/400Vac., IEC 60947-2 , marca EATON.</t>
  </si>
  <si>
    <t>ITM de 2x10A - modular DIN - mMCM,  15kA - 230/400Vac., IEC 60947-2 , marca EATON.</t>
  </si>
  <si>
    <t>ITM de 2x16A - modular DIN - mMCM,  15kA - 230/400Vac., IEC 60947-2 , marca EATON.</t>
  </si>
  <si>
    <t>ITM de 2x20A - modular DIN - mMCM,  15kA - 230/400Vac., IEC 60947-2 , marca EATON.</t>
  </si>
  <si>
    <t>ITM de 2x25A - modular DIN - mMCM,  15kA - 230/400Vac., IEC 60947-2 , marca EATON.</t>
  </si>
  <si>
    <t>ITM de 2x32A - modular DIN - mMCM,  15kA - 230/400Vac., IEC 60947, marca EATON.</t>
  </si>
  <si>
    <t>ITM de 2x40A - modular DIN - mMCM,  15kA - 230/400Vac., IEC 60947-2 , marca EATON.</t>
  </si>
  <si>
    <t>ITM de 2x50A - modular DIN - mMCM,  15kA - 230/400Vac., IEC 60947-2 , marca EATON.</t>
  </si>
  <si>
    <t>ITM de 2x63A - modular DIN - mMCM,  15kA - 230/400Vac., IEC 60947-2 , marca EATON.</t>
  </si>
  <si>
    <t>ITM de 3x10A - modular DIN - mMCM,  15kA - 230/400Vac., IEC 60947-2 , marca EATON.</t>
  </si>
  <si>
    <t>ITM de 3x16A - modular DIN - mMCM,  15kA - 230/400Vac., IEC 60947-2 , marca EATON.</t>
  </si>
  <si>
    <t>ITM de 3x20A - modular DIN - mMCM,  15kA - 230/400Vac., IEC 60947-2 , marca EATON.</t>
  </si>
  <si>
    <t>ITM de 3x25A - modular DIN - mMCM,  15kA - 230/400Vac., IEC 60947-2 , marca EATON.</t>
  </si>
  <si>
    <t>ITM de 3x32A - modular DIN - mMCM,  15kA - 230/400Vac., IEC 60947-2 , marca EATON.</t>
  </si>
  <si>
    <t>ITM de 3x40A - modular DIN - mMCM,  15kA - 230/400Vac., IEC 60947-2 , marca EATON.</t>
  </si>
  <si>
    <t>ITM de 3x50A - modular DIN - mMCM,  15kA - 230/400Vac., IEC 60947-2 , marca EATON.</t>
  </si>
  <si>
    <t>ITM de 3x63A - modular DIN - mMCM,  15kA - 230/400Vac., IEC 60947-2 , marca EATON.</t>
  </si>
  <si>
    <t>ITM de 1x16A - modular DIN - ER,  15kA - 230/400Vac., IEC 60947-2 , marca EATON.</t>
  </si>
  <si>
    <t>ITM de 1x20A - modular DIN - ER,  15kA - 230/400Vac., IEC 60947-2 , marca EATON.</t>
  </si>
  <si>
    <t>ITM de 1x32A - modular DIN - ER,  15kA - 230/400Vac., IEC 60947-2 , marca EATON.</t>
  </si>
  <si>
    <t>ITM de 2x16A - modular DIN - ER,  15kA - 230/400Vac., IEC 60947-2 , marca EATON.</t>
  </si>
  <si>
    <t>ITM de 2x20A - modular DIN - ER,  15kA - 230/400Vac., IEC 60947-2 , marca EATON.</t>
  </si>
  <si>
    <t>ITM de 2x32A - modular DIN - ER,  15kA - 230/400Vac., IEC 60947-2 , marca EATON.</t>
  </si>
  <si>
    <t>ITM de 3x20A - modular DIN - ER,  15kA - 230/400Vac., IEC 60947-2 , marca EATON.</t>
  </si>
  <si>
    <t>ITM de 1x10A - modular DIN - mMC6,  10kA - 230/400Vac., IEC 60947-2 , marca EATON.</t>
  </si>
  <si>
    <t>ITM de 1x16A - modular DIN - mMC6,  10kA - 230/400Vac., IEC 60947-2 , marca EATON.</t>
  </si>
  <si>
    <t>ITM de 1x20A - modular DIN - mMC6,  10kA - 230/400Vac., IEC 60947-2 , marca EATON.</t>
  </si>
  <si>
    <t>ITM de 1x25A - modular DIN - mMC6,  10kA - 230/400Vac., IEC 60947-2 , marca EATON.</t>
  </si>
  <si>
    <t>ITM de 1x32A - modular DIN - mMC6,  10kA - 230/400Vac., IEC 60947-2 , marca EATON.</t>
  </si>
  <si>
    <t>ITM de 1x40A - modular DIN - mMC6,  10kA - 230/400Vac., IEC 60947-2 , marca EATON.</t>
  </si>
  <si>
    <t>ITM de 1x50A - modular DIN - mMC6,  10kA - 230/400Vac., IEC 60947-2 , marca EATON.</t>
  </si>
  <si>
    <t>ITM de 1x63A - modular DIN - mMC6,  10kA - 230/400Vac., IEC 60947-2 , marca EATON.</t>
  </si>
  <si>
    <t>ITM de 2x10A - modular DIN - mMC6,  10kA - 230/400Vac., IEC 60947-2 , marca EATON.</t>
  </si>
  <si>
    <t>ITM de 2x16A - modular DIN - mMC6,  10kA - 230/400Vac., IEC 60947-2 , marca EATON.</t>
  </si>
  <si>
    <t>ITM de 2x20A - modular DIN - mMC6,  10kA - 230/400Vac., IEC 60947-2 , marca EATON.</t>
  </si>
  <si>
    <t>ITM de 2x25A - modular DIN - mMC6,  10kA - 230/400Vac., IEC 60947-2 , marca EATON.</t>
  </si>
  <si>
    <t>ITM de 2x32A - modular DIN - mMC6,  10kA - 230/400Vac., IEC 60947-2 , marca EATON.</t>
  </si>
  <si>
    <t>ITM de 2x40A - modular DIN - mMC6,  10kA - 230/400Vac., IEC 60947-2 , marca EATON.</t>
  </si>
  <si>
    <t>ITM de 2x50A - modular DIN - mMC6,  10kA - 230/400Vac., IEC 60947-2 , marca EATON.</t>
  </si>
  <si>
    <t>ITM de 2x63A - modular DIN - mMC6,  10kA - 230/400Vac., IEC 60947-2 , marca EATON.</t>
  </si>
  <si>
    <t>ITM de 3x10A - modular DIN - mMC6,  10kA - 230/400Vac., IEC 60947-2 , marca EATON.</t>
  </si>
  <si>
    <t>ITM de 3x16A - modular DIN - mMC6,  10kA - 230/400Vac., IEC 60947-2 , marca EATON.</t>
  </si>
  <si>
    <t>ITM de 3x20A - modular DIN - mMC6,  10kA - 230/400Vac., IEC 60947-2 , marca EATON.</t>
  </si>
  <si>
    <t>ITM de 3x25A - modular DIN - mMC6,  10kA - 230/400Vac., IEC 60947-2 , marca EATON.</t>
  </si>
  <si>
    <t>ITM de 3x32A - modular DIN - mMC6,  10kA - 230/400Vac., IEC 60947-2 , marca EATON.</t>
  </si>
  <si>
    <t>ITM de 3x40A - modular DIN - mMC6,  10kA - 230/400Vac., IEC 60947-2 , marca EATON.</t>
  </si>
  <si>
    <t>ITM de 3x50A - modular DIN - mMC6,  10kA - 230/400Vac., IEC 60947-2 , marca EATON.</t>
  </si>
  <si>
    <t>ITM de 3x63A - modular DIN - mMC6,  10kA - 230/400Vac., IEC 60947-2 , marca EATON.</t>
  </si>
  <si>
    <t>ITM de 1x80A - mMCT,  20kA - 230/400Vac., IEC 60947-2 , marca EATON.</t>
  </si>
  <si>
    <t>ITM de 1x100A - mMCT,  20kA - 230/400Vac., IEC 60947-2 , marca EATON.</t>
  </si>
  <si>
    <t>ITM de 1x125A - mMCT,  15kA - 230/400Vac., IEC 60947-2 , marca EATON.</t>
  </si>
  <si>
    <t>ITM de 2x80A - mMCT,  20kA - 230/400Vac., IEC 60947-2 , marca EATON.</t>
  </si>
  <si>
    <t>ITM de 2x100A - mMCT,  20kA - 230/400Vac., IEC 60947-2 , marca EATON.</t>
  </si>
  <si>
    <t>ITM de 2x125A - mMCT,  15kA - 230/400Vac., IEC 60947-2 , marca EATON.</t>
  </si>
  <si>
    <t>ITM de 3x80A - mMCT,  20kA - 230/400Vac., IEC 60947-2 , marca EATON.</t>
  </si>
  <si>
    <t>ITM de 3x100A - mMCT,  20kA - 230/400Vac., IEC 60947-2 , marca EATON.</t>
  </si>
  <si>
    <t>ITM de 3x125A - mMCT,  15kA - 230/400Vac., IEC 60947-2 , marca EATON.</t>
  </si>
  <si>
    <t>Interruptor Diferencial de 2x25A - mRCM , 30mA, clase AC , marca EATON.</t>
  </si>
  <si>
    <t>Interruptor Diferencial de 2x40A - mRCM , 30mA, clase AC , marca EATON.</t>
  </si>
  <si>
    <t>Interruptor Diferencial de 2x63A - mRCM , 30mA, clase AC , marca EATON.</t>
  </si>
  <si>
    <t>Interruptor Diferencial de 2x80A - mRCM , 30mA, clase AC , marca EATON.</t>
  </si>
  <si>
    <t>Interruptor Diferencial de 2x100A - mRCM , 30mA, clase AC , marca EATON.</t>
  </si>
  <si>
    <t>Interruptor Diferencial de 4x25A - mRCM , 30mA, clase AC , marca EATON.</t>
  </si>
  <si>
    <t>Interruptor Diferencial de 4x40A - mRCM , 30mA, clase AC , marca EATON.</t>
  </si>
  <si>
    <t>Interruptor Diferencial de 4x63A - mRCM , 30mA, clase AC , marca EATON.</t>
  </si>
  <si>
    <t>Interruptor Diferencial de 4x80A - mRCM , 30mA, clase AC , marca EATON.</t>
  </si>
  <si>
    <t>Interruptor Diferencial de 4x100A - mRCM , 30mA, clase AC , marca EATON.</t>
  </si>
  <si>
    <t>Interruptor Diferencial de 2x25A - mRCM , 30mA, clase A (inmunizado), marca EATON.</t>
  </si>
  <si>
    <t>Interruptor Diferencial de 2x40A - mRCM , 30mA, clase A (inmunizado), marca EATON.</t>
  </si>
  <si>
    <t>Interruptor Diferencial de 2x63A - mRCM , 30mA, clase A (inmunizado), marca EATON.</t>
  </si>
  <si>
    <t>Interruptor Diferencial de 4x25A - mRCM , 30mA, clase A (inmunizado), marca EATON.</t>
  </si>
  <si>
    <t>Interruptor Diferencial de 4x40A - mRCM , 30mA, clase A (inmunizado), marca EATON.</t>
  </si>
  <si>
    <t>Interruptor Diferencial de 4x63A - mRCM , 30mA, clase A (inmunizado), marca EATON.</t>
  </si>
  <si>
    <t>Interruptor Diferencial de 4x80A - mRCM , 30mA, clase A (inmunizado), marca EATON.</t>
  </si>
  <si>
    <t>Interruptor Diferencial de 4x100A - mRCM , 30mA, clase A (inmunizado), marca EATON.</t>
  </si>
  <si>
    <t>Interruptor Diferencial de 2x25A - mRCM , 300mA, clase AC , marca EATON.</t>
  </si>
  <si>
    <t>Interruptor Diferencial de 2x40A - mRCM , 300mA, clase AC , marca EATON.</t>
  </si>
  <si>
    <t>Interruptor Diferencial de 2x63A - mRCM , 300mA, clase AC , marca EATON.</t>
  </si>
  <si>
    <t>Interruptor Diferencial de 2x80A - mRCM , 300mA, clase AC , marca EATON.</t>
  </si>
  <si>
    <t>Interruptor Diferencial de 2x100A - mRCM , 300mA, clase AC , marca EATON.</t>
  </si>
  <si>
    <t>Interruptor Diferencial de 4x25A - mRCM , 300mA, clase AC , marca EATON.</t>
  </si>
  <si>
    <t>Interruptor Diferencial de 4x40A - mRCM , 300mA, clase AC , marca EATON.</t>
  </si>
  <si>
    <t>Interruptor Diferencial de 4x63A - mRCM , 300mA, clase AC , marca EATON.</t>
  </si>
  <si>
    <t>Interruptor Diferencial de 4x80A - mRCM , 300mA, clase AC , marca EATON.</t>
  </si>
  <si>
    <t>Interruptor Diferencial de 4x100A - mRCM , 300mA, clase AC , marca EATON.</t>
  </si>
  <si>
    <t>Modelo mRCM - Clase A (300mA)</t>
  </si>
  <si>
    <t>mRCM-40/4/03-A-MW</t>
  </si>
  <si>
    <t>Interruptor Diferencial de 4x40A - mRCM , 300mA, clase A , marca EATON.</t>
  </si>
  <si>
    <t>mRCM-25/4/03-A-MW</t>
  </si>
  <si>
    <t>Interruptor Diferencial de 4x25A - mRCM , 300mA, clase A , marca EATON.</t>
  </si>
  <si>
    <t>ION-7400</t>
  </si>
  <si>
    <t>Medidor de energía - modelo ION-7400 - presición 0.2% - RS485, Ethernet, Frontal Óptico, USB - marca Schneider.</t>
  </si>
  <si>
    <t>ION-7550</t>
  </si>
  <si>
    <t>Medidor de energía - modelo ION-7550 - presición 0.2% - RS485, Ethernet, Frontal Óptico, USB (Capacidad de registro: 10MB) - marca Schneider.</t>
  </si>
  <si>
    <t>ION-CABLE</t>
  </si>
  <si>
    <t>Lector Optico para Medidores ION - Cable, marca SCHNEIDER.</t>
  </si>
  <si>
    <t>LICENCIA - ION</t>
  </si>
  <si>
    <t>Licencia StruxureWare power Monitoring Expert (SPME).</t>
  </si>
  <si>
    <t>Medidor multifunción - Modelo CVM-C10 - presición 0.5% - RS485, Modbus RTU - marca CIRCUTOR.</t>
  </si>
  <si>
    <t>Medidor multifunción + Analizador de Redes - Modelo CVM-B100 - presición 0.2% - RS485, Modbus RTU / BACnet - marca CIRCUTOR.</t>
  </si>
  <si>
    <t>Medidor multifunción + Analizador de Redes - Modelo CVM-B100 - presición 0.2% - Comunicación Profibus - marca CIRCUTOR.</t>
  </si>
  <si>
    <t>CVM-B150-MODBUS</t>
  </si>
  <si>
    <t>Medidor multifunción + Analizador de Redes - Modelo CVM-B150 - Comunicación ModBus - marca CIRCUTOR.</t>
  </si>
  <si>
    <t>CVM-B150-ITF-485-ICT2</t>
  </si>
  <si>
    <t>CVM-C10_sello hermetico IP-64</t>
  </si>
  <si>
    <t>Sello hermético IP-64, para CVM-C10 (96x96), marca Circutor.</t>
  </si>
  <si>
    <t>M5ZZ5T</t>
  </si>
  <si>
    <t>Modulo de Ethernet_CVM-B100</t>
  </si>
  <si>
    <t>TC 50/5</t>
  </si>
  <si>
    <t>Transformador de corriente de 50/5A</t>
  </si>
  <si>
    <t>TC 2500/5_TA</t>
  </si>
  <si>
    <t>Transformador de corriente de 2500/5A - Marca Circuitor</t>
  </si>
  <si>
    <t>TC 2000/5_TA</t>
  </si>
  <si>
    <t>Transformador de corriente de 2000/5A - Marca Circuitor</t>
  </si>
  <si>
    <t>TC 1600/5_TA</t>
  </si>
  <si>
    <t>Transformador de corriente de 1600/5A - Marca Circuitor</t>
  </si>
  <si>
    <t>TC 800/5_TA</t>
  </si>
  <si>
    <t>Transformador de corriente de 800/5A - Marca Circuitor</t>
  </si>
  <si>
    <t>TC 400/5_TA</t>
  </si>
  <si>
    <t>Transformador de corriente de 400/5A - Marca Circuitor</t>
  </si>
  <si>
    <t>TC 200/5_TA</t>
  </si>
  <si>
    <t>Transformador de corriente de 200/5A - Marca Circuitor</t>
  </si>
  <si>
    <t>Bornes de corriente.</t>
  </si>
  <si>
    <t>Bornes seccionables de corriente.</t>
  </si>
  <si>
    <t>Borne para neutro.</t>
  </si>
  <si>
    <t>Borne 4mm2.</t>
  </si>
  <si>
    <t>Borne 6mm2.</t>
  </si>
  <si>
    <t>BOR.3</t>
  </si>
  <si>
    <t>Borne 10mm2.</t>
  </si>
  <si>
    <t>BOR.4</t>
  </si>
  <si>
    <t>Borne 16mm2.</t>
  </si>
  <si>
    <t>BOR.5</t>
  </si>
  <si>
    <t>Borne 35mm2.</t>
  </si>
  <si>
    <t>Bornes de entrada.</t>
  </si>
  <si>
    <t>Base portafusibles + Fusibles de protección para control.</t>
  </si>
  <si>
    <t>IH_TALENTO PRO</t>
  </si>
  <si>
    <t>Interruptor Horario Digital Talento 371 PRO - marca GRASSLIN.</t>
  </si>
  <si>
    <t>PDI</t>
  </si>
  <si>
    <t>PD</t>
  </si>
  <si>
    <t>SELECT. M-0-A + 4NA</t>
  </si>
  <si>
    <t>Selector tres posiciones "M-0-A" + 4NA</t>
  </si>
  <si>
    <t>LVM20</t>
  </si>
  <si>
    <t>Relé de nivel para liquido - 240Vac - 1NA/1NC - marca LOVATO</t>
  </si>
  <si>
    <t>LVM20 A240</t>
  </si>
  <si>
    <t>LOVATO</t>
  </si>
  <si>
    <t>BT-TD</t>
  </si>
  <si>
    <t>RES-TETRA+DIF_DIN</t>
  </si>
  <si>
    <t>Espacio de reserva tetrapolar + interruptor diferencial - Riel-Din.</t>
  </si>
  <si>
    <t>RES-UNI_DIN</t>
  </si>
  <si>
    <t>Espacio de reserva unipolar - Riel-Din.</t>
  </si>
  <si>
    <t>RES-UNIP+DIF_DIN</t>
  </si>
  <si>
    <t>Espacio de reserva unipolar + interruptor diferencial - Riel-Din.</t>
  </si>
  <si>
    <t>RES-DIF-TETRA</t>
  </si>
  <si>
    <t>Espacio de reserva para interruptor diferencial de cuatro polos.</t>
  </si>
  <si>
    <t>Espacio de reserva unipolar - Caja moldeada.</t>
  </si>
  <si>
    <t>Espacio de reserva trifásica (preparado con barras al busbar) - Caja moldeada - Frame 320A.</t>
  </si>
  <si>
    <t>RES-TRI_630F_MOLD</t>
  </si>
  <si>
    <t>Espacio de reserva trifásica (preparado con barras al busbar) - Caja moldeada - Frame 630A.</t>
  </si>
  <si>
    <t>PEINE_3F_36p</t>
  </si>
  <si>
    <t>"Peine" trifásico para 36 polos.</t>
  </si>
  <si>
    <t>PEINE_3F_24p</t>
  </si>
  <si>
    <t>"Peine" trifásico para 24 polos.</t>
  </si>
  <si>
    <t>PEINE_2F_24p</t>
  </si>
  <si>
    <t>"Peine" monofásico para 24 polos.</t>
  </si>
  <si>
    <t>PEINE_2F_18p</t>
  </si>
  <si>
    <t>"Peine" monofásico para 18 polos.</t>
  </si>
  <si>
    <t>PEINE_2F_8p</t>
  </si>
  <si>
    <t>"Peine" monofásico para 8 polos.</t>
  </si>
  <si>
    <t>SPV050480Y2K</t>
  </si>
  <si>
    <t>Protector contra Sobretensión Transitorio, Trifásico, corriente pico por fase de 50kA, 4 Hilos, Estrella, 480/277Vac, con LED de indicación de estado de cada fase, marca EATON.</t>
  </si>
  <si>
    <t>Protector contra Sobretensión Transitorio, Trifásico, corriente pico por fase de 50kA, 4 Hilos, Estrella, 400/230Vac, con LED de indicación de estado de cada fase, marca EATON.</t>
  </si>
  <si>
    <t>SPV050208Y2K</t>
  </si>
  <si>
    <t>Protector contra Sobretensión Transitorio, Trifásico, corriente pico por fase de 50kA, 3 Hilos, Estrella, 230Vac, con LED de indicación de estado de cada fase, marca EATON.</t>
  </si>
  <si>
    <t>Protector contra Sobretensión Transitorio, Trifásico, corriente pico por fase de 100kA, 4 Hilos, Estrella, 400/230Vac, con LED de indicación de estado de cada fase, marca EATON.</t>
  </si>
  <si>
    <t>Protector contra Sobretensión Transitorio, Trifásico, corriente pico por fase de 120kA, 4 Hilos, Estrella, 400Vac, con LED de indicación de estado de cada fase y contactos auxiliares de señalización de estado, marca EATON.</t>
  </si>
  <si>
    <t>PSPD250220Y3K</t>
  </si>
  <si>
    <t>Protector contra Sobretensión Transitorio, Trifásico, corriente pico por fase de 250kA, 4 Hilos, Estrella, 220Vac, con LED de indicación de estado de cada fase y contactos auxiliares de señalización de estado, mmarca EATON.</t>
  </si>
  <si>
    <t>Protector contra Sobretensión Transitorio, Trifásico, corriente pico por fase de 250kA, 4 Hilos, Estrella, 400Vac, con LED de indicación de estado de cada fase y contactos auxiliares de señalización de estado, mmarca EATON.</t>
  </si>
  <si>
    <t>Protector contra Sobretensión Transitorio, Trifásico, corriente pico por fase de 400kA, 4 Hilos, Estrella, 400Vac, con LED de indicación de estado de cada fase y contactos auxiliares de señalización de estado, marca EATON.</t>
  </si>
  <si>
    <t>Dispositivo Protector de Sobretensión, Trifásico, 4 Hilos, 220/127V, Corriente de pico por fase de 120kA, Indicadores LED de estado de la protección, modelo PSPD, marca EATON.</t>
  </si>
  <si>
    <t>PSPD100220Y3K</t>
  </si>
  <si>
    <t>Protector contra Sobretensión Transitorio, Trifásico, corriente pico por fase de 100kA, 3 Hilos, Estrella, 230Vac, con LED de indicación de estado de cada fase, marca EATON.</t>
  </si>
  <si>
    <t>PSPD100480Y3K</t>
  </si>
  <si>
    <t>Protector contra Sobretensión Transitorio, Trifásico, corriente pico por fase de 100kA, 4 Hilos, Estrella, 480Vac, con LED de indicación de estado de cada fase y contactos auxiliares de señalización de estado - marca EATON.</t>
  </si>
  <si>
    <t>SPD100220Y3K</t>
  </si>
  <si>
    <t>Protector contra Sobretensión Transitorio, Trifásico, corriente pico por fase de 100kA, 3 Hilos, Estrella, 220Vac, con LED de indicación de estado de cada fase, marca EATON.</t>
  </si>
  <si>
    <t>Protector contra Sobretensión Transitorio, Trifásico, corriente pico por fase de 50kA, 3 Hilos, Estrella, 220Vac, con LED de indicación de estado de cada fase, marca EATON.</t>
  </si>
  <si>
    <t>Relé de sobrecarga, para contactores DILM 7…DILM15, regulable (0.10 - 0.16)A. - marca EATON.</t>
  </si>
  <si>
    <t>Relé de sobrecarga, para contactores DILM 7…DILM15, regulable (0.16 - 0.24)A. - marca EATON.</t>
  </si>
  <si>
    <t>Relé de sobrecarga, para contactores DILM 7…DILM15, regulable (0.24 - 0.4)A. - marca EATON.</t>
  </si>
  <si>
    <t>Relé de sobrecarga, para contactores DILM 7…DILM15, regulable (0.4 - 0.6)A. - marca EATON.</t>
  </si>
  <si>
    <t>Relé de sobrecarga, para contactores DILM 7…DILM15, regulable (0.6 - 1.0)A. - marca EATON.</t>
  </si>
  <si>
    <t>Relé de sobrecarga, para contactores DILM 7…DILM15, regulable (1.0 - 1.6)A. - marca EATON.</t>
  </si>
  <si>
    <t>Relé de sobrecarga, para contactores DILM 7…DILM15, regulable (1.6 - 2.4)A. - marca EATON.</t>
  </si>
  <si>
    <t>Relé de sobrecarga, para contactores DILM 7…DILM15, regulable (2.4 - 4.0)A. - marca EATON.</t>
  </si>
  <si>
    <t>Relé de sobrecarga, para contactores DILM 7…DILM15, regulable (4.0 - 6.0)A. - marca EATON.</t>
  </si>
  <si>
    <t>Relé de sobrecarga, para contactores DILM 7…DILM15, regulable (6.0 - 10.0)A. - marca EATON.</t>
  </si>
  <si>
    <t>Relé de sobrecarga, para contactores DILM 7…DILM15, regulable (9.0 - 12.0)A. - marca EATON.</t>
  </si>
  <si>
    <t>Relé de sobrecarga, para contactores DILM 7…DILM15, regulable (12.0 - 16.0)A. - marca EATON.</t>
  </si>
  <si>
    <t>Relé de sobrecarga, para contactores DILM 18…DILM32, regulable (0.10 - 0.16)A. - marca EATON.</t>
  </si>
  <si>
    <t>Relé de sobrecarga, para contactores DILM 18…DILM32, regulable (0.16 - 0.24)A. - marca EATON.</t>
  </si>
  <si>
    <t>Relé de sobrecarga, para contactores DILM 18…DILM32, regulable (0.24 - 0.4)A. - marca EATON.</t>
  </si>
  <si>
    <t>Relé de sobrecarga, para contactores DILM 18…DILM32, regulable (0.4 - 0.6)A. - marca EATON.</t>
  </si>
  <si>
    <t>Relé de sobrecarga, para contactores DILM 18…DILM32, regulable (0.6 - 1.0)A. - marca EATON.</t>
  </si>
  <si>
    <t>Relé de sobrecarga, para contactores DILM 18…DILM32, regulable (1.0 - 1.6)A. - marca EATON.</t>
  </si>
  <si>
    <t>Relé de sobrecarga, para contactores DILM 18…DILM32, regulable (1.6 - 2.4)A. - marca EATON.</t>
  </si>
  <si>
    <t>Relé de sobrecarga, para contactores DILM 18…DILM32, regulable (2.4 - 4.0)A. - marca EATON.</t>
  </si>
  <si>
    <t>Relé de sobrecarga, para contactores DILM 18…DILM32, regulable (4.0 - 6.0)A. - marca EATON.</t>
  </si>
  <si>
    <t>Relé de sobrecarga, para contactores DILM 18…DILM32, regulable (6.0 - 10.0)A. - marca EATON.</t>
  </si>
  <si>
    <t>Relé de sobrecarga, para contactores DILM 18…DILM32, regulable (12.0 - 16.0)A. - marca EATON.</t>
  </si>
  <si>
    <t>Relé de sobrecarga, para contactores DILM 18…DILM32, regulable (16.0 - 24.0)A. - marca EATON.</t>
  </si>
  <si>
    <t>Relé de sobrecarga, para contactores DILM 18…DILM32, regulable (24.0 - 32.0)A. - marca EATON.</t>
  </si>
  <si>
    <t>ZB32-38</t>
  </si>
  <si>
    <t>Relé de sobrecarga, para contactores DILM 18…DILM32, regulable (32.0 - 38.0)A. - marca EATON.</t>
  </si>
  <si>
    <t>Relé de sobrecarga XT para contactores DILM 7…DILM15, regulable (1.0 - 1.6)A. - marca EATON.</t>
  </si>
  <si>
    <t>Relé de sobrecarga XT para contactores DILM 7…DILM15, regulable (1.6 - 2.4)A. - marca EATON.</t>
  </si>
  <si>
    <t>Relé de sobrecarga XT para contactores DILM 7…DILM15, regulable (2.4 - 4.0)A. - marca EATON.</t>
  </si>
  <si>
    <t>Relé de sobrecarga XT para contactores DILM 7…DILM15, regulable (4.0 - 6.0)A. - marca EATON.</t>
  </si>
  <si>
    <t>Relé de sobrecarga XT para contactores DILM 7…DILM15, regulable (6.0 - 10.0)A. - marca EATON.</t>
  </si>
  <si>
    <t>Relé de sobrecarga XT para contactores DILM 7…DILM15, regulable (9.0 - 12.0)A. - marca EATON.</t>
  </si>
  <si>
    <t>Relé de sobrecarga  XT para contactores DILM 7…DILM15, regulable (12.0 - 16.0)A. - marca EATON.</t>
  </si>
  <si>
    <t>XTOB016CC1</t>
  </si>
  <si>
    <t>Relé de sobrecarga XT para contactores DILM 18…DILM32, regulable (10.0 - 16.0)A. - marca EATON.</t>
  </si>
  <si>
    <t>marca EATON</t>
  </si>
  <si>
    <t>Relé de sobrecarga XT para contactores DILM 18…DILM32, regulable (16.0 - 24.0)A. - marca EATON.</t>
  </si>
  <si>
    <t>Relé de sobrecarga XT para contactores DILM 18…DILM32, regulable (24.0 - 32.0)A. - marca EATON.</t>
  </si>
  <si>
    <t>XTOB040DC1</t>
  </si>
  <si>
    <t>Relé de sobrecarga XT para contactores DILM 40…DILM65, regulable (24.0 - 40.0)A. - marca EATON.</t>
  </si>
  <si>
    <t>XTOB057DC1</t>
  </si>
  <si>
    <t>Relé de sobrecarga XT para contactores DILM 40…DILM65, regulable (40.0 - 57.0)A. - marca EATON.</t>
  </si>
  <si>
    <t>XTOB065DC1</t>
  </si>
  <si>
    <t>Relé de sobrecarga XT para contactores DILM 40…DILM65, regulable (50.0 - 65.0)A. - marca EATON.</t>
  </si>
  <si>
    <t>Rele auxiliar enchufable +4NA/NC (D2PR4B + base D2PA6), 220Vac - marca EATON.</t>
  </si>
  <si>
    <t>D2PR2B+D2PA6</t>
  </si>
  <si>
    <t>Rele auxiliar enchufable +2NA/NC (D2PR2B + base D2PA6), 220Vac - marca EATON.</t>
  </si>
  <si>
    <t>DILM150-XHI11</t>
  </si>
  <si>
    <t>Contacto auxiliar frontal 1NA+1NC para contactor DILM40...DILM170.</t>
  </si>
  <si>
    <t>Enclavamiento mecánico para contactores DILM80..DILM170.</t>
  </si>
  <si>
    <t>DILM500-XMV</t>
  </si>
  <si>
    <t>Enclavamiento mecánico para contactores DILM185..DILM500.</t>
  </si>
  <si>
    <t>DILM820-XMV</t>
  </si>
  <si>
    <t>Enclavamiento mecánico para contactores DILM580..DILM1000.</t>
  </si>
  <si>
    <t>PKZM0-6,3</t>
  </si>
  <si>
    <t>Guardamotor con rango de ajuste (4 - 6.3)A, modelo PKZM - marca EATON</t>
  </si>
  <si>
    <t>PKZM01-0,16</t>
  </si>
  <si>
    <t>Guardamotor 0.1 - 0.16, modelo PKZM marca EATON</t>
  </si>
  <si>
    <t>PKZM01-0,25</t>
  </si>
  <si>
    <t>Guardamotor 0.1 - 0.25, modelo PKZM marca EATON</t>
  </si>
  <si>
    <t>PKZM01-0,4</t>
  </si>
  <si>
    <t>Guardamotor 0.1 - 0.4, modelo PKZM marca EATON</t>
  </si>
  <si>
    <t>PKZM01-0,63</t>
  </si>
  <si>
    <t>Guardamotor 0.1 - 0.63, modelo PKZM marca EATON</t>
  </si>
  <si>
    <t>PKZM01-1</t>
  </si>
  <si>
    <t>Guardamotor 0.1 - 1.0 modelo PKZM marca EATON</t>
  </si>
  <si>
    <t>PKZM01-1,6</t>
  </si>
  <si>
    <t>Guardamotor 1 - 1.6 modelo PKZM marca EATON</t>
  </si>
  <si>
    <t>PKZM01-2,5</t>
  </si>
  <si>
    <t>Guardamotor 1 - 2.5 modelo PKZM marca EATON</t>
  </si>
  <si>
    <t>PKZM01-4</t>
  </si>
  <si>
    <t>Guardamotor 1 - 4 modelo PKZM marca EATON</t>
  </si>
  <si>
    <t>PKZM01-6,3</t>
  </si>
  <si>
    <t>Guardamotor 1 - 6.3 modelo PKZM marca EATON</t>
  </si>
  <si>
    <t>PKZM01-10</t>
  </si>
  <si>
    <t>Guardamotor 1 - 10 modelo PKZM marca EATON</t>
  </si>
  <si>
    <t>PKZM01-12</t>
  </si>
  <si>
    <t>Guardamotor 1 - 12 modelo PKZM marca EATON</t>
  </si>
  <si>
    <t>PKZM01-16</t>
  </si>
  <si>
    <t>Guardamotor 1 - 16 modelo PKZM marca EATON</t>
  </si>
  <si>
    <t>ITM Caja Moldeada de 4x20A , ( Reg. 15-20A ) LZMS1 + terminales internos p/ conexión,  90kA@240Vac. - 70kA@415Vac. - marca EATON.</t>
  </si>
  <si>
    <t>ITM Caja Moldeada de 4x25A , ( Reg. 20-25A ) LZMS1 + terminales internos p/ conexión,  90kA@240Vac. - 70kA@415Vac. - marca EATON.</t>
  </si>
  <si>
    <t>ITM Caja Moldeada de 4x32A , ( Reg. 25-32A ) LZMS1 + terminales internos p/ conexión,  90kA@240Vac. - 70kA@415Vac. - marca EATON.</t>
  </si>
  <si>
    <t>ITM Caja Moldeada de 4x40A , ( Reg. 32-40A ) LZMS1 + terminales internos p/ conexión,  90kA@240Vac. - 70kA@415Vac. - marca EATON.</t>
  </si>
  <si>
    <t>ITM Caja Moldeada de 4x50A , ( Reg. 40-50A ) LZMS1 + terminales internos p/ conexión,  90kA@240Vac. - 70kA@415Vac. - marca EATON.</t>
  </si>
  <si>
    <t>ITM Caja Moldeada de 4x63A , ( Reg. 50-63A ) LZMS1 + terminales internos p/ conexión,  90kA@240Vac. - 70kA@415Vac. - marca EATON.</t>
  </si>
  <si>
    <t>ITM Caja Moldeada de 4x80A , ( Reg. 63-80A ) LZMS1 + terminales internos p/ conexión,  90kA@240Vac. - 70kA@415Vac. - marca EATON.</t>
  </si>
  <si>
    <t>ITM Caja Moldeada de 4x100A , ( Reg. 80-100A ) LZMS1 + terminales internos p/ conexión,  90kA@240Vac. - 70kA@415Vac. - marca EATON.</t>
  </si>
  <si>
    <t>ITM Caja Moldeada de 4x125A , ( Reg. 100-125A ) LZMS1 + terminales internos p/ conexión, 90kA@240Vac. - 70kA@415Vac. - marca EATON.</t>
  </si>
  <si>
    <t>ITM Caja Moldeada de 4x160A , ( Reg. 125-160A ) LZMS1 + terminales internos p/ conexión, 90kA@240Vac. - 70kA@415Vac. - marca EATON.</t>
  </si>
  <si>
    <t>LZMS2-4-A25</t>
  </si>
  <si>
    <t>ITM Caja Moldeada de 4x25A , ( Reg. 20-25A ) LZMS2,  90kA@240Vac. - 70kA@415Vac. - marca EATON.</t>
  </si>
  <si>
    <t>ITM Caja Moldeada de 4x32A , ( Reg. 125-160A ) LZMS2, 100kA@240Vac. - 70kA@415Vac. - marca EATON.</t>
  </si>
  <si>
    <t>LZMS2-4-A40</t>
  </si>
  <si>
    <t>ITM Caja Moldeada de 4x40A , ( Reg. 32-40A ) LZMS2,  90kA@240Vac. - 70kA@415Vac. - marca EATON.</t>
  </si>
  <si>
    <t>LZMS2-4-A50</t>
  </si>
  <si>
    <t>ITM Caja Moldeada de 4x50A , ( Reg. 40-50A ) LZMS2,  90kA@240Vac. - 70kA@415Vac. - marca EATON.</t>
  </si>
  <si>
    <t>LZMS2-4-A63</t>
  </si>
  <si>
    <t>ITM Caja Moldeada de 4x63A , ( Reg. 50-63A ) LZMS2,  90kA@240Vac. - 70kA@415Vac. - marca EATON.</t>
  </si>
  <si>
    <t>LZMS2-4-A80</t>
  </si>
  <si>
    <t>ITM Caja Moldeada de 4x80A , ( Reg. 63-80A ) LZMS2,  90kA@240Vac. - 70kA@415Vac. - marca EATON.</t>
  </si>
  <si>
    <t>ITM Caja Moldeada de 4x100A , ( Reg. 125-160A ) LZMS2, 100kA@240Vac. - 70kA@415Vac. - marca EATON.</t>
  </si>
  <si>
    <t>LZMS2-4-A125</t>
  </si>
  <si>
    <t>ITM Caja Moldeada de 4x125A , ( Reg. 100-125A ) LZMS2, 90kA@240Vac. - 70kA@415Vac. - marca EATON.</t>
  </si>
  <si>
    <t>ITM Caja Moldeada de 4x160A , ( Reg. 125-160A ) LZMS2, 100kA@240Vac. - 70kA@415Vac. - marca EATON.</t>
  </si>
  <si>
    <t>ITM Caja Moldeada de 4x200A , ( Reg. 160-200A ) LZMS2, 100kA@240Vac. - 70kA@415Vac. - marca EATON.</t>
  </si>
  <si>
    <t>ITM Caja Moldeada de 4x250A , ( Reg. 200-250A ) LZMS2, 100kA@240Vac. - 70kA@415Vac. - marca EATON.</t>
  </si>
  <si>
    <t>ITM Caja Moldeada de 4x320A , ( Reg. 250-320A ) LZMS3, 100kA@240Vac. - 70kA@415Vac. - marca EATON.</t>
  </si>
  <si>
    <t>ITM Caja Moldeada de 4x400A , ( Reg. 320-400A ) LZMS3, 100kA@240Vac. - 70kA@415Vac. - marca EATON.</t>
  </si>
  <si>
    <t>ITM Caja Moldeada de 4x500A , ( Reg. 400-500A ) LZMS3, 100kA@240Vac. - 70kA@415Vac. - marca EATON.</t>
  </si>
  <si>
    <t>ITM Caja Moldeada de 4x400A , electrónico ( Reg. 200-400A ) LZMS3, 100kA@240Vac. - 70kA@415Vac. - marca EATON.</t>
  </si>
  <si>
    <t>ITM Caja Moldeada de 4x630A , electrónico ( Reg. 315-630A ) LZMS3, 100kA@240Vac. - 70kA@415Vac. - marca EATON.</t>
  </si>
  <si>
    <t>ITM Caja Moldeada de 4x800A , electrónico ( Reg. 400-800A ) LZMS4, 100kA@240Vac. - 70kA@415Vac. - marca EATON.</t>
  </si>
  <si>
    <t>ITM Caja Moldeada de 4x1000A , electrónico ( Reg. 500-1000A ) LZMS4, 100kA@240Vac. - 70kA@415Vac. - marca EATON.</t>
  </si>
  <si>
    <t>ITM Caja Moldeada de 4x1250A , electrónico ( Reg. 630-1250A ) LZMS4, 100kA@240Vac. - 70kA@415Vac. - marca EATON.</t>
  </si>
  <si>
    <t>ITM Caja Moldeada de 4x1600A , electrónico ( Reg. 800-1600A ) LZMS4, 100kA@240Vac. - 70kA@415Vac. - marca EATON.</t>
  </si>
  <si>
    <t>BoxT_LZM1_4t_160A</t>
  </si>
  <si>
    <t>Jgo. de 3 terminales tipo tunel hasta 160A + Cubrebornes ( 1x16-95mm² ) para LZMS1 - TunT_LZM1_4t.</t>
  </si>
  <si>
    <t>NZM2-4-160-XKC - Jgo. de 4 terminales internos p/ conexión hasta 160A ( 1x4-185mm² ) para LZMS2.</t>
  </si>
  <si>
    <t>NZM2-4-250-XKC - Jgo. de 4 terminales internos p/ conexión hasta 250A ( 1x4-185mm² ) para LZMS2.</t>
  </si>
  <si>
    <t>NZM2-4-XKA - Jgo. de 4 terminales tipo tunel hasta 300A + Cubrebornes ( 1x16-185m² ) para LZMS2.</t>
  </si>
  <si>
    <t>NZM3-4-XKC - Jgo. de 4 terminales internos p/ conexión hasta 400A ( 1x35-240mm² ) para LZMS3.</t>
  </si>
  <si>
    <t>NZM3-4-XKA1 - Jgo. de 4 terminales tipo tunel hasta 320A + Cubrebornes ( 1x16-185m² ) para LZMS3.</t>
  </si>
  <si>
    <t>NZM3-4-XKA2 - Jgo. de 4 terminales tipo tunel hasta 630A + Cubrebornes ( 2x50-240m² ) para LZMS3.</t>
  </si>
  <si>
    <t>NZM4-4-XKA - Jgo. de 4 terminales tipo tunel hasta 1250A + Cubrebornes ( 4x50-240m² ) para LZMS4.</t>
  </si>
  <si>
    <t>Magnum(MWN)-extraib_2000A_3p_65kA_LSI + bloq mec + motor</t>
  </si>
  <si>
    <t>ITM Bastidor Abierto 3x2000A([0.4-1.0] In) extraíble - Magnum(MWN)_2000A_3p_LSI - 65kA@480Vac, Uc=120Vac, moto-operado + enc. mec.</t>
  </si>
  <si>
    <t>Magnum(MWN)-extraib_1000A_3p_65kA_LSI + bloq mec + motor</t>
  </si>
  <si>
    <t>ITM Bastidor Abierto 3x1000A([0.4-1.0] In) extraíble - Magnum(MWN)_1000A_3p_LSI - 65kA@480Vac, Uc=120Vac, moto-operado + enc. mec.</t>
  </si>
  <si>
    <t>Magnum(MWN)-extraib_800A_3p_65kA_LSI + bloq mec + motor</t>
  </si>
  <si>
    <t>ITM Bastidor Abierto 3x800A([0.4-1.0] In) extraíble - Magnum(MWN)_800A_3p_LSI - 65kA@480Vac, Uc=120Vac, moto-operado + enc. mec.</t>
  </si>
  <si>
    <t>Magnum(MWN)-extraib_630A_3p_65kA_LSI + bloq mec + motor</t>
  </si>
  <si>
    <t>ITM Bastidor Abierto 3x630A([0.4-1.0] In) extraíble - Magnum(MWN)_630A_3p_LSI - 65kA@480Vac, Uc=120Vac, moto-operado + enc. mec.</t>
  </si>
  <si>
    <t>Magnum(MWN)-extraib_500A_3p_65kA_LSI + bloq mec + motor</t>
  </si>
  <si>
    <t>ITM Bastidor Abierto 3x500A([0.4-1.0] In) extraíble - Magnum(MWN)_500A_3p_LSI - 65kA@480Vac, Uc=120Vac, moto-operado + enc. mec.</t>
  </si>
  <si>
    <t>Magnum(MWN)-extraib_1250A_3p_50kA_LSI + bloq mec + motor</t>
  </si>
  <si>
    <t>ITM Bastidor Abierto 3x1250A([0.4-1.0] In) extraíble - Magnum(MWN)_1250A_3p_LSI - 50kA@480Vac, Uc=120Vac, moto-operado + enc. mec.</t>
  </si>
  <si>
    <t>Magnum(MWN)-extraib_1250A_3p_50kA_LSI + motor</t>
  </si>
  <si>
    <t>ITM Bastidor Abierto 3x1250A([0.4-1.0] In) extraíble - Magnum(MWN)_1250A_3p_LSI - 50kA@480Vac, Uc=120Vac, moto-operado</t>
  </si>
  <si>
    <t>Magnum(MWN)-extraib_1000A_3p_50kA_LSI + bloq mec + motor</t>
  </si>
  <si>
    <t>ITM Bastidor Abierto 3x1000A([0.4-1.0] In) extraíble - Magnum(MWN)_1000A_3p_LSI - 50kA@480Vac, Uc=120Vac, moto-operado + enc. mec.</t>
  </si>
  <si>
    <t>Magnum(MWN)-extraib_800A_3p_50kA_LSI + bloq mec + motor</t>
  </si>
  <si>
    <t>ITM Bastidor Abierto 3x800A([0.4-1.0] In) extraíble - Magnum(MWN)_800A_3p_LSI - 50kA@480Vac, Uc=120Vac, moto-operado + enc. mec.</t>
  </si>
  <si>
    <t>Magnum(MWN)-extraib_630A_3p_50kA_LSI + bloq mec + motor</t>
  </si>
  <si>
    <t>ITM Bastidor Abierto 3x630A([0.4-1.0] In) extraíble - Magnum(MWN)_630A_3p_LSI - 50kA@480Vac, Uc=120Vac, moto-operado + enc. mec.</t>
  </si>
  <si>
    <t>Magnum(MWN)-extraib_500A_3p_50kA_LSI + bloq mec + motor</t>
  </si>
  <si>
    <t>ITM Bastidor Abierto 3x500A([0.4-1.0] In) extraíble - Magnum(MWN)_500A_3p_LSI - 50kA@480Vac, Uc=120Vac, moto-operado + enc. mec.</t>
  </si>
  <si>
    <t>Magnum(MWN)-extraib_1000A_3p_50kA_LSI</t>
  </si>
  <si>
    <t>ITM Bastidor Abierto 3x1000A([0.4-1.0] In) extraíble - Magnum(MWN)_1000A_3p_LSI - 50kA@480Vac, Uc=120Vac</t>
  </si>
  <si>
    <t>Magnum(MWN)-extraib_800A_3p_50kA_LSI</t>
  </si>
  <si>
    <t>ITM Bastidor Abierto 3x800A([0.4-1.0] In) extraíble - Magnum(MWN)_800A_3p_LSI - 50kA@480Vac, Uc=120Vac</t>
  </si>
  <si>
    <t>Magnum(MWN)-extraib_630A_3p_50kA_LSI</t>
  </si>
  <si>
    <t>ITM Bastidor Abierto 3x630A([0.4-1.0] In) extraíble - Magnum(MWN)_630A_3p_LSI - 50kA@480Vac, Uc=120Vac</t>
  </si>
  <si>
    <t>Magnum(MWN)-extraib_500A_3p_50kA_LSI</t>
  </si>
  <si>
    <t>ITM Bastidor Abierto 3x500A([0.4-1.0] In) extraíble - Magnum(MWN)_500A_3p_LSI - 50kA@480Vac, Uc=120Vac</t>
  </si>
  <si>
    <t>Magnum(MWN)-extraib_1000A_3p_40kA_LSI</t>
  </si>
  <si>
    <t>ITM Bastidor Abierto 3x1000A([0.4-1.0] In) extraíble - Magnum(MWN)_1000A_3p_LSI - 40kA@480Vac, Uc=120Vac</t>
  </si>
  <si>
    <t>Magnum(MWN)-extraib_800A_3p_40kA_LSI</t>
  </si>
  <si>
    <t>ITM Bastidor Abierto 3x800A([0.4-1.0] In) extraíble - Magnum(MWN)_800A_3p_LSI - 40kA@480Vac, Uc=120Vac</t>
  </si>
  <si>
    <t>Magnum(MWN)-extraib_630A_3p_40kA_LSI</t>
  </si>
  <si>
    <t>ITM Bastidor Abierto 3x630A([0.4-1.0] In) extraíble - Magnum(MWN)_630A_3p_LSI - 40kA@480Vac, Uc=120Vac</t>
  </si>
  <si>
    <t>Magnum(MWN)-extraib_500A_3p_40kA_LSI</t>
  </si>
  <si>
    <t>ITM Bastidor Abierto 3x500A([0.4-1.0] In) extraíble - Magnum(MWN)_500A_3p_LSI - 40kA@480Vac, Uc=120Vac</t>
  </si>
  <si>
    <t>Magnum(MWN)-extraib_2000A_3p_65kA_LSIG + bloq mec + motor</t>
  </si>
  <si>
    <t>ITM Bastidor Abierto 3x2000A([0.4-1.0] In) extraíble - Magnum(MWN)_2000A_3p_LSIG - 65kA@480Vac, Uc=120Vac, moto-operado + enc. mec.</t>
  </si>
  <si>
    <t>Magnum(MWN)-extraib_1250A_3p_50kA_LSIG + bloq mec + motor</t>
  </si>
  <si>
    <t>ITM Bastidor Abierto 3x1250A([0.4-1.0] In) extraíble - Magnum(MWN)_1250A_3p_LSIG - 50kA@480Vac, Uc=120Vac, moto-operado + enc. mec.</t>
  </si>
  <si>
    <t>Magnum(MWN)-extraib_1250A_3p_50kA_LSIG + motor</t>
  </si>
  <si>
    <t>ITM Bastidor Abierto 3x1250A([0.4-1.0] In) extraíble - Magnum(MWN)_1250A_3p_LSIG - 50kA@480Vac, Uc=120Vac, moto-operado</t>
  </si>
  <si>
    <t>Magnum(MWN)-extraib_1000A_3p_65kA_LSIG + bloq mec + motor</t>
  </si>
  <si>
    <t>ITM Bastidor Abierto 3x1000A([0.4-1.0] In) extraíble - Magnum(MWN)_1000A_3p_LSIG - 65kA@480Vac, Uc=120Vac, moto-operado + enc. mec.</t>
  </si>
  <si>
    <t>Magnum(MWN)-extraib_630A_3p_50kA_LSIG</t>
  </si>
  <si>
    <t>ITM Bastidor Abierto 3x630A([0.4-1.0] In) extraíble - Magnum(MWN)_630A_3p_LSIG - 50kA@480Vac, Uc=120Vac</t>
  </si>
  <si>
    <t>Magnum(MWN)-extraib_500A_3p_40kA_LSIG + bloq mec + motor</t>
  </si>
  <si>
    <t>ITM Bastidor Abierto 3x500A([0.4-1.0] In) extraíble - Magnum(MWN)_500A_3p_LSIG - 50kA@480Vac, Uc=120Vac, moto-operado + enc. mec.</t>
  </si>
  <si>
    <t>Magnum(MWN)-extraib_1000A_3p_40kA_LSIG</t>
  </si>
  <si>
    <t>ITM Bastidor Abierto 3x1000A([0.4-1.0] In) extraíble - Magnum(MWN)_1000A_3p_LSIG - 40kA@480Vac, Uc=120Vac</t>
  </si>
  <si>
    <t>Magnum(MWN)-extraib_630A_3p_40kA_LSIG</t>
  </si>
  <si>
    <t>ITM Bastidor Abierto 3x630A([0.4-1.0] In) extraíble - Magnum(MWN)_630A_3p_LSIG - 40kA@480Vac, Uc=120Vac</t>
  </si>
  <si>
    <t>NAS4073W2S6ABAN4524X+NA163GABNSFNNB</t>
  </si>
  <si>
    <t>ITM Bastidor Abierto 3x500A([0.4-1.0] In) extraíble - IZM_500A_3p_LSIG - 40kA@480Vac, Uc=120Vac, moto-operado + enc. mec.</t>
  </si>
  <si>
    <t>NAS4073W2S7ABAN4524X+NA163GABNSFNNB</t>
  </si>
  <si>
    <t>ITM Bastidor Abierto 3x630A([0.4-1.0] In) extraíble - IZMX_630A_3p_LSIG - 50kA@480Vac, Uc=120Vac</t>
  </si>
  <si>
    <t>NAS4073W2S7ABAN4529X+NA163FABNSFNNB</t>
  </si>
  <si>
    <t>ITM Bastidor Abierto 3x630A([0.4-1.0] In) extraíble - IZMX_630A_3p_LSIG - 40kA@480Vac, Uc=120Vac</t>
  </si>
  <si>
    <t>NAS4133W2SCABAN4524X+NA163GABNSFNNB</t>
  </si>
  <si>
    <t>ITM Bastidor Abierto 3x1250A([0.4-1.0] In) extraíble - IZMX_1250A_3p_LSIG - 50kA@480Vac, Uc=120Vac, moto-operado</t>
  </si>
  <si>
    <t>NAS6103W2SAABAN4524X+NA163GABNSFNNB</t>
  </si>
  <si>
    <t>ITM Bastidor Abierto 3x1000A([0.4-1.0] In) extraíble - IZMX_1000A_3p_LSIG - 65kA@480Vac, Uc=120Vac</t>
  </si>
  <si>
    <t>RAS6203W2SMABAN6529X+RA403FABNSFNNB</t>
  </si>
  <si>
    <t>ITM Bastidor Abierto 3x2000A([0.4-1.0] In) extraíble - IZMX_2000A_3p_LSIG - 65kA@480Vac, Uc=120Vac, moto-operado + enc. mec.</t>
  </si>
  <si>
    <t>IZMX-DC16-F-1</t>
  </si>
  <si>
    <t>Cubierta IP54, junta y herramientas de montaje</t>
  </si>
  <si>
    <t>IZMX-MIL2C-W16-2</t>
  </si>
  <si>
    <t>Kits de montaje de enclavamiento mecánico Tipo de cable 32</t>
  </si>
  <si>
    <t>IZMX-MIL2C-W40-2</t>
  </si>
  <si>
    <t>Kits de ensamble de enclavamiento mecánico Tipo de cable 2</t>
  </si>
  <si>
    <t>IZMX-MIL-CAB1830-2</t>
  </si>
  <si>
    <t>Incluye 2 cables de 6 pies de largo (1830 mm) cada uno</t>
  </si>
  <si>
    <t>IZMX-MIL-CAB2440-2</t>
  </si>
  <si>
    <t>Incluye 2 cables de 8 pies de largo (2440 mm) cada uno</t>
  </si>
  <si>
    <t>IZMX-MIL-CAB3050-2</t>
  </si>
  <si>
    <t>Incluye 2 cables de 10 pies de largo (3050 mm) cada uno</t>
  </si>
  <si>
    <t>Mod_Com_Bastidor_Eaton</t>
  </si>
  <si>
    <t>Modulo de Comunicaciones Modbus para Magum - EATON.</t>
  </si>
  <si>
    <t>Magnum(N)_2000A_4p_MWN5204HAA-20M2NMN4YNANFX</t>
  </si>
  <si>
    <t>ITM Bastidor Abierto 4x2000A (electrónico [0.4-1.0] In) - Magnum_2000A_4p_ - 50kA@480Vac, moto-operado.</t>
  </si>
  <si>
    <t>TOMA-I-EMP_3P+N+T(63A)_IP67</t>
  </si>
  <si>
    <t>ENCH-IND 3P+N+T(63A)_IP67</t>
  </si>
  <si>
    <t>TOMA-I-EMP_3P+N+T(32A)_IP67</t>
  </si>
  <si>
    <t>ENCH-IND 3P+N+T(32A)_IP67</t>
  </si>
  <si>
    <t>TOMA-I-EMP_1P+N+T(32A)_IP67</t>
  </si>
  <si>
    <t>ENCH-IND 1P+N+T(32A)_IP67</t>
  </si>
  <si>
    <t>A9R54225</t>
  </si>
  <si>
    <t>RCD_4x40A_300mA_B_S</t>
  </si>
  <si>
    <t>Interruptor diferencial 4x40A - 300mA, clase B, curva S (selectivo) - marca Schneider - Ref.: 16753.</t>
  </si>
  <si>
    <t>RCD_4x63A_300mA_B_S</t>
  </si>
  <si>
    <t>Interruptor diferencial 4x63A - 300mA, clase B, curva S (selectivo) - marca Schneider - Ref.: 16757.</t>
  </si>
  <si>
    <t>Ventilador + rejilla + filtro - 250x250mm. - Ue=230V, 240/270 m3/h, 250x250mm. - modelo FPF15K - marca FANDIS.</t>
  </si>
  <si>
    <t>HIGROSTATO</t>
  </si>
  <si>
    <t>Higrostato para ventilación. 110-240Vac - marca SCHNEIDER.</t>
  </si>
  <si>
    <t>NSYCCOHY230VID</t>
  </si>
  <si>
    <t>RESISTENCIA</t>
  </si>
  <si>
    <t>Resistencia calefactoras de 55w. 110-250Vac - marca SCHNEIDER.</t>
  </si>
  <si>
    <t>NSYCR55WU2</t>
  </si>
  <si>
    <t>Placa lamicoid p/autosop.</t>
  </si>
  <si>
    <t>Placa lamicoid rotulación de 3mm de espesor, fondo negro y letras blancas.</t>
  </si>
  <si>
    <t>PLACOR</t>
  </si>
  <si>
    <t>Placa lamicoid p/distr.</t>
  </si>
  <si>
    <t>1000x800x300mm_4X</t>
  </si>
  <si>
    <t>Tablero mural en acero - modelo AE, NEMA 4X / IP66 - 1200x800x300mm  - Ref.:1017.600 - marca RITTAL.</t>
  </si>
  <si>
    <t>1200x800x300mm_4X</t>
  </si>
  <si>
    <t>SOP-FIJ MURAL</t>
  </si>
  <si>
    <t>Soporte para fijación mural, fabricado en acero inoxidable AISI 304 (4 pzas.) - Ref.:2433.000 - marca RITTAL.</t>
  </si>
  <si>
    <t>TS8_2000x800x600mm_4X</t>
  </si>
  <si>
    <t>TS8_TapLat_800mm_4X</t>
  </si>
  <si>
    <t>Tapas latelares atornillables de acero inoxidable p/ TS 8, RAL 7035 - 2000x600mm. (2 pzas.) - Ref.: 8700.060 - marca RITTAL.</t>
  </si>
  <si>
    <t>TS8_ZocFront+Post_800mm_4X</t>
  </si>
  <si>
    <t>TS8_ZocLat100_800mm_4X</t>
  </si>
  <si>
    <t>TRAFO_2F_220-12V_100VA</t>
  </si>
  <si>
    <t>Transformador de tensión monofásico 220 / 12 Vac - 100VA.</t>
  </si>
  <si>
    <t>TRAFO_2F_460-220V_5000VA</t>
  </si>
  <si>
    <t>TRAFO_2F_460-220V_6000VA</t>
  </si>
  <si>
    <t>TRAFO_2F_460-220V_10000VA</t>
  </si>
  <si>
    <t>TRAFO_2F_480-240V_50VA</t>
  </si>
  <si>
    <t>Transformador de tensión monofásico 480 / 240 Vac - 50VA.</t>
  </si>
  <si>
    <t>Transformador de tensión de aislamiento trifásico 220 / 380 Vac - 100VA, marca AUDAX.</t>
  </si>
  <si>
    <t>Transformador de tensión de aislamiento monofásico 440 / 220 Vac - 100VA, marca AUDAX.</t>
  </si>
  <si>
    <t>Transformador de tensión de aislamiento monofásico 440 / 220 Vac - 500VA, marca AUDAX.</t>
  </si>
  <si>
    <t>Transformador de tensión de aislamiento trifásico 460 / 120 Vac - 100VA, marca AUDAX.</t>
  </si>
  <si>
    <t>Transformador de tensión de aislamiento monofásico 460 / 230 Vac - 5000VA, marca AUDAX.</t>
  </si>
  <si>
    <t>Transformador de tensión de aislamiento trifásico 460 / 230 Vac - 5000VA, marca AUDAX.</t>
  </si>
  <si>
    <t>TRAFO_2F_480-240V_100VA_AUD</t>
  </si>
  <si>
    <t>Transformador de tensión monofásico 480 / 240 Vac - 100VA, marca AUDAX.</t>
  </si>
  <si>
    <t>Transformador de tensión de aislamiento trifásico 480 / 232 Vac - 100VA, marca AUDAX.</t>
  </si>
  <si>
    <t>Transformador de tensión para control, monofásico, 460/230Vac / 120Vac, 50VA, modelo MTE - marca marca EATON.</t>
  </si>
  <si>
    <t>Transformador de tensión para control, monofásico, 460/230Vac / 120Vac, 100VA, modelo MTE - marca marca EATON.</t>
  </si>
  <si>
    <t>Transformador de tensión para control, monofásico, 460/230Vac / 120Vac, 200VA, modelo MTE - marca marca EATON.</t>
  </si>
  <si>
    <t>TRAFO_460V-120V_300VA_2F_IT</t>
  </si>
  <si>
    <t>Transformador de tensión para medida, 460 / 120 Vac, 300VA, presición 0.3 W, 0.6 X, 1.2 M @60Hz. - Modelo 475-480 (UL), marca INSTRUMENT TRANSFORMERS</t>
  </si>
  <si>
    <t>TRAFO_480V-120V_300VA_2F_IT</t>
  </si>
  <si>
    <t>Transformador de tensión para medida, 480 / 120 Vac, 300VA, presición 0.3 W, 0.6 X, 1.2 M @60Hz (UL), marca INSTRUMENT TRANSFORMERS</t>
  </si>
  <si>
    <t>TRAFO_380V-120V_300VA_2F_IT</t>
  </si>
  <si>
    <t>Transformador de tensión para medida, 380 / 120 Vac, 300VA, presición 0.3 W, 0.6 X, 1.2 M @60Hz. - Modelo 475-346 (UL), marca INSTRUMENT TRANSFORMERS</t>
  </si>
  <si>
    <t>REACT_5kVAR/230V_p7</t>
  </si>
  <si>
    <t>Reactancia para filtro de rechazo de armónicas, para paso de 5kVAR / 230 Vac, 60Hz, p=7%, tipo RX, marca CIRCUTOR.</t>
  </si>
  <si>
    <t>COND_5kVAR/230V_p7</t>
  </si>
  <si>
    <t>Condensador trifásico, para paso de potencia efectiva de 5kVAR / 230V, 60 Hz, p=7%, tipo CFB, marca CIRCUTOR.</t>
  </si>
  <si>
    <t>REACT_7.5kVAR/230V_p7</t>
  </si>
  <si>
    <t>Reactancia para filtro de rechazo de armónicas, para paso de 7.5kVAR / 230 Vac, 60Hz, p=7%, tipo RX, marca CIRCUTOR.</t>
  </si>
  <si>
    <t>COND_7.5kVAR/230V_p7</t>
  </si>
  <si>
    <t>Condensador trifásico, para paso de potencia efectiva de 7.5kVAR / 230V, 60 Hz, p=7%, tipo CFB, marca CIRCUTOR.</t>
  </si>
  <si>
    <t>Reactancia para filtro de rechazo de armónicas, para paso de 15kVAR / 230 Vac, 60Hz, p=14%, tipo RBX, marca CIRCUTOR.</t>
  </si>
  <si>
    <t>Condensador trifásico, para paso de potencia efectiva de 15kVAR / 230V, 60 Hz, p=14%, tipo CFB, marca CIRCUTOR.</t>
  </si>
  <si>
    <t>Reactancia para filtro de rechazo de armónicas, para paso de 20kVAR / 230Vac, 60Hz, p=14%, tipo RBX, marca CIRCUTOR.</t>
  </si>
  <si>
    <t>Condensador trifásico, para paso de potencia efectiva de 20kVAR / 230Vac, 60 Hz, p=14%, tipo CSB, marca CIRCUTOR.</t>
  </si>
  <si>
    <t>Reactancia para filtro de rechazo de armónicas, para paso de 30kVAR / 230Vac, 60Hz, p=7%, tipo RBX, marca CIRCUTOR.</t>
  </si>
  <si>
    <t>Condensador trifásico, para paso de potencia efectiva de 30kVAR / 230Vac, 60 Hz, p=7%, tipo CFB, marca CIRCUTOR.</t>
  </si>
  <si>
    <t>Reactancia para filtro de rechazo de armónicas, para paso de 20kVAR / 230Vac, 60Hz, p=7%, tipo RBX, marca CIRCUTOR.</t>
  </si>
  <si>
    <t>Condensador trifásico, para paso de potencia efectiva de 20kVAR / 230Vac, 60 Hz, p=7%, tipo CFB, marca CIRCUTOR.</t>
  </si>
  <si>
    <t>Reactancia para filtro de rechazo de armónicas, para paso de 12.5kVAR / 230Vac, 60Hz, p=7%, tipo RBX, marca CIRCUTOR.</t>
  </si>
  <si>
    <t>Condensador trifásico, para paso de potencia efectiva de 12.5kVAR / 230Vac, 60 Hz, p=7%, tipo CFB, marca CIRCUTOR.</t>
  </si>
  <si>
    <t>Reactancia para filtro de rechazo de armónicas, para paso de 10kVAR / 230Vac, 60Hz, p=7%, tipo RBX, marca CIRCUTOR.</t>
  </si>
  <si>
    <t>Reactancia para filtro de rechazo de armónicas, para paso de 10kVAR / 380 Vac, 60Hz, p=14%, tipo RBX, marca CIRCUTOR.</t>
  </si>
  <si>
    <t>Condensador trifásico, para paso de potencia efectiva de 10kVAR / 380V, 60 Hz, p=14%, tipo CFB, marca CIRCUTOR.</t>
  </si>
  <si>
    <t>Reactancia para filtro de rechazo de armónicas, para paso de 18kVAR / 380Vac, 60Hz, p=14%, tipo RBX, marca CIRCUTOR.</t>
  </si>
  <si>
    <t>Reactancia para filtro de rechazo de armónicas, para paso de 20kVAR / 380Vac, 60Hz, p=14%, tipo RBX, marca CIRCUTOR.</t>
  </si>
  <si>
    <t>Reactancia para filtro de rechazo de armónicas, para paso de 40kVAR / 380Vac, 60Hz, p=14%, tipo RBX, marca CIRCUTOR.</t>
  </si>
  <si>
    <t>Condensador trifásico, para paso de potencia efectiva de 40kVAR / 380Vac, 60Hz, p=14%, tipo CFB, marca CIRCUTOR.</t>
  </si>
  <si>
    <t>Condensador trifásico, para paso de potencia efectiva de 10kVAR / 380Vac, 60 Hz, p=7%, tipo CFB, marca CIRCUTOR.</t>
  </si>
  <si>
    <t>Reactancia para filtro de rechazo de armónicas, para paso de 15kVAR / 380Vac, 60Hz, p=7%, tipo RBX, marca CIRCUTOR.</t>
  </si>
  <si>
    <t>Condensador trifásico, para paso de potencia efectiva de 15kVAR / 380Vac, 60 Hz, p=7%, tipo CFB, marca CIRCUTOR.</t>
  </si>
  <si>
    <t>Reactancia para filtro de rechazo de armónicas, para paso de 20kVAR / 380Vac, 60Hz, p=7%, tipo RBX, marca CIRCUTOR.</t>
  </si>
  <si>
    <t>REACT_25kVAR/380V_p7</t>
  </si>
  <si>
    <t>Reactancia para filtro de rechazo de armónicas, para paso de 25kVAR / 380Vac, 60Hz, p=7%, tipo RBX, marca CIRCUTOR.</t>
  </si>
  <si>
    <t>REACT_26kVAR/380V_p7</t>
  </si>
  <si>
    <t>Reactancia para filtro de rechazo de armónicas, para paso de 26kVAR / 380Vac, 60Hz, p=7%, tipo RBX, marca CIRCUTOR.</t>
  </si>
  <si>
    <t>COND_26kVAR/380V_p7</t>
  </si>
  <si>
    <t>Condensador trifásico, para paso de potencia efectiva de 26kVAR / 380Vac, 60 Hz, p=7%, tipo CFB, marca CIRCUTOR.</t>
  </si>
  <si>
    <t>Reactancia para filtro de rechazo de armónicas, para paso de 30kVAR / 380Vac, 60Hz, p=7%, tipo RBX, marca CIRCUTOR.</t>
  </si>
  <si>
    <t>Condensador trifásico, para paso de potencia efectiva de 30kVAR / 380Vac, 60 Hz, p=7%, tipo CFB, marca CIRCUTOR.</t>
  </si>
  <si>
    <t>Reactancia para filtro de rechazo de armónicas, para paso de 40kVAR / 380Vac, 60Hz, p=7%, tipo RBX, marca CIRCUTOR.</t>
  </si>
  <si>
    <t>REACT_50kVAR/380V_p7</t>
  </si>
  <si>
    <t>Reactancia para filtro de rechazo de armónicas, para paso de 50kVAR / 400Vac, 60Hz, p=7%, tipo RBX, marca CIRCUTOR.</t>
  </si>
  <si>
    <t>COND_50kVAR/380V_p7</t>
  </si>
  <si>
    <t>Condensador trifásico, para paso de potencia efectiva de 50kVAR / 400Vac, 60 Hz, p=7%, tipo CFB, marca CIRCUTOR.</t>
  </si>
  <si>
    <t>Reactancia para filtro de rechazo de armónicas, para paso de 60kVAR / 380Vac, 60Hz, p=7%, tipo RBX, marca CIRCUTOR.</t>
  </si>
  <si>
    <t>Condensador, Trifásico, para paso de potencia efectiva de 60kVAR / 380Vac, 60 Hz, p=7%, tipo CFB, marca CIRCUTOR.</t>
  </si>
  <si>
    <t>Reactancia para filtro de rechazo de armónicas, para paso de 80kVAR / 400Vac, 60Hz, p=7%, tipo RBX, marca CIRCUTOR.</t>
  </si>
  <si>
    <t>Reactancia para filtro de rechazo de armónicas, para paso de 10kVAR / 400Vac, 60Hz, p=7%, tipo RX, marca CIRCUTOR.</t>
  </si>
  <si>
    <t>Reactancia para filtro de rechazo de armónicas, para paso de 15kVAR / 400Vac, 60Hz, p=7%, tipo RBX, marca CIRCUTOR.</t>
  </si>
  <si>
    <t>Condensador trifásico, para paso de potencia efectiva de 15kVAR / 400Vac, 60 Hz, p=7%, tipo CFB, marca CIRCUTOR.</t>
  </si>
  <si>
    <t>Condensador trifásico, para paso de potencia efectiva de 30kVAR / 400Vac, 60 Hz, p=7%, tipo CFB, marca CIRCUTOR.</t>
  </si>
  <si>
    <t>COND_60kVAR/400V_p7</t>
  </si>
  <si>
    <t>Reactancia para filtro de rechazo de armónicas, para paso de 60kVAR / 440Vac, 60Hz, p=7%, tipo RBX, marca CIRCUTOR.</t>
  </si>
  <si>
    <t>Condensador, Trifásico, para paso de potencia efectiva de 60kVAR / 440Vac, 60 Hz, p=7%, tipo CFB, marca CIRCUTOR.</t>
  </si>
  <si>
    <t>Condensador Prismático, Trifasico, 30kVAR / 460 V, 60 Hz, Tipo CFB, marca CIRCUTOR.</t>
  </si>
  <si>
    <t>REACT_15kVAR/460V</t>
  </si>
  <si>
    <t>Reactancia para filtro de rechazo de armónicas, para paso de potencia efectiva de 15 KVAR, 460 V, 60Hz, p= 7%, tipo RBX, marca CIRCUTOR.</t>
  </si>
  <si>
    <t>COND_15kVAR/460V</t>
  </si>
  <si>
    <t>Condensador, Trifásico, para paso de potencia efectiva de 15 KVAR, 460 V, 60 Hz, p= 7%, tipo CFB, marca CIRCUTOR.</t>
  </si>
  <si>
    <t>REACT_30kVAR/460V</t>
  </si>
  <si>
    <t>Reactancia para filtro de rechazo de armónicas, para paso de potencia efectiva de 30 KVAR, 460 V, 60Hz, p= 7%, tipo RBX, marca CIRCUTOR.</t>
  </si>
  <si>
    <t>Condensador, Trifásico, para paso de potencia efectiva de 30 KVAR, 460 V, 60 Hz, p= 7%, tipo CFB, marca CIRCUTOR.</t>
  </si>
  <si>
    <t>REACT_40kVAR/460V</t>
  </si>
  <si>
    <t>COND_40kVAR/460V</t>
  </si>
  <si>
    <t>Condensador, Trifásico, para paso de potencia efectiva de 40 KVAR, 460 V, 60 Hz, p= 7%, tipo CFB, marca CIRCUTOR.</t>
  </si>
  <si>
    <t>480Vac:</t>
  </si>
  <si>
    <t>REACT_50kVAR/480V_p14</t>
  </si>
  <si>
    <t>Reactancia para filtro de rechazo de armónicas, para paso de 50kVAR / 480Vac, 60Hz, p=14%, tipo RBX, marca CIRCUTOR.</t>
  </si>
  <si>
    <t>COND_50kVAR/480V_p14</t>
  </si>
  <si>
    <t>Condensador, Trifásico, para paso de potencia efectiva de 50kVAR / 480Vac, 60 Hz, p=14%, tipo CSB, marca CIRCUTOR.</t>
  </si>
  <si>
    <t>Contactores para Condensador:</t>
  </si>
  <si>
    <t>CMC_2.5kVAR/220V</t>
  </si>
  <si>
    <t>Contactor para maniobra de condensadores - 2.5kVAR / 220V - Modelo CMC - bobina 230Vac/60Hz. - marca CIRCUTOR.</t>
  </si>
  <si>
    <t>CMC_5kVAR/220V</t>
  </si>
  <si>
    <t>Contactor para maniobra de condensadores - 5kVAR / 220V - Modelo CMC - bobina 230Vac/60Hz. - marca CIRCUTOR.</t>
  </si>
  <si>
    <t>CMC_7.5kVAR/220V</t>
  </si>
  <si>
    <t>Contactor para maniobra de condensadores - 7.5kVAR / 220V - Modelo CMC - bobina 230Vac/60Hz. - marca CIRCUTOR.</t>
  </si>
  <si>
    <t>Contactor para maniobra de condensadores - 10kVAR / 230V - Modelo CMC - bobina 230Vac/60Hz. - marca CIRCUTOR.</t>
  </si>
  <si>
    <t>Contactor para maniobra de condensadores - 12.5kVAR / 230V - Modelo CMC - bobina 230Vac/60Hz. - marca CIRCUTOR.</t>
  </si>
  <si>
    <t>Contactor para maniobra de condensadores - 20kVAR / 230Vac - Modelo CMC - bobina 230Vac/60Hz. - marca CIRCUTOR.</t>
  </si>
  <si>
    <t>Contactor para maniobra de condensadores - 29kVAR / 230Vac - Modelo CMC - bobina 230Vac/60Hz. - marca CIRCUTOR.</t>
  </si>
  <si>
    <t>CMC_30kVAR/230V</t>
  </si>
  <si>
    <t>Contactor para maniobra de condensadores - 30kVAR / 230Vac - Modelo CMC - bobina 230Vac/60Hz. - marca CIRCUTOR.</t>
  </si>
  <si>
    <t>Contactor para maniobra de condensadores - 32kVAR / 230Vac - Modelo CMC - bobina 230Vac/60Hz. - marca CIRCUTOR.</t>
  </si>
  <si>
    <t>Contactor para maniobra de condensadores - 42kVAR / 230Vac - Modelo CMC - bobina 230Vac/60Hz. - marca CIRCUTOR.</t>
  </si>
  <si>
    <t>Contactor para maniobra de condensadores - 10kVAR / 400Vac - Modelo CMC - bobina 230Vac/60Hz. - marca CIRCUTOR.</t>
  </si>
  <si>
    <t>Contactor para maniobra de condensadores - 15kVAR / 400Vac - Modelo CMC - bobina 230Vac/60Hz. - marca CIRCUTOR.</t>
  </si>
  <si>
    <t>Contactor para maniobra de condensadores - 40kVAR / 400Vac - Modelo CMC - bobina 230Vac/60Hz. - marca CIRCUTOR.</t>
  </si>
  <si>
    <t>Contactor para maniobra de condensadores - 60kVAR / 400Vac - Modelo CMC - bobina 230Vac/60Hz. - marca CIRCUTOR.</t>
  </si>
  <si>
    <t>Contactor para maniobra de condensadores - 80kVAR / 400Vac - Modelo CMC - bobina 230Vac/60Hz. - marca CIRCUTOR.</t>
  </si>
  <si>
    <t>CMC_90kVAR/400V</t>
  </si>
  <si>
    <t>CMC_10kVAR/380V</t>
  </si>
  <si>
    <t>Contactor para maniobra de condensadores - 10 KVAR / 380Vac - Modelo CMC - bobina 230Vac/60Hz. - marca CIRCUTOR.</t>
  </si>
  <si>
    <t>CMC_15kVAR/380V</t>
  </si>
  <si>
    <t>Contactor para maniobra de condensadores - 15kVAR / 380Vac - Modelo CMC - bobina 230Vac/60Hz. - marca CIRCUTOR.</t>
  </si>
  <si>
    <t>CMC_20kVAR/380V</t>
  </si>
  <si>
    <t>Contactor para maniobra de condensadores - 20kVAR / 380Vac - Modelo CMC - bobina 230Vac/60Hz. - marca CIRCUTOR.</t>
  </si>
  <si>
    <t>CMC_25kVAR/380V</t>
  </si>
  <si>
    <t>Contactor para maniobra de condensadores - 25kVAR / 380Vac - Modelo CMC - bobina 230Vac/60Hz. - marca CIRCUTOR.</t>
  </si>
  <si>
    <t>CMC_26kVAR/380V</t>
  </si>
  <si>
    <t>Contactor para maniobra de condensadores - 26kVAR / 380Vac - Modelo CMC - bobina 230Vac/60Hz. - marca CIRCUTOR.</t>
  </si>
  <si>
    <t>CMC_30kVAR/380V</t>
  </si>
  <si>
    <t>Contactor para maniobra de condensadores - 30kVAR / 380Vac - Modelo CMC - bobina 230Vac/60Hz. - marca CIRCUTOR.</t>
  </si>
  <si>
    <t>Contactor para maniobra de condensadores - 40kVAR / 380Vac - Modelo CMC - bobina 230Vac/60Hz. - marca CIRCUTOR.</t>
  </si>
  <si>
    <t>CMC_50kVAR/380V</t>
  </si>
  <si>
    <t>Contactor para maniobra de condensadores - 50kVAR / 380Vac - Modelo CMC - bobina 230Vac/60Hz. - marca CIRCUTOR.</t>
  </si>
  <si>
    <t>CMC_60kVAR/380V</t>
  </si>
  <si>
    <t>Contactor para maniobra de condensadores - 60kVAR / 380Vac - Modelo CMC - bobina 230Vac/60Hz. - marca CIRCUTOR.</t>
  </si>
  <si>
    <t>CMC_70kVAR/380V</t>
  </si>
  <si>
    <t>Contactor para maniobra de condensadores - 70kVAR / 380Vac - Modelo CMC - bobina 230Vac/60Hz. - marca CIRCUTOR.</t>
  </si>
  <si>
    <t>CMC_15kVAR/460V</t>
  </si>
  <si>
    <t>Contactor para maniobra de condensadores - 15kVAR / 460Vac - Modelo CMC - bobina 230Vac/60Hz. - marca CIRCUTOR.</t>
  </si>
  <si>
    <t>- - - - - - - - - - - - -</t>
  </si>
  <si>
    <t>WGC-500x200</t>
  </si>
  <si>
    <t>RGU-10C</t>
  </si>
  <si>
    <t>Rele electronico de proteccion diferencial de modelo RGU-10C, marca CIRCUTOR.</t>
  </si>
  <si>
    <t>Fusible 250A Clase J, 500VAC/500VDC, 200kA@100kA, modelo AJT250 - marca FERRAZ SHAWMUT.</t>
  </si>
  <si>
    <t>VAL-MS 230</t>
  </si>
  <si>
    <t>DESCARGADOR ENCHUF. CL II VAL-MS 230 ST - MARCA PHOENIX CONTACT.</t>
  </si>
  <si>
    <t>F-MS 12 ST</t>
  </si>
  <si>
    <t>DESCARGADOR ENCHUF. CL II. F-MS 12 ST - MARCA PHOENIX CONTACT.</t>
  </si>
  <si>
    <t>VAL-MS-BE/FM</t>
  </si>
  <si>
    <t>BASE P/ VAL-MS-BE/FM - MARCA PHOENIX CONTACT.</t>
  </si>
  <si>
    <t>UPS MONOFÁSICO SERIE 9130, MODELO PW9130i3000T-XL, 220VAC, 3KVA, MARCA marca EATON.</t>
  </si>
  <si>
    <t>ST SP2N2-P</t>
  </si>
  <si>
    <t>Protector contra Sobretensión Transitorio 1F+T , Ue=220Vac, corriente pico por fase 60kA - marca SINE TAMMER.</t>
  </si>
  <si>
    <t>RM ST40 3N2</t>
  </si>
  <si>
    <t>Protector contra Sobretensión Transitorio 3F+T , Ue=220Vac, corriente pico por fase 40kA - marca SINE TAMMER.</t>
  </si>
  <si>
    <t>LA ST60 3N2</t>
  </si>
  <si>
    <t>Protector contra Sobretensión Transitorio 3F+T , Ue=220Vac, corriente pico 60kA - modelo LA-ST, marca SINE TAMMER.</t>
  </si>
  <si>
    <t>LA ST60 3Y1</t>
  </si>
  <si>
    <t>Protector contra Sobretensión Transitorio 3F+N+T , Ue=220Vac, corriente pico 60kA - modelo LA-ST, marca SINE TAMMER.</t>
  </si>
  <si>
    <t>RCMS490-D-2</t>
  </si>
  <si>
    <t>Monitor de corriente residual, tensión de alimentación: 70-276Vac/dc a frecuencia 42…460Hz. Corriente alterna: 10mA…10A. Corriente pulsante: 6mA…20A. Interface serial RS485, Protocolo: BMS, Modelo RCMS490-D-2 - marca BENDER.</t>
  </si>
  <si>
    <t>B94053006</t>
  </si>
  <si>
    <t>W0-S20</t>
  </si>
  <si>
    <t>Toroide diferencial W0-S20 (nucleo cerrado) - Tipo A, diametro interior d=20mm - marca BENDER.</t>
  </si>
  <si>
    <t>B911787</t>
  </si>
  <si>
    <t>W1-S35</t>
  </si>
  <si>
    <t>Toroide diferencial W1-S35 (nucleo cerrado) - Tipo A, diametro interior d=35mm - marca BENDER.</t>
  </si>
  <si>
    <t>B911731</t>
  </si>
  <si>
    <t>W4-S140</t>
  </si>
  <si>
    <t>Toroide diferencial W4-S140 (nucleo cerrado) - Tipo A, diametro interior d=140mm - marca BENDER.</t>
  </si>
  <si>
    <t>B911734</t>
  </si>
  <si>
    <t>WR70x175S</t>
  </si>
  <si>
    <t>Toroide diferencial WR70x175S (nucleo cerrado) - Tipo A, Rectangular de dimensiones interiores A=70x175mm - marca BENDER.</t>
  </si>
  <si>
    <t>B911738</t>
  </si>
  <si>
    <t>WR115x305S</t>
  </si>
  <si>
    <t>Toroide diferencial WR115x305S (nucleo cerrado) - Tipo A, Rectangular de dimensiones interiores A=115x305mm - marca BENDER.</t>
  </si>
  <si>
    <t>B911739</t>
  </si>
  <si>
    <t>WR200x500S</t>
  </si>
  <si>
    <t>Toroide diferencial WR200x500S (nucleo cerrado) - Tipo A, Rectangular de dimensiones interiores A=200x500mm - marca BENDER.</t>
  </si>
  <si>
    <t>B911763</t>
  </si>
  <si>
    <t>W20AB</t>
  </si>
  <si>
    <t>Toroide diferencial W20AB (nucleo cerrado) - Tipo B, diametro interior d=20mm - marca BENDER.</t>
  </si>
  <si>
    <t>B98080008</t>
  </si>
  <si>
    <t>W35AB</t>
  </si>
  <si>
    <t>Toroide diferencial W35AB (nucleo cerrado) - Tipo B, diametro interior d=35mm - marca BENDER.</t>
  </si>
  <si>
    <t>B98080016</t>
  </si>
  <si>
    <t>W120AB</t>
  </si>
  <si>
    <t>Toroide diferencial W120AB (nucleo cerrado) - Tipo B, diametro interior d=120mm - marca BENDER.</t>
  </si>
  <si>
    <t>B98080041</t>
  </si>
  <si>
    <t>W210AB</t>
  </si>
  <si>
    <t>Toroide diferencial W210AB (nucleo cerrado) - Tipo B, diametro interior d=210mm - marca BENDER.</t>
  </si>
  <si>
    <t>B98080040</t>
  </si>
  <si>
    <t>AN420-2</t>
  </si>
  <si>
    <t>Fuente de alimentación para toroidales de 12Vdc, modelo AN420-2 - marca BENDER.</t>
  </si>
  <si>
    <t>B74053100</t>
  </si>
  <si>
    <t>WXS-250</t>
  </si>
  <si>
    <t>Cable de conexión de longitd 2,5m, para RCMS460/490, modelo WXS-250 - marca BENDER.</t>
  </si>
  <si>
    <t>B98080507</t>
  </si>
  <si>
    <t>B924672</t>
  </si>
  <si>
    <t xml:space="preserve">Toroidal de  carga - modelo: STW2 - marca BENDER </t>
  </si>
  <si>
    <t xml:space="preserve">Vigilante - modelo: ISOMED427P-2 - marca BENDER </t>
  </si>
  <si>
    <t xml:space="preserve">Fuente de alimentacion - modelo: AN450 20 vac (50/60hz) - marca BENDER </t>
  </si>
  <si>
    <t xml:space="preserve">Repetidor de alarma - modelo: MK2430-12 24 vac/vdc - marca BENDER </t>
  </si>
  <si>
    <t xml:space="preserve">Dispositivo de busqueda de fallos de aislamiento - modelo: EDS151 - marca BENDER </t>
  </si>
  <si>
    <t>CURVA C</t>
  </si>
  <si>
    <t>EPC10101</t>
  </si>
  <si>
    <t>EPC10161</t>
  </si>
  <si>
    <t>EPC10201</t>
  </si>
  <si>
    <t>EPC10251</t>
  </si>
  <si>
    <t>EPC10321</t>
  </si>
  <si>
    <t>EPC10401</t>
  </si>
  <si>
    <t>EPC10501</t>
  </si>
  <si>
    <t>EPC10631</t>
  </si>
  <si>
    <t>EPC10102</t>
  </si>
  <si>
    <t>EPC10162</t>
  </si>
  <si>
    <t>EPC10202</t>
  </si>
  <si>
    <t>EPC10252</t>
  </si>
  <si>
    <t>EPC10322</t>
  </si>
  <si>
    <t>EPC10402</t>
  </si>
  <si>
    <t>EPC10502</t>
  </si>
  <si>
    <t>EPC10632</t>
  </si>
  <si>
    <t>EPC10103</t>
  </si>
  <si>
    <t>EPC10163</t>
  </si>
  <si>
    <t>EPC10203</t>
  </si>
  <si>
    <t>EPC10253</t>
  </si>
  <si>
    <t>EPC10323</t>
  </si>
  <si>
    <t>EPC10403</t>
  </si>
  <si>
    <t>EPC10503</t>
  </si>
  <si>
    <t>EPC10633</t>
  </si>
  <si>
    <t>EPC10104</t>
  </si>
  <si>
    <t>EPC10164</t>
  </si>
  <si>
    <t>EPC10204</t>
  </si>
  <si>
    <t>EPC10254</t>
  </si>
  <si>
    <t>EPC10324</t>
  </si>
  <si>
    <t>EPC10404</t>
  </si>
  <si>
    <t>EPC10504</t>
  </si>
  <si>
    <t>EPC10634</t>
  </si>
  <si>
    <t>CURVA D</t>
  </si>
  <si>
    <t>EPD10101</t>
  </si>
  <si>
    <t>EPD10161</t>
  </si>
  <si>
    <t>EPD10201</t>
  </si>
  <si>
    <t>EPD10251</t>
  </si>
  <si>
    <t>EPD10321</t>
  </si>
  <si>
    <t>EPD10401</t>
  </si>
  <si>
    <t>EPD10501</t>
  </si>
  <si>
    <t>EPD10631</t>
  </si>
  <si>
    <t>EPD10102</t>
  </si>
  <si>
    <t>EPD10162</t>
  </si>
  <si>
    <t>EPD10202</t>
  </si>
  <si>
    <t>EPD10252</t>
  </si>
  <si>
    <t>EPD10322</t>
  </si>
  <si>
    <t>EPD10402</t>
  </si>
  <si>
    <t>EPD10502</t>
  </si>
  <si>
    <t>EPD10632</t>
  </si>
  <si>
    <t>EPD10103</t>
  </si>
  <si>
    <t>EPD10163</t>
  </si>
  <si>
    <t>EPD10203</t>
  </si>
  <si>
    <t>EPD10253</t>
  </si>
  <si>
    <t>EPD10323</t>
  </si>
  <si>
    <t>EPD10403</t>
  </si>
  <si>
    <t>EPD10503</t>
  </si>
  <si>
    <t>EPD10633</t>
  </si>
  <si>
    <t>EPD10104</t>
  </si>
  <si>
    <t>EPD10164</t>
  </si>
  <si>
    <t>EPD10204</t>
  </si>
  <si>
    <t>EPD10254</t>
  </si>
  <si>
    <t>EPD10324</t>
  </si>
  <si>
    <t>EPD10404</t>
  </si>
  <si>
    <t>EPD10504</t>
  </si>
  <si>
    <t>EPD10634</t>
  </si>
  <si>
    <t>DIFERENCIALES 30mA "AC"</t>
  </si>
  <si>
    <t>DIFERENCIALES 30mA "A"</t>
  </si>
  <si>
    <t>INTERRUPTORES CAJA MOLDEADA REGULABLES</t>
  </si>
  <si>
    <t>25KA</t>
  </si>
  <si>
    <t>S160-SCJ 3P 20A</t>
  </si>
  <si>
    <t>ITM de 3x20A ,(reg.[0.7-1.0] In) SCJ,  25kA@415Vac. - TERASAKI</t>
  </si>
  <si>
    <t>S160-SCJ 3P 25A</t>
  </si>
  <si>
    <t>ITM de 3x25A ,(reg.[0.7-1.0] In) SCJ,  25kA@415Vac. - TERASAKI</t>
  </si>
  <si>
    <t>S160-SCJ 3P 32A</t>
  </si>
  <si>
    <t>ITM de 3x32A ,(reg.[0.7-1.0] In) SCJ,  25kA@415Vac. - TERASAKI</t>
  </si>
  <si>
    <t>S160-SCJ 3P 40A</t>
  </si>
  <si>
    <t>ITM de 3x40A ,(reg.[0.7-1.0] In) SCJ,  25kA@415Vac. - TERASAKI</t>
  </si>
  <si>
    <t>S160-SCJ 3P 50A</t>
  </si>
  <si>
    <t>ITM de 3x50A ,(reg.[0.7-1.0] In) SCJ,  25kA@415Vac. - TERASAKI</t>
  </si>
  <si>
    <t>S160-SCJ 3P 63A</t>
  </si>
  <si>
    <t>ITM de 3x63A ,(reg.[0.7-1.0] In) SCJ,  25kA@415Vac. - TERASAKI</t>
  </si>
  <si>
    <t>S160-SCJ 3P 80A</t>
  </si>
  <si>
    <t>ITM de 3x80A ,(reg.[0.7-1.0] In) SCJ,  25kA@415Vac. - TERASAKI</t>
  </si>
  <si>
    <t>S160-SCJ 3P 100A</t>
  </si>
  <si>
    <t>ITM de 3x100A ,(reg.[0.7-1.0] In) SCJ,  25kA@415Vac. - TERASAKI</t>
  </si>
  <si>
    <t>S160-SCJ 3P 125A</t>
  </si>
  <si>
    <t>ITM de 3x125A ,(reg.[0.7-1.0] In) SCJ,  25kA@415Vac. - TERASAKI</t>
  </si>
  <si>
    <t>S160-SCJ 3P 160A</t>
  </si>
  <si>
    <t>ITM de 3x160A ,(reg.[0.7-1.0] In) SCJ,  25kA@415Vac. - TERASAKI</t>
  </si>
  <si>
    <t>E250-SJ 3P 200A</t>
  </si>
  <si>
    <t>ITM de 3x200A ,(reg.[0.7-1.0] In) E-SJ,  25kA@415Vac. - TERASAKI</t>
  </si>
  <si>
    <t>E250-SJ 3P 250A</t>
  </si>
  <si>
    <t>ITM de 3x250A ,(reg.[0.7-1.0] In) E-SJ,  25kA@415Vac. - TERASAKI</t>
  </si>
  <si>
    <t>40KA</t>
  </si>
  <si>
    <t>S160-SJ 3P 20A</t>
  </si>
  <si>
    <t>ITM de 3x20A ,(reg.[0.7-1.0] In) SJ,  40kA@415Vac. - TERASAKI</t>
  </si>
  <si>
    <t>S160-SJ 3P 25A</t>
  </si>
  <si>
    <t>ITM de 3x25A ,(reg.[0.7-1.0] In) SJ,  40kA@415Vac. - TERASAKI</t>
  </si>
  <si>
    <t>S160-SJ 3P 32A</t>
  </si>
  <si>
    <t>ITM de 3x32A ,(reg.[0.7-1.0] In) SJ,  40kA@415Vac. - TERASAKI</t>
  </si>
  <si>
    <t>S160-SJ 3P 40A</t>
  </si>
  <si>
    <t>ITM de 3x40A ,(reg.[0.7-1.0] In) SJ,  40kA@415Vac. - TERASAKI</t>
  </si>
  <si>
    <t>S160-SJ 3P 50A</t>
  </si>
  <si>
    <t>ITM de 3x50A ,(reg.[0.7-1.0] In) SJ,  40kA@415Vac. - TERASAKI</t>
  </si>
  <si>
    <t>S160-SJ 3P 63A</t>
  </si>
  <si>
    <t>ITM de 3x63A ,(reg.[0.7-1.0] In) SJ,  40kA@415Vac. - TERASAKI</t>
  </si>
  <si>
    <t>S160-SJ 3P 80A</t>
  </si>
  <si>
    <t>ITM de 3x80A ,(reg.[0.7-1.0] In) SJ,  40kA@415Vac. - TERASAKI</t>
  </si>
  <si>
    <t>S160-SJ 3P 100A</t>
  </si>
  <si>
    <t>ITM de 3x100A ,(reg.[0.7-1.0] In) SJ,  40kA@415Vac. - TERASAKI</t>
  </si>
  <si>
    <t>S160-SJ 3P 125A</t>
  </si>
  <si>
    <t>ITM de 3x125A ,(reg.[0.7-1.0] In) SJ,  40kA@415Vac. - TERASAKI</t>
  </si>
  <si>
    <t>S160-SJ 3P 160A</t>
  </si>
  <si>
    <t>ITM de 3x160A ,(reg.[0.7-1.0] In) SJ,  40kA@415Vac. - TERASAKI</t>
  </si>
  <si>
    <t>S250-SJ 3P 200A</t>
  </si>
  <si>
    <t>ITM de 3x200A ,(reg.[0.7-1.0] In) S-SJ,  40kA@415Vac. - TERASAKI</t>
  </si>
  <si>
    <t>S250-SJ 3P 250A</t>
  </si>
  <si>
    <t>ITM de 3x250A ,(reg.[0.7-1.0] In) S-SJ,  40kA@415Vac. - TERASAKI</t>
  </si>
  <si>
    <t>50KA</t>
  </si>
  <si>
    <t>S125-GJ 3P 20A</t>
  </si>
  <si>
    <t>ITM de 3x20A ,(reg.[0.7-1.0] In) GJ,  50kA@415Vac. - TERASAKI</t>
  </si>
  <si>
    <t>S125-GJ 3P 25A</t>
  </si>
  <si>
    <t>ITM de 3x25A ,(reg.[0.7-1.0] In) GJ,  50kA@415Vac. - TERASAKI</t>
  </si>
  <si>
    <t>S125-GJ 3P 32A</t>
  </si>
  <si>
    <t>ITM de 3x32A ,(reg.[0.7-1.0] In) GJ,  50kA@415Vac. - TERASAKI</t>
  </si>
  <si>
    <t>S125-GJ 3P 40A</t>
  </si>
  <si>
    <t>ITM de 3x40A ,(reg.[0.7-1.0] In) GJ,  50kA@415Vac. - TERASAKI</t>
  </si>
  <si>
    <t>S125-GJ 3P 50A</t>
  </si>
  <si>
    <t>ITM de 3x50A ,(reg.[0.7-1.0] In) GJ,  50kA@415Vac. - TERASAKI</t>
  </si>
  <si>
    <t>S125-GJ 3P 63A</t>
  </si>
  <si>
    <t>ITM de 3x63A ,(reg.[0.7-1.0] In) GJ,  50kA@415Vac. - TERASAKI</t>
  </si>
  <si>
    <t>S125-GJ 3P 80A</t>
  </si>
  <si>
    <t>ITM de 3x80A ,(reg.[0.7-1.0] In) GJ,  50kA@415Vac. - TERASAKI</t>
  </si>
  <si>
    <t>S125-GJ 3P 100A</t>
  </si>
  <si>
    <t>ITM de 3x100A ,(reg.[0.7-1.0] In) GJ,  50kA@415Vac. - TERASAKI</t>
  </si>
  <si>
    <t>S125-GJ 3P 125A</t>
  </si>
  <si>
    <t>ITM de 3x125A ,(reg.[0.7-1.0] In) GJ,  50kA@415Vac. - TERASAKI</t>
  </si>
  <si>
    <t>S160-GJ 3P 160A</t>
  </si>
  <si>
    <t>ITM de 3x160A ,(reg.[0.7-1.0] In) GJ,  50kA@415Vac. - TERASAKI</t>
  </si>
  <si>
    <t>S250-GJ 3P 200A</t>
  </si>
  <si>
    <t>ITM de 3x200A ,(reg.[0.7-1.0] In) S-GJ,  50kA@415Vac. - TERASAKI</t>
  </si>
  <si>
    <t>S250-GJ 3P 250A</t>
  </si>
  <si>
    <t>ITM de 3x250A ,(reg.[0.7-1.0] In) S-GJ,  50kA@415Vac. - TERASAKI</t>
  </si>
  <si>
    <t>S400-NJ 3P 400A</t>
  </si>
  <si>
    <t>ITM de 3x400A ,(reg.[0.7-1.0] In) S-NJ,  50kA@415Vac. - TERASAKI</t>
  </si>
  <si>
    <t>S630-CE 3P 630A</t>
  </si>
  <si>
    <t>ITM de 3x630A ,(reg.[0.7-1.0] In) S-CE,  50kA@415Vac. - TERASAKI</t>
  </si>
  <si>
    <t>S800-NJ 3P 800A</t>
  </si>
  <si>
    <t>ITM de 3x800A ,(reg.[0.7-1.0] In) S-NJ,  50kA@415Vac. - TERASAKI</t>
  </si>
  <si>
    <t>S1000-SE 3P 1000A</t>
  </si>
  <si>
    <t>ITM de 3x1000A ,(electrónico [0.4-1.0] In) S-SE,  50kA@415Vac. - TERASAKI</t>
  </si>
  <si>
    <t>S1250-SE 3P 1250A</t>
  </si>
  <si>
    <t>ITM de 3x1250A ,(electrónico [0.4-1.0] In) S-SE,  50kA@415Vac. - TERASAKI</t>
  </si>
  <si>
    <t>S1600-SE 3P 1600A</t>
  </si>
  <si>
    <t>ITM de 3x1600A ,(electrónico [0.4-1.0] In) S-SE,  50kA@415Vac. - TERASAKI</t>
  </si>
  <si>
    <t>70KA</t>
  </si>
  <si>
    <t>S400-GJ 3P 400A</t>
  </si>
  <si>
    <t>ITM de 3x400A ,(reg.[0.7-1.0] In) S-GJ,  70kA@415Vac. - TERASAKI</t>
  </si>
  <si>
    <t>S630-GE 3P 630A</t>
  </si>
  <si>
    <t>ITM de 3x630A ,(reg.[0.7-1.0] In) S-GE,  70kA@415Vac. - TERASAKI</t>
  </si>
  <si>
    <t>S800-RJ 3P 800A</t>
  </si>
  <si>
    <t>ITM de 3x800A ,(reg.[0.7-1.0] In) S-RJ,  70kA@415Vac. - TERASAKI</t>
  </si>
  <si>
    <t>S1000-NE 3P 1000A</t>
  </si>
  <si>
    <t>ITM de 3x1000A ,(electrónico [0.4-1.0] In) S-NE,  70kA@415Vac. - TERASAKI</t>
  </si>
  <si>
    <t>S1250-NE 3P 1250A</t>
  </si>
  <si>
    <t>ITM de 3x1250A ,(electrónico [0.4-1.0] In) S-NE,  70kA@415Vac. - TERASAKI</t>
  </si>
  <si>
    <t>S1600-NE 3P 1600A</t>
  </si>
  <si>
    <t>ITM de 3x1600A ,(electrónico [0.4-1.0] In) S-NE,  85kA@415Vac. - TERASAKI</t>
  </si>
  <si>
    <t>CDI20620</t>
  </si>
  <si>
    <t xml:space="preserve">Contactor modular de 2 polos, 20A (AC-1 ) + 2NA, bob. 230Vac. , marca TERASAKI. </t>
  </si>
  <si>
    <t>DAB7-63-C10-1</t>
  </si>
  <si>
    <t>ITM de 1x10A - DAB7,  10kA - 230/400Vac., IEC 60898 , Dada</t>
  </si>
  <si>
    <t>DAB7-63-C16-1</t>
  </si>
  <si>
    <t>ITM de 1x16A - DAB7,  10kA - 230/400Vac., IEC 60898 , Dada</t>
  </si>
  <si>
    <t>DAB7-63-C20-1</t>
  </si>
  <si>
    <t>ITM de 1x20A - DAB7,  10kA - 230/400Vac., IEC 60898 , Dada</t>
  </si>
  <si>
    <t>DAB7-63-C25-1</t>
  </si>
  <si>
    <t>ITM de 1x25A - DAB7,  10kA - 230/400Vac., IEC 60898 , Dada</t>
  </si>
  <si>
    <t>DAB7-63-C32-1</t>
  </si>
  <si>
    <t>ITM de 1x32A - DAB7,  10kA - 230/400Vac., IEC 60898 , Dada</t>
  </si>
  <si>
    <t>DAB7-63-C40-1</t>
  </si>
  <si>
    <t>ITM de 1x40A - DAB7,  10kA - 230/400Vac., IEC 60898 , Dada</t>
  </si>
  <si>
    <t>DAB7-63-C50-1</t>
  </si>
  <si>
    <t>ITM de 1x50A - DAB7,  10kA - 230/400Vac., IEC 60898 , Dada</t>
  </si>
  <si>
    <t>DAB7-63-C63-1</t>
  </si>
  <si>
    <t>ITM de 1x63A - DAB7,  10kA - 230/400Vac., IEC 60898 , Dada</t>
  </si>
  <si>
    <t>DAB7-63-C10-2</t>
  </si>
  <si>
    <t>ITM de 2x10A - DAB7,  10kA - 230/400Vac., IEC 60898 , Dada</t>
  </si>
  <si>
    <t>DAB7-63-C16-2</t>
  </si>
  <si>
    <t>ITM de 2x16A - DAB7,  10kA - 230/400Vac., IEC 60898 , Dada</t>
  </si>
  <si>
    <t>DAB7-63-C20-2</t>
  </si>
  <si>
    <t>ITM de 2x20A - DAB7,  10kA - 230/400Vac., IEC 60898 , Dada</t>
  </si>
  <si>
    <t>DAB7-63-C25-2</t>
  </si>
  <si>
    <t>ITM de 2x25A - DAB7,  10kA - 230/400Vac., IEC 60898 , Dada</t>
  </si>
  <si>
    <t>DAB7-63-C32-2</t>
  </si>
  <si>
    <t>ITM de 2x32A - DAB7,  10kA - 230/400Vac., IEC 60898 , Dada</t>
  </si>
  <si>
    <t>DAB7-63-C40-2</t>
  </si>
  <si>
    <t>ITM de 2x40A - DAB7,  10kA - 230/400Vac., IEC 60898 , Dada</t>
  </si>
  <si>
    <t>DAB7-63-C50-2</t>
  </si>
  <si>
    <t>ITM de 2x50A - DAB7,  10kA - 230/400Vac., IEC 60898 , Dada</t>
  </si>
  <si>
    <t>DAB7-63-C63-2</t>
  </si>
  <si>
    <t>ITM de 2x63A - DAB7,  10kA - 230/400Vac., IEC 60898 , Dada</t>
  </si>
  <si>
    <t>DAB7-63-C10-3</t>
  </si>
  <si>
    <t>ITM de 3x10A - DAB7,  10kA - 230/400Vac., IEC 60898 , Dada</t>
  </si>
  <si>
    <t>DAB7-63-C16-3</t>
  </si>
  <si>
    <t>ITM de 3x16A - DAB7,  10kA - 230/400Vac., IEC 60898 , Dada</t>
  </si>
  <si>
    <t>DAB7-63-C20-3</t>
  </si>
  <si>
    <t>ITM de 3x20A - DAB7,  10kA - 230/400Vac., IEC 60898 , Dada</t>
  </si>
  <si>
    <t>DAB7-63-C25-3</t>
  </si>
  <si>
    <t>ITM de 3x25A - DAB7,  10kA - 230/400Vac., IEC 60898 , Dada</t>
  </si>
  <si>
    <t>DAB7-63-C32-3</t>
  </si>
  <si>
    <t>ITM de 3x32A - DAB7,  10kA - 230/400Vac., IEC 60898 , Dada</t>
  </si>
  <si>
    <t>DAB7-63-C40-3</t>
  </si>
  <si>
    <t>ITM de 3x40A - DAB7,  10kA - 230/400Vac., IEC 60898 , Dada</t>
  </si>
  <si>
    <t>DAB7-63-C50-3</t>
  </si>
  <si>
    <t>ITM de 3x50A - DAB7,  10kA - 230/400Vac., IEC 60898 , Dada</t>
  </si>
  <si>
    <t>DAB7-63-C63-3</t>
  </si>
  <si>
    <t>ITM de 3x63A - DAB7,  10kA - 230/400Vac., IEC 60898 , Dada</t>
  </si>
  <si>
    <t>DAF362-25</t>
  </si>
  <si>
    <t>Interruptor Diferencial de 2x25A - 30mA, clase AC - DAF36 , Dada</t>
  </si>
  <si>
    <t>DAF362-40</t>
  </si>
  <si>
    <t>Interruptor Diferencial de 2x40A - 30mA, clase AC - DAF36 , Dada</t>
  </si>
  <si>
    <t>DAF364-25</t>
  </si>
  <si>
    <t>Interruptor Diferencial de 4x25A - 30mA, clase AC - DAF36 , Dada</t>
  </si>
  <si>
    <t>DAF364-40</t>
  </si>
  <si>
    <t>Interruptor Diferencial de 4x40A - 30mA, clase AC - DAF36 , Dada</t>
  </si>
  <si>
    <t>PROVEEDOR:</t>
  </si>
  <si>
    <t>V&amp;F</t>
  </si>
  <si>
    <t>A9R71240</t>
  </si>
  <si>
    <t>INTERRUPTOR DIFERENCIAL ACTI 9 iID 2x40 AMP. 30 mA SCHNEIDER.</t>
  </si>
  <si>
    <t>A9R71225</t>
  </si>
  <si>
    <t>A9R71440</t>
  </si>
  <si>
    <t>INTERRUPTOR DIFERENCIAL ACTI 9 iID 4x40 AMP. 30 mA SCHNEIDER.</t>
  </si>
  <si>
    <t>A9R71425</t>
  </si>
  <si>
    <t>INTERRUPTOR DIFERENCIAL ACTI 9 iID 4x25 AMP. 30 mA SCHNEIDER.</t>
  </si>
  <si>
    <t>A9R91240</t>
  </si>
  <si>
    <t>INTERRUPTOR DIFERENCIAL ACTI 9 iIDsi 2x40 AMP. 30 mA SCHNEIDER.</t>
  </si>
  <si>
    <t>A9R91225</t>
  </si>
  <si>
    <t>INTERRUPTOR DIFERENCIAL ACTI 9 iIDsi 2x25 AMP. 30 mA SCHNEIDER.</t>
  </si>
  <si>
    <t>LV430670</t>
  </si>
  <si>
    <t>INTERRUPTOR COMPACT NSX160H 3x112-160 AMP. SCHNEIDER.</t>
  </si>
  <si>
    <t>EZC100N3080</t>
  </si>
  <si>
    <t>INT. TERMOMAGNETICO FIJO 80 A EZC100N 25/18/10 KA 240/380/440 V.</t>
  </si>
  <si>
    <t>EZC100N3040</t>
  </si>
  <si>
    <t>INT. TERMOMAGNETICO FIJO 40 A EZC100N 25/18/10 KA 240/380/440 V.</t>
  </si>
  <si>
    <t>EZC100N3030</t>
  </si>
  <si>
    <t>INT. TERMOMAGNETICO FIJO 30 A EZC100N 25/18/10 KA 240/380/440 V.</t>
  </si>
  <si>
    <t>METSEPM5330</t>
  </si>
  <si>
    <t>MEDIDOR DE ENERGIA MULTIFUNCIÓN 0.5s REL ETH POWERLOGIC MODBUS 35 ALARMAS - PM5330.</t>
  </si>
  <si>
    <t>METSEDM6200</t>
  </si>
  <si>
    <t>MEDIDOR DE ENERGIA MULTIFUNCIÓN MODELO DM6200, MARCA SCHNEIDER.</t>
  </si>
  <si>
    <t>METSEDM8240</t>
  </si>
  <si>
    <t>MEDIDOR DE ENERGIA MULTIFUNCIÓN MODELO DM8240, MARCA SCHNEIDER.</t>
  </si>
  <si>
    <t>NSYTRV42</t>
  </si>
  <si>
    <t>Bornera tipo tornillo universal de seccion 4 mm2 hasta 41A, marca SCHNEIDER.</t>
  </si>
  <si>
    <t>NSYTRAL410</t>
  </si>
  <si>
    <t>A9XMSB11</t>
  </si>
  <si>
    <t>Regleta Smartlink - Modelo Acti 9 Smartlink - Marca Schneider</t>
  </si>
  <si>
    <t>A9XCAU06</t>
  </si>
  <si>
    <t>Cable prefabricado con 1 conector - Modelo Acti 9 Smartlink - Marca Schneider</t>
  </si>
  <si>
    <t>S202M-B-10A</t>
  </si>
  <si>
    <t>ITM Riel-Din 2x10A - S202M-B-10A - 15kA@400Vac-IEC60947-2 - marca ABB.</t>
  </si>
  <si>
    <t>S202P-C-10A</t>
  </si>
  <si>
    <t>ITM Riel-Din 2x10A - S202P-C-10A - 25kA@400Vac-IEC60947-2 - marca ABB.</t>
  </si>
  <si>
    <t>2CDS282001R0104</t>
  </si>
  <si>
    <t>S203M-C-10A</t>
  </si>
  <si>
    <t>S204M-B-10A</t>
  </si>
  <si>
    <t>ITM Riel-Din 4x10A - S204M-B-10A - 15kA@400Vac-IEC60947-2 - marca ABB.</t>
  </si>
  <si>
    <t>ITM Riel-Din 4x50A - S204M-C-50A - 15kA@400Vac-IEC60947-2 - marca ABB.</t>
  </si>
  <si>
    <t>ITM Riel-Din 4x63A - S204M-C-63A - 15kA@400Vac-IEC60947-2 - marca ABB.</t>
  </si>
  <si>
    <t>S204P-B-10A</t>
  </si>
  <si>
    <t>ITM Riel-Din 4x10A - S204P-B-10A - 25kA@400Vac-IEC60947-2 - marca ABB.</t>
  </si>
  <si>
    <t>2CDS284001R0105</t>
  </si>
  <si>
    <t>S204P-B-16A</t>
  </si>
  <si>
    <t>ITM Riel-Din 4x16A - S204P-B-16A - 25kA@400Vac-IEC60947-2 - marca ABB.</t>
  </si>
  <si>
    <t>2CDS284001R0165</t>
  </si>
  <si>
    <t>S204P-B-20A</t>
  </si>
  <si>
    <t>ITM Riel-Din 4x20A - S204P-B-20A - 25kA@400Vac-IEC60947-2 - marca ABB.</t>
  </si>
  <si>
    <t>2CDS284001R0205</t>
  </si>
  <si>
    <t>S204P-B-25A</t>
  </si>
  <si>
    <t>ITM Riel-Din 4x25A - S204P-B-25A - 25kA@400Vac-IEC60947-2 - marca ABB.</t>
  </si>
  <si>
    <t>2CDS284001R0255</t>
  </si>
  <si>
    <t>S204P-B-32A</t>
  </si>
  <si>
    <t>ITM Riel-Din 4x32A - S204P-B-32A - 15kA@400Vac-IEC60947-2 - marca ABB.</t>
  </si>
  <si>
    <t>2CDS284001R0325</t>
  </si>
  <si>
    <t>S204P-B-40A</t>
  </si>
  <si>
    <t>ITM Riel-Din 4x40A - S204P-B-40A - 15kA@400Vac-IEC60947-2 - marca ABB.</t>
  </si>
  <si>
    <t>2CDS284001R0405</t>
  </si>
  <si>
    <t>S204P-B-50A</t>
  </si>
  <si>
    <t>ITM Riel-Din 4x50A - S204P-B-50A - 15kA@400Vac-IEC60947-2 - marca ABB.</t>
  </si>
  <si>
    <t>2CDS284001R0505</t>
  </si>
  <si>
    <t>S204P-B-63A</t>
  </si>
  <si>
    <t>ITM Riel-Din 4x63A - S204P-B-63A - 15kA@400Vac-IEC60947-2 - marca ABB.</t>
  </si>
  <si>
    <t>2CDS284001R0635</t>
  </si>
  <si>
    <t>S204P-C-10A</t>
  </si>
  <si>
    <t>ITM Riel-Din 4x10A - S204P-C-10A - 25kA@400Vac-IEC60947-2 - marca ABB.</t>
  </si>
  <si>
    <t>2CDS284001R0104</t>
  </si>
  <si>
    <t>ITM Riel-Din 4x50A - S204P-C-50A - 15kA@400Vac-IEC60947-2 - marca ABB.</t>
  </si>
  <si>
    <t>ITM Riel-Din 4x63A - S204P-C-63A - 15kA@400Vac-IEC60947-2 - marca ABB.</t>
  </si>
  <si>
    <t>OVR-T1_25-440_4P+N</t>
  </si>
  <si>
    <t>Protector contra sobretensiones (Tipo 1) - OVR-T1_25-440_1P - Un=400/690V,  Uc=440V, Up=2.5kV - I_impulso=25kA (4 unidades) - marca ABB.</t>
  </si>
  <si>
    <t>VLM-1-250/96</t>
  </si>
  <si>
    <t>Voltímetro analógico AC, U_med=0-250Vac, 96x96mm. - modelo VLM-1-250/96 - marca ABB.</t>
  </si>
  <si>
    <t>2CSG113180R4001</t>
  </si>
  <si>
    <t>AMT1-A1-40/96</t>
  </si>
  <si>
    <t>Amperímetro analógico AC, I_med=40A, 96x96mm. - modelo AMT1-A1-40/96 - marca ABB.</t>
  </si>
  <si>
    <t>2CSG313090R4001</t>
  </si>
  <si>
    <t>XT2S160-10A-3P-TMD</t>
  </si>
  <si>
    <t>ITM Caja Moldeada 3x10A (reg.[0.7-1.0] In) - XT2S160-16A-3P-TMD - 85kA@230Vac, 50kA@415Vac - marca ABB</t>
  </si>
  <si>
    <t>1SDA067548R1</t>
  </si>
  <si>
    <t>XT2S160-10A-4P-TMD</t>
  </si>
  <si>
    <t>ITM Caja Moldeada 4x10A (reg.[0.7-1.0] In) - XT2S160-20A-4P-TMD - 85kA@230Vac, 50kA@415Vac - marca ABB</t>
  </si>
  <si>
    <t>1SDA067569R1</t>
  </si>
  <si>
    <t>XT2S160-16A-4P-TMD</t>
  </si>
  <si>
    <t>ITM Caja Moldeada 4x16A (reg.[0.7-1.0] In) - XT2S160-20A-4P-TMD - 85kA@230Vac, 50kA@415Vac - marca ABB</t>
  </si>
  <si>
    <t>1SDA067571R1</t>
  </si>
  <si>
    <t>XT4H160-50A-3P-TMA</t>
  </si>
  <si>
    <t>ITM Caja Moldeada 3x50A (reg.[0.7-1.0] In) - XT4H160-50A-3P-TMA - 100kA@230V, 70kA@415V - marca ABB.</t>
  </si>
  <si>
    <t>1SDA068337R1</t>
  </si>
  <si>
    <t>XT4H160-80A-3P-TMA</t>
  </si>
  <si>
    <t>ITM Caja Moldeada 3x80A (reg.[0.7-1.0] In) - XT4H160-80A-3P-TMA - 100kA@230V, 70kA@415V - marca ABB.</t>
  </si>
  <si>
    <t>1SDA068339R1</t>
  </si>
  <si>
    <t>ITM Caja Moldeada 4x250A (electrónico [0.4-1.0] In) - XT4N250-250A-4P-Ekip LS/I - 65kA@230Vac, 36kA@415Vac - marca ABB.</t>
  </si>
  <si>
    <t>ITM Caja Moldeada 4x250A (electrónico [0.4-1.0] In) - XT4S250-250A-4P-Ekip LS/I - 85kA@230Vac, 50kA@415Vac - marca ABB.</t>
  </si>
  <si>
    <t>XT4N250-250A-4P-Ekip LSI</t>
  </si>
  <si>
    <t>ITM Caja Moldeada 4x250A (electrónico [0.4-1.0] In) - XT4N250-250A-4P-Ekip LSI - 65kA@230Vac, 36kA@415Vac - marca ABB.</t>
  </si>
  <si>
    <t>1SDA068157R1</t>
  </si>
  <si>
    <t>PLL_XT1-XT3_MOVIL</t>
  </si>
  <si>
    <t>Dispositivo para bloqueo por candado, extraible (bloqueo en posición abierto) - p/modelo XT1-XT3 - marca ABB (no inluye el candado ni llaves).</t>
  </si>
  <si>
    <t>1SDA066588R1</t>
  </si>
  <si>
    <t>FLD_XT1-XT3</t>
  </si>
  <si>
    <t>Frontal para bloqueo por candado, fijo en interruptor (bloqueo en posición abierto) - p/modelo XT1-XT3 - marca ABB (no inluye el candado ni llaves).</t>
  </si>
  <si>
    <t>1SDA066591R1</t>
  </si>
  <si>
    <t>FLD_XT2-XT4</t>
  </si>
  <si>
    <t>Frontal para bloqueo por candado, fijo en interruptor (bloqueo en posición abierto) - p/modelo XT2-XT4 - marca ABB (no inluye el candado ni llaves).</t>
  </si>
  <si>
    <t>1SDA066592R1</t>
  </si>
  <si>
    <t>1SDA054320R1</t>
  </si>
  <si>
    <t>T6L800-800A-3P-PR222DS/P-LSI</t>
  </si>
  <si>
    <t>ITM Caja Moldeada 3x800A (electrónico [0.4-1.0] In) - T6L800-800A-3P-PR222DS/P-LSI - 150kA@230Vac, 70kA@415Vac - marca ABB.</t>
  </si>
  <si>
    <t>1SDA060301R1</t>
  </si>
  <si>
    <t>T7H800-800A-4P-PR232/P-LSI</t>
  </si>
  <si>
    <t>ITM Caja Moldeada 4x800A (electrónico [0.4-1.0] In) - T7H800-800A-4P-PR232/P-LSI - 70kA@415Vac - marca ABB.</t>
  </si>
  <si>
    <t>1SDA062651R1</t>
  </si>
  <si>
    <t>E2.2S-2000A-3P-Ekip Dip LSI</t>
  </si>
  <si>
    <t>ITM Bastidor Abierto 3x2000A (electrónico [0.4-1.0] In) - E2.2S-2000A-3P-Ekip Dip LSI - 85kA@440Vac - marca ABB.</t>
  </si>
  <si>
    <t>1SDA071042R1</t>
  </si>
  <si>
    <t>E2.2B-2000A-3P-Ekip Touch LSI</t>
  </si>
  <si>
    <t>ITM Bastidor Abierto 3x2000A (electrónico [0.4-1.0] In) - E2.2B-2000A-3P-Ekip Touch LSI - 42kA@440Vac - marca ABB.</t>
  </si>
  <si>
    <t>1SDA071025R1</t>
  </si>
  <si>
    <t>E1.2B-1600A-4P-Ekip Touch LSIG</t>
  </si>
  <si>
    <t>ITM Bastidor Abierto 4x1600A (electrónico [0.4-1.0] In) - E1.2B-1600A-4P-Ekip Touch LSIG - 66kA@440Vac - marca ABB.</t>
  </si>
  <si>
    <t>1SDA071496R1</t>
  </si>
  <si>
    <t>E2.2N-1000A-4P-Ekip Touch LSI</t>
  </si>
  <si>
    <t>ITM Bastidor Abierto 4x1000A (electrónico [0.4-1.0] In) - E2.2N-1000A-4P-Ekip Touch LSI - 66kA@440Vac - marca ABB.</t>
  </si>
  <si>
    <t>1SDA071555R1</t>
  </si>
  <si>
    <t>E4.2N-3200A-3P-Ekip Touch LSIG</t>
  </si>
  <si>
    <t>ITM Bastidor Abierto 3x3200A (electrónico [0.4-1.0] In) - E4.2N-3200A-3P-Ekip Touch LSIG - 66kA@440Vac - marca ABB.</t>
  </si>
  <si>
    <t>1SDA071146R1</t>
  </si>
  <si>
    <t>E4.2S-3200A-4P-Ekip Touch LSI</t>
  </si>
  <si>
    <t>1SDA071785R1</t>
  </si>
  <si>
    <t>BASTIDOR ABIERTO EXTRAIBLE DE 3 x 5000A, Icu=85kA, tipo E2.2S</t>
  </si>
  <si>
    <t>E6.2H 5000 Ekip Hi-Touch LSI 3p WMP</t>
  </si>
  <si>
    <t>ITM Bastidor Abierto 3x5000A (electrónico [0.4-1.0] In) - E6.2H-5000A-3P-Ekip Hi Touch LSI - 100kA@440Vac - marca ABB.</t>
  </si>
  <si>
    <t>1SDA072615R1</t>
  </si>
  <si>
    <t>E6.2-5000A-3P_ext(FP)</t>
  </si>
  <si>
    <t>Parte fija de interruptor extraíble - Frame E6.2 N/S/H 3x5000A - marca ABB.</t>
  </si>
  <si>
    <t>1SDA073917R1</t>
  </si>
  <si>
    <t>BASTIDOR ABIERTO EXTRAIBLE DE 3 x 2500A, Icu=85kA, tipo E2.2S</t>
  </si>
  <si>
    <t xml:space="preserve">E2.2S 2500 Ekip Hi-Touch LSI 3p WMP    </t>
  </si>
  <si>
    <t>ITM Bastidor Abierto 3x2500A (electrónico [0.4-1.0] In) - E2.2S-2500A-3P-Ekip Hi Touch LSIG - 85kA@440Vac - marca ABB.</t>
  </si>
  <si>
    <t>1SDA072428R1</t>
  </si>
  <si>
    <t>E2.2-2500A-3P_ext(FP)</t>
  </si>
  <si>
    <t>Parte fija de interruptor extraíble - Frame E2.2 N/S/H 3x2500A - marca ABB.</t>
  </si>
  <si>
    <t>1SDA073911R1</t>
  </si>
  <si>
    <t>Seccionador Caja Moldeada XT1D Ith=3x160A, Ie=160A (AC22) / 125A (AC23), Icw(1s)=2kA - marca ABB.</t>
  </si>
  <si>
    <t>Seccionador Caja Moldeada XT3D Ith=3x250A, Ie = 250A (AC22) / 200A (AC23), Icw(1s)=3.6kA  - marca ABB.</t>
  </si>
  <si>
    <t>Seccionador Caja Moldeada  XT1D Ith=4x160A, Ie = 160A (AC22) / 125A (AC23), Icw(1s)=2kA, Icm_max=187kA  - marca ABB.</t>
  </si>
  <si>
    <t>Seccionador Caja Moldeada XT3D Ith=4x250A, Ie = 250A (AC22) / 200A (AC23), Icw(1s)=3.6kA, Icm_max=105kA  - marca ABB.</t>
  </si>
  <si>
    <t>T4D-320A-4P</t>
  </si>
  <si>
    <t>Seccionador Caja Moldeada In=3x320A, Ie=320A (AC22) / 320A (AC23), Icw(1s)=6kA - T4D-320A-3P - marca ABB.</t>
  </si>
  <si>
    <t>1SDA054597R1</t>
  </si>
  <si>
    <t>Seccionador Caja Moldeada In=4x320A, Ie=320A (AC22) / 320A (AC23), Icw(1s)=6kA - T4D-320A-4P - marca ABB.</t>
  </si>
  <si>
    <t>1SDA054598R1</t>
  </si>
  <si>
    <t>E2.2N-1000A-4P/MS</t>
  </si>
  <si>
    <t>Seccionador Bastidor Abierto Ie=4x1000A, Icw(1s)=66kA - E2.2N-1000A-4P/MS - marca ABB.</t>
  </si>
  <si>
    <t>1SDA073443R1</t>
  </si>
  <si>
    <t>E2.2N-1600A-4P/MS</t>
  </si>
  <si>
    <t>Seccionador Bastidor Abierto Ie=4x1600A, Icw(1s)=66kA - E2.2N-1600A-4P/MS - marca ABB.</t>
  </si>
  <si>
    <t>1SDA073448R1</t>
  </si>
  <si>
    <t>LED_VERDE_220V</t>
  </si>
  <si>
    <t>Lámpara tipo LED montable - color Verde - alimentacion: 220-230Vac - MLBL-07G - línea modular - marca ABB.</t>
  </si>
  <si>
    <t>1SFA611621R1072</t>
  </si>
  <si>
    <t>VV-ACS580-P/30kW</t>
  </si>
  <si>
    <t>VARIADOR DE VELOCIDAD 30kW - 380V/480V (IP21) - MODELO ACS580-01-062A-4+J400 - marca ABB.</t>
  </si>
  <si>
    <t>74612849</t>
  </si>
  <si>
    <t>NOCH0070-60</t>
  </si>
  <si>
    <t>Reactancia de Salida (Filtro du/dt). IP 00 - modelo NOCH0070-60, para ACS580 - marca ABB.</t>
  </si>
  <si>
    <t>ACS-AP-S</t>
  </si>
  <si>
    <t>Panel de control asistente con interface Bluetooth para ACS580 - modelo ACS-AP-S, marca ABB.</t>
  </si>
  <si>
    <t>3AUA0000064884</t>
  </si>
  <si>
    <t>VARIADOR DE VELOCIDAD 22kW/30HP - 380V/480V (IP21) - MODELO ACS355-03E-44A0-4 - marca ABB.</t>
  </si>
  <si>
    <t>VARIADOR DE VELOCIDAD 18.5kW/25HP - 380V/480V (IP21) - MODELO ACS355-03E-38A0-4 - marca ABB.</t>
  </si>
  <si>
    <t>VARIADOR DE VELOCIDAD 15kW/20HP - 380V/480V (IP21) - MODELO ACS355-03E-31A0-4 - marca ABB.</t>
  </si>
  <si>
    <t>VARIADOR DE VELOCIDAD 11kW/15HP - 380V/480V (IP21) - MODELO ACS355-03E-23A1-4 - marca ABB.</t>
  </si>
  <si>
    <t>VARIADOR DE VELOCIDAD 7.5kW/10HP - 380V/480V (IP21) - MODELO ACS355-03E-15A6-4 - marca ABB.</t>
  </si>
  <si>
    <t>VARIADOR DE VELOCIDAD 5.5kW/7.5HP - 380V/480V (IP21) - MODELO ACS355-03E-12A5-4 - marca ABB.</t>
  </si>
  <si>
    <t>VARIADOR DE VELOCIDAD 4kW/5HP - 380V/480V (IP21) - MODELO ACS355-03E-08A8-4 - marca ABB.</t>
  </si>
  <si>
    <t>VARIADOR DE VELOCIDAD 3.0kW/4.0HP - 380V/480V (IP21) - MODELO ACS355-03E-07A3-4 - marca ABB.</t>
  </si>
  <si>
    <t>VARIADOR DE VELOCIDAD 2.2kW/3.0HP - 380V/480V (IP21) - MODELO ACS355-03E-05A6-4 - marca ABB.</t>
  </si>
  <si>
    <t>VARIADOR DE VELOCIDAD 1.5kW/2.0HP - 380V/480V (IP21) - MODELO ACS355-03E-04A1-4 - marca ABB.</t>
  </si>
  <si>
    <t>VARIADOR DE VELOCIDAD 1.1kW/1.5HP - 380V/480V (IP21) - MODELO ACS355-03E-03A3-4 - marca ABB.</t>
  </si>
  <si>
    <t>VARIADOR DE VELOCIDAD 0.75kW/1.0HP - 380V/480V (IP21) - MODELO ACS355-03E-02A4-4 - marca ABB.</t>
  </si>
  <si>
    <t>VARIADOR DE VELOCIDAD 0.55kW/0.75HP - 380V/480V (IP21) - MODELO ACS355-03E-01A9-4 - marca ABB.</t>
  </si>
  <si>
    <t>VV-ACS355-P/0.37kW</t>
  </si>
  <si>
    <t>VARIADOR DE VELOCIDAD 0.37kW/0.5HP - 380V/480V (IP21) - MODELO ACS355-03E-01A2-4 - marca ABB.</t>
  </si>
  <si>
    <t>3AUA0000058182</t>
  </si>
  <si>
    <t>VV-ACS355-P/2.2kW-1F+N</t>
  </si>
  <si>
    <t>VARIADOR DE VELOCIDAD 2.2kW/3HP ACS355-200V/240V (IP20) - MODELO ACS355-01E-09A8-2 - marca ABB.</t>
  </si>
  <si>
    <t>3AUA0000058170</t>
  </si>
  <si>
    <t>CHK-D1</t>
  </si>
  <si>
    <t>Reactancia de Entrada de L=1mH, IP 00 - modelo CHK-D1, marca ABB</t>
  </si>
  <si>
    <t>VV-ACS355-P/1.5kW-1F+N</t>
  </si>
  <si>
    <t>VARIADOR DE VELOCIDAD 1.5kW/2HP ACS355-200V/240V (IP20) - MODELO ACS355-01E-07A5-2 - marca ABB.</t>
  </si>
  <si>
    <t>3AUA0000058169</t>
  </si>
  <si>
    <t>CHK-C1</t>
  </si>
  <si>
    <t>Reactancia de Entrada de L=1.2mH, IP 00 - modelo CHK-C1, marca ABB</t>
  </si>
  <si>
    <t>VV-ACS355-P/1.1kW-1F+N</t>
  </si>
  <si>
    <t>VARIADOR DE VELOCIDAD 1.1kW/1.5HP ACS355-200V/240V (IP20) - MODELO ACS355-01E-06A7-2 - marca ABB.</t>
  </si>
  <si>
    <t>3AUA0000058168</t>
  </si>
  <si>
    <t>VARIADOR DE VELOCIDAD 0.75kW/1HP ACS355-200V/240V (IP20) - MODELO ACS355-01E-04A7-2 - marca ABB.</t>
  </si>
  <si>
    <t>VV-ACS355-P/0.37kW-1F+N</t>
  </si>
  <si>
    <t>VARIADOR DE VELOCIDAD 0.37kW/0.5HP ACS355-200V/240V (IP20) - MODELO ACS355-01E-02A4-2 - marca ABB.</t>
  </si>
  <si>
    <t>3AUA0000058166</t>
  </si>
  <si>
    <t>CHK-A1</t>
  </si>
  <si>
    <t>Reactancia de Entrada de L=8mH, IP 00 - modelo CHK-A1, marca ABB</t>
  </si>
  <si>
    <t>Gabinete autosoportado - modelo IS2, TYPE 12 / IP65, RAL 7035 - 2100x600x600mm, con placa base y puerta ciega - marca ABB.</t>
  </si>
  <si>
    <t>Gabinete autosoportado - modelo IS2, TYPE 12 / IP65, RAL 7035 - 2100x800x600mm, con placa base y puerta ciega - marca ABB.</t>
  </si>
  <si>
    <t>Gabinete autosoportado - modelo IS2, TYPE 12 / IP65, RAL 7035 - 2100x600x800mm, con placa base y puerta ciega - marca ABB.</t>
  </si>
  <si>
    <t>Gabinete autosoportado - modelo IS2, TYPE 12 / IP65, RAL 7035 - 2100x800x800mm, con placa base y puerta ciega - marca ABB.</t>
  </si>
  <si>
    <t>Gabinete autosoportado - modelo IS2, TYPE 12 / IP65, RAL 7035 - 2100x1000x600mm, con placa base y puerta ciega traslapada - marca ABB.</t>
  </si>
  <si>
    <t>Gabinete autosoportado - modelo IS2, TYPE 12 / IP65, RAL 7035 - 2100x1000x800mm, con placa base y puerta ciega traslapada - marca ABB.</t>
  </si>
  <si>
    <t>Gabinete autosoportado - modelo IS2, TYPE 12 / IP65, RAL 7035 - 2100x1000x1000mm, con placa base y puerta ciega traslapada - marca ABB.</t>
  </si>
  <si>
    <t>Gabinete autosoportado - modelo IS2, TYPE 12 / IP65, RAL 7035 - 2100x1200x600mm (2 cuerpos), con placa base y puerta ciega - marca ABB.</t>
  </si>
  <si>
    <t>Gabinete autosoportado - modelo IS2, TYPE 12 / IP65, RAL 7035 - 2100x1200x800mm (2 cuerpos), con placa base y puerta ciega - marca ABB.</t>
  </si>
  <si>
    <t>Gabinete autosoportado - modelo IS2, TYPE 12 / IP65, RAL 7035 - 2100x1600x600mm (2 cuerpos), con placa base y puerta ciega - marca ABB.</t>
  </si>
  <si>
    <t>Gabinete autosoportado - modelo IS2, TYPE 12 / IP65, RAL 7035 - 2100x1600x800mm (2 cuerpos), con placa base y puerta ciega - marca ABB.</t>
  </si>
  <si>
    <t>Gabinete autosoportado - modelo IS2, TYPE 12 / IP65, RAL 7035 - 2100x600x600mm, con placa base y puerta transparente - marca ABB.</t>
  </si>
  <si>
    <t>Gabinete autosoportado - modelo IS2, TYPE 12 / IP65, RAL 7035 - 2100x800x600mm, con placa base y puerta transparente - marca ABB.</t>
  </si>
  <si>
    <t>Gabinete autosoportado - modelo IS2, TYPE 12 / IP65, RAL 7035 - 2100x600x800mm, con placa base y puerta transparente - marca ABB.</t>
  </si>
  <si>
    <t>Gabinete autosoportado - modelo IS2, TYPE 12 / IP65, RAL 7035 - 2100x800x800mm, con placa base y puerta transparente - marca ABB.</t>
  </si>
  <si>
    <t>ENCLOSUREBL.DOOR+PLATE 1200x800x300mm, COLOR RAL7035 - marca ABB.</t>
  </si>
  <si>
    <t>ENCLOSUREBL.DOOR+PLATE 1200x600x300mm, COLOR RAL7035 - marca ABB.</t>
  </si>
  <si>
    <t>ENCLOSUREBL.DOOR+PLATE 1000x800x300mm, COLOR RAL7035 - marca ABB.</t>
  </si>
  <si>
    <t>ENCLOSUREBL.DOOR+PLATE 1000x600x300mm, COLOR RAL7035 - marca ABB.</t>
  </si>
  <si>
    <t>ENCLOSUREBL.DOOR+PLATE 1000x600x250mm, COLOR RAL7035 - marca ABB.</t>
  </si>
  <si>
    <t>ENCLOSUREBL.DOOR+PLATE 800x800x300mm, COLOR RAL7035 - marca ABB.</t>
  </si>
  <si>
    <t>ENCLOSUREBL.DOOR+PLATE 800x600x300mm, COLOR RAL7035 - marca ABB.</t>
  </si>
  <si>
    <t>ENCLOSUREBL.DOOR+PLATE 800x600x250mm, COLOR RAL7035 - marca ABB.</t>
  </si>
  <si>
    <t>ENCLOSUREBL.DOOR+PLATE 700x500x250mm, COLOR RAL7035 - marca ABB.</t>
  </si>
  <si>
    <t>ENCLOSUREBL.DOOR+PLATE 700x500x200mm, COLOR RAL7035 - marca ABB.</t>
  </si>
  <si>
    <t>ENCLOSUREBL.DOOR+PLATE 600x600x250mm, COLOR RAL7035 - marca ABB.</t>
  </si>
  <si>
    <t>ENCLOSUREBL.DOOR+PLATE 600x400x250mm, COLOR RAL7035 - marca ABB.</t>
  </si>
  <si>
    <t>ENCLOSUREBL.DOOR+PLATE 600x400x200mm, COLOR RAL7035 - marca ABB.</t>
  </si>
  <si>
    <t>ENCLOSUREBL.DOOR+PLATE 500x400x250mm, COLOR RAL7035 - marca ABB.</t>
  </si>
  <si>
    <t>ENCLOSUREBL.DOOR+PLATE 500x400x200mm, COLOR RAL7035 - marca ABB.</t>
  </si>
  <si>
    <t>ENCLOSUREBL.DOOR+PLATE 500x300x200mm, COLOR RAL7035 - marca ABB.</t>
  </si>
  <si>
    <t>ENCLOSUREBL.DOOR+PLATE 400x600x200mm, COLOR RAL7035 - marca ABB.</t>
  </si>
  <si>
    <t>ENCLOSUREBL.DOOR+PLATE 400x400x200mm, COLOR RAL7035 - marca ABB.</t>
  </si>
  <si>
    <t>ENCLOSUREBL.DOOR+PLATE 400x300x200mm, COLOR RAL7035 - marca ABB.</t>
  </si>
  <si>
    <t>ENCLOSUREBL.DOOR+PLATE 400x300x150mm, COLOR RAL7035 - marca ABB.</t>
  </si>
  <si>
    <t>ENCLOSUREBL.DOOR+PLATE 300x400x150mm, COLOR RAL7035 - marca ABB.</t>
  </si>
  <si>
    <t>ENCLOSUREBL.DOOR+PLATE 300x300x150mm, COLOR RAL7035 - marca ABB.</t>
  </si>
  <si>
    <t>ENCLOSUREBL.DOOR+PLATE 300x200x150mm, COLOR RAL7035 - marca ABB.</t>
  </si>
  <si>
    <t>BASTIDOR PARA DISTRIBUCIÓN</t>
  </si>
  <si>
    <t>KD5040K</t>
  </si>
  <si>
    <t xml:space="preserve">Bastidor para distribución 14 mod. DIN x 2 filas, panel ciego, HxA=500x400mm - RAL 7035 - marca ABB.  </t>
  </si>
  <si>
    <t>KD6040K</t>
  </si>
  <si>
    <t xml:space="preserve">Bastidor para distribución 14 mod. DIN x 3 filas, panel ciego, HxA=600x400mm - RAL 7035 - marca ABB.  </t>
  </si>
  <si>
    <t>KD8060K</t>
  </si>
  <si>
    <t xml:space="preserve">Bastidor para distribución 25 mod. DIN x 4 filas, panel ciego, HxA=800x600mm - RAL 7035 - marca ABB.  </t>
  </si>
  <si>
    <t>KD1060K</t>
  </si>
  <si>
    <t xml:space="preserve">Bastidor para distribución 25 mod. DIN x 5 filas, panel ciego, HxA=1000x600mm - RAL 7035 - marca ABB.  </t>
  </si>
  <si>
    <t>KD1080K</t>
  </si>
  <si>
    <t xml:space="preserve">Bastidor para distribución 36 mod. DIN x 5 filas, panel ciego, HxA=1000x800mm - RAL 7035 - marca ABB.  </t>
  </si>
  <si>
    <t>KD1260K</t>
  </si>
  <si>
    <t xml:space="preserve">Bastidor para distribución 25 mod. DIN x 5 filas, panel ciego, HxA=1200x600mm - RAL 7035 - marca ABB.  </t>
  </si>
  <si>
    <t>KD1280K</t>
  </si>
  <si>
    <t xml:space="preserve">Bastidor para distribución 36 mod. DIN x 6 filas, panel ciego, HxA=1200x800mm - RAL 7035 - marca ABB.  </t>
  </si>
  <si>
    <t xml:space="preserve">PANELES CON BISAGRAS PARA EQUIPOS MODULARES </t>
  </si>
  <si>
    <t>(INCLUYENDO LOS SOPORTES DE MONTAJE DE CARRIL DIN)</t>
  </si>
  <si>
    <t>PM1414K</t>
  </si>
  <si>
    <t xml:space="preserve">Kit para 14 módulos, A= 400 mm, HxA=185x400mm - RAL 7035 - marca ABB.  </t>
  </si>
  <si>
    <t>PM1625K</t>
  </si>
  <si>
    <t xml:space="preserve">Kit para 25 módulos, A= 400 mm, HxA=185x600mm - RAL 7035 - marca ABB.  </t>
  </si>
  <si>
    <t>PANELES CIEGOS</t>
  </si>
  <si>
    <t>PC1406K</t>
  </si>
  <si>
    <t xml:space="preserve">Panel ciego, HxA=185x400mm - RAL 7035 - marca ABB.  </t>
  </si>
  <si>
    <t>PC1606K</t>
  </si>
  <si>
    <t xml:space="preserve">Panel ciego, HxA=185x600mm - RAL 7035 - marca ABB.  </t>
  </si>
  <si>
    <t>PC1806K</t>
  </si>
  <si>
    <t xml:space="preserve">Panel ciego, HxA=185x800mm - RAL 7035 - marca ABB.  </t>
  </si>
  <si>
    <t>PC2606K</t>
  </si>
  <si>
    <t xml:space="preserve">Panel ciego, HxA=370x600mm - RAL 7035 - marca ABB.  </t>
  </si>
  <si>
    <t>PC2806K</t>
  </si>
  <si>
    <t xml:space="preserve">Panel ciego, HxA=370x800mm - RAL 7035 - marca ABB.  </t>
  </si>
  <si>
    <t>PERFIL DIN (INCLUYE SOPORTES DE FIJACIÓN)</t>
  </si>
  <si>
    <t>GD4006</t>
  </si>
  <si>
    <t xml:space="preserve">Perfil DIN y soportes de fijación, Número de módulos= 14, A= 400 mm - marca ABB.  </t>
  </si>
  <si>
    <t>GD6006</t>
  </si>
  <si>
    <t xml:space="preserve">Perfil DIN y soportes de fijación, Número de módulos= 25, A= 600 mm - marca ABB.  </t>
  </si>
  <si>
    <t>GD8006</t>
  </si>
  <si>
    <t xml:space="preserve">Perfil DIN y soportes de fijación, Número de módulos= 36, A= 800 mm - marca ABB.  </t>
  </si>
  <si>
    <t>ADAPTADOR DE PROFUNDIDAD</t>
  </si>
  <si>
    <t>AP6001</t>
  </si>
  <si>
    <t xml:space="preserve">Adaptador de profundidad para Tmax XT1-XT3 A=600mm - marca ABB.  </t>
  </si>
  <si>
    <t>PLACA TMAX XT PARA PERFIL DIN</t>
  </si>
  <si>
    <t>Disponible con soporte incluido en el suministro del kit de perfil DIN</t>
  </si>
  <si>
    <t>AD3301</t>
  </si>
  <si>
    <t xml:space="preserve">Placa Tmax XT1 3P montado en perfil DIN - marca ABB.  </t>
  </si>
  <si>
    <t>AD3302</t>
  </si>
  <si>
    <t xml:space="preserve">Placa Tmax XT1 4P montado en perfil DIN - marca ABB.  </t>
  </si>
  <si>
    <t>AD3303</t>
  </si>
  <si>
    <t xml:space="preserve">Placa Tmax XT3 3P montado en perfil DIN - marca ABB.  </t>
  </si>
  <si>
    <t>AD3304</t>
  </si>
  <si>
    <t xml:space="preserve">Placa Tmax XT3 4P montado en perfil DIN - marca ABB.  </t>
  </si>
  <si>
    <t>BARRA DE NEUTRO O TIERRA</t>
  </si>
  <si>
    <t>AA8010</t>
  </si>
  <si>
    <t xml:space="preserve">Barras 20 x 5mm, 4 unidades, A= 1000 mm - marca ABB.  </t>
  </si>
  <si>
    <t>AA8011</t>
  </si>
  <si>
    <t xml:space="preserve">Soporte barras, 5 unidades - marca ABB.  </t>
  </si>
  <si>
    <t>PERFILES VERTICALES PARA ACCESORIOS</t>
  </si>
  <si>
    <t>TS6009</t>
  </si>
  <si>
    <t xml:space="preserve">Perfiles verticales para accesorios 2 unidades, H= 600 mm - marca ABB.  </t>
  </si>
  <si>
    <t>TS7009</t>
  </si>
  <si>
    <t xml:space="preserve">Perfiles verticales para accesorios 2 unidades, H= 700 mm - marca ABB.  </t>
  </si>
  <si>
    <t>TS8009</t>
  </si>
  <si>
    <t xml:space="preserve">Perfiles verticales para accesorios 2 unidades, H= 800 mm - marca ABB.  </t>
  </si>
  <si>
    <t>TAPAVENTANAS COLOR RAL7035</t>
  </si>
  <si>
    <t>AD1086</t>
  </si>
  <si>
    <t xml:space="preserve">L = 2000mm, color gis RAL7035 rugoso, 10 unidades - marca ABB.  </t>
  </si>
  <si>
    <t>AD1088</t>
  </si>
  <si>
    <t xml:space="preserve">L = 24 mód. DIN, color gis RAL7035 rugoso, 3 unidades - marca ABB.  </t>
  </si>
  <si>
    <t>AD1089</t>
  </si>
  <si>
    <t xml:space="preserve">L = 36 mód. DIN, color gis RAL7035 rugoso, 3 unidades - marca ABB.  </t>
  </si>
  <si>
    <t>SOPORTE PARA CANALETAS</t>
  </si>
  <si>
    <t>EV1131</t>
  </si>
  <si>
    <t xml:space="preserve">Soporte para canaletas en pulsadores Ø 22 mm, 100 unidades - marca ABB.  </t>
  </si>
  <si>
    <t>Contacto auxiliar y de alarma AA115RPK, para modelo HND, marca EATON.</t>
  </si>
  <si>
    <t>Jgo. de 3 terminales 3/0–400 (4), hasta 1200A,  (95-185m² ) para HND, marca EATON.</t>
  </si>
  <si>
    <t>HND3800T32W</t>
  </si>
  <si>
    <t>ITM de 3x50A - EGS + terminales internos p/ conexión,  65kA/240Vac. - 35kA/480Vac., marca EATON.</t>
  </si>
  <si>
    <t>SNT1RP11K</t>
  </si>
  <si>
    <t>Bobina de disparo SNT1RP11K para modelo FD, marca EATON.</t>
  </si>
  <si>
    <t>SNT3P11K</t>
  </si>
  <si>
    <t>Bobina de disparo SNT3P11K para modelo KD, marca EATON.</t>
  </si>
  <si>
    <t>JGS3225FAG</t>
  </si>
  <si>
    <t>ITM de 3x225A - JGS,  65kA@240Vac. - 35kA@480Vac. (UL), marca EATON.</t>
  </si>
  <si>
    <t>JGS3175FAG</t>
  </si>
  <si>
    <t>ITM de 3x175A - JGS,  65kA@240Vac. - 35kA@480Vac. (UL), marca EATON.</t>
  </si>
  <si>
    <t>JGS3150FAG</t>
  </si>
  <si>
    <t>ITM de 3x150A - JGS,  65kA@240Vac. - 35kA@480Vac. (UL), marca EATON.</t>
  </si>
  <si>
    <t>NGS310032E</t>
  </si>
  <si>
    <t>ITM de 3x1000A , ( Reg. 800-1000A ) NGS,  85kA-240Vac. - 50kA-480Vac - LSI - marca EATON.</t>
  </si>
  <si>
    <t>Terminal p/modelo NG, hasta 1200A, marca EATON</t>
  </si>
  <si>
    <t>BAB3020HS</t>
  </si>
  <si>
    <t>ITM de 3x20A - tornillo - BABH (Incluye bobina de disparo), 10kA / 240Vac. (UL), marca EATON.</t>
  </si>
  <si>
    <r>
      <rPr>
        <sz val="10"/>
        <color rgb="FF0000FF"/>
        <rFont val="Arial"/>
        <family val="2"/>
      </rPr>
      <t xml:space="preserve">Bobina de Disparo (impulso) </t>
    </r>
    <r>
      <rPr>
        <sz val="10"/>
        <color indexed="10"/>
        <rFont val="Arial"/>
        <family val="2"/>
      </rPr>
      <t>para BZM1..BZM3</t>
    </r>
    <r>
      <rPr>
        <sz val="10"/>
        <color rgb="FF0000FF"/>
        <rFont val="Arial"/>
        <family val="2"/>
      </rPr>
      <t xml:space="preserve"> - 230-240VAC, marca EATON.</t>
    </r>
  </si>
  <si>
    <r>
      <t xml:space="preserve">Contacto auxiliar NA </t>
    </r>
    <r>
      <rPr>
        <sz val="10"/>
        <color rgb="FFFF0000"/>
        <rFont val="Arial"/>
        <family val="2"/>
      </rPr>
      <t>para BZM1..BZM3, marca EATON.</t>
    </r>
  </si>
  <si>
    <r>
      <t xml:space="preserve">Contacto auxiliar NC </t>
    </r>
    <r>
      <rPr>
        <sz val="10"/>
        <color rgb="FFFF0000"/>
        <rFont val="Arial"/>
        <family val="2"/>
      </rPr>
      <t>para BZM1..BZM3, marca EATON.</t>
    </r>
  </si>
  <si>
    <t>410-QD1A-B0B16</t>
  </si>
  <si>
    <t>Contador de energía - Modelo CIRWATT B 410 - marca CIRCUTOR.</t>
  </si>
  <si>
    <t>Rotulado para TAG - Gabinete autosoportado.</t>
  </si>
  <si>
    <t>Dispositivo Protector de Sobretensión, para un sistema monofasico, 2 Hilos, 230V, Corriente de pico por fase de 50kA, modelo CVX, marca EATON.</t>
  </si>
  <si>
    <t>CVX050-240D</t>
  </si>
  <si>
    <t>Dispositivo Protector de Sobretensión, para un sistema trifasico, 3 Hilos, 230V, Corriente de pico por fase de 50kA, modelo CVX, marca EATON.</t>
  </si>
  <si>
    <t>SPD100460Y3K</t>
  </si>
  <si>
    <t>Protector contra Sobretensión Transitorio, Trifásico, corriente pico por fase de 100kA, 3 Hilos, Estrella, 460Vac, con LED de indicación de estado de cada fase, marca EATON.</t>
  </si>
  <si>
    <t>Tomacorriente industrial, 2P+T, 16A / 250V, Azul, 6H, empotrable, IP67 - (Ref: 1475) - marca MENNEKES.</t>
  </si>
  <si>
    <t>Enchufe industrial, 2P+T, 16A / 250V, Azul, 6H, IP67 - (Ref: 278) - marca MENNEKES.</t>
  </si>
  <si>
    <t>Tomacorriente industrial, 2P+T, 32A / 250V, Azul, 6H, empotrable, IP67 - (Ref: 1502) - marca MENNEKES.</t>
  </si>
  <si>
    <t>Enchufe industrial, 2P+T, 32A / 250V, Azul, 6H, IP67 - (Ref: 290) - marca MENNEKES.</t>
  </si>
  <si>
    <t>Tomacorriente industrial, 3P+T, 32A / 250V, Azul, 9H, empotrable, IP67 - (Ref: 1505) - marca MENNEKES.</t>
  </si>
  <si>
    <t>Enchufe industrial, 3P+T, 32A / 250V, Azul, 9H, IP67 - (Ref: 293) - marca MENNEKES.</t>
  </si>
  <si>
    <t>Tomacorriente industrial, 3P+N+T, 63A / 415V, Rojo, empotrable, IP67 - (Ref: 209A) - marca MENNEKES.</t>
  </si>
  <si>
    <t>Enchufe industrial, 3P+N+T, 63A / 415V, Rojo, IP67 - (Ref: 3325) - marca MENNEKES.</t>
  </si>
  <si>
    <t>Tomacorriente industrial, 3P+N+T, 32A / 415V, Rojo, empotrable, IP67 - (Ref: 240A) - marca MENNEKES.</t>
  </si>
  <si>
    <t>Enchufe industrial, 3P+N+T, 32A / 415V, Rojo, IP67 - (Ref: 300) - marca MENNEKES.</t>
  </si>
  <si>
    <t>760x760x300mm_4X</t>
  </si>
  <si>
    <t>Tablero mural en acero - modelo AE, NEMA 4X / IP66 - 760x760x300mm  - Ref.:1017.600 - marca RITTAL.</t>
  </si>
  <si>
    <t>760x600x210mm_4X</t>
  </si>
  <si>
    <t>Tablero mural en acero - modelo AE, NEMA 4X / IP66 - 760x600x210mm  - Ref.:1017.600 - marca RITTAL.</t>
  </si>
  <si>
    <t>Gabinete autosoportado - modelo TS 8, NEMA 12 / IP55, RAL 7035 - 2000x600x600mm - Ref.: 8606.500 - marca RITTAL.</t>
  </si>
  <si>
    <t>Gabinete autosoportado - modelo TS 8, NEMA 12 / IP55, RAL 7035 - 2000x800x600mm - Ref.: 8606.500 - marca RITTAL.</t>
  </si>
  <si>
    <t>Gabinete autosoportado - modelo TS 8, NEMA 12 / IP55, RAL 7035 - 2000x800x800mm - Ref.: 8808.500 - marca RITTAL.</t>
  </si>
  <si>
    <t>Gabinete autosoportado - modelo TS 8, NEMA 12 / IP55, RAL 7035 - 2000x1200x800mm - Ref.: 8208.500 - marca RITTAL.</t>
  </si>
  <si>
    <t>Gabinete autosoportado de acero inoxidable AISI 304 - modelo TS 8, NEMA 4X / IP66,  - 2000x800x600mm - Ref.: 8450.680 - marca RITTAL.</t>
  </si>
  <si>
    <t>TRAFO_2F_220-220V_100VA_Eaton</t>
  </si>
  <si>
    <t>Transformador de tensión monofásico 220 / 220 Vac - 100VA, modelo C0100E2CXX - Marca Eaton.</t>
  </si>
  <si>
    <t>TRAFO_2F_220-24V_100VA_Eaton</t>
  </si>
  <si>
    <t>Transformador de tensión monofásico 220 / 24 Vac - 100VA, modelo C0100E5B - Marca Eaton.</t>
  </si>
  <si>
    <t>TRAFO_2F_460-220V_1000VA_Eaton</t>
  </si>
  <si>
    <t>Transformador de tensión monofásico 460 / 220 Vac - 1000VA - Marca Eaton.</t>
  </si>
  <si>
    <t>TRAFO_3F_460-220V_5000VA_Eaton</t>
  </si>
  <si>
    <t>Transformador de tensión trifásico 460 / 220 Vac - 5000VA - Marca Eaton.</t>
  </si>
  <si>
    <t>PANEL_72x72</t>
  </si>
  <si>
    <t>WGC-20</t>
  </si>
  <si>
    <t>Toroide diferencial WGC-20 (nucleo cerrado) - diametro interior d=20mm S/relé, In_max=40A - marca CIRCUTOR.</t>
  </si>
  <si>
    <t>WGC-25</t>
  </si>
  <si>
    <t>Toroide diferencial WGC-25 (nucleo cerrado) - diametro interior d=25mm S/relé, In_max=50A - marca CIRCUTOR.</t>
  </si>
  <si>
    <t>WGC-30</t>
  </si>
  <si>
    <t>Toroide diferencial WGC-30 (nucleo cerrado) - diametro interior d=30mm S/relé, In_max=63A - marca CIRCUTOR.</t>
  </si>
  <si>
    <t>WGC-35</t>
  </si>
  <si>
    <t>Toroide diferencial WGC-35 (nucleo cerrado) - diametro interior d=35mm S/relé, In_max=100A - marca CIRCUTOR.</t>
  </si>
  <si>
    <t>WGC-55</t>
  </si>
  <si>
    <t>Toroide diferencial WGC-55 (nucleo cerrado) - diametro interior d=55mm S/relé, In_max=160A - marca CIRCUTOR.</t>
  </si>
  <si>
    <t>WGC-80</t>
  </si>
  <si>
    <t>Toroide diferencial WGC-80 (nucleo cerrado) - diametro interior d=80mm S/relé, In_max=250A - marca CIRCUTOR.</t>
  </si>
  <si>
    <t>WGC-110</t>
  </si>
  <si>
    <t>Toroide diferencial WGC-110 (nucleo cerrado) - diametro interior d=115mm S/relé, In_max=400A - marca CIRCUTOR.</t>
  </si>
  <si>
    <t>WGC-140</t>
  </si>
  <si>
    <t>Toroide diferencial WGC-140 (nucleo cerrado) - diametro interior d=140mm S/relé, In_max=800A - marca CIRCUTOR.</t>
  </si>
  <si>
    <t>WGC-180</t>
  </si>
  <si>
    <t>Toroide diferencial WGC-180 (nucleo cerrado) - diametro interior d=180mm S/relé, In_max=1250A - marca CIRCUTOR.</t>
  </si>
  <si>
    <t>WGC-220x105</t>
  </si>
  <si>
    <t>Toroide diferencial con nucleo cerrado, tipo WGC-220x105, Sección útil: 220x115 (mm) S/relé, In_max=2500A - marca CIRCUTOR.</t>
  </si>
  <si>
    <t>Toroide diferencial con nucleo cerrado, tipo WGC-350x150, Sección útil: 350x150 (mm) S/relé, In_max=3200A - marca CIRCUTOR.</t>
  </si>
  <si>
    <t>Toroide diferencial con nucleo cerrado, tipo WGC-500x200, Sección útil: 500x200 (mm) S/relé, In_max=4000A - marca CIRCUTOR.</t>
  </si>
  <si>
    <t>ACCES_MONTAJE_WGCx5</t>
  </si>
  <si>
    <t>1SLM004100A1207</t>
  </si>
  <si>
    <t>Tablero termoplástico tapas transparentes 36 módulos 3 filas</t>
  </si>
  <si>
    <t>ER103C40</t>
  </si>
  <si>
    <t>ITM de 3x40A - ER102C40 - marca EATON - cod.: 11M154</t>
  </si>
  <si>
    <t>ER103C20</t>
  </si>
  <si>
    <t>ITM de 3x20A - ER103C20 - marca EATON - cod.: 11M151</t>
  </si>
  <si>
    <t>ER102C40</t>
  </si>
  <si>
    <t>ITM de 2x40A - ER102C40 - marca EATON - cod.: 11M134</t>
  </si>
  <si>
    <t>ER102C20</t>
  </si>
  <si>
    <t>ITM de 2x20A - ER102C20 - marca EATON - cod.: 11M131</t>
  </si>
  <si>
    <t>ER102C16</t>
  </si>
  <si>
    <t>ITM de 2x16A - ER102C16 - marca EATON - cod.: 11M130</t>
  </si>
  <si>
    <t>----------------------------------------------------------------------------------------------</t>
  </si>
  <si>
    <t>Espacio Reserva Trifasica para modelo A1B</t>
  </si>
  <si>
    <t>Sistema de medición para Distribución:</t>
  </si>
  <si>
    <t>Sistema de Transferencia Automática "ITA":</t>
  </si>
  <si>
    <t>El Dispositivo de Conmutación Automática, modelo ATS022, marca ABB, al detectar una falla en la línea</t>
  </si>
  <si>
    <t xml:space="preserve">principal, puede controlar la puesta en marcha de un generador y conmutar automáticamente de una </t>
  </si>
  <si>
    <t xml:space="preserve">red a otra transmitiendo órdenes a los interruptores automáticos. Cambia automáticamente al generador </t>
  </si>
  <si>
    <t>o transformador después de un retardo predefinido. Tiene las siguientes características:</t>
  </si>
  <si>
    <t>Juego de fusibles.</t>
  </si>
  <si>
    <t>Barra a Tierra.</t>
  </si>
  <si>
    <t>Barras fases principales (3F+T) + barras a derivados.</t>
  </si>
  <si>
    <t>Barras fases principales (3F+T) + Cableado.</t>
  </si>
  <si>
    <t>Panel trifásico de 18 polos - 3F.</t>
  </si>
  <si>
    <t>EMPOTRADO</t>
  </si>
  <si>
    <t>IP 40</t>
  </si>
  <si>
    <t>IP 65</t>
  </si>
  <si>
    <t>El presupuesto se ha realizado en base a los diagramas unifilares del plano.</t>
  </si>
  <si>
    <t>Cualquier modificación, producto o equipo que sea requerido y que</t>
  </si>
  <si>
    <t>no se indique en nuestra oferta será cotizado de manera adicional.</t>
  </si>
  <si>
    <t>Uso interior, Autosoportados.</t>
  </si>
  <si>
    <t>Se considera en el presupuesto a los tableros de distribucion los siguientes tipos de encerramientos:</t>
  </si>
  <si>
    <t>Tipo de encerramiento IP 40, uso interior, Empotrado.</t>
  </si>
  <si>
    <t>Tipo de encerramiento IP 54, uso interior, Adosado.</t>
  </si>
  <si>
    <t>Tipo de encerramiento IP 65, uso exterior, Adosado. (con techo inclinado)</t>
  </si>
  <si>
    <t>ONV3PB</t>
  </si>
  <si>
    <t>Conmutador Voltimetrico, modelo ONV3PB - 0, L1-L2, L2-L3, L3-L1 - marca ABB.</t>
  </si>
  <si>
    <t>1SCA022533R5680</t>
  </si>
  <si>
    <t>ONAU31PB</t>
  </si>
  <si>
    <t>Conmutador Amperimetrico, modelo ONAU31PB - marca ABB.</t>
  </si>
  <si>
    <t>1SCA022533R5840</t>
  </si>
  <si>
    <t>A1N/P125-80A-1P-TMF</t>
  </si>
  <si>
    <t>ITM Caja Moldeada 1x80A - A1N/P125-80A-1P-TMF - 25kA@230V, 5kA@400V - marca ABB.</t>
  </si>
  <si>
    <t>1SDA066693R1</t>
  </si>
  <si>
    <t>A1B125-16A-3P-TMF</t>
  </si>
  <si>
    <t>ITM Caja Moldeada 3x16A - A1B125-16A-3P-TMF - 25kA@230Vac, 18kA@400Vac - marca ABB.</t>
  </si>
  <si>
    <t>1SDA068747R1</t>
  </si>
  <si>
    <t>A1C125-16A-3P-TMF</t>
  </si>
  <si>
    <t>ITM Caja Moldeada 3x16A - A1C125-16A-3P-TMF - 30kA@230Vac, 25kA@400Vac, 5kA@125Vdc - marca ABB.</t>
  </si>
  <si>
    <t>1SDA068748R1</t>
  </si>
  <si>
    <t>A1N125-15A-3P-TMF</t>
  </si>
  <si>
    <t>ITM Caja Moldeada 3x15A - A1N125-15A-3P-TMF - 50kA@230V, 36kA@400V - marca ABB.</t>
  </si>
  <si>
    <t>1SDA066721R1</t>
  </si>
  <si>
    <t>A1N125-16A-3P-TMF</t>
  </si>
  <si>
    <t>ITM Caja Moldeada 3x16A - A1N125-16A-3P-TMF - 50kA@230V, 36kA@400V - marca ABB.</t>
  </si>
  <si>
    <t>1SDA068749R1</t>
  </si>
  <si>
    <t>A1B125-16A-4P-TMF</t>
  </si>
  <si>
    <t>ITM Caja Moldeada 4x16A - A1B125-16A-4P-TMF - 25kA@230Vac, 18kA@400Vac - marca ABB.</t>
  </si>
  <si>
    <t>1SDA068751R1</t>
  </si>
  <si>
    <t>A1C125-16A-4P-TMF</t>
  </si>
  <si>
    <t>ITM Caja Moldeada 4x16A - A1C125-16A-3P-TMF - 30kA@230Vac, 25kA@400Vac, 10kA@250Vdc - marca ABB.</t>
  </si>
  <si>
    <t>1SDA068752R1</t>
  </si>
  <si>
    <t>A1N125-16A-4P-TMF</t>
  </si>
  <si>
    <t>ITM Caja Moldeada 4x16A - A1N125-16A-4P-TMF - 50kA@230V, 36kA@400V - marca ABB.</t>
  </si>
  <si>
    <t>1SDA066757R1</t>
  </si>
  <si>
    <t>A1N125-125A-4P-TMF</t>
  </si>
  <si>
    <t>ITM Caja Moldeada 4x125A - A1N125-125A-4P-TMF - 50kA@230V, 36kA@400V - marca ABB.</t>
  </si>
  <si>
    <t>1SDA066768R1</t>
  </si>
  <si>
    <t>RHE_A1-A2</t>
  </si>
  <si>
    <t>Mando giratorio reenviado - RHE (sobre puerta) p/modelo A1-A2, marca ABB.</t>
  </si>
  <si>
    <t>1SDA066158R1</t>
  </si>
  <si>
    <t>RHE_A3</t>
  </si>
  <si>
    <t>Mando giratorio reenviado - RHE (sobre puerta) p/modelo A3, marca ABB.</t>
  </si>
  <si>
    <t>1SDA066159R1</t>
  </si>
  <si>
    <t>Dispositivo para bloqueo por candado, fijo en interruptor (bloqueo en posición abierto) p/ modelo A1-A2 / 3-4p  - modelo PLL_A1-A2 - marca ABB (no inluye el candado ni llaves).</t>
  </si>
  <si>
    <t>PLL_A1-A2_O/C</t>
  </si>
  <si>
    <t>Dispositivo para bloqueo por candado, fijo en interruptor (bloqueo en posición abierto/cerrado) p/ modelo A1-A2 / 3-4p - modelo PLL_A1-A2_O/C - marca ABB (no inluye el candado ni llaves).</t>
  </si>
  <si>
    <t xml:space="preserve">XT2H 160 Ekip LSI In=100A 4p F F       </t>
  </si>
  <si>
    <t>ITM Caja Moldeada 4x100A (reg.[0.7-1.0] In) - XT2S160-100A-4P-LSI - 100kA@230Vac, 70kA@415Vac - marca ABB.</t>
  </si>
  <si>
    <t>1SDA067905R1</t>
  </si>
  <si>
    <t xml:space="preserve">XT2S 160 Ekip LSI In=100A 4p F F       </t>
  </si>
  <si>
    <t>ITM Caja Moldeada 4x100A (reg.[0.7-1.0] In) - XT2S160-100A-4P-LSI - 85kA@230Vac, 50kA@415Vac - marca ABB.</t>
  </si>
  <si>
    <t>1SDA067848R1</t>
  </si>
  <si>
    <t xml:space="preserve">XT4H 160 Ekip LSI In=160A 4p F F       </t>
  </si>
  <si>
    <t>ITM Caja Moldeada 4x160A (reg.[0.7-1.0] In) - XT4H160-160A-4P-LSI - 100kA@230Vac, 70kA@415Vac - marca ABB.</t>
  </si>
  <si>
    <t>1SDA068544R1</t>
  </si>
  <si>
    <t xml:space="preserve">XT4S 160 Ekip LSI In=160A 4p F F       </t>
  </si>
  <si>
    <t>ITM Caja Moldeada 4x160A (reg.[0.7-1.0] In) - XT4S160-160A-4P-LSI - 85kA@230Vac, 50kA@415Vac - marca ABB.</t>
  </si>
  <si>
    <t>1SDA068504R1</t>
  </si>
  <si>
    <t xml:space="preserve">XT4H 250 Ekip LSI In=250A 4p F F       </t>
  </si>
  <si>
    <t>ITM Caja Moldeada 4x250A (reg.[0.7-1.0] In) - XT4H250-250A-4P-LSI - 100kA@230Vac, 70kA@415Vac, 50kA@500Vdc - marca ABB.</t>
  </si>
  <si>
    <t>1SDA068545R1</t>
  </si>
  <si>
    <t>T5N400-400A-3P-PR221DS-I</t>
  </si>
  <si>
    <t>1SDA054319R1</t>
  </si>
  <si>
    <t xml:space="preserve">T5H 400 PR222DS/P-LSI In=400 4p F F    </t>
  </si>
  <si>
    <t>ITM Caja Moldeada 4x400A (electrónico [0.4-1.0] In) - T5H400-400A-4P--LSI - 85kA@230Vac, 50kA@415Vac - marca ABB.</t>
  </si>
  <si>
    <t xml:space="preserve">T5S 400 PR222DS/P-LSI In=400 4p F F    </t>
  </si>
  <si>
    <t>ITM Caja Moldeada 4x400A (electrónico [0.4-1.0] In) - T5S400-400A-4P--LSI - 85kA@230Vac, 50kA@415Vac - marca ABB.</t>
  </si>
  <si>
    <t xml:space="preserve">T6H 800 PR222DS/P-LSI In=800 4p F F    </t>
  </si>
  <si>
    <t>ITM Caja Moldeada 4x800A (electrónico [0.4-1.0] In) - T6H800-800A-4P-LSI - 100kA@230Vac, 70kA@415Vac - marca ABB.</t>
  </si>
  <si>
    <t>1SDA060296R1</t>
  </si>
  <si>
    <t xml:space="preserve">T7H 1600 PR232/P LSI In=1600A 4p F F   </t>
  </si>
  <si>
    <t>ITM Caja Moldeada 4x1600A (electrónico [0.4-1.0] In) - T7H1600-1600A-4P-LSI - 70kA@415Vac - marca ABB.</t>
  </si>
  <si>
    <t>1SDA063035R1</t>
  </si>
  <si>
    <t xml:space="preserve">T7S 1600 PR232/P LSI In=1600A 4p F F   </t>
  </si>
  <si>
    <t>ITM Caja Moldeada 4x1600A (electrónico [0.4-1.0] In) - T7S1600-1600A-4P-LSI - 50kA@415Vac - marca ABB.</t>
  </si>
  <si>
    <t xml:space="preserve">T7H 1000 PR232/P LSI In=1000A 4p F F   </t>
  </si>
  <si>
    <t>ITM Caja Moldeada 4x1000A (electrónico [0.4-1.0] In) - T7H1000-1000A-4P-LSI - 70kA@415Vac - marca ABB.</t>
  </si>
  <si>
    <t>1SDA062779R1</t>
  </si>
  <si>
    <t>T7S1600-1600A-4P-PR331/P LSIG</t>
  </si>
  <si>
    <t>ITM Caja Moldeada 4x1600A (electrónico [0.4-1.0] In) - T7S1600-1600A-4P-PR331/P LSIG - 50kA@415Vac - marca ABB.</t>
  </si>
  <si>
    <t>1SDA063004R1</t>
  </si>
  <si>
    <t>Mando giratorio directo RHD normal para fijo y enchufable - T4/T5 - marca ABB.</t>
  </si>
  <si>
    <t>E1.2B-1600A-3P-Ekip Touch LSI</t>
  </si>
  <si>
    <t>ITM Bastidor Abierto 3x1600A (electrónico [0.4-1.0] In) - E1.2B-1600A-3P-Ekip Touch LSI - 42kA@440Vac - marca ABB.</t>
  </si>
  <si>
    <t>1SDA070865R1</t>
  </si>
  <si>
    <t>E2.2B-1600A-3P-Ekip Touch LSI</t>
  </si>
  <si>
    <t>ITM Bastidor Abierto 3x1600A (electrónico [0.4-1.0] In) - E2.2B-1600A-3P-Ekip Touch LSI - 42kA@440Vac - marca ABB.</t>
  </si>
  <si>
    <t>1SDA070985R1</t>
  </si>
  <si>
    <t>E2.2N-2500A-3P-Ekip Touch LSIG</t>
  </si>
  <si>
    <t xml:space="preserve">E2.2S 1600 Ekip Touch LSI 4p WMP    </t>
  </si>
  <si>
    <t>1SDA072985R1</t>
  </si>
  <si>
    <t xml:space="preserve">E2.2S 2500 Ekip Touch LSI 4p WMP    </t>
  </si>
  <si>
    <t>1SDA073055R1</t>
  </si>
  <si>
    <t>SWITCH_I-0_3p_25A</t>
  </si>
  <si>
    <t>Conmutador de fuerza (I-0), 3p, 25A (AC21), modelo ONWS3PB - marca ABB.</t>
  </si>
  <si>
    <t>1SCA022532R9440</t>
  </si>
  <si>
    <t>AF205-30-00-13_3p</t>
  </si>
  <si>
    <t>Contactor 3x205A(AC-3) / 3x350A(AC-1) - AF205-30-00-13 - bobina 100-250Vac/dc - marca ABB.</t>
  </si>
  <si>
    <t>1SFL527002R1300</t>
  </si>
  <si>
    <t>AF400-30-11-70_3p</t>
  </si>
  <si>
    <t>Contactor 3x400A(AC-3) / 3x600A(AC-1) - AF400-30-11-70 - bobina 100-250Vac/dc - marca ABB.</t>
  </si>
  <si>
    <t>1SFL577001R7011</t>
  </si>
  <si>
    <t>PS2-2-2-125</t>
  </si>
  <si>
    <t>Busbar para 2 guardamotores (con espacio p/ 2 bloques laterales) p/ modelo MS165 - modelo PS2-2-2-125 - marca ABB.</t>
  </si>
  <si>
    <t>1SAM401920R1022</t>
  </si>
  <si>
    <t>PS2-3-2-125</t>
  </si>
  <si>
    <t>1SAM401920R1023</t>
  </si>
  <si>
    <t>PS2-4-2-125</t>
  </si>
  <si>
    <t>Busbar para 4 guardamotores (con espacio p/ 2 bloques laterales) p/ modelo MS165 - modelo PS2-4-2-125 - marca ABB.</t>
  </si>
  <si>
    <t>1SAM401920R1024</t>
  </si>
  <si>
    <t>VV-ACS310-P/0.75kW</t>
  </si>
  <si>
    <t>Variador de velocidad ACS310, 0.75kW Trifásico, 380 - 480Volt, IP20</t>
  </si>
  <si>
    <t>3AUA0000039627</t>
  </si>
  <si>
    <t>VV-ACS310-P/1.1kW</t>
  </si>
  <si>
    <t>Variador de velocidad ACS310, 1.1kW Trifásico, 380 - 480Volt, IP20</t>
  </si>
  <si>
    <t>3AUA0000039628</t>
  </si>
  <si>
    <t>VV-ACS310-P/1.5kW</t>
  </si>
  <si>
    <t>Variador de velocidad ACS310, 1.5kW Trifásico, 380 - 480Volt, IP20</t>
  </si>
  <si>
    <t>3AUA0000039629</t>
  </si>
  <si>
    <t>3AUA0000039633</t>
  </si>
  <si>
    <t>Kit para el montaje del panel de control en la puerta del tablero ACS310/350/355/550</t>
  </si>
  <si>
    <t>1SDA069720R1</t>
  </si>
  <si>
    <t>1SDA069721R1</t>
  </si>
  <si>
    <t>1SDA069722R1</t>
  </si>
  <si>
    <t>1SDA069723R1</t>
  </si>
  <si>
    <t>1SDA069724R1</t>
  </si>
  <si>
    <t>1SDA069725R1</t>
  </si>
  <si>
    <t>1SDA069726R1</t>
  </si>
  <si>
    <t>1SDA069727R1</t>
  </si>
  <si>
    <t>1SDA069728R1</t>
  </si>
  <si>
    <t>1SDA069729R1</t>
  </si>
  <si>
    <t>1SDA069730R1</t>
  </si>
  <si>
    <t>1SDA069742R1</t>
  </si>
  <si>
    <t>1SDA069743R1</t>
  </si>
  <si>
    <t>1SDA069744R1</t>
  </si>
  <si>
    <t>1SDA069745R1</t>
  </si>
  <si>
    <t>1SDA069746R1</t>
  </si>
  <si>
    <t>1SDA069747R1</t>
  </si>
  <si>
    <t>1SDA069748R1</t>
  </si>
  <si>
    <t>1SDA069749R1</t>
  </si>
  <si>
    <t>1SDA069750R1</t>
  </si>
  <si>
    <t>1SDA069751R1</t>
  </si>
  <si>
    <t>1SDA069752R1</t>
  </si>
  <si>
    <t>1SDA069731R1</t>
  </si>
  <si>
    <t>1SDA069732R1</t>
  </si>
  <si>
    <t>1SDA069733R1</t>
  </si>
  <si>
    <t>1SDA069734R1</t>
  </si>
  <si>
    <t>1SDA069735R1</t>
  </si>
  <si>
    <t>1SDA069736R1</t>
  </si>
  <si>
    <t>1SDA069737R1</t>
  </si>
  <si>
    <t>1SDA069738R1</t>
  </si>
  <si>
    <t>1SDA069739R1</t>
  </si>
  <si>
    <t>1SDA069740R1</t>
  </si>
  <si>
    <t>1SDA069741R1</t>
  </si>
  <si>
    <t>1SDA069783R1</t>
  </si>
  <si>
    <t>1SDA069784R1</t>
  </si>
  <si>
    <t>1SDA069786R1</t>
  </si>
  <si>
    <t>2(Q) contacto conmutado NA/NC + 1(SY) contacto por disparo de interruptor, versión cableada - A2 (2p) - marca ABB.</t>
  </si>
  <si>
    <t>2Q+1SY_A1-A2(3p)_UL</t>
  </si>
  <si>
    <t>2(Q) contacto conmutado NA/NC + 1(SY) contacto por disparo de interruptor, versión cableada - A1..A2 (3p) - marca ABB.</t>
  </si>
  <si>
    <t>ITM de 3x800A , ( Reg. 400-800A ) HND,  100kA-240Vac. / 65kA-480Vac. - LSI - marca EATON.</t>
  </si>
  <si>
    <t>HND312T32W</t>
  </si>
  <si>
    <t>ITM de 3x1000A , ( Reg. 500-1000A ) HND,  100kA-240Vac. / 65kA-480Vac. - LSI - marca EATON.</t>
  </si>
  <si>
    <t>KYK4</t>
  </si>
  <si>
    <t>Bloqueo por candado Kirk key para interruptor ND</t>
  </si>
  <si>
    <t>KYK3</t>
  </si>
  <si>
    <t>Bloqueo por candado Kirk key para interruptor KD</t>
  </si>
  <si>
    <t>JGE316036G</t>
  </si>
  <si>
    <t>ITM de 3x160A - JGE (Reg.80-150A) relé electrónico LSIG, 100kA@240Vac. - 25kA@480Vac. (UL), marca EATON.</t>
  </si>
  <si>
    <t>ITM de 3x200A - JGE, 100kA@240Vac. - 25kA@480Vac. (UL), marca EATON.</t>
  </si>
  <si>
    <t>JGE325036G</t>
  </si>
  <si>
    <t>ITM de 3x250A - JGE (Reg.125-250A) relé electrónico LSIG, 100kA@240Vac. - 25kA@480Vac. (UL), marca EATON.</t>
  </si>
  <si>
    <t>MAGNUM 2000()_50kA</t>
  </si>
  <si>
    <t>MAGNUM 2000()_4P_50kA</t>
  </si>
  <si>
    <t>ITM Bastidor Abierto de 4x2000A , ( Reg. 0.4-1.0 de In ) MWN Magnum, 50kA@415Vac. + contactos de estado + contacto de alarma - marca EATON.</t>
  </si>
  <si>
    <t>mRCM-40/2/03-A-MW</t>
  </si>
  <si>
    <t>Interruptor Diferencial de 2x40A - mRCM , 300mA, clase A , marca EATON.</t>
  </si>
  <si>
    <t>mRCM-25/2/03-A-MW</t>
  </si>
  <si>
    <t>Interruptor Diferencial de 2x25A - mRCM , 300mA, clase A , marca EATON.</t>
  </si>
  <si>
    <t>PM5330</t>
  </si>
  <si>
    <t>El Reemplazo de los medidores son:</t>
  </si>
  <si>
    <t>PM870 y PM850 = METSEPM8240 (PM8240)</t>
  </si>
  <si>
    <t>PM820 y PM810 = METSEPM5560 (PM5560)</t>
  </si>
  <si>
    <t xml:space="preserve">PM710 = METSEPM5330 (PM5330) para comunicación Modbus RS485 </t>
  </si>
  <si>
    <t>CVX050-230L</t>
  </si>
  <si>
    <t>SPC050415Y2P</t>
  </si>
  <si>
    <t>SPD250400Y3K</t>
  </si>
  <si>
    <t>SPD100400Y3K</t>
  </si>
  <si>
    <t>Dispositivo Protector de Sobretensión, Trifásico, 4 Hilos, 400/230V, Corriente de pico por fase de 100kA, Indicadores LED de estado de la protección, modelo SPD, marca EATON.</t>
  </si>
  <si>
    <t>DRX 3P-60A</t>
  </si>
  <si>
    <t>ITM Caja Moldeada 3x60A - DRX - 25kA@230Vac - marca Bticino.</t>
  </si>
  <si>
    <t>DRX 3P-50A</t>
  </si>
  <si>
    <t>ITM Caja Moldeada 3x50A - DRX - 25kA@230Vac - marca Bticino.</t>
  </si>
  <si>
    <t>FN820/C16</t>
  </si>
  <si>
    <t>ITM Riel-Din 2x16A - FN820 (NEW BTDIN) - 10kA@220Vac-IEC60947-2 - marca Bticino.</t>
  </si>
  <si>
    <t>FN820YC16</t>
  </si>
  <si>
    <t>FN820/C20</t>
  </si>
  <si>
    <t>ITM Riel-Din 2x20A - FN820 (NEW BTDIN) - 10kA@220Vac-IEC60947-2 - marca Bticino.</t>
  </si>
  <si>
    <t>FN820YC20</t>
  </si>
  <si>
    <t>FN820/C25</t>
  </si>
  <si>
    <t>ITM Riel-Din 2x25A - FN820 (NEW BTDIN) - 10kA@220Vac-IEC60947-2 - marca Bticino.</t>
  </si>
  <si>
    <t>FN820YC25</t>
  </si>
  <si>
    <t>FN820/C32</t>
  </si>
  <si>
    <t>ITM Riel-Din 2x32A - FN820 (NEW BTDIN) - 10kA@220Vac-IEC60947-2 - marca Bticino.</t>
  </si>
  <si>
    <t>FN820YC32</t>
  </si>
  <si>
    <t>FN830/C50</t>
  </si>
  <si>
    <t>ITM Riel-Din 3x50A - FN830 (NEW BTDIN) - 10kA@220Vac-IEC60947-2 - marca Bticino.</t>
  </si>
  <si>
    <t>FN830YC50</t>
  </si>
  <si>
    <t>G7230/25AC</t>
  </si>
  <si>
    <t>Interruptor Diferencial 2x25A - 30mA - clase AC - G7230 (NEW SALVAVITA) - marca Bticino.</t>
  </si>
  <si>
    <t>G7230AC25</t>
  </si>
  <si>
    <t>G7230/40AC</t>
  </si>
  <si>
    <t>Interruptor Diferencial 2x40A - 30mA - clase AC - G7230 (NEW SALVAVITA) - marca Bticino.</t>
  </si>
  <si>
    <t>G7230AC40</t>
  </si>
  <si>
    <t>G7430/63AC</t>
  </si>
  <si>
    <t>Interruptor Diferencial 4x63A - 30mA - clase AC - G7430 (NEW SALVAVITA) - marca Bticino.</t>
  </si>
  <si>
    <t>G7430AC63</t>
  </si>
  <si>
    <t>TRAFO_2F_220-120V_160VA</t>
  </si>
  <si>
    <t>Transformador de tensión monofásico 220 / 120 Vac - 160VA.</t>
  </si>
  <si>
    <t>RM ST40 3Y2</t>
  </si>
  <si>
    <t>Protector contra Sobretensión Transitorio 3F+N+T , Ue=380/220Vac, corriente pico por fase 40kA - marca SINE TAMMER.</t>
  </si>
  <si>
    <t>S201-C-6A</t>
  </si>
  <si>
    <t>ITM Riel-Din 1x6A - S201-C-10A - 10kA@230Vac-IEC60947-2 - marca ABB.</t>
  </si>
  <si>
    <t>2CJB120220Y0000</t>
  </si>
  <si>
    <t>Supresor contra sobretensiones (Tipo 1, UL 1449) - OVRHSP2002203Y - I_max=200kA por fase, Un=220/380V,  MCOV=320V (L-N), VPR=1.0kV (L-N) - marca ABB.</t>
  </si>
  <si>
    <t>YO_A1-A2_120V</t>
  </si>
  <si>
    <t>Bobina de apertura (YO) - A1..A2 - SOR versión no cableada - 110-125V AC/DC - marca ABB.</t>
  </si>
  <si>
    <t>1SDA066136R1</t>
  </si>
  <si>
    <t>YO_A3_120V</t>
  </si>
  <si>
    <t>Bobina de apertura (YO) - A3 - SOR versión no cableada - 110-125V AC/DC - marca ABB.</t>
  </si>
  <si>
    <t>1SDA054872R1</t>
  </si>
  <si>
    <t>XT2N160-63A-3P-Ekip LSIG</t>
  </si>
  <si>
    <t>ITM Caja Moldeada 3x63A (electrónico [0.4-1.0] In) - XT2N160-63A-3P-Ekip LSIG - 65kA@230Vac, 36kA@415Vac - marca ABB.</t>
  </si>
  <si>
    <t>1SDA067074R1</t>
  </si>
  <si>
    <t>XT2N160-100A-3P-Ekip LSIG</t>
  </si>
  <si>
    <t>ITM Caja Moldeada 3x100A (electrónico [0.4-1.0] In) - XT2N160-100A-3P-Ekip LSIG - 65kA@230Vac, 36kA@415Vac - marca ABB.</t>
  </si>
  <si>
    <t>1SDA067075R1</t>
  </si>
  <si>
    <t>XT2N160-160A-3P-Ekip LSIG</t>
  </si>
  <si>
    <t>ITM Caja Moldeada 3x160A (electrónico [0.4-1.0] In) - XT2N160-160A-3P-Ekip LSIG - 65kA@230Vac, 36kA@415Vac - marca ABB.</t>
  </si>
  <si>
    <t>1SDA067076R1</t>
  </si>
  <si>
    <t>PR222DS/PD-LSI-T4-4P-250A</t>
  </si>
  <si>
    <t>Rele electrónico de protección PR222DS/PD-LSI para Tmax T4 - 4P - 250A - marca ABB.</t>
  </si>
  <si>
    <t>1SDA054643R1</t>
  </si>
  <si>
    <t>PR222DS/PD-LSI-T5-4P-400A</t>
  </si>
  <si>
    <t>Rele electrónico de protección PR222DS/PD-LSI para Tmax T5 - 4P - 400A - marca ABB.</t>
  </si>
  <si>
    <t>T4N250-250A-3P-PR222DS/P-LSI</t>
  </si>
  <si>
    <t>ITM Caja Moldeada 3x250A (electrónico [0.4-1.0] In) - T4N250-250A-3P-PR222DS/P-LSI - 70kA@230Vac, 36kA@415Vac - marca ABB.</t>
  </si>
  <si>
    <t>1SDA054005R1</t>
  </si>
  <si>
    <t>T4N250-250A-4P-PR222DS/P-LSI</t>
  </si>
  <si>
    <t>ITM Caja Moldeada 4x250A (electrónico [0.4-1.0] In) - T4N250-250A-4P-PR222DS/P-LSI - 70kA@230Vac, 36kA@415Vac - marca ABB.</t>
  </si>
  <si>
    <t>1SDA054017R1</t>
  </si>
  <si>
    <t>T7S1600-1600A-3P-PR332/P-LSI</t>
  </si>
  <si>
    <t>ITM Caja Moldeada 3x1600A (electrónico [0.4-1.0] In) - T7S1600-1600A-3P-PR332/P-LSI - 50kA@415Vac - marca ABB.</t>
  </si>
  <si>
    <t>1SDA062998R1</t>
  </si>
  <si>
    <t>T7S1600-1600A-4P-PR332/P-LSI</t>
  </si>
  <si>
    <t>ITM Caja Moldeada 4x1600A (electrónico [0.4-1.0] In) - T7S1600-1600A-4P-PR332/P-LSI - 50kA@415Vac - marca ABB.</t>
  </si>
  <si>
    <t>1SDA063006R1</t>
  </si>
  <si>
    <t>RC222/4_T4-4p</t>
  </si>
  <si>
    <t>Bloque relé diferencial para Tmax T4-4p - modelo RC222/4 - marca ABB.</t>
  </si>
  <si>
    <t>1SDA054954R1</t>
  </si>
  <si>
    <t>E1.2B-1250A-3P-Ekip Touch LSI</t>
  </si>
  <si>
    <t>ITM Bastidor Abierto 3x1250A (electrónico [0.4-1.0] In) - E1.2B-1250A-3P-Ekip Touch LSI - 42kA@440Vac - marca ABB.</t>
  </si>
  <si>
    <t>1SDA070825R1</t>
  </si>
  <si>
    <t>1SVR427034R0000</t>
  </si>
  <si>
    <t>1SVR427035R0000</t>
  </si>
  <si>
    <t>T4N250-100A-3P-PR222DS/P-LSIG_UL</t>
  </si>
  <si>
    <t>ITM Caja Moldeada (UL) 3x100A (electrónico [0.4-1.0] In)  - T4N250-100A-3P-PR222DS/P-LSIG - 25kA@480V - marca ABB.</t>
  </si>
  <si>
    <t>1SDA055417R1</t>
  </si>
  <si>
    <t>T4N250-150A-3P-PR222DS/P-LSIG_UL</t>
  </si>
  <si>
    <t>ITM Caja Moldeada (UL) 3x150A (electrónico [0.4-1.0] In)  - T4N250-150A-3P-PR222DS/P-LSIG - 25kA@480V - marca ABB.</t>
  </si>
  <si>
    <t>1SDA055418R1</t>
  </si>
  <si>
    <t>T4N250-250A-3P-PR222DS/P-LSIG_UL</t>
  </si>
  <si>
    <t>ITM Caja Moldeada (UL) 3x250A (electrónico [0.4-1.0] In)  - T4N250-250A-3P-PR222DS/P-LSIG - 25kA@480V - marca ABB.</t>
  </si>
  <si>
    <t>1SDA055419R1</t>
  </si>
  <si>
    <t>AS1440-INDIRECTO</t>
  </si>
  <si>
    <t>TRAFO_460/230-120V_50VA_1F_EATON</t>
  </si>
  <si>
    <t>TRAFO_460/230-120V_100VA_1F_EATON</t>
  </si>
  <si>
    <t>TRAFO_460/230-120V_200VA_1F_EATON</t>
  </si>
  <si>
    <t>OVRHSP1602203Y</t>
  </si>
  <si>
    <t>2CJB116220Y0000</t>
  </si>
  <si>
    <t>OVRHSP2002203Y</t>
  </si>
  <si>
    <t>XT2S160-25A-4P-TMD</t>
  </si>
  <si>
    <t>ITM Caja Moldeada 4x25A (reg.[0.7-1.0] In) - XT2S160-25A-4P-TMD - 85kA@230Vac, 50kA@415Vac - marca ABB</t>
  </si>
  <si>
    <t>1SDA067573R1</t>
  </si>
  <si>
    <t>XT4N160-160A-4P-Ekip LSI</t>
  </si>
  <si>
    <t>ITM Caja Moldeada 4x160A (electrónico [0.4-1.0] In) - XT4N160-160A-4P-Ekip LSI - 65kA@230Vac, 36kA@415Vac - marca ABB.</t>
  </si>
  <si>
    <t>1SDA068156R1</t>
  </si>
  <si>
    <t>E4.2S-3200A-3P-Ekip Touch LSIG</t>
  </si>
  <si>
    <t>ITM Bastidor Abierto 3x3200A (electrónico [0.4-1.0] In) - E4.2S-3200A-3P-Ekip Touch LSIG - 85kA@440Vac - marca ABB.</t>
  </si>
  <si>
    <t>1SDA071156R1</t>
  </si>
  <si>
    <t>E4.2S-4000A-3P-Ekip Touch LSIG</t>
  </si>
  <si>
    <t>ITM Bastidor Abierto 3x4000A (electrónico [0.4-1.0] In) - E4.2S-4000A-3P-Ekip Touch LSIG - 85kA@440Vac - marca ABB.</t>
  </si>
  <si>
    <t>1SDA071206R1</t>
  </si>
  <si>
    <t>E4.2S-3200A-3P-Ekip Touch LSIG_ext</t>
  </si>
  <si>
    <t>ITM Bastidor Abierto 3x3200A (electrónico [0.4-1.0] In) extraible - E4.2S-3200A-3P-Ekip Touch LSIG - 85kA@440Vac - marca ABB.</t>
  </si>
  <si>
    <t>1SDA072506R1</t>
  </si>
  <si>
    <t>E4.2S-4000A-3P-Ekip Touch LSIG_ext</t>
  </si>
  <si>
    <t>ITM Bastidor Abierto 3x4000A (electrónico [0.4-1.0] In) extraible - E4.2S-4000A-3P-Ekip Touch LSIG - 85kA@440Vac - marca ABB.</t>
  </si>
  <si>
    <t>1SDA072556R1</t>
  </si>
  <si>
    <t>1SDA073915R1</t>
  </si>
  <si>
    <t>ITM Bastidor Abierto 4x3200A (electrónico [0.4-1.0] In) - E4.2S-3200A-4P-Ekip Touch LSI - 85kA@440Vac - marca ABB.</t>
  </si>
  <si>
    <t>MAGNUM 3200(M)_4P_65kA</t>
  </si>
  <si>
    <t>ITM Bastidor Abierto de 4x3200A , ( Reg. 0.4-1.0 de In ) MWN Magnum, LSI, 65kA@415Vac. + contactos de estado + contacto de alarma + Comando motorizado- marca EATON.</t>
  </si>
  <si>
    <t>MAGNUM 2000(M)_3P_50kA</t>
  </si>
  <si>
    <t>ITM Bastidor Abierto de 3x2000A , ( Reg. 0.4-1.0 de In ) MWN Magnum, LSI, 50kA@415Vac. + contactos de estado + contacto de alarma + Comando motorizado- marca EATON.</t>
  </si>
  <si>
    <t>MAGNUM 1600(M)_3P_50kA</t>
  </si>
  <si>
    <t>ITM Bastidor Abierto de 3x1600A , ( Reg. 0.4-1.0 de In ) MWN Magnum, LSI, 50kA@415Vac. + contactos de estado + contacto de alarma + Comando motorizado- marca EATON.</t>
  </si>
  <si>
    <t xml:space="preserve">MAGNUM 2000_4P_50kA   </t>
  </si>
  <si>
    <t>ITM Bastidor Abierto de 4x2000A , ( Reg. 0.4-1.0 de In ) MWN Magnum, LSI, 50kA@415Vac. + contactos de estado + contacto de alarma - marca EATON.</t>
  </si>
  <si>
    <t>XTOB035GC1</t>
  </si>
  <si>
    <t>Relé de sobrecarga XT para contactores DILM 115…DILM170, regulable (25.0 - 35.0)A. - marca EATON.</t>
  </si>
  <si>
    <t>XTOB050GC1</t>
  </si>
  <si>
    <t>Relé de sobrecarga XT para contactores DILM 115…DILM170, regulable (35.0 - 50.0)A. - marca EATON.</t>
  </si>
  <si>
    <t>XTOB070GC1</t>
  </si>
  <si>
    <t>Relé de sobrecarga XT para contactores DILM 115…DILM170, regulable (50.0 - 70.0)A. - marca EATON.</t>
  </si>
  <si>
    <t>XTOB100GC1</t>
  </si>
  <si>
    <t>Relé de sobrecarga XT para contactores DILM 115…DILM170, regulable (70.0 - 100.0)A. - marca EATON.</t>
  </si>
  <si>
    <t>XTOB125GC1</t>
  </si>
  <si>
    <t>Relé de sobrecarga XT para contactores DILM 115…DILM170, regulable (95.0 - 125.0)A. - marca EATON.</t>
  </si>
  <si>
    <t>XTOB150GC1</t>
  </si>
  <si>
    <t>Relé de sobrecarga XT para contactores DILM 115…DILM170, regulable (120.0 - 150.0)A. - marca EATON.</t>
  </si>
  <si>
    <t>XTOB100LC1</t>
  </si>
  <si>
    <t>Relé de sobrecarga XT para contactores DILM 185…DILM250, regulable (70.0 - 100.0)A. - marca EATON.</t>
  </si>
  <si>
    <t>XTOB125LC1</t>
  </si>
  <si>
    <t>Relé de sobrecarga XT para contactores DILM 185…DILM250, regulable (95.0 - 125.0)A. - marca EATON.</t>
  </si>
  <si>
    <t>XTOB160LC1</t>
  </si>
  <si>
    <t>Relé de sobrecarga XT para contactores DILM 185…DILM250, regulable (120.0 - 160.0)A. - marca EATON.</t>
  </si>
  <si>
    <t>XTOB220LC1</t>
  </si>
  <si>
    <t>Relé de sobrecarga XT para contactores DILM 185…DILM250, regulable (160.0 - 220.0)A. - marca EATON.</t>
  </si>
  <si>
    <t>XTOB250LC1</t>
  </si>
  <si>
    <t>Relé de sobrecarga XT para contactores DILM 185…DILM250, regulable (200.0 - 250.0)A. - marca EATON.</t>
  </si>
  <si>
    <t>Contacto auxiliar frontal 2NA+2NC para contactor DILM40...DILM170.</t>
  </si>
  <si>
    <t>COND_80kVAR/400V_p7</t>
  </si>
  <si>
    <t>Contactor para maniobra de condensadores - 90kVAR / 400Vac - Modelo CMC - bobina 230Vac/60Hz. - marca CIRCUTOR.</t>
  </si>
  <si>
    <t>Accesorio de montaje en carril DIN para WGC, marca CIRCUTOR.</t>
  </si>
  <si>
    <t>E1.2N-1000A-4P-Ekip Touch LSI_EXT</t>
  </si>
  <si>
    <t>1SDA072785R1</t>
  </si>
  <si>
    <t>E1.2-1600A-4P_ext(FP)</t>
  </si>
  <si>
    <t>Parte fija de interruptor extraíble - Frame E1.2 B/C/N/L 4x1600A - marca ABB.</t>
  </si>
  <si>
    <t>1SDA073908R1</t>
  </si>
  <si>
    <t>Busbar para 3 guardamotores (con espacio p/ 2 bloques laterales) p/ modelo MS165 - modelo PS2-3-2-125 - marca ABB.</t>
  </si>
  <si>
    <t>TF42-0.13</t>
  </si>
  <si>
    <t>TF42-1.0 Relé de sobrecarga - Ith=0.10…0.13A, clase disparo 10 - p/ contactor AF09 … AF38 - marca ABB.</t>
  </si>
  <si>
    <t>1SAZ721201R1005</t>
  </si>
  <si>
    <t>TF42-0.17</t>
  </si>
  <si>
    <t>TF42-1.0 Relé de sobrecarga - Ith=0.13…0.17A, clase disparo 10 - p/ contactor AF09 … AF38 - marca ABB.</t>
  </si>
  <si>
    <t>1SAZ721201R1008</t>
  </si>
  <si>
    <t>TF42-0.23</t>
  </si>
  <si>
    <t>TF42-1.0 Relé de sobrecarga - Ith=0.17…0.23A, clase disparo 10 - p/ contactor AF09 … AF38 - marca ABB.</t>
  </si>
  <si>
    <t>1SAZ721201R1009</t>
  </si>
  <si>
    <t>TF42-0.31</t>
  </si>
  <si>
    <t>TF42-1.0 Relé de sobrecarga - Ith=0.23…0.31A, clase disparo 10 - p/ contactor AF09 … AF38 - marca ABB.</t>
  </si>
  <si>
    <t>1SAZ721201R1013</t>
  </si>
  <si>
    <t>TF42-0.41</t>
  </si>
  <si>
    <t>TF42-1.0 Relé de sobrecarga - Ith=0.31…0.41A, clase disparo 10 - p/ contactor AF09 … AF38 - marca ABB.</t>
  </si>
  <si>
    <t>1SAZ721201R1014</t>
  </si>
  <si>
    <t>TF42-0.55</t>
  </si>
  <si>
    <t>TF42-1.0 Relé de sobrecarga - Ith=0.41…0.55A, clase disparo 10 - p/ contactor AF09 … AF38 - marca ABB.</t>
  </si>
  <si>
    <t>1SAZ721201R1017</t>
  </si>
  <si>
    <t>TF42-0.74</t>
  </si>
  <si>
    <t>TF42-1.0 Relé de sobrecarga - Ith=0.55…0.74A, clase disparo 10 - p/ contactor AF09 … AF38 - marca ABB.</t>
  </si>
  <si>
    <t>1SAZ721201R1021</t>
  </si>
  <si>
    <t>SH204-C-50A</t>
  </si>
  <si>
    <t>ITM Riel-Din 4x50A - SH204-C-50A - 10kA@230Vac, 6kA@400Vac-IEC60898 - marca ABB.</t>
  </si>
  <si>
    <t>SH204-C-63A</t>
  </si>
  <si>
    <t>ITM Riel-Din 4x63A - SH204-C-63A - 10kA@230Vac, 6kA@400Vac-IEC60898 - marca ABB.</t>
  </si>
  <si>
    <t>F202-B-25A-30mA</t>
  </si>
  <si>
    <t>Interruptor Diferencial 2x25A - 30mA - clase B (alta inmunización: para variador, corriente pulsante o con rizado) - F202-B-25A-30mA - marca ABB.</t>
  </si>
  <si>
    <t>2CSF202592R1250</t>
  </si>
  <si>
    <t>F202-B-40A-30mA</t>
  </si>
  <si>
    <t>Interruptor Diferencial 2x40A - 30mA - clase B (alta inmunización: para variador, corriente pulsante o con rizado) - F202-B-40A-30mA - marca ABB.</t>
  </si>
  <si>
    <t>2CSF202592R1400</t>
  </si>
  <si>
    <t>F204-B-25A-30mA</t>
  </si>
  <si>
    <t>Interruptor Diferencial 4x25A - 30mA - clase B (alta inmunización: para variador, corriente pulsante o con rizado) - F204-B-40A-30mA - marca ABB.</t>
  </si>
  <si>
    <t>F204-B-40A-30mA_</t>
  </si>
  <si>
    <t>2CSF204592R1400</t>
  </si>
  <si>
    <t>AMT1-A1-60/96</t>
  </si>
  <si>
    <t>Amperímetro analógico AC, I_med=60A, 96x96mm. - modelo AMT1-A1-60/96 - marca ABB.</t>
  </si>
  <si>
    <t>2CSG313110R4001</t>
  </si>
  <si>
    <t xml:space="preserve">XT2H 160 Ekip LSI In=160A 4p F F       </t>
  </si>
  <si>
    <t>ITM Caja Moldeada 4x160A (reg.[0.7-1.0] In) - XT2H160-160A-4P-LSI - 100kA@230Vac, 70kA@415Vac - marca ABB.</t>
  </si>
  <si>
    <t>1SDA067907R1</t>
  </si>
  <si>
    <t xml:space="preserve">XT2H 160 Ekip LSI In=63A 4p F F       </t>
  </si>
  <si>
    <t>ITM Caja Moldeada 4x63A (reg.[0.7-1.0] In) - XT2S160-63A-4P-LSI - 100kA@230Vac, 70kA@415Vac - marca ABB.</t>
  </si>
  <si>
    <t>1SDA067847R1</t>
  </si>
  <si>
    <t xml:space="preserve">XT4L 160 Ekip LSI In=160A 4p F F       </t>
  </si>
  <si>
    <t>ITM Caja Moldeada 4x160A (reg.[0.7-1.0] In) - XT4L160-160A-4P-LSI - 100kA@230Vac, 120kA@415Vac - marca ABB.</t>
  </si>
  <si>
    <t>ITM Caja Moldeada 3x630A (electrónico [0.4-1.0] In) - T5L630-630A-3P-PR222DS/P-LSI - 120kA@415Vac - marca ABB.</t>
  </si>
  <si>
    <t>T5L400-400A-3P-PR222DS/P-LSI</t>
  </si>
  <si>
    <t>1SDA054369R1</t>
  </si>
  <si>
    <t>E2.2S-2000A-3P-Ekip Touch LSI</t>
  </si>
  <si>
    <t>ITM Bastidor Abierto 3x2000A (electrónico [0.4-1.0] In) - E2.2S-2000A-3P-Ekip Touch LSI - 85kA@440Vac - marca ABB.</t>
  </si>
  <si>
    <t>1SDA071045R1</t>
  </si>
  <si>
    <t>E4.2N-4000A-4P-Ekip Touch LSI</t>
  </si>
  <si>
    <t>ITM Bastidor Abierto 4x4000A (electrónico [0.4-1.0] In) - E4.2N-4000A-4P-Ekip Touch LSI - 66kA@440Vac - marca ABB.</t>
  </si>
  <si>
    <t>1SDA071825R1</t>
  </si>
  <si>
    <t>PLL_E2.2..E6.2</t>
  </si>
  <si>
    <t>Bloqueo por candado en posicion abierto, D=7mm - para interruptores Emax E2.2..E6.2 - marca ABB.</t>
  </si>
  <si>
    <t>E6.2H 5000 SECCIONADOR 4p MS</t>
  </si>
  <si>
    <t>Seccionador Bastidor Abierto 4x5000A - E2.2H-5000A-4P - 100kA@440Vac - marca ABB.</t>
  </si>
  <si>
    <t>1SDA073549R1</t>
  </si>
  <si>
    <t>BASTIDOR ABIERTO EXTRAIBLE DE 4 x 5000A, Icu=100kA, tipo E6.2H</t>
  </si>
  <si>
    <t xml:space="preserve">E6.2H 5000 Ekip Touch LSI 4p WMP    </t>
  </si>
  <si>
    <t>ITM Bastidor Abierto 4x5000A (electrónico [0.4-1.0] In) - E6.2H-5000A-4P-Ekip Touch LSI - 100kA@440Vac - marca ABB.</t>
  </si>
  <si>
    <t>1SDA073245R1</t>
  </si>
  <si>
    <t>E6.2-5000A-4P_ext(FP)</t>
  </si>
  <si>
    <t>Parte fija de interruptor extraíble - Frame E6.2 H/V 4x5000A - marca ABB.</t>
  </si>
  <si>
    <t>1SDA073918R1</t>
  </si>
  <si>
    <t>EKIP-MEAS-PRO_E6.2</t>
  </si>
  <si>
    <t>Módulo de medición + protección "Ekip Measuring Pro" - Emax E6.2 - marca ABB.</t>
  </si>
  <si>
    <t>1SDA074191R1</t>
  </si>
  <si>
    <t>BASTIDOR ABIERTO EXTRAIBLE DE 4 x 2000A, Icu=85kA, tipo E2.2S</t>
  </si>
  <si>
    <t xml:space="preserve">E2.2S 2000 Ekip Touch LSI 4p WMP    </t>
  </si>
  <si>
    <t>1SDA073025R1</t>
  </si>
  <si>
    <t>E2.2-2000A-4P_ext(FP)</t>
  </si>
  <si>
    <t>Parte fija de interruptor extraíble - Frame E2.2 B/N/S/H 4x2000A - marca ABB.</t>
  </si>
  <si>
    <t>TRANSFERENCIA TRIPLE CON INTERRUPTORES EXTRAIBLES DE 4x1000A (Icu=85kA, E2.2S )</t>
  </si>
  <si>
    <t xml:space="preserve">E2.2S 1000 Ekip Touch LSI 4p WMP    </t>
  </si>
  <si>
    <t>ITM Bastidor Abierto 4x1000A (electrónico [0.4-1.0] In) - E2.2S-1000A-4P-Ekip Touch LSI - 85kA@440Vac - marca ABB.</t>
  </si>
  <si>
    <t>1SDA072915R1</t>
  </si>
  <si>
    <t>E2.2-1000A-4P_ext(FP)</t>
  </si>
  <si>
    <t>Parte fija de interruptor extraíble - Frame E2.2 B/N/S/H 4x1000A - marca ABB.</t>
  </si>
  <si>
    <t>TRANSFERENCIA TRIPLE CON INTERRUPTORES EXTRAIBLES DE 4x800A (Icu=85kA, E2.2S )</t>
  </si>
  <si>
    <t xml:space="preserve">E2.2S 800 Ekip Touch LSI 4p WMP    </t>
  </si>
  <si>
    <t>ITM Bastidor Abierto 4x800A (electrónico [0.4-1.0] In) - E2.2S-800A-4P-Ekip Touch LSI - 85kA@440Vac - marca ABB.</t>
  </si>
  <si>
    <t>1SDA072886R1</t>
  </si>
  <si>
    <t>E2.2-800A-4P_ext(FP)</t>
  </si>
  <si>
    <t>Parte fija de interruptor extraíble - Frame E2.2 B/N/S/H 4x800A - marca ABB.</t>
  </si>
  <si>
    <t>OHB200J12P_OT1000…3200_C</t>
  </si>
  <si>
    <t>Dispositivo de bloqueo con candado en todas las posiciones, IP65, tipo Nema 1, 3R, 12. Color negro, modelo OHB200J12PE311 - marca ABB.</t>
  </si>
  <si>
    <t>1SCA104685R1001</t>
  </si>
  <si>
    <t xml:space="preserve">3 X </t>
  </si>
  <si>
    <t>Terminal cada polo - p/modelo GJ, hasta 250A.</t>
  </si>
  <si>
    <t>Mod. Ent/sal.</t>
  </si>
  <si>
    <t>Modulo de expansiòn M-CVM-AB-8I-8OTR,Entrada digital:8, Salida a transitor:8</t>
  </si>
  <si>
    <t>M56E01</t>
  </si>
  <si>
    <t>TOMA-EMP_2P+T_DOBLE</t>
  </si>
  <si>
    <t>Tomacorriente monofasico, 2P+T, 16A, 127 / 250V, duplex, Matix - marca Bticino.</t>
  </si>
  <si>
    <t>AM5025D</t>
  </si>
  <si>
    <t>CUBIERTA_3MOD_IP55</t>
  </si>
  <si>
    <t>Cubierta Idrobox, 3 modulos, IP55, Blanco, Matix - marca Bticino.</t>
  </si>
  <si>
    <t>CMC_7.25kVAR/400V</t>
  </si>
  <si>
    <t>Contactor para maniobra de condensadores - 7.25kVAR / 400Vac - Modelo CMC - bobina 230Vac/60Hz. - marca CIRCUTOR.</t>
  </si>
  <si>
    <t>CMC_13.8kVAR/400V</t>
  </si>
  <si>
    <t>Contactor para maniobra de condensadores - 13.8kVAR / 400Vac - Modelo CMC - bobina 230Vac/60Hz. - marca CIRCUTOR.</t>
  </si>
  <si>
    <t>CMC_27.7kVAR/400V</t>
  </si>
  <si>
    <t>Contactor para maniobra de condensadores - 27.7kVAR / 400Vac - Modelo CMC - bobina 230Vac/60Hz. - marca CIRCUTOR.</t>
  </si>
  <si>
    <t>OVRHSP2002773Y</t>
  </si>
  <si>
    <t>Supresor contra sobretensiones (Tipo 1, UL 1449) - OVRHSP2002773Y - I_max=200kA por fase, Un=277/480V,  MCOV=320V (L-N), VPR=1.2kV (L-N) - marca ABB.</t>
  </si>
  <si>
    <t>2CJB120277Y0000</t>
  </si>
  <si>
    <t>T4N250-160A-3P-TMA</t>
  </si>
  <si>
    <t>ITM Caja Moldeada 3x160A (reg.[0.7-1.0] In) - T4N250-160A-3P-TMA - 36kA@415Vac, 25kA@500Vdc - marca ABB.</t>
  </si>
  <si>
    <t>1SDA054177R1</t>
  </si>
  <si>
    <t>T4N250-200A-3P-TMA</t>
  </si>
  <si>
    <t>ITM Caja Moldeada 3x200A (reg.[0.7-1.0] In) - T4N250-200A-3P-TMA - 36kA@415Vac, 25kA@500Vdc - marca ABB.</t>
  </si>
  <si>
    <t>1SDA054178R1</t>
  </si>
  <si>
    <t>ITM Caja Moldeada 3x250A (reg.[0.7-1.0] In) - T4N250-250A-3P-TMA - 36kA@415Vac, 25kA@500Vdc - marca ABB.</t>
  </si>
  <si>
    <t>ITM Caja Moldeada 4x160A (reg.[0.7-1.0] In) - T4N250-160A-4P-TMA - 36kA@415Vac, 16kA@750Vdc - marca ABB.</t>
  </si>
  <si>
    <t>ITM Caja Moldeada 4x200A (reg.[0.7-1.0] In) - T4N250-200A-4P-TMA - 36kA@415Vac, 16kA@750Vdc - marca ABB.</t>
  </si>
  <si>
    <t>ITM Caja Moldeada 4x250A (reg.[0.7-1.0] In) - T4N250-250A-4P-TMA - 36kA@415Vac, 16kA@750Vdc - marca ABB.</t>
  </si>
  <si>
    <t xml:space="preserve">T5H 630 PR222DS/P-LSI In=400 4p F F    </t>
  </si>
  <si>
    <t>ITM Caja Moldeada 4x630A (electrónico [0.4-1.0] In) - T5H630-630A-4P--LSI - 100kA@230Vac, 70kA@415Vac - marca ABB.</t>
  </si>
  <si>
    <t xml:space="preserve">T7H 1000 PR331/P LSI In=1000A 4p F F   </t>
  </si>
  <si>
    <t>E4.2N-3200A-3P-Ekip Touch LSIG_ext</t>
  </si>
  <si>
    <t>ITM Bastidor Abierto 3x3200A (electrónico [0.4-1.0] In) extraible - E4.2S-3200A-3P-Ekip Touch LSIG - 66kA@440Vac - marca ABB.</t>
  </si>
  <si>
    <t>1SDA072496R1</t>
  </si>
  <si>
    <t>E4.2-3200A-3P_ext(FP)</t>
  </si>
  <si>
    <t>Parte fija de interruptor extraíble - Frame E4.2 N/S/H 3x3200A - marca ABB.</t>
  </si>
  <si>
    <t>1SDA073913R1</t>
  </si>
  <si>
    <t>E4.2-4000A-3P_ext(FP)</t>
  </si>
  <si>
    <t>Parte fija de interruptor extraíble - Frame E4.2 N/S/H/V 3x4000A - marca ABB.</t>
  </si>
  <si>
    <t>EKIP-NET</t>
  </si>
  <si>
    <t>Módulo "Ekip Device Net" - Emax 2 - marca ABB.</t>
  </si>
  <si>
    <t>1SDA074154R1</t>
  </si>
  <si>
    <t>1SCA120070R1001</t>
  </si>
  <si>
    <t>MIS_320x435x108mm</t>
  </si>
  <si>
    <t>Tablero termoplástico para Empotrar, serie MISTRAL 41F p/transparente 24 modulos. 320x435x108mm - IP41, IK08, RAL 9016 - marca ABB.</t>
  </si>
  <si>
    <t>1SLM004100A1205</t>
  </si>
  <si>
    <t>MIS_430x435x108mm</t>
  </si>
  <si>
    <t>Tablero termoplástico para Empotrar, serie MISTRAL 41F p/transparente 36 modulos. 430x435x108mm - IP41, IK08, RAL 9016 - marca ABB.</t>
  </si>
  <si>
    <t>1SLM004100A1206</t>
  </si>
  <si>
    <t>MIS_320x735x108mm</t>
  </si>
  <si>
    <t>Tablero termoplástico para Empotrar, serie MISTRAL 41F p/transparente 48 modulos. 320x735x108mm - IP41, IK08, RAL 9016 - marca ABB.</t>
  </si>
  <si>
    <t>1SLM004100A1208</t>
  </si>
  <si>
    <t>MIS_430x600x128mm</t>
  </si>
  <si>
    <t>Tablero termoplástico para Empotrar, serie MISTRAL 41F p/transparente 54 modulos. 430x600x128mm - IP41, IK08, RAL 9016 - marca ABB.</t>
  </si>
  <si>
    <t>1SLM004100A1209</t>
  </si>
  <si>
    <t>SOP.TER 18 MOD</t>
  </si>
  <si>
    <t>Soporte de Terminal 18 modulos Mistral</t>
  </si>
  <si>
    <t>1SLM004100A1955</t>
  </si>
  <si>
    <t>SOP.TER 12 MOD</t>
  </si>
  <si>
    <t>Soporte de Terminal 12 modulos Mistral</t>
  </si>
  <si>
    <t>1SLM004100A1954</t>
  </si>
  <si>
    <t>BARRA.25 ORIFICIOS</t>
  </si>
  <si>
    <t>Barra de terminales 19 orificios 4.5mm y 6 orificios de 5.6mm</t>
  </si>
  <si>
    <t>M125350000</t>
  </si>
  <si>
    <t>BARRA.21 ORIFICIOS</t>
  </si>
  <si>
    <t>Barra de terminales 15 orificios 4.5mm y 6 orificios de 5.6mm</t>
  </si>
  <si>
    <t>M125340000</t>
  </si>
  <si>
    <t>BARRA.19 ORIFICIOS</t>
  </si>
  <si>
    <t>Barra de terminales 16 orificios 4.5mm y 3 orificios de 5.6mm</t>
  </si>
  <si>
    <t>M125330000</t>
  </si>
  <si>
    <t>CONECTOR P/PEINE</t>
  </si>
  <si>
    <t>Conector. Cables hasta 35mm2. (4 piezas) - marca Schneider.</t>
  </si>
  <si>
    <t>A9XPCM04</t>
  </si>
  <si>
    <t>ITM Caja Moldeada (UL) 3x20A - T1N100-20A-3P-TMF - 50kA@240Vac, 22kA@480Vac - marca ABB.</t>
  </si>
  <si>
    <t>ITM Caja Moldeada (UL) 3x25A - T1N100-25A-3P-TMF - 50kA@240Vac, 22kA@480Vac - marca ABB.</t>
  </si>
  <si>
    <t>ITM Caja Moldeada (UL) 3x30A - T1N100-30A-3P-TMF - 50kA@240Vac, 22kA@480Vac - marca ABB.</t>
  </si>
  <si>
    <t>ITM Caja Moldeada (UL) 3x40A - T1N100-40A-3P-TMF - 50kA@240Vac, 22kA@480Vac - marca ABB.</t>
  </si>
  <si>
    <t>ITM Caja Moldeada (UL) 3x50A - T1N100-50A-3P-TMF - 50kA@240Vac, 22kA@480Vac - marca ABB.</t>
  </si>
  <si>
    <t>ITM Caja Moldeada (UL) 3x60A - T1N100-60A-3P-TMF - 50kA@240Vac, 22kA@480Vac - marca ABB.</t>
  </si>
  <si>
    <t>ITM Caja Moldeada (UL) 3x70A - T1N100-70A-3P-TMF - 50kA@240Vac, 22kA@480Vac - marca ABB.</t>
  </si>
  <si>
    <t>ITM Caja Moldeada (UL) 3x80A - T1N100-80A-3P-TMF - 50kA@240Vac, 22kA@480Vac - marca ABB.</t>
  </si>
  <si>
    <t>ITM Caja Moldeada (UL) 3x90A - T1N100-90A-3P-TMF - 50kA@240Vac, 22kA@480Vac - marca ABB.</t>
  </si>
  <si>
    <t>ITM Caja Moldeada (UL) 3x100A - T1N100-100A-3P-TMF - 50kA@240Vac, 22kA@480Vac - marca ABB.</t>
  </si>
  <si>
    <t>T4N250-150A-3P-TMA_UL</t>
  </si>
  <si>
    <t>ITM Caja Moldeada (UL) 3x150A (reg.[0.7-1.0] In) - T4N250-160A-3P-TMA - 25kA@480Vac, 25kA@500Vdc - marca ABB.</t>
  </si>
  <si>
    <t>1SDA057182R1</t>
  </si>
  <si>
    <t>T4N250-200A-3P-TMA_UL</t>
  </si>
  <si>
    <t>ITM Caja Moldeada (UL) 3x200A (reg.[0.7-1.0] In) - T4N250-200A-3P-TMA- 25kA@480Vac, 25kA@500Vdc - marca ABB.</t>
  </si>
  <si>
    <t>1SDA057183R1</t>
  </si>
  <si>
    <t>T4N250-250A-3P-TMA_UL</t>
  </si>
  <si>
    <t>ITM Caja Moldeada (UL) 3x250A (reg.[0.7-1.0] In) - T4N250-250A-3P-TMA- 25kA@480Vac, 25kA@500Vdc - marca ABB.</t>
  </si>
  <si>
    <t>1SDA057184R1</t>
  </si>
  <si>
    <t>T4N250-160A-4P-TMA_UL</t>
  </si>
  <si>
    <t>ITM Caja Moldeada 4x160A (reg.[0.7-1.0] In) - T4N250-160A-4P-TMA - 25kA@480Vac, 16kA@600Vdc - marca ABB.</t>
  </si>
  <si>
    <t>1SDA060102R1</t>
  </si>
  <si>
    <t>T4N250-200A-4P-TMA_UL</t>
  </si>
  <si>
    <t>ITM Caja Moldeada 4x200A (reg.[0.7-1.0] In) - T4N250-200A-4P-TMA - 25kA@480Vac, 16kA@600Vdc - marca ABB.</t>
  </si>
  <si>
    <t>1SDA060103R1</t>
  </si>
  <si>
    <t>T4N250-250A-4P-TMA_UL</t>
  </si>
  <si>
    <t>ITM Caja Moldeada 4x250A (reg.[0.7-1.0] In) - T4N250-250A-4P-TMA - 25kA@480Vac, 16kA@600Vdc - marca ABB.</t>
  </si>
  <si>
    <t>1SDA060104R1</t>
  </si>
  <si>
    <t>A1A100-15A-1P-TMF_UL</t>
  </si>
  <si>
    <t>ITM Caja Moldeada (UL) 1x15A - A1A100-15A-1P-TMF - 10kA@240Vac - marca ABB.</t>
  </si>
  <si>
    <t>1SDA069697R1</t>
  </si>
  <si>
    <t>A1A100-20A-1P-TMF_UL</t>
  </si>
  <si>
    <t>ITM Caja Moldeada (UL) 1x20A - A1A100-20A-1P-TMF - 10kA@240Vac - marca ABB.</t>
  </si>
  <si>
    <t>1SDA069699R1</t>
  </si>
  <si>
    <t>A1A100-25A-1P-TMF_UL</t>
  </si>
  <si>
    <t>ITM Caja Moldeada (UL) 1x25A - A1A100-25A-1P-TMF - 10kA@240Vac - marca ABB.</t>
  </si>
  <si>
    <t>1SDA069700R1</t>
  </si>
  <si>
    <t>A1A100-30A-1P-TMF_UL</t>
  </si>
  <si>
    <t>ITM Caja Moldeada (UL) 1x30A - A1A100-30A-1P-TMF - 10kA@240Vac - marca ABB.</t>
  </si>
  <si>
    <t>1SDA069701R1</t>
  </si>
  <si>
    <t>A1A100-40A-1P-TMF_UL</t>
  </si>
  <si>
    <t>ITM Caja Moldeada (UL) 1x40A - A1A100-40A-1P-TMF - 10kA@240Vac - marca ABB.</t>
  </si>
  <si>
    <t>1SDA069702R1</t>
  </si>
  <si>
    <t>A1A100-50A-1P-TMF_UL</t>
  </si>
  <si>
    <t>ITM Caja Moldeada (UL) 1x50A - A1A100-50A-1P-TMF - 10kA@240Vac - marca ABB.</t>
  </si>
  <si>
    <t>1SDA069703R1</t>
  </si>
  <si>
    <t>A1N100-15A-1P-TMF_UL</t>
  </si>
  <si>
    <t>ITM Caja Moldeada (UL) 1x15A - A1N100-15A-1P-TMF - 18kA@240Vac - marca ABB.</t>
  </si>
  <si>
    <t>1SDA069709R1</t>
  </si>
  <si>
    <t>A1N100-20A-1P-TMF_UL</t>
  </si>
  <si>
    <t>ITM Caja Moldeada (UL) 1x20A - A1N100-20A-1P-TMF - 18kA@240Vac - marca ABB.</t>
  </si>
  <si>
    <t>1SDA069710R1</t>
  </si>
  <si>
    <t>A1N100-25A-1P-TMF_UL</t>
  </si>
  <si>
    <t>ITM Caja Moldeada (UL) 1x25A - A1N100-25A-1P-TMF - 18kA@240Vac - marca ABB.</t>
  </si>
  <si>
    <t>1SDA069711R1</t>
  </si>
  <si>
    <t>A1N100-30A-1P-TMF_UL</t>
  </si>
  <si>
    <t>ITM Caja Moldeada (UL) 1x30A - A1N100-30A-1P-TMF - 18kA@240Vac - marca ABB.</t>
  </si>
  <si>
    <t>1SDA069712R1</t>
  </si>
  <si>
    <t>A1N100-40A-1P-TMF_UL</t>
  </si>
  <si>
    <t>ITM Caja Moldeada (UL) 1x40A - A1N100-40A-1P-TMF - 18kA@240Vac - marca ABB.</t>
  </si>
  <si>
    <t>1SDA069713R1</t>
  </si>
  <si>
    <t>A1N100-50A-1P-TMF_UL</t>
  </si>
  <si>
    <t>ITM Caja Moldeada (UL) 1x50A - A1N100-50A-1P-TMF - 18kA@240Vac - marca ABB.</t>
  </si>
  <si>
    <t>1SDA069714R1</t>
  </si>
  <si>
    <t>A1N100-15A-3P-TMF_UL</t>
  </si>
  <si>
    <t>ITM Caja Moldeada (UL) 3x15A - A1N100-15A-3P-TMF - 25kA@240Vac - marca ABB.</t>
  </si>
  <si>
    <t>1SDA069753R1</t>
  </si>
  <si>
    <t>A1N100-20A-3P-TMF_UL</t>
  </si>
  <si>
    <t>ITM Caja Moldeada (UL) 3x20A - A1N100-20A-3P-TMF - 25kA@240Vac - marca ABB.</t>
  </si>
  <si>
    <t>1SDA069754R1</t>
  </si>
  <si>
    <t>A1N100-25A-3P-TMF_UL</t>
  </si>
  <si>
    <t>ITM Caja Moldeada (UL) 3x25A - A1N100-25A-3P-TMF - 25kA@240Vac - marca ABB.</t>
  </si>
  <si>
    <t>1SDA069755R1</t>
  </si>
  <si>
    <t>A1N100-30A-3P-TMF_UL</t>
  </si>
  <si>
    <t>ITM Caja Moldeada (UL) 3x30A - A1N100-30A-3P-TMF - 25kA@240Vac - marca ABB.</t>
  </si>
  <si>
    <t>1SDA069756R1</t>
  </si>
  <si>
    <t>A1N100-40A-3P-TMF_UL</t>
  </si>
  <si>
    <t>ITM Caja Moldeada (UL) 3x40A - A1N100-40A-3P-TMF - 25kA@240Vac - marca ABB.</t>
  </si>
  <si>
    <t>1SDA069757R1</t>
  </si>
  <si>
    <t>A1N100-50A-3P-TMF_UL</t>
  </si>
  <si>
    <t>ITM Caja Moldeada (UL) 3x50A - A1N100-50A-3P-TMF - 25kA@240Vac - marca ABB.</t>
  </si>
  <si>
    <t>1SDA069758R1</t>
  </si>
  <si>
    <t>A1N100-60A-3P-TMF_UL</t>
  </si>
  <si>
    <t>ITM Caja Moldeada (UL) 3x60A - A1N100-60A-3P-TMF - 25kA@240Vac - marca ABB.</t>
  </si>
  <si>
    <t>1SDA069759R1</t>
  </si>
  <si>
    <t>A1N100-70A-3P-TMF_UL</t>
  </si>
  <si>
    <t>ITM Caja Moldeada (UL) 3x70A - A1N100-70A-3P-TMF - 25kA@240Vac - marca ABB.</t>
  </si>
  <si>
    <t>1SDA069760R1</t>
  </si>
  <si>
    <t>A1N100-80A-3P-TMF_UL</t>
  </si>
  <si>
    <t>ITM Caja Moldeada (UL) 3x80A - A1N100-80A-3P-TMF - 25kA@240Vac - marca ABB.</t>
  </si>
  <si>
    <t>1SDA069761R1</t>
  </si>
  <si>
    <t>A1N100-90A-3P-TMF_UL</t>
  </si>
  <si>
    <t>ITM Caja Moldeada (UL) 3x90A - A1N100-90A-3P-TMF - 25kA@240Vac - marca ABB.</t>
  </si>
  <si>
    <t>1SDA069762R1</t>
  </si>
  <si>
    <t>A1N100-100A-3P-TMF_UL</t>
  </si>
  <si>
    <t>ITM Caja Moldeada (UL) 3x100A - A1N100-100A-3P-TMF - 25kA@240Vac - marca ABB.</t>
  </si>
  <si>
    <t>1SDA069763R1</t>
  </si>
  <si>
    <t>ITM Caja Moldeada (UL) 3x150A - A2A250-150A-3P-TMF - 10kA@240Vac, 10kA@250Vdc - marca ABB.</t>
  </si>
  <si>
    <t>ITM Caja Moldeada (UL) 3x200A - A2A250-200A-3P-TMF - 10kA@240Vac, 10kA@250Vdc - marca ABB.</t>
  </si>
  <si>
    <t>A2N250-150A-3P-TMF_UL</t>
  </si>
  <si>
    <t>ITM Caja Moldeada (UL) 3x150A - A2N250-150A-3P-TMF - 25kA@240Vac, 25kA@250Vdc - marca ABB.</t>
  </si>
  <si>
    <t>1SDA069796R1</t>
  </si>
  <si>
    <t>A2N250-200A-3P-TMF_UL</t>
  </si>
  <si>
    <t>ITM Caja Moldeada (UL) 3x200A - A2N250-200A-3P-TMF - 25kA@240Vac, 25kA@250Vdc - marca ABB.</t>
  </si>
  <si>
    <t>1SDA069798R1</t>
  </si>
  <si>
    <t>A2N250-225A-3P-TMF_UL</t>
  </si>
  <si>
    <t>ITM Caja Moldeada (UL) 3x225A - A2N250-225A-3P-TMF - 25kA@240Vac, 25kA@250Vdc - marca ABB.</t>
  </si>
  <si>
    <t>1SDA069799R1</t>
  </si>
  <si>
    <t>A2N250-250A-3P-TMF_UL</t>
  </si>
  <si>
    <t>ITM Caja Moldeada (UL) 3x250A - A2N250-250A-3P-TMF - 25kA@240Vac, 25kA@250Vdc - marca ABB.</t>
  </si>
  <si>
    <t>1SDA069800R1</t>
  </si>
  <si>
    <t>NZM2/3-XMVR</t>
  </si>
  <si>
    <t>Enclavamiento para accionamiento motorizado de 2 Interruptores de diferente tamaño LZM2/LZMS3, Referencia: NZM2/3-XMVR, marca EATON</t>
  </si>
  <si>
    <t>Enclavamiento para accionamiento motorizado de 2 Interruptores de diferente tamaño LZM3/LZM4, Referencia: NZM3/4-XMVR, marca EATON</t>
  </si>
  <si>
    <t>RES-UNIP_MOLD</t>
  </si>
  <si>
    <t>LAMP_ROJO_220V_MOD</t>
  </si>
  <si>
    <t>Portalámpara + lampara tipo LED - color Rojo - alimentacion: 220-230Vac, d=22mm. - ML1-107R-K - línea modular - marca ABB.</t>
  </si>
  <si>
    <t>1SFA611400P1171</t>
  </si>
  <si>
    <t>LAMP_VERDE_220V_MOD</t>
  </si>
  <si>
    <t>Portalámpara + lampara tipo LED - color Verde - alimentacion: 220-230Vac, d=22mm. - ML1-107G-K - línea modular - marca ABB.</t>
  </si>
  <si>
    <t>1SFA611400P1172</t>
  </si>
  <si>
    <t>LAMP_AM_220V_MOD</t>
  </si>
  <si>
    <t>Portalámpara + lampara tipo LED - color amarillo - alimentacion: 220-230Vac, d=22mm. - ML1-107Y-K - línea modular - marca ABB.</t>
  </si>
  <si>
    <t>1SFA611400P1173</t>
  </si>
  <si>
    <t>PEINE_2F_36p</t>
  </si>
  <si>
    <t>"Peine" monofásico para 36 polos.</t>
  </si>
  <si>
    <t>Interruptor tipo Caja Moldeada, de ejecución fijo, modelo Tmax T5, marca ABB, con la siguiente</t>
  </si>
  <si>
    <t>BARRA.13 ORIFICIOS</t>
  </si>
  <si>
    <t>Barra de terminales 10 orificios 4.5mm y 3 orificios de 5.6mm</t>
  </si>
  <si>
    <t>M125320000</t>
  </si>
  <si>
    <t>PEINE_3F_18p</t>
  </si>
  <si>
    <t>"Peine" trifásico para 18 polos.</t>
  </si>
  <si>
    <t>Modelo 5SL6</t>
  </si>
  <si>
    <t>ITM de 1x10A - modular DIN - 5SL4, 10KA - 400Vac., IEC 60947-2,  SIEMENS.</t>
  </si>
  <si>
    <t>ITM de 1x16A - modular DIN - 5SL4, 10KA - 400Vac., IEC 60947-2 , SIEMENS.</t>
  </si>
  <si>
    <t>ITM de 1x20A - modular DIN - 5SL4, 10KA - 400Vac., IEC 60947-2 , SIEMENS.</t>
  </si>
  <si>
    <t>ITM de 1x25A - modular DIN - 5SL4, 10KA - 400Vac., IEC 60947-2 , SIEMENS.</t>
  </si>
  <si>
    <t>ITM de 1x32A - modular DIN - 5SL4, 10KA - 400Vac., IEC 60947-2 , SIEMENS.</t>
  </si>
  <si>
    <t>ITM de 1x40A - modular DIN - 5SL4, 10KA - 400Vac., IEC 60947-2 , SIEMENS.</t>
  </si>
  <si>
    <t>ITM de 1x50A - modular DIN - 5SL4, 10KA - 400Vac., IEC 60947-2 , SIEMENS.</t>
  </si>
  <si>
    <t>ITM de 1x63A - modular DIN - 5SL4, 10KA - 400Vac., IEC 60947-2 , SIEMENS.</t>
  </si>
  <si>
    <t>ITM de 2x10A - modular DIN - 5SL4, 10KA - 400Vac., IEC 60947-2 , SIEMENS.</t>
  </si>
  <si>
    <t>ITM de 2x16A - modular DIN - 5SL4, 10KA - 400Vac., IEC 60947-2 , SIEMENS.</t>
  </si>
  <si>
    <t>ITM de 2x20A - modular DIN - 5SL4, 10KA - 400Vac., IEC 60947-2 , SIEMENS.</t>
  </si>
  <si>
    <t>ITM de 2x25A - modular DIN - 5SL4, 10KA - 400Vac., IEC 60947-2 , SIEMENS.</t>
  </si>
  <si>
    <t>ITM de 2x32A - modular DIN - 5SL4, 10KA - 400Vac., IEC 60947-2 , SIEMENS.</t>
  </si>
  <si>
    <t>ITM de 2x40A - modular DIN - 5SL4, 10KA - 400Vac., IEC 60947-2 , SIEMENS.</t>
  </si>
  <si>
    <t>ITM de 2x50A - modular DIN - 5SL4, 10KA - 400Vac., IEC 60947-2 , SIEMENS.</t>
  </si>
  <si>
    <t>ITM de 2x63A - modular DIN - 5SL4, 10KA - 400Vac., IEC 60947-2 , SIEMENS.</t>
  </si>
  <si>
    <t>ITM de 3x10A - modular DIN - 5SL4, 10KA - 400Vac., IEC 60947-2 , SIEMENS.</t>
  </si>
  <si>
    <t>ITM de 3x16A - modular DIN - 5SL4, 10KA - 400Vac., IEC 60947-2 , SIEMENS.</t>
  </si>
  <si>
    <t>ITM de 3x20A - modular DIN - 5SL4, 10KA - 400Vac., IEC 60947-2 , SIEMENS.</t>
  </si>
  <si>
    <t>ITM de 3x25A - modular DIN - 5SL4, 10KA - 400Vac., IEC 60947-2 , SIEMENS.</t>
  </si>
  <si>
    <t>ITM de 3x32A - modular DIN - 5SL4, 10KA - 400Vac., IEC 60947-2 , SIEMENS.</t>
  </si>
  <si>
    <t>ITM de 3x40A - modular DIN - 5SL4, 10KA - 400Vac., IEC 60947-2 , SIEMENS.</t>
  </si>
  <si>
    <t>ITM de 3x50A - modular DIN - 5SL4, 10KA - 400Vac., IEC 60947-2 , SIEMENS.</t>
  </si>
  <si>
    <t>ITM de 3x63A - modular DIN - 5SL4, 10KA - 400Vac., IEC 60947-2 , SIEMENS.</t>
  </si>
  <si>
    <t>5SV5312-0</t>
  </si>
  <si>
    <t>Interruptor Diferencial de 2x25A - 5SV5312-0 , 30mA, clase AC , SIEMENS.</t>
  </si>
  <si>
    <t>5SV5314-0</t>
  </si>
  <si>
    <t>Interruptor Diferencial de 2x40A - 5SV5312-0 , 30mA, clase AC , SIEMENS.</t>
  </si>
  <si>
    <t>5SV5316-0</t>
  </si>
  <si>
    <t>Interruptor Diferencial de 2x63A - 5SV5316-0 , 30mA, clase AC , SIEMENS.</t>
  </si>
  <si>
    <t>5SV5342-0</t>
  </si>
  <si>
    <t>Interruptor Diferencial de 4x25A - 5SV5342-0 , 30mA, clase AC , SIEMENS.</t>
  </si>
  <si>
    <t>5SV5344-0</t>
  </si>
  <si>
    <t>Interruptor Diferencial de 4x40A - 5SV5344-0 , 30mA, clase AC , SIEMENS.</t>
  </si>
  <si>
    <t>5SV5346-0</t>
  </si>
  <si>
    <t>Interruptor Diferencial de 4x63A - 5SV5346-0 , 30mA, clase AC , SIEMENS.</t>
  </si>
  <si>
    <t>5SV3314-6</t>
  </si>
  <si>
    <t>5SV3316-6</t>
  </si>
  <si>
    <t>5SV3342-6</t>
  </si>
  <si>
    <t>5SV3344-6</t>
  </si>
  <si>
    <t>5SV3346-6</t>
  </si>
  <si>
    <t>Modelo 5SV - Clase AC (300mA)</t>
  </si>
  <si>
    <t>5SV4642-0</t>
  </si>
  <si>
    <t>Interruptor Diferencial de 4x25A - 5SV4642-0 , 300mA, clase AC , SIEMENS.</t>
  </si>
  <si>
    <t>5SV4644-0</t>
  </si>
  <si>
    <t>Interruptor Diferencial de 4x40A - 5SV4644-0 , 300mA, clase AC , SIEMENS.</t>
  </si>
  <si>
    <t>5SV4646-0</t>
  </si>
  <si>
    <t>Interruptor Diferencial de 4x63A - 5SV4646-0 , 300mA, clase AC , SIEMENS.</t>
  </si>
  <si>
    <t>5SV8000-6KK</t>
  </si>
  <si>
    <t>5SV8703-0KK</t>
  </si>
  <si>
    <t>5SV8704-0KK</t>
  </si>
  <si>
    <t>3VM1196-3ED22-0AA0</t>
  </si>
  <si>
    <t>3VM1020-2ED32-0AA0</t>
  </si>
  <si>
    <t>3VM1220-4ED32-0AA0</t>
  </si>
  <si>
    <t>3VM1225-4ED32-0AA0</t>
  </si>
  <si>
    <t>3VM1196-3EE32-0AA0</t>
  </si>
  <si>
    <t>3VM1120-3EE32-0AA0</t>
  </si>
  <si>
    <t>3VM1125-3EE32-0AA0</t>
  </si>
  <si>
    <t>3VM1132-3EE32-0AA0</t>
  </si>
  <si>
    <t>3VM1140-3EE32-0AA0</t>
  </si>
  <si>
    <t>3VM1150-3EE32-0AA0</t>
  </si>
  <si>
    <t>3VM1163-3EE32-0AA0</t>
  </si>
  <si>
    <t>3VM1180-3EE32-0AA0</t>
  </si>
  <si>
    <t>3VM1110-3EE32-0AA0</t>
  </si>
  <si>
    <t>3VM1112-3EE32-0AA0</t>
  </si>
  <si>
    <t>3VM1116-3EE32-0AA0</t>
  </si>
  <si>
    <t>3VM1196-4EE32-0AA0</t>
  </si>
  <si>
    <t>3VM1120-4EE32-0AA0</t>
  </si>
  <si>
    <t>3VM1125-4EE32-0AA0</t>
  </si>
  <si>
    <t>3VM1132-4EE32-0AA0</t>
  </si>
  <si>
    <t>3VM1140-4EE32-0AA0</t>
  </si>
  <si>
    <t>3VM1150-4EE32-0AA0</t>
  </si>
  <si>
    <t>3VM1163-4EE32-0AA0</t>
  </si>
  <si>
    <t>3VM1180-4EE32-0AA0</t>
  </si>
  <si>
    <t>3VM1110-4EE32-0AA0</t>
  </si>
  <si>
    <t>3VM1112-4EE32-0AA0</t>
  </si>
  <si>
    <t>3VM1116-4EE32-0AA0</t>
  </si>
  <si>
    <t>3VM1220-4EE32-0AA0</t>
  </si>
  <si>
    <t>3VM1225-4EE32-0AA0</t>
  </si>
  <si>
    <t>3VA1120-5EE32-0AA0</t>
  </si>
  <si>
    <t>3VA1140-5EE32-0AA0</t>
  </si>
  <si>
    <t>3VA1150-5EE32-0AA0</t>
  </si>
  <si>
    <t>3VA1163-5EE32-0AA0</t>
  </si>
  <si>
    <t>3VA1180-5EE32-0AA0</t>
  </si>
  <si>
    <t>3VA1110-5EE32-0AA0</t>
  </si>
  <si>
    <t>3VA1112-5EE32-0AA0</t>
  </si>
  <si>
    <t>3VA1116-5EE32-0AA0</t>
  </si>
  <si>
    <t>3VA1220-5EF32-0AA0</t>
  </si>
  <si>
    <t>3VA2040-5HL32-0AA0</t>
  </si>
  <si>
    <t>3VA2010-5HL32-0AA0</t>
  </si>
  <si>
    <t>3VA2116-5HL32-0AA0</t>
  </si>
  <si>
    <t>3VA2580-5HL32-0AA0</t>
  </si>
  <si>
    <t>3VA2510-5HL32-0AA0</t>
  </si>
  <si>
    <t>TPS3K09100</t>
  </si>
  <si>
    <t>5SD7464-0</t>
  </si>
  <si>
    <t>Contactores</t>
  </si>
  <si>
    <t>3RT2016-1AN21</t>
  </si>
  <si>
    <t>Rele de asimetria tension - marca EATON.</t>
  </si>
  <si>
    <t>3VM1120-3ED22-0AA0</t>
  </si>
  <si>
    <t>3VM1125-3ED22-0AA0</t>
  </si>
  <si>
    <t>3VM1132-3ED22-0AA0</t>
  </si>
  <si>
    <t>3VM1140-3ED22-0AA0</t>
  </si>
  <si>
    <t>3VM1150-3ED22-0AA0</t>
  </si>
  <si>
    <t>3VM1163-3ED22-0AA0</t>
  </si>
  <si>
    <t>3VM1180-3ED22-0AA0</t>
  </si>
  <si>
    <t>3VM1110-3ED22-0AA0</t>
  </si>
  <si>
    <t>3VM1025-2ED32-0AA0</t>
  </si>
  <si>
    <t>3VM1032-2ED32-0AA0</t>
  </si>
  <si>
    <t>3VM1040-2ED32-0AA0</t>
  </si>
  <si>
    <t>3VM1050-2ED32-0AA0</t>
  </si>
  <si>
    <t>3VM1063-2ED32-0AA0</t>
  </si>
  <si>
    <t>3VM1080-2ED32-0AA0</t>
  </si>
  <si>
    <t>3VM1010-2ED32-0AA0</t>
  </si>
  <si>
    <t>3VM1112-3ED32-0AA0</t>
  </si>
  <si>
    <t>E4.2N-4000A-3P-Ekip Touch LSIG</t>
  </si>
  <si>
    <t>ITM Bastidor Abierto 3x4000A (electrónico [0.4-1.0] In) - E4.2N-4000A-3P-Ekip Touch LSIG - 66kA@440Vac - marca ABB.</t>
  </si>
  <si>
    <t>1SDA071196R1</t>
  </si>
  <si>
    <t>E4.2N-4000A-3P-Ekip Hi-Touch LSIG</t>
  </si>
  <si>
    <t>ITM Bastidor Abierto 3x4000A (electrónico [0.4-1.0] In) - E4.2N-4000A-3P-Ekip Hi-touch LSIG (funciones avanzadas) - 66kA@440Vac - marca ABB.</t>
  </si>
  <si>
    <t>1SDA071199R1</t>
  </si>
  <si>
    <t>T4D-320A-3P</t>
  </si>
  <si>
    <t>Módulo de señalización PR120/K (4 Salidas con terminales independientes) - para relés PR122/P, PR123/P - marca ABB.</t>
  </si>
  <si>
    <t xml:space="preserve">ITM 1x10A - EPC,  6kA - 230/400Vac.,  IEC-60898 - TECS by TERASAKI </t>
  </si>
  <si>
    <t xml:space="preserve">ITM 1x16A - EPC,  6kA - 230/400Vac., IEC-60898 - TECS by TERASAKI </t>
  </si>
  <si>
    <t xml:space="preserve">ITM 1x20A - EPC,  6kA - 230/400Vac., IEC-60898 - TECS by TERASAKI </t>
  </si>
  <si>
    <t xml:space="preserve">ITM 1x25A - EPC,  6kA - 230/400Vac., IEC-60898 - TECS by TERASAKI </t>
  </si>
  <si>
    <t xml:space="preserve">ITM 1x32A - EPC,  6kA - 230/400Vac., IEC-60898 - TECS by TERASAKI </t>
  </si>
  <si>
    <t xml:space="preserve">ITM 1x40A - EPC,  6kA - 230/400Vac., IEC-60898 - TECS by TERASAKI </t>
  </si>
  <si>
    <t xml:space="preserve">ITM 1x50A - EPC,  6kA - 230/400Vac., IEC-60898 - TECS by TERASAKI </t>
  </si>
  <si>
    <t xml:space="preserve">ITM 1x63A - EPC,  6kA - 230/400Vac., IEC-60898 - TECS by TERASAKI </t>
  </si>
  <si>
    <t xml:space="preserve">ITM 2x10A - EPC,  6kA - 230/400Vac., IEC-60898 - TECS by TERASAKI </t>
  </si>
  <si>
    <t xml:space="preserve">ITM 2x16A - EPC,  6kA - 230/400Vac., IEC-60898 - TECS by TERASAKI </t>
  </si>
  <si>
    <t xml:space="preserve">ITM 2x20A - EPC,  6kA - 230/400Vac., IEC-60898 - TECS by TERASAKI </t>
  </si>
  <si>
    <t xml:space="preserve">ITM 2x25A - EPC,  6kA - 230/400Vac., IEC-60898 - TECS by TERASAKI </t>
  </si>
  <si>
    <t xml:space="preserve">ITM 2x32A - EPC,  6kA - 230/400Vac., IEC-60898 - TECS by TERASAKI </t>
  </si>
  <si>
    <t xml:space="preserve">ITM 2x40A - EPC,  6kA - 230/400Vac., IEC-60898 - TECS by TERASAKI </t>
  </si>
  <si>
    <t xml:space="preserve">ITM 2x50A - EPC,  6kA - 230/400Vac., IEC-60898 - TECS by TERASAKI </t>
  </si>
  <si>
    <t xml:space="preserve">ITM 2x63A - EPC,  6kA - 230/400Vac., IEC-60898 - TECS by TERASAKI </t>
  </si>
  <si>
    <t xml:space="preserve">ITM 3x10A - EPC,  6kA - 230/400Vac., IEC-60898 - TECS by TERASAKI </t>
  </si>
  <si>
    <t xml:space="preserve">ITM 3x16A - EPC,  6kA - 230/400Vac., IEC-60898 - TECS by TERASAKI </t>
  </si>
  <si>
    <t xml:space="preserve">ITM 3x20A - EPC,  6kA - 230/400Vac., IEC-60898 - TECS by TERASAKI </t>
  </si>
  <si>
    <t xml:space="preserve">ITM 3x25A - EPC,  6kA - 230/400Vac., IEC-60898 - TECS by TERASAKI </t>
  </si>
  <si>
    <t xml:space="preserve">ITM 3x32A - EPC,  6kA - 230/400Vac., IEC-60898 - TECS by TERASAKI </t>
  </si>
  <si>
    <t xml:space="preserve">ITM 3x40A - EPC,  6kA - 230/400Vac., IEC-60898 - TECS by TERASAKI </t>
  </si>
  <si>
    <t xml:space="preserve">ITM 3x50A - EPC,  6kA - 230/400Vac., IEC-60898 - TECS by TERASAKI </t>
  </si>
  <si>
    <t xml:space="preserve">ITM 3x63A - EPC,  6kA - 230/400Vac., IEC-60898 - TECS by TERASAKI </t>
  </si>
  <si>
    <t xml:space="preserve">ITM 4x10A - EPC,  6kA - 230/400Vac., IEC-60898 - TECS by TERASAKI </t>
  </si>
  <si>
    <t xml:space="preserve">ITM 4x16A - EPC,  6kA - 230/400Vac., IEC-60898 - TECS by TERASAKI </t>
  </si>
  <si>
    <t xml:space="preserve">ITM 4x20A - EPC,  6kA - 230/400Vac., IEC-60898 - TECS by TERASAKI </t>
  </si>
  <si>
    <t xml:space="preserve">ITM 4x25A - EPC,  6kA - 230/400Vac., IEC-60898 - TECS by TERASAKI </t>
  </si>
  <si>
    <t xml:space="preserve">ITM 4x32A - EPC,  6kA - 230/400Vac., IEC-60898 - TECS by TERASAKI </t>
  </si>
  <si>
    <t xml:space="preserve">ITM 4x40A - EPC,  6kA - 230/400Vac., IEC-60898 - TECS by TERASAKI </t>
  </si>
  <si>
    <t xml:space="preserve">ITM 4x50A - EPC,  6kA - 230/400Vac., IEC-60898 - TECS by TERASAKI </t>
  </si>
  <si>
    <t xml:space="preserve">ITM 4x63A - EPC,  6kA - 230/400Vac., IEC-60898 - TECS by TERASAKI </t>
  </si>
  <si>
    <t xml:space="preserve">ITM 1x10A - EPC,  10kA - 230/400Vac. - TECS by TERASAKI </t>
  </si>
  <si>
    <t xml:space="preserve">ITM 1x16A - EPC,  10kA - 230/400Vac. - TECS by TERASAKI </t>
  </si>
  <si>
    <t xml:space="preserve">ITM 1x20A - EPC,  10kA - 230/400Vac. - TECS by TERASAKI </t>
  </si>
  <si>
    <t xml:space="preserve">ITM 1x25A - EPC,  10kA - 230/400Vac. - TECS by TERASAKI </t>
  </si>
  <si>
    <t xml:space="preserve">ITM 1x32A - EPC,  10kA - 230/400Vac. - TECS by TERASAKI </t>
  </si>
  <si>
    <t xml:space="preserve">ITM 1x40A - EPC,  10kA - 230/400Vac. - TECS by TERASAKI </t>
  </si>
  <si>
    <t xml:space="preserve">ITM 1x50A - EPC,  10kA - 230/400Vac. - TECS by TERASAKI </t>
  </si>
  <si>
    <t xml:space="preserve">ITM 1x63A - EPC,  10kA - 230/400Vac. - TECS by TERASAKI </t>
  </si>
  <si>
    <t xml:space="preserve">ITM 2x10A - EPC,  10kA - 230/400Vac. - TECS by TERASAKI </t>
  </si>
  <si>
    <t xml:space="preserve">ITM 2x16A - EPC,  10kA - 230/400Vac. - TECS by TERASAKI </t>
  </si>
  <si>
    <t xml:space="preserve">ITM 2x20A - EPC,  10kA - 230/400Vac. - TECS by TERASAKI </t>
  </si>
  <si>
    <t xml:space="preserve">ITM 2x25A - EPC,  10kA - 230/400Vac. - TECS by TERASAKI </t>
  </si>
  <si>
    <t xml:space="preserve">ITM 2x32A - EPC,  10kA - 230/400Vac. - TECS by TERASAKI </t>
  </si>
  <si>
    <t xml:space="preserve">ITM 2x40A - EPC,  10kA - 230/400Vac. - TECS by TERASAKI </t>
  </si>
  <si>
    <t xml:space="preserve">ITM 2x50A - EPC,  10kA - 230/400Vac. - TECS by TERASAKI </t>
  </si>
  <si>
    <t xml:space="preserve">ITM 2x63A - EPC,  10kA - 230/400Vac. - TECS by TERASAKI </t>
  </si>
  <si>
    <t xml:space="preserve">ITM 3x10A - EPC,  10kA - 230/400Vac. - TECS by TERASAKI </t>
  </si>
  <si>
    <t xml:space="preserve">ITM 3x16A - EPC,  10kA - 230/400Vac. - TECS by TERASAKI </t>
  </si>
  <si>
    <t xml:space="preserve">ITM 3x20A - EPC,  10kA - 230/400Vac. - TECS by TERASAKI </t>
  </si>
  <si>
    <t xml:space="preserve">ITM 3x25A - EPC,  10kA - 230/400Vac. - TECS by TERASAKI </t>
  </si>
  <si>
    <t xml:space="preserve">ITM 3x32A - EPC,  10kA - 230/400Vac. - TECS by TERASAKI </t>
  </si>
  <si>
    <t xml:space="preserve">ITM 3x40A - EPC,  10kA - 230/400Vac. - TECS by TERASAKI </t>
  </si>
  <si>
    <t xml:space="preserve">ITM 3x50A - EPC,  10kA - 230/400Vac. - TECS by TERASAKI </t>
  </si>
  <si>
    <t xml:space="preserve">ITM 3x63A - EPC,  10kA - 230/400Vac. - TECS by TERASAKI </t>
  </si>
  <si>
    <t xml:space="preserve">ITM 4x10A - EPC,  10kA - 230/400Vac. - TECS by TERASAKI </t>
  </si>
  <si>
    <t xml:space="preserve">ITM 4x16A - EPC,  10kA - 230/400Vac. - TECS by TERASAKI </t>
  </si>
  <si>
    <t xml:space="preserve">ITM 4x20A - EPC,  10kA - 230/400Vac. - TECS by TERASAKI </t>
  </si>
  <si>
    <t xml:space="preserve">ITM 4x25A - EPC,  10kA - 230/400Vac. - TECS by TERASAKI </t>
  </si>
  <si>
    <t xml:space="preserve">ITM 4x32A - EPC,  10kA - 230/400Vac. - TECS by TERASAKI </t>
  </si>
  <si>
    <t xml:space="preserve">ITM 4x40A - EPC,  10kA - 230/400Vac. - TECS by TERASAKI </t>
  </si>
  <si>
    <t xml:space="preserve">ITM 4x50A - EPC,  10kA - 230/400Vac. - TECS by TERASAKI </t>
  </si>
  <si>
    <t xml:space="preserve">ITM 4x63A - EPC,  10kA - 230/400Vac. - TECS by TERASAKI </t>
  </si>
  <si>
    <t xml:space="preserve">ITM 1x10A - EPD,  10kA - 230/400Vac. - TECS by TERASAKI </t>
  </si>
  <si>
    <t xml:space="preserve">ITM 1x16A - EPD,  10kA - 230/400Vac. - TECS by TERASAKI </t>
  </si>
  <si>
    <t xml:space="preserve">ITM 1x20A - EPD,  10kA - 230/400Vac. - TECS by TERASAKI </t>
  </si>
  <si>
    <t xml:space="preserve">ITM 1x25A - EPD,  10kA - 230/400Vac. - TECS by TERASAKI </t>
  </si>
  <si>
    <t xml:space="preserve">ITM 1x32A - EPD,  10kA - 230/400Vac. - TECS by TERASAKI </t>
  </si>
  <si>
    <t xml:space="preserve">ITM 1x40A - EPD,  10kA - 230/400Vac. - TECS by TERASAKI </t>
  </si>
  <si>
    <t xml:space="preserve">ITM 1x50A - EPD,  10kA - 230/400Vac. - TECS by TERASAKI </t>
  </si>
  <si>
    <t xml:space="preserve">ITM 1x63A - EPD,  10kA - 230/400Vac. - TECS by TERASAKI </t>
  </si>
  <si>
    <t xml:space="preserve">ITM 2x10A - EPD,  10kA - 230/400Vac. - TECS by TERASAKI </t>
  </si>
  <si>
    <t xml:space="preserve">ITM 2x16A - EPD,  10kA - 230/400Vac. - TECS by TERASAKI </t>
  </si>
  <si>
    <t xml:space="preserve">ITM 2x20A - EPD,  10kA - 230/400Vac. - TECS by TERASAKI </t>
  </si>
  <si>
    <t xml:space="preserve">ITM 2x25A - EPD,  10kA - 230/400Vac. - TECS by TERASAKI </t>
  </si>
  <si>
    <t xml:space="preserve">ITM 2x32A - EPD,  10kA - 230/400Vac. - TECS by TERASAKI </t>
  </si>
  <si>
    <t xml:space="preserve">ITM 2x40A - EPD,  10kA - 230/400Vac. - TECS by TERASAKI </t>
  </si>
  <si>
    <t xml:space="preserve">ITM 2x50A - EPD,  10kA - 230/400Vac. - TECS by TERASAKI </t>
  </si>
  <si>
    <t xml:space="preserve">ITM 2x63A - EPD,  10kA - 230/400Vac. - TECS by TERASAKI </t>
  </si>
  <si>
    <t xml:space="preserve">ITM 3x10A - EPD,  10kA - 230/400Vac. - TECS by TERASAKI </t>
  </si>
  <si>
    <t xml:space="preserve">ITM 3x16A - EPD,  10kA - 230/400Vac. - TECS by TERASAKI </t>
  </si>
  <si>
    <t xml:space="preserve">ITM 3x20A - EPD,  10kA - 230/400Vac. - TECS by TERASAKI </t>
  </si>
  <si>
    <t xml:space="preserve">ITM 3x25A - EPD,  10kA - 230/400Vac. - TECS by TERASAKI </t>
  </si>
  <si>
    <t xml:space="preserve">ITM 3x32A - EPD,  10kA - 230/400Vac. - TECS by TERASAKI </t>
  </si>
  <si>
    <t xml:space="preserve">ITM 3x40A - EPD,  10kA - 230/400Vac. - TECS by TERASAKI </t>
  </si>
  <si>
    <t xml:space="preserve">ITM 3x50A - EPD,  10kA - 230/400Vac. - TECS by TERASAKI </t>
  </si>
  <si>
    <t xml:space="preserve">ITM 3x63A - EPD,  10kA - 230/400Vac. - TECS by TERASAKI </t>
  </si>
  <si>
    <t xml:space="preserve">ITM 4x10A - EPD,  10kA - 230/400Vac. - TECS by TERASAKI </t>
  </si>
  <si>
    <t xml:space="preserve">ITM 4x16A - EPD,  10kA - 230/400Vac. - TECS by TERASAKI </t>
  </si>
  <si>
    <t xml:space="preserve">ITM 4x20A - EPD,  10kA - 230/400Vac. - TECS by TERASAKI </t>
  </si>
  <si>
    <t xml:space="preserve">ITM 4x25A - EPD,  10kA - 230/400Vac. - TECS by TERASAKI </t>
  </si>
  <si>
    <t xml:space="preserve">ITM 4x32A - EPD,  10kA - 230/400Vac. - TECS by TERASAKI </t>
  </si>
  <si>
    <t xml:space="preserve">ITM 4x40A - EPD,  10kA - 230/400Vac. - TECS by TERASAKI </t>
  </si>
  <si>
    <t xml:space="preserve">ITM 4x50A - EPD,  10kA - 230/400Vac. - TECS by TERASAKI </t>
  </si>
  <si>
    <t xml:space="preserve">ITM 4x63A - EPD,  10kA - 230/400Vac. - TECS by TERASAKI </t>
  </si>
  <si>
    <t xml:space="preserve">Int. Diferencial 2x25A - 30mA de sensibilidad, clase AC - TECS by TERASAKI </t>
  </si>
  <si>
    <t xml:space="preserve">Int. Diferencial 2x40A - 30mA de sensibilidad, clase AC - TECS by TERASAKI </t>
  </si>
  <si>
    <t xml:space="preserve">Int. Diferencial 2x63A - 30mA de sensibilidad, clase AC - TECS by TERASAKI </t>
  </si>
  <si>
    <t xml:space="preserve">Int. Diferencial 4x25A - 30mA de sensibilidad, clase AC - TECS by TERASAKI </t>
  </si>
  <si>
    <t xml:space="preserve">Int. Diferencial 4x40A - 30mA de sensibilidad, clase AC - TECS by TERASAKI </t>
  </si>
  <si>
    <t xml:space="preserve">Int. Diferencial 4x63A - 30mA de sensibilidad, clase AC - TECS by TERASAKI </t>
  </si>
  <si>
    <t xml:space="preserve">Int. Diferencial 2x25A - 30mA de sensibilidad, clase A (inmunizado) - TECS by TERASAKI </t>
  </si>
  <si>
    <t xml:space="preserve">Int. Diferencial 2x40A - 30mA de sensibilidad, clase A (inmunizado) - TECS by TERASAKI </t>
  </si>
  <si>
    <t xml:space="preserve">Int. Diferencial 2x63A - 30mA de sensibilidad, clase A (inmunizado) - TECS by TERASAKI </t>
  </si>
  <si>
    <t xml:space="preserve">Int. Diferencial 4x25A - 30mA de sensibilidad, clase A (inmunizado) - TECS by TERASAKI </t>
  </si>
  <si>
    <t xml:space="preserve">Int. Diferencial 4x40A - 30mA de sensibilidad, clase A (inmunizado) - TECS by TERASAKI </t>
  </si>
  <si>
    <t xml:space="preserve">Int. Diferencial 4x63A - 30mA de sensibilidad, clase A (inmunizado) - TECS by TERASAKI </t>
  </si>
  <si>
    <t>CAJA + TAPA</t>
  </si>
  <si>
    <t>TERMOPLASTICA</t>
  </si>
  <si>
    <t>LG</t>
  </si>
  <si>
    <t>DESCUENTOS LEGRAND</t>
  </si>
  <si>
    <t>2CSF204592R1250</t>
  </si>
  <si>
    <t>CLASE A - 400Hz</t>
  </si>
  <si>
    <t>F204-A-25A-30mA 400Hz</t>
  </si>
  <si>
    <t>Interruptor Diferencial 4x25A - 30mA - clase A (inmunizado) - F204-A-25A-30mA - 400Hz - marca ABB.</t>
  </si>
  <si>
    <t>2CSF204197R1250</t>
  </si>
  <si>
    <t>F204-A-40A-30mA 400Hz</t>
  </si>
  <si>
    <t>Interruptor Diferencial 4x40A - 30mA - clase A (inmunizado) - F204-A-40A-30mA - 400Hz - marca ABB.</t>
  </si>
  <si>
    <t>2CSF204197R1400</t>
  </si>
  <si>
    <t>ITM Caja Moldeada 3x630A (reg.[0.7-1.0] In) - T6N630-630A-3P-TMA - 70kA@230Vac, 36kA@415Vac, 25kA@500Vdc - marca ABB.</t>
  </si>
  <si>
    <t>T6N800-800A-3P-TMA</t>
  </si>
  <si>
    <t>ITM Caja Moldeada 3x800A (reg.[0.7-1.0] In) - T6N800-800A-3P-TMA - 70kA@230Vac, 36kA@415Vac, 25kA@500Vdc - marca ABB.</t>
  </si>
  <si>
    <t>1SDA060214R1</t>
  </si>
  <si>
    <t>T5N400-320A-4P-PR221DS-LS/I</t>
  </si>
  <si>
    <t>ITM Caja Moldeada 4x320A (electrónico [0.4-1.0] In) - T5N400-320A-4P-PR221DS-LS/I - 70kA@230Vac, 36kA@415Vac - marca ABB.</t>
  </si>
  <si>
    <t>1SDA054324R1</t>
  </si>
  <si>
    <t>LEGRAND</t>
  </si>
  <si>
    <t>CVX050-208Y</t>
  </si>
  <si>
    <t>Dispositivo Protector de Sobretensión, para un sistema trifasico, 4 Hilos, 208/120V, Corriente de pico por fase de 50kA, modelo CVX, marca EATON.</t>
  </si>
  <si>
    <t>SPD050220Y3K</t>
  </si>
  <si>
    <t>DRX3/100- 15A 35kA (2P) - FIJO</t>
  </si>
  <si>
    <t>DRX3/100- 20A 35kA (2P) - FIJO</t>
  </si>
  <si>
    <t>027051</t>
  </si>
  <si>
    <t>DRX3/100- 25A 35kA (2P) - FIJO</t>
  </si>
  <si>
    <t>027052</t>
  </si>
  <si>
    <t>DRX3/100- 30A 35kA (2P) - FIJO</t>
  </si>
  <si>
    <t>027053</t>
  </si>
  <si>
    <t>DRX3/100- 40A 35kA (2P) - FIJO</t>
  </si>
  <si>
    <t>027054</t>
  </si>
  <si>
    <t>DRX3/100- 50A 35kA (2P) - FIJO</t>
  </si>
  <si>
    <t>027055</t>
  </si>
  <si>
    <t>DRX3/100- 60A 35kA (2P) - FIJO</t>
  </si>
  <si>
    <t>027056</t>
  </si>
  <si>
    <t>DRX3/100- 75A 35kA (2P) - FIJO</t>
  </si>
  <si>
    <t>027057</t>
  </si>
  <si>
    <t>DRX3/100- 100A 35kA (2P) - FIJO</t>
  </si>
  <si>
    <t>027058</t>
  </si>
  <si>
    <t>DRX3/100- 15A 10kA (3P) - FIJO</t>
  </si>
  <si>
    <t>DRX3/100- 20A 10kA (3P) - FIJO</t>
  </si>
  <si>
    <t>027001</t>
  </si>
  <si>
    <t>DRX3/100- 25A 10kA (3P) - FIJO</t>
  </si>
  <si>
    <t>027002</t>
  </si>
  <si>
    <t>DRX3/100- 30A 10kA (3P) - FIJO</t>
  </si>
  <si>
    <t>027003</t>
  </si>
  <si>
    <t>DRX3/100- 40A 10kA (3P) - FIJO</t>
  </si>
  <si>
    <t>027004</t>
  </si>
  <si>
    <t>DRX3/100- 50A 10kA (3P) - FIJO</t>
  </si>
  <si>
    <t>027005</t>
  </si>
  <si>
    <t>DRX3/100- 60A 10kA (3P) - FIJO</t>
  </si>
  <si>
    <t>027006</t>
  </si>
  <si>
    <t>DRX3/100- 75A 10kA (3P) - FIJO</t>
  </si>
  <si>
    <t>027007</t>
  </si>
  <si>
    <t>DRX3/100- 100A 10kA (3P) - FIJO</t>
  </si>
  <si>
    <t>027008</t>
  </si>
  <si>
    <t>DRX3/100- 15A 35kA (3P) - FIJO</t>
  </si>
  <si>
    <t>DRX3/100- 20A 35kA (3P) - FIJO</t>
  </si>
  <si>
    <t>027061</t>
  </si>
  <si>
    <t>DRX3/100- 25A 35kA (3P) - FIJO</t>
  </si>
  <si>
    <t>027062</t>
  </si>
  <si>
    <t>DRX3/100- 30A 35kA (3P) - FIJO</t>
  </si>
  <si>
    <t>027063</t>
  </si>
  <si>
    <t>DRX3/100- 40A 35kA (3P) - FIJO</t>
  </si>
  <si>
    <t>027064</t>
  </si>
  <si>
    <t>DRX3/100- 50A 35kA (3P) - FIJO</t>
  </si>
  <si>
    <t>027065</t>
  </si>
  <si>
    <t>DRX3/100- 60A 35kA (3P) - FIJO</t>
  </si>
  <si>
    <t>027066</t>
  </si>
  <si>
    <t>DRX3/100- 75A 35kA (3P) - FIJO</t>
  </si>
  <si>
    <t>027067</t>
  </si>
  <si>
    <t>DRX3/100- 100A 35kA (3P) - FIJO</t>
  </si>
  <si>
    <t>027068</t>
  </si>
  <si>
    <t>DRX3/250- 125A 25kA (3P) - FIJO</t>
  </si>
  <si>
    <t>DRX3/250- 150A 25kA (3P) - FIJO</t>
  </si>
  <si>
    <t>027113</t>
  </si>
  <si>
    <t>DRX3/250- 175A 25kA (3P) - FIJO</t>
  </si>
  <si>
    <t>027114</t>
  </si>
  <si>
    <t>DRX3/250- 200A 25kA (3P) - FIJO</t>
  </si>
  <si>
    <t>027115</t>
  </si>
  <si>
    <t>DRX3/250- 225A 25kA (3P) - FIJO</t>
  </si>
  <si>
    <t>027116</t>
  </si>
  <si>
    <t>DRX3/250- 250A 25kA (3P) - FIJO</t>
  </si>
  <si>
    <t>027117</t>
  </si>
  <si>
    <t>DPX3/160- 25A 25kA (3P)</t>
  </si>
  <si>
    <t>DPX3/160- 40A 25kA (3P)</t>
  </si>
  <si>
    <t>420042</t>
  </si>
  <si>
    <t>DPX3/160- 63A 25kA (3P)</t>
  </si>
  <si>
    <t>420043</t>
  </si>
  <si>
    <t>DPX3/160- 80A 25kA (3P)</t>
  </si>
  <si>
    <t>420044</t>
  </si>
  <si>
    <t>DPX3/160- 100A 25kA (3P)</t>
  </si>
  <si>
    <t>420045</t>
  </si>
  <si>
    <t>DPX3/160- 125A 25kA (3P)</t>
  </si>
  <si>
    <t>420046</t>
  </si>
  <si>
    <t>DPX3/160- 160A 25kA (3P)</t>
  </si>
  <si>
    <t>420047</t>
  </si>
  <si>
    <t>DPX3/160- 25A 36kA (3P)</t>
  </si>
  <si>
    <t>DPX3/160- 40A 36kA (3P)</t>
  </si>
  <si>
    <t>420082</t>
  </si>
  <si>
    <t>DPX3/160- 63A 36kA (3P)</t>
  </si>
  <si>
    <t>420083</t>
  </si>
  <si>
    <t>DPX3/160- 80A 36kA (3P)</t>
  </si>
  <si>
    <t>DPX3/160- 100A 36kA (3P)</t>
  </si>
  <si>
    <t>420085</t>
  </si>
  <si>
    <t>DPX3/160- 125A 36kA (3P)</t>
  </si>
  <si>
    <t>420086</t>
  </si>
  <si>
    <t>DPX3/160- 160A 36kA (3P)</t>
  </si>
  <si>
    <t>420087</t>
  </si>
  <si>
    <t>DPX3/160- 25A 25kA (4P)</t>
  </si>
  <si>
    <t>DPX3/160- 40A 25kA (4P)</t>
  </si>
  <si>
    <t>420052</t>
  </si>
  <si>
    <t>DPX3/160- 63A 25kA (4P)</t>
  </si>
  <si>
    <t>420053</t>
  </si>
  <si>
    <t>DPX3/160- 80A 25kA (4P)</t>
  </si>
  <si>
    <t>DPX3/160- 100A 25kA (4P)</t>
  </si>
  <si>
    <t>420055</t>
  </si>
  <si>
    <t>DPX3/160- 125A 25kA (4P)</t>
  </si>
  <si>
    <t>420056</t>
  </si>
  <si>
    <t>DPX3/160- 160A 25kA (4P)</t>
  </si>
  <si>
    <t>DPX3/160- 25A 36kA (4P)</t>
  </si>
  <si>
    <t>DPX3/160- 40A 36kA (4P)</t>
  </si>
  <si>
    <t>420092</t>
  </si>
  <si>
    <t>DPX3/160- 63A 36kA (4P)</t>
  </si>
  <si>
    <t>420093</t>
  </si>
  <si>
    <t>DPX3/160- 80A 36kA (4P)</t>
  </si>
  <si>
    <t>420094</t>
  </si>
  <si>
    <t>DPX3/160- 100A 36kA (4P)</t>
  </si>
  <si>
    <t>420095</t>
  </si>
  <si>
    <t>DPX3/160- 125A 36kA (4P)</t>
  </si>
  <si>
    <t>420096</t>
  </si>
  <si>
    <t>DPX3/160- 160A 36kA (4P)</t>
  </si>
  <si>
    <t>420097</t>
  </si>
  <si>
    <t>DPX3/160- 80A 50kA (3P)</t>
  </si>
  <si>
    <t>DPX3/160- 100A 50kA (3P)</t>
  </si>
  <si>
    <t>420125</t>
  </si>
  <si>
    <t>DPX3/160- 125A 50kA (3P)</t>
  </si>
  <si>
    <t>420126</t>
  </si>
  <si>
    <t>DPX3/160- 160A 50kA (3P)</t>
  </si>
  <si>
    <t>420127</t>
  </si>
  <si>
    <t>DPX3/160- 125A 50kA (4P)</t>
  </si>
  <si>
    <t>420136</t>
  </si>
  <si>
    <t>DPX3/160- 160A 50kA (4P)</t>
  </si>
  <si>
    <t>420137</t>
  </si>
  <si>
    <t>DPX3/250- 200A 36kA (3P)</t>
  </si>
  <si>
    <t>DPX3/250- 250A 36kA (3P)</t>
  </si>
  <si>
    <t>420239</t>
  </si>
  <si>
    <t>DPX3/250- 200A 50kA (3P)</t>
  </si>
  <si>
    <t>DPX3/250- 250A 50kA (3P)</t>
  </si>
  <si>
    <t>420269</t>
  </si>
  <si>
    <t>DPX3/250- 200A 70kA (3P)</t>
  </si>
  <si>
    <t>DPX3/250- 250A 70kA (3P)</t>
  </si>
  <si>
    <t>420609</t>
  </si>
  <si>
    <t>DPX3/250- 200A 36kA (4P)</t>
  </si>
  <si>
    <t>DPX3/250- 250A 36kA (4P)</t>
  </si>
  <si>
    <t>420249</t>
  </si>
  <si>
    <t>DPX3/250- 200A 50kA (4P)</t>
  </si>
  <si>
    <t>DPX3/250- 250A 50kA (4P)</t>
  </si>
  <si>
    <t>420279</t>
  </si>
  <si>
    <t>DPX3/250- 200A 70kA (4P)</t>
  </si>
  <si>
    <t>DPX3/250- 250A 70kA (4P)</t>
  </si>
  <si>
    <t>DPX3/630- 320A 36kA (3P)</t>
  </si>
  <si>
    <t>DPX3/630- 400A 36kA (3P)</t>
  </si>
  <si>
    <t>DPX3/630- 500A 36kA (3P)</t>
  </si>
  <si>
    <t>422003</t>
  </si>
  <si>
    <t>DPX3/630- 630A 36kA (3P)</t>
  </si>
  <si>
    <t>422004</t>
  </si>
  <si>
    <t>DPX3/630- 320A 50kA (3P)</t>
  </si>
  <si>
    <t>DPX3/630- 400A 50kA (3P)</t>
  </si>
  <si>
    <t>422016</t>
  </si>
  <si>
    <t>DPX3/630- 500A 50kA (3P)</t>
  </si>
  <si>
    <t>422017</t>
  </si>
  <si>
    <t>DPX3/630- 630A 50kA (3P)</t>
  </si>
  <si>
    <t>422018</t>
  </si>
  <si>
    <t>DPX3/630- 320A 70kA (3P)</t>
  </si>
  <si>
    <t>DPX3/630- 400A 70kA (3P)</t>
  </si>
  <si>
    <t>422030</t>
  </si>
  <si>
    <t>DPX3/630- 500A 70kA (3P)</t>
  </si>
  <si>
    <t>422031</t>
  </si>
  <si>
    <t>DPX3/630- 630A 70kA (3P)</t>
  </si>
  <si>
    <t>422032</t>
  </si>
  <si>
    <t>DPX3/630- 320A 100kA (3P)</t>
  </si>
  <si>
    <t>DPX3/630- 400A 100kA (3P)</t>
  </si>
  <si>
    <t>422044</t>
  </si>
  <si>
    <t>DPX3/630- 500A 100kA (3P)</t>
  </si>
  <si>
    <t>422045</t>
  </si>
  <si>
    <t>DPX3/630- 630A 100kA (3P)</t>
  </si>
  <si>
    <t>422046</t>
  </si>
  <si>
    <t>DPX3/630- 320A 36kA (4P)</t>
  </si>
  <si>
    <t>DPX3/630- 400A 36kA (4P)</t>
  </si>
  <si>
    <t>422007</t>
  </si>
  <si>
    <t>DPX3/630- 500A 36kA (4P)</t>
  </si>
  <si>
    <t>422008</t>
  </si>
  <si>
    <t>DPX3/630- 630A 36kA (4P)</t>
  </si>
  <si>
    <t>422009</t>
  </si>
  <si>
    <t>DPX3/630- 320A 50kA (4P)</t>
  </si>
  <si>
    <t>DPX3/630- 400A 50kA (4P)</t>
  </si>
  <si>
    <t>422021</t>
  </si>
  <si>
    <t>DPX3/630- 500A 50kA (4P)</t>
  </si>
  <si>
    <t>422022</t>
  </si>
  <si>
    <t>DPX3/630- 630A 50kA (4P)</t>
  </si>
  <si>
    <t>422023</t>
  </si>
  <si>
    <t>DPX3/630- 320A 70kA (4P)</t>
  </si>
  <si>
    <t>DPX3/630- 400A 70kA (4P)</t>
  </si>
  <si>
    <t>422035</t>
  </si>
  <si>
    <t>DPX3/630- 500A 70kA (4P)</t>
  </si>
  <si>
    <t>422036</t>
  </si>
  <si>
    <t>DPX3/630- 630A 70kA (4P)</t>
  </si>
  <si>
    <t>422037</t>
  </si>
  <si>
    <t>DPX3/630- 320A 100kA (4P)</t>
  </si>
  <si>
    <t>DPX3/630- 400A 100kA (4P)</t>
  </si>
  <si>
    <t>DPX3/630- 500A 100kA (4P)</t>
  </si>
  <si>
    <t>422050</t>
  </si>
  <si>
    <t>DPX3/630- 630A 100kA (4P)</t>
  </si>
  <si>
    <t>422051</t>
  </si>
  <si>
    <t>DPX3/630-S1(LS) 320A 36kA (3P)</t>
  </si>
  <si>
    <t>DPX3/630-S1(LS) 400A 36kA (3P)</t>
  </si>
  <si>
    <t>422500</t>
  </si>
  <si>
    <t>DPX3/630-S1(LS) 500A 36kA (3P)</t>
  </si>
  <si>
    <t>422501</t>
  </si>
  <si>
    <t>DPX3/630-S1(LS) 630A 36kA (3P)</t>
  </si>
  <si>
    <t>422502</t>
  </si>
  <si>
    <t>DPX3/630-S1(LS) 320A 50kA (3P)</t>
  </si>
  <si>
    <t>DPX3/630-S1(LS) 400A 50kA (3P)</t>
  </si>
  <si>
    <t>422510</t>
  </si>
  <si>
    <t>DPX3/630-S1(LS) 500A 50kA (3P)</t>
  </si>
  <si>
    <t>422511</t>
  </si>
  <si>
    <t>DPX3/630-S1(LS) 630A 50kA (3P)</t>
  </si>
  <si>
    <t>422512</t>
  </si>
  <si>
    <t>DPX3/630-S1(LS) 320A 70kA (3P)</t>
  </si>
  <si>
    <t>DPX3/630-S1(LS) 400A 70kA (3P)</t>
  </si>
  <si>
    <t>422520</t>
  </si>
  <si>
    <t>DPX3/630-S1(LS) 500A 70kA (3P)</t>
  </si>
  <si>
    <t>422521</t>
  </si>
  <si>
    <t>DPX3/630-S1(LS) 630A 70kA (3P)</t>
  </si>
  <si>
    <t>DPX3/630-S2(LSI) 320A 36kA (3P)</t>
  </si>
  <si>
    <t>DPX3/630-S2(LSI) 400A 36kA (3P)</t>
  </si>
  <si>
    <t>422058</t>
  </si>
  <si>
    <t>DPX3/630-S2(LSI) 500A 36kA (3P)</t>
  </si>
  <si>
    <t>422059</t>
  </si>
  <si>
    <t>DPX3/630-S2(LSI) 630A 36kA (3P)</t>
  </si>
  <si>
    <t>422060</t>
  </si>
  <si>
    <t>DPX3/630-S2(LSI) 320A 50kA (3P)</t>
  </si>
  <si>
    <t>DPX3/630-S2(LSI) 400A 50kA (3P)</t>
  </si>
  <si>
    <t>422068</t>
  </si>
  <si>
    <t>DPX3/630-S2(LSI) 500A 50kA (3P)</t>
  </si>
  <si>
    <t>422069</t>
  </si>
  <si>
    <t>DPX3/630-S2(LSI) 630A 50kA (3P)</t>
  </si>
  <si>
    <t>422070</t>
  </si>
  <si>
    <t>DPX3/630-S2(LSI) 320A 70kA (3P)</t>
  </si>
  <si>
    <t>DPX3/630-S2(LSI) 400A 70kA (3P)</t>
  </si>
  <si>
    <t>422078</t>
  </si>
  <si>
    <t>DPX3/630-S2(LSI) 500A 70kA (3P)</t>
  </si>
  <si>
    <t>422079</t>
  </si>
  <si>
    <t>DPX3/630-S2(LSI) 630A 70kA (3P)</t>
  </si>
  <si>
    <t>422080</t>
  </si>
  <si>
    <t>DPX3/1600- 800A 50kA (3P)</t>
  </si>
  <si>
    <t>DPX3/1600- 1000A 50kA (3P)</t>
  </si>
  <si>
    <t>422265</t>
  </si>
  <si>
    <t>DPX3/1600- 1250A 50kA (3P)</t>
  </si>
  <si>
    <t>422266</t>
  </si>
  <si>
    <t>DPX3/1600- 800A 70kA (3P)</t>
  </si>
  <si>
    <t>DPX3/1600- 1000A 70kA (3P)</t>
  </si>
  <si>
    <t>422277</t>
  </si>
  <si>
    <t>DPX3/1600- 1250A 70kA (3P)</t>
  </si>
  <si>
    <t>422278</t>
  </si>
  <si>
    <t>DPX3/1600- 800A 100kA (3P)</t>
  </si>
  <si>
    <t>DPX3/1600- 1000A 100kA (3P)</t>
  </si>
  <si>
    <t>422289</t>
  </si>
  <si>
    <t>DPX3/1600- 1250A 100kA (3P)</t>
  </si>
  <si>
    <t>422290</t>
  </si>
  <si>
    <t>DPX3/1600- 800A 100kA (4P)</t>
  </si>
  <si>
    <t>DPX3/1600- 1000A 100kA (4P)</t>
  </si>
  <si>
    <t>422294</t>
  </si>
  <si>
    <t>DPX3/1600- 1250A 100kA (4P)</t>
  </si>
  <si>
    <t>422295</t>
  </si>
  <si>
    <t>DPX3/1600-S1(LS)- 800A 50kA (3P)</t>
  </si>
  <si>
    <t>DPX3/1600-S1(LS)- 1000A 50kA (3P)</t>
  </si>
  <si>
    <t>422553</t>
  </si>
  <si>
    <t>DPX3/1600-S1(LS)- 1250A 50kA (3P)</t>
  </si>
  <si>
    <t>422554</t>
  </si>
  <si>
    <t>DPX3/1600-S1(LS)- 1600A 50kA (3P)</t>
  </si>
  <si>
    <t>422555</t>
  </si>
  <si>
    <t>DPX3/1600-S1(LS)- 800A 70kA (3P)</t>
  </si>
  <si>
    <t>DPX3/1600-S1(LS)- 1000A 70kA (3P)</t>
  </si>
  <si>
    <t>422565</t>
  </si>
  <si>
    <t>DPX3/1600-S1(LS)- 1250A 70kA (3P)</t>
  </si>
  <si>
    <t>422566</t>
  </si>
  <si>
    <t>DPX3/1600-S1(LS)- 1600A 70kA (3P)</t>
  </si>
  <si>
    <t>422567</t>
  </si>
  <si>
    <t>DPX3/1600-S2(LSI)- 800A 70kA (3P)</t>
  </si>
  <si>
    <t>DPX3/1600-S2(LSI)- 1000A 70kA (3P)</t>
  </si>
  <si>
    <t>422325</t>
  </si>
  <si>
    <t>DPX3/1600-S2(LSI)- 1250A 70kA (3P)</t>
  </si>
  <si>
    <t>422326</t>
  </si>
  <si>
    <t>DPX3/1600-S2(LSI)- 1600A 70kA (3P)</t>
  </si>
  <si>
    <t>422327</t>
  </si>
  <si>
    <t>DMX3/MP4(LSI)- 1250A 65kA (3P)</t>
  </si>
  <si>
    <t>ITM Bastidor Abierto de 3x1250A, electronico MP4(LSI) (Reg. 500-1250A ) DMX3 1250, 65kA@400 Vac.- marca Legrand</t>
  </si>
  <si>
    <t>028643</t>
  </si>
  <si>
    <t>Legrand</t>
  </si>
  <si>
    <t>DMX3/MP4(LSI)- 1600A 65kA (3P)</t>
  </si>
  <si>
    <t>028644</t>
  </si>
  <si>
    <t>DMX3/MP4(LSI)- 2000A 65kA (3P)</t>
  </si>
  <si>
    <t>028645</t>
  </si>
  <si>
    <t>DMX3/MP4(LSI)- 2500A 65kA (3P)</t>
  </si>
  <si>
    <t>028646</t>
  </si>
  <si>
    <t>DMX3/MP4(LSI)- 3200A 65kA (3P)</t>
  </si>
  <si>
    <t>028647</t>
  </si>
  <si>
    <t>DMX3/MP4(LSI)- 4000A 65kA (3P)</t>
  </si>
  <si>
    <t>028648</t>
  </si>
  <si>
    <t>DMX3/MP4(LSI)- 5000A 65kA (3P)</t>
  </si>
  <si>
    <t>028950</t>
  </si>
  <si>
    <t>Mando-motor_DMX3</t>
  </si>
  <si>
    <t>Mando motor  230Vac p/modelo DMX3  - marca Legrand</t>
  </si>
  <si>
    <t>028837</t>
  </si>
  <si>
    <t>Bob_cierre_DMX3</t>
  </si>
  <si>
    <t xml:space="preserve">Bobina de cierre 230Vac/Vdc p/modelo DMX3 - marca Legrand  </t>
  </si>
  <si>
    <t>028844</t>
  </si>
  <si>
    <t>Bob_disparo_DMX3</t>
  </si>
  <si>
    <t xml:space="preserve">Bobina de disparo 230Vac/Vdc p/modelo DMX3 - marca Legrand  </t>
  </si>
  <si>
    <t>028851</t>
  </si>
  <si>
    <t>Bob_minima-tens_DMX3</t>
  </si>
  <si>
    <t xml:space="preserve">Bobina de mínima tensión 230 Vac p/modelo DMX3 - marca Legrand  </t>
  </si>
  <si>
    <t>028858</t>
  </si>
  <si>
    <t>Contacto-aux_DMX3</t>
  </si>
  <si>
    <t>Contacto de señalización para  bobinas(dísparo o mínima y cierre) p/modelo DMX3 - marca Legrand</t>
  </si>
  <si>
    <t>028816</t>
  </si>
  <si>
    <t>Mando-motor_DPX3_1600</t>
  </si>
  <si>
    <t>Mando motor de 230 Vac y Vcc para DPX3 1600  de 1600 A - marca Legrand</t>
  </si>
  <si>
    <t>026127</t>
  </si>
  <si>
    <t>Mando-motor_DPX3_800/1250</t>
  </si>
  <si>
    <t>Mando motor de 230 Vac y Vcc para DPX3 1600  de 800A hasta 1250 A - marca Legrand</t>
  </si>
  <si>
    <t>026123</t>
  </si>
  <si>
    <t>Bob_disparo_DPX3_1600</t>
  </si>
  <si>
    <t>Bobina de disparo DPX3 630/1600, 230 Vac y Vcc - marca Legrand</t>
  </si>
  <si>
    <t>422242</t>
  </si>
  <si>
    <t>Bob_minima-tens_DPX3_1600</t>
  </si>
  <si>
    <t xml:space="preserve">Bobina de mínima tensión para DPX3 630/1600, 230 Vac - marca Legrand </t>
  </si>
  <si>
    <t>422248</t>
  </si>
  <si>
    <t>Contacto-aux_DPX3_1600</t>
  </si>
  <si>
    <t>Contacto auxiliar o señal de defecto externo para DPX3 630/1600 - marca Legrand</t>
  </si>
  <si>
    <t>422230</t>
  </si>
  <si>
    <t>Placa_Montaje_DPX3_1600</t>
  </si>
  <si>
    <t>Placa de montaje para enclavamiento mecánico de 2 DPX3 1600 - marca Legrand</t>
  </si>
  <si>
    <t>026410</t>
  </si>
  <si>
    <t>Mando-motor_DPX3_630</t>
  </si>
  <si>
    <t>Mando motor 230 Vac y Vcc para DPX3 630 - marca Legrand</t>
  </si>
  <si>
    <t>026144</t>
  </si>
  <si>
    <t>Bob_disparo_DPX3_630</t>
  </si>
  <si>
    <t>Bobina de disparo  DPX3 630/1600, 230 Vac y Vcc - marca Legrand</t>
  </si>
  <si>
    <t>Bob_minima-tens_DPX3_630</t>
  </si>
  <si>
    <t xml:space="preserve">Bobina de  mínima tensión DPX3 630/1600, 230 Vac - marca Legrand </t>
  </si>
  <si>
    <t>Contacto-aux_DPX3_630</t>
  </si>
  <si>
    <t>Mando-motor_DPX3_160/250</t>
  </si>
  <si>
    <t>Mando motor  24- 230 Vac y Vcc para DPX3 160/250 - marca Legrand</t>
  </si>
  <si>
    <t>421061</t>
  </si>
  <si>
    <t>Bob_disparo_DPX3_160/250</t>
  </si>
  <si>
    <t>Bobina de disparo para DPX3 160/250, 230 Vac. - marca Legrand</t>
  </si>
  <si>
    <t>421016</t>
  </si>
  <si>
    <t>Bob_minima-tens_DPX3_160/250</t>
  </si>
  <si>
    <t>Bobina de mínima tensión para DPX3 160/250, 230 Vac. - marca Legrand</t>
  </si>
  <si>
    <t>421022</t>
  </si>
  <si>
    <t>Contacto-aux_DPX3_160/250</t>
  </si>
  <si>
    <t>421011</t>
  </si>
  <si>
    <t>TIPO DIN</t>
  </si>
  <si>
    <t>DX3-6000/6A-1P</t>
  </si>
  <si>
    <t>DX3-6000/10A-1P</t>
  </si>
  <si>
    <t>407668</t>
  </si>
  <si>
    <t>DX3-6000/16A-1P</t>
  </si>
  <si>
    <t>407670</t>
  </si>
  <si>
    <t>DX3-6000/20A-1P</t>
  </si>
  <si>
    <t>407671</t>
  </si>
  <si>
    <t>DX3-6000/25A-1P</t>
  </si>
  <si>
    <t>407672</t>
  </si>
  <si>
    <t>DX3-6000/32A-1P</t>
  </si>
  <si>
    <t>407673</t>
  </si>
  <si>
    <t>DX3-6000/40A-1P</t>
  </si>
  <si>
    <t>407674</t>
  </si>
  <si>
    <t>DX3-6000/50A-1P</t>
  </si>
  <si>
    <t>407675</t>
  </si>
  <si>
    <t>DX3-6000/63A-1P</t>
  </si>
  <si>
    <t>407676</t>
  </si>
  <si>
    <t>DX3-6000/6A-2P</t>
  </si>
  <si>
    <t>DX3-6000/10A-2P</t>
  </si>
  <si>
    <t>407798</t>
  </si>
  <si>
    <t>DX3-6000/16A-2P</t>
  </si>
  <si>
    <t>407800</t>
  </si>
  <si>
    <t>DX3-6000/20A-2P</t>
  </si>
  <si>
    <t>407801</t>
  </si>
  <si>
    <t>DX3-6000/25A-2P</t>
  </si>
  <si>
    <t>407802</t>
  </si>
  <si>
    <t>DX3-6000/32A-2P</t>
  </si>
  <si>
    <t>407803</t>
  </si>
  <si>
    <t>DX3-6000/40A-2P</t>
  </si>
  <si>
    <t>407804</t>
  </si>
  <si>
    <t>DX3-6000/50A-2P</t>
  </si>
  <si>
    <t>407805</t>
  </si>
  <si>
    <t>DX3-6000/63A-2P</t>
  </si>
  <si>
    <t>407806</t>
  </si>
  <si>
    <t>DX3-6000/6A-3P</t>
  </si>
  <si>
    <t>DX3-6000/10A-3P</t>
  </si>
  <si>
    <t>407857</t>
  </si>
  <si>
    <t>DX3-6000/16A-3P</t>
  </si>
  <si>
    <t>407859</t>
  </si>
  <si>
    <t>DX3-6000/20A-3P</t>
  </si>
  <si>
    <t>407860</t>
  </si>
  <si>
    <t>DX3-6000/25A-3P</t>
  </si>
  <si>
    <t>407861</t>
  </si>
  <si>
    <t>DX3-6000/32A-3P</t>
  </si>
  <si>
    <t>407862</t>
  </si>
  <si>
    <t>DX3-6000/40A-3P</t>
  </si>
  <si>
    <t>407863</t>
  </si>
  <si>
    <t>DX3-6000/50A-3P</t>
  </si>
  <si>
    <t>407864</t>
  </si>
  <si>
    <t>DX3-6000/63A-3P</t>
  </si>
  <si>
    <t>407865</t>
  </si>
  <si>
    <t>DX3-6000/6A-4P</t>
  </si>
  <si>
    <t>DX3-6000/10A-4P</t>
  </si>
  <si>
    <t>407926</t>
  </si>
  <si>
    <t>DX3-6000/16A-4P</t>
  </si>
  <si>
    <t>407928</t>
  </si>
  <si>
    <t>DX3-6000/20A-4P</t>
  </si>
  <si>
    <t>407929</t>
  </si>
  <si>
    <t>DX3-6000/25A-4P</t>
  </si>
  <si>
    <t>407930</t>
  </si>
  <si>
    <t>DX3-6000/32A-4P</t>
  </si>
  <si>
    <t>407931</t>
  </si>
  <si>
    <t>DX3-6000/40A-4P</t>
  </si>
  <si>
    <t>407932</t>
  </si>
  <si>
    <t>DX3-6000/50A-4P</t>
  </si>
  <si>
    <t>407933</t>
  </si>
  <si>
    <t>DX3-6000/63A-4P</t>
  </si>
  <si>
    <t>407934</t>
  </si>
  <si>
    <t>DX3-AC-25A/30mA-2P</t>
  </si>
  <si>
    <t>DX3-AC-40A/30mA-2P</t>
  </si>
  <si>
    <t>411505</t>
  </si>
  <si>
    <t>DX3-AC-63A/30mA-2P</t>
  </si>
  <si>
    <t>411506</t>
  </si>
  <si>
    <t>DX3-AC-80A/30mA-2P</t>
  </si>
  <si>
    <t>411507</t>
  </si>
  <si>
    <t>DX3-AC-100A/30mA-2P</t>
  </si>
  <si>
    <t>411508</t>
  </si>
  <si>
    <t>DX3-AC-25A/300mA-2P</t>
  </si>
  <si>
    <t>411524</t>
  </si>
  <si>
    <t>DX3-AC-40A/300mA-2P</t>
  </si>
  <si>
    <t>411525</t>
  </si>
  <si>
    <t>DX3-AC-63A/300mA-2P</t>
  </si>
  <si>
    <t>411526</t>
  </si>
  <si>
    <t>DX3-AC-25A/30mA-4P</t>
  </si>
  <si>
    <t>DX3-AC-40A/30mA-4P</t>
  </si>
  <si>
    <t>411703</t>
  </si>
  <si>
    <t>DX3-AC-63A/30mA-4P</t>
  </si>
  <si>
    <t>411704</t>
  </si>
  <si>
    <t>DX3-AC-80A/30mA-4P</t>
  </si>
  <si>
    <t>411705</t>
  </si>
  <si>
    <t>DX3-AC-25A/300mA-4P</t>
  </si>
  <si>
    <t>411722</t>
  </si>
  <si>
    <t>DX3-AC-40A/300mA-4P</t>
  </si>
  <si>
    <t>411723</t>
  </si>
  <si>
    <t>DX3-AC-63A/300mA-4P</t>
  </si>
  <si>
    <t>411724</t>
  </si>
  <si>
    <t>DX3-AC-80A/300mA-4P</t>
  </si>
  <si>
    <t>411725</t>
  </si>
  <si>
    <t>DX3-HPI-25A/30mA-2P</t>
  </si>
  <si>
    <t>DX3-HPI-40A/30mA-2P</t>
  </si>
  <si>
    <t>411591</t>
  </si>
  <si>
    <t>DX3-HPI-63A/30mA-2P</t>
  </si>
  <si>
    <t>411592</t>
  </si>
  <si>
    <t>DX3-HPI-25A/30mA-4P</t>
  </si>
  <si>
    <t>411694</t>
  </si>
  <si>
    <t>DX3-HPI-40A/30mA-4P</t>
  </si>
  <si>
    <t>411695</t>
  </si>
  <si>
    <t>DX3-HPI-63A/30mA-4P</t>
  </si>
  <si>
    <t>411696</t>
  </si>
  <si>
    <t>USO RESIDENCIAL, VIVIENDAS, CONDOMINIOS</t>
  </si>
  <si>
    <t>RX3-C-6A-2P</t>
  </si>
  <si>
    <t>RX3-C-10A-2P</t>
  </si>
  <si>
    <t>419871</t>
  </si>
  <si>
    <t>RX3-C-16A-2P</t>
  </si>
  <si>
    <t>419873</t>
  </si>
  <si>
    <t>RX3-C-20A-2P</t>
  </si>
  <si>
    <t>419874</t>
  </si>
  <si>
    <t>RX3-C-25A-2P</t>
  </si>
  <si>
    <t>419875</t>
  </si>
  <si>
    <t>RX3-C-32A-2P</t>
  </si>
  <si>
    <t>419876</t>
  </si>
  <si>
    <t>RX3-C-40A-2P</t>
  </si>
  <si>
    <t>419877</t>
  </si>
  <si>
    <t>RX3-C-50A-2P</t>
  </si>
  <si>
    <t>419878</t>
  </si>
  <si>
    <t>RX3-C-63A-2P</t>
  </si>
  <si>
    <t>419879</t>
  </si>
  <si>
    <t>RX3-C-6A-3P</t>
  </si>
  <si>
    <t>419881</t>
  </si>
  <si>
    <t>RX3-C-10A-3P</t>
  </si>
  <si>
    <t>419882</t>
  </si>
  <si>
    <t>RX3-C-16A-3P</t>
  </si>
  <si>
    <t>419884</t>
  </si>
  <si>
    <t>RX3-C-20A-3P</t>
  </si>
  <si>
    <t>419885</t>
  </si>
  <si>
    <t>RX3-C-25A-3P</t>
  </si>
  <si>
    <t>419886</t>
  </si>
  <si>
    <t>RX3-C-32A-3P</t>
  </si>
  <si>
    <t>419887</t>
  </si>
  <si>
    <t>RX3-C-40A-3P</t>
  </si>
  <si>
    <t>419888</t>
  </si>
  <si>
    <t>RX3-C-50A-3P</t>
  </si>
  <si>
    <t>419889</t>
  </si>
  <si>
    <t>RX3-C-63A-3P</t>
  </si>
  <si>
    <t>419890</t>
  </si>
  <si>
    <t>RX3-AC-25A/30mA-2P</t>
  </si>
  <si>
    <t>402024</t>
  </si>
  <si>
    <t>RX3-AC-40A/30mA-2P</t>
  </si>
  <si>
    <t>402025</t>
  </si>
  <si>
    <t>RX3-AC-63A/30mA-2P</t>
  </si>
  <si>
    <t>402026</t>
  </si>
  <si>
    <t>RX3-AC-25A/30mA-4P</t>
  </si>
  <si>
    <t>402062</t>
  </si>
  <si>
    <t>RX3-AC-40A/30mA-4P</t>
  </si>
  <si>
    <t>402063</t>
  </si>
  <si>
    <t>RX3-AC-63A/30mA-4P</t>
  </si>
  <si>
    <t>402064</t>
  </si>
  <si>
    <t>CONTACTORES</t>
  </si>
  <si>
    <t>CX3-25A</t>
  </si>
  <si>
    <t>CX3-40A</t>
  </si>
  <si>
    <t>412545</t>
  </si>
  <si>
    <t>CX3-63A</t>
  </si>
  <si>
    <t>412550</t>
  </si>
  <si>
    <t>CTX3-9A</t>
  </si>
  <si>
    <t>CTX3-12A</t>
  </si>
  <si>
    <t>CTX3-18A</t>
  </si>
  <si>
    <t>CTX3-22A</t>
  </si>
  <si>
    <t>CTX3-32A</t>
  </si>
  <si>
    <t>CTX3-40A</t>
  </si>
  <si>
    <t>CTX3-50A</t>
  </si>
  <si>
    <t>CTX3-65A</t>
  </si>
  <si>
    <t>CTX3-75A</t>
  </si>
  <si>
    <t>CTX3-85A</t>
  </si>
  <si>
    <t>CTX3-100A</t>
  </si>
  <si>
    <t>CTX3-130A</t>
  </si>
  <si>
    <t>CTX3-150A</t>
  </si>
  <si>
    <t>MINICONTACTORES</t>
  </si>
  <si>
    <t>CTX3-MINI-6A</t>
  </si>
  <si>
    <t>CTX3-MINI-9A</t>
  </si>
  <si>
    <t>CTX3-MINI-12A</t>
  </si>
  <si>
    <t>417046</t>
  </si>
  <si>
    <t>CTX3-MINI-16A</t>
  </si>
  <si>
    <t>417066</t>
  </si>
  <si>
    <t>Rele_Diferencial</t>
  </si>
  <si>
    <t>026088</t>
  </si>
  <si>
    <t>Toroide_Diferencial-200A</t>
  </si>
  <si>
    <t>026092</t>
  </si>
  <si>
    <t>Toroide_Diferencial-400A</t>
  </si>
  <si>
    <t>026093</t>
  </si>
  <si>
    <t>Toroide_Diferencial-800A</t>
  </si>
  <si>
    <t>026094</t>
  </si>
  <si>
    <t>Toroide_Diferencial-1200A</t>
  </si>
  <si>
    <t>026095</t>
  </si>
  <si>
    <t>ITM de 2x15A - tornillo - QCH,  10kA / 240Vac. (UL), marca EATON.</t>
  </si>
  <si>
    <t>ITM de 2x20A - tornillo - QCH,  10kA / 240Vac. (UL), marca EATON.</t>
  </si>
  <si>
    <t>ITM de 2x30A - tornillo - QCH,  10kA / 240Vac. (UL), marca EATON.</t>
  </si>
  <si>
    <t>ITM de 2x50A - tornillo - QCH,  10kA / 240Vac. (UL), marca EATON.</t>
  </si>
  <si>
    <t>ITM de 2x60A - tornillo - QCH,  10kA / 240Vac. (UL), marca EATON.</t>
  </si>
  <si>
    <t>ITM de 2x80A - tornillo - QCH,  10kA / 240Vac. (UL), marca EATON.</t>
  </si>
  <si>
    <t>ITM de 3x15A - tornillo - QCH,  10kA / 240Vac. (UL), marca EATON.</t>
  </si>
  <si>
    <t>ITM de 3x20A - tornillo - QCH,  10kA / 240Vac. (UL), marca EATON.</t>
  </si>
  <si>
    <t>ITM de 3x30A - tornillo - QCH,  10kA / 240Vac. (UL), marca EATON.</t>
  </si>
  <si>
    <t>ITM de 3x40A - tornillo - QCH,  10kA / 240Vac. (UL), marca EATON.</t>
  </si>
  <si>
    <t>ITM de 3x50A - tornillo - QCH,  10kA / 240Vac. (UL), marca EATON.</t>
  </si>
  <si>
    <t>ITM de 3x60A - tornillo - QCH,  10kA / 240Vac. (UL), marca EATON.</t>
  </si>
  <si>
    <t>ITM de 3x70A - tornillo - QCH,  10kA / 240Vac. (UL), marca EATON.</t>
  </si>
  <si>
    <t>ITM de 3x80A - tornillo - QCH,  10kA / 240Vac. (UL), marca EATON.</t>
  </si>
  <si>
    <t>ITM de 3x90A - tornillo - QCH,  10kA / 240Vac. (UL), marca EATON.</t>
  </si>
  <si>
    <t>ITM de 3x100A - tornillo - QCH,  10kA / 240Vac. (UL), marca EATON.</t>
  </si>
  <si>
    <t>TSR-3</t>
  </si>
  <si>
    <t>Transformador sumador 3 entradas 5+5+5/5A, marca CIRCUTOR</t>
  </si>
  <si>
    <t>REACT_40kVAR/230V_p7</t>
  </si>
  <si>
    <t>Reactancia para filtro de rechazo de armónicas, para paso de 40kVAR / 230Vac, 60Hz, p=7%, tipo RBX, marca CIRCUTOR.</t>
  </si>
  <si>
    <t>COND_40kVAR/230V_p7</t>
  </si>
  <si>
    <t>Condensador trifásico, para paso de potencia efectiva de 40kVAR / 230Vac, 60 Hz, p=7%, tipo CFB, marca CIRCUTOR.</t>
  </si>
  <si>
    <t>CMC_40kVAR/230V</t>
  </si>
  <si>
    <t>Contactor para maniobra de condensadores - 40kVAR / 230Vac - Modelo CMC - bobina 230Vac/60Hz. - marca CIRCUTOR.</t>
  </si>
  <si>
    <t>DX3-A-25A/300mA-2P</t>
  </si>
  <si>
    <t>DX3-A-40A/300mA-2P</t>
  </si>
  <si>
    <t>DX3-A-63A/300mA-2P</t>
  </si>
  <si>
    <t>DX3-A-25A/300mA-4P</t>
  </si>
  <si>
    <t>DX3-A-40A/300mA-4P</t>
  </si>
  <si>
    <t>DX3-A-63A/300mA-4P</t>
  </si>
  <si>
    <t>DX3-A-80A/300mA-4P</t>
  </si>
  <si>
    <t>Modelo IZM - BASTIDOR ABIERTO</t>
  </si>
  <si>
    <t>IZMX16B3-P12F-1</t>
  </si>
  <si>
    <t>ITM Bastidor Abierto de 3x1250A , (Reg. 0.4-1.0 de In) electrónico PXR25(P), IZM, 42kA@415Vac.+ contactos de estado + contacto de alarma - marca EATON.</t>
  </si>
  <si>
    <t>IZMX16B3-P16F-1</t>
  </si>
  <si>
    <t>ITM Bastidor Abierto de 3x1600A , (Reg. 0.4-1.0 de In) electrónico PXR25(P), IZM, 42kA@415Vac.+ contactos de estado + contacto de alarma - marca EATON.</t>
  </si>
  <si>
    <t>Jean Inga</t>
  </si>
  <si>
    <t>Rosalyn Rincon</t>
  </si>
  <si>
    <t>OVR-T2_120-440S_P_TS</t>
  </si>
  <si>
    <t>Protector de sobretensiones (Tipo 2) - OVR-T2_120-440_1P - Un=400V, Uc=440V, Up=2.5kV - I_descarga=120kA - marca ABB.</t>
  </si>
  <si>
    <t>2CTB803951R1300</t>
  </si>
  <si>
    <t>MIS_320x250x108mm</t>
  </si>
  <si>
    <t>Tablero termoplástico para Empotrar, serie MISTRAL 41F p/transparente 12 modulos. 320x250x108mm - IP41, IK08, RAL 9016 - marca ABB.</t>
  </si>
  <si>
    <t>1SLM004100A1203</t>
  </si>
  <si>
    <t>MIS_430x250x108mm</t>
  </si>
  <si>
    <t>Tablero termoplástico para Empotrar, serie MISTRAL 41F p/transparente 18 modulos. 430x250x108mm - IP41, IK08, RAL 9016 - marca ABB.</t>
  </si>
  <si>
    <t>1SLM004100A1204</t>
  </si>
  <si>
    <t>EGS2040FFG</t>
  </si>
  <si>
    <t>ITM de 2x40A - EGS + terminales internos p/ conexión,  35kA/240Vac, marca EATON.</t>
  </si>
  <si>
    <t>ITM de 3x250A, Electronico (Reg. 100-250A) JGS,  65kA@240Vac. - 35kA@480Vac. (UL), marca EATON.</t>
  </si>
  <si>
    <t>Fi2040</t>
  </si>
  <si>
    <t>ITM de 2x40A - modelo Fi,  25kA-240Vac / 14kA-440Vac, marca EATON.</t>
  </si>
  <si>
    <t>NZM1-XKAV</t>
  </si>
  <si>
    <t>Dispositivo para bloqueo por candado en  posicion OFF para interruptor modelo LZMS1, Modelo NZM1-XKAV, marca EATON.(no inluye el candado ni llaves)</t>
  </si>
  <si>
    <t>NZM2/3-XKAV</t>
  </si>
  <si>
    <t>HXE33K-A</t>
  </si>
  <si>
    <t>HEXING</t>
  </si>
  <si>
    <t>HXE12R</t>
  </si>
  <si>
    <t>DIRIS-A20</t>
  </si>
  <si>
    <t>TRAFO_2F_460-230V_50VA_AUD</t>
  </si>
  <si>
    <t>Transformador de tensión de aislamiento monofásico 460 / 230 Vac - 10VA, marca AUDAX.</t>
  </si>
  <si>
    <t>TRAFO_2F_460-230V_100VA_AUD</t>
  </si>
  <si>
    <t>Transformador de tensión de aislamiento monofásico 460 / 230 Vac - 100VA, marca AUDAX.</t>
  </si>
  <si>
    <t>RELE TERMICOS</t>
  </si>
  <si>
    <t>RTX3 40-0.16A</t>
  </si>
  <si>
    <t>RTX3 40-0.25A</t>
  </si>
  <si>
    <t>416641</t>
  </si>
  <si>
    <t>RTX3 40-0.40A</t>
  </si>
  <si>
    <t>416642</t>
  </si>
  <si>
    <t>RTX3 40-0.63A</t>
  </si>
  <si>
    <t>416643</t>
  </si>
  <si>
    <t>RTX3 40-1.00A</t>
  </si>
  <si>
    <t>416644</t>
  </si>
  <si>
    <t>RTX3 40-1.60A</t>
  </si>
  <si>
    <t>416645</t>
  </si>
  <si>
    <t>RTX3 40-2.50A</t>
  </si>
  <si>
    <t>416646</t>
  </si>
  <si>
    <t>RTX3 40-4.00A</t>
  </si>
  <si>
    <t>416647</t>
  </si>
  <si>
    <t>RTX3 40-6.00A</t>
  </si>
  <si>
    <t>416648</t>
  </si>
  <si>
    <t>RTX3 40-8.00A</t>
  </si>
  <si>
    <t>416649</t>
  </si>
  <si>
    <t>RTX3 40-9.00A</t>
  </si>
  <si>
    <t>416650</t>
  </si>
  <si>
    <t>RTX3 40-10.00A</t>
  </si>
  <si>
    <t>416651</t>
  </si>
  <si>
    <t>RTX3 40-13.00A</t>
  </si>
  <si>
    <t>416652</t>
  </si>
  <si>
    <t>RTX3 40-18.00A</t>
  </si>
  <si>
    <t>416653</t>
  </si>
  <si>
    <t>RTX3 40-22.00A</t>
  </si>
  <si>
    <t>416654</t>
  </si>
  <si>
    <t>RTX3 40-25.00A</t>
  </si>
  <si>
    <t>416655</t>
  </si>
  <si>
    <t>RTX3 40-32.00A</t>
  </si>
  <si>
    <t>416656</t>
  </si>
  <si>
    <t>RTX3 40-40.00A</t>
  </si>
  <si>
    <t>416657</t>
  </si>
  <si>
    <t>RTX3 65-36.00A</t>
  </si>
  <si>
    <t>416687</t>
  </si>
  <si>
    <t>RTX3 65-40.00A</t>
  </si>
  <si>
    <t>416688</t>
  </si>
  <si>
    <t>RTX3 65-50.00A</t>
  </si>
  <si>
    <t>416689</t>
  </si>
  <si>
    <t>RTX3 65-65.00A</t>
  </si>
  <si>
    <t>416690</t>
  </si>
  <si>
    <t>RTX3 100-75.00A</t>
  </si>
  <si>
    <t>416728</t>
  </si>
  <si>
    <t>RTX3 100-85.00A</t>
  </si>
  <si>
    <t>416729</t>
  </si>
  <si>
    <t>RTX3 100-95.00A</t>
  </si>
  <si>
    <t>416730</t>
  </si>
  <si>
    <t>RTX3 100-100.00A</t>
  </si>
  <si>
    <t>416731</t>
  </si>
  <si>
    <t>RTX3 150-150.00A</t>
  </si>
  <si>
    <t>SM</t>
  </si>
  <si>
    <t>DESCUENTOS SIEMENS</t>
  </si>
  <si>
    <t>ABB / LEGRAND / SIEMENS</t>
  </si>
  <si>
    <t>Zocalo TS (FRONT. y POST.) 100*800mm(Al*An), ACERO INOXIDABLE - - marca RITTAL.</t>
  </si>
  <si>
    <t>ZOCALO TS LATERAL (IZQ. Y DER.) 100*600mm, ACERO INOXIDABLE - - Ref.: 8701.800 - marca RITTAL.</t>
  </si>
  <si>
    <t>ITM de 1x10A - modular DIN - 5SL6, 10KA - 220Vac., IEC 60898 , SIEMENS.</t>
  </si>
  <si>
    <t>ITM de 1x16A - modular DIN - 5SL6, 10KA - 220Vac., IEC 60898 , SIEMENS.</t>
  </si>
  <si>
    <t>ITM de 1x20A - modular DIN - 5SL6, 10KA - 220Vac., IEC 60898 , SIEMENS.</t>
  </si>
  <si>
    <t>ITM de 1x25A - modular DIN - 5SL6, 10KA - 220Vac., IEC 60898 , SIEMENS.</t>
  </si>
  <si>
    <t>ITM de 1x32A - modular DIN - 5SL6, 10KA - 220Vac., IEC 60898 , SIEMENS.</t>
  </si>
  <si>
    <t>ITM de 1x40A - modular DIN - 5SL6, 10KA - 220Vac., IEC 60898 , SIEMENS.</t>
  </si>
  <si>
    <t>ITM de 1x50A - modular DIN - 5SL6, 10KA - 220Vac., IEC 60898 , SIEMENS.</t>
  </si>
  <si>
    <t>ITM de 1x63A - modular DIN - 5SL6, 10KA - 220Vac., IEC 60898 , SIEMENS.</t>
  </si>
  <si>
    <t>ITM de 2x10A - modular DIN - 5SL6, 10KA - 220Vac., IEC 60898 , SIEMENS.</t>
  </si>
  <si>
    <t>ITM de 2x16A - modular DIN - 5SL6, 10KA - 220Vac., IEC 60898 , SIEMENS.</t>
  </si>
  <si>
    <t>ITM de 2x20A - modular DIN - 5SL6, 10KA - 220Vac., IEC 60898 , SIEMENS.</t>
  </si>
  <si>
    <t>ITM de 2x25A - modular DIN - 5SL6, 10KA - 220Vac., IEC 60898 , SIEMENS.</t>
  </si>
  <si>
    <t>ITM de 2x32A - modular DIN - 5SL6, 10KA - 220Vac., IEC 60898 , SIEMENS.</t>
  </si>
  <si>
    <t>ITM de 2x40A - modular DIN - 5SL6, 10KA - 220Vac., IEC 60898 , SIEMENS.</t>
  </si>
  <si>
    <t>ITM de 2x50A - modular DIN - 5SL6, 10KA - 220Vac., IEC 60898 , SIEMENS.</t>
  </si>
  <si>
    <t>ITM de 2x63A - modular DIN - 5SL6, 10KA - 220Vac., IEC 60898 , SIEMENS.</t>
  </si>
  <si>
    <t>ITM de 3x10A - modular DIN - 5SL6, 10KA - 220Vac., IEC 60898 , SIEMENS.</t>
  </si>
  <si>
    <t>ITM de 3x16A - modular DIN - 5SL6, 10KA - 220Vac., IEC 60898 , SIEMENS.</t>
  </si>
  <si>
    <t>ITM de 3x20A - modular DIN - 5SL6, 10KA - 220Vac., IEC 60898 , SIEMENS.</t>
  </si>
  <si>
    <t>ITM de 3x25A - modular DIN - 5SL6, 10KA - 220Vac., IEC 60898 , SIEMENS.</t>
  </si>
  <si>
    <t>ITM de 3x32A - modular DIN - 5SL6, 10KA - 220Vac., IEC 60898 , SIEMENS.</t>
  </si>
  <si>
    <t>ITM de 3x40A - modular DIN - 5SL6, 10KA - 220Vac., IEC 60898 , SIEMENS.</t>
  </si>
  <si>
    <t>ITM de 3x50A - modular DIN - 5SL6, 10KA - 220Vac., IEC 60898 , SIEMENS.</t>
  </si>
  <si>
    <t>ITM de 3x63A - modular DIN - 5SL6, 10KA - 220Vac., IEC 60898 , SIEMENS.</t>
  </si>
  <si>
    <t>3VA1340-4EF32-0AA0</t>
  </si>
  <si>
    <t>3VA1463-4EF32-0AA0</t>
  </si>
  <si>
    <t>F204-B-25A-300mA</t>
  </si>
  <si>
    <t>Interruptor Diferencial 4x25A - 300mA - clase B (alta inmunización: para variador, corriente pulsante o con rizado) - F204-B-25A-300mA - marca ABB.</t>
  </si>
  <si>
    <t>2CSF204592R3250</t>
  </si>
  <si>
    <t>F204-B-40A-300mA</t>
  </si>
  <si>
    <t>Interruptor Diferencial 4x40A - 300mA - clase B (alta inmunización: para variador, corriente pulsante o con rizado) - F204-B-40A-300mA - marca ABB.</t>
  </si>
  <si>
    <t>2CSF204592R3400</t>
  </si>
  <si>
    <t>PS1-5-0-65</t>
  </si>
  <si>
    <t>Busbar para 5 guardamotores - modelo PS1-5-0-65 - marca ABB.</t>
  </si>
  <si>
    <t>1SAM201906R1105</t>
  </si>
  <si>
    <t>S1-M1-25</t>
  </si>
  <si>
    <t>Alimentador de busbar</t>
  </si>
  <si>
    <t>1SAM201907R1101</t>
  </si>
  <si>
    <t>GJH3160-ELECTRONICO</t>
  </si>
  <si>
    <t>ITM de 3x160A,electronico LS ( Reg. 63-160A ) GJH,  100kA-240Vac. - 70kA-415Vac. (UL) - marca EATON.</t>
  </si>
  <si>
    <t>GJH3100-ELECTRONICO</t>
  </si>
  <si>
    <t>ITM de 3x100A,electronico LS ( Reg. 40-100A ) GJH,  100kA-240Vac. - 70kA-415Vac. (UL) - marca EATON.</t>
  </si>
  <si>
    <t>E2.2S-1250A-3P-Ekip Touch LSI</t>
  </si>
  <si>
    <t>ITM Bastidor Abierto 3x1250A (electrónico [0.4-1.0] In) - E2.2S-1250A-3P-Ekip Touch LSI - 85kA@440Vac - marca ABB.</t>
  </si>
  <si>
    <t>1SDA070965R1</t>
  </si>
  <si>
    <t>E2.2S-1250A-4P-Ekip Touch LSI</t>
  </si>
  <si>
    <t>ITM Bastidor Abierto 4x1250A (electrónico [0.4-1.0] In) - E2.2S-1250A-4P-Ekip Touch LSI - 85kA@440Vac - marca ABB.</t>
  </si>
  <si>
    <t>1SDA071595R1</t>
  </si>
  <si>
    <t>E2.2S-1600A-3P-Ekip Touch LSI</t>
  </si>
  <si>
    <t>ITM Bastidor Abierto 3x1600A (electrónico [0.4-1.0] In) - E2.2S-1600A-3P-Ekip Touch LSI - 85kA@440Vac - marca ABB.</t>
  </si>
  <si>
    <t>1SDA071005R1</t>
  </si>
  <si>
    <t>OT_I-0-II_4p_160A</t>
  </si>
  <si>
    <t>Conmutador manual bajo carga (I-0-II), modelo OT-C, 4p, 160A (AC21..AC22) / 160A (AC23) - marca ABB.</t>
  </si>
  <si>
    <t>1SCA022775R9440</t>
  </si>
  <si>
    <t>OT_I-0-II_4p_200A</t>
  </si>
  <si>
    <t>Conmutador manual bajo carga (I-0-II), modelo OT-C, 4p, 200A (AC21..AC22) / 200A (AC23) - marca ABB.</t>
  </si>
  <si>
    <t>1SCA022771R7280</t>
  </si>
  <si>
    <t>OT_I-0-II_4p_250A</t>
  </si>
  <si>
    <t>Conmutador manual bajo carga (I-0-II), modelo OT-C, 4p, 250A (AC21..AC22) / 250A (AC23) - marca ABB.</t>
  </si>
  <si>
    <t>1SCA022775R4640</t>
  </si>
  <si>
    <t>OT_I-0-II_4p_315A</t>
  </si>
  <si>
    <t>Conmutador manual bajo carga (I-0-II), modelo OT-C, 4p, 315A (AC21..AC22) / 315A (AC23) - marca ABB.</t>
  </si>
  <si>
    <t>1SCA022775R7150</t>
  </si>
  <si>
    <t>OT_I-0-II_4p_400A</t>
  </si>
  <si>
    <t>Conmutador manual bajo carga (I-0-II), modelo OT-C, 4p, 400A (AC21..AC22) / 400A (AC23) - marca ABB.</t>
  </si>
  <si>
    <t>1SCA022771R8680</t>
  </si>
  <si>
    <t>OT_I-0-II_4p_630A</t>
  </si>
  <si>
    <t>Conmutador manual bajo carga (I-0-II), modelo OT-C, 4p, 630A (AC21..AC22) / 630A (AC23) - marca ABB.</t>
  </si>
  <si>
    <t>1SCA022785R6130</t>
  </si>
  <si>
    <t>OT_I-0-II_4p_800A</t>
  </si>
  <si>
    <t>Conmutador manual bajo carga (I-0-II), modelo OT-C, 4p, 800A (AC21..AC22) / 800A (AC23) - marca ABB.</t>
  </si>
  <si>
    <t>1SCA022785R6210</t>
  </si>
  <si>
    <t>ITM Bastidor Abierto de 3x1600A, electronico MP4(LSI) (Reg. 640-1600A ) DMX3 1600, 65kA@400 Vac.- marca Legrand</t>
  </si>
  <si>
    <t>ITM Bastidor Abierto de 3x2000A, electronico MP4(LSI) (Reg. 800-2000A ) DMX3 2000, 65kA@400 Vac.- marca Legrand</t>
  </si>
  <si>
    <t>ITM Bastidor Abierto de 3x2500A, electronico MP4(LSI) (Reg. 1000-2500A ) DMX3 2500, 65kA@400 Vac.- marca Legrand</t>
  </si>
  <si>
    <t>ITM Bastidor Abierto de 3x3200A, electronico MP4(LSI) (Reg. 1280-3200A ) DMX3 3200, 65kA@400 Vac.- marca Legrand</t>
  </si>
  <si>
    <t>ITM Bastidor Abierto de 3x4000A, electronico MP4(LSI) (Reg. 1600-4000A ) DMX3 4000, 65kA@400 Vac.- marca Legrand</t>
  </si>
  <si>
    <t>ITM Bastidor Abierto de 3x5000A, electronico MP4(LSI) (Reg. 2000-5000A ) DMX3 5000, 65kA@400 Vac.- marca Legrand</t>
  </si>
  <si>
    <t>028865</t>
  </si>
  <si>
    <t>Mecanismo de bloqueo en DMX3 talla 2.</t>
  </si>
  <si>
    <t>028921</t>
  </si>
  <si>
    <t>Cable  de interbloqueo para DMX3 talla 2 (3000 mm)</t>
  </si>
  <si>
    <t>422682</t>
  </si>
  <si>
    <t>Unidad para Sistema de Transferencia Automático Estandar para 2 Interruptores-12-48Vdc,110-240Vac - configurable</t>
  </si>
  <si>
    <t>Contacto auxiliar o señal de defecto para DPX3 160/250/630/1600</t>
  </si>
  <si>
    <t>T6L1000-1000A-3P-PR222DS/P-LSI</t>
  </si>
  <si>
    <t>ITM Caja Moldeada 3x1000A (electrónico [0.4-1.0] In) - T6L1000-1000A-3P-PR222DS/P-LSI - 85kA@230Vac, 50kA@415Vac - marca ABB.</t>
  </si>
  <si>
    <t>1SDA060576R1</t>
  </si>
  <si>
    <t>SWITCH_I-0-II_4p_40A</t>
  </si>
  <si>
    <t>Conmutador de fuerza (I-0-II), 4p, 40A (AC22), modelo OL40U4RB - marca ABB.</t>
  </si>
  <si>
    <t>1SCA022761R1290</t>
  </si>
  <si>
    <t>SWITCH_I-0-II_4p_100A</t>
  </si>
  <si>
    <t>Conmutador de fuerza (I-0-II), 4p, 100A (AC22), modelo OL80U4RB - marca ABB.</t>
  </si>
  <si>
    <t>1SCA022790R0810</t>
  </si>
  <si>
    <t>SWITCH_I-0-II_4p_150A</t>
  </si>
  <si>
    <t>Conmutador de fuerza (I-0-II), 4p, 150A (AC22), modelo OL125U4RB - marca ABB.</t>
  </si>
  <si>
    <t>1SCA022790R2260</t>
  </si>
  <si>
    <t>SWITCH_I-0-II_4p_170A</t>
  </si>
  <si>
    <t>Conmutador de fuerza (I-0-II), 4p, 170A (AC22), modelo OL160U4RB - marca ABB.</t>
  </si>
  <si>
    <t>1SCA022790R7140</t>
  </si>
  <si>
    <t>SWITCH_I-0-II_4p_250A</t>
  </si>
  <si>
    <t>Conmutador de fuerza (I-0-II), 4p, 250A (AC22), modelo OL200U4RB - marca ABB.</t>
  </si>
  <si>
    <t>1SCA022790R7570</t>
  </si>
  <si>
    <t>EGS3040FFG</t>
  </si>
  <si>
    <t>ITM de 3x40A - EGS + terminales internos p/ conexión,  65kA/240Vac. - 35kA/480Vac., marca EATON.</t>
  </si>
  <si>
    <t>Dispositivo para bloqueo por candado para interruptor JG/GJ, marca EATON. (no inluye el candado ni llaves)</t>
  </si>
  <si>
    <t>Dispositivo para bloqueo por candado en  posicion OFF para interruptor modelo LZMS2/3, Modelo NZM2/3-XKAV, marca EATON.(no inluye el candado ni llaves)</t>
  </si>
  <si>
    <t>Modelo DAB7-63</t>
  </si>
  <si>
    <t>Modelo RCCB DAF - Clase AC (30mA)</t>
  </si>
  <si>
    <t>DAF362-25/2/003</t>
  </si>
  <si>
    <t>Interruptor Diferencial de 2 x 25A - DAF , 30mA, clase AC , DADA.</t>
  </si>
  <si>
    <t>DAF362-40/2/003</t>
  </si>
  <si>
    <t>Interruptor Diferencial de 2 x 40A - DAF , 30mA, clase AC , DADA.</t>
  </si>
  <si>
    <t>DAF362-63/2/003</t>
  </si>
  <si>
    <t>Interruptor Diferencial de 2 x 63A - DAF , 30mA, clase AC , DADA.</t>
  </si>
  <si>
    <t>DAF364-25/4/003</t>
  </si>
  <si>
    <t>Interruptor Diferencial de 4 x 25A - DAF , 30mA, clase AC , DADA.</t>
  </si>
  <si>
    <t>DAF364-40/4/003</t>
  </si>
  <si>
    <t>Interruptor Diferencial de 4 x 40A - DAF , 30mA, clase AC , DADA.</t>
  </si>
  <si>
    <t>DAF364-63/4/003</t>
  </si>
  <si>
    <t>Interruptor Diferencial de 4 x 63A - DAF , 30mA, clase AC , DADA.</t>
  </si>
  <si>
    <t>DAM1S-400</t>
  </si>
  <si>
    <t>ITM de 3 x 400A , ( Reg.315-400A ) DAM1S, 65kA/240Vac.- DADA.</t>
  </si>
  <si>
    <t>DAM1S-160-20</t>
  </si>
  <si>
    <t>ITM de 3 x 20A , ( Reg.14-20A) DAM1S, 50kA/400Vac.- DADA.</t>
  </si>
  <si>
    <t>DAM1S-160-32</t>
  </si>
  <si>
    <t>ITM de 3 x 32A , ( Reg.22.4-32A) DAM1S, 50kA/400Vac.- DADA.</t>
  </si>
  <si>
    <t>DAM1S-160-40</t>
  </si>
  <si>
    <t>ITM de 3 x 40A , ( Reg.28-40A) DAM1S, 50kA/400Vac.- DADA.</t>
  </si>
  <si>
    <t>DAM1S-160-50</t>
  </si>
  <si>
    <t>ITM de 3 x 50A , ( Reg.35-50A) DAM1S, 50kA/400Vac.- DADA.</t>
  </si>
  <si>
    <t>DAM1S-160-80</t>
  </si>
  <si>
    <t>ITM de 3 x 80A , ( Reg.56-80A) DAM1S, 50kA/400Vac.- DADA.</t>
  </si>
  <si>
    <t>DAM1S-160-100</t>
  </si>
  <si>
    <t>ITM de 3 x 100A , ( Reg.70-100A) DAM1S, 50kA/400Vac.- DADA.</t>
  </si>
  <si>
    <t>DAM1S-160-160</t>
  </si>
  <si>
    <t>ITM de 3 x 160A , ( Reg.112-160A) DAM1S, 50kA/400Vac.- DADA.</t>
  </si>
  <si>
    <t>DAM1H-250-200</t>
  </si>
  <si>
    <t>ITM de 3 x 200A , ( Reg140-200A) DAM1H, 65kA/400Vac.  - DADA.</t>
  </si>
  <si>
    <t>DAM1H-250-250</t>
  </si>
  <si>
    <t>ITM de 3 x 250A , ( Reg175-250A) DAM1H, 65kA/400Vac.  - DADA.</t>
  </si>
  <si>
    <t>IM Caja Moldeada 3x32A - XT2N160-32A-3P-MA - 65kA@230Vac, 36kA@415Vac - marca ABB.</t>
  </si>
  <si>
    <t>XT2N160-50A-3P-MA</t>
  </si>
  <si>
    <t>IM Caja Moldeada 3x50A - XT2N160-50A-3P-MA - 65kA@230Vac, 36kA@415Vac - marca ABB.</t>
  </si>
  <si>
    <t>1SDA067051R1</t>
  </si>
  <si>
    <t>XT2N160-80A-3P-MA</t>
  </si>
  <si>
    <t>IM Caja Moldeada 3x80A - XT2N160-80A-3P-MA - 65kA@230Vac, 36kA@415Vac - marca ABB.</t>
  </si>
  <si>
    <t>1SDA067052R1</t>
  </si>
  <si>
    <t>XT2N160-100A-3P-MA</t>
  </si>
  <si>
    <t>IM Caja Moldeada 3x100A - XT2N160-100A-3P-MA - 65kA@230Vac, 36kA@415Vac - marca ABB.</t>
  </si>
  <si>
    <t>1SDA067053R1</t>
  </si>
  <si>
    <t>XT4N160-125A-3P-MA</t>
  </si>
  <si>
    <t>IM Caja Moldeada 3x125A - XT4N160-125A-3P-MA - 65kA@230Vac, 36kA@415Vac - marca ABB.</t>
  </si>
  <si>
    <t>1SDA068119R1</t>
  </si>
  <si>
    <t>XT4N160-160A-3P-MA</t>
  </si>
  <si>
    <t>IM Caja Moldeada 3x160A - XT4N160-160A-3P-MA - 65kA@230Vac, 36kA@415Vac - marca ABB.</t>
  </si>
  <si>
    <t>1SDA068120R1</t>
  </si>
  <si>
    <t>IM Caja Moldeada 3x200A - XT4N250-200A-3P-MA - 65kA@230Vac, 36kA@415Vac - marca ABB.</t>
  </si>
  <si>
    <t>E1.2B-800A-3P-Ekip Touch LSI</t>
  </si>
  <si>
    <t>ITM Bastidor Abierto 3x800A (electrónico [0.4-1.0] In) - E1.2B-800A-3P-Ekip Touch LSI - 42kA@440Vac - marca ABB.</t>
  </si>
  <si>
    <t>1SDA070745R1</t>
  </si>
  <si>
    <t>ITM Bastidor Abierto 4x800A (electrónico [0.4-1.0] In) - E1.2B-800A-4P-Ekip Touch LSI - 42kA@440Vac - marca ABB.</t>
  </si>
  <si>
    <t>COND_20kVAR/380V_p7_CLZ</t>
  </si>
  <si>
    <t>Condensador trifásico, para paso de potencia efectiva de 20kVAR / 380Vac, 60 Hz, p=7%, tipo CLZ-FP-HD, marca CIRCUTOR.</t>
  </si>
  <si>
    <t>Condensador, Trifásico, para paso de potencia efectiva de 60kVAR / 400Vac, 60 Hz, p=7%, tipo CFB, marca CIRCUTOR.</t>
  </si>
  <si>
    <t>Condensador, Trifásico, para paso de potencia efectiva de 80kVAR / 400Vac, 60 Hz, p=7%, tipo CFB, marca CIRCUTOR.</t>
  </si>
  <si>
    <t>COND_80kVAR/400V_p7_CSB</t>
  </si>
  <si>
    <t>Condensador, Trifásico, para paso de potencia efectiva de 80kVAR / 400Vac, 60 Hz, p=7%, tipo CSB, marca CIRCUTOR.</t>
  </si>
  <si>
    <t>Repetidor de alarma sugeridos para sala de operaciones / cuarto de enfermeras / UCI - modelo MK2430-12 (empotrado), marca BENDER</t>
  </si>
  <si>
    <t>GPMF-F6NN0</t>
  </si>
  <si>
    <t>Modulo de Tierra montado en placa - modelo GPMF-F6NN0 - marca BENDER.</t>
  </si>
  <si>
    <t>GPM-F4DR4</t>
  </si>
  <si>
    <t>Caja posterior para empotrar para placa frontal de 12 x 8 x 4 pulgadas- modelo GPM-F4DR4 -marca BENDER.</t>
  </si>
  <si>
    <t>B521300367</t>
  </si>
  <si>
    <t>DPX3/160- 40A 50kA (3P)</t>
  </si>
  <si>
    <t>DPX3/160- 63A 50kA (3P)</t>
  </si>
  <si>
    <t>S202-K-10A</t>
  </si>
  <si>
    <t>ITM Riel-Din 2x10A - S202-K-10A - 10kA@230Vac-IEC60947-2 - marca ABB.</t>
  </si>
  <si>
    <t>2CDS252001R0427</t>
  </si>
  <si>
    <t>S203-K-10A</t>
  </si>
  <si>
    <t>ITM Riel-Din 3x10A - S203-K-10A - 10kA@230Vac-IEC60947-2 - marca ABB.</t>
  </si>
  <si>
    <t>Supresor contra sobretensiones (Tipo 2, UL 1449) - OVRHTE252203Y - I_max=25kA por fase, Un=220/380V,  MCOV=275V (L-N), VPR=0.9kV (L-N) - marca ABB.</t>
  </si>
  <si>
    <t>Supresor contra sobretensiones (Tipo 2, UL 1449) - OVRHTE502203Y - I_max=50kA por fase, Un=220/380V,  MCOV=275V (L-N), VPR=0.9kV (L-N) - marca ABB.</t>
  </si>
  <si>
    <t>A1N/P125-125A-1P-TMF</t>
  </si>
  <si>
    <t>1SDA066696R1</t>
  </si>
  <si>
    <t>MAGNETICO</t>
  </si>
  <si>
    <t>E1.2C-1250A-3P-Ekip Touch LSI</t>
  </si>
  <si>
    <t>ITM Bastidor Abierto 3x1250A (electrónico [0.4-1.0] In) - E1.2C-1250A-3P-Ekip Touch LSI - 50kA@440Vac - marca ABB.</t>
  </si>
  <si>
    <t>1SDA070835R1</t>
  </si>
  <si>
    <t>E1.2C-1600A-3P-Ekip Touch LSI</t>
  </si>
  <si>
    <t>ITM Bastidor Abierto 3x1600A (electrónico [0.4-1.0] In) - E1.2C-1600A-3P-Ekip Touch LSI - 50kA@440Vac - marca ABB.</t>
  </si>
  <si>
    <t>1SDA070875R1</t>
  </si>
  <si>
    <t>TABLERO TERMOPLÁSTICO - Serie MISTRAL</t>
  </si>
  <si>
    <t>mRCM-63/4/03-A-MW</t>
  </si>
  <si>
    <t>Interruptor Diferencial de 4x63A - mRCM , 300mA, clase A , marca EATON.</t>
  </si>
  <si>
    <t>Selector tres posiciones "M-0-A" o "1-0-2".</t>
  </si>
  <si>
    <t>Selector dos posiciones "M-A" o "0-1".</t>
  </si>
  <si>
    <t>COND_20kVAR/400V_p7_CSB</t>
  </si>
  <si>
    <t>Condensador trifásico, para paso de potencia efectiva de 20kVAR / 400Vac, 60 Hz, p=7%, tipo CSB, marca CIRCUTOR.</t>
  </si>
  <si>
    <t>COND_40kVAR/400V_p7_CSB</t>
  </si>
  <si>
    <t>Condensador trifásico, para paso de potencia efectiva de 40kVAR / 400Vac, 60 Hz, p=7%, tipo CSB, marca CIRCUTOR.</t>
  </si>
  <si>
    <t>PROTECCION DIFERENCIAL - Clase A</t>
  </si>
  <si>
    <t>Relé de protección diferencial Analogico 5SV8 - Reg.: 0.03 - 0.1 - 0.3 - 0.5 - 1 - 5A - Ue=230-400 Vac - marca SIEMENS.</t>
  </si>
  <si>
    <t>5SV8001-6KK</t>
  </si>
  <si>
    <t>Relé de protección diferencial Digital 5SV8 - Reg.: 0.03 - 0.1 - 0.3 - 0.5 - 1 - 3A - Ue=230-400 Vac - marca SIEMENS.</t>
  </si>
  <si>
    <t>5SV8701-0KK</t>
  </si>
  <si>
    <t>Toroide diferencial (nucleo cerrado) p/ Riel Din - d=30mm, In_max=63A@IEC60947-2 - marca SIEMENS.</t>
  </si>
  <si>
    <t>5SV8702-0KK</t>
  </si>
  <si>
    <t>Toroide diferencial (nucleo cerrado) - d=35mm, In_max=80A@IEC60947-2 - marca SIEMENS.</t>
  </si>
  <si>
    <t>Toroide diferencial (nucleo cerrado) - d=70mm, In_max=200A@IEC60947-2 - marca SIEMENS.</t>
  </si>
  <si>
    <t>Toroide diferencial (nucleo cerrado) - d=105mm, In_max=250A@IEC60947-2 - marca SIEMENS.</t>
  </si>
  <si>
    <t>5SV8705-0KK</t>
  </si>
  <si>
    <t>Toroide diferencial (nucleo cerrado) - d=140mm, In_max=500A@IEC60947-2 - marca SIEMENS.</t>
  </si>
  <si>
    <t>5SV8706-0KK</t>
  </si>
  <si>
    <t>Toroide diferencial (nucleo cerrado) - d=210mm, In_max=600A@IEC60947-2 - marca SIEMENS.</t>
  </si>
  <si>
    <t>ITM Bastidor Abierto 3x1600A (electrónico [0.4-1.0] In) -3WL1116 - 55kA@500Vac - marca SIEMENS.</t>
  </si>
  <si>
    <t>ITM Bastidor Abierto 3x2000A (electrónico [0.4-1.0] In) -3WL1220 - 55kA@500Vac - marca SIEMENS.</t>
  </si>
  <si>
    <t>ITM Bastidor Abierto 3x2500A (electrónico [0.4-1.0] In) -3WL1225 - 55kA@500Vac - marca SIEMENS.</t>
  </si>
  <si>
    <t>ITM Bastidor Abierto 3x3200A (electrónico [0.4-1.0] In) -3WL1232 - 55kA@500Vac - marca SIEMENS.</t>
  </si>
  <si>
    <t>ITM Bastidor Abierto 3x4000A (electrónico [0.4-1.0] In) -3WL1240 - 55kA@500Vac - marca SIEMENS.</t>
  </si>
  <si>
    <t>3WL9111-0AD06-0AA0</t>
  </si>
  <si>
    <t>Bobina de Cierre + Bobina de Apertura (YC+YO) - para 3WL- 208-240VAC / 220-250VDC - marca SIEMENS,</t>
  </si>
  <si>
    <t>3WL9111-0AE05-0AA0</t>
  </si>
  <si>
    <t>Bobina de minima tension (YU) - para 3WL- 208-240VAC / 220-250VDC - marca SIEMENS,</t>
  </si>
  <si>
    <t>3WL9111-0AF04-0AA0</t>
  </si>
  <si>
    <t>Motor Operado (YM) - para 3WL- 208-240VAC / 220-250VDC - marca SIEMENS,</t>
  </si>
  <si>
    <t>3WL9111-0BB21-0AA0</t>
  </si>
  <si>
    <t>Enclavamiento mecánico para 2 interruptores P/modelo 3WL - marca SIEMENS.</t>
  </si>
  <si>
    <t>3WL9111-0AH14-0AA0</t>
  </si>
  <si>
    <t>1(S51) contacto por actuacion del relé - 250V - 3WL - marca SIEMENS.</t>
  </si>
  <si>
    <t>3WT8202-5AA00-0AA2</t>
  </si>
  <si>
    <t>3WT8252-5AA00-0AA2</t>
  </si>
  <si>
    <t>3WT8322-5AA00-0AA2</t>
  </si>
  <si>
    <t>3WT8402-5AA02-0AA2</t>
  </si>
  <si>
    <t>3WT9831-1JK00</t>
  </si>
  <si>
    <t>Motor Operador + Bobina de cierre (YM+YC) - para 3WT- 208-240VAC / 220-250VDC - marca SIEMENS,</t>
  </si>
  <si>
    <t>3WT9851-1JK00</t>
  </si>
  <si>
    <t>Bobina de Apertura (YO) - para 3WT- 208-240VAC / 220-250VDC - marca SIEMENS,</t>
  </si>
  <si>
    <t>3WT9853-1JK00</t>
  </si>
  <si>
    <t>Bobina de minima tension (YU) - para 3WT- 208-240VAC / 220-250VDC - marca SIEMENS,</t>
  </si>
  <si>
    <t>3VM</t>
  </si>
  <si>
    <t>ITM de 3x20A , Caja Moldeada 3VM1020, 25kA@240Vac.- 16kA@415Vac. - SIEMENS.</t>
  </si>
  <si>
    <t>ITM de 3x25A , Caja Moldeada 3VM1025, 25kA@240Vac.- 16kA@415Vac. - SIEMENS.</t>
  </si>
  <si>
    <t>ITM de 3x32A , Caja Moldeada 3VM1032, 25kA@240Vac.- 16kA@415Vac. - SIEMENS.</t>
  </si>
  <si>
    <t>ITM de 3x40A , Caja Moldeada 3VM1040, 25kA@240Vac.- 16kA@415Vac. - SIEMENS.</t>
  </si>
  <si>
    <t>ITM de 3x50A , Caja Moldeada 3VM1050, 25kA@240Vac.- 16kA@415Vac. - SIEMENS.</t>
  </si>
  <si>
    <t>ITM de 3x63A , Caja Moldeada 3VM1063, 25kA@240Vac.- 16kA@415Vac. - SIEMENS.</t>
  </si>
  <si>
    <t>ITM de 3x80A , Caja Moldeada 3VM1080, 25kA@240Vac.- 16kA@415Vac. - SIEMENS.</t>
  </si>
  <si>
    <t>ITM de 3x100A , Caja Moldeada 3VM1010, 25kA@240Vac.- 16kA@415Vac. - SIEMENS.</t>
  </si>
  <si>
    <t>ITM de 3x125A , Caja Moldeada 3VM1112, 36kA@240Vac.- 25kA@415Vac. - SIEMENS.</t>
  </si>
  <si>
    <t>3VM1116-3ED32-0AA0</t>
  </si>
  <si>
    <t>ITM de 3x160A , Caja Moldeada 3VM1116, 36kA@240Vac.- 25kA@415Vac. - SIEMENS.</t>
  </si>
  <si>
    <t>ITM de 3x200A , Caja Moldeada 3VM1220, 55kA@240Vac.- 36kA@415Vac. - SIEMENS.</t>
  </si>
  <si>
    <t>ITM de 3x250A , Caja Moldeada 3VM1225, 55kA@240Vac.- 36kA@415Vac. - SIEMENS.</t>
  </si>
  <si>
    <t>ITM de 3x16A , (reg.[0.7-1.0] In) Caja Moldeada 3VM1196, 36kA@240Vac.- 25kA@415Vac- SIEMENS.</t>
  </si>
  <si>
    <t>ITM de 3x20A , (reg.[0.7-1.0] In) Caja Moldeada 3VM1120, 36kA@240Vac.- 25kA@415Vac- SIEMENS.</t>
  </si>
  <si>
    <t>ITM de 3x25A , (reg.[0.7-1.0] In) Caja Moldeada 3VM1125, 36kA@240Vac.- 25kA@415Vac- SIEMENS.</t>
  </si>
  <si>
    <t>ITM de 3x32A , (reg.[0.7-1.0] In) Caja Moldeada 3VM1132, 36kA@240Vac.- 25kA@415Vac- SIEMENS.</t>
  </si>
  <si>
    <t>ITM de 3x40A , (reg.[0.7-1.0] In) Caja Moldeada 3VM1140, 36kA@240Vac.- 25kA@415Vac- SIEMENS.</t>
  </si>
  <si>
    <t>ITM de 3x50A , (reg.[0.7-1.0] In) Caja Moldeada 3VM1150, 36kA@240Vac.- 25kA@415Vac- SIEMENS.</t>
  </si>
  <si>
    <t>ITM de 3x63A , (reg.[0.7-1.0] In) Caja Moldeada 3VM1163, 36kA@240Vac.- 25kA@415Vac- SIEMENS.</t>
  </si>
  <si>
    <t>ITM de 3x80A , (reg.[0.7-1.0] In) Caja Moldeada 3VM1180, 36kA@240Vac.- 25kA@415Vac- SIEMENS.</t>
  </si>
  <si>
    <t>ITM de 3x100A , (reg.[0.7-1.0] In) Caja Moldeada 3VM1110, 36kA@240Vac.- 25kA@415Vac- SIEMENS.</t>
  </si>
  <si>
    <t>ITM de 3x125A , (reg.[0.7-1.0] In) Caja Moldeada 3VM1112, 36kA@240Vac.- 25kA@415Vac- SIEMENS.</t>
  </si>
  <si>
    <t>ITM de 3x160A , (reg.[0.7-1.0] In) Caja Moldeada 3VM1116, 36kA@240Vac.- 25kA@415Vac- SIEMENS.</t>
  </si>
  <si>
    <t>ITM de 3x16A , (reg.[0.7-1.0] In) Caja Moldeada 3VM1196, 55kA@240Vac.- 36kA@415Vac- SIEMENS.</t>
  </si>
  <si>
    <t>ITM de 3x20A , (reg.[0.7-1.0] In) Caja Moldeada 3VM1120, 55kA@240Vac.- 36kA@415Vac- SIEMENS.</t>
  </si>
  <si>
    <t>ITM de 3x25A , (reg.[0.7-1.0] In) Caja Moldeada 3VM1125, 55kA@240Vac.- 36kA@415Vac- SIEMENS.</t>
  </si>
  <si>
    <t>ITM de 3x32A , (reg.[0.7-1.0] In) Caja Moldeada 3VM1132, 55kA@240Vac.- 36kA@415Vac- SIEMENS.</t>
  </si>
  <si>
    <t>ITM de 3x40A , (reg.[0.7-1.0] In) Caja Moldeada 3VM1140, 55kA@240Vac.- 36kA@415Vac- SIEMENS.</t>
  </si>
  <si>
    <t>ITM de 3x50A , (reg.[0.7-1.0] In) Caja Moldeada 3VM1150, 55kA@240Vac.- 36kA@415Vac- SIEMENS.</t>
  </si>
  <si>
    <t>ITM de 3x63A , (reg.[0.7-1.0] In) Caja Moldeada 3VM1163, 55kA@240Vac.- 36kA@415Vac- SIEMENS.</t>
  </si>
  <si>
    <t>ITM de 3x80A , (reg.[0.7-1.0] In) Caja Moldeada 3VM1180, 55kA@240Vac.- 36kA@415Vac- SIEMENS.</t>
  </si>
  <si>
    <t>ITM de 3x100A , (reg.[0.7-1.0] In) Caja Moldeada 3VM1110, 55kA@240Vac.- 36kA@415Vac- SIEMENS.</t>
  </si>
  <si>
    <t>ITM de 3x125A , (reg.[0.7-1.0] In) Caja Moldeada 3VM1112, 55kA@240Vac.- 36kA@415Vac- SIEMENS.</t>
  </si>
  <si>
    <t>ITM de 3x160A , (reg.[0.7-1.0] In) Caja Moldeada 3VM1116, 55kA@240Vac.- 36kA@415Vac- SIEMENS.</t>
  </si>
  <si>
    <t>ITM de 3x200A , (reg.[0.7-1.0] In) Caja Moldeada 3VM1220, 55kA@240Vac.- 36kA@415Vac- SIEMENS.</t>
  </si>
  <si>
    <t>ITM de 3x250A , (reg.[0.7-1.0] In) Caja Moldeada 3VM1225, 55kA@240Vac.- 36kA@415Vac- SIEMENS.</t>
  </si>
  <si>
    <t>3VM1196-3GE42-0AA0</t>
  </si>
  <si>
    <t>ITM de 4x16A , (reg.[0.7-1.0] In) Caja Moldeada 3VM1196, 36kA@240Vac.- 25kA@415Vac- SIEMENS.</t>
  </si>
  <si>
    <t>3VM1120-3GE42-0AA0</t>
  </si>
  <si>
    <t>ITM de 4x20A , (reg.[0.7-1.0] In) Caja Moldeada 3VM1120, 36kA@240Vac.- 25kA@415Vac- SIEMENS.</t>
  </si>
  <si>
    <t>3VM1125-3GE42-0AA0</t>
  </si>
  <si>
    <t>ITM de 4x25A , (reg.[0.7-1.0] In) Caja Moldeada 3VM1125, 36kA@240Vac.- 25kA@415Vac- SIEMENS.</t>
  </si>
  <si>
    <t>3VM1132-3GE42-0AA0</t>
  </si>
  <si>
    <t>ITM de 4x32A , (reg.[0.7-1.0] In) Caja Moldeada 3VM1132, 36kA@240Vac.- 25kA@415Vac- SIEMENS.</t>
  </si>
  <si>
    <t>3VM1140-3GE42-0AA0</t>
  </si>
  <si>
    <t>ITM de 4x40A , (reg.[0.7-1.0] In) Caja Moldeada 3VM1140, 36kA@240Vac.- 25kA@415Vac- SIEMENS.</t>
  </si>
  <si>
    <t>3VM1150-3GE42-0AA0</t>
  </si>
  <si>
    <t>ITM de 4x50A , (reg.[0.7-1.0] In) Caja Moldeada 3VM1150, 36kA@240Vac.- 25kA@415Vac- SIEMENS.</t>
  </si>
  <si>
    <t>3VM1163-3GE42-0AA0</t>
  </si>
  <si>
    <t>ITM de 4x63A , (reg.[0.7-1.0] In) Caja Moldeada 3VM1163, 36kA@240Vac.- 25kA@415Vac- SIEMENS.</t>
  </si>
  <si>
    <t>3VM1180-3GE42-0AA0</t>
  </si>
  <si>
    <t>ITM de 4x80A , (reg.[0.7-1.0] In) Caja Moldeada 3VM1180, 36kA@240Vac.- 25kA@415Vac- SIEMENS.</t>
  </si>
  <si>
    <t>3VM1110-3GE42-0AA0</t>
  </si>
  <si>
    <t>ITM de 4x100A , (reg.[0.7-1.0] In) Caja Moldeada 3VM1110, 36kA@240Vac.- 25kA@415Vac- SIEMENS.</t>
  </si>
  <si>
    <t>3VM1112-3GE42-0AA0</t>
  </si>
  <si>
    <t>ITM de 4x125A , (reg.[0.7-1.0] In) Caja Moldeada 3VM1112, 36kA@240Vac.- 25kA@415Vac- SIEMENS.</t>
  </si>
  <si>
    <t>3VM1116-3GE42-0AA0</t>
  </si>
  <si>
    <t>ITM de 4x160A , (reg.[0.7-1.0] In) Caja Moldeada 3VM1116, 36kA@240Vac.- 25kA@415Vac- SIEMENS.</t>
  </si>
  <si>
    <t>3VM1220-4GE42-0AA0</t>
  </si>
  <si>
    <t>ITM de 4x200A , (reg.[0.7-1.0] In) Caja Moldeada 3VM1220, 36kA@240Vac.- 25kA@415Vac- SIEMENS.</t>
  </si>
  <si>
    <t>3VM1225-4GE42-0AA0</t>
  </si>
  <si>
    <t>ITM de 4x250A , (reg.[0.7-1.0] In) Caja Moldeada 3VM1225, 36kA@240Vac.- 25kA@415Vac- SIEMENS.</t>
  </si>
  <si>
    <t>3VM9988-0AA13</t>
  </si>
  <si>
    <t>1(Q) contacto conmutado de estado (NA/NC) para modelo 3VM, marca SIEMENS.</t>
  </si>
  <si>
    <t>3VM9908-0BL33</t>
  </si>
  <si>
    <t>Bobina de Disparo para modelo 3VM - 208-277 VAC / 220-250 VDC, marca SIEMENS.</t>
  </si>
  <si>
    <t>3VA</t>
  </si>
  <si>
    <t>ITM de 3x20A ,    (reg.[0.7-1.0] In) Caja Moldeada 3VA1120,  55kA@415Vac.- SIEMENS.</t>
  </si>
  <si>
    <t>ITM de 3x25A ,    (reg.[0.7-1.0] In) Caja Moldeada 3VA1125,  55kA@415Vac.- SIEMENS.</t>
  </si>
  <si>
    <t>ITM de 3x32A ,    (reg.[0.7-1.0] In) Caja Moldeada 3VA1132,  55kA@415Vac.- SIEMENS.</t>
  </si>
  <si>
    <t>ITM de 3x40A ,    (reg.[0.7-1.0] In) Caja Moldeada 3VA1140,  55kA@415Vac.- SIEMENS.</t>
  </si>
  <si>
    <t>ITM de 3x50A ,    (reg.[0.7-1.0] In) Caja Moldeada 3VA1150,  55kA@415Vac.- SIEMENS.</t>
  </si>
  <si>
    <t>ITM de 3x63A ,    (reg.[0.7-1.0] In) Caja Moldeada 3VA1163,  55kA@415Vac.- SIEMENS.</t>
  </si>
  <si>
    <t>ITM de 3x80A ,    (reg.[0.7-1.0] In) Caja Moldeada 3VA1180,  55kA@415Vac.- SIEMENS.</t>
  </si>
  <si>
    <t>ITM de 3x100A ,  (reg.[0.7-1.0] In) Caja Moldeada 3VA1110,  55kA@415Vac.- SIEMENS.</t>
  </si>
  <si>
    <t>ITM de 3x125A ,  (reg.[0.7-1.0] In) Caja Moldeada 3VA1112,  55kA@415Vac.- SIEMENS.</t>
  </si>
  <si>
    <t>ITM de 3x160A ,  (reg.[0.7-1.0] In) Caja Moldeada 3VA1116,  55kA@415Vac.- SIEMENS.</t>
  </si>
  <si>
    <t>ITM de 3x200A ,  (reg.[0.7-1.0] In) Caja Moldeada 3VA1220,  55kA@415Vac.- SIEMENS.</t>
  </si>
  <si>
    <t>ITM de 3x250A ,  (reg.[0.7-1.0] In) Caja Moldeada 3VA1225,  55kA@415Vac.- SIEMENS.</t>
  </si>
  <si>
    <t>3VA1120-6EF32-0AA0</t>
  </si>
  <si>
    <t>ITM de 3x20A ,    (reg.[0.7-1.0] In) Caja Moldeada 3VA1120,  70kA@415Vac.- SIEMENS.</t>
  </si>
  <si>
    <t>3VA1125-6EF32-0AA0</t>
  </si>
  <si>
    <t>ITM de 3x25A ,    (reg.[0.7-1.0] In) Caja Moldeada 3VA1125,  70kA@415Vac.- SIEMENS.</t>
  </si>
  <si>
    <t>3VA1132-6EF32-0AA0</t>
  </si>
  <si>
    <t>ITM de 3x32A ,    (reg.[0.7-1.0] In) Caja Moldeada 3VA1132,  70kA@415Vac.- SIEMENS.</t>
  </si>
  <si>
    <t>3VA1140-6EF32-0AA0</t>
  </si>
  <si>
    <t>ITM de 3x40A ,    (reg.[0.7-1.0] In) Caja Moldeada 3VA1140,  70kA@415Vac.- SIEMENS.</t>
  </si>
  <si>
    <t>3VA1150-6EF32-0AA0</t>
  </si>
  <si>
    <t>ITM de 3x50A ,    (reg.[0.7-1.0] In) Caja Moldeada 3VA1150,  70kA@415Vac.- SIEMENS.</t>
  </si>
  <si>
    <t>3VA1163-6EF32-0AA0</t>
  </si>
  <si>
    <t>ITM de 3x63A ,    (reg.[0.7-1.0] In) Caja Moldeada 3VA1163,  70kA@415Vac.- SIEMENS.</t>
  </si>
  <si>
    <t>3VA1180-6EF32-0AA0</t>
  </si>
  <si>
    <t>ITM de 3x80A ,    (reg.[0.7-1.0] In) Caja Moldeada 3VA1180,  70kA@415Vac.- SIEMENS.</t>
  </si>
  <si>
    <t>3VA1110-6EF32-0AA0</t>
  </si>
  <si>
    <t>ITM de 3x100A ,  (reg.[0.7-1.0] In) Caja Moldeada 3VA1110,  70kA@415Vac.- SIEMENS.</t>
  </si>
  <si>
    <t>3VA1112-6EF32-0AA0</t>
  </si>
  <si>
    <t>ITM de 3x125A ,  (reg.[0.7-1.0] In) Caja Moldeada 3VA1112,  70kA@415Vac.- SIEMENS.</t>
  </si>
  <si>
    <t>3VA1116-6EF32-0AA0</t>
  </si>
  <si>
    <t>ITM de 3x160A ,  (reg.[0.7-1.0] In) Caja Moldeada 3VA1116,  70kA@415Vac.- SIEMENS.</t>
  </si>
  <si>
    <t>3VA1220-6EF32-0AA0</t>
  </si>
  <si>
    <t>ITM de 3x200A ,  (reg.[0.7-1.0] In) Caja Moldeada 3VA1220,  70kA@415Vac.- SIEMENS.</t>
  </si>
  <si>
    <t>3VA1225-6EF32-0AA0</t>
  </si>
  <si>
    <t>ITM de 3x250A ,  (reg.[0.7-1.0] In) Caja Moldeada 3VA1225,  70kA@415Vac.- SIEMENS.</t>
  </si>
  <si>
    <t>ITM de 3x400A ,  (reg.[0.7-1.0] In) Caja Moldeada 3VA1340, 55kA@240Vac.- 36kA@415Vac- SIEMENS.</t>
  </si>
  <si>
    <t>ITM de 3x630A ,  (reg.[0.7-1.0] In) Caja Moldeada 3VA1463, 55kA@240Vac.- 36kA@415Vac- SIEMENS.</t>
  </si>
  <si>
    <t>3VA1340-5EF32-0AA0</t>
  </si>
  <si>
    <t>3VA1463-5EF32-0AA0</t>
  </si>
  <si>
    <t>3VA-ELECTRONICO</t>
  </si>
  <si>
    <t>ITM Caja Moldeada 3x40A  (electrónico [0.4-1.0] In) -ETU320- LI -3VA2040 - 55kA/415Vac; marca SIEMENS.</t>
  </si>
  <si>
    <t>ITM Caja Moldeada 3x100A  (electrónico [0.4-1.0] In) -ETU320- LI -3VA2010 - 55kA/415Vac; marca SIEMENS.</t>
  </si>
  <si>
    <t>ITM Caja Moldeada 3x160A  (electrónico [0.4-1.0] In) -ETU320- LI -3VA2116 - 55kA/415Vac; marca SIEMENS.</t>
  </si>
  <si>
    <t>ITM Caja Moldeada 3x250A  (electrónico [0.4-1.0] In) -ETU320- LI -3VA2225 - 55kA/415Vac; marca SIEMENS.</t>
  </si>
  <si>
    <t>3VA2340-5HL32-0AA0</t>
  </si>
  <si>
    <t>ITM Caja Moldeada 3x400A  (electrónico [0.4-1.0] In) -ETU320- LI -3VA2340 - 55kA/415Vac; marca SIEMENS.</t>
  </si>
  <si>
    <t>3VA2463-5HL32-0AA0</t>
  </si>
  <si>
    <t>ITM Caja Moldeada 3x630A  (electrónico [0.4-1.0] In) -ETU320- LI -3VA2463 - 55kA/415Vac; marca SIEMENS.</t>
  </si>
  <si>
    <t>ITM Caja Moldeada 3x800A  (electrónico [0.4-1.0] In) -ETU320- LI -3VA2580 - 55kA/415Vac; marca SIEMENS.</t>
  </si>
  <si>
    <t>ITM Caja Moldeada 3x1000A  (electrónico [0.4-1.0] In) -ETU320- LI -3VA2510 - 55kA/415Vac; marca SIEMENS.</t>
  </si>
  <si>
    <t>3VA2340-6HL32-0AA0</t>
  </si>
  <si>
    <t>ITM Caja Moldeada 3x400A  (electrónico [0.4-1.0] In) -ETU320- LI -3VA2340 - 85kA/415Vac; marca SIEMENS.</t>
  </si>
  <si>
    <t>3VA2463-6HL32-0AA0</t>
  </si>
  <si>
    <t>ITM Caja Moldeada 3x630A  (electrónico [0.4-1.0] In) -ETU320- LI -3VA2463 - 85kA/415Vac; marca SIEMENS.</t>
  </si>
  <si>
    <t>3VA2580-6HL32-0AA0</t>
  </si>
  <si>
    <t>ITM Caja Moldeada 3x800A  (electrónico [0.4-1.0] In) -ETU320- LI -3VA2580 - 85kA/415Vac; marca SIEMENS.</t>
  </si>
  <si>
    <t>3VA2510-6HL32-0AA0</t>
  </si>
  <si>
    <t>ITM Caja Moldeada 3x1000A  (electrónico [0.4-1.0] In) -ETU320- LI -3VA2510 - 85kA/415Vac; marca SIEMENS.</t>
  </si>
  <si>
    <t>3VA2340-5HL42-0AA0</t>
  </si>
  <si>
    <t>ITM Caja Moldeada 4x400A  (electrónico [0.4-1.0] In) -ETU320- LI -3VA2340 - 55kA/415Vac; marca SIEMENS.</t>
  </si>
  <si>
    <t>3VA2463-5HL42-0AA0</t>
  </si>
  <si>
    <t>ITM Caja Moldeada 4x630A  (electrónico [0.4-1.0] In) -ETU320- LI -3VA2463 - 55kA/415Vac; marca SIEMENS.</t>
  </si>
  <si>
    <t>3VA2580-5HL42-0AA0</t>
  </si>
  <si>
    <t>ITM Caja Moldeada 4x800A  (electrónico [0.4-1.0] In) -ETU320- LI -3VA2580 - 55kA/415Vac; marca SIEMENS.</t>
  </si>
  <si>
    <t>3VA2510-5HL42-0AA0</t>
  </si>
  <si>
    <t>ITM Caja Moldeada 4x1000A  (electrónico [0.4-1.0] In) -ETU320- LI -3VA2510 - 55kA/415Vac; marca SIEMENS.</t>
  </si>
  <si>
    <t>3VA9988-0AA13</t>
  </si>
  <si>
    <t>2(Q) contacto auxiliar de estado (1NA+1NC) - para modelo 3VA1 o 3VA2 - marca SIEMENS.</t>
  </si>
  <si>
    <t>3VA9988-0AB13</t>
  </si>
  <si>
    <t>2(Q) contacto auxiliar de alarma (1NA+1NC) - para modelo 3VA1 o 3VA2 - marca SIEMENS.</t>
  </si>
  <si>
    <t>3VA9988-0BL33</t>
  </si>
  <si>
    <t>Bobina de Disparo para modelo 3VA1 o 3VA2 - 208-277 VAC / 220-250 VDC, marca SIEMENS.</t>
  </si>
  <si>
    <t>3VA9908-0BB25</t>
  </si>
  <si>
    <t>Bobina de minima tension para modelo 3VA1 o 3VA2 - 220 VAC, marca SIEMENS.</t>
  </si>
  <si>
    <t>3VA9088-0LB10</t>
  </si>
  <si>
    <t>Dispositivo para bloqueo por candado, fijo en interruptor (bloqueo en posición abierto) - p/modelo 3VA1 - marca SIEMENS (no inluye el candado ni llaves).</t>
  </si>
  <si>
    <t>3VA9388-0LB10</t>
  </si>
  <si>
    <t>Dispositivo para bloqueo por candado, fijo en interruptor (bloqueo en posición abierto) - p/modelo 3VA13/3VA14/3VA23/3VA24  - marca SIEMENS (no inluye el candado ni llaves).</t>
  </si>
  <si>
    <t>3VA9088-0VM10</t>
  </si>
  <si>
    <t>Enclavamiento mecánico para 2 interruptores. P/modelo 3VA1, 3VA23, 3VA24 - marca SIEMENS.</t>
  </si>
  <si>
    <t>3VA9157-0HA20</t>
  </si>
  <si>
    <t>Mando Motorizado (YM) - P/modelo 3VA11- 110-230VAC / 110-250VDC. - marca SIEMENS,</t>
  </si>
  <si>
    <t>3VA9257-0HA20</t>
  </si>
  <si>
    <t>Mando Motorizado (YM) - P/modelo 3VA12- 110-230VAC / 110-250VDC. - marca SIEMENS,</t>
  </si>
  <si>
    <t>Mando Motorizado (YM) - P/modelo 3VA22- 110-230VAC / 110-250VDC. - marca SIEMENS,</t>
  </si>
  <si>
    <t>3VA9467-0HA20</t>
  </si>
  <si>
    <t>Mando Motorizado (YM) - P/modelo 3VA13, 3VA14, 3VA23, 3VA24- 110-230VAC / 110-250VDC. - marca SIEMENS,</t>
  </si>
  <si>
    <t>3VA9113-0RL20</t>
  </si>
  <si>
    <t>RCD, módulo diferencial, P/modelo 3VA1- 127-480VAC. - marca SIEMENS.</t>
  </si>
  <si>
    <t>3VA9213-0RL20</t>
  </si>
  <si>
    <t>RCD, módulo diferencial, P/modelo 3VA12- 127-480VAC. - marca SIEMENS.</t>
  </si>
  <si>
    <t>3VA9323-0RL30</t>
  </si>
  <si>
    <t>RCD, módulo diferencial, P/modelo 3VA23- 127-480VAC. - marca SIEMENS.</t>
  </si>
  <si>
    <t>Supresor de Sobre Tensiones (TIPO DIN)</t>
  </si>
  <si>
    <t>5SD7461-0_IT_1P</t>
  </si>
  <si>
    <t>Protector de sobretensiones (Tipo 2) - 5SD7461-0_IT_1P - Un=240Vac - I_descarga=40kA - marca SIEMENS.</t>
  </si>
  <si>
    <t>5SD7461-0</t>
  </si>
  <si>
    <t>5SD7422-0_TT_1P+N</t>
  </si>
  <si>
    <t>Protector de sobretensiones (Tipo 2) - 5SD7422-0_TT_1P+N - Un=240Vac - I_descarga=40kA - marca SIEMENS.</t>
  </si>
  <si>
    <t>5SD7422-0</t>
  </si>
  <si>
    <t>5SD7464-0_TT_3P+N</t>
  </si>
  <si>
    <t>Protector de sobretensiones (Tipo 2) - 5SD7464-0_TT_3P+N - Un=415/240Vac - I_descarga=40kA - marca SIEMENS.</t>
  </si>
  <si>
    <t>Supresor de Sobre Tensiones (TIPO NEMA)</t>
  </si>
  <si>
    <t>Supresor contra sobretensiones (Tipo 1, UL 1449) - TPS3K09100 - I_max=100kA por fase, Un=220/380V - marca SIEMENS.</t>
  </si>
  <si>
    <t>3RT2015-1AN21 (S00)</t>
  </si>
  <si>
    <t>Contactor 18A (AC-1) / 7A (AC-3)  +1NA - bob. 220Vac - Sirius Innovation 3R - SIEMENS.</t>
  </si>
  <si>
    <t>3RT2015-1AN21</t>
  </si>
  <si>
    <t>3RT2016-1AN21 (S00)</t>
  </si>
  <si>
    <t>Contactor 22A (AC-1) / 9A (AC-3)  +1NA - bob. 220Vac - Sirius Innovation 3R - SIEMENS.</t>
  </si>
  <si>
    <t>3RT2017-1AN21 (S00)</t>
  </si>
  <si>
    <t>Contactor 22A (AC-1) / 12A (AC-3) +1NA - bob. 220Vac - Sirius Innovation 3R - SIEMENS.</t>
  </si>
  <si>
    <t>3RT2017-1AN21</t>
  </si>
  <si>
    <t>3RT2018-1AN21 (S00)</t>
  </si>
  <si>
    <t>Contactor 22A (AC-1) / 16A (AC-3) +1NA - bob. 220Vac - Sirius Innovation 3R - SIEMENS.</t>
  </si>
  <si>
    <t>3RT2018-1AN21</t>
  </si>
  <si>
    <t>3RT2025-1AN20 (S0)</t>
  </si>
  <si>
    <t>Contactor 40A (AC-1) / 17A (AC-3) +1NA + 1NC - bob. 220Vac - Sirius Innovation 3R - SIEMENS.</t>
  </si>
  <si>
    <t>3RT2025-1AN20</t>
  </si>
  <si>
    <t>3RT2026-1AN20 (S0)</t>
  </si>
  <si>
    <t>Contactor 40A (AC-1) / 25A (AC-3) +1NA + 1NC - bob. 220Vac - Sirius Innovation 3R - SIEMENS.</t>
  </si>
  <si>
    <t>3RT2026-1AN20</t>
  </si>
  <si>
    <t>3RT2027-1AN20 (S0)</t>
  </si>
  <si>
    <t>Contactor 50A (AC-1) / 32A (AC-3) +1NA + 1NC - bob. 220Vac - Sirius Innovation 3R - SIEMENS.</t>
  </si>
  <si>
    <t>3RT2027-1AN20</t>
  </si>
  <si>
    <t>3RT2028-1AN20 (S0)</t>
  </si>
  <si>
    <t>Contactor 50A (AC-1) / 38A (AC-3) +1NA + 1NC - bob. 220Vac - Sirius Innovation 3R - SIEMENS.</t>
  </si>
  <si>
    <t>3RT2028-1AN20</t>
  </si>
  <si>
    <t>3RT2035-1AN20 (S2)</t>
  </si>
  <si>
    <t>Contactor 60A (AC-1) / 40A (AC-3) +1NA + 1NC - bob. 220Vac - Sirius Innovation 3R - SIEMENS.</t>
  </si>
  <si>
    <t>3RT2035-1AN20</t>
  </si>
  <si>
    <t>3RT2036-1AN20 (S2)</t>
  </si>
  <si>
    <t>Contactor 70A (AC-1) / 50A (AC-3) +1NA + 1NC - bob. 220Vac - Sirius Innovation 3R - SIEMENS.</t>
  </si>
  <si>
    <t>3RT2036-1AN20</t>
  </si>
  <si>
    <t>3RT2037-1AN20 (S2)</t>
  </si>
  <si>
    <t>Contactor 80A (AC-1) / 65A (AC-3) +1NA + 1NC - bob. 220Vac - Sirius Innovation 3R - SIEMENS.</t>
  </si>
  <si>
    <t>3RT2037-1AN20</t>
  </si>
  <si>
    <t>3RT2038-1AN20 (S2)</t>
  </si>
  <si>
    <t>Contactor 90A (AC-1) / 80A (AC-3) +1NA + 1NC - bob. 220Vac - Sirius Innovation 3R - SIEMENS.</t>
  </si>
  <si>
    <t>3RT2038-1AN20</t>
  </si>
  <si>
    <t>3RT2046-1AN20 (S3)</t>
  </si>
  <si>
    <t>Contactor 125A (AC-1) / 95A (AC-3) +1NA + 1NC - bob. 220Vac - Sirius Innovation 3R - SIEMENS.</t>
  </si>
  <si>
    <t>3RT2046-1AN20</t>
  </si>
  <si>
    <t>3RT2047-1NP30 (S3)</t>
  </si>
  <si>
    <t>Contactor 130A (AC-1) / 110A (AC-3) +1NA + 1NC - bob. 220Vac - Sirius Innovation 3R - SIEMENS.</t>
  </si>
  <si>
    <t>3RT2047-1NP30</t>
  </si>
  <si>
    <t>3RH2911-1HA31</t>
  </si>
  <si>
    <t>Contacto auxiliar frontal 3NA+1NC para contactor de tamaño S00-S3 - Modelo 3RH2911 - marca SIEMENS.</t>
  </si>
  <si>
    <t>3RH2911-1HA22</t>
  </si>
  <si>
    <t>Contacto auxiliar frontal 2NA+2NC para contactor de tamaño S00-S3 - Modelo 3RH2911 - marca SIEMENS.</t>
  </si>
  <si>
    <t>3RH2911-1HA11</t>
  </si>
  <si>
    <t>Contacto auxiliar frontal 1NA+1NC para contactor de tamaño S00-S3 - Modelo 3RH2911 - marca SIEMENS.</t>
  </si>
  <si>
    <t>3RH2911-1HA01</t>
  </si>
  <si>
    <t>Contacto auxiliar frontal 1NC para contactor de tamaño S00-S3 - Modelo 3RH2911 - marca SIEMENS.</t>
  </si>
  <si>
    <t>3RH2911-1HA10</t>
  </si>
  <si>
    <t>Contacto auxiliar frontal 1NA para contactor de tamaño S00-S3 - Modelo 3RH2911 - marca SIEMENS.</t>
  </si>
  <si>
    <t>Contacto auxiliar lateral 1NA+1NC para contactor de tamaño S0-S3 - Modelo 3RH2911 - marca SIEMENS.</t>
  </si>
  <si>
    <t>RELÉS DE SOBRECARGA BIMETÁLICOS SIRIUS INNOVATIONS</t>
  </si>
  <si>
    <t>3RU2116-0CB0</t>
  </si>
  <si>
    <t>3RU2116 Sirius Innovation Relé de sobrecarga - Ith=0.18…0.25A - p/ contactor 3RT2015 … 2018 - marca SIEMENS.</t>
  </si>
  <si>
    <t>3RU2116-0DB0</t>
  </si>
  <si>
    <t>3RU2116 Sirius Innovation Relé de sobrecarga - Ith=0.22…0.32A - p/ contactor 3RT2015 … 2018 - marca SIEMENS.</t>
  </si>
  <si>
    <t>3RU2116-0EB0</t>
  </si>
  <si>
    <t>3RU2116 Sirius Innovation Relé de sobrecarga - Ith=0.28…0.40A - p/ contactor 3RT2015 … 2018 - marca SIEMENS.</t>
  </si>
  <si>
    <t>3RU2116-0FB0</t>
  </si>
  <si>
    <t>3RU2116 Sirius Innovation Relé de sobrecarga - Ith=0.35…0.50A - p/ contactor 3RT2015 … 2018 - marca SIEMENS.</t>
  </si>
  <si>
    <t>3RU2116-0GB0</t>
  </si>
  <si>
    <t>3RU2116 Sirius Innovation Relé de sobrecarga - Ith=0.45…0.63A - p/ contactor 3RT2015 … 2018 - marca SIEMENS.</t>
  </si>
  <si>
    <t>3RU2116-0HB0</t>
  </si>
  <si>
    <t>3RU2116 Sirius Innovation Relé de sobrecarga - Ith=0.55…0.80A - p/ contactor 3RT2015 … 2018 - marca SIEMENS.</t>
  </si>
  <si>
    <t>3RU2116-0JB0</t>
  </si>
  <si>
    <t>3RU2116 Sirius Innovation Relé de sobrecarga - Ith=0.70…1.00A - p/ contactor 3RT2015 … 2018 - marca SIEMENS.</t>
  </si>
  <si>
    <t>3RU2116-0KB0</t>
  </si>
  <si>
    <t>3RU2116 Sirius Innovation Relé de sobrecarga - Ith=0.90…1.25A - p/ contactor 3RT2015 … 2018 - marca SIEMENS.</t>
  </si>
  <si>
    <t>3RU2116-1AB0</t>
  </si>
  <si>
    <t>3RU2116 Sirius Innovation Relé de sobrecarga - Ith=1.10…1.60A - p/ contactor 3RT2015 … 2018 - marca SIEMENS.</t>
  </si>
  <si>
    <t>3RU2116-1BB0</t>
  </si>
  <si>
    <t>3RU2116 Sirius Innovation Relé de sobrecarga - Ith=1.40…2.00A - p/ contactor 3RT2015 … 2018 - marca SIEMENS.</t>
  </si>
  <si>
    <t>3RU2116-1CB0</t>
  </si>
  <si>
    <t>3RU2116 Sirius Innovation Relé de sobrecarga - Ith=1.80…2.50A - p/ contactor 3RT2015 … 2018 - marca SIEMENS.</t>
  </si>
  <si>
    <t>3RU2116-1DB0</t>
  </si>
  <si>
    <t>3RU2116 Sirius Innovation Relé de sobrecarga - Ith=2.20…3.20A - p/ contactor 3RT2015 … 2018 - marca SIEMENS.</t>
  </si>
  <si>
    <t>3RU2116-1EB0</t>
  </si>
  <si>
    <t>3RU2116 Sirius Innovation Relé de sobrecarga - Ith=2.80…4.00A - p/ contactor 3RT2015 … 2018 - marca SIEMENS.</t>
  </si>
  <si>
    <t>3RU2116-1FB0</t>
  </si>
  <si>
    <t>3RU2116 Sirius Innovation Relé de sobrecarga - Ith=3.50…5.00A - p/ contactor 3RT2015 … 2018 - marca SIEMENS.</t>
  </si>
  <si>
    <t>3RU2116-1GB0</t>
  </si>
  <si>
    <t>3RU2116 Sirius Innovation Relé de sobrecarga - Ith=4.50…6.30A - p/ contactor 3RT2015 … 2018 - marca SIEMENS.</t>
  </si>
  <si>
    <t>3RU2116-1HB0</t>
  </si>
  <si>
    <t>3RU2116 Sirius Innovation Relé de sobrecarga - Ith=5.50…8.00A - p/ contactor 3RT2015 … 2018 - marca SIEMENS.</t>
  </si>
  <si>
    <t>3RU2116-1JB0</t>
  </si>
  <si>
    <t>3RU2116 Sirius Innovation Relé de sobrecarga - Ith=7.00…10.00A - p/ contactor 3RT2015 … 2018 - marca SIEMENS.</t>
  </si>
  <si>
    <t>3RU2116-1KB0</t>
  </si>
  <si>
    <t>3RU2116 Sirius Innovation Relé de sobrecarga - Ith=9.00…12.5A - p/ contactor 3RT2015 … 2018 - marca SIEMENS.</t>
  </si>
  <si>
    <t>3RU2116-4AB0</t>
  </si>
  <si>
    <t>3RU2116 Sirius Innovation Relé de sobrecarga - Ith=11.00…16.00A - p/ contactor 3RT2015 … 2018 - marca SIEMENS.</t>
  </si>
  <si>
    <t>3RU2126-1CB0</t>
  </si>
  <si>
    <t>3RU2126 Sirius Innovation Relé de sobrecarga - Ith=1.80…2.50A - p/ contactor 3RT2023 … 2028 - marca SIEMENS.</t>
  </si>
  <si>
    <t>3RU2126-1DB0</t>
  </si>
  <si>
    <t>3RU2126 Sirius Innovation Relé de sobrecarga - Ith=2.20…3.20A - p/ contactor 3RT2023 … 2028 - marca SIEMENS.</t>
  </si>
  <si>
    <t>3RU2126-1EB0</t>
  </si>
  <si>
    <t>3RU2126 Sirius Innovation Relé de sobrecarga - Ith=2.80…4.00A - p/ contactor 3RT2023 … 2028 - marca SIEMENS.</t>
  </si>
  <si>
    <t>3RU2126-1FB0</t>
  </si>
  <si>
    <t>3RU2126 Sirius Innovation Relé de sobrecarga - Ith=3.50…5.00A - p/ contactor 3RT2023 … 2028 - marca SIEMENS.</t>
  </si>
  <si>
    <t>3RU2126-1GB0</t>
  </si>
  <si>
    <t>3RU2126 Sirius Innovation Relé de sobrecarga - Ith=4.50…6.30A - p/ contactor 3RT2023 … 2028 - marca SIEMENS.</t>
  </si>
  <si>
    <t>3RU2126-1HB0</t>
  </si>
  <si>
    <t>3RU2126 Sirius Innovation Relé de sobrecarga - Ith=5.50…8.00A - p/ contactor 3RT2023 … 2028 - marca SIEMENS.</t>
  </si>
  <si>
    <t>3RU2126-1JB0</t>
  </si>
  <si>
    <t>3RU2126 Sirius Innovation Relé de sobrecarga - Ith=7.00…10.00A - p/ contactor 3RT2023 … 2028 - marca SIEMENS.</t>
  </si>
  <si>
    <t>3RU2126-1KB0</t>
  </si>
  <si>
    <t>3RU2126 Sirius Innovation Relé de sobrecarga - Ith=9.00…12.50A - p/ contactor 3RT2023 … 2028 - marca SIEMENS.</t>
  </si>
  <si>
    <t>3RU2126-4AB0</t>
  </si>
  <si>
    <t>3RU2126 Sirius Innovation Relé de sobrecarga - Ith=11.00…16.00A - p/ contactor 3RT2023 … 2028 - marca SIEMENS.</t>
  </si>
  <si>
    <t>3RU2126-4BB0</t>
  </si>
  <si>
    <t>3RU2126 Sirius Innovation Relé de sobrecarga - Ith=14.00…20.00A - p/ contactor 3RT2023 … 2028 - marca SIEMENS.</t>
  </si>
  <si>
    <t>3RU2126-4CB0</t>
  </si>
  <si>
    <t>3RU2126 Sirius Innovation Relé de sobrecarga - Ith=17.00…22.00A - p/ contactor 3RT2023 … 2028 - marca SIEMENS.</t>
  </si>
  <si>
    <t>3RU2126-4DB0</t>
  </si>
  <si>
    <t>3RU2126 Sirius Innovation Relé de sobrecarga - Ith=20.00…25.00A - p/ contactor 3RT2023 … 2028 - marca SIEMENS.</t>
  </si>
  <si>
    <t>3RU2126-4NB0</t>
  </si>
  <si>
    <t>3RU2126 Sirius Innovation Relé de sobrecarga - Ith=23.00…28.00A - p/ contactor 3RT2023 … 2028 - marca SIEMENS.</t>
  </si>
  <si>
    <t>3RU2126-4EB0</t>
  </si>
  <si>
    <t>3RU2126 Sirius Innovation Relé de sobrecarga - Ith=27.00…32.00A - p/ contactor 3RT2023 … 2028 - marca SIEMENS.</t>
  </si>
  <si>
    <t>3RU2126-4PB0</t>
  </si>
  <si>
    <t>3RU2126 Sirius Innovation Relé de sobrecarga - Ith=30.00…36.00A - p/ contactor 3RT2023 … 2028 - marca SIEMENS.</t>
  </si>
  <si>
    <t>3RU2126-4FB0</t>
  </si>
  <si>
    <t>3RU2126 Sirius Innovation Relé de sobrecarga - Ith=34.00…40.00A - p/ contactor 3RT2023 … 2028 - marca SIEMENS.</t>
  </si>
  <si>
    <t>3RU2136-4AB0</t>
  </si>
  <si>
    <t>3RU2136 Sirius Innovation Relé de sobrecarga - Ith=11.00…16.00A - p/ contactor 3RT2035 … 2038 - marca SIEMENS.</t>
  </si>
  <si>
    <t>3RU2136-4BB0</t>
  </si>
  <si>
    <t>3RU2136 Sirius Innovation Relé de sobrecarga - Ith=14.00…20.00A - p/ contactor 3RT2035 … 2038 - marca SIEMENS.</t>
  </si>
  <si>
    <t>3RU2136-4DB0</t>
  </si>
  <si>
    <t>3RU2136 Sirius Innovation Relé de sobrecarga - Ith=18.00…25.00A - p/ contactor 3RT2035 … 2038 - marca SIEMENS.</t>
  </si>
  <si>
    <t>3RU2136-4EB0</t>
  </si>
  <si>
    <t>3RU2136 Sirius Innovation Relé de sobrecarga - Ith=22.00…32.00A - p/ contactor 3RT2035 … 2038 - marca SIEMENS.</t>
  </si>
  <si>
    <t>3RU2136-4FB0</t>
  </si>
  <si>
    <t>3RU2136 Sirius Innovation Relé de sobrecarga - Ith=28.00…40.00A - p/ contactor 3RT2035 … 2038 - marca SIEMENS.</t>
  </si>
  <si>
    <t>3RU2136-4GB0</t>
  </si>
  <si>
    <t>3RU2136 Sirius Innovation Relé de sobrecarga - Ith=36.00…45.00A - p/ contactor 3RT2035 … 2038 - marca SIEMENS.</t>
  </si>
  <si>
    <t>3RU2136-4HB0</t>
  </si>
  <si>
    <t>3RU2136 Sirius Innovation Relé de sobrecarga - Ith=40.00…50.00A - p/ contactor 3RT2035 … 2038 - marca SIEMENS.</t>
  </si>
  <si>
    <t>3RU2136-4QB0</t>
  </si>
  <si>
    <t>3RU2136 Sirius Innovation Relé de sobrecarga - Ith=47.00…57.00A - p/ contactor 3RT2035 … 2038 - marca SIEMENS.</t>
  </si>
  <si>
    <t>3RU2136-4JB0</t>
  </si>
  <si>
    <t>3RU2136 Sirius Innovation Relé de sobrecarga - Ith=54.00…65.00A - p/ contactor 3RT2035 … 2038 - marca SIEMENS.</t>
  </si>
  <si>
    <t>3RU2136-4KB0</t>
  </si>
  <si>
    <t>3RU2136 Sirius Innovation Relé de sobrecarga - Ith=62.00…73.00A - p/ contactor 3RT2035 … 2038 - marca SIEMENS.</t>
  </si>
  <si>
    <t>3RU2136-4RB0</t>
  </si>
  <si>
    <t>3RU2136 Sirius Innovation Relé de sobrecarga - Ith=70.00…80.00A - p/ contactor 3RT2035 … 2038 - marca SIEMENS.</t>
  </si>
  <si>
    <t>3RU2146-4FB0</t>
  </si>
  <si>
    <t>3RU2146 Sirius Innovation Relé de sobrecarga - Ith=28.00…40.00A - p/ contactor 3RT2046 … 2047 - marca SIEMENS.</t>
  </si>
  <si>
    <t>3RU2146-4HB0</t>
  </si>
  <si>
    <t>3RU2146 Sirius Innovation Relé de sobrecarga - Ith=36.00…50.00A - p/ contactor 3RT2046 … 2047 - marca SIEMENS.</t>
  </si>
  <si>
    <t>3RU2146-4JB0</t>
  </si>
  <si>
    <t>3RU2146 Sirius Innovation Relé de sobrecarga - Ith=45.00…63.00A - p/ contactor 3RT2046 … 2047 - marca SIEMENS.</t>
  </si>
  <si>
    <t>3RU2146-4KB0</t>
  </si>
  <si>
    <t>3RU2146 Sirius Innovation Relé de sobrecarga - Ith=57.00…75.00A - p/ contactor 3RT2046 … 2047 - marca SIEMENS.</t>
  </si>
  <si>
    <t>3RU2146-4LB0</t>
  </si>
  <si>
    <t>3RU2146 Sirius Innovation Relé de sobrecarga - Ith=70.00…90.00A - p/ contactor 3RT2046 … 2047 - marca SIEMENS.</t>
  </si>
  <si>
    <t>3RU2146-4MB0</t>
  </si>
  <si>
    <t>3RU2146 Sirius Innovation Relé de sobrecarga - Ith=80.00…100.00A - p/ contactor 3RT2046 … 2047 - marca SIEMENS.</t>
  </si>
  <si>
    <t>PLC</t>
  </si>
  <si>
    <t>LOGO_12/24RCE</t>
  </si>
  <si>
    <t>Micro-PLC modelo LOGO! 12/24RCE - Ue=12/24Vdc - 8 entradas digitales + 4 salidas tipo relé - marca SIEMENS.</t>
  </si>
  <si>
    <t>6ED1052-1MD08-0BA0</t>
  </si>
  <si>
    <t>LOGO_230RCE</t>
  </si>
  <si>
    <t>Micro-PLC modelo LOGO! 230RCE - Ue=115/240Vac - 8 entradas digitales + 4 salidas tipo relé - marca SIEMENS.</t>
  </si>
  <si>
    <t>6ED1052-1FB08-0BA0</t>
  </si>
  <si>
    <t>Módulo de expansión para micro-PLC LOGO! - Ue=24Vac/dc - 4 entradas digitales + 4 salidas tipo relé - marca SIEMENS.</t>
  </si>
  <si>
    <t>6ED1055-1HB00-0BA2</t>
  </si>
  <si>
    <t>Módulo de expansión para micro-PLC LOGO! - Ue=115/240Vac/dc - 4 entradas digitales + 4 salidas tipo relé - marca SIEMENS.</t>
  </si>
  <si>
    <t>6ED1055-1FB00-0BA2</t>
  </si>
  <si>
    <t>6ED1055-1NB10-0BA2</t>
  </si>
  <si>
    <t>Módulo de expansión para micro-PLC LOGO! - Ue=115/240Vac/dc - 8 entradas digitales + 8 salidas tipo relé - marca SIEMENS.</t>
  </si>
  <si>
    <t>6ED1055-1FB10-0BA2</t>
  </si>
  <si>
    <t>Minifuente LOGO!Power - Ui=100-240Vac, Uo=24Vdc/2.5A - marca SIEMENS.</t>
  </si>
  <si>
    <t>6EP3332-6SB00-0AY0</t>
  </si>
  <si>
    <t>SITOP-SMART_24V</t>
  </si>
  <si>
    <t>Fuente de alimentación monofasica SITOP-Smart - Ui=230Vac, Uo=24Vdc/2.5A - Autonomía 3 horas a plena carga - marca SIEMENS.</t>
  </si>
  <si>
    <t>6EP1332-2BA20</t>
  </si>
  <si>
    <t>Banco de baterías para Fuente SITOP</t>
  </si>
  <si>
    <t>SP</t>
  </si>
  <si>
    <t>SB</t>
  </si>
  <si>
    <t>(Breakers and Switches + Enclosures + control products)</t>
  </si>
  <si>
    <t>(Drives &amp; Motion)</t>
  </si>
  <si>
    <t>T6S630-630A-3P-PR221DS-LS/I</t>
  </si>
  <si>
    <t>ITM Caja Moldeada 3x630A (electrónico [0.4-1.0] In) - T6S630-630A-3P-PR221DS-LS/I - 85kA@230Vac, 50kA@415Vac - marca ABB.</t>
  </si>
  <si>
    <t>1SDA060236R1</t>
  </si>
  <si>
    <t>CAL4-11</t>
  </si>
  <si>
    <t>Contacto auxiliar lateral 1NA+1NC para contactor AF09..AF96, Modelo CAL4-11 - marca ABB.</t>
  </si>
  <si>
    <t>Pulsador rasante con bizel plástico - color Rojo - contacto 1NC - SP1-10R-01 - línea compacta - marca ABB.</t>
  </si>
  <si>
    <t>Pulsador rasante con bizel plástico - color Verde - contacto 1NA - SP1-10G-10 - línea compacta - marca ABB.</t>
  </si>
  <si>
    <t>Pulsador rasante con bizel plástico - color Negro - contacto 1NA - SP1-10B-10 - línea compacta - marca ABB.</t>
  </si>
  <si>
    <t>Pulsador momentáneo luminoso rasante con bizel plástico, color rojo, Vc=230Vac - contacto 1NC - SP1-13R-01 - línea compacta - marca ABB.</t>
  </si>
  <si>
    <t>Pulsador momentáneo luminoso rasante con bizel plástico, color verde, Vc=230Vac - contacto 1NA - SP1-13G-10 - línea compacta - marca ABB.</t>
  </si>
  <si>
    <t>Pulsador momentáneo luminoso rasante con bizel plástico, color rojo, Vc=24Vac/dc - contacto 1NC - SP1-13R-01 - línea compacta - marca ABB.</t>
  </si>
  <si>
    <t>Pulsador momentáneo luminoso rasante con bizel plástico, color verde, Vc=24Vac/dc - contacto 1NA - SP1-13G-10 - línea compacta - marca ABB.</t>
  </si>
  <si>
    <t>SP-E_24/2.5</t>
  </si>
  <si>
    <t>Fuente de Alimentación modelo SP-E_24/2.5 - Ui=85-264Vac / 90-375Vdc, Uo=24Vdc/2.5A - marca ABB</t>
  </si>
  <si>
    <t>SP-E_24/5.0</t>
  </si>
  <si>
    <t>Fuente de Alimentación modelo SP-E_24/5.0 - Ui=90-264Vac / 210-375Vdc, Uo=24Vdc/5.0A - marca ABB</t>
  </si>
  <si>
    <t>SP-E_24/10.0</t>
  </si>
  <si>
    <t>Fuente de Alimentación modelo SP-E_24/10.0 - Ui=90-264Vac / 210-375Vdc, Uo=24Vdc/10.0A - marca ABB</t>
  </si>
  <si>
    <t>SP-T_24/5.0</t>
  </si>
  <si>
    <t>Fuente de Alimentación modelo SP-T_24/5.0 - Ui=340-575Vac / 480-820Vdc, Uo=24Vdc/5.0A - marca ABB</t>
  </si>
  <si>
    <t>ACS-SP-C</t>
  </si>
  <si>
    <t>Panel de control básico para ACS 310/350/355/550 - modelo ACS-SP-C, marca ABB.</t>
  </si>
  <si>
    <t>Mod-TSP-IP</t>
  </si>
  <si>
    <t>Módulo de comunicación Ethernet (Modbus/TSP, Ethernet IP)</t>
  </si>
  <si>
    <t>ACS/H-SP-EXT</t>
  </si>
  <si>
    <t>Bloqueo por candado para interruptor Gi/GD/GC/GHC/GB/GHB, marca EATON.</t>
  </si>
  <si>
    <t>SNT480SPK</t>
  </si>
  <si>
    <t>Medidor multifunción + Analizador de Redes - Modelo CVM-B100 - presición 0.2% - Comunicación Modbus/TSP (bridge), Protocolo Ethernet - marca CIRCUTOR.</t>
  </si>
  <si>
    <t>Modulo comunicación Modbus/TSP (bridge), Protocolo Ethernet - marca Circuitor.</t>
  </si>
  <si>
    <t>Condensador trifásico, para paso de potencia efectiva de 40kVAR / 380Vac, 60 Hz, p=7%, tipo CLZ-FP-HD, marca CIRCUTOR.</t>
  </si>
  <si>
    <t>Panel adaptador para RGU-10 y CSP-4 (72x72 mm), marca CIRCUTOR.</t>
  </si>
  <si>
    <t>Interruptor Diferencial de 2x25A - 5SV3312-6 , 30mA, clase A(inmunizado) , SIEMENS.</t>
  </si>
  <si>
    <t>Interruptor Diferencial de 2x40A - 5SV3314-6 , 30mA, clase A(inmunizado) , SIEMENS.</t>
  </si>
  <si>
    <t>Interruptor Diferencial de 2x63A - 5SV3316-6 , 30mA, clase A(inmunizado) , SIEMENS.</t>
  </si>
  <si>
    <t>Interruptor Diferencial de 4x25A - 5SV3342-6 , 30mA, clase A(inmunizado) , SIEMENS.</t>
  </si>
  <si>
    <t>Interruptor Diferencial de 4x40A - 5SV3344-6 , 30mA, clase A(inmunizado) , SIEMENS.</t>
  </si>
  <si>
    <t>Interruptor Diferencial de 4x63A - 5SV3346-6 , 30mA, clase A(inmunizado) , SIEMENS.</t>
  </si>
  <si>
    <t>3VM1196-3ED12-0AA0</t>
  </si>
  <si>
    <t>ITM de 1x16A , Caja Moldeada 3VM1196, 25kA@240Vac. - SIEMENS.</t>
  </si>
  <si>
    <t>3VM1120-3ED12-0AA0</t>
  </si>
  <si>
    <t>ITM de 1x20A , Caja Moldeada 3VM1196, 25kA@240Vac. - SIEMENS.</t>
  </si>
  <si>
    <t>3VM1125-3ED12-0AA0</t>
  </si>
  <si>
    <t>ITM de 1x25A , Caja Moldeada 3VM1196, 25kA@240Vac. - SIEMENS.</t>
  </si>
  <si>
    <t>3VM1132-3ED12-0AA0</t>
  </si>
  <si>
    <t>ITM de 1x32A , Caja Moldeada 3VM1196, 25kA@240Vac. - SIEMENS.</t>
  </si>
  <si>
    <t>3VM1140-3ED12-0AA0</t>
  </si>
  <si>
    <t>ITM de 1x40A , Caja Moldeada 3VM1196, 25kA@240Vac. - SIEMENS.</t>
  </si>
  <si>
    <t>3VM1150-3ED12-0AA0</t>
  </si>
  <si>
    <t>ITM de 1x50A , Caja Moldeada 3VM1196, 25kA@240Vac. - SIEMENS.</t>
  </si>
  <si>
    <t>3VM1163-3ED12-0AA0</t>
  </si>
  <si>
    <t>ITM de 1x63A , Caja Moldeada 3VM1196, 25kA@240Vac. - SIEMENS.</t>
  </si>
  <si>
    <t>3VM1180-3ED12-0AA0</t>
  </si>
  <si>
    <t>ITM de 1x80A , Caja Moldeada 3VM1196, 25kA@240Vac. - SIEMENS.</t>
  </si>
  <si>
    <t>3VM1110-3ED12-0AA0</t>
  </si>
  <si>
    <t>ITM de 1x100A , Caja Moldeada 3VM1196, 25kA@240Vac. - SIEMENS.</t>
  </si>
  <si>
    <t>ITM de 2x16A , Caja Moldeada 3VM1196, 36kA@240Vac. - SIEMENS.</t>
  </si>
  <si>
    <t>ITM de 2x20A , Caja Moldeada 3VM1196, 36kA@240Vac. - SIEMENS.</t>
  </si>
  <si>
    <t>ITM de 2x25A , Caja Moldeada 3VM1196, 36kA@240Vac. - SIEMENS.</t>
  </si>
  <si>
    <t>ITM de 2x32A , Caja Moldeada 3VM1196, 36kA@240Vac. - SIEMENS.</t>
  </si>
  <si>
    <t>ITM de 2x40A , Caja Moldeada 3VM1196, 36kA@240Vac. - SIEMENS.</t>
  </si>
  <si>
    <t>ITM de 2x50A , Caja Moldeada 3VM1196, 36kA@240Vac. - SIEMENS.</t>
  </si>
  <si>
    <t>ITM de 2x63A , Caja Moldeada 3VM1196, 36kA@240Vac. - SIEMENS.</t>
  </si>
  <si>
    <t>ITM de 2x80A , Caja Moldeada 3VM1196, 36kA@240Vac. - SIEMENS.</t>
  </si>
  <si>
    <t>ITM de 2x100A , Caja Moldeada 3VM1196, 36kA@240Vac. - SIEMENS.</t>
  </si>
  <si>
    <t>3VT-ELECTRONICO</t>
  </si>
  <si>
    <t>3VT4-3X800A</t>
  </si>
  <si>
    <t>ITM Caja Moldeada 3x800A  (electrónico [0.4-1.0] In) -ETU DP- LI -3VT4 - 65kA/415Vac; marca SIEMENS.</t>
  </si>
  <si>
    <t>3VT4710-3AA30-0AA0 + 3VT9480-6AC00</t>
  </si>
  <si>
    <t>3VT4-3X1000A</t>
  </si>
  <si>
    <t>ITM Caja Moldeada 3x1000A  (electrónico [0.4-1.0] In) -ETU DP- LI -3VT4 - 65kA/415Vac; marca SIEMENS.</t>
  </si>
  <si>
    <t>3VT4710-3AA30-0AA0 + 3VT9410-6AC00</t>
  </si>
  <si>
    <t>3VT5-3X1250A</t>
  </si>
  <si>
    <t>ITM Caja Moldeada 3x1250A  (electrónico [0.4-1.0] In) -ETU DP- LI -3VT5 - 65kA/415Vac; marca SIEMENS.</t>
  </si>
  <si>
    <t>3VT5716-3AA30-0AA0 + 3VT9512-6AC00</t>
  </si>
  <si>
    <t>3VT5-3X1600A</t>
  </si>
  <si>
    <t>ITM Caja Moldeada 3x1600A  (electrónico [0.4-1.0] In) -ETU DP- LI -3VT5 - 65kA/415Vac; marca SIEMENS.</t>
  </si>
  <si>
    <t>3VT5716-3AA30-0AA0 + 3VT9516-6AC00</t>
  </si>
  <si>
    <t>Bloques de contactos Auxiliares - CONTACTORES</t>
  </si>
  <si>
    <t>Enclavamiento Mecanico- CONTACTORES</t>
  </si>
  <si>
    <t>3RA2912-2H</t>
  </si>
  <si>
    <t>Enclavamiento mecánico lateral para contactores de tamaños S00-S00, modelo 3RA - marca SIEMENS.</t>
  </si>
  <si>
    <t>3RA2922-2H</t>
  </si>
  <si>
    <t>Enclavamiento mecánico lateral para contactores de tamaños S0-S0, modelo 3RA - marca SIEMENS.</t>
  </si>
  <si>
    <t>3RA2934-2B</t>
  </si>
  <si>
    <t>Enclavamiento mecánico lateral para contactores de tamaños S2-S2/S3-S3, modelo 3RA - marca SIEMENS.</t>
  </si>
  <si>
    <t>3RA1954-2A</t>
  </si>
  <si>
    <t>Enclavamiento mecánico lateral para contactores de tamaños S6/S10/S12, modelo 3RA - marca SIEMENS.</t>
  </si>
  <si>
    <t xml:space="preserve">PM710 = METSEPM5340 (PM5340) para comuniación Modbus TSP/IP </t>
  </si>
  <si>
    <t>E2.2N-2500A-3P-Ekip Dip LSI</t>
  </si>
  <si>
    <t>ITM Bastidor Abierto 3x2500A (electrónico [0.4-1.0] In) - E2.2N-2500A-3P-Ekip Dip LSI - 66kA@440Vac - marca ABB.</t>
  </si>
  <si>
    <t>1SDA071062R1</t>
  </si>
  <si>
    <t>MIS_430x735x128mm</t>
  </si>
  <si>
    <t>Tablero termoplástico para Empotrar, serie MISTRAL 41F p/transparente 72 modulos. 430x735x128mm - IP41, IK08, RAL 9016 - marca ABB.</t>
  </si>
  <si>
    <t>1SLM004100A1210</t>
  </si>
  <si>
    <t>HMCP400R5</t>
  </si>
  <si>
    <t>ITM de 3x400A - caja moldeada - unidad de protección magnético, disparo magnetico regulable (1750 - 3500)A - modelo HMCP,  65kA-240Vac. - 35kA@480Vac. - marca EATON.</t>
  </si>
  <si>
    <t>HMCPK400</t>
  </si>
  <si>
    <t>ITM de 3x400A - caja moldeada - con unidad de disparo magnetico - modelo HMCP,  65kA-240Vac. - 35kA@480Vac. - marca EATON.</t>
  </si>
  <si>
    <t>HMCPJ250</t>
  </si>
  <si>
    <t>LZMS2-A50</t>
  </si>
  <si>
    <t>ITM de 3x50A , ( Reg. 40-50A ) LZMS2, 70kA@240Vac. - 70kA@415Vac. - marca EATON.</t>
  </si>
  <si>
    <t>DADO-INT-16A-2P</t>
  </si>
  <si>
    <t>Dado interruptor simple 2P 250V 16A Mod Blanco Magic 5011</t>
  </si>
  <si>
    <t>TOMA-UNIV-DOB-2P</t>
  </si>
  <si>
    <t>Tomacorriente emp universal doble marfil 2P+T 15A 250V - Marca Leviton</t>
  </si>
  <si>
    <t>PLACA-DOBLE</t>
  </si>
  <si>
    <t>Placa Naylon doble color marfil 80703-I - Marca Leviton</t>
  </si>
  <si>
    <t>Condensador trifásico, para paso de potencia efectiva de 15kVAR / 400Vac, 60 Hz, p=7%, tipo CLZ-FP-HD, marca CIRCUTOR.</t>
  </si>
  <si>
    <t>Reactancia para paso de potencia efectiva de 20kVAR / 400Vac, 60Hz, p=7%, tipo RBX, marca CIRCUTOR.</t>
  </si>
  <si>
    <t>Condensador trifásico, para paso de potencia efectiva de 20kVAR / 400Vac, 60 Hz, p=7%, tipo CLZ-FP-HD, marca CIRCUTOR.</t>
  </si>
  <si>
    <t>Reactancia para paso de potencia efectiva de 30kVAR / 400Vac, 60Hz, p=7%, tipo RBX, marca CIRCUTOR.</t>
  </si>
  <si>
    <t>.</t>
  </si>
  <si>
    <t>Reactancia para paso de potencia efectiva de 40kVAR / 400Vac, 60Hz, p=7%, tipo RBX, marca CIRCUTOR.</t>
  </si>
  <si>
    <t>Condensador trifásico, para paso de potencia efectiva de 40kVAR / 400Vac, 60 Hz, p=7%, tipo CLZ-FP, marca CIRCUTOR.</t>
  </si>
  <si>
    <t>Contactor para la conexión de los condensadores - 20kVAR / 400Vac - Modelo CMC - bobina 230Vac/60Hz. - marca CIRCUTOR.</t>
  </si>
  <si>
    <t>Contactor para la conexión de condensadores - 30kVAR / 400Vac - Modelo CMC - bobina 230Vac/60Hz. - marca CIRCUTOR.</t>
  </si>
  <si>
    <t>Transformador de aislamiento de 8KVA monofasico, eficiencia=96%, h_max=5000msnm, normas IEC, VDE - modelo ES710/8000-E - marca BENDER.</t>
  </si>
  <si>
    <t>Transformador de aislamiento de 10KVA monofasico, eficiencia=96%, h_max=5000msnm, normas IEC, VDE - modelo ES710/10000-E - marca BENDER.</t>
  </si>
  <si>
    <t>DISPOSITIVO DE CONTROL DE TRANSFERENCIA</t>
  </si>
  <si>
    <t>3KC9000-8TL40</t>
  </si>
  <si>
    <t>Dispositivo de control para transferencia automática modelo ATC 6300 - SIEMENS</t>
  </si>
  <si>
    <t>3KC9000-8TL73</t>
  </si>
  <si>
    <t>Interfáz frontal de parametrización USB modelo 8TL - SIEMENS</t>
  </si>
  <si>
    <t>APARATOS DE MANDO Y SEÑALIZACION SIRIUS ACT - 3SU</t>
  </si>
  <si>
    <t>3SU1150-1HB20-1CG0</t>
  </si>
  <si>
    <t>Boton Parada de Emergencia + base, golpe de puño oprimir-jalar</t>
  </si>
  <si>
    <t>Placa_Montaje_DPX3_630</t>
  </si>
  <si>
    <t>Placa de montaje para enclavamiento mecánico de 2 DPX3 630 - marca Legrand</t>
  </si>
  <si>
    <t>026409</t>
  </si>
  <si>
    <t>Placa-interbloqueo_DPX3_160/250</t>
  </si>
  <si>
    <t>Placa para interbloqueo mecánico de 2 DPX3 160/250.</t>
  </si>
  <si>
    <t>421058</t>
  </si>
  <si>
    <t>416880</t>
  </si>
  <si>
    <t>Contactor  2NA + 2NC , 230Vac</t>
  </si>
  <si>
    <t>416826</t>
  </si>
  <si>
    <t>RCD_4x80A_300mA_B_S</t>
  </si>
  <si>
    <t>Interruptor diferencial 4x80A - 300mA, clase B, curva S (selectivo) - marca Schneider - Ref.: 16762.</t>
  </si>
  <si>
    <t>Interruptor diferencial 4x25A - 300mA, clase B - marca Schneider - Ref.: A9Z64425</t>
  </si>
  <si>
    <t>A9Z64425</t>
  </si>
  <si>
    <t>T7S1250(M)-1250A-3P-PR232 P-LSI</t>
  </si>
  <si>
    <t>ITM Caja Moldeada 3x1250A (electrónico [0.4-1.0] In) - T7S1250-1250A-3P-PR232 P-LSI (Motorizable) - 50kA@415Vac - marca ABB.</t>
  </si>
  <si>
    <t>A9MEM3155</t>
  </si>
  <si>
    <t>LIMITADORES DE TENSION TVSS</t>
  </si>
  <si>
    <t>TVSS_1P_220Vac-40kA</t>
  </si>
  <si>
    <t>TVSS_1P_220Vac-12.5kA</t>
  </si>
  <si>
    <t>TVSS_3P_220Vac-37.5kA</t>
  </si>
  <si>
    <t>TVSS_1P+N_220Vac-25kA</t>
  </si>
  <si>
    <t>TVSS_3P+N_220Vac-50kA</t>
  </si>
  <si>
    <t>TVSS_1P_380Vac-35kA</t>
  </si>
  <si>
    <t>TVSS_1P+N_220Vac-50kA</t>
  </si>
  <si>
    <t>TVSS_3P_380Vac-75kA</t>
  </si>
  <si>
    <t>TVSS_3P+N_380Vac-100kA</t>
  </si>
  <si>
    <t>XT4S250-250A-3P-Ekip LSI</t>
  </si>
  <si>
    <t>ITM Caja Moldeada 3x250A (electrónico [0.4-1.0] In) - XT4S250-250A-3P-Ekip LSI - 85kA@230Vac, 50kA@415Vac - marca ABB.</t>
  </si>
  <si>
    <t>1SDA068485R1</t>
  </si>
  <si>
    <t>Accesorios para los OT</t>
  </si>
  <si>
    <t>OXP6X360</t>
  </si>
  <si>
    <t>Eje de largo 360mm y diametro 6mm, modelo OXP6X360 - marca ABB.</t>
  </si>
  <si>
    <t>1SCA022042R6530</t>
  </si>
  <si>
    <t>OXP12X465</t>
  </si>
  <si>
    <t>Eje de largo 465mm y diametro 6mm, modelo OXP12X465 - marca ABB.</t>
  </si>
  <si>
    <t>1SCA022042R6020</t>
  </si>
  <si>
    <t>OVR T2 3L 80 275 s P TS QS</t>
  </si>
  <si>
    <t>Protector de sobretensiones (Tipo 2) - OVR T2 3L 80 275 s P TS QS - Un=230/400V,  Uc=275V, Up=1.4kV - I_descarga=80kA - marca ABB.</t>
  </si>
  <si>
    <t>2CTB815708R0600</t>
  </si>
  <si>
    <t>OVR T2 3L 40 275 s P TS QS</t>
  </si>
  <si>
    <t>Protector de sobretensiones (Tipo 2) - OVR T2 3L 40 275 s P TS QS - Un=230/400V,  Uc=275V, Up=1.4kV - I_descarga=40kA - marca ABB.</t>
  </si>
  <si>
    <t>2CTB815704R0600</t>
  </si>
  <si>
    <t>T4N320-320A-3P-PR221DS-I</t>
  </si>
  <si>
    <t>IM Caja Moldeada 3x320A (electrónico [0.4-1.0] In)  - T4N320-320A-3P-PR221DS-I - 70kA@230Vac, 36kA@415Vac - marca ABB.</t>
  </si>
  <si>
    <t>1SDA054118R1</t>
  </si>
  <si>
    <t>T4S320-320A-3P-PR221DS-I</t>
  </si>
  <si>
    <t>IM Caja Moldeada 3x320A (electrónico [0.4-1.0] In)  - T4S320-320A-3P-PR221DS-I - 85kA@230Vac, 50kA@415Vac - marca ABB.</t>
  </si>
  <si>
    <t>1SDA054126R1</t>
  </si>
  <si>
    <t>IM Caja Moldeada 3x400A (electrónico [0.4-1.0] In) - T5N400-400A-3P-PR221DS-I - 70kA@230Vac, 36kA@415Vac - marca ABB.</t>
  </si>
  <si>
    <t>T5S400-400A-3P-PR221DS-I</t>
  </si>
  <si>
    <t>IM Caja Moldeada 3x400A (electrónico [0.4-1.0] In) - T5S400-400A-3P-PR221DS-I - 85kA@230Vac, 50kA@415Vac - marca ABB.</t>
  </si>
  <si>
    <t>1SDA054335R1</t>
  </si>
  <si>
    <t>T6S800-800A-3P-TMA</t>
  </si>
  <si>
    <t>ITM Caja Moldeada 3x800A (reg.[0.7-1.0] In) - T6S800-800A-3P-TMA - 85kA@230Vac, 50kA@415Vac, 36kA@500Vdc - marca ABB.</t>
  </si>
  <si>
    <t>1SDA060216R1</t>
  </si>
  <si>
    <t>BASTIDOR ABIERTO</t>
  </si>
  <si>
    <t>Serie IZMX</t>
  </si>
  <si>
    <t>IZMX 1000(M)</t>
  </si>
  <si>
    <t>Serie MAGNUM</t>
  </si>
  <si>
    <t>HXE34k</t>
  </si>
  <si>
    <t>Medidor trifasico electronico, 4 hilos 380/220Vac., conexión directa, modelo HXE34k, precisión Activa clase 0.5 / Reactica clase 1 - marca Hexing.</t>
  </si>
  <si>
    <t>Medidor trifasico electronico, 3 hilos 220Vac., conexión directa, modelo HXE33k-A, precisión Activa clase 1 / Reactica clase 2 - marca Hexing.</t>
  </si>
  <si>
    <t>Medidor monofasico electronico, 2 hilos 220Vac., conexión directa, modelo HXE12R, precisión Activa clase 1 - marca Hexing.</t>
  </si>
  <si>
    <t>IH-DIG. Legrand</t>
  </si>
  <si>
    <t>Interruptor Horario digital, marca Legrand.</t>
  </si>
  <si>
    <t>CMC_6kVAR/380V</t>
  </si>
  <si>
    <t>Contactor para maniobra de condensadores - 6 KVAR / 380Vac - Modelo CMC - bobina 230Vac/60Hz. - marca CIRCUTOR.</t>
  </si>
  <si>
    <t>ITM Caja Moldeada 2x15A - DRX3/100-15A-2P - 60kA@220-240 Vac, 35kA@380-415 Vac. - marca Legrand.</t>
  </si>
  <si>
    <t>ITM Caja Moldeada 2x20A - DRX3/100-20A-2P - 60kA@220-240 Vac, 35kA@380-415 Vac. - marca Legrand.</t>
  </si>
  <si>
    <t>ITM Caja Moldeada 2x25A - DRX3/100-25A-2P - 60kA@220-240 Vac, 35kA@380-415 Vac. - marca Legrand.</t>
  </si>
  <si>
    <t>ITM Caja Moldeada 2x30A - DRX3/100-30A-2P - 60kA@220-240 Vac, 35kA@380-415 Vac. - marca Legrand.</t>
  </si>
  <si>
    <t>ITM Caja Moldeada 2x40A - DRX3/100-40A-2P - 60kA@220-240 Vac, 35kA@380-415 Vac. - marca Legrand.</t>
  </si>
  <si>
    <t>ITM Caja Moldeada 2x50A - DRX3/100-50A-2P - 60kA@220-240 Vac, 35kA@380-415 Vac. - marca Legrand.</t>
  </si>
  <si>
    <t>ITM Caja Moldeada 2x60A - DRX3/100-60A-2P - 60kA@220-240 Vac, 35kA@380-415 Vac. - marca Legrand.</t>
  </si>
  <si>
    <t>ITM Caja Moldeada 2x75A - DRX3/100-75A-2P - 60kA@220-240 Vac, 35kA@380-415 Vac. - marca Legrand.</t>
  </si>
  <si>
    <t>ITM Caja Moldeada 2x100A - DRX3/100-100A-2P - 60kA@220-240 Vac, 35kA@380-415 Vac. - marca Legrand.</t>
  </si>
  <si>
    <t>ITM Caja Moldeada 3x15A - DRX3/100-15A-3P - 25kA@220-240 Vac, 10kA@380-415 Vac. - marca Legrand.</t>
  </si>
  <si>
    <t>ITM Caja Moldeada 3x20A - DRX3/100-20A-3P - 25kA@220-240 Vac, 10kA@380-415 Vac. - marca Legrand.</t>
  </si>
  <si>
    <t>ITM Caja Moldeada 3x25A - DRX3/100-25A-3P - 25kA@220-240 Vac, 10kA@380-415 Vac. - marca Legrand.</t>
  </si>
  <si>
    <t>ITM Caja Moldeada 3x30A - DRX3/100-30A-3P - 25kA@220-240 Vac, 10kA@380-415 Vac. - marca Legrand.</t>
  </si>
  <si>
    <t>ITM Caja Moldeada 3x40A - DRX3/100-40A-3P - 25kA@220-240 Vac, 10kA@380-415 Vac. - marca Legrand.</t>
  </si>
  <si>
    <t>ITM Caja Moldeada 3x50A - DRX3/100-50A-3P - 25kA@220-240 Vac, 10kA@380-415 Vac. - marca Legrand.</t>
  </si>
  <si>
    <t>ITM Caja Moldeada 3x60A - DRX3/100-60A-3P - 25kA@220-240 Vac, 10kA@380-415 Vac. - marca Legrand.</t>
  </si>
  <si>
    <t>ITM Caja Moldeada 3x75A - DRX3/100-75A-3P - 25kA@220-240 Vac, 10kA@380-415 Vac. - marca Legrand.</t>
  </si>
  <si>
    <t>ITM Caja Moldeada 3x100A - DRX3/100-100A-3P - 25kA@220-240 Vac, 10kA@380-415 Vac. - marca Legrand.</t>
  </si>
  <si>
    <t>ITM Caja Moldeada 3x15A - DRX3/100-15A-3P - 100kA@220-240 Vac, 35kA@380-415 Vac. - marca Legrand.</t>
  </si>
  <si>
    <t>ITM Caja Moldeada 3x20A - DRX3/100-20A-3P - 100kA@220-240 Vac, 35kA@380-415 Vac. - marca Legrand.</t>
  </si>
  <si>
    <t>ITM Caja Moldeada 3x25A - DRX3/100-25A-3P - 100kA@220-240 Vac, 35kA@380-415 Vac. - marca Legrand.</t>
  </si>
  <si>
    <t>ITM Caja Moldeada 3x30A - DRX3/100-30A-3P - 100kA@220-240 Vac, 35kA@380-415 Vac. - marca Legrand.</t>
  </si>
  <si>
    <t>ITM Caja Moldeada 3x40A - DRX3/100-40A-3P - 100kA@220-240 Vac, 35kA@380-415 Vac. - marca Legrand.</t>
  </si>
  <si>
    <t>ITM Caja Moldeada 3x50A - DRX3/100-50A-3P - 100kA@220-240 Vac, 35kA@380-415 Vac. - marca Legrand.</t>
  </si>
  <si>
    <t>ITM Caja Moldeada 3x60A - DRX3/100-60A-3P - 100kA@220-240 Vac, 35kA@380-415 Vac. - marca Legrand.</t>
  </si>
  <si>
    <t>ITM Caja Moldeada 3x75A - DRX3/100-75A-3P - 100kA@220-240 Vac, 35kA@380-415 Vac. - marca Legrand.</t>
  </si>
  <si>
    <t>ITM Caja Moldeada 3x100A - DRX3/100-100A-3P - 100kA@220-240 Vac, 35kA@380-415 Vac. - marca Legrand.</t>
  </si>
  <si>
    <t>ITM Caja Moldeada 3x125A - DRX3/250-125A-3P - 70kA@220-240 Vac, 25kA@380-415 Vac. - marca Legrand.</t>
  </si>
  <si>
    <t>ITM Caja Moldeada 3x150A - DRX3/250-150A-3P - 70kA@220-240 Vac, 25kA@380-415 Vac. - marca Legrand.</t>
  </si>
  <si>
    <t>ITM Caja Moldeada 3x200A - DRX3/250-200A-3P - 70kA@220-240 Vac, 25kA@380-415 Vac. - marca Legrand.</t>
  </si>
  <si>
    <t>ITM Caja Moldeada 3x225A - DRX3/250-225A-3P - 70kA@220-240 Vac, 25kA@380-415 Vac. - marca Legrand.</t>
  </si>
  <si>
    <t>ITM Caja Moldeada 3x250A - DRX3/250-250A-3P - 70kA@220-240 Vac, 25kA@380-415 Vac. - marca Legrand.</t>
  </si>
  <si>
    <t>ITM de 3x25A, ( Reg. 20-25A ) DPX3 160, 36kA@220-240 Vac.- 25kA@380-415 Vac. - marca Legrand</t>
  </si>
  <si>
    <t>ITM de 3x40A, ( Reg. 32-40A ) DPX3 160, 36kA@220-240 Vac.- 25kA@380-415 Vac. - marca Legrand</t>
  </si>
  <si>
    <t>ITM de 3x63A, ( Reg. 50-63A ) DPX3 160, 36kA@220-240 Vac.- 25kA@380-415 Vac. - marca Legrand</t>
  </si>
  <si>
    <t>ITM de 3x80A, ( Reg. 63-80A ) DPX3 160, 36kA@220-240 Vac.- 25kA@380-415 Vac. - marca Legrand</t>
  </si>
  <si>
    <t>ITM de 3x100A, ( Reg. 80-100A ) DPX3 160, 36kA@220-240 Vac.- 25kA@380-415 Vac. - marca Legrand</t>
  </si>
  <si>
    <t>ITM de 3x125A, ( Reg. 100-125A ) DPX3 160, 36kA@220-240 Vac.- 25kA@380-415 Vac. - marca Legrand</t>
  </si>
  <si>
    <t>ITM de 3x160A, ( Reg. 125-160A ) DPX3 160, 36kA@220-240 Vac.- 25kA@380-415 Vac. - marca Legrand</t>
  </si>
  <si>
    <t>ITM de 3x25A, ( Reg. 20-25A ) DPX3 160, 50kA@220-240 Vac.- 36kA@380-415 Vac. - marca Legrand</t>
  </si>
  <si>
    <t>ITM de 3x40A, ( Reg. 32-40A ) DPX3 160, 50kA@220-240 Vac.- 36kA@380-415 Vac. - marca Legrand</t>
  </si>
  <si>
    <t>ITM de 3x63A, ( Reg. 50-63A ) DPX3 160, 50kA@220-240 Vac.- 36kA@380-415 Vac. - marca Legrand</t>
  </si>
  <si>
    <t>ITM de 3x80A, ( Reg. 63-80A ) DPX3 160, 50kA@220-240 Vac.- 36kA@380-415 Vac. - marca Legrand</t>
  </si>
  <si>
    <t>ITM de 3x100A, ( Reg. 80-100A ) DPX3 160, 50kA@220-240 Vac.- 36kA@380-415 Vac. - marca Legrand</t>
  </si>
  <si>
    <t>ITM de 3x125A, ( Reg. 100-125A ) DPX3 160, 50kA@220-240 Vac.- 36kA@380-415 Vac. - marca Legrand</t>
  </si>
  <si>
    <t>ITM de 3x160A, ( Reg. 125-160A ) DPX3 160, 50kA@220-240 Vac.- 36kA@380-415 Vac. - marca Legrand</t>
  </si>
  <si>
    <t>ITM de 4x25A, ( Reg. 20-25A ) DPX3 160, 36kA@220-240 Vac.- 25kA@380-415 Vac. - marca Legrand</t>
  </si>
  <si>
    <t>ITM de 4x40A, ( Reg. 32-40A ) DPX3 160, 36kA@220-240 Vac.- 25kA@380-415 Vac. - marca Legrand</t>
  </si>
  <si>
    <t>ITM de 4x63A, ( Reg. 50-63A ) DPX3 160, 36kA@220-240 Vac.- 25kA@380-415 Vac. - marca Legrand</t>
  </si>
  <si>
    <t>ITM de 4x80A, ( Reg. 63-80A ) DPX3 160, 36kA@220-240 Vac.- 25kA@380-415 Vac. - marca Legrand</t>
  </si>
  <si>
    <t>ITM de 4x100A, ( Reg. 80-100A ) DPX3 160, 36kA@220-240 Vac.- 25kA@380-415 Vac. - marca Legrand</t>
  </si>
  <si>
    <t>ITM de 4x125A, ( Reg. 100-125A ) DPX3 160, 36kA@220-240 Vac.- 25kA@380-415 Vac. - marca Legrand</t>
  </si>
  <si>
    <t>ITM de 4x160A, ( Reg. 125-160A ) DPX3 160, 36kA@220-240 Vac.- 25kA@380-415 Vac. - marca Legrand</t>
  </si>
  <si>
    <t>ITM de 4x25A, ( Reg. 20-25A ) DPX3 160, 50kA@220-240 Vac.- 36kA@380-415 Vac. - marca Legrand</t>
  </si>
  <si>
    <t>ITM de 4x40A, ( Reg. 32-40A ) DPX3 160, 50kA@220-240 Vac.- 36kA@380-415 Vac. - marca Legrand</t>
  </si>
  <si>
    <t>ITM de 4x63A, ( Reg. 50-63A ) DPX3 160, 50kA@220-240 Vac.- 36kA@380-415 Vac. - marca Legrand</t>
  </si>
  <si>
    <t>ITM de 4x80A, ( Reg. 63-80A ) DPX3 160, 50kA@220-240 Vac.- 36kA@380-415 Vac. - marca Legrand</t>
  </si>
  <si>
    <t>ITM de 4x100A, ( Reg. 80-100A ) DPX3 160, 50kA@220-240 Vac.- 36kA@380-415 Vac. - marca Legrand</t>
  </si>
  <si>
    <t>ITM de 4x125A, ( Reg. 100-125A ) DPX3 160, 50kA@220-240 Vac.- 36kA@380-415 Vac. - marca Legrand</t>
  </si>
  <si>
    <t>ITM de 4x160A, ( Reg. 125-160A ) DPX3 160, 50kA@220-240 Vac.- 36kA@380-415 Vac. - marca Legrand</t>
  </si>
  <si>
    <t>ITM de 3x40A, ( Reg. 32-40A ) DPX3 160, 65kA@220-240 Vac.- 50kA@380-415 Vac. - marca Legrand</t>
  </si>
  <si>
    <t>ITM de 3x63A, ( Reg. 50-63A ) DPX3 160, 65kA@220-240 Vac.- 50kA@380-415 Vac. - marca Legrand</t>
  </si>
  <si>
    <t>ITM de 3x80A, ( Reg. 63-80A ) DPX3 160, 65kA@220-240 Vac.- 50kA@380-415 Vac. - marca Legrand</t>
  </si>
  <si>
    <t>ITM de 3x100A, ( Reg. 80-100A ) DPX3 160, 65kA@220-240 Vac.- 50kA@380-415 Vac. - marca Legrand</t>
  </si>
  <si>
    <t>ITM de 3x125A, ( Reg. 100-125A ) DPX3 160, 65kA@220-240 Vac.- 50kA@380-415 Vac. - marca Legrand</t>
  </si>
  <si>
    <t>ITM de 3x160A, ( Reg. 125-160A ) DPX3 160, 65kA@220-240 Vac.- 50kA@380-415 Vac. - marca Legrand</t>
  </si>
  <si>
    <t>DPX3/160- 40A 50kA (4P)</t>
  </si>
  <si>
    <t>ITM de 4x40A, ( Reg. 32-40A ) DPX3 160, 65kA@220-240 Vac.- 50kA@380-415 Vac. - marca Legrand</t>
  </si>
  <si>
    <t>420132</t>
  </si>
  <si>
    <t>ITM de 4x125A, ( Reg. 100-125A ) DPX3 160, 65kA@220-240 Vac.- 50kA@380-415 Vac. - marca Legrand</t>
  </si>
  <si>
    <t>ITM de 4x160A, ( Reg. 125-160A ) DPX3 160, 65kA@220-240 Vac.- 50kA@380-415 Vac. - marca Legrand</t>
  </si>
  <si>
    <t>ITM de 3x200A, ( Reg. 160-200A ) DPX3 250, 60kA@220-240 Vac.- 36kA@380-415 Vac. - marca Legrand</t>
  </si>
  <si>
    <t>ITM de 3x250A, ( Reg. 200-250A ) DPX3 250, 60kA@220-240 Vac.- 36kA@380-415 Vac. - marca Legrand</t>
  </si>
  <si>
    <t>ITM de 3x200A, ( Reg. 160-200A ) DPX3 250, 80kA@220-240 Vac.- 50kA@380-415 Vac. - marca Legrand</t>
  </si>
  <si>
    <t>ITM de 3x250A, ( Reg. 200-250A ) DPX3 250, 80kA@220-240 Vac.- 50kA@380-415 Vac. - marca Legrand</t>
  </si>
  <si>
    <t>ITM de 3x200A, ( Reg. 160-200A ) DPX3 250, 100kA@220-240 Vac.- 70kA@380-415 Vac. - marca Legrand</t>
  </si>
  <si>
    <t>ITM de 3x250A, ( Reg. 200-250A ) DPX3 250, 100kA@220-240 Vac.- 70kA@380-415 Vac. - marca Legrand</t>
  </si>
  <si>
    <t>ITM de 4x200A, ( Reg. 160-200A ) DPX3 250, 60kA@220-240 Vac.- 36kA@380-415 Vac. - marca Legrand</t>
  </si>
  <si>
    <t>ITM de 4x250A, ( Reg. 200-250A ) DPX3 250, 60kA@220-240 Vac.- 36kA@380-415 Vac. - marca Legrand</t>
  </si>
  <si>
    <t>ITM de 4x200A, ( Reg. 160-200A ) DPX3 250, 80kA@220-240 Vac.- 50kA@380-415 Vac. - marca Legrand</t>
  </si>
  <si>
    <t>ITM de 4x250A, ( Reg. 200-250A ) DPX3 250, 80kA@220-240 Vac.- 50kA@380-415 Vac. - marca Legrand</t>
  </si>
  <si>
    <t>ITM de 4x200A, ( Reg. 160-200A ) DPX3 250, 100kA@220-240 Vac.- 70kA@380-415 Vac. - marca Legrand</t>
  </si>
  <si>
    <t>ITM de 4x250A, ( Reg. 200-250A ) DPX3 250, 100kA@220-240 Vac.- 70kA@380-415 Vac. - marca Legrand</t>
  </si>
  <si>
    <t>ITM de 3x320A, ( Reg. 250-320A ) DPX3 630, 70kA@220-240 Vac.- 36kA@380-415 Vac. - marca Legrand</t>
  </si>
  <si>
    <t>ITM de 3x400A, ( Reg. 320-400A ) DPX3 630, 70kA@220-240 Vac.- 36kA@380-415 Vac. - marca Legrand</t>
  </si>
  <si>
    <t>ITM de 3x500A, ( Reg. 400-500A ) DPX3 630, 70kA@220-240 Vac.- 36kA@380-415 Vac. - marca Legrand</t>
  </si>
  <si>
    <t>ITM de 3x630A, ( Reg. 500-630A ) DPX3 630, 70kA@220-240 Vac.- 36kA@380-415 Vac. - marca Legrand</t>
  </si>
  <si>
    <t>ITM de 3x320A, ( Reg. 250-320A ) DPX3 630, 100kA@220-240 Vac.- 50kA@380-415 Vac. - marca Legrand</t>
  </si>
  <si>
    <t>ITM de 3x400A, ( Reg. 320-400A ) DPX3 630, 100kA@220-240 Vac.- 50kA@380-415 Vac. - marca Legrand</t>
  </si>
  <si>
    <t>ITM de 3x500A, ( Reg. 400-500A ) DPX3 630, 100kA@220-240 Vac.- 50kA@380-415 Vac. - marca Legrand</t>
  </si>
  <si>
    <t>ITM de 3x630A, ( Reg. 500-630A ) DPX3 630, 100kA@220-240 Vac.- 50kA@380-415 Vac. - marca Legrand</t>
  </si>
  <si>
    <t>ITM de 3x320A, ( Reg. 250-320A ) DPX3 630, 120kA@220-240 Vac.- 70kA@380-415 Vac. - marca Legrand</t>
  </si>
  <si>
    <t>ITM de 3x400A, ( Reg. 320-400A ) DPX3 630, 120kA@220-240 Vac.- 70kA@380-415 Vac. - marca Legrand</t>
  </si>
  <si>
    <t>ITM de 3x500A, ( Reg. 400-500A ) DPX3 630, 120kA@220-240 Vac.- 70kA@380-415 Vac. - marca Legrand</t>
  </si>
  <si>
    <t>ITM de 3x630A, ( Reg. 500-630A ) DPX3 630, 120kA@220-240 Vac.- 70kA@380-415 Vac. - marca Legrand</t>
  </si>
  <si>
    <t>ITM de 3x320A, ( Reg. 250-320A ) DPX3 630, 150kA@220-240 Vac.- 100kA@380-415 Vac. - marca Legrand</t>
  </si>
  <si>
    <t>ITM de 3x400A, ( Reg. 320-400A ) DPX3 630, 150kA@220-240 Vac.- 100kA@380-415 Vac. - marca Legrand</t>
  </si>
  <si>
    <t>ITM de 3x500A, ( Reg. 400-500A ) DPX3 630, 150kA@220-240 Vac.- 100kA@380-415 Vac. - marca Legrand</t>
  </si>
  <si>
    <t>ITM de 3x630A, ( Reg. 500-630A ) DPX3 630, 150kA@220-240 Vac.- 100kA@380-415 Vac. - marca Legrand</t>
  </si>
  <si>
    <t>ITM de 4x320A, ( Reg. 250-320A ) DPX3 630, 70kA@220-240 Vac.- 36kA@380-415 Vac. - marca Legrand</t>
  </si>
  <si>
    <t>ITM de 4x400A, ( Reg. 320-400A ) DPX3 630, 70kA@220-240 Vac.- 36kA@380-415 Vac. - marca Legrand</t>
  </si>
  <si>
    <t>ITM de 4x500A, ( Reg. 400-500A ) DPX3 630, 70kA@220-240 Vac.- 36kA@380-415 Vac. - marca Legrand</t>
  </si>
  <si>
    <t>ITM de 4x630A, ( Reg. 500-630A ) DPX3 630, 70kA@220-240 Vac.- 36kA@380-415 Vac. - marca Legrand</t>
  </si>
  <si>
    <t>ITM de 4x320A, ( Reg. 250-320A ) DPX3 630, 100kA@220-240 Vac.- 50kA@380-415 Vac. - marca Legrand</t>
  </si>
  <si>
    <t>ITM de 4x400A, ( Reg. 320-400A ) DPX3 630, 100kA@220-240 Vac.- 50kA@380-415 Vac. - marca Legrand</t>
  </si>
  <si>
    <t>ITM de 4x500A, ( Reg. 400-500A ) DPX3 630, 100kA@220-240 Vac.- 50kA@380-415 Vac. - marca Legrand</t>
  </si>
  <si>
    <t>ITM de 4x630A, ( Reg. 500-630A ) DPX3 630, 100kA@220-240 Vac.- 50kA@380-415 Vac. - marca Legrand</t>
  </si>
  <si>
    <t>ITM de 4x320A, ( Reg. 250-320A ) DPX3 630, 120kA@220-240 Vac.- 70kA@380-415 Vac. - marca Legrand</t>
  </si>
  <si>
    <t>ITM de 4x400A, ( Reg. 320-400A ) DPX3 630, 120kA@220-240 Vac.- 70kA@380-415 Vac. - marca Legrand</t>
  </si>
  <si>
    <t>ITM de 4x500A, ( Reg. 400-500A ) DPX3 630, 120kA@220-240 Vac.- 70kA@380-415 Vac. - marca Legrand</t>
  </si>
  <si>
    <t>ITM de 4x630A, ( Reg. 500-630A ) DPX3 630, 120kA@220-240 Vac.- 70kA@380-415 Vac. - marca Legrand</t>
  </si>
  <si>
    <t>ITM de 4x320A, ( Reg. 250-320A ) DPX3 630, 150kA@220-240 Vac.- 100kA@380-415 Vac. - marca Legrand</t>
  </si>
  <si>
    <t>ITM de 4x400A, ( Reg. 320-400A ) DPX3 630, 150kA@220-240 Vac.- 100kA@380-415 Vac. - marca Legrand</t>
  </si>
  <si>
    <t>ITM de 4x500A, ( Reg. 400-500A ) DPX3 630, 150kA@220-240 Vac.- 100kA@380-415 Vac. - marca Legrand</t>
  </si>
  <si>
    <t>ITM de 4x630A, ( Reg. 500-630A ) DPX3 630, 150kA@220-240 Vac.- 100kA@380-415 Vac. - marca Legrand</t>
  </si>
  <si>
    <t>ITM de 3x320A, electronico S1(LS) ( Reg. 128-320A ) DPX3 630, 70kA@220-240 Vac.- 36kA@380-415 Vac. - marca Legrand</t>
  </si>
  <si>
    <t>ITM de 3x400A, electronico S1(LS) ( Reg. 160-400A ) DPX3 630, 70kA@220-240 Vac.- 36kA@380-415 Vac. - marca Legrand</t>
  </si>
  <si>
    <t>ITM de 3x500A, electronico S1(LS) ( Reg. 200-500A ) DPX3 630, 70kA@220-240 Vac.- 36kA@380-415 Vac. - marca Legrand</t>
  </si>
  <si>
    <t>ITM de 3x630A, electronico S1(LS) ( Reg. 252-630A ) DPX3 630, 70kA@220-240 Vac.- 36kA@380-415 Vac. - marca Legrand</t>
  </si>
  <si>
    <t>ITM de 3x320A, electronico S1(LS) ( Reg. 128-320A ) DPX3 630, 100kA@220-240 Vac.- 50kA@380-415 Vac. - marca Legrand</t>
  </si>
  <si>
    <t>ITM de 3x400A, electronico S1(LS) ( Reg. 160-400A ) DPX3 630, 100kA@220-240 Vac.- 50kA@380-415 Vac. - marca Legrand</t>
  </si>
  <si>
    <t>ITM de 3x500A, electronico S1(LS) ( Reg. 200-500A ) DPX3 630, 100kA@220-240 Vac.- 50kA@380-415 Vac. - marca Legrand</t>
  </si>
  <si>
    <t>ITM de 3x630A, electronico S1(LS) ( Reg. 252-630A ) DPX3 630, 100kA@220-240 Vac.- 50kA@380-415 Vac. - marca Legrand</t>
  </si>
  <si>
    <t>ITM de 3x320A, electronico S1(LS) ( Reg. 128-320A ) DPX3 630, 120kA@220-240 Vac.- 70kA@380-415 Vac. - marca Legrand</t>
  </si>
  <si>
    <t>ITM de 3x400A, electronico S1(LS) ( Reg. 160-400A ) DPX3 630, 120kA@220-240 Vac.- 70kA@380-415 Vac. - marca Legrand</t>
  </si>
  <si>
    <t>ITM de 3x500A, electronico S1(LS) ( Reg. 200-500A ) DPX3 630, 120kA@220-240 Vac.- 70kA@380-415 Vac. - marca Legrand</t>
  </si>
  <si>
    <t>ITM de 3x630A, electronico S1(LS) ( Reg. 252-630A ) DPX3 630, 120kA@220-240 Vac.- 70kA@380-415 Vac. - marca Legrand</t>
  </si>
  <si>
    <t>ITM de 3x320A, electronico S2(LSI) ( Reg. 128-320A ) DPX3 630, 70kA@220-240 Vac.- 36kA@380-415 Vac. - marca Legrand</t>
  </si>
  <si>
    <t>ITM de 3x400A, electronico S2(LSI) ( Reg. 160-400A ) DPX3 630, 70kA@220-240 Vac.- 36kA@380-415 Vac. - marca Legrand</t>
  </si>
  <si>
    <t>ITM de 3x500A, electronico S2(LSI) ( Reg. 200-500A ) DPX3 630, 70kA@220-240 Vac.- 36kA@380-415 Vac. - marca Legrand</t>
  </si>
  <si>
    <t>ITM de 3x630A, electronico S2(LSI) ( Reg. 252-630A ) DPX3 630, 70kA@220-240 Vac.- 36kA@380-415 Vac. - marca Legrand</t>
  </si>
  <si>
    <t>ITM de 3x320A, electronico S2(LSI) ( Reg. 128-320A ) DPX3 630, 100kA@220-240 Vac.- 50kA@380-415 Vac. - marca Legrand</t>
  </si>
  <si>
    <t>ITM de 3x400A, electronico S2(LSI) ( Reg. 160-400A ) DPX3 630, 100kA@220-240 Vac.- 50kA@380-415 Vac. - marca Legrand</t>
  </si>
  <si>
    <t>ITM de 3x500A, electronico S2(LSI) ( Reg. 200-500A ) DPX3 630, 100kA@220-240 Vac.- 50kA@380-415 Vac. - marca Legrand</t>
  </si>
  <si>
    <t>ITM de 3x630A, electronico S2(LSI) ( Reg. 252-630A ) DPX3 630, 100kA@220-240 Vac.- 50kA@380-415 Vac. - marca Legrand</t>
  </si>
  <si>
    <t>ITM de 3x320A, electronico S2(LSI) ( Reg. 128-320A ) DPX3 630, 120kA@220-240 Vac.- 70kA@380-415 Vac. - marca Legrand</t>
  </si>
  <si>
    <t>ITM de 3x400A, electronico S2(LSI) ( Reg. 160-400A ) DPX3 630, 120kA@220-240 Vac.- 70kA@380-415 Vac. - marca Legrand</t>
  </si>
  <si>
    <t>ITM de 3x500A, electronico S2(LSI) ( Reg. 200-500A ) DPX3 630, 120kA@220-240 Vac.- 70kA@380-415 Vac. - marca Legrand</t>
  </si>
  <si>
    <t>ITM de 3x630A, electronico S2(LSI) ( Reg. 252-630A ) DPX3 630, 120kA@220-240 Vac.- 70kA@380-415 Vac. - marca Legrand</t>
  </si>
  <si>
    <t>ITM de 3x800A, ( Reg. 630-800A ) DPX3 1600, 100kA@220-240 Vac.- 50kA@380-415 Vac. - marca Legrand</t>
  </si>
  <si>
    <t>ITM de 3x1000A, ( Reg. 800-1000A ) DPX3 1600, 100kA@220-240 Vac.- 50kA@380-415 Vac. - marca Legrand</t>
  </si>
  <si>
    <t>ITM de 3x1250A, ( Reg. 1000-1250A ) DPX3 1600, 100kA@220-240 Vac.- 50kA@380-415 Vac. - marca Legrand</t>
  </si>
  <si>
    <t>ITM de 3x800A, ( Reg. 630-800A ) DPX3 1600, 120kA@220-240 Vac.- 70kA@380-415 Vac. - marca Legrand</t>
  </si>
  <si>
    <t>ITM de 3x1000A, ( Reg. 800-1000A ) DPX3 1600, 120kA@220-240 Vac.- 70kA@380-415 Vac. - marca Legrand</t>
  </si>
  <si>
    <t>ITM de 3x1250A, ( Reg. 1000-1250A ) DPX3 1600, 120kA@220-240 Vac.- 70kA@380-415 Vac. - marca Legrand</t>
  </si>
  <si>
    <t>ITM de 3x800A, ( Reg. 630-800A ) DPX3 1600, 150kA@220-240 Vac.- 100kA@380-415 Vac. - marca Legrand</t>
  </si>
  <si>
    <t>ITM de 3x1000A, ( Reg. 800-1000A ) DPX3 1600, 150kA@220-240 Vac.- 100kA@380-415 Vac. - marca Legrand</t>
  </si>
  <si>
    <t>ITM de 3x1250A, ( Reg. 1000-1250A ) DPX3 1600, 150kA@220-240 Vac.- 100kA@380-415 Vac. - marca Legrand</t>
  </si>
  <si>
    <t>ITM de 4x800A, ( Reg. 630-800A ) DPX3 1600, 150kA@220-240 Vac.- 100kA@380-415 Vac. - marca Legrand</t>
  </si>
  <si>
    <t>ITM de 4x1000A, ( Reg. 800-1000A ) DPX3 1600, 150kA@220-240 Vac.- 100kA@380-415 Vac. - marca Legrand</t>
  </si>
  <si>
    <t>ITM de 4x1250A, ( Reg. 1000-1250A ) DPX3 1600, 150kA@220-240 Vac.- 100kA@380-415 Vac. - marca Legrand</t>
  </si>
  <si>
    <t>ITM de 3x800A, electronico S1(LS) ( Reg. 320-800A ) DPX3 1600, 100kA@220-240 Vac.- 50kA@380-415 Vac. - marca Legrand</t>
  </si>
  <si>
    <t>ITM de 3x1000A, electronico S1(LS) ( Reg. 400-1000A ) DPX3 1600, 100kA@220-240 Vac.- 50kA@380-415 Vac. - marca Legrand</t>
  </si>
  <si>
    <t>ITM de 3x1250A, electronico S1(LS) ( Reg. 500-1250A ) DPX3 1600, 100kA@220-240 Vac.- 50kA@380-415 Vac. - marca Legrand</t>
  </si>
  <si>
    <t>ITM de 3x1600A, electronico S1(LS) ( Reg. 640-1600A ) DPX3 1600, 100kA@220-240 Vac.- 50kA@380-415 Vac. - marca Legrand</t>
  </si>
  <si>
    <t>ITM de 3x800A, electronico S1(LS) ( Reg. 320-800A ) DPX3 1600, 120kA@220-240 Vac.- 70kA@380-415 Vac. - marca Legrand</t>
  </si>
  <si>
    <t>ITM de 3x1000A, electronico S1(LS) ( Reg. 400-1000A ) DPX3 1600, 120kA@220-240 Vac.- 70kA@380-415 Vac. - marca Legrand</t>
  </si>
  <si>
    <t>ITM de 3x1250A, electronico S1(LS) ( Reg. 500-1250A ) DPX3 1600, 120kA@220-240 Vac.- 70kA@380-415 Vac. - marca Legrand</t>
  </si>
  <si>
    <t>ITM de 3x1600A, electronico S1(LS) ( Reg. 640-1600A ) DPX3 1600, 120kA@220-240 Vac.- 70kA@380-415 Vac. - marca Legrand</t>
  </si>
  <si>
    <t>ITM de 3x800A, electronico S2(LSI) ( Reg. 320-800A ) DPX3 1600, 120kA@220-240 Vac.- 70kA@380-415 Vac. - marca Legrand</t>
  </si>
  <si>
    <t>ITM de 3x1000A, electronico S2(LSI) ( Reg. 400-1000A ) DPX3 1600, 120kA@220-240 Vac.- 70kA@380-415 Vac. - marca Legrand</t>
  </si>
  <si>
    <t>ITM de 3x1250A, electronico S2(LSI) ( Reg. 500-1250A ) DPX3 1600, 120kA@220-240 Vac.- 70kA@380-415 Vac. - marca Legrand</t>
  </si>
  <si>
    <t>ITM de 3x1600A, electronico S2(LSI) ( Reg. 640-1600A ) DPX3 1600, 120kA@220-240 Vac.- 70kA@380-415 Vac. - marca Legrand</t>
  </si>
  <si>
    <t>MEC_DMX3-T2</t>
  </si>
  <si>
    <t>CAB_DMX3-T2</t>
  </si>
  <si>
    <t>ATS_ESTANDAR</t>
  </si>
  <si>
    <t>Contacto-aux_DPX3</t>
  </si>
  <si>
    <t xml:space="preserve">Relé de protección diferencial que detecta corrientes de fallo. - marca Legrand </t>
  </si>
  <si>
    <t>Toroide diferencial (nucleo cerrado) - d=35mm, In_max=200A - marca Legrand.</t>
  </si>
  <si>
    <t>Toroide diferencial (nucleo cerrado) - d=80mm, In_max=400A - marca Legrand.</t>
  </si>
  <si>
    <t>Toroide diferencial (nucleo cerrado) - d=105mm, In_max=800A - marca Legrand.</t>
  </si>
  <si>
    <t>Toroide diferencial (nucleo cerrado) - d=140mm, In_max=1200A - marca Legrand.</t>
  </si>
  <si>
    <t>416880_</t>
  </si>
  <si>
    <t>Unidad de bloqueo mecánico para CTX3 22/40/65/100/150 Legrand</t>
  </si>
  <si>
    <t>Contactor para la gestión de la conmutación automática Legrand</t>
  </si>
  <si>
    <t>ITM Riel-Din 1x6A - DX3-6000 - 10kA@230V-IEC60947-2 - marca Legrand.</t>
  </si>
  <si>
    <t>ITM Riel-Din 1x10A - DX3-6000 - 10kA@230V-IEC60947-2 - marca Legrand.</t>
  </si>
  <si>
    <t>ITM Riel-Din 1x16A - DX3-6000 - 10kA@230V-IEC60947-2 - marca Legrand.</t>
  </si>
  <si>
    <t>ITM Riel-Din 1x20A - DX3-6000 - 10kA@230V-IEC60947-2 - marca Legrand.</t>
  </si>
  <si>
    <t>ITM Riel-Din 1x25A - DX3-6000 - 10kA@230V-IEC60947-2 - marca Legrand.</t>
  </si>
  <si>
    <t>ITM Riel-Din 1x32A - DX3-6000 - 10kA@230V-IEC60947-2 - marca Legrand.</t>
  </si>
  <si>
    <t>ITM Riel-Din 1x40A - DX3-6000 - 10kA@230V-IEC60947-2 - marca Legrand.</t>
  </si>
  <si>
    <t>ITM Riel-Din 1x50A - DX3-6000 - 10kA@230V-IEC60947-2 - marca Legrand.</t>
  </si>
  <si>
    <t>ITM Riel-Din 1x63A - DX3-6000 - 10kA@230V-IEC60947-2 - marca Legrand.</t>
  </si>
  <si>
    <t>ITM Riel-Din 2x6A - DX3-6000 - 10kA@400V-IEC60947-2 - marca Legrand.</t>
  </si>
  <si>
    <t>ITM Riel-Din 2x10A - DX3-6000 - 10kA@400V-IEC60947-2 - marca Legrand.</t>
  </si>
  <si>
    <t>ITM Riel-Din 2x16A - DX3-6000 - 10kA@400V-IEC60947-2 - marca Legrand.</t>
  </si>
  <si>
    <t>ITM Riel-Din 2x20A - DX3-6000 - 10kA@400V-IEC60947-2 - marca Legrand.</t>
  </si>
  <si>
    <t>ITM Riel-Din 2x25A - DX3-6000 - 10kA@400V-IEC60947-2 - marca Legrand.</t>
  </si>
  <si>
    <t>ITM Riel-Din 2x32A - DX3-6000 - 10kA@400V-IEC60947-2 - marca Legrand.</t>
  </si>
  <si>
    <t>ITM Riel-Din 2x40A - DX3-6000 - 10kA@400V-IEC60947-2 - marca Legrand.</t>
  </si>
  <si>
    <t>ITM Riel-Din 2x50A - DX3-6000 - 10kA@400V-IEC60947-2 - marca Legrand.</t>
  </si>
  <si>
    <t>ITM Riel-Din 2x63A - DX3-6000 - 10kA@400V-IEC60947-2 - marca Legrand.</t>
  </si>
  <si>
    <t>ITM Riel-Din 3x6A - DX3-6000 - 10kA@400V-IEC60947-2 - marca Legrand.</t>
  </si>
  <si>
    <t>ITM Riel-Din 3x10A - DX3-6000 - 10kA@400V-IEC60947-2 - marca Legrand.</t>
  </si>
  <si>
    <t>ITM Riel-Din 3x16A - DX3-6000 - 10kA@400V-IEC60947-2 - marca Legrand.</t>
  </si>
  <si>
    <t>ITM Riel-Din 3x20A - DX3-6000 - 10kA@400V-IEC60947-2 - marca Legrand.</t>
  </si>
  <si>
    <t>ITM Riel-Din 3x25A - DX3-6000 - 10kA@400V-IEC60947-2 - marca Legrand.</t>
  </si>
  <si>
    <t>ITM Riel-Din 3x32A - DX3-6000 - 10kA@400V-IEC60947-2 - marca Legrand.</t>
  </si>
  <si>
    <t>ITM Riel-Din 3x40A - DX3-6000 - 10kA@400V-IEC60947-2 - marca Legrand.</t>
  </si>
  <si>
    <t>ITM Riel-Din 3x50A - DX3-6000 - 10kA@400V-IEC60947-2 - marca Legrand.</t>
  </si>
  <si>
    <t>ITM Riel-Din 3x63A - DX3-6000 - 10kA@400V-IEC60947-2 - marca Legrand.</t>
  </si>
  <si>
    <t>ITM Riel-Din 4x6A - DX3-6000 - 10kA@400V-IEC60947-2 - marca Legrand.</t>
  </si>
  <si>
    <t>ITM Riel-Din 4x10A - DX3-6000 - 10kA@400V-IEC60947-2 - marca Legrand.</t>
  </si>
  <si>
    <t>ITM Riel-Din 4x16A - DX3-6000 - 10kA@400V-IEC60947-2 - marca Legrand.</t>
  </si>
  <si>
    <t>ITM Riel-Din 4x20A - DX3-6000 - 10kA@400V-IEC60947-2 - marca Legrand.</t>
  </si>
  <si>
    <t>ITM Riel-Din 4x25A - DX3-6000 - 10kA@400V-IEC60947-2 - marca Legrand.</t>
  </si>
  <si>
    <t>ITM Riel-Din 4x32A - DX3-6000 - 10kA@400V-IEC60947-2 - marca Legrand.</t>
  </si>
  <si>
    <t>ITM Riel-Din 4x40A - DX3-6000 - 10kA@400V-IEC60947-2 - marca Legrand.</t>
  </si>
  <si>
    <t>ITM Riel-Din 4x50A - DX3-6000 - 10kA@400V-IEC60947-2 - marca Legrand.</t>
  </si>
  <si>
    <t>ITM Riel-Din 4x63A - DX3-6000 - 10kA@400V-IEC60947-2 - marca Legrand.</t>
  </si>
  <si>
    <t>Interruptor Diferencial 2x25A - 30mA - clase AC - DX3-AC-25A/30mA - marca Legrand.</t>
  </si>
  <si>
    <t>Interruptor Diferencial 2x40A - 30mA - clase AC - DX3-AC-40A/30mA - marca Legrand</t>
  </si>
  <si>
    <t>Interruptor Diferencial 2x63A - 30mA - clase AC - DX3-AC-63A/30mA - marca Legrand</t>
  </si>
  <si>
    <t>Interruptor Diferencial 2x80A - 30mA - clase AC - DX3-AC-80A/30mA - marca Legrand</t>
  </si>
  <si>
    <t>Interruptor Diferencial 2x100A - 30mA - clase AC - DX3-AC-100A/30mA - marca Legrand</t>
  </si>
  <si>
    <t>Interruptor Diferencial 2x25A - 300mA - clase AC - DX3-AC-25A/300mA - marca Legrand.</t>
  </si>
  <si>
    <t>Interruptor Diferencial 2x40A - 300mA - clase AC - DX3-AC-40A/300mA - marca Legrand</t>
  </si>
  <si>
    <t>Interruptor Diferencial 2x63A - 300mA - clase AC - DX3-AC-63A/300mA - marca Legrand</t>
  </si>
  <si>
    <t>Interruptor Diferencial 4x25A - 30mA - clase AC - DX3-AC-25A/30mA - marca Legrand.</t>
  </si>
  <si>
    <t>Interruptor Diferencial 4x40A - 30mA - clase AC - DX3-AC-40A/30mA - marca Legrand</t>
  </si>
  <si>
    <t>Interruptor Diferencial 4x63A - 30mA - clase AC - DX3-AC-63A/30mA - marca Legrand</t>
  </si>
  <si>
    <t>Interruptor Diferencial 4x80A - 30mA - clase AC - DX3-AC-80A/30mA - marca Legrand</t>
  </si>
  <si>
    <t>Interruptor Diferencial 4x25A - 300mA - clase AC - DX3-AC-25A/300mA - marca Legrand.</t>
  </si>
  <si>
    <t>Interruptor Diferencial 4x40A - 300mA - clase AC - DX3-AC-40A/300mA - marca Legrand</t>
  </si>
  <si>
    <t>Interruptor Diferencial 4x63A - 300mA - clase AC - DX3-AC-63A/300mA - marca Legrand</t>
  </si>
  <si>
    <t>Interruptor Diferencial 4x80A - 300mA - clase AC - DX3-AC-80A/300mA - marca Legrand</t>
  </si>
  <si>
    <t>DX3-A-25A/30mA-2P</t>
  </si>
  <si>
    <t>Interruptor Diferencial 2x25A - 30mA - clase A(Inmunizado) - DX3-A-25A/30mA - marca Legrand.</t>
  </si>
  <si>
    <t>411554</t>
  </si>
  <si>
    <t>DX3-A-40A/30mA-2P</t>
  </si>
  <si>
    <t>Interruptor Diferencial 2x40A - 30mA - clase A(Inmunizado) - DX3-A-40A/30mA - marca Legrand</t>
  </si>
  <si>
    <t>411555</t>
  </si>
  <si>
    <t>DX3-A-63A/30mA-2P</t>
  </si>
  <si>
    <t>Interruptor Diferencial 2x63A - 30mA - clase A(Inmunizado) - DX3-A-63A/30mA - marca Legrand</t>
  </si>
  <si>
    <t>411556</t>
  </si>
  <si>
    <t>DX3-A-25A/30mA-4P</t>
  </si>
  <si>
    <t>Interruptor Diferencial 4x25A - 30mA - clase A(Inmunizado) - DX3-A-25A/30mA - marca Legrand.</t>
  </si>
  <si>
    <t>411759</t>
  </si>
  <si>
    <t>DX3-A-40A/30mA-4P</t>
  </si>
  <si>
    <t>Interruptor Diferencial 4x40A - 30mA - clase A(Inmunizado) - DX3-A-40A/30mA - marca Legrand</t>
  </si>
  <si>
    <t>411760</t>
  </si>
  <si>
    <t>DX3-A-63A/30mA-4P</t>
  </si>
  <si>
    <t>Interruptor Diferencial 4x63A - 30mA - clase A(Inmunizado) - DX3-A-63A/30mA - marca Legrand</t>
  </si>
  <si>
    <t>411761</t>
  </si>
  <si>
    <t>DX3-A-80A/30mA-4P</t>
  </si>
  <si>
    <t>Interruptor Diferencial 4x80A - 30mA - clase A(Inmunizado) - DX3-A-80A/30mA - marca Legrand</t>
  </si>
  <si>
    <t>411763</t>
  </si>
  <si>
    <t>Interruptor Diferencial 2x25A - 300mA - clase A (Inmunizado) - DX3-A-25A/300mA - marca Legrand.</t>
  </si>
  <si>
    <t>Interruptor Diferencial 2x40A - 300mA - clase A (Inmunizado) - DX3-A-40A/300mA - marca Legrand.</t>
  </si>
  <si>
    <t>Interruptor Diferencial 2x63A - 300mA - clase A (Inmunizado) - DX3-A-63A/300mA - marca Legrand.</t>
  </si>
  <si>
    <t>Interruptor Diferencial 4x25A - 300mA - clase A (Inmunizado) - DX3-A-25A/300mA - marca Legrand.</t>
  </si>
  <si>
    <t>Interruptor Diferencial 4x40A - 300mA - clase A (Inmunizado) - DX3-A-40A/300mA - marca Legrand.</t>
  </si>
  <si>
    <t>Interruptor Diferencial 4x63A - 300mA - clase A (Inmunizado) - DX3-A-63A/300mA - marca Legrand.</t>
  </si>
  <si>
    <t>Interruptor Diferencial 4x80A - 300mA - clase A (Inmunizado) - DX3-A-80A/300mA - marca Legrand.</t>
  </si>
  <si>
    <t>Interruptor Diferencial 2x25A - 30mA - HPI (Superinmunizado) - DX3-HPI-25A/30mA - marca Legrand.</t>
  </si>
  <si>
    <t>Interruptor Diferencial 2x40A - 30mA - HPI (Superinmunizado) - DX3-HPI-40A/30mA - marca Legrand.</t>
  </si>
  <si>
    <t>Interruptor Diferencial 2x63A - 30mA - HPI (Superinmunizado) - DX3-HPI-63A/30mA - marca Legrand.</t>
  </si>
  <si>
    <t>Interruptor Diferencial 4x25A - 30mA - HPI (Superinmunizado) - DX3-HPI-25A/30mA - marca Legrand.</t>
  </si>
  <si>
    <t>Interruptor Diferencial 4x40A - 30mA - HPI (Superinmunizado) - DX3-HPI-40A/30mA - marca Legrand.</t>
  </si>
  <si>
    <t>Interruptor Diferencial 4x63A - 30mA - HPI (Superinmunizado) - DX3-HPI-63A/30mA - marca Legrand.</t>
  </si>
  <si>
    <t>ITM Riel-Din 2x6A - RX3-C-6A - 10kA@230Vac, 6kA@400Vac-IEC60898 - marca Legrand</t>
  </si>
  <si>
    <t>ITM Riel-Din 2x10A - RX3-C-10A - 10kA@230Vac, 6kA@400Vac-IEC60898 - marca Legrand</t>
  </si>
  <si>
    <t>ITM Riel-Din 2x16A - RX3-C-16A - 10kA@230Vac, 6kA@400Vac-IEC60898 - marca Legrand</t>
  </si>
  <si>
    <t>ITM Riel-Din 2x20A - RX3-C-20A - 10kA@230Vac, 6kA@400Vac-IEC60898 - marca Legrand</t>
  </si>
  <si>
    <t>ITM Riel-Din 2x25A - RX3-C-25A - 10kA@230Vac, 6kA@400Vac-IEC60898 - marca Legrand</t>
  </si>
  <si>
    <t>ITM Riel-Din 2x32A - RX3-C-32A - 10kA@230Vac, 6kA@400Vac-IEC60898 - marca Legrand</t>
  </si>
  <si>
    <t>ITM Riel-Din 2x40A - RX3-C-40A - 10kA@230Vac, 6kA@400Vac-IEC60898 - marca Legrand</t>
  </si>
  <si>
    <t>ITM Riel-Din 2x50A - RX3-C-50A - 10kA@230Vac, 6kA@400Vac-IEC60898 - marca Legrand</t>
  </si>
  <si>
    <t>ITM Riel-Din 2x63A - RX3-C-63A - 10kA@230Vac, 6kA@400Vac-IEC60898 - marca Legrand</t>
  </si>
  <si>
    <t>ITM Riel-Din 3x6A - RX3-C-6A - 10kA@230Vac, 6kA@400Vac-IEC60898 - marca Legrand</t>
  </si>
  <si>
    <t>ITM Riel-Din 3x10A - RX3-C-10A - 10kA@230Vac, 6kA@400Vac-IEC60898 - marca Legrand</t>
  </si>
  <si>
    <t>ITM Riel-Din 3x16A - RX3-C-16A - 10kA@230Vac, 6kA@400Vac-IEC60898 - marca Legrand</t>
  </si>
  <si>
    <t>ITM Riel-Din 3x20A - RX3-C-20A - 10kA@230Vac, 6kA@400Vac-IEC60898 - marca Legrand</t>
  </si>
  <si>
    <t>ITM Riel-Din 3x25A - RX3-C-25A - 10kA@230Vac, 6kA@400Vac-IEC60898 - marca Legrand</t>
  </si>
  <si>
    <t>ITM Riel-Din 3x32A - RX3-C-32A - 10kA@230Vac, 6kA@400Vac-IEC60898 - marca Legrand</t>
  </si>
  <si>
    <t>ITM Riel-Din 3x40A - RX3-C-40A - 10kA@230Vac, 6kA@400Vac-IEC60898 - marca Legrand</t>
  </si>
  <si>
    <t>ITM Riel-Din 3x50A - RX3-C-50A - 10kA@230Vac, 6kA@400Vac-IEC60898 - marca Legrand</t>
  </si>
  <si>
    <t>ITM Riel-Din 3x63A - RX3-C-63A - 10kA@230Vac, 6kA@400Vac-IEC60898 - marca Legrand</t>
  </si>
  <si>
    <t>Interruptor Diferencial 2x25A - 30mA - clase AC - RX3-AC-25A/30mA - marca Legrand.</t>
  </si>
  <si>
    <t>Interruptor Diferencial 2x40A - 30mA - clase AC - RX3-AC-40A/30mA - marca Legrand</t>
  </si>
  <si>
    <t>Interruptor Diferencial 2x63A - 30mA - clase AC - RX3-AC-63A/30mA - marca Legrand</t>
  </si>
  <si>
    <t>Interruptor Diferencial 4x25A - 30mA - clase AC - RX3-AC-25A/30mA - marca Legrand.</t>
  </si>
  <si>
    <t>Interruptor Diferencial 4x40A - 30mA - clase AC - RX3-AC-40A/30mA - marca Legrand</t>
  </si>
  <si>
    <t>Interruptor Diferencial 4x63A - 30mA - clase AC - RX3-AC-63A/30mA - marca Legrand</t>
  </si>
  <si>
    <t>Limitador de sobretensión  T2 1P, 320V-marca Legrand.</t>
  </si>
  <si>
    <t>Limitador de sobretensión  1P, 12.5KA, 320V-marca Legrand.</t>
  </si>
  <si>
    <t>Limitador de sobretensión  3P, 37.5KA, 320V-marca Legrand.</t>
  </si>
  <si>
    <t>Limitador de sobretensión  1P+N, 25KA, 320V-marca Legrand.</t>
  </si>
  <si>
    <t>Limitador de sobretensión 3P+N, 50KA, 320V-marca Legrand.</t>
  </si>
  <si>
    <t>Limitador de sobretensión 1P, 35KA, 440V-marca Legrand.</t>
  </si>
  <si>
    <t>Limitador de sobretensión 1P+N, 50KA, 350V-marca Legrand.</t>
  </si>
  <si>
    <t>Limitador de sobretensión 3P, 75KA, 440V-marca Legrand.</t>
  </si>
  <si>
    <t>Limitador de sobretensión 3P+N, 100KA, 440V-marca Legrand.</t>
  </si>
  <si>
    <t>Contactor 3x09A(AC-3) 1NO+1NC - CTX3-9A - bobina 230Vac - marca Legrand.</t>
  </si>
  <si>
    <t>Contactor 3x12A(AC-3) 1NO+1NC - CTX3-12A - bobina 230Vac - marca Legrand.</t>
  </si>
  <si>
    <t>Contactor 3x18A(AC-3) 1NO+1NC - CTX3-18A - bobina 230Vac - marca Legrand.</t>
  </si>
  <si>
    <t>Contactor 3x22A(AC-3) 1NO+1NC - CTX3-22A - bobina 230Vac - marca Legrand.</t>
  </si>
  <si>
    <t>Contactor 3x32A(AC-3) 2NO+2NC - CTX3-32A - bobina 230Vac - marca Legrand.</t>
  </si>
  <si>
    <t>Contactor 3x40A(AC-3) 2NO+2NC - CTX3-40A - bobina 230Vac - marca Legrand.</t>
  </si>
  <si>
    <t>Contactor 3x50A(AC-3) 2NO+2NC - CTX3-50A - bobina 230Vac - marca Legrand.</t>
  </si>
  <si>
    <t>Contactor 3x65A(AC-3) 2NO+2NC - CTX3-65A - bobina 230Vac - marca Legrand.</t>
  </si>
  <si>
    <t>Contactor 3x75A(AC-3) 2NO+2NC - CTX3-75A - bobina 230Vac - marca Legrand.</t>
  </si>
  <si>
    <t>Contactor 3x85A(AC-3) 2NO+2NC - CTX3-85A - bobina 230Vac - marca Legrand.</t>
  </si>
  <si>
    <t>Contactor 3x100A(AC-3) 2NO+2NC - CTX3-100A - bobina 230Vac - marca Legrand.</t>
  </si>
  <si>
    <t>Contactor 3x130A(AC-3) 2NO+2NC - CTX3-130A - bobina 230Vac - marca Legrand.</t>
  </si>
  <si>
    <t>Contactor 3x150A(AC-3) 2NO+2NC - CTX3-150A - bobina 230Vac - marca Legrand.</t>
  </si>
  <si>
    <t>Minicontactor de control 3x6A + 1NO - bobina 230Vac - marca Legrand.</t>
  </si>
  <si>
    <t>Minicontactor de control 3x9A + 1NO - bobina 230Vac - marca Legrand.</t>
  </si>
  <si>
    <t>Minicontactor de control 3x12A + 1NO - bobina 230Vac - marca Legrand.</t>
  </si>
  <si>
    <t>Minicontactor de control 3x16A + 1NO - bobina 230Vac - marca Legrand.</t>
  </si>
  <si>
    <t>Relé de sobrecarga, para contactores CTX3-22…CTX3-40, regulable (0.10 - 0.16)A. - marca Legrand.</t>
  </si>
  <si>
    <t>Relé de sobrecarga, para contactores CTX3-22…CTX3-40, regulable (0.16 - 0.25)A. - marca Legrand.</t>
  </si>
  <si>
    <t>Relé de sobrecarga, para contactores CTX3-22…CTX3-40, regulable (0.25 - 0.40)A. - marca Legrand.</t>
  </si>
  <si>
    <t>Relé de sobrecarga, para contactores CTX3-22…CTX3-40, regulable (0.40 - 0.63)A. - marca Legrand.</t>
  </si>
  <si>
    <t>Relé de sobrecarga, para contactores CTX3-22…CTX3-40, regulable (0.63 - 1.00)A. - marca Legrand.</t>
  </si>
  <si>
    <t>Relé de sobrecarga, para contactores CTX3-22…CTX3-40, regulable (1.00 - 1.60)A. - marca Legrand.</t>
  </si>
  <si>
    <t>Relé de sobrecarga, para contactores CTX3-22…CTX3-40, regulable (1.60 - 2.50)A. - marca Legrand.</t>
  </si>
  <si>
    <t>Relé de sobrecarga, para contactores CTX3-22…CTX3-40, regulable (2.50 - 4.00)A. - marca Legrand.</t>
  </si>
  <si>
    <t>Relé de sobrecarga, para contactores CTX3-22…CTX3-40, regulable (4.00 - 6.00)A. - marca Legrand.</t>
  </si>
  <si>
    <t>Relé de sobrecarga, para contactores CTX3-22…CTX3-40, regulable (5.00 - 8.00)A. - marca Legrand.</t>
  </si>
  <si>
    <t>Relé de sobrecarga, para contactores CTX3-22…CTX3-40, regulable (6.00 - 9.00)A. - marca Legrand.</t>
  </si>
  <si>
    <t>Relé de sobrecarga, para contactores CTX3-22…CTX3-40, regulable (7.00 - 10.00)A. - marca Legrand.</t>
  </si>
  <si>
    <t>Relé de sobrecarga, para contactores CTX3-22…CTX3-40, regulable (9.00 - 13.00)A. - marca Legrand.</t>
  </si>
  <si>
    <t>Relé de sobrecarga, para contactores CTX3-22…CTX3-40, regulable (12.00 - 18.00)A. - marca Legrand.</t>
  </si>
  <si>
    <t>Relé de sobrecarga, para contactores CTX3-22…CTX3-40, regulable (16.00 - 22.00)A. - marca Legrand.</t>
  </si>
  <si>
    <t>Relé de sobrecarga, para contactores CTX3-22…CTX3-40, regulable (18.00 - 25.00)A. - marca Legrand.</t>
  </si>
  <si>
    <t>Relé de sobrecarga, para contactores CTX3-22…CTX3-40, regulable (22.00 - 32.00)A. - marca Legrand.</t>
  </si>
  <si>
    <t>Relé de sobrecarga, para contactores CTX3-22…CTX3-40, regulable (28.00 - 40.00)A. - marca Legrand.</t>
  </si>
  <si>
    <t>Relé de sobrecarga, para contactores CTX3-50…CTX3-65, regulable (24.00 - 36.00)A. - marca Legrand.</t>
  </si>
  <si>
    <t>Relé de sobrecarga, para contactores CTX3-50…CTX3-65, regulable (28.00 - 40.00)A. - marca Legrand.</t>
  </si>
  <si>
    <t>Relé de sobrecarga, para contactores CTX3-50…CTX3-65, regulable (34.00 - 50.00)A. - marca Legrand.</t>
  </si>
  <si>
    <t>Relé de sobrecarga, para contactores CTX3-50…CTX3-65, regulable (45.00 - 65.00)A. - marca Legrand.</t>
  </si>
  <si>
    <t>Relé de sobrecarga, para contactores CTX3-75…CTX3-100, regulable (54.00 - 75.00)A. - marca Legrand.</t>
  </si>
  <si>
    <t>Relé de sobrecarga, para contactores CTX3-75…CTX3-100, regulable (63.00 - 85.00)A. - marca Legrand.</t>
  </si>
  <si>
    <t>Relé de sobrecarga, para contactores CTX3-75…CTX3-100, regulable (70.00 - 95.00)A. - marca Legrand.</t>
  </si>
  <si>
    <t>Relé de sobrecarga, para contactores CTX3-75…CTX3-100, regulable (80.00 - 100.00)A. - marca Legrand.</t>
  </si>
  <si>
    <t>Relé de sobrecarga, para contactores CTX3-130…CTX3-150, regulable (110.00 - 150.00)A. - marca Legrand.</t>
  </si>
  <si>
    <t>E1.2N-1600A-4P-Ekip Dip LSI</t>
  </si>
  <si>
    <t>ITM Bastidor Abierto 4x1600A (electrónico [0.4-1.0] In) - E1.2N-1600A-4P-Ekip Dip LSI - 66kA@440Vac - marca ABB.</t>
  </si>
  <si>
    <t>1SDA071512R1</t>
  </si>
  <si>
    <t>S201M-C-10A</t>
  </si>
  <si>
    <t>ITM Riel-Din 1x10A - S202M-C-10A - 10kA@400Vac-IEC60947-2 - marca ABB.</t>
  </si>
  <si>
    <t>S201M-C-16A</t>
  </si>
  <si>
    <t>ITM Riel-Din 1x16A - S202M-C-16A - 10kA@400Vac-IEC60947-2 - marca ABB.</t>
  </si>
  <si>
    <t>S201M-C-20A</t>
  </si>
  <si>
    <t>ITM Riel-Din 1x20A - S202M-C-20A - 10kA@400Vac-IEC60947-2 - marca ABB.</t>
  </si>
  <si>
    <t>S201M-C-25A</t>
  </si>
  <si>
    <t>ITM Riel-Din 1x25A - S202M-C-25A - 10kA@400Vac-IEC60947-2 - marca ABB.</t>
  </si>
  <si>
    <t>S201M-C-32A</t>
  </si>
  <si>
    <t>ITM Riel-Din 1x32A - S202M-C-32A - 10kA@400Vac-IEC60947-2 - marca ABB.</t>
  </si>
  <si>
    <t>S201M-C-40A</t>
  </si>
  <si>
    <t>ITM Riel-Din 1x40A - S202M-C-40A - 10kA@400Vac-IEC60947-2 - marca ABB.</t>
  </si>
  <si>
    <t>S201M-C-50A</t>
  </si>
  <si>
    <t>ITM Riel-Din 1x50A - S202M-C-50A - 10kA@400Vac-IEC60947-2 - marca ABB.</t>
  </si>
  <si>
    <t>S201M-C-63A</t>
  </si>
  <si>
    <t>ITM Riel-Din 1x63A - S202M-C-63A - 10kA@400Vac-IEC60947-2 - marca ABB.</t>
  </si>
  <si>
    <t>ITM Riel-Din 3x10A - S203M-C-10A - 10kA@400Vac-IEC60947-2 - marca ABB.</t>
  </si>
  <si>
    <t>ITM Riel-Din 3x16A - S203M-C-16A - 10kA@400Vac-IEC60947-2 - marca ABB.</t>
  </si>
  <si>
    <t>ITM Riel-Din 3x20A - S203M-C-20A - 10kA@400Vac-IEC60947-2 - marca ABB.</t>
  </si>
  <si>
    <t>ITM Riel-Din 3x25A - S203M-C-25A - 10kA@400Vac-IEC60947-2 - marca ABB.</t>
  </si>
  <si>
    <t>ITM Riel-Din 3x32A - S203M-C-32A - 10kA@400Vac-IEC60947-2 - marca ABB.</t>
  </si>
  <si>
    <t>ITM Riel-Din 3x40A - S203M-C-40A - 10kA@400Vac-IEC60947-2 - marca ABB.</t>
  </si>
  <si>
    <t>ITM Riel-Din 3x50A - S203M-C-50A - 10kA@400Vac-IEC60947-2 - marca ABB.</t>
  </si>
  <si>
    <t>ITM Riel-Din 3x63A - S203M-C-63A - 10kA@400Vac-IEC60947-2 - marca ABB.</t>
  </si>
  <si>
    <t>OVRHSP602401P</t>
  </si>
  <si>
    <t>Supresor contra sobretensiones (Tipo 1, UL 1449) - OVRHSP602401P - I_max=60kA por fase, Un=240V - marca ABB.</t>
  </si>
  <si>
    <t>2CJB106240P0000</t>
  </si>
  <si>
    <t>OVRHSP802401P</t>
  </si>
  <si>
    <t>Supresor contra sobretensiones (Tipo 1, UL 1449) - OVRHSP802401P - I_max=80kA por fase, Un=240V - marca ABB.</t>
  </si>
  <si>
    <t>2CJB108240P0000</t>
  </si>
  <si>
    <t>A1N/P125-25A-1P-TMF</t>
  </si>
  <si>
    <t>ITM Caja Moldeada 1x25A - A1N/P125-25A-1P-TMF - 25kA@230V, 5kA@400V - marca ABB.</t>
  </si>
  <si>
    <t>1SDA066687R1</t>
  </si>
  <si>
    <t>A1N/P125-60A-1P-TMF</t>
  </si>
  <si>
    <t>ITM Caja Moldeada 1x60A - A1N/P125-60A-1P-TMF - 25kA@230V, 5kA@400V - marca ABB.</t>
  </si>
  <si>
    <t>1SDA066691R1</t>
  </si>
  <si>
    <t>XT2L160-16A-3P-TMD</t>
  </si>
  <si>
    <t>ITM Caja Moldeada 3x16A (reg.[0.7-1.0] In) - XT2L160-16A-3P-TMD - 150kA@230Vac, 120kA@415Vac - marca ABB.</t>
  </si>
  <si>
    <t>1SDA067638R1</t>
  </si>
  <si>
    <t>XT2L160-20A-3P-TMD</t>
  </si>
  <si>
    <t>ITM Caja Moldeada 3x20A (reg.[0.7-1.0] In) - XT2L160-20A-3P-TMD - 150kA@230Vac, 120kA@415Vac - marca ABB.</t>
  </si>
  <si>
    <t>1SDA067639R1</t>
  </si>
  <si>
    <t>XT2L160-25A-3P-TMD</t>
  </si>
  <si>
    <t>ITM Caja Moldeada 3x25A (reg.[0.7-1.0] In) - XT2L160-25A-3P-TMD - 150kA@230Vac, 120kA@415Vac - marca ABB.</t>
  </si>
  <si>
    <t>1SDA067640R1</t>
  </si>
  <si>
    <t>XT2L160-32A-3P-TMD</t>
  </si>
  <si>
    <t>ITM Caja Moldeada 3x32A (reg.[0.7-1.0] In) - XT2L160-32A-3P-TMD - 150kA@230Vac, 120kA@415Vac - marca ABB.</t>
  </si>
  <si>
    <t>1SDA067641R1</t>
  </si>
  <si>
    <t>XT2L160-40A-3P-TMA</t>
  </si>
  <si>
    <t>ITM Caja Moldeada 3x40A (reg.[0.7-1.0] In) - XT2L160-40A-3P-TMA - 150kA@230Vac, 120kA@415Vac - marca ABB.</t>
  </si>
  <si>
    <t>1SDA067642R1</t>
  </si>
  <si>
    <t>XT2L160-50A-3P-TMA</t>
  </si>
  <si>
    <t>ITM Caja Moldeada 3x50A (reg.[0.7-1.0] In) - XT2L160-50A-3P-TMA - 150kA@230Vac, 120kA@415Vac - marca ABB.</t>
  </si>
  <si>
    <t>1SDA067643R1</t>
  </si>
  <si>
    <t>XT2L160-63A-3P-TMA</t>
  </si>
  <si>
    <t>ITM Caja Moldeada 3x63A (reg.[0.7-1.0] In) - XT2L160-63A-3P-TMA - 150kA@230Vac, 120kA@415Vac - marca ABB.</t>
  </si>
  <si>
    <t>1SDA067644R1</t>
  </si>
  <si>
    <t>XT2L160-80A-3P-TMA</t>
  </si>
  <si>
    <t>ITM Caja Moldeada 3x80A (reg.[0.7-1.0] In) - XT2L160-80A-3P-TMA - 150kA@230Vac, 120kA@415Vac - marca ABB.</t>
  </si>
  <si>
    <t>1SDA067645R1</t>
  </si>
  <si>
    <t>XT2L160-100A-3P-TMA</t>
  </si>
  <si>
    <t>ITM Caja Moldeada 3x100A (reg.[0.7-1.0] In) - XT2L160-100A-3P-TMA - 150kA@230Vac, 120kA@415Vac - marca ABB.</t>
  </si>
  <si>
    <t>1SDA067646R1</t>
  </si>
  <si>
    <t>XT2L160-125A-3P-TMA</t>
  </si>
  <si>
    <t>ITM Caja Moldeada 3x125A (reg.[0.7-1.0] In) - XT2L160-125A-3P-TMA - 150kA@230Vac, 120kA@415Vac - marca ABB.</t>
  </si>
  <si>
    <t>1SDA067647R1</t>
  </si>
  <si>
    <t>XT2L160-160A-3P-TMA</t>
  </si>
  <si>
    <t>ITM Caja Moldeada 3x160A (reg.[0.7-1.0] In) - XT2L160-160A-3P-TMA - 150kA@230Vac, 120kA@415Vac - marca ABB.</t>
  </si>
  <si>
    <t>1SDA067648R1</t>
  </si>
  <si>
    <t>XT4L250-200A-3P-TMA</t>
  </si>
  <si>
    <t>ITM Caja Moldeada 3x200A (reg.[0.7-1.0] In) - XT4L250-200A-3P-TMA - 150kA@230Vac, 120kA@415Vac - marca ABB.</t>
  </si>
  <si>
    <t>1SDA068376R1</t>
  </si>
  <si>
    <t>XT4L250-225A-3P-TMA</t>
  </si>
  <si>
    <t>ITM Caja Moldeada 3x225A (reg.[0.7-1.0] In) - XT4L250-225A-3P-TMA - 150kA@230Vac, 120kA@415Vac - marca ABB.</t>
  </si>
  <si>
    <t>1SDA068377R1</t>
  </si>
  <si>
    <t>XT4L250-250A-3P-TMA</t>
  </si>
  <si>
    <t>ITM Caja Moldeada 3x250A (reg.[0.7-1.0] In) - XT4L250-250A-3P-TMA - 150kA@230Vac, 120kA@415Vac - marca ABB.</t>
  </si>
  <si>
    <t>1SDA068378R1</t>
  </si>
  <si>
    <t>ITM Caja Moldeada 3x1000A (electrónico [0.4-1.0] In) - T7S1000-1000A-3P-PR231 P-LS/I - 85kA@230Vac, 50kA@415Vac - marca ABB.</t>
  </si>
  <si>
    <t>ITM Caja Moldeada 3x1250A (electrónico [0.4-1.0] In) - T7S1250-1250A-3P-PR231 P-LS/I - 85kA@230Vac, 50kA@415Vac - marca ABB.</t>
  </si>
  <si>
    <t>ITM Caja Moldeada 3x1600A (electrónico [0.4-1.0] In) - T7S1600-1600A-3P-PR231 P-LS/I - 85kA@230Vac, 50kA@415Vac - marca ABB.</t>
  </si>
  <si>
    <t>T4L320-320A-3P-PR222DS/P-LSI</t>
  </si>
  <si>
    <t>ITM Caja Moldeada 3x320A (electrónico [0.4-1.0] In) - T4L320-320A-3P-PR222DS/P-LSI - 100kA@230Vac, 120kA@415Vac - marca ABB.</t>
  </si>
  <si>
    <t>1SDA054143R1</t>
  </si>
  <si>
    <t>ITM Caja Moldeada 3x400A (electrónico [0.4-1.0] In) - T5L400-400A-3P-PR222DS/P-LSI - 200kA@230Vac, 120kA@415Vac - marca ABB.</t>
  </si>
  <si>
    <t>ITM Caja Moldeada 4x400A (electrónico [0.4-1.0] In) - T5L400-400A-4P-PR222DS/P-LSI - 200kA@230Vac, 120kA@415Vac - marca ABB.</t>
  </si>
  <si>
    <t>ITM Caja Moldeada 4x630A (electrónico [0.4-1.0] In) - T5L630-630A-4P-PR222DS/P-LSI - 200kA@230Vac, 120kA@415Vac - marca ABB.</t>
  </si>
  <si>
    <t>ITM Caja Moldeada 3x800A (electrónico [0.4-1.0] In) - T7S800-800A-3P-PR232/P-LSI - 85kA@230Vac, 50kA@415Vac - marca ABB.</t>
  </si>
  <si>
    <t>ITM Caja Moldeada 3x1000A (electrónico [0.4-1.0] In) - T7S1000-1000A-3P-PR232/P-LSI - 85kA@230Vac, 50kA@415Vac - marca ABB.</t>
  </si>
  <si>
    <t>ITM Caja Moldeada 3x1250A (electrónico [0.4-1.0] In) - T7S1250-1250A-3P-PR232/P-LSI - 85kA@230Vac, 50kA@415Vac - marca ABB.</t>
  </si>
  <si>
    <t>ITM Caja Moldeada 3x1600A (electrónico [0.4-1.0] In) - T7S1600-1600A-3P-PR232/P-LSI - 85kA@230Vac, 50kA@415Vac - marca ABB.</t>
  </si>
  <si>
    <t>ITM Caja Moldeada 3x1600A (electrónico [0.4-1.0] In) - T7S1600-1600A-3P-PR332/P-LSIG - 85kA@230Vac, 50kA@415Vac - marca ABB.</t>
  </si>
  <si>
    <t>T7L800-800A-3P-PR232/P-LSI</t>
  </si>
  <si>
    <t>ITM Caja Moldeada 3x800A (electrónico [0.4-1.0] In) - T7L800-800A-3P-PR232/P-LSI - 120kA@415Vac - marca ABB.</t>
  </si>
  <si>
    <t>1SDA062675R1</t>
  </si>
  <si>
    <t>T7L1250-1250A-3P-PR232/P-LSI</t>
  </si>
  <si>
    <t>ITM Caja Moldeada 3x1250A (electrónico [0.4-1.0] In) - T7L1250-1250A-3P-PR232/P-LSI - 120kA@415Vac - marca ABB.</t>
  </si>
  <si>
    <t>1SDA062931R1</t>
  </si>
  <si>
    <t>T7S1250-1250A-4P-PR231/P-LSIG</t>
  </si>
  <si>
    <t>ITM Caja Moldeada 4x1250A (electrónico [0.4-1.0] In) - T7S1250-1250A-4P-PR231/P-LSIG - 50kA@415Vac - marca ABB.</t>
  </si>
  <si>
    <t>1SDA062876R1</t>
  </si>
  <si>
    <t>T7L1000(M)-1000A-3P-PR232/P-LSI</t>
  </si>
  <si>
    <t>ITM Caja Moldeada 3x1000A (electrónico [0.4-1.0] In) - T7L1000(M)-1000A-3P-PR232/P-LSI - 120kA@415Vac - marca ABB.</t>
  </si>
  <si>
    <t>1SDA062819R1</t>
  </si>
  <si>
    <t>T7L1250(M)-1250A-3P-PR232/P-LSI</t>
  </si>
  <si>
    <t>ITM Caja Moldeada 3x1250A (electrónico [0.4-1.0] In) - T7L1250(M) -1250A-3P-PR232/P-LSI - 120kA@415Vac - marca ABB.</t>
  </si>
  <si>
    <t>1SDA062947R1</t>
  </si>
  <si>
    <t>E2.2S-2500A-3P-Ekip Touch LSI</t>
  </si>
  <si>
    <t>ITM Bastidor Abierto 3x2500A (electrónico [0.4-1.0] In) - E2.2S-2500A-3P-Ekip Touch LSI - 85kA@440Vac - marca ABB.</t>
  </si>
  <si>
    <t>1SDA071075R1</t>
  </si>
  <si>
    <t>CA4-40EK</t>
  </si>
  <si>
    <t>Contacto auxiliar  1NA para contactor AF26…AF96…-30-00, Modelo CA4-40EK - marca ABB.</t>
  </si>
  <si>
    <t>1SBN010146R1040</t>
  </si>
  <si>
    <t>PSR25-600-70</t>
  </si>
  <si>
    <t>Arrancador electronico / gama compacta PSR (7.5HP-230V/ 15HP-460V)</t>
  </si>
  <si>
    <t>1SFA896108R7000</t>
  </si>
  <si>
    <t>PSR60-600-70</t>
  </si>
  <si>
    <t>Arrancador electronico / gama compacta PSR (20HP-230V/ 40HP-460V)</t>
  </si>
  <si>
    <t>1SFA896112R7000</t>
  </si>
  <si>
    <t>PSR85-600-70</t>
  </si>
  <si>
    <t>Arrancador electronico / gama compacta PSR (30HP-230V/ 60HP-460V)</t>
  </si>
  <si>
    <t>1SFA896114R7000</t>
  </si>
  <si>
    <t>PS-FBPA</t>
  </si>
  <si>
    <t>MODULO PARA COMUNICACIÓN POR BUS CAMPO , DISPONIBLE PARA PORFIBUS, MODBUS, CAN OPEN, DEVICE NET</t>
  </si>
  <si>
    <t>1SFA896312R1002</t>
  </si>
  <si>
    <t>GES2015FFG</t>
  </si>
  <si>
    <t>ITM de 2x15A , GES,  85kA-240Vac. / 35kA-480Vac. - marca EATON.</t>
  </si>
  <si>
    <t>SNT120CPK</t>
  </si>
  <si>
    <t>Bobina de disparo 120-240Vac, SNT120CPK, para modelos GE/GJ/GL - marca EATON.</t>
  </si>
  <si>
    <t>RGH316036B21EC</t>
  </si>
  <si>
    <t>ITM de 3x1600A - RGH relé electrónico LSIG, 100% RATED, marca EATON.</t>
  </si>
  <si>
    <t>ITM Bastidor Abierto de 3x1000A , ( Reg. 0.4-1.0 de In ), LSI, serie IZMX, modelo NAS, 50kA@415Vac. + contacto auxiliar 2NA/NC + Comando motorizado - marca EATON.</t>
  </si>
  <si>
    <t>IZMX 2500(M)_55kA</t>
  </si>
  <si>
    <t>ITM Bastidor Abierto de 3x2500A , ( Reg. 0.4-1.0 de In ), LSI, serie IZMX, modelo RAS, 55kA@415Vac. + contacto auxiliar 4NA/NC + Comando motorizado  - marca EATON.</t>
  </si>
  <si>
    <t>IZMX 2000_55kA</t>
  </si>
  <si>
    <t>ITM Bastidor Abierto de 3x2000A , ( Reg. 0.4-1.0 de In ), LSI, serie IZMX, modelo RAS, 55kA@415Vac. + contacto auxilxiar 2NA/NC - marca EATON.</t>
  </si>
  <si>
    <t>ENCLAV_IZMX</t>
  </si>
  <si>
    <t>Kit de enclavamiento mecanico para dos interruptores Bastidor Abierto, serie IZMX / Modelo RAS - marca EATON.</t>
  </si>
  <si>
    <t>DIRIS-A30</t>
  </si>
  <si>
    <t>Analizador de Redes DIRIS-A30 - precisión (V, I) 0.2%, precisión de energía activa / reactiva: clase 0,5S / clase 2 - marca SOCOMEC.</t>
  </si>
  <si>
    <t>DIRIS-A30/Com</t>
  </si>
  <si>
    <t>Módulo de comunicación RS 485 MODBUS, para Analizador de Red, DIRIS-A30, marca SOCOMEC.</t>
  </si>
  <si>
    <t>DIRIS-A30/Temp</t>
  </si>
  <si>
    <t>Módulo de Temperatura para Analizador de Red, DIRIS-A30, marca SOCOMEC.</t>
  </si>
  <si>
    <t>DIRIS-A30/Mem</t>
  </si>
  <si>
    <t>Módulo de memoria para Analizador de Red, DIRIS-A30, marca SOCOMEC.</t>
  </si>
  <si>
    <t>SPC050208Y2P</t>
  </si>
  <si>
    <t xml:space="preserve">Protector contra Sobretensión Transitoria, UL 1449 4ta Edición / UL 1283 6ta Edición, Trifásico, Estrella, 220/127V, 60 Hz, de 50 Ka por fase </t>
  </si>
  <si>
    <t>Tomacorriente industrial, 3P+T, 16A / 250V, Azul, empotrable, IP67 - (Ref: 1478) - marca MENNEKES.</t>
  </si>
  <si>
    <t>Enchufe industrial, 3P+T, 16A / 250V, Azul, IP67 - (Ref: 281) - marca MENNEKES.</t>
  </si>
  <si>
    <t>TOMA-I-EMP_1P+N+T(16A)_IP67</t>
  </si>
  <si>
    <t>Tomacorriente industrial, 1P+N+T, 16A / 250V, Rojo, empotrable, IP67 (Ref: 219A) - marca MENNEKES.</t>
  </si>
  <si>
    <t>219A</t>
  </si>
  <si>
    <t>ENCH-IND 1P+N+T(16A)_IP67</t>
  </si>
  <si>
    <t>Enchufe industrial, 1P+N+T, 16A / 250V, Rojo, IP67 (Ref: 279) - marca MENNEKES.</t>
  </si>
  <si>
    <t>Tomacorriente industrial, 1P+N+T, 32A / 250V, Rojo, empotrable, IP67 (Ref: 1503) - marca MENNEKES.</t>
  </si>
  <si>
    <t>Enchufe industrial, 1P+N+T, 32A / 250V, Rojo, IP67 (Ref: 291) - marca MENNEKES.</t>
  </si>
  <si>
    <t>209A</t>
  </si>
  <si>
    <t>HIGROSTATO RH:35%-95% 250VAC (MFR012)</t>
  </si>
  <si>
    <t>HIGROSTATO RH:35%-95% 250VAC LINKWELL ELECTRIC</t>
  </si>
  <si>
    <t>MFR012</t>
  </si>
  <si>
    <t>LINKWELL ELECTRIC</t>
  </si>
  <si>
    <t>Soporte de Fijacion Mural para Gabinete KS, RAL7035 - RITTAL</t>
  </si>
  <si>
    <t>TRAFO_2F_440-220V_200VA_AUD</t>
  </si>
  <si>
    <t>Transformador de tensión de aislamiento monofásico 440 / 220 Vac - 200VA, marca AUDAX.</t>
  </si>
  <si>
    <t>TAM002000610000</t>
  </si>
  <si>
    <t>TRAFO_2F_440-220V_3000VA_AUD</t>
  </si>
  <si>
    <t>Transformador de tensión de aislamiento monofásico 440 / 220 Vac - 3000VA, marca AUDAX.</t>
  </si>
  <si>
    <t>TAM030000610100</t>
  </si>
  <si>
    <t>TRAFO_2F_440-220V_5000VA_AUD</t>
  </si>
  <si>
    <t>Transformador de tensión de aislamiento monofásico 440 / 220 Vac - 5000VA, marca AUDAX.</t>
  </si>
  <si>
    <t>TAM050000610100</t>
  </si>
  <si>
    <t>REACT_RX_20kVAR/380V_p14</t>
  </si>
  <si>
    <t>Reactancia para filtro de rechazo de armónicas, para paso de 20kVAR / 380Vac, 60Hz, p=14%, tipo RX, marca CIRCUTOR.</t>
  </si>
  <si>
    <t>COND_pris_20kVAR/380V_p14</t>
  </si>
  <si>
    <t>Condensador trifásico, para paso de potencia efectiva de 20kVAR / 380Vac, 60 Hz, p=14%, tipo Prismático, marca CIRCUTOR.</t>
  </si>
  <si>
    <t>COND_pris_40kVAR/380V_p14</t>
  </si>
  <si>
    <t>Condensador trifásico, para paso de potencia efectiva de 40kVAR / 380Vac, 60Hz, p=14%, tipo Prismático, marca CIRCUTOR.</t>
  </si>
  <si>
    <t>COND_10kVAR/400V_p7_CLZ</t>
  </si>
  <si>
    <t>Condensador, Tubular, Trifásico, para paso de potencia efectiva de 10kVAR, 400 V, 60 Hz, p= 7 %, Tipo CLZ-FP-HD, marca CIRCUTOR.</t>
  </si>
  <si>
    <t>COND_20kVAR/400V_p7_CLZ</t>
  </si>
  <si>
    <t>COND_4.0kVAR/440V_p7</t>
  </si>
  <si>
    <t>Condensador, Trifásico, para paso de potencia efectiva de 4.0kVAR / 440Vac, 60 Hz, p=7%, tipo CFB, marca CIRCUTOR.</t>
  </si>
  <si>
    <t>COND_9.4kVAR/440V_p7</t>
  </si>
  <si>
    <t>Condensador, Trifásico, para paso de potencia efectiva de 9.4kVAR / 440Vac, 60 Hz, p=7%, tipo CFB, marca CIRCUTOR.</t>
  </si>
  <si>
    <t>COND_10.75kVAR/440V_p7</t>
  </si>
  <si>
    <t>Condensador, Trifásico, para paso de potencia efectiva de 10.75kVAR / 440Vac, 60 Hz, p=7%, tipo CFB, marca CIRCUTOR.</t>
  </si>
  <si>
    <t>CMC_12.5kVAR/440V</t>
  </si>
  <si>
    <t>Contactor para maniobra de condensadores - 12.5kVAR / 440Vac - Modelo CMC - bobina 230Vac/60Hz. - marca CIRCUTOR.</t>
  </si>
  <si>
    <t>CMC_25kVAR/440V</t>
  </si>
  <si>
    <t>Contactor para maniobra de condensadores - 25kVAR / 440Vac - Modelo CMC - bobina 230Vac/60Hz. - marca CIRCUTOR.</t>
  </si>
  <si>
    <t>FUSIBLE_NH-000_125A</t>
  </si>
  <si>
    <t>Fusible 125A NH-000, 500VCA, 120kA C/I Falla clase gL -GG  marca DF ELECTRIC.</t>
  </si>
  <si>
    <t>FUSIBLE_NH-000_80A</t>
  </si>
  <si>
    <t>Fusible 80A NH-000, 500VCA, 120kA C/I Falla clase gL -GG  marca DF ELECTRIC.</t>
  </si>
  <si>
    <t>FUSIBLE_NH-000_40A</t>
  </si>
  <si>
    <t>Fusible 40A NH-000, 500VCA, 120kA C/I Falla clase gL -GG  marca DF ELECTRIC.</t>
  </si>
  <si>
    <t>FUSIBLE_NH-000_35A</t>
  </si>
  <si>
    <t>Fusible 35A NH-000, 500VCA, 120kA C/I Falla clase gL -GG  marca DF ELECTRIC.</t>
  </si>
  <si>
    <t>FUSIBLE_NH-000_25A</t>
  </si>
  <si>
    <t>Fusible 25A NH-000, 500VCA, 120kA C/I Falla clase gL - marca DF ELECTRIC.</t>
  </si>
  <si>
    <t>ES710/6300-E</t>
  </si>
  <si>
    <t>Transformador de aislamiento de 6.3KVA monofasico, eficiencia=96%, h_max=5000msnm, normas IEC, VDE - modelo ES710/6300-E - marca BENDER.</t>
  </si>
  <si>
    <t>B92090104</t>
  </si>
  <si>
    <t>3WT8120-5AA00-0AA2</t>
  </si>
  <si>
    <t>3WT8161-5AA00-0AA2</t>
  </si>
  <si>
    <t>3WT9825-1JC00</t>
  </si>
  <si>
    <t>Conector de intensidad auxiliar para interruptor de montaje fijo (para motorizado)</t>
  </si>
  <si>
    <t>3WT9866-3JA00</t>
  </si>
  <si>
    <t>Enclavamiento mecánico con cable Bowden</t>
  </si>
  <si>
    <t>3SU1801-0NA00-2AA2</t>
  </si>
  <si>
    <t>Pulsador rojo de hongo, de 40 mm, con retención.</t>
  </si>
  <si>
    <t>METSEPM5560</t>
  </si>
  <si>
    <t>METSEPM5340</t>
  </si>
  <si>
    <t>DMX3/MP4(LSI)- 1600A 65kA (4P)</t>
  </si>
  <si>
    <t>ITM Bastidor Abierto de 4x1600A, electronico MP4(LSI) (Reg. 640-1600A ) DMX3 1600, 65kA@400 Vac.- marca Legrand</t>
  </si>
  <si>
    <t>ATS_BASICO</t>
  </si>
  <si>
    <t>Básica para 2 Interruptores - 12-48Vdc</t>
  </si>
  <si>
    <t>422680</t>
  </si>
  <si>
    <t>146711</t>
  </si>
  <si>
    <t>Transformador monofásico 100-240Vac entrada , 12 Vcc salida para 422680</t>
  </si>
  <si>
    <t>028864</t>
  </si>
  <si>
    <t>Mecanismo de bloqueo en DMX3 talla 1.</t>
  </si>
  <si>
    <t>028920</t>
  </si>
  <si>
    <t>Cable  de interbloqueo para  DMX3 talla 1 (2600 mm)</t>
  </si>
  <si>
    <t>REACT_15kVAR/380V_p14</t>
  </si>
  <si>
    <t>Reactancia para filtro de rechazo de armónicas, para paso de 15kVAR / 380 Vac, 60Hz, p=14%, tipo RX, marca CIRCUTOR.</t>
  </si>
  <si>
    <t>COND_15kVAR/380V_p14</t>
  </si>
  <si>
    <t>Condensador trifásico, para paso de potencia efectiva de 15kVAR / 380V, 60 Hz, p=14%, tipo CLZ-FP-HD, marca CIRCUTOR.</t>
  </si>
  <si>
    <t>Condensador trifásico, para paso de potencia efectiva de 20kVAR / 380Vac, 60 Hz, p=14%, tipo CLZ-FP-HD, marca CIRCUTOR.</t>
  </si>
  <si>
    <t>REACT_30kVAR/380V_p14</t>
  </si>
  <si>
    <t>Reactancia para filtro de rechazo de armónicas, para paso de 30kVAR / 380Vac, 60Hz, p=14%, tipo RBX, marca CIRCUTOR.</t>
  </si>
  <si>
    <t>COND_30kVAR/380V_p14</t>
  </si>
  <si>
    <t>Condensador trifásico, para paso de potencia efectiva de 30kVAR / 380Vac, 60 Hz, p=14%, tipo CFB, marca CIRCUTOR.</t>
  </si>
  <si>
    <t>COND_40kVAR/380V_p7_CLZ</t>
  </si>
  <si>
    <t>ITM Caja Moldeada 3x175A - DRX3/100-175A-3P - 70kA@220-240 Vac, 25kA@380-415 Vac. - marca Legrand.</t>
  </si>
  <si>
    <t>OVRHT3C504803D</t>
  </si>
  <si>
    <t>Supresor contra sobretensiones (Tipo 1, UL 1449) - OVRHT3C504803D - I_max=50kA por fase, Un=480V,  MCOV=640V (L-G), VPR=2.5kV (L-G) - marca ABB.</t>
  </si>
  <si>
    <t>2CJC605480D0000</t>
  </si>
  <si>
    <t>OVRHT3B501202S</t>
  </si>
  <si>
    <t>Supresor contra sobretensiones (Tipo 1, UL 1449) - OVRHT3B501202S - I_max=50kA por fase, Un=120/240V,  MCOV=150V (L-N), VPR=0.7kV (L-N) - marca ABB.</t>
  </si>
  <si>
    <t>2CJC405120S0000</t>
  </si>
  <si>
    <t>Protector de sobretensiones (Tipo 2, UL 1449) - OVR-T2_1L_40-120_P-U 1P - Un=120V,  Up=0.6kV - I_descarga=40kA - marca ABB.</t>
  </si>
  <si>
    <t>2CTB802341R2000</t>
  </si>
  <si>
    <t>Supresor contra sobretensiones (Tipo 1, UL 1449) - OVRHSP1602203Y - I_max=160kA por fase, Un=220/380V,  MCOV=320V (L-N), VPR=1.0kV (L-N) - marca ABB.</t>
  </si>
  <si>
    <t>UVR-C_A1_A2_240V</t>
  </si>
  <si>
    <t>Bobina de minima tension UVR-C 220...240 VAC - 220...250 VDC - A1..A2 - marca ABB.</t>
  </si>
  <si>
    <t>1SDA066146R1</t>
  </si>
  <si>
    <t>Enclavamiento mecánico para contactores AF09..AF38, modelo VM4 - marca ABB.</t>
  </si>
  <si>
    <t>Enclavamiento mecánico para contactores AF40..AF96, modelo VM96-4 - marca ABB.</t>
  </si>
  <si>
    <t>COND_7.5kVAR/220V_p7</t>
  </si>
  <si>
    <t>Condensador trifásico, para paso de potencia efectiva de 7.5kVAR / 220V, 60 Hz, p=7%, tipo CLZ-FP-HD, marca CIRCUTOR.</t>
  </si>
  <si>
    <t>CMC_15kVAR/220V</t>
  </si>
  <si>
    <t>Contactor para maniobra de condensadores - 15kVAR / 220V - Modelo CMC - bobina 230Vac/60Hz. - marca CIRCUTOR.</t>
  </si>
  <si>
    <t>DPX3/1600-S1(LSI)- 800A 50kA (3P)</t>
  </si>
  <si>
    <t>ITM de 3x800A, electronico S2(LSI) ( Reg. 320-800A ) DPX3 1600, 100kA@220-240 Vac.- 50kA@380-415 Vac. - marca Legrand</t>
  </si>
  <si>
    <t>422312</t>
  </si>
  <si>
    <t>DPX3/1600-S1(LSI)- 1000A 50kA (3P)</t>
  </si>
  <si>
    <t>ITM de 3x1000A, electronico S2(LSI) ( Reg. 400-1000A ) DPX3 1600, 100kA@220-240 Vac.- 50kA@380-415 Vac. - marca Legrand</t>
  </si>
  <si>
    <t>422313</t>
  </si>
  <si>
    <t>DPX3/1600-S1(LSI)- 1250A 50kA (3P)</t>
  </si>
  <si>
    <t>ITM de 3x1250A, electronico S2(LSI) ( Reg. 500-1250A ) DPX3 1600, 100kA@220-240 Vac.- 50kA@380-415 Vac. - marca Legrand</t>
  </si>
  <si>
    <t>422314</t>
  </si>
  <si>
    <t>DPX3/1600-S1(LSI)- 1600A 50kA (3P)</t>
  </si>
  <si>
    <t>ITM de 3x1600A, electronico S2(LSI) ( Reg. 640-1600A ) DPX3 1600, 100kA@220-240 Vac.- 50kA@380-415 Vac. - marca Legrand</t>
  </si>
  <si>
    <t>422315</t>
  </si>
  <si>
    <t>DX3-6000/16A-1P-K</t>
  </si>
  <si>
    <t>ITM Riel-Din 1x16A - DX3-6000-K - 10kA@230V-IEC60947-2 - marca LEGRAND.</t>
  </si>
  <si>
    <t>DX3-6000/20A-1P-K</t>
  </si>
  <si>
    <t>ITM Riel-Din 1x20A - DX3-6000-K - 10kA@230V-IEC60947-2 - marca LEGRAND.</t>
  </si>
  <si>
    <t>DX3-6000/32A-1P-K</t>
  </si>
  <si>
    <t>ITM Riel-Din 1x32A - DX3-6000-K - 10kA@230V-IEC60947-2 - marca LEGRAND.</t>
  </si>
  <si>
    <t>DX3-6000/40A-1P-K</t>
  </si>
  <si>
    <t>ITM Riel-Din 1x40A - DX3-6000-K - 10kA@230V-IEC60947-2 - marca LEGRAND.</t>
  </si>
  <si>
    <t>DX3-6000/63A-1P-K</t>
  </si>
  <si>
    <t>ITM Riel-Din 1x63A - DX3-6000-K - 10kA@230V-IEC60947-2 - marca LEGRAND.</t>
  </si>
  <si>
    <t>DX3-6000/20A-2P-K</t>
  </si>
  <si>
    <t>ITM Riel-Din 2x20A - DX3-6000-K - 10kA@400V-IEC60947-2 - marca LEGRAND.</t>
  </si>
  <si>
    <t>DX3-6000/20A-3P-K</t>
  </si>
  <si>
    <t>ITM Riel-Din 3x20A - DX3-6000-K - 10kA@400V-IEC60947-2 - marca Legrand.</t>
  </si>
  <si>
    <t>DX3-6000/32A-3P-K</t>
  </si>
  <si>
    <t>ITM Riel-Din 3x32A - DX3-6000-K - 10kA@400V-IEC60947-2 - marca Legrand.</t>
  </si>
  <si>
    <t>DX3-6000/40A-3P-K</t>
  </si>
  <si>
    <t>ITM Riel-Din 3x40A - DX3-6000-K - 10kA@400V-IEC60947-2 - marca Legrand.</t>
  </si>
  <si>
    <t>DX3-6000/63A-3P-K</t>
  </si>
  <si>
    <t>ITM Riel-Din 3x63A - DX3-6000-K - 10kA@400V-IEC60947-2 - marca Legrand.</t>
  </si>
  <si>
    <t>CTX3-185A</t>
  </si>
  <si>
    <t>Contactor 3x185A(AC-3) 2NO+2NC - CTX3-150A - bobina 230Vac - marca Legrand.</t>
  </si>
  <si>
    <t>CTX3-225A</t>
  </si>
  <si>
    <t>Contactor 3x225A(AC-3) 2NO+2NC - CTX3-150A - bobina 230Vac - marca Legrand.</t>
  </si>
  <si>
    <t>CTX3-265A</t>
  </si>
  <si>
    <t>Contactor 3x265A(AC-3) 2NO+2NC - CTX3-150A - bobina 230Vac - marca Legrand.</t>
  </si>
  <si>
    <t>CTX3-330A</t>
  </si>
  <si>
    <t>Contactor 3x330A(AC-3) 2NO+2NC - CTX3-150A - bobina 230Vac - marca Legrand.</t>
  </si>
  <si>
    <t>T7H1000-1000A-4P-PR232/P-LSI</t>
  </si>
  <si>
    <t>ITM Caja Moldeada 4x1000A (electrónico [0.4-1.0] In) - T7H1000-1000A-4P-PR232/P-LSI - 70kA@415Vac - marca ABB.</t>
  </si>
  <si>
    <t xml:space="preserve">EMBALAJE </t>
  </si>
  <si>
    <t>EMBAL_AUTOS_2100x800x800mm</t>
  </si>
  <si>
    <t>Embalaje especial completamente cerrado para tablero autosoportado de 2100x800x800mm</t>
  </si>
  <si>
    <t>EMBAL_AUTOS_2100x800x600mm</t>
  </si>
  <si>
    <t>Embalaje especial completamente cerrado para tablero autosoportado de 2100x800x600mm</t>
  </si>
  <si>
    <t>EMBAL_AUTOS_2100x600x600mm</t>
  </si>
  <si>
    <t>Embalaje especial completamente cerrado para tablero autosoportado de 2100x600x600mm</t>
  </si>
  <si>
    <t>EMBAL_ADOS_1600x600x220mm</t>
  </si>
  <si>
    <t>Embalaje especial completamente cerrado para tablero adosado de 1600x600x220mm</t>
  </si>
  <si>
    <t>EMBAL_ADOS_1100x610x220mm</t>
  </si>
  <si>
    <t>Embalaje especial completamente cerrado para tablero adosado de 1100x610x220mm</t>
  </si>
  <si>
    <t>EMBAL_ADOS_1000x600x220mm</t>
  </si>
  <si>
    <t>Embalaje especial completamente cerrado para tablero adosado de 1000x600x220mm</t>
  </si>
  <si>
    <t>TRAFO_2F_480-240V_500VA_AUD</t>
  </si>
  <si>
    <t>Transformador de tensión monofásico 480 / 240 Vac - 500VA, marca AUDAX.</t>
  </si>
  <si>
    <t>NSYTRV702</t>
  </si>
  <si>
    <t>Bornera tipo tornillo universal de seccion 70 mm2 hasta 192A, marca SCHNEIDER.</t>
  </si>
  <si>
    <t>CAF-1NA+1NC</t>
  </si>
  <si>
    <t>Contacto auxiliar frontal 1NA+1NC para CTX3 de 9A a 150A - marca LEGRAND.</t>
  </si>
  <si>
    <t>416850</t>
  </si>
  <si>
    <t>CAF-3NA+1NC</t>
  </si>
  <si>
    <t>Contacto auxiliar frontal 3NA+1NC para CTX3 de 9A a 150A - marca LEGRAND.</t>
  </si>
  <si>
    <t>416854</t>
  </si>
  <si>
    <t>CAF-2NA+2NC</t>
  </si>
  <si>
    <t>Contacto auxiliar frontal 2NA+2NC para CTX3 de 9A a 150A - marca LEGRAND.</t>
  </si>
  <si>
    <t>416855</t>
  </si>
  <si>
    <t>CAL-1NA+1NC</t>
  </si>
  <si>
    <t>Contacto auxiliar lateral 1NA+1NC para CTX3 de 9A a 150A - marca LEGRAND.</t>
  </si>
  <si>
    <t>416858</t>
  </si>
  <si>
    <t>CAL-1NA+1NC.185A+</t>
  </si>
  <si>
    <t>Contacto auxiliar lateral 1NA+1NC para CTX3 de 185A a 800A - marca LEGRAND.</t>
  </si>
  <si>
    <t>416859</t>
  </si>
  <si>
    <t>BLOQ-150A.CTX3</t>
  </si>
  <si>
    <t>Unidad de bloqueo mecánico para CTX3 22/40/65/100/150 - marca LEGRAND.</t>
  </si>
  <si>
    <t>BLOQ-400A.CTX3</t>
  </si>
  <si>
    <t>Unidad de bloqueo mecánico para CTX3 185A a 400A - marca LEGRAND.</t>
  </si>
  <si>
    <t>416887</t>
  </si>
  <si>
    <t>BLOQ-800A.CTX3</t>
  </si>
  <si>
    <t>Unidad de bloqueo mecánico para CTX3 500A a 800A - marca LEGRAND.</t>
  </si>
  <si>
    <t>416888</t>
  </si>
  <si>
    <t>ISOLTESTER-DIG-RZ</t>
  </si>
  <si>
    <t>Medical insulation monitoring devices DIG-RZ - marca ABB.</t>
  </si>
  <si>
    <t>2CSM244000R1501</t>
  </si>
  <si>
    <t>ISOLTESTER-DIG-PLUS</t>
  </si>
  <si>
    <t>Medical insulation monitoring devices DIG-PLUS - marca ABB.</t>
  </si>
  <si>
    <t>2CSM341000R1501</t>
  </si>
  <si>
    <t>SELVTESTER-24</t>
  </si>
  <si>
    <t>Medical insulation monitoring device for scialitic lamps - marca ABB.</t>
  </si>
  <si>
    <t>2CSM211000R1511</t>
  </si>
  <si>
    <t>QSD-DIG 230/24</t>
  </si>
  <si>
    <t>Remote signalling panel - marca ABB.</t>
  </si>
  <si>
    <t>2CSM273063R1521</t>
  </si>
  <si>
    <t>TI 3 kVA</t>
  </si>
  <si>
    <t>Insulating transformer 3 kVA - modelo TI 3 - marca ABB.</t>
  </si>
  <si>
    <t>2CSM110000R1541</t>
  </si>
  <si>
    <t>TI 5 kVA</t>
  </si>
  <si>
    <t>Insulating transformer 5 kVA - modelo TI 5 - marca ABB.</t>
  </si>
  <si>
    <t>2CSM120000R1541</t>
  </si>
  <si>
    <t>TI 7.5 kVA</t>
  </si>
  <si>
    <t>Insulating transformer 7.5 kVA - modelo TI 7.5 - marca ABB.</t>
  </si>
  <si>
    <t>2CSM130000R1541</t>
  </si>
  <si>
    <t>TI 10 kVA</t>
  </si>
  <si>
    <t>Insulating transformer 10 kVA - modelo TI 10 - marca ABB.</t>
  </si>
  <si>
    <t>2CSM140000R1541</t>
  </si>
  <si>
    <t>TI 3-S kVA</t>
  </si>
  <si>
    <t>Insulating transformer 3 kVA - modelo TI 3-S - marca ABB.</t>
  </si>
  <si>
    <t>2CSM210000R1541</t>
  </si>
  <si>
    <t>TI 5-S kVA</t>
  </si>
  <si>
    <t>Insulating transformer 5 kVA - modelo TI 5-S - marca ABB.</t>
  </si>
  <si>
    <t>2CSM220000R1541</t>
  </si>
  <si>
    <t>TI 7.5-S kVA</t>
  </si>
  <si>
    <t>Insulating transformer 7.5 kVA - modelo TI 7.5-S - marca ABB.</t>
  </si>
  <si>
    <t>2CSM230000R1541</t>
  </si>
  <si>
    <t>TI 10-S kVA</t>
  </si>
  <si>
    <t>Insulating transformer 10 kVA - modelo TI 10-S - marca ABB.</t>
  </si>
  <si>
    <t>2CSM240000R1541</t>
  </si>
  <si>
    <t>AMM</t>
  </si>
  <si>
    <t>Anti-jamming dampers for transformers - marca ABB.</t>
  </si>
  <si>
    <t>2CSM900000R1541</t>
  </si>
  <si>
    <t>TM-S1000/12-24P</t>
  </si>
  <si>
    <t>TM-S 1000/12-24 P. 230-400V S.24V control and safety transformer - marca ABB.</t>
  </si>
  <si>
    <t>2CSM260093R0801</t>
  </si>
  <si>
    <t>CT3/60</t>
  </si>
  <si>
    <t>CT3 60/5 A current transformer - marca ABB.</t>
  </si>
  <si>
    <t>2CSG121080R1101</t>
  </si>
  <si>
    <t>CT3/40</t>
  </si>
  <si>
    <t>CT3 40/5 A current transformer - marca ABB.</t>
  </si>
  <si>
    <t>2CSG121060R1101</t>
  </si>
  <si>
    <t>ITM Caja Moldeada 4x63A (reg.[0.7-1.0] In) - XT1N160-63A-4P-TMD - 65kA@230Vac, 36kA@415Vac - marca ABB.</t>
  </si>
  <si>
    <t>E4.2N 3200 SECCIONADOR 4p MS</t>
  </si>
  <si>
    <t>Seccionador Bastidor Abierto 4x3200A - E4.2N-3200A-4P - 66kA@440Vac - marca ABB.</t>
  </si>
  <si>
    <t>1SDA073457R1</t>
  </si>
  <si>
    <t xml:space="preserve">ARRANCADORES SUAVES </t>
  </si>
  <si>
    <t>PSR3-600-70</t>
  </si>
  <si>
    <t>PSR3-600-70 Arrancador Electronico - 1.0HP@230Vac / 2.0HP@460V - In_max=3.9A - marca ABB.</t>
  </si>
  <si>
    <t>1SFA896103R7000</t>
  </si>
  <si>
    <t>PSR6-600-70</t>
  </si>
  <si>
    <t>PSR6-600-70 Arrancador Electronico - 2.0HP@230Vac / 4.0HP@460V - In_max=6.8A - marca ABB.</t>
  </si>
  <si>
    <t>1SFA896104R7000</t>
  </si>
  <si>
    <t>PSR9-600-70</t>
  </si>
  <si>
    <t>PSR9-600-70 Arrancador Electronico - 3.0HP@230Vac / 6.0HP@460V - In_max=9.0A - marca ABB.</t>
  </si>
  <si>
    <t>1SFA896105R7000</t>
  </si>
  <si>
    <t>PSR12-600-70</t>
  </si>
  <si>
    <t>PSR12-600-70 Arrancador Electronico - 4.0HP@230Vac / 8.0HP@460V - In_max=12.0A - marca ABB.</t>
  </si>
  <si>
    <t>1SFA896106R7000</t>
  </si>
  <si>
    <t>PSR16-600-70</t>
  </si>
  <si>
    <t>PSR16-600-70 Arrancador Electronico - 5.0HP@230Vac / 10.0HP@460V - In_max=16.0A - marca ABB.</t>
  </si>
  <si>
    <t>1SFA896107R7000</t>
  </si>
  <si>
    <t>PSR25-600-70 Arrancador Electronico - 7.5HP@230Vac / 15.0HP@460V - In_max=25.0A - marca ABB.</t>
  </si>
  <si>
    <t>PSR30-600-70</t>
  </si>
  <si>
    <t>PSR30-600-70 Arrancador Electronico - 9.0HP@230Vac / 18.0HP@460V - In_max=30.0A - marca ABB.</t>
  </si>
  <si>
    <t>1SFA896109R7000</t>
  </si>
  <si>
    <t>PSR37-600-70</t>
  </si>
  <si>
    <t>PSR37-600-70 Arrancador Electronico - 10.0HP@230Vac / 20.0HP@460V - In_max=37.0A - marca ABB.</t>
  </si>
  <si>
    <t>1SFA896110R7000</t>
  </si>
  <si>
    <t>PSR45-600-70</t>
  </si>
  <si>
    <t>PSR45-600-70 Arrancador Electronico - 15.0HP@230Vac / 30.0HP@460V - In_max=45.0A - marca ABB.</t>
  </si>
  <si>
    <t>1SFA896111R7000</t>
  </si>
  <si>
    <t>PSR60-600-70 Arrancador Electronico - 20.0HP@230Vac / 40.0HP@460V - In_max=60.0A - marca ABB.</t>
  </si>
  <si>
    <t>PSR72-600-70</t>
  </si>
  <si>
    <t>PSR72-600-70 Arrancador Electronico - 25.0HP@230Vac / 50.0HP@460V - In_max=72.0A - marca ABB.</t>
  </si>
  <si>
    <t>1SFA896113R7000</t>
  </si>
  <si>
    <t>PSR85-600-70 Arrancador Electronico -  30.0HP@230Vac / 60.0HP@460V - In_max=85.0A - marca ABB.</t>
  </si>
  <si>
    <t>PSR105-600-70</t>
  </si>
  <si>
    <t>PSR105-600-70 Arrancador Electronico - 40.0HP@230Vac / 80.0HP@460V - In_max=105.0A - marca ABB.</t>
  </si>
  <si>
    <t>1SFA896115R7000</t>
  </si>
  <si>
    <t>PSR16-MS116</t>
  </si>
  <si>
    <t>Kit de conexión entre PSR3 - PSR16 con MS116 - marca ABB.</t>
  </si>
  <si>
    <t>1SFA896211R1001</t>
  </si>
  <si>
    <t>PSR30-MS132</t>
  </si>
  <si>
    <t>Kit de conexión entre PSR25 - PSR30 con MS132 - marca ABB.</t>
  </si>
  <si>
    <t>1SFA896212R1001</t>
  </si>
  <si>
    <t>PSR45-MS450</t>
  </si>
  <si>
    <t>Kit de conexión entre PSR37 - PSR45 con MS450 - marca ABB.</t>
  </si>
  <si>
    <t>1SFA896213R1001</t>
  </si>
  <si>
    <t>PSE18-600-70</t>
  </si>
  <si>
    <t>PSE18-600-70 Arrancador Electronico - 5.0HP@230Vac / 10.0HP@460V - In_max=18.0A - marca ABB.</t>
  </si>
  <si>
    <t>1SFA897101R7000</t>
  </si>
  <si>
    <t>PSE25-600-70</t>
  </si>
  <si>
    <t>PSE25-600-70 Arrancador Electronico - 7.5HP@230Vac / 15.0HP@460V - In_max=25.0A - marca ABB.</t>
  </si>
  <si>
    <t>1SFA897102R7000</t>
  </si>
  <si>
    <t>PSE30-600-70</t>
  </si>
  <si>
    <t>PSE37-600-70 Arrancador Electronico - 10.0HP@230Vac / 20.0HP@460V - In_max=30.0A - marca ABB.</t>
  </si>
  <si>
    <t>1SFA897103R7000</t>
  </si>
  <si>
    <t>PSE37-600-70</t>
  </si>
  <si>
    <t>PSE37-600-70 Arrancador Electronico - 12.0HP@230Vac / 24.0HP@460V - In_max=37.0A - marca ABB.</t>
  </si>
  <si>
    <t>1SFA897104R7000</t>
  </si>
  <si>
    <t>PSE45-600-70</t>
  </si>
  <si>
    <t>PSE45-600-70 Arrancador Electronico - 15.0HP@230Vac / 30.0HP@460V - In_max=45.0A - marca ABB.</t>
  </si>
  <si>
    <t>1SFA897105R7000</t>
  </si>
  <si>
    <t>PSE60-600-70</t>
  </si>
  <si>
    <t>PSE60-600-70 Arrancador Electronico - 20.0HP@230Vac / 40.0HP@460V - In_max=60.0A - marca ABB.</t>
  </si>
  <si>
    <t>1SFA897106R7000</t>
  </si>
  <si>
    <t>PSE72-600-70</t>
  </si>
  <si>
    <t>PSE72-600-70 Arrancador Electronico - 25.0HP@230Vac / 50.0HP@460V - In_max=72.0A - marca ABB.</t>
  </si>
  <si>
    <t>1SFA897107R7000</t>
  </si>
  <si>
    <t>PSE85-600-70</t>
  </si>
  <si>
    <t>PSE85-600-70 Arrancador Electronico - 30.0HP@230Vac / 60.0HP@460V - In_max=85.0A - marca ABB.</t>
  </si>
  <si>
    <t>1SFA897108R7000</t>
  </si>
  <si>
    <t>PSE105-600-70</t>
  </si>
  <si>
    <t>PSE105-600-70 Arrancador Electronico - 40.0HP@230Vac / 80.0HP@460V - In_max=105.0A - marca ABB.</t>
  </si>
  <si>
    <t>1SFA897109R7000</t>
  </si>
  <si>
    <t>PSE142-600-70</t>
  </si>
  <si>
    <t>PSE142-600-70 Arrancador Electronico - 50.0HP@230Vac / 100.0HP@460V - In_max=142.0A - marca ABB.</t>
  </si>
  <si>
    <t>1SFA897110R7000</t>
  </si>
  <si>
    <t>PSE170-600-70</t>
  </si>
  <si>
    <t>PSE170-600-70 Arrancador Electronico - 60.0HP@230Vac / 80.0HP@460V - In_max=170.0A - marca ABB.</t>
  </si>
  <si>
    <t>1SFA897111R7000</t>
  </si>
  <si>
    <t>PSE210-600-70</t>
  </si>
  <si>
    <t>PSE210-600-70 Arrancador Electronico - 75.0HP@230Vac / 80.0HP@460V - In_max=210.0A - marca ABB.</t>
  </si>
  <si>
    <t>1SFA897112R7000</t>
  </si>
  <si>
    <t>PSE250-600-70</t>
  </si>
  <si>
    <t>PSE250-600-70 Arrancador Electronico - 100.0HP@230Vac / 80.0HP@460V - In_max=250.0A - marca ABB.</t>
  </si>
  <si>
    <t>1SFA897113R7000</t>
  </si>
  <si>
    <t>PSE300-600-70</t>
  </si>
  <si>
    <t>PSE300-600-70 Arrancador Electronico - 120.0HP@230Vac / 80.0HP@460V - In_max=300.0A - marca ABB.</t>
  </si>
  <si>
    <t>1SFA897114R7000</t>
  </si>
  <si>
    <t>PSE370-600-70</t>
  </si>
  <si>
    <t>PSE370-600-70 Arrancador Electronico - 145.0HP@230Vac / 80.0HP@460V - In_max=370.0A - marca ABB.</t>
  </si>
  <si>
    <t>1SFA897115R7000</t>
  </si>
  <si>
    <t>PSEEK</t>
  </si>
  <si>
    <t>Panel HMI externo IP66 (con 3m de cable) - marca ABB.</t>
  </si>
  <si>
    <t>1SFA897100R1001</t>
  </si>
  <si>
    <t>TRAFO_2F_220-12V_200VA_AUD</t>
  </si>
  <si>
    <t>Transformador de tensión de aislamiento monofásico 220 / 12 Vac - 200VA, marca AUDAX.</t>
  </si>
  <si>
    <t>TAM002000110100</t>
  </si>
  <si>
    <t>REACT_15kVAR RX/380V_p7</t>
  </si>
  <si>
    <t>Reactancia para filtro de rechazo de armónicas, para paso de 15kVAR / 380Vac, 60Hz, p=7%, tipo RX, marca CIRCUTOR.</t>
  </si>
  <si>
    <t>COND_15kVAR CLZ-FP/380V_p7</t>
  </si>
  <si>
    <t>Condensador trifásico, para paso de potencia efectiva de 15kVAR / 380Vac, 60 Hz, p=7%, tipo CLZ-FB, marca CIRCUTOR.</t>
  </si>
  <si>
    <t>COND_12,5kVAR/380V_p7_CLZ</t>
  </si>
  <si>
    <t>Condensador trifásico, para paso de potencia efectiva de 12.5kVAR / 380Vac, 60 Hz, p=7%, tipo CLZ-FP, marca CIRCUTOR.</t>
  </si>
  <si>
    <t>COND_15kVAR/400V_p7-CLZ</t>
  </si>
  <si>
    <t>COND_30kVAR/400V_p7_CLZ</t>
  </si>
  <si>
    <t>CBS-4C</t>
  </si>
  <si>
    <t>Central de diferenciales para medida y señalización con transformador externo Serie WG / WGC, sensibilidad: 0.03…3A, retardo: 0.02…10S, RS-485 Modbus/RTU, 3 Módulos, 4 Relés, modelo CBS-4C, marca CIRCUTOR.</t>
  </si>
  <si>
    <t>CPU 1214C AC/DC/RLY</t>
  </si>
  <si>
    <t>CPU 1214C AC/DC/RLY, 14 DI/10 DO/2 AI, 0-10 VDC.Alimentación: AC 85 - 264 VAC BEI 47 -63 HZ, conexión Ethernet Industrial RJ45 - marca SIEMENS.</t>
  </si>
  <si>
    <t>6ES7214-1BG40-0XB0</t>
  </si>
  <si>
    <t>PANEL_BASICO</t>
  </si>
  <si>
    <t>SIMATIC KTP400 Basic, mando por teclas/táctil, pantalla TFT 4”, 65536 colores - marca SIEMENS.</t>
  </si>
  <si>
    <t>6AV2123-2DB03-0AX0</t>
  </si>
  <si>
    <t>MODULO_RS485</t>
  </si>
  <si>
    <t>CM 1241, módulo RS485, 9 POL. SUB D (macho), soporta freeport - marca SIEMENS.</t>
  </si>
  <si>
    <t>6ES7241-1CH32-0XB0</t>
  </si>
  <si>
    <t>DPX3/160- 16A 50kA (3P)</t>
  </si>
  <si>
    <t>ITM de 3x16A, ( Reg. 12.8-16A ) DPX3 160, 65kA@220-240 Vac.- 50kA@380-415 Vac. - marca Legrand</t>
  </si>
  <si>
    <t>DPX3/160- 25A 50kA (3P)</t>
  </si>
  <si>
    <t>ITM de 3x25A, ( Reg. 20-25A ) DPX3 160, 65kA@220-240 Vac.- 50kA@380-415 Vac. - marca Legrand</t>
  </si>
  <si>
    <t>Port.lamp_230V_rojo</t>
  </si>
  <si>
    <t>Portalámpara de señalización con Led rojo 230Vac, marca Legrand.</t>
  </si>
  <si>
    <t>Port.lamp_230V_verde</t>
  </si>
  <si>
    <t>Portalámpara de señalización con Led verde 230Vac, marca Legrand.</t>
  </si>
  <si>
    <t>Port.lamp_230V_amarillo</t>
  </si>
  <si>
    <t>Portalámpara de señalización con Led amarillo 230Vac, marca Legrand.</t>
  </si>
  <si>
    <t>TABLEROS DE RESINA</t>
  </si>
  <si>
    <t>RES_256x225x98mm</t>
  </si>
  <si>
    <t>Tablero de resina para Empotrar, puerta REVERSIBLE BLANCA de 8 modulos, Dim.256x225x98mm - IP40, IK07, IEC 61439-3 - marca LEGRAND.</t>
  </si>
  <si>
    <t>134008</t>
  </si>
  <si>
    <t>RES_328x235x102mm</t>
  </si>
  <si>
    <t>Tablero de resina para Empotrar, puerta REVERSIBLE BLANCA de 12 modulos, Dim.328x235x102mm - IP40, IK07, IEC 61439-3 - marca LEGRAND.</t>
  </si>
  <si>
    <t>135001</t>
  </si>
  <si>
    <t>RES_328x385x103mm</t>
  </si>
  <si>
    <t>Tablero de resina para Empotrar, puerta REVERSIBLE BLANCA de 24 modulos, Dim.328x385x103mm - IP40, IK07, IEC 61439-3 - marca LEGRAND.</t>
  </si>
  <si>
    <t>135002</t>
  </si>
  <si>
    <t>RES_328x535x103mm</t>
  </si>
  <si>
    <t>Tablero de resina para Empotrar, puerta REVERSIBLE BLANCA de 36 modulos, Dim.328x535x103mm - IP40, IK07, IEC 61439-3 - marca LEGRAND.</t>
  </si>
  <si>
    <t>135003</t>
  </si>
  <si>
    <t>RES_328x723x103mm</t>
  </si>
  <si>
    <t>Tablero de resina para Empotrar, puerta REVERSIBLE BLANCA de 48 modulos, Dim.328x723x103mm - IP40, IK07, IEC 61439-3 - marca LEGRAND.</t>
  </si>
  <si>
    <t>135004</t>
  </si>
  <si>
    <t>Barras-7Salidas</t>
  </si>
  <si>
    <r>
      <t>Barra de 7 salidas de 16mm</t>
    </r>
    <r>
      <rPr>
        <vertAlign val="superscript"/>
        <sz val="10"/>
        <color rgb="FF7030A0"/>
        <rFont val="Arial"/>
        <family val="2"/>
      </rPr>
      <t xml:space="preserve">2 </t>
    </r>
    <r>
      <rPr>
        <sz val="10"/>
        <color rgb="FF7030A0"/>
        <rFont val="Arial"/>
        <family val="2"/>
      </rPr>
      <t>+ tornillo de fijacion.</t>
    </r>
  </si>
  <si>
    <t>989553</t>
  </si>
  <si>
    <t>Barras-12Salidas</t>
  </si>
  <si>
    <r>
      <t>Barra de 12 salidas de 16mm</t>
    </r>
    <r>
      <rPr>
        <vertAlign val="superscript"/>
        <sz val="10"/>
        <color rgb="FF7030A0"/>
        <rFont val="Arial"/>
        <family val="2"/>
      </rPr>
      <t xml:space="preserve">2 </t>
    </r>
    <r>
      <rPr>
        <sz val="10"/>
        <color rgb="FF7030A0"/>
        <rFont val="Arial"/>
        <family val="2"/>
      </rPr>
      <t>+ tornillo de fijacion.</t>
    </r>
  </si>
  <si>
    <t>989554</t>
  </si>
  <si>
    <t>E1.2B-630A-3P-Ekip Dip LSIG</t>
  </si>
  <si>
    <t>ITM Bastidor Abierto 3x630A (electrónico [0.4-1.0] In) - E1.2B-630A-3P-Ekip Dip LSIG - 42kA@440Vac - marca ABB.</t>
  </si>
  <si>
    <t>E1.2C-630A-4P-Ekip Touch LSIG</t>
  </si>
  <si>
    <t>1SDA071346R1</t>
  </si>
  <si>
    <t>AF205-40-11-13_4p</t>
  </si>
  <si>
    <t>Contactor 4x205A(AC-3) / 4x350A(AC-1) - AF205-40-11-13 - bobina 100-250Vac/dc - marca ABB.</t>
  </si>
  <si>
    <t>1SFL527102R1311</t>
  </si>
  <si>
    <t>EK550-40-11_4p</t>
  </si>
  <si>
    <t>Contactor 4x550A(AC-3) / 4x800A(AC-1) - EK550-40-11 - bobina 230V 50Hz / 240V 60Hz- marca ABB.</t>
  </si>
  <si>
    <t>SK827041-AL</t>
  </si>
  <si>
    <t>NO HAY CODIGO</t>
  </si>
  <si>
    <t>TRAFO_2F_460-120V_30VA_AUD</t>
  </si>
  <si>
    <t>Transformador de tensión de aislamiento monofásico 460 / 120 Vac - 30VA, marca AUDAX.</t>
  </si>
  <si>
    <t>TAM000300700100</t>
  </si>
  <si>
    <t>TRAFO_2F_460-220V_250VA_AUD</t>
  </si>
  <si>
    <t>Transformador de tensión de aislamiento monofásico 460 / 220 Vac - 250VA, marca AUDAX.</t>
  </si>
  <si>
    <t>TAM002500710100</t>
  </si>
  <si>
    <t>TRAFO_2F_220-110V_4000VA_AUD</t>
  </si>
  <si>
    <t>Transformador de tensión de aislamiento monofásico 220 / 110 Vac - 4000VA, marca AUDAX.</t>
  </si>
  <si>
    <t>TAM040000240100</t>
  </si>
  <si>
    <t>TRAFO_2F_220-110V_2000VA_AUD</t>
  </si>
  <si>
    <t>Transformador de tensión de aislamiento monofásico 220 / 110 Vac - 2000VA, marca AUDAX.</t>
  </si>
  <si>
    <t>TAM020000240100</t>
  </si>
  <si>
    <t>Condensador trifásico, para paso de potencia efectiva de 10kVAR / 230Vac, 60 Hz, p=7%, tipo CLZ-FP-HD, marca CIRCUTOR.</t>
  </si>
  <si>
    <t>COND_7kVAR/380V_p14</t>
  </si>
  <si>
    <t>Condensador trifásico, para paso de potencia efectiva de 7kVAR / 380Vac, 60 Hz, p=14%,  tipo CLZ-FP-HD, marca CIRCUTOR.</t>
  </si>
  <si>
    <t>Condensador trifásico, para paso de potencia efectiva de 18kVAR / 380Vac, 60 Hz, p=14%,  tipo CLZ-FP-HD, marca CIRCUTOR.</t>
  </si>
  <si>
    <t>REACT_25kVAR/380V_p14</t>
  </si>
  <si>
    <t>Reactancia para filtro de rechazo de armónicas, para paso de 25kVAR / 380Vac, 60Hz, p=14%, tipo RBX, marca CIRCUTOR.</t>
  </si>
  <si>
    <t>COND_20.95kVAR/380V_p7_CLZ</t>
  </si>
  <si>
    <t>CMC_22kVAR/380V</t>
  </si>
  <si>
    <t>New</t>
  </si>
  <si>
    <t>DI60S</t>
  </si>
  <si>
    <t>UPS monofasico 6kVA, con transformador de aislamiento incorporado, 220Vac, modelo DI SERIES, marca ATLAS POWER.</t>
  </si>
  <si>
    <t>GPP-24U1000-IP55</t>
  </si>
  <si>
    <t>Centro de energia de con UPS monofasico 6kVA, con transformador de aislamiento separado (8kVA), 220Vac, modelo URT-6K-G2-UPM, marca PLUG &amp; POWER.</t>
  </si>
  <si>
    <t>3VA9157-0FK21</t>
  </si>
  <si>
    <t>Mandos rotativos prolongados con eje de 300 mm, P/modelo 3VA11 - marca SIEMENS</t>
  </si>
  <si>
    <t>3VA9257-0FK21</t>
  </si>
  <si>
    <t>Mandos rotativos prolongados con eje de 300 mm, P/modelo 3VA12 - marca SIEMENS</t>
  </si>
  <si>
    <t>3VA9467-0FK21</t>
  </si>
  <si>
    <t>Mandos rotativos prolongados con eje de 300 mm, P/modelo 3VA13, 3VA14, 3VA23, 3VA24 - marca SIEMENS</t>
  </si>
  <si>
    <t>3VA9687-0FK21</t>
  </si>
  <si>
    <t>Mandos rotativos prolongados con eje de 300 mm, P/modelo 3VA25 - marca SIEMENS</t>
  </si>
  <si>
    <t>ARRANCADORES  ELECTRONICOS SUAVES SIRIUS 3RW30</t>
  </si>
  <si>
    <t>3RW3013-1BB14</t>
  </si>
  <si>
    <t>Arrancador Electronico Suave SIRIUS 3RW30, Tamaño S00  - 0.75HP@220Vac / 2.0HP@440V - In_max=3.6A - marca SIEMENS.</t>
  </si>
  <si>
    <t>3RW3014-1BB14</t>
  </si>
  <si>
    <t>Arrancador Electronico Suave SIRIUS 3RW30, Tamaño S00  - 2.0HP@220Vac / 4.0HP@440V - In_max=6.5A - marca SIEMENS.</t>
  </si>
  <si>
    <t>3RW3016-1BB14</t>
  </si>
  <si>
    <t>Arrancador Electronico Suave SIRIUS 3RW30, Tamaño S00  - 3.0HP@220Vac / 6.0HP@440V - In_max=9.0A - marca SIEMENS.</t>
  </si>
  <si>
    <t>3RW3017-1BB14</t>
  </si>
  <si>
    <t>Arrancador Electronico Suave SIRIUS 3RW30, Tamaño S00  - 4.0HP@220Vac / 7.5HP@440V - In_max=12.5A - marca SIEMENS.</t>
  </si>
  <si>
    <t>3RW3018-1BB14</t>
  </si>
  <si>
    <t>Arrancador Electronico Suave SIRIUS 3RW30, Tamaño S00  - 6.0HP@220Vac / 12.5HP@440V - In_max=17.6A - marca SIEMENS.</t>
  </si>
  <si>
    <t>3RW3026-1BB14</t>
  </si>
  <si>
    <t>Arrancador Electronico Suave SIRIUS 3RW30, Tamaño S0  - 7.5HP@220Vac / 15.0HP@440V - In_max=25.0A - marca SIEMENS.</t>
  </si>
  <si>
    <t>3RW3027-1BB14</t>
  </si>
  <si>
    <t>Arrancador Electronico Suave SIRIUS 3RW30, Tamaño S0  - 10.0HP@220Vac / 25.0HP@440V - In_max=32.0A - marca SIEMENS.</t>
  </si>
  <si>
    <t>3RW3028-1BB14</t>
  </si>
  <si>
    <t>Arrancador Electronico Suave SIRIUS 3RW30, Tamaño S0  - 12.5HP@220Vac / 28.0HP@440V - In_max=38.0A - marca SIEMENS.</t>
  </si>
  <si>
    <t>3RW3036-1BB14</t>
  </si>
  <si>
    <t>Arrancador Electronico Suave SIRIUS 3RW30, Tamaño S2  - 15.0HP@220Vac / 30.0HP@440V - In_max=45.0A - marca SIEMENS.</t>
  </si>
  <si>
    <t>3RW3037-1BB14</t>
  </si>
  <si>
    <t>Arrancador Electronico Suave SIRIUS 3RW30, Tamaño S2  - 25.0HP@220Vac / 50.0HP@440V - In_max=63.0A - marca SIEMENS.</t>
  </si>
  <si>
    <t>3RW3038-1BB14</t>
  </si>
  <si>
    <t>Arrancador Electronico Suave SIRIUS 3RW30, Tamaño S2  - 28.0HP@220Vac / 58.0HP@440V - In_max=72.0A - marca SIEMENS.</t>
  </si>
  <si>
    <t>3RW3046-1BB14</t>
  </si>
  <si>
    <t>Arrancador Electronico Suave SIRIUS 3RW30, Tamaño S3  - 30.0HP@220Vac / 65.0HP@440V - In_max=80.0A - marca SIEMENS.</t>
  </si>
  <si>
    <t>3RW3047-1BB14</t>
  </si>
  <si>
    <t>Arrancador Electronico Suave SIRIUS 3RW30, Tamaño S3  - 40.0HP@220Vac / 75.0HP@440V - In_max=106.0A - marca SIEMENS.</t>
  </si>
  <si>
    <t>ARRANCADORES  ELECTRONICOS SUAVES SIRIUS 3RW40</t>
  </si>
  <si>
    <t>3RW4024-1BB14</t>
  </si>
  <si>
    <t>Arrancador Electronico Suave SIRIUS 3RW40, Tamaño S0  - 4.0HP@220Vac / 7.5HP@440V - In_max=12.5A - marca SIEMENS.</t>
  </si>
  <si>
    <t>3RW4026-1BB14</t>
  </si>
  <si>
    <t>Arrancador Electronico Suave SIRIUS 3RW40, Tamaño S0  - 7.5HP@220Vac / 15.0HP@440V - In_max=25.0A - marca SIEMENS.</t>
  </si>
  <si>
    <t>3RW4027-1BB14</t>
  </si>
  <si>
    <t>Arrancador Electronico Suave SIRIUS 3RW40, Tamaño S0  - 12.5HP@220Vac / 25.0HP@440V - In_max=32.0A - marca SIEMENS.</t>
  </si>
  <si>
    <t>3RW4028-1BB14</t>
  </si>
  <si>
    <t>Arrancador Electronico Suave SIRIUS 3RW40, Tamaño S0  - 15.0HP@220Vac / 30.0HP@440V - In_max=38.0A - marca SIEMENS.</t>
  </si>
  <si>
    <t>3RW4036-1BB14</t>
  </si>
  <si>
    <t>Arrancador Electronico Suave SIRIUS 3RW40, Tamaño S2  - 15.0HP@220Vac / 30.0HP@440V - In_max=45.0A - marca SIEMENS.</t>
  </si>
  <si>
    <t>3RW4037-1BB14</t>
  </si>
  <si>
    <t>Arrancador Electronico Suave SIRIUS 3RW40, Tamaño S2  - 25.0HP@220Vac / 50.0HP@440V - In_max=63.0A - marca SIEMENS.</t>
  </si>
  <si>
    <t>3RW4038-1BB14</t>
  </si>
  <si>
    <t>Arrancador Electronico Suave SIRIUS 3RW40, Tamaño S2  - 28.0HP@220Vac / 58.0HP@440V - In_max=72.0A - marca SIEMENS.</t>
  </si>
  <si>
    <t>3RW4046-1BB14</t>
  </si>
  <si>
    <t>Arrancador Electronico Suave SIRIUS 3RW40, Tamaño S3  - 30.0HP@220Vac / 60.0HP@440V - In_max=80.0A - marca SIEMENS.</t>
  </si>
  <si>
    <t>3RW4047-1BB14</t>
  </si>
  <si>
    <t>Arrancador Electronico Suave SIRIUS 3RW40, Tamaño S3  - 40.0HP@220Vac / 75.0HP@440V - In_max=106.0A - marca SIEMENS.</t>
  </si>
  <si>
    <t>3RW4055-6BB44</t>
  </si>
  <si>
    <t>Arrancador Electronico Suave SIRIUS 3RW40, Tamaño S6  - 50.0HP@220Vac / 100.0HP@440V - In_max=134.0A - marca SIEMENS.</t>
  </si>
  <si>
    <t>3RW4056-6BB44</t>
  </si>
  <si>
    <t>Arrancador Electronico Suave SIRIUS 3RW40, Tamaño S6  - 60.0HP@220Vac / 125.0HP@440V - In_max=162.0A - marca SIEMENS.</t>
  </si>
  <si>
    <t>3RW4073-6BB44</t>
  </si>
  <si>
    <t>Arrancador Electronico Suave SIRIUS 3RW40, Tamaño S12  - 75.0HP@220Vac / 175.0HP@440V - In_max=230.0A - marca SIEMENS.</t>
  </si>
  <si>
    <t>3RW4074-6BB44</t>
  </si>
  <si>
    <t>Arrancador Electronico Suave SIRIUS 3RW40, Tamaño S12  - 100.0HP@220Vac / 200.0HP@440V - In_max=280.0A - marca SIEMENS.</t>
  </si>
  <si>
    <t>3RW4075-6BB44</t>
  </si>
  <si>
    <t>Arrancador Electronico Suave SIRIUS 3RW40, Tamaño S12  - 150.0HP@220Vac / 300.0HP@440V - In_max=356.0A - marca SIEMENS.</t>
  </si>
  <si>
    <t>3RW4076-6BB44</t>
  </si>
  <si>
    <t>Arrancador Electronico Suave SIRIUS 3RW40, Tamaño S12  - 175.0HP@220Vac / 350.0HP@440V - In_max=432.0A - marca SIEMENS.</t>
  </si>
  <si>
    <t>ESB24-20</t>
  </si>
  <si>
    <t>Contactor 2x9A(AC-3) / 2x24(AC-1) - ESB-24/20 - bobina 230V 50Hz / 240V 60Hz- marca ABB.</t>
  </si>
  <si>
    <t>GHE3291402R0006</t>
  </si>
  <si>
    <t>HFD3225L</t>
  </si>
  <si>
    <t>ITM de 3x225A , HFD + terminales internos p/ conexión,  100kA@240Vac. - 65kA@480Vac. (UL), marca EATON.</t>
  </si>
  <si>
    <t>Contacto conmutado de estado NA/NC - p/modelo FD.</t>
  </si>
  <si>
    <t>4P</t>
  </si>
  <si>
    <t>DILMP80</t>
  </si>
  <si>
    <t xml:space="preserve">Contactor 80A (AC-1 ) / 50A (AC-3) bob. 220Vac. , marca EATON. </t>
  </si>
  <si>
    <t>DILMP63</t>
  </si>
  <si>
    <t xml:space="preserve">Contactor 63A (AC-1 ) / 40A (AC-3) bob. 220Vac. , marca EATON. </t>
  </si>
  <si>
    <t>?</t>
  </si>
  <si>
    <t>4825 0403</t>
  </si>
  <si>
    <t>4825 0402</t>
  </si>
  <si>
    <t>DIRIS-A20/Com</t>
  </si>
  <si>
    <t>Módulo de comunicación RS 485 MODBUS, para Analizador de Red, DIRIS-A20, marca SOCOMEC.</t>
  </si>
  <si>
    <t>4825 0082</t>
  </si>
  <si>
    <t>Modulo de Memoria_CVM-B100</t>
  </si>
  <si>
    <t>Modulo de expansión de almacenamiento de datos para equipos CVM-B100, tipo M-CVM-B-DATALOGGER - marca Circuitor.</t>
  </si>
  <si>
    <t>Trafo_BENDER_DS0107/10000_10KVA</t>
  </si>
  <si>
    <t>Transformador de aislamiento trifásico, modelo DS0107/10000, 10KVA marca BENDER</t>
  </si>
  <si>
    <t>TRAFO_2F_220-110V_1500VA_AUD</t>
  </si>
  <si>
    <t>Transformador de tensión de aislamiento monofásico 220 / 110 Vac - 1500VA, marca AUDAX.</t>
  </si>
  <si>
    <t>TAM015000240100</t>
  </si>
  <si>
    <t>TRAFO_2F_220-110V_1000VA_AUD</t>
  </si>
  <si>
    <t>Transformador de tensión de aislamiento monofásico 220 / 110 Vac - 1000VA, marca AUDAX.</t>
  </si>
  <si>
    <t>TAM010000240100</t>
  </si>
  <si>
    <t>D7PR2B24Vdc</t>
  </si>
  <si>
    <t>Rele auxiliar enchufable 24Vdc- marca EATON.</t>
  </si>
  <si>
    <t>ZB65-40</t>
  </si>
  <si>
    <t>Relé de sobrecarga, para contactores DILM 40…DILM 65 regulable (40.0 - 65.0)A. - marca EATON.</t>
  </si>
  <si>
    <t>2433.000</t>
  </si>
  <si>
    <t>2508.100</t>
  </si>
  <si>
    <t>SOP-FIJ. MURAL SZ</t>
  </si>
  <si>
    <t>Soporte para fijación mural, distancia a pared de 10mm (4 pzas.) - Ref.:2508.010 - marca RITTAL.</t>
  </si>
  <si>
    <t>2508.010</t>
  </si>
  <si>
    <t>2514.000</t>
  </si>
  <si>
    <t>A9Z64440</t>
  </si>
  <si>
    <t>A9Z64463</t>
  </si>
  <si>
    <t>A9Z65480</t>
  </si>
  <si>
    <t>A44 352 - 100</t>
  </si>
  <si>
    <t>Medidor trifasico conexion indirecta, Categoría Plata (energía act./react.), clase C, comunicacion RS-485 Modbus, pulse output , tipo A44 352 - 100, marca ABB.</t>
  </si>
  <si>
    <t>2CMA170537R1000</t>
  </si>
  <si>
    <t>2CDS211001R0064</t>
  </si>
  <si>
    <t>2CDS211001R0104</t>
  </si>
  <si>
    <t>2CDS211001R0164</t>
  </si>
  <si>
    <t>2CDS211001R0204</t>
  </si>
  <si>
    <t>2CDS211001R0254</t>
  </si>
  <si>
    <t>2CDS211001R0324</t>
  </si>
  <si>
    <t>2CDS211001R0404</t>
  </si>
  <si>
    <t>2CDS211001R0504</t>
  </si>
  <si>
    <t>2CDS211001R0634</t>
  </si>
  <si>
    <t>2CDS212001R0064</t>
  </si>
  <si>
    <t>2CDS212001R0104</t>
  </si>
  <si>
    <t>2CDS212001R0164</t>
  </si>
  <si>
    <t>2CDS212001R0204</t>
  </si>
  <si>
    <t>2CDS212001R0254</t>
  </si>
  <si>
    <t>2CDS212001R0324</t>
  </si>
  <si>
    <t>2CDS212001R0404</t>
  </si>
  <si>
    <t>2CDS212001R0504</t>
  </si>
  <si>
    <t>2CDS212001R0634</t>
  </si>
  <si>
    <t>2CDS213001R0104</t>
  </si>
  <si>
    <t>2CDS213001R0164</t>
  </si>
  <si>
    <t>2CDS213001R0204</t>
  </si>
  <si>
    <t>2CDS213001R0254</t>
  </si>
  <si>
    <t>2CDS213001R0324</t>
  </si>
  <si>
    <t>2CDS213001R0404</t>
  </si>
  <si>
    <t>2CDS213001R0504</t>
  </si>
  <si>
    <t>2CDS213001R0634</t>
  </si>
  <si>
    <t>2CDS214001R0104</t>
  </si>
  <si>
    <t>2CDS214001R0164</t>
  </si>
  <si>
    <t>2CDS214001R0204</t>
  </si>
  <si>
    <t>2CDS214001R0254</t>
  </si>
  <si>
    <t>2CDS214001R0324</t>
  </si>
  <si>
    <t>2CDS214001R0404</t>
  </si>
  <si>
    <t>2CDS214001R0504</t>
  </si>
  <si>
    <t>2CDS214001R0634</t>
  </si>
  <si>
    <t>2CDS251001R0065</t>
  </si>
  <si>
    <t>2CDS251001R0105</t>
  </si>
  <si>
    <t>2CDS251001R0205</t>
  </si>
  <si>
    <t>2CDS251001R0255</t>
  </si>
  <si>
    <t>2CDS251001R0325</t>
  </si>
  <si>
    <t>2CDS251001R0405</t>
  </si>
  <si>
    <t>2CDS251001R0505</t>
  </si>
  <si>
    <t>2CDS251001R0635</t>
  </si>
  <si>
    <t>2CDS251001R0064</t>
  </si>
  <si>
    <t>2CDS251001R0104</t>
  </si>
  <si>
    <t>2CDS251001R0164</t>
  </si>
  <si>
    <t>2CDS251001R0204</t>
  </si>
  <si>
    <t>2CDS251001R0254</t>
  </si>
  <si>
    <t>2CDS251001R0324</t>
  </si>
  <si>
    <t>2CDS251001R0404</t>
  </si>
  <si>
    <t>2CDS251001R0504</t>
  </si>
  <si>
    <t>2CDS251001R0634</t>
  </si>
  <si>
    <t>2CDS271001R0104</t>
  </si>
  <si>
    <t>2CDS271001R0164</t>
  </si>
  <si>
    <t>2CDS271001R0204</t>
  </si>
  <si>
    <t>2CDS271001R0254</t>
  </si>
  <si>
    <t>2CDS271001R0324</t>
  </si>
  <si>
    <t>2CDS271001R0404</t>
  </si>
  <si>
    <t>2CDS271001R0504</t>
  </si>
  <si>
    <t>2CDS271001R0634</t>
  </si>
  <si>
    <t>2CDS252001R0065</t>
  </si>
  <si>
    <t>2CDS252001R0105</t>
  </si>
  <si>
    <t>2CDS252001R0165</t>
  </si>
  <si>
    <t>2CDS252001R0205</t>
  </si>
  <si>
    <t>2CDS252001R0255</t>
  </si>
  <si>
    <t>2CDS252001R0325</t>
  </si>
  <si>
    <t>2CDS252001R0405</t>
  </si>
  <si>
    <t>2CDS252001R0505</t>
  </si>
  <si>
    <t>2CDS252001R0635</t>
  </si>
  <si>
    <t>2CDS252001R0024</t>
  </si>
  <si>
    <t>2CDS252001R0044</t>
  </si>
  <si>
    <t>2CDS252001R0064</t>
  </si>
  <si>
    <t>2CDS252001R0104</t>
  </si>
  <si>
    <t>2CDS252001R0164</t>
  </si>
  <si>
    <t>2CDS252001R0204</t>
  </si>
  <si>
    <t>2CDS252001R0254</t>
  </si>
  <si>
    <t>2CDS252001R0324</t>
  </si>
  <si>
    <t>2CDS252001R0404</t>
  </si>
  <si>
    <t>2CDS252001R0504</t>
  </si>
  <si>
    <t>2CDS252001R0634</t>
  </si>
  <si>
    <t>2CDS272001R0105</t>
  </si>
  <si>
    <t>2CDS272001R0104</t>
  </si>
  <si>
    <t>2CDS272001R0164</t>
  </si>
  <si>
    <t>2CDS272001R0204</t>
  </si>
  <si>
    <t>2CDS272001R0254</t>
  </si>
  <si>
    <t>2CDS272001R0324</t>
  </si>
  <si>
    <t>2CDS272001R0404</t>
  </si>
  <si>
    <t>2CDS272001R0504</t>
  </si>
  <si>
    <t>2CDS272001R0634</t>
  </si>
  <si>
    <t>2CDS253001R0065</t>
  </si>
  <si>
    <t>2CDS253001R0105</t>
  </si>
  <si>
    <t>2CDS253001R0165</t>
  </si>
  <si>
    <t>2CDS253001R0205</t>
  </si>
  <si>
    <t>2CDS253001R0255</t>
  </si>
  <si>
    <t>2CDS253001R0325</t>
  </si>
  <si>
    <t>2CDS253001R0405</t>
  </si>
  <si>
    <t>2CDS253001R0505</t>
  </si>
  <si>
    <t>2CDS253001R0635</t>
  </si>
  <si>
    <t>2CDS253001R0064</t>
  </si>
  <si>
    <t>2CDS253001R0104</t>
  </si>
  <si>
    <t>2CDS253001R0164</t>
  </si>
  <si>
    <t>2CDS253001R0204</t>
  </si>
  <si>
    <t>2CDS253001R0254</t>
  </si>
  <si>
    <t>2CDS253001R0324</t>
  </si>
  <si>
    <t>2CDS253001R0404</t>
  </si>
  <si>
    <t>2CDS253001R0504</t>
  </si>
  <si>
    <t>2CDS253001R0634</t>
  </si>
  <si>
    <t>2CDS273001R0104</t>
  </si>
  <si>
    <t>2CDS273001R0164</t>
  </si>
  <si>
    <t>2CDS273001R0204</t>
  </si>
  <si>
    <t>2CDS273001R0254</t>
  </si>
  <si>
    <t>2CDS273001R0324</t>
  </si>
  <si>
    <t>2CDS273001R0404</t>
  </si>
  <si>
    <t>2CDS273001R0504</t>
  </si>
  <si>
    <t>2CDS273001R0634</t>
  </si>
  <si>
    <t>2CDS254001R0065</t>
  </si>
  <si>
    <t>2CDS254001R0105</t>
  </si>
  <si>
    <t>2CDS254001R0165</t>
  </si>
  <si>
    <t>2CDS254001R0205</t>
  </si>
  <si>
    <t>2CDS254001R0255</t>
  </si>
  <si>
    <t>2CDS254001R0325</t>
  </si>
  <si>
    <t>2CDS254001R0405</t>
  </si>
  <si>
    <t>2CDS254001R0505</t>
  </si>
  <si>
    <t>2CDS254001R0635</t>
  </si>
  <si>
    <t>2CDS254001R0104</t>
  </si>
  <si>
    <t>2CDS254001R0164</t>
  </si>
  <si>
    <t>2CDS254001R0204</t>
  </si>
  <si>
    <t>2CDS254001R0254</t>
  </si>
  <si>
    <t>2CDS254001R0324</t>
  </si>
  <si>
    <t>2CDS254001R0404</t>
  </si>
  <si>
    <t>2CDS254001R0504</t>
  </si>
  <si>
    <t>2CDS254001R0634</t>
  </si>
  <si>
    <t>2CDS274001R0105</t>
  </si>
  <si>
    <t>2CDS274001R0104</t>
  </si>
  <si>
    <t>2CDS274001R0164</t>
  </si>
  <si>
    <t>2CDS274001R0204</t>
  </si>
  <si>
    <t>2CDS274001R0254</t>
  </si>
  <si>
    <t>2CDS274001R0324</t>
  </si>
  <si>
    <t>2CDS274001R0404</t>
  </si>
  <si>
    <t>2CDS274001R0504</t>
  </si>
  <si>
    <t>2CDS274001R0634</t>
  </si>
  <si>
    <t>XT4N160-32A-3P-TMD</t>
  </si>
  <si>
    <t>ITM Caja Moldeada 3x32A (reg.[0.7-1.0] In) - XT4N160-32A-3P-TMD - 65kA@230Vac, 36kA@415Vac - marca ABB.</t>
  </si>
  <si>
    <t>1SDA068082R1</t>
  </si>
  <si>
    <t>XT4N160-40A-3P-TMA</t>
  </si>
  <si>
    <t>ITM Caja Moldeada 3x40A (reg.[0.7-1.0] In) - XT4N160-40A-3P-TMA - 65kA@230Vac, 36kA@415Vac - marca ABB.</t>
  </si>
  <si>
    <t>1SDA068083R1</t>
  </si>
  <si>
    <t>XT4N160-32A-4P-TMD</t>
  </si>
  <si>
    <t>ITM Caja Moldeada 4x32A (reg.[0.7-1.0] In) - XT4N160-32A-4P-TMD - 65kA@230Vac, 36kA@415Vac, 36kA@500Vdc - marca ABB.</t>
  </si>
  <si>
    <t>XT4S160-32A-3P-TMD</t>
  </si>
  <si>
    <t>ITM Caja Moldeada 3x32A (reg.[0.7-1.0] In) - XT4S160-32A-3P-TMD - 85kA@230Vac, 50kA@415Vac - marca ABB.</t>
  </si>
  <si>
    <t>1SDA068302R1</t>
  </si>
  <si>
    <t>XT4S160-40A-3P-TMA</t>
  </si>
  <si>
    <t>ITM Caja Moldeada 3x40A (reg.[0.7-1.0] In) - XT4S160-40A-3P-TMA - 85kA@230Vac, 50kA@415Vac - marca ABB.</t>
  </si>
  <si>
    <t>1SDA068303R1</t>
  </si>
  <si>
    <t>T5H400-400A-3P-TMA</t>
  </si>
  <si>
    <t>ITM Caja Moldeada 3x400A (reg.[0.7-1.0] In) - T5S400-400A-3P-TMA - 100kA@230Vac, 70kA@415Vac - marca ABB.</t>
  </si>
  <si>
    <t>1SDA054445R1</t>
  </si>
  <si>
    <t>T5S400-320A-3P-PR221DS-LS/I</t>
  </si>
  <si>
    <t>ITM Caja Moldeada 3x320A (electrónico [0.4-1.0] In) - T5S400-320A-3P-PR221DS-LS/I - 85kA@230Vac, 50kA@415Vac - marca ABB.</t>
  </si>
  <si>
    <t>1SDA054332R1</t>
  </si>
  <si>
    <t>T7H1000-1000A-3P-PR231 P-LS/I</t>
  </si>
  <si>
    <t>ITM Caja Moldeada 3x1000A (electrónico [0.4-1.0] In) - T7H1000-1000A-3P-PR231 P-LS/I - 70kA@415Vac - marca ABB.</t>
  </si>
  <si>
    <t>1SDA062770R1</t>
  </si>
  <si>
    <t>T6L630-630A-3P-PR222DS/P-LSIG</t>
  </si>
  <si>
    <t>ITM Caja Moldeada 3X630A (electrónico [0.4-1.0] In) - T5L630-630A-3P-PR222DS/P-LSIG- 200kA@230Vac, 120kA@415Vac - marca ABB.</t>
  </si>
  <si>
    <t>1SDA060259R1</t>
  </si>
  <si>
    <t>T7L1250-1250A-3P-PR331/P-LSIG</t>
  </si>
  <si>
    <t>ITM Caja Moldeada 3x1250A (electrónico [0.4-1.0] In) - T7L1250-1250A-3P-PR331/P-LSIG - 120kA@415Vac - marca ABB.</t>
  </si>
  <si>
    <t>1SDA062932R1</t>
  </si>
  <si>
    <t>T7L1250(M)-1250A-3P-PR331/P-LSIG</t>
  </si>
  <si>
    <t>ITM Caja Moldeada 3x1250A (electrónico [0.4-1.0] In) - T7L1250(M) -1250A-3P-PR232/P-LSIG - 120kA@415Vac - marca ABB.</t>
  </si>
  <si>
    <t>T7L1600(M)-1600A-3P-PR331/P-LSIG</t>
  </si>
  <si>
    <t>ITM Caja Moldeada 3x1600A (electrónico [0.4-1.0] In) - T7L1600(M)-1600A-3P-PR332/P-LSIG - 120kA@415Vac - marca ABB.</t>
  </si>
  <si>
    <t>1SDA063076R1</t>
  </si>
  <si>
    <t>T7L1600-1600A-3P-PR331/P-LSIG</t>
  </si>
  <si>
    <t>ITM Caja Moldeada 3x1600A (electrónico [0.4-1.0] In) - T7L1600 -1600A-3P-PR331/P-LSI - 120kA@415Vac - marca ABB.</t>
  </si>
  <si>
    <t>1SDA063060R1</t>
  </si>
  <si>
    <t>E2.2N-1000A-3P-Ekip Touch LSI</t>
  </si>
  <si>
    <t>ITM Bastidor Abierto 3x1000A (electrónico [0.4-1.0] In) - E2.2N-1000A-3P-Ekip Touch LSI - 66kA@440Vac - marca ABB.</t>
  </si>
  <si>
    <t>1SDA070925R1</t>
  </si>
  <si>
    <t>E2.2N-1250A-3P-Ekip Touch LSI</t>
  </si>
  <si>
    <t>ITM Bastidor Abierto 3x1250A (electrónico [0.4-1.0] In) - E2.2N-1250A-3P-Ekip Touch LSI - 66kA@440Vac - marca ABB.</t>
  </si>
  <si>
    <t>1SDA070955R1</t>
  </si>
  <si>
    <t>E2.2S-2000A-3P-Ekip Touch LSIG</t>
  </si>
  <si>
    <t>ITM Bastidor Abierto 3x2000A (electrónico [0.4-1.0] In) - E2.2S-2000A-3P-Ekip Touch LSIG- 85kA@440Vac - marca ABB.</t>
  </si>
  <si>
    <t>1SDA071046R1</t>
  </si>
  <si>
    <t>E2.2S-2500A-3P-Ekip Touch LSIG</t>
  </si>
  <si>
    <t>ITM Bastidor Abierto 3x2500A (electrónico [0.4-1.0] In) - E2.2S-2500A-3P-Ekip Touch LSIG- 85kA@440Vac - marca ABB.</t>
  </si>
  <si>
    <t>1SDA071076R1</t>
  </si>
  <si>
    <t>IZMX 2000_85kA</t>
  </si>
  <si>
    <t>ITM Bastidor Abierto de 3x2000A , ( Reg. 0.4-1.0 de In ), LSI, serie IZMX, modelo RAS, 85kA@480Vac. + contacto auxilxiar 2NA/NC - marca EATON.</t>
  </si>
  <si>
    <t>IZMX 2000_85kA_4p</t>
  </si>
  <si>
    <t>IZMX 4000_85kA</t>
  </si>
  <si>
    <t>ITM Bastidor Abierto de 3x4000A , ( Reg. 0.4-1.0 de In ), LSI, serie IZMX, modelo RAS, 85kA@480Vac. + contacto auxilxiar 2NA/NC - marca EATON.</t>
  </si>
  <si>
    <t>REACT_50kVAR/380V_p14</t>
  </si>
  <si>
    <t>Reactancia para filtro de rechazo de armónicas, para paso de 50kVAR / 380Vac, 60Hz, p=14%, tipo RBX, marca CIRCUTOR.</t>
  </si>
  <si>
    <t>525Vac:</t>
  </si>
  <si>
    <t>COND_25kVAR/525V_p14</t>
  </si>
  <si>
    <t>Condensador, Trifásico, para paso de potencia efectiva de 25kVAR / 525Vac, 60 Hz, tipo CLZ-FP-HD, marca CIRCUTOR.</t>
  </si>
  <si>
    <t>COND_30kVAR/525V_p14</t>
  </si>
  <si>
    <t>Condensador, Trifásico, para paso de potencia efectiva de 30kVAR / 525Vac, 60 Hz, tipo CLZ-FP-HD, marca CIRCUTOR.</t>
  </si>
  <si>
    <t>3WT8080-5AA00-0AA2</t>
  </si>
  <si>
    <t>3VA1132-5ED12-0AA0</t>
  </si>
  <si>
    <t>ITM de 1x32A, Caja Moldeada 3VA1132,  55kA@240Vac.- SIEMENS.</t>
  </si>
  <si>
    <t>300x200x150mm_4X_KS</t>
  </si>
  <si>
    <t>Tablero mural de poliéster - modelo KS, NEMA 4X / IP66 - 300x200x150mm  - Ref.:1423.500 - marca RITTAL.</t>
  </si>
  <si>
    <t>350x250x150mm_4X_KS</t>
  </si>
  <si>
    <t>Tablero mural de poliéster - modelo KS, NEMA 4X / IP66 - 350x250x150mm  - Ref.:1432.500 - marca RITTAL.</t>
  </si>
  <si>
    <t>400x300x200mm_4X_KS</t>
  </si>
  <si>
    <t>Tablero mural de poliéster - modelo KS, NEMA 4X / IP66 - 400x300x200mm  - Ref.:1434.500 - marca RITTAL.</t>
  </si>
  <si>
    <t>400x400x200mm_4X_KS</t>
  </si>
  <si>
    <t>Tablero mural de poliéster - modelo KS, NEMA 4X / IP66 - 400x400x200mm  - Ref.:1444.500 - marca RITTAL.</t>
  </si>
  <si>
    <t>600x400x200mm_4X_KS</t>
  </si>
  <si>
    <t>Tablero mural de poliéster - modelo KS, NEMA 4X / IP66 - 600x400x200mm  - Ref.:1446.500 - marca RITTAL.</t>
  </si>
  <si>
    <t>500x500x300mm_4X_KS</t>
  </si>
  <si>
    <t>Tablero mural de poliéster - modelo KS, NEMA 4X / IP66 - 500x500x300mm  - Ref.:1453.500 - marca RITTAL.</t>
  </si>
  <si>
    <t>600x600x200mm_4X_KS</t>
  </si>
  <si>
    <t>Tablero mural de poliéster - modelo KS, NEMA 4X / IP66 - 600x600x200mm  - Ref.:1466.500 - marca RITTAL.</t>
  </si>
  <si>
    <t>800x600x300mm_4X_KS</t>
  </si>
  <si>
    <t>Tablero mural de poliéster - modelo KS, NEMA 4X / IP66 - 800x600x300mm  - Ref.:1468.500 - marca RITTAL.</t>
  </si>
  <si>
    <t>1000x800x300mm_4X_KS</t>
  </si>
  <si>
    <t>Tablero mural de poliéster - modelo KS, NEMA 4X / IP66 - 1000x800x300mm  - Ref.:1480.500 - marca RITTAL.</t>
  </si>
  <si>
    <t xml:space="preserve"> </t>
  </si>
  <si>
    <t>Tablero mural de poliéster - modelo KS, NEMA 12 / IP56 - 1000x1000x300mm  - Ref.:1400.500 - marca RITTAL.</t>
  </si>
  <si>
    <t>3VA1120-3ED32-0AA0</t>
  </si>
  <si>
    <t>ITM de 3x20A, Caja Moldeada 3VA1120,  25kA@415Vac.- SIEMENS.</t>
  </si>
  <si>
    <t>ITM de 3x25A, Caja Moldeada 3VA1125,  25kA@415Vac.- SIEMENS.</t>
  </si>
  <si>
    <t>ITM de 3x32A, Caja Moldeada 3VA1132,  25kA@415Vac.- SIEMENS.</t>
  </si>
  <si>
    <t>ITM de 3x40A, Caja Moldeada 3VA1140,  25kA@415Vac.- SIEMENS.</t>
  </si>
  <si>
    <t>ITM de 3x50A, Caja Moldeada 3VA1150,  25kA@415Vac.- SIEMENS.</t>
  </si>
  <si>
    <t>ITM de 3x63A, Caja Moldeada 3VA1163,  25kA@415Vac.- SIEMENS.</t>
  </si>
  <si>
    <t>ITM de 3x80A, Caja Moldeada 3VA1180,  25kA@415Vac.- SIEMENS.</t>
  </si>
  <si>
    <t>ITM de 3x100A, Caja Moldeada 3VA1110,  25kA@415Vac.- SIEMENS.</t>
  </si>
  <si>
    <t>ITM de 3x125A, Caja Moldeada 3VA1112,  25kA@415Vac.- SIEMENS.</t>
  </si>
  <si>
    <t>ITM de 3x160A, Caja Moldeada 3VA1116,  25kA@415Vac.- SIEMENS.</t>
  </si>
  <si>
    <t>PM2230</t>
  </si>
  <si>
    <t>Medidor de energía multifunción PM2230, clase
0.5s, 31th armónico, 14 alarmas, comunicación Modbus RTU - marca Schneider.</t>
  </si>
  <si>
    <t>METSEPM2230</t>
  </si>
  <si>
    <t>Medidor de energía multifunción PM5330, clase
0.5s, 31th armónico, 4 tarifas, 35 alarmas, 256kb memoria, comunicación Modbus - marca Schneider.</t>
  </si>
  <si>
    <t>Medidor de energía multifunción PM5340, clase
0.5s, 31th armónico, 4 tarifas, 35 alarmas, 256kb memoria, comunicación Ethernet - marca Schneider.</t>
  </si>
  <si>
    <t>PM8240</t>
  </si>
  <si>
    <t>Analizador de redes multifunción PM8240, clase
0.2s, 63th armónico (127th armónico por software), +50 alarmas, 512Mb memoria, comunicación Modbus, ION,
DNP3 y Ethernet, GPS, servidor WEB integrado. Pantalla a color - marca Schneider.</t>
  </si>
  <si>
    <t>METSEPM8240</t>
  </si>
  <si>
    <t>A9MEM2010</t>
  </si>
  <si>
    <t>Contador monofásico A9MEM2010, en directo sin TC hasta 40A, con pantalla LCD, salida de impulsos,
montaje en riel DIN. Dos tarifas - marca Schneider.</t>
  </si>
  <si>
    <t>A9MEM2155</t>
  </si>
  <si>
    <t>Contador monofásico A9MEM2155, en directo sin TC hasta 63A, con pantalla LCD, salida de impulsos,
montaje en riel DIN. Dos tarifas + RS485 Modbus RTU - marca Schneider.</t>
  </si>
  <si>
    <t>Contador monofásico / trifásico A9MEM3155, directo sin TC hasta 63A, con pantalla LCD, 4 tarifas, 1DO /1DI,
comunicación Modbus, Alarma, montaje en riel - marca Schneider.</t>
  </si>
  <si>
    <t>A9MEM3255</t>
  </si>
  <si>
    <t>Contador monofásico / trifásico A9MEM3255, a través de TC, con pantalla LCD, 4 tarifas, 1DO /1DI, comunicación
Modbus, Alarma, montaje en riel - marca Schneider.</t>
  </si>
  <si>
    <t>A9MEM3265</t>
  </si>
  <si>
    <t>Contador monofásico / trifásico A9MEM3265, a través de TC, con pantalla LCD, 4 tarifas, 1DO /1DI, comunicación
BACnet, Alarma, montaje en riel - marca Schneider.</t>
  </si>
  <si>
    <t>A9MEM3355</t>
  </si>
  <si>
    <t>Contador monofásico / trifásico A9MEM3355, directo sin TC hasta 125A, con pantalla LCD, 4 tarifas, 1DO /1DI,
comunicación Modbus, Alarma, montaje en riel - marca Schneider.</t>
  </si>
  <si>
    <t>T6S630-630A-3P-TMA</t>
  </si>
  <si>
    <t>ITM Caja Moldeada 3x630A (reg.[0.7-1.0] In) - T6S630-630A-3P-TMA - 85kA@230Vac, 50kA@415Vac, 36kA@500Vdc - marca ABB.</t>
  </si>
  <si>
    <t>1SDA060204R1</t>
  </si>
  <si>
    <t>400x400x200mm_KS</t>
  </si>
  <si>
    <t>Tablero mural de poliéster - modelo KS, NEMA 12 / IP56 - 400x400x200mm  - Ref.:1448.500 - marca RITTAL.</t>
  </si>
  <si>
    <t>500x500x300mm_KS</t>
  </si>
  <si>
    <t>Tablero mural de poliéster - modelo KS, NEMA 12 / IP56 - 500x500x300mm  - Ref.:1454.500 - marca RITTAL.</t>
  </si>
  <si>
    <t>600x400x200mm_KS</t>
  </si>
  <si>
    <t>Tablero mural de poliéster - modelo KS, NEMA 12 / IP56 - 600x400x200mm  - Ref.:1449.500 - marca RITTAL.</t>
  </si>
  <si>
    <t>600x600x200mm_KS</t>
  </si>
  <si>
    <t>Tablero mural de poliéster - modelo KS, NEMA 12 / IP56 - 600x600x200mm  - Ref.:1467.500 - marca RITTAL.</t>
  </si>
  <si>
    <t>800x600x300mm_KS</t>
  </si>
  <si>
    <t>Tablero mural de poliéster - modelo KS, NEMA 12 / IP56 - 800x600x300mm  - Ref.:1469.500 - marca RITTAL.</t>
  </si>
  <si>
    <t>1000x800x300mm_KS</t>
  </si>
  <si>
    <t>Tablero mural de poliéster - modelo KS, NEMA 12 / IP56 - 1000x800x300mm  - Ref.:1479.500 - marca RITTAL.</t>
  </si>
  <si>
    <t>1000x1000x300mm_KS</t>
  </si>
  <si>
    <t>TUERCAS_ENCAS</t>
  </si>
  <si>
    <t xml:space="preserve">Tuercas encastadas M6 para KS. </t>
  </si>
  <si>
    <t>REGULADOR</t>
  </si>
  <si>
    <t>B44066R7415E230   </t>
  </si>
  <si>
    <t>Regulador de factor de potencia, 12 pasos, Serie 7000, marca SIEMENS.</t>
  </si>
  <si>
    <t>CONDESADORES</t>
  </si>
  <si>
    <t>B32344-E4162-A780</t>
  </si>
  <si>
    <t>Condensador trifásico, para paso de potencia efectiva de 12.5kVAR / 380Vac, 60 Hz, tipo PhiCap, marca SIEMENS.</t>
  </si>
  <si>
    <t>B32344-E4252-A080</t>
  </si>
  <si>
    <t>Condensador trifásico, para paso de potencia efectiva de 18.8kVAR / 380Vac, 60 Hz, tipo PhiCap, marca SIEMENS.</t>
  </si>
  <si>
    <t>B44066-S1810-J230</t>
  </si>
  <si>
    <t>B44066-S2410-J230</t>
  </si>
  <si>
    <t>3VA1132-3ED12-0AA0</t>
  </si>
  <si>
    <t>ITM de 1x32A, Caja Moldeada 3VA1132,  25kA@240Vac.- SIEMENS.</t>
  </si>
  <si>
    <t>3VA1125-3ED32-0AA0</t>
  </si>
  <si>
    <t>3VA1132-3ED32-0AA0</t>
  </si>
  <si>
    <t>3VA1140-3ED32-0AA0</t>
  </si>
  <si>
    <t>3VA1150-3ED32-0AA0</t>
  </si>
  <si>
    <t>3VA1163-3ED32-0AA0</t>
  </si>
  <si>
    <t>3VA1180-3ED32-0AA0</t>
  </si>
  <si>
    <t>3VA1110-3ED32-0AA0</t>
  </si>
  <si>
    <t>3VA1112-3ED32-0AA0</t>
  </si>
  <si>
    <t>3VA1116-3ED32-0AA0</t>
  </si>
  <si>
    <t>PM5110</t>
  </si>
  <si>
    <t>Medidor de energía multifunción PM5110, clase
0.5s, 15th armónico, 4 tarifas, 33 alarmas, comunicación Modbus RTU- marca Schneider.</t>
  </si>
  <si>
    <t>METSEPM5110</t>
  </si>
  <si>
    <t>ITM Caja Moldeada 1x20A - A1N/P125-20A-1P-TMF - 25kA@230V, 5kA@400V - marca ABB.</t>
  </si>
  <si>
    <t>A1N/P125-100A-1P-TMF</t>
  </si>
  <si>
    <t>ITM Caja Moldeada 1x100A - A1N/P125-100A-1P-TMF - 25kA@230V, 5kA@400V - marca ABB.</t>
  </si>
  <si>
    <t>1SDA066695R1</t>
  </si>
  <si>
    <t>ITM Caja Moldeada 1x125A - A1N/P125-125A-1P-TMF - 25kA@230V, 5kA@400V - marca ABB.</t>
  </si>
  <si>
    <t>ITM Caja Moldeada 2x15A - A1N/P125-15A-2P-TMF - 50kA@230Vac, 30kA@400Vac, 10kA@125Vdc - marca ABB.</t>
  </si>
  <si>
    <t>2CSF204592R3630</t>
  </si>
  <si>
    <t>OVRHTE1002773Y</t>
  </si>
  <si>
    <t>Supresor contra sobretensiones (Tipo 1, UL 1449) - OVRHSP2002773Y - I_max=100kA por fase, Un=277/480V,  MCOV=320V (L-N), VPR=1.2kV (L-N) - marca ABB.</t>
  </si>
  <si>
    <t>2CJB310277Y0000</t>
  </si>
  <si>
    <t>XT2L160-32A-4P-TMD</t>
  </si>
  <si>
    <t>ITM Caja Moldeada 3x32A (reg.[0.7-1.0] In) - XT2L160-32A-4P-TMD - 150kA@230Vac, 120kA@415Vac - marca ABB.</t>
  </si>
  <si>
    <t>1SDA067662R1</t>
  </si>
  <si>
    <t>XT2L160-40A-4P-TMA</t>
  </si>
  <si>
    <t>ITM Caja Moldeada 3x40A (reg.[0.7-1.0] In) - XT2L160-40A-4P-TMA - 150kA@230Vac, 120kA@415Vac - marca ABB.</t>
  </si>
  <si>
    <t>1SDA067663R1</t>
  </si>
  <si>
    <t>T6L800-800A-3P-PR221DS-LS/I</t>
  </si>
  <si>
    <t>ITM Caja Moldeada 3x800A (electrónico [0.4-1.0] In) - T6L800-800A-3P-PR221DS-LS/I - 150kA@230Vac, 70kA@415Vac - marca ABB.</t>
  </si>
  <si>
    <t>1SDA060299R1</t>
  </si>
  <si>
    <t>T6L800-800A-4P-PR221DS-LS/I</t>
  </si>
  <si>
    <t>ITM Caja Moldeada 4x800A (electrónico [0.4-1.0] In) - T6L800-800A-4P-PR221DS-LS/I - 100kA@415Vac, 65kA@500Vac  - marca ABB.</t>
  </si>
  <si>
    <t>1SDA060305R1</t>
  </si>
  <si>
    <t>T5H400-320A-3P-PR222DS/P-LSI</t>
  </si>
  <si>
    <t>ITM Caja Moldeada 3x320A (electrónico [0.4-1.0] In) - T5H400-320A-3P-PR222DS/P-LSI - 100kA@230Vac, 70kA@415Vac - marca ABB.</t>
  </si>
  <si>
    <t xml:space="preserve">E1.2N 800 Ekip Dip LSI 3p F F           </t>
  </si>
  <si>
    <t>ITM Bastidor Abierto 3x800A (electrónico [0.4-1.0] In) - E1.2N-800A-3P-Ekip Dip LSI - 66kA@440Vac - marca ABB.</t>
  </si>
  <si>
    <t>1SDA070762R1</t>
  </si>
  <si>
    <t>IZMX 2500_85kA_4p</t>
  </si>
  <si>
    <t>ITM Bastidor Abierto de 4x2500A , ( Reg. 0.4-1.0 de In ), LSI, serie IZMX, modelo RAS, 85kA@480Vac. + contacto auxilxiar 2NA/NC - marca EATON.</t>
  </si>
  <si>
    <t>REACT_45kVAR/380V_p14</t>
  </si>
  <si>
    <t>Reactancia para filtro de rechazo de armónicas, para paso de 45kVAR / 380Vac, 60Hz, p=14%, tipo RBX, marca CIRCUTOR.</t>
  </si>
  <si>
    <t>COND_15kVAR/380V_p7_CLZ-FP-HD</t>
  </si>
  <si>
    <t>Condensador trifásico, para paso de potencia efectiva de 15kVAR / 380Vac, 60 Hz, p=7%, tipo CLZ-FP-HD, marca CIRCUTOR.</t>
  </si>
  <si>
    <t>COND_30kVAR/380V_p7_CLZ-FP-HD</t>
  </si>
  <si>
    <t>Condensador trifásico, para paso de potencia efectiva de 30kVAR / 380Vac, 60 Hz, p=7%, tipo CLZ-FP-HD, marca CIRCUTOR.</t>
  </si>
  <si>
    <t>CMC_45kVAR/380V</t>
  </si>
  <si>
    <t>Contactor para maniobra de condensadores - 45kVAR / 380Vac - Modelo CMC - bobina 230Vac/60Hz. - marca CIRCUTOR.</t>
  </si>
  <si>
    <t>DPX3/160- 40A 36kA LSI (3P)</t>
  </si>
  <si>
    <t>ITM de 3x40A, ( Reg. 16-40A ) DPX3 160, 50kA@220-240 Vac.- 36kA@380-415 Vac. - marca Legrand</t>
  </si>
  <si>
    <t>420302</t>
  </si>
  <si>
    <t>DPX3/160- 100A 36kA LSI (3P)</t>
  </si>
  <si>
    <t>ITM de 3x100A, ( Reg. 40-100A ) DPX3 160, 50kA@220-240 Vac.- 36kA@380-415 Vac. - marca Legrand</t>
  </si>
  <si>
    <t>420305</t>
  </si>
  <si>
    <t>DPX3/160- 160A 36kA LSI (3P)</t>
  </si>
  <si>
    <t>ITM de 3x160A, ( Reg. 64-160A ) DPX3 160, 50kA@220-240 Vac.- 36kA@380-415 Vac. - marca Legrand</t>
  </si>
  <si>
    <t>420307</t>
  </si>
  <si>
    <t>DPX3/250- 250A 36kA LSI (3P)</t>
  </si>
  <si>
    <t>ITM de 3x250A, ( Reg. 100-250A ) DPX3 160, 50kA@220-240 Vac.- 36kA@380-415 Vac. - marca Legrand</t>
  </si>
  <si>
    <t>420309</t>
  </si>
  <si>
    <t>DPX3/250- 40A 50kA LSI (3P)</t>
  </si>
  <si>
    <t>ITM de 3x40A, ( Reg. 16-40A ) DPX3 160, 80kA@220-240 Vac.- 50kA@380-415 Vac. - marca Legrand</t>
  </si>
  <si>
    <t>DPX3/250- 100A 50kA LSI (3P)</t>
  </si>
  <si>
    <t>ITM de 3x100A, ( Reg. 40-100A ) DPX3 160, 80kA@220-240 Vac.- 50kA@380-415 Vac. - marca Legrand</t>
  </si>
  <si>
    <t>DPX3/250- 250A 50kA LSI (3P)</t>
  </si>
  <si>
    <t>ITM de 3x250A, ( Reg. 100-250A ) DPX3 160, 80kA@220-240 Vac.- 50kA@380-415 Vac. - marca Legrand</t>
  </si>
  <si>
    <t>DPX3/250- 40A 50kA LSI (4P)</t>
  </si>
  <si>
    <t>ITM de 4x40A, ( Reg. 16-40A ), electrónico LSI, DPX3 250, 80kA@220-240 Vac.- 50kA@380-415 Vac. - marca Legrand</t>
  </si>
  <si>
    <t>DPX3/250- 100A 50kA LSI (4P)</t>
  </si>
  <si>
    <t>ITM de 4x100A, ( Reg. 40-100A ), electrónico LSI, DPX3 250, 80kA@220-240 Vac.- 50kA@380-415 Vac. - marca Legrand</t>
  </si>
  <si>
    <t>DPX3/250- 250A 50kA LSI (4P)</t>
  </si>
  <si>
    <t>ITM de 4x250A, ( Reg. 100-250A ), electrónico LSI, DPX3 250, 80kA@220-240 Vac.- 50kA@380-415 Vac. - marca Legrand</t>
  </si>
  <si>
    <t>DPX3-I-160</t>
  </si>
  <si>
    <t>Seccionador Caja Moldeada  DPX3-I-160, 4x160A  - marca Legrand</t>
  </si>
  <si>
    <t>DPX3-I-250</t>
  </si>
  <si>
    <t>Seccionador Caja Moldeada  DPX3-I-250, 4x250A  - marca Legrand</t>
  </si>
  <si>
    <t>DPX3/630-S2(LSI) 630A 50kA (4P)</t>
  </si>
  <si>
    <t>ITM de 4x630A, electronico S2(LSI) ( Reg. 252-630A ) DPX3 630, 100kA@220-240 Vac.- 50kA@380-415 Vac. - marca Legrand</t>
  </si>
  <si>
    <t>DPX3/1600-S2(LSI)- 800A 70kA (4P)</t>
  </si>
  <si>
    <t>ITM de 4x800A, electronico S2(LSI) ( Reg. 320-800A ) DPX3 1600, 120kA@220-240 Vac.- 70kA@380-415 Vac. - marca Legrand</t>
  </si>
  <si>
    <t>DPX3/1600-S2(LSI)- 1250A 70kA (4P)</t>
  </si>
  <si>
    <t>ITM de 4x1250A, electronico S2(LSI) ( Reg. 500-1250A ) DPX3 1600, 120kA@220-240 Vac.- 70kA@380-415 Vac. - marca Legrand</t>
  </si>
  <si>
    <t>Central de transferencia automatica BASICA para 2 Int.- 12-48Vdc</t>
  </si>
  <si>
    <t>'Central de transferencia automatica BASICA para 2 Int.- 12-48Vdc</t>
  </si>
  <si>
    <t>DX3-6000/25A-2P-K</t>
  </si>
  <si>
    <t>ITM Riel-Din 2x25A - DX3-6000-K - 10kA@400V-IEC60947-2 - marca LEGRAND.</t>
  </si>
  <si>
    <t>DX3-6000/25A-3P-K</t>
  </si>
  <si>
    <t>ITM Riel-Din 3x25A - DX3-6000-K - 10kA@400V-IEC60947-2 - marca Legrand.</t>
  </si>
  <si>
    <t>DX3-B-40A/30mA-2P</t>
  </si>
  <si>
    <t>Interruptor Diferencial 2x40A - 30mA - clase B - DX3-B-40A/30mA - marca Legrand.</t>
  </si>
  <si>
    <t>411842</t>
  </si>
  <si>
    <t>DX3-B-63A/30mA-2P</t>
  </si>
  <si>
    <t>Interruptor Diferencial 2x63A - 30mA - clase B - DX3-B-63A/30mA - marca Legrand.</t>
  </si>
  <si>
    <t>411843</t>
  </si>
  <si>
    <t>DX3-B-40A/300mA-2P</t>
  </si>
  <si>
    <t>Interruptor Diferencial 2x40A - 300mA - clase B - DX3-B-40A/300mA - marca Legrand.</t>
  </si>
  <si>
    <t>411844</t>
  </si>
  <si>
    <t>DX3-B-63A/300mA-2P</t>
  </si>
  <si>
    <t>Interruptor Diferencial 2x63A - 300mA - clase B - DX3-B-63A/300mA - marca Legrand.</t>
  </si>
  <si>
    <t>411845</t>
  </si>
  <si>
    <t>DX3-B-40A/30mA-4P</t>
  </si>
  <si>
    <t>Interruptor Diferencial 4x40A - 30mA - clase B - DX3-B-40A/30mA - marca Legrand.</t>
  </si>
  <si>
    <t>411846</t>
  </si>
  <si>
    <t>DX3-B-63A/30mA-4P</t>
  </si>
  <si>
    <t>Interruptor Diferencial 4x63A - 30mA - clase B - DX3-B-63A/30mA - marca Legrand.</t>
  </si>
  <si>
    <t>411847</t>
  </si>
  <si>
    <t>DX3-B-40A/300mA-4P</t>
  </si>
  <si>
    <t>Interruptor Diferencial 4x40A - 300mA - clase B - DX3-B-40A/300mA - marca Legrand.</t>
  </si>
  <si>
    <t>411848</t>
  </si>
  <si>
    <t>DX3-B-63A/300mA-4P</t>
  </si>
  <si>
    <t>Interruptor Diferencial 4x63A - 300mA - clase B - DX3-B-63A/300mA - marca Legrand.</t>
  </si>
  <si>
    <t>411849</t>
  </si>
  <si>
    <t>T5H400-320A-3P-PR221DS-LS/I</t>
  </si>
  <si>
    <t>ITM Caja Moldeada 3x320A (electrónico [0.4-1.0] In) - T5H400-320A-3P-PR221DS-LS/I - 100kA@230Vac, 70kA@415Vac - marca ABB.</t>
  </si>
  <si>
    <t>1SDA054348R1</t>
  </si>
  <si>
    <t>MCB-11</t>
  </si>
  <si>
    <t>Contacto  auxiliar 1NA DOBLE- p/ línea modular - marca ABB.</t>
  </si>
  <si>
    <t>1SFA611610R1011</t>
  </si>
  <si>
    <t>ACS310-03E-13A8-4</t>
  </si>
  <si>
    <t>Variador de velocidad ACS310, 5.5kW Trifásico, Imotor= 13.8A,  380 - 480Volt, marca ABB.</t>
  </si>
  <si>
    <t>ACS-CP-C</t>
  </si>
  <si>
    <t>Panel de control básico con pantalla numérica y botones grandes para ACS 310/355, marca ABB.</t>
  </si>
  <si>
    <t>ACS-CP-A</t>
  </si>
  <si>
    <t>Panel de control auxiliar con asistentes de puestas en marcha y diagnóstico incorpora una pantalla multilingue y un reloj en tiempo real para ACS 310/355, marca ABB.</t>
  </si>
  <si>
    <t>EMBAL_ADOS_600x310x210 mm</t>
  </si>
  <si>
    <t>Embalaje especial completamente cerrado para tablero adosado de 600x310x210 mm</t>
  </si>
  <si>
    <t>EMBAL_ADOS_210x260x210 mm</t>
  </si>
  <si>
    <t>Embalaje especial completamente cerrado para tablero adosado de 210x260x210 mm</t>
  </si>
  <si>
    <t xml:space="preserve">OVR T1-T2 1L 12.5-275s P TS QS </t>
  </si>
  <si>
    <t>Protector de sobretensiones (Tipo 1+2) - OVR T1-T2 1L 12.5-275s P TS QS - Un=230V,  Uc=275V, Up=1.1kV - I_descarga=80kA - marca ABB.</t>
  </si>
  <si>
    <t>2CTB815710R0000</t>
  </si>
  <si>
    <t>TOMA-I-EMP_2P+T(63A)_IP67</t>
  </si>
  <si>
    <t>Tomacorriente industrial, 2P+T, 63A / 250V, Azul, 6H, empotrable, IP67 - (Ref: 1264A) - marca MENNEKES.</t>
  </si>
  <si>
    <t>1264A</t>
  </si>
  <si>
    <t>ENCH-IND 2P+T(63A)_IP67</t>
  </si>
  <si>
    <t>Enchufe industrial, 2P+T, 63A / 250V, Azul, 6H, IP67 - (Ref: 3303) - marca MENNEKES.</t>
  </si>
  <si>
    <t>Tomacorriente industrial, 3P+N+T, 16A / 415V, Rojo, 6H, empotrable, IP67- (Ref: 1485) - marca  MENNEKES</t>
  </si>
  <si>
    <t>Enchufe industrial, 3P+N+T, 16A / 415V, Rojo, 6H, IP67- (Ref: 288) - marca  MENNEKES</t>
  </si>
  <si>
    <t>240A</t>
  </si>
  <si>
    <t>TOMA-I-EMP_3P+N+T(125A)_IP67</t>
  </si>
  <si>
    <t>Tomacorriente industrial, 3P+N+T, 125A / 415V, Rojo, empotrable, IP67 - (Ref: 212A) - marca MENNEKES.</t>
  </si>
  <si>
    <t>212A</t>
  </si>
  <si>
    <t>ENCH-IND 3P+N+T(125A)_IP67</t>
  </si>
  <si>
    <t>Enchufe industrial, 3P+N+T, 125A / 415V, Rojo, IP67 - (Ref: 3374) - marca MENNEKES.</t>
  </si>
  <si>
    <t>DADO_2P+T_TOMA_UNIV</t>
  </si>
  <si>
    <t>DADO TOMACORRIENTE UNIVERSAL 2P+T, Magic, BTicino</t>
  </si>
  <si>
    <t>DADO_2P+T_TOMA_AMERICANO</t>
  </si>
  <si>
    <t>DADO TOMACORRIENTE AMERICANO, Magic, BTicino</t>
  </si>
  <si>
    <t>DADO_CABLE</t>
  </si>
  <si>
    <t>DADO CIEGO PARA SALIDA DE CABLE MAGIC, BTicino</t>
  </si>
  <si>
    <t>PLACA_TRIPLE</t>
  </si>
  <si>
    <t>CAJA SUPERFICIAL MAGIC IDROBOX para 3 aparatos IP55, BTicino</t>
  </si>
  <si>
    <t>T4N320-320A-4P-PR221DS-LS/I</t>
  </si>
  <si>
    <t>ITM Caja Moldeada 4x320A (electrónico [0.4-1.0] In)  - T4N320-320A-4P-PR221DS-LS/I - 70kA@230Vac, 36kA@415Vac - marca ABB.</t>
  </si>
  <si>
    <t>1SDA054121R1</t>
  </si>
  <si>
    <t>E1.2C-1600A-4P-Ekip Touch LSI</t>
  </si>
  <si>
    <t>ITM Bastidor Abierto 4x1600A (electrónico [0.4-1.0] In) - E1.2C-1600A-4P-Ekip Touch LSI - 50kA@440Vac - marca ABB.</t>
  </si>
  <si>
    <t>1SDA072505R1</t>
  </si>
  <si>
    <t>FDCE308032L</t>
  </si>
  <si>
    <t>FDCE MCCB 100 KA@480V ELECTRONIC LSI 3P 15-80A LINE &amp; L</t>
  </si>
  <si>
    <t>FDCE308036L</t>
  </si>
  <si>
    <t>Interruptor automático de caja moldeada electrónica Eaton Serie C,3X 80A LSIG</t>
  </si>
  <si>
    <t>CTF080</t>
  </si>
  <si>
    <t>Neutral Current Transformer, 080 Amps</t>
  </si>
  <si>
    <t>FDCE316032L</t>
  </si>
  <si>
    <t>Interruptor automático de caja moldeada electrónica Eaton Serie C,3X 60A LSI</t>
  </si>
  <si>
    <t>JGC316032G</t>
  </si>
  <si>
    <t>Disyuntor de caja moldeada electrónica Eaton Serie G</t>
  </si>
  <si>
    <t>NGC312032E</t>
  </si>
  <si>
    <r>
      <t xml:space="preserve">Terminales para el interruptor </t>
    </r>
    <r>
      <rPr>
        <b/>
        <sz val="10"/>
        <rFont val="Arial"/>
        <family val="2"/>
      </rPr>
      <t>TA1200NB1</t>
    </r>
  </si>
  <si>
    <t>QLGF12PL</t>
  </si>
  <si>
    <t>Bloqueo por candado QLGF12PL para interruptor QBGF</t>
  </si>
  <si>
    <t>COND_30kVAR/480V_p7</t>
  </si>
  <si>
    <t>Condensador, Trifásico, para paso de potencia efectiva de 30kVAR / 480Vac, 60 Hz, p=7%, tipo CLZ-FP-HD, marca CIRCUTOR.</t>
  </si>
  <si>
    <t>COND_40kVAR/480V_p7</t>
  </si>
  <si>
    <t>Condensador, Trifásico, para paso de potencia efectiva de 40kVAR / 480Vac, 60 Hz, p=7%, tipo CLZ-FP-HD, marca CIRCUTOR.</t>
  </si>
  <si>
    <t>COND_22.5kVAR/525V_p14</t>
  </si>
  <si>
    <t>Condensador, Trifásico, para paso de potencia efectiva de 22.5kVAR / 525Vac, 60 Hz, tipo CLZ-FP-HD, marca CIRCUTOR.</t>
  </si>
  <si>
    <t>COND_34kVAR/525V_p14</t>
  </si>
  <si>
    <t>Condensador, Trifásico, para paso de potencia efectiva de 34kVAR / 525Vac, 60 Hz, tipo CLZ-FP-HD, marca CIRCUTOR.</t>
  </si>
  <si>
    <t>ITM Bastidor Abierto 3x800A (electrónico [0.4-1.0] In) -3WT80805 - 55kA@500Vac - marca SIEMENS.</t>
  </si>
  <si>
    <t>ITM Bastidor Abierto 3x1250A (electrónico [0.4-1.0] In) -3WT81205 - 55kA@500Vac - marca SIEMENS.</t>
  </si>
  <si>
    <t>ITM Bastidor Abierto 3x1600A (electrónico [0.4-1.0] In) -3WT81615 - 66kA@500Vac - marca SIEMENS.</t>
  </si>
  <si>
    <t>ITM Bastidor Abierto 3x2000A (electrónico [0.4-1.0] In) -3WT82025 - 66kA@500Vac - marca SIEMENS.</t>
  </si>
  <si>
    <t>ITM Bastidor Abierto 3x2500A (electrónico [0.4-1.0] In) -3WT82525 - 66kA@500Vac - marca SIEMENS.</t>
  </si>
  <si>
    <t>ITM Bastidor Abierto 3x3200A (electrónico [0.4-1.0] In) -3WT83225 - 66kA@500Vac - marca SIEMENS.</t>
  </si>
  <si>
    <t>ITM Bastidor Abierto 3x4000A (electrónico [0.4-1.0] In) -3WT84025 - 66kA@500Vac - marca SIEMENS.</t>
  </si>
  <si>
    <t>3WT8161-7AA00-0AA2</t>
  </si>
  <si>
    <t>ITM Bastidor Abierto 3x1600A (electrónico [0.4-1.0] In) -3WT81617 - 66kA@500Vac - marca SIEMENS.</t>
  </si>
  <si>
    <t>3WT8165-7AA00-0AA2</t>
  </si>
  <si>
    <t>ITM Bastidor Abierto 4x1600A (electrónico [0.4-1.0] In) -3WT81657 - 66kA@500Vac - marca SIEMENS.</t>
  </si>
  <si>
    <t>3WT8202-7AA00-0AA2</t>
  </si>
  <si>
    <t>ITM Bastidor Abierto 3x2000A (electrónico [0.4-1.0] In) -3WT82027 - 66kA@500Vac - marca SIEMENS.</t>
  </si>
  <si>
    <t>3WT8206-7AA00-0AA2</t>
  </si>
  <si>
    <t>ITM Bastidor Abierto 4x2000A (electrónico [0.4-1.0] In) -3WT82067 - 66kA@500Vac - marca SIEMENS.</t>
  </si>
  <si>
    <t>F202-B-25A-300mA</t>
  </si>
  <si>
    <t>Interruptor Diferencial 2x25A - 300mA - clase B (alta inmunización: para variador, corriente pulsante o con rizado) - F204-B-25A-300mA - marca ABB.</t>
  </si>
  <si>
    <t>2CSF202592R3250</t>
  </si>
  <si>
    <t>E1.2N-1250A-4P-Ekip Dip LSI</t>
  </si>
  <si>
    <t>ITM Bastidor Abierto 4x1250A (electrónico [0.4-1.0] In) - E1.2N-1250A-4P-Ekip Dip LSI - 66kA@440Vac - marca ABB.</t>
  </si>
  <si>
    <t>1SDA071472R1</t>
  </si>
  <si>
    <t>JD3200</t>
  </si>
  <si>
    <t>ITM de 3x200A - JD,  65kA@240Vac. / 35kA@480Vac. , marca EATON.</t>
  </si>
  <si>
    <t>JD3250</t>
  </si>
  <si>
    <t>ITM de 3x250A - JD,  65kA@240Vac. / 35kA@480Vac. , marca EATON.</t>
  </si>
  <si>
    <t>Bloqueo por candado para interruptor JD / KD</t>
  </si>
  <si>
    <t>TOMA-I-EMP_3P+N+T(125A)_IP67 (NEGRO)</t>
  </si>
  <si>
    <t>Tomacorriente industrial, 3P+T, 125A / 500V, Negro, empotrable, IP67 - (Ref: 213AMEN) - marca MENNEKES.</t>
  </si>
  <si>
    <t>ENCH-IND 3P+T(125A)_IP67 (NEGRO)</t>
  </si>
  <si>
    <t>Enchufe industrial, 3P+T, 125A / 500V, Negro, IP67 - (Ref: 3377ME) - marca MENNEKES.</t>
  </si>
  <si>
    <t>TOMA-I-EMP_3P+T(63A)_IP67 (NEGRO)</t>
  </si>
  <si>
    <t>Tomacorriente industrial, 3P+T, 63A / 500V, Negro, empotrable, IP67 - (Ref: 206AMEN) - marca MENNEKES.</t>
  </si>
  <si>
    <t>206AMEN</t>
  </si>
  <si>
    <t>ENCH-IND 3P+T(63A)_IP67 (NEGRO)</t>
  </si>
  <si>
    <t>Enchufe industrial, 3P+T, 63A / 500V, Negro, IP67 - (Ref: 3323ME) - marca MENNEKES.</t>
  </si>
  <si>
    <t>3323ME</t>
  </si>
  <si>
    <t>SOLERA 18MODULOS</t>
  </si>
  <si>
    <t xml:space="preserve">TABLERO EMPO. L/HALOG. 18 POLOS C/BORNE A/H PVC / 8685PFR1 </t>
  </si>
  <si>
    <t>SOLERA</t>
  </si>
  <si>
    <t>SOLERA 22MODULOS</t>
  </si>
  <si>
    <t>TABLERO EMPO. L/HALOG. 22 POLOS C/BORNE A/H PVC / 8690PFR1</t>
  </si>
  <si>
    <t>SOLERA 28MODULOS</t>
  </si>
  <si>
    <t>TABLERO EMPO. L/HALOG. 28 POLOS C/BORNE A/H PVC /5250PFR1</t>
  </si>
  <si>
    <t>COND_30kVAR/480V_p7_CLZ</t>
  </si>
  <si>
    <t>Condensador trifásico, para paso de potencia efectiva de 30kVAR / 440Vac, 60 Hz, p=7%, tipo CLZ-FP-HD, marca CIRCUTOR.</t>
  </si>
  <si>
    <t>TTA-260A</t>
  </si>
  <si>
    <t>Switch de transferencia automática de 3x260 A, modelo serie 300G, neutro sólido, transición abierta, con certificación UL, marca ASCO.</t>
  </si>
  <si>
    <t>J03ATSA30260DG0C</t>
  </si>
  <si>
    <t>ASCO</t>
  </si>
  <si>
    <t>E1.2C-630A-4P-Ekip Touch LSI</t>
  </si>
  <si>
    <t>ITM Bastidor Abierto 4x630A (electrónico [0.4-1.0] In) - E1.2C-630A-4P-Ekip Touch LSI - 50kA@440Vac - marca ABB.</t>
  </si>
  <si>
    <t>1SDA071345R1</t>
  </si>
  <si>
    <t>SOLERA 40MODULOS</t>
  </si>
  <si>
    <t>TABLERO EMPO. L/HALOG. 40 POLOS C/BORNE A/H PVC /8206PFR1</t>
  </si>
  <si>
    <t>E1.2C-630A-3P-Ekip Touch LSI</t>
  </si>
  <si>
    <t>ITM Bastidor Abierto 3x630A (electrónico [0.4-1.0] In) - E1.2C-630A-3P-Ekip Touch LSI - 50kA@440Vac - marca ABB.</t>
  </si>
  <si>
    <t>1SDA070715R1</t>
  </si>
  <si>
    <t>E1.2C-630A-3P-Ekip Touch LSIG</t>
  </si>
  <si>
    <t>ITM Bastidor Abierto 3x630A (electrónico [0.4-1.0] In) - E1.2C-630A-3P-Ekip Touch LSIG - 50kA@440Vac - marca ABB.</t>
  </si>
  <si>
    <t>1SDA070716R1</t>
  </si>
  <si>
    <t>E1.2C-800A-3P-Ekip Touch LSIG</t>
  </si>
  <si>
    <t>ITM Bastidor Abierto 3x800A (electrónico [0.4-1.0] In) - E1.2C-800A-3P-Ekip Touch LSIG - 50kA@440Vac - marca ABB.</t>
  </si>
  <si>
    <t>1SDA070756R1</t>
  </si>
  <si>
    <t>ITM Bastidor Abierto 4x630A (electrónico [0.4-1.0] In) - E1.2C-630A-4P-Ekip Touch LSIG - 50kA@440Vac - marca ABB.</t>
  </si>
  <si>
    <t>E1.2C-800A-4P-Ekip Touch LSIG</t>
  </si>
  <si>
    <t>ITM Bastidor Abierto 4x800A (electrónico [0.4-1.0] In) - E1.2C-800A-4P-Ekip Touch LSIG - 50kA@440Vac - marca ABB.</t>
  </si>
  <si>
    <t>1SDA071386R1</t>
  </si>
  <si>
    <t>E1.2C-1000A-4P-Ekip Touch LSIG</t>
  </si>
  <si>
    <t>ITM Bastidor Abierto 4x1000A (electrónico [0.4-1.0] In) - E1.2C-1000A-4P-Ekip Touch LSIG - 50kA@440Vac - marca ABB.</t>
  </si>
  <si>
    <t>1SDA071426R1</t>
  </si>
  <si>
    <t>ITM Caja Moldeada 4x1250A (electrónico [0.4-1.0] In) - T7S1250(M)-1250A-4P-PR232/P-LSI - 50kA@415Vac - marca ABB.</t>
  </si>
  <si>
    <t>YU_X1-X2-X3-X4</t>
  </si>
  <si>
    <t>Bobina de mínima tensión (YU) - X1-X2-X3-X4 - UVR versión no cableada - 220-240V AC/DC - marca ABB.</t>
  </si>
  <si>
    <t>1SDA066392R1</t>
  </si>
  <si>
    <t> KDB3250FT36W</t>
  </si>
  <si>
    <t>Interruptor automático de caja moldeada electrónica Eaton Serie C 
65 kAIC a 240 Vac, 35 kAIC a 480 Vac</t>
  </si>
  <si>
    <t>HKDB3250FT36W</t>
  </si>
  <si>
    <t>Interruptor automático de caja moldeada electrónica Eaton Serie C 
100 kAIC a 240 Vac, 65 kAIC a 480 Vac</t>
  </si>
  <si>
    <t>A2KES250T1</t>
  </si>
  <si>
    <t>Eaton A2KES250T1 Kes Rating Plug</t>
  </si>
  <si>
    <t>TA350K</t>
  </si>
  <si>
    <t>Eaton TA350K Lug Kit, 1P, 250 - 500MCM, para caja moldeada, interruptor, marco K</t>
  </si>
  <si>
    <t>3TA400K</t>
  </si>
  <si>
    <t>Disyuntor Eaton 3TA400K, caja moldeada, kit de orejetas, 400A, 3 / 0-250MCM, Cu / Al, marco K</t>
  </si>
  <si>
    <t>Modelo mMC6 CURVA D</t>
  </si>
  <si>
    <t>mMC6-D20/3-MW</t>
  </si>
  <si>
    <t>mMC6-D16/3-MW</t>
  </si>
  <si>
    <t>mMC6-D20/2-MW</t>
  </si>
  <si>
    <t>mMC6-D16/2-MW</t>
  </si>
  <si>
    <t>LAMP_ROJO_220Vac</t>
  </si>
  <si>
    <t>Portalámpara + lampara tipo LED - color Rojo - alimentacion: 220Vac</t>
  </si>
  <si>
    <t>LAMP_VERDE_220Vac</t>
  </si>
  <si>
    <t>Portalámpara + lampara tipo LED - color Verde - alimentacion: 220Vac</t>
  </si>
  <si>
    <t>LM25-M</t>
  </si>
  <si>
    <t>Centralizador de impulsos, 25 entradas, marca CIRCUTOR.</t>
  </si>
  <si>
    <t>B92057212</t>
  </si>
  <si>
    <t>Relé de conmutacion automatica, marca BENDER modelo ATICS-2-63A-DIO Versión 2 polos, Ie: 63 A</t>
  </si>
  <si>
    <t>B92057202</t>
  </si>
  <si>
    <t>Rele de Conmutacion Automatica y Monitorizacion marca: Bender, modelo: ATICS-2-63A-ISO Versión 2 polos, Ie: 63 A, Alim: 230 V</t>
  </si>
  <si>
    <t>OTM_I-0-II_4p_2500A</t>
  </si>
  <si>
    <t>Conmutador motorizado bajo carga (I-0-II), modelo OTM-C, 4p, 2500A (AC21..AC22) / 2500A (AC23) - marca ABB.</t>
  </si>
  <si>
    <t>1SCA112713R1001</t>
  </si>
  <si>
    <t>IZMX 1600(M)_42kA</t>
  </si>
  <si>
    <t>ITM Bastidor Abierto de 3x1600A , ( Reg. 0.4-1.0 de In ), LSI, serie IZMX, modelo NAS, 42kA@400Vac. + contacto auxiliar 4NA/NC + Comando motorizado  - marca EATON.</t>
  </si>
  <si>
    <t>AS1440-DIR_220</t>
  </si>
  <si>
    <t>Medidor polifasico electronico tipo alpha AS1440, 3 hilos, para conexión directa 220Vac, Pto. Comunicacion RS-485, clase de precisión 1S - marca Elster.</t>
  </si>
  <si>
    <t>COD: 2.30.350</t>
  </si>
  <si>
    <t>AS1440-DIR_380</t>
  </si>
  <si>
    <t>Medidor polifasico electronico tipo alpha AS1440, 4 hilos, para conexión directa 380/220Vac, Pto. Comunicacion RS-485, clase de precisión 1S - marca Elster.</t>
  </si>
  <si>
    <t>COD: 2.30.370</t>
  </si>
  <si>
    <t>Medidor polifasico electronico tipo alpha AS1440, 3H o 4H, medicion indirecta 220/380Vac, 5(10)A clase de precision 0.5S - marca Elster.</t>
  </si>
  <si>
    <t>COD: 2.30.384</t>
  </si>
  <si>
    <t>20x30 mm</t>
  </si>
  <si>
    <t>Transformador de corriente nucleo partido de 50/5A.</t>
  </si>
  <si>
    <t>M7011A</t>
  </si>
  <si>
    <t>Transformador de corriente nucleo partido de 100/5A.</t>
  </si>
  <si>
    <t>M70111</t>
  </si>
  <si>
    <t>Transformador de corriente nucleo partido de 150/5A.</t>
  </si>
  <si>
    <t>M70112</t>
  </si>
  <si>
    <t>Transformador de corriente nucleo partido de 200/5A.</t>
  </si>
  <si>
    <t>M70113</t>
  </si>
  <si>
    <t>Transformador de corriente nucleo partido de 250/5A.</t>
  </si>
  <si>
    <t>M70114</t>
  </si>
  <si>
    <t>Transformador de corriente nucleo partido de 300/5A.</t>
  </si>
  <si>
    <t>M70115</t>
  </si>
  <si>
    <t>Transformador de corriente nucleo partido de 400/5A.</t>
  </si>
  <si>
    <t>M70116</t>
  </si>
  <si>
    <t>50x80 mm</t>
  </si>
  <si>
    <t>TC NP 100/5_CIRCUTOR_50x80</t>
  </si>
  <si>
    <t>M7012D</t>
  </si>
  <si>
    <t>TC NP 200/5_CIRCUTOR_50x80</t>
  </si>
  <si>
    <t>M7012B</t>
  </si>
  <si>
    <t>TC NP 250/5_CIRCUTOR_50x80</t>
  </si>
  <si>
    <t>M70121</t>
  </si>
  <si>
    <t>TC NP 300/5_CIRCUTOR_50x80</t>
  </si>
  <si>
    <t>M70122</t>
  </si>
  <si>
    <t>TC NP 400/5_CIRCUTOR_50x80</t>
  </si>
  <si>
    <t>M70123</t>
  </si>
  <si>
    <t>TC NP 500/5_CIRCUTOR_50x80</t>
  </si>
  <si>
    <t>Transformador de corriente nucleo partido de 500/5A.</t>
  </si>
  <si>
    <t>M70124</t>
  </si>
  <si>
    <t>TC NP 600/5_CIRCUTOR_50x80</t>
  </si>
  <si>
    <t>Transformador de corriente nucleo partido de 600/5A.</t>
  </si>
  <si>
    <t>M70125</t>
  </si>
  <si>
    <t>TC NP 700/5_CIRCUTOR_50x80</t>
  </si>
  <si>
    <t>Transformador de corriente nucleo partido de 700/5A.</t>
  </si>
  <si>
    <t>M7012C</t>
  </si>
  <si>
    <t>TC NP 800/5_CIRCUTOR_50*80</t>
  </si>
  <si>
    <t>Transformador de corriente nucleo partido de 800/5A.</t>
  </si>
  <si>
    <t>M70127</t>
  </si>
  <si>
    <t>TC NP 1000/5_CIRCUTOR_50x80</t>
  </si>
  <si>
    <t>Transformador de corriente nucleo partido de 1000/5A.</t>
  </si>
  <si>
    <t>M70128</t>
  </si>
  <si>
    <t>80x80 mm</t>
  </si>
  <si>
    <t>TC NP 250/5_CIRCUTOR_80x80</t>
  </si>
  <si>
    <t>TC NP 300/5_CIRCUTOR_80x80</t>
  </si>
  <si>
    <t>TC NP 400/5_CIRCUTOR_80x80</t>
  </si>
  <si>
    <t>TC NP 500/5_CIRCUTOR_80x80</t>
  </si>
  <si>
    <t>TC NP 600/5_CIRCUTOR_80x80</t>
  </si>
  <si>
    <t>TC NP 700/5_CIRCUTOR_80x80</t>
  </si>
  <si>
    <t>TC NP 800/5_CIRCUTOR_80x80</t>
  </si>
  <si>
    <t>TC NP 1000/5_CIRCUTOR_80x80</t>
  </si>
  <si>
    <t>HUB H-M DE 2" NPT</t>
  </si>
  <si>
    <t>HUB H-M DE 2" NPT MARCA E.F</t>
  </si>
  <si>
    <t>MARCA E.F</t>
  </si>
  <si>
    <t>HUB H-M DE 1 1/2" NPT</t>
  </si>
  <si>
    <t>HUB H-M DE 1" NPT MARCA E.F</t>
  </si>
  <si>
    <t>HUB H-M DE 1" NPT</t>
  </si>
  <si>
    <t>HUB H-M DE 3/4" NPT</t>
  </si>
  <si>
    <t>HUB H-M DE 3/4" NPT MARCA E.F</t>
  </si>
  <si>
    <t>REACT_5kVAR/380V_p7</t>
  </si>
  <si>
    <t>Reactancia para filtro de rechazo de armónicas, para paso de 20kVAR / 380Vac, 60Hz, p=7%, tipo RX, marca CIRCUTOR.</t>
  </si>
  <si>
    <t>Reactancia para filtro de rechazo de armónicas, para paso de 10kVAR / 380Vac, 60Hz, p=7%, tipo RX, marca CIRCUTOR.</t>
  </si>
  <si>
    <t>COND_7.5kVAR/480V_p7</t>
  </si>
  <si>
    <t>Condensador, Trifásico, para paso de potencia efectiva de 7.5kVAR / 480Vac, 60 Hz, p=7%, tipo CLZ-FP-HD, marca CIRCUTOR.</t>
  </si>
  <si>
    <t>COND_15kVAR/480V_p7</t>
  </si>
  <si>
    <t>Condensador, Trifásico, para paso de potencia efectiva de 15kVAR / 480Vac, 60 Hz, p=7%, tipo CLZ-FP-HD, marca CIRCUTOR.</t>
  </si>
  <si>
    <t>CMC_5kVAR/380V</t>
  </si>
  <si>
    <t>Contactor para maniobra de condensadores - 5 KVAR / 380Vac - Modelo CMC - bobina 230Vac/60Hz. - marca CIRCUTOR.</t>
  </si>
  <si>
    <t>TRAB_MEC</t>
  </si>
  <si>
    <t>Juego de (10 unid.) trabamiento mecánico en "desconectado" con portacandados - p/ Riel-Din - marca Schneider - Ref.:A9A26970.</t>
  </si>
  <si>
    <t>A9A26970</t>
  </si>
  <si>
    <t>TRAB_MEC_2</t>
  </si>
  <si>
    <t>Trabamiento mecánico en "desconectado" con portacandados - p/ Riel-Din - marca Schneider - Ref.:A9A26970.</t>
  </si>
  <si>
    <t>TABLERO DE TRANSFERENCIA ASCO 104A</t>
  </si>
  <si>
    <t>Tablero de transferencia ASCO, CICLO CERRADO PASIVO, modelo SERIE 300G, UL, 104A, 220Vac, 3F, NEUTRO SOLIDO, TRANSICION ABIERTA, GABINETE NEMA 1</t>
  </si>
  <si>
    <t>D03ATSA30104DG0C</t>
  </si>
  <si>
    <t>ENC-MEC-100F</t>
  </si>
  <si>
    <t>Bloqueo mecánico para enclavamiento manual entre dos interruptores (permite la conexión de un solo suministro) - Frame 100A.</t>
  </si>
  <si>
    <t>Bloqueo mecánico para enclavamiento manual entre dos interruptores (permite la conexión de un solo suministro) - - p/modelo QC/BR/BAB.</t>
  </si>
  <si>
    <t xml:space="preserve">OVR T2 3L 40 </t>
  </si>
  <si>
    <t>Protector de sobretensiones (Tipo 2) - OVR T2 3N 40-150 P TS U - Un=120+-15V,  Up=1.2kV - I_descarga=40kA - marca ABB.</t>
  </si>
  <si>
    <t>2CTB802346R2100</t>
  </si>
  <si>
    <t>B21 112 - 100</t>
  </si>
  <si>
    <t>Medidor monofásico conexion directa, 65A, Categoría Steel (energía activa), Ue=220...240 Vac, clase B (CI. 1), salida de pulsos, modelo B21 112 - 100, marca ABB.</t>
  </si>
  <si>
    <t>2CMA100150R1000</t>
  </si>
  <si>
    <t>D1_ABB</t>
  </si>
  <si>
    <t>Interruptor digital, modelo D1 - marca ABB.</t>
  </si>
  <si>
    <t>2CSM258763R0621</t>
  </si>
  <si>
    <t xml:space="preserve">TA NEUTRO EXT 63A XT2                   </t>
  </si>
  <si>
    <t>Sensor de corriente para el conductor neutro externo al ITM para XT2 63A</t>
  </si>
  <si>
    <t>1SDA069142R1</t>
  </si>
  <si>
    <t xml:space="preserve">TA NEUTRO EXT 100A XT2                  </t>
  </si>
  <si>
    <t>Sensor de corriente para el conductor neutro externo al ITM para XT2 100A</t>
  </si>
  <si>
    <t>1SDA069143R1</t>
  </si>
  <si>
    <t xml:space="preserve">TA NEUTRO EXT 160A XT2                  </t>
  </si>
  <si>
    <t>Sensor de corriente para el conductor neutro externo al ITM para XT2 160A</t>
  </si>
  <si>
    <t>1SDA069144R1</t>
  </si>
  <si>
    <t xml:space="preserve">TA NEUTRO EXT 250A XT4                  </t>
  </si>
  <si>
    <t>Sensor de corriente para el conductor neutro externo al ITM para XT4 250A</t>
  </si>
  <si>
    <t>1SDA066979R1</t>
  </si>
  <si>
    <t>ITM Caja Moldeada 3x400A (electrónico [0.4-1.0] In) - T5N400-400A-3P-PR222DS/P-LSIG - 70kA@230Vac, 36kA@415Vac - marca ABB.</t>
  </si>
  <si>
    <t>T6N800-800A-3P-PR222DS/P-LSIG</t>
  </si>
  <si>
    <t>ITM Caja Moldeada 3x800A (electrónico [0.4-1.0] In) - T6N800-800A-3P-PR222DS/P-LSIG - 70kA@230Vac, 36kA@415Vac - marca ABB.</t>
  </si>
  <si>
    <t>1SDA060271R1</t>
  </si>
  <si>
    <t>T6N800-800A-4P-PR222DS/P-LSIG</t>
  </si>
  <si>
    <t>ITM Caja Moldeada 4x800A (electrónico [0.4-1.0] In) - T6N800-800A-4P-PR222DS/P-LSIG - 70kA@230Vac, 36kA@415Vac - marca ABB.</t>
  </si>
  <si>
    <t>1SDA060276R1</t>
  </si>
  <si>
    <t xml:space="preserve">TA EXT NEUTRAL 400A T5                  </t>
  </si>
  <si>
    <t>Sensor de corriente para el conductor neutro externo al ITM para T5 400A</t>
  </si>
  <si>
    <t>1SDA055057R1</t>
  </si>
  <si>
    <t xml:space="preserve">TA EXT NEUTRAL 800A T6                  </t>
  </si>
  <si>
    <t>Sensor de corriente para el conductor neutro externo al ITM para T6 800A</t>
  </si>
  <si>
    <t>1SDA060431R1</t>
  </si>
  <si>
    <t xml:space="preserve">X4 FOR PR222DS/P/PD T4..T6 F  &gt; N EXT   </t>
  </si>
  <si>
    <t xml:space="preserve">X4 conector para conectar sensor TA a la PRD222DS/P/PD </t>
  </si>
  <si>
    <t>1SDA055060R1</t>
  </si>
  <si>
    <t>E1.2N-1250A-3P-Ekip Touch LSIG WMP</t>
  </si>
  <si>
    <t>ITM Bastidor Abierto 3x1250A (electrónico [0.4-1.0] In) - E1.2N-1250A-3P-Ekip Touch LSIG WMP - 66kA@440Vac - marca ABB.</t>
  </si>
  <si>
    <t>1SDA072196R1</t>
  </si>
  <si>
    <t xml:space="preserve">EXT CS N E1.2-E2.2-XT7-XT7M 2000A       </t>
  </si>
  <si>
    <t>Sensor de corriente para conductor de neutro exterior E1.2 A e E2.2 2000A</t>
  </si>
  <si>
    <t>1SDA073736R1</t>
  </si>
  <si>
    <t>IZMX 2000(M)_55kA</t>
  </si>
  <si>
    <t>ITM Bastidor Abierto de 3x2000A , ( Reg. 0.4-1.0 de In ), LSI, serie IZMX, modelo RAS, 55kA@415Vac. + contacto auxiliar 4NA/NC + Comando motorizado  - marca EATON.</t>
  </si>
  <si>
    <t>Z-IS/SPE-1TE</t>
  </si>
  <si>
    <t>Dispositivo de bloqueo mecánico portacandado para ITM de modelo mMC (No incluye candado), modelo Z-IS/SPE-1TE - marca EATON.</t>
  </si>
  <si>
    <t>REACT_25kVAR/230V_p7</t>
  </si>
  <si>
    <t>Reactancia para filtro de rechazo de armónicas, para paso de 25kVAR / 230 Vac, 60Hz, p=7%, tipo RX, marca CIRCUTOR.</t>
  </si>
  <si>
    <t>REACT_25kVAR/400V_p7</t>
  </si>
  <si>
    <t>Reactancia para paso de potencia efectiva de 25kVAR / 400Vac, 60Hz, p=7%, tipo RBX, marca CIRCUTOR.</t>
  </si>
  <si>
    <t>REACT_50kVAR/400V_p7</t>
  </si>
  <si>
    <t>Reactancia para paso de potencia efectiva de 50kVAR / 400Vac, 60Hz, p=7%, tipo RBX, marca CIRCUTOR.</t>
  </si>
  <si>
    <t>COND_25kVAR/440V_p7</t>
  </si>
  <si>
    <t>Condensador, Trifásico, para paso de potencia efectiva de 25kVAR / 440Vac, 60 Hz, p=7%, tipo CLZ-FP-HD, marca CIRCUTOR.</t>
  </si>
  <si>
    <t>COND_30kVAR/440V_p7</t>
  </si>
  <si>
    <t>Condensador, Trifásico, para paso de potencia efectiva de 30kVAR / 440Vac, 60 Hz, p=7%, tipo CLZ-FP-HD, marca CIRCUTOR.</t>
  </si>
  <si>
    <t>COND_40kVAR/440V_p7</t>
  </si>
  <si>
    <t>Condensador, Trifásico, para paso de potencia efectiva de 40kVAR / 440Vac, 60 Hz, p=7%, tipo CLZ-FP-HD, marca CIRCUTOR.</t>
  </si>
  <si>
    <t>COND_20kVAR/480V_p7</t>
  </si>
  <si>
    <t>CMC_25kVAR/230V</t>
  </si>
  <si>
    <t>Contactor para maniobra de condensadores - 25kVAR / 230Vac - Modelo CMC - bobina 230Vac/60Hz. - marca CIRCUTOR.</t>
  </si>
  <si>
    <t>CMC_50kVAR/400V</t>
  </si>
  <si>
    <t>Contactor para maniobra de condensadores - 50kVAR / 400Vac - Modelo CMC - bobina 230Vac/60Hz. - marca CIRCUTOR.</t>
  </si>
  <si>
    <t>E1.2C-1250A-3P-Ekip Touch LSI WMP</t>
  </si>
  <si>
    <t>ITM Bastidor Abierto 3x1250A (electrónico [0.4-1.0] In) - E1.2C-1250A-3P-Ekip Touch LSI WMP- 50kA@440Vac - marca ABB.</t>
  </si>
  <si>
    <t>1SDA072185R1</t>
  </si>
  <si>
    <t>2CSF204006R3630</t>
  </si>
  <si>
    <t>TERMOSTATO-1NA_RIT</t>
  </si>
  <si>
    <t>Termostato para ventilación - 1NA - 110-250V - marca Rittal.</t>
  </si>
  <si>
    <t>CMC_20kVAR/220V</t>
  </si>
  <si>
    <t>IZMX 1600_85kA_+bob cierre+bob aper+mot</t>
  </si>
  <si>
    <t>ITM Bastidor Abierto de 3x1600A , ( Reg. 0.4-1.0 de In ), LSI, serie IZMX, modelo RAS, 85kA@400Vac. + contacto auxilxiar 4NA/NC - marca EATON.</t>
  </si>
  <si>
    <t>IZMX 2000_85kA_+bob cierre+bob aper+mot</t>
  </si>
  <si>
    <t>ITM Bastidor Abierto de 3x2000A , ( Reg. 0.4-1.0 de In ), LSI, serie IZMX, modelo RAS, 85kA@480Vac. + contacto auxilxiar 4NA/NC - marca EATON.</t>
  </si>
  <si>
    <t>80x120 mm</t>
  </si>
  <si>
    <t>TC NP 500/5_CIRCUTOR_80x120</t>
  </si>
  <si>
    <t>M70141</t>
  </si>
  <si>
    <t>TC NP 600/5_CIRCUTOR_80x120</t>
  </si>
  <si>
    <t>M70142</t>
  </si>
  <si>
    <t>TC NP 750/5_CIRCUTOR_80x120</t>
  </si>
  <si>
    <t>Transformador de corriente nucleo partido de 750/5A.</t>
  </si>
  <si>
    <t>M70143</t>
  </si>
  <si>
    <t>TC NP 800/5_CIRCUTOR_80x120</t>
  </si>
  <si>
    <t>M70144</t>
  </si>
  <si>
    <t>TC NP 1000/5_CIRCUTOR_80x120</t>
  </si>
  <si>
    <t>M70145</t>
  </si>
  <si>
    <t>TC NP 1200/5_CIRCUTOR_80x120</t>
  </si>
  <si>
    <t>Transformador de corriente nucleo partido de 1200/5A.</t>
  </si>
  <si>
    <t>M70146</t>
  </si>
  <si>
    <t>TC NP 1250/5_CIRCUTOR_80x120</t>
  </si>
  <si>
    <t>Transformador de corriente nucleo partido de 1250/5A.</t>
  </si>
  <si>
    <t>M70147</t>
  </si>
  <si>
    <t>TC NP 1500/5_CIRCUTOR_80x120</t>
  </si>
  <si>
    <t>Transformador de corriente nucleo partido de 1500/5A.</t>
  </si>
  <si>
    <t>M70148</t>
  </si>
  <si>
    <t>TC NP 1600/5_CIRCUTOR_80x120</t>
  </si>
  <si>
    <t>Transformador de corriente nucleo partido de 1600/5A.</t>
  </si>
  <si>
    <t>M70149</t>
  </si>
  <si>
    <t>TC NP 2500/5_CIRCUTOR_80x120</t>
  </si>
  <si>
    <t>Transformador de corriente nucleo partido de 2500/5A.</t>
  </si>
  <si>
    <t>M7014A</t>
  </si>
  <si>
    <t>Núcleo Cerrado TC5.2</t>
  </si>
  <si>
    <t>10x30 mm</t>
  </si>
  <si>
    <t>TC NC 100/5_CIRCUTOR_30x10</t>
  </si>
  <si>
    <t>Transformador de corriente nucleo cerrado de 100/5A.</t>
  </si>
  <si>
    <t>M70321</t>
  </si>
  <si>
    <t>TC NC 150/5_CIRCUTOR_30x10</t>
  </si>
  <si>
    <t>Transformador de corriente nucleo cerrado de 150/5A.</t>
  </si>
  <si>
    <t>M70323</t>
  </si>
  <si>
    <t>TC NC 200/5_CIRCUTOR_30x10</t>
  </si>
  <si>
    <t>Transformador de corriente nucleo cerrado de 200/5A.</t>
  </si>
  <si>
    <t>M70324</t>
  </si>
  <si>
    <t>TC NC 250/5_CIRCUTOR_30x10</t>
  </si>
  <si>
    <t>Transformador de corriente nucleo cerrado de 250/5A.</t>
  </si>
  <si>
    <t>M70325</t>
  </si>
  <si>
    <t>TC NC 300/5_CIRCUTOR_30x10</t>
  </si>
  <si>
    <t>Transformador de corriente nucleo cerrado de 300/5A.</t>
  </si>
  <si>
    <t>M70326</t>
  </si>
  <si>
    <t>TC NC 400/5_CIRCUTOR_30x10</t>
  </si>
  <si>
    <t>Transformador de corriente nucleo cerrado de 400/5A.</t>
  </si>
  <si>
    <t>M70327</t>
  </si>
  <si>
    <t>TC NC 500/5_CIRCUTOR_30x10</t>
  </si>
  <si>
    <t>Transformador de corriente nucleo cerrado de 500/5A.</t>
  </si>
  <si>
    <t>M70328</t>
  </si>
  <si>
    <t>TC NC 600/5_CIRCUTOR_30x10</t>
  </si>
  <si>
    <t>Transformador de corriente nucleo cerrado de 600/5A.</t>
  </si>
  <si>
    <t>M70329</t>
  </si>
  <si>
    <t>Núcleo Cerrado TC8</t>
  </si>
  <si>
    <t>12x60 mm</t>
  </si>
  <si>
    <t>TC NC 800/5_CIRCUTOR_40x10</t>
  </si>
  <si>
    <t>Transformador de corriente nucleo cerrado de 800/5A.</t>
  </si>
  <si>
    <t>M70339</t>
  </si>
  <si>
    <t>Núcleo Partido TC</t>
  </si>
  <si>
    <t>TC NC 50/5_CIRCUTOR_20x3</t>
  </si>
  <si>
    <t>TC NC 100/5_CIRCUTOR_20x3</t>
  </si>
  <si>
    <t>TC NC 150/5_CIRCUTOR_20x3</t>
  </si>
  <si>
    <t>TC NC 200/5_CIRCUTOR_20x3</t>
  </si>
  <si>
    <t>TC NC 250/5_CIRCUTOR_20*3</t>
  </si>
  <si>
    <t>TC NC 300/5_CIRCUTOR_20*3</t>
  </si>
  <si>
    <t>TC NC 400/5_CIRCUTOR_20*3</t>
  </si>
  <si>
    <t>80x160 mm</t>
  </si>
  <si>
    <t>TC NP 500/5_CIRCUTOR_80x160</t>
  </si>
  <si>
    <t>M7015F</t>
  </si>
  <si>
    <t>TC NP 600/5_CIRCUTOR_80x160</t>
  </si>
  <si>
    <t>M7015H</t>
  </si>
  <si>
    <t>TC NP 750/5_CIRCUTOR_80x160</t>
  </si>
  <si>
    <t>M70158</t>
  </si>
  <si>
    <t>TC NP 1000/5_CIRCUTOR_80x160</t>
  </si>
  <si>
    <t>M70151</t>
  </si>
  <si>
    <t>TC NP 1250/5_CIRCUTOR_80x160</t>
  </si>
  <si>
    <t>M7015A</t>
  </si>
  <si>
    <t>TC NP 1500/5_CIRCUTOR_80x160</t>
  </si>
  <si>
    <t>M70152</t>
  </si>
  <si>
    <t>TC NP 1600/5_CIRCUTOR_80x160</t>
  </si>
  <si>
    <t>M7015B</t>
  </si>
  <si>
    <t>TC NP 2000/5_CIRCUTOR_80x160</t>
  </si>
  <si>
    <t>M70153</t>
  </si>
  <si>
    <t>TC NP 2500/5_CIRCUTOR_80x160</t>
  </si>
  <si>
    <t>M70154</t>
  </si>
  <si>
    <t>TC NP 3000/5_CIRCUTOR_80x160</t>
  </si>
  <si>
    <t>M70155</t>
  </si>
  <si>
    <t>TC NP 3200/5_CIRCUTOR_80x160</t>
  </si>
  <si>
    <t>M7015C</t>
  </si>
  <si>
    <t>SPC080415Y2P</t>
  </si>
  <si>
    <t xml:space="preserve">Protector contra Sobretensión Transitoria, Trifásico, Estrella, 415/240V, 60 Hz, de 80 kA por fase </t>
  </si>
  <si>
    <t>TABLEROS TERMOPLASTICOS MARCA- SOLERA</t>
  </si>
  <si>
    <t>5SL6110-7MB</t>
  </si>
  <si>
    <t>5SL6116-7MB</t>
  </si>
  <si>
    <t>5SL6120-7MB</t>
  </si>
  <si>
    <t>5SL6125-7MB</t>
  </si>
  <si>
    <t>5SL6132-7MB</t>
  </si>
  <si>
    <t>5SL6140-7MB</t>
  </si>
  <si>
    <t>5SL6150-7MB</t>
  </si>
  <si>
    <t>5SL6163-7MB</t>
  </si>
  <si>
    <t>5SL6210-7MB</t>
  </si>
  <si>
    <t>5SL6216-7MB</t>
  </si>
  <si>
    <t>5SL6220-7MB</t>
  </si>
  <si>
    <t>5SL6225-7MB</t>
  </si>
  <si>
    <t>5SL6232-7MB</t>
  </si>
  <si>
    <t>5SL6240-7MB</t>
  </si>
  <si>
    <t>5SL6250-7MB</t>
  </si>
  <si>
    <t>5SL6263-7MB</t>
  </si>
  <si>
    <t>5SL6310-7MB</t>
  </si>
  <si>
    <t>5SL6316-7MB</t>
  </si>
  <si>
    <t>5SL6320-7MB</t>
  </si>
  <si>
    <t>5SL6325-7MB</t>
  </si>
  <si>
    <t>5SL6332-7MB</t>
  </si>
  <si>
    <t>5SL6340-7MB</t>
  </si>
  <si>
    <t>5SL6350-7MB</t>
  </si>
  <si>
    <t>5SL6363-7MB</t>
  </si>
  <si>
    <t>5SL4110-7RC</t>
  </si>
  <si>
    <t>5SL4116-7RC</t>
  </si>
  <si>
    <t>5SL4120-7RC</t>
  </si>
  <si>
    <t>5SL4125-7RC</t>
  </si>
  <si>
    <t>5SL4132-7RC</t>
  </si>
  <si>
    <t>5SL4140-7RC</t>
  </si>
  <si>
    <t>5SL4150-7RC</t>
  </si>
  <si>
    <t>5SL4163-7RC</t>
  </si>
  <si>
    <t>5SL4210-7RC</t>
  </si>
  <si>
    <t>5SL4216-7RC</t>
  </si>
  <si>
    <t>5SL4220-7RC</t>
  </si>
  <si>
    <t>5SL4225-7RC</t>
  </si>
  <si>
    <t>5SL4232-7RC</t>
  </si>
  <si>
    <t>5SL4240-7RC</t>
  </si>
  <si>
    <t>5SL4250-7RC</t>
  </si>
  <si>
    <t>5SL4263-7RC</t>
  </si>
  <si>
    <t>5SL4310-7RC</t>
  </si>
  <si>
    <t>5SL4316-7RC</t>
  </si>
  <si>
    <t>5SL4320-7RC</t>
  </si>
  <si>
    <t>5SL4325-7RC</t>
  </si>
  <si>
    <t>5SL4332-7RC</t>
  </si>
  <si>
    <t>5SL4340-7RC</t>
  </si>
  <si>
    <t>5SL4350-7RC</t>
  </si>
  <si>
    <t>5SL4363-7RC</t>
  </si>
  <si>
    <t>3VA9088-0VK10</t>
  </si>
  <si>
    <t>Enclavamiento posterior Marco de montaje Accesorio para 3VA1/2 a 630 A</t>
  </si>
  <si>
    <t>3VA9468-0VK20</t>
  </si>
  <si>
    <t>Enclavamiento posterior Montaje placa Accesorio para: 3VA1 400/630 3VA2 400/630</t>
  </si>
  <si>
    <t>3VA9158-0VK20</t>
  </si>
  <si>
    <t>KIT DE TRANSFERENCIA  CON ITM 3VT4 Y 3VT5 (800A - 1600A)</t>
  </si>
  <si>
    <t>3VT9500-3MQ00</t>
  </si>
  <si>
    <t>Accesorio para VT1000, VT1600 Accionamiento por motor con acumulador de fuerza elástica AC 230V/DC 220V</t>
  </si>
  <si>
    <t>3VT9500-2AF10</t>
  </si>
  <si>
    <t>Accesorio para VT1000, VT1600 Interruptor auxiliar 2 NC+2 NA 60-250V AC/DC</t>
  </si>
  <si>
    <t>3VT9500-8LC10</t>
  </si>
  <si>
    <t>Accesorio para VT1000, VT1600 Enclavamiento con cable Bowden para 2 MCCB VT1000/1600</t>
  </si>
  <si>
    <t>Medidor de energía multifunción METSEPM5560,
clase 0.2s, 63th armónico, 8 tarifas, 52 alarmas, 1.1Mb memoria, comunicación Modbus y Ethernet, servidor WEB
integrado - - marca Schneider.</t>
  </si>
  <si>
    <t>E1.2N-1000A-3P-Ekip Dip LSI</t>
  </si>
  <si>
    <t>ITM Bastidor Abierto 3x1000A (electrónico [0.4-1.0] In) - E1.2N-1000A-3P-Ekip Dip LSI - 66kA@440Vac - marca ABB.</t>
  </si>
  <si>
    <t>1SDA070802R1</t>
  </si>
  <si>
    <t>Contacto auxiliar frontal 1NA para contactor AF09..AF16-30-10, frontal - Modelo CA4-10 - marca ABB.</t>
  </si>
  <si>
    <t>Transformador de corriente nucleo partido de 2000/5A.</t>
  </si>
  <si>
    <t>Transformador de corriente nucleo partido de 3000/5A.</t>
  </si>
  <si>
    <t>Transformador de corriente nucleo partido de 3200/5A.</t>
  </si>
  <si>
    <t>CVX100-480Y</t>
  </si>
  <si>
    <t xml:space="preserve">Dispositivo Protector de Sobretensión, para un sistema Trifásico, Estrella, 415/240V, Corriente de descarga máxima por fase de 100kA, modelo CVX, con indicadores led de estado de la protección por cada fase, marca EATON. </t>
  </si>
  <si>
    <t>CVX050-480Y</t>
  </si>
  <si>
    <t xml:space="preserve">Dispositivo Protector de Sobretensión, para un sistema Trifásico, Estrella, 415/240V, Corriente de descarga máxima por fase de 50kA, modelo CVX, con indicadores led de estado de la protección por cada fase, marca EATON. </t>
  </si>
  <si>
    <t>TRAFO_2F_220-12V_500VA_AUD</t>
  </si>
  <si>
    <t>Transformador de tensión de aislamiento monofásico 220 / 12 Vac - 500VA, marca AUDAX.</t>
  </si>
  <si>
    <t>TRAFO_2F_220-12V_600VA_AUD</t>
  </si>
  <si>
    <t>Transformador de tensión de aislamiento monofásico 220 / 12 Vac - 600VA, marca AUDAX.</t>
  </si>
  <si>
    <t>TRAFO_2F_220-12V_1000VA_AUD</t>
  </si>
  <si>
    <t>TAM010000110200</t>
  </si>
  <si>
    <t>COND_25kVAR/480V_p7</t>
  </si>
  <si>
    <t>Condensador, Trifásico, para paso de potencia efectiva de 25kVAR / 480Vac, 60 Hz, p=7%, tipo CLZ-FP-HD, marca CIRCUTOR.</t>
  </si>
  <si>
    <t>COND_50kVAR/480V_p7</t>
  </si>
  <si>
    <t>Condensador, Trifásico, para paso de potencia efectiva de 50kVAR / 480Vac, 60 Hz, p=7%, tipo CLZ-FP-HD, marca CIRCUTOR.</t>
  </si>
  <si>
    <t>RGU-2</t>
  </si>
  <si>
    <t>Relé electrónico de protección diferencial, tipo A. Rango de ajuste: (0.03 - 5)A, serie RGU-2, marca CIRCUTOR.</t>
  </si>
  <si>
    <t>WGC-35_A</t>
  </si>
  <si>
    <t>Transformador diferencial para Relé electrónico de protección diferencial., Tipo A, modelo WGC-35 - marca CIRCUTOR.</t>
  </si>
  <si>
    <t>WGC-55_A</t>
  </si>
  <si>
    <t>Transformador diferencial para Relé electrónico de protección diferencial., Tipo A, modelo WGC-55 - marca CIRCUTOR.</t>
  </si>
  <si>
    <t>WGC-80_A</t>
  </si>
  <si>
    <t>Transformador diferencial para Relé electrónico de protección diferencial., Tipo A, modelo WGC-80 - marca CIRCUTOR.</t>
  </si>
  <si>
    <t>WGC-110_A</t>
  </si>
  <si>
    <t>Transformador diferencial para Relé electrónico de protección diferencial., Tipo A, modelo WGC-110 - marca CIRCUTOR.</t>
  </si>
  <si>
    <t>WGC-140_A</t>
  </si>
  <si>
    <t>Transformador diferencial para Relé electrónico de protección diferencial., Tipo A, modelo WGC-140 - marca CIRCUTOR.</t>
  </si>
  <si>
    <t>DPX3/630-S2(LSI) 320A 50kA (4P)</t>
  </si>
  <si>
    <t>ITM de 4x320A, electronico S2(LSI) ( Reg. 128-320A ) DPX3 630, 100kA@220-240 Vac.- 50kA@380-415 Vac. - marca Legrand</t>
  </si>
  <si>
    <t>422072</t>
  </si>
  <si>
    <t>DPX3/630-S2(LSI) 400A 50kA (4P)</t>
  </si>
  <si>
    <t>ITM de 4x400A, electronico S2(LSI) ( Reg. 160-400A ) DPX3 630, 100kA@220-240 Vac.- 50kA@380-415 Vac. - marca Legrand</t>
  </si>
  <si>
    <t>422073</t>
  </si>
  <si>
    <t>DPX3/630-S2(LSI) 500A 50kA (4P)</t>
  </si>
  <si>
    <t>ITM de 4x500A, electronico S2(LSI) ( Reg. 200-500A ) DPX3 630, 100kA@220-240 Vac.- 50kA@380-415 Vac. - marca Legrand</t>
  </si>
  <si>
    <t>422074</t>
  </si>
  <si>
    <t>422075</t>
  </si>
  <si>
    <t>MEC_DMX3-T1</t>
  </si>
  <si>
    <t>CAB_DMX3-T1</t>
  </si>
  <si>
    <t>Contacto auxiliar o señal de defecto para DPX3 160/250 - marca Legrand</t>
  </si>
  <si>
    <t>TERMOMAGNETICOS DIFERENCIALES DPX3 160 PANTALLA LCD</t>
  </si>
  <si>
    <t>Sensibilidad diferencial regulable desde  0.03  a  3A</t>
  </si>
  <si>
    <t>DPX3/160- 16A 36kA (4P)TER.DIF</t>
  </si>
  <si>
    <t xml:space="preserve">  ITM. Termomagnético diferencial de 4x16A, ( Reg. 12.8-16A ) DPX3 160 4P - 36kA/400 Vac- marca Legrand</t>
  </si>
  <si>
    <t>420110</t>
  </si>
  <si>
    <t>DPX3/160- 25A 36kA (4P)TER.DIF</t>
  </si>
  <si>
    <t xml:space="preserve">  ITM. Termomagnético diferencial de 4x25A, ( Reg. 20-25A ) DPX3 160 4P - 36kA/400 Vac- marca Legrand</t>
  </si>
  <si>
    <t>420111</t>
  </si>
  <si>
    <t>DPX3/160- 40A 36kA (4P)TER.DIF</t>
  </si>
  <si>
    <t xml:space="preserve">  ITM. Termomagnético diferencial de 4x40A, ( Reg. 32-40A ) DPX3 160 4P - 36kA/400 Vac- marca Legrand</t>
  </si>
  <si>
    <t>420112</t>
  </si>
  <si>
    <t>DPX3/160- 63A 36kA (4P)TER.DIF</t>
  </si>
  <si>
    <t xml:space="preserve">  ITM. Termomagnético diferencial de 4x63A, ( Reg. 50.4-63A ) DPX3 160 4P - 36kA/400 Vac- marca Legrand</t>
  </si>
  <si>
    <t>420113</t>
  </si>
  <si>
    <t>DPX3/160- 80A 36kA (4P)TER.DIF</t>
  </si>
  <si>
    <t xml:space="preserve">  ITM. Termomagnético diferencial de 4x80A, ( Reg. 64-80A ) DPX3 160 4P - 36kA/400 Vac- marca Legrand</t>
  </si>
  <si>
    <t>420114</t>
  </si>
  <si>
    <t>DPX3/160- 100A 36kA (4P)TER.DIF</t>
  </si>
  <si>
    <t xml:space="preserve">  ITM. Termomagnético diferencial de 4x100A, ( Reg. 80-100A ) DPX3 160 4P - 36kA/400 Vac- marca Legrand</t>
  </si>
  <si>
    <t>420115</t>
  </si>
  <si>
    <t>DPX3/160- 125A 36kA (4P)TER.DIF</t>
  </si>
  <si>
    <t xml:space="preserve">  ITM. Termomagnético diferencial de 4x125A, ( Reg. 100-125A ) DPX3 160 4P - 36kA/400 Vac- marca Legrand</t>
  </si>
  <si>
    <t>420116</t>
  </si>
  <si>
    <t>DPX3/160- 160A 36kA (4P)TER.DIF</t>
  </si>
  <si>
    <t xml:space="preserve">  ITM. Termomagnético diferencial de 4x160A, ( Reg. 128-160A ) DPX3 160 4P - 36kA/400 Vac- marca Legrand</t>
  </si>
  <si>
    <t>420117</t>
  </si>
  <si>
    <t>DPX3/160- 80A 50kA (4P)TER.DIF</t>
  </si>
  <si>
    <t xml:space="preserve">  ITM. Termomagnético diferencial de 4x80A, ( Reg. 64-80A ) DPX3 160 4P - 50kA/400 Vac- marca Legrand</t>
  </si>
  <si>
    <t>DPX3/160- 100A 50kA (4P)TER.DIF</t>
  </si>
  <si>
    <t xml:space="preserve">  ITM. Termomagnético diferencial de 4x100A, ( Reg. 80-100A ) DPX3 160 4P - 50kA/400 Vac- marca Legrand</t>
  </si>
  <si>
    <t>DPX3/160- 125A 50kA (4P)TER.DIF</t>
  </si>
  <si>
    <t xml:space="preserve">  ITM. Termomagnético diferencial de 4x125 ( Reg. 100-125A ) DPX3 160 4P - 50kA/400 Vac- marca Legrand</t>
  </si>
  <si>
    <t>DPX3/160- 160A 50kA (4P)TER.DIF</t>
  </si>
  <si>
    <t xml:space="preserve">  ITM. Termomagnético diferencial de 4x160A, ( Reg. 128-160A ) DPX3 160 4P - 50kA/400 Vac- marca Legrand</t>
  </si>
  <si>
    <t>DPX3/250- 200A 36kA (4P)TER.DIF</t>
  </si>
  <si>
    <t xml:space="preserve">  ITM. Termomagnético diferencial de 4x200 ( Reg. 160-200A ) DPX3 250 4P - 36kA/400 Vac- marca Legrand</t>
  </si>
  <si>
    <t>420258</t>
  </si>
  <si>
    <t>DPX3/250- 250A 36kA (4P)TER.DIF</t>
  </si>
  <si>
    <t xml:space="preserve">  ITM. Termomagnético diferencial de 4x250 ( Reg. 200-250A ) DPX3 250 4P - 36kA/400 Vac- marca Legrand</t>
  </si>
  <si>
    <t>420259</t>
  </si>
  <si>
    <t>DPX3/250- 200A 50kA (4P)TER.DIF</t>
  </si>
  <si>
    <t xml:space="preserve">  ITM. Termomagnético diferencial de 4x200 ( Reg. 160-200A ) DPX3 250 4P - 50kA/400 Vac- marca Legrand</t>
  </si>
  <si>
    <t>DPX3/250- 250A 50kA (4P)TER.DIF</t>
  </si>
  <si>
    <t xml:space="preserve">  ITM. Termomagnético diferencial de 4x250 ( Reg. 200-250A ) DPX3 250 4P - 50kA/400 Vac- marca Legrand</t>
  </si>
  <si>
    <t>Bloque-dif 400A DPX3/630 (3P)</t>
  </si>
  <si>
    <t>Bloque diferencial electrónico 3P de 400A c/contac. señalización de falla, para DPX3 630</t>
  </si>
  <si>
    <t>026060</t>
  </si>
  <si>
    <t>Bloque-dif 630A DPX3/630 (3P)</t>
  </si>
  <si>
    <t>Bloque diferencial electrónico 3P de 630A c/contac. señalización de falla, para DPX3 630</t>
  </si>
  <si>
    <t>026064</t>
  </si>
  <si>
    <t>Bloque-dif 400A DPX3/630 (4P)</t>
  </si>
  <si>
    <t>Bloque diferencial electrónico 4P de 400A c/contac. señalización de falla, para DPX3 630</t>
  </si>
  <si>
    <t>026061</t>
  </si>
  <si>
    <t>Bloque-dif 630A DPX3/630 (4P)</t>
  </si>
  <si>
    <t>Bloque diferencial electrónico 4P de 630A c/contac. señalización de falla, para DPX3 630</t>
  </si>
  <si>
    <t>026065</t>
  </si>
  <si>
    <t>General Electric</t>
  </si>
  <si>
    <t>DPCAi100C06/030</t>
  </si>
  <si>
    <t>Interruptor termomagnético+Diferencial Tipo Ai 2x6A, marca General Electric</t>
  </si>
  <si>
    <t>GE</t>
  </si>
  <si>
    <t>GENERAL ELECTRIC</t>
  </si>
  <si>
    <t>DPCAi100C10/030</t>
  </si>
  <si>
    <t>Interruptor termomagnético+Diferencial Tipo Ai 2x10A, marca General Electric</t>
  </si>
  <si>
    <t>DPCAi100C16/030</t>
  </si>
  <si>
    <t>Interruptor termomagnético+Diferencial Tipo Ai 2x16A, marca General Electric</t>
  </si>
  <si>
    <t>DPCAi100C20/030</t>
  </si>
  <si>
    <t>Interruptor termomagnético+Diferencial Tipo Ai 2x20A, marca General Electric</t>
  </si>
  <si>
    <t>DPCAi100C25/030</t>
  </si>
  <si>
    <t>Interruptor termomagnético+Diferencial Tipo Ai 2x25A, marca General Electric</t>
  </si>
  <si>
    <t>DPCAi100C32/030</t>
  </si>
  <si>
    <t>Interruptor termomagnético+Diferencial Tipo Ai 2x32A, marca General Electric</t>
  </si>
  <si>
    <t>DPCAi100C40/030</t>
  </si>
  <si>
    <t>Interruptor termomagnético+Diferencial Tipo Ai 2x40A, marca General Electric</t>
  </si>
  <si>
    <t>RD3M</t>
  </si>
  <si>
    <t>Relé de protección diferencial RD3M (CLASE A)- Reg.: 0.03 - 0.1 - 0.3 - 0.5 - 1 - 2- 3 - 4 - 5 - 10 - 30A - Ue=230-400 Vac - marca ABB. (CON PRE-ALARMA)</t>
  </si>
  <si>
    <t>2CSJ202001R0002</t>
  </si>
  <si>
    <t>RD3M-48</t>
  </si>
  <si>
    <t>Relé de protección diferencial RD3M-48 (CLASE A)- 0.03 - 0.1 - 0.3 - 0.5 - 1 - 2- 3 - 4 - 5 - 10 - 30A - Ue=12-48 Vac/dc - marca ABB.. (CON PRE-ALARMA)</t>
  </si>
  <si>
    <t>2CSJ202001R0001</t>
  </si>
  <si>
    <t>E1.2B 1250-4P- Ekip Dip LSI</t>
  </si>
  <si>
    <t>ITM Bastidor Abierto 4x1250A (electrónico [0.4-1.0] In) - E1.2B-1250A-3P-Ekip Dip LSI - 42kA@440Vac - marca ABB.</t>
  </si>
  <si>
    <t>1SDA071452R1</t>
  </si>
  <si>
    <t>E1.2B-1250A-4P-Ekip Touch LSI</t>
  </si>
  <si>
    <t>ITM Bastidor Abierto 4x1250A (electrónico [0.4-1.0] In) - E1.2B-1250A-3P-Ekip Touch LSI - 42kA@440Vac - marca ABB.</t>
  </si>
  <si>
    <t>1SDA071455R1</t>
  </si>
  <si>
    <t>AF116-40-11-13_4p</t>
  </si>
  <si>
    <t>Contactor 4x116A(AC-3) / 4x160A(AC-1) - AF116-40-11-13 - bobina 100-250Vac/dc - marca ABB.</t>
  </si>
  <si>
    <t>1SFL427101R1311</t>
  </si>
  <si>
    <t>AF140-40-11-13_4p</t>
  </si>
  <si>
    <t>Contactor 4x140A(AC-3) / 4x200A(AC-1) - AF140-40-11-13 - bobina 100-250Vac/dc - marca ABB.</t>
  </si>
  <si>
    <t>1SFL447101R1311</t>
  </si>
  <si>
    <t>AF265-40-11-13_4p</t>
  </si>
  <si>
    <t>Contactor 4x265A(AC-3) / 4x400A(AC-1) - AF265-40-11-13 - bobina 100-250Vac/dc - marca ABB.</t>
  </si>
  <si>
    <t>1SFL547102R1311</t>
  </si>
  <si>
    <t>ITM de 3x250A - caja moldeada - unidad de protección magnético, disparo magnetico regulable (1250 - 2500)A - modelo HMCP,  65kA-240Vac. - 35kA@480Vac. - marca EATON.</t>
  </si>
  <si>
    <t>IZMX 2500_66kA_+bob cierre+bob aper+mot</t>
  </si>
  <si>
    <t>ITM Bastidor Abierto de 3x2500A , ( Reg. 0.4-1.0 de In ), LSI, serie IZMX, modelo RAS, 66kA@415Vac. + contacto auxilxiar 4NA/NC - marca EATON.</t>
  </si>
  <si>
    <t>IZMX 2000_66kA</t>
  </si>
  <si>
    <t>ITM Bastidor Abierto de 3x2000A , ( Reg. 0.4-1.0 de In ), LSI, serie IZMX, modelo RAS, 66kA@415Vac. + contacto auxilxiar 2NA/NC - marca EATON.</t>
  </si>
  <si>
    <t>LZMS3-S320</t>
  </si>
  <si>
    <t>IM de 3x320A (solo magnético reg.[8 - 14] In) - LZMS3, 100kA@240Vac. - 70kA@415Vac. - marca EATON.</t>
  </si>
  <si>
    <t>DILMP125</t>
  </si>
  <si>
    <t>Contactor; 4pole; Terminales de tornillo; 125A; 90; 0NO-0NC; 220V 50 Hz; Bobina 240V 60 Hz marca EATON.</t>
  </si>
  <si>
    <t>RGU-10B</t>
  </si>
  <si>
    <t>DADO-INT-16A-1P</t>
  </si>
  <si>
    <t>Dado Interruptor unipolar de 16A,  250V, linea Magic 5001, marca BTICINO.</t>
  </si>
  <si>
    <t>Puente de union para borneras NSYTRV42, 10 polos, marca SCHNEIDER.</t>
  </si>
  <si>
    <t>TEMP_TRL04</t>
  </si>
  <si>
    <t>Temporizador On-Delay, modelo TRL04 - marca EATON</t>
  </si>
  <si>
    <t>TRL04</t>
  </si>
  <si>
    <t>TEMP_TRL07</t>
  </si>
  <si>
    <t>Temporizador On-Delay, modelo TRL07 - marca EATON</t>
  </si>
  <si>
    <t>TRL07</t>
  </si>
  <si>
    <t>TEMP_TRK</t>
  </si>
  <si>
    <t>Temporizador Off-Delay, modelo TRK - marca EATON</t>
  </si>
  <si>
    <t>TRK</t>
  </si>
  <si>
    <t>CVX100-240D</t>
  </si>
  <si>
    <t>Dispositivo Protector contra Sobretensión Transitoria, para un sistema Trifásico, Delta, 240V, 60 Hz, Corriente de descarga máxima por fase de 100 kA, Indicadores LED de estado de la protección por cada fase, Marca EATON.</t>
  </si>
  <si>
    <t>1SDA066501R1</t>
  </si>
  <si>
    <t>COND_10kVAR/220V</t>
  </si>
  <si>
    <t>Condensador trifásico, tubular, 10kVAR / 220V, 60 Hz, tipo CLZ-FP-HD, marca CIRCUTOR.</t>
  </si>
  <si>
    <t>3WL1116-2CB62-1AA4</t>
  </si>
  <si>
    <t>3WL1220-2CB62-1AA4</t>
  </si>
  <si>
    <t>3WL1225-2CB62-1AA4</t>
  </si>
  <si>
    <t>3WL1232-2CB62-1AA4</t>
  </si>
  <si>
    <t>3WL1240-3CB61-1AA4</t>
  </si>
  <si>
    <t>3VM1340-4EE32-0AA0</t>
  </si>
  <si>
    <t>ITM de 3x400A , (reg.[0.7-1.0] In) Caja Moldeada 3VM1340, 55kA@240Vac.- 36kA@415Vac- SIEMENS.</t>
  </si>
  <si>
    <t>3VM1463-4EE32-0AA0</t>
  </si>
  <si>
    <t>ITM de 3x630A , (reg.[0.7-1.0] In) Caja Moldeada 3VM1463, 55kA@240Vac.- 36kA@415Vac- SIEMENS.</t>
  </si>
  <si>
    <t>3VA1580-5EF32-0AA0</t>
  </si>
  <si>
    <t>ITM de 3x800A ,  (reg.[0.7-1.0] In) Caja Moldeada 3VA1580, 85kA@240Vac.- 55kA@415Vac- SIEMENS.</t>
  </si>
  <si>
    <t>3VA1510-5EF32-0AA0</t>
  </si>
  <si>
    <t>ITM de 3x1000A ,  (reg.[0.7-1.0] In) Caja Moldeada 3VA1510, 85kA@240Vac.- 55kA@415Vac- SIEMENS.</t>
  </si>
  <si>
    <t>ITM de 3x400A ,  (reg.[0.7-1.0] In) Caja Moldeada 3VA1340, 85kA@240Vac.- 55kA@415Vac- SIEMENS.</t>
  </si>
  <si>
    <t>ITM de 3x630A ,  (reg.[0.7-1.0] In) Caja Moldeada 3VA1463, 85kA@240Vac.- 55kA@415Vac- SIEMENS.</t>
  </si>
  <si>
    <t>3VA1580-6EF32-0AA0</t>
  </si>
  <si>
    <t>ITM de 3x800A ,  (reg.[0.7-1.0] In) Caja Moldeada 3VA1580, 100kA@240Vac.- 70kA@415Vac- SIEMENS.</t>
  </si>
  <si>
    <t>3VA1510-6EF32-0AA0</t>
  </si>
  <si>
    <t>ITM de 3x1000A ,  (reg.[0.7-1.0] In) Caja Moldeada 3VA1510, 100kA@240Vac.- 70kA@415Vac- SIEMENS.</t>
  </si>
  <si>
    <t>Placa de montaje hasta 160A, 3VA11 - marca SIEMENS.</t>
  </si>
  <si>
    <t>Placa de montaje hasta 250A, 3VA12 - marca SIEMENS.</t>
  </si>
  <si>
    <t>Placa de montaje hasta 630A, 3VA13, 3VA14, 3VA23, 3VA24 - marca SIEMENS.</t>
  </si>
  <si>
    <t>Barras princ. Horizontales</t>
  </si>
  <si>
    <t>(Deriv) 3x1000A E.1B</t>
  </si>
  <si>
    <t>(Deriv) 3x400A T5N</t>
  </si>
  <si>
    <t>Panel (800A)</t>
  </si>
  <si>
    <t>TGBT-N</t>
  </si>
  <si>
    <t>ROT_TAG-Td</t>
  </si>
  <si>
    <t>Cableado de control</t>
  </si>
  <si>
    <t>Configuración y pruebas</t>
  </si>
  <si>
    <t>F202-B-40A-300mA</t>
  </si>
  <si>
    <t>Interruptor Diferencial 2x40A - 300mA - clase B (alta inmunización: para variador, corriente pulsante o con rizado) - F204-B-25A-300mA - marca ABB.</t>
  </si>
  <si>
    <t>2CSF202592R3400</t>
  </si>
  <si>
    <t>OVRHT3C502773Y</t>
  </si>
  <si>
    <t>Supresor contra sobretensiones (Tipo 1, UL 1449) - OVRHT3C502773Y- I_max=50kA por fase, Un=277/480V,  MCOV=320V (L-N), VPR=1.2kV (L-N) - marca ABB.</t>
  </si>
  <si>
    <t>2CJB305277Y0000</t>
  </si>
  <si>
    <t>XT2N160-25A-3P-Ekip LSI</t>
  </si>
  <si>
    <t>ITM Caja Moldeada 3x25A (electrónico [0.4-1.0] In) - XT2N160-25A-3P-Ekip LSI - 65kA@230Vac, 36kA@415Vac - marca ABB.</t>
  </si>
  <si>
    <t>1SDA067068R1</t>
  </si>
  <si>
    <t>XT2N160-25A-4P-Ekip LSI</t>
  </si>
  <si>
    <t>ITM Caja Moldeada 4x25A (electrónico [0.4-1.0] In) - XT2N160-25A-4P-Ekip LSI - 65kA@230Vac, 36kA@415Vac - marca ABB.</t>
  </si>
  <si>
    <t>1SDA067103R1</t>
  </si>
  <si>
    <t>XT2N160-63A-4P-Ekip LSI</t>
  </si>
  <si>
    <t>T5N630-630A-3P-PR221DS-I</t>
  </si>
  <si>
    <t>IM Caja Moldeada 3x630A (electrónico [0.4-1.0] In) - T5N630-630A-3P-PR221DS-I - 70kA@230Vac, 36kA@415Vac - marca ABB.</t>
  </si>
  <si>
    <t>1SDA054397R1</t>
  </si>
  <si>
    <t>T5S400-400A-3P-PR222DS/P-LSIG</t>
  </si>
  <si>
    <t>ITM Caja Moldeada 3x400A (electrónico [0.4-1.0] In) - T5S400-400A-3P-PR222DS/P-LSIG - 85kA@230Vac, 50kA@415Vac - marca ABB.</t>
  </si>
  <si>
    <t>1SDA054339R1</t>
  </si>
  <si>
    <t>T5S630-630A-3P-PR222DS/P-LSIG</t>
  </si>
  <si>
    <t>ITM Caja Moldeada 3x630A (electrónico [0.4-1.0] In) - T5S630-630A-3P-PR222DS/P-LSIG - 85kA@230Vac, 50kA@415Vac - marca ABB.</t>
  </si>
  <si>
    <t>1SDA054407R1</t>
  </si>
  <si>
    <t>T5H630-630A-3P-PR222DS/P-LSIG</t>
  </si>
  <si>
    <t>ITM Caja Moldeada 3x630A (electrónico [0.4-1.0] In) - T5H630-630A-3P-PR222DS/P-LSIG - 100kA@230Vac, 70kA@415Vac - marca ABB.</t>
  </si>
  <si>
    <t>1SDA054415R1</t>
  </si>
  <si>
    <t>E1.2C-1250A-3P-Ekip Touch LSIG</t>
  </si>
  <si>
    <t>ITM Bastidor Abierto 3x1250A (electrónico [0.4-1.0] In) - E1.2C-1250A-3P-Ekip Touch LSIG - 50kA@440Vac - marca ABB.</t>
  </si>
  <si>
    <t>1SDA070836R1</t>
  </si>
  <si>
    <t>E6.2H-5000A-3P-Ekip Touch LSIG</t>
  </si>
  <si>
    <t>ITM Bastidor Abierto 3x5000A (electrónico [0.4-1.0] In) - E6.2H-5000A-3P-Ekip Touch LSIG - 100kA@440Vac - marca ABB.</t>
  </si>
  <si>
    <t>1SDA071266R1</t>
  </si>
  <si>
    <t>VM19</t>
  </si>
  <si>
    <t>Enclavamiento mecánico para contactores AF116..AF370, modelo VM19 - marca ABB.</t>
  </si>
  <si>
    <t>1SFN030300R1000</t>
  </si>
  <si>
    <t>EF370-380</t>
  </si>
  <si>
    <t>EF370-380 Relé de sobrecarga - Ith=115 …380A, clase disparo 10,20,30 Selecionable - p/ contactor AF265 … AF370 - marca ABB.</t>
  </si>
  <si>
    <t>1SAX611001R1101</t>
  </si>
  <si>
    <t>$ 125</t>
  </si>
  <si>
    <t>GEB3030FFM</t>
  </si>
  <si>
    <t>ITM de 3x30A - GEB,  25kA-240Vac. / 18kA-480Vac. - marca EATON.</t>
  </si>
  <si>
    <t>JGE305032G</t>
  </si>
  <si>
    <t>ITM de 3x50A - JGE (Reg.25-50A) relé electrónico LSI, 65kA@240Vac. - 25kA@480Vac. (UL), marca EATON.</t>
  </si>
  <si>
    <t>JGE316032G</t>
  </si>
  <si>
    <t>HMCP250W5C</t>
  </si>
  <si>
    <t>ITM de 3x250A - caja moldeada - unidad de protección magnético, disparo magnetico regulable (1250 - 2500)A - modelo HMCP250W5C,  65kA-240Vac. - 35kA@480Vac. - marca EATON.</t>
  </si>
  <si>
    <t>BZM1-XKP - Juego de 02 separadores de fase para interruptor BZM1/LZMS1.</t>
  </si>
  <si>
    <t>BZM2-XKP - Juego de 02 separadores de fase para interruptor BZM2/LZMS2.</t>
  </si>
  <si>
    <t>PFIM-25/4/03</t>
  </si>
  <si>
    <t>Analizador de Redes DIRIS-A20 - Clase de precisión de Energía activa: 0.5S (según IEC 62053-22) - marca SOCOMEC.</t>
  </si>
  <si>
    <t>DUCA-LCD96 485</t>
  </si>
  <si>
    <t>Medidor multifunción - Modelo DUCA-LCD96 - presición 0.5% - RS485, Modbus RTU - marca DUCATI.</t>
  </si>
  <si>
    <t>DUCATI</t>
  </si>
  <si>
    <t>Relé electrónico de protección diferencial, Tipo B, Rango de ajuste: (0.3 – 3)A, modelo RGU-10B, marca CIRCUTOR.</t>
  </si>
  <si>
    <t>WGC</t>
  </si>
  <si>
    <t>Transformador Diferencia para Relé electrónico de protección diferencial, Tipo B, modelo WGC, marca CIRCUTOR.</t>
  </si>
  <si>
    <t>BOR.6</t>
  </si>
  <si>
    <t>Borne 25mm2.</t>
  </si>
  <si>
    <t>DADO-INT-15A-1P</t>
  </si>
  <si>
    <t>Dado Interruptor unipolar simple de 15A,  250V, CSB1-15I, color marfil, marca Leviton.</t>
  </si>
  <si>
    <t>TRAFO_2F_480-120V_50VA</t>
  </si>
  <si>
    <t>Transformador de tensión monofásico 480 / 120 Vac - 50VA.</t>
  </si>
  <si>
    <t>TRAFO_2F_480-120V_20VA</t>
  </si>
  <si>
    <t>Transformador de tensión monofásico 480 / 120 Vac - 20VA.</t>
  </si>
  <si>
    <t>TRAFO_2F_460-220V_25VA_AUD</t>
  </si>
  <si>
    <t>Transformador de tensión monofásico 460 / 220 Vac - 25VA, marca AUDAX.</t>
  </si>
  <si>
    <t>TAM000250710100</t>
  </si>
  <si>
    <t>TRAFO_2F_460-220V_200VA_AUD</t>
  </si>
  <si>
    <t>Transformador de tensión de aislamiento monofásico 460 / 230 Vac - 200VA, marca AUDAX.</t>
  </si>
  <si>
    <t>TRAFO_2F_460-220V_100VA_AUD</t>
  </si>
  <si>
    <t>220Vac:</t>
  </si>
  <si>
    <t>COND_13kVAR/400V</t>
  </si>
  <si>
    <t>Condensador trifásico, tubular, 13kVAR / 400V, 60 Hz, tipo CLZ-FP-HD, marca CIRCUTOR.</t>
  </si>
  <si>
    <t>COND_17.4kVAR/400V</t>
  </si>
  <si>
    <t>Condensador trifásico, tubular, 17.4kVAR / 400V, 60 Hz, tipo CLZ-FP-HD, marca CIRCUTOR.</t>
  </si>
  <si>
    <t>Reactancia para paso de potencia efectiva de 15kVAR, 220V, 60Hz, p= 7 %, Tipo: RX, marca CIRCUTOR.</t>
  </si>
  <si>
    <t>COND_30kVAR/220V_p7_CLZ</t>
  </si>
  <si>
    <t>Condensador, Trifásico, Tubular, 30kVAR, 440V, 60 Hz, Tipo CLZ-FP-HD, marca CIRCUTOR.</t>
  </si>
  <si>
    <t>REACT_20kVAR/460V</t>
  </si>
  <si>
    <t>REACTANCIA, para paso de potencia efectiva de 20kVAR / 460Vac, 60 Hz, p=7%, tipo RBX, marca CIRCUTOR.</t>
  </si>
  <si>
    <t>REACTANCIA, para paso de potencia efectiva de 40kVAR / 460Vac, 60 Hz, p=7%, tipo RBX, marca CIRCUTOR.</t>
  </si>
  <si>
    <t>COND_20kVAR/525V</t>
  </si>
  <si>
    <t>Condensador, Trifásico, para paso de potencia efectiva de 20kVAR / 525Vac, 60 Hz, tipo CLZ-FP-HD, marca CIRCUTOR.</t>
  </si>
  <si>
    <t>COND_30kVAR/525V</t>
  </si>
  <si>
    <t>COND_40kVAR/525V</t>
  </si>
  <si>
    <t>Condensador, Trifásico, para paso de potencia efectiva de 40kVAR / 525Vac, 60 Hz, tipo CLZ-FP-HD, marca CIRCUTOR.</t>
  </si>
  <si>
    <t>600Vac:</t>
  </si>
  <si>
    <t>COND_34.5kVAR/460V</t>
  </si>
  <si>
    <t>Condensador, Trifásico, para paso de potencia efectiva de 34.5kVAR / 460Vac, 60 Hz, p=7%, tipo CLZ-FP-HD, marca CIRCUTOR.</t>
  </si>
  <si>
    <t>CMC_20kVAR/460V</t>
  </si>
  <si>
    <t>Contactor para maniobra de condensadores - 20kVAR / 460Vac - Modelo CMC - bobina 230Vac/60Hz. - marca CIRCUTOR.</t>
  </si>
  <si>
    <t>CMC_25kVAR/460V</t>
  </si>
  <si>
    <t>Contactor para maniobra de condensadores - 25kVAR / 460Vac - Modelo CMC - bobina 230Vac/60Hz. - marca CIRCUTOR.</t>
  </si>
  <si>
    <t>CMC_40kVAR/460V</t>
  </si>
  <si>
    <t>Contactor para maniobra de condensadores - 40kVAR / 460Vac - Modelo CMC - bobina 230Vac/60Hz. - marca CIRCUTOR.</t>
  </si>
  <si>
    <t>5SV5612-0</t>
  </si>
  <si>
    <t>Interruptor Diferencial de 2x25A - 5SV5612-0 , 300mA, clase AC , SIEMENS.</t>
  </si>
  <si>
    <t>5SV5614-0</t>
  </si>
  <si>
    <t>Interruptor Diferencial de 2x40A - 5SV5614-0 , 300mA, clase AC , SIEMENS.</t>
  </si>
  <si>
    <t>5SV5616-0</t>
  </si>
  <si>
    <t>Interruptor Diferencial de 2x63A - 5SV5616-0 , 300mA, clase AC , SIEMENS.</t>
  </si>
  <si>
    <t>Modelo 5SV - Clase B (300mA)</t>
  </si>
  <si>
    <t>5SV3612-6KK01</t>
  </si>
  <si>
    <t>Interruptor Diferencial de 2x25A - 5SV3612-6KK01 , 300mA, clase A, SIEMENS.</t>
  </si>
  <si>
    <t>5SV3642-4</t>
  </si>
  <si>
    <t>Interruptor Diferencial de 4x25A - 5SV3642-4 , 300mA, clase B, SIEMENS.</t>
  </si>
  <si>
    <t>5SV3644-4</t>
  </si>
  <si>
    <t>Interruptor Diferencial de 4x40A - 5SV3644-4 , 300mA, clase B, SIEMENS.</t>
  </si>
  <si>
    <t>5SV3646-5</t>
  </si>
  <si>
    <t>Interruptor Diferencial de 4x63A - 5SV3646-5 , 300mA, clase B, SIEMENS.</t>
  </si>
  <si>
    <t>3SU1150-2BL60-1NA0</t>
  </si>
  <si>
    <t>Selector 3 posiciones mantenidos I-0-II, manija corta, contactos 2NA - marca SIEMENS.</t>
  </si>
  <si>
    <t>3SU1050-3BB42-0AK0</t>
  </si>
  <si>
    <t>Pulsador doble Start+Stop, sin iluminación - marca SIEMENS.</t>
  </si>
  <si>
    <t>3SU1400-1AA10-1FA0</t>
  </si>
  <si>
    <t xml:space="preserve">Bloque de contacto 1NA + 1NC para pulsador - marca SIEMENS. </t>
  </si>
  <si>
    <t>DRX3/630- 320A 50kA (3P) - FIJO</t>
  </si>
  <si>
    <t>ITM Caja Moldeada 3x320A - DRX3/630-320A-3P - 100kA@220-240 Vac, 50kA@380-415 Vac. - marca Legrand.</t>
  </si>
  <si>
    <t>027242</t>
  </si>
  <si>
    <t>DRX3/630- 400A 50kA (3P) - FIJO</t>
  </si>
  <si>
    <t>ITM Caja Moldeada 3x400A - DRX3/630-400A-3P - 100kA@220-240 Vac, 50kA@380-415 Vac. - marca Legrand.</t>
  </si>
  <si>
    <t>027243</t>
  </si>
  <si>
    <t>DRX3/630- 500A 50kA (3P) - FIJO</t>
  </si>
  <si>
    <t>ITM Caja Moldeada 3x500A - DRX3/630-500A-3P - 100kA@220-240 Vac, 50kA@380-415 Vac. - marca Legrand.</t>
  </si>
  <si>
    <t>027244</t>
  </si>
  <si>
    <t>DRX3/630- 630A 50kA (3P) - FIJO</t>
  </si>
  <si>
    <t>ITM Caja Moldeada 3x630A - DRX3/630-630A-3P - 100kA@220-240 Vac, 50kA@380-415 Vac. - marca Legrand.</t>
  </si>
  <si>
    <t>027245</t>
  </si>
  <si>
    <t>DPX3/1600-S2(LSI)- 1000A 70kA (4P)</t>
  </si>
  <si>
    <t>ITM de 4x1000A, electronico S2(LSI) ( Reg. 400 -1000A ) DPX3 1600, 120kA@220-240 Vac.- 70kA@380-415 Vac. - marca Legrand</t>
  </si>
  <si>
    <t>DX3-10000/16A-2P-D</t>
  </si>
  <si>
    <t>ITM Riel-Din 2x16A - DX3-10000-D - 16kA@400V-IEC60947-2 - marca Legrand.</t>
  </si>
  <si>
    <t>409451</t>
  </si>
  <si>
    <t>DX3-10000/20A-2P-D</t>
  </si>
  <si>
    <t>ITM Riel-Din 2x20A - DX3-10000-D - 16kA@400V-IEC60947-2 - marca Legrand.</t>
  </si>
  <si>
    <t>409452</t>
  </si>
  <si>
    <t>DX3-10000/25A-2P-D</t>
  </si>
  <si>
    <t>ITM Riel-Din 2x25A - DX3-10000-D - 16kA@400V-IEC60947-2 - marca Legrand.</t>
  </si>
  <si>
    <t>409453</t>
  </si>
  <si>
    <t>DX3-10000/32A-2P-D</t>
  </si>
  <si>
    <t>ITM Riel-Din 2x32A - DX3-10000-D - 16kA@400V-IEC60947-2 - marca Legrand.</t>
  </si>
  <si>
    <t>409454</t>
  </si>
  <si>
    <t>DX3-10000/40A-2P-D</t>
  </si>
  <si>
    <t>ITM Riel-Din 2x40A - DX3-10000-D - 16kA@400V-IEC60947-2 - marca Legrand.</t>
  </si>
  <si>
    <t>409455</t>
  </si>
  <si>
    <t>DX3-6000/20A-3P-D</t>
  </si>
  <si>
    <t>ITM Riel-Din 3x20A - DX3-6000-D - 10kA@400V-IEC60947-2 - marca Legrand.</t>
  </si>
  <si>
    <t>408090</t>
  </si>
  <si>
    <t>DX3-6000/32A-3P-D</t>
  </si>
  <si>
    <t>ITM Riel-Din 3x32A - DX3-6000-D - 10kA@400V-IEC60947-2 - marca Legrand.</t>
  </si>
  <si>
    <t>408092</t>
  </si>
  <si>
    <t>DX3-6000/40A-3P-D</t>
  </si>
  <si>
    <t>ITM Riel-Din 3x40A - DX3-6000-D - 10kA@400V-IEC60947-2 - marca Legrand.</t>
  </si>
  <si>
    <t>408093</t>
  </si>
  <si>
    <t>DX3-6000/50A-3P-D</t>
  </si>
  <si>
    <t>ITM Riel-Din 3x50A - DX3-6000-D - 10kA@400V-IEC60947-2 - marca Legrand.</t>
  </si>
  <si>
    <t>408094</t>
  </si>
  <si>
    <t>DX3-6000/63A-3P-D</t>
  </si>
  <si>
    <t>ITM Riel-Din 3x63A - DX3-6000-D - 10kA@400V-IEC60947-2 - marca Legrand.</t>
  </si>
  <si>
    <t>408095</t>
  </si>
  <si>
    <t>TGBT-E</t>
  </si>
  <si>
    <t>Panel (700A)</t>
  </si>
  <si>
    <t>(Deriv) 3x250A XT4N</t>
  </si>
  <si>
    <t>Panel trifásico de 30 polos - 3F.</t>
  </si>
  <si>
    <t>OVR T2 40-150 P U-1P</t>
  </si>
  <si>
    <t>OVR T2 70 N P U</t>
  </si>
  <si>
    <t>Supresor contra sobretensiones (Tipo 2, UL 1449) - OVR T2 70 N P U - I_max=70kA por fase, Un=220/380V,  MCOV=275V (L-N), VPR=1.4kV (L-N) - marca ABB.</t>
  </si>
  <si>
    <t>2CTB802341R8000</t>
  </si>
  <si>
    <t>XT2N160-160A-4P-Ekip LSI</t>
  </si>
  <si>
    <t>ITM Caja Moldeada 4x160A (electrónico [0.4-1.0] In) - XT2N160-160A-4P-Ekip LSI - 65kA@230Vac, 36kA@415Vac - marca ABB.</t>
  </si>
  <si>
    <t>1SDA067107R1</t>
  </si>
  <si>
    <t>KLF-D_T4-T5</t>
  </si>
  <si>
    <t>Bloqueo a llave con mando giratorio KLF-D T4-T5 KEY LOCK SEV.FRO/ROT.HANDLE1-ABB</t>
  </si>
  <si>
    <t>1SDA054939R1</t>
  </si>
  <si>
    <t>KLC-D E1.2</t>
  </si>
  <si>
    <t>Enclavamiento con llave KLC-D Key lock open E1.2</t>
  </si>
  <si>
    <t>1SDA073782R1</t>
  </si>
  <si>
    <t>E2.2N-2000A-4P-Ekip Touch LSI Ext</t>
  </si>
  <si>
    <t>ITM Bastidor Abierto 4x2000A (electrónico [0.4-1.0] In) - E2.2N-2000A-4P-Ekip Touch LSI - Extraible - 66kA@440Vac - marca ABB</t>
  </si>
  <si>
    <t>1SDA073015R1</t>
  </si>
  <si>
    <t>Parte fija del interruptor extraible (E2.2) - marca ABB.</t>
  </si>
  <si>
    <t>E1.2N-1600A-4P-Ekip Touch LSI Ext</t>
  </si>
  <si>
    <t>ITM Bastidor Abierto 4x1600A (electrónico [0.4-1.0] In) - E1.2N-1600A-4P-Ekip Touch LSI - Extraible - 66kA@440Vac - marca ABB.</t>
  </si>
  <si>
    <t>1SDA072865R1</t>
  </si>
  <si>
    <t xml:space="preserve">E1.2 W FP Iu=1600 4p HR HR              </t>
  </si>
  <si>
    <t>Parte fija del interruptor extraible (E1.2) - marca ABB.</t>
  </si>
  <si>
    <t>T4N250-250A-3P-PR222DS/P-LSIG</t>
  </si>
  <si>
    <t>ITM Caja Moldeada 3x250A (electrónico [0.4-1.0] In) - T4N250-250A-4P-PR222DS/P-LSIG - 70kA@230Vac, 36kA@415Vac - marca ABB.</t>
  </si>
  <si>
    <t>1SDA054008R1</t>
  </si>
  <si>
    <t>Panel trifásico de 24 polos - 3F.</t>
  </si>
  <si>
    <t>Panel trifásico de 12 polos - 3F.</t>
  </si>
  <si>
    <t>T7S800(M)-800A-4P-PR232/P-LSIG</t>
  </si>
  <si>
    <t>ITM Caja Moldeada 4x800A (electrónico [0.4-1.0] In) - T7S800(M)-800A-4P-PR232/P-LSIG - 50kA@415Vac - marca ABB.</t>
  </si>
  <si>
    <t>1SDA061994R1</t>
  </si>
  <si>
    <t>T7S1000(M)-1000A-4P-PR232/P-LSIG</t>
  </si>
  <si>
    <t>ITM Caja Moldeada 4x1000A (electrónico [0.4-1.0] In) - T7S1000(M)-1000A-4P-PR232/P-LSIG - 50kA@415Vac - marca ABB.</t>
  </si>
  <si>
    <t>1SDA062767R1</t>
  </si>
  <si>
    <t>T7S1250(M)-1250A-4P-PR232/P-LSIG</t>
  </si>
  <si>
    <t>ITM Caja Moldeada 4x1250A (electrónico [0.4-1.0] In) - T7S1250(M)-1250A-4P-PR232/P-LSIG - 50kA@415Vac - marca ABB.</t>
  </si>
  <si>
    <t>1SDA062895R1</t>
  </si>
  <si>
    <t>T7S1600(M)-1600A-4P-PR232/P-LSIG</t>
  </si>
  <si>
    <t>ITM Caja Moldeada 4x1600A (electrónico [0.4-1.0] In) - T7S1600(M)-1600A-4P-PR232/P-LSIG - 50kA@415Vac - marca ABB.</t>
  </si>
  <si>
    <t>1SDA063023R1</t>
  </si>
  <si>
    <t>KLC-D E2.2</t>
  </si>
  <si>
    <t>Enclavamiento con llave KLC-D Key lock open E2.2</t>
  </si>
  <si>
    <t>1SDA073791R1</t>
  </si>
  <si>
    <t>TPG-NAV-01</t>
  </si>
  <si>
    <t>Barra alimentadora al panel</t>
  </si>
  <si>
    <t>B94053030</t>
  </si>
  <si>
    <t>Relé y monitor de carga trifásica, para cargas hasta 63A, modelo CMS460-D4-2 - marca BENDER.</t>
  </si>
  <si>
    <t>B924628</t>
  </si>
  <si>
    <t xml:space="preserve">Transformador de aislamiento trifasico - modelo: DS0107/8000 8 kVA, trifasico - marca BENDER </t>
  </si>
  <si>
    <t xml:space="preserve">Transformador de aislamiento trifasico - modelo: DS0107/10000 10 kVA, trifasico - marca BENDER </t>
  </si>
  <si>
    <t>TABLERO DE SERVICIOS GENERALES ''TSG-N'': 220V , 3Ø, 60Hz.</t>
  </si>
  <si>
    <t>Portalámpara + lampara tipo LED - color Rojo - alimentacion: 220Vac, d=22mm.</t>
  </si>
  <si>
    <t>Portalámpara + lampara tipo LED - color Verde - alimentacion: 220Vac, d=22mm.</t>
  </si>
  <si>
    <t xml:space="preserve">Portalámpara + lampara tipo LED - color Rojo - alimentacion: 220-230Vac, d=22mm. - </t>
  </si>
  <si>
    <t>Gabinete de 2100 x 800 x 800 mm., autosoportado, NEMA 12 fabricacion nacional.</t>
  </si>
  <si>
    <t>TABLERO DE TRANSFERENCIA AUTOMATICA ''T-TA'': 220V , 3Ø, 60Hz.</t>
  </si>
  <si>
    <r>
      <t xml:space="preserve">Transferencia Automática mediante </t>
    </r>
    <r>
      <rPr>
        <b/>
        <sz val="10"/>
        <color rgb="FFC00000"/>
        <rFont val="Arial"/>
        <family val="2"/>
      </rPr>
      <t>conmutador seccionador + interruptor</t>
    </r>
    <r>
      <rPr>
        <sz val="10"/>
        <color theme="1"/>
        <rFont val="Arial"/>
        <family val="2"/>
      </rPr>
      <t>, 50</t>
    </r>
    <r>
      <rPr>
        <sz val="10"/>
        <color rgb="FF0000CC"/>
        <rFont val="Arial"/>
        <family val="2"/>
      </rPr>
      <t>0A, 3 polos, 220Vac,</t>
    </r>
  </si>
  <si>
    <r>
      <rPr>
        <sz val="10"/>
        <color rgb="FF0000CC"/>
        <rFont val="Arial"/>
        <family val="2"/>
      </rPr>
      <t>Conmutador seccionador bajo carga (motorizado)</t>
    </r>
    <r>
      <rPr>
        <sz val="10"/>
        <color theme="1"/>
        <rFont val="Arial"/>
        <family val="2"/>
      </rPr>
      <t xml:space="preserve">, modelo </t>
    </r>
    <r>
      <rPr>
        <sz val="10"/>
        <color rgb="FF0000CC"/>
        <rFont val="Arial"/>
        <family val="2"/>
      </rPr>
      <t>OTM-C</t>
    </r>
    <r>
      <rPr>
        <sz val="10"/>
        <color theme="1"/>
        <rFont val="Arial"/>
        <family val="2"/>
      </rPr>
      <t>, marca ABB, con la siguiente</t>
    </r>
  </si>
  <si>
    <r>
      <t xml:space="preserve">Interruptor tipo </t>
    </r>
    <r>
      <rPr>
        <sz val="10"/>
        <color rgb="FF0000CC"/>
        <rFont val="Arial"/>
        <family val="2"/>
      </rPr>
      <t>Caja Moldeada</t>
    </r>
    <r>
      <rPr>
        <sz val="10"/>
        <color theme="1"/>
        <rFont val="Arial"/>
        <family val="2"/>
      </rPr>
      <t xml:space="preserve">, de ejecución </t>
    </r>
    <r>
      <rPr>
        <sz val="10"/>
        <color rgb="FF0000CC"/>
        <rFont val="Arial"/>
        <family val="2"/>
      </rPr>
      <t>fijo</t>
    </r>
    <r>
      <rPr>
        <sz val="10"/>
        <color theme="1"/>
        <rFont val="Arial"/>
        <family val="2"/>
      </rPr>
      <t xml:space="preserve">, modelo </t>
    </r>
    <r>
      <rPr>
        <sz val="10"/>
        <color rgb="FF0000CC"/>
        <rFont val="Arial"/>
        <family val="2"/>
      </rPr>
      <t>Tmax T5</t>
    </r>
    <r>
      <rPr>
        <sz val="10"/>
        <color theme="1"/>
        <rFont val="Arial"/>
        <family val="2"/>
      </rPr>
      <t>, marca ABB, con la siguiente</t>
    </r>
  </si>
  <si>
    <t>Gabinete de 58 x 26 x 12, adosado, NEMA 12 fabricacion nacional.</t>
  </si>
  <si>
    <t>TABLERO DE SERVICIOS GENERALES EMERGENCIAS ''TSG-E'': 220V , 3Ø, 60Hz.</t>
  </si>
  <si>
    <t>Gabinete de 50 x 26 x 12", adosado, NEMA 12 fabricacion nacional.</t>
  </si>
  <si>
    <t>TABLERO BOMBA CONTRA INCENDIO ''T-BCI'': 220V , 3Ø, 60Hz.</t>
  </si>
  <si>
    <t>Gabinete de 44 x 26 x 12" , adosado, NEMA 12 fabricacion nacional.</t>
  </si>
  <si>
    <t>TABLERO TIPICO 1 "TD-201" ,301,401, 501, 601, 701, 801, 901, 1001, 1101, 1201, 1301, 1401, 1501, 1601, 1701, 1801, 1901, 2001 220V, 2Ø+T, 60Hz.</t>
  </si>
  <si>
    <t>Panel de pienes</t>
  </si>
  <si>
    <t>TABLERO TIPICO  2 "TD-202" ,205, 305, 405, 502, 505, 605, 705, 802, 1102, 1402, 1702, 2002, 804, 805, 904, 905, 1004, 1005, 1104, 1105, 1204, 1205 :220V, 2Ø+T, 60Hz.</t>
  </si>
  <si>
    <t>TABLERO TIPICO  3 "TD-203" ,303, 403, 503, 603, 703, 803, 903, 1003, 1103, 1203, 1303, 1403, 1503, 1603, 1703, 1803, 1903, 2003 :220V, 2Ø+T, 60Hz.</t>
  </si>
  <si>
    <t>TABLERO TIPICO  4 "TD-302" ,602, 902, 1202, 1502, 1802 :220V, 2Ø+T, 60Hz.</t>
  </si>
  <si>
    <t>TABLERO TIPICO 5 "TD-204" ,206, 304, 306, 404, 406, 504, 506, 604, 606, 704, 706,  :220V, 2Ø+T, 60Hz.</t>
  </si>
  <si>
    <t>TABLERO TIPICO 6 "TD-1304" ,1404, 1504, 1604, 1704, 1804, 1904, 2004 :220V, 2Ø+T, 60Hz.</t>
  </si>
  <si>
    <t>TABLERO DE VENTILACION DE VESTIBULOS "T-VV" : 220V , 3Ø, 60Hz.</t>
  </si>
  <si>
    <t>Gabinete de 15 x 14.5 x 4.5 ", empotrado, NEMA 1 fabricacion nacional.</t>
  </si>
  <si>
    <t>TABLERO DE EMERGENCIA SOTANO 1 "TE-S1" : 220V , 3Ø, 60Hz.</t>
  </si>
  <si>
    <t>Gabinete de 22 x 24 x 6 ",adosado, NEMA 12 fabricacion nacional.</t>
  </si>
  <si>
    <t>TABLERO DE EMERGENCIA SOTANO 2 "TE-S2" : 220V , 3Ø, 60Hz.</t>
  </si>
  <si>
    <t>Gabinete de 20 x 24 x 6 ",adosado, NEMA 12 fabricacion nacional.</t>
  </si>
  <si>
    <t>TABLERO DE EMERGENCIA SOTANO 3 "TE-S3" : 220V , 3Ø, 60Hz.</t>
  </si>
  <si>
    <t>TABLERO DE EMERGENCIA SALA DE USOS MULTIPLES "TE-SUM" : 220V , 3Ø, 60Hz.</t>
  </si>
  <si>
    <t>Gabinete de 15 x 24 x 4.5 ", empotrado, NEMA 1 fabricacion nacional.</t>
  </si>
  <si>
    <t>TABLERO EXTRACCION TECHO "T-EX" : 220V , 3Ø, 60Hz.</t>
  </si>
  <si>
    <t>Gabinete de 37 x 20 x 6 ", adosado, NEMA 3R fabricacion nacional.</t>
  </si>
  <si>
    <t>TABLERO NORMAL DEL PISO 1 "TN-P1" : 220V , 3Ø, 60Hz.</t>
  </si>
  <si>
    <t>Gabinete de 28 x 24 x 6 ", Adosado, NEMA 12 fabricacion nacional.</t>
  </si>
  <si>
    <t>TABLERO ENERGIA NORMAL SOTANO 1 "TN-S1" : 220V , 3Ø, 60Hz.</t>
  </si>
  <si>
    <t>Gabinete de 22 x 24 x 6 ", adosado, NEMA 12 fabricacion nacional.</t>
  </si>
  <si>
    <t>TABLERO ENERGIA NORMAL SOTANO 2 "TN-S2" : 220V , 3Ø, 60Hz.</t>
  </si>
  <si>
    <t>Gabinete de 19 x 24 x 6 ", adosado, NEMA 12 fabricacion nacional.</t>
  </si>
  <si>
    <t>TABLERO ENERGIA NORMAL SOTANO 3 "TN-S3" : 220V , 3Ø, 60Hz.</t>
  </si>
  <si>
    <t>TABLERO NORMAL AZOTEA "TN-AZ" : 220V , 3Ø, 60Hz.</t>
  </si>
  <si>
    <t>TABLERO NORMAL DEL PISO 1 AL 5 "TE-P1" : 220V , 3Ø, 60Hz.</t>
  </si>
  <si>
    <t>Gabinete de 31 x 24 x 6", adosado, NEMA 12 fabricacion nacional.</t>
  </si>
  <si>
    <t>TABLERO NORMAL DEL PISO 6 AL 12 "TE-P6" : 220V , 3Ø, 60Hz.</t>
  </si>
  <si>
    <t>Gabinete de 25x 24 x 6", adosado, NEMA 12 fabricacion nacional.</t>
  </si>
  <si>
    <t>TABLERO NORMAL DEL PISO 13 AL 20 "TE-P13" : 220V , 3Ø, 60Hz.</t>
  </si>
  <si>
    <t>TABLERO GENERAL DE BOMBAS "T-GB" : 220V , 3Ø, 60Hz.</t>
  </si>
  <si>
    <t>Barra principales</t>
  </si>
  <si>
    <t>Gabinete de 41 x 24 x 6 ", adosado, NEMA 12 fabricacion nacional.</t>
  </si>
  <si>
    <t>TABLERO DE GRUPO ELECTROGENO "T-GEL" : 220V , 3Ø, 60Hz.</t>
  </si>
  <si>
    <t>Gabinete de 18 x 14.5 x 4.5", adosado, NEMA 12 fabricacion nacional.</t>
  </si>
  <si>
    <t>TABLERO TIPICO DE ASCENSORES "T-ASC1" : 220V , 3Ø, 60Hz.</t>
  </si>
  <si>
    <t>TECHO INCLINADO</t>
  </si>
  <si>
    <t xml:space="preserve">CON </t>
  </si>
  <si>
    <t>PEDESTAL</t>
  </si>
  <si>
    <t>pedestal</t>
  </si>
  <si>
    <t>techo inclinado</t>
  </si>
  <si>
    <t>Gabinete de 27 x 24 x 6 ", adosado, NEMA 12 fabricacion nacional.</t>
  </si>
  <si>
    <t>TABLERO TIPICO DE ASCENSORES "T-ASC2" : 220V , 3Ø, 60Hz.</t>
  </si>
  <si>
    <t>TABLERO DE EXTRACCION CUARTO DE BOMBAS "T-EX.CB : 220V , 3Ø, 60Hz.</t>
  </si>
  <si>
    <t>Extension de barras</t>
  </si>
  <si>
    <t>Gabinete de 34 x 20 x 6 ", adosado, NEMA 12 fabricacion nacional.</t>
  </si>
  <si>
    <t>TABLERO NORMAL CO-WORKING "TN-CW" : 220V , 3Ø, 60Hz.</t>
  </si>
  <si>
    <t>Panel trifásico de 08 polos - 3F.</t>
  </si>
  <si>
    <t>Gabinete de 11 x 14.5 x 4.5 ", empotrado, NEMA 1 fabricacion nacional.</t>
  </si>
  <si>
    <t>Se considera en el presupuesto a los tableros generales  tipo de encerramiento IP-54.</t>
  </si>
  <si>
    <t>Los itm diferenciales Inmunizados se consideran para los tableros estabilizados, en este caso al no tener tableros estabilizados</t>
  </si>
  <si>
    <t>se ha considerado los diferenciales de clase AC, y hacerle llegar una oferta mas economica y viable.</t>
  </si>
  <si>
    <t>Se esta asumiendo las capacidades de ruptura de los itm en los tableros generales a 25KA en 220Vac ya que no indica en los diagramas. Confirmar.</t>
  </si>
  <si>
    <t>Se considera en los tableros tipicos de departamentos un conexionado por peine colectora, ademas con</t>
  </si>
  <si>
    <t>caja y tapa termoplastica IP-40.</t>
  </si>
  <si>
    <t>Se esta cambiando las llaves de 500A a 630A ya que comercialmente no hay en los itm electronicos.</t>
  </si>
  <si>
    <t xml:space="preserve">Se observa que en algunos tableros electricos sus circuitos que derivan a subtableros no concuerdan en </t>
  </si>
  <si>
    <t>amperaje con las llegada del mismo subtablero, por tal motivo se cotizara los de mayor amperaje.</t>
  </si>
  <si>
    <t>Srita Cristina Lavado</t>
  </si>
  <si>
    <t>Ingeco</t>
  </si>
  <si>
    <t>Edificio Residencial Brasil 14</t>
  </si>
  <si>
    <t>DS202CC16-A30mA</t>
  </si>
  <si>
    <t>Interruptor Termoiferencial 2x16A - sencibilidad 30mA - clase A - marca ABB.</t>
  </si>
  <si>
    <t>2CSR252140R1164</t>
  </si>
  <si>
    <t>DS202CC25-A30mA</t>
  </si>
  <si>
    <t>Interruptor Termoiferencial 2x25A - sencibilidad 30mA - clase A - marca ABB.</t>
  </si>
  <si>
    <t>2CSR252140R1254</t>
  </si>
  <si>
    <t>DS202CC32-A30mA</t>
  </si>
  <si>
    <t>Interruptor Termoiferencial 2x32A - sencibilidad 30mA - clase A - marca ABB.</t>
  </si>
  <si>
    <t>2CSR252140R1324</t>
  </si>
  <si>
    <t>XT2H16005A-3P-TMD</t>
  </si>
  <si>
    <t>ITM Caja Moldeada 3x5A (reg.[0.7-1.0] In) - XT2H160-5A-3P-TMD - 100kA@230Vac, 70kA@415Vac - marca ABB.</t>
  </si>
  <si>
    <t>1SDA067589R1</t>
  </si>
  <si>
    <t>XT2H160-8A-3P-TMD</t>
  </si>
  <si>
    <t>ITM Caja Moldeada 3x8A (reg.[0.7-1.0] In) - XT2H160-8A-3P-TMD - 100kA@230Vac, 70kA@415Vac - marca ABB.</t>
  </si>
  <si>
    <t>1SDA067591R1</t>
  </si>
  <si>
    <t>XT2H160-12.5A-3P-TMD</t>
  </si>
  <si>
    <t>ITM Caja Moldeada 3x12.5A (reg.[0.7-1.0] In) - XT2H160-12.5A-3P-TMD - 100kA@230Vac, 70kA@415Vac - marca ABB.</t>
  </si>
  <si>
    <t>1SDA067593R1</t>
  </si>
  <si>
    <t>XT2H160-25A-3P-Ekip LS/I</t>
  </si>
  <si>
    <t>ITM Caja Moldeada 3x25A (electrónico [0.4-1.0] In) - XT2H160-25A-3P-Ekip LS/I - 100kA@230V, 70kA@415V - marca ABB.</t>
  </si>
  <si>
    <t>1SDA067858R1</t>
  </si>
  <si>
    <t>XT2N160-63A-3P-Ekip LSI</t>
  </si>
  <si>
    <t>ITM Caja Moldeada 4x63A (electrónico [0.4-1.0] In) - XT2N160-63A-4P-Ekip LSI - 65kA@230Vac, 36kA@415Vac - marca ABB.</t>
  </si>
  <si>
    <t>1SDA067104R1</t>
  </si>
  <si>
    <t>XT2N160-100A-4P-Ekip LSI</t>
  </si>
  <si>
    <t>ITM Caja Moldeada 4x100A (electrónico [0.4-1.0] In) - XT2N160-100A-4P-Ekip LSI - 65kA@230Vac, 36kA@415Vac - marca ABB.</t>
  </si>
  <si>
    <t>1SDA067105R1</t>
  </si>
  <si>
    <t>Ekip-Com_T4-T5-T6</t>
  </si>
  <si>
    <t>Módulo de comunicación Ekip-Com (protocolo Modbus RTU) - p/ relé Ekip p/modelo T4 / T5 / T6 - marca ABB.</t>
  </si>
  <si>
    <t>1SDA055066R1</t>
  </si>
  <si>
    <t>JGE310032G</t>
  </si>
  <si>
    <t>ITM de 3x100A - JGE (Reg.50-100A) relé electrónico LSI, 65kA@240Vac. - 25kA@480Vac. (UL), marca EATON.</t>
  </si>
  <si>
    <t>ITM de 3x160A - JGE (Reg.80-160A) relé electrónico LSI, 65kA@240Vac. - 25kA@480Vac. (UL), marca EATON.</t>
  </si>
  <si>
    <t>ZP-IHK</t>
  </si>
  <si>
    <t>Contacto auxiliar para mMC / PLS 1NO+1NC - marca EATON.</t>
  </si>
  <si>
    <t>COND_25kVAR/525V_p7</t>
  </si>
  <si>
    <t>Condensador, Trifásico, tubular, 25kVAR / 525Vac, 60 Hz, tipo CLZ-FP-HD, marca CIRCUTOR.</t>
  </si>
  <si>
    <t>Contactor para maniobra de condensadores - 12.5kVAR / 400Vac - Modelo EPCOS - bobina 230Vac/60Hz. - marca SIEMENS.</t>
  </si>
  <si>
    <t>Contactor para maniobra de condensadores - 20kVAR / 400Vac - Modelo EPCOS - bobina 230Vac/60Hz. - marca SIEMENS.</t>
  </si>
  <si>
    <t>TPS3K030500</t>
  </si>
  <si>
    <t>Supresor contra sobretensiones (Tipo 1, UL 1283) - TPS3K030500 - I_max=50kA por fase, Un=220/380V - marca SIEMENS.</t>
  </si>
  <si>
    <t>LOGO_POWER_24V_1.3A</t>
  </si>
  <si>
    <t>Minifuente LOGO!Power - Ui=100-240Vac, Uo=24Vdc/1.3A - marca SIEMENS.</t>
  </si>
  <si>
    <t>6EP3331-6SB00-0AY0</t>
  </si>
  <si>
    <t>LOGO_POWER_24V_2.5A</t>
  </si>
  <si>
    <t>METSEDM6200HCL10RS</t>
  </si>
  <si>
    <t>Multimetro basico DM6200H, RS485 Modbus - marca Schneider</t>
  </si>
  <si>
    <t>DMX3/MP4(LSI)- 2000A 65kA (4P)</t>
  </si>
  <si>
    <t>ITM Bastidor Abierto de 4x2000A, electronico MP4(LSI) (Reg. 800-2000A ) DMX3 2000, 65kA@400 Vac.- marca Legrand</t>
  </si>
  <si>
    <t>Contactor modular 3x25A(AC-1) 2NO - bobina 230Vac - marca Legrand.</t>
  </si>
  <si>
    <t>Contactor modular 3x40A(AC-1) 2NO - bobina 230Vac - marca Legrand.</t>
  </si>
  <si>
    <t>Contactor modular 3x63A(AC-1) 3NO - bobina 230Vac - marca Legrand.</t>
  </si>
  <si>
    <t>Variable</t>
  </si>
  <si>
    <t>Transferencia Automática mediante conmutador seccionador + interruptor, 500A, 3 polos, 220Vac,</t>
  </si>
  <si>
    <t>PL-2020-0353</t>
  </si>
  <si>
    <t>JI</t>
  </si>
  <si>
    <t>( * ) Para  cualquier  información adicional contactarse con Jean Inga al número de celular 924451818.</t>
  </si>
  <si>
    <r>
      <t xml:space="preserve">Tableros eléctricos del tipo </t>
    </r>
    <r>
      <rPr>
        <b/>
        <sz val="11"/>
        <rFont val="Arial"/>
        <family val="2"/>
      </rPr>
      <t>AUTOSOPORTADO</t>
    </r>
    <r>
      <rPr>
        <sz val="11"/>
        <rFont val="Arial"/>
        <family val="2"/>
      </rPr>
      <t>, modular, con grado de protección</t>
    </r>
    <r>
      <rPr>
        <b/>
        <sz val="11"/>
        <rFont val="Arial"/>
        <family val="2"/>
      </rPr>
      <t xml:space="preserve"> IP-54</t>
    </r>
    <r>
      <rPr>
        <sz val="11"/>
        <rFont val="Arial"/>
        <family val="2"/>
      </rPr>
      <t xml:space="preserve">, fabricados en plancha metálica de </t>
    </r>
    <r>
      <rPr>
        <b/>
        <sz val="11"/>
        <rFont val="Arial"/>
        <family val="2"/>
      </rPr>
      <t>1/16" (1.58 mm.)</t>
    </r>
    <r>
      <rPr>
        <sz val="11"/>
        <rFont val="Arial"/>
        <family val="2"/>
      </rPr>
      <t xml:space="preserve"> de espesor, con puerta frontal en plancha de 5/64" de espesor con chapa, tratamiento anticorrosivo de fosfatizado y acabado con pintura electrostática color </t>
    </r>
    <r>
      <rPr>
        <b/>
        <sz val="11"/>
        <rFont val="Arial"/>
        <family val="2"/>
      </rPr>
      <t>RAL 7032</t>
    </r>
    <r>
      <rPr>
        <sz val="11"/>
        <rFont val="Arial"/>
        <family val="2"/>
      </rPr>
      <t xml:space="preserve"> al horno. Interiormente llevará un juego de barras de cobre electrolítico de 99,9% de conductividad debidamente dimensionado y soportado sobre sus respectivos aisladores.</t>
    </r>
  </si>
  <si>
    <r>
      <t xml:space="preserve">Estará equipado con componentes de fuerza marca </t>
    </r>
    <r>
      <rPr>
        <b/>
        <sz val="11"/>
        <rFont val="Arial"/>
        <family val="2"/>
      </rPr>
      <t>ABB</t>
    </r>
    <r>
      <rPr>
        <sz val="11"/>
        <rFont val="Arial"/>
        <family val="2"/>
      </rPr>
      <t xml:space="preserve">, para un sistema </t>
    </r>
    <r>
      <rPr>
        <b/>
        <sz val="11"/>
        <rFont val="Arial"/>
        <family val="2"/>
      </rPr>
      <t>220Vac (3F), 60 Hz</t>
    </r>
    <r>
      <rPr>
        <sz val="11"/>
        <rFont val="Arial"/>
        <family val="2"/>
      </rPr>
      <t>, y barra a tierra.</t>
    </r>
  </si>
  <si>
    <t>TABLEROS TIPICOS DEPARTAMENTOS</t>
  </si>
  <si>
    <r>
      <t xml:space="preserve">Tableros eléctricos de montaje tipo </t>
    </r>
    <r>
      <rPr>
        <b/>
        <sz val="11"/>
        <rFont val="Arial"/>
        <family val="2"/>
      </rPr>
      <t>EMPOTRADO</t>
    </r>
    <r>
      <rPr>
        <sz val="11"/>
        <rFont val="Arial"/>
        <family val="2"/>
      </rPr>
      <t xml:space="preserve"> , con grado de protección </t>
    </r>
    <r>
      <rPr>
        <b/>
        <sz val="11"/>
        <rFont val="Arial"/>
        <family val="2"/>
      </rPr>
      <t>IP-40</t>
    </r>
    <r>
      <rPr>
        <sz val="11"/>
        <rFont val="Arial"/>
        <family val="2"/>
      </rPr>
      <t>. La caja + tapa son de material termoplastico con un conexiónado de interruptores mediante peines y cableado.</t>
    </r>
  </si>
  <si>
    <r>
      <t xml:space="preserve">Estará equipado con componentes de fuerza marca </t>
    </r>
    <r>
      <rPr>
        <b/>
        <sz val="11"/>
        <rFont val="Arial"/>
        <family val="2"/>
      </rPr>
      <t>ABB</t>
    </r>
    <r>
      <rPr>
        <sz val="11"/>
        <rFont val="Arial"/>
        <family val="2"/>
      </rPr>
      <t>, para un sistema 220Vac (1Ø), 60 Hz, y barra a tierra.</t>
    </r>
  </si>
  <si>
    <r>
      <t xml:space="preserve">Estará equipado con componentes de fuerza </t>
    </r>
    <r>
      <rPr>
        <b/>
        <sz val="11"/>
        <rFont val="Arial"/>
        <family val="2"/>
      </rPr>
      <t>marca ABB,</t>
    </r>
    <r>
      <rPr>
        <sz val="11"/>
        <rFont val="Arial"/>
        <family val="2"/>
      </rPr>
      <t xml:space="preserve"> para un sistema trifásico de </t>
    </r>
    <r>
      <rPr>
        <b/>
        <sz val="11"/>
        <rFont val="Arial"/>
        <family val="2"/>
      </rPr>
      <t>220 Vac,</t>
    </r>
    <r>
      <rPr>
        <sz val="11"/>
        <rFont val="Arial"/>
        <family val="2"/>
      </rPr>
      <t xml:space="preserve"> </t>
    </r>
    <r>
      <rPr>
        <b/>
        <sz val="11"/>
        <rFont val="Arial"/>
        <family val="2"/>
      </rPr>
      <t>60Hz</t>
    </r>
    <r>
      <rPr>
        <sz val="11"/>
        <rFont val="Arial"/>
        <family val="2"/>
      </rPr>
      <t xml:space="preserve">, fase a tierra. </t>
    </r>
  </si>
  <si>
    <r>
      <t xml:space="preserve">Tablero eléctrico de distribución, para </t>
    </r>
    <r>
      <rPr>
        <b/>
        <sz val="11"/>
        <rFont val="Arial"/>
        <family val="2"/>
      </rPr>
      <t xml:space="preserve">EMPOTRADO / ADOSADO, </t>
    </r>
    <r>
      <rPr>
        <sz val="11"/>
        <rFont val="Arial"/>
        <family val="2"/>
      </rPr>
      <t>grado de encerramiento tipo</t>
    </r>
    <r>
      <rPr>
        <b/>
        <sz val="11"/>
        <rFont val="Arial"/>
        <family val="2"/>
      </rPr>
      <t xml:space="preserve"> IP-40 / IP-54/ IP-65</t>
    </r>
    <r>
      <rPr>
        <sz val="11"/>
        <rFont val="Arial"/>
        <family val="2"/>
      </rPr>
      <t xml:space="preserve">, la caja y puerta de acceso frontal con chapa, fabricadas en plancha galvanizado con acabado electrostático </t>
    </r>
    <r>
      <rPr>
        <b/>
        <sz val="11"/>
        <rFont val="Arial"/>
        <family val="2"/>
      </rPr>
      <t xml:space="preserve">RAL 7032 </t>
    </r>
    <r>
      <rPr>
        <sz val="11"/>
        <rFont val="Arial"/>
        <family val="2"/>
      </rPr>
      <t>al horno; incluye directorio de circuitos e interiormente estará equipado con conectores de cobre.</t>
    </r>
  </si>
  <si>
    <t>TOTAL</t>
  </si>
  <si>
    <t>01 años contra desperfectos de fabricación, previa verificación de nuestro departamento técnico. Dicha garantía no cubre daños causados por mala operación, golpes o funcionamiento fuera de los rangos especificados.</t>
  </si>
  <si>
    <t>06 a 08 semanas, con entregas parciales una vez de recibir el adelanto correspondiente, y una vez aprobado los planos de fabricación o de la aprobación de las dimensiones de las gabinetes de los tableros de distribución.</t>
  </si>
  <si>
    <r>
      <rPr>
        <sz val="11"/>
        <color theme="1" tint="0.249977111117893"/>
        <rFont val="Arial"/>
        <family val="2"/>
      </rPr>
      <t>PROFORMA</t>
    </r>
    <r>
      <rPr>
        <b/>
        <sz val="11"/>
        <color theme="1" tint="0.249977111117893"/>
        <rFont val="Arial"/>
        <family val="2"/>
      </rPr>
      <t xml:space="preserve">
</t>
    </r>
    <r>
      <rPr>
        <b/>
        <sz val="12"/>
        <color theme="1" tint="0.249977111117893"/>
        <rFont val="Arial"/>
        <family val="2"/>
      </rPr>
      <t>2020/0386</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</si>
</sst>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S/.&quot;\ #,##0.00;[Red]&quot;S/.&quot;\ \-#,##0.00"/>
    <numFmt numFmtId="44" formatCode="_ &quot;S/.&quot;\ * #,##0.00_ ;_ &quot;S/.&quot;\ * \-#,##0.00_ ;_ &quot;S/.&quot;\ * &quot;-&quot;??_ ;_ @_ "/>
    <numFmt numFmtId="43" formatCode="_ * #,##0.00_ ;_ * \-#,##0.00_ ;_ * &quot;-&quot;??_ ;_ @_ "/>
    <numFmt numFmtId="164" formatCode="_([$€-2]* #,##0.00_);_([$€-2]* \(#,##0.00\);_([$€-2]* &quot;-&quot;??_)"/>
    <numFmt numFmtId="165" formatCode="_([$$-409]* #,##0.00_);_([$$-409]* \(#,##0.00\);_([$$-409]* &quot;-&quot;??_);_(@_)"/>
    <numFmt numFmtId="166" formatCode="_-[$$-409]* #,##0.00_ ;_-[$$-409]* \-#,##0.00\ ;_-[$$-409]* \-??_ ;_-@_ "/>
    <numFmt numFmtId="167" formatCode="0;[Red]0"/>
    <numFmt numFmtId="168" formatCode="_-[$$-409]* #,##0.00_ ;_-[$$-409]* \-#,##0.00\ ;_-[$$-409]* &quot;-&quot;??_ ;_-@_ "/>
    <numFmt numFmtId="169" formatCode="_-[$$-540A]* #,##0.00_ ;_-[$$-540A]* \-#,##0.00\ ;_-[$$-540A]* &quot;-&quot;??_ ;_-@_ "/>
    <numFmt numFmtId="170" formatCode="_ [$S/.-280A]\ * #,##0.00_ ;_ [$S/.-280A]\ * \-#,##0.00_ ;_ [$S/.-280A]\ * &quot;-&quot;??_ ;_ @_ "/>
    <numFmt numFmtId="171" formatCode="#\ &quot;A&quot;"/>
    <numFmt numFmtId="172" formatCode="0.000"/>
    <numFmt numFmtId="173" formatCode="_-[$$-500A]\ * #,##0.00_ ;_-[$$-500A]\ * \-#,##0.00\ ;_-[$$-500A]\ * &quot;-&quot;??_ ;_-@_ "/>
    <numFmt numFmtId="174" formatCode="_([$$-409]* #,##0.00_);_([$$-409]* \(#,##0.00\);_([$$-409]* \-??_);_(@_)"/>
    <numFmt numFmtId="175" formatCode="&quot;S/. &quot;#,##0.00_);&quot;(S/. &quot;#,##0.00\)"/>
    <numFmt numFmtId="176" formatCode="[$S/.-280A]\ #,##0.00"/>
    <numFmt numFmtId="177" formatCode="[$$-409]#,##0.00"/>
    <numFmt numFmtId="178" formatCode="&quot;Lima - Perú, &quot;\ [$-280A]d&quot; de &quot;mmmm&quot; de &quot;yyyy;@"/>
  </numFmts>
  <fonts count="20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u/>
      <sz val="10"/>
      <name val="Arial"/>
      <family val="2"/>
    </font>
    <font>
      <sz val="8"/>
      <name val="Arial"/>
      <family val="2"/>
    </font>
    <font>
      <b/>
      <sz val="10"/>
      <color indexed="10"/>
      <name val="Arial"/>
      <family val="2"/>
    </font>
    <font>
      <sz val="10"/>
      <name val="Arial"/>
      <family val="2"/>
    </font>
    <font>
      <b/>
      <sz val="10"/>
      <name val="Arial"/>
      <family val="2"/>
    </font>
    <font>
      <sz val="10"/>
      <name val="Arial"/>
      <family val="2"/>
    </font>
    <font>
      <sz val="9"/>
      <color indexed="10"/>
      <name val="Geneva"/>
    </font>
    <font>
      <sz val="12"/>
      <name val="Arial"/>
      <family val="2"/>
    </font>
    <font>
      <b/>
      <sz val="12"/>
      <name val="Arial"/>
      <family val="2"/>
    </font>
    <font>
      <sz val="10"/>
      <color indexed="10"/>
      <name val="Arial"/>
      <family val="2"/>
    </font>
    <font>
      <b/>
      <sz val="10"/>
      <color indexed="12"/>
      <name val="Arial"/>
      <family val="2"/>
    </font>
    <font>
      <b/>
      <sz val="11"/>
      <name val="Arial"/>
      <family val="2"/>
    </font>
    <font>
      <b/>
      <u/>
      <sz val="11"/>
      <name val="Arial"/>
      <family val="2"/>
    </font>
    <font>
      <sz val="10"/>
      <color indexed="12"/>
      <name val="Arial"/>
      <family val="2"/>
    </font>
    <font>
      <sz val="10"/>
      <color indexed="60"/>
      <name val="Arial"/>
      <family val="2"/>
    </font>
    <font>
      <sz val="10"/>
      <color indexed="18"/>
      <name val="Arial"/>
      <family val="2"/>
    </font>
    <font>
      <b/>
      <sz val="10"/>
      <color indexed="18"/>
      <name val="Arial"/>
      <family val="2"/>
    </font>
    <font>
      <sz val="10"/>
      <color indexed="17"/>
      <name val="Arial"/>
      <family val="2"/>
    </font>
    <font>
      <sz val="10"/>
      <color indexed="16"/>
      <name val="Arial"/>
      <family val="2"/>
    </font>
    <font>
      <b/>
      <sz val="10"/>
      <color indexed="62"/>
      <name val="Arial"/>
      <family val="2"/>
    </font>
    <font>
      <sz val="10"/>
      <color indexed="48"/>
      <name val="Arial"/>
      <family val="2"/>
    </font>
    <font>
      <b/>
      <sz val="10"/>
      <color indexed="17"/>
      <name val="Arial"/>
      <family val="2"/>
    </font>
    <font>
      <b/>
      <sz val="10"/>
      <color indexed="57"/>
      <name val="Arial"/>
      <family val="2"/>
    </font>
    <font>
      <b/>
      <sz val="10"/>
      <color indexed="60"/>
      <name val="Arial"/>
      <family val="2"/>
    </font>
    <font>
      <sz val="10"/>
      <color indexed="56"/>
      <name val="Arial"/>
      <family val="2"/>
    </font>
    <font>
      <i/>
      <sz val="10"/>
      <name val="Arial"/>
      <family val="2"/>
    </font>
    <font>
      <b/>
      <i/>
      <sz val="10"/>
      <color indexed="56"/>
      <name val="Arial"/>
      <family val="2"/>
    </font>
    <font>
      <b/>
      <sz val="10"/>
      <color indexed="48"/>
      <name val="Arial"/>
      <family val="2"/>
    </font>
    <font>
      <sz val="10"/>
      <color indexed="14"/>
      <name val="Arial"/>
      <family val="2"/>
    </font>
    <font>
      <sz val="10"/>
      <color indexed="61"/>
      <name val="Arial"/>
      <family val="2"/>
    </font>
    <font>
      <sz val="10"/>
      <color rgb="FFFF00FF"/>
      <name val="Arial"/>
      <family val="2"/>
    </font>
    <font>
      <sz val="10"/>
      <color rgb="FFFF0000"/>
      <name val="Arial"/>
      <family val="2"/>
    </font>
    <font>
      <b/>
      <sz val="14"/>
      <name val="Arial"/>
      <family val="2"/>
    </font>
    <font>
      <sz val="11"/>
      <name val="Arial"/>
      <family val="2"/>
    </font>
    <font>
      <b/>
      <sz val="13"/>
      <name val="Arial"/>
      <family val="2"/>
    </font>
    <font>
      <b/>
      <vertAlign val="subscript"/>
      <sz val="11"/>
      <name val="Arial"/>
      <family val="2"/>
    </font>
    <font>
      <b/>
      <vertAlign val="subscript"/>
      <sz val="13"/>
      <name val="Arial"/>
      <family val="2"/>
    </font>
    <font>
      <sz val="10"/>
      <color theme="1"/>
      <name val="Arial"/>
      <family val="2"/>
    </font>
    <font>
      <b/>
      <u/>
      <sz val="10"/>
      <color theme="1"/>
      <name val="Arial"/>
      <family val="2"/>
    </font>
    <font>
      <b/>
      <u/>
      <sz val="11"/>
      <color theme="1"/>
      <name val="Calibri"/>
      <family val="2"/>
      <scheme val="minor"/>
    </font>
    <font>
      <sz val="11"/>
      <color rgb="FF0070C0"/>
      <name val="Times New Roman"/>
      <family val="1"/>
    </font>
    <font>
      <u/>
      <sz val="11"/>
      <color rgb="FFFF0000"/>
      <name val="Times New Roman"/>
      <family val="1"/>
    </font>
    <font>
      <b/>
      <sz val="11"/>
      <color rgb="FF7030A0"/>
      <name val="Times New Roman"/>
      <family val="1"/>
    </font>
    <font>
      <b/>
      <vertAlign val="subscript"/>
      <sz val="11"/>
      <color rgb="FF7030A0"/>
      <name val="Times New Roman"/>
      <family val="1"/>
    </font>
    <font>
      <sz val="11"/>
      <color rgb="FF0070C0"/>
      <name val="Arial"/>
      <family val="2"/>
    </font>
    <font>
      <sz val="7"/>
      <color rgb="FF0070C0"/>
      <name val="Times New Roman"/>
      <family val="1"/>
    </font>
    <font>
      <sz val="11"/>
      <color rgb="FF548235"/>
      <name val="Times New Roman"/>
      <family val="1"/>
    </font>
    <font>
      <sz val="11"/>
      <color rgb="FF548235"/>
      <name val="Arial"/>
      <family val="2"/>
    </font>
    <font>
      <sz val="7"/>
      <color rgb="FF548235"/>
      <name val="Times New Roman"/>
      <family val="1"/>
    </font>
    <font>
      <i/>
      <sz val="10"/>
      <color rgb="FF002060"/>
      <name val="Arial"/>
      <family val="2"/>
    </font>
    <font>
      <sz val="7"/>
      <color rgb="FFFF0000"/>
      <name val="Times New Roman"/>
      <family val="1"/>
    </font>
    <font>
      <i/>
      <u/>
      <sz val="10"/>
      <color rgb="FFFF0000"/>
      <name val="Arial"/>
      <family val="2"/>
    </font>
    <font>
      <sz val="10"/>
      <color rgb="FF7030A0"/>
      <name val="Arial"/>
      <family val="2"/>
    </font>
    <font>
      <sz val="7"/>
      <color rgb="FF7030A0"/>
      <name val="Times New Roman"/>
      <family val="1"/>
    </font>
    <font>
      <b/>
      <i/>
      <sz val="10"/>
      <color rgb="FF7030A0"/>
      <name val="Arial"/>
      <family val="2"/>
    </font>
    <font>
      <sz val="10"/>
      <color rgb="FF548235"/>
      <name val="Arial"/>
      <family val="2"/>
    </font>
    <font>
      <i/>
      <sz val="10"/>
      <color rgb="FF548235"/>
      <name val="Arial"/>
      <family val="2"/>
    </font>
    <font>
      <b/>
      <sz val="20"/>
      <name val="Arial"/>
      <family val="2"/>
    </font>
    <font>
      <sz val="14"/>
      <name val="Arial"/>
      <family val="2"/>
    </font>
    <font>
      <b/>
      <sz val="11"/>
      <color theme="1"/>
      <name val="Calibri"/>
      <family val="2"/>
      <scheme val="minor"/>
    </font>
    <font>
      <sz val="9"/>
      <color indexed="81"/>
      <name val="Tahoma"/>
      <family val="2"/>
    </font>
    <font>
      <b/>
      <sz val="9"/>
      <color indexed="81"/>
      <name val="Tahoma"/>
      <family val="2"/>
    </font>
    <font>
      <sz val="10"/>
      <color indexed="8"/>
      <name val="Arial"/>
      <family val="2"/>
    </font>
    <font>
      <b/>
      <sz val="10"/>
      <color rgb="FF0000FF"/>
      <name val="Arial"/>
      <family val="2"/>
    </font>
    <font>
      <sz val="10"/>
      <color rgb="FF0000FF"/>
      <name val="Arial"/>
      <family val="2"/>
    </font>
    <font>
      <sz val="10"/>
      <color rgb="FF008000"/>
      <name val="Arial"/>
      <family val="2"/>
    </font>
    <font>
      <sz val="10"/>
      <color rgb="FF00B050"/>
      <name val="Arial"/>
      <family val="2"/>
    </font>
    <font>
      <sz val="10"/>
      <color rgb="FF336BC7"/>
      <name val="Arial"/>
      <family val="2"/>
    </font>
    <font>
      <b/>
      <sz val="10"/>
      <color rgb="FF7030A0"/>
      <name val="Arial"/>
      <family val="2"/>
    </font>
    <font>
      <sz val="10"/>
      <name val="Arial"/>
      <family val="2"/>
    </font>
    <font>
      <sz val="10"/>
      <color theme="5"/>
      <name val="Arial"/>
      <family val="2"/>
    </font>
    <font>
      <sz val="11"/>
      <color rgb="FF3333FF"/>
      <name val="Arial"/>
      <family val="2"/>
    </font>
    <font>
      <sz val="11"/>
      <color theme="1"/>
      <name val="Arial"/>
      <family val="2"/>
    </font>
    <font>
      <b/>
      <sz val="11"/>
      <color theme="0"/>
      <name val="Arial"/>
      <family val="2"/>
    </font>
    <font>
      <sz val="9"/>
      <name val="Arial"/>
      <family val="2"/>
    </font>
    <font>
      <b/>
      <sz val="9"/>
      <name val="Arial"/>
      <family val="2"/>
    </font>
    <font>
      <b/>
      <sz val="9"/>
      <color rgb="FFFFFFFF"/>
      <name val="Arial"/>
      <family val="2"/>
    </font>
    <font>
      <sz val="9"/>
      <color rgb="FFC00000"/>
      <name val="Arial"/>
      <family val="2"/>
    </font>
    <font>
      <b/>
      <sz val="9"/>
      <color theme="0"/>
      <name val="Arial"/>
      <family val="2"/>
    </font>
    <font>
      <b/>
      <sz val="10"/>
      <color theme="1"/>
      <name val="Arial"/>
      <family val="2"/>
    </font>
    <font>
      <sz val="10"/>
      <color rgb="FF1A5A8E"/>
      <name val="Arial"/>
      <family val="2"/>
    </font>
    <font>
      <b/>
      <sz val="10"/>
      <color rgb="FF1A5A8E"/>
      <name val="Arial"/>
      <family val="2"/>
    </font>
    <font>
      <sz val="10"/>
      <color rgb="FF3333CC"/>
      <name val="Arial"/>
      <family val="2"/>
    </font>
    <font>
      <sz val="10"/>
      <name val="Arial"/>
      <family val="2"/>
    </font>
    <font>
      <sz val="10"/>
      <color theme="9" tint="-0.249977111117893"/>
      <name val="Arial"/>
      <family val="2"/>
    </font>
    <font>
      <sz val="10"/>
      <color rgb="FFC00000"/>
      <name val="Arial"/>
      <family val="2"/>
    </font>
    <font>
      <b/>
      <sz val="10"/>
      <color theme="9" tint="-0.249977111117893"/>
      <name val="Arial"/>
      <family val="2"/>
    </font>
    <font>
      <sz val="10"/>
      <name val="Arial"/>
      <family val="2"/>
    </font>
    <font>
      <sz val="11"/>
      <color rgb="FFC00000"/>
      <name val="Arial"/>
      <family val="2"/>
    </font>
    <font>
      <b/>
      <sz val="11"/>
      <color rgb="FF0000FF"/>
      <name val="Arial"/>
      <family val="2"/>
    </font>
    <font>
      <sz val="11"/>
      <color rgb="FF0000FF"/>
      <name val="Arial"/>
      <family val="2"/>
    </font>
    <font>
      <b/>
      <sz val="10"/>
      <color rgb="FFFF0000"/>
      <name val="Arial"/>
      <family val="2"/>
    </font>
    <font>
      <b/>
      <sz val="10"/>
      <color rgb="FFFFFF00"/>
      <name val="Arial"/>
      <family val="2"/>
    </font>
    <font>
      <sz val="10"/>
      <name val="Arial"/>
      <family val="2"/>
    </font>
    <font>
      <sz val="10"/>
      <name val="Arial"/>
      <family val="2"/>
    </font>
    <font>
      <b/>
      <sz val="11"/>
      <color theme="1"/>
      <name val="Arial"/>
      <family val="2"/>
    </font>
    <font>
      <sz val="11"/>
      <color rgb="FFFF0000"/>
      <name val="Arial"/>
      <family val="2"/>
    </font>
    <font>
      <b/>
      <sz val="11"/>
      <color theme="0"/>
      <name val="Lucida Sans Typewriter"/>
      <family val="3"/>
    </font>
    <font>
      <sz val="10"/>
      <color rgb="FF339966"/>
      <name val="Arial"/>
      <family val="2"/>
    </font>
    <font>
      <b/>
      <sz val="10"/>
      <color theme="0"/>
      <name val="Arial"/>
      <family val="2"/>
    </font>
    <font>
      <b/>
      <sz val="12"/>
      <color rgb="FF0000FF"/>
      <name val="Arial"/>
      <family val="2"/>
    </font>
    <font>
      <b/>
      <sz val="9"/>
      <color rgb="FF0000FF"/>
      <name val="Arial"/>
      <family val="2"/>
    </font>
    <font>
      <b/>
      <sz val="9"/>
      <color theme="1"/>
      <name val="Calibri"/>
      <family val="2"/>
      <scheme val="minor"/>
    </font>
    <font>
      <sz val="10"/>
      <color theme="5" tint="-0.249977111117893"/>
      <name val="Arial"/>
      <family val="2"/>
    </font>
    <font>
      <u/>
      <sz val="10"/>
      <name val="Arial"/>
      <family val="2"/>
    </font>
    <font>
      <b/>
      <sz val="10"/>
      <color rgb="FFC00000"/>
      <name val="Arial"/>
      <family val="2"/>
    </font>
    <font>
      <b/>
      <sz val="10"/>
      <color rgb="FF3333CC"/>
      <name val="Arial"/>
      <family val="2"/>
    </font>
    <font>
      <sz val="10"/>
      <color theme="1" tint="0.34998626667073579"/>
      <name val="Arial"/>
      <family val="2"/>
    </font>
    <font>
      <i/>
      <sz val="10"/>
      <name val="Berlin Sans FB"/>
      <family val="2"/>
    </font>
    <font>
      <i/>
      <sz val="10"/>
      <color theme="1"/>
      <name val="Arial"/>
      <family val="2"/>
    </font>
    <font>
      <b/>
      <i/>
      <sz val="10"/>
      <name val="Berlin Sans FB"/>
      <family val="2"/>
    </font>
    <font>
      <sz val="10"/>
      <name val="Arial"/>
      <family val="2"/>
    </font>
    <font>
      <sz val="11"/>
      <color indexed="10"/>
      <name val="Arial"/>
      <family val="2"/>
    </font>
    <font>
      <b/>
      <u/>
      <sz val="9"/>
      <name val="Arial"/>
      <family val="2"/>
    </font>
    <font>
      <b/>
      <sz val="8"/>
      <name val="Arial"/>
      <family val="2"/>
    </font>
    <font>
      <b/>
      <sz val="11"/>
      <name val="Arial Black"/>
      <family val="2"/>
    </font>
    <font>
      <sz val="11"/>
      <name val="Arial Black"/>
      <family val="2"/>
    </font>
    <font>
      <b/>
      <sz val="11"/>
      <color indexed="12"/>
      <name val="Arial"/>
      <family val="2"/>
    </font>
    <font>
      <sz val="10"/>
      <color rgb="FF0000CC"/>
      <name val="Arial"/>
      <family val="2"/>
    </font>
    <font>
      <b/>
      <sz val="12"/>
      <color theme="0"/>
      <name val="Arial"/>
      <family val="2"/>
    </font>
    <font>
      <b/>
      <sz val="10"/>
      <color rgb="FF0000CC"/>
      <name val="Arial"/>
      <family val="2"/>
    </font>
    <font>
      <b/>
      <sz val="14"/>
      <color theme="1"/>
      <name val="Arial"/>
      <family val="2"/>
    </font>
    <font>
      <b/>
      <sz val="10"/>
      <color rgb="FF3333FF"/>
      <name val="Arial"/>
      <family val="2"/>
    </font>
    <font>
      <sz val="14"/>
      <color theme="0"/>
      <name val="Arial"/>
      <family val="2"/>
    </font>
    <font>
      <b/>
      <i/>
      <sz val="12"/>
      <color rgb="FFC00000"/>
      <name val="Arial"/>
      <family val="2"/>
    </font>
    <font>
      <b/>
      <sz val="11"/>
      <color theme="1" tint="0.249977111117893"/>
      <name val="Arial"/>
      <family val="2"/>
    </font>
    <font>
      <sz val="11"/>
      <color theme="1" tint="0.249977111117893"/>
      <name val="Arial"/>
      <family val="2"/>
    </font>
    <font>
      <sz val="11"/>
      <color theme="5" tint="-0.499984740745262"/>
      <name val="Arial Narrow"/>
      <family val="2"/>
    </font>
    <font>
      <b/>
      <sz val="14"/>
      <color theme="5" tint="-0.499984740745262"/>
      <name val="Arial"/>
      <family val="2"/>
    </font>
    <font>
      <b/>
      <sz val="12"/>
      <color theme="1" tint="0.249977111117893"/>
      <name val="Arial"/>
      <family val="2"/>
    </font>
    <font>
      <b/>
      <u/>
      <sz val="11"/>
      <color theme="1" tint="0.14999847407452621"/>
      <name val="Arial"/>
      <family val="2"/>
    </font>
    <font>
      <sz val="10"/>
      <color theme="1" tint="0.14999847407452621"/>
      <name val="Arial"/>
      <family val="2"/>
    </font>
    <font>
      <b/>
      <u/>
      <sz val="10"/>
      <color theme="1" tint="0.14999847407452621"/>
      <name val="Arial"/>
      <family val="2"/>
    </font>
    <font>
      <b/>
      <sz val="10"/>
      <color theme="1" tint="0.14999847407452621"/>
      <name val="Arial"/>
      <family val="2"/>
    </font>
    <font>
      <b/>
      <sz val="11"/>
      <color theme="1" tint="0.14999847407452621"/>
      <name val="Arial"/>
      <family val="2"/>
    </font>
    <font>
      <b/>
      <i/>
      <sz val="10"/>
      <color rgb="FF0033CC"/>
      <name val="Arial"/>
      <family val="2"/>
    </font>
    <font>
      <u/>
      <sz val="10"/>
      <color theme="1"/>
      <name val="Arial"/>
      <family val="2"/>
    </font>
    <font>
      <b/>
      <sz val="12"/>
      <color rgb="FFC00000"/>
      <name val="Arial"/>
      <family val="2"/>
    </font>
    <font>
      <b/>
      <sz val="16"/>
      <color rgb="FF0000CC"/>
      <name val="Arial"/>
      <family val="2"/>
    </font>
    <font>
      <b/>
      <sz val="22"/>
      <color rgb="FF008080"/>
      <name val="Arial"/>
      <family val="2"/>
    </font>
    <font>
      <sz val="11"/>
      <color theme="1" tint="0.34998626667073579"/>
      <name val="Arial"/>
      <family val="2"/>
    </font>
    <font>
      <sz val="10"/>
      <color theme="1" tint="0.499984740745262"/>
      <name val="Arial"/>
      <family val="2"/>
    </font>
    <font>
      <sz val="12"/>
      <color rgb="FFFF0000"/>
      <name val="Arial"/>
      <family val="2"/>
    </font>
    <font>
      <sz val="11"/>
      <color rgb="FF0033CC"/>
      <name val="Arial"/>
      <family val="2"/>
    </font>
    <font>
      <b/>
      <sz val="14"/>
      <color rgb="FF7030A0"/>
      <name val="Arial"/>
      <family val="2"/>
    </font>
    <font>
      <b/>
      <sz val="12"/>
      <color rgb="FF7030A0"/>
      <name val="Arial"/>
      <family val="2"/>
    </font>
    <font>
      <b/>
      <u/>
      <sz val="11"/>
      <color rgb="FF000066"/>
      <name val="Arial"/>
      <family val="2"/>
    </font>
    <font>
      <b/>
      <sz val="11"/>
      <color rgb="FF000066"/>
      <name val="Arial"/>
      <family val="2"/>
    </font>
    <font>
      <sz val="10"/>
      <color rgb="FF000066"/>
      <name val="Arial"/>
      <family val="2"/>
    </font>
    <font>
      <b/>
      <u/>
      <sz val="10"/>
      <color rgb="FF000066"/>
      <name val="Arial"/>
      <family val="2"/>
    </font>
    <font>
      <b/>
      <sz val="10"/>
      <color rgb="FF000066"/>
      <name val="Arial"/>
      <family val="2"/>
    </font>
    <font>
      <sz val="10"/>
      <color theme="3"/>
      <name val="Arial"/>
      <family val="2"/>
    </font>
    <font>
      <sz val="10"/>
      <color indexed="62"/>
      <name val="Arial"/>
      <family val="2"/>
    </font>
    <font>
      <b/>
      <sz val="30"/>
      <color rgb="FF0000CC"/>
      <name val="Arial"/>
      <family val="2"/>
    </font>
    <font>
      <b/>
      <sz val="22"/>
      <color rgb="FF00B050"/>
      <name val="Arial"/>
      <family val="2"/>
    </font>
    <font>
      <b/>
      <i/>
      <sz val="10"/>
      <color rgb="FF0000FF"/>
      <name val="Arial"/>
      <family val="2"/>
    </font>
    <font>
      <b/>
      <sz val="10"/>
      <color theme="5"/>
      <name val="Arial"/>
      <family val="2"/>
    </font>
    <font>
      <sz val="9"/>
      <color rgb="FF000000"/>
      <name val="Arial"/>
      <family val="2"/>
    </font>
    <font>
      <sz val="11"/>
      <color rgb="FF000000"/>
      <name val="Lucida Sans Unicode"/>
      <family val="2"/>
    </font>
    <font>
      <b/>
      <sz val="12"/>
      <color theme="1"/>
      <name val="Arial"/>
      <family val="2"/>
    </font>
    <font>
      <sz val="12"/>
      <color theme="1"/>
      <name val="Arial"/>
      <family val="2"/>
    </font>
    <font>
      <sz val="11"/>
      <color rgb="FF1F497D"/>
      <name val="Calibri"/>
      <family val="2"/>
    </font>
    <font>
      <b/>
      <sz val="12"/>
      <color rgb="FF6A6A6A"/>
      <name val="Arial"/>
      <family val="2"/>
    </font>
    <font>
      <b/>
      <sz val="36"/>
      <color rgb="FF7030A0"/>
      <name val="Arial"/>
      <family val="2"/>
    </font>
    <font>
      <b/>
      <sz val="16"/>
      <name val="Arial"/>
      <family val="2"/>
    </font>
    <font>
      <b/>
      <sz val="12"/>
      <color rgb="FFFF0000"/>
      <name val="Arial"/>
      <family val="2"/>
    </font>
    <font>
      <b/>
      <sz val="15"/>
      <color rgb="FF7030A0"/>
      <name val="Arial"/>
      <family val="2"/>
    </font>
    <font>
      <b/>
      <sz val="13"/>
      <color indexed="12"/>
      <name val="Arial"/>
      <family val="2"/>
    </font>
    <font>
      <b/>
      <sz val="11"/>
      <color theme="1" tint="0.499984740745262"/>
      <name val="Arial"/>
      <family val="2"/>
    </font>
    <font>
      <sz val="11"/>
      <color theme="1" tint="0.499984740745262"/>
      <name val="Arial"/>
      <family val="2"/>
    </font>
    <font>
      <b/>
      <u/>
      <sz val="10"/>
      <color indexed="57"/>
      <name val="Arial"/>
      <family val="2"/>
    </font>
    <font>
      <b/>
      <sz val="10"/>
      <color theme="3"/>
      <name val="Arial"/>
      <family val="2"/>
    </font>
    <font>
      <b/>
      <sz val="10"/>
      <color theme="8" tint="0.59999389629810485"/>
      <name val="Arial"/>
      <family val="2"/>
    </font>
    <font>
      <vertAlign val="superscript"/>
      <sz val="10"/>
      <color rgb="FF7030A0"/>
      <name val="Arial"/>
      <family val="2"/>
    </font>
    <font>
      <b/>
      <sz val="20"/>
      <color rgb="FF7030A0"/>
      <name val="Arial"/>
      <family val="2"/>
    </font>
    <font>
      <b/>
      <sz val="20"/>
      <color theme="0"/>
      <name val="Arial"/>
      <family val="2"/>
    </font>
    <font>
      <sz val="14"/>
      <name val="Calibri"/>
      <family val="2"/>
    </font>
    <font>
      <sz val="10"/>
      <name val="Arial"/>
      <family val="2"/>
    </font>
    <font>
      <b/>
      <sz val="12"/>
      <color theme="7" tint="-0.499984740745262"/>
      <name val="Arial"/>
      <family val="2"/>
    </font>
    <font>
      <b/>
      <sz val="11"/>
      <name val="BTcond"/>
    </font>
    <font>
      <sz val="11"/>
      <color rgb="FF333333"/>
      <name val="Arial"/>
      <family val="2"/>
    </font>
    <font>
      <b/>
      <sz val="10"/>
      <color rgb="FF008000"/>
      <name val="Arial"/>
      <family val="2"/>
    </font>
    <font>
      <sz val="11"/>
      <name val="Calibri"/>
      <family val="2"/>
      <scheme val="minor"/>
    </font>
  </fonts>
  <fills count="69">
    <fill>
      <patternFill patternType="none"/>
    </fill>
    <fill>
      <patternFill patternType="gray125"/>
    </fill>
    <fill>
      <patternFill patternType="solid">
        <fgColor indexed="51"/>
        <bgColor indexed="64"/>
      </patternFill>
    </fill>
    <fill>
      <patternFill patternType="solid">
        <fgColor indexed="13"/>
        <bgColor indexed="64"/>
      </patternFill>
    </fill>
    <fill>
      <patternFill patternType="solid">
        <fgColor indexed="43"/>
        <bgColor indexed="64"/>
      </patternFill>
    </fill>
    <fill>
      <patternFill patternType="solid">
        <fgColor rgb="FFFFFF00"/>
        <bgColor indexed="64"/>
      </patternFill>
    </fill>
    <fill>
      <patternFill patternType="solid">
        <fgColor rgb="FF00B050"/>
        <bgColor indexed="64"/>
      </patternFill>
    </fill>
    <fill>
      <patternFill patternType="solid">
        <fgColor theme="2"/>
        <bgColor indexed="64"/>
      </patternFill>
    </fill>
    <fill>
      <patternFill patternType="solid">
        <fgColor indexed="9"/>
        <bgColor indexed="64"/>
      </patternFill>
    </fill>
    <fill>
      <patternFill patternType="solid">
        <fgColor indexed="31"/>
        <bgColor indexed="64"/>
      </patternFill>
    </fill>
    <fill>
      <patternFill patternType="solid">
        <fgColor theme="0"/>
        <bgColor indexed="64"/>
      </patternFill>
    </fill>
    <fill>
      <patternFill patternType="solid">
        <fgColor rgb="FFFF0000"/>
        <bgColor indexed="64"/>
      </patternFill>
    </fill>
    <fill>
      <patternFill patternType="solid">
        <fgColor theme="8" tint="0.79998168889431442"/>
        <bgColor indexed="64"/>
      </patternFill>
    </fill>
    <fill>
      <patternFill patternType="solid">
        <fgColor rgb="FFFFC00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rgb="FF00B0F0"/>
        <bgColor indexed="64"/>
      </patternFill>
    </fill>
    <fill>
      <patternFill patternType="solid">
        <fgColor rgb="FF92D050"/>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DCF5F8"/>
        <bgColor indexed="64"/>
      </patternFill>
    </fill>
    <fill>
      <patternFill patternType="solid">
        <fgColor theme="3" tint="0.79998168889431442"/>
        <bgColor indexed="64"/>
      </patternFill>
    </fill>
    <fill>
      <patternFill patternType="solid">
        <fgColor theme="3"/>
        <bgColor indexed="64"/>
      </patternFill>
    </fill>
    <fill>
      <patternFill patternType="solid">
        <fgColor theme="7" tint="-0.249977111117893"/>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66"/>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6" tint="-0.249977111117893"/>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3" tint="0.59999389629810485"/>
        <bgColor indexed="64"/>
      </patternFill>
    </fill>
    <fill>
      <patternFill patternType="solid">
        <fgColor theme="5"/>
        <bgColor indexed="64"/>
      </patternFill>
    </fill>
    <fill>
      <patternFill patternType="solid">
        <fgColor theme="4" tint="0.59999389629810485"/>
        <bgColor indexed="64"/>
      </patternFill>
    </fill>
    <fill>
      <patternFill patternType="solid">
        <fgColor indexed="50"/>
        <bgColor indexed="64"/>
      </patternFill>
    </fill>
    <fill>
      <patternFill patternType="solid">
        <fgColor rgb="FF546B7E"/>
        <bgColor indexed="64"/>
      </patternFill>
    </fill>
    <fill>
      <patternFill patternType="solid">
        <fgColor theme="2" tint="-9.9978637043366805E-2"/>
        <bgColor indexed="64"/>
      </patternFill>
    </fill>
    <fill>
      <patternFill patternType="solid">
        <fgColor rgb="FFA9D389"/>
        <bgColor indexed="64"/>
      </patternFill>
    </fill>
    <fill>
      <patternFill patternType="solid">
        <fgColor rgb="FFFFFFFF"/>
        <bgColor indexed="64"/>
      </patternFill>
    </fill>
    <fill>
      <patternFill patternType="solid">
        <fgColor rgb="FF0033CC"/>
        <bgColor indexed="64"/>
      </patternFill>
    </fill>
    <fill>
      <patternFill patternType="solid">
        <fgColor theme="3" tint="0.39997558519241921"/>
        <bgColor indexed="64"/>
      </patternFill>
    </fill>
    <fill>
      <patternFill patternType="solid">
        <fgColor rgb="FFC00000"/>
        <bgColor indexed="64"/>
      </patternFill>
    </fill>
    <fill>
      <patternFill patternType="solid">
        <fgColor theme="5" tint="0.39997558519241921"/>
        <bgColor indexed="64"/>
      </patternFill>
    </fill>
    <fill>
      <patternFill patternType="solid">
        <fgColor rgb="FFFFCC00"/>
        <bgColor indexed="64"/>
      </patternFill>
    </fill>
    <fill>
      <patternFill patternType="solid">
        <fgColor theme="5" tint="-0.249977111117893"/>
        <bgColor indexed="64"/>
      </patternFill>
    </fill>
    <fill>
      <patternFill patternType="solid">
        <fgColor rgb="FF008000"/>
        <bgColor indexed="64"/>
      </patternFill>
    </fill>
    <fill>
      <patternFill patternType="solid">
        <fgColor rgb="FFFFFFCC"/>
        <bgColor indexed="64"/>
      </patternFill>
    </fill>
    <fill>
      <patternFill patternType="solid">
        <fgColor rgb="FF0000FF"/>
        <bgColor indexed="64"/>
      </patternFill>
    </fill>
    <fill>
      <patternFill patternType="solid">
        <fgColor theme="2" tint="-0.499984740745262"/>
        <bgColor indexed="64"/>
      </patternFill>
    </fill>
    <fill>
      <patternFill patternType="solid">
        <fgColor rgb="FF0000CC"/>
        <bgColor indexed="64"/>
      </patternFill>
    </fill>
    <fill>
      <patternFill patternType="solid">
        <fgColor theme="6"/>
        <bgColor indexed="64"/>
      </patternFill>
    </fill>
    <fill>
      <patternFill patternType="solid">
        <fgColor theme="7" tint="0.39997558519241921"/>
        <bgColor indexed="64"/>
      </patternFill>
    </fill>
    <fill>
      <patternFill patternType="solid">
        <fgColor theme="1" tint="0.499984740745262"/>
        <bgColor indexed="64"/>
      </patternFill>
    </fill>
    <fill>
      <patternFill patternType="solid">
        <fgColor rgb="FFA0ABBC"/>
        <bgColor indexed="64"/>
      </patternFill>
    </fill>
    <fill>
      <patternFill patternType="solid">
        <fgColor rgb="FF7030A0"/>
        <bgColor indexed="64"/>
      </patternFill>
    </fill>
    <fill>
      <patternFill patternType="solid">
        <fgColor theme="8"/>
        <bgColor indexed="64"/>
      </patternFill>
    </fill>
  </fills>
  <borders count="8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right style="thin">
        <color indexed="64"/>
      </right>
      <top/>
      <bottom style="medium">
        <color indexed="64"/>
      </bottom>
      <diagonal/>
    </border>
    <border>
      <left/>
      <right style="thin">
        <color indexed="64"/>
      </right>
      <top style="medium">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style="thin">
        <color indexed="64"/>
      </left>
      <right style="medium">
        <color indexed="64"/>
      </right>
      <top/>
      <bottom/>
      <diagonal/>
    </border>
    <border>
      <left style="hair">
        <color indexed="64"/>
      </left>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top/>
      <bottom/>
      <diagonal/>
    </border>
    <border>
      <left style="hair">
        <color indexed="64"/>
      </left>
      <right style="hair">
        <color indexed="64"/>
      </right>
      <top style="hair">
        <color indexed="64"/>
      </top>
      <bottom style="hair">
        <color indexed="64"/>
      </bottom>
      <diagonal/>
    </border>
  </borders>
  <cellStyleXfs count="39497">
    <xf numFmtId="0" fontId="0" fillId="0" borderId="0"/>
    <xf numFmtId="0" fontId="29" fillId="0" borderId="0"/>
    <xf numFmtId="0" fontId="29" fillId="0" borderId="0"/>
    <xf numFmtId="164" fontId="24" fillId="0" borderId="0" applyFont="0" applyFill="0" applyBorder="0" applyAlignment="0" applyProtection="0"/>
    <xf numFmtId="0" fontId="32" fillId="0" borderId="0"/>
    <xf numFmtId="0" fontId="24" fillId="0" borderId="0"/>
    <xf numFmtId="0" fontId="24" fillId="0" borderId="0"/>
    <xf numFmtId="0" fontId="24" fillId="0" borderId="0"/>
    <xf numFmtId="0" fontId="24" fillId="0" borderId="0"/>
    <xf numFmtId="0" fontId="24" fillId="0" borderId="0"/>
    <xf numFmtId="0" fontId="23" fillId="0" borderId="0"/>
    <xf numFmtId="0" fontId="24" fillId="0" borderId="0"/>
    <xf numFmtId="0" fontId="22" fillId="0" borderId="0"/>
    <xf numFmtId="9" fontId="22" fillId="0" borderId="0" applyFont="0" applyFill="0" applyBorder="0" applyAlignment="0" applyProtection="0"/>
    <xf numFmtId="0" fontId="21" fillId="0" borderId="0"/>
    <xf numFmtId="0" fontId="20" fillId="0" borderId="0"/>
    <xf numFmtId="9" fontId="20" fillId="0" borderId="0" applyFont="0" applyFill="0" applyBorder="0" applyAlignment="0" applyProtection="0"/>
    <xf numFmtId="0" fontId="19" fillId="0" borderId="0"/>
    <xf numFmtId="9"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0" fontId="88" fillId="0" borderId="0"/>
    <xf numFmtId="0" fontId="24" fillId="0" borderId="0"/>
    <xf numFmtId="0" fontId="24" fillId="0" borderId="0"/>
    <xf numFmtId="0" fontId="19" fillId="0" borderId="0"/>
    <xf numFmtId="0" fontId="19" fillId="0" borderId="0"/>
    <xf numFmtId="9" fontId="19" fillId="0" borderId="0" applyFont="0" applyFill="0" applyBorder="0" applyAlignment="0" applyProtection="0"/>
    <xf numFmtId="0" fontId="19" fillId="0" borderId="0"/>
    <xf numFmtId="9" fontId="24" fillId="0" borderId="0" applyFont="0" applyFill="0" applyBorder="0" applyAlignment="0" applyProtection="0"/>
    <xf numFmtId="0" fontId="19" fillId="0" borderId="0"/>
    <xf numFmtId="9" fontId="19" fillId="0" borderId="0" applyFont="0" applyFill="0" applyBorder="0" applyAlignment="0" applyProtection="0"/>
    <xf numFmtId="0" fontId="24" fillId="0" borderId="0"/>
    <xf numFmtId="9" fontId="24" fillId="0" borderId="0" applyFont="0" applyFill="0" applyBorder="0" applyAlignment="0" applyProtection="0"/>
    <xf numFmtId="0" fontId="18" fillId="0" borderId="0"/>
    <xf numFmtId="43" fontId="18" fillId="0" borderId="0" applyFont="0" applyFill="0" applyBorder="0" applyAlignment="0" applyProtection="0"/>
    <xf numFmtId="9" fontId="18" fillId="0" borderId="0" applyFont="0" applyFill="0" applyBorder="0" applyAlignment="0" applyProtection="0"/>
    <xf numFmtId="43" fontId="18" fillId="0" borderId="0" applyFont="0" applyFill="0" applyBorder="0" applyAlignment="0" applyProtection="0"/>
    <xf numFmtId="0" fontId="95" fillId="0" borderId="0"/>
    <xf numFmtId="0" fontId="24" fillId="0" borderId="0"/>
    <xf numFmtId="0" fontId="18" fillId="0" borderId="0"/>
    <xf numFmtId="0" fontId="18" fillId="0" borderId="0"/>
    <xf numFmtId="9" fontId="18" fillId="0" borderId="0" applyFont="0" applyFill="0" applyBorder="0" applyAlignment="0" applyProtection="0"/>
    <xf numFmtId="0" fontId="18" fillId="0" borderId="0"/>
    <xf numFmtId="9" fontId="95"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9" fontId="18" fillId="0" borderId="0" applyFont="0" applyFill="0" applyBorder="0" applyAlignment="0" applyProtection="0"/>
    <xf numFmtId="43"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0" fontId="24" fillId="0" borderId="0"/>
    <xf numFmtId="9" fontId="24" fillId="0" borderId="0" applyFont="0" applyFill="0" applyBorder="0" applyAlignment="0" applyProtection="0"/>
    <xf numFmtId="0" fontId="17" fillId="0" borderId="0"/>
    <xf numFmtId="43" fontId="17" fillId="0" borderId="0" applyFont="0" applyFill="0" applyBorder="0" applyAlignment="0" applyProtection="0"/>
    <xf numFmtId="9" fontId="17" fillId="0" borderId="0" applyFont="0" applyFill="0" applyBorder="0" applyAlignment="0" applyProtection="0"/>
    <xf numFmtId="43" fontId="17" fillId="0" borderId="0" applyFont="0" applyFill="0" applyBorder="0" applyAlignment="0" applyProtection="0"/>
    <xf numFmtId="0" fontId="95" fillId="0" borderId="0"/>
    <xf numFmtId="0" fontId="24" fillId="0" borderId="0"/>
    <xf numFmtId="0" fontId="17" fillId="0" borderId="0"/>
    <xf numFmtId="0" fontId="17" fillId="0" borderId="0"/>
    <xf numFmtId="9" fontId="17" fillId="0" borderId="0" applyFont="0" applyFill="0" applyBorder="0" applyAlignment="0" applyProtection="0"/>
    <xf numFmtId="0" fontId="17" fillId="0" borderId="0"/>
    <xf numFmtId="9" fontId="95"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9" fontId="17" fillId="0" borderId="0" applyFont="0" applyFill="0" applyBorder="0" applyAlignment="0" applyProtection="0"/>
    <xf numFmtId="43" fontId="17"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43" fontId="17" fillId="0" borderId="0" applyFont="0" applyFill="0" applyBorder="0" applyAlignment="0" applyProtection="0"/>
    <xf numFmtId="9" fontId="17" fillId="0" borderId="0" applyFont="0" applyFill="0" applyBorder="0" applyAlignment="0" applyProtection="0"/>
    <xf numFmtId="43" fontId="17"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9" fontId="17" fillId="0" borderId="0" applyFont="0" applyFill="0" applyBorder="0" applyAlignment="0" applyProtection="0"/>
    <xf numFmtId="43" fontId="17"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24" fillId="0" borderId="0"/>
    <xf numFmtId="9" fontId="24" fillId="0" borderId="0" applyFont="0" applyFill="0" applyBorder="0" applyAlignment="0" applyProtection="0"/>
    <xf numFmtId="0" fontId="16" fillId="0" borderId="0"/>
    <xf numFmtId="9" fontId="16"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0" fontId="95" fillId="0" borderId="0"/>
    <xf numFmtId="0" fontId="24" fillId="0" borderId="0"/>
    <xf numFmtId="0" fontId="16" fillId="0" borderId="0"/>
    <xf numFmtId="0" fontId="16" fillId="0" borderId="0"/>
    <xf numFmtId="9" fontId="16" fillId="0" borderId="0" applyFont="0" applyFill="0" applyBorder="0" applyAlignment="0" applyProtection="0"/>
    <xf numFmtId="0" fontId="16" fillId="0" borderId="0"/>
    <xf numFmtId="9" fontId="95" fillId="0" borderId="0" applyFont="0" applyFill="0" applyBorder="0" applyAlignment="0" applyProtection="0"/>
    <xf numFmtId="0" fontId="16" fillId="0" borderId="0"/>
    <xf numFmtId="9" fontId="16" fillId="0" borderId="0" applyFont="0" applyFill="0" applyBorder="0" applyAlignment="0" applyProtection="0"/>
    <xf numFmtId="0" fontId="16" fillId="0" borderId="0"/>
    <xf numFmtId="9" fontId="16" fillId="0" borderId="0" applyFont="0" applyFill="0" applyBorder="0" applyAlignment="0" applyProtection="0"/>
    <xf numFmtId="43"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43" fontId="16" fillId="0" borderId="0" applyFont="0" applyFill="0" applyBorder="0" applyAlignment="0" applyProtection="0"/>
    <xf numFmtId="9" fontId="16" fillId="0" borderId="0" applyFont="0" applyFill="0" applyBorder="0" applyAlignment="0" applyProtection="0"/>
    <xf numFmtId="43"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9" fontId="16" fillId="0" borderId="0" applyFont="0" applyFill="0" applyBorder="0" applyAlignment="0" applyProtection="0"/>
    <xf numFmtId="43"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43" fontId="16" fillId="0" borderId="0" applyFont="0" applyFill="0" applyBorder="0" applyAlignment="0" applyProtection="0"/>
    <xf numFmtId="9" fontId="16" fillId="0" borderId="0" applyFont="0" applyFill="0" applyBorder="0" applyAlignment="0" applyProtection="0"/>
    <xf numFmtId="43"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9" fontId="16" fillId="0" borderId="0" applyFont="0" applyFill="0" applyBorder="0" applyAlignment="0" applyProtection="0"/>
    <xf numFmtId="43"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43" fontId="16" fillId="0" borderId="0" applyFont="0" applyFill="0" applyBorder="0" applyAlignment="0" applyProtection="0"/>
    <xf numFmtId="9" fontId="16" fillId="0" borderId="0" applyFont="0" applyFill="0" applyBorder="0" applyAlignment="0" applyProtection="0"/>
    <xf numFmtId="43"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9" fontId="16" fillId="0" borderId="0" applyFont="0" applyFill="0" applyBorder="0" applyAlignment="0" applyProtection="0"/>
    <xf numFmtId="43"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9" fontId="24" fillId="0" borderId="0" applyFont="0" applyFill="0" applyBorder="0" applyAlignment="0" applyProtection="0"/>
    <xf numFmtId="0" fontId="24" fillId="0" borderId="0"/>
    <xf numFmtId="0" fontId="15" fillId="0" borderId="0"/>
    <xf numFmtId="43" fontId="15" fillId="0" borderId="0" applyFont="0" applyFill="0" applyBorder="0" applyAlignment="0" applyProtection="0"/>
    <xf numFmtId="9" fontId="15" fillId="0" borderId="0" applyFont="0" applyFill="0" applyBorder="0" applyAlignment="0" applyProtection="0"/>
    <xf numFmtId="43" fontId="15" fillId="0" borderId="0" applyFont="0" applyFill="0" applyBorder="0" applyAlignment="0" applyProtection="0"/>
    <xf numFmtId="0" fontId="95" fillId="0" borderId="0"/>
    <xf numFmtId="0" fontId="24" fillId="0" borderId="0"/>
    <xf numFmtId="0" fontId="15" fillId="0" borderId="0"/>
    <xf numFmtId="0" fontId="15" fillId="0" borderId="0"/>
    <xf numFmtId="9" fontId="15" fillId="0" borderId="0" applyFont="0" applyFill="0" applyBorder="0" applyAlignment="0" applyProtection="0"/>
    <xf numFmtId="0" fontId="15" fillId="0" borderId="0"/>
    <xf numFmtId="9" fontId="9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43" fontId="15" fillId="0" borderId="0" applyFont="0" applyFill="0" applyBorder="0" applyAlignment="0" applyProtection="0"/>
    <xf numFmtId="9"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43" fontId="15" fillId="0" borderId="0" applyFont="0" applyFill="0" applyBorder="0" applyAlignment="0" applyProtection="0"/>
    <xf numFmtId="9"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43" fontId="15" fillId="0" borderId="0" applyFont="0" applyFill="0" applyBorder="0" applyAlignment="0" applyProtection="0"/>
    <xf numFmtId="9"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43" fontId="15" fillId="0" borderId="0" applyFont="0" applyFill="0" applyBorder="0" applyAlignment="0" applyProtection="0"/>
    <xf numFmtId="9"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43" fontId="15" fillId="0" borderId="0" applyFont="0" applyFill="0" applyBorder="0" applyAlignment="0" applyProtection="0"/>
    <xf numFmtId="9"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43" fontId="15" fillId="0" borderId="0" applyFont="0" applyFill="0" applyBorder="0" applyAlignment="0" applyProtection="0"/>
    <xf numFmtId="9"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24" fillId="0" borderId="0"/>
    <xf numFmtId="0" fontId="24" fillId="0" borderId="0"/>
    <xf numFmtId="9" fontId="24" fillId="0" borderId="0" applyFont="0" applyFill="0" applyBorder="0" applyAlignment="0" applyProtection="0"/>
    <xf numFmtId="0" fontId="24" fillId="0" borderId="0"/>
    <xf numFmtId="9" fontId="24" fillId="0" borderId="0" applyFont="0" applyFill="0" applyBorder="0" applyAlignment="0" applyProtection="0"/>
    <xf numFmtId="0" fontId="14" fillId="0" borderId="0"/>
    <xf numFmtId="0" fontId="13" fillId="0" borderId="0"/>
    <xf numFmtId="0" fontId="12" fillId="0" borderId="0"/>
    <xf numFmtId="43" fontId="12" fillId="0" borderId="0" applyFont="0" applyFill="0" applyBorder="0" applyAlignment="0" applyProtection="0"/>
    <xf numFmtId="9" fontId="12" fillId="0" borderId="0" applyFont="0" applyFill="0" applyBorder="0" applyAlignment="0" applyProtection="0"/>
    <xf numFmtId="43" fontId="12" fillId="0" borderId="0" applyFont="0" applyFill="0" applyBorder="0" applyAlignment="0" applyProtection="0"/>
    <xf numFmtId="0" fontId="109" fillId="0" borderId="0"/>
    <xf numFmtId="0" fontId="24" fillId="0" borderId="0"/>
    <xf numFmtId="0" fontId="12" fillId="0" borderId="0"/>
    <xf numFmtId="0" fontId="12" fillId="0" borderId="0"/>
    <xf numFmtId="9" fontId="12" fillId="0" borderId="0" applyFont="0" applyFill="0" applyBorder="0" applyAlignment="0" applyProtection="0"/>
    <xf numFmtId="0" fontId="12" fillId="0" borderId="0"/>
    <xf numFmtId="9" fontId="24"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43" fontId="12" fillId="0" borderId="0" applyFont="0" applyFill="0" applyBorder="0" applyAlignment="0" applyProtection="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43" fontId="12" fillId="0" borderId="0" applyFont="0" applyFill="0" applyBorder="0" applyAlignment="0" applyProtection="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43" fontId="12" fillId="0" borderId="0" applyFont="0" applyFill="0" applyBorder="0" applyAlignment="0" applyProtection="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43" fontId="12" fillId="0" borderId="0" applyFont="0" applyFill="0" applyBorder="0" applyAlignment="0" applyProtection="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43" fontId="12" fillId="0" borderId="0" applyFont="0" applyFill="0" applyBorder="0" applyAlignment="0" applyProtection="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43" fontId="12" fillId="0" borderId="0" applyFont="0" applyFill="0" applyBorder="0" applyAlignment="0" applyProtection="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43" fontId="12" fillId="0" borderId="0" applyFont="0" applyFill="0" applyBorder="0" applyAlignment="0" applyProtection="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43" fontId="12" fillId="0" borderId="0" applyFont="0" applyFill="0" applyBorder="0" applyAlignment="0" applyProtection="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43" fontId="12" fillId="0" borderId="0" applyFont="0" applyFill="0" applyBorder="0" applyAlignment="0" applyProtection="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43" fontId="12" fillId="0" borderId="0" applyFont="0" applyFill="0" applyBorder="0" applyAlignment="0" applyProtection="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43" fontId="12" fillId="0" borderId="0" applyFont="0" applyFill="0" applyBorder="0" applyAlignment="0" applyProtection="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43" fontId="12" fillId="0" borderId="0" applyFont="0" applyFill="0" applyBorder="0" applyAlignment="0" applyProtection="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43" fontId="12" fillId="0" borderId="0" applyFont="0" applyFill="0" applyBorder="0" applyAlignment="0" applyProtection="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0" fontId="11" fillId="0" borderId="0"/>
    <xf numFmtId="43" fontId="11" fillId="0" borderId="0" applyFont="0" applyFill="0" applyBorder="0" applyAlignment="0" applyProtection="0"/>
    <xf numFmtId="9" fontId="11" fillId="0" borderId="0" applyFont="0" applyFill="0" applyBorder="0" applyAlignment="0" applyProtection="0"/>
    <xf numFmtId="43" fontId="11"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24" fillId="0" borderId="0"/>
    <xf numFmtId="0" fontId="24" fillId="0" borderId="0"/>
    <xf numFmtId="0" fontId="10" fillId="0" borderId="0"/>
    <xf numFmtId="0" fontId="10" fillId="0" borderId="0"/>
    <xf numFmtId="9" fontId="10" fillId="0" borderId="0" applyFont="0" applyFill="0" applyBorder="0" applyAlignment="0" applyProtection="0"/>
    <xf numFmtId="0" fontId="10" fillId="0" borderId="0"/>
    <xf numFmtId="9" fontId="24" fillId="0" borderId="0" applyFont="0" applyFill="0" applyBorder="0" applyAlignment="0" applyProtection="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24" fillId="0" borderId="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43"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0" fontId="10" fillId="0" borderId="0"/>
    <xf numFmtId="43"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24" fillId="0" borderId="0"/>
    <xf numFmtId="0" fontId="24" fillId="0" borderId="0"/>
    <xf numFmtId="0" fontId="9" fillId="0" borderId="0"/>
    <xf numFmtId="0" fontId="9" fillId="0" borderId="0"/>
    <xf numFmtId="9" fontId="9" fillId="0" borderId="0" applyFont="0" applyFill="0" applyBorder="0" applyAlignment="0" applyProtection="0"/>
    <xf numFmtId="0" fontId="9" fillId="0" borderId="0"/>
    <xf numFmtId="9" fontId="24" fillId="0" borderId="0" applyFont="0" applyFill="0" applyBorder="0" applyAlignment="0" applyProtection="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0" fontId="9" fillId="0" borderId="0"/>
    <xf numFmtId="43"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24" fillId="0" borderId="0"/>
    <xf numFmtId="0" fontId="24" fillId="0" borderId="0"/>
    <xf numFmtId="0" fontId="8" fillId="0" borderId="0"/>
    <xf numFmtId="0" fontId="8" fillId="0" borderId="0"/>
    <xf numFmtId="9" fontId="8" fillId="0" borderId="0" applyFont="0" applyFill="0" applyBorder="0" applyAlignment="0" applyProtection="0"/>
    <xf numFmtId="0" fontId="8" fillId="0" borderId="0"/>
    <xf numFmtId="9" fontId="24" fillId="0" borderId="0" applyFont="0" applyFill="0" applyBorder="0" applyAlignment="0" applyProtection="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24"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24" fillId="0" borderId="0"/>
    <xf numFmtId="0" fontId="24" fillId="0" borderId="0"/>
    <xf numFmtId="0" fontId="7" fillId="0" borderId="0"/>
    <xf numFmtId="0" fontId="7" fillId="0" borderId="0"/>
    <xf numFmtId="9" fontId="7" fillId="0" borderId="0" applyFont="0" applyFill="0" applyBorder="0" applyAlignment="0" applyProtection="0"/>
    <xf numFmtId="0" fontId="7" fillId="0" borderId="0"/>
    <xf numFmtId="9" fontId="24" fillId="0" borderId="0" applyFont="0" applyFill="0" applyBorder="0" applyAlignment="0" applyProtection="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0" fontId="24"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109" fillId="0" borderId="0"/>
    <xf numFmtId="0" fontId="24" fillId="0" borderId="0"/>
    <xf numFmtId="0" fontId="6" fillId="0" borderId="0"/>
    <xf numFmtId="0" fontId="6" fillId="0" borderId="0"/>
    <xf numFmtId="9" fontId="6" fillId="0" borderId="0" applyFont="0" applyFill="0" applyBorder="0" applyAlignment="0" applyProtection="0"/>
    <xf numFmtId="0" fontId="6" fillId="0" borderId="0"/>
    <xf numFmtId="9" fontId="24"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113" fillId="0" borderId="0"/>
    <xf numFmtId="0" fontId="24"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24"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 fillId="0" borderId="0"/>
    <xf numFmtId="0"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24" fillId="0" borderId="0"/>
    <xf numFmtId="0" fontId="119" fillId="0" borderId="0"/>
    <xf numFmtId="9" fontId="120" fillId="0" borderId="0" applyFont="0" applyFill="0" applyBorder="0" applyAlignment="0" applyProtection="0"/>
    <xf numFmtId="0" fontId="2" fillId="0" borderId="0"/>
    <xf numFmtId="0" fontId="1" fillId="0" borderId="0"/>
    <xf numFmtId="44" fontId="137" fillId="0" borderId="0" applyFont="0" applyFill="0" applyBorder="0" applyAlignment="0" applyProtection="0"/>
    <xf numFmtId="43" fontId="203" fillId="0" borderId="0" applyFont="0" applyFill="0" applyBorder="0" applyAlignment="0" applyProtection="0"/>
  </cellStyleXfs>
  <cellXfs count="2782">
    <xf numFmtId="0" fontId="0" fillId="0" borderId="0" xfId="0"/>
    <xf numFmtId="0" fontId="25" fillId="0" borderId="0" xfId="1" applyFont="1"/>
    <xf numFmtId="0" fontId="26" fillId="0" borderId="0" xfId="1" applyFont="1"/>
    <xf numFmtId="0" fontId="0" fillId="0" borderId="0" xfId="1" applyFont="1" applyAlignment="1">
      <alignment horizontal="center"/>
    </xf>
    <xf numFmtId="0" fontId="0" fillId="0" borderId="0" xfId="1" applyFont="1" applyFill="1"/>
    <xf numFmtId="4" fontId="0" fillId="0" borderId="0" xfId="1" applyNumberFormat="1" applyFont="1"/>
    <xf numFmtId="0" fontId="24" fillId="0" borderId="0" xfId="1" applyNumberFormat="1" applyFont="1" applyBorder="1"/>
    <xf numFmtId="0" fontId="24" fillId="0" borderId="0" xfId="1" applyFont="1" applyBorder="1"/>
    <xf numFmtId="165" fontId="24" fillId="0" borderId="0" xfId="1" applyNumberFormat="1" applyFont="1" applyBorder="1"/>
    <xf numFmtId="166" fontId="25" fillId="0" borderId="0" xfId="1" applyNumberFormat="1" applyFont="1" applyBorder="1" applyAlignment="1">
      <alignment horizontal="right"/>
    </xf>
    <xf numFmtId="165" fontId="30" fillId="0" borderId="0" xfId="1" applyNumberFormat="1" applyFont="1" applyBorder="1"/>
    <xf numFmtId="165" fontId="0" fillId="0" borderId="0" xfId="1" applyNumberFormat="1" applyFont="1" applyAlignment="1">
      <alignment horizontal="center"/>
    </xf>
    <xf numFmtId="0" fontId="28" fillId="0" borderId="0" xfId="1" applyFont="1"/>
    <xf numFmtId="0" fontId="31" fillId="0" borderId="0" xfId="1" applyFont="1"/>
    <xf numFmtId="0" fontId="24" fillId="0" borderId="0" xfId="4" applyFont="1"/>
    <xf numFmtId="0" fontId="35" fillId="0" borderId="0" xfId="1" applyFont="1"/>
    <xf numFmtId="0" fontId="29" fillId="0" borderId="0" xfId="4" applyFont="1"/>
    <xf numFmtId="0" fontId="29" fillId="0" borderId="0" xfId="4" applyFont="1" applyAlignment="1">
      <alignment horizontal="center"/>
    </xf>
    <xf numFmtId="2" fontId="29" fillId="0" borderId="0" xfId="4" applyNumberFormat="1" applyFont="1"/>
    <xf numFmtId="0" fontId="29" fillId="0" borderId="0" xfId="4" applyFont="1" applyAlignment="1">
      <alignment vertical="center"/>
    </xf>
    <xf numFmtId="0" fontId="24" fillId="0" borderId="0" xfId="0" applyFont="1"/>
    <xf numFmtId="0" fontId="24" fillId="0" borderId="0" xfId="0" applyFont="1" applyFill="1"/>
    <xf numFmtId="0" fontId="24" fillId="0" borderId="0" xfId="0" applyFont="1" applyFill="1" applyAlignment="1">
      <alignment vertical="center"/>
    </xf>
    <xf numFmtId="0" fontId="40" fillId="8" borderId="0" xfId="0" applyFont="1" applyFill="1"/>
    <xf numFmtId="168" fontId="24" fillId="8" borderId="0" xfId="3" applyNumberFormat="1" applyFont="1" applyFill="1"/>
    <xf numFmtId="0" fontId="25" fillId="8" borderId="0" xfId="0" applyFont="1" applyFill="1" applyAlignment="1">
      <alignment horizontal="center"/>
    </xf>
    <xf numFmtId="0" fontId="36" fillId="5" borderId="0" xfId="6" applyFont="1" applyFill="1" applyAlignment="1">
      <alignment horizontal="left"/>
    </xf>
    <xf numFmtId="168" fontId="25" fillId="8" borderId="0" xfId="6" applyNumberFormat="1" applyFont="1" applyFill="1" applyAlignment="1">
      <alignment horizontal="center"/>
    </xf>
    <xf numFmtId="0" fontId="39" fillId="8" borderId="0" xfId="6" applyFont="1" applyFill="1"/>
    <xf numFmtId="0" fontId="24" fillId="8" borderId="0" xfId="6" applyFont="1" applyFill="1"/>
    <xf numFmtId="168" fontId="24" fillId="8" borderId="0" xfId="0" applyNumberFormat="1" applyFont="1" applyFill="1"/>
    <xf numFmtId="0" fontId="45" fillId="5" borderId="0" xfId="6" applyFont="1" applyFill="1"/>
    <xf numFmtId="0" fontId="45" fillId="8" borderId="0" xfId="6" applyFont="1" applyFill="1"/>
    <xf numFmtId="0" fontId="47" fillId="5" borderId="0" xfId="6" applyFont="1" applyFill="1"/>
    <xf numFmtId="0" fontId="36" fillId="5" borderId="0" xfId="6" applyFont="1" applyFill="1"/>
    <xf numFmtId="0" fontId="24" fillId="8" borderId="0" xfId="0" applyFont="1" applyFill="1"/>
    <xf numFmtId="0" fontId="43" fillId="8" borderId="0" xfId="6" applyFont="1" applyFill="1"/>
    <xf numFmtId="0" fontId="53" fillId="5" borderId="0" xfId="6" applyFont="1" applyFill="1"/>
    <xf numFmtId="0" fontId="54" fillId="8" borderId="0" xfId="6" applyFont="1" applyFill="1"/>
    <xf numFmtId="168" fontId="42" fillId="5" borderId="0" xfId="3" applyNumberFormat="1" applyFont="1" applyFill="1"/>
    <xf numFmtId="168" fontId="51" fillId="10" borderId="0" xfId="3" applyNumberFormat="1" applyFont="1" applyFill="1"/>
    <xf numFmtId="17" fontId="39" fillId="8" borderId="0" xfId="6" applyNumberFormat="1" applyFont="1" applyFill="1"/>
    <xf numFmtId="0" fontId="40" fillId="8" borderId="0" xfId="6" applyFont="1" applyFill="1"/>
    <xf numFmtId="0" fontId="24" fillId="0" borderId="0" xfId="4" applyFont="1" applyAlignment="1">
      <alignment vertical="center"/>
    </xf>
    <xf numFmtId="4" fontId="24" fillId="0" borderId="0" xfId="4" applyNumberFormat="1" applyFont="1"/>
    <xf numFmtId="4" fontId="24" fillId="0" borderId="0" xfId="8" applyNumberFormat="1" applyFont="1" applyFill="1" applyBorder="1"/>
    <xf numFmtId="2" fontId="24" fillId="0" borderId="0" xfId="8" applyNumberFormat="1" applyFont="1" applyFill="1" applyBorder="1" applyAlignment="1">
      <alignment horizontal="left"/>
    </xf>
    <xf numFmtId="0" fontId="46" fillId="8" borderId="0" xfId="8" applyFont="1" applyFill="1"/>
    <xf numFmtId="0" fontId="24" fillId="0" borderId="0" xfId="0" applyFont="1" applyFill="1" applyBorder="1"/>
    <xf numFmtId="0" fontId="40" fillId="8" borderId="0" xfId="8" applyFont="1" applyFill="1"/>
    <xf numFmtId="0" fontId="39" fillId="8" borderId="0" xfId="8" applyFont="1" applyFill="1"/>
    <xf numFmtId="0" fontId="35" fillId="8" borderId="0" xfId="8" applyFont="1" applyFill="1"/>
    <xf numFmtId="0" fontId="44" fillId="8" borderId="0" xfId="8" applyFont="1" applyFill="1"/>
    <xf numFmtId="0" fontId="45" fillId="8" borderId="0" xfId="8" applyFont="1" applyFill="1"/>
    <xf numFmtId="0" fontId="52" fillId="8" borderId="0" xfId="8" applyFont="1" applyFill="1" applyBorder="1" applyAlignment="1">
      <alignment horizontal="left" wrapText="1"/>
    </xf>
    <xf numFmtId="0" fontId="36" fillId="5" borderId="0" xfId="8" applyFont="1" applyFill="1"/>
    <xf numFmtId="0" fontId="47" fillId="5" borderId="0" xfId="8" applyFont="1" applyFill="1"/>
    <xf numFmtId="0" fontId="43" fillId="8" borderId="0" xfId="8" applyFont="1" applyFill="1"/>
    <xf numFmtId="0" fontId="25" fillId="5" borderId="0" xfId="8" applyFont="1" applyFill="1"/>
    <xf numFmtId="0" fontId="24" fillId="8" borderId="0" xfId="8" applyFont="1" applyFill="1"/>
    <xf numFmtId="0" fontId="47" fillId="3" borderId="0" xfId="8" applyFont="1" applyFill="1" applyAlignment="1"/>
    <xf numFmtId="0" fontId="47" fillId="3" borderId="0" xfId="8" applyFont="1" applyFill="1" applyAlignment="1">
      <alignment horizontal="left"/>
    </xf>
    <xf numFmtId="0" fontId="55" fillId="8" borderId="0" xfId="8" applyFont="1" applyFill="1"/>
    <xf numFmtId="0" fontId="56" fillId="8" borderId="0" xfId="8" applyFont="1" applyFill="1"/>
    <xf numFmtId="0" fontId="0" fillId="0" borderId="0" xfId="0" applyAlignment="1">
      <alignment vertical="center"/>
    </xf>
    <xf numFmtId="3" fontId="33" fillId="0" borderId="15" xfId="4" applyNumberFormat="1" applyFont="1" applyBorder="1" applyAlignment="1">
      <alignment horizontal="center" vertical="center"/>
    </xf>
    <xf numFmtId="0" fontId="24" fillId="7" borderId="5" xfId="0" applyFont="1" applyFill="1" applyBorder="1" applyAlignment="1">
      <alignment horizontal="center" vertical="center"/>
    </xf>
    <xf numFmtId="0" fontId="24" fillId="7" borderId="9" xfId="0" applyFont="1" applyFill="1" applyBorder="1" applyAlignment="1">
      <alignment horizontal="center" vertical="center"/>
    </xf>
    <xf numFmtId="0" fontId="0" fillId="0" borderId="0" xfId="0" applyAlignment="1">
      <alignment horizontal="center" vertical="center"/>
    </xf>
    <xf numFmtId="2" fontId="37" fillId="4" borderId="12" xfId="4" applyNumberFormat="1" applyFont="1" applyFill="1" applyBorder="1" applyAlignment="1">
      <alignment horizontal="center" vertical="center"/>
    </xf>
    <xf numFmtId="2" fontId="37" fillId="4" borderId="16" xfId="4" applyNumberFormat="1" applyFont="1" applyFill="1" applyBorder="1" applyAlignment="1">
      <alignment horizontal="center" vertical="center"/>
    </xf>
    <xf numFmtId="0" fontId="59" fillId="0" borderId="0" xfId="0" applyFont="1" applyAlignment="1">
      <alignment vertical="center"/>
    </xf>
    <xf numFmtId="2" fontId="37" fillId="4" borderId="12" xfId="4" applyNumberFormat="1" applyFont="1" applyFill="1" applyBorder="1" applyAlignment="1">
      <alignment horizontal="center"/>
    </xf>
    <xf numFmtId="2" fontId="37" fillId="4" borderId="16" xfId="4" applyNumberFormat="1" applyFont="1" applyFill="1" applyBorder="1" applyAlignment="1">
      <alignment horizontal="center"/>
    </xf>
    <xf numFmtId="2" fontId="33" fillId="0" borderId="6" xfId="4" applyNumberFormat="1" applyFont="1" applyBorder="1" applyAlignment="1">
      <alignment horizontal="center"/>
    </xf>
    <xf numFmtId="3" fontId="33" fillId="0" borderId="9" xfId="4" applyNumberFormat="1" applyFont="1" applyBorder="1" applyAlignment="1">
      <alignment horizontal="center"/>
    </xf>
    <xf numFmtId="2" fontId="33" fillId="5" borderId="6" xfId="4" applyNumberFormat="1" applyFont="1" applyFill="1" applyBorder="1" applyAlignment="1">
      <alignment horizontal="center"/>
    </xf>
    <xf numFmtId="3" fontId="33" fillId="5" borderId="9" xfId="4" applyNumberFormat="1" applyFont="1" applyFill="1" applyBorder="1" applyAlignment="1">
      <alignment horizontal="center"/>
    </xf>
    <xf numFmtId="0" fontId="24" fillId="0" borderId="5" xfId="0" applyFont="1" applyFill="1" applyBorder="1" applyAlignment="1">
      <alignment horizontal="center" vertical="center"/>
    </xf>
    <xf numFmtId="0" fontId="24" fillId="0" borderId="16" xfId="0" applyFont="1" applyFill="1" applyBorder="1" applyAlignment="1">
      <alignment horizontal="center" vertical="center"/>
    </xf>
    <xf numFmtId="2" fontId="37" fillId="4" borderId="16" xfId="4" applyNumberFormat="1" applyFont="1" applyFill="1" applyBorder="1" applyAlignment="1">
      <alignment vertical="center"/>
    </xf>
    <xf numFmtId="0" fontId="37" fillId="0" borderId="0" xfId="0" applyFont="1" applyFill="1" applyBorder="1" applyAlignment="1">
      <alignment horizontal="right" vertical="center"/>
    </xf>
    <xf numFmtId="4" fontId="33" fillId="0" borderId="16" xfId="4" applyNumberFormat="1" applyFont="1" applyBorder="1" applyAlignment="1">
      <alignment horizontal="center" vertical="center"/>
    </xf>
    <xf numFmtId="0" fontId="59" fillId="0" borderId="0" xfId="4" applyFont="1"/>
    <xf numFmtId="0" fontId="24" fillId="0" borderId="0" xfId="4" applyFont="1" applyFill="1" applyAlignment="1">
      <alignment vertical="center"/>
    </xf>
    <xf numFmtId="0" fontId="63" fillId="0" borderId="0" xfId="0" applyFont="1"/>
    <xf numFmtId="0" fontId="64" fillId="0" borderId="0" xfId="0" applyFont="1"/>
    <xf numFmtId="0" fontId="65" fillId="0" borderId="0" xfId="0" applyFont="1"/>
    <xf numFmtId="49" fontId="63" fillId="0" borderId="0" xfId="0" applyNumberFormat="1" applyFont="1"/>
    <xf numFmtId="0" fontId="66" fillId="0" borderId="0" xfId="0" applyFont="1"/>
    <xf numFmtId="0" fontId="68" fillId="0" borderId="0" xfId="0" applyFont="1"/>
    <xf numFmtId="0" fontId="70" fillId="0" borderId="0" xfId="0" applyFont="1" applyAlignment="1">
      <alignment horizontal="left" indent="5"/>
    </xf>
    <xf numFmtId="0" fontId="72" fillId="0" borderId="0" xfId="0" applyFont="1"/>
    <xf numFmtId="0" fontId="73" fillId="0" borderId="0" xfId="0" applyFont="1" applyAlignment="1">
      <alignment horizontal="left" indent="5"/>
    </xf>
    <xf numFmtId="0" fontId="75" fillId="0" borderId="0" xfId="0" applyFont="1"/>
    <xf numFmtId="0" fontId="57" fillId="0" borderId="0" xfId="0" applyFont="1" applyAlignment="1">
      <alignment horizontal="left" indent="5"/>
    </xf>
    <xf numFmtId="0" fontId="78" fillId="0" borderId="0" xfId="0" applyFont="1" applyAlignment="1">
      <alignment horizontal="left" indent="5"/>
    </xf>
    <xf numFmtId="0" fontId="81" fillId="0" borderId="0" xfId="0" applyFont="1" applyAlignment="1">
      <alignment horizontal="left" indent="5"/>
    </xf>
    <xf numFmtId="166" fontId="24" fillId="0" borderId="0" xfId="1" applyNumberFormat="1" applyFont="1" applyBorder="1" applyAlignment="1">
      <alignment horizontal="right"/>
    </xf>
    <xf numFmtId="1" fontId="24" fillId="0" borderId="0" xfId="1" applyNumberFormat="1" applyFont="1" applyBorder="1"/>
    <xf numFmtId="1" fontId="25" fillId="0" borderId="0" xfId="1" applyNumberFormat="1" applyFont="1" applyAlignment="1">
      <alignment horizontal="left"/>
    </xf>
    <xf numFmtId="1" fontId="0" fillId="0" borderId="0" xfId="0" applyNumberFormat="1"/>
    <xf numFmtId="0" fontId="24" fillId="10" borderId="0" xfId="4" applyFont="1" applyFill="1"/>
    <xf numFmtId="4" fontId="24" fillId="10" borderId="0" xfId="4" applyNumberFormat="1" applyFont="1" applyFill="1"/>
    <xf numFmtId="0" fontId="33" fillId="10" borderId="0" xfId="4" applyFont="1" applyFill="1"/>
    <xf numFmtId="0" fontId="59" fillId="10" borderId="0" xfId="4" applyFont="1" applyFill="1"/>
    <xf numFmtId="0" fontId="0" fillId="10" borderId="0" xfId="0" applyFill="1"/>
    <xf numFmtId="0" fontId="0" fillId="10" borderId="0" xfId="0" applyFill="1" applyBorder="1"/>
    <xf numFmtId="0" fontId="29" fillId="10" borderId="0" xfId="4" applyFont="1" applyFill="1" applyAlignment="1">
      <alignment vertical="center"/>
    </xf>
    <xf numFmtId="0" fontId="24" fillId="10" borderId="0" xfId="4" applyFont="1" applyFill="1" applyAlignment="1">
      <alignment vertical="center"/>
    </xf>
    <xf numFmtId="0" fontId="29" fillId="10" borderId="0" xfId="4" applyFont="1" applyFill="1"/>
    <xf numFmtId="0" fontId="29" fillId="10" borderId="0" xfId="4" applyFont="1" applyFill="1" applyAlignment="1">
      <alignment horizontal="center"/>
    </xf>
    <xf numFmtId="2" fontId="29" fillId="10" borderId="0" xfId="4" applyNumberFormat="1" applyFont="1" applyFill="1"/>
    <xf numFmtId="0" fontId="0" fillId="10" borderId="0" xfId="0" applyFill="1" applyAlignment="1">
      <alignment horizontal="center" vertical="center"/>
    </xf>
    <xf numFmtId="0" fontId="59" fillId="10" borderId="0" xfId="0" applyFont="1" applyFill="1" applyAlignment="1">
      <alignment vertical="center"/>
    </xf>
    <xf numFmtId="0" fontId="0" fillId="10" borderId="0" xfId="0" applyFill="1" applyAlignment="1">
      <alignment vertical="center"/>
    </xf>
    <xf numFmtId="0" fontId="33" fillId="10" borderId="0" xfId="0" applyFont="1" applyFill="1" applyAlignment="1">
      <alignment vertical="center"/>
    </xf>
    <xf numFmtId="0" fontId="24" fillId="10" borderId="0" xfId="0" applyFont="1" applyFill="1" applyBorder="1" applyAlignment="1">
      <alignment horizontal="center" vertical="center"/>
    </xf>
    <xf numFmtId="2" fontId="33" fillId="10" borderId="0" xfId="4" applyNumberFormat="1" applyFont="1" applyFill="1" applyBorder="1" applyAlignment="1">
      <alignment horizontal="center"/>
    </xf>
    <xf numFmtId="3" fontId="33" fillId="10" borderId="0" xfId="4" applyNumberFormat="1" applyFont="1" applyFill="1" applyBorder="1" applyAlignment="1">
      <alignment horizontal="center"/>
    </xf>
    <xf numFmtId="2" fontId="33" fillId="10" borderId="0" xfId="4" applyNumberFormat="1" applyFont="1" applyFill="1" applyBorder="1" applyAlignment="1"/>
    <xf numFmtId="0" fontId="59" fillId="10" borderId="0" xfId="4" applyFont="1" applyFill="1" applyBorder="1"/>
    <xf numFmtId="0" fontId="24" fillId="10" borderId="7" xfId="0" applyFont="1" applyFill="1" applyBorder="1"/>
    <xf numFmtId="4" fontId="24" fillId="10" borderId="7" xfId="0" applyNumberFormat="1" applyFont="1" applyFill="1" applyBorder="1"/>
    <xf numFmtId="0" fontId="24" fillId="10" borderId="0" xfId="0" applyFont="1" applyFill="1" applyAlignment="1">
      <alignment horizontal="center"/>
    </xf>
    <xf numFmtId="4" fontId="24" fillId="10" borderId="0" xfId="0" applyNumberFormat="1" applyFont="1" applyFill="1"/>
    <xf numFmtId="0" fontId="24" fillId="10" borderId="0" xfId="0" applyFont="1" applyFill="1" applyAlignment="1">
      <alignment vertical="center"/>
    </xf>
    <xf numFmtId="0" fontId="0" fillId="0" borderId="0" xfId="0" applyAlignment="1">
      <alignment horizontal="center"/>
    </xf>
    <xf numFmtId="0" fontId="0" fillId="10" borderId="0" xfId="0" applyFill="1" applyAlignment="1">
      <alignment horizontal="center"/>
    </xf>
    <xf numFmtId="0" fontId="84" fillId="10" borderId="0" xfId="4" applyFont="1" applyFill="1"/>
    <xf numFmtId="2" fontId="33" fillId="10" borderId="23" xfId="4" applyNumberFormat="1" applyFont="1" applyFill="1" applyBorder="1" applyAlignment="1"/>
    <xf numFmtId="0" fontId="0" fillId="10" borderId="25" xfId="0" applyFill="1" applyBorder="1"/>
    <xf numFmtId="0" fontId="0" fillId="10" borderId="23" xfId="0" applyFill="1" applyBorder="1"/>
    <xf numFmtId="0" fontId="37" fillId="0" borderId="29" xfId="0" applyFont="1" applyFill="1" applyBorder="1" applyAlignment="1">
      <alignment horizontal="right" vertical="center"/>
    </xf>
    <xf numFmtId="0" fontId="0" fillId="10" borderId="31" xfId="0" applyFill="1" applyBorder="1"/>
    <xf numFmtId="0" fontId="0" fillId="10" borderId="26" xfId="0" applyFill="1" applyBorder="1"/>
    <xf numFmtId="0" fontId="0" fillId="10" borderId="17" xfId="0" applyFill="1" applyBorder="1"/>
    <xf numFmtId="0" fontId="0" fillId="10" borderId="19" xfId="0" applyFill="1" applyBorder="1"/>
    <xf numFmtId="0" fontId="24" fillId="0" borderId="0" xfId="0" applyFont="1" applyBorder="1"/>
    <xf numFmtId="0" fontId="39" fillId="0" borderId="0" xfId="6" applyFont="1" applyFill="1"/>
    <xf numFmtId="168" fontId="24" fillId="0" borderId="0" xfId="3" applyNumberFormat="1" applyFont="1" applyFill="1"/>
    <xf numFmtId="0" fontId="35" fillId="0" borderId="0" xfId="6" applyFont="1" applyFill="1" applyBorder="1"/>
    <xf numFmtId="0" fontId="24" fillId="0" borderId="0" xfId="0" applyFont="1" applyBorder="1" applyAlignment="1">
      <alignment horizontal="left"/>
    </xf>
    <xf numFmtId="2" fontId="24" fillId="0" borderId="0" xfId="0" applyNumberFormat="1" applyFont="1" applyBorder="1"/>
    <xf numFmtId="4" fontId="24" fillId="0" borderId="0" xfId="0" applyNumberFormat="1" applyFont="1"/>
    <xf numFmtId="4" fontId="63" fillId="10" borderId="0" xfId="8" applyNumberFormat="1" applyFont="1" applyFill="1" applyBorder="1"/>
    <xf numFmtId="0" fontId="24" fillId="10" borderId="0" xfId="0" applyFont="1" applyFill="1" applyBorder="1" applyAlignment="1">
      <alignment horizontal="left"/>
    </xf>
    <xf numFmtId="2" fontId="24" fillId="10" borderId="0" xfId="0" applyNumberFormat="1" applyFont="1" applyFill="1" applyBorder="1"/>
    <xf numFmtId="0" fontId="24" fillId="10" borderId="0" xfId="6" applyFont="1" applyFill="1" applyBorder="1" applyAlignment="1">
      <alignment horizontal="left"/>
    </xf>
    <xf numFmtId="2" fontId="24" fillId="10" borderId="0" xfId="6" applyNumberFormat="1" applyFont="1" applyFill="1" applyBorder="1"/>
    <xf numFmtId="0" fontId="78" fillId="10" borderId="0" xfId="6" applyFont="1" applyFill="1" applyBorder="1" applyAlignment="1">
      <alignment horizontal="left"/>
    </xf>
    <xf numFmtId="0" fontId="78" fillId="10" borderId="0" xfId="6" applyFont="1" applyFill="1"/>
    <xf numFmtId="0" fontId="78" fillId="10" borderId="0" xfId="0" applyFont="1" applyFill="1" applyBorder="1" applyAlignment="1">
      <alignment horizontal="left"/>
    </xf>
    <xf numFmtId="4" fontId="90" fillId="10" borderId="0" xfId="8" applyNumberFormat="1" applyFont="1" applyFill="1" applyBorder="1"/>
    <xf numFmtId="4" fontId="91" fillId="10" borderId="0" xfId="8" applyNumberFormat="1" applyFont="1" applyFill="1" applyBorder="1"/>
    <xf numFmtId="169" fontId="24" fillId="0" borderId="0" xfId="0" applyNumberFormat="1" applyFont="1" applyBorder="1" applyAlignment="1">
      <alignment horizontal="left"/>
    </xf>
    <xf numFmtId="169" fontId="24" fillId="8" borderId="0" xfId="3" applyNumberFormat="1" applyFont="1" applyFill="1" applyAlignment="1">
      <alignment horizontal="left"/>
    </xf>
    <xf numFmtId="169" fontId="25" fillId="8" borderId="0" xfId="6" applyNumberFormat="1" applyFont="1" applyFill="1" applyAlignment="1">
      <alignment horizontal="left"/>
    </xf>
    <xf numFmtId="169" fontId="35" fillId="8" borderId="0" xfId="3" applyNumberFormat="1" applyFont="1" applyFill="1" applyAlignment="1">
      <alignment horizontal="left"/>
    </xf>
    <xf numFmtId="169" fontId="24" fillId="0" borderId="0" xfId="3" applyNumberFormat="1" applyFont="1" applyFill="1" applyAlignment="1">
      <alignment horizontal="left"/>
    </xf>
    <xf numFmtId="169" fontId="91" fillId="10" borderId="0" xfId="3" applyNumberFormat="1" applyFont="1" applyFill="1" applyAlignment="1">
      <alignment horizontal="left"/>
    </xf>
    <xf numFmtId="169" fontId="24" fillId="10" borderId="0" xfId="0" applyNumberFormat="1" applyFont="1" applyFill="1" applyBorder="1" applyAlignment="1">
      <alignment horizontal="left"/>
    </xf>
    <xf numFmtId="169" fontId="78" fillId="10" borderId="0" xfId="3" applyNumberFormat="1" applyFont="1" applyFill="1" applyAlignment="1">
      <alignment horizontal="left"/>
    </xf>
    <xf numFmtId="169" fontId="63" fillId="10" borderId="0" xfId="3" applyNumberFormat="1" applyFont="1" applyFill="1" applyAlignment="1">
      <alignment horizontal="left"/>
    </xf>
    <xf numFmtId="169" fontId="24" fillId="10" borderId="0" xfId="3" applyNumberFormat="1" applyFont="1" applyFill="1" applyAlignment="1">
      <alignment horizontal="left"/>
    </xf>
    <xf numFmtId="0" fontId="90" fillId="10" borderId="0" xfId="6" applyFont="1" applyFill="1" applyBorder="1" applyAlignment="1">
      <alignment horizontal="left"/>
    </xf>
    <xf numFmtId="169" fontId="90" fillId="10" borderId="0" xfId="3" applyNumberFormat="1" applyFont="1" applyFill="1" applyAlignment="1">
      <alignment horizontal="left"/>
    </xf>
    <xf numFmtId="2" fontId="90" fillId="10" borderId="0" xfId="6" applyNumberFormat="1" applyFont="1" applyFill="1" applyBorder="1"/>
    <xf numFmtId="0" fontId="24" fillId="0" borderId="0" xfId="0" applyFont="1" applyAlignment="1">
      <alignment horizontal="center"/>
    </xf>
    <xf numFmtId="4" fontId="59" fillId="19" borderId="6" xfId="4" applyNumberFormat="1" applyFont="1" applyFill="1" applyBorder="1" applyAlignment="1">
      <alignment horizontal="center" vertical="center"/>
    </xf>
    <xf numFmtId="168" fontId="57" fillId="8" borderId="0" xfId="3" applyNumberFormat="1" applyFont="1" applyFill="1"/>
    <xf numFmtId="0" fontId="24" fillId="0" borderId="0" xfId="0" applyFont="1" applyAlignment="1">
      <alignment vertical="center"/>
    </xf>
    <xf numFmtId="0" fontId="25" fillId="5" borderId="16" xfId="0" applyFont="1" applyFill="1" applyBorder="1" applyAlignment="1">
      <alignment horizontal="center" vertical="center"/>
    </xf>
    <xf numFmtId="0" fontId="25" fillId="11" borderId="0" xfId="0" applyFont="1" applyFill="1" applyBorder="1" applyAlignment="1">
      <alignment vertical="center"/>
    </xf>
    <xf numFmtId="0" fontId="25" fillId="10" borderId="0" xfId="0" applyFont="1" applyFill="1" applyBorder="1" applyAlignment="1">
      <alignment vertical="center"/>
    </xf>
    <xf numFmtId="0" fontId="24" fillId="11" borderId="16" xfId="0" applyFont="1" applyFill="1" applyBorder="1" applyAlignment="1">
      <alignment vertical="center"/>
    </xf>
    <xf numFmtId="0" fontId="24" fillId="10" borderId="16" xfId="0" applyFont="1" applyFill="1" applyBorder="1" applyAlignment="1">
      <alignment vertical="center"/>
    </xf>
    <xf numFmtId="0" fontId="24" fillId="0" borderId="24" xfId="0" applyFont="1" applyFill="1" applyBorder="1" applyAlignment="1">
      <alignment horizontal="center"/>
    </xf>
    <xf numFmtId="4" fontId="24" fillId="0" borderId="23" xfId="8" applyNumberFormat="1" applyFont="1" applyFill="1" applyBorder="1"/>
    <xf numFmtId="2" fontId="24" fillId="10" borderId="0" xfId="0" applyNumberFormat="1" applyFont="1" applyFill="1"/>
    <xf numFmtId="4" fontId="24" fillId="0" borderId="24" xfId="8" applyNumberFormat="1" applyFont="1" applyFill="1" applyBorder="1"/>
    <xf numFmtId="4" fontId="24" fillId="0" borderId="27" xfId="8" applyNumberFormat="1" applyFont="1" applyFill="1" applyBorder="1"/>
    <xf numFmtId="0" fontId="24" fillId="10" borderId="24" xfId="0" applyFont="1" applyFill="1" applyBorder="1" applyAlignment="1">
      <alignment horizontal="center"/>
    </xf>
    <xf numFmtId="4" fontId="24" fillId="10" borderId="27" xfId="8" applyNumberFormat="1" applyFont="1" applyFill="1" applyBorder="1"/>
    <xf numFmtId="0" fontId="24" fillId="0" borderId="20" xfId="0" applyFont="1" applyFill="1" applyBorder="1" applyAlignment="1">
      <alignment horizontal="center"/>
    </xf>
    <xf numFmtId="4" fontId="24" fillId="0" borderId="19" xfId="8" applyNumberFormat="1" applyFont="1" applyFill="1" applyBorder="1"/>
    <xf numFmtId="4" fontId="24" fillId="0" borderId="20" xfId="8" applyNumberFormat="1" applyFont="1" applyFill="1" applyBorder="1"/>
    <xf numFmtId="0" fontId="24" fillId="10" borderId="20" xfId="0" applyFont="1" applyFill="1" applyBorder="1" applyAlignment="1">
      <alignment horizontal="center"/>
    </xf>
    <xf numFmtId="4" fontId="24" fillId="10" borderId="20" xfId="8" applyNumberFormat="1" applyFont="1" applyFill="1" applyBorder="1"/>
    <xf numFmtId="0" fontId="24" fillId="10" borderId="7" xfId="0" applyFont="1" applyFill="1" applyBorder="1" applyAlignment="1">
      <alignment horizontal="center"/>
    </xf>
    <xf numFmtId="0" fontId="24" fillId="0" borderId="27" xfId="0" applyFont="1" applyFill="1" applyBorder="1" applyAlignment="1">
      <alignment horizontal="center"/>
    </xf>
    <xf numFmtId="0" fontId="91" fillId="10" borderId="0" xfId="6" applyFont="1" applyFill="1"/>
    <xf numFmtId="2" fontId="78" fillId="10" borderId="0" xfId="0" applyNumberFormat="1" applyFont="1" applyFill="1" applyBorder="1"/>
    <xf numFmtId="0" fontId="25" fillId="10" borderId="0" xfId="5" applyFont="1" applyFill="1" applyBorder="1" applyAlignment="1">
      <alignment vertical="center"/>
    </xf>
    <xf numFmtId="0" fontId="24" fillId="10" borderId="0" xfId="0" applyFont="1" applyFill="1" applyBorder="1"/>
    <xf numFmtId="0" fontId="24" fillId="10" borderId="0" xfId="0" applyFont="1" applyFill="1"/>
    <xf numFmtId="0" fontId="24" fillId="0" borderId="0" xfId="0" applyFont="1" applyBorder="1"/>
    <xf numFmtId="4" fontId="24" fillId="10" borderId="0" xfId="8" applyNumberFormat="1" applyFont="1" applyFill="1" applyBorder="1"/>
    <xf numFmtId="0" fontId="63" fillId="10" borderId="0" xfId="6" applyFont="1" applyFill="1"/>
    <xf numFmtId="0" fontId="59" fillId="10" borderId="0" xfId="4" applyFont="1" applyFill="1"/>
    <xf numFmtId="0" fontId="24" fillId="10" borderId="30" xfId="0" applyFont="1" applyFill="1" applyBorder="1"/>
    <xf numFmtId="4" fontId="39" fillId="0" borderId="0" xfId="8" applyNumberFormat="1" applyFont="1" applyFill="1" applyAlignment="1">
      <alignment horizontal="left"/>
    </xf>
    <xf numFmtId="168" fontId="0" fillId="8" borderId="0" xfId="0" applyNumberFormat="1" applyFill="1"/>
    <xf numFmtId="0" fontId="0" fillId="8" borderId="0" xfId="0" applyFill="1"/>
    <xf numFmtId="170" fontId="24" fillId="8" borderId="0" xfId="3" applyNumberFormat="1" applyFont="1" applyFill="1"/>
    <xf numFmtId="170" fontId="42" fillId="8" borderId="0" xfId="6" applyNumberFormat="1" applyFont="1" applyFill="1" applyAlignment="1">
      <alignment horizontal="center"/>
    </xf>
    <xf numFmtId="0" fontId="0" fillId="10" borderId="0" xfId="0" applyFont="1" applyFill="1" applyBorder="1" applyAlignment="1">
      <alignment horizontal="left"/>
    </xf>
    <xf numFmtId="0" fontId="0" fillId="10" borderId="0" xfId="0" applyFont="1" applyFill="1" applyBorder="1"/>
    <xf numFmtId="2" fontId="0" fillId="10" borderId="0" xfId="0" applyNumberFormat="1" applyFont="1" applyFill="1" applyBorder="1"/>
    <xf numFmtId="170" fontId="78" fillId="10" borderId="0" xfId="3" applyNumberFormat="1" applyFont="1" applyFill="1" applyAlignment="1">
      <alignment horizontal="center"/>
    </xf>
    <xf numFmtId="170" fontId="41" fillId="8" borderId="0" xfId="3" applyNumberFormat="1" applyFont="1" applyFill="1" applyAlignment="1">
      <alignment horizontal="center"/>
    </xf>
    <xf numFmtId="168" fontId="25" fillId="8" borderId="0" xfId="6" applyNumberFormat="1" applyFont="1" applyFill="1" applyAlignment="1">
      <alignment horizontal="center" vertical="center"/>
    </xf>
    <xf numFmtId="168" fontId="28" fillId="8" borderId="0" xfId="6" applyNumberFormat="1" applyFont="1" applyFill="1" applyAlignment="1">
      <alignment horizontal="center" vertical="center"/>
    </xf>
    <xf numFmtId="2" fontId="24" fillId="0" borderId="0" xfId="0" applyNumberFormat="1" applyFont="1" applyBorder="1" applyAlignment="1">
      <alignment horizontal="center" vertical="center"/>
    </xf>
    <xf numFmtId="168" fontId="40" fillId="8" borderId="0" xfId="3" applyNumberFormat="1" applyFont="1" applyFill="1" applyAlignment="1">
      <alignment horizontal="center" vertical="center"/>
    </xf>
    <xf numFmtId="168" fontId="24" fillId="8" borderId="0" xfId="3" applyNumberFormat="1" applyFont="1" applyFill="1" applyAlignment="1">
      <alignment horizontal="center" vertical="center"/>
    </xf>
    <xf numFmtId="168" fontId="35" fillId="8" borderId="0" xfId="3" applyNumberFormat="1" applyFont="1" applyFill="1" applyAlignment="1">
      <alignment horizontal="center" vertical="center"/>
    </xf>
    <xf numFmtId="168" fontId="39" fillId="8" borderId="0" xfId="3" applyNumberFormat="1" applyFont="1" applyFill="1" applyAlignment="1">
      <alignment horizontal="center" vertical="center"/>
    </xf>
    <xf numFmtId="168" fontId="35" fillId="8" borderId="0" xfId="8" applyNumberFormat="1" applyFont="1" applyFill="1" applyAlignment="1">
      <alignment horizontal="center" vertical="center"/>
    </xf>
    <xf numFmtId="2" fontId="24" fillId="10" borderId="0" xfId="0" applyNumberFormat="1" applyFont="1" applyFill="1" applyBorder="1" applyAlignment="1">
      <alignment horizontal="center" vertical="center"/>
    </xf>
    <xf numFmtId="0" fontId="91" fillId="10" borderId="0" xfId="6" applyFont="1" applyFill="1" applyAlignment="1">
      <alignment horizontal="center" vertical="center"/>
    </xf>
    <xf numFmtId="0" fontId="78" fillId="10" borderId="0" xfId="6" applyFont="1" applyFill="1" applyAlignment="1">
      <alignment horizontal="center" vertical="center"/>
    </xf>
    <xf numFmtId="0" fontId="24" fillId="10" borderId="0" xfId="6" applyFill="1" applyAlignment="1">
      <alignment horizontal="center" vertical="center"/>
    </xf>
    <xf numFmtId="169" fontId="63" fillId="10" borderId="0" xfId="3" applyNumberFormat="1" applyFont="1" applyFill="1" applyAlignment="1">
      <alignment horizontal="center" vertical="center"/>
    </xf>
    <xf numFmtId="0" fontId="90" fillId="10" borderId="0" xfId="6" applyFont="1" applyFill="1" applyAlignment="1">
      <alignment horizontal="center" vertical="center"/>
    </xf>
    <xf numFmtId="2" fontId="0" fillId="10" borderId="0" xfId="0" applyNumberFormat="1" applyFont="1" applyFill="1" applyBorder="1" applyAlignment="1">
      <alignment horizontal="center" vertical="center"/>
    </xf>
    <xf numFmtId="0" fontId="24" fillId="0" borderId="0" xfId="0" applyFont="1" applyBorder="1" applyAlignment="1">
      <alignment horizontal="center" vertical="center"/>
    </xf>
    <xf numFmtId="168" fontId="35" fillId="0" borderId="0" xfId="3" applyNumberFormat="1" applyFont="1" applyFill="1" applyAlignment="1">
      <alignment horizontal="center" vertical="center"/>
    </xf>
    <xf numFmtId="168" fontId="78" fillId="10" borderId="0" xfId="3" applyNumberFormat="1" applyFont="1" applyFill="1" applyAlignment="1">
      <alignment horizontal="center" vertical="center"/>
    </xf>
    <xf numFmtId="168" fontId="63" fillId="10" borderId="0" xfId="3" applyNumberFormat="1" applyFont="1" applyFill="1" applyAlignment="1">
      <alignment horizontal="center" vertical="center"/>
    </xf>
    <xf numFmtId="168" fontId="90" fillId="10" borderId="0" xfId="3" applyNumberFormat="1" applyFont="1" applyFill="1" applyAlignment="1">
      <alignment horizontal="center" vertical="center"/>
    </xf>
    <xf numFmtId="168" fontId="24" fillId="10" borderId="0" xfId="3" applyNumberFormat="1" applyFont="1" applyFill="1" applyAlignment="1">
      <alignment horizontal="center" vertical="center"/>
    </xf>
    <xf numFmtId="168" fontId="78" fillId="10" borderId="0" xfId="3" applyNumberFormat="1" applyFont="1" applyFill="1" applyBorder="1" applyAlignment="1">
      <alignment horizontal="center" vertical="center"/>
    </xf>
    <xf numFmtId="168" fontId="78" fillId="10" borderId="17" xfId="3" applyNumberFormat="1" applyFont="1" applyFill="1" applyBorder="1" applyAlignment="1">
      <alignment horizontal="center" vertical="center"/>
    </xf>
    <xf numFmtId="0" fontId="0" fillId="10" borderId="0" xfId="0" applyFont="1" applyFill="1" applyBorder="1" applyAlignment="1">
      <alignment horizontal="center" vertical="center"/>
    </xf>
    <xf numFmtId="170" fontId="24" fillId="0" borderId="0" xfId="0" applyNumberFormat="1" applyFont="1" applyBorder="1" applyAlignment="1">
      <alignment horizontal="center"/>
    </xf>
    <xf numFmtId="170" fontId="24" fillId="10" borderId="0" xfId="0" applyNumberFormat="1" applyFont="1" applyFill="1" applyBorder="1" applyAlignment="1">
      <alignment horizontal="center"/>
    </xf>
    <xf numFmtId="170" fontId="91" fillId="10" borderId="0" xfId="6" applyNumberFormat="1" applyFont="1" applyFill="1" applyAlignment="1">
      <alignment horizontal="center"/>
    </xf>
    <xf numFmtId="170" fontId="24" fillId="10" borderId="0" xfId="6" applyNumberFormat="1" applyFill="1" applyAlignment="1">
      <alignment horizontal="center"/>
    </xf>
    <xf numFmtId="170" fontId="63" fillId="10" borderId="0" xfId="3" applyNumberFormat="1" applyFont="1" applyFill="1" applyAlignment="1">
      <alignment horizontal="center"/>
    </xf>
    <xf numFmtId="170" fontId="24" fillId="10" borderId="0" xfId="3" applyNumberFormat="1" applyFont="1" applyFill="1" applyAlignment="1">
      <alignment horizontal="center"/>
    </xf>
    <xf numFmtId="170" fontId="78" fillId="10" borderId="0" xfId="6" applyNumberFormat="1" applyFont="1" applyFill="1" applyAlignment="1">
      <alignment horizontal="center"/>
    </xf>
    <xf numFmtId="170" fontId="0" fillId="10" borderId="0" xfId="0" applyNumberFormat="1" applyFont="1" applyFill="1" applyBorder="1" applyAlignment="1">
      <alignment horizontal="center"/>
    </xf>
    <xf numFmtId="169" fontId="96" fillId="10" borderId="0" xfId="3" applyNumberFormat="1" applyFont="1" applyFill="1" applyAlignment="1">
      <alignment horizontal="center" vertical="center"/>
    </xf>
    <xf numFmtId="169" fontId="96" fillId="10" borderId="0" xfId="3" applyNumberFormat="1" applyFont="1" applyFill="1" applyAlignment="1">
      <alignment horizontal="center"/>
    </xf>
    <xf numFmtId="2" fontId="78" fillId="10" borderId="24" xfId="6" applyNumberFormat="1" applyFont="1" applyFill="1" applyBorder="1"/>
    <xf numFmtId="2" fontId="78" fillId="10" borderId="20" xfId="6" applyNumberFormat="1" applyFont="1" applyFill="1" applyBorder="1"/>
    <xf numFmtId="2" fontId="78" fillId="10" borderId="27" xfId="6" applyNumberFormat="1" applyFont="1" applyFill="1" applyBorder="1"/>
    <xf numFmtId="170" fontId="78" fillId="5" borderId="0" xfId="3" applyNumberFormat="1" applyFont="1" applyFill="1" applyAlignment="1">
      <alignment horizontal="center"/>
    </xf>
    <xf numFmtId="0" fontId="34" fillId="13" borderId="1" xfId="4" applyFont="1" applyFill="1" applyBorder="1" applyAlignment="1"/>
    <xf numFmtId="0" fontId="34" fillId="13" borderId="1" xfId="4" applyFont="1" applyFill="1" applyBorder="1" applyAlignment="1">
      <alignment horizontal="center"/>
    </xf>
    <xf numFmtId="4" fontId="59" fillId="0" borderId="1" xfId="4" applyNumberFormat="1" applyFont="1" applyBorder="1" applyAlignment="1">
      <alignment horizontal="center" wrapText="1"/>
    </xf>
    <xf numFmtId="4" fontId="33" fillId="0" borderId="1" xfId="4" applyNumberFormat="1" applyFont="1" applyBorder="1" applyAlignment="1">
      <alignment horizontal="center"/>
    </xf>
    <xf numFmtId="0" fontId="34" fillId="2" borderId="1" xfId="4" applyFont="1" applyFill="1" applyBorder="1" applyAlignment="1">
      <alignment horizontal="center"/>
    </xf>
    <xf numFmtId="170" fontId="24" fillId="10" borderId="0" xfId="0" applyNumberFormat="1" applyFont="1" applyFill="1" applyBorder="1" applyAlignment="1">
      <alignment horizontal="right"/>
    </xf>
    <xf numFmtId="4" fontId="34" fillId="13" borderId="1" xfId="4" applyNumberFormat="1" applyFont="1" applyFill="1" applyBorder="1" applyAlignment="1">
      <alignment horizontal="center" vertical="center" wrapText="1"/>
    </xf>
    <xf numFmtId="4" fontId="59" fillId="0" borderId="1" xfId="4" applyNumberFormat="1" applyFont="1" applyBorder="1" applyAlignment="1">
      <alignment horizontal="center"/>
    </xf>
    <xf numFmtId="4" fontId="33" fillId="10" borderId="0" xfId="4" applyNumberFormat="1" applyFont="1" applyFill="1" applyBorder="1" applyAlignment="1">
      <alignment horizontal="center"/>
    </xf>
    <xf numFmtId="0" fontId="33" fillId="0" borderId="1" xfId="4" applyFont="1" applyBorder="1" applyAlignment="1">
      <alignment horizontal="center"/>
    </xf>
    <xf numFmtId="0" fontId="34" fillId="2" borderId="1" xfId="4" applyFont="1" applyFill="1" applyBorder="1" applyAlignment="1">
      <alignment horizontal="left"/>
    </xf>
    <xf numFmtId="4" fontId="34" fillId="13" borderId="1" xfId="4" applyNumberFormat="1" applyFont="1" applyFill="1" applyBorder="1" applyAlignment="1">
      <alignment horizontal="center"/>
    </xf>
    <xf numFmtId="0" fontId="34" fillId="10" borderId="0" xfId="4" applyFont="1" applyFill="1" applyBorder="1" applyAlignment="1">
      <alignment horizontal="center"/>
    </xf>
    <xf numFmtId="0" fontId="59" fillId="0" borderId="1" xfId="4" applyFont="1" applyBorder="1" applyAlignment="1">
      <alignment horizontal="center" wrapText="1"/>
    </xf>
    <xf numFmtId="0" fontId="59" fillId="0" borderId="1" xfId="4" applyFont="1" applyBorder="1" applyAlignment="1">
      <alignment horizontal="center"/>
    </xf>
    <xf numFmtId="0" fontId="34" fillId="13" borderId="1" xfId="4" applyFont="1" applyFill="1" applyBorder="1" applyAlignment="1">
      <alignment horizontal="center" vertical="center" wrapText="1"/>
    </xf>
    <xf numFmtId="0" fontId="25" fillId="10" borderId="0" xfId="4" applyFont="1" applyFill="1" applyBorder="1" applyAlignment="1">
      <alignment horizontal="center" wrapText="1"/>
    </xf>
    <xf numFmtId="0" fontId="25" fillId="2" borderId="1" xfId="4" applyFont="1" applyFill="1" applyBorder="1" applyAlignment="1">
      <alignment horizontal="center" wrapText="1"/>
    </xf>
    <xf numFmtId="0" fontId="24" fillId="0" borderId="0" xfId="0" applyFont="1" applyBorder="1" applyAlignment="1">
      <alignment vertical="center"/>
    </xf>
    <xf numFmtId="171" fontId="59" fillId="29" borderId="1" xfId="4" applyNumberFormat="1" applyFont="1" applyFill="1" applyBorder="1" applyAlignment="1">
      <alignment horizontal="center" wrapText="1"/>
    </xf>
    <xf numFmtId="171" fontId="59" fillId="29" borderId="1" xfId="4" applyNumberFormat="1" applyFont="1" applyFill="1" applyBorder="1" applyAlignment="1">
      <alignment horizontal="center"/>
    </xf>
    <xf numFmtId="171" fontId="59" fillId="26" borderId="1" xfId="4" applyNumberFormat="1" applyFont="1" applyFill="1" applyBorder="1" applyAlignment="1">
      <alignment horizontal="center" wrapText="1"/>
    </xf>
    <xf numFmtId="171" fontId="59" fillId="26" borderId="1" xfId="4" applyNumberFormat="1" applyFont="1" applyFill="1" applyBorder="1" applyAlignment="1">
      <alignment horizontal="center"/>
    </xf>
    <xf numFmtId="0" fontId="100" fillId="10" borderId="0" xfId="4" applyFont="1" applyFill="1" applyAlignment="1">
      <alignment vertical="center"/>
    </xf>
    <xf numFmtId="0" fontId="100" fillId="10" borderId="0" xfId="4" applyFont="1" applyFill="1" applyAlignment="1">
      <alignment horizontal="center" vertical="center"/>
    </xf>
    <xf numFmtId="0" fontId="101" fillId="10" borderId="0" xfId="4" applyFont="1" applyFill="1" applyAlignment="1">
      <alignment vertical="center"/>
    </xf>
    <xf numFmtId="0" fontId="101" fillId="5" borderId="12" xfId="1" applyFont="1" applyFill="1" applyBorder="1" applyAlignment="1">
      <alignment vertical="center"/>
    </xf>
    <xf numFmtId="0" fontId="101" fillId="5" borderId="14" xfId="1" applyFont="1" applyFill="1" applyBorder="1" applyAlignment="1">
      <alignment vertical="center"/>
    </xf>
    <xf numFmtId="0" fontId="101" fillId="5" borderId="13" xfId="1" applyFont="1" applyFill="1" applyBorder="1" applyAlignment="1">
      <alignment vertical="center"/>
    </xf>
    <xf numFmtId="0" fontId="101" fillId="10" borderId="0" xfId="1" applyFont="1" applyFill="1" applyBorder="1" applyAlignment="1">
      <alignment vertical="center"/>
    </xf>
    <xf numFmtId="0" fontId="101" fillId="5" borderId="12" xfId="4" applyFont="1" applyFill="1" applyBorder="1" applyAlignment="1">
      <alignment vertical="center"/>
    </xf>
    <xf numFmtId="0" fontId="101" fillId="5" borderId="14" xfId="4" applyFont="1" applyFill="1" applyBorder="1" applyAlignment="1">
      <alignment vertical="center"/>
    </xf>
    <xf numFmtId="0" fontId="101" fillId="5" borderId="13" xfId="4" applyFont="1" applyFill="1" applyBorder="1" applyAlignment="1">
      <alignment vertical="center"/>
    </xf>
    <xf numFmtId="0" fontId="100" fillId="5" borderId="13" xfId="4" applyFont="1" applyFill="1" applyBorder="1" applyAlignment="1">
      <alignment vertical="center"/>
    </xf>
    <xf numFmtId="0" fontId="101" fillId="10" borderId="0" xfId="4" applyFont="1" applyFill="1" applyBorder="1" applyAlignment="1">
      <alignment vertical="center"/>
    </xf>
    <xf numFmtId="0" fontId="101" fillId="10" borderId="7" xfId="4" applyFont="1" applyFill="1" applyBorder="1" applyAlignment="1">
      <alignment horizontal="right" vertical="center"/>
    </xf>
    <xf numFmtId="0" fontId="101" fillId="10" borderId="7" xfId="4" applyFont="1" applyFill="1" applyBorder="1" applyAlignment="1">
      <alignment horizontal="left" vertical="center"/>
    </xf>
    <xf numFmtId="2" fontId="101" fillId="5" borderId="12" xfId="4" applyNumberFormat="1" applyFont="1" applyFill="1" applyBorder="1" applyAlignment="1">
      <alignment horizontal="center" vertical="center"/>
    </xf>
    <xf numFmtId="2" fontId="101" fillId="5" borderId="16" xfId="4" applyNumberFormat="1" applyFont="1" applyFill="1" applyBorder="1" applyAlignment="1">
      <alignment horizontal="center" vertical="center"/>
    </xf>
    <xf numFmtId="0" fontId="100" fillId="10" borderId="0" xfId="4" applyFont="1" applyFill="1"/>
    <xf numFmtId="0" fontId="100" fillId="10" borderId="0" xfId="4" applyFont="1" applyFill="1" applyAlignment="1">
      <alignment horizontal="center"/>
    </xf>
    <xf numFmtId="2" fontId="100" fillId="10" borderId="6" xfId="4" applyNumberFormat="1" applyFont="1" applyFill="1" applyBorder="1" applyAlignment="1">
      <alignment horizontal="center" vertical="center"/>
    </xf>
    <xf numFmtId="2" fontId="100" fillId="10" borderId="9" xfId="4" applyNumberFormat="1" applyFont="1" applyFill="1" applyBorder="1" applyAlignment="1">
      <alignment horizontal="center" vertical="center"/>
    </xf>
    <xf numFmtId="0" fontId="102" fillId="27" borderId="32" xfId="0" applyFont="1" applyFill="1" applyBorder="1" applyAlignment="1">
      <alignment horizontal="center" vertical="center"/>
    </xf>
    <xf numFmtId="0" fontId="101" fillId="12" borderId="39" xfId="4" applyFont="1" applyFill="1" applyBorder="1" applyAlignment="1">
      <alignment horizontal="center" vertical="center"/>
    </xf>
    <xf numFmtId="0" fontId="101" fillId="12" borderId="46" xfId="4" applyFont="1" applyFill="1" applyBorder="1" applyAlignment="1">
      <alignment horizontal="center" vertical="center"/>
    </xf>
    <xf numFmtId="0" fontId="101" fillId="12" borderId="47" xfId="4" applyFont="1" applyFill="1" applyBorder="1" applyAlignment="1">
      <alignment horizontal="center" vertical="center"/>
    </xf>
    <xf numFmtId="0" fontId="100" fillId="7" borderId="5" xfId="0" applyFont="1" applyFill="1" applyBorder="1" applyAlignment="1">
      <alignment horizontal="center" vertical="center"/>
    </xf>
    <xf numFmtId="2" fontId="100" fillId="10" borderId="0" xfId="4" applyNumberFormat="1" applyFont="1" applyFill="1"/>
    <xf numFmtId="0" fontId="102" fillId="27" borderId="48" xfId="0" applyFont="1" applyFill="1" applyBorder="1" applyAlignment="1">
      <alignment horizontal="center" vertical="center"/>
    </xf>
    <xf numFmtId="0" fontId="101" fillId="12" borderId="40" xfId="4" applyFont="1" applyFill="1" applyBorder="1" applyAlignment="1">
      <alignment horizontal="center" vertical="center"/>
    </xf>
    <xf numFmtId="0" fontId="101" fillId="12" borderId="1" xfId="4" applyFont="1" applyFill="1" applyBorder="1" applyAlignment="1">
      <alignment horizontal="center" vertical="center"/>
    </xf>
    <xf numFmtId="0" fontId="101" fillId="12" borderId="35" xfId="4" applyFont="1" applyFill="1" applyBorder="1" applyAlignment="1">
      <alignment horizontal="center" vertical="center"/>
    </xf>
    <xf numFmtId="0" fontId="100" fillId="7" borderId="9" xfId="0" applyFont="1" applyFill="1" applyBorder="1" applyAlignment="1">
      <alignment horizontal="center" vertical="center"/>
    </xf>
    <xf numFmtId="0" fontId="100" fillId="10" borderId="0" xfId="4" applyFont="1" applyFill="1" applyAlignment="1">
      <alignment horizontal="left" vertical="center"/>
    </xf>
    <xf numFmtId="0" fontId="101" fillId="24" borderId="4" xfId="4" applyFont="1" applyFill="1" applyBorder="1" applyAlignment="1">
      <alignment horizontal="left" vertical="center"/>
    </xf>
    <xf numFmtId="0" fontId="100" fillId="10" borderId="0" xfId="4" applyFont="1" applyFill="1" applyAlignment="1">
      <alignment horizontal="left"/>
    </xf>
    <xf numFmtId="0" fontId="29" fillId="10" borderId="0" xfId="4" applyFont="1" applyFill="1" applyAlignment="1">
      <alignment horizontal="left"/>
    </xf>
    <xf numFmtId="0" fontId="29" fillId="0" borderId="0" xfId="4" applyFont="1" applyAlignment="1">
      <alignment horizontal="left"/>
    </xf>
    <xf numFmtId="4" fontId="100" fillId="23" borderId="49" xfId="8" applyNumberFormat="1" applyFont="1" applyFill="1" applyBorder="1" applyAlignment="1">
      <alignment horizontal="center" vertical="center"/>
    </xf>
    <xf numFmtId="0" fontId="100" fillId="10" borderId="0" xfId="4" applyFont="1" applyFill="1" applyBorder="1" applyAlignment="1">
      <alignment horizontal="center" vertical="center"/>
    </xf>
    <xf numFmtId="0" fontId="101" fillId="21" borderId="40" xfId="4" applyFont="1" applyFill="1" applyBorder="1" applyAlignment="1">
      <alignment horizontal="center" vertical="center"/>
    </xf>
    <xf numFmtId="0" fontId="100" fillId="10" borderId="34" xfId="4" applyFont="1" applyFill="1" applyBorder="1" applyAlignment="1">
      <alignment horizontal="center" vertical="center"/>
    </xf>
    <xf numFmtId="171" fontId="103" fillId="23" borderId="28" xfId="4" applyNumberFormat="1" applyFont="1" applyFill="1" applyBorder="1" applyAlignment="1">
      <alignment horizontal="center" vertical="center"/>
    </xf>
    <xf numFmtId="0" fontId="100" fillId="10" borderId="18" xfId="4" applyFont="1" applyFill="1" applyBorder="1" applyAlignment="1">
      <alignment horizontal="center" vertical="center"/>
    </xf>
    <xf numFmtId="0" fontId="100" fillId="21" borderId="1" xfId="4" applyFont="1" applyFill="1" applyBorder="1" applyAlignment="1">
      <alignment horizontal="center" vertical="center"/>
    </xf>
    <xf numFmtId="0" fontId="100" fillId="10" borderId="1" xfId="4" applyFont="1" applyFill="1" applyBorder="1" applyAlignment="1">
      <alignment horizontal="center" vertical="center"/>
    </xf>
    <xf numFmtId="2" fontId="100" fillId="10" borderId="1" xfId="4" applyNumberFormat="1" applyFont="1" applyFill="1" applyBorder="1" applyAlignment="1">
      <alignment horizontal="center" vertical="center"/>
    </xf>
    <xf numFmtId="2" fontId="100" fillId="23" borderId="35" xfId="4" applyNumberFormat="1" applyFont="1" applyFill="1" applyBorder="1" applyAlignment="1">
      <alignment horizontal="center" vertical="center"/>
    </xf>
    <xf numFmtId="0" fontId="100" fillId="23" borderId="1" xfId="4" applyFont="1" applyFill="1" applyBorder="1" applyAlignment="1">
      <alignment horizontal="center" vertical="center"/>
    </xf>
    <xf numFmtId="0" fontId="100" fillId="0" borderId="34" xfId="4" applyFont="1" applyFill="1" applyBorder="1" applyAlignment="1">
      <alignment horizontal="center" vertical="center"/>
    </xf>
    <xf numFmtId="0" fontId="100" fillId="5" borderId="18" xfId="4" applyFont="1" applyFill="1" applyBorder="1" applyAlignment="1">
      <alignment horizontal="center" vertical="center"/>
    </xf>
    <xf numFmtId="0" fontId="101" fillId="21" borderId="41" xfId="4" applyFont="1" applyFill="1" applyBorder="1" applyAlignment="1">
      <alignment horizontal="center" vertical="center"/>
    </xf>
    <xf numFmtId="0" fontId="100" fillId="10" borderId="37" xfId="4" applyFont="1" applyFill="1" applyBorder="1" applyAlignment="1">
      <alignment horizontal="center" vertical="center"/>
    </xf>
    <xf numFmtId="0" fontId="100" fillId="10" borderId="0" xfId="4" applyFont="1" applyFill="1" applyBorder="1" applyAlignment="1">
      <alignment vertical="center"/>
    </xf>
    <xf numFmtId="171" fontId="103" fillId="0" borderId="0" xfId="4" applyNumberFormat="1" applyFont="1" applyFill="1" applyBorder="1" applyAlignment="1">
      <alignment horizontal="center" vertical="center"/>
    </xf>
    <xf numFmtId="2" fontId="100" fillId="10" borderId="0" xfId="4" applyNumberFormat="1" applyFont="1" applyFill="1" applyBorder="1" applyAlignment="1">
      <alignment vertical="center"/>
    </xf>
    <xf numFmtId="0" fontId="101" fillId="21" borderId="39" xfId="4" applyFont="1" applyFill="1" applyBorder="1" applyAlignment="1">
      <alignment horizontal="center" vertical="center"/>
    </xf>
    <xf numFmtId="0" fontId="100" fillId="10" borderId="42" xfId="4" applyFont="1" applyFill="1" applyBorder="1" applyAlignment="1">
      <alignment horizontal="center" vertical="center"/>
    </xf>
    <xf numFmtId="171" fontId="103" fillId="23" borderId="43" xfId="4" applyNumberFormat="1" applyFont="1" applyFill="1" applyBorder="1" applyAlignment="1">
      <alignment horizontal="center" vertical="center"/>
    </xf>
    <xf numFmtId="0" fontId="100" fillId="10" borderId="44" xfId="4" applyFont="1" applyFill="1" applyBorder="1" applyAlignment="1">
      <alignment horizontal="center" vertical="center"/>
    </xf>
    <xf numFmtId="0" fontId="100" fillId="21" borderId="46" xfId="4" applyFont="1" applyFill="1" applyBorder="1" applyAlignment="1">
      <alignment horizontal="center" vertical="center"/>
    </xf>
    <xf numFmtId="0" fontId="100" fillId="10" borderId="46" xfId="4" applyFont="1" applyFill="1" applyBorder="1" applyAlignment="1">
      <alignment horizontal="center" vertical="center"/>
    </xf>
    <xf numFmtId="2" fontId="100" fillId="10" borderId="46" xfId="4" applyNumberFormat="1" applyFont="1" applyFill="1" applyBorder="1" applyAlignment="1">
      <alignment horizontal="center" vertical="center"/>
    </xf>
    <xf numFmtId="2" fontId="100" fillId="23" borderId="47" xfId="4" applyNumberFormat="1" applyFont="1" applyFill="1" applyBorder="1" applyAlignment="1">
      <alignment horizontal="center" vertical="center"/>
    </xf>
    <xf numFmtId="4" fontId="105" fillId="5" borderId="16" xfId="0" applyNumberFormat="1" applyFont="1" applyFill="1" applyBorder="1" applyAlignment="1">
      <alignment horizontal="center" vertical="center"/>
    </xf>
    <xf numFmtId="4" fontId="105" fillId="5" borderId="5" xfId="0" applyNumberFormat="1" applyFont="1" applyFill="1" applyBorder="1" applyAlignment="1">
      <alignment horizontal="center" vertical="center"/>
    </xf>
    <xf numFmtId="4" fontId="105" fillId="10" borderId="16" xfId="0" applyNumberFormat="1" applyFont="1" applyFill="1" applyBorder="1" applyAlignment="1">
      <alignment horizontal="center" vertical="center"/>
    </xf>
    <xf numFmtId="4" fontId="24" fillId="10" borderId="24" xfId="8" applyNumberFormat="1" applyFont="1" applyFill="1" applyBorder="1"/>
    <xf numFmtId="2" fontId="78" fillId="10" borderId="0" xfId="6" applyNumberFormat="1" applyFont="1" applyFill="1" applyBorder="1"/>
    <xf numFmtId="0" fontId="78" fillId="10" borderId="0" xfId="0" applyFont="1" applyFill="1" applyBorder="1"/>
    <xf numFmtId="169" fontId="78" fillId="10" borderId="0" xfId="0" applyNumberFormat="1" applyFont="1" applyFill="1" applyBorder="1" applyAlignment="1">
      <alignment horizontal="left"/>
    </xf>
    <xf numFmtId="0" fontId="78" fillId="0" borderId="0" xfId="0" applyFont="1" applyBorder="1"/>
    <xf numFmtId="2" fontId="78" fillId="5" borderId="0" xfId="6" applyNumberFormat="1" applyFont="1" applyFill="1" applyBorder="1"/>
    <xf numFmtId="0" fontId="100" fillId="23" borderId="46" xfId="4" applyFont="1" applyFill="1" applyBorder="1" applyAlignment="1">
      <alignment horizontal="center" vertical="center"/>
    </xf>
    <xf numFmtId="0" fontId="63" fillId="10" borderId="0" xfId="0" applyFont="1" applyFill="1"/>
    <xf numFmtId="0" fontId="99" fillId="10" borderId="0" xfId="0" applyFont="1" applyFill="1" applyAlignment="1">
      <alignment vertical="center"/>
    </xf>
    <xf numFmtId="0" fontId="99" fillId="0" borderId="0" xfId="0" applyFont="1" applyAlignment="1">
      <alignment vertical="center"/>
    </xf>
    <xf numFmtId="0" fontId="25" fillId="10" borderId="0" xfId="0" applyFont="1" applyFill="1"/>
    <xf numFmtId="0" fontId="37" fillId="29" borderId="29" xfId="0" applyFont="1" applyFill="1" applyBorder="1" applyAlignment="1">
      <alignment horizontal="right" vertical="center"/>
    </xf>
    <xf numFmtId="0" fontId="24" fillId="29" borderId="30" xfId="0" applyFont="1" applyFill="1" applyBorder="1"/>
    <xf numFmtId="0" fontId="0" fillId="29" borderId="31" xfId="0" applyFill="1" applyBorder="1"/>
    <xf numFmtId="0" fontId="0" fillId="29" borderId="25" xfId="0" applyFill="1" applyBorder="1"/>
    <xf numFmtId="2" fontId="33" fillId="29" borderId="0" xfId="4" applyNumberFormat="1" applyFont="1" applyFill="1" applyBorder="1" applyAlignment="1"/>
    <xf numFmtId="2" fontId="33" fillId="29" borderId="23" xfId="4" applyNumberFormat="1" applyFont="1" applyFill="1" applyBorder="1" applyAlignment="1"/>
    <xf numFmtId="0" fontId="0" fillId="29" borderId="0" xfId="0" applyFill="1" applyBorder="1"/>
    <xf numFmtId="0" fontId="0" fillId="29" borderId="23" xfId="0" applyFill="1" applyBorder="1"/>
    <xf numFmtId="0" fontId="0" fillId="29" borderId="26" xfId="0" applyFill="1" applyBorder="1"/>
    <xf numFmtId="0" fontId="0" fillId="29" borderId="17" xfId="0" applyFill="1" applyBorder="1"/>
    <xf numFmtId="0" fontId="0" fillId="29" borderId="19" xfId="0" applyFill="1" applyBorder="1"/>
    <xf numFmtId="2" fontId="78" fillId="31" borderId="0" xfId="6" applyNumberFormat="1" applyFont="1" applyFill="1" applyBorder="1"/>
    <xf numFmtId="4" fontId="100" fillId="23" borderId="33" xfId="8" applyNumberFormat="1" applyFont="1" applyFill="1" applyBorder="1" applyAlignment="1">
      <alignment horizontal="center" vertical="center"/>
    </xf>
    <xf numFmtId="2" fontId="100" fillId="23" borderId="28" xfId="4" applyNumberFormat="1" applyFont="1" applyFill="1" applyBorder="1" applyAlignment="1">
      <alignment horizontal="center" vertical="center"/>
    </xf>
    <xf numFmtId="2" fontId="100" fillId="23" borderId="43" xfId="4" applyNumberFormat="1" applyFont="1" applyFill="1" applyBorder="1" applyAlignment="1">
      <alignment horizontal="center" vertical="center"/>
    </xf>
    <xf numFmtId="0" fontId="100" fillId="0" borderId="53" xfId="4" applyFont="1" applyFill="1" applyBorder="1" applyAlignment="1">
      <alignment horizontal="center" vertical="center"/>
    </xf>
    <xf numFmtId="171" fontId="103" fillId="23" borderId="51" xfId="4" applyNumberFormat="1" applyFont="1" applyFill="1" applyBorder="1" applyAlignment="1">
      <alignment horizontal="center" vertical="center"/>
    </xf>
    <xf numFmtId="0" fontId="100" fillId="10" borderId="36" xfId="4" applyFont="1" applyFill="1" applyBorder="1" applyAlignment="1">
      <alignment horizontal="center" vertical="center"/>
    </xf>
    <xf numFmtId="0" fontId="100" fillId="21" borderId="37" xfId="4" applyFont="1" applyFill="1" applyBorder="1" applyAlignment="1">
      <alignment horizontal="center" vertical="center"/>
    </xf>
    <xf numFmtId="2" fontId="100" fillId="10" borderId="37" xfId="4" applyNumberFormat="1" applyFont="1" applyFill="1" applyBorder="1" applyAlignment="1">
      <alignment horizontal="center" vertical="center"/>
    </xf>
    <xf numFmtId="2" fontId="100" fillId="23" borderId="38" xfId="4" applyNumberFormat="1" applyFont="1" applyFill="1" applyBorder="1" applyAlignment="1">
      <alignment horizontal="center" vertical="center"/>
    </xf>
    <xf numFmtId="0" fontId="100" fillId="23" borderId="37" xfId="4" applyFont="1" applyFill="1" applyBorder="1" applyAlignment="1">
      <alignment horizontal="center" vertical="center"/>
    </xf>
    <xf numFmtId="4" fontId="100" fillId="23" borderId="52" xfId="8" applyNumberFormat="1" applyFont="1" applyFill="1" applyBorder="1" applyAlignment="1">
      <alignment horizontal="center" vertical="center"/>
    </xf>
    <xf numFmtId="0" fontId="100" fillId="10" borderId="2" xfId="4" applyFont="1" applyFill="1" applyBorder="1" applyAlignment="1">
      <alignment vertical="center"/>
    </xf>
    <xf numFmtId="2" fontId="100" fillId="10" borderId="4" xfId="4" applyNumberFormat="1" applyFont="1" applyFill="1" applyBorder="1" applyAlignment="1">
      <alignment vertical="center"/>
    </xf>
    <xf numFmtId="0" fontId="100" fillId="10" borderId="3" xfId="4" applyFont="1" applyFill="1" applyBorder="1" applyAlignment="1">
      <alignment vertical="center"/>
    </xf>
    <xf numFmtId="2" fontId="100" fillId="10" borderId="3" xfId="4" applyNumberFormat="1" applyFont="1" applyFill="1" applyBorder="1" applyAlignment="1">
      <alignment vertical="center"/>
    </xf>
    <xf numFmtId="0" fontId="100" fillId="10" borderId="3" xfId="4" applyFont="1" applyFill="1" applyBorder="1" applyAlignment="1">
      <alignment horizontal="center" vertical="center"/>
    </xf>
    <xf numFmtId="0" fontId="100" fillId="0" borderId="0" xfId="4" applyFont="1" applyFill="1" applyBorder="1" applyAlignment="1">
      <alignment vertical="center"/>
    </xf>
    <xf numFmtId="0" fontId="100" fillId="0" borderId="0" xfId="4" applyFont="1" applyFill="1" applyBorder="1" applyAlignment="1">
      <alignment horizontal="center" vertical="center"/>
    </xf>
    <xf numFmtId="2" fontId="100" fillId="10" borderId="0" xfId="4" applyNumberFormat="1" applyFont="1" applyFill="1" applyBorder="1" applyAlignment="1">
      <alignment horizontal="center" vertical="center"/>
    </xf>
    <xf numFmtId="0" fontId="100" fillId="10" borderId="0" xfId="4" applyFont="1" applyFill="1" applyBorder="1"/>
    <xf numFmtId="0" fontId="100" fillId="10" borderId="0" xfId="4" applyFont="1" applyFill="1" applyBorder="1" applyAlignment="1">
      <alignment horizontal="center"/>
    </xf>
    <xf numFmtId="2" fontId="100" fillId="10" borderId="0" xfId="4" applyNumberFormat="1" applyFont="1" applyFill="1" applyBorder="1"/>
    <xf numFmtId="171" fontId="103" fillId="10" borderId="0" xfId="4" applyNumberFormat="1" applyFont="1" applyFill="1" applyBorder="1" applyAlignment="1">
      <alignment horizontal="center" vertical="center"/>
    </xf>
    <xf numFmtId="171" fontId="103" fillId="10" borderId="3" xfId="4" applyNumberFormat="1" applyFont="1" applyFill="1" applyBorder="1" applyAlignment="1">
      <alignment horizontal="center" vertical="center"/>
    </xf>
    <xf numFmtId="168" fontId="90" fillId="5" borderId="0" xfId="3" applyNumberFormat="1" applyFont="1" applyFill="1" applyAlignment="1">
      <alignment horizontal="center" vertical="center"/>
    </xf>
    <xf numFmtId="169" fontId="24" fillId="5" borderId="0" xfId="3" applyNumberFormat="1" applyFont="1" applyFill="1" applyAlignment="1">
      <alignment horizontal="left"/>
    </xf>
    <xf numFmtId="168" fontId="78" fillId="21" borderId="0" xfId="3" applyNumberFormat="1" applyFont="1" applyFill="1" applyAlignment="1">
      <alignment horizontal="center" vertical="center"/>
    </xf>
    <xf numFmtId="3" fontId="33" fillId="0" borderId="1" xfId="4" applyNumberFormat="1" applyFont="1" applyBorder="1" applyAlignment="1">
      <alignment horizontal="center" vertical="center"/>
    </xf>
    <xf numFmtId="169" fontId="96" fillId="21" borderId="0" xfId="3" applyNumberFormat="1" applyFont="1" applyFill="1" applyAlignment="1">
      <alignment horizontal="center"/>
    </xf>
    <xf numFmtId="170" fontId="78" fillId="21" borderId="0" xfId="3" applyNumberFormat="1" applyFont="1" applyFill="1" applyAlignment="1">
      <alignment horizontal="center"/>
    </xf>
    <xf numFmtId="4" fontId="59" fillId="19" borderId="1" xfId="4" applyNumberFormat="1" applyFont="1" applyFill="1" applyBorder="1" applyAlignment="1">
      <alignment horizontal="center" vertical="center"/>
    </xf>
    <xf numFmtId="2" fontId="37" fillId="4" borderId="1" xfId="4" applyNumberFormat="1" applyFont="1" applyFill="1" applyBorder="1" applyAlignment="1">
      <alignment horizontal="center" vertical="center"/>
    </xf>
    <xf numFmtId="0" fontId="25" fillId="10" borderId="0" xfId="0" applyFont="1" applyFill="1" applyAlignment="1">
      <alignment horizontal="center" vertical="center"/>
    </xf>
    <xf numFmtId="0" fontId="78" fillId="21" borderId="0" xfId="0" applyFont="1" applyFill="1" applyBorder="1"/>
    <xf numFmtId="2" fontId="78" fillId="21" borderId="0" xfId="6" applyNumberFormat="1" applyFont="1" applyFill="1" applyBorder="1"/>
    <xf numFmtId="0" fontId="100" fillId="0" borderId="36" xfId="4" applyFont="1" applyFill="1" applyBorder="1" applyAlignment="1">
      <alignment horizontal="center" vertical="center"/>
    </xf>
    <xf numFmtId="2" fontId="100" fillId="13" borderId="1" xfId="4" applyNumberFormat="1" applyFont="1" applyFill="1" applyBorder="1" applyAlignment="1">
      <alignment horizontal="center" vertical="center"/>
    </xf>
    <xf numFmtId="0" fontId="25" fillId="24" borderId="0" xfId="0" applyFont="1" applyFill="1" applyAlignment="1">
      <alignment horizontal="center" vertical="center"/>
    </xf>
    <xf numFmtId="2" fontId="100" fillId="10" borderId="20" xfId="4" applyNumberFormat="1" applyFont="1" applyFill="1" applyBorder="1" applyAlignment="1">
      <alignment horizontal="center" vertical="center"/>
    </xf>
    <xf numFmtId="0" fontId="100" fillId="5" borderId="36" xfId="4" applyFont="1" applyFill="1" applyBorder="1" applyAlignment="1">
      <alignment horizontal="center" vertical="center"/>
    </xf>
    <xf numFmtId="169" fontId="96" fillId="5" borderId="0" xfId="3" applyNumberFormat="1" applyFont="1" applyFill="1" applyAlignment="1">
      <alignment horizontal="center"/>
    </xf>
    <xf numFmtId="4" fontId="24" fillId="10" borderId="23" xfId="8" applyNumberFormat="1" applyFont="1" applyFill="1" applyBorder="1"/>
    <xf numFmtId="0" fontId="24" fillId="10" borderId="23" xfId="0" applyFont="1" applyFill="1" applyBorder="1" applyAlignment="1">
      <alignment horizontal="center"/>
    </xf>
    <xf numFmtId="9" fontId="59" fillId="21" borderId="1" xfId="179" applyFont="1" applyFill="1" applyBorder="1" applyAlignment="1">
      <alignment horizontal="center" vertical="center"/>
    </xf>
    <xf numFmtId="9" fontId="98" fillId="21" borderId="1" xfId="179" applyFont="1" applyFill="1" applyBorder="1" applyAlignment="1">
      <alignment horizontal="center" vertical="center"/>
    </xf>
    <xf numFmtId="0" fontId="24" fillId="0" borderId="1" xfId="0" applyFont="1" applyFill="1" applyBorder="1" applyAlignment="1">
      <alignment horizontal="center"/>
    </xf>
    <xf numFmtId="4" fontId="24" fillId="0" borderId="1" xfId="8" applyNumberFormat="1" applyFont="1" applyFill="1" applyBorder="1"/>
    <xf numFmtId="0" fontId="24" fillId="8" borderId="0" xfId="3" applyNumberFormat="1" applyFont="1" applyFill="1"/>
    <xf numFmtId="169" fontId="78" fillId="10" borderId="0" xfId="3" applyNumberFormat="1" applyFont="1" applyFill="1" applyAlignment="1">
      <alignment horizontal="center"/>
    </xf>
    <xf numFmtId="0" fontId="0" fillId="0" borderId="0" xfId="0" applyAlignment="1">
      <alignment horizontal="left"/>
    </xf>
    <xf numFmtId="4" fontId="24" fillId="30" borderId="1" xfId="8" applyNumberFormat="1" applyFont="1" applyFill="1" applyBorder="1"/>
    <xf numFmtId="0" fontId="90" fillId="10" borderId="0" xfId="0" applyFont="1" applyFill="1" applyAlignment="1">
      <alignment horizontal="center" vertical="center"/>
    </xf>
    <xf numFmtId="0" fontId="111" fillId="10" borderId="0" xfId="0" applyFont="1" applyFill="1" applyAlignment="1">
      <alignment horizontal="center" vertical="center"/>
    </xf>
    <xf numFmtId="0" fontId="0" fillId="0" borderId="0" xfId="0" applyNumberFormat="1" applyAlignment="1">
      <alignment horizontal="center"/>
    </xf>
    <xf numFmtId="0" fontId="34" fillId="5" borderId="12" xfId="0" applyFont="1" applyFill="1" applyBorder="1" applyAlignment="1">
      <alignment horizontal="center" vertical="center" wrapText="1"/>
    </xf>
    <xf numFmtId="0" fontId="49" fillId="8" borderId="0" xfId="0" applyFont="1" applyFill="1"/>
    <xf numFmtId="0" fontId="25" fillId="8" borderId="0" xfId="0" applyFont="1" applyFill="1"/>
    <xf numFmtId="168" fontId="25" fillId="8" borderId="0" xfId="3" applyNumberFormat="1" applyFont="1" applyFill="1"/>
    <xf numFmtId="0" fontId="25" fillId="10" borderId="0" xfId="0" applyFont="1" applyFill="1" applyBorder="1"/>
    <xf numFmtId="0" fontId="25" fillId="10" borderId="0" xfId="6" applyFont="1" applyFill="1"/>
    <xf numFmtId="0" fontId="94" fillId="10" borderId="0" xfId="6" applyFont="1" applyFill="1" applyBorder="1" applyAlignment="1"/>
    <xf numFmtId="0" fontId="94" fillId="10" borderId="0" xfId="6" applyFont="1" applyFill="1" applyBorder="1"/>
    <xf numFmtId="0" fontId="94" fillId="10" borderId="0" xfId="0" applyFont="1" applyFill="1" applyBorder="1"/>
    <xf numFmtId="0" fontId="25" fillId="0" borderId="0" xfId="0" applyFont="1" applyBorder="1"/>
    <xf numFmtId="0" fontId="25" fillId="10" borderId="0" xfId="0" applyFont="1" applyFill="1" applyBorder="1" applyAlignment="1">
      <alignment horizontal="center" vertical="center"/>
    </xf>
    <xf numFmtId="0" fontId="94" fillId="21" borderId="0" xfId="6" applyFont="1" applyFill="1" applyBorder="1"/>
    <xf numFmtId="0" fontId="24" fillId="10" borderId="0" xfId="0" applyFont="1" applyFill="1" applyBorder="1" applyAlignment="1">
      <alignment horizontal="center"/>
    </xf>
    <xf numFmtId="0" fontId="78" fillId="10" borderId="24" xfId="6" applyFont="1" applyFill="1" applyBorder="1"/>
    <xf numFmtId="0" fontId="0" fillId="0" borderId="0" xfId="0" pivotButton="1"/>
    <xf numFmtId="0" fontId="25" fillId="0" borderId="1" xfId="0" applyFont="1" applyFill="1" applyBorder="1" applyAlignment="1">
      <alignment horizontal="left"/>
    </xf>
    <xf numFmtId="0" fontId="25" fillId="0" borderId="1" xfId="0" applyFont="1" applyFill="1" applyBorder="1" applyAlignment="1">
      <alignment horizontal="center"/>
    </xf>
    <xf numFmtId="0" fontId="0" fillId="0" borderId="1" xfId="0" applyBorder="1" applyAlignment="1">
      <alignment horizontal="left"/>
    </xf>
    <xf numFmtId="0" fontId="24" fillId="0" borderId="1" xfId="0" applyFont="1" applyFill="1" applyBorder="1" applyAlignment="1">
      <alignment horizontal="left"/>
    </xf>
    <xf numFmtId="0" fontId="0" fillId="0" borderId="1" xfId="0" applyNumberFormat="1" applyBorder="1" applyAlignment="1">
      <alignment horizontal="center"/>
    </xf>
    <xf numFmtId="0" fontId="25" fillId="10" borderId="0" xfId="5" applyFont="1" applyFill="1" applyBorder="1" applyAlignment="1">
      <alignment horizontal="right" vertical="center"/>
    </xf>
    <xf numFmtId="0" fontId="0" fillId="0" borderId="0" xfId="0" applyBorder="1"/>
    <xf numFmtId="170" fontId="78" fillId="19" borderId="0" xfId="3" applyNumberFormat="1" applyFont="1" applyFill="1" applyAlignment="1">
      <alignment horizontal="center"/>
    </xf>
    <xf numFmtId="169" fontId="50" fillId="5" borderId="0" xfId="3" applyNumberFormat="1" applyFont="1" applyFill="1" applyBorder="1" applyAlignment="1">
      <alignment horizontal="left"/>
    </xf>
    <xf numFmtId="4" fontId="39" fillId="13" borderId="0" xfId="8" applyNumberFormat="1" applyFont="1" applyFill="1" applyAlignment="1">
      <alignment horizontal="left"/>
    </xf>
    <xf numFmtId="0" fontId="35" fillId="10" borderId="0" xfId="6" applyFont="1" applyFill="1" applyBorder="1"/>
    <xf numFmtId="168" fontId="24" fillId="10" borderId="0" xfId="3" applyNumberFormat="1" applyFont="1" applyFill="1" applyBorder="1" applyAlignment="1">
      <alignment horizontal="center" vertical="center"/>
    </xf>
    <xf numFmtId="168" fontId="35" fillId="10" borderId="0" xfId="3" applyNumberFormat="1" applyFont="1" applyFill="1" applyBorder="1" applyAlignment="1">
      <alignment horizontal="center" vertical="center"/>
    </xf>
    <xf numFmtId="169" fontId="50" fillId="10" borderId="0" xfId="3" applyNumberFormat="1" applyFont="1" applyFill="1" applyBorder="1" applyAlignment="1">
      <alignment horizontal="left"/>
    </xf>
    <xf numFmtId="4" fontId="39" fillId="10" borderId="0" xfId="8" applyNumberFormat="1" applyFont="1" applyFill="1" applyAlignment="1">
      <alignment horizontal="left"/>
    </xf>
    <xf numFmtId="4" fontId="39" fillId="21" borderId="0" xfId="8" applyNumberFormat="1" applyFont="1" applyFill="1" applyAlignment="1">
      <alignment horizontal="left"/>
    </xf>
    <xf numFmtId="168" fontId="35" fillId="8" borderId="0" xfId="3" applyNumberFormat="1" applyFont="1" applyFill="1"/>
    <xf numFmtId="168" fontId="24" fillId="19" borderId="0" xfId="3" applyNumberFormat="1" applyFont="1" applyFill="1"/>
    <xf numFmtId="168" fontId="41" fillId="19" borderId="0" xfId="3" applyNumberFormat="1" applyFont="1" applyFill="1"/>
    <xf numFmtId="0" fontId="48" fillId="35" borderId="0" xfId="6" applyFont="1" applyFill="1"/>
    <xf numFmtId="0" fontId="48" fillId="35" borderId="0" xfId="8" applyFont="1" applyFill="1"/>
    <xf numFmtId="168" fontId="35" fillId="13" borderId="0" xfId="3" applyNumberFormat="1" applyFont="1" applyFill="1" applyBorder="1" applyAlignment="1">
      <alignment horizontal="center" vertical="center"/>
    </xf>
    <xf numFmtId="169" fontId="96" fillId="30" borderId="0" xfId="3" applyNumberFormat="1" applyFont="1" applyFill="1" applyAlignment="1">
      <alignment horizontal="center"/>
    </xf>
    <xf numFmtId="0" fontId="78" fillId="10" borderId="27" xfId="6" applyFont="1" applyFill="1" applyBorder="1"/>
    <xf numFmtId="0" fontId="78" fillId="10" borderId="20" xfId="6" applyFont="1" applyFill="1" applyBorder="1"/>
    <xf numFmtId="0" fontId="78" fillId="10" borderId="1" xfId="6" applyFont="1" applyFill="1" applyBorder="1"/>
    <xf numFmtId="0" fontId="24" fillId="21" borderId="0" xfId="6" applyFont="1" applyFill="1"/>
    <xf numFmtId="168" fontId="90" fillId="21" borderId="0" xfId="3" applyNumberFormat="1" applyFont="1" applyFill="1" applyAlignment="1">
      <alignment horizontal="center" vertical="center"/>
    </xf>
    <xf numFmtId="168" fontId="35" fillId="21" borderId="0" xfId="3" applyNumberFormat="1" applyFont="1" applyFill="1" applyAlignment="1">
      <alignment horizontal="center" vertical="center"/>
    </xf>
    <xf numFmtId="169" fontId="24" fillId="21" borderId="0" xfId="3" applyNumberFormat="1" applyFont="1" applyFill="1" applyAlignment="1">
      <alignment horizontal="left"/>
    </xf>
    <xf numFmtId="0" fontId="63" fillId="21" borderId="0" xfId="6" applyFont="1" applyFill="1"/>
    <xf numFmtId="0" fontId="39" fillId="10" borderId="0" xfId="6" applyFont="1" applyFill="1" applyAlignment="1">
      <alignment horizontal="left"/>
    </xf>
    <xf numFmtId="170" fontId="41" fillId="10" borderId="0" xfId="3" applyNumberFormat="1" applyFont="1" applyFill="1" applyAlignment="1">
      <alignment horizontal="center"/>
    </xf>
    <xf numFmtId="168" fontId="35" fillId="10" borderId="0" xfId="3" applyNumberFormat="1" applyFont="1" applyFill="1" applyAlignment="1">
      <alignment horizontal="center" vertical="center"/>
    </xf>
    <xf numFmtId="170" fontId="35" fillId="10" borderId="0" xfId="3" applyNumberFormat="1" applyFont="1" applyFill="1" applyAlignment="1">
      <alignment horizontal="center" vertical="center"/>
    </xf>
    <xf numFmtId="170" fontId="24" fillId="10" borderId="0" xfId="3" applyNumberFormat="1" applyFont="1" applyFill="1"/>
    <xf numFmtId="168" fontId="24" fillId="10" borderId="0" xfId="3" applyNumberFormat="1" applyFont="1" applyFill="1"/>
    <xf numFmtId="4" fontId="90" fillId="10" borderId="0" xfId="8" applyNumberFormat="1" applyFont="1" applyFill="1" applyAlignment="1">
      <alignment horizontal="left"/>
    </xf>
    <xf numFmtId="0" fontId="24" fillId="10" borderId="57" xfId="0" applyFont="1" applyFill="1" applyBorder="1" applyAlignment="1">
      <alignment horizontal="center"/>
    </xf>
    <xf numFmtId="0" fontId="24" fillId="0" borderId="23" xfId="0" applyFont="1" applyFill="1" applyBorder="1" applyAlignment="1">
      <alignment horizontal="center"/>
    </xf>
    <xf numFmtId="0" fontId="24" fillId="0" borderId="28" xfId="0" applyFont="1" applyFill="1" applyBorder="1" applyAlignment="1">
      <alignment horizontal="center"/>
    </xf>
    <xf numFmtId="0" fontId="24" fillId="0" borderId="29" xfId="0" applyFont="1" applyFill="1" applyBorder="1" applyAlignment="1">
      <alignment horizontal="center"/>
    </xf>
    <xf numFmtId="0" fontId="24" fillId="10" borderId="28" xfId="0" applyFont="1" applyFill="1" applyBorder="1" applyAlignment="1">
      <alignment horizontal="center"/>
    </xf>
    <xf numFmtId="168" fontId="78" fillId="17" borderId="0" xfId="3" applyNumberFormat="1" applyFont="1" applyFill="1" applyAlignment="1">
      <alignment horizontal="center" vertical="center"/>
    </xf>
    <xf numFmtId="0" fontId="78" fillId="21" borderId="0" xfId="6" applyFont="1" applyFill="1"/>
    <xf numFmtId="0" fontId="24" fillId="38" borderId="24" xfId="0" applyFont="1" applyFill="1" applyBorder="1" applyAlignment="1">
      <alignment horizontal="center"/>
    </xf>
    <xf numFmtId="4" fontId="24" fillId="38" borderId="24" xfId="8" applyNumberFormat="1" applyFont="1" applyFill="1" applyBorder="1"/>
    <xf numFmtId="0" fontId="24" fillId="10" borderId="0" xfId="0" applyFont="1" applyFill="1" applyAlignment="1">
      <alignment horizontal="center"/>
    </xf>
    <xf numFmtId="4" fontId="104" fillId="10" borderId="0" xfId="1" applyNumberFormat="1" applyFont="1" applyFill="1" applyBorder="1" applyAlignment="1">
      <alignment horizontal="center" vertical="center"/>
    </xf>
    <xf numFmtId="2" fontId="100" fillId="23" borderId="58" xfId="4" applyNumberFormat="1" applyFont="1" applyFill="1" applyBorder="1" applyAlignment="1">
      <alignment horizontal="center" vertical="center"/>
    </xf>
    <xf numFmtId="0" fontId="100" fillId="10" borderId="53" xfId="4" applyFont="1" applyFill="1" applyBorder="1" applyAlignment="1">
      <alignment horizontal="center" vertical="center"/>
    </xf>
    <xf numFmtId="2" fontId="100" fillId="23" borderId="60" xfId="4" applyNumberFormat="1" applyFont="1" applyFill="1" applyBorder="1" applyAlignment="1">
      <alignment horizontal="center" vertical="center"/>
    </xf>
    <xf numFmtId="0" fontId="100" fillId="5" borderId="44" xfId="4" applyFont="1" applyFill="1" applyBorder="1" applyAlignment="1">
      <alignment horizontal="center" vertical="center"/>
    </xf>
    <xf numFmtId="0" fontId="24" fillId="10" borderId="0" xfId="6" applyFont="1" applyFill="1"/>
    <xf numFmtId="0" fontId="78" fillId="21" borderId="27" xfId="6" applyFont="1" applyFill="1" applyBorder="1"/>
    <xf numFmtId="0" fontId="78" fillId="21" borderId="20" xfId="6" applyFont="1" applyFill="1" applyBorder="1"/>
    <xf numFmtId="0" fontId="100" fillId="10" borderId="17" xfId="4" applyFont="1" applyFill="1" applyBorder="1" applyAlignment="1">
      <alignment horizontal="center" vertical="center"/>
    </xf>
    <xf numFmtId="171" fontId="103" fillId="10" borderId="17" xfId="4" applyNumberFormat="1" applyFont="1" applyFill="1" applyBorder="1" applyAlignment="1">
      <alignment horizontal="center" vertical="center"/>
    </xf>
    <xf numFmtId="0" fontId="100" fillId="10" borderId="17" xfId="4" applyFont="1" applyFill="1" applyBorder="1" applyAlignment="1">
      <alignment vertical="center"/>
    </xf>
    <xf numFmtId="2" fontId="100" fillId="10" borderId="17" xfId="4" applyNumberFormat="1" applyFont="1" applyFill="1" applyBorder="1" applyAlignment="1">
      <alignment vertical="center"/>
    </xf>
    <xf numFmtId="4" fontId="104" fillId="10" borderId="17" xfId="1" applyNumberFormat="1" applyFont="1" applyFill="1" applyBorder="1" applyAlignment="1">
      <alignment horizontal="center" vertical="center"/>
    </xf>
    <xf numFmtId="0" fontId="100" fillId="10" borderId="17" xfId="4" applyFont="1" applyFill="1" applyBorder="1"/>
    <xf numFmtId="2" fontId="100" fillId="10" borderId="17" xfId="4" applyNumberFormat="1" applyFont="1" applyFill="1" applyBorder="1"/>
    <xf numFmtId="0" fontId="39" fillId="17" borderId="0" xfId="6" applyFont="1" applyFill="1"/>
    <xf numFmtId="168" fontId="35" fillId="17" borderId="0" xfId="3" applyNumberFormat="1" applyFont="1" applyFill="1" applyAlignment="1">
      <alignment horizontal="center" vertical="center"/>
    </xf>
    <xf numFmtId="169" fontId="24" fillId="17" borderId="0" xfId="3" applyNumberFormat="1" applyFont="1" applyFill="1" applyAlignment="1">
      <alignment horizontal="left"/>
    </xf>
    <xf numFmtId="168" fontId="24" fillId="17" borderId="0" xfId="3" applyNumberFormat="1" applyFont="1" applyFill="1"/>
    <xf numFmtId="168" fontId="90" fillId="37" borderId="0" xfId="3" applyNumberFormat="1" applyFont="1" applyFill="1" applyAlignment="1">
      <alignment horizontal="center" vertical="center"/>
    </xf>
    <xf numFmtId="0" fontId="46" fillId="17" borderId="0" xfId="8" applyFont="1" applyFill="1"/>
    <xf numFmtId="168" fontId="90" fillId="17" borderId="0" xfId="3" applyNumberFormat="1" applyFont="1" applyFill="1" applyAlignment="1">
      <alignment horizontal="center" vertical="center"/>
    </xf>
    <xf numFmtId="0" fontId="25" fillId="8" borderId="0" xfId="11" applyFont="1" applyFill="1" applyAlignment="1">
      <alignment horizontal="center"/>
    </xf>
    <xf numFmtId="0" fontId="25" fillId="11" borderId="0" xfId="11" applyFont="1" applyFill="1"/>
    <xf numFmtId="0" fontId="24" fillId="8" borderId="0" xfId="11" applyFont="1" applyFill="1"/>
    <xf numFmtId="0" fontId="25" fillId="8" borderId="0" xfId="11" applyFont="1" applyFill="1"/>
    <xf numFmtId="0" fontId="24" fillId="9" borderId="0" xfId="11" applyFont="1" applyFill="1"/>
    <xf numFmtId="0" fontId="35" fillId="9" borderId="0" xfId="11" applyFont="1" applyFill="1"/>
    <xf numFmtId="168" fontId="35" fillId="8" borderId="0" xfId="11" applyNumberFormat="1" applyFont="1" applyFill="1" applyAlignment="1">
      <alignment horizontal="center" vertical="center"/>
    </xf>
    <xf numFmtId="169" fontId="24" fillId="8" borderId="0" xfId="11" applyNumberFormat="1" applyFont="1" applyFill="1" applyAlignment="1">
      <alignment horizontal="left"/>
    </xf>
    <xf numFmtId="0" fontId="49" fillId="8" borderId="0" xfId="11" applyFont="1" applyFill="1"/>
    <xf numFmtId="0" fontId="40" fillId="8" borderId="0" xfId="11" applyFont="1" applyFill="1"/>
    <xf numFmtId="0" fontId="45" fillId="10" borderId="0" xfId="6" applyFont="1" applyFill="1"/>
    <xf numFmtId="0" fontId="25" fillId="5" borderId="0" xfId="11" applyFont="1" applyFill="1"/>
    <xf numFmtId="0" fontId="117" fillId="11" borderId="0" xfId="11" applyFont="1" applyFill="1"/>
    <xf numFmtId="0" fontId="25" fillId="0" borderId="0" xfId="11" applyFont="1" applyFill="1"/>
    <xf numFmtId="0" fontId="24" fillId="0" borderId="0" xfId="11" applyFont="1" applyFill="1"/>
    <xf numFmtId="0" fontId="25" fillId="5" borderId="0" xfId="11" applyFont="1" applyFill="1" applyBorder="1"/>
    <xf numFmtId="0" fontId="25" fillId="10" borderId="0" xfId="11" applyFont="1" applyFill="1" applyBorder="1"/>
    <xf numFmtId="0" fontId="57" fillId="10" borderId="0" xfId="11" applyFont="1" applyFill="1" applyBorder="1" applyAlignment="1">
      <alignment horizontal="left"/>
    </xf>
    <xf numFmtId="168" fontId="90" fillId="13" borderId="0" xfId="3" applyNumberFormat="1" applyFont="1" applyFill="1" applyAlignment="1">
      <alignment horizontal="center" vertical="center"/>
    </xf>
    <xf numFmtId="168" fontId="57" fillId="10" borderId="0" xfId="3" applyNumberFormat="1" applyFont="1" applyFill="1" applyAlignment="1">
      <alignment horizontal="center" vertical="center"/>
    </xf>
    <xf numFmtId="169" fontId="63" fillId="10" borderId="0" xfId="11" applyNumberFormat="1" applyFont="1" applyFill="1" applyBorder="1" applyAlignment="1">
      <alignment horizontal="left"/>
    </xf>
    <xf numFmtId="0" fontId="78" fillId="10" borderId="0" xfId="11" applyFont="1" applyFill="1" applyBorder="1"/>
    <xf numFmtId="0" fontId="25" fillId="11" borderId="0" xfId="11" applyFont="1" applyFill="1" applyBorder="1"/>
    <xf numFmtId="0" fontId="24" fillId="0" borderId="0" xfId="11"/>
    <xf numFmtId="0" fontId="25" fillId="10" borderId="0" xfId="11" applyFont="1" applyFill="1"/>
    <xf numFmtId="0" fontId="39" fillId="10" borderId="0" xfId="6" applyFont="1" applyFill="1"/>
    <xf numFmtId="0" fontId="24" fillId="10" borderId="0" xfId="11" applyFont="1" applyFill="1"/>
    <xf numFmtId="0" fontId="35" fillId="38" borderId="0" xfId="6" applyFont="1" applyFill="1" applyBorder="1"/>
    <xf numFmtId="0" fontId="118" fillId="5" borderId="0" xfId="11" applyFont="1" applyFill="1"/>
    <xf numFmtId="168" fontId="24" fillId="30" borderId="0" xfId="3" applyNumberFormat="1" applyFont="1" applyFill="1"/>
    <xf numFmtId="0" fontId="24" fillId="8" borderId="0" xfId="11" applyFont="1" applyFill="1" applyBorder="1"/>
    <xf numFmtId="0" fontId="24" fillId="39" borderId="0" xfId="0" applyFont="1" applyFill="1" applyBorder="1" applyAlignment="1">
      <alignment horizontal="left"/>
    </xf>
    <xf numFmtId="0" fontId="43" fillId="17" borderId="0" xfId="8" applyFont="1" applyFill="1"/>
    <xf numFmtId="0" fontId="24" fillId="39" borderId="0" xfId="0" applyFont="1" applyFill="1" applyAlignment="1">
      <alignment horizontal="left"/>
    </xf>
    <xf numFmtId="0" fontId="43" fillId="10" borderId="0" xfId="8" applyFont="1" applyFill="1"/>
    <xf numFmtId="0" fontId="49" fillId="5" borderId="0" xfId="11" applyFont="1" applyFill="1"/>
    <xf numFmtId="168" fontId="42" fillId="5" borderId="0" xfId="11" applyNumberFormat="1" applyFont="1" applyFill="1"/>
    <xf numFmtId="0" fontId="25" fillId="6" borderId="0" xfId="11" applyFont="1" applyFill="1"/>
    <xf numFmtId="168" fontId="90" fillId="39" borderId="0" xfId="3" applyNumberFormat="1" applyFont="1" applyFill="1" applyAlignment="1">
      <alignment horizontal="center" vertical="center"/>
    </xf>
    <xf numFmtId="168" fontId="90" fillId="40" borderId="0" xfId="3" applyNumberFormat="1" applyFont="1" applyFill="1" applyAlignment="1">
      <alignment horizontal="center" vertical="center"/>
    </xf>
    <xf numFmtId="0" fontId="54" fillId="10" borderId="0" xfId="6" applyFont="1" applyFill="1"/>
    <xf numFmtId="0" fontId="54" fillId="17" borderId="0" xfId="6" applyFont="1" applyFill="1"/>
    <xf numFmtId="0" fontId="24" fillId="17" borderId="0" xfId="11" applyFont="1" applyFill="1"/>
    <xf numFmtId="0" fontId="24" fillId="21" borderId="0" xfId="11" applyFont="1" applyFill="1"/>
    <xf numFmtId="0" fontId="39" fillId="10" borderId="0" xfId="8" applyFont="1" applyFill="1"/>
    <xf numFmtId="2" fontId="24" fillId="10" borderId="0" xfId="8" applyNumberFormat="1" applyFont="1" applyFill="1" applyBorder="1" applyAlignment="1">
      <alignment horizontal="left"/>
    </xf>
    <xf numFmtId="0" fontId="63" fillId="10" borderId="0" xfId="11" applyFont="1" applyFill="1" applyBorder="1"/>
    <xf numFmtId="0" fontId="24" fillId="10" borderId="0" xfId="11" applyFont="1" applyFill="1" applyBorder="1" applyAlignment="1">
      <alignment horizontal="left"/>
    </xf>
    <xf numFmtId="170" fontId="24" fillId="10" borderId="0" xfId="11" applyNumberFormat="1" applyFont="1" applyFill="1" applyBorder="1" applyAlignment="1">
      <alignment horizontal="center"/>
    </xf>
    <xf numFmtId="2" fontId="24" fillId="10" borderId="0" xfId="11" applyNumberFormat="1" applyFont="1" applyFill="1" applyBorder="1" applyAlignment="1">
      <alignment horizontal="center" vertical="center"/>
    </xf>
    <xf numFmtId="0" fontId="24" fillId="10" borderId="0" xfId="11" applyFont="1" applyFill="1" applyBorder="1" applyAlignment="1">
      <alignment horizontal="center" vertical="center"/>
    </xf>
    <xf numFmtId="169" fontId="92" fillId="10" borderId="0" xfId="11" applyNumberFormat="1" applyFont="1" applyFill="1" applyBorder="1" applyAlignment="1">
      <alignment horizontal="left"/>
    </xf>
    <xf numFmtId="2" fontId="92" fillId="10" borderId="0" xfId="11" applyNumberFormat="1" applyFont="1" applyFill="1" applyBorder="1"/>
    <xf numFmtId="0" fontId="24" fillId="10" borderId="0" xfId="11" applyFont="1" applyFill="1" applyBorder="1"/>
    <xf numFmtId="0" fontId="92" fillId="10" borderId="0" xfId="11" applyFont="1" applyFill="1" applyBorder="1"/>
    <xf numFmtId="0" fontId="25" fillId="10" borderId="0" xfId="11" applyFont="1" applyFill="1" applyBorder="1" applyAlignment="1">
      <alignment horizontal="left"/>
    </xf>
    <xf numFmtId="0" fontId="91" fillId="10" borderId="0" xfId="11" applyFont="1" applyFill="1" applyBorder="1"/>
    <xf numFmtId="169" fontId="24" fillId="10" borderId="0" xfId="11" applyNumberFormat="1" applyFont="1" applyFill="1" applyBorder="1" applyAlignment="1">
      <alignment horizontal="left"/>
    </xf>
    <xf numFmtId="2" fontId="24" fillId="10" borderId="0" xfId="11" applyNumberFormat="1" applyFont="1" applyFill="1" applyBorder="1"/>
    <xf numFmtId="170" fontId="63" fillId="10" borderId="0" xfId="11" applyNumberFormat="1" applyFont="1" applyFill="1" applyBorder="1" applyAlignment="1">
      <alignment horizontal="center"/>
    </xf>
    <xf numFmtId="2" fontId="63" fillId="10" borderId="0" xfId="11" applyNumberFormat="1" applyFont="1" applyFill="1" applyBorder="1" applyAlignment="1">
      <alignment horizontal="center" vertical="center"/>
    </xf>
    <xf numFmtId="0" fontId="63" fillId="10" borderId="0" xfId="11" applyFont="1" applyFill="1" applyBorder="1" applyAlignment="1">
      <alignment horizontal="center" vertical="center"/>
    </xf>
    <xf numFmtId="0" fontId="0" fillId="10" borderId="0" xfId="6" applyFont="1" applyFill="1" applyBorder="1" applyAlignment="1">
      <alignment horizontal="left"/>
    </xf>
    <xf numFmtId="4" fontId="0" fillId="10" borderId="0" xfId="8" applyNumberFormat="1" applyFont="1" applyFill="1" applyBorder="1"/>
    <xf numFmtId="0" fontId="105" fillId="10" borderId="0" xfId="11" applyFont="1" applyFill="1" applyBorder="1"/>
    <xf numFmtId="170" fontId="63" fillId="35" borderId="0" xfId="3" applyNumberFormat="1" applyFont="1" applyFill="1" applyAlignment="1">
      <alignment horizontal="center"/>
    </xf>
    <xf numFmtId="0" fontId="63" fillId="10" borderId="0" xfId="11" applyFont="1" applyFill="1" applyBorder="1" applyAlignment="1">
      <alignment horizontal="left"/>
    </xf>
    <xf numFmtId="0" fontId="90" fillId="10" borderId="0" xfId="11" applyFont="1" applyFill="1" applyBorder="1"/>
    <xf numFmtId="0" fontId="90" fillId="10" borderId="0" xfId="11" applyFont="1" applyFill="1" applyBorder="1" applyAlignment="1">
      <alignment horizontal="left"/>
    </xf>
    <xf numFmtId="2" fontId="90" fillId="10" borderId="0" xfId="11" applyNumberFormat="1" applyFont="1" applyFill="1" applyBorder="1"/>
    <xf numFmtId="0" fontId="0" fillId="21" borderId="0" xfId="0" applyFill="1"/>
    <xf numFmtId="0" fontId="90" fillId="21" borderId="0" xfId="6" applyFont="1" applyFill="1" applyBorder="1" applyAlignment="1">
      <alignment horizontal="left"/>
    </xf>
    <xf numFmtId="0" fontId="90" fillId="21" borderId="0" xfId="6" applyFont="1" applyFill="1" applyAlignment="1">
      <alignment horizontal="center" vertical="center"/>
    </xf>
    <xf numFmtId="169" fontId="90" fillId="21" borderId="0" xfId="3" applyNumberFormat="1" applyFont="1" applyFill="1" applyAlignment="1">
      <alignment horizontal="left"/>
    </xf>
    <xf numFmtId="2" fontId="90" fillId="21" borderId="0" xfId="6" applyNumberFormat="1" applyFont="1" applyFill="1" applyBorder="1"/>
    <xf numFmtId="168" fontId="90" fillId="35" borderId="0" xfId="3" applyNumberFormat="1" applyFont="1" applyFill="1" applyAlignment="1">
      <alignment horizontal="center" vertical="center"/>
    </xf>
    <xf numFmtId="0" fontId="89" fillId="21" borderId="0" xfId="6" applyFont="1" applyFill="1" applyBorder="1" applyAlignment="1">
      <alignment horizontal="left"/>
    </xf>
    <xf numFmtId="0" fontId="35" fillId="21" borderId="0" xfId="6" applyFont="1" applyFill="1" applyBorder="1"/>
    <xf numFmtId="169" fontId="50" fillId="21" borderId="0" xfId="3" applyNumberFormat="1" applyFont="1" applyFill="1" applyBorder="1" applyAlignment="1">
      <alignment horizontal="left"/>
    </xf>
    <xf numFmtId="168" fontId="35" fillId="21" borderId="0" xfId="3" applyNumberFormat="1" applyFont="1" applyFill="1" applyBorder="1" applyAlignment="1">
      <alignment horizontal="center" vertical="center"/>
    </xf>
    <xf numFmtId="168" fontId="90" fillId="30" borderId="0" xfId="3" applyNumberFormat="1" applyFont="1" applyFill="1" applyAlignment="1">
      <alignment horizontal="center" vertical="center"/>
    </xf>
    <xf numFmtId="0" fontId="78" fillId="21" borderId="0" xfId="11" applyFont="1" applyFill="1" applyBorder="1" applyAlignment="1">
      <alignment horizontal="left"/>
    </xf>
    <xf numFmtId="168" fontId="78" fillId="41" borderId="0" xfId="3" applyNumberFormat="1" applyFont="1" applyFill="1" applyAlignment="1">
      <alignment horizontal="center" vertical="center"/>
    </xf>
    <xf numFmtId="169" fontId="78" fillId="21" borderId="0" xfId="11" applyNumberFormat="1" applyFont="1" applyFill="1" applyBorder="1" applyAlignment="1">
      <alignment horizontal="left"/>
    </xf>
    <xf numFmtId="169" fontId="90" fillId="39" borderId="0" xfId="3" applyNumberFormat="1" applyFont="1" applyFill="1" applyAlignment="1">
      <alignment horizontal="center"/>
    </xf>
    <xf numFmtId="169" fontId="90" fillId="21" borderId="0" xfId="11" applyNumberFormat="1" applyFont="1" applyFill="1" applyBorder="1" applyAlignment="1">
      <alignment horizontal="left"/>
    </xf>
    <xf numFmtId="169" fontId="78" fillId="10" borderId="0" xfId="11" applyNumberFormat="1" applyFont="1" applyFill="1" applyBorder="1" applyAlignment="1">
      <alignment horizontal="left"/>
    </xf>
    <xf numFmtId="2" fontId="78" fillId="39" borderId="0" xfId="6" applyNumberFormat="1" applyFont="1" applyFill="1" applyBorder="1"/>
    <xf numFmtId="168" fontId="78" fillId="19" borderId="0" xfId="3" applyNumberFormat="1" applyFont="1" applyFill="1" applyAlignment="1">
      <alignment horizontal="left" vertical="center"/>
    </xf>
    <xf numFmtId="170" fontId="78" fillId="39" borderId="0" xfId="3" applyNumberFormat="1" applyFont="1" applyFill="1" applyAlignment="1">
      <alignment horizontal="center"/>
    </xf>
    <xf numFmtId="0" fontId="94" fillId="10" borderId="0" xfId="11" applyFont="1" applyFill="1" applyBorder="1"/>
    <xf numFmtId="2" fontId="78" fillId="10" borderId="0" xfId="11" applyNumberFormat="1" applyFont="1" applyFill="1" applyBorder="1"/>
    <xf numFmtId="169" fontId="78" fillId="5" borderId="0" xfId="11" applyNumberFormat="1" applyFont="1" applyFill="1" applyBorder="1" applyAlignment="1">
      <alignment horizontal="left"/>
    </xf>
    <xf numFmtId="0" fontId="78" fillId="10" borderId="0" xfId="11" applyFont="1" applyFill="1" applyBorder="1" applyAlignment="1">
      <alignment horizontal="left"/>
    </xf>
    <xf numFmtId="0" fontId="0" fillId="0" borderId="0" xfId="0" applyFont="1" applyBorder="1"/>
    <xf numFmtId="0" fontId="0" fillId="0" borderId="0" xfId="0" applyFont="1" applyBorder="1" applyAlignment="1">
      <alignment horizontal="left"/>
    </xf>
    <xf numFmtId="2" fontId="0" fillId="0" borderId="0" xfId="0" applyNumberFormat="1" applyFont="1" applyBorder="1" applyAlignment="1">
      <alignment horizontal="right"/>
    </xf>
    <xf numFmtId="2" fontId="0" fillId="0" borderId="0" xfId="0" applyNumberFormat="1" applyFont="1" applyBorder="1"/>
    <xf numFmtId="170" fontId="41" fillId="8" borderId="0" xfId="3" applyNumberFormat="1" applyFont="1" applyFill="1"/>
    <xf numFmtId="170" fontId="35" fillId="8" borderId="0" xfId="3" applyNumberFormat="1" applyFont="1" applyFill="1"/>
    <xf numFmtId="0" fontId="0" fillId="19" borderId="0" xfId="0" applyFill="1"/>
    <xf numFmtId="0" fontId="110" fillId="8" borderId="0" xfId="8" applyFont="1" applyFill="1"/>
    <xf numFmtId="169" fontId="63" fillId="10" borderId="0" xfId="3" applyNumberFormat="1" applyFont="1" applyFill="1" applyAlignment="1">
      <alignment horizontal="center"/>
    </xf>
    <xf numFmtId="168" fontId="41" fillId="8" borderId="0" xfId="3" applyNumberFormat="1" applyFont="1" applyFill="1"/>
    <xf numFmtId="0" fontId="24" fillId="42" borderId="0" xfId="0" applyFont="1" applyFill="1"/>
    <xf numFmtId="0" fontId="24" fillId="19" borderId="0" xfId="0" applyFont="1" applyFill="1"/>
    <xf numFmtId="0" fontId="24" fillId="43" borderId="0" xfId="0" applyFont="1" applyFill="1"/>
    <xf numFmtId="0" fontId="110" fillId="43" borderId="0" xfId="8" applyFont="1" applyFill="1"/>
    <xf numFmtId="168" fontId="35" fillId="43" borderId="0" xfId="3" applyNumberFormat="1" applyFont="1" applyFill="1"/>
    <xf numFmtId="168" fontId="24" fillId="43" borderId="0" xfId="3" applyNumberFormat="1" applyFont="1" applyFill="1"/>
    <xf numFmtId="0" fontId="0" fillId="43" borderId="0" xfId="0" applyFill="1"/>
    <xf numFmtId="170" fontId="24" fillId="8" borderId="0" xfId="0" applyNumberFormat="1" applyFont="1" applyFill="1"/>
    <xf numFmtId="170" fontId="0" fillId="0" borderId="0" xfId="0" applyNumberFormat="1"/>
    <xf numFmtId="0" fontId="63" fillId="8" borderId="0" xfId="8" applyFont="1" applyFill="1"/>
    <xf numFmtId="0" fontId="24" fillId="10" borderId="25" xfId="0" applyFont="1" applyFill="1" applyBorder="1" applyAlignment="1">
      <alignment horizontal="left"/>
    </xf>
    <xf numFmtId="0" fontId="110" fillId="10" borderId="0" xfId="8" applyFont="1" applyFill="1"/>
    <xf numFmtId="168" fontId="41" fillId="10" borderId="0" xfId="3" applyNumberFormat="1" applyFont="1" applyFill="1"/>
    <xf numFmtId="168" fontId="35" fillId="10" borderId="0" xfId="3" applyNumberFormat="1" applyFont="1" applyFill="1"/>
    <xf numFmtId="168" fontId="24" fillId="10" borderId="0" xfId="0" applyNumberFormat="1" applyFont="1" applyFill="1"/>
    <xf numFmtId="170" fontId="41" fillId="10" borderId="0" xfId="3" applyNumberFormat="1" applyFont="1" applyFill="1"/>
    <xf numFmtId="0" fontId="46" fillId="10" borderId="0" xfId="8" applyFont="1" applyFill="1"/>
    <xf numFmtId="0" fontId="78" fillId="5" borderId="0" xfId="11" applyFont="1" applyFill="1" applyBorder="1"/>
    <xf numFmtId="2" fontId="94" fillId="10" borderId="0" xfId="6" applyNumberFormat="1" applyFont="1" applyFill="1" applyBorder="1"/>
    <xf numFmtId="0" fontId="78" fillId="21" borderId="0" xfId="11" applyFont="1" applyFill="1" applyBorder="1"/>
    <xf numFmtId="2" fontId="78" fillId="17" borderId="0" xfId="6" applyNumberFormat="1" applyFont="1" applyFill="1" applyBorder="1"/>
    <xf numFmtId="168" fontId="24" fillId="8" borderId="0" xfId="11" applyNumberFormat="1" applyFill="1"/>
    <xf numFmtId="0" fontId="24" fillId="8" borderId="0" xfId="11" applyFill="1"/>
    <xf numFmtId="168" fontId="78" fillId="30" borderId="0" xfId="3" applyNumberFormat="1" applyFont="1" applyFill="1" applyAlignment="1">
      <alignment horizontal="center" vertical="center"/>
    </xf>
    <xf numFmtId="0" fontId="78" fillId="10" borderId="24" xfId="11" applyFont="1" applyFill="1" applyBorder="1" applyAlignment="1">
      <alignment horizontal="left"/>
    </xf>
    <xf numFmtId="0" fontId="78" fillId="21" borderId="24" xfId="11" applyFont="1" applyFill="1" applyBorder="1" applyAlignment="1">
      <alignment horizontal="left"/>
    </xf>
    <xf numFmtId="0" fontId="78" fillId="10" borderId="20" xfId="11" applyFont="1" applyFill="1" applyBorder="1" applyAlignment="1">
      <alignment horizontal="left"/>
    </xf>
    <xf numFmtId="0" fontId="78" fillId="0" borderId="0" xfId="11" applyFont="1" applyBorder="1"/>
    <xf numFmtId="0" fontId="78" fillId="10" borderId="27" xfId="11" applyFont="1" applyFill="1" applyBorder="1" applyAlignment="1">
      <alignment horizontal="left"/>
    </xf>
    <xf numFmtId="170" fontId="78" fillId="17" borderId="0" xfId="3" applyNumberFormat="1" applyFont="1" applyFill="1" applyAlignment="1">
      <alignment horizontal="center"/>
    </xf>
    <xf numFmtId="168" fontId="78" fillId="37" borderId="0" xfId="3" applyNumberFormat="1" applyFont="1" applyFill="1" applyAlignment="1">
      <alignment horizontal="center" vertical="center"/>
    </xf>
    <xf numFmtId="0" fontId="78" fillId="17" borderId="0" xfId="11" applyFont="1" applyFill="1" applyBorder="1" applyAlignment="1">
      <alignment horizontal="left"/>
    </xf>
    <xf numFmtId="0" fontId="94" fillId="10" borderId="0" xfId="6" applyFont="1" applyFill="1" applyBorder="1" applyAlignment="1">
      <alignment vertical="center"/>
    </xf>
    <xf numFmtId="0" fontId="78" fillId="10" borderId="27" xfId="11" applyFont="1" applyFill="1" applyBorder="1" applyAlignment="1">
      <alignment horizontal="left" vertical="center"/>
    </xf>
    <xf numFmtId="170" fontId="78" fillId="10" borderId="0" xfId="3" applyNumberFormat="1" applyFont="1" applyFill="1" applyAlignment="1">
      <alignment horizontal="center" vertical="center"/>
    </xf>
    <xf numFmtId="169" fontId="78" fillId="10" borderId="0" xfId="11" applyNumberFormat="1" applyFont="1" applyFill="1" applyBorder="1" applyAlignment="1">
      <alignment horizontal="left" vertical="center"/>
    </xf>
    <xf numFmtId="0" fontId="78" fillId="10" borderId="0" xfId="11" applyFont="1" applyFill="1" applyBorder="1" applyAlignment="1">
      <alignment vertical="center"/>
    </xf>
    <xf numFmtId="0" fontId="78" fillId="10" borderId="24" xfId="11" applyFont="1" applyFill="1" applyBorder="1" applyAlignment="1">
      <alignment horizontal="left" vertical="center"/>
    </xf>
    <xf numFmtId="0" fontId="78" fillId="17" borderId="0" xfId="11" applyFont="1" applyFill="1" applyBorder="1" applyAlignment="1">
      <alignment horizontal="left" vertical="center"/>
    </xf>
    <xf numFmtId="0" fontId="78" fillId="10" borderId="20" xfId="11" applyFont="1" applyFill="1" applyBorder="1" applyAlignment="1">
      <alignment horizontal="left" vertical="center"/>
    </xf>
    <xf numFmtId="0" fontId="78" fillId="10" borderId="0" xfId="11" applyFont="1" applyFill="1" applyBorder="1" applyAlignment="1">
      <alignment horizontal="left" vertical="center"/>
    </xf>
    <xf numFmtId="0" fontId="24" fillId="0" borderId="0" xfId="11" applyFont="1" applyBorder="1"/>
    <xf numFmtId="168" fontId="78" fillId="21" borderId="0" xfId="3" applyNumberFormat="1" applyFont="1" applyFill="1" applyBorder="1" applyAlignment="1">
      <alignment horizontal="center" vertical="center"/>
    </xf>
    <xf numFmtId="0" fontId="78" fillId="30" borderId="0" xfId="6" applyFont="1" applyFill="1"/>
    <xf numFmtId="168" fontId="78" fillId="21" borderId="17" xfId="3" applyNumberFormat="1" applyFont="1" applyFill="1" applyBorder="1" applyAlignment="1">
      <alignment horizontal="center" vertical="center"/>
    </xf>
    <xf numFmtId="168" fontId="78" fillId="39" borderId="0" xfId="3" applyNumberFormat="1" applyFont="1" applyFill="1" applyAlignment="1">
      <alignment horizontal="center" vertical="center"/>
    </xf>
    <xf numFmtId="170" fontId="78" fillId="13" borderId="0" xfId="3" applyNumberFormat="1" applyFont="1" applyFill="1" applyAlignment="1">
      <alignment horizontal="center"/>
    </xf>
    <xf numFmtId="0" fontId="24" fillId="10" borderId="0" xfId="11" applyFill="1"/>
    <xf numFmtId="0" fontId="78" fillId="17" borderId="0" xfId="11" quotePrefix="1" applyFont="1" applyFill="1" applyBorder="1" applyAlignment="1">
      <alignment horizontal="left"/>
    </xf>
    <xf numFmtId="0" fontId="24" fillId="10" borderId="0" xfId="0" applyFont="1" applyFill="1" applyAlignment="1">
      <alignment horizontal="left" vertical="center"/>
    </xf>
    <xf numFmtId="4" fontId="34" fillId="39" borderId="1" xfId="4" applyNumberFormat="1" applyFont="1" applyFill="1" applyBorder="1" applyAlignment="1">
      <alignment horizontal="center"/>
    </xf>
    <xf numFmtId="4" fontId="100" fillId="23" borderId="62" xfId="8" applyNumberFormat="1" applyFont="1" applyFill="1" applyBorder="1" applyAlignment="1">
      <alignment horizontal="center" vertical="center"/>
    </xf>
    <xf numFmtId="0" fontId="100" fillId="21" borderId="20" xfId="4" applyFont="1" applyFill="1" applyBorder="1" applyAlignment="1">
      <alignment horizontal="center" vertical="center"/>
    </xf>
    <xf numFmtId="0" fontId="25" fillId="11" borderId="16" xfId="0" applyFont="1" applyFill="1" applyBorder="1" applyAlignment="1">
      <alignment vertical="center"/>
    </xf>
    <xf numFmtId="0" fontId="24" fillId="17" borderId="24" xfId="0" applyFont="1" applyFill="1" applyBorder="1" applyAlignment="1">
      <alignment horizontal="center"/>
    </xf>
    <xf numFmtId="4" fontId="24" fillId="17" borderId="24" xfId="8" applyNumberFormat="1" applyFont="1" applyFill="1" applyBorder="1"/>
    <xf numFmtId="0" fontId="24" fillId="10" borderId="10" xfId="0" applyFont="1" applyFill="1" applyBorder="1" applyAlignment="1">
      <alignment vertical="center"/>
    </xf>
    <xf numFmtId="0" fontId="24" fillId="10" borderId="8" xfId="0" applyFont="1" applyFill="1" applyBorder="1" applyAlignment="1">
      <alignment vertical="center"/>
    </xf>
    <xf numFmtId="0" fontId="24" fillId="23" borderId="24" xfId="0" applyFont="1" applyFill="1" applyBorder="1" applyAlignment="1">
      <alignment horizontal="center"/>
    </xf>
    <xf numFmtId="4" fontId="24" fillId="23" borderId="24" xfId="8" applyNumberFormat="1" applyFont="1" applyFill="1" applyBorder="1"/>
    <xf numFmtId="0" fontId="101" fillId="10" borderId="17" xfId="4" applyFont="1" applyFill="1" applyBorder="1" applyAlignment="1">
      <alignment horizontal="center" vertical="center"/>
    </xf>
    <xf numFmtId="1" fontId="0" fillId="0" borderId="0" xfId="0" applyNumberFormat="1" applyAlignment="1">
      <alignment vertical="center"/>
    </xf>
    <xf numFmtId="167" fontId="0" fillId="0" borderId="0" xfId="8" applyNumberFormat="1" applyFont="1" applyAlignment="1">
      <alignment vertical="center"/>
    </xf>
    <xf numFmtId="0" fontId="0" fillId="0" borderId="0" xfId="8" applyFont="1" applyFill="1" applyAlignment="1">
      <alignment vertical="center"/>
    </xf>
    <xf numFmtId="167" fontId="24" fillId="0" borderId="0" xfId="8" quotePrefix="1" applyNumberFormat="1" applyFont="1" applyBorder="1" applyAlignment="1">
      <alignment horizontal="right" indent="1"/>
    </xf>
    <xf numFmtId="0" fontId="24" fillId="0" borderId="0" xfId="8" applyFont="1" applyBorder="1" applyAlignment="1">
      <alignment horizontal="left" wrapText="1"/>
    </xf>
    <xf numFmtId="2" fontId="24" fillId="0" borderId="0" xfId="8" applyNumberFormat="1" applyFont="1" applyBorder="1" applyAlignment="1">
      <alignment horizontal="left" indent="1"/>
    </xf>
    <xf numFmtId="2" fontId="24" fillId="0" borderId="0" xfId="8" applyNumberFormat="1" applyFont="1" applyFill="1" applyBorder="1" applyAlignment="1">
      <alignment horizontal="left" indent="1"/>
    </xf>
    <xf numFmtId="0" fontId="38" fillId="0" borderId="0" xfId="1" applyFont="1" applyBorder="1" applyAlignment="1">
      <alignment horizontal="center"/>
    </xf>
    <xf numFmtId="1" fontId="24" fillId="21" borderId="18" xfId="8" applyNumberFormat="1" applyFont="1" applyFill="1" applyBorder="1" applyAlignment="1">
      <alignment horizontal="center" vertical="center"/>
    </xf>
    <xf numFmtId="0" fontId="24" fillId="0" borderId="1" xfId="8" applyFont="1" applyBorder="1" applyAlignment="1">
      <alignment horizontal="left" vertical="center" wrapText="1"/>
    </xf>
    <xf numFmtId="167" fontId="24" fillId="0" borderId="1" xfId="8" quotePrefix="1" applyNumberFormat="1" applyFont="1" applyBorder="1" applyAlignment="1">
      <alignment horizontal="center" vertical="center"/>
    </xf>
    <xf numFmtId="1" fontId="24" fillId="0" borderId="0" xfId="8" applyNumberFormat="1" applyFont="1" applyFill="1" applyBorder="1" applyAlignment="1">
      <alignment horizontal="center"/>
    </xf>
    <xf numFmtId="1" fontId="25" fillId="0" borderId="0" xfId="8" applyNumberFormat="1" applyFont="1" applyAlignment="1">
      <alignment vertical="center"/>
    </xf>
    <xf numFmtId="0" fontId="64" fillId="0" borderId="0" xfId="8" applyFont="1" applyAlignment="1">
      <alignment horizontal="left" vertical="center" wrapText="1"/>
    </xf>
    <xf numFmtId="0" fontId="63" fillId="0" borderId="0" xfId="8" applyFont="1" applyFill="1" applyAlignment="1">
      <alignment horizontal="right" vertical="center"/>
    </xf>
    <xf numFmtId="0" fontId="63" fillId="0" borderId="0" xfId="8" applyFont="1" applyFill="1" applyAlignment="1">
      <alignment vertical="center"/>
    </xf>
    <xf numFmtId="4" fontId="63" fillId="0" borderId="17" xfId="8" quotePrefix="1" applyNumberFormat="1" applyFont="1" applyFill="1" applyBorder="1" applyAlignment="1">
      <alignment horizontal="right" vertical="center"/>
    </xf>
    <xf numFmtId="4" fontId="121" fillId="0" borderId="0" xfId="8" applyNumberFormat="1" applyFont="1" applyFill="1" applyAlignment="1">
      <alignment horizontal="left" vertical="center" indent="1"/>
    </xf>
    <xf numFmtId="4" fontId="98" fillId="0" borderId="17" xfId="8" quotePrefix="1" applyNumberFormat="1" applyFont="1" applyFill="1" applyBorder="1" applyAlignment="1">
      <alignment horizontal="left" vertical="center" indent="1"/>
    </xf>
    <xf numFmtId="9" fontId="98" fillId="0" borderId="17" xfId="39492" applyFont="1" applyFill="1" applyBorder="1" applyAlignment="1">
      <alignment horizontal="left" vertical="center"/>
    </xf>
    <xf numFmtId="0" fontId="24" fillId="0" borderId="0" xfId="1" applyFont="1"/>
    <xf numFmtId="0" fontId="24" fillId="0" borderId="0" xfId="1" applyFont="1" applyFill="1"/>
    <xf numFmtId="165" fontId="0" fillId="20" borderId="0" xfId="1" applyNumberFormat="1" applyFont="1" applyFill="1" applyAlignment="1">
      <alignment horizontal="center"/>
    </xf>
    <xf numFmtId="0" fontId="101" fillId="21" borderId="39" xfId="4" applyFont="1" applyFill="1" applyBorder="1" applyAlignment="1">
      <alignment vertical="center"/>
    </xf>
    <xf numFmtId="0" fontId="101" fillId="21" borderId="40" xfId="4" applyFont="1" applyFill="1" applyBorder="1" applyAlignment="1">
      <alignment vertical="center"/>
    </xf>
    <xf numFmtId="0" fontId="100" fillId="30" borderId="1" xfId="4" applyFont="1" applyFill="1" applyBorder="1" applyAlignment="1">
      <alignment horizontal="center" vertical="center"/>
    </xf>
    <xf numFmtId="2" fontId="100" fillId="21" borderId="1" xfId="4" applyNumberFormat="1" applyFont="1" applyFill="1" applyBorder="1" applyAlignment="1">
      <alignment horizontal="center" vertical="center"/>
    </xf>
    <xf numFmtId="0" fontId="100" fillId="0" borderId="18" xfId="4" applyFont="1" applyFill="1" applyBorder="1" applyAlignment="1">
      <alignment horizontal="center" vertical="center"/>
    </xf>
    <xf numFmtId="0" fontId="101" fillId="21" borderId="54" xfId="4" applyFont="1" applyFill="1" applyBorder="1" applyAlignment="1">
      <alignment vertical="center"/>
    </xf>
    <xf numFmtId="0" fontId="100" fillId="10" borderId="19" xfId="4" applyFont="1" applyFill="1" applyBorder="1" applyAlignment="1">
      <alignment horizontal="center" vertical="center"/>
    </xf>
    <xf numFmtId="0" fontId="100" fillId="10" borderId="21" xfId="4" applyFont="1" applyFill="1" applyBorder="1" applyAlignment="1">
      <alignment horizontal="center" vertical="center"/>
    </xf>
    <xf numFmtId="0" fontId="100" fillId="23" borderId="20" xfId="4" applyFont="1" applyFill="1" applyBorder="1" applyAlignment="1">
      <alignment horizontal="center" vertical="center"/>
    </xf>
    <xf numFmtId="4" fontId="100" fillId="23" borderId="63" xfId="8" applyNumberFormat="1" applyFont="1" applyFill="1" applyBorder="1" applyAlignment="1">
      <alignment horizontal="center" vertical="center"/>
    </xf>
    <xf numFmtId="171" fontId="103" fillId="23" borderId="26" xfId="4" applyNumberFormat="1" applyFont="1" applyFill="1" applyBorder="1" applyAlignment="1">
      <alignment horizontal="center" vertical="center"/>
    </xf>
    <xf numFmtId="0" fontId="100" fillId="10" borderId="20" xfId="4" applyFont="1" applyFill="1" applyBorder="1" applyAlignment="1">
      <alignment horizontal="center" vertical="center"/>
    </xf>
    <xf numFmtId="4" fontId="104" fillId="28" borderId="8" xfId="8" applyNumberFormat="1" applyFont="1" applyFill="1" applyBorder="1" applyAlignment="1">
      <alignment horizontal="center" vertical="center"/>
    </xf>
    <xf numFmtId="0" fontId="101" fillId="21" borderId="9" xfId="4" applyFont="1" applyFill="1" applyBorder="1" applyAlignment="1">
      <alignment vertical="center"/>
    </xf>
    <xf numFmtId="0" fontId="100" fillId="10" borderId="56" xfId="4" applyFont="1" applyFill="1" applyBorder="1" applyAlignment="1">
      <alignment horizontal="center" vertical="center"/>
    </xf>
    <xf numFmtId="0" fontId="100" fillId="10" borderId="61" xfId="4" applyFont="1" applyFill="1" applyBorder="1" applyAlignment="1">
      <alignment horizontal="center" vertical="center"/>
    </xf>
    <xf numFmtId="0" fontId="100" fillId="23" borderId="64" xfId="4" applyFont="1" applyFill="1" applyBorder="1" applyAlignment="1">
      <alignment horizontal="center" vertical="center"/>
    </xf>
    <xf numFmtId="4" fontId="100" fillId="23" borderId="8" xfId="8" applyNumberFormat="1" applyFont="1" applyFill="1" applyBorder="1" applyAlignment="1">
      <alignment horizontal="center" vertical="center"/>
    </xf>
    <xf numFmtId="0" fontId="100" fillId="5" borderId="21" xfId="4" applyFont="1" applyFill="1" applyBorder="1" applyAlignment="1">
      <alignment horizontal="center" vertical="center"/>
    </xf>
    <xf numFmtId="4" fontId="104" fillId="28" borderId="9" xfId="8" applyNumberFormat="1" applyFont="1" applyFill="1" applyBorder="1" applyAlignment="1">
      <alignment horizontal="center" vertical="center"/>
    </xf>
    <xf numFmtId="0" fontId="101" fillId="21" borderId="41" xfId="4" applyFont="1" applyFill="1" applyBorder="1" applyAlignment="1">
      <alignment vertical="center"/>
    </xf>
    <xf numFmtId="171" fontId="103" fillId="23" borderId="65" xfId="4" applyNumberFormat="1" applyFont="1" applyFill="1" applyBorder="1" applyAlignment="1">
      <alignment horizontal="center" vertical="center"/>
    </xf>
    <xf numFmtId="0" fontId="100" fillId="21" borderId="64" xfId="4" applyFont="1" applyFill="1" applyBorder="1" applyAlignment="1">
      <alignment horizontal="center" vertical="center"/>
    </xf>
    <xf numFmtId="0" fontId="100" fillId="10" borderId="64" xfId="4" applyFont="1" applyFill="1" applyBorder="1" applyAlignment="1">
      <alignment horizontal="center" vertical="center"/>
    </xf>
    <xf numFmtId="2" fontId="100" fillId="10" borderId="64" xfId="4" applyNumberFormat="1" applyFont="1" applyFill="1" applyBorder="1" applyAlignment="1">
      <alignment horizontal="center" vertical="center"/>
    </xf>
    <xf numFmtId="0" fontId="101" fillId="21" borderId="16" xfId="4" applyFont="1" applyFill="1" applyBorder="1" applyAlignment="1">
      <alignment vertical="center"/>
    </xf>
    <xf numFmtId="0" fontId="100" fillId="10" borderId="66" xfId="4" applyFont="1" applyFill="1" applyBorder="1" applyAlignment="1">
      <alignment horizontal="center" vertical="center"/>
    </xf>
    <xf numFmtId="171" fontId="103" fillId="23" borderId="67" xfId="4" applyNumberFormat="1" applyFont="1" applyFill="1" applyBorder="1" applyAlignment="1">
      <alignment horizontal="center" vertical="center"/>
    </xf>
    <xf numFmtId="0" fontId="100" fillId="10" borderId="68" xfId="4" applyFont="1" applyFill="1" applyBorder="1" applyAlignment="1">
      <alignment horizontal="center" vertical="center"/>
    </xf>
    <xf numFmtId="0" fontId="100" fillId="21" borderId="69" xfId="4" applyFont="1" applyFill="1" applyBorder="1" applyAlignment="1">
      <alignment horizontal="center" vertical="center"/>
    </xf>
    <xf numFmtId="0" fontId="100" fillId="10" borderId="69" xfId="4" applyFont="1" applyFill="1" applyBorder="1" applyAlignment="1">
      <alignment horizontal="center" vertical="center"/>
    </xf>
    <xf numFmtId="2" fontId="100" fillId="10" borderId="69" xfId="4" applyNumberFormat="1" applyFont="1" applyFill="1" applyBorder="1" applyAlignment="1">
      <alignment horizontal="center" vertical="center"/>
    </xf>
    <xf numFmtId="2" fontId="100" fillId="23" borderId="70" xfId="4" applyNumberFormat="1" applyFont="1" applyFill="1" applyBorder="1" applyAlignment="1">
      <alignment horizontal="center" vertical="center"/>
    </xf>
    <xf numFmtId="0" fontId="100" fillId="23" borderId="69" xfId="4" applyFont="1" applyFill="1" applyBorder="1" applyAlignment="1">
      <alignment horizontal="center" vertical="center"/>
    </xf>
    <xf numFmtId="4" fontId="100" fillId="23" borderId="13" xfId="8" applyNumberFormat="1" applyFont="1" applyFill="1" applyBorder="1" applyAlignment="1">
      <alignment horizontal="center" vertical="center"/>
    </xf>
    <xf numFmtId="4" fontId="104" fillId="10" borderId="0" xfId="8" applyNumberFormat="1" applyFont="1" applyFill="1" applyBorder="1" applyAlignment="1">
      <alignment horizontal="center" vertical="center"/>
    </xf>
    <xf numFmtId="0" fontId="33" fillId="10" borderId="0" xfId="4" quotePrefix="1" applyFont="1" applyFill="1" applyBorder="1" applyAlignment="1">
      <alignment horizontal="left" vertical="center"/>
    </xf>
    <xf numFmtId="0" fontId="0" fillId="10" borderId="0" xfId="0" applyFill="1" applyAlignment="1">
      <alignment horizontal="left"/>
    </xf>
    <xf numFmtId="0" fontId="100" fillId="30" borderId="37" xfId="4" applyFont="1" applyFill="1" applyBorder="1" applyAlignment="1">
      <alignment horizontal="center" vertical="center"/>
    </xf>
    <xf numFmtId="2" fontId="100" fillId="21" borderId="37" xfId="4" applyNumberFormat="1" applyFont="1" applyFill="1" applyBorder="1" applyAlignment="1">
      <alignment horizontal="center" vertical="center"/>
    </xf>
    <xf numFmtId="2" fontId="100" fillId="17" borderId="1" xfId="4" applyNumberFormat="1" applyFont="1" applyFill="1" applyBorder="1" applyAlignment="1">
      <alignment horizontal="center" vertical="center"/>
    </xf>
    <xf numFmtId="0" fontId="100" fillId="17" borderId="44" xfId="4" applyFont="1" applyFill="1" applyBorder="1" applyAlignment="1">
      <alignment horizontal="center" vertical="center"/>
    </xf>
    <xf numFmtId="0" fontId="101" fillId="21" borderId="54" xfId="4" applyFont="1" applyFill="1" applyBorder="1" applyAlignment="1">
      <alignment horizontal="left" vertical="center"/>
    </xf>
    <xf numFmtId="0" fontId="101" fillId="21" borderId="39" xfId="4" applyFont="1" applyFill="1" applyBorder="1" applyAlignment="1">
      <alignment horizontal="left" vertical="center"/>
    </xf>
    <xf numFmtId="0" fontId="100" fillId="17" borderId="46" xfId="4" applyFont="1" applyFill="1" applyBorder="1" applyAlignment="1">
      <alignment horizontal="center" vertical="center"/>
    </xf>
    <xf numFmtId="0" fontId="101" fillId="21" borderId="40" xfId="4" applyFont="1" applyFill="1" applyBorder="1" applyAlignment="1">
      <alignment horizontal="left" vertical="center"/>
    </xf>
    <xf numFmtId="0" fontId="100" fillId="10" borderId="3" xfId="4" applyFont="1" applyFill="1" applyBorder="1" applyAlignment="1">
      <alignment horizontal="left" vertical="center"/>
    </xf>
    <xf numFmtId="0" fontId="100" fillId="10" borderId="0" xfId="4" applyFont="1" applyFill="1" applyBorder="1" applyAlignment="1">
      <alignment horizontal="left" vertical="center"/>
    </xf>
    <xf numFmtId="0" fontId="101" fillId="21" borderId="9" xfId="4" applyFont="1" applyFill="1" applyBorder="1" applyAlignment="1">
      <alignment horizontal="left" vertical="center"/>
    </xf>
    <xf numFmtId="0" fontId="101" fillId="21" borderId="41" xfId="4" applyFont="1" applyFill="1" applyBorder="1" applyAlignment="1">
      <alignment horizontal="left" vertical="center"/>
    </xf>
    <xf numFmtId="0" fontId="100" fillId="10" borderId="11" xfId="4" applyFont="1" applyFill="1" applyBorder="1" applyAlignment="1">
      <alignment vertical="center"/>
    </xf>
    <xf numFmtId="2" fontId="100" fillId="10" borderId="10" xfId="4" applyNumberFormat="1" applyFont="1" applyFill="1" applyBorder="1" applyAlignment="1">
      <alignment vertical="center"/>
    </xf>
    <xf numFmtId="0" fontId="101" fillId="21" borderId="54" xfId="4" applyFont="1" applyFill="1" applyBorder="1" applyAlignment="1">
      <alignment horizontal="center" vertical="center"/>
    </xf>
    <xf numFmtId="2" fontId="100" fillId="37" borderId="1" xfId="4" applyNumberFormat="1" applyFont="1" applyFill="1" applyBorder="1" applyAlignment="1">
      <alignment horizontal="center" vertical="center"/>
    </xf>
    <xf numFmtId="4" fontId="104" fillId="28" borderId="16" xfId="8" applyNumberFormat="1" applyFont="1" applyFill="1" applyBorder="1" applyAlignment="1">
      <alignment horizontal="center" vertical="center"/>
    </xf>
    <xf numFmtId="0" fontId="24" fillId="10" borderId="0" xfId="4" applyFont="1" applyFill="1" applyBorder="1"/>
    <xf numFmtId="4" fontId="104" fillId="10" borderId="17" xfId="8" applyNumberFormat="1" applyFont="1" applyFill="1" applyBorder="1" applyAlignment="1">
      <alignment horizontal="center" vertical="center"/>
    </xf>
    <xf numFmtId="0" fontId="24" fillId="10" borderId="0" xfId="4" applyFont="1" applyFill="1" applyAlignment="1">
      <alignment horizontal="center"/>
    </xf>
    <xf numFmtId="2" fontId="24" fillId="10" borderId="0" xfId="4" applyNumberFormat="1" applyFont="1" applyFill="1"/>
    <xf numFmtId="0" fontId="24" fillId="10" borderId="0" xfId="4" applyFont="1" applyFill="1" applyAlignment="1">
      <alignment horizontal="left"/>
    </xf>
    <xf numFmtId="0" fontId="59" fillId="10" borderId="0" xfId="11" applyFont="1" applyFill="1" applyBorder="1" applyAlignment="1">
      <alignment horizontal="left"/>
    </xf>
    <xf numFmtId="170" fontId="59" fillId="10" borderId="0" xfId="11" applyNumberFormat="1" applyFont="1" applyFill="1" applyBorder="1" applyAlignment="1">
      <alignment horizontal="right"/>
    </xf>
    <xf numFmtId="2" fontId="59" fillId="10" borderId="0" xfId="11" applyNumberFormat="1" applyFont="1" applyFill="1" applyBorder="1" applyAlignment="1">
      <alignment horizontal="center" vertical="center"/>
    </xf>
    <xf numFmtId="0" fontId="59" fillId="10" borderId="0" xfId="11" applyFont="1" applyFill="1" applyBorder="1" applyAlignment="1">
      <alignment horizontal="center" vertical="center"/>
    </xf>
    <xf numFmtId="169" fontId="59" fillId="10" borderId="0" xfId="11" applyNumberFormat="1" applyFont="1" applyFill="1" applyBorder="1" applyAlignment="1">
      <alignment horizontal="left"/>
    </xf>
    <xf numFmtId="2" fontId="59" fillId="10" borderId="0" xfId="11" applyNumberFormat="1" applyFont="1" applyFill="1" applyBorder="1"/>
    <xf numFmtId="0" fontId="59" fillId="10" borderId="1" xfId="11" applyFont="1" applyFill="1" applyBorder="1" applyAlignment="1">
      <alignment horizontal="right" vertical="center" indent="1"/>
    </xf>
    <xf numFmtId="172" fontId="122" fillId="10" borderId="0" xfId="11" applyNumberFormat="1" applyFont="1" applyFill="1" applyBorder="1" applyAlignment="1">
      <alignment horizontal="center" vertical="center"/>
    </xf>
    <xf numFmtId="169" fontId="59" fillId="10" borderId="0" xfId="11" applyNumberFormat="1" applyFont="1" applyFill="1" applyBorder="1" applyAlignment="1">
      <alignment horizontal="left" vertical="center"/>
    </xf>
    <xf numFmtId="2" fontId="59" fillId="10" borderId="0" xfId="11" applyNumberFormat="1" applyFont="1" applyFill="1" applyBorder="1" applyAlignment="1">
      <alignment vertical="center"/>
    </xf>
    <xf numFmtId="0" fontId="24" fillId="10" borderId="0" xfId="11" applyFont="1" applyFill="1" applyBorder="1" applyAlignment="1">
      <alignment vertical="center"/>
    </xf>
    <xf numFmtId="172" fontId="34" fillId="35" borderId="1" xfId="11" applyNumberFormat="1" applyFont="1" applyFill="1" applyBorder="1" applyAlignment="1">
      <alignment horizontal="center" vertical="center"/>
    </xf>
    <xf numFmtId="2" fontId="59" fillId="10" borderId="0" xfId="11" applyNumberFormat="1" applyFont="1" applyFill="1" applyBorder="1" applyAlignment="1">
      <alignment horizontal="left" vertical="center"/>
    </xf>
    <xf numFmtId="0" fontId="24" fillId="0" borderId="0" xfId="39490" applyFill="1" applyAlignment="1">
      <alignment vertical="center"/>
    </xf>
    <xf numFmtId="0" fontId="25" fillId="10" borderId="0" xfId="39490" applyFont="1" applyFill="1" applyAlignment="1">
      <alignment horizontal="center" vertical="center"/>
    </xf>
    <xf numFmtId="0" fontId="25" fillId="10" borderId="0" xfId="39490" applyFont="1" applyFill="1" applyAlignment="1">
      <alignment vertical="center"/>
    </xf>
    <xf numFmtId="9" fontId="59" fillId="21" borderId="34" xfId="179" applyFont="1" applyFill="1" applyBorder="1" applyAlignment="1">
      <alignment horizontal="center" vertical="center"/>
    </xf>
    <xf numFmtId="0" fontId="78" fillId="10" borderId="0" xfId="11" quotePrefix="1" applyFont="1" applyFill="1" applyBorder="1" applyAlignment="1">
      <alignment horizontal="left"/>
    </xf>
    <xf numFmtId="0" fontId="24" fillId="10" borderId="0" xfId="11" applyFont="1" applyFill="1" applyBorder="1" applyAlignment="1"/>
    <xf numFmtId="0" fontId="90" fillId="17" borderId="0" xfId="6" applyFont="1" applyFill="1" applyBorder="1" applyAlignment="1">
      <alignment horizontal="left"/>
    </xf>
    <xf numFmtId="169" fontId="90" fillId="17" borderId="0" xfId="3" applyNumberFormat="1" applyFont="1" applyFill="1" applyAlignment="1">
      <alignment horizontal="left"/>
    </xf>
    <xf numFmtId="2" fontId="90" fillId="17" borderId="0" xfId="6" applyNumberFormat="1" applyFont="1" applyFill="1" applyBorder="1"/>
    <xf numFmtId="168" fontId="35" fillId="17" borderId="0" xfId="11" applyNumberFormat="1" applyFont="1" applyFill="1" applyAlignment="1">
      <alignment horizontal="center" vertical="center"/>
    </xf>
    <xf numFmtId="169" fontId="24" fillId="17" borderId="0" xfId="11" applyNumberFormat="1" applyFont="1" applyFill="1" applyAlignment="1">
      <alignment horizontal="left"/>
    </xf>
    <xf numFmtId="0" fontId="35" fillId="17" borderId="0" xfId="6" applyFont="1" applyFill="1"/>
    <xf numFmtId="0" fontId="101" fillId="21" borderId="5" xfId="4" applyFont="1" applyFill="1" applyBorder="1" applyAlignment="1">
      <alignment vertical="center"/>
    </xf>
    <xf numFmtId="0" fontId="100" fillId="10" borderId="57" xfId="4" applyFont="1" applyFill="1" applyBorder="1" applyAlignment="1">
      <alignment horizontal="center" vertical="center"/>
    </xf>
    <xf numFmtId="171" fontId="103" fillId="23" borderId="71" xfId="4" applyNumberFormat="1" applyFont="1" applyFill="1" applyBorder="1" applyAlignment="1">
      <alignment horizontal="center" vertical="center"/>
    </xf>
    <xf numFmtId="0" fontId="100" fillId="10" borderId="55" xfId="4" applyFont="1" applyFill="1" applyBorder="1" applyAlignment="1">
      <alignment horizontal="center" vertical="center"/>
    </xf>
    <xf numFmtId="0" fontId="100" fillId="21" borderId="45" xfId="4" applyFont="1" applyFill="1" applyBorder="1" applyAlignment="1">
      <alignment horizontal="center" vertical="center"/>
    </xf>
    <xf numFmtId="0" fontId="100" fillId="10" borderId="45" xfId="4" applyFont="1" applyFill="1" applyBorder="1" applyAlignment="1">
      <alignment horizontal="center" vertical="center"/>
    </xf>
    <xf numFmtId="2" fontId="100" fillId="10" borderId="45" xfId="4" applyNumberFormat="1" applyFont="1" applyFill="1" applyBorder="1" applyAlignment="1">
      <alignment horizontal="center" vertical="center"/>
    </xf>
    <xf numFmtId="2" fontId="100" fillId="23" borderId="72" xfId="4" applyNumberFormat="1" applyFont="1" applyFill="1" applyBorder="1" applyAlignment="1">
      <alignment horizontal="center" vertical="center"/>
    </xf>
    <xf numFmtId="0" fontId="100" fillId="23" borderId="45" xfId="4" applyFont="1" applyFill="1" applyBorder="1" applyAlignment="1">
      <alignment horizontal="center" vertical="center"/>
    </xf>
    <xf numFmtId="4" fontId="100" fillId="23" borderId="4" xfId="8" applyNumberFormat="1" applyFont="1" applyFill="1" applyBorder="1" applyAlignment="1">
      <alignment horizontal="center" vertical="center"/>
    </xf>
    <xf numFmtId="0" fontId="57" fillId="10" borderId="0" xfId="0" applyFont="1" applyFill="1"/>
    <xf numFmtId="0" fontId="78" fillId="17" borderId="0" xfId="6" applyFont="1" applyFill="1"/>
    <xf numFmtId="169" fontId="78" fillId="17" borderId="0" xfId="3" applyNumberFormat="1" applyFont="1" applyFill="1" applyAlignment="1">
      <alignment horizontal="center"/>
    </xf>
    <xf numFmtId="169" fontId="78" fillId="17" borderId="0" xfId="11" applyNumberFormat="1" applyFont="1" applyFill="1" applyBorder="1" applyAlignment="1">
      <alignment horizontal="left"/>
    </xf>
    <xf numFmtId="0" fontId="39" fillId="41" borderId="0" xfId="6" applyFont="1" applyFill="1"/>
    <xf numFmtId="3" fontId="33" fillId="10" borderId="0" xfId="4" applyNumberFormat="1" applyFont="1" applyFill="1" applyBorder="1" applyAlignment="1">
      <alignment horizontal="center" vertical="center"/>
    </xf>
    <xf numFmtId="4" fontId="59" fillId="10" borderId="0" xfId="4" applyNumberFormat="1" applyFont="1" applyFill="1" applyBorder="1" applyAlignment="1">
      <alignment horizontal="center" vertical="center"/>
    </xf>
    <xf numFmtId="0" fontId="78" fillId="10" borderId="29" xfId="6" applyFont="1" applyFill="1" applyBorder="1"/>
    <xf numFmtId="170" fontId="78" fillId="10" borderId="30" xfId="3" applyNumberFormat="1" applyFont="1" applyFill="1" applyBorder="1" applyAlignment="1">
      <alignment horizontal="center"/>
    </xf>
    <xf numFmtId="169" fontId="96" fillId="10" borderId="30" xfId="3" applyNumberFormat="1" applyFont="1" applyFill="1" applyBorder="1" applyAlignment="1">
      <alignment horizontal="center"/>
    </xf>
    <xf numFmtId="168" fontId="78" fillId="10" borderId="30" xfId="3" applyNumberFormat="1" applyFont="1" applyFill="1" applyBorder="1" applyAlignment="1">
      <alignment horizontal="center" vertical="center"/>
    </xf>
    <xf numFmtId="169" fontId="78" fillId="10" borderId="30" xfId="0" applyNumberFormat="1" applyFont="1" applyFill="1" applyBorder="1" applyAlignment="1">
      <alignment horizontal="left"/>
    </xf>
    <xf numFmtId="0" fontId="78" fillId="10" borderId="30" xfId="0" applyFont="1" applyFill="1" applyBorder="1" applyAlignment="1">
      <alignment horizontal="left"/>
    </xf>
    <xf numFmtId="0" fontId="78" fillId="10" borderId="30" xfId="0" applyFont="1" applyFill="1" applyBorder="1"/>
    <xf numFmtId="0" fontId="24" fillId="10" borderId="31" xfId="0" applyFont="1" applyFill="1" applyBorder="1" applyAlignment="1">
      <alignment horizontal="center" vertical="center"/>
    </xf>
    <xf numFmtId="0" fontId="78" fillId="10" borderId="25" xfId="11" quotePrefix="1" applyFont="1" applyFill="1" applyBorder="1" applyAlignment="1">
      <alignment horizontal="left"/>
    </xf>
    <xf numFmtId="170" fontId="78" fillId="10" borderId="0" xfId="3" applyNumberFormat="1" applyFont="1" applyFill="1" applyBorder="1" applyAlignment="1">
      <alignment horizontal="center"/>
    </xf>
    <xf numFmtId="169" fontId="96" fillId="10" borderId="0" xfId="3" applyNumberFormat="1" applyFont="1" applyFill="1" applyBorder="1" applyAlignment="1">
      <alignment horizontal="center"/>
    </xf>
    <xf numFmtId="0" fontId="78" fillId="10" borderId="23" xfId="11" applyFont="1" applyFill="1" applyBorder="1"/>
    <xf numFmtId="0" fontId="40" fillId="8" borderId="25" xfId="8" applyFont="1" applyFill="1" applyBorder="1"/>
    <xf numFmtId="170" fontId="41" fillId="8" borderId="0" xfId="3" applyNumberFormat="1" applyFont="1" applyFill="1" applyBorder="1" applyAlignment="1">
      <alignment horizontal="center"/>
    </xf>
    <xf numFmtId="168" fontId="40" fillId="8" borderId="0" xfId="3" applyNumberFormat="1" applyFont="1" applyFill="1" applyBorder="1" applyAlignment="1">
      <alignment horizontal="center" vertical="center"/>
    </xf>
    <xf numFmtId="168" fontId="35" fillId="8" borderId="0" xfId="3" applyNumberFormat="1" applyFont="1" applyFill="1" applyBorder="1" applyAlignment="1">
      <alignment horizontal="center" vertical="center"/>
    </xf>
    <xf numFmtId="169" fontId="24" fillId="8" borderId="0" xfId="3" applyNumberFormat="1" applyFont="1" applyFill="1" applyBorder="1" applyAlignment="1">
      <alignment horizontal="left"/>
    </xf>
    <xf numFmtId="0" fontId="40" fillId="8" borderId="0" xfId="0" applyFont="1" applyFill="1" applyBorder="1"/>
    <xf numFmtId="0" fontId="40" fillId="8" borderId="23" xfId="0" applyFont="1" applyFill="1" applyBorder="1"/>
    <xf numFmtId="0" fontId="78" fillId="10" borderId="26" xfId="6" applyFont="1" applyFill="1" applyBorder="1"/>
    <xf numFmtId="169" fontId="78" fillId="10" borderId="17" xfId="3" applyNumberFormat="1" applyFont="1" applyFill="1" applyBorder="1" applyAlignment="1">
      <alignment horizontal="center"/>
    </xf>
    <xf numFmtId="169" fontId="78" fillId="10" borderId="17" xfId="11" applyNumberFormat="1" applyFont="1" applyFill="1" applyBorder="1" applyAlignment="1">
      <alignment horizontal="left"/>
    </xf>
    <xf numFmtId="0" fontId="78" fillId="10" borderId="17" xfId="0" applyFont="1" applyFill="1" applyBorder="1" applyAlignment="1">
      <alignment horizontal="left"/>
    </xf>
    <xf numFmtId="0" fontId="78" fillId="10" borderId="17" xfId="0" applyFont="1" applyFill="1" applyBorder="1"/>
    <xf numFmtId="0" fontId="94" fillId="10" borderId="17" xfId="11" applyFont="1" applyFill="1" applyBorder="1"/>
    <xf numFmtId="0" fontId="78" fillId="10" borderId="19" xfId="11" applyFont="1" applyFill="1" applyBorder="1"/>
    <xf numFmtId="170" fontId="24" fillId="10" borderId="0" xfId="0" applyNumberFormat="1" applyFont="1" applyFill="1"/>
    <xf numFmtId="0" fontId="124" fillId="10" borderId="0" xfId="8" applyFont="1" applyFill="1"/>
    <xf numFmtId="170" fontId="35" fillId="10" borderId="0" xfId="3" applyNumberFormat="1" applyFont="1" applyFill="1"/>
    <xf numFmtId="169" fontId="78" fillId="39" borderId="0" xfId="3" applyNumberFormat="1" applyFont="1" applyFill="1" applyAlignment="1">
      <alignment horizontal="center"/>
    </xf>
    <xf numFmtId="2" fontId="100" fillId="23" borderId="51" xfId="4" applyNumberFormat="1" applyFont="1" applyFill="1" applyBorder="1" applyAlignment="1">
      <alignment horizontal="center" vertical="center"/>
    </xf>
    <xf numFmtId="0" fontId="24" fillId="10" borderId="22" xfId="0" applyFont="1" applyFill="1" applyBorder="1" applyAlignment="1">
      <alignment horizontal="center" vertical="center"/>
    </xf>
    <xf numFmtId="0" fontId="35" fillId="10" borderId="0" xfId="6" applyFont="1" applyFill="1"/>
    <xf numFmtId="169" fontId="35" fillId="10" borderId="0" xfId="3" applyNumberFormat="1" applyFont="1" applyFill="1" applyAlignment="1">
      <alignment horizontal="left"/>
    </xf>
    <xf numFmtId="0" fontId="35" fillId="10" borderId="0" xfId="11" applyFont="1" applyFill="1"/>
    <xf numFmtId="0" fontId="101" fillId="21" borderId="74" xfId="4" applyFont="1" applyFill="1" applyBorder="1" applyAlignment="1">
      <alignment vertical="center"/>
    </xf>
    <xf numFmtId="0" fontId="100" fillId="0" borderId="31" xfId="4" applyFont="1" applyFill="1" applyBorder="1" applyAlignment="1">
      <alignment horizontal="center" vertical="center"/>
    </xf>
    <xf numFmtId="171" fontId="103" fillId="23" borderId="29" xfId="4" applyNumberFormat="1" applyFont="1" applyFill="1" applyBorder="1" applyAlignment="1">
      <alignment horizontal="center" vertical="center"/>
    </xf>
    <xf numFmtId="0" fontId="100" fillId="10" borderId="75" xfId="4" applyFont="1" applyFill="1" applyBorder="1" applyAlignment="1">
      <alignment horizontal="center" vertical="center"/>
    </xf>
    <xf numFmtId="0" fontId="100" fillId="21" borderId="27" xfId="4" applyFont="1" applyFill="1" applyBorder="1" applyAlignment="1">
      <alignment horizontal="center" vertical="center"/>
    </xf>
    <xf numFmtId="0" fontId="100" fillId="10" borderId="27" xfId="4" applyFont="1" applyFill="1" applyBorder="1" applyAlignment="1">
      <alignment horizontal="center" vertical="center"/>
    </xf>
    <xf numFmtId="0" fontId="100" fillId="30" borderId="27" xfId="4" applyFont="1" applyFill="1" applyBorder="1" applyAlignment="1">
      <alignment horizontal="center" vertical="center"/>
    </xf>
    <xf numFmtId="2" fontId="100" fillId="21" borderId="27" xfId="4" applyNumberFormat="1" applyFont="1" applyFill="1" applyBorder="1" applyAlignment="1">
      <alignment horizontal="center" vertical="center"/>
    </xf>
    <xf numFmtId="2" fontId="100" fillId="23" borderId="76" xfId="4" applyNumberFormat="1" applyFont="1" applyFill="1" applyBorder="1" applyAlignment="1">
      <alignment horizontal="center" vertical="center"/>
    </xf>
    <xf numFmtId="0" fontId="100" fillId="0" borderId="75" xfId="4" applyFont="1" applyFill="1" applyBorder="1" applyAlignment="1">
      <alignment horizontal="center" vertical="center"/>
    </xf>
    <xf numFmtId="0" fontId="100" fillId="23" borderId="27" xfId="4" applyFont="1" applyFill="1" applyBorder="1" applyAlignment="1">
      <alignment horizontal="center" vertical="center"/>
    </xf>
    <xf numFmtId="0" fontId="39" fillId="30" borderId="0" xfId="6" applyFont="1" applyFill="1"/>
    <xf numFmtId="168" fontId="35" fillId="30" borderId="0" xfId="3" applyNumberFormat="1" applyFont="1" applyFill="1" applyAlignment="1">
      <alignment horizontal="center" vertical="center"/>
    </xf>
    <xf numFmtId="169" fontId="24" fillId="30" borderId="0" xfId="3" applyNumberFormat="1" applyFont="1" applyFill="1" applyAlignment="1">
      <alignment horizontal="left"/>
    </xf>
    <xf numFmtId="2" fontId="125" fillId="6" borderId="0" xfId="6" applyNumberFormat="1" applyFont="1" applyFill="1" applyBorder="1"/>
    <xf numFmtId="0" fontId="59" fillId="10" borderId="0" xfId="1" applyFont="1" applyFill="1" applyAlignment="1">
      <alignment vertical="center"/>
    </xf>
    <xf numFmtId="0" fontId="59" fillId="0" borderId="0" xfId="1" applyFont="1" applyFill="1" applyAlignment="1">
      <alignment vertical="center"/>
    </xf>
    <xf numFmtId="167" fontId="24" fillId="10" borderId="0" xfId="8" applyNumberFormat="1" applyFont="1" applyFill="1" applyBorder="1" applyAlignment="1">
      <alignment horizontal="center" vertical="center"/>
    </xf>
    <xf numFmtId="4" fontId="24" fillId="10" borderId="0" xfId="8" applyNumberFormat="1" applyFont="1" applyFill="1" applyBorder="1" applyAlignment="1">
      <alignment horizontal="right" vertical="center"/>
    </xf>
    <xf numFmtId="0" fontId="63" fillId="10" borderId="0" xfId="0" applyFont="1" applyFill="1" applyAlignment="1">
      <alignment horizontal="center" vertical="center"/>
    </xf>
    <xf numFmtId="0" fontId="63" fillId="10" borderId="0" xfId="0" applyFont="1" applyFill="1" applyAlignment="1">
      <alignment horizontal="left" vertical="center"/>
    </xf>
    <xf numFmtId="0" fontId="63" fillId="10" borderId="0" xfId="0" applyFont="1" applyFill="1" applyAlignment="1">
      <alignment vertical="center"/>
    </xf>
    <xf numFmtId="0" fontId="26" fillId="10" borderId="3" xfId="0" applyFont="1" applyFill="1" applyBorder="1" applyAlignment="1">
      <alignment vertical="center"/>
    </xf>
    <xf numFmtId="0" fontId="88" fillId="10" borderId="3" xfId="0" applyFont="1" applyFill="1" applyBorder="1" applyAlignment="1">
      <alignment vertical="center"/>
    </xf>
    <xf numFmtId="4" fontId="24" fillId="10" borderId="3" xfId="8" applyNumberFormat="1" applyFont="1" applyFill="1" applyBorder="1" applyAlignment="1">
      <alignment horizontal="right" vertical="center"/>
    </xf>
    <xf numFmtId="4" fontId="25" fillId="10" borderId="3" xfId="8" applyNumberFormat="1" applyFont="1" applyFill="1" applyBorder="1" applyAlignment="1">
      <alignment vertical="center"/>
    </xf>
    <xf numFmtId="4" fontId="25" fillId="10" borderId="4" xfId="8" applyNumberFormat="1" applyFont="1" applyFill="1" applyBorder="1" applyAlignment="1">
      <alignment horizontal="center" vertical="center"/>
    </xf>
    <xf numFmtId="0" fontId="105" fillId="10" borderId="0" xfId="0" applyFont="1" applyFill="1" applyAlignment="1">
      <alignment horizontal="center" vertical="center"/>
    </xf>
    <xf numFmtId="0" fontId="89" fillId="10" borderId="5" xfId="0" applyFont="1" applyFill="1" applyBorder="1" applyAlignment="1">
      <alignment horizontal="center" vertical="center"/>
    </xf>
    <xf numFmtId="0" fontId="26" fillId="10" borderId="24" xfId="0" applyFont="1" applyFill="1" applyBorder="1" applyAlignment="1">
      <alignment vertical="center"/>
    </xf>
    <xf numFmtId="4" fontId="25" fillId="10" borderId="0" xfId="8" applyNumberFormat="1" applyFont="1" applyFill="1" applyBorder="1" applyAlignment="1">
      <alignment vertical="center"/>
    </xf>
    <xf numFmtId="4" fontId="25" fillId="10" borderId="10" xfId="8" applyNumberFormat="1" applyFont="1" applyFill="1" applyBorder="1" applyAlignment="1">
      <alignment horizontal="center" vertical="center"/>
    </xf>
    <xf numFmtId="0" fontId="89" fillId="10" borderId="15" xfId="0" applyFont="1" applyFill="1" applyBorder="1" applyAlignment="1">
      <alignment horizontal="center" vertical="center"/>
    </xf>
    <xf numFmtId="4" fontId="63" fillId="10" borderId="24" xfId="8" applyNumberFormat="1" applyFont="1" applyFill="1" applyBorder="1" applyAlignment="1">
      <alignment vertical="center"/>
    </xf>
    <xf numFmtId="4" fontId="24" fillId="10" borderId="10" xfId="0" applyNumberFormat="1" applyFont="1" applyFill="1" applyBorder="1" applyAlignment="1">
      <alignment horizontal="center" vertical="center"/>
    </xf>
    <xf numFmtId="0" fontId="26" fillId="10" borderId="24" xfId="6" applyFont="1" applyFill="1" applyBorder="1" applyAlignment="1">
      <alignment vertical="center"/>
    </xf>
    <xf numFmtId="4" fontId="94" fillId="10" borderId="0" xfId="8" applyNumberFormat="1" applyFont="1" applyFill="1" applyBorder="1" applyAlignment="1">
      <alignment vertical="center"/>
    </xf>
    <xf numFmtId="4" fontId="78" fillId="10" borderId="10" xfId="0" applyNumberFormat="1" applyFont="1" applyFill="1" applyBorder="1" applyAlignment="1">
      <alignment horizontal="center" vertical="center"/>
    </xf>
    <xf numFmtId="0" fontId="78" fillId="10" borderId="0" xfId="0" applyFont="1" applyFill="1" applyAlignment="1">
      <alignment vertical="center"/>
    </xf>
    <xf numFmtId="0" fontId="24" fillId="10" borderId="15" xfId="0" applyFont="1" applyFill="1" applyBorder="1" applyAlignment="1">
      <alignment horizontal="center" vertical="center"/>
    </xf>
    <xf numFmtId="0" fontId="63" fillId="10" borderId="15" xfId="0" applyFont="1" applyFill="1" applyBorder="1" applyAlignment="1">
      <alignment horizontal="center" vertical="center"/>
    </xf>
    <xf numFmtId="0" fontId="105" fillId="10" borderId="15" xfId="0" applyFont="1" applyFill="1" applyBorder="1" applyAlignment="1">
      <alignment horizontal="center" vertical="center"/>
    </xf>
    <xf numFmtId="167" fontId="108" fillId="10" borderId="22" xfId="8" applyNumberFormat="1" applyFont="1" applyFill="1" applyBorder="1" applyAlignment="1">
      <alignment horizontal="center" vertical="center"/>
    </xf>
    <xf numFmtId="4" fontId="108" fillId="10" borderId="24" xfId="8" applyNumberFormat="1" applyFont="1" applyFill="1" applyBorder="1" applyAlignment="1">
      <alignment horizontal="right" vertical="center"/>
    </xf>
    <xf numFmtId="4" fontId="112" fillId="10" borderId="0" xfId="8" applyNumberFormat="1" applyFont="1" applyFill="1" applyBorder="1" applyAlignment="1">
      <alignment vertical="center"/>
    </xf>
    <xf numFmtId="4" fontId="112" fillId="10" borderId="10" xfId="8" applyNumberFormat="1" applyFont="1" applyFill="1" applyBorder="1" applyAlignment="1">
      <alignment horizontal="center" vertical="center"/>
    </xf>
    <xf numFmtId="0" fontId="110" fillId="10" borderId="0" xfId="0" applyFont="1" applyFill="1" applyAlignment="1">
      <alignment vertical="center"/>
    </xf>
    <xf numFmtId="0" fontId="35" fillId="10" borderId="9" xfId="0" applyFont="1" applyFill="1" applyBorder="1" applyAlignment="1">
      <alignment horizontal="center" vertical="center"/>
    </xf>
    <xf numFmtId="167" fontId="24" fillId="10" borderId="7" xfId="8" applyNumberFormat="1" applyFont="1" applyFill="1" applyBorder="1" applyAlignment="1">
      <alignment horizontal="center" vertical="center"/>
    </xf>
    <xf numFmtId="4" fontId="24" fillId="10" borderId="7" xfId="8" applyNumberFormat="1" applyFont="1" applyFill="1" applyBorder="1" applyAlignment="1">
      <alignment horizontal="right" vertical="center"/>
    </xf>
    <xf numFmtId="4" fontId="24" fillId="10" borderId="8" xfId="0" applyNumberFormat="1" applyFont="1" applyFill="1" applyBorder="1" applyAlignment="1">
      <alignment horizontal="center" vertical="center"/>
    </xf>
    <xf numFmtId="4" fontId="24" fillId="10" borderId="0" xfId="0" applyNumberFormat="1" applyFont="1" applyFill="1" applyBorder="1" applyAlignment="1">
      <alignment horizontal="center" vertical="center"/>
    </xf>
    <xf numFmtId="4" fontId="24" fillId="10" borderId="0" xfId="0" applyNumberFormat="1" applyFont="1" applyFill="1" applyAlignment="1">
      <alignment horizontal="right" vertical="center"/>
    </xf>
    <xf numFmtId="4" fontId="24" fillId="10" borderId="0" xfId="0" applyNumberFormat="1" applyFont="1" applyFill="1" applyAlignment="1">
      <alignment vertical="center"/>
    </xf>
    <xf numFmtId="4" fontId="24" fillId="10" borderId="0" xfId="0" applyNumberFormat="1" applyFont="1" applyFill="1" applyAlignment="1">
      <alignment horizontal="center" vertical="center"/>
    </xf>
    <xf numFmtId="4" fontId="24" fillId="10" borderId="0" xfId="8" applyNumberFormat="1" applyFont="1" applyFill="1" applyAlignment="1">
      <alignment horizontal="right" vertical="center"/>
    </xf>
    <xf numFmtId="0" fontId="24" fillId="0" borderId="0" xfId="39490" applyAlignment="1">
      <alignment vertical="center"/>
    </xf>
    <xf numFmtId="0" fontId="24" fillId="0" borderId="0" xfId="39490" applyAlignment="1">
      <alignment horizontal="left" vertical="center"/>
    </xf>
    <xf numFmtId="4" fontId="24" fillId="0" borderId="0" xfId="0" applyNumberFormat="1" applyFont="1" applyAlignment="1">
      <alignment vertical="center"/>
    </xf>
    <xf numFmtId="0" fontId="24" fillId="0" borderId="0" xfId="0" applyFont="1" applyAlignment="1">
      <alignment horizontal="left" vertical="center"/>
    </xf>
    <xf numFmtId="0" fontId="24" fillId="0" borderId="0" xfId="0" applyFont="1" applyFill="1" applyAlignment="1">
      <alignment horizontal="center" vertical="center"/>
    </xf>
    <xf numFmtId="0" fontId="24" fillId="0" borderId="0" xfId="0" applyFont="1" applyAlignment="1">
      <alignment horizontal="center" vertical="center"/>
    </xf>
    <xf numFmtId="4" fontId="24" fillId="0" borderId="0" xfId="0" applyNumberFormat="1" applyFont="1" applyAlignment="1">
      <alignment horizontal="right" vertical="center"/>
    </xf>
    <xf numFmtId="4" fontId="24" fillId="0" borderId="0" xfId="0" applyNumberFormat="1" applyFont="1" applyAlignment="1">
      <alignment horizontal="center" vertical="center"/>
    </xf>
    <xf numFmtId="0" fontId="111" fillId="10" borderId="0" xfId="0" applyFont="1" applyFill="1" applyAlignment="1">
      <alignment horizontal="center"/>
    </xf>
    <xf numFmtId="0" fontId="63" fillId="10" borderId="0" xfId="0" applyFont="1" applyFill="1" applyAlignment="1">
      <alignment horizontal="center"/>
    </xf>
    <xf numFmtId="0" fontId="90" fillId="10" borderId="0" xfId="0" applyFont="1" applyFill="1" applyAlignment="1">
      <alignment horizontal="center"/>
    </xf>
    <xf numFmtId="4" fontId="25" fillId="10" borderId="0" xfId="8" applyNumberFormat="1" applyFont="1" applyFill="1" applyBorder="1"/>
    <xf numFmtId="4" fontId="24" fillId="10" borderId="10" xfId="0" applyNumberFormat="1" applyFont="1" applyFill="1" applyBorder="1" applyAlignment="1">
      <alignment horizontal="center"/>
    </xf>
    <xf numFmtId="4" fontId="94" fillId="10" borderId="0" xfId="8" applyNumberFormat="1" applyFont="1" applyFill="1" applyBorder="1"/>
    <xf numFmtId="4" fontId="94" fillId="10" borderId="10" xfId="8" applyNumberFormat="1" applyFont="1" applyFill="1" applyBorder="1" applyAlignment="1">
      <alignment horizontal="center"/>
    </xf>
    <xf numFmtId="167" fontId="24" fillId="10" borderId="23" xfId="8" applyNumberFormat="1" applyFont="1" applyFill="1" applyBorder="1" applyAlignment="1">
      <alignment horizontal="center"/>
    </xf>
    <xf numFmtId="0" fontId="105" fillId="5" borderId="0" xfId="8" applyFont="1" applyFill="1"/>
    <xf numFmtId="4" fontId="63" fillId="10" borderId="64" xfId="8" applyNumberFormat="1" applyFont="1" applyFill="1" applyBorder="1" applyAlignment="1">
      <alignment horizontal="left" vertical="center"/>
    </xf>
    <xf numFmtId="168" fontId="90" fillId="23" borderId="0" xfId="3" applyNumberFormat="1" applyFont="1" applyFill="1" applyAlignment="1">
      <alignment horizontal="center" vertical="center"/>
    </xf>
    <xf numFmtId="168" fontId="24" fillId="23" borderId="0" xfId="3" applyNumberFormat="1" applyFont="1" applyFill="1"/>
    <xf numFmtId="0" fontId="78" fillId="10" borderId="0" xfId="6" quotePrefix="1" applyFont="1" applyFill="1"/>
    <xf numFmtId="2" fontId="0" fillId="10" borderId="0" xfId="0" applyNumberFormat="1" applyFont="1" applyFill="1" applyBorder="1" applyAlignment="1">
      <alignment horizontal="right"/>
    </xf>
    <xf numFmtId="0" fontId="78" fillId="10" borderId="0" xfId="6" applyFont="1" applyFill="1" applyBorder="1"/>
    <xf numFmtId="169" fontId="78" fillId="10" borderId="0" xfId="3" applyNumberFormat="1" applyFont="1" applyFill="1" applyBorder="1" applyAlignment="1">
      <alignment horizontal="center"/>
    </xf>
    <xf numFmtId="4" fontId="106" fillId="10" borderId="24" xfId="8" applyNumberFormat="1" applyFont="1" applyFill="1" applyBorder="1" applyAlignment="1">
      <alignment horizontal="right"/>
    </xf>
    <xf numFmtId="4" fontId="105" fillId="10" borderId="0" xfId="8" applyNumberFormat="1" applyFont="1" applyFill="1" applyBorder="1"/>
    <xf numFmtId="4" fontId="63" fillId="10" borderId="10" xfId="0" applyNumberFormat="1" applyFont="1" applyFill="1" applyBorder="1" applyAlignment="1">
      <alignment horizontal="center"/>
    </xf>
    <xf numFmtId="0" fontId="26" fillId="10" borderId="3" xfId="6" applyFont="1" applyFill="1" applyBorder="1" applyAlignment="1">
      <alignment horizontal="left" vertical="center"/>
    </xf>
    <xf numFmtId="167" fontId="63" fillId="10" borderId="23" xfId="8" applyNumberFormat="1" applyFont="1" applyFill="1" applyBorder="1" applyAlignment="1">
      <alignment horizontal="center" vertical="center"/>
    </xf>
    <xf numFmtId="0" fontId="25" fillId="10" borderId="0" xfId="8" applyFont="1" applyFill="1" applyBorder="1" applyAlignment="1">
      <alignment horizontal="center"/>
    </xf>
    <xf numFmtId="170" fontId="78" fillId="30" borderId="0" xfId="3" applyNumberFormat="1" applyFont="1" applyFill="1" applyAlignment="1">
      <alignment horizontal="center"/>
    </xf>
    <xf numFmtId="169" fontId="78" fillId="30" borderId="0" xfId="11" applyNumberFormat="1" applyFont="1" applyFill="1" applyBorder="1" applyAlignment="1">
      <alignment horizontal="left"/>
    </xf>
    <xf numFmtId="2" fontId="78" fillId="30" borderId="0" xfId="6" applyNumberFormat="1" applyFont="1" applyFill="1" applyBorder="1"/>
    <xf numFmtId="0" fontId="105" fillId="10" borderId="0" xfId="11" applyFont="1" applyFill="1" applyBorder="1" applyAlignment="1">
      <alignment horizontal="left"/>
    </xf>
    <xf numFmtId="168" fontId="78" fillId="30" borderId="0" xfId="3" applyNumberFormat="1" applyFont="1" applyFill="1" applyBorder="1" applyAlignment="1">
      <alignment horizontal="center" vertical="center"/>
    </xf>
    <xf numFmtId="0" fontId="78" fillId="21" borderId="24" xfId="6" applyFont="1" applyFill="1" applyBorder="1"/>
    <xf numFmtId="0" fontId="78" fillId="30" borderId="20" xfId="6" applyFont="1" applyFill="1" applyBorder="1"/>
    <xf numFmtId="2" fontId="78" fillId="21" borderId="24" xfId="6" applyNumberFormat="1" applyFont="1" applyFill="1" applyBorder="1"/>
    <xf numFmtId="0" fontId="78" fillId="17" borderId="27" xfId="11" applyFont="1" applyFill="1" applyBorder="1" applyAlignment="1">
      <alignment horizontal="left"/>
    </xf>
    <xf numFmtId="0" fontId="78" fillId="17" borderId="24" xfId="11" applyFont="1" applyFill="1" applyBorder="1" applyAlignment="1">
      <alignment horizontal="left"/>
    </xf>
    <xf numFmtId="0" fontId="78" fillId="17" borderId="20" xfId="11" applyFont="1" applyFill="1" applyBorder="1" applyAlignment="1">
      <alignment horizontal="left"/>
    </xf>
    <xf numFmtId="1" fontId="25" fillId="31" borderId="2" xfId="8" applyNumberFormat="1" applyFont="1" applyFill="1" applyBorder="1" applyAlignment="1">
      <alignment horizontal="center" vertical="center"/>
    </xf>
    <xf numFmtId="0" fontId="25" fillId="31" borderId="5" xfId="8" applyFont="1" applyFill="1" applyBorder="1" applyAlignment="1">
      <alignment horizontal="center" vertical="center"/>
    </xf>
    <xf numFmtId="0" fontId="24" fillId="10" borderId="1" xfId="0" applyFont="1" applyFill="1" applyBorder="1" applyAlignment="1">
      <alignment vertical="center"/>
    </xf>
    <xf numFmtId="0" fontId="39" fillId="8" borderId="2" xfId="6" applyFont="1" applyFill="1" applyBorder="1"/>
    <xf numFmtId="168" fontId="90" fillId="10" borderId="3" xfId="3" applyNumberFormat="1" applyFont="1" applyFill="1" applyBorder="1" applyAlignment="1">
      <alignment horizontal="center" vertical="center"/>
    </xf>
    <xf numFmtId="168" fontId="35" fillId="8" borderId="3" xfId="3" applyNumberFormat="1" applyFont="1" applyFill="1" applyBorder="1" applyAlignment="1">
      <alignment horizontal="center" vertical="center"/>
    </xf>
    <xf numFmtId="169" fontId="24" fillId="8" borderId="3" xfId="3" applyNumberFormat="1" applyFont="1" applyFill="1" applyBorder="1" applyAlignment="1">
      <alignment horizontal="left"/>
    </xf>
    <xf numFmtId="168" fontId="24" fillId="8" borderId="4" xfId="3" applyNumberFormat="1" applyFont="1" applyFill="1" applyBorder="1"/>
    <xf numFmtId="0" fontId="39" fillId="8" borderId="11" xfId="6" applyFont="1" applyFill="1" applyBorder="1"/>
    <xf numFmtId="168" fontId="90" fillId="10" borderId="0" xfId="3" applyNumberFormat="1" applyFont="1" applyFill="1" applyBorder="1" applyAlignment="1">
      <alignment horizontal="center" vertical="center"/>
    </xf>
    <xf numFmtId="168" fontId="24" fillId="8" borderId="10" xfId="3" applyNumberFormat="1" applyFont="1" applyFill="1" applyBorder="1"/>
    <xf numFmtId="168" fontId="90" fillId="36" borderId="0" xfId="3" applyNumberFormat="1" applyFont="1" applyFill="1" applyBorder="1" applyAlignment="1">
      <alignment horizontal="center" vertical="center"/>
    </xf>
    <xf numFmtId="0" fontId="35" fillId="9" borderId="6" xfId="6" applyFont="1" applyFill="1" applyBorder="1"/>
    <xf numFmtId="168" fontId="90" fillId="36" borderId="7" xfId="3" applyNumberFormat="1" applyFont="1" applyFill="1" applyBorder="1" applyAlignment="1">
      <alignment horizontal="center" vertical="center"/>
    </xf>
    <xf numFmtId="168" fontId="35" fillId="8" borderId="7" xfId="3" applyNumberFormat="1" applyFont="1" applyFill="1" applyBorder="1" applyAlignment="1">
      <alignment horizontal="center" vertical="center"/>
    </xf>
    <xf numFmtId="169" fontId="35" fillId="8" borderId="7" xfId="3" applyNumberFormat="1" applyFont="1" applyFill="1" applyBorder="1" applyAlignment="1">
      <alignment horizontal="left"/>
    </xf>
    <xf numFmtId="0" fontId="35" fillId="9" borderId="8" xfId="11" applyFont="1" applyFill="1" applyBorder="1"/>
    <xf numFmtId="0" fontId="25" fillId="10" borderId="0" xfId="11" applyFont="1" applyFill="1" applyAlignment="1">
      <alignment horizontal="center"/>
    </xf>
    <xf numFmtId="170" fontId="91" fillId="10" borderId="0" xfId="8" applyNumberFormat="1" applyFont="1" applyFill="1" applyBorder="1" applyAlignment="1">
      <alignment horizontal="center"/>
    </xf>
    <xf numFmtId="0" fontId="91" fillId="10" borderId="0" xfId="11" applyFont="1" applyFill="1" applyBorder="1" applyAlignment="1">
      <alignment horizontal="left"/>
    </xf>
    <xf numFmtId="170" fontId="91" fillId="10" borderId="0" xfId="11" applyNumberFormat="1" applyFont="1" applyFill="1" applyBorder="1" applyAlignment="1">
      <alignment horizontal="center"/>
    </xf>
    <xf numFmtId="2" fontId="91" fillId="10" borderId="0" xfId="11" applyNumberFormat="1" applyFont="1" applyFill="1" applyBorder="1" applyAlignment="1">
      <alignment horizontal="center" vertical="center"/>
    </xf>
    <xf numFmtId="0" fontId="91" fillId="10" borderId="0" xfId="11" applyFont="1" applyFill="1" applyBorder="1" applyAlignment="1">
      <alignment horizontal="center" vertical="center"/>
    </xf>
    <xf numFmtId="169" fontId="91" fillId="10" borderId="0" xfId="11" applyNumberFormat="1" applyFont="1" applyFill="1" applyBorder="1" applyAlignment="1">
      <alignment horizontal="left"/>
    </xf>
    <xf numFmtId="2" fontId="91" fillId="10" borderId="0" xfId="11" applyNumberFormat="1" applyFont="1" applyFill="1" applyBorder="1"/>
    <xf numFmtId="169" fontId="91" fillId="21" borderId="0" xfId="3" applyNumberFormat="1" applyFont="1" applyFill="1" applyAlignment="1">
      <alignment horizontal="left"/>
    </xf>
    <xf numFmtId="0" fontId="63" fillId="0" borderId="0" xfId="0" applyFont="1" applyBorder="1"/>
    <xf numFmtId="169" fontId="91" fillId="7" borderId="0" xfId="3" applyNumberFormat="1" applyFont="1" applyFill="1" applyAlignment="1">
      <alignment horizontal="left"/>
    </xf>
    <xf numFmtId="0" fontId="91" fillId="10" borderId="27" xfId="6" applyFont="1" applyFill="1" applyBorder="1"/>
    <xf numFmtId="170" fontId="91" fillId="10" borderId="0" xfId="3" applyNumberFormat="1" applyFont="1" applyFill="1" applyAlignment="1">
      <alignment horizontal="left"/>
    </xf>
    <xf numFmtId="0" fontId="91" fillId="10" borderId="24" xfId="6" applyFont="1" applyFill="1" applyBorder="1"/>
    <xf numFmtId="0" fontId="91" fillId="10" borderId="20" xfId="6" applyFont="1" applyFill="1" applyBorder="1"/>
    <xf numFmtId="0" fontId="0" fillId="0" borderId="0" xfId="0" applyFill="1" applyAlignment="1">
      <alignment horizontal="center"/>
    </xf>
    <xf numFmtId="0" fontId="0" fillId="0" borderId="0" xfId="0" applyFill="1"/>
    <xf numFmtId="0" fontId="100" fillId="10" borderId="0" xfId="0" applyFont="1" applyFill="1" applyAlignment="1">
      <alignment horizontal="center"/>
    </xf>
    <xf numFmtId="0" fontId="100" fillId="10" borderId="0" xfId="0" applyFont="1" applyFill="1"/>
    <xf numFmtId="0" fontId="128" fillId="15" borderId="1" xfId="0" applyFont="1" applyFill="1" applyBorder="1" applyAlignment="1">
      <alignment horizontal="center"/>
    </xf>
    <xf numFmtId="0" fontId="128" fillId="5" borderId="1" xfId="0" applyFont="1" applyFill="1" applyBorder="1" applyAlignment="1">
      <alignment horizontal="center"/>
    </xf>
    <xf numFmtId="0" fontId="128" fillId="33" borderId="1" xfId="0" applyFont="1" applyFill="1" applyBorder="1" applyAlignment="1">
      <alignment horizontal="center"/>
    </xf>
    <xf numFmtId="0" fontId="128" fillId="18" borderId="1" xfId="0" applyFont="1" applyFill="1" applyBorder="1" applyAlignment="1">
      <alignment horizontal="center"/>
    </xf>
    <xf numFmtId="0" fontId="128" fillId="19" borderId="1" xfId="0" applyFont="1" applyFill="1" applyBorder="1" applyAlignment="1">
      <alignment horizontal="center"/>
    </xf>
    <xf numFmtId="0" fontId="128" fillId="17" borderId="1" xfId="0" applyFont="1" applyFill="1" applyBorder="1" applyAlignment="1">
      <alignment horizontal="center"/>
    </xf>
    <xf numFmtId="0" fontId="128" fillId="32" borderId="1" xfId="0" applyFont="1" applyFill="1" applyBorder="1" applyAlignment="1">
      <alignment horizontal="center"/>
    </xf>
    <xf numFmtId="0" fontId="100" fillId="10" borderId="1" xfId="0" applyFont="1" applyFill="1" applyBorder="1" applyAlignment="1">
      <alignment horizontal="center"/>
    </xf>
    <xf numFmtId="0" fontId="100" fillId="5" borderId="1" xfId="0" applyFont="1" applyFill="1" applyBorder="1" applyAlignment="1">
      <alignment horizontal="center"/>
    </xf>
    <xf numFmtId="0" fontId="100" fillId="10" borderId="1" xfId="0" applyFont="1" applyFill="1" applyBorder="1"/>
    <xf numFmtId="0" fontId="100" fillId="18" borderId="1" xfId="0" applyFont="1" applyFill="1" applyBorder="1"/>
    <xf numFmtId="0" fontId="100" fillId="19" borderId="1" xfId="0" applyFont="1" applyFill="1" applyBorder="1"/>
    <xf numFmtId="4" fontId="100" fillId="0" borderId="24" xfId="0" applyNumberFormat="1" applyFont="1" applyFill="1" applyBorder="1" applyAlignment="1">
      <alignment horizontal="right"/>
    </xf>
    <xf numFmtId="4" fontId="100" fillId="0" borderId="23" xfId="0" applyNumberFormat="1" applyFont="1" applyFill="1" applyBorder="1" applyAlignment="1">
      <alignment horizontal="right"/>
    </xf>
    <xf numFmtId="4" fontId="100" fillId="5" borderId="0" xfId="0" applyNumberFormat="1" applyFont="1" applyFill="1" applyBorder="1" applyAlignment="1">
      <alignment horizontal="right"/>
    </xf>
    <xf numFmtId="4" fontId="100" fillId="30" borderId="24" xfId="0" applyNumberFormat="1" applyFont="1" applyFill="1" applyBorder="1" applyAlignment="1">
      <alignment horizontal="right"/>
    </xf>
    <xf numFmtId="4" fontId="100" fillId="0" borderId="25" xfId="0" applyNumberFormat="1" applyFont="1" applyFill="1" applyBorder="1" applyAlignment="1">
      <alignment horizontal="right"/>
    </xf>
    <xf numFmtId="4" fontId="100" fillId="18" borderId="24" xfId="0" applyNumberFormat="1" applyFont="1" applyFill="1" applyBorder="1" applyAlignment="1">
      <alignment horizontal="right"/>
    </xf>
    <xf numFmtId="4" fontId="100" fillId="19" borderId="0" xfId="0" applyNumberFormat="1" applyFont="1" applyFill="1" applyBorder="1" applyAlignment="1">
      <alignment horizontal="right"/>
    </xf>
    <xf numFmtId="4" fontId="100" fillId="0" borderId="0" xfId="0" applyNumberFormat="1" applyFont="1" applyFill="1" applyBorder="1" applyAlignment="1">
      <alignment horizontal="right"/>
    </xf>
    <xf numFmtId="4" fontId="100" fillId="30" borderId="27" xfId="0" applyNumberFormat="1" applyFont="1" applyFill="1" applyBorder="1" applyAlignment="1">
      <alignment horizontal="right"/>
    </xf>
    <xf numFmtId="4" fontId="100" fillId="13" borderId="24" xfId="0" applyNumberFormat="1" applyFont="1" applyFill="1" applyBorder="1" applyAlignment="1">
      <alignment horizontal="right"/>
    </xf>
    <xf numFmtId="4" fontId="100" fillId="0" borderId="20" xfId="0" applyNumberFormat="1" applyFont="1" applyFill="1" applyBorder="1" applyAlignment="1">
      <alignment horizontal="right"/>
    </xf>
    <xf numFmtId="4" fontId="100" fillId="0" borderId="19" xfId="0" applyNumberFormat="1" applyFont="1" applyFill="1" applyBorder="1" applyAlignment="1">
      <alignment horizontal="right"/>
    </xf>
    <xf numFmtId="4" fontId="100" fillId="5" borderId="17" xfId="0" applyNumberFormat="1" applyFont="1" applyFill="1" applyBorder="1" applyAlignment="1">
      <alignment horizontal="right"/>
    </xf>
    <xf numFmtId="4" fontId="100" fillId="0" borderId="26" xfId="0" applyNumberFormat="1" applyFont="1" applyFill="1" applyBorder="1" applyAlignment="1">
      <alignment horizontal="right"/>
    </xf>
    <xf numFmtId="4" fontId="100" fillId="18" borderId="20" xfId="0" applyNumberFormat="1" applyFont="1" applyFill="1" applyBorder="1" applyAlignment="1">
      <alignment horizontal="right"/>
    </xf>
    <xf numFmtId="4" fontId="100" fillId="19" borderId="17" xfId="0" applyNumberFormat="1" applyFont="1" applyFill="1" applyBorder="1" applyAlignment="1">
      <alignment horizontal="right"/>
    </xf>
    <xf numFmtId="4" fontId="100" fillId="0" borderId="17" xfId="0" applyNumberFormat="1" applyFont="1" applyFill="1" applyBorder="1" applyAlignment="1">
      <alignment horizontal="right"/>
    </xf>
    <xf numFmtId="4" fontId="100" fillId="30" borderId="20" xfId="0" applyNumberFormat="1" applyFont="1" applyFill="1" applyBorder="1" applyAlignment="1">
      <alignment horizontal="right"/>
    </xf>
    <xf numFmtId="4" fontId="100" fillId="30" borderId="1" xfId="0" applyNumberFormat="1" applyFont="1" applyFill="1" applyBorder="1" applyAlignment="1">
      <alignment horizontal="right"/>
    </xf>
    <xf numFmtId="0" fontId="128" fillId="14" borderId="1" xfId="0" applyFont="1" applyFill="1" applyBorder="1" applyAlignment="1">
      <alignment horizontal="center"/>
    </xf>
    <xf numFmtId="4" fontId="100" fillId="5" borderId="24" xfId="0" applyNumberFormat="1" applyFont="1" applyFill="1" applyBorder="1" applyAlignment="1">
      <alignment horizontal="right"/>
    </xf>
    <xf numFmtId="0" fontId="126" fillId="0" borderId="0" xfId="0" applyFont="1" applyAlignment="1">
      <alignment vertical="center"/>
    </xf>
    <xf numFmtId="0" fontId="1" fillId="10" borderId="0" xfId="39494" applyFill="1"/>
    <xf numFmtId="0" fontId="1" fillId="10" borderId="0" xfId="39494" applyFill="1" applyAlignment="1">
      <alignment horizontal="center"/>
    </xf>
    <xf numFmtId="0" fontId="85" fillId="0" borderId="0" xfId="39494" applyFont="1"/>
    <xf numFmtId="0" fontId="85" fillId="10" borderId="0" xfId="39494" applyFont="1" applyFill="1"/>
    <xf numFmtId="0" fontId="85" fillId="10" borderId="0" xfId="39494" applyFont="1" applyFill="1" applyAlignment="1">
      <alignment horizontal="center"/>
    </xf>
    <xf numFmtId="0" fontId="105" fillId="10" borderId="0" xfId="39494" applyFont="1" applyFill="1"/>
    <xf numFmtId="0" fontId="1" fillId="0" borderId="0" xfId="39494"/>
    <xf numFmtId="0" fontId="1" fillId="0" borderId="0" xfId="39494" applyAlignment="1">
      <alignment horizontal="center"/>
    </xf>
    <xf numFmtId="0" fontId="33" fillId="10" borderId="0" xfId="11" applyFont="1" applyFill="1" applyAlignment="1">
      <alignment horizontal="center"/>
    </xf>
    <xf numFmtId="0" fontId="34" fillId="10" borderId="0" xfId="11" applyFont="1" applyFill="1"/>
    <xf numFmtId="4" fontId="34" fillId="10" borderId="0" xfId="11" applyNumberFormat="1" applyFont="1" applyFill="1"/>
    <xf numFmtId="0" fontId="33" fillId="10" borderId="0" xfId="11" applyFont="1" applyFill="1"/>
    <xf numFmtId="0" fontId="25" fillId="10" borderId="0" xfId="5" quotePrefix="1" applyFont="1" applyFill="1" applyBorder="1" applyAlignment="1">
      <alignment vertical="center"/>
    </xf>
    <xf numFmtId="0" fontId="33" fillId="10" borderId="0" xfId="39494" applyFont="1" applyFill="1" applyAlignment="1">
      <alignment horizontal="center"/>
    </xf>
    <xf numFmtId="0" fontId="25" fillId="10" borderId="0" xfId="39494" applyFont="1" applyFill="1"/>
    <xf numFmtId="4" fontId="34" fillId="10" borderId="0" xfId="39494" applyNumberFormat="1" applyFont="1" applyFill="1"/>
    <xf numFmtId="4" fontId="34" fillId="10" borderId="0" xfId="39494" applyNumberFormat="1" applyFont="1" applyFill="1" applyAlignment="1">
      <alignment horizontal="center"/>
    </xf>
    <xf numFmtId="0" fontId="33" fillId="10" borderId="0" xfId="39494" applyFont="1" applyFill="1"/>
    <xf numFmtId="0" fontId="24" fillId="10" borderId="3" xfId="39494" applyFont="1" applyFill="1" applyBorder="1" applyAlignment="1">
      <alignment horizontal="center"/>
    </xf>
    <xf numFmtId="0" fontId="26" fillId="10" borderId="3" xfId="39494" applyFont="1" applyFill="1" applyBorder="1"/>
    <xf numFmtId="0" fontId="88" fillId="10" borderId="3" xfId="39494" applyFont="1" applyFill="1" applyBorder="1"/>
    <xf numFmtId="4" fontId="24" fillId="10" borderId="3" xfId="8" applyNumberFormat="1" applyFont="1" applyFill="1" applyBorder="1" applyAlignment="1">
      <alignment horizontal="right"/>
    </xf>
    <xf numFmtId="4" fontId="25" fillId="10" borderId="3" xfId="8" applyNumberFormat="1" applyFont="1" applyFill="1" applyBorder="1"/>
    <xf numFmtId="4" fontId="25" fillId="10" borderId="4" xfId="8" applyNumberFormat="1" applyFont="1" applyFill="1" applyBorder="1" applyAlignment="1">
      <alignment horizontal="center"/>
    </xf>
    <xf numFmtId="0" fontId="24" fillId="10" borderId="0" xfId="39494" applyFont="1" applyFill="1" applyAlignment="1">
      <alignment horizontal="center"/>
    </xf>
    <xf numFmtId="0" fontId="111" fillId="10" borderId="0" xfId="39494" applyFont="1" applyFill="1"/>
    <xf numFmtId="0" fontId="24" fillId="10" borderId="0" xfId="39494" applyFont="1" applyFill="1"/>
    <xf numFmtId="0" fontId="24" fillId="10" borderId="0" xfId="39494" applyFont="1" applyFill="1" applyBorder="1" applyAlignment="1">
      <alignment horizontal="center"/>
    </xf>
    <xf numFmtId="0" fontId="26" fillId="10" borderId="0" xfId="39494" applyFont="1" applyFill="1" applyBorder="1" applyAlignment="1">
      <alignment horizontal="left" vertical="top"/>
    </xf>
    <xf numFmtId="0" fontId="88" fillId="10" borderId="0" xfId="39494" applyFont="1" applyFill="1" applyBorder="1"/>
    <xf numFmtId="4" fontId="24" fillId="10" borderId="0" xfId="8" applyNumberFormat="1" applyFont="1" applyFill="1" applyBorder="1" applyAlignment="1">
      <alignment horizontal="right"/>
    </xf>
    <xf numFmtId="4" fontId="25" fillId="10" borderId="10" xfId="8" applyNumberFormat="1" applyFont="1" applyFill="1" applyBorder="1" applyAlignment="1">
      <alignment horizontal="center"/>
    </xf>
    <xf numFmtId="0" fontId="24" fillId="10" borderId="22" xfId="39494" quotePrefix="1" applyFont="1" applyFill="1" applyBorder="1" applyAlignment="1">
      <alignment horizontal="center"/>
    </xf>
    <xf numFmtId="0" fontId="26" fillId="10" borderId="24" xfId="39494" applyFont="1" applyFill="1" applyBorder="1"/>
    <xf numFmtId="0" fontId="89" fillId="10" borderId="15" xfId="39494" applyFont="1" applyFill="1" applyBorder="1" applyAlignment="1">
      <alignment horizontal="center" vertical="center"/>
    </xf>
    <xf numFmtId="167" fontId="78" fillId="10" borderId="22" xfId="8" applyNumberFormat="1" applyFont="1" applyFill="1" applyBorder="1" applyAlignment="1">
      <alignment horizontal="center" vertical="center"/>
    </xf>
    <xf numFmtId="2" fontId="78" fillId="10" borderId="25" xfId="6" applyNumberFormat="1" applyFont="1" applyFill="1" applyBorder="1" applyAlignment="1">
      <alignment vertical="center"/>
    </xf>
    <xf numFmtId="4" fontId="78" fillId="10" borderId="0" xfId="8" applyNumberFormat="1" applyFont="1" applyFill="1" applyBorder="1" applyAlignment="1">
      <alignment horizontal="right" vertical="center"/>
    </xf>
    <xf numFmtId="4" fontId="24" fillId="10" borderId="10" xfId="39494" applyNumberFormat="1" applyFont="1" applyFill="1" applyBorder="1" applyAlignment="1">
      <alignment horizontal="center" vertical="center"/>
    </xf>
    <xf numFmtId="0" fontId="24" fillId="10" borderId="0" xfId="39494" applyFont="1" applyFill="1" applyAlignment="1">
      <alignment vertical="center"/>
    </xf>
    <xf numFmtId="0" fontId="25" fillId="10" borderId="15" xfId="39494" applyFont="1" applyFill="1" applyBorder="1" applyAlignment="1">
      <alignment horizontal="center"/>
    </xf>
    <xf numFmtId="167" fontId="78" fillId="10" borderId="22" xfId="8" applyNumberFormat="1" applyFont="1" applyFill="1" applyBorder="1" applyAlignment="1">
      <alignment horizontal="center"/>
    </xf>
    <xf numFmtId="4" fontId="78" fillId="10" borderId="24" xfId="8" applyNumberFormat="1" applyFont="1" applyFill="1" applyBorder="1"/>
    <xf numFmtId="0" fontId="78" fillId="10" borderId="25" xfId="6" applyFont="1" applyFill="1" applyBorder="1"/>
    <xf numFmtId="4" fontId="78" fillId="10" borderId="0" xfId="8" applyNumberFormat="1" applyFont="1" applyFill="1" applyBorder="1" applyAlignment="1">
      <alignment horizontal="right"/>
    </xf>
    <xf numFmtId="4" fontId="78" fillId="10" borderId="10" xfId="39494" applyNumberFormat="1" applyFont="1" applyFill="1" applyBorder="1" applyAlignment="1">
      <alignment horizontal="center"/>
    </xf>
    <xf numFmtId="0" fontId="78" fillId="10" borderId="0" xfId="39494" applyFont="1" applyFill="1"/>
    <xf numFmtId="0" fontId="89" fillId="10" borderId="15" xfId="39494" applyFont="1" applyFill="1" applyBorder="1" applyAlignment="1">
      <alignment horizontal="center"/>
    </xf>
    <xf numFmtId="4" fontId="24" fillId="10" borderId="24" xfId="8" applyNumberFormat="1" applyFont="1" applyFill="1" applyBorder="1" applyAlignment="1">
      <alignment vertical="center" wrapText="1"/>
    </xf>
    <xf numFmtId="2" fontId="78" fillId="10" borderId="25" xfId="6" applyNumberFormat="1" applyFont="1" applyFill="1" applyBorder="1"/>
    <xf numFmtId="4" fontId="24" fillId="10" borderId="10" xfId="39494" applyNumberFormat="1" applyFont="1" applyFill="1" applyBorder="1" applyAlignment="1">
      <alignment horizontal="center"/>
    </xf>
    <xf numFmtId="0" fontId="24" fillId="10" borderId="15" xfId="39494" applyFont="1" applyFill="1" applyBorder="1"/>
    <xf numFmtId="0" fontId="88" fillId="10" borderId="25" xfId="39494" applyFont="1" applyFill="1" applyBorder="1"/>
    <xf numFmtId="0" fontId="78" fillId="10" borderId="15" xfId="39494" applyFont="1" applyFill="1" applyBorder="1"/>
    <xf numFmtId="0" fontId="78" fillId="10" borderId="25" xfId="39494" applyFont="1" applyFill="1" applyBorder="1" applyAlignment="1">
      <alignment horizontal="left"/>
    </xf>
    <xf numFmtId="0" fontId="24" fillId="10" borderId="22" xfId="39494" applyFont="1" applyFill="1" applyBorder="1" applyAlignment="1">
      <alignment horizontal="center"/>
    </xf>
    <xf numFmtId="0" fontId="90" fillId="10" borderId="15" xfId="39494" applyFont="1" applyFill="1" applyBorder="1"/>
    <xf numFmtId="167" fontId="90" fillId="10" borderId="22" xfId="8" applyNumberFormat="1" applyFont="1" applyFill="1" applyBorder="1" applyAlignment="1">
      <alignment horizontal="center"/>
    </xf>
    <xf numFmtId="0" fontId="90" fillId="10" borderId="25" xfId="39494" applyFont="1" applyFill="1" applyBorder="1" applyAlignment="1">
      <alignment horizontal="left"/>
    </xf>
    <xf numFmtId="4" fontId="90" fillId="10" borderId="0" xfId="8" applyNumberFormat="1" applyFont="1" applyFill="1" applyBorder="1" applyAlignment="1">
      <alignment horizontal="right"/>
    </xf>
    <xf numFmtId="4" fontId="89" fillId="10" borderId="0" xfId="8" applyNumberFormat="1" applyFont="1" applyFill="1" applyBorder="1"/>
    <xf numFmtId="4" fontId="90" fillId="10" borderId="10" xfId="39494" applyNumberFormat="1" applyFont="1" applyFill="1" applyBorder="1" applyAlignment="1">
      <alignment horizontal="center"/>
    </xf>
    <xf numFmtId="0" fontId="90" fillId="10" borderId="0" xfId="39494" applyFont="1" applyFill="1"/>
    <xf numFmtId="0" fontId="90" fillId="10" borderId="25" xfId="6" applyFont="1" applyFill="1" applyBorder="1" applyAlignment="1">
      <alignment horizontal="left"/>
    </xf>
    <xf numFmtId="0" fontId="93" fillId="10" borderId="15" xfId="39494" applyFont="1" applyFill="1" applyBorder="1" applyAlignment="1">
      <alignment horizontal="center"/>
    </xf>
    <xf numFmtId="167" fontId="93" fillId="10" borderId="22" xfId="8" applyNumberFormat="1" applyFont="1" applyFill="1" applyBorder="1" applyAlignment="1">
      <alignment horizontal="center"/>
    </xf>
    <xf numFmtId="4" fontId="93" fillId="10" borderId="24" xfId="8" applyNumberFormat="1" applyFont="1" applyFill="1" applyBorder="1" applyAlignment="1">
      <alignment horizontal="right"/>
    </xf>
    <xf numFmtId="0" fontId="93" fillId="10" borderId="25" xfId="39494" applyFont="1" applyFill="1" applyBorder="1" applyAlignment="1">
      <alignment horizontal="left"/>
    </xf>
    <xf numFmtId="4" fontId="93" fillId="10" borderId="0" xfId="8" applyNumberFormat="1" applyFont="1" applyFill="1" applyBorder="1" applyAlignment="1">
      <alignment horizontal="right"/>
    </xf>
    <xf numFmtId="4" fontId="93" fillId="10" borderId="0" xfId="39494" applyNumberFormat="1" applyFont="1" applyFill="1" applyBorder="1"/>
    <xf numFmtId="4" fontId="93" fillId="10" borderId="10" xfId="39494" applyNumberFormat="1" applyFont="1" applyFill="1" applyBorder="1" applyAlignment="1">
      <alignment horizontal="center"/>
    </xf>
    <xf numFmtId="0" fontId="93" fillId="0" borderId="0" xfId="39494" applyFont="1" applyFill="1"/>
    <xf numFmtId="0" fontId="35" fillId="10" borderId="9" xfId="39494" applyFont="1" applyFill="1" applyBorder="1" applyAlignment="1">
      <alignment horizontal="center"/>
    </xf>
    <xf numFmtId="167" fontId="24" fillId="10" borderId="6" xfId="8" applyNumberFormat="1" applyFont="1" applyFill="1" applyBorder="1" applyAlignment="1">
      <alignment horizontal="center"/>
    </xf>
    <xf numFmtId="4" fontId="39" fillId="10" borderId="7" xfId="8" applyNumberFormat="1" applyFont="1" applyFill="1" applyBorder="1" applyAlignment="1">
      <alignment horizontal="right"/>
    </xf>
    <xf numFmtId="167" fontId="24" fillId="10" borderId="7" xfId="8" applyNumberFormat="1" applyFont="1" applyFill="1" applyBorder="1" applyAlignment="1">
      <alignment horizontal="center"/>
    </xf>
    <xf numFmtId="4" fontId="24" fillId="10" borderId="7" xfId="8" applyNumberFormat="1" applyFont="1" applyFill="1" applyBorder="1" applyAlignment="1">
      <alignment horizontal="right"/>
    </xf>
    <xf numFmtId="4" fontId="24" fillId="10" borderId="7" xfId="39494" applyNumberFormat="1" applyFont="1" applyFill="1" applyBorder="1"/>
    <xf numFmtId="4" fontId="24" fillId="10" borderId="8" xfId="39494" applyNumberFormat="1" applyFont="1" applyFill="1" applyBorder="1" applyAlignment="1">
      <alignment horizontal="center"/>
    </xf>
    <xf numFmtId="0" fontId="24" fillId="10" borderId="11" xfId="39494" applyFont="1" applyFill="1" applyBorder="1"/>
    <xf numFmtId="0" fontId="63" fillId="10" borderId="0" xfId="39494" applyFont="1" applyFill="1" applyBorder="1" applyAlignment="1">
      <alignment vertical="center" wrapText="1"/>
    </xf>
    <xf numFmtId="0" fontId="37" fillId="31" borderId="29" xfId="0" applyFont="1" applyFill="1" applyBorder="1" applyAlignment="1">
      <alignment horizontal="left" vertical="center"/>
    </xf>
    <xf numFmtId="0" fontId="37" fillId="31" borderId="30" xfId="0" applyFont="1" applyFill="1" applyBorder="1" applyAlignment="1">
      <alignment horizontal="left" vertical="center"/>
    </xf>
    <xf numFmtId="2" fontId="59" fillId="31" borderId="30" xfId="4" applyNumberFormat="1" applyFont="1" applyFill="1" applyBorder="1" applyAlignment="1">
      <alignment horizontal="left"/>
    </xf>
    <xf numFmtId="2" fontId="59" fillId="31" borderId="31" xfId="4" applyNumberFormat="1" applyFont="1" applyFill="1" applyBorder="1" applyAlignment="1">
      <alignment horizontal="left"/>
    </xf>
    <xf numFmtId="0" fontId="59" fillId="31" borderId="25" xfId="0" applyFont="1" applyFill="1" applyBorder="1"/>
    <xf numFmtId="2" fontId="59" fillId="31" borderId="0" xfId="4" applyNumberFormat="1" applyFont="1" applyFill="1" applyBorder="1" applyAlignment="1">
      <alignment horizontal="left"/>
    </xf>
    <xf numFmtId="0" fontId="59" fillId="31" borderId="0" xfId="0" applyFont="1" applyFill="1" applyBorder="1" applyAlignment="1">
      <alignment horizontal="left"/>
    </xf>
    <xf numFmtId="0" fontId="59" fillId="31" borderId="0" xfId="0" applyFont="1" applyFill="1" applyBorder="1"/>
    <xf numFmtId="0" fontId="59" fillId="31" borderId="23" xfId="0" applyFont="1" applyFill="1" applyBorder="1"/>
    <xf numFmtId="0" fontId="59" fillId="31" borderId="26" xfId="0" applyFont="1" applyFill="1" applyBorder="1"/>
    <xf numFmtId="0" fontId="59" fillId="31" borderId="17" xfId="0" applyFont="1" applyFill="1" applyBorder="1"/>
    <xf numFmtId="2" fontId="59" fillId="31" borderId="17" xfId="4" applyNumberFormat="1" applyFont="1" applyFill="1" applyBorder="1" applyAlignment="1">
      <alignment horizontal="left"/>
    </xf>
    <xf numFmtId="2" fontId="59" fillId="31" borderId="19" xfId="4" applyNumberFormat="1" applyFont="1" applyFill="1" applyBorder="1" applyAlignment="1">
      <alignment horizontal="left"/>
    </xf>
    <xf numFmtId="167" fontId="106" fillId="10" borderId="23" xfId="8" applyNumberFormat="1" applyFont="1" applyFill="1" applyBorder="1" applyAlignment="1">
      <alignment horizontal="center"/>
    </xf>
    <xf numFmtId="4" fontId="107" fillId="10" borderId="0" xfId="8" applyNumberFormat="1" applyFont="1" applyFill="1" applyBorder="1"/>
    <xf numFmtId="4" fontId="106" fillId="10" borderId="10" xfId="0" applyNumberFormat="1" applyFont="1" applyFill="1" applyBorder="1" applyAlignment="1">
      <alignment horizontal="center"/>
    </xf>
    <xf numFmtId="0" fontId="106" fillId="10" borderId="0" xfId="0" applyFont="1" applyFill="1"/>
    <xf numFmtId="4" fontId="25" fillId="10" borderId="0" xfId="39490" applyNumberFormat="1" applyFont="1" applyFill="1" applyAlignment="1">
      <alignment vertical="center"/>
    </xf>
    <xf numFmtId="4" fontId="24" fillId="10" borderId="0" xfId="39490" applyNumberFormat="1" applyFill="1" applyAlignment="1">
      <alignment vertical="center"/>
    </xf>
    <xf numFmtId="0" fontId="24" fillId="10" borderId="0" xfId="39490" applyFill="1" applyAlignment="1">
      <alignment vertical="center"/>
    </xf>
    <xf numFmtId="168" fontId="78" fillId="12" borderId="0" xfId="3" applyNumberFormat="1" applyFont="1" applyFill="1" applyAlignment="1">
      <alignment horizontal="center" vertical="center"/>
    </xf>
    <xf numFmtId="0" fontId="105" fillId="10" borderId="15" xfId="0" applyFont="1" applyFill="1" applyBorder="1" applyAlignment="1">
      <alignment horizontal="center"/>
    </xf>
    <xf numFmtId="0" fontId="24" fillId="10" borderId="0" xfId="0" applyFont="1" applyFill="1" applyAlignment="1">
      <alignment horizontal="center" vertical="center"/>
    </xf>
    <xf numFmtId="0" fontId="24" fillId="12" borderId="0" xfId="11" applyFont="1" applyFill="1"/>
    <xf numFmtId="168" fontId="90" fillId="12" borderId="0" xfId="3" applyNumberFormat="1" applyFont="1" applyFill="1" applyAlignment="1">
      <alignment horizontal="center" vertical="center"/>
    </xf>
    <xf numFmtId="168" fontId="35" fillId="12" borderId="0" xfId="3" applyNumberFormat="1" applyFont="1" applyFill="1" applyAlignment="1">
      <alignment horizontal="center" vertical="center"/>
    </xf>
    <xf numFmtId="169" fontId="24" fillId="12" borderId="0" xfId="3" applyNumberFormat="1" applyFont="1" applyFill="1" applyAlignment="1">
      <alignment horizontal="left"/>
    </xf>
    <xf numFmtId="168" fontId="24" fillId="12" borderId="0" xfId="3" applyNumberFormat="1" applyFont="1" applyFill="1"/>
    <xf numFmtId="0" fontId="24" fillId="12" borderId="0" xfId="8" applyFont="1" applyFill="1"/>
    <xf numFmtId="2" fontId="24" fillId="10" borderId="0" xfId="8" applyNumberFormat="1" applyFont="1" applyFill="1" applyAlignment="1">
      <alignment horizontal="left"/>
    </xf>
    <xf numFmtId="0" fontId="117" fillId="8" borderId="0" xfId="11" applyFont="1" applyFill="1"/>
    <xf numFmtId="0" fontId="26" fillId="10" borderId="0" xfId="6" applyFont="1" applyFill="1" applyBorder="1" applyAlignment="1">
      <alignment horizontal="left" vertical="center"/>
    </xf>
    <xf numFmtId="0" fontId="26" fillId="10" borderId="0" xfId="0" applyFont="1" applyFill="1" applyBorder="1" applyAlignment="1">
      <alignment vertical="center"/>
    </xf>
    <xf numFmtId="0" fontId="88" fillId="10" borderId="0" xfId="0" applyFont="1" applyFill="1" applyBorder="1" applyAlignment="1">
      <alignment vertical="center"/>
    </xf>
    <xf numFmtId="167" fontId="36" fillId="10" borderId="0" xfId="8" applyNumberFormat="1" applyFont="1" applyFill="1" applyBorder="1" applyAlignment="1">
      <alignment horizontal="center" vertical="center"/>
    </xf>
    <xf numFmtId="4" fontId="25" fillId="10" borderId="0" xfId="8" applyNumberFormat="1" applyFont="1" applyFill="1" applyBorder="1" applyAlignment="1">
      <alignment horizontal="center" vertical="center"/>
    </xf>
    <xf numFmtId="0" fontId="89" fillId="10" borderId="15" xfId="0" applyFont="1" applyFill="1" applyBorder="1" applyAlignment="1">
      <alignment horizontal="center"/>
    </xf>
    <xf numFmtId="4" fontId="110" fillId="10" borderId="0" xfId="8" applyNumberFormat="1" applyFont="1" applyFill="1" applyBorder="1"/>
    <xf numFmtId="4" fontId="110" fillId="10" borderId="10" xfId="8" applyNumberFormat="1" applyFont="1" applyFill="1" applyBorder="1" applyAlignment="1">
      <alignment horizontal="center"/>
    </xf>
    <xf numFmtId="0" fontId="110" fillId="10" borderId="0" xfId="0" applyFont="1" applyFill="1"/>
    <xf numFmtId="0" fontId="26" fillId="10" borderId="23" xfId="0" applyFont="1" applyFill="1" applyBorder="1" applyAlignment="1">
      <alignment horizontal="center"/>
    </xf>
    <xf numFmtId="0" fontId="131" fillId="10" borderId="0" xfId="0" applyFont="1" applyFill="1" applyAlignment="1">
      <alignment horizontal="center"/>
    </xf>
    <xf numFmtId="0" fontId="78" fillId="10" borderId="0" xfId="0" applyFont="1" applyFill="1"/>
    <xf numFmtId="0" fontId="110" fillId="10" borderId="24" xfId="0" applyFont="1" applyFill="1" applyBorder="1" applyAlignment="1">
      <alignment horizontal="left" indent="1"/>
    </xf>
    <xf numFmtId="0" fontId="111" fillId="16" borderId="0" xfId="0" applyFont="1" applyFill="1" applyAlignment="1">
      <alignment horizontal="center"/>
    </xf>
    <xf numFmtId="4" fontId="63" fillId="10" borderId="24" xfId="8" applyNumberFormat="1" applyFont="1" applyFill="1" applyBorder="1" applyAlignment="1">
      <alignment horizontal="left" indent="1"/>
    </xf>
    <xf numFmtId="4" fontId="25" fillId="10" borderId="3" xfId="8" applyNumberFormat="1" applyFont="1" applyFill="1" applyBorder="1" applyAlignment="1">
      <alignment horizontal="center" vertical="center"/>
    </xf>
    <xf numFmtId="0" fontId="105" fillId="10" borderId="0" xfId="0" applyFont="1" applyFill="1" applyBorder="1" applyAlignment="1">
      <alignment horizontal="center" vertical="center"/>
    </xf>
    <xf numFmtId="167" fontId="36" fillId="10" borderId="3" xfId="8" applyNumberFormat="1" applyFont="1" applyFill="1" applyBorder="1" applyAlignment="1">
      <alignment horizontal="center" vertical="center"/>
    </xf>
    <xf numFmtId="0" fontId="40" fillId="10" borderId="0" xfId="11" applyFont="1" applyFill="1"/>
    <xf numFmtId="167" fontId="63" fillId="10" borderId="22" xfId="8" applyNumberFormat="1" applyFont="1" applyFill="1" applyBorder="1" applyAlignment="1">
      <alignment horizontal="center" vertical="center"/>
    </xf>
    <xf numFmtId="0" fontId="25" fillId="10" borderId="15" xfId="0" applyFont="1" applyFill="1" applyBorder="1" applyAlignment="1">
      <alignment horizontal="center" vertical="center"/>
    </xf>
    <xf numFmtId="0" fontId="51" fillId="10" borderId="15" xfId="0" applyFont="1" applyFill="1" applyBorder="1" applyAlignment="1">
      <alignment horizontal="center" vertical="center"/>
    </xf>
    <xf numFmtId="167" fontId="63" fillId="10" borderId="23" xfId="8" applyNumberFormat="1" applyFont="1" applyFill="1" applyBorder="1" applyAlignment="1">
      <alignment horizontal="center"/>
    </xf>
    <xf numFmtId="0" fontId="110" fillId="10" borderId="15" xfId="0" applyFont="1" applyFill="1" applyBorder="1"/>
    <xf numFmtId="0" fontId="26" fillId="10" borderId="24" xfId="0" applyFont="1" applyFill="1" applyBorder="1"/>
    <xf numFmtId="0" fontId="132" fillId="10" borderId="15" xfId="0" applyFont="1" applyFill="1" applyBorder="1" applyAlignment="1">
      <alignment horizontal="center"/>
    </xf>
    <xf numFmtId="0" fontId="59" fillId="21" borderId="1" xfId="4" applyFont="1" applyFill="1" applyBorder="1" applyAlignment="1">
      <alignment horizontal="center" wrapText="1"/>
    </xf>
    <xf numFmtId="171" fontId="59" fillId="31" borderId="1" xfId="4" applyNumberFormat="1" applyFont="1" applyFill="1" applyBorder="1" applyAlignment="1">
      <alignment horizontal="center"/>
    </xf>
    <xf numFmtId="171" fontId="59" fillId="36" borderId="1" xfId="4" applyNumberFormat="1" applyFont="1" applyFill="1" applyBorder="1" applyAlignment="1">
      <alignment horizontal="center"/>
    </xf>
    <xf numFmtId="4" fontId="59" fillId="21" borderId="1" xfId="4" applyNumberFormat="1" applyFont="1" applyFill="1" applyBorder="1" applyAlignment="1">
      <alignment horizontal="center"/>
    </xf>
    <xf numFmtId="4" fontId="59" fillId="21" borderId="1" xfId="4" applyNumberFormat="1" applyFont="1" applyFill="1" applyBorder="1" applyAlignment="1">
      <alignment horizontal="center" wrapText="1"/>
    </xf>
    <xf numFmtId="0" fontId="59" fillId="21" borderId="1" xfId="4" applyFont="1" applyFill="1" applyBorder="1" applyAlignment="1">
      <alignment horizontal="center"/>
    </xf>
    <xf numFmtId="0" fontId="59" fillId="10" borderId="1" xfId="11" applyFont="1" applyFill="1" applyBorder="1" applyAlignment="1">
      <alignment horizontal="right" indent="1"/>
    </xf>
    <xf numFmtId="0" fontId="133" fillId="10" borderId="24" xfId="6" applyFont="1" applyFill="1" applyBorder="1"/>
    <xf numFmtId="170" fontId="133" fillId="10" borderId="0" xfId="3" applyNumberFormat="1" applyFont="1" applyFill="1" applyAlignment="1">
      <alignment horizontal="center"/>
    </xf>
    <xf numFmtId="168" fontId="133" fillId="10" borderId="0" xfId="3" applyNumberFormat="1" applyFont="1" applyFill="1" applyAlignment="1">
      <alignment horizontal="center" vertical="center"/>
    </xf>
    <xf numFmtId="169" fontId="133" fillId="10" borderId="0" xfId="11" applyNumberFormat="1" applyFont="1" applyFill="1" applyBorder="1" applyAlignment="1">
      <alignment horizontal="left"/>
    </xf>
    <xf numFmtId="0" fontId="133" fillId="10" borderId="0" xfId="11" applyFont="1" applyFill="1" applyBorder="1" applyAlignment="1">
      <alignment horizontal="left"/>
    </xf>
    <xf numFmtId="0" fontId="133" fillId="17" borderId="0" xfId="11" quotePrefix="1" applyFont="1" applyFill="1" applyBorder="1" applyAlignment="1">
      <alignment horizontal="left"/>
    </xf>
    <xf numFmtId="0" fontId="134" fillId="10" borderId="15" xfId="0" applyFont="1" applyFill="1" applyBorder="1" applyAlignment="1">
      <alignment horizontal="center" vertical="center"/>
    </xf>
    <xf numFmtId="0" fontId="25" fillId="0" borderId="0" xfId="5" applyFont="1" applyFill="1" applyBorder="1" applyAlignment="1">
      <alignment vertical="center"/>
    </xf>
    <xf numFmtId="170" fontId="24" fillId="21" borderId="35" xfId="8" applyNumberFormat="1" applyFont="1" applyFill="1" applyBorder="1" applyAlignment="1">
      <alignment horizontal="left" vertical="center" indent="1"/>
    </xf>
    <xf numFmtId="0" fontId="25" fillId="21" borderId="0" xfId="11" quotePrefix="1" applyFont="1" applyFill="1" applyAlignment="1">
      <alignment horizontal="center" vertical="center"/>
    </xf>
    <xf numFmtId="0" fontId="25" fillId="21" borderId="0" xfId="5" applyFont="1" applyFill="1" applyBorder="1" applyAlignment="1">
      <alignment vertical="center"/>
    </xf>
    <xf numFmtId="0" fontId="25" fillId="21" borderId="0" xfId="8" applyFont="1" applyFill="1" applyBorder="1" applyAlignment="1">
      <alignment horizontal="center"/>
    </xf>
    <xf numFmtId="0" fontId="25" fillId="31" borderId="4" xfId="8" applyFont="1" applyFill="1" applyBorder="1" applyAlignment="1">
      <alignment horizontal="center" vertical="center" wrapText="1"/>
    </xf>
    <xf numFmtId="1" fontId="24" fillId="21" borderId="36" xfId="8" applyNumberFormat="1" applyFont="1" applyFill="1" applyBorder="1" applyAlignment="1">
      <alignment horizontal="center" vertical="center"/>
    </xf>
    <xf numFmtId="167" fontId="24" fillId="0" borderId="37" xfId="8" quotePrefix="1" applyNumberFormat="1" applyFont="1" applyBorder="1" applyAlignment="1">
      <alignment horizontal="center" vertical="center"/>
    </xf>
    <xf numFmtId="0" fontId="24" fillId="10" borderId="37" xfId="0" applyFont="1" applyFill="1" applyBorder="1" applyAlignment="1">
      <alignment vertical="center"/>
    </xf>
    <xf numFmtId="170" fontId="24" fillId="21" borderId="38" xfId="8" applyNumberFormat="1" applyFont="1" applyFill="1" applyBorder="1" applyAlignment="1">
      <alignment horizontal="left" vertical="center" indent="1"/>
    </xf>
    <xf numFmtId="1" fontId="37" fillId="0" borderId="0" xfId="1" applyNumberFormat="1" applyFont="1" applyBorder="1"/>
    <xf numFmtId="0" fontId="37" fillId="0" borderId="0" xfId="1" applyFont="1" applyBorder="1"/>
    <xf numFmtId="1" fontId="59" fillId="0" borderId="0" xfId="1" applyNumberFormat="1" applyFont="1" applyBorder="1"/>
    <xf numFmtId="1" fontId="37" fillId="20" borderId="0" xfId="1" applyNumberFormat="1" applyFont="1" applyFill="1" applyAlignment="1">
      <alignment horizontal="left"/>
    </xf>
    <xf numFmtId="0" fontId="59" fillId="20" borderId="0" xfId="1" applyFont="1" applyFill="1"/>
    <xf numFmtId="0" fontId="37" fillId="20" borderId="0" xfId="1" applyFont="1" applyFill="1"/>
    <xf numFmtId="2" fontId="0" fillId="0" borderId="0" xfId="0" applyNumberFormat="1"/>
    <xf numFmtId="0" fontId="25" fillId="10" borderId="0" xfId="11" quotePrefix="1" applyFont="1" applyFill="1" applyAlignment="1">
      <alignment horizontal="center" vertical="center"/>
    </xf>
    <xf numFmtId="4" fontId="25" fillId="30" borderId="3" xfId="8" applyNumberFormat="1" applyFont="1" applyFill="1" applyBorder="1"/>
    <xf numFmtId="0" fontId="25" fillId="12" borderId="0" xfId="11" quotePrefix="1" applyFont="1" applyFill="1" applyAlignment="1">
      <alignment horizontal="center" vertical="center"/>
    </xf>
    <xf numFmtId="0" fontId="25" fillId="12" borderId="0" xfId="5" applyFont="1" applyFill="1" applyBorder="1" applyAlignment="1">
      <alignment vertical="center"/>
    </xf>
    <xf numFmtId="0" fontId="25" fillId="12" borderId="0" xfId="8" applyFont="1" applyFill="1" applyBorder="1" applyAlignment="1">
      <alignment horizontal="center"/>
    </xf>
    <xf numFmtId="0" fontId="101" fillId="10" borderId="17" xfId="4" applyFont="1" applyFill="1" applyBorder="1" applyAlignment="1">
      <alignment horizontal="left" vertical="center"/>
    </xf>
    <xf numFmtId="0" fontId="25" fillId="5" borderId="0" xfId="11" quotePrefix="1" applyFont="1" applyFill="1" applyAlignment="1">
      <alignment horizontal="center" vertical="center"/>
    </xf>
    <xf numFmtId="0" fontId="85" fillId="5" borderId="0" xfId="39494" applyFont="1" applyFill="1"/>
    <xf numFmtId="0" fontId="100" fillId="17" borderId="61" xfId="4" applyFont="1" applyFill="1" applyBorder="1" applyAlignment="1">
      <alignment horizontal="center" vertical="center"/>
    </xf>
    <xf numFmtId="0" fontId="136" fillId="10" borderId="15" xfId="0" applyFont="1" applyFill="1" applyBorder="1" applyAlignment="1">
      <alignment horizontal="center" vertical="center"/>
    </xf>
    <xf numFmtId="0" fontId="94" fillId="5" borderId="0" xfId="6" applyFont="1" applyFill="1" applyBorder="1"/>
    <xf numFmtId="173" fontId="78" fillId="10" borderId="0" xfId="3" applyNumberFormat="1" applyFont="1" applyFill="1" applyBorder="1" applyAlignment="1">
      <alignment horizontal="center" vertical="center"/>
    </xf>
    <xf numFmtId="0" fontId="94" fillId="10" borderId="0" xfId="6" applyFont="1" applyFill="1" applyBorder="1" applyAlignment="1">
      <alignment vertical="top"/>
    </xf>
    <xf numFmtId="173" fontId="78" fillId="10" borderId="0" xfId="39495" applyNumberFormat="1" applyFont="1" applyFill="1" applyAlignment="1">
      <alignment horizontal="center" vertical="top"/>
    </xf>
    <xf numFmtId="169" fontId="96" fillId="10" borderId="0" xfId="3" applyNumberFormat="1" applyFont="1" applyFill="1" applyAlignment="1">
      <alignment horizontal="center" vertical="top"/>
    </xf>
    <xf numFmtId="168" fontId="78" fillId="10" borderId="0" xfId="3" applyNumberFormat="1" applyFont="1" applyFill="1" applyBorder="1" applyAlignment="1">
      <alignment horizontal="center" vertical="top"/>
    </xf>
    <xf numFmtId="169" fontId="78" fillId="10" borderId="0" xfId="11" applyNumberFormat="1" applyFont="1" applyFill="1" applyBorder="1" applyAlignment="1">
      <alignment horizontal="left" vertical="top"/>
    </xf>
    <xf numFmtId="2" fontId="78" fillId="10" borderId="0" xfId="6" applyNumberFormat="1" applyFont="1" applyFill="1" applyBorder="1" applyAlignment="1">
      <alignment vertical="top"/>
    </xf>
    <xf numFmtId="0" fontId="78" fillId="10" borderId="0" xfId="11" applyFont="1" applyFill="1" applyBorder="1" applyAlignment="1">
      <alignment vertical="top"/>
    </xf>
    <xf numFmtId="0" fontId="24" fillId="10" borderId="0" xfId="0" applyFont="1" applyFill="1" applyBorder="1" applyAlignment="1">
      <alignment vertical="top"/>
    </xf>
    <xf numFmtId="173" fontId="78" fillId="10" borderId="0" xfId="3" applyNumberFormat="1" applyFont="1" applyFill="1" applyAlignment="1">
      <alignment horizontal="center"/>
    </xf>
    <xf numFmtId="173" fontId="78" fillId="10" borderId="0" xfId="39495" applyNumberFormat="1" applyFont="1" applyFill="1" applyAlignment="1">
      <alignment horizontal="center"/>
    </xf>
    <xf numFmtId="0" fontId="33" fillId="10" borderId="0" xfId="0" applyFont="1" applyFill="1" applyAlignment="1">
      <alignment horizontal="center"/>
    </xf>
    <xf numFmtId="0" fontId="25" fillId="10" borderId="0" xfId="39490" applyFont="1" applyFill="1" applyAlignment="1">
      <alignment horizontal="center"/>
    </xf>
    <xf numFmtId="0" fontId="25" fillId="10" borderId="0" xfId="39490" applyFont="1" applyFill="1"/>
    <xf numFmtId="0" fontId="25" fillId="21" borderId="0" xfId="0" applyFont="1" applyFill="1" applyAlignment="1">
      <alignment horizontal="left" vertical="center"/>
    </xf>
    <xf numFmtId="0" fontId="25" fillId="21" borderId="0" xfId="39490" applyFont="1" applyFill="1" applyAlignment="1">
      <alignment horizontal="center"/>
    </xf>
    <xf numFmtId="0" fontId="25" fillId="21" borderId="0" xfId="39490" applyFont="1" applyFill="1"/>
    <xf numFmtId="167" fontId="24" fillId="23" borderId="1" xfId="8" quotePrefix="1" applyNumberFormat="1" applyFont="1" applyFill="1" applyBorder="1" applyAlignment="1">
      <alignment horizontal="center" vertical="center"/>
    </xf>
    <xf numFmtId="0" fontId="24" fillId="10" borderId="0" xfId="1" applyFont="1" applyFill="1"/>
    <xf numFmtId="0" fontId="0" fillId="10" borderId="0" xfId="1" applyFont="1" applyFill="1"/>
    <xf numFmtId="0" fontId="130" fillId="0" borderId="0" xfId="1" applyFont="1"/>
    <xf numFmtId="1" fontId="24" fillId="0" borderId="0" xfId="0" applyNumberFormat="1" applyFont="1"/>
    <xf numFmtId="0" fontId="59" fillId="10" borderId="0" xfId="5" applyFont="1" applyFill="1" applyBorder="1" applyAlignment="1">
      <alignment vertical="center"/>
    </xf>
    <xf numFmtId="4" fontId="59" fillId="10" borderId="0" xfId="0" applyNumberFormat="1" applyFont="1" applyFill="1" applyAlignment="1">
      <alignment horizontal="right" vertical="center"/>
    </xf>
    <xf numFmtId="0" fontId="59" fillId="10" borderId="0" xfId="0" applyFont="1" applyFill="1" applyAlignment="1">
      <alignment horizontal="left" vertical="center"/>
    </xf>
    <xf numFmtId="0" fontId="59" fillId="10" borderId="0" xfId="39490" applyFont="1" applyFill="1"/>
    <xf numFmtId="4" fontId="59" fillId="10" borderId="0" xfId="39490" applyNumberFormat="1" applyFont="1" applyFill="1" applyAlignment="1">
      <alignment vertical="center"/>
    </xf>
    <xf numFmtId="0" fontId="37" fillId="10" borderId="0" xfId="39490" applyFont="1" applyFill="1" applyAlignment="1">
      <alignment vertical="center"/>
    </xf>
    <xf numFmtId="4" fontId="37" fillId="10" borderId="0" xfId="39490" applyNumberFormat="1" applyFont="1" applyFill="1" applyAlignment="1">
      <alignment vertical="center"/>
    </xf>
    <xf numFmtId="0" fontId="138" fillId="10" borderId="0" xfId="1" applyFont="1" applyFill="1"/>
    <xf numFmtId="0" fontId="59" fillId="10" borderId="0" xfId="1" applyFont="1" applyFill="1"/>
    <xf numFmtId="0" fontId="139" fillId="0" borderId="0" xfId="1" applyFont="1"/>
    <xf numFmtId="0" fontId="37" fillId="10" borderId="0" xfId="11" quotePrefix="1" applyFont="1" applyFill="1" applyAlignment="1">
      <alignment horizontal="center" vertical="center"/>
    </xf>
    <xf numFmtId="0" fontId="37" fillId="10" borderId="0" xfId="8" applyFont="1" applyFill="1" applyBorder="1" applyAlignment="1">
      <alignment horizontal="center"/>
    </xf>
    <xf numFmtId="0" fontId="37" fillId="10" borderId="0" xfId="0" applyFont="1" applyFill="1" applyAlignment="1">
      <alignment horizontal="center" vertical="center"/>
    </xf>
    <xf numFmtId="0" fontId="37" fillId="10" borderId="0" xfId="39490" applyFont="1" applyFill="1" applyAlignment="1">
      <alignment horizontal="center"/>
    </xf>
    <xf numFmtId="0" fontId="59" fillId="10" borderId="0" xfId="8" applyFont="1" applyFill="1" applyBorder="1" applyAlignment="1">
      <alignment horizontal="center"/>
    </xf>
    <xf numFmtId="1" fontId="59" fillId="10" borderId="0" xfId="0" applyNumberFormat="1" applyFont="1" applyFill="1" applyAlignment="1">
      <alignment horizontal="center"/>
    </xf>
    <xf numFmtId="0" fontId="38" fillId="0" borderId="0" xfId="1" applyFont="1"/>
    <xf numFmtId="0" fontId="59" fillId="0" borderId="0" xfId="0" applyFont="1"/>
    <xf numFmtId="0" fontId="37" fillId="0" borderId="0" xfId="1" applyFont="1"/>
    <xf numFmtId="0" fontId="59" fillId="0" borderId="0" xfId="1" applyFont="1" applyFill="1"/>
    <xf numFmtId="0" fontId="59" fillId="0" borderId="0" xfId="1" applyFont="1"/>
    <xf numFmtId="1" fontId="59" fillId="0" borderId="0" xfId="0" applyNumberFormat="1" applyFont="1"/>
    <xf numFmtId="0" fontId="38" fillId="0" borderId="0" xfId="0" applyFont="1"/>
    <xf numFmtId="0" fontId="37" fillId="0" borderId="0" xfId="0" applyFont="1"/>
    <xf numFmtId="4" fontId="24" fillId="0" borderId="0" xfId="8" applyNumberFormat="1" applyFont="1" applyFill="1" applyAlignment="1">
      <alignment horizontal="right" vertical="center"/>
    </xf>
    <xf numFmtId="0" fontId="24" fillId="0" borderId="0" xfId="55" applyFont="1"/>
    <xf numFmtId="0" fontId="140" fillId="0" borderId="0" xfId="55" applyFont="1"/>
    <xf numFmtId="0" fontId="84" fillId="0" borderId="30" xfId="55" applyFont="1" applyBorder="1" applyAlignment="1">
      <alignment horizontal="center"/>
    </xf>
    <xf numFmtId="0" fontId="59" fillId="0" borderId="0" xfId="55" applyFont="1"/>
    <xf numFmtId="174" fontId="59" fillId="0" borderId="0" xfId="55" applyNumberFormat="1" applyFont="1"/>
    <xf numFmtId="0" fontId="59" fillId="0" borderId="0" xfId="55" applyFont="1" applyAlignment="1"/>
    <xf numFmtId="0" fontId="59" fillId="0" borderId="0" xfId="55" applyFont="1" applyAlignment="1">
      <alignment horizontal="right"/>
    </xf>
    <xf numFmtId="49" fontId="59" fillId="0" borderId="0" xfId="55" applyNumberFormat="1" applyFont="1" applyAlignment="1">
      <alignment horizontal="left"/>
    </xf>
    <xf numFmtId="49" fontId="59" fillId="0" borderId="0" xfId="55" applyNumberFormat="1" applyFont="1" applyAlignment="1"/>
    <xf numFmtId="0" fontId="141" fillId="0" borderId="0" xfId="55" applyFont="1"/>
    <xf numFmtId="0" fontId="37" fillId="0" borderId="0" xfId="55" applyFont="1"/>
    <xf numFmtId="0" fontId="142" fillId="0" borderId="0" xfId="55" applyFont="1"/>
    <xf numFmtId="174" fontId="59" fillId="47" borderId="0" xfId="55" applyNumberFormat="1" applyFont="1" applyFill="1"/>
    <xf numFmtId="0" fontId="35" fillId="0" borderId="5" xfId="55" applyFont="1" applyFill="1" applyBorder="1" applyAlignment="1">
      <alignment horizontal="center"/>
    </xf>
    <xf numFmtId="167" fontId="24" fillId="0" borderId="5" xfId="8" applyNumberFormat="1" applyFont="1" applyBorder="1"/>
    <xf numFmtId="167" fontId="36" fillId="26" borderId="15" xfId="8" applyNumberFormat="1" applyFont="1" applyFill="1" applyBorder="1" applyAlignment="1">
      <alignment horizontal="center"/>
    </xf>
    <xf numFmtId="0" fontId="26" fillId="10" borderId="15" xfId="6" applyFont="1" applyFill="1" applyBorder="1" applyAlignment="1">
      <alignment horizontal="left" vertical="top"/>
    </xf>
    <xf numFmtId="176" fontId="37" fillId="0" borderId="15" xfId="55" applyNumberFormat="1" applyFont="1" applyBorder="1" applyAlignment="1">
      <alignment horizontal="center" wrapText="1"/>
    </xf>
    <xf numFmtId="0" fontId="89" fillId="10" borderId="15" xfId="55" applyFont="1" applyFill="1" applyBorder="1" applyAlignment="1">
      <alignment horizontal="center" vertical="center"/>
    </xf>
    <xf numFmtId="0" fontId="24" fillId="10" borderId="15" xfId="6" applyFont="1" applyFill="1" applyBorder="1" applyAlignment="1">
      <alignment horizontal="center" vertical="top"/>
    </xf>
    <xf numFmtId="177" fontId="37" fillId="0" borderId="15" xfId="55" applyNumberFormat="1" applyFont="1" applyBorder="1" applyAlignment="1">
      <alignment horizontal="center" wrapText="1"/>
    </xf>
    <xf numFmtId="167" fontId="24" fillId="10" borderId="15" xfId="8" applyNumberFormat="1" applyFont="1" applyFill="1" applyBorder="1" applyAlignment="1">
      <alignment horizontal="center" vertical="top"/>
    </xf>
    <xf numFmtId="0" fontId="89" fillId="10" borderId="15" xfId="55" applyFont="1" applyFill="1" applyBorder="1" applyAlignment="1">
      <alignment horizontal="center"/>
    </xf>
    <xf numFmtId="0" fontId="26" fillId="10" borderId="15" xfId="55" applyFont="1" applyFill="1" applyBorder="1" applyAlignment="1">
      <alignment horizontal="center" vertical="top"/>
    </xf>
    <xf numFmtId="0" fontId="63" fillId="10" borderId="15" xfId="55" applyFont="1" applyFill="1" applyBorder="1" applyAlignment="1">
      <alignment horizontal="center" vertical="center"/>
    </xf>
    <xf numFmtId="167" fontId="24" fillId="10" borderId="15" xfId="8" applyNumberFormat="1" applyFont="1" applyFill="1" applyBorder="1" applyAlignment="1">
      <alignment horizontal="right" vertical="top"/>
    </xf>
    <xf numFmtId="0" fontId="105" fillId="10" borderId="15" xfId="55" applyFont="1" applyFill="1" applyBorder="1" applyAlignment="1">
      <alignment horizontal="center"/>
    </xf>
    <xf numFmtId="0" fontId="107" fillId="10" borderId="15" xfId="55" applyFont="1" applyFill="1" applyBorder="1" applyAlignment="1">
      <alignment horizontal="center"/>
    </xf>
    <xf numFmtId="0" fontId="105" fillId="10" borderId="15" xfId="55" applyFont="1" applyFill="1" applyBorder="1" applyAlignment="1">
      <alignment horizontal="center" vertical="center"/>
    </xf>
    <xf numFmtId="0" fontId="134" fillId="10" borderId="15" xfId="55" applyFont="1" applyFill="1" applyBorder="1" applyAlignment="1">
      <alignment horizontal="center" vertical="center"/>
    </xf>
    <xf numFmtId="0" fontId="24" fillId="10" borderId="15" xfId="55" applyFont="1" applyFill="1" applyBorder="1" applyAlignment="1">
      <alignment horizontal="center" vertical="top"/>
    </xf>
    <xf numFmtId="167" fontId="24" fillId="10" borderId="15" xfId="55" applyNumberFormat="1" applyFont="1" applyFill="1" applyBorder="1" applyAlignment="1">
      <alignment horizontal="center" vertical="top"/>
    </xf>
    <xf numFmtId="0" fontId="63" fillId="10" borderId="15" xfId="55" applyFont="1" applyFill="1" applyBorder="1" applyAlignment="1">
      <alignment horizontal="center"/>
    </xf>
    <xf numFmtId="0" fontId="78" fillId="10" borderId="15" xfId="55" applyFont="1" applyFill="1" applyBorder="1"/>
    <xf numFmtId="0" fontId="110" fillId="10" borderId="15" xfId="55" applyFont="1" applyFill="1" applyBorder="1"/>
    <xf numFmtId="167" fontId="26" fillId="10" borderId="15" xfId="55" applyNumberFormat="1" applyFont="1" applyFill="1" applyBorder="1" applyAlignment="1">
      <alignment horizontal="center" vertical="top"/>
    </xf>
    <xf numFmtId="167" fontId="24" fillId="10" borderId="15" xfId="55" applyNumberFormat="1" applyFont="1" applyFill="1" applyBorder="1" applyAlignment="1">
      <alignment horizontal="right" vertical="top"/>
    </xf>
    <xf numFmtId="0" fontId="24" fillId="10" borderId="15" xfId="55" applyFont="1" applyFill="1" applyBorder="1" applyAlignment="1">
      <alignment horizontal="center" vertical="center"/>
    </xf>
    <xf numFmtId="0" fontId="63" fillId="10" borderId="9" xfId="55" applyFont="1" applyFill="1" applyBorder="1" applyAlignment="1">
      <alignment horizontal="center"/>
    </xf>
    <xf numFmtId="167" fontId="24" fillId="10" borderId="9" xfId="55" applyNumberFormat="1" applyFont="1" applyFill="1" applyBorder="1" applyAlignment="1">
      <alignment horizontal="center" vertical="top"/>
    </xf>
    <xf numFmtId="177" fontId="37" fillId="0" borderId="9" xfId="55" applyNumberFormat="1" applyFont="1" applyBorder="1" applyAlignment="1">
      <alignment horizontal="center" wrapText="1"/>
    </xf>
    <xf numFmtId="0" fontId="35" fillId="10" borderId="15" xfId="55" applyFont="1" applyFill="1" applyBorder="1" applyAlignment="1">
      <alignment horizontal="center"/>
    </xf>
    <xf numFmtId="167" fontId="36" fillId="26" borderId="15" xfId="8" applyNumberFormat="1" applyFont="1" applyFill="1" applyBorder="1" applyAlignment="1">
      <alignment horizontal="center" vertical="center"/>
    </xf>
    <xf numFmtId="0" fontId="24" fillId="10" borderId="15" xfId="6" applyFont="1" applyFill="1" applyBorder="1" applyAlignment="1">
      <alignment horizontal="right" vertical="top"/>
    </xf>
    <xf numFmtId="167" fontId="130" fillId="10" borderId="15" xfId="6" applyNumberFormat="1" applyFont="1" applyFill="1" applyBorder="1" applyAlignment="1">
      <alignment horizontal="right" vertical="top"/>
    </xf>
    <xf numFmtId="0" fontId="25" fillId="10" borderId="15" xfId="55" applyFont="1" applyFill="1" applyBorder="1" applyAlignment="1">
      <alignment horizontal="center" vertical="center"/>
    </xf>
    <xf numFmtId="0" fontId="51" fillId="10" borderId="15" xfId="55" applyFont="1" applyFill="1" applyBorder="1" applyAlignment="1">
      <alignment horizontal="center" vertical="center"/>
    </xf>
    <xf numFmtId="0" fontId="105" fillId="10" borderId="15" xfId="55" quotePrefix="1" applyFont="1" applyFill="1" applyBorder="1" applyAlignment="1">
      <alignment horizontal="center"/>
    </xf>
    <xf numFmtId="0" fontId="24" fillId="10" borderId="15" xfId="8" applyNumberFormat="1" applyFont="1" applyFill="1" applyBorder="1" applyAlignment="1">
      <alignment horizontal="right" vertical="top"/>
    </xf>
    <xf numFmtId="0" fontId="24" fillId="10" borderId="15" xfId="55" applyFont="1" applyFill="1" applyBorder="1" applyAlignment="1">
      <alignment horizontal="right" vertical="top"/>
    </xf>
    <xf numFmtId="0" fontId="132" fillId="10" borderId="9" xfId="55" applyFont="1" applyFill="1" applyBorder="1" applyAlignment="1">
      <alignment horizontal="center"/>
    </xf>
    <xf numFmtId="167" fontId="117" fillId="10" borderId="15" xfId="8" applyNumberFormat="1" applyFont="1" applyFill="1" applyBorder="1" applyAlignment="1">
      <alignment horizontal="center"/>
    </xf>
    <xf numFmtId="167" fontId="24" fillId="10" borderId="15" xfId="8" applyNumberFormat="1" applyFont="1" applyFill="1" applyBorder="1" applyAlignment="1">
      <alignment vertical="top"/>
    </xf>
    <xf numFmtId="0" fontId="35" fillId="10" borderId="15" xfId="55" applyFont="1" applyFill="1" applyBorder="1" applyAlignment="1">
      <alignment horizontal="center" vertical="center"/>
    </xf>
    <xf numFmtId="0" fontId="105" fillId="10" borderId="9" xfId="55" applyFont="1" applyFill="1" applyBorder="1" applyAlignment="1">
      <alignment horizontal="center" vertical="center"/>
    </xf>
    <xf numFmtId="167" fontId="24" fillId="10" borderId="9" xfId="8" applyNumberFormat="1" applyFont="1" applyFill="1" applyBorder="1" applyAlignment="1">
      <alignment horizontal="center" vertical="top"/>
    </xf>
    <xf numFmtId="167" fontId="36" fillId="5" borderId="15" xfId="8" applyNumberFormat="1" applyFont="1" applyFill="1" applyBorder="1" applyAlignment="1">
      <alignment horizontal="center" vertical="center"/>
    </xf>
    <xf numFmtId="0" fontId="117" fillId="10" borderId="15" xfId="55" applyFont="1" applyFill="1" applyBorder="1" applyAlignment="1">
      <alignment horizontal="center" vertical="center"/>
    </xf>
    <xf numFmtId="0" fontId="117" fillId="10" borderId="15" xfId="55" applyFont="1" applyFill="1" applyBorder="1" applyAlignment="1">
      <alignment horizontal="center"/>
    </xf>
    <xf numFmtId="0" fontId="135" fillId="10" borderId="15" xfId="55" applyFont="1" applyFill="1" applyBorder="1" applyAlignment="1">
      <alignment horizontal="center" vertical="center"/>
    </xf>
    <xf numFmtId="0" fontId="37" fillId="8" borderId="15" xfId="55" applyFont="1" applyFill="1" applyBorder="1" applyAlignment="1">
      <alignment horizontal="center"/>
    </xf>
    <xf numFmtId="0" fontId="37" fillId="8" borderId="15" xfId="55" applyFont="1" applyFill="1" applyBorder="1" applyAlignment="1">
      <alignment horizontal="center" vertical="top"/>
    </xf>
    <xf numFmtId="175" fontId="37" fillId="8" borderId="10" xfId="55" applyNumberFormat="1" applyFont="1" applyFill="1" applyBorder="1" applyAlignment="1">
      <alignment horizontal="center" wrapText="1"/>
    </xf>
    <xf numFmtId="175" fontId="37" fillId="8" borderId="15" xfId="55" applyNumberFormat="1" applyFont="1" applyFill="1" applyBorder="1" applyAlignment="1">
      <alignment horizontal="center" wrapText="1"/>
    </xf>
    <xf numFmtId="167" fontId="36" fillId="21" borderId="15" xfId="8" applyNumberFormat="1" applyFont="1" applyFill="1" applyBorder="1" applyAlignment="1">
      <alignment horizontal="center" vertical="center"/>
    </xf>
    <xf numFmtId="175" fontId="37" fillId="8" borderId="8" xfId="55" applyNumberFormat="1" applyFont="1" applyFill="1" applyBorder="1" applyAlignment="1">
      <alignment horizontal="center" wrapText="1"/>
    </xf>
    <xf numFmtId="175" fontId="37" fillId="8" borderId="9" xfId="55" applyNumberFormat="1" applyFont="1" applyFill="1" applyBorder="1" applyAlignment="1">
      <alignment horizontal="center" wrapText="1"/>
    </xf>
    <xf numFmtId="0" fontId="24" fillId="10" borderId="9" xfId="55" applyFont="1" applyFill="1" applyBorder="1" applyAlignment="1">
      <alignment horizontal="center" vertical="center"/>
    </xf>
    <xf numFmtId="0" fontId="89" fillId="10" borderId="9" xfId="55" applyFont="1" applyFill="1" applyBorder="1" applyAlignment="1">
      <alignment horizontal="center"/>
    </xf>
    <xf numFmtId="0" fontId="107" fillId="10" borderId="15" xfId="55" applyFont="1" applyFill="1" applyBorder="1" applyAlignment="1">
      <alignment horizontal="center" vertical="center"/>
    </xf>
    <xf numFmtId="175" fontId="37" fillId="8" borderId="11" xfId="55" applyNumberFormat="1" applyFont="1" applyFill="1" applyBorder="1" applyAlignment="1">
      <alignment horizontal="center" wrapText="1"/>
    </xf>
    <xf numFmtId="0" fontId="24" fillId="10" borderId="15" xfId="55" applyFont="1" applyFill="1" applyBorder="1" applyAlignment="1">
      <alignment horizontal="center"/>
    </xf>
    <xf numFmtId="0" fontId="135" fillId="10" borderId="9" xfId="55" applyFont="1" applyFill="1" applyBorder="1" applyAlignment="1">
      <alignment horizontal="center" vertical="center"/>
    </xf>
    <xf numFmtId="0" fontId="24" fillId="10" borderId="15" xfId="6" applyFont="1" applyFill="1" applyBorder="1" applyAlignment="1">
      <alignment horizontal="center" vertical="center"/>
    </xf>
    <xf numFmtId="167" fontId="63" fillId="10" borderId="15" xfId="8" applyNumberFormat="1" applyFont="1" applyFill="1" applyBorder="1" applyAlignment="1">
      <alignment horizontal="center" vertical="center"/>
    </xf>
    <xf numFmtId="0" fontId="129" fillId="10" borderId="15" xfId="55" quotePrefix="1" applyFont="1" applyFill="1" applyBorder="1" applyAlignment="1">
      <alignment horizontal="center" vertical="center"/>
    </xf>
    <xf numFmtId="167" fontId="63" fillId="10" borderId="15" xfId="8" applyNumberFormat="1" applyFont="1" applyFill="1" applyBorder="1" applyAlignment="1">
      <alignment horizontal="right" vertical="center"/>
    </xf>
    <xf numFmtId="0" fontId="36" fillId="8" borderId="2" xfId="55" applyFont="1" applyFill="1" applyBorder="1" applyAlignment="1">
      <alignment horizontal="center" vertical="center"/>
    </xf>
    <xf numFmtId="0" fontId="24" fillId="8" borderId="3" xfId="55" applyFont="1" applyFill="1" applyBorder="1" applyAlignment="1">
      <alignment horizontal="right" vertical="center"/>
    </xf>
    <xf numFmtId="0" fontId="25" fillId="8" borderId="3" xfId="9" applyFont="1" applyFill="1" applyBorder="1" applyAlignment="1">
      <alignment vertical="center"/>
    </xf>
    <xf numFmtId="177" fontId="37" fillId="0" borderId="3" xfId="55" applyNumberFormat="1" applyFont="1" applyFill="1" applyBorder="1" applyAlignment="1" applyProtection="1">
      <alignment horizontal="right" vertical="center"/>
    </xf>
    <xf numFmtId="0" fontId="25" fillId="5" borderId="11" xfId="55" applyFont="1" applyFill="1" applyBorder="1" applyAlignment="1">
      <alignment horizontal="center" vertical="center"/>
    </xf>
    <xf numFmtId="0" fontId="25" fillId="5" borderId="0" xfId="11" quotePrefix="1" applyFont="1" applyFill="1" applyBorder="1" applyAlignment="1">
      <alignment horizontal="right" vertical="center"/>
    </xf>
    <xf numFmtId="177" fontId="37" fillId="0" borderId="7" xfId="55" applyNumberFormat="1" applyFont="1" applyFill="1" applyBorder="1" applyAlignment="1" applyProtection="1">
      <alignment horizontal="center" vertical="center"/>
    </xf>
    <xf numFmtId="0" fontId="36" fillId="8" borderId="11" xfId="55" applyFont="1" applyFill="1" applyBorder="1" applyAlignment="1">
      <alignment horizontal="center" vertical="center"/>
    </xf>
    <xf numFmtId="0" fontId="24" fillId="8" borderId="0" xfId="55" applyFont="1" applyFill="1" applyBorder="1" applyAlignment="1">
      <alignment horizontal="right" vertical="center"/>
    </xf>
    <xf numFmtId="0" fontId="25" fillId="8" borderId="0" xfId="9" applyFont="1" applyFill="1" applyBorder="1" applyAlignment="1">
      <alignment vertical="center"/>
    </xf>
    <xf numFmtId="177" fontId="37" fillId="0" borderId="3" xfId="55" applyNumberFormat="1" applyFont="1" applyFill="1" applyBorder="1" applyAlignment="1" applyProtection="1">
      <alignment horizontal="center" vertical="center"/>
    </xf>
    <xf numFmtId="0" fontId="36" fillId="8" borderId="6" xfId="55" applyFont="1" applyFill="1" applyBorder="1" applyAlignment="1">
      <alignment horizontal="center" vertical="center"/>
    </xf>
    <xf numFmtId="0" fontId="24" fillId="8" borderId="7" xfId="55" applyFont="1" applyFill="1" applyBorder="1" applyAlignment="1">
      <alignment horizontal="right" vertical="center"/>
    </xf>
    <xf numFmtId="0" fontId="25" fillId="8" borderId="7" xfId="9" applyFont="1" applyFill="1" applyBorder="1" applyAlignment="1">
      <alignment vertical="center"/>
    </xf>
    <xf numFmtId="0" fontId="24" fillId="8" borderId="0" xfId="55" applyFont="1" applyFill="1" applyAlignment="1">
      <alignment horizontal="center" vertical="center"/>
    </xf>
    <xf numFmtId="0" fontId="25" fillId="8" borderId="0" xfId="11" quotePrefix="1" applyFont="1" applyFill="1" applyAlignment="1">
      <alignment horizontal="right" vertical="center"/>
    </xf>
    <xf numFmtId="0" fontId="25" fillId="8" borderId="0" xfId="5" applyFont="1" applyFill="1" applyBorder="1" applyAlignment="1">
      <alignment vertical="center"/>
    </xf>
    <xf numFmtId="174" fontId="24" fillId="0" borderId="0" xfId="55" applyNumberFormat="1" applyFont="1"/>
    <xf numFmtId="0" fontId="24" fillId="10" borderId="0" xfId="55" applyFont="1" applyFill="1" applyAlignment="1">
      <alignment horizontal="center" vertical="center"/>
    </xf>
    <xf numFmtId="0" fontId="24" fillId="10" borderId="0" xfId="55" applyFont="1" applyFill="1" applyAlignment="1">
      <alignment vertical="center"/>
    </xf>
    <xf numFmtId="174" fontId="24" fillId="10" borderId="0" xfId="55" applyNumberFormat="1" applyFont="1" applyFill="1"/>
    <xf numFmtId="0" fontId="25" fillId="0" borderId="0" xfId="39490" applyFont="1" applyFill="1" applyAlignment="1">
      <alignment horizontal="center"/>
    </xf>
    <xf numFmtId="0" fontId="25" fillId="0" borderId="0" xfId="39490" applyFont="1" applyFill="1"/>
    <xf numFmtId="0" fontId="24" fillId="10" borderId="0" xfId="55" applyFont="1" applyFill="1" applyBorder="1" applyAlignment="1">
      <alignment horizontal="center" vertical="center"/>
    </xf>
    <xf numFmtId="0" fontId="25" fillId="10" borderId="0" xfId="55" applyFont="1" applyFill="1" applyAlignment="1">
      <alignment vertical="center"/>
    </xf>
    <xf numFmtId="0" fontId="24" fillId="10" borderId="0" xfId="55" applyFont="1" applyFill="1" applyAlignment="1">
      <alignment horizontal="left" vertical="center"/>
    </xf>
    <xf numFmtId="0" fontId="35" fillId="10" borderId="0" xfId="55" applyFont="1" applyFill="1" applyBorder="1" applyAlignment="1">
      <alignment horizontal="center" vertical="center"/>
    </xf>
    <xf numFmtId="0" fontId="88" fillId="10" borderId="0" xfId="55" applyFont="1" applyFill="1" applyBorder="1" applyAlignment="1">
      <alignment vertical="center"/>
    </xf>
    <xf numFmtId="0" fontId="24" fillId="0" borderId="0" xfId="39490" applyFill="1" applyBorder="1" applyAlignment="1">
      <alignment vertical="center"/>
    </xf>
    <xf numFmtId="0" fontId="25" fillId="0" borderId="0" xfId="11" applyFont="1" applyAlignment="1">
      <alignment horizontal="center"/>
    </xf>
    <xf numFmtId="0" fontId="25" fillId="0" borderId="0" xfId="55" applyFont="1"/>
    <xf numFmtId="0" fontId="25" fillId="0" borderId="0" xfId="9" applyFont="1" applyFill="1" applyBorder="1" applyAlignment="1">
      <alignment vertical="center"/>
    </xf>
    <xf numFmtId="0" fontId="59" fillId="10" borderId="0" xfId="55" applyFont="1" applyFill="1" applyAlignment="1">
      <alignment horizontal="center"/>
    </xf>
    <xf numFmtId="0" fontId="37" fillId="10" borderId="0" xfId="8" applyFont="1" applyFill="1" applyBorder="1" applyAlignment="1">
      <alignment horizontal="right"/>
    </xf>
    <xf numFmtId="0" fontId="37" fillId="10" borderId="0" xfId="5" applyFont="1" applyFill="1" applyBorder="1" applyAlignment="1">
      <alignment vertical="center"/>
    </xf>
    <xf numFmtId="0" fontId="38" fillId="0" borderId="0" xfId="55" applyFont="1"/>
    <xf numFmtId="0" fontId="24" fillId="0" borderId="0" xfId="55"/>
    <xf numFmtId="0" fontId="26" fillId="0" borderId="0" xfId="55" applyFont="1"/>
    <xf numFmtId="0" fontId="26" fillId="10" borderId="11" xfId="55" applyFont="1" applyFill="1" applyBorder="1"/>
    <xf numFmtId="0" fontId="26" fillId="10" borderId="11" xfId="55" applyFont="1" applyFill="1" applyBorder="1" applyAlignment="1">
      <alignment vertical="center"/>
    </xf>
    <xf numFmtId="0" fontId="24" fillId="10" borderId="11" xfId="55" applyFont="1" applyFill="1" applyBorder="1" applyAlignment="1">
      <alignment horizontal="left" indent="1"/>
    </xf>
    <xf numFmtId="0" fontId="24" fillId="10" borderId="11" xfId="55" applyFont="1" applyFill="1" applyBorder="1" applyAlignment="1">
      <alignment horizontal="left" indent="2"/>
    </xf>
    <xf numFmtId="4" fontId="24" fillId="10" borderId="11" xfId="8" applyNumberFormat="1" applyFont="1" applyFill="1" applyBorder="1" applyAlignment="1">
      <alignment horizontal="left" vertical="center"/>
    </xf>
    <xf numFmtId="0" fontId="24" fillId="10" borderId="11" xfId="55" applyFont="1" applyFill="1" applyBorder="1"/>
    <xf numFmtId="0" fontId="24" fillId="10" borderId="11" xfId="55" quotePrefix="1" applyFont="1" applyFill="1" applyBorder="1" applyAlignment="1">
      <alignment horizontal="left" indent="2"/>
    </xf>
    <xf numFmtId="4" fontId="24" fillId="10" borderId="11" xfId="8" applyNumberFormat="1" applyFont="1" applyFill="1" applyBorder="1" applyAlignment="1">
      <alignment vertical="center"/>
    </xf>
    <xf numFmtId="4" fontId="24" fillId="10" borderId="11" xfId="8" applyNumberFormat="1" applyFont="1" applyFill="1" applyBorder="1"/>
    <xf numFmtId="4" fontId="24" fillId="10" borderId="11" xfId="8" applyNumberFormat="1" applyFont="1" applyFill="1" applyBorder="1" applyAlignment="1">
      <alignment horizontal="right" vertical="center"/>
    </xf>
    <xf numFmtId="0" fontId="26" fillId="10" borderId="11" xfId="6" applyFont="1" applyFill="1" applyBorder="1" applyAlignment="1">
      <alignment vertical="center"/>
    </xf>
    <xf numFmtId="4" fontId="24" fillId="10" borderId="11" xfId="8" applyNumberFormat="1" applyFont="1" applyFill="1" applyBorder="1" applyAlignment="1">
      <alignment horizontal="left"/>
    </xf>
    <xf numFmtId="4" fontId="24" fillId="10" borderId="6" xfId="8" applyNumberFormat="1" applyFont="1" applyFill="1" applyBorder="1" applyAlignment="1">
      <alignment vertical="center"/>
    </xf>
    <xf numFmtId="4" fontId="24" fillId="0" borderId="11" xfId="8" applyNumberFormat="1" applyFont="1" applyFill="1" applyBorder="1" applyAlignment="1">
      <alignment horizontal="right"/>
    </xf>
    <xf numFmtId="4" fontId="63" fillId="10" borderId="11" xfId="8" applyNumberFormat="1" applyFont="1" applyFill="1" applyBorder="1" applyAlignment="1">
      <alignment vertical="center"/>
    </xf>
    <xf numFmtId="4" fontId="64" fillId="10" borderId="11" xfId="8" applyNumberFormat="1" applyFont="1" applyFill="1" applyBorder="1" applyAlignment="1">
      <alignment vertical="center"/>
    </xf>
    <xf numFmtId="0" fontId="24" fillId="10" borderId="11" xfId="6" applyFont="1" applyFill="1" applyBorder="1" applyAlignment="1">
      <alignment vertical="center"/>
    </xf>
    <xf numFmtId="4" fontId="63" fillId="10" borderId="11" xfId="8" applyNumberFormat="1" applyFont="1" applyFill="1" applyBorder="1" applyAlignment="1">
      <alignment horizontal="left" vertical="center" indent="1"/>
    </xf>
    <xf numFmtId="0" fontId="24" fillId="10" borderId="11" xfId="6" applyFont="1" applyFill="1" applyBorder="1" applyAlignment="1">
      <alignment horizontal="left" vertical="center" indent="1"/>
    </xf>
    <xf numFmtId="0" fontId="64" fillId="10" borderId="11" xfId="55" applyFont="1" applyFill="1" applyBorder="1"/>
    <xf numFmtId="4" fontId="63" fillId="10" borderId="11" xfId="8" applyNumberFormat="1" applyFont="1" applyFill="1" applyBorder="1" applyAlignment="1">
      <alignment vertical="center" wrapText="1"/>
    </xf>
    <xf numFmtId="4" fontId="63" fillId="10" borderId="6" xfId="8" applyNumberFormat="1" applyFont="1" applyFill="1" applyBorder="1" applyAlignment="1">
      <alignment vertical="center"/>
    </xf>
    <xf numFmtId="4" fontId="24" fillId="10" borderId="11" xfId="8" applyNumberFormat="1" applyFont="1" applyFill="1" applyBorder="1" applyAlignment="1">
      <alignment horizontal="right"/>
    </xf>
    <xf numFmtId="0" fontId="26" fillId="10" borderId="11" xfId="6" applyFont="1" applyFill="1" applyBorder="1"/>
    <xf numFmtId="4" fontId="24" fillId="10" borderId="11" xfId="8" applyNumberFormat="1" applyFont="1" applyFill="1" applyBorder="1" applyAlignment="1">
      <alignment horizontal="left" indent="1"/>
    </xf>
    <xf numFmtId="0" fontId="24" fillId="10" borderId="11" xfId="55" applyFont="1" applyFill="1" applyBorder="1" applyAlignment="1">
      <alignment horizontal="left" wrapText="1" indent="1"/>
    </xf>
    <xf numFmtId="0" fontId="24" fillId="10" borderId="6" xfId="55" applyFont="1" applyFill="1" applyBorder="1"/>
    <xf numFmtId="0" fontId="37" fillId="8" borderId="11" xfId="55" applyFont="1" applyFill="1" applyBorder="1" applyAlignment="1">
      <alignment horizontal="center" wrapText="1"/>
    </xf>
    <xf numFmtId="4" fontId="24" fillId="10" borderId="11" xfId="55" applyNumberFormat="1" applyFont="1" applyFill="1" applyBorder="1" applyAlignment="1">
      <alignment horizontal="left" wrapText="1" indent="1"/>
    </xf>
    <xf numFmtId="0" fontId="24" fillId="10" borderId="11" xfId="55" applyFont="1" applyFill="1" applyBorder="1" applyAlignment="1">
      <alignment wrapText="1"/>
    </xf>
    <xf numFmtId="4" fontId="24" fillId="10" borderId="11" xfId="8" applyNumberFormat="1" applyFont="1" applyFill="1" applyBorder="1" applyAlignment="1">
      <alignment wrapText="1"/>
    </xf>
    <xf numFmtId="0" fontId="24" fillId="10" borderId="11" xfId="55" applyFont="1" applyFill="1" applyBorder="1" applyAlignment="1">
      <alignment horizontal="left"/>
    </xf>
    <xf numFmtId="4" fontId="39" fillId="0" borderId="2" xfId="8" applyNumberFormat="1" applyFont="1" applyFill="1" applyBorder="1" applyAlignment="1">
      <alignment horizontal="right"/>
    </xf>
    <xf numFmtId="4" fontId="24" fillId="10" borderId="11" xfId="8" applyNumberFormat="1" applyFont="1" applyFill="1" applyBorder="1" applyAlignment="1"/>
    <xf numFmtId="176" fontId="37" fillId="0" borderId="10" xfId="55" applyNumberFormat="1" applyFont="1" applyBorder="1" applyAlignment="1">
      <alignment wrapText="1"/>
    </xf>
    <xf numFmtId="177" fontId="37" fillId="0" borderId="7" xfId="55" applyNumberFormat="1" applyFont="1" applyFill="1" applyBorder="1" applyAlignment="1" applyProtection="1">
      <alignment horizontal="right" vertical="center"/>
    </xf>
    <xf numFmtId="175" fontId="37" fillId="8" borderId="6" xfId="55" applyNumberFormat="1" applyFont="1" applyFill="1" applyBorder="1" applyAlignment="1">
      <alignment horizontal="center" wrapText="1"/>
    </xf>
    <xf numFmtId="9" fontId="25" fillId="0" borderId="7" xfId="55" applyNumberFormat="1" applyFont="1" applyFill="1" applyBorder="1" applyAlignment="1" applyProtection="1">
      <alignment horizontal="center" vertical="center"/>
    </xf>
    <xf numFmtId="0" fontId="37" fillId="0" borderId="0" xfId="55" applyNumberFormat="1" applyFont="1" applyAlignment="1">
      <alignment horizontal="left"/>
    </xf>
    <xf numFmtId="0" fontId="84" fillId="0" borderId="0" xfId="55" applyFont="1" applyBorder="1" applyAlignment="1">
      <alignment horizontal="center"/>
    </xf>
    <xf numFmtId="0" fontId="34" fillId="0" borderId="20" xfId="6" applyFont="1" applyBorder="1" applyAlignment="1">
      <alignment horizontal="center" vertical="center" wrapText="1"/>
    </xf>
    <xf numFmtId="0" fontId="34" fillId="0" borderId="27" xfId="6" applyFont="1" applyBorder="1" applyAlignment="1">
      <alignment horizontal="center" vertical="center" wrapText="1"/>
    </xf>
    <xf numFmtId="176" fontId="37" fillId="10" borderId="10" xfId="55" applyNumberFormat="1" applyFont="1" applyFill="1" applyBorder="1" applyAlignment="1">
      <alignment wrapText="1"/>
    </xf>
    <xf numFmtId="176" fontId="37" fillId="10" borderId="11" xfId="55" applyNumberFormat="1" applyFont="1" applyFill="1" applyBorder="1" applyAlignment="1">
      <alignment horizontal="right" wrapText="1"/>
    </xf>
    <xf numFmtId="176" fontId="37" fillId="10" borderId="11" xfId="55" applyNumberFormat="1" applyFont="1" applyFill="1" applyBorder="1" applyAlignment="1">
      <alignment horizontal="right"/>
    </xf>
    <xf numFmtId="175" fontId="37" fillId="10" borderId="11" xfId="55" applyNumberFormat="1" applyFont="1" applyFill="1" applyBorder="1" applyAlignment="1">
      <alignment horizontal="center" wrapText="1"/>
    </xf>
    <xf numFmtId="175" fontId="37" fillId="10" borderId="10" xfId="55" applyNumberFormat="1" applyFont="1" applyFill="1" applyBorder="1" applyAlignment="1">
      <alignment horizontal="center" wrapText="1"/>
    </xf>
    <xf numFmtId="0" fontId="37" fillId="10" borderId="11" xfId="55" applyNumberFormat="1" applyFont="1" applyFill="1" applyBorder="1" applyAlignment="1">
      <alignment horizontal="right" wrapText="1"/>
    </xf>
    <xf numFmtId="0" fontId="37" fillId="10" borderId="10" xfId="55" applyNumberFormat="1" applyFont="1" applyFill="1" applyBorder="1" applyAlignment="1">
      <alignment wrapText="1"/>
    </xf>
    <xf numFmtId="0" fontId="37" fillId="8" borderId="11" xfId="55" applyNumberFormat="1" applyFont="1" applyFill="1" applyBorder="1" applyAlignment="1">
      <alignment horizontal="center" wrapText="1"/>
    </xf>
    <xf numFmtId="0" fontId="37" fillId="8" borderId="10" xfId="55" applyNumberFormat="1" applyFont="1" applyFill="1" applyBorder="1" applyAlignment="1">
      <alignment horizontal="center" wrapText="1"/>
    </xf>
    <xf numFmtId="177" fontId="59" fillId="10" borderId="0" xfId="55" applyNumberFormat="1" applyFont="1" applyFill="1" applyBorder="1" applyAlignment="1">
      <alignment horizontal="center" wrapText="1"/>
    </xf>
    <xf numFmtId="177" fontId="37" fillId="10" borderId="15" xfId="55" applyNumberFormat="1" applyFont="1" applyFill="1" applyBorder="1" applyAlignment="1">
      <alignment horizontal="center" wrapText="1"/>
    </xf>
    <xf numFmtId="177" fontId="37" fillId="10" borderId="6" xfId="55" applyNumberFormat="1" applyFont="1" applyFill="1" applyBorder="1" applyAlignment="1">
      <alignment horizontal="center" wrapText="1"/>
    </xf>
    <xf numFmtId="177" fontId="59" fillId="10" borderId="7" xfId="55" applyNumberFormat="1" applyFont="1" applyFill="1" applyBorder="1" applyAlignment="1">
      <alignment horizontal="center" wrapText="1"/>
    </xf>
    <xf numFmtId="177" fontId="37" fillId="10" borderId="9" xfId="55" applyNumberFormat="1" applyFont="1" applyFill="1" applyBorder="1" applyAlignment="1">
      <alignment horizontal="center" wrapText="1"/>
    </xf>
    <xf numFmtId="176" fontId="37" fillId="10" borderId="15" xfId="55" applyNumberFormat="1" applyFont="1" applyFill="1" applyBorder="1" applyAlignment="1">
      <alignment horizontal="center" wrapText="1"/>
    </xf>
    <xf numFmtId="0" fontId="143" fillId="10" borderId="9" xfId="55" applyFont="1" applyFill="1" applyBorder="1"/>
    <xf numFmtId="176" fontId="37" fillId="10" borderId="6" xfId="55" applyNumberFormat="1" applyFont="1" applyFill="1" applyBorder="1" applyAlignment="1">
      <alignment horizontal="center"/>
    </xf>
    <xf numFmtId="176" fontId="37" fillId="10" borderId="7" xfId="55" applyNumberFormat="1" applyFont="1" applyFill="1" applyBorder="1" applyAlignment="1">
      <alignment horizontal="center"/>
    </xf>
    <xf numFmtId="176" fontId="37" fillId="10" borderId="9" xfId="55" applyNumberFormat="1" applyFont="1" applyFill="1" applyBorder="1" applyAlignment="1">
      <alignment horizontal="center" wrapText="1"/>
    </xf>
    <xf numFmtId="176" fontId="101" fillId="10" borderId="11" xfId="55" applyNumberFormat="1" applyFont="1" applyFill="1" applyBorder="1" applyAlignment="1">
      <alignment horizontal="center"/>
    </xf>
    <xf numFmtId="176" fontId="101" fillId="10" borderId="10" xfId="55" applyNumberFormat="1" applyFont="1" applyFill="1" applyBorder="1" applyAlignment="1">
      <alignment horizontal="center"/>
    </xf>
    <xf numFmtId="176" fontId="101" fillId="10" borderId="15" xfId="55" applyNumberFormat="1" applyFont="1" applyFill="1" applyBorder="1" applyAlignment="1">
      <alignment horizontal="center" wrapText="1"/>
    </xf>
    <xf numFmtId="177" fontId="59" fillId="10" borderId="10" xfId="55" applyNumberFormat="1" applyFont="1" applyFill="1" applyBorder="1" applyAlignment="1">
      <alignment horizontal="center" wrapText="1"/>
    </xf>
    <xf numFmtId="4" fontId="105" fillId="10" borderId="4" xfId="8" applyNumberFormat="1" applyFont="1" applyFill="1" applyBorder="1" applyAlignment="1">
      <alignment horizontal="center"/>
    </xf>
    <xf numFmtId="4" fontId="105" fillId="10" borderId="10" xfId="8" applyNumberFormat="1" applyFont="1" applyFill="1" applyBorder="1" applyAlignment="1">
      <alignment horizontal="center"/>
    </xf>
    <xf numFmtId="4" fontId="63" fillId="10" borderId="10" xfId="8" applyNumberFormat="1" applyFont="1" applyFill="1" applyBorder="1" applyAlignment="1">
      <alignment horizontal="center"/>
    </xf>
    <xf numFmtId="0" fontId="25" fillId="0" borderId="1" xfId="0" applyFont="1" applyBorder="1"/>
    <xf numFmtId="0" fontId="24" fillId="0" borderId="1" xfId="0" applyFont="1" applyBorder="1"/>
    <xf numFmtId="0" fontId="0" fillId="0" borderId="1" xfId="0" applyBorder="1"/>
    <xf numFmtId="0" fontId="24" fillId="0" borderId="0" xfId="0" applyFont="1" applyAlignment="1"/>
    <xf numFmtId="0" fontId="0" fillId="0" borderId="0" xfId="0" applyAlignment="1"/>
    <xf numFmtId="177" fontId="37" fillId="10" borderId="11" xfId="55" applyNumberFormat="1" applyFont="1" applyFill="1" applyBorder="1" applyAlignment="1">
      <alignment horizontal="center" wrapText="1"/>
    </xf>
    <xf numFmtId="4" fontId="24" fillId="10" borderId="11" xfId="8" applyNumberFormat="1" applyFont="1" applyFill="1" applyBorder="1" applyAlignment="1">
      <alignment vertical="center" wrapText="1"/>
    </xf>
    <xf numFmtId="4" fontId="24" fillId="10" borderId="11" xfId="8" applyNumberFormat="1" applyFont="1" applyFill="1" applyBorder="1" applyAlignment="1">
      <alignment horizontal="left" wrapText="1" indent="1"/>
    </xf>
    <xf numFmtId="176" fontId="34" fillId="0" borderId="4" xfId="55" applyNumberFormat="1" applyFont="1" applyFill="1" applyBorder="1" applyAlignment="1" applyProtection="1">
      <alignment horizontal="center" vertical="center"/>
      <protection hidden="1"/>
    </xf>
    <xf numFmtId="176" fontId="34" fillId="0" borderId="8" xfId="55" applyNumberFormat="1" applyFont="1" applyFill="1" applyBorder="1" applyAlignment="1" applyProtection="1">
      <alignment horizontal="center" vertical="center"/>
      <protection hidden="1"/>
    </xf>
    <xf numFmtId="0" fontId="26" fillId="10" borderId="3" xfId="0" applyFont="1" applyFill="1" applyBorder="1"/>
    <xf numFmtId="167" fontId="108" fillId="10" borderId="23" xfId="8" applyNumberFormat="1" applyFont="1" applyFill="1" applyBorder="1" applyAlignment="1">
      <alignment horizontal="center"/>
    </xf>
    <xf numFmtId="4" fontId="132" fillId="10" borderId="0" xfId="8" applyNumberFormat="1" applyFont="1" applyFill="1" applyBorder="1"/>
    <xf numFmtId="4" fontId="108" fillId="10" borderId="10" xfId="0" applyNumberFormat="1" applyFont="1" applyFill="1" applyBorder="1" applyAlignment="1">
      <alignment horizontal="center"/>
    </xf>
    <xf numFmtId="167" fontId="110" fillId="10" borderId="23" xfId="0" applyNumberFormat="1" applyFont="1" applyFill="1" applyBorder="1" applyAlignment="1">
      <alignment horizontal="center"/>
    </xf>
    <xf numFmtId="167" fontId="106" fillId="30" borderId="23" xfId="8" applyNumberFormat="1" applyFont="1" applyFill="1" applyBorder="1" applyAlignment="1">
      <alignment horizontal="center"/>
    </xf>
    <xf numFmtId="4" fontId="108" fillId="10" borderId="24" xfId="8" applyNumberFormat="1" applyFont="1" applyFill="1" applyBorder="1" applyAlignment="1">
      <alignment horizontal="right"/>
    </xf>
    <xf numFmtId="0" fontId="24" fillId="10" borderId="22" xfId="6" applyFont="1" applyFill="1" applyBorder="1" applyAlignment="1">
      <alignment horizontal="center" vertical="center"/>
    </xf>
    <xf numFmtId="0" fontId="64" fillId="10" borderId="24" xfId="0" applyFont="1" applyFill="1" applyBorder="1"/>
    <xf numFmtId="4" fontId="94" fillId="10" borderId="10" xfId="8" applyNumberFormat="1" applyFont="1" applyFill="1" applyBorder="1" applyAlignment="1">
      <alignment horizontal="center" vertical="center"/>
    </xf>
    <xf numFmtId="167" fontId="93" fillId="10" borderId="61" xfId="8" applyNumberFormat="1" applyFont="1" applyFill="1" applyBorder="1" applyAlignment="1">
      <alignment horizontal="center" vertical="center"/>
    </xf>
    <xf numFmtId="4" fontId="112" fillId="10" borderId="0" xfId="8" applyNumberFormat="1" applyFont="1" applyFill="1" applyBorder="1"/>
    <xf numFmtId="4" fontId="112" fillId="10" borderId="10" xfId="8" applyNumberFormat="1" applyFont="1" applyFill="1" applyBorder="1" applyAlignment="1">
      <alignment horizontal="center"/>
    </xf>
    <xf numFmtId="0" fontId="142" fillId="47" borderId="0" xfId="55" applyFont="1" applyFill="1"/>
    <xf numFmtId="0" fontId="37" fillId="47" borderId="0" xfId="55" applyFont="1" applyFill="1"/>
    <xf numFmtId="0" fontId="37" fillId="5" borderId="0" xfId="5" applyFont="1" applyFill="1" applyBorder="1" applyAlignment="1">
      <alignment vertical="center"/>
    </xf>
    <xf numFmtId="0" fontId="37" fillId="3" borderId="68" xfId="55" applyFont="1" applyFill="1" applyBorder="1" applyAlignment="1">
      <alignment horizontal="center" vertical="center"/>
    </xf>
    <xf numFmtId="0" fontId="37" fillId="3" borderId="69" xfId="55" applyFont="1" applyFill="1" applyBorder="1" applyAlignment="1">
      <alignment horizontal="center" vertical="center"/>
    </xf>
    <xf numFmtId="175" fontId="37" fillId="3" borderId="70" xfId="55" applyNumberFormat="1" applyFont="1" applyFill="1" applyBorder="1" applyAlignment="1">
      <alignment horizontal="center" vertical="center" wrapText="1"/>
    </xf>
    <xf numFmtId="0" fontId="24" fillId="0" borderId="0" xfId="55" applyFont="1" applyAlignment="1">
      <alignment vertical="center"/>
    </xf>
    <xf numFmtId="0" fontId="24" fillId="0" borderId="0" xfId="55" applyAlignment="1">
      <alignment vertical="center"/>
    </xf>
    <xf numFmtId="0" fontId="37" fillId="3" borderId="69" xfId="55" applyFont="1" applyFill="1" applyBorder="1" applyAlignment="1">
      <alignment horizontal="center" vertical="center" wrapText="1"/>
    </xf>
    <xf numFmtId="4" fontId="63" fillId="10" borderId="25" xfId="8" applyNumberFormat="1" applyFont="1" applyFill="1" applyBorder="1" applyAlignment="1">
      <alignment horizontal="left" vertical="top" indent="1"/>
    </xf>
    <xf numFmtId="0" fontId="63" fillId="10" borderId="23" xfId="6" applyFont="1" applyFill="1" applyBorder="1" applyAlignment="1">
      <alignment horizontal="center" vertical="top"/>
    </xf>
    <xf numFmtId="167" fontId="63" fillId="10" borderId="23" xfId="8" applyNumberFormat="1" applyFont="1" applyFill="1" applyBorder="1" applyAlignment="1">
      <alignment horizontal="center" vertical="top"/>
    </xf>
    <xf numFmtId="0" fontId="64" fillId="10" borderId="23" xfId="0" applyFont="1" applyFill="1" applyBorder="1" applyAlignment="1">
      <alignment horizontal="center" vertical="top"/>
    </xf>
    <xf numFmtId="167" fontId="63" fillId="10" borderId="23" xfId="8" applyNumberFormat="1" applyFont="1" applyFill="1" applyBorder="1" applyAlignment="1">
      <alignment horizontal="right" vertical="top"/>
    </xf>
    <xf numFmtId="167" fontId="63" fillId="10" borderId="23" xfId="0" applyNumberFormat="1" applyFont="1" applyFill="1" applyBorder="1" applyAlignment="1">
      <alignment horizontal="center" vertical="top"/>
    </xf>
    <xf numFmtId="4" fontId="63" fillId="10" borderId="0" xfId="8" applyNumberFormat="1" applyFont="1" applyFill="1" applyBorder="1" applyAlignment="1">
      <alignment vertical="top"/>
    </xf>
    <xf numFmtId="167" fontId="63" fillId="10" borderId="23" xfId="0" applyNumberFormat="1" applyFont="1" applyFill="1" applyBorder="1" applyAlignment="1">
      <alignment horizontal="right" vertical="top"/>
    </xf>
    <xf numFmtId="0" fontId="64" fillId="10" borderId="25" xfId="0" applyFont="1" applyFill="1" applyBorder="1" applyAlignment="1">
      <alignment vertical="top"/>
    </xf>
    <xf numFmtId="4" fontId="63" fillId="10" borderId="25" xfId="8" applyNumberFormat="1" applyFont="1" applyFill="1" applyBorder="1" applyAlignment="1">
      <alignment vertical="top"/>
    </xf>
    <xf numFmtId="0" fontId="63" fillId="10" borderId="25" xfId="0" applyFont="1" applyFill="1" applyBorder="1" applyAlignment="1">
      <alignment vertical="top"/>
    </xf>
    <xf numFmtId="4" fontId="63" fillId="10" borderId="25" xfId="8" applyNumberFormat="1" applyFont="1" applyFill="1" applyBorder="1" applyAlignment="1">
      <alignment vertical="top" wrapText="1"/>
    </xf>
    <xf numFmtId="0" fontId="63" fillId="10" borderId="25" xfId="0" applyFont="1" applyFill="1" applyBorder="1" applyAlignment="1">
      <alignment horizontal="left" vertical="top" indent="1"/>
    </xf>
    <xf numFmtId="0" fontId="78" fillId="10" borderId="15" xfId="0" applyFont="1" applyFill="1" applyBorder="1" applyAlignment="1">
      <alignment vertical="center"/>
    </xf>
    <xf numFmtId="0" fontId="110" fillId="10" borderId="15" xfId="0" applyFont="1" applyFill="1" applyBorder="1" applyAlignment="1">
      <alignment vertical="center"/>
    </xf>
    <xf numFmtId="0" fontId="132" fillId="10" borderId="15" xfId="0" applyFont="1" applyFill="1" applyBorder="1" applyAlignment="1">
      <alignment horizontal="center" vertical="center"/>
    </xf>
    <xf numFmtId="0" fontId="25" fillId="0" borderId="0" xfId="0" applyFont="1"/>
    <xf numFmtId="0" fontId="34" fillId="27" borderId="0" xfId="0" applyFont="1" applyFill="1"/>
    <xf numFmtId="0" fontId="24" fillId="0" borderId="0" xfId="0" quotePrefix="1" applyFont="1"/>
    <xf numFmtId="0" fontId="146" fillId="0" borderId="0" xfId="0" applyFont="1"/>
    <xf numFmtId="0" fontId="144" fillId="0" borderId="0" xfId="0" applyFont="1"/>
    <xf numFmtId="0" fontId="145" fillId="27" borderId="0" xfId="0" applyFont="1" applyFill="1" applyAlignment="1"/>
    <xf numFmtId="0" fontId="99" fillId="27" borderId="0" xfId="0" applyFont="1" applyFill="1" applyAlignment="1"/>
    <xf numFmtId="0" fontId="99" fillId="27" borderId="0" xfId="0" applyFont="1" applyFill="1"/>
    <xf numFmtId="0" fontId="37" fillId="27" borderId="0" xfId="0" applyFont="1" applyFill="1"/>
    <xf numFmtId="0" fontId="64" fillId="10" borderId="3" xfId="0" applyFont="1" applyFill="1" applyBorder="1" applyAlignment="1">
      <alignment vertical="center"/>
    </xf>
    <xf numFmtId="0" fontId="64" fillId="10" borderId="25" xfId="0" applyFont="1" applyFill="1" applyBorder="1"/>
    <xf numFmtId="4" fontId="105" fillId="10" borderId="2" xfId="8" applyNumberFormat="1" applyFont="1" applyFill="1" applyBorder="1" applyAlignment="1">
      <alignment vertical="center"/>
    </xf>
    <xf numFmtId="4" fontId="105" fillId="10" borderId="11" xfId="8" applyNumberFormat="1" applyFont="1" applyFill="1" applyBorder="1"/>
    <xf numFmtId="4" fontId="63" fillId="10" borderId="11" xfId="8" applyNumberFormat="1" applyFont="1" applyFill="1" applyBorder="1"/>
    <xf numFmtId="0" fontId="0" fillId="0" borderId="0" xfId="0" applyAlignment="1">
      <alignment horizontal="left" vertical="center"/>
    </xf>
    <xf numFmtId="0" fontId="147" fillId="10" borderId="0" xfId="6" applyFont="1" applyFill="1"/>
    <xf numFmtId="0" fontId="59" fillId="25" borderId="1" xfId="0" applyFont="1" applyFill="1" applyBorder="1" applyAlignment="1">
      <alignment horizontal="center" vertical="center"/>
    </xf>
    <xf numFmtId="0" fontId="59" fillId="20" borderId="1" xfId="0" applyFont="1" applyFill="1" applyBorder="1" applyAlignment="1">
      <alignment horizontal="center" vertical="center"/>
    </xf>
    <xf numFmtId="0" fontId="149" fillId="45" borderId="0" xfId="6" applyFont="1" applyFill="1" applyBorder="1" applyAlignment="1">
      <alignment horizontal="left" vertical="center"/>
    </xf>
    <xf numFmtId="0" fontId="145" fillId="45" borderId="0" xfId="11" applyFont="1" applyFill="1" applyBorder="1" applyAlignment="1">
      <alignment vertical="center"/>
    </xf>
    <xf numFmtId="169" fontId="145" fillId="45" borderId="0" xfId="3" applyNumberFormat="1" applyFont="1" applyFill="1" applyAlignment="1">
      <alignment horizontal="left" vertical="center"/>
    </xf>
    <xf numFmtId="168" fontId="145" fillId="45" borderId="0" xfId="3" applyNumberFormat="1" applyFont="1" applyFill="1" applyAlignment="1">
      <alignment horizontal="center" vertical="center"/>
    </xf>
    <xf numFmtId="169" fontId="145" fillId="45" borderId="0" xfId="11" applyNumberFormat="1" applyFont="1" applyFill="1" applyBorder="1" applyAlignment="1">
      <alignment horizontal="left" vertical="center"/>
    </xf>
    <xf numFmtId="2" fontId="125" fillId="45" borderId="0" xfId="6" applyNumberFormat="1" applyFont="1" applyFill="1" applyBorder="1"/>
    <xf numFmtId="0" fontId="0" fillId="10" borderId="4" xfId="0" applyFill="1" applyBorder="1"/>
    <xf numFmtId="0" fontId="0" fillId="10" borderId="10" xfId="0" applyFill="1" applyBorder="1"/>
    <xf numFmtId="0" fontId="99" fillId="48" borderId="0" xfId="0" applyFont="1" applyFill="1"/>
    <xf numFmtId="0" fontId="37" fillId="48" borderId="0" xfId="0" applyFont="1" applyFill="1"/>
    <xf numFmtId="0" fontId="121" fillId="49" borderId="0" xfId="0" applyFont="1" applyFill="1" applyAlignment="1">
      <alignment horizontal="left" vertical="center"/>
    </xf>
    <xf numFmtId="0" fontId="0" fillId="10" borderId="0" xfId="0" applyFill="1" applyAlignment="1">
      <alignment horizontal="left" vertical="center"/>
    </xf>
    <xf numFmtId="0" fontId="108" fillId="10" borderId="0" xfId="0" applyFont="1" applyFill="1"/>
    <xf numFmtId="0" fontId="99" fillId="10" borderId="0" xfId="0" applyNumberFormat="1" applyFont="1" applyFill="1" applyAlignment="1">
      <alignment vertical="center"/>
    </xf>
    <xf numFmtId="0" fontId="24" fillId="10" borderId="0" xfId="0" applyNumberFormat="1" applyFont="1" applyFill="1" applyAlignment="1">
      <alignment vertical="center"/>
    </xf>
    <xf numFmtId="0" fontId="0" fillId="10" borderId="2" xfId="0" applyFill="1" applyBorder="1"/>
    <xf numFmtId="0" fontId="0" fillId="10" borderId="3" xfId="0" applyFill="1" applyBorder="1"/>
    <xf numFmtId="0" fontId="0" fillId="10" borderId="11" xfId="0" applyFill="1" applyBorder="1"/>
    <xf numFmtId="0" fontId="25" fillId="0" borderId="8" xfId="0" applyFont="1" applyBorder="1" applyAlignment="1">
      <alignment horizontal="right" vertical="center"/>
    </xf>
    <xf numFmtId="10" fontId="34" fillId="40" borderId="9" xfId="8" applyNumberFormat="1" applyFont="1" applyFill="1" applyBorder="1" applyAlignment="1">
      <alignment horizontal="center" vertical="center"/>
    </xf>
    <xf numFmtId="4" fontId="154" fillId="40" borderId="6" xfId="8" applyNumberFormat="1" applyFont="1" applyFill="1" applyBorder="1" applyAlignment="1">
      <alignment horizontal="right" vertical="center"/>
    </xf>
    <xf numFmtId="4" fontId="154" fillId="40" borderId="8" xfId="8" applyNumberFormat="1" applyFont="1" applyFill="1" applyBorder="1" applyAlignment="1">
      <alignment horizontal="center" vertical="center"/>
    </xf>
    <xf numFmtId="0" fontId="59" fillId="10" borderId="0" xfId="8" applyNumberFormat="1" applyFont="1" applyFill="1" applyAlignment="1"/>
    <xf numFmtId="0" fontId="59" fillId="10" borderId="0" xfId="1" applyFont="1" applyFill="1" applyAlignment="1"/>
    <xf numFmtId="0" fontId="59" fillId="0" borderId="0" xfId="1" applyFont="1" applyFill="1" applyAlignment="1"/>
    <xf numFmtId="0" fontId="24" fillId="0" borderId="0" xfId="55" applyFont="1" applyAlignment="1">
      <alignment wrapText="1"/>
    </xf>
    <xf numFmtId="0" fontId="25" fillId="0" borderId="63" xfId="0" applyFont="1" applyBorder="1" applyAlignment="1">
      <alignment horizontal="right" vertical="center"/>
    </xf>
    <xf numFmtId="4" fontId="33" fillId="35" borderId="63" xfId="0" applyNumberFormat="1" applyFont="1" applyFill="1" applyBorder="1" applyAlignment="1">
      <alignment horizontal="center" vertical="center"/>
    </xf>
    <xf numFmtId="0" fontId="0" fillId="10" borderId="63" xfId="0" applyFill="1" applyBorder="1"/>
    <xf numFmtId="0" fontId="0" fillId="10" borderId="77" xfId="0" applyFill="1" applyBorder="1"/>
    <xf numFmtId="0" fontId="25" fillId="10" borderId="0" xfId="11" quotePrefix="1" applyFont="1" applyFill="1" applyAlignment="1">
      <alignment horizontal="right" vertical="center"/>
    </xf>
    <xf numFmtId="0" fontId="156" fillId="0" borderId="0" xfId="55" applyFont="1"/>
    <xf numFmtId="0" fontId="157" fillId="0" borderId="0" xfId="55" applyFont="1"/>
    <xf numFmtId="174" fontId="157" fillId="0" borderId="0" xfId="55" applyNumberFormat="1" applyFont="1"/>
    <xf numFmtId="0" fontId="157" fillId="0" borderId="0" xfId="55" applyFont="1" applyAlignment="1">
      <alignment wrapText="1"/>
    </xf>
    <xf numFmtId="0" fontId="158" fillId="0" borderId="0" xfId="55" applyFont="1"/>
    <xf numFmtId="0" fontId="159" fillId="0" borderId="0" xfId="55" applyFont="1"/>
    <xf numFmtId="0" fontId="34" fillId="0" borderId="1" xfId="6" applyFont="1" applyBorder="1" applyAlignment="1">
      <alignment horizontal="center" vertical="center" wrapText="1"/>
    </xf>
    <xf numFmtId="0" fontId="25" fillId="10" borderId="0" xfId="5" applyFont="1" applyFill="1" applyBorder="1" applyAlignment="1">
      <alignment horizontal="left" vertical="center"/>
    </xf>
    <xf numFmtId="0" fontId="64" fillId="10" borderId="3" xfId="6" applyFont="1" applyFill="1" applyBorder="1" applyAlignment="1">
      <alignment horizontal="center" vertical="center"/>
    </xf>
    <xf numFmtId="0" fontId="36" fillId="10" borderId="15" xfId="55" applyFont="1" applyFill="1" applyBorder="1"/>
    <xf numFmtId="176" fontId="101" fillId="10" borderId="6" xfId="55" applyNumberFormat="1" applyFont="1" applyFill="1" applyBorder="1" applyAlignment="1">
      <alignment horizontal="center"/>
    </xf>
    <xf numFmtId="176" fontId="101" fillId="10" borderId="8" xfId="55" applyNumberFormat="1" applyFont="1" applyFill="1" applyBorder="1" applyAlignment="1">
      <alignment horizontal="center"/>
    </xf>
    <xf numFmtId="176" fontId="101" fillId="10" borderId="9" xfId="55" applyNumberFormat="1" applyFont="1" applyFill="1" applyBorder="1" applyAlignment="1">
      <alignment horizontal="center" wrapText="1"/>
    </xf>
    <xf numFmtId="0" fontId="25" fillId="10" borderId="0" xfId="8" quotePrefix="1" applyFont="1" applyFill="1" applyBorder="1" applyAlignment="1">
      <alignment horizontal="center"/>
    </xf>
    <xf numFmtId="0" fontId="59" fillId="10" borderId="0" xfId="8" applyFont="1" applyFill="1" applyAlignment="1">
      <alignment horizontal="center"/>
    </xf>
    <xf numFmtId="0" fontId="114" fillId="10" borderId="0" xfId="8" applyFont="1" applyFill="1" applyAlignment="1">
      <alignment horizontal="center"/>
    </xf>
    <xf numFmtId="0" fontId="116" fillId="10" borderId="0" xfId="8" applyFont="1" applyFill="1" applyAlignment="1">
      <alignment horizontal="center"/>
    </xf>
    <xf numFmtId="0" fontId="59" fillId="10" borderId="0" xfId="8" applyFont="1" applyFill="1" applyAlignment="1">
      <alignment horizontal="left"/>
    </xf>
    <xf numFmtId="0" fontId="59" fillId="10" borderId="0" xfId="8" applyFont="1" applyFill="1" applyAlignment="1"/>
    <xf numFmtId="0" fontId="59" fillId="21" borderId="34" xfId="8" applyFont="1" applyFill="1" applyBorder="1" applyAlignment="1">
      <alignment horizontal="center" vertical="center"/>
    </xf>
    <xf numFmtId="0" fontId="114" fillId="21" borderId="1" xfId="8" applyFont="1" applyFill="1" applyBorder="1" applyAlignment="1">
      <alignment horizontal="center" vertical="center"/>
    </xf>
    <xf numFmtId="0" fontId="59" fillId="21" borderId="1" xfId="8" applyFont="1" applyFill="1" applyBorder="1" applyAlignment="1">
      <alignment horizontal="center" vertical="center"/>
    </xf>
    <xf numFmtId="0" fontId="115" fillId="21" borderId="1" xfId="8" applyFont="1" applyFill="1" applyBorder="1" applyAlignment="1">
      <alignment horizontal="center" vertical="center"/>
    </xf>
    <xf numFmtId="0" fontId="37" fillId="21" borderId="1" xfId="8" applyFont="1" applyFill="1" applyBorder="1" applyAlignment="1">
      <alignment horizontal="left" vertical="center"/>
    </xf>
    <xf numFmtId="0" fontId="37" fillId="21" borderId="1" xfId="8" applyFont="1" applyFill="1" applyBorder="1" applyAlignment="1">
      <alignment vertical="center"/>
    </xf>
    <xf numFmtId="0" fontId="37" fillId="21" borderId="1" xfId="8" applyNumberFormat="1" applyFont="1" applyFill="1" applyBorder="1" applyAlignment="1">
      <alignment vertical="center"/>
    </xf>
    <xf numFmtId="0" fontId="143" fillId="10" borderId="15" xfId="55" applyFont="1" applyFill="1" applyBorder="1" applyAlignment="1">
      <alignment vertical="center"/>
    </xf>
    <xf numFmtId="176" fontId="37" fillId="10" borderId="11" xfId="55" applyNumberFormat="1" applyFont="1" applyFill="1" applyBorder="1" applyAlignment="1">
      <alignment horizontal="center" vertical="center"/>
    </xf>
    <xf numFmtId="176" fontId="37" fillId="10" borderId="10" xfId="55" applyNumberFormat="1" applyFont="1" applyFill="1" applyBorder="1" applyAlignment="1">
      <alignment horizontal="center" vertical="center"/>
    </xf>
    <xf numFmtId="176" fontId="37" fillId="10" borderId="15" xfId="55" applyNumberFormat="1" applyFont="1" applyFill="1" applyBorder="1" applyAlignment="1">
      <alignment horizontal="center" vertical="center" wrapText="1"/>
    </xf>
    <xf numFmtId="0" fontId="37" fillId="10" borderId="3" xfId="55" applyFont="1" applyFill="1" applyBorder="1" applyAlignment="1">
      <alignment horizontal="center" vertical="center" wrapText="1"/>
    </xf>
    <xf numFmtId="0" fontId="59" fillId="10" borderId="8" xfId="8" applyFont="1" applyFill="1" applyBorder="1" applyAlignment="1">
      <alignment horizontal="left" vertical="center" wrapText="1"/>
    </xf>
    <xf numFmtId="167" fontId="0" fillId="10" borderId="55" xfId="8" applyNumberFormat="1" applyFont="1" applyFill="1" applyBorder="1"/>
    <xf numFmtId="167" fontId="0" fillId="10" borderId="22" xfId="8" applyNumberFormat="1" applyFont="1" applyFill="1" applyBorder="1"/>
    <xf numFmtId="167" fontId="0" fillId="10" borderId="61" xfId="8" applyNumberFormat="1" applyFont="1" applyFill="1" applyBorder="1"/>
    <xf numFmtId="0" fontId="59" fillId="10" borderId="0" xfId="8" applyFont="1" applyFill="1" applyBorder="1" applyAlignment="1">
      <alignment horizontal="left" vertical="center" wrapText="1" indent="1"/>
    </xf>
    <xf numFmtId="0" fontId="59" fillId="10" borderId="7" xfId="55" applyNumberFormat="1" applyFont="1" applyFill="1" applyBorder="1" applyAlignment="1">
      <alignment wrapText="1"/>
    </xf>
    <xf numFmtId="167" fontId="59" fillId="10" borderId="55" xfId="8" applyNumberFormat="1" applyFont="1" applyFill="1" applyBorder="1" applyAlignment="1">
      <alignment vertical="center"/>
    </xf>
    <xf numFmtId="167" fontId="59" fillId="10" borderId="61" xfId="8" applyNumberFormat="1" applyFont="1" applyFill="1" applyBorder="1" applyAlignment="1">
      <alignment vertical="top"/>
    </xf>
    <xf numFmtId="167" fontId="59" fillId="10" borderId="22" xfId="8" applyNumberFormat="1" applyFont="1" applyFill="1" applyBorder="1" applyAlignment="1">
      <alignment vertical="center"/>
    </xf>
    <xf numFmtId="176" fontId="37" fillId="10" borderId="0" xfId="55" applyNumberFormat="1" applyFont="1" applyFill="1" applyBorder="1" applyAlignment="1">
      <alignment horizontal="center" vertical="center"/>
    </xf>
    <xf numFmtId="0" fontId="37" fillId="10" borderId="0" xfId="55" applyFont="1" applyFill="1" applyBorder="1" applyAlignment="1">
      <alignment horizontal="center" vertical="center"/>
    </xf>
    <xf numFmtId="0" fontId="59" fillId="10" borderId="78" xfId="55" applyNumberFormat="1" applyFont="1" applyFill="1" applyBorder="1" applyAlignment="1">
      <alignment horizontal="left" vertical="center" wrapText="1" indent="1"/>
    </xf>
    <xf numFmtId="4" fontId="59" fillId="7" borderId="2" xfId="8" applyNumberFormat="1" applyFont="1" applyFill="1" applyBorder="1" applyAlignment="1">
      <alignment horizontal="right"/>
    </xf>
    <xf numFmtId="4" fontId="59" fillId="7" borderId="4" xfId="8" applyNumberFormat="1" applyFont="1" applyFill="1" applyBorder="1" applyAlignment="1">
      <alignment horizontal="right"/>
    </xf>
    <xf numFmtId="4" fontId="24" fillId="7" borderId="55" xfId="8" applyNumberFormat="1" applyFont="1" applyFill="1" applyBorder="1" applyAlignment="1">
      <alignment horizontal="center"/>
    </xf>
    <xf numFmtId="4" fontId="24" fillId="7" borderId="4" xfId="8" applyNumberFormat="1" applyFont="1" applyFill="1" applyBorder="1" applyAlignment="1">
      <alignment horizontal="center"/>
    </xf>
    <xf numFmtId="4" fontId="25" fillId="7" borderId="55" xfId="8" applyNumberFormat="1" applyFont="1" applyFill="1" applyBorder="1" applyAlignment="1">
      <alignment horizontal="center"/>
    </xf>
    <xf numFmtId="4" fontId="25" fillId="7" borderId="4" xfId="8" applyNumberFormat="1" applyFont="1" applyFill="1" applyBorder="1" applyAlignment="1">
      <alignment horizontal="center"/>
    </xf>
    <xf numFmtId="4" fontId="59" fillId="7" borderId="6" xfId="8" applyNumberFormat="1" applyFont="1" applyFill="1" applyBorder="1" applyAlignment="1">
      <alignment horizontal="right" vertical="center"/>
    </xf>
    <xf numFmtId="4" fontId="59" fillId="7" borderId="8" xfId="8" applyNumberFormat="1" applyFont="1" applyFill="1" applyBorder="1" applyAlignment="1">
      <alignment horizontal="right" vertical="center"/>
    </xf>
    <xf numFmtId="4" fontId="24" fillId="7" borderId="61" xfId="8" applyNumberFormat="1" applyFont="1" applyFill="1" applyBorder="1" applyAlignment="1">
      <alignment horizontal="center" vertical="center"/>
    </xf>
    <xf numFmtId="4" fontId="24" fillId="7" borderId="8" xfId="8" applyNumberFormat="1" applyFont="1" applyFill="1" applyBorder="1" applyAlignment="1">
      <alignment horizontal="center" vertical="center"/>
    </xf>
    <xf numFmtId="4" fontId="25" fillId="7" borderId="61" xfId="8" applyNumberFormat="1" applyFont="1" applyFill="1" applyBorder="1" applyAlignment="1">
      <alignment horizontal="center" vertical="center"/>
    </xf>
    <xf numFmtId="4" fontId="25" fillId="7" borderId="8" xfId="8" applyNumberFormat="1" applyFont="1" applyFill="1" applyBorder="1" applyAlignment="1">
      <alignment horizontal="center" vertical="center"/>
    </xf>
    <xf numFmtId="167" fontId="63" fillId="10" borderId="22" xfId="8" applyNumberFormat="1" applyFont="1" applyFill="1" applyBorder="1" applyAlignment="1">
      <alignment horizontal="center" vertical="top"/>
    </xf>
    <xf numFmtId="0" fontId="63" fillId="10" borderId="23" xfId="8" applyNumberFormat="1" applyFont="1" applyFill="1" applyBorder="1" applyAlignment="1">
      <alignment horizontal="right" vertical="top"/>
    </xf>
    <xf numFmtId="0" fontId="63" fillId="10" borderId="0" xfId="0" applyFont="1" applyFill="1" applyAlignment="1">
      <alignment vertical="top"/>
    </xf>
    <xf numFmtId="0" fontId="63" fillId="10" borderId="0" xfId="0" quotePrefix="1" applyFont="1" applyFill="1" applyAlignment="1">
      <alignment horizontal="left" vertical="top" indent="2"/>
    </xf>
    <xf numFmtId="0" fontId="63" fillId="10" borderId="0" xfId="0" applyFont="1" applyFill="1" applyAlignment="1">
      <alignment horizontal="left" vertical="top" indent="2"/>
    </xf>
    <xf numFmtId="4" fontId="105" fillId="10" borderId="4" xfId="8" applyNumberFormat="1" applyFont="1" applyFill="1" applyBorder="1" applyAlignment="1">
      <alignment horizontal="center" vertical="center"/>
    </xf>
    <xf numFmtId="0" fontId="63" fillId="10" borderId="22" xfId="6" applyFont="1" applyFill="1" applyBorder="1" applyAlignment="1">
      <alignment horizontal="center" vertical="top"/>
    </xf>
    <xf numFmtId="4" fontId="105" fillId="10" borderId="10" xfId="8" applyNumberFormat="1" applyFont="1" applyFill="1" applyBorder="1" applyAlignment="1">
      <alignment horizontal="center" vertical="center"/>
    </xf>
    <xf numFmtId="4" fontId="63" fillId="10" borderId="10" xfId="0" applyNumberFormat="1" applyFont="1" applyFill="1" applyBorder="1" applyAlignment="1">
      <alignment horizontal="center" vertical="center"/>
    </xf>
    <xf numFmtId="0" fontId="63" fillId="10" borderId="22" xfId="0" applyFont="1" applyFill="1" applyBorder="1" applyAlignment="1">
      <alignment horizontal="center" vertical="top"/>
    </xf>
    <xf numFmtId="167" fontId="64" fillId="10" borderId="23" xfId="0" applyNumberFormat="1" applyFont="1" applyFill="1" applyBorder="1" applyAlignment="1">
      <alignment horizontal="center" vertical="top"/>
    </xf>
    <xf numFmtId="4" fontId="63" fillId="10" borderId="10" xfId="8" applyNumberFormat="1" applyFont="1" applyFill="1" applyBorder="1" applyAlignment="1">
      <alignment horizontal="center" vertical="center"/>
    </xf>
    <xf numFmtId="167" fontId="63" fillId="10" borderId="61" xfId="8" applyNumberFormat="1" applyFont="1" applyFill="1" applyBorder="1" applyAlignment="1">
      <alignment horizontal="center" vertical="top"/>
    </xf>
    <xf numFmtId="4" fontId="63" fillId="10" borderId="8" xfId="0" applyNumberFormat="1" applyFont="1" applyFill="1" applyBorder="1" applyAlignment="1">
      <alignment horizontal="center" vertical="center"/>
    </xf>
    <xf numFmtId="0" fontId="63" fillId="10" borderId="23" xfId="6" applyFont="1" applyFill="1" applyBorder="1" applyAlignment="1">
      <alignment horizontal="right" vertical="top"/>
    </xf>
    <xf numFmtId="0" fontId="63" fillId="10" borderId="23" xfId="0" applyFont="1" applyFill="1" applyBorder="1" applyAlignment="1">
      <alignment horizontal="right" vertical="top"/>
    </xf>
    <xf numFmtId="0" fontId="105" fillId="10" borderId="15" xfId="0" quotePrefix="1" applyFont="1" applyFill="1" applyBorder="1" applyAlignment="1">
      <alignment horizontal="center" vertical="center"/>
    </xf>
    <xf numFmtId="0" fontId="64" fillId="10" borderId="25" xfId="0" applyFont="1" applyFill="1" applyBorder="1" applyAlignment="1">
      <alignment vertical="center"/>
    </xf>
    <xf numFmtId="0" fontId="64" fillId="10" borderId="25" xfId="6" applyFont="1" applyFill="1" applyBorder="1" applyAlignment="1">
      <alignment vertical="top"/>
    </xf>
    <xf numFmtId="4" fontId="63" fillId="10" borderId="25" xfId="8" applyNumberFormat="1" applyFont="1" applyFill="1" applyBorder="1" applyAlignment="1">
      <alignment horizontal="left" vertical="top"/>
    </xf>
    <xf numFmtId="4" fontId="63" fillId="10" borderId="65" xfId="8" applyNumberFormat="1" applyFont="1" applyFill="1" applyBorder="1" applyAlignment="1">
      <alignment horizontal="left" vertical="center"/>
    </xf>
    <xf numFmtId="0" fontId="63" fillId="10" borderId="25" xfId="0" applyFont="1" applyFill="1" applyBorder="1"/>
    <xf numFmtId="0" fontId="63" fillId="10" borderId="25" xfId="0" applyFont="1" applyFill="1" applyBorder="1" applyAlignment="1">
      <alignment horizontal="left" indent="1"/>
    </xf>
    <xf numFmtId="4" fontId="63" fillId="10" borderId="25" xfId="0" applyNumberFormat="1" applyFont="1" applyFill="1" applyBorder="1" applyAlignment="1">
      <alignment horizontal="left" vertical="top" indent="1"/>
    </xf>
    <xf numFmtId="0" fontId="63" fillId="10" borderId="25" xfId="0" quotePrefix="1" applyFont="1" applyFill="1" applyBorder="1" applyAlignment="1">
      <alignment horizontal="left" vertical="top" indent="2"/>
    </xf>
    <xf numFmtId="0" fontId="63" fillId="10" borderId="25" xfId="0" applyFont="1" applyFill="1" applyBorder="1" applyAlignment="1">
      <alignment horizontal="left" vertical="top" indent="2"/>
    </xf>
    <xf numFmtId="4" fontId="105" fillId="10" borderId="11" xfId="8" applyNumberFormat="1" applyFont="1" applyFill="1" applyBorder="1" applyAlignment="1">
      <alignment vertical="center"/>
    </xf>
    <xf numFmtId="0" fontId="64" fillId="10" borderId="2" xfId="6" applyFont="1" applyFill="1" applyBorder="1" applyAlignment="1">
      <alignment horizontal="center" vertical="center"/>
    </xf>
    <xf numFmtId="4" fontId="63" fillId="10" borderId="25" xfId="0" applyNumberFormat="1" applyFont="1" applyFill="1" applyBorder="1" applyAlignment="1">
      <alignment horizontal="left" vertical="top" wrapText="1" indent="1"/>
    </xf>
    <xf numFmtId="0" fontId="37" fillId="0" borderId="0" xfId="55" applyNumberFormat="1" applyFont="1" applyAlignment="1">
      <alignment horizontal="left" vertical="center"/>
    </xf>
    <xf numFmtId="0" fontId="59" fillId="0" borderId="0" xfId="55" applyFont="1" applyAlignment="1">
      <alignment vertical="center"/>
    </xf>
    <xf numFmtId="0" fontId="59" fillId="0" borderId="0" xfId="55" applyFont="1" applyAlignment="1">
      <alignment horizontal="right" vertical="center"/>
    </xf>
    <xf numFmtId="174" fontId="24" fillId="0" borderId="0" xfId="55" applyNumberFormat="1" applyFont="1" applyAlignment="1">
      <alignment vertical="center"/>
    </xf>
    <xf numFmtId="49" fontId="59" fillId="0" borderId="0" xfId="55" applyNumberFormat="1" applyFont="1" applyAlignment="1">
      <alignment horizontal="left" vertical="center"/>
    </xf>
    <xf numFmtId="49" fontId="59" fillId="0" borderId="0" xfId="55" applyNumberFormat="1" applyFont="1" applyAlignment="1">
      <alignment vertical="center"/>
    </xf>
    <xf numFmtId="0" fontId="141" fillId="0" borderId="0" xfId="55" applyFont="1" applyAlignment="1">
      <alignment vertical="center"/>
    </xf>
    <xf numFmtId="0" fontId="37" fillId="0" borderId="0" xfId="55" applyFont="1" applyAlignment="1">
      <alignment vertical="center"/>
    </xf>
    <xf numFmtId="174" fontId="59" fillId="0" borderId="0" xfId="55" applyNumberFormat="1" applyFont="1" applyAlignment="1">
      <alignment vertical="center"/>
    </xf>
    <xf numFmtId="0" fontId="142" fillId="0" borderId="0" xfId="55" applyFont="1" applyAlignment="1">
      <alignment vertical="center"/>
    </xf>
    <xf numFmtId="0" fontId="37" fillId="47" borderId="0" xfId="55" applyFont="1" applyFill="1" applyAlignment="1">
      <alignment vertical="center"/>
    </xf>
    <xf numFmtId="0" fontId="142" fillId="47" borderId="0" xfId="55" applyFont="1" applyFill="1" applyAlignment="1">
      <alignment vertical="center"/>
    </xf>
    <xf numFmtId="174" fontId="59" fillId="47" borderId="0" xfId="55" applyNumberFormat="1" applyFont="1" applyFill="1" applyAlignment="1">
      <alignment vertical="center"/>
    </xf>
    <xf numFmtId="0" fontId="64" fillId="10" borderId="3" xfId="0" applyFont="1" applyFill="1" applyBorder="1" applyAlignment="1">
      <alignment vertical="top"/>
    </xf>
    <xf numFmtId="2" fontId="34" fillId="10" borderId="1" xfId="11" applyNumberFormat="1" applyFont="1" applyFill="1" applyBorder="1" applyAlignment="1">
      <alignment horizontal="center"/>
    </xf>
    <xf numFmtId="172" fontId="37" fillId="10" borderId="1" xfId="11" applyNumberFormat="1" applyFont="1" applyFill="1" applyBorder="1" applyAlignment="1">
      <alignment horizontal="center" vertical="center"/>
    </xf>
    <xf numFmtId="2" fontId="114" fillId="10" borderId="0" xfId="11" quotePrefix="1" applyNumberFormat="1" applyFont="1" applyFill="1" applyBorder="1" applyAlignment="1">
      <alignment horizontal="right" vertical="center"/>
    </xf>
    <xf numFmtId="9" fontId="163" fillId="10" borderId="0" xfId="39492" applyFont="1" applyFill="1" applyBorder="1" applyAlignment="1">
      <alignment horizontal="left" vertical="center"/>
    </xf>
    <xf numFmtId="0" fontId="59" fillId="0" borderId="16" xfId="0" applyFont="1" applyBorder="1" applyAlignment="1">
      <alignment horizontal="center" vertical="center"/>
    </xf>
    <xf numFmtId="170" fontId="59" fillId="10" borderId="14" xfId="0" applyNumberFormat="1" applyFont="1" applyFill="1" applyBorder="1" applyAlignment="1">
      <alignment horizontal="center" vertical="center"/>
    </xf>
    <xf numFmtId="170" fontId="59" fillId="5" borderId="16" xfId="0" applyNumberFormat="1" applyFont="1" applyFill="1" applyBorder="1" applyAlignment="1">
      <alignment horizontal="center" vertical="center"/>
    </xf>
    <xf numFmtId="169" fontId="59" fillId="19" borderId="16" xfId="0" applyNumberFormat="1" applyFont="1" applyFill="1" applyBorder="1" applyAlignment="1">
      <alignment horizontal="left" vertical="center"/>
    </xf>
    <xf numFmtId="2" fontId="59" fillId="0" borderId="16" xfId="0" applyNumberFormat="1" applyFont="1" applyBorder="1" applyAlignment="1">
      <alignment vertical="center"/>
    </xf>
    <xf numFmtId="2" fontId="59" fillId="0" borderId="14" xfId="0" applyNumberFormat="1" applyFont="1" applyBorder="1" applyAlignment="1">
      <alignment vertical="center"/>
    </xf>
    <xf numFmtId="0" fontId="78" fillId="21" borderId="1" xfId="6" applyFont="1" applyFill="1" applyBorder="1"/>
    <xf numFmtId="0" fontId="78" fillId="39" borderId="0" xfId="6" applyFont="1" applyFill="1"/>
    <xf numFmtId="0" fontId="164" fillId="10" borderId="0" xfId="6" quotePrefix="1" applyFont="1" applyFill="1" applyAlignment="1">
      <alignment vertical="center"/>
    </xf>
    <xf numFmtId="0" fontId="165" fillId="0" borderId="0" xfId="0" applyFont="1" applyBorder="1" applyAlignment="1">
      <alignment horizontal="left" vertical="center"/>
    </xf>
    <xf numFmtId="0" fontId="101" fillId="21" borderId="44" xfId="4" applyFont="1" applyFill="1" applyBorder="1" applyAlignment="1">
      <alignment vertical="center"/>
    </xf>
    <xf numFmtId="171" fontId="103" fillId="23" borderId="46" xfId="4" applyNumberFormat="1" applyFont="1" applyFill="1" applyBorder="1" applyAlignment="1">
      <alignment horizontal="center" vertical="center"/>
    </xf>
    <xf numFmtId="0" fontId="101" fillId="21" borderId="18" xfId="4" applyFont="1" applyFill="1" applyBorder="1" applyAlignment="1">
      <alignment vertical="center"/>
    </xf>
    <xf numFmtId="171" fontId="103" fillId="23" borderId="1" xfId="4" applyNumberFormat="1" applyFont="1" applyFill="1" applyBorder="1" applyAlignment="1">
      <alignment horizontal="center" vertical="center"/>
    </xf>
    <xf numFmtId="0" fontId="101" fillId="21" borderId="36" xfId="4" applyFont="1" applyFill="1" applyBorder="1" applyAlignment="1">
      <alignment vertical="center"/>
    </xf>
    <xf numFmtId="171" fontId="103" fillId="23" borderId="37" xfId="4" applyNumberFormat="1" applyFont="1" applyFill="1" applyBorder="1" applyAlignment="1">
      <alignment horizontal="center" vertical="center"/>
    </xf>
    <xf numFmtId="0" fontId="100" fillId="5" borderId="68" xfId="4" applyFont="1" applyFill="1" applyBorder="1" applyAlignment="1">
      <alignment horizontal="center" vertical="center"/>
    </xf>
    <xf numFmtId="0" fontId="85" fillId="21" borderId="0" xfId="39494" applyFont="1" applyFill="1"/>
    <xf numFmtId="170" fontId="37" fillId="10" borderId="39" xfId="11" applyNumberFormat="1" applyFont="1" applyFill="1" applyBorder="1" applyAlignment="1">
      <alignment horizontal="center" vertical="center"/>
    </xf>
    <xf numFmtId="0" fontId="24" fillId="10" borderId="42" xfId="11" applyFont="1" applyFill="1" applyBorder="1" applyAlignment="1">
      <alignment horizontal="center" vertical="center"/>
    </xf>
    <xf numFmtId="0" fontId="125" fillId="22" borderId="46" xfId="11" applyFont="1" applyFill="1" applyBorder="1" applyAlignment="1">
      <alignment horizontal="center" vertical="center"/>
    </xf>
    <xf numFmtId="0" fontId="63" fillId="10" borderId="46" xfId="11" applyFont="1" applyFill="1" applyBorder="1" applyAlignment="1">
      <alignment horizontal="center" vertical="center"/>
    </xf>
    <xf numFmtId="2" fontId="148" fillId="10" borderId="47" xfId="11" applyNumberFormat="1" applyFont="1" applyFill="1" applyBorder="1" applyAlignment="1">
      <alignment horizontal="left" vertical="center" indent="1"/>
    </xf>
    <xf numFmtId="10" fontId="97" fillId="21" borderId="35" xfId="179" applyNumberFormat="1" applyFont="1" applyFill="1" applyBorder="1" applyAlignment="1">
      <alignment horizontal="left" vertical="center" indent="1"/>
    </xf>
    <xf numFmtId="0" fontId="98" fillId="44" borderId="55" xfId="0" applyFont="1" applyFill="1" applyBorder="1" applyAlignment="1">
      <alignment horizontal="right" vertical="center" indent="1"/>
    </xf>
    <xf numFmtId="0" fontId="98" fillId="26" borderId="75" xfId="0" applyFont="1" applyFill="1" applyBorder="1" applyAlignment="1">
      <alignment horizontal="right" vertical="center" indent="1"/>
    </xf>
    <xf numFmtId="0" fontId="98" fillId="26" borderId="18" xfId="0" applyFont="1" applyFill="1" applyBorder="1" applyAlignment="1">
      <alignment horizontal="right" vertical="center" indent="1"/>
    </xf>
    <xf numFmtId="0" fontId="150" fillId="10" borderId="17" xfId="8" applyFont="1" applyFill="1" applyBorder="1" applyAlignment="1">
      <alignment vertical="center"/>
    </xf>
    <xf numFmtId="0" fontId="150" fillId="10" borderId="7" xfId="8" applyFont="1" applyFill="1" applyBorder="1" applyAlignment="1">
      <alignment vertical="center"/>
    </xf>
    <xf numFmtId="0" fontId="167" fillId="10" borderId="0" xfId="0" applyFont="1" applyFill="1" applyAlignment="1">
      <alignment horizontal="left" vertical="center"/>
    </xf>
    <xf numFmtId="0" fontId="133" fillId="10" borderId="0" xfId="0" applyFont="1" applyFill="1" applyAlignment="1">
      <alignment horizontal="left" vertical="center"/>
    </xf>
    <xf numFmtId="4" fontId="34" fillId="10" borderId="0" xfId="8" applyNumberFormat="1" applyFont="1" applyFill="1" applyBorder="1" applyAlignment="1">
      <alignment horizontal="left"/>
    </xf>
    <xf numFmtId="10" fontId="168" fillId="10" borderId="0" xfId="179" applyNumberFormat="1" applyFont="1" applyFill="1" applyAlignment="1">
      <alignment horizontal="left" vertical="center"/>
    </xf>
    <xf numFmtId="0" fontId="63" fillId="10" borderId="25" xfId="0" applyFont="1" applyFill="1" applyBorder="1" applyAlignment="1">
      <alignment vertical="top" wrapText="1"/>
    </xf>
    <xf numFmtId="0" fontId="63" fillId="10" borderId="0" xfId="0" applyFont="1" applyFill="1" applyAlignment="1">
      <alignment vertical="top" wrapText="1"/>
    </xf>
    <xf numFmtId="0" fontId="36" fillId="10" borderId="15" xfId="55" applyFont="1" applyFill="1" applyBorder="1" applyAlignment="1">
      <alignment horizontal="left" vertical="center"/>
    </xf>
    <xf numFmtId="167" fontId="0" fillId="10" borderId="22" xfId="8" applyNumberFormat="1" applyFont="1" applyFill="1" applyBorder="1" applyAlignment="1">
      <alignment horizontal="left" vertical="center"/>
    </xf>
    <xf numFmtId="176" fontId="101" fillId="10" borderId="11" xfId="55" applyNumberFormat="1" applyFont="1" applyFill="1" applyBorder="1" applyAlignment="1">
      <alignment horizontal="left" vertical="center"/>
    </xf>
    <xf numFmtId="176" fontId="101" fillId="10" borderId="10" xfId="55" applyNumberFormat="1" applyFont="1" applyFill="1" applyBorder="1" applyAlignment="1">
      <alignment horizontal="left" vertical="center"/>
    </xf>
    <xf numFmtId="176" fontId="101" fillId="10" borderId="15" xfId="55" applyNumberFormat="1" applyFont="1" applyFill="1" applyBorder="1" applyAlignment="1">
      <alignment horizontal="left" vertical="center" wrapText="1"/>
    </xf>
    <xf numFmtId="0" fontId="24" fillId="0" borderId="0" xfId="55" applyFont="1" applyAlignment="1">
      <alignment horizontal="left" vertical="center"/>
    </xf>
    <xf numFmtId="0" fontId="24" fillId="0" borderId="0" xfId="55" applyAlignment="1">
      <alignment horizontal="left" vertical="center"/>
    </xf>
    <xf numFmtId="0" fontId="94" fillId="13" borderId="0" xfId="6" applyFont="1" applyFill="1" applyBorder="1"/>
    <xf numFmtId="2" fontId="78" fillId="12" borderId="0" xfId="6" applyNumberFormat="1" applyFont="1" applyFill="1" applyBorder="1"/>
    <xf numFmtId="170" fontId="78" fillId="12" borderId="0" xfId="3" applyNumberFormat="1" applyFont="1" applyFill="1" applyAlignment="1">
      <alignment horizontal="center"/>
    </xf>
    <xf numFmtId="0" fontId="94" fillId="11" borderId="0" xfId="11" applyFont="1" applyFill="1" applyBorder="1"/>
    <xf numFmtId="169" fontId="96" fillId="49" borderId="0" xfId="3" applyNumberFormat="1" applyFont="1" applyFill="1" applyAlignment="1">
      <alignment horizontal="center"/>
    </xf>
    <xf numFmtId="0" fontId="78" fillId="10" borderId="0" xfId="6" applyFont="1" applyFill="1" applyAlignment="1">
      <alignment horizontal="left"/>
    </xf>
    <xf numFmtId="170" fontId="90" fillId="10" borderId="0" xfId="3" applyNumberFormat="1" applyFont="1" applyFill="1" applyAlignment="1">
      <alignment horizontal="center" vertical="center"/>
    </xf>
    <xf numFmtId="169" fontId="91" fillId="39" borderId="0" xfId="3" applyNumberFormat="1" applyFont="1" applyFill="1" applyAlignment="1">
      <alignment horizontal="left"/>
    </xf>
    <xf numFmtId="170" fontId="90" fillId="21" borderId="0" xfId="3" applyNumberFormat="1" applyFont="1" applyFill="1" applyAlignment="1">
      <alignment horizontal="center"/>
    </xf>
    <xf numFmtId="0" fontId="94" fillId="13" borderId="0" xfId="11" applyFont="1" applyFill="1" applyBorder="1"/>
    <xf numFmtId="0" fontId="94" fillId="29" borderId="0" xfId="11" applyFont="1" applyFill="1" applyBorder="1"/>
    <xf numFmtId="0" fontId="94" fillId="50" borderId="0" xfId="6" applyFont="1" applyFill="1" applyBorder="1"/>
    <xf numFmtId="0" fontId="0" fillId="10" borderId="0" xfId="0" applyFont="1" applyFill="1" applyBorder="1" applyAlignment="1" applyProtection="1">
      <alignment horizontal="center" vertical="center"/>
      <protection hidden="1"/>
    </xf>
    <xf numFmtId="0" fontId="94" fillId="11" borderId="0" xfId="6" applyFont="1" applyFill="1" applyBorder="1"/>
    <xf numFmtId="0" fontId="78" fillId="5" borderId="0" xfId="6" applyFont="1" applyFill="1" applyBorder="1"/>
    <xf numFmtId="2" fontId="78" fillId="41" borderId="0" xfId="6" applyNumberFormat="1" applyFont="1" applyFill="1" applyBorder="1"/>
    <xf numFmtId="0" fontId="94" fillId="10" borderId="0" xfId="0" applyFont="1" applyFill="1"/>
    <xf numFmtId="0" fontId="78" fillId="51" borderId="0" xfId="0" applyFont="1" applyFill="1"/>
    <xf numFmtId="0" fontId="94" fillId="51" borderId="0" xfId="0" applyFont="1" applyFill="1"/>
    <xf numFmtId="2" fontId="105" fillId="10" borderId="0" xfId="6" applyNumberFormat="1" applyFont="1" applyFill="1" applyBorder="1" applyAlignment="1">
      <alignment horizontal="left" vertical="center"/>
    </xf>
    <xf numFmtId="2" fontId="169" fillId="10" borderId="0" xfId="6" applyNumberFormat="1" applyFont="1" applyFill="1" applyBorder="1" applyAlignment="1">
      <alignment horizontal="left" vertical="center"/>
    </xf>
    <xf numFmtId="0" fontId="94" fillId="52" borderId="0" xfId="6" applyFont="1" applyFill="1" applyBorder="1"/>
    <xf numFmtId="0" fontId="94" fillId="5" borderId="0" xfId="6" applyFont="1" applyFill="1" applyBorder="1" applyAlignment="1">
      <alignment vertical="center"/>
    </xf>
    <xf numFmtId="0" fontId="78" fillId="5" borderId="0" xfId="11" applyFont="1" applyFill="1" applyBorder="1" applyAlignment="1">
      <alignment horizontal="left" vertical="center"/>
    </xf>
    <xf numFmtId="170" fontId="78" fillId="5" borderId="0" xfId="3" applyNumberFormat="1" applyFont="1" applyFill="1" applyAlignment="1">
      <alignment horizontal="center" vertical="center"/>
    </xf>
    <xf numFmtId="169" fontId="96" fillId="5" borderId="0" xfId="3" applyNumberFormat="1" applyFont="1" applyFill="1" applyAlignment="1">
      <alignment horizontal="center" vertical="center"/>
    </xf>
    <xf numFmtId="168" fontId="78" fillId="5" borderId="0" xfId="3" applyNumberFormat="1" applyFont="1" applyFill="1" applyAlignment="1">
      <alignment horizontal="center" vertical="center"/>
    </xf>
    <xf numFmtId="169" fontId="78" fillId="5" borderId="0" xfId="11" applyNumberFormat="1" applyFont="1" applyFill="1" applyBorder="1" applyAlignment="1">
      <alignment horizontal="left" vertical="center"/>
    </xf>
    <xf numFmtId="0" fontId="78" fillId="5" borderId="0" xfId="11" applyFont="1" applyFill="1" applyBorder="1" applyAlignment="1">
      <alignment vertical="center"/>
    </xf>
    <xf numFmtId="0" fontId="24" fillId="5" borderId="0" xfId="0" applyFont="1" applyFill="1" applyBorder="1" applyAlignment="1">
      <alignment vertical="center"/>
    </xf>
    <xf numFmtId="170" fontId="78" fillId="26" borderId="0" xfId="3" applyNumberFormat="1" applyFont="1" applyFill="1" applyAlignment="1">
      <alignment horizontal="center"/>
    </xf>
    <xf numFmtId="170" fontId="78" fillId="26" borderId="0" xfId="3" applyNumberFormat="1" applyFont="1" applyFill="1" applyAlignment="1">
      <alignment horizontal="center" vertical="center"/>
    </xf>
    <xf numFmtId="170" fontId="78" fillId="49" borderId="0" xfId="3" applyNumberFormat="1" applyFont="1" applyFill="1" applyAlignment="1">
      <alignment horizontal="center"/>
    </xf>
    <xf numFmtId="170" fontId="24" fillId="49" borderId="0" xfId="0" applyNumberFormat="1" applyFont="1" applyFill="1" applyBorder="1" applyAlignment="1">
      <alignment horizontal="right"/>
    </xf>
    <xf numFmtId="0" fontId="78" fillId="5" borderId="0" xfId="6" applyFont="1" applyFill="1"/>
    <xf numFmtId="168" fontId="78" fillId="5" borderId="0" xfId="3" applyNumberFormat="1" applyFont="1" applyFill="1" applyBorder="1" applyAlignment="1">
      <alignment horizontal="center" vertical="center"/>
    </xf>
    <xf numFmtId="0" fontId="24" fillId="5" borderId="0" xfId="0" applyFont="1" applyFill="1" applyBorder="1"/>
    <xf numFmtId="170" fontId="78" fillId="10" borderId="0" xfId="3" applyNumberFormat="1" applyFont="1" applyFill="1" applyAlignment="1">
      <alignment horizontal="center" wrapText="1"/>
    </xf>
    <xf numFmtId="0" fontId="94" fillId="5" borderId="0" xfId="11" applyFont="1" applyFill="1" applyBorder="1"/>
    <xf numFmtId="0" fontId="78" fillId="13" borderId="0" xfId="6" applyFont="1" applyFill="1" applyAlignment="1">
      <alignment horizontal="left"/>
    </xf>
    <xf numFmtId="173" fontId="78" fillId="13" borderId="0" xfId="3" applyNumberFormat="1" applyFont="1" applyFill="1" applyAlignment="1">
      <alignment horizontal="center"/>
    </xf>
    <xf numFmtId="0" fontId="78" fillId="29" borderId="0" xfId="6" applyFont="1" applyFill="1" applyAlignment="1">
      <alignment horizontal="left"/>
    </xf>
    <xf numFmtId="173" fontId="78" fillId="29" borderId="0" xfId="3" applyNumberFormat="1" applyFont="1" applyFill="1" applyAlignment="1">
      <alignment horizontal="center"/>
    </xf>
    <xf numFmtId="169" fontId="96" fillId="29" borderId="0" xfId="3" applyNumberFormat="1" applyFont="1" applyFill="1" applyAlignment="1">
      <alignment horizontal="center"/>
    </xf>
    <xf numFmtId="170" fontId="78" fillId="41" borderId="0" xfId="3" applyNumberFormat="1" applyFont="1" applyFill="1" applyAlignment="1">
      <alignment horizontal="center"/>
    </xf>
    <xf numFmtId="0" fontId="25" fillId="53" borderId="0" xfId="11" applyFont="1" applyFill="1"/>
    <xf numFmtId="168" fontId="90" fillId="0" borderId="0" xfId="3" applyNumberFormat="1" applyFont="1" applyFill="1" applyAlignment="1">
      <alignment horizontal="center" vertical="center"/>
    </xf>
    <xf numFmtId="0" fontId="25" fillId="54" borderId="0" xfId="6" applyFont="1" applyFill="1"/>
    <xf numFmtId="168" fontId="78" fillId="13" borderId="0" xfId="3" applyNumberFormat="1" applyFont="1" applyFill="1" applyAlignment="1">
      <alignment horizontal="center" vertical="center"/>
    </xf>
    <xf numFmtId="0" fontId="171" fillId="10" borderId="0" xfId="6" applyFont="1" applyFill="1" applyBorder="1"/>
    <xf numFmtId="0" fontId="94" fillId="52" borderId="0" xfId="11" applyFont="1" applyFill="1" applyBorder="1"/>
    <xf numFmtId="0" fontId="78" fillId="10" borderId="0" xfId="6" quotePrefix="1" applyFont="1" applyFill="1" applyBorder="1" applyAlignment="1">
      <alignment horizontal="left"/>
    </xf>
    <xf numFmtId="2" fontId="125" fillId="55" borderId="0" xfId="6" applyNumberFormat="1" applyFont="1" applyFill="1" applyBorder="1"/>
    <xf numFmtId="0" fontId="78" fillId="56" borderId="0" xfId="6" applyFont="1" applyFill="1" applyAlignment="1">
      <alignment horizontal="left"/>
    </xf>
    <xf numFmtId="173" fontId="78" fillId="56" borderId="0" xfId="3" applyNumberFormat="1" applyFont="1" applyFill="1" applyAlignment="1">
      <alignment horizontal="center"/>
    </xf>
    <xf numFmtId="0" fontId="63" fillId="10" borderId="25" xfId="0" applyFont="1" applyFill="1" applyBorder="1" applyAlignment="1">
      <alignment horizontal="left" vertical="top"/>
    </xf>
    <xf numFmtId="4" fontId="63" fillId="10" borderId="25" xfId="8" applyNumberFormat="1" applyFont="1" applyFill="1" applyBorder="1" applyAlignment="1">
      <alignment vertical="center"/>
    </xf>
    <xf numFmtId="44" fontId="121" fillId="10" borderId="2" xfId="8" applyNumberFormat="1" applyFont="1" applyFill="1" applyBorder="1" applyAlignment="1">
      <alignment vertical="center"/>
    </xf>
    <xf numFmtId="44" fontId="121" fillId="10" borderId="4" xfId="8" applyNumberFormat="1" applyFont="1" applyFill="1" applyBorder="1" applyAlignment="1">
      <alignment horizontal="center" vertical="center"/>
    </xf>
    <xf numFmtId="44" fontId="121" fillId="10" borderId="11" xfId="8" applyNumberFormat="1" applyFont="1" applyFill="1" applyBorder="1"/>
    <xf numFmtId="44" fontId="121" fillId="10" borderId="10" xfId="8" applyNumberFormat="1" applyFont="1" applyFill="1" applyBorder="1" applyAlignment="1">
      <alignment horizontal="center"/>
    </xf>
    <xf numFmtId="44" fontId="98" fillId="10" borderId="10" xfId="0" applyNumberFormat="1" applyFont="1" applyFill="1" applyBorder="1" applyAlignment="1">
      <alignment horizontal="center"/>
    </xf>
    <xf numFmtId="44" fontId="98" fillId="10" borderId="11" xfId="8" applyNumberFormat="1" applyFont="1" applyFill="1" applyBorder="1"/>
    <xf numFmtId="44" fontId="98" fillId="10" borderId="10" xfId="8" applyNumberFormat="1" applyFont="1" applyFill="1" applyBorder="1" applyAlignment="1">
      <alignment horizontal="center"/>
    </xf>
    <xf numFmtId="44" fontId="121" fillId="10" borderId="11" xfId="8" applyNumberFormat="1" applyFont="1" applyFill="1" applyBorder="1" applyAlignment="1">
      <alignment vertical="center"/>
    </xf>
    <xf numFmtId="44" fontId="121" fillId="10" borderId="10" xfId="8" applyNumberFormat="1" applyFont="1" applyFill="1" applyBorder="1" applyAlignment="1">
      <alignment horizontal="center" vertical="center"/>
    </xf>
    <xf numFmtId="44" fontId="98" fillId="10" borderId="10" xfId="0" applyNumberFormat="1" applyFont="1" applyFill="1" applyBorder="1" applyAlignment="1">
      <alignment horizontal="center" vertical="center"/>
    </xf>
    <xf numFmtId="44" fontId="98" fillId="10" borderId="11" xfId="8" applyNumberFormat="1" applyFont="1" applyFill="1" applyBorder="1" applyAlignment="1">
      <alignment vertical="center"/>
    </xf>
    <xf numFmtId="44" fontId="98" fillId="10" borderId="10" xfId="8" applyNumberFormat="1" applyFont="1" applyFill="1" applyBorder="1" applyAlignment="1">
      <alignment horizontal="center" vertical="center"/>
    </xf>
    <xf numFmtId="44" fontId="98" fillId="10" borderId="8" xfId="0" applyNumberFormat="1" applyFont="1" applyFill="1" applyBorder="1" applyAlignment="1">
      <alignment horizontal="center" vertical="center"/>
    </xf>
    <xf numFmtId="44" fontId="24" fillId="10" borderId="0" xfId="55" applyNumberFormat="1" applyFont="1" applyFill="1"/>
    <xf numFmtId="4" fontId="100" fillId="10" borderId="25" xfId="0" applyNumberFormat="1" applyFont="1" applyFill="1" applyBorder="1" applyAlignment="1">
      <alignment horizontal="right"/>
    </xf>
    <xf numFmtId="4" fontId="100" fillId="10" borderId="24" xfId="0" applyNumberFormat="1" applyFont="1" applyFill="1" applyBorder="1" applyAlignment="1">
      <alignment horizontal="right"/>
    </xf>
    <xf numFmtId="0" fontId="172" fillId="0" borderId="0" xfId="55" applyFont="1"/>
    <xf numFmtId="0" fontId="174" fillId="0" borderId="0" xfId="55" applyFont="1"/>
    <xf numFmtId="174" fontId="174" fillId="0" borderId="0" xfId="55" applyNumberFormat="1" applyFont="1"/>
    <xf numFmtId="0" fontId="175" fillId="0" borderId="0" xfId="55" applyFont="1"/>
    <xf numFmtId="0" fontId="176" fillId="0" borderId="0" xfId="55" applyFont="1"/>
    <xf numFmtId="0" fontId="105" fillId="21" borderId="0" xfId="6" applyFont="1" applyFill="1" applyBorder="1" applyAlignment="1">
      <alignment horizontal="left"/>
    </xf>
    <xf numFmtId="0" fontId="94" fillId="21" borderId="0" xfId="11" applyFont="1" applyFill="1" applyBorder="1"/>
    <xf numFmtId="9" fontId="59" fillId="21" borderId="56" xfId="179" applyFont="1" applyFill="1" applyBorder="1" applyAlignment="1">
      <alignment horizontal="center" vertical="center"/>
    </xf>
    <xf numFmtId="9" fontId="59" fillId="21" borderId="64" xfId="179" applyFont="1" applyFill="1" applyBorder="1" applyAlignment="1">
      <alignment horizontal="center" vertical="center"/>
    </xf>
    <xf numFmtId="9" fontId="98" fillId="21" borderId="64" xfId="179" applyFont="1" applyFill="1" applyBorder="1" applyAlignment="1">
      <alignment horizontal="center" vertical="center"/>
    </xf>
    <xf numFmtId="10" fontId="97" fillId="21" borderId="60" xfId="179" applyNumberFormat="1" applyFont="1" applyFill="1" applyBorder="1" applyAlignment="1">
      <alignment horizontal="left" vertical="center" indent="1"/>
    </xf>
    <xf numFmtId="0" fontId="94" fillId="36" borderId="0" xfId="6" applyFont="1" applyFill="1" applyBorder="1"/>
    <xf numFmtId="0" fontId="78" fillId="36" borderId="0" xfId="6" applyFont="1" applyFill="1"/>
    <xf numFmtId="0" fontId="94" fillId="32" borderId="0" xfId="6" applyFont="1" applyFill="1" applyBorder="1"/>
    <xf numFmtId="0" fontId="78" fillId="32" borderId="0" xfId="6" applyFont="1" applyFill="1"/>
    <xf numFmtId="0" fontId="94" fillId="0" borderId="0" xfId="6" applyFont="1" applyFill="1" applyBorder="1"/>
    <xf numFmtId="0" fontId="78" fillId="0" borderId="0" xfId="6" applyFont="1" applyFill="1"/>
    <xf numFmtId="0" fontId="94" fillId="54" borderId="0" xfId="6" applyFont="1" applyFill="1" applyBorder="1"/>
    <xf numFmtId="2" fontId="105" fillId="10" borderId="0" xfId="6" applyNumberFormat="1" applyFont="1" applyFill="1" applyBorder="1"/>
    <xf numFmtId="0" fontId="94" fillId="49" borderId="0" xfId="6" applyFont="1" applyFill="1" applyBorder="1"/>
    <xf numFmtId="0" fontId="0" fillId="5" borderId="0" xfId="0" applyFill="1"/>
    <xf numFmtId="2" fontId="125" fillId="57" borderId="0" xfId="6" applyNumberFormat="1" applyFont="1" applyFill="1" applyBorder="1"/>
    <xf numFmtId="0" fontId="94" fillId="58" borderId="0" xfId="6" applyFont="1" applyFill="1" applyBorder="1"/>
    <xf numFmtId="0" fontId="125" fillId="58" borderId="0" xfId="6" applyFont="1" applyFill="1" applyBorder="1" applyAlignment="1">
      <alignment wrapText="1"/>
    </xf>
    <xf numFmtId="0" fontId="94" fillId="29" borderId="0" xfId="6" applyFont="1" applyFill="1" applyBorder="1"/>
    <xf numFmtId="0" fontId="94" fillId="49" borderId="0" xfId="11" applyFont="1" applyFill="1" applyBorder="1"/>
    <xf numFmtId="0" fontId="94" fillId="59" borderId="0" xfId="6" applyFont="1" applyFill="1" applyBorder="1"/>
    <xf numFmtId="0" fontId="94" fillId="60" borderId="0" xfId="6" applyFont="1" applyFill="1" applyBorder="1"/>
    <xf numFmtId="0" fontId="94" fillId="61" borderId="0" xfId="6" applyFont="1" applyFill="1" applyBorder="1"/>
    <xf numFmtId="0" fontId="78" fillId="5" borderId="24" xfId="11" applyFont="1" applyFill="1" applyBorder="1" applyAlignment="1">
      <alignment horizontal="left"/>
    </xf>
    <xf numFmtId="0" fontId="94" fillId="59" borderId="0" xfId="11" applyFont="1" applyFill="1" applyBorder="1"/>
    <xf numFmtId="0" fontId="24" fillId="10" borderId="0" xfId="0" applyFont="1" applyFill="1" applyBorder="1" applyAlignment="1">
      <alignment vertical="center"/>
    </xf>
    <xf numFmtId="0" fontId="63" fillId="10" borderId="0" xfId="0" quotePrefix="1" applyFont="1" applyFill="1"/>
    <xf numFmtId="0" fontId="105" fillId="10" borderId="0" xfId="0" applyFont="1" applyFill="1"/>
    <xf numFmtId="0" fontId="94" fillId="62" borderId="0" xfId="6" applyFont="1" applyFill="1" applyBorder="1"/>
    <xf numFmtId="0" fontId="78" fillId="0" borderId="0" xfId="6" applyFont="1" applyFill="1" applyAlignment="1">
      <alignment horizontal="left"/>
    </xf>
    <xf numFmtId="0" fontId="78" fillId="10" borderId="0" xfId="6" quotePrefix="1" applyFont="1" applyFill="1" applyAlignment="1">
      <alignment horizontal="left"/>
    </xf>
    <xf numFmtId="0" fontId="78" fillId="23" borderId="0" xfId="6" applyFont="1" applyFill="1" applyAlignment="1">
      <alignment horizontal="left"/>
    </xf>
    <xf numFmtId="0" fontId="94" fillId="0" borderId="0" xfId="11" applyFont="1" applyFill="1" applyBorder="1"/>
    <xf numFmtId="0" fontId="78" fillId="24" borderId="0" xfId="6" applyFont="1" applyFill="1" applyAlignment="1">
      <alignment horizontal="left"/>
    </xf>
    <xf numFmtId="0" fontId="78" fillId="59" borderId="0" xfId="11" applyFont="1" applyFill="1" applyBorder="1" applyAlignment="1">
      <alignment horizontal="left"/>
    </xf>
    <xf numFmtId="169" fontId="96" fillId="0" borderId="0" xfId="3" applyNumberFormat="1" applyFont="1" applyFill="1" applyAlignment="1">
      <alignment horizontal="center"/>
    </xf>
    <xf numFmtId="0" fontId="78" fillId="16" borderId="0" xfId="11" applyFont="1" applyFill="1" applyBorder="1" applyAlignment="1">
      <alignment horizontal="left"/>
    </xf>
    <xf numFmtId="0" fontId="78" fillId="20" borderId="0" xfId="11" applyFont="1" applyFill="1" applyBorder="1" applyAlignment="1">
      <alignment horizontal="left"/>
    </xf>
    <xf numFmtId="0" fontId="78" fillId="39" borderId="0" xfId="11" applyFont="1" applyFill="1" applyBorder="1" applyAlignment="1">
      <alignment horizontal="left"/>
    </xf>
    <xf numFmtId="0" fontId="117" fillId="41" borderId="0" xfId="11" applyFont="1" applyFill="1"/>
    <xf numFmtId="0" fontId="177" fillId="10" borderId="0" xfId="6" applyFont="1" applyFill="1"/>
    <xf numFmtId="0" fontId="25" fillId="54" borderId="0" xfId="11" applyFont="1" applyFill="1"/>
    <xf numFmtId="0" fontId="117" fillId="54" borderId="0" xfId="11" applyFont="1" applyFill="1"/>
    <xf numFmtId="0" fontId="25" fillId="13" borderId="0" xfId="11" applyFont="1" applyFill="1"/>
    <xf numFmtId="0" fontId="45" fillId="0" borderId="0" xfId="6" applyFont="1" applyFill="1"/>
    <xf numFmtId="168" fontId="41" fillId="0" borderId="0" xfId="3" applyNumberFormat="1" applyFont="1" applyFill="1"/>
    <xf numFmtId="168" fontId="178" fillId="0" borderId="0" xfId="3" applyNumberFormat="1" applyFont="1" applyFill="1"/>
    <xf numFmtId="0" fontId="45" fillId="38" borderId="0" xfId="6" applyFont="1" applyFill="1"/>
    <xf numFmtId="168" fontId="90" fillId="38" borderId="0" xfId="3" applyNumberFormat="1" applyFont="1" applyFill="1" applyAlignment="1">
      <alignment horizontal="center" vertical="center"/>
    </xf>
    <xf numFmtId="168" fontId="35" fillId="38" borderId="0" xfId="3" applyNumberFormat="1" applyFont="1" applyFill="1" applyAlignment="1">
      <alignment horizontal="center" vertical="center"/>
    </xf>
    <xf numFmtId="169" fontId="24" fillId="38" borderId="0" xfId="3" applyNumberFormat="1" applyFont="1" applyFill="1" applyAlignment="1">
      <alignment horizontal="left"/>
    </xf>
    <xf numFmtId="0" fontId="0" fillId="54" borderId="0" xfId="0" applyFill="1"/>
    <xf numFmtId="169" fontId="24" fillId="10" borderId="0" xfId="3" applyNumberFormat="1" applyFont="1" applyFill="1" applyBorder="1" applyAlignment="1">
      <alignment horizontal="left"/>
    </xf>
    <xf numFmtId="168" fontId="0" fillId="10" borderId="0" xfId="0" applyNumberFormat="1" applyFill="1"/>
    <xf numFmtId="0" fontId="39" fillId="32" borderId="2" xfId="6" applyFont="1" applyFill="1" applyBorder="1"/>
    <xf numFmtId="0" fontId="39" fillId="32" borderId="11" xfId="6" applyFont="1" applyFill="1" applyBorder="1"/>
    <xf numFmtId="0" fontId="35" fillId="9" borderId="11" xfId="6" applyFont="1" applyFill="1" applyBorder="1"/>
    <xf numFmtId="169" fontId="35" fillId="8" borderId="0" xfId="3" applyNumberFormat="1" applyFont="1" applyFill="1" applyBorder="1" applyAlignment="1">
      <alignment horizontal="left"/>
    </xf>
    <xf numFmtId="0" fontId="35" fillId="9" borderId="10" xfId="11" applyFont="1" applyFill="1" applyBorder="1"/>
    <xf numFmtId="0" fontId="39" fillId="8" borderId="6" xfId="6" applyFont="1" applyFill="1" applyBorder="1"/>
    <xf numFmtId="169" fontId="24" fillId="8" borderId="7" xfId="3" applyNumberFormat="1" applyFont="1" applyFill="1" applyBorder="1" applyAlignment="1">
      <alignment horizontal="left"/>
    </xf>
    <xf numFmtId="168" fontId="24" fillId="8" borderId="8" xfId="3" applyNumberFormat="1" applyFont="1" applyFill="1" applyBorder="1"/>
    <xf numFmtId="0" fontId="39" fillId="0" borderId="0" xfId="6" applyFont="1" applyFill="1" applyBorder="1"/>
    <xf numFmtId="168" fontId="90" fillId="0" borderId="0" xfId="3" applyNumberFormat="1" applyFont="1" applyFill="1" applyBorder="1" applyAlignment="1">
      <alignment horizontal="center" vertical="center"/>
    </xf>
    <xf numFmtId="168" fontId="35" fillId="0" borderId="0" xfId="3" applyNumberFormat="1" applyFont="1" applyFill="1" applyBorder="1" applyAlignment="1">
      <alignment horizontal="center" vertical="center"/>
    </xf>
    <xf numFmtId="169" fontId="24" fillId="0" borderId="0" xfId="3" applyNumberFormat="1" applyFont="1" applyFill="1" applyBorder="1" applyAlignment="1">
      <alignment horizontal="left"/>
    </xf>
    <xf numFmtId="168" fontId="24" fillId="0" borderId="0" xfId="3" applyNumberFormat="1" applyFont="1" applyFill="1" applyBorder="1"/>
    <xf numFmtId="168" fontId="90" fillId="49" borderId="0" xfId="3" applyNumberFormat="1" applyFont="1" applyFill="1" applyAlignment="1">
      <alignment horizontal="center" vertical="center"/>
    </xf>
    <xf numFmtId="0" fontId="48" fillId="10" borderId="0" xfId="8" applyFont="1" applyFill="1"/>
    <xf numFmtId="0" fontId="40" fillId="10" borderId="0" xfId="0" applyFont="1" applyFill="1"/>
    <xf numFmtId="0" fontId="28" fillId="12" borderId="0" xfId="6" applyFont="1" applyFill="1"/>
    <xf numFmtId="0" fontId="28" fillId="10" borderId="0" xfId="6" applyFont="1" applyFill="1"/>
    <xf numFmtId="168" fontId="35" fillId="10" borderId="0" xfId="11" applyNumberFormat="1" applyFont="1" applyFill="1" applyAlignment="1">
      <alignment horizontal="center" vertical="center"/>
    </xf>
    <xf numFmtId="169" fontId="24" fillId="10" borderId="0" xfId="11" applyNumberFormat="1" applyFont="1" applyFill="1" applyAlignment="1">
      <alignment horizontal="left"/>
    </xf>
    <xf numFmtId="0" fontId="24" fillId="10" borderId="0" xfId="8" applyFont="1" applyFill="1"/>
    <xf numFmtId="0" fontId="49" fillId="54" borderId="0" xfId="11" applyFont="1" applyFill="1"/>
    <xf numFmtId="0" fontId="49" fillId="10" borderId="0" xfId="11" applyFont="1" applyFill="1"/>
    <xf numFmtId="0" fontId="25" fillId="63" borderId="0" xfId="11" applyFont="1" applyFill="1"/>
    <xf numFmtId="0" fontId="36" fillId="10" borderId="0" xfId="6" applyFont="1" applyFill="1"/>
    <xf numFmtId="168" fontId="57" fillId="10" borderId="0" xfId="3" applyNumberFormat="1" applyFont="1" applyFill="1"/>
    <xf numFmtId="0" fontId="24" fillId="10" borderId="0" xfId="0" applyFont="1" applyFill="1" applyAlignment="1">
      <alignment horizontal="left"/>
    </xf>
    <xf numFmtId="169" fontId="78" fillId="49" borderId="0" xfId="3" applyNumberFormat="1" applyFont="1" applyFill="1" applyAlignment="1">
      <alignment horizontal="left"/>
    </xf>
    <xf numFmtId="0" fontId="100" fillId="0" borderId="0" xfId="0" applyFont="1" applyAlignment="1">
      <alignment vertical="center"/>
    </xf>
    <xf numFmtId="0" fontId="25" fillId="5" borderId="0" xfId="6" applyFont="1" applyFill="1"/>
    <xf numFmtId="0" fontId="0" fillId="18" borderId="0" xfId="0" applyFill="1"/>
    <xf numFmtId="0" fontId="25" fillId="18" borderId="0" xfId="11" applyFont="1" applyFill="1" applyBorder="1"/>
    <xf numFmtId="0" fontId="25" fillId="0" borderId="0" xfId="6" applyFont="1" applyFill="1"/>
    <xf numFmtId="0" fontId="90" fillId="0" borderId="0" xfId="0" applyFont="1" applyFill="1" applyAlignment="1">
      <alignment horizontal="center"/>
    </xf>
    <xf numFmtId="0" fontId="90" fillId="38" borderId="0" xfId="6" applyFont="1" applyFill="1" applyBorder="1" applyAlignment="1">
      <alignment horizontal="left"/>
    </xf>
    <xf numFmtId="0" fontId="90" fillId="0" borderId="0" xfId="6" applyFont="1" applyFill="1" applyBorder="1" applyAlignment="1">
      <alignment horizontal="left"/>
    </xf>
    <xf numFmtId="0" fontId="90" fillId="32" borderId="0" xfId="6" applyFont="1" applyFill="1" applyBorder="1" applyAlignment="1">
      <alignment horizontal="left"/>
    </xf>
    <xf numFmtId="168" fontId="90" fillId="32" borderId="0" xfId="3" applyNumberFormat="1" applyFont="1" applyFill="1" applyAlignment="1">
      <alignment horizontal="center" vertical="center"/>
    </xf>
    <xf numFmtId="169" fontId="90" fillId="0" borderId="0" xfId="3" applyNumberFormat="1" applyFont="1" applyFill="1" applyAlignment="1">
      <alignment horizontal="left"/>
    </xf>
    <xf numFmtId="2" fontId="90" fillId="0" borderId="0" xfId="6" applyNumberFormat="1" applyFont="1" applyFill="1" applyBorder="1"/>
    <xf numFmtId="0" fontId="24" fillId="0" borderId="0" xfId="11" applyFont="1" applyFill="1" applyBorder="1" applyAlignment="1"/>
    <xf numFmtId="0" fontId="90" fillId="0" borderId="0" xfId="11" applyFont="1" applyFill="1" applyBorder="1"/>
    <xf numFmtId="169" fontId="78" fillId="37" borderId="0" xfId="3" applyNumberFormat="1" applyFont="1" applyFill="1" applyAlignment="1">
      <alignment horizontal="center"/>
    </xf>
    <xf numFmtId="168" fontId="78" fillId="0" borderId="0" xfId="3" applyNumberFormat="1" applyFont="1" applyFill="1" applyAlignment="1">
      <alignment horizontal="center" vertical="center"/>
    </xf>
    <xf numFmtId="0" fontId="78" fillId="0" borderId="24" xfId="6" applyFont="1" applyFill="1" applyBorder="1"/>
    <xf numFmtId="169" fontId="78" fillId="0" borderId="0" xfId="11" applyNumberFormat="1" applyFont="1" applyFill="1" applyBorder="1" applyAlignment="1">
      <alignment horizontal="left"/>
    </xf>
    <xf numFmtId="0" fontId="78" fillId="0" borderId="0" xfId="11" applyFont="1" applyFill="1" applyBorder="1" applyAlignment="1">
      <alignment horizontal="left"/>
    </xf>
    <xf numFmtId="0" fontId="94" fillId="54" borderId="0" xfId="11" applyFont="1" applyFill="1" applyBorder="1"/>
    <xf numFmtId="0" fontId="117" fillId="54" borderId="0" xfId="11" applyFont="1" applyFill="1" applyBorder="1"/>
    <xf numFmtId="0" fontId="94" fillId="64" borderId="0" xfId="11" applyFont="1" applyFill="1" applyBorder="1"/>
    <xf numFmtId="0" fontId="94" fillId="10" borderId="0" xfId="6" applyFont="1" applyFill="1"/>
    <xf numFmtId="0" fontId="94" fillId="0" borderId="0" xfId="6" applyFont="1" applyFill="1" applyBorder="1" applyAlignment="1">
      <alignment horizontal="center"/>
    </xf>
    <xf numFmtId="0" fontId="179" fillId="10" borderId="0" xfId="6" quotePrefix="1" applyFont="1" applyFill="1" applyAlignment="1">
      <alignment vertical="center"/>
    </xf>
    <xf numFmtId="0" fontId="57" fillId="0" borderId="0" xfId="8" applyFont="1" applyFill="1"/>
    <xf numFmtId="168" fontId="57" fillId="0" borderId="0" xfId="3" applyNumberFormat="1" applyFont="1" applyFill="1"/>
    <xf numFmtId="0" fontId="180" fillId="0" borderId="0" xfId="0" applyFont="1" applyBorder="1" applyAlignment="1">
      <alignment horizontal="left" vertical="center"/>
    </xf>
    <xf numFmtId="0" fontId="24" fillId="19" borderId="0" xfId="0" applyFont="1" applyFill="1" applyBorder="1"/>
    <xf numFmtId="2" fontId="78" fillId="10" borderId="0" xfId="6" applyNumberFormat="1" applyFont="1" applyFill="1" applyBorder="1" applyAlignment="1">
      <alignment wrapText="1"/>
    </xf>
    <xf numFmtId="0" fontId="94" fillId="65" borderId="0" xfId="6" applyFont="1" applyFill="1" applyBorder="1"/>
    <xf numFmtId="173" fontId="78" fillId="63" borderId="0" xfId="3" applyNumberFormat="1" applyFont="1" applyFill="1" applyAlignment="1">
      <alignment horizontal="center"/>
    </xf>
    <xf numFmtId="0" fontId="78" fillId="63" borderId="0" xfId="6" applyFont="1" applyFill="1" applyAlignment="1">
      <alignment horizontal="left"/>
    </xf>
    <xf numFmtId="0" fontId="78" fillId="7" borderId="0" xfId="11" applyFont="1" applyFill="1" applyBorder="1" applyAlignment="1">
      <alignment horizontal="left"/>
    </xf>
    <xf numFmtId="0" fontId="78" fillId="29" borderId="0" xfId="6" applyFont="1" applyFill="1"/>
    <xf numFmtId="169" fontId="78" fillId="10" borderId="0" xfId="11" applyNumberFormat="1" applyFont="1" applyFill="1" applyBorder="1" applyAlignment="1">
      <alignment horizontal="center"/>
    </xf>
    <xf numFmtId="0" fontId="78" fillId="10" borderId="0" xfId="6" applyFont="1" applyFill="1" applyBorder="1" applyProtection="1">
      <protection locked="0"/>
    </xf>
    <xf numFmtId="0" fontId="78" fillId="38" borderId="0" xfId="6" applyFont="1" applyFill="1"/>
    <xf numFmtId="168" fontId="78" fillId="38" borderId="0" xfId="3" applyNumberFormat="1" applyFont="1" applyFill="1" applyAlignment="1">
      <alignment horizontal="center" vertical="center"/>
    </xf>
    <xf numFmtId="169" fontId="78" fillId="38" borderId="0" xfId="3" applyNumberFormat="1" applyFont="1" applyFill="1" applyAlignment="1">
      <alignment horizontal="center"/>
    </xf>
    <xf numFmtId="169" fontId="78" fillId="38" borderId="0" xfId="11" applyNumberFormat="1" applyFont="1" applyFill="1" applyBorder="1" applyAlignment="1">
      <alignment horizontal="left"/>
    </xf>
    <xf numFmtId="0" fontId="78" fillId="38" borderId="0" xfId="11" applyFont="1" applyFill="1" applyBorder="1" applyAlignment="1">
      <alignment horizontal="left"/>
    </xf>
    <xf numFmtId="2" fontId="63" fillId="10" borderId="0" xfId="6" applyNumberFormat="1" applyFont="1" applyFill="1" applyBorder="1"/>
    <xf numFmtId="0" fontId="105" fillId="10" borderId="0" xfId="6" applyFont="1" applyFill="1" applyBorder="1"/>
    <xf numFmtId="0" fontId="63" fillId="10" borderId="0" xfId="6" quotePrefix="1" applyFont="1" applyFill="1"/>
    <xf numFmtId="0" fontId="63" fillId="10" borderId="0" xfId="0" applyFont="1" applyFill="1" applyBorder="1" applyAlignment="1">
      <alignment horizontal="left"/>
    </xf>
    <xf numFmtId="0" fontId="63" fillId="10" borderId="0" xfId="0" applyFont="1" applyFill="1" applyBorder="1"/>
    <xf numFmtId="0" fontId="63" fillId="10" borderId="0" xfId="8" applyFont="1" applyFill="1"/>
    <xf numFmtId="170" fontId="63" fillId="10" borderId="0" xfId="3" applyNumberFormat="1" applyFont="1" applyFill="1"/>
    <xf numFmtId="168" fontId="63" fillId="10" borderId="0" xfId="3" applyNumberFormat="1" applyFont="1" applyFill="1"/>
    <xf numFmtId="168" fontId="63" fillId="8" borderId="0" xfId="0" applyNumberFormat="1" applyFont="1" applyFill="1"/>
    <xf numFmtId="0" fontId="105" fillId="8" borderId="0" xfId="0" applyFont="1" applyFill="1"/>
    <xf numFmtId="0" fontId="63" fillId="8" borderId="0" xfId="0" applyFont="1" applyFill="1"/>
    <xf numFmtId="167" fontId="36" fillId="29" borderId="39" xfId="8" applyNumberFormat="1" applyFont="1" applyFill="1" applyBorder="1" applyAlignment="1">
      <alignment horizontal="center"/>
    </xf>
    <xf numFmtId="0" fontId="25" fillId="10" borderId="3" xfId="0" applyFont="1" applyFill="1" applyBorder="1" applyAlignment="1">
      <alignment horizontal="center"/>
    </xf>
    <xf numFmtId="0" fontId="88" fillId="10" borderId="3" xfId="0" applyFont="1" applyFill="1" applyBorder="1" applyAlignment="1">
      <alignment horizontal="center"/>
    </xf>
    <xf numFmtId="4" fontId="24" fillId="10" borderId="3" xfId="8" applyNumberFormat="1" applyFont="1" applyFill="1" applyBorder="1" applyAlignment="1">
      <alignment horizontal="center"/>
    </xf>
    <xf numFmtId="4" fontId="25" fillId="10" borderId="3" xfId="8" applyNumberFormat="1" applyFont="1" applyFill="1" applyBorder="1" applyAlignment="1">
      <alignment horizontal="center"/>
    </xf>
    <xf numFmtId="0" fontId="105" fillId="10" borderId="0" xfId="0" applyFont="1" applyFill="1" applyAlignment="1">
      <alignment horizontal="center"/>
    </xf>
    <xf numFmtId="0" fontId="25" fillId="10" borderId="0" xfId="0" applyFont="1" applyFill="1" applyBorder="1" applyAlignment="1">
      <alignment horizontal="right"/>
    </xf>
    <xf numFmtId="0" fontId="26" fillId="10" borderId="0" xfId="0" applyFont="1" applyFill="1" applyBorder="1"/>
    <xf numFmtId="0" fontId="88" fillId="10" borderId="0" xfId="0" applyFont="1" applyFill="1" applyBorder="1" applyAlignment="1">
      <alignment horizontal="center"/>
    </xf>
    <xf numFmtId="4" fontId="24" fillId="10" borderId="0" xfId="8" applyNumberFormat="1" applyFont="1" applyFill="1" applyBorder="1" applyAlignment="1">
      <alignment horizontal="center"/>
    </xf>
    <xf numFmtId="4" fontId="25" fillId="10" borderId="0" xfId="8" applyNumberFormat="1" applyFont="1" applyFill="1" applyBorder="1" applyAlignment="1">
      <alignment horizontal="center"/>
    </xf>
    <xf numFmtId="0" fontId="25" fillId="10" borderId="22" xfId="0" applyFont="1" applyFill="1" applyBorder="1" applyAlignment="1">
      <alignment horizontal="right"/>
    </xf>
    <xf numFmtId="0" fontId="88" fillId="10" borderId="24" xfId="0" applyFont="1" applyFill="1" applyBorder="1" applyAlignment="1">
      <alignment horizontal="center"/>
    </xf>
    <xf numFmtId="4" fontId="24" fillId="10" borderId="24" xfId="8" applyNumberFormat="1" applyFont="1" applyFill="1" applyBorder="1" applyAlignment="1">
      <alignment horizontal="center"/>
    </xf>
    <xf numFmtId="167" fontId="24" fillId="10" borderId="22" xfId="8" applyNumberFormat="1" applyFont="1" applyFill="1" applyBorder="1" applyAlignment="1">
      <alignment horizontal="center"/>
    </xf>
    <xf numFmtId="4" fontId="63" fillId="10" borderId="23" xfId="8" applyNumberFormat="1" applyFont="1" applyFill="1" applyBorder="1" applyAlignment="1">
      <alignment horizontal="center" vertical="center"/>
    </xf>
    <xf numFmtId="4" fontId="24" fillId="10" borderId="0" xfId="8" quotePrefix="1" applyNumberFormat="1" applyFont="1" applyFill="1" applyBorder="1"/>
    <xf numFmtId="0" fontId="181" fillId="10" borderId="15" xfId="0" applyFont="1" applyFill="1" applyBorder="1" applyAlignment="1">
      <alignment horizontal="center" vertical="center"/>
    </xf>
    <xf numFmtId="4" fontId="24" fillId="10" borderId="23" xfId="8" applyNumberFormat="1" applyFont="1" applyFill="1" applyBorder="1" applyAlignment="1">
      <alignment horizontal="center"/>
    </xf>
    <xf numFmtId="4" fontId="63" fillId="10" borderId="24" xfId="8" applyNumberFormat="1" applyFont="1" applyFill="1" applyBorder="1" applyAlignment="1">
      <alignment horizontal="center"/>
    </xf>
    <xf numFmtId="2" fontId="78" fillId="10" borderId="24" xfId="6" applyNumberFormat="1" applyFont="1" applyFill="1" applyBorder="1" applyAlignment="1">
      <alignment horizontal="center"/>
    </xf>
    <xf numFmtId="4" fontId="24" fillId="10" borderId="23" xfId="8" applyNumberFormat="1" applyFont="1" applyFill="1" applyBorder="1" applyAlignment="1">
      <alignment horizontal="center" vertical="center"/>
    </xf>
    <xf numFmtId="4" fontId="63" fillId="10" borderId="24" xfId="8" applyNumberFormat="1" applyFont="1" applyFill="1" applyBorder="1" applyAlignment="1">
      <alignment horizontal="center" vertical="center"/>
    </xf>
    <xf numFmtId="0" fontId="110" fillId="10" borderId="24" xfId="0" applyFont="1" applyFill="1" applyBorder="1" applyAlignment="1">
      <alignment horizontal="center"/>
    </xf>
    <xf numFmtId="4" fontId="110" fillId="10" borderId="23" xfId="8" applyNumberFormat="1" applyFont="1" applyFill="1" applyBorder="1" applyAlignment="1">
      <alignment horizontal="center"/>
    </xf>
    <xf numFmtId="0" fontId="106" fillId="10" borderId="24" xfId="0" applyFont="1" applyFill="1" applyBorder="1" applyAlignment="1">
      <alignment horizontal="center"/>
    </xf>
    <xf numFmtId="2" fontId="106" fillId="10" borderId="24" xfId="0" applyNumberFormat="1" applyFont="1" applyFill="1" applyBorder="1" applyAlignment="1">
      <alignment horizontal="center"/>
    </xf>
    <xf numFmtId="4" fontId="105" fillId="10" borderId="24" xfId="8" applyNumberFormat="1" applyFont="1" applyFill="1" applyBorder="1" applyAlignment="1">
      <alignment horizontal="center"/>
    </xf>
    <xf numFmtId="0" fontId="78" fillId="10" borderId="0" xfId="6" applyFont="1" applyFill="1" applyBorder="1" applyAlignment="1">
      <alignment horizontal="center"/>
    </xf>
    <xf numFmtId="4" fontId="63" fillId="15" borderId="24" xfId="8" applyNumberFormat="1" applyFont="1" applyFill="1" applyBorder="1" applyAlignment="1">
      <alignment horizontal="center"/>
    </xf>
    <xf numFmtId="167" fontId="106" fillId="21" borderId="23" xfId="8" applyNumberFormat="1" applyFont="1" applyFill="1" applyBorder="1" applyAlignment="1">
      <alignment horizontal="center"/>
    </xf>
    <xf numFmtId="2" fontId="106" fillId="15" borderId="24" xfId="0" applyNumberFormat="1" applyFont="1" applyFill="1" applyBorder="1" applyAlignment="1">
      <alignment horizontal="center"/>
    </xf>
    <xf numFmtId="4" fontId="110" fillId="15" borderId="24" xfId="8" applyNumberFormat="1" applyFont="1" applyFill="1" applyBorder="1" applyAlignment="1">
      <alignment horizontal="center"/>
    </xf>
    <xf numFmtId="167" fontId="117" fillId="10" borderId="15" xfId="8" applyNumberFormat="1" applyFont="1" applyFill="1" applyBorder="1" applyAlignment="1">
      <alignment horizontal="center" vertical="center"/>
    </xf>
    <xf numFmtId="4" fontId="24" fillId="10" borderId="24" xfId="8" applyNumberFormat="1" applyFont="1" applyFill="1" applyBorder="1" applyAlignment="1">
      <alignment horizontal="center" vertical="center"/>
    </xf>
    <xf numFmtId="2" fontId="63" fillId="10" borderId="0" xfId="6" applyNumberFormat="1" applyFont="1" applyFill="1" applyBorder="1" applyAlignment="1">
      <alignment horizontal="center"/>
    </xf>
    <xf numFmtId="4" fontId="106" fillId="10" borderId="24" xfId="8" applyNumberFormat="1" applyFont="1" applyFill="1" applyBorder="1" applyAlignment="1">
      <alignment horizontal="center"/>
    </xf>
    <xf numFmtId="4" fontId="106" fillId="10" borderId="23" xfId="8" applyNumberFormat="1" applyFont="1" applyFill="1" applyBorder="1" applyAlignment="1">
      <alignment horizontal="center"/>
    </xf>
    <xf numFmtId="0" fontId="78" fillId="10" borderId="24" xfId="0" applyFont="1" applyFill="1" applyBorder="1" applyAlignment="1">
      <alignment horizontal="center"/>
    </xf>
    <xf numFmtId="4" fontId="108" fillId="10" borderId="24" xfId="8" applyNumberFormat="1" applyFont="1" applyFill="1" applyBorder="1" applyAlignment="1">
      <alignment horizontal="center"/>
    </xf>
    <xf numFmtId="0" fontId="78" fillId="10" borderId="24" xfId="0" applyFont="1" applyFill="1" applyBorder="1" applyAlignment="1">
      <alignment horizontal="center" vertical="center"/>
    </xf>
    <xf numFmtId="4" fontId="106" fillId="15" borderId="23" xfId="8" applyNumberFormat="1" applyFont="1" applyFill="1" applyBorder="1" applyAlignment="1">
      <alignment horizontal="center"/>
    </xf>
    <xf numFmtId="4" fontId="105" fillId="10" borderId="0" xfId="8" applyNumberFormat="1" applyFont="1" applyFill="1" applyBorder="1" applyAlignment="1">
      <alignment horizontal="center"/>
    </xf>
    <xf numFmtId="4" fontId="24" fillId="10" borderId="0" xfId="0" applyNumberFormat="1" applyFont="1" applyFill="1" applyBorder="1" applyAlignment="1">
      <alignment horizontal="center"/>
    </xf>
    <xf numFmtId="0" fontId="108" fillId="10" borderId="24" xfId="0" applyFont="1" applyFill="1" applyBorder="1" applyAlignment="1">
      <alignment horizontal="center"/>
    </xf>
    <xf numFmtId="4" fontId="108" fillId="10" borderId="23" xfId="8" applyNumberFormat="1" applyFont="1" applyFill="1" applyBorder="1" applyAlignment="1">
      <alignment horizontal="center"/>
    </xf>
    <xf numFmtId="4" fontId="132" fillId="10" borderId="0" xfId="8" applyNumberFormat="1" applyFont="1" applyFill="1" applyBorder="1" applyAlignment="1">
      <alignment horizontal="center"/>
    </xf>
    <xf numFmtId="4" fontId="107" fillId="10" borderId="0" xfId="8" applyNumberFormat="1" applyFont="1" applyFill="1" applyBorder="1" applyAlignment="1">
      <alignment horizontal="center"/>
    </xf>
    <xf numFmtId="4" fontId="24" fillId="10" borderId="7" xfId="8" applyNumberFormat="1" applyFont="1" applyFill="1" applyBorder="1" applyAlignment="1">
      <alignment horizontal="center" vertical="center"/>
    </xf>
    <xf numFmtId="4" fontId="24" fillId="10" borderId="7" xfId="0" applyNumberFormat="1" applyFont="1" applyFill="1" applyBorder="1" applyAlignment="1">
      <alignment horizontal="center" vertical="center"/>
    </xf>
    <xf numFmtId="167" fontId="36" fillId="29" borderId="5" xfId="8" applyNumberFormat="1" applyFont="1" applyFill="1" applyBorder="1" applyAlignment="1">
      <alignment horizontal="center"/>
    </xf>
    <xf numFmtId="0" fontId="26" fillId="10" borderId="3" xfId="6" applyFont="1" applyFill="1" applyBorder="1" applyAlignment="1">
      <alignment horizontal="center"/>
    </xf>
    <xf numFmtId="4" fontId="25" fillId="30" borderId="3" xfId="8" applyNumberFormat="1" applyFont="1" applyFill="1" applyBorder="1" applyAlignment="1">
      <alignment horizontal="center"/>
    </xf>
    <xf numFmtId="0" fontId="26" fillId="10" borderId="7" xfId="0" applyFont="1" applyFill="1" applyBorder="1" applyAlignment="1">
      <alignment vertical="center"/>
    </xf>
    <xf numFmtId="4" fontId="25" fillId="10" borderId="8" xfId="8" applyNumberFormat="1" applyFont="1" applyFill="1" applyBorder="1" applyAlignment="1">
      <alignment horizontal="center" vertical="center"/>
    </xf>
    <xf numFmtId="0" fontId="88" fillId="10" borderId="23" xfId="0" applyFont="1" applyFill="1" applyBorder="1" applyAlignment="1">
      <alignment horizontal="center" vertical="center"/>
    </xf>
    <xf numFmtId="0" fontId="105" fillId="10" borderId="11" xfId="0" applyFont="1" applyFill="1" applyBorder="1" applyAlignment="1">
      <alignment horizontal="center" vertical="center"/>
    </xf>
    <xf numFmtId="0" fontId="89" fillId="10" borderId="11" xfId="0" applyFont="1" applyFill="1" applyBorder="1" applyAlignment="1">
      <alignment horizontal="center" vertical="center"/>
    </xf>
    <xf numFmtId="0" fontId="132" fillId="10" borderId="11" xfId="0" applyFont="1" applyFill="1" applyBorder="1" applyAlignment="1">
      <alignment horizontal="center"/>
    </xf>
    <xf numFmtId="167" fontId="108" fillId="10" borderId="22" xfId="8" applyNumberFormat="1" applyFont="1" applyFill="1" applyBorder="1" applyAlignment="1">
      <alignment horizontal="center"/>
    </xf>
    <xf numFmtId="0" fontId="26" fillId="10" borderId="6" xfId="6" applyFont="1" applyFill="1" applyBorder="1" applyAlignment="1">
      <alignment horizontal="left" vertical="center"/>
    </xf>
    <xf numFmtId="0" fontId="88" fillId="10" borderId="7" xfId="0" applyFont="1" applyFill="1" applyBorder="1" applyAlignment="1">
      <alignment vertical="center"/>
    </xf>
    <xf numFmtId="4" fontId="25" fillId="10" borderId="7" xfId="8" applyNumberFormat="1" applyFont="1" applyFill="1" applyBorder="1" applyAlignment="1">
      <alignment vertical="center"/>
    </xf>
    <xf numFmtId="167" fontId="36" fillId="10" borderId="2" xfId="8" applyNumberFormat="1" applyFont="1" applyFill="1" applyBorder="1" applyAlignment="1">
      <alignment horizontal="center" vertical="center"/>
    </xf>
    <xf numFmtId="0" fontId="26" fillId="10" borderId="2" xfId="6" applyFont="1" applyFill="1" applyBorder="1" applyAlignment="1">
      <alignment horizontal="center" vertical="center"/>
    </xf>
    <xf numFmtId="4" fontId="108" fillId="10" borderId="24" xfId="8" applyNumberFormat="1" applyFont="1" applyFill="1" applyBorder="1" applyAlignment="1">
      <alignment horizontal="center" vertical="center"/>
    </xf>
    <xf numFmtId="0" fontId="64" fillId="10" borderId="0" xfId="0" applyFont="1" applyFill="1" applyBorder="1"/>
    <xf numFmtId="167" fontId="36" fillId="10" borderId="5" xfId="8" applyNumberFormat="1" applyFont="1" applyFill="1" applyBorder="1" applyAlignment="1">
      <alignment horizontal="center" vertical="center"/>
    </xf>
    <xf numFmtId="167" fontId="36" fillId="29" borderId="5" xfId="8" applyNumberFormat="1" applyFont="1" applyFill="1" applyBorder="1" applyAlignment="1">
      <alignment horizontal="center" vertical="center"/>
    </xf>
    <xf numFmtId="0" fontId="25" fillId="0" borderId="0" xfId="39490" applyFont="1" applyFill="1" applyAlignment="1">
      <alignment horizontal="center" vertical="center"/>
    </xf>
    <xf numFmtId="0" fontId="25" fillId="0" borderId="0" xfId="39490" applyFont="1" applyFill="1" applyAlignment="1">
      <alignment vertical="center"/>
    </xf>
    <xf numFmtId="4" fontId="25" fillId="0" borderId="0" xfId="39490" applyNumberFormat="1" applyFont="1" applyFill="1" applyAlignment="1">
      <alignment vertical="center"/>
    </xf>
    <xf numFmtId="4" fontId="24" fillId="0" borderId="0" xfId="39490" applyNumberFormat="1" applyFill="1" applyAlignment="1">
      <alignment vertical="center"/>
    </xf>
    <xf numFmtId="0" fontId="111" fillId="0" borderId="0" xfId="0" applyFont="1" applyFill="1" applyAlignment="1">
      <alignment horizontal="center" vertical="center"/>
    </xf>
    <xf numFmtId="0" fontId="63" fillId="0" borderId="0" xfId="0" applyFont="1" applyFill="1"/>
    <xf numFmtId="0" fontId="25" fillId="0" borderId="0" xfId="11" quotePrefix="1" applyFont="1" applyFill="1" applyAlignment="1">
      <alignment horizontal="center" vertical="center"/>
    </xf>
    <xf numFmtId="0" fontId="24" fillId="0" borderId="0" xfId="0" applyFont="1" applyFill="1" applyAlignment="1">
      <alignment horizontal="left" vertical="center"/>
    </xf>
    <xf numFmtId="4" fontId="24" fillId="0" borderId="0" xfId="0" applyNumberFormat="1" applyFont="1" applyFill="1" applyAlignment="1">
      <alignment horizontal="right" vertical="center"/>
    </xf>
    <xf numFmtId="4" fontId="24" fillId="0" borderId="0" xfId="0" applyNumberFormat="1" applyFont="1" applyFill="1" applyAlignment="1">
      <alignment vertical="center"/>
    </xf>
    <xf numFmtId="4" fontId="24" fillId="0" borderId="0" xfId="0" applyNumberFormat="1" applyFont="1" applyFill="1" applyAlignment="1">
      <alignment horizontal="center" vertical="center"/>
    </xf>
    <xf numFmtId="0" fontId="90" fillId="0" borderId="0" xfId="0" applyFont="1" applyFill="1" applyAlignment="1">
      <alignment horizontal="center" vertical="center"/>
    </xf>
    <xf numFmtId="0" fontId="24" fillId="0" borderId="0" xfId="0" applyNumberFormat="1" applyFont="1" applyFill="1" applyAlignment="1">
      <alignment vertical="center"/>
    </xf>
    <xf numFmtId="0" fontId="94" fillId="30" borderId="0" xfId="11" applyFont="1" applyFill="1" applyBorder="1"/>
    <xf numFmtId="2" fontId="94" fillId="21" borderId="0" xfId="6" applyNumberFormat="1" applyFont="1" applyFill="1" applyBorder="1"/>
    <xf numFmtId="170" fontId="94" fillId="21" borderId="0" xfId="3" applyNumberFormat="1" applyFont="1" applyFill="1" applyAlignment="1">
      <alignment horizontal="center"/>
    </xf>
    <xf numFmtId="169" fontId="182" fillId="10" borderId="0" xfId="3" applyNumberFormat="1" applyFont="1" applyFill="1" applyAlignment="1">
      <alignment horizontal="center"/>
    </xf>
    <xf numFmtId="168" fontId="94" fillId="10" borderId="0" xfId="3" applyNumberFormat="1" applyFont="1" applyFill="1" applyAlignment="1">
      <alignment horizontal="center" vertical="center"/>
    </xf>
    <xf numFmtId="169" fontId="94" fillId="10" borderId="0" xfId="11" applyNumberFormat="1" applyFont="1" applyFill="1" applyBorder="1" applyAlignment="1">
      <alignment horizontal="left"/>
    </xf>
    <xf numFmtId="0" fontId="94" fillId="6" borderId="0" xfId="6" applyFont="1" applyFill="1" applyBorder="1"/>
    <xf numFmtId="0" fontId="183" fillId="0" borderId="0" xfId="0" applyFont="1" applyAlignment="1">
      <alignment horizontal="left"/>
    </xf>
    <xf numFmtId="0" fontId="28" fillId="0" borderId="0" xfId="6" applyFont="1" applyFill="1"/>
    <xf numFmtId="168" fontId="90" fillId="64" borderId="0" xfId="3" applyNumberFormat="1" applyFont="1" applyFill="1" applyAlignment="1">
      <alignment horizontal="center" vertical="center"/>
    </xf>
    <xf numFmtId="0" fontId="47" fillId="10" borderId="0" xfId="8" applyFont="1" applyFill="1"/>
    <xf numFmtId="0" fontId="184" fillId="13" borderId="0" xfId="0" applyFont="1" applyFill="1"/>
    <xf numFmtId="0" fontId="184" fillId="29" borderId="0" xfId="0" applyFont="1" applyFill="1"/>
    <xf numFmtId="170" fontId="78" fillId="29" borderId="0" xfId="3" applyNumberFormat="1" applyFont="1" applyFill="1" applyAlignment="1">
      <alignment horizontal="center"/>
    </xf>
    <xf numFmtId="168" fontId="78" fillId="29" borderId="0" xfId="3" applyNumberFormat="1" applyFont="1" applyFill="1" applyAlignment="1">
      <alignment horizontal="center" vertical="center"/>
    </xf>
    <xf numFmtId="0" fontId="90" fillId="64" borderId="0" xfId="6" applyFont="1" applyFill="1" applyBorder="1" applyAlignment="1">
      <alignment horizontal="left"/>
    </xf>
    <xf numFmtId="169" fontId="90" fillId="64" borderId="0" xfId="3" applyNumberFormat="1" applyFont="1" applyFill="1" applyAlignment="1">
      <alignment horizontal="left"/>
    </xf>
    <xf numFmtId="4" fontId="90" fillId="64" borderId="0" xfId="8" applyNumberFormat="1" applyFont="1" applyFill="1" applyBorder="1"/>
    <xf numFmtId="0" fontId="25" fillId="0" borderId="0" xfId="11" applyFont="1" applyFill="1" applyBorder="1"/>
    <xf numFmtId="0" fontId="90" fillId="36" borderId="0" xfId="6" applyFont="1" applyFill="1" applyBorder="1" applyAlignment="1">
      <alignment horizontal="left"/>
    </xf>
    <xf numFmtId="168" fontId="90" fillId="36" borderId="0" xfId="3" applyNumberFormat="1" applyFont="1" applyFill="1" applyAlignment="1">
      <alignment horizontal="center" vertical="center"/>
    </xf>
    <xf numFmtId="169" fontId="90" fillId="36" borderId="0" xfId="3" applyNumberFormat="1" applyFont="1" applyFill="1" applyAlignment="1">
      <alignment horizontal="left"/>
    </xf>
    <xf numFmtId="4" fontId="90" fillId="36" borderId="0" xfId="8" applyNumberFormat="1" applyFont="1" applyFill="1" applyBorder="1"/>
    <xf numFmtId="0" fontId="94" fillId="66" borderId="0" xfId="6" applyFont="1" applyFill="1" applyBorder="1"/>
    <xf numFmtId="0" fontId="94" fillId="18" borderId="0" xfId="6" applyFont="1" applyFill="1" applyBorder="1"/>
    <xf numFmtId="0" fontId="94" fillId="19" borderId="0" xfId="6" applyFont="1" applyFill="1" applyBorder="1"/>
    <xf numFmtId="0" fontId="180" fillId="10" borderId="0" xfId="0" applyFont="1" applyFill="1" applyBorder="1" applyAlignment="1">
      <alignment horizontal="center" vertical="center"/>
    </xf>
    <xf numFmtId="0" fontId="78" fillId="10" borderId="1" xfId="11" applyFont="1" applyFill="1" applyBorder="1" applyAlignment="1">
      <alignment horizontal="left"/>
    </xf>
    <xf numFmtId="0" fontId="25" fillId="49" borderId="0" xfId="11" applyFont="1" applyFill="1"/>
    <xf numFmtId="0" fontId="94" fillId="46" borderId="0" xfId="6" applyFont="1" applyFill="1" applyBorder="1"/>
    <xf numFmtId="0" fontId="0" fillId="10" borderId="0" xfId="0" applyFont="1" applyFill="1" applyBorder="1" applyAlignment="1" applyProtection="1">
      <alignment vertical="center" shrinkToFit="1"/>
      <protection hidden="1"/>
    </xf>
    <xf numFmtId="2" fontId="78" fillId="32" borderId="0" xfId="6" applyNumberFormat="1" applyFont="1" applyFill="1" applyBorder="1"/>
    <xf numFmtId="0" fontId="78" fillId="32" borderId="24" xfId="11" applyFont="1" applyFill="1" applyBorder="1" applyAlignment="1">
      <alignment horizontal="left"/>
    </xf>
    <xf numFmtId="0" fontId="117" fillId="44" borderId="0" xfId="6" applyFont="1" applyFill="1" applyBorder="1"/>
    <xf numFmtId="0" fontId="25" fillId="5" borderId="0" xfId="11" applyFont="1" applyFill="1" applyAlignment="1">
      <alignment horizontal="right"/>
    </xf>
    <xf numFmtId="0" fontId="25" fillId="15" borderId="0" xfId="11" applyFont="1" applyFill="1"/>
    <xf numFmtId="0" fontId="170" fillId="19" borderId="0" xfId="6" applyFont="1" applyFill="1" applyBorder="1" applyAlignment="1">
      <alignment vertical="center"/>
    </xf>
    <xf numFmtId="0" fontId="64" fillId="10" borderId="0" xfId="0" applyFont="1" applyFill="1" applyBorder="1" applyAlignment="1">
      <alignment vertical="top"/>
    </xf>
    <xf numFmtId="0" fontId="25" fillId="0" borderId="0" xfId="5" applyFont="1" applyFill="1" applyBorder="1" applyAlignment="1">
      <alignment vertical="top"/>
    </xf>
    <xf numFmtId="0" fontId="105" fillId="10" borderId="3" xfId="0" applyFont="1" applyFill="1" applyBorder="1" applyAlignment="1">
      <alignment horizontal="center" vertical="top"/>
    </xf>
    <xf numFmtId="0" fontId="105" fillId="10" borderId="0" xfId="0" applyFont="1" applyFill="1" applyBorder="1" applyAlignment="1">
      <alignment horizontal="right" vertical="top"/>
    </xf>
    <xf numFmtId="0" fontId="105" fillId="10" borderId="22" xfId="0" applyFont="1" applyFill="1" applyBorder="1" applyAlignment="1">
      <alignment horizontal="right" vertical="top"/>
    </xf>
    <xf numFmtId="4" fontId="63" fillId="10" borderId="0" xfId="8" quotePrefix="1" applyNumberFormat="1" applyFont="1" applyFill="1" applyBorder="1" applyAlignment="1">
      <alignment vertical="top"/>
    </xf>
    <xf numFmtId="167" fontId="162" fillId="10" borderId="23" xfId="6" applyNumberFormat="1" applyFont="1" applyFill="1" applyBorder="1" applyAlignment="1">
      <alignment horizontal="center" vertical="top"/>
    </xf>
    <xf numFmtId="0" fontId="64" fillId="10" borderId="3" xfId="6" applyFont="1" applyFill="1" applyBorder="1" applyAlignment="1">
      <alignment horizontal="center" vertical="top"/>
    </xf>
    <xf numFmtId="0" fontId="64" fillId="10" borderId="7" xfId="6" applyFont="1" applyFill="1" applyBorder="1" applyAlignment="1">
      <alignment horizontal="left" vertical="top"/>
    </xf>
    <xf numFmtId="0" fontId="64" fillId="10" borderId="7" xfId="0" applyFont="1" applyFill="1" applyBorder="1" applyAlignment="1">
      <alignment vertical="center"/>
    </xf>
    <xf numFmtId="4" fontId="105" fillId="10" borderId="8" xfId="8" applyNumberFormat="1" applyFont="1" applyFill="1" applyBorder="1" applyAlignment="1">
      <alignment horizontal="center" vertical="center"/>
    </xf>
    <xf numFmtId="0" fontId="64" fillId="10" borderId="6" xfId="6" applyFont="1" applyFill="1" applyBorder="1" applyAlignment="1">
      <alignment horizontal="left" vertical="top"/>
    </xf>
    <xf numFmtId="0" fontId="64" fillId="10" borderId="2" xfId="6" applyFont="1" applyFill="1" applyBorder="1" applyAlignment="1">
      <alignment horizontal="center" vertical="top"/>
    </xf>
    <xf numFmtId="167" fontId="36" fillId="29" borderId="39" xfId="8" applyNumberFormat="1" applyFont="1" applyFill="1" applyBorder="1" applyAlignment="1">
      <alignment horizontal="center" vertical="center"/>
    </xf>
    <xf numFmtId="4" fontId="105" fillId="10" borderId="2" xfId="8" applyNumberFormat="1" applyFont="1" applyFill="1" applyBorder="1" applyAlignment="1">
      <alignment horizontal="center"/>
    </xf>
    <xf numFmtId="4" fontId="105" fillId="10" borderId="11" xfId="8" applyNumberFormat="1" applyFont="1" applyFill="1" applyBorder="1" applyAlignment="1">
      <alignment horizontal="center"/>
    </xf>
    <xf numFmtId="4" fontId="63" fillId="10" borderId="11" xfId="8" applyNumberFormat="1" applyFont="1" applyFill="1" applyBorder="1" applyAlignment="1">
      <alignment horizontal="center"/>
    </xf>
    <xf numFmtId="4" fontId="63" fillId="10" borderId="11" xfId="0" applyNumberFormat="1" applyFont="1" applyFill="1" applyBorder="1" applyAlignment="1">
      <alignment horizontal="center"/>
    </xf>
    <xf numFmtId="4" fontId="63" fillId="10" borderId="6" xfId="0" applyNumberFormat="1" applyFont="1" applyFill="1" applyBorder="1" applyAlignment="1">
      <alignment horizontal="center" vertical="center"/>
    </xf>
    <xf numFmtId="4" fontId="105" fillId="10" borderId="2" xfId="8" applyNumberFormat="1" applyFont="1" applyFill="1" applyBorder="1" applyAlignment="1">
      <alignment horizontal="center" vertical="center"/>
    </xf>
    <xf numFmtId="4" fontId="105" fillId="10" borderId="6" xfId="8" applyNumberFormat="1" applyFont="1" applyFill="1" applyBorder="1" applyAlignment="1">
      <alignment horizontal="center" vertical="center"/>
    </xf>
    <xf numFmtId="4" fontId="105" fillId="10" borderId="6" xfId="8" applyNumberFormat="1" applyFont="1" applyFill="1" applyBorder="1" applyAlignment="1">
      <alignment vertical="center"/>
    </xf>
    <xf numFmtId="4" fontId="185" fillId="10" borderId="11" xfId="8" applyNumberFormat="1" applyFont="1" applyFill="1" applyBorder="1"/>
    <xf numFmtId="0" fontId="187" fillId="0" borderId="0" xfId="0" applyFont="1" applyAlignment="1">
      <alignment vertical="center"/>
    </xf>
    <xf numFmtId="0" fontId="188" fillId="0" borderId="0" xfId="0" applyFont="1"/>
    <xf numFmtId="0" fontId="0" fillId="67" borderId="0" xfId="0" applyFill="1"/>
    <xf numFmtId="168" fontId="24" fillId="21" borderId="0" xfId="3" applyNumberFormat="1" applyFont="1" applyFill="1"/>
    <xf numFmtId="0" fontId="25" fillId="58" borderId="0" xfId="6" applyFont="1" applyFill="1"/>
    <xf numFmtId="0" fontId="24" fillId="8" borderId="0" xfId="11" applyFont="1" applyFill="1" applyAlignment="1">
      <alignment horizontal="left"/>
    </xf>
    <xf numFmtId="169" fontId="63" fillId="21" borderId="0" xfId="3" applyNumberFormat="1" applyFont="1" applyFill="1" applyAlignment="1">
      <alignment horizontal="center"/>
    </xf>
    <xf numFmtId="168" fontId="35" fillId="21" borderId="0" xfId="3" applyNumberFormat="1" applyFont="1" applyFill="1"/>
    <xf numFmtId="168" fontId="24" fillId="21" borderId="0" xfId="3" applyNumberFormat="1" applyFont="1" applyFill="1" applyAlignment="1">
      <alignment vertical="center"/>
    </xf>
    <xf numFmtId="168" fontId="35" fillId="21" borderId="0" xfId="3" applyNumberFormat="1" applyFont="1" applyFill="1" applyAlignment="1">
      <alignment vertical="center"/>
    </xf>
    <xf numFmtId="170" fontId="41" fillId="12" borderId="0" xfId="3" applyNumberFormat="1" applyFont="1" applyFill="1"/>
    <xf numFmtId="0" fontId="24" fillId="10" borderId="0" xfId="0" quotePrefix="1" applyFont="1" applyFill="1" applyAlignment="1">
      <alignment horizontal="left"/>
    </xf>
    <xf numFmtId="0" fontId="78" fillId="29" borderId="0" xfId="6" applyFont="1" applyFill="1" applyBorder="1" applyAlignment="1">
      <alignment horizontal="left"/>
    </xf>
    <xf numFmtId="2" fontId="24" fillId="0" borderId="0" xfId="0" applyNumberFormat="1" applyFont="1" applyFill="1" applyBorder="1"/>
    <xf numFmtId="0" fontId="190" fillId="0" borderId="0" xfId="0" applyFont="1" applyFill="1" applyBorder="1" applyAlignment="1">
      <alignment horizontal="center" vertical="center"/>
    </xf>
    <xf numFmtId="0" fontId="78" fillId="5" borderId="0" xfId="11" applyFont="1" applyFill="1" applyBorder="1" applyAlignment="1">
      <alignment horizontal="left"/>
    </xf>
    <xf numFmtId="0" fontId="78" fillId="51" borderId="0" xfId="0" applyFont="1" applyFill="1" applyAlignment="1">
      <alignment horizontal="left"/>
    </xf>
    <xf numFmtId="0" fontId="78" fillId="10" borderId="0" xfId="0" applyFont="1" applyFill="1" applyAlignment="1">
      <alignment horizontal="left"/>
    </xf>
    <xf numFmtId="2" fontId="78" fillId="10" borderId="0" xfId="6" applyNumberFormat="1" applyFont="1" applyFill="1" applyBorder="1" applyAlignment="1">
      <alignment horizontal="left"/>
    </xf>
    <xf numFmtId="168" fontId="24" fillId="8" borderId="0" xfId="11" applyNumberFormat="1" applyFill="1" applyAlignment="1">
      <alignment horizontal="left"/>
    </xf>
    <xf numFmtId="0" fontId="78" fillId="0" borderId="0" xfId="11" applyFont="1" applyBorder="1" applyAlignment="1">
      <alignment horizontal="left"/>
    </xf>
    <xf numFmtId="0" fontId="78" fillId="29" borderId="0" xfId="11" applyFont="1" applyFill="1" applyBorder="1" applyAlignment="1">
      <alignment horizontal="left" vertical="center"/>
    </xf>
    <xf numFmtId="0" fontId="0" fillId="10" borderId="0" xfId="0" applyFont="1" applyFill="1" applyBorder="1" applyAlignment="1" applyProtection="1">
      <alignment horizontal="left" vertical="center" shrinkToFit="1"/>
      <protection hidden="1"/>
    </xf>
    <xf numFmtId="0" fontId="78" fillId="6" borderId="0" xfId="11" applyFont="1" applyFill="1" applyBorder="1" applyAlignment="1">
      <alignment horizontal="left"/>
    </xf>
    <xf numFmtId="0" fontId="78" fillId="30" borderId="0" xfId="11" applyFont="1" applyFill="1" applyBorder="1" applyAlignment="1">
      <alignment horizontal="left"/>
    </xf>
    <xf numFmtId="0" fontId="24" fillId="10" borderId="0" xfId="11" applyFill="1" applyAlignment="1">
      <alignment horizontal="left"/>
    </xf>
    <xf numFmtId="0" fontId="25" fillId="8" borderId="0" xfId="11" applyFont="1" applyFill="1" applyAlignment="1">
      <alignment horizontal="left"/>
    </xf>
    <xf numFmtId="0" fontId="39" fillId="8" borderId="0" xfId="6" applyFont="1" applyFill="1" applyAlignment="1">
      <alignment horizontal="left"/>
    </xf>
    <xf numFmtId="0" fontId="35" fillId="10" borderId="0" xfId="6" applyFont="1" applyFill="1" applyAlignment="1">
      <alignment horizontal="left"/>
    </xf>
    <xf numFmtId="0" fontId="35" fillId="9" borderId="0" xfId="6" applyFont="1" applyFill="1" applyAlignment="1">
      <alignment horizontal="left"/>
    </xf>
    <xf numFmtId="0" fontId="24" fillId="8" borderId="0" xfId="6" applyFont="1" applyFill="1" applyAlignment="1">
      <alignment horizontal="left"/>
    </xf>
    <xf numFmtId="0" fontId="39" fillId="8" borderId="0" xfId="8" applyFont="1" applyFill="1" applyAlignment="1">
      <alignment horizontal="left"/>
    </xf>
    <xf numFmtId="0" fontId="35" fillId="8" borderId="0" xfId="8" applyFont="1" applyFill="1" applyAlignment="1">
      <alignment horizontal="left"/>
    </xf>
    <xf numFmtId="0" fontId="40" fillId="8" borderId="0" xfId="11" applyFont="1" applyFill="1" applyAlignment="1">
      <alignment horizontal="left"/>
    </xf>
    <xf numFmtId="0" fontId="0" fillId="0" borderId="0" xfId="0" applyFill="1" applyAlignment="1">
      <alignment horizontal="left"/>
    </xf>
    <xf numFmtId="0" fontId="39" fillId="8" borderId="2" xfId="6" applyFont="1" applyFill="1" applyBorder="1" applyAlignment="1">
      <alignment horizontal="left"/>
    </xf>
    <xf numFmtId="0" fontId="39" fillId="8" borderId="11" xfId="6" applyFont="1" applyFill="1" applyBorder="1" applyAlignment="1">
      <alignment horizontal="left"/>
    </xf>
    <xf numFmtId="0" fontId="35" fillId="9" borderId="6" xfId="6" applyFont="1" applyFill="1" applyBorder="1" applyAlignment="1">
      <alignment horizontal="left"/>
    </xf>
    <xf numFmtId="0" fontId="24" fillId="10" borderId="0" xfId="11" applyFont="1" applyFill="1" applyAlignment="1">
      <alignment horizontal="left"/>
    </xf>
    <xf numFmtId="0" fontId="0" fillId="8" borderId="0" xfId="0" applyFill="1" applyAlignment="1">
      <alignment horizontal="left"/>
    </xf>
    <xf numFmtId="0" fontId="39" fillId="8" borderId="5" xfId="6" applyFont="1" applyFill="1" applyBorder="1" applyAlignment="1">
      <alignment horizontal="left"/>
    </xf>
    <xf numFmtId="0" fontId="39" fillId="8" borderId="15" xfId="6" applyFont="1" applyFill="1" applyBorder="1" applyAlignment="1">
      <alignment horizontal="left"/>
    </xf>
    <xf numFmtId="0" fontId="35" fillId="9" borderId="15" xfId="6" applyFont="1" applyFill="1" applyBorder="1" applyAlignment="1">
      <alignment horizontal="left"/>
    </xf>
    <xf numFmtId="0" fontId="39" fillId="8" borderId="9" xfId="6" applyFont="1" applyFill="1" applyBorder="1" applyAlignment="1">
      <alignment horizontal="left"/>
    </xf>
    <xf numFmtId="0" fontId="39" fillId="0" borderId="0" xfId="6" applyFont="1" applyFill="1" applyBorder="1" applyAlignment="1">
      <alignment horizontal="left"/>
    </xf>
    <xf numFmtId="0" fontId="24" fillId="12" borderId="0" xfId="0" applyFont="1" applyFill="1" applyBorder="1" applyAlignment="1">
      <alignment horizontal="left"/>
    </xf>
    <xf numFmtId="0" fontId="24" fillId="0" borderId="0" xfId="0" applyFont="1" applyAlignment="1">
      <alignment horizontal="left"/>
    </xf>
    <xf numFmtId="17" fontId="24" fillId="39" borderId="0" xfId="11" applyNumberFormat="1" applyFont="1" applyFill="1" applyAlignment="1">
      <alignment horizontal="left"/>
    </xf>
    <xf numFmtId="0" fontId="0" fillId="39" borderId="0" xfId="0" applyFill="1" applyAlignment="1">
      <alignment horizontal="left"/>
    </xf>
    <xf numFmtId="0" fontId="24" fillId="0" borderId="0" xfId="0" applyFont="1" applyFill="1" applyBorder="1" applyAlignment="1">
      <alignment horizontal="left"/>
    </xf>
    <xf numFmtId="0" fontId="54" fillId="8" borderId="0" xfId="6" applyFont="1" applyFill="1" applyAlignment="1">
      <alignment horizontal="left"/>
    </xf>
    <xf numFmtId="0" fontId="24" fillId="10" borderId="0" xfId="0" quotePrefix="1" applyFont="1" applyFill="1" applyBorder="1" applyAlignment="1">
      <alignment horizontal="left"/>
    </xf>
    <xf numFmtId="0" fontId="78" fillId="10" borderId="0" xfId="6" applyFont="1" applyFill="1" applyAlignment="1">
      <alignment horizontal="left" vertical="top"/>
    </xf>
    <xf numFmtId="0" fontId="63" fillId="39" borderId="0" xfId="0" applyFont="1" applyFill="1" applyAlignment="1">
      <alignment horizontal="left"/>
    </xf>
    <xf numFmtId="0" fontId="24" fillId="19" borderId="0" xfId="0" applyFont="1" applyFill="1" applyBorder="1" applyAlignment="1">
      <alignment horizontal="left"/>
    </xf>
    <xf numFmtId="0" fontId="24" fillId="0" borderId="0" xfId="0" quotePrefix="1" applyFont="1" applyAlignment="1">
      <alignment horizontal="left"/>
    </xf>
    <xf numFmtId="0" fontId="191" fillId="10" borderId="1" xfId="6" applyFont="1" applyFill="1" applyBorder="1" applyAlignment="1">
      <alignment horizontal="center" vertical="center"/>
    </xf>
    <xf numFmtId="168" fontId="24" fillId="8" borderId="0" xfId="0" applyNumberFormat="1" applyFont="1" applyFill="1" applyAlignment="1">
      <alignment horizontal="left"/>
    </xf>
    <xf numFmtId="168" fontId="46" fillId="8" borderId="0" xfId="3" applyNumberFormat="1" applyFont="1" applyFill="1"/>
    <xf numFmtId="168" fontId="43" fillId="8" borderId="0" xfId="3" applyNumberFormat="1" applyFont="1" applyFill="1"/>
    <xf numFmtId="0" fontId="94" fillId="5" borderId="0" xfId="0" applyFont="1" applyFill="1" applyBorder="1"/>
    <xf numFmtId="0" fontId="192" fillId="5" borderId="0" xfId="6" applyFont="1" applyFill="1" applyBorder="1"/>
    <xf numFmtId="169" fontId="78" fillId="5" borderId="0" xfId="3" applyNumberFormat="1" applyFont="1" applyFill="1" applyBorder="1" applyAlignment="1">
      <alignment horizontal="center"/>
    </xf>
    <xf numFmtId="0" fontId="78" fillId="5" borderId="0" xfId="0" applyFont="1" applyFill="1" applyBorder="1" applyAlignment="1">
      <alignment horizontal="left"/>
    </xf>
    <xf numFmtId="0" fontId="78" fillId="5" borderId="0" xfId="0" applyFont="1" applyFill="1" applyBorder="1"/>
    <xf numFmtId="0" fontId="24" fillId="5" borderId="0" xfId="0" applyFont="1" applyFill="1"/>
    <xf numFmtId="0" fontId="24" fillId="39" borderId="0" xfId="0" applyFont="1" applyFill="1" applyBorder="1"/>
    <xf numFmtId="0" fontId="193" fillId="5" borderId="0" xfId="6" applyFont="1" applyFill="1"/>
    <xf numFmtId="170" fontId="41" fillId="0" borderId="0" xfId="3" applyNumberFormat="1" applyFont="1" applyFill="1"/>
    <xf numFmtId="0" fontId="24" fillId="0" borderId="0" xfId="0" applyFont="1" applyFill="1" applyAlignment="1">
      <alignment horizontal="left"/>
    </xf>
    <xf numFmtId="168" fontId="24" fillId="0" borderId="0" xfId="0" applyNumberFormat="1" applyFont="1" applyFill="1" applyAlignment="1">
      <alignment horizontal="left"/>
    </xf>
    <xf numFmtId="0" fontId="25" fillId="0" borderId="0" xfId="0" applyFont="1" applyFill="1"/>
    <xf numFmtId="2" fontId="194" fillId="10" borderId="54" xfId="11" applyNumberFormat="1" applyFont="1" applyFill="1" applyBorder="1" applyAlignment="1">
      <alignment horizontal="center" vertical="center"/>
    </xf>
    <xf numFmtId="0" fontId="194" fillId="21" borderId="40" xfId="11" applyFont="1" applyFill="1" applyBorder="1" applyAlignment="1">
      <alignment horizontal="center" vertical="center"/>
    </xf>
    <xf numFmtId="0" fontId="194" fillId="21" borderId="9" xfId="11" applyFont="1" applyFill="1" applyBorder="1" applyAlignment="1">
      <alignment horizontal="center" vertical="center"/>
    </xf>
    <xf numFmtId="0" fontId="195" fillId="10" borderId="0" xfId="11" applyFont="1" applyFill="1" applyBorder="1" applyAlignment="1">
      <alignment horizontal="left" vertical="center" indent="1"/>
    </xf>
    <xf numFmtId="0" fontId="94" fillId="0" borderId="0" xfId="6" applyFont="1" applyFill="1" applyBorder="1" applyAlignment="1">
      <alignment vertical="center"/>
    </xf>
    <xf numFmtId="0" fontId="78" fillId="0" borderId="0" xfId="11" applyFont="1" applyFill="1" applyBorder="1" applyAlignment="1">
      <alignment horizontal="left" vertical="center"/>
    </xf>
    <xf numFmtId="170" fontId="78" fillId="0" borderId="0" xfId="3" applyNumberFormat="1" applyFont="1" applyFill="1" applyAlignment="1">
      <alignment horizontal="center" vertical="center"/>
    </xf>
    <xf numFmtId="169" fontId="96" fillId="0" borderId="0" xfId="3" applyNumberFormat="1" applyFont="1" applyFill="1" applyAlignment="1">
      <alignment horizontal="center" vertical="center"/>
    </xf>
    <xf numFmtId="169" fontId="78" fillId="0" borderId="0" xfId="11" applyNumberFormat="1" applyFont="1" applyFill="1" applyBorder="1" applyAlignment="1">
      <alignment horizontal="left" vertical="center"/>
    </xf>
    <xf numFmtId="2" fontId="78" fillId="0" borderId="0" xfId="6" applyNumberFormat="1" applyFont="1" applyFill="1" applyBorder="1"/>
    <xf numFmtId="0" fontId="78" fillId="0" borderId="0" xfId="11" applyFont="1" applyFill="1" applyBorder="1" applyAlignment="1">
      <alignment vertical="center"/>
    </xf>
    <xf numFmtId="0" fontId="24" fillId="0" borderId="0" xfId="0" applyFont="1" applyFill="1" applyBorder="1" applyAlignment="1">
      <alignment vertical="center"/>
    </xf>
    <xf numFmtId="0" fontId="94" fillId="60" borderId="0" xfId="11" applyFont="1" applyFill="1" applyBorder="1"/>
    <xf numFmtId="0" fontId="78" fillId="60" borderId="0" xfId="6" applyFont="1" applyFill="1"/>
    <xf numFmtId="170" fontId="78" fillId="60" borderId="0" xfId="3" applyNumberFormat="1" applyFont="1" applyFill="1" applyAlignment="1">
      <alignment horizontal="center"/>
    </xf>
    <xf numFmtId="169" fontId="96" fillId="60" borderId="0" xfId="3" applyNumberFormat="1" applyFont="1" applyFill="1" applyAlignment="1">
      <alignment horizontal="center"/>
    </xf>
    <xf numFmtId="168" fontId="78" fillId="60" borderId="0" xfId="3" applyNumberFormat="1" applyFont="1" applyFill="1" applyAlignment="1">
      <alignment horizontal="center" vertical="center"/>
    </xf>
    <xf numFmtId="169" fontId="78" fillId="60" borderId="0" xfId="11" applyNumberFormat="1" applyFont="1" applyFill="1" applyBorder="1" applyAlignment="1">
      <alignment horizontal="left"/>
    </xf>
    <xf numFmtId="0" fontId="78" fillId="60" borderId="0" xfId="11" applyFont="1" applyFill="1" applyBorder="1" applyAlignment="1">
      <alignment horizontal="left"/>
    </xf>
    <xf numFmtId="0" fontId="78" fillId="60" borderId="0" xfId="6" applyFont="1" applyFill="1" applyAlignment="1">
      <alignment horizontal="left"/>
    </xf>
    <xf numFmtId="0" fontId="78" fillId="60" borderId="0" xfId="11" applyFont="1" applyFill="1" applyBorder="1"/>
    <xf numFmtId="0" fontId="0" fillId="60" borderId="0" xfId="0" applyFill="1"/>
    <xf numFmtId="0" fontId="24" fillId="60" borderId="0" xfId="0" applyFont="1" applyFill="1" applyBorder="1"/>
    <xf numFmtId="0" fontId="36" fillId="0" borderId="0" xfId="6" applyFont="1" applyFill="1"/>
    <xf numFmtId="168" fontId="35" fillId="0" borderId="0" xfId="3" applyNumberFormat="1" applyFont="1" applyFill="1"/>
    <xf numFmtId="0" fontId="94" fillId="32" borderId="0" xfId="11" applyFont="1" applyFill="1" applyBorder="1"/>
    <xf numFmtId="0" fontId="24" fillId="32" borderId="0" xfId="0" applyFont="1" applyFill="1" applyBorder="1" applyAlignment="1">
      <alignment horizontal="left"/>
    </xf>
    <xf numFmtId="0" fontId="78" fillId="32" borderId="0" xfId="11" applyFont="1" applyFill="1" applyBorder="1"/>
    <xf numFmtId="0" fontId="24" fillId="32" borderId="0" xfId="0" applyFont="1" applyFill="1" applyBorder="1"/>
    <xf numFmtId="0" fontId="94" fillId="38" borderId="0" xfId="11" applyFont="1" applyFill="1" applyBorder="1"/>
    <xf numFmtId="0" fontId="24" fillId="38" borderId="0" xfId="0" applyFont="1" applyFill="1" applyBorder="1" applyAlignment="1">
      <alignment horizontal="left"/>
    </xf>
    <xf numFmtId="0" fontId="78" fillId="38" borderId="0" xfId="11" applyFont="1" applyFill="1" applyBorder="1"/>
    <xf numFmtId="0" fontId="24" fillId="38" borderId="0" xfId="0" applyFont="1" applyFill="1" applyBorder="1"/>
    <xf numFmtId="0" fontId="24" fillId="64" borderId="0" xfId="0" applyFont="1" applyFill="1" applyBorder="1" applyAlignment="1">
      <alignment horizontal="left"/>
    </xf>
    <xf numFmtId="0" fontId="78" fillId="64" borderId="0" xfId="11" applyFont="1" applyFill="1" applyBorder="1"/>
    <xf numFmtId="0" fontId="24" fillId="64" borderId="0" xfId="0" applyFont="1" applyFill="1" applyBorder="1"/>
    <xf numFmtId="49" fontId="59" fillId="10" borderId="73" xfId="8" applyNumberFormat="1" applyFont="1" applyFill="1" applyBorder="1"/>
    <xf numFmtId="0" fontId="24" fillId="10" borderId="73" xfId="8" applyFont="1" applyFill="1" applyBorder="1" applyAlignment="1"/>
    <xf numFmtId="0" fontId="117" fillId="10" borderId="0" xfId="6" applyFont="1" applyFill="1" applyBorder="1"/>
    <xf numFmtId="0" fontId="196" fillId="29" borderId="0" xfId="8" applyFont="1" applyFill="1" applyAlignment="1">
      <alignment horizontal="center"/>
    </xf>
    <xf numFmtId="0" fontId="196" fillId="10" borderId="0" xfId="8" applyFont="1" applyFill="1"/>
    <xf numFmtId="0" fontId="196" fillId="29" borderId="0" xfId="8" applyFont="1" applyFill="1"/>
    <xf numFmtId="0" fontId="25" fillId="29" borderId="0" xfId="11" applyFont="1" applyFill="1"/>
    <xf numFmtId="0" fontId="197" fillId="10" borderId="0" xfId="6" applyFont="1" applyFill="1"/>
    <xf numFmtId="0" fontId="198" fillId="20" borderId="0" xfId="11" applyFont="1" applyFill="1" applyBorder="1"/>
    <xf numFmtId="49" fontId="78" fillId="10" borderId="0" xfId="6" quotePrefix="1" applyNumberFormat="1" applyFont="1" applyFill="1" applyBorder="1" applyAlignment="1">
      <alignment horizontal="left"/>
    </xf>
    <xf numFmtId="49" fontId="59" fillId="10" borderId="73" xfId="8" quotePrefix="1" applyNumberFormat="1" applyFont="1" applyFill="1" applyBorder="1"/>
    <xf numFmtId="0" fontId="94" fillId="68" borderId="0" xfId="6" applyFont="1" applyFill="1" applyBorder="1"/>
    <xf numFmtId="0" fontId="78" fillId="21" borderId="0" xfId="11" applyFont="1" applyFill="1" applyBorder="1" applyAlignment="1" applyProtection="1">
      <alignment horizontal="left"/>
      <protection locked="0"/>
    </xf>
    <xf numFmtId="0" fontId="78" fillId="19" borderId="0" xfId="6" applyFont="1" applyFill="1"/>
    <xf numFmtId="2" fontId="78" fillId="19" borderId="0" xfId="6" applyNumberFormat="1" applyFont="1" applyFill="1" applyBorder="1"/>
    <xf numFmtId="0" fontId="78" fillId="19" borderId="0" xfId="11" applyFont="1" applyFill="1" applyBorder="1" applyAlignment="1">
      <alignment horizontal="left"/>
    </xf>
    <xf numFmtId="0" fontId="78" fillId="19" borderId="0" xfId="11" applyFont="1" applyFill="1" applyBorder="1"/>
    <xf numFmtId="169" fontId="96" fillId="19" borderId="0" xfId="3" applyNumberFormat="1" applyFont="1" applyFill="1" applyAlignment="1">
      <alignment horizontal="center"/>
    </xf>
    <xf numFmtId="168" fontId="78" fillId="19" borderId="0" xfId="3" applyNumberFormat="1" applyFont="1" applyFill="1" applyBorder="1" applyAlignment="1">
      <alignment horizontal="center" vertical="center"/>
    </xf>
    <xf numFmtId="169" fontId="78" fillId="19" borderId="0" xfId="11" applyNumberFormat="1" applyFont="1" applyFill="1" applyBorder="1" applyAlignment="1">
      <alignment horizontal="left"/>
    </xf>
    <xf numFmtId="0" fontId="0" fillId="64" borderId="0" xfId="0" applyFill="1"/>
    <xf numFmtId="0" fontId="39" fillId="64" borderId="0" xfId="6" applyFont="1" applyFill="1"/>
    <xf numFmtId="169" fontId="96" fillId="36" borderId="0" xfId="3" applyNumberFormat="1" applyFont="1" applyFill="1" applyAlignment="1">
      <alignment horizontal="center" vertical="center"/>
    </xf>
    <xf numFmtId="0" fontId="24" fillId="8" borderId="0" xfId="0" applyFont="1" applyFill="1" applyAlignment="1">
      <alignment vertical="center"/>
    </xf>
    <xf numFmtId="169" fontId="78" fillId="5" borderId="0" xfId="3" applyNumberFormat="1" applyFont="1" applyFill="1" applyAlignment="1">
      <alignment horizontal="center"/>
    </xf>
    <xf numFmtId="0" fontId="78" fillId="5" borderId="0" xfId="11" quotePrefix="1" applyFont="1" applyFill="1" applyBorder="1" applyAlignment="1">
      <alignment horizontal="left"/>
    </xf>
    <xf numFmtId="0" fontId="94" fillId="18" borderId="0" xfId="11" applyFont="1" applyFill="1" applyBorder="1"/>
    <xf numFmtId="0" fontId="24" fillId="36" borderId="0" xfId="0" applyFont="1" applyFill="1"/>
    <xf numFmtId="0" fontId="63" fillId="36" borderId="0" xfId="8" applyFont="1" applyFill="1" applyAlignment="1">
      <alignment vertical="center"/>
    </xf>
    <xf numFmtId="170" fontId="41" fillId="36" borderId="0" xfId="3" applyNumberFormat="1" applyFont="1" applyFill="1" applyAlignment="1">
      <alignment vertical="center"/>
    </xf>
    <xf numFmtId="168" fontId="57" fillId="36" borderId="0" xfId="3" applyNumberFormat="1" applyFont="1" applyFill="1" applyAlignment="1">
      <alignment vertical="center"/>
    </xf>
    <xf numFmtId="168" fontId="24" fillId="36" borderId="0" xfId="3" applyNumberFormat="1" applyFont="1" applyFill="1" applyAlignment="1">
      <alignment vertical="center"/>
    </xf>
    <xf numFmtId="0" fontId="24" fillId="39" borderId="0" xfId="0" applyFont="1" applyFill="1" applyAlignment="1">
      <alignment horizontal="left" vertical="center"/>
    </xf>
    <xf numFmtId="168" fontId="24" fillId="8" borderId="0" xfId="0" applyNumberFormat="1" applyFont="1" applyFill="1" applyAlignment="1">
      <alignment horizontal="left" vertical="center"/>
    </xf>
    <xf numFmtId="0" fontId="25" fillId="8" borderId="0" xfId="0" applyFont="1" applyFill="1" applyAlignment="1">
      <alignment vertical="center"/>
    </xf>
    <xf numFmtId="0" fontId="78" fillId="64" borderId="0" xfId="6" applyFont="1" applyFill="1" applyBorder="1" applyAlignment="1">
      <alignment horizontal="left" vertical="center"/>
    </xf>
    <xf numFmtId="170" fontId="41" fillId="64" borderId="0" xfId="3" applyNumberFormat="1" applyFont="1" applyFill="1" applyAlignment="1">
      <alignment vertical="center"/>
    </xf>
    <xf numFmtId="169" fontId="96" fillId="64" borderId="0" xfId="3" applyNumberFormat="1" applyFont="1" applyFill="1" applyAlignment="1">
      <alignment horizontal="center" vertical="center"/>
    </xf>
    <xf numFmtId="168" fontId="35" fillId="64" borderId="0" xfId="3" applyNumberFormat="1" applyFont="1" applyFill="1" applyAlignment="1">
      <alignment vertical="center"/>
    </xf>
    <xf numFmtId="168" fontId="24" fillId="64" borderId="0" xfId="3" applyNumberFormat="1" applyFont="1" applyFill="1" applyAlignment="1">
      <alignment vertical="center"/>
    </xf>
    <xf numFmtId="4" fontId="24" fillId="64" borderId="0" xfId="8" applyNumberFormat="1" applyFont="1" applyFill="1" applyBorder="1" applyAlignment="1">
      <alignment vertical="center"/>
    </xf>
    <xf numFmtId="0" fontId="24" fillId="10" borderId="0" xfId="0" quotePrefix="1" applyFont="1" applyFill="1" applyAlignment="1">
      <alignment horizontal="left" vertical="center"/>
    </xf>
    <xf numFmtId="168" fontId="24" fillId="8" borderId="0" xfId="0" applyNumberFormat="1" applyFont="1" applyFill="1" applyAlignment="1">
      <alignment vertical="center"/>
    </xf>
    <xf numFmtId="0" fontId="24" fillId="5" borderId="73" xfId="8" applyFont="1" applyFill="1" applyBorder="1" applyAlignment="1"/>
    <xf numFmtId="0" fontId="78" fillId="29" borderId="24" xfId="6" applyFont="1" applyFill="1" applyBorder="1"/>
    <xf numFmtId="169" fontId="78" fillId="29" borderId="0" xfId="3" applyNumberFormat="1" applyFont="1" applyFill="1" applyAlignment="1">
      <alignment horizontal="center"/>
    </xf>
    <xf numFmtId="169" fontId="78" fillId="29" borderId="0" xfId="11" applyNumberFormat="1" applyFont="1" applyFill="1" applyBorder="1" applyAlignment="1">
      <alignment horizontal="left"/>
    </xf>
    <xf numFmtId="0" fontId="78" fillId="29" borderId="0" xfId="11" applyFont="1" applyFill="1" applyBorder="1" applyAlignment="1">
      <alignment horizontal="left"/>
    </xf>
    <xf numFmtId="0" fontId="24" fillId="29" borderId="0" xfId="0" applyFont="1" applyFill="1" applyBorder="1" applyAlignment="1">
      <alignment horizontal="left"/>
    </xf>
    <xf numFmtId="0" fontId="78" fillId="29" borderId="0" xfId="11" applyFont="1" applyFill="1" applyBorder="1"/>
    <xf numFmtId="0" fontId="24" fillId="29" borderId="0" xfId="0" applyFont="1" applyFill="1" applyBorder="1"/>
    <xf numFmtId="0" fontId="24" fillId="29" borderId="0" xfId="0" applyFont="1" applyFill="1" applyBorder="1" applyAlignment="1">
      <alignment horizontal="center" vertical="center"/>
    </xf>
    <xf numFmtId="169" fontId="78" fillId="59" borderId="0" xfId="3" applyNumberFormat="1" applyFont="1" applyFill="1" applyAlignment="1">
      <alignment horizontal="center"/>
    </xf>
    <xf numFmtId="168" fontId="78" fillId="59" borderId="0" xfId="3" applyNumberFormat="1" applyFont="1" applyFill="1" applyAlignment="1">
      <alignment horizontal="center" vertical="center"/>
    </xf>
    <xf numFmtId="169" fontId="78" fillId="59" borderId="0" xfId="11" applyNumberFormat="1" applyFont="1" applyFill="1" applyBorder="1" applyAlignment="1">
      <alignment horizontal="left"/>
    </xf>
    <xf numFmtId="0" fontId="24" fillId="59" borderId="0" xfId="0" applyFont="1" applyFill="1" applyBorder="1" applyAlignment="1">
      <alignment horizontal="left"/>
    </xf>
    <xf numFmtId="0" fontId="78" fillId="59" borderId="0" xfId="11" applyFont="1" applyFill="1" applyBorder="1"/>
    <xf numFmtId="0" fontId="24" fillId="59" borderId="0" xfId="0" applyFont="1" applyFill="1" applyBorder="1" applyAlignment="1">
      <alignment horizontal="center" vertical="center"/>
    </xf>
    <xf numFmtId="0" fontId="78" fillId="59" borderId="24" xfId="6" applyFont="1" applyFill="1" applyBorder="1"/>
    <xf numFmtId="0" fontId="0" fillId="16" borderId="0" xfId="0" applyFill="1"/>
    <xf numFmtId="0" fontId="25" fillId="32" borderId="0" xfId="11" applyFont="1" applyFill="1"/>
    <xf numFmtId="0" fontId="39" fillId="32" borderId="0" xfId="6" applyFont="1" applyFill="1"/>
    <xf numFmtId="169" fontId="96" fillId="32" borderId="0" xfId="3" applyNumberFormat="1" applyFont="1" applyFill="1" applyAlignment="1">
      <alignment horizontal="center"/>
    </xf>
    <xf numFmtId="168" fontId="35" fillId="32" borderId="0" xfId="3" applyNumberFormat="1" applyFont="1" applyFill="1"/>
    <xf numFmtId="168" fontId="24" fillId="32" borderId="0" xfId="3" applyNumberFormat="1" applyFont="1" applyFill="1"/>
    <xf numFmtId="0" fontId="24" fillId="32" borderId="0" xfId="11" applyFont="1" applyFill="1" applyAlignment="1">
      <alignment horizontal="left"/>
    </xf>
    <xf numFmtId="0" fontId="24" fillId="32" borderId="0" xfId="11" applyFont="1" applyFill="1"/>
    <xf numFmtId="0" fontId="94" fillId="7" borderId="0" xfId="6" applyFont="1" applyFill="1" applyAlignment="1">
      <alignment horizontal="left" vertical="center"/>
    </xf>
    <xf numFmtId="0" fontId="78" fillId="5" borderId="24" xfId="6" applyFont="1" applyFill="1" applyBorder="1"/>
    <xf numFmtId="0" fontId="94" fillId="29" borderId="0" xfId="6" applyFont="1" applyFill="1"/>
    <xf numFmtId="0" fontId="78" fillId="59" borderId="0" xfId="6" applyFont="1" applyFill="1"/>
    <xf numFmtId="169" fontId="78" fillId="13" borderId="0" xfId="3" applyNumberFormat="1" applyFont="1" applyFill="1" applyAlignment="1">
      <alignment horizontal="center"/>
    </xf>
    <xf numFmtId="0" fontId="78" fillId="10" borderId="0" xfId="11" quotePrefix="1" applyFont="1" applyFill="1" applyBorder="1"/>
    <xf numFmtId="168" fontId="24" fillId="10" borderId="0" xfId="0" applyNumberFormat="1" applyFont="1" applyFill="1" applyAlignment="1">
      <alignment horizontal="left"/>
    </xf>
    <xf numFmtId="0" fontId="180" fillId="29" borderId="0" xfId="0" applyFont="1" applyFill="1" applyBorder="1" applyAlignment="1">
      <alignment horizontal="left" vertical="center"/>
    </xf>
    <xf numFmtId="0" fontId="94" fillId="13" borderId="0" xfId="6" applyFont="1" applyFill="1" applyAlignment="1">
      <alignment horizontal="left"/>
    </xf>
    <xf numFmtId="0" fontId="133" fillId="5" borderId="24" xfId="6" applyFont="1" applyFill="1" applyBorder="1"/>
    <xf numFmtId="168" fontId="133" fillId="5" borderId="0" xfId="3" applyNumberFormat="1" applyFont="1" applyFill="1" applyAlignment="1">
      <alignment horizontal="center" vertical="center"/>
    </xf>
    <xf numFmtId="169" fontId="133" fillId="5" borderId="0" xfId="11" applyNumberFormat="1" applyFont="1" applyFill="1" applyBorder="1" applyAlignment="1">
      <alignment horizontal="left"/>
    </xf>
    <xf numFmtId="0" fontId="133" fillId="5" borderId="0" xfId="11" applyFont="1" applyFill="1" applyBorder="1" applyAlignment="1">
      <alignment horizontal="left"/>
    </xf>
    <xf numFmtId="0" fontId="133" fillId="5" borderId="0" xfId="11" quotePrefix="1" applyFont="1" applyFill="1" applyBorder="1" applyAlignment="1">
      <alignment horizontal="left"/>
    </xf>
    <xf numFmtId="0" fontId="24" fillId="5" borderId="0" xfId="0" applyFont="1" applyFill="1" applyBorder="1" applyAlignment="1">
      <alignment horizontal="left"/>
    </xf>
    <xf numFmtId="0" fontId="94" fillId="29" borderId="0" xfId="6" applyFont="1" applyFill="1" applyBorder="1" applyAlignment="1">
      <alignment horizontal="center"/>
    </xf>
    <xf numFmtId="0" fontId="94" fillId="10" borderId="0" xfId="6" applyFont="1" applyFill="1" applyBorder="1" applyAlignment="1">
      <alignment horizontal="center"/>
    </xf>
    <xf numFmtId="0" fontId="25" fillId="19" borderId="0" xfId="11" applyFont="1" applyFill="1"/>
    <xf numFmtId="0" fontId="78" fillId="10" borderId="0" xfId="6" applyFont="1" applyFill="1" applyAlignment="1">
      <alignment vertical="center"/>
    </xf>
    <xf numFmtId="2" fontId="78" fillId="10" borderId="0" xfId="6" applyNumberFormat="1" applyFont="1" applyFill="1" applyBorder="1" applyAlignment="1">
      <alignment vertical="center"/>
    </xf>
    <xf numFmtId="169" fontId="78" fillId="12" borderId="0" xfId="3" applyNumberFormat="1" applyFont="1" applyFill="1" applyAlignment="1">
      <alignment horizontal="left"/>
    </xf>
    <xf numFmtId="0" fontId="63" fillId="64" borderId="0" xfId="8" applyFont="1" applyFill="1"/>
    <xf numFmtId="170" fontId="41" fillId="64" borderId="0" xfId="3" applyNumberFormat="1" applyFont="1" applyFill="1"/>
    <xf numFmtId="169" fontId="96" fillId="64" borderId="0" xfId="3" applyNumberFormat="1" applyFont="1" applyFill="1" applyAlignment="1">
      <alignment horizontal="center"/>
    </xf>
    <xf numFmtId="168" fontId="57" fillId="64" borderId="0" xfId="3" applyNumberFormat="1" applyFont="1" applyFill="1"/>
    <xf numFmtId="168" fontId="24" fillId="64" borderId="0" xfId="3" applyNumberFormat="1" applyFont="1" applyFill="1"/>
    <xf numFmtId="170" fontId="78" fillId="10" borderId="0" xfId="3" applyNumberFormat="1" applyFont="1" applyFill="1" applyAlignment="1">
      <alignment vertical="center"/>
    </xf>
    <xf numFmtId="168" fontId="78" fillId="10" borderId="0" xfId="3" applyNumberFormat="1" applyFont="1" applyFill="1" applyAlignment="1">
      <alignment vertical="center"/>
    </xf>
    <xf numFmtId="169" fontId="78" fillId="10" borderId="0" xfId="11" applyNumberFormat="1" applyFont="1" applyFill="1" applyBorder="1" applyAlignment="1">
      <alignment vertical="center"/>
    </xf>
    <xf numFmtId="2" fontId="78" fillId="10" borderId="0" xfId="6" applyNumberFormat="1" applyFont="1" applyFill="1" applyBorder="1" applyAlignment="1"/>
    <xf numFmtId="0" fontId="78" fillId="10" borderId="0" xfId="11" quotePrefix="1" applyNumberFormat="1" applyFont="1" applyFill="1" applyBorder="1" applyAlignment="1">
      <alignment horizontal="left"/>
    </xf>
    <xf numFmtId="0" fontId="36" fillId="5" borderId="0" xfId="6" applyFont="1" applyFill="1" applyAlignment="1">
      <alignment vertical="center"/>
    </xf>
    <xf numFmtId="0" fontId="24" fillId="42" borderId="0" xfId="0" applyFont="1" applyFill="1" applyAlignment="1">
      <alignment vertical="center"/>
    </xf>
    <xf numFmtId="0" fontId="46" fillId="32" borderId="0" xfId="8" applyFont="1" applyFill="1" applyAlignment="1">
      <alignment vertical="center"/>
    </xf>
    <xf numFmtId="170" fontId="41" fillId="32" borderId="0" xfId="3" applyNumberFormat="1" applyFont="1" applyFill="1" applyAlignment="1">
      <alignment vertical="center"/>
    </xf>
    <xf numFmtId="169" fontId="96" fillId="32" borderId="0" xfId="3" applyNumberFormat="1" applyFont="1" applyFill="1" applyAlignment="1">
      <alignment horizontal="center" vertical="center"/>
    </xf>
    <xf numFmtId="168" fontId="57" fillId="32" borderId="0" xfId="3" applyNumberFormat="1" applyFont="1" applyFill="1" applyAlignment="1">
      <alignment vertical="center"/>
    </xf>
    <xf numFmtId="168" fontId="24" fillId="32" borderId="0" xfId="3" applyNumberFormat="1" applyFont="1" applyFill="1" applyAlignment="1">
      <alignment vertical="center"/>
    </xf>
    <xf numFmtId="0" fontId="0" fillId="8" borderId="0" xfId="0" applyFill="1" applyAlignment="1">
      <alignment vertical="center"/>
    </xf>
    <xf numFmtId="0" fontId="46" fillId="32" borderId="0" xfId="8" applyFont="1" applyFill="1"/>
    <xf numFmtId="170" fontId="41" fillId="32" borderId="0" xfId="3" applyNumberFormat="1" applyFont="1" applyFill="1"/>
    <xf numFmtId="168" fontId="57" fillId="32" borderId="0" xfId="3" applyNumberFormat="1" applyFont="1" applyFill="1"/>
    <xf numFmtId="0" fontId="0" fillId="11" borderId="0" xfId="0" applyFill="1"/>
    <xf numFmtId="168" fontId="35" fillId="64" borderId="0" xfId="3" applyNumberFormat="1" applyFont="1" applyFill="1"/>
    <xf numFmtId="2" fontId="24" fillId="64" borderId="0" xfId="0" applyNumberFormat="1" applyFont="1" applyFill="1" applyBorder="1"/>
    <xf numFmtId="0" fontId="24" fillId="64" borderId="0" xfId="11" applyFont="1" applyFill="1" applyAlignment="1">
      <alignment horizontal="left"/>
    </xf>
    <xf numFmtId="169" fontId="78" fillId="10" borderId="0" xfId="3" applyNumberFormat="1" applyFont="1" applyFill="1" applyAlignment="1">
      <alignment horizontal="center" vertical="center"/>
    </xf>
    <xf numFmtId="168" fontId="35" fillId="5" borderId="0" xfId="3" applyNumberFormat="1" applyFont="1" applyFill="1" applyAlignment="1">
      <alignment horizontal="center" vertical="center"/>
    </xf>
    <xf numFmtId="168" fontId="24" fillId="5" borderId="0" xfId="3" applyNumberFormat="1" applyFont="1" applyFill="1"/>
    <xf numFmtId="0" fontId="39" fillId="5" borderId="0" xfId="8" applyFont="1" applyFill="1" applyAlignment="1">
      <alignment horizontal="left"/>
    </xf>
    <xf numFmtId="0" fontId="24" fillId="5" borderId="0" xfId="11" applyFont="1" applyFill="1"/>
    <xf numFmtId="0" fontId="63" fillId="8" borderId="0" xfId="8" applyFont="1" applyFill="1" applyAlignment="1">
      <alignment vertical="center"/>
    </xf>
    <xf numFmtId="170" fontId="41" fillId="8" borderId="0" xfId="3" applyNumberFormat="1" applyFont="1" applyFill="1" applyAlignment="1">
      <alignment vertical="center"/>
    </xf>
    <xf numFmtId="168" fontId="57" fillId="8" borderId="0" xfId="3" applyNumberFormat="1" applyFont="1" applyFill="1" applyAlignment="1">
      <alignment vertical="center"/>
    </xf>
    <xf numFmtId="168" fontId="24" fillId="8" borderId="0" xfId="3" applyNumberFormat="1" applyFont="1" applyFill="1" applyAlignment="1">
      <alignment vertical="center"/>
    </xf>
    <xf numFmtId="168" fontId="0" fillId="8" borderId="0" xfId="0" applyNumberFormat="1" applyFill="1" applyAlignment="1">
      <alignment vertical="center"/>
    </xf>
    <xf numFmtId="0" fontId="0" fillId="43" borderId="0" xfId="0" applyFill="1" applyAlignment="1">
      <alignment vertical="center"/>
    </xf>
    <xf numFmtId="0" fontId="78" fillId="32" borderId="0" xfId="6" applyFont="1" applyFill="1" applyBorder="1" applyAlignment="1">
      <alignment horizontal="left"/>
    </xf>
    <xf numFmtId="169" fontId="78" fillId="32" borderId="0" xfId="3" applyNumberFormat="1" applyFont="1" applyFill="1" applyAlignment="1">
      <alignment horizontal="center" vertical="center"/>
    </xf>
    <xf numFmtId="168" fontId="78" fillId="32" borderId="0" xfId="3" applyNumberFormat="1" applyFont="1" applyFill="1" applyAlignment="1">
      <alignment horizontal="center" vertical="center"/>
    </xf>
    <xf numFmtId="169" fontId="78" fillId="32" borderId="0" xfId="11" applyNumberFormat="1" applyFont="1" applyFill="1" applyBorder="1" applyAlignment="1">
      <alignment horizontal="left"/>
    </xf>
    <xf numFmtId="0" fontId="78" fillId="32" borderId="0" xfId="11" applyFont="1" applyFill="1" applyBorder="1" applyAlignment="1">
      <alignment horizontal="left"/>
    </xf>
    <xf numFmtId="0" fontId="187" fillId="0" borderId="0" xfId="0" applyFont="1"/>
    <xf numFmtId="168" fontId="24" fillId="5" borderId="0" xfId="3" applyNumberFormat="1" applyFont="1" applyFill="1" applyAlignment="1">
      <alignment wrapText="1"/>
    </xf>
    <xf numFmtId="0" fontId="43" fillId="13" borderId="0" xfId="8" applyFont="1" applyFill="1"/>
    <xf numFmtId="168" fontId="35" fillId="13" borderId="0" xfId="3" applyNumberFormat="1" applyFont="1" applyFill="1" applyAlignment="1">
      <alignment horizontal="center" vertical="center"/>
    </xf>
    <xf numFmtId="169" fontId="24" fillId="13" borderId="0" xfId="3" applyNumberFormat="1" applyFont="1" applyFill="1" applyAlignment="1">
      <alignment horizontal="left"/>
    </xf>
    <xf numFmtId="168" fontId="24" fillId="13" borderId="0" xfId="3" applyNumberFormat="1" applyFont="1" applyFill="1"/>
    <xf numFmtId="0" fontId="24" fillId="13" borderId="0" xfId="0" applyFont="1" applyFill="1" applyBorder="1" applyAlignment="1">
      <alignment horizontal="left"/>
    </xf>
    <xf numFmtId="0" fontId="24" fillId="13" borderId="0" xfId="11" applyFont="1" applyFill="1"/>
    <xf numFmtId="0" fontId="24" fillId="13" borderId="0" xfId="0" applyFont="1" applyFill="1"/>
    <xf numFmtId="0" fontId="63" fillId="5" borderId="0" xfId="6" applyFont="1" applyFill="1"/>
    <xf numFmtId="0" fontId="63" fillId="5" borderId="0" xfId="11" applyFont="1" applyFill="1" applyBorder="1"/>
    <xf numFmtId="0" fontId="24" fillId="5" borderId="0" xfId="6" applyFont="1" applyFill="1"/>
    <xf numFmtId="0" fontId="94" fillId="0" borderId="0" xfId="0" applyFont="1" applyFill="1" applyBorder="1"/>
    <xf numFmtId="0" fontId="78" fillId="0" borderId="0" xfId="6" applyFont="1" applyFill="1" applyBorder="1"/>
    <xf numFmtId="0" fontId="94" fillId="0" borderId="0" xfId="6" applyFont="1" applyFill="1" applyBorder="1" applyAlignment="1">
      <alignment vertical="top"/>
    </xf>
    <xf numFmtId="0" fontId="78" fillId="0" borderId="27" xfId="6" applyFont="1" applyFill="1" applyBorder="1" applyAlignment="1">
      <alignment vertical="top"/>
    </xf>
    <xf numFmtId="0" fontId="78" fillId="0" borderId="20" xfId="6" applyFont="1" applyFill="1" applyBorder="1"/>
    <xf numFmtId="0" fontId="78" fillId="0" borderId="27" xfId="6" applyFont="1" applyFill="1" applyBorder="1"/>
    <xf numFmtId="0" fontId="202" fillId="0" borderId="0" xfId="0" applyFont="1" applyAlignment="1">
      <alignment vertical="center"/>
    </xf>
    <xf numFmtId="170" fontId="78" fillId="0" borderId="0" xfId="3" applyNumberFormat="1" applyFont="1" applyFill="1" applyAlignment="1">
      <alignment horizontal="center"/>
    </xf>
    <xf numFmtId="168" fontId="78" fillId="0" borderId="0" xfId="3" applyNumberFormat="1" applyFont="1" applyFill="1" applyAlignment="1">
      <alignment horizontal="left" vertical="center"/>
    </xf>
    <xf numFmtId="0" fontId="94" fillId="10" borderId="0" xfId="6" applyFont="1" applyFill="1" applyBorder="1" applyAlignment="1">
      <alignment horizontal="left"/>
    </xf>
    <xf numFmtId="0" fontId="78" fillId="13" borderId="0" xfId="11" applyFont="1" applyFill="1" applyBorder="1" applyAlignment="1">
      <alignment horizontal="left"/>
    </xf>
    <xf numFmtId="170" fontId="91" fillId="13" borderId="0" xfId="3" applyNumberFormat="1" applyFont="1" applyFill="1" applyAlignment="1">
      <alignment horizontal="left"/>
    </xf>
    <xf numFmtId="169" fontId="96" fillId="13" borderId="0" xfId="3" applyNumberFormat="1" applyFont="1" applyFill="1" applyAlignment="1">
      <alignment horizontal="center"/>
    </xf>
    <xf numFmtId="169" fontId="63" fillId="13" borderId="0" xfId="3" applyNumberFormat="1" applyFont="1" applyFill="1" applyAlignment="1">
      <alignment horizontal="center"/>
    </xf>
    <xf numFmtId="169" fontId="78" fillId="13" borderId="0" xfId="11" applyNumberFormat="1" applyFont="1" applyFill="1" applyBorder="1" applyAlignment="1">
      <alignment horizontal="left"/>
    </xf>
    <xf numFmtId="2" fontId="78" fillId="13" borderId="0" xfId="6" applyNumberFormat="1" applyFont="1" applyFill="1" applyBorder="1"/>
    <xf numFmtId="0" fontId="78" fillId="13" borderId="0" xfId="11" applyFont="1" applyFill="1" applyBorder="1"/>
    <xf numFmtId="0" fontId="78" fillId="13" borderId="0" xfId="0" applyFont="1" applyFill="1" applyBorder="1"/>
    <xf numFmtId="0" fontId="0" fillId="0" borderId="79" xfId="0" applyFont="1" applyBorder="1" applyAlignment="1" applyProtection="1">
      <alignment vertical="center"/>
      <protection hidden="1"/>
    </xf>
    <xf numFmtId="43" fontId="0" fillId="0" borderId="80" xfId="39496" applyFont="1" applyFill="1" applyBorder="1" applyAlignment="1" applyProtection="1">
      <alignment horizontal="center" vertical="center"/>
      <protection hidden="1"/>
    </xf>
    <xf numFmtId="0" fontId="0" fillId="0" borderId="81" xfId="0" applyFont="1" applyBorder="1" applyAlignment="1" applyProtection="1">
      <alignment vertical="center"/>
      <protection hidden="1"/>
    </xf>
    <xf numFmtId="43" fontId="0" fillId="0" borderId="0" xfId="39496" applyFont="1" applyFill="1" applyBorder="1" applyAlignment="1" applyProtection="1">
      <alignment horizontal="center" vertical="center"/>
      <protection hidden="1"/>
    </xf>
    <xf numFmtId="0" fontId="78" fillId="19" borderId="24" xfId="6" applyFont="1" applyFill="1" applyBorder="1"/>
    <xf numFmtId="0" fontId="204" fillId="13" borderId="0" xfId="6" applyFont="1" applyFill="1"/>
    <xf numFmtId="0" fontId="24" fillId="13" borderId="0" xfId="0" applyFont="1" applyFill="1" applyBorder="1"/>
    <xf numFmtId="0" fontId="187" fillId="10" borderId="0" xfId="0" applyFont="1" applyFill="1"/>
    <xf numFmtId="170" fontId="41" fillId="5" borderId="0" xfId="3" applyNumberFormat="1" applyFont="1" applyFill="1"/>
    <xf numFmtId="168" fontId="35" fillId="5" borderId="0" xfId="3" applyNumberFormat="1" applyFont="1" applyFill="1"/>
    <xf numFmtId="0" fontId="25" fillId="56" borderId="0" xfId="11" applyFont="1" applyFill="1"/>
    <xf numFmtId="0" fontId="24" fillId="56" borderId="0" xfId="8" applyFont="1" applyFill="1"/>
    <xf numFmtId="168" fontId="90" fillId="56" borderId="0" xfId="3" applyNumberFormat="1" applyFont="1" applyFill="1" applyAlignment="1">
      <alignment horizontal="center" vertical="center"/>
    </xf>
    <xf numFmtId="168" fontId="35" fillId="56" borderId="0" xfId="3" applyNumberFormat="1" applyFont="1" applyFill="1" applyAlignment="1">
      <alignment horizontal="center" vertical="center"/>
    </xf>
    <xf numFmtId="169" fontId="24" fillId="56" borderId="0" xfId="3" applyNumberFormat="1" applyFont="1" applyFill="1" applyAlignment="1">
      <alignment horizontal="left"/>
    </xf>
    <xf numFmtId="168" fontId="24" fillId="56" borderId="0" xfId="3" applyNumberFormat="1" applyFont="1" applyFill="1"/>
    <xf numFmtId="0" fontId="24" fillId="56" borderId="0" xfId="11" applyFont="1" applyFill="1" applyAlignment="1">
      <alignment horizontal="left"/>
    </xf>
    <xf numFmtId="0" fontId="24" fillId="56" borderId="0" xfId="11" applyFont="1" applyFill="1"/>
    <xf numFmtId="0" fontId="0" fillId="56" borderId="0" xfId="0" applyFill="1"/>
    <xf numFmtId="0" fontId="24" fillId="56" borderId="0" xfId="0" applyFont="1" applyFill="1"/>
    <xf numFmtId="0" fontId="24" fillId="0" borderId="0" xfId="0" applyFont="1" applyFill="1" applyBorder="1" applyAlignment="1">
      <alignment horizontal="center" vertical="center"/>
    </xf>
    <xf numFmtId="0" fontId="24" fillId="10" borderId="0" xfId="8" applyFont="1" applyFill="1" applyBorder="1" applyAlignment="1"/>
    <xf numFmtId="49" fontId="59" fillId="10" borderId="0" xfId="8" applyNumberFormat="1" applyFont="1" applyFill="1" applyBorder="1"/>
    <xf numFmtId="0" fontId="205" fillId="5" borderId="0" xfId="8" applyFont="1" applyFill="1" applyBorder="1" applyAlignment="1">
      <alignment horizontal="left"/>
    </xf>
    <xf numFmtId="0" fontId="189" fillId="5" borderId="0" xfId="6" applyFont="1" applyFill="1" applyBorder="1" applyAlignment="1">
      <alignment vertical="center"/>
    </xf>
    <xf numFmtId="0" fontId="205" fillId="5" borderId="0" xfId="8" applyFont="1" applyFill="1" applyBorder="1" applyAlignment="1"/>
    <xf numFmtId="0" fontId="180" fillId="0" borderId="0" xfId="0" applyFont="1" applyFill="1" applyBorder="1" applyAlignment="1">
      <alignment horizontal="left" vertical="center"/>
    </xf>
    <xf numFmtId="0" fontId="78" fillId="46" borderId="0" xfId="6" applyFont="1" applyFill="1"/>
    <xf numFmtId="170" fontId="78" fillId="46" borderId="0" xfId="3" applyNumberFormat="1" applyFont="1" applyFill="1" applyAlignment="1">
      <alignment horizontal="center"/>
    </xf>
    <xf numFmtId="169" fontId="96" fillId="46" borderId="0" xfId="3" applyNumberFormat="1" applyFont="1" applyFill="1" applyAlignment="1">
      <alignment horizontal="center"/>
    </xf>
    <xf numFmtId="168" fontId="78" fillId="46" borderId="0" xfId="3" applyNumberFormat="1" applyFont="1" applyFill="1" applyAlignment="1">
      <alignment horizontal="center" vertical="center"/>
    </xf>
    <xf numFmtId="169" fontId="78" fillId="46" borderId="0" xfId="11" applyNumberFormat="1" applyFont="1" applyFill="1" applyBorder="1" applyAlignment="1">
      <alignment horizontal="left"/>
    </xf>
    <xf numFmtId="2" fontId="78" fillId="46" borderId="0" xfId="6" applyNumberFormat="1" applyFont="1" applyFill="1" applyBorder="1"/>
    <xf numFmtId="0" fontId="78" fillId="46" borderId="0" xfId="11" applyFont="1" applyFill="1" applyBorder="1" applyAlignment="1">
      <alignment horizontal="left"/>
    </xf>
    <xf numFmtId="0" fontId="78" fillId="46" borderId="0" xfId="11" applyFont="1" applyFill="1" applyBorder="1"/>
    <xf numFmtId="0" fontId="24" fillId="46" borderId="0" xfId="0" applyFont="1" applyFill="1" applyBorder="1"/>
    <xf numFmtId="0" fontId="46" fillId="19" borderId="0" xfId="8" applyFont="1" applyFill="1"/>
    <xf numFmtId="168" fontId="90" fillId="19" borderId="0" xfId="3" applyNumberFormat="1" applyFont="1" applyFill="1" applyAlignment="1">
      <alignment horizontal="center" vertical="center"/>
    </xf>
    <xf numFmtId="169" fontId="24" fillId="19" borderId="0" xfId="3" applyNumberFormat="1" applyFont="1" applyFill="1" applyAlignment="1">
      <alignment horizontal="left"/>
    </xf>
    <xf numFmtId="0" fontId="206" fillId="0" borderId="0" xfId="0" applyFont="1"/>
    <xf numFmtId="0" fontId="24" fillId="19" borderId="0" xfId="11" applyFont="1" applyFill="1"/>
    <xf numFmtId="0" fontId="94" fillId="37" borderId="0" xfId="6" applyFont="1" applyFill="1" applyBorder="1" applyAlignment="1">
      <alignment vertical="top"/>
    </xf>
    <xf numFmtId="0" fontId="78" fillId="37" borderId="27" xfId="6" applyFont="1" applyFill="1" applyBorder="1" applyAlignment="1">
      <alignment vertical="top"/>
    </xf>
    <xf numFmtId="173" fontId="78" fillId="37" borderId="0" xfId="39495" applyNumberFormat="1" applyFont="1" applyFill="1" applyAlignment="1">
      <alignment horizontal="center" vertical="top"/>
    </xf>
    <xf numFmtId="169" fontId="96" fillId="37" borderId="0" xfId="3" applyNumberFormat="1" applyFont="1" applyFill="1" applyAlignment="1">
      <alignment horizontal="center" vertical="top"/>
    </xf>
    <xf numFmtId="168" fontId="78" fillId="37" borderId="0" xfId="3" applyNumberFormat="1" applyFont="1" applyFill="1" applyBorder="1" applyAlignment="1">
      <alignment horizontal="center" vertical="top"/>
    </xf>
    <xf numFmtId="169" fontId="78" fillId="37" borderId="0" xfId="11" applyNumberFormat="1" applyFont="1" applyFill="1" applyBorder="1" applyAlignment="1">
      <alignment horizontal="left" vertical="top"/>
    </xf>
    <xf numFmtId="2" fontId="78" fillId="37" borderId="0" xfId="6" applyNumberFormat="1" applyFont="1" applyFill="1" applyBorder="1" applyAlignment="1">
      <alignment vertical="top"/>
    </xf>
    <xf numFmtId="0" fontId="78" fillId="37" borderId="0" xfId="6" applyFont="1" applyFill="1" applyAlignment="1">
      <alignment horizontal="left" vertical="top"/>
    </xf>
    <xf numFmtId="0" fontId="78" fillId="37" borderId="0" xfId="11" applyFont="1" applyFill="1" applyBorder="1" applyAlignment="1">
      <alignment vertical="top"/>
    </xf>
    <xf numFmtId="0" fontId="24" fillId="37" borderId="0" xfId="0" applyFont="1" applyFill="1"/>
    <xf numFmtId="0" fontId="94" fillId="37" borderId="0" xfId="6" applyFont="1" applyFill="1" applyBorder="1" applyAlignment="1">
      <alignment horizontal="center"/>
    </xf>
    <xf numFmtId="0" fontId="78" fillId="37" borderId="0" xfId="6" applyFont="1" applyFill="1"/>
    <xf numFmtId="173" fontId="78" fillId="37" borderId="0" xfId="39495" applyNumberFormat="1" applyFont="1" applyFill="1" applyAlignment="1">
      <alignment horizontal="center"/>
    </xf>
    <xf numFmtId="169" fontId="96" fillId="37" borderId="0" xfId="3" applyNumberFormat="1" applyFont="1" applyFill="1" applyAlignment="1">
      <alignment horizontal="center"/>
    </xf>
    <xf numFmtId="168" fontId="78" fillId="37" borderId="0" xfId="3" applyNumberFormat="1" applyFont="1" applyFill="1" applyBorder="1" applyAlignment="1">
      <alignment horizontal="center" vertical="center"/>
    </xf>
    <xf numFmtId="169" fontId="78" fillId="37" borderId="0" xfId="11" applyNumberFormat="1" applyFont="1" applyFill="1" applyBorder="1" applyAlignment="1">
      <alignment horizontal="left"/>
    </xf>
    <xf numFmtId="2" fontId="78" fillId="37" borderId="0" xfId="6" applyNumberFormat="1" applyFont="1" applyFill="1" applyBorder="1"/>
    <xf numFmtId="0" fontId="78" fillId="37" borderId="0" xfId="6" applyFont="1" applyFill="1" applyAlignment="1">
      <alignment horizontal="left"/>
    </xf>
    <xf numFmtId="0" fontId="78" fillId="37" borderId="0" xfId="11" applyFont="1" applyFill="1" applyBorder="1"/>
    <xf numFmtId="0" fontId="94" fillId="37" borderId="0" xfId="6" applyFont="1" applyFill="1" applyBorder="1"/>
    <xf numFmtId="0" fontId="24" fillId="37" borderId="0" xfId="0" applyFont="1" applyFill="1" applyBorder="1" applyAlignment="1">
      <alignment vertical="top"/>
    </xf>
    <xf numFmtId="0" fontId="24" fillId="37" borderId="0" xfId="0" applyFont="1" applyFill="1" applyBorder="1"/>
    <xf numFmtId="0" fontId="100" fillId="10" borderId="0" xfId="0" applyFont="1" applyFill="1" applyAlignment="1">
      <alignment vertical="center"/>
    </xf>
    <xf numFmtId="0" fontId="94" fillId="56" borderId="0" xfId="6" applyFont="1" applyFill="1" applyBorder="1"/>
    <xf numFmtId="0" fontId="54" fillId="10" borderId="0" xfId="6" applyFont="1" applyFill="1" applyAlignment="1">
      <alignment horizontal="left"/>
    </xf>
    <xf numFmtId="167" fontId="36" fillId="10" borderId="8" xfId="8" applyNumberFormat="1" applyFont="1" applyFill="1" applyBorder="1" applyAlignment="1">
      <alignment horizontal="center" vertical="center"/>
    </xf>
    <xf numFmtId="0" fontId="63" fillId="10" borderId="24" xfId="0" applyFont="1" applyFill="1" applyBorder="1"/>
    <xf numFmtId="0" fontId="88" fillId="10" borderId="24" xfId="0" applyFont="1" applyFill="1" applyBorder="1"/>
    <xf numFmtId="4" fontId="24" fillId="10" borderId="23" xfId="8" applyNumberFormat="1" applyFont="1" applyFill="1" applyBorder="1" applyAlignment="1">
      <alignment horizontal="right"/>
    </xf>
    <xf numFmtId="4" fontId="24" fillId="10" borderId="24" xfId="8" applyNumberFormat="1" applyFont="1" applyFill="1" applyBorder="1" applyAlignment="1">
      <alignment horizontal="right"/>
    </xf>
    <xf numFmtId="0" fontId="88" fillId="10" borderId="23" xfId="0" applyFont="1" applyFill="1" applyBorder="1" applyAlignment="1">
      <alignment horizontal="left"/>
    </xf>
    <xf numFmtId="0" fontId="63" fillId="10" borderId="24" xfId="0" applyFont="1" applyFill="1" applyBorder="1" applyAlignment="1">
      <alignment horizontal="left" indent="1"/>
    </xf>
    <xf numFmtId="4" fontId="207" fillId="10" borderId="0" xfId="8" applyNumberFormat="1" applyFont="1" applyFill="1" applyBorder="1" applyAlignment="1">
      <alignment vertical="center"/>
    </xf>
    <xf numFmtId="4" fontId="91" fillId="10" borderId="10" xfId="0" applyNumberFormat="1" applyFont="1" applyFill="1" applyBorder="1" applyAlignment="1">
      <alignment horizontal="center" vertical="center"/>
    </xf>
    <xf numFmtId="0" fontId="91" fillId="10" borderId="0" xfId="0" applyFont="1" applyFill="1" applyAlignment="1">
      <alignment vertical="center"/>
    </xf>
    <xf numFmtId="4" fontId="78" fillId="10" borderId="24" xfId="0" applyNumberFormat="1" applyFont="1" applyFill="1" applyBorder="1" applyAlignment="1">
      <alignment horizontal="left" indent="1"/>
    </xf>
    <xf numFmtId="4" fontId="78" fillId="10" borderId="10" xfId="0" applyNumberFormat="1" applyFont="1" applyFill="1" applyBorder="1" applyAlignment="1">
      <alignment horizontal="center"/>
    </xf>
    <xf numFmtId="4" fontId="90" fillId="10" borderId="10" xfId="0" applyNumberFormat="1" applyFont="1" applyFill="1" applyBorder="1" applyAlignment="1">
      <alignment horizontal="center"/>
    </xf>
    <xf numFmtId="0" fontId="90" fillId="10" borderId="0" xfId="0" applyFont="1" applyFill="1"/>
    <xf numFmtId="0" fontId="78" fillId="10" borderId="24" xfId="0" applyFont="1" applyFill="1" applyBorder="1" applyAlignment="1">
      <alignment horizontal="left"/>
    </xf>
    <xf numFmtId="4" fontId="78" fillId="10" borderId="23" xfId="8" applyNumberFormat="1" applyFont="1" applyFill="1" applyBorder="1" applyAlignment="1">
      <alignment horizontal="right"/>
    </xf>
    <xf numFmtId="4" fontId="78" fillId="10" borderId="24" xfId="8" applyNumberFormat="1" applyFont="1" applyFill="1" applyBorder="1" applyAlignment="1">
      <alignment horizontal="right"/>
    </xf>
    <xf numFmtId="4" fontId="105" fillId="10" borderId="24" xfId="8" applyNumberFormat="1" applyFont="1" applyFill="1" applyBorder="1" applyAlignment="1">
      <alignment horizontal="right"/>
    </xf>
    <xf numFmtId="0" fontId="63" fillId="10" borderId="24" xfId="0" quotePrefix="1" applyFont="1" applyFill="1" applyBorder="1" applyAlignment="1">
      <alignment horizontal="left" indent="2"/>
    </xf>
    <xf numFmtId="0" fontId="63" fillId="10" borderId="24" xfId="0" applyFont="1" applyFill="1" applyBorder="1" applyAlignment="1">
      <alignment horizontal="left" indent="2"/>
    </xf>
    <xf numFmtId="0" fontId="63" fillId="10" borderId="23" xfId="0" applyFont="1" applyFill="1" applyBorder="1" applyAlignment="1">
      <alignment horizontal="left"/>
    </xf>
    <xf numFmtId="4" fontId="63" fillId="10" borderId="24" xfId="8" applyNumberFormat="1" applyFont="1" applyFill="1" applyBorder="1" applyAlignment="1">
      <alignment horizontal="right"/>
    </xf>
    <xf numFmtId="0" fontId="110" fillId="10" borderId="24" xfId="0" applyFont="1" applyFill="1" applyBorder="1"/>
    <xf numFmtId="4" fontId="110" fillId="10" borderId="23" xfId="8" applyNumberFormat="1" applyFont="1" applyFill="1" applyBorder="1" applyAlignment="1">
      <alignment horizontal="right"/>
    </xf>
    <xf numFmtId="4" fontId="110" fillId="10" borderId="24" xfId="8" applyNumberFormat="1" applyFont="1" applyFill="1" applyBorder="1" applyAlignment="1">
      <alignment horizontal="right"/>
    </xf>
    <xf numFmtId="0" fontId="106" fillId="10" borderId="24" xfId="0" applyFont="1" applyFill="1" applyBorder="1" applyAlignment="1">
      <alignment horizontal="left"/>
    </xf>
    <xf numFmtId="4" fontId="106" fillId="10" borderId="23" xfId="8" applyNumberFormat="1" applyFont="1" applyFill="1" applyBorder="1" applyAlignment="1">
      <alignment horizontal="right"/>
    </xf>
    <xf numFmtId="4" fontId="106" fillId="10" borderId="24" xfId="8" applyNumberFormat="1" applyFont="1" applyFill="1" applyBorder="1" applyAlignment="1">
      <alignment horizontal="left"/>
    </xf>
    <xf numFmtId="0" fontId="93" fillId="10" borderId="24" xfId="0" applyFont="1" applyFill="1" applyBorder="1" applyAlignment="1">
      <alignment horizontal="center"/>
    </xf>
    <xf numFmtId="0" fontId="24" fillId="10" borderId="23" xfId="6" applyFont="1" applyFill="1" applyBorder="1" applyAlignment="1">
      <alignment horizontal="center"/>
    </xf>
    <xf numFmtId="0" fontId="24" fillId="10" borderId="23" xfId="6" applyFont="1" applyFill="1" applyBorder="1" applyAlignment="1">
      <alignment horizontal="right"/>
    </xf>
    <xf numFmtId="0" fontId="63" fillId="10" borderId="0" xfId="0" quotePrefix="1" applyFont="1" applyFill="1" applyAlignment="1">
      <alignment horizontal="left" indent="2"/>
    </xf>
    <xf numFmtId="0" fontId="105" fillId="10" borderId="15" xfId="0" quotePrefix="1" applyFont="1" applyFill="1" applyBorder="1" applyAlignment="1">
      <alignment horizontal="center"/>
    </xf>
    <xf numFmtId="167" fontId="78" fillId="10" borderId="23" xfId="8" applyNumberFormat="1" applyFont="1" applyFill="1" applyBorder="1" applyAlignment="1">
      <alignment horizontal="center"/>
    </xf>
    <xf numFmtId="167" fontId="78" fillId="10" borderId="23" xfId="8" applyNumberFormat="1" applyFont="1" applyFill="1" applyBorder="1" applyAlignment="1">
      <alignment horizontal="right"/>
    </xf>
    <xf numFmtId="0" fontId="63" fillId="10" borderId="15" xfId="0" applyFont="1" applyFill="1" applyBorder="1" applyAlignment="1">
      <alignment horizontal="center"/>
    </xf>
    <xf numFmtId="0" fontId="63" fillId="10" borderId="0" xfId="0" applyFont="1" applyFill="1" applyAlignment="1">
      <alignment horizontal="left" indent="2"/>
    </xf>
    <xf numFmtId="0" fontId="63" fillId="10" borderId="23" xfId="8" applyNumberFormat="1" applyFont="1" applyFill="1" applyBorder="1" applyAlignment="1">
      <alignment horizontal="right" vertical="center"/>
    </xf>
    <xf numFmtId="0" fontId="110" fillId="10" borderId="23" xfId="0" applyFont="1" applyFill="1" applyBorder="1" applyAlignment="1">
      <alignment horizontal="right" vertical="center"/>
    </xf>
    <xf numFmtId="0" fontId="78" fillId="10" borderId="15" xfId="0" applyFont="1" applyFill="1" applyBorder="1"/>
    <xf numFmtId="167" fontId="106" fillId="10" borderId="23" xfId="8" applyNumberFormat="1" applyFont="1" applyFill="1" applyBorder="1" applyAlignment="1">
      <alignment horizontal="right"/>
    </xf>
    <xf numFmtId="0" fontId="106" fillId="10" borderId="23" xfId="8" applyNumberFormat="1" applyFont="1" applyFill="1" applyBorder="1" applyAlignment="1">
      <alignment horizontal="right" vertical="center"/>
    </xf>
    <xf numFmtId="0" fontId="106" fillId="10" borderId="23" xfId="8" applyNumberFormat="1" applyFont="1" applyFill="1" applyBorder="1" applyAlignment="1">
      <alignment horizontal="center" vertical="center"/>
    </xf>
    <xf numFmtId="167" fontId="24" fillId="10" borderId="23" xfId="8" applyNumberFormat="1" applyFont="1" applyFill="1" applyBorder="1" applyAlignment="1">
      <alignment horizontal="right"/>
    </xf>
    <xf numFmtId="0" fontId="94" fillId="40" borderId="0" xfId="6" applyFont="1" applyFill="1" applyBorder="1"/>
    <xf numFmtId="0" fontId="0" fillId="0" borderId="82" xfId="0" applyFont="1" applyBorder="1" applyAlignment="1" applyProtection="1">
      <alignment horizontal="left" vertical="center"/>
      <protection hidden="1"/>
    </xf>
    <xf numFmtId="0" fontId="24" fillId="40" borderId="0" xfId="0" applyFont="1" applyFill="1"/>
    <xf numFmtId="0" fontId="24" fillId="32" borderId="0" xfId="0" applyFont="1" applyFill="1"/>
    <xf numFmtId="2" fontId="106" fillId="10" borderId="23" xfId="0" applyNumberFormat="1" applyFont="1" applyFill="1" applyBorder="1" applyAlignment="1">
      <alignment horizontal="center"/>
    </xf>
    <xf numFmtId="4" fontId="94" fillId="10" borderId="0" xfId="8" applyNumberFormat="1" applyFont="1" applyFill="1" applyBorder="1" applyAlignment="1">
      <alignment horizontal="center"/>
    </xf>
    <xf numFmtId="4" fontId="78" fillId="10" borderId="24" xfId="8" applyNumberFormat="1" applyFont="1" applyFill="1" applyBorder="1" applyAlignment="1">
      <alignment horizontal="left" indent="1"/>
    </xf>
    <xf numFmtId="4" fontId="110" fillId="10" borderId="24" xfId="8" applyNumberFormat="1" applyFont="1" applyFill="1" applyBorder="1" applyAlignment="1">
      <alignment horizontal="center"/>
    </xf>
    <xf numFmtId="4" fontId="110" fillId="10" borderId="0" xfId="8" applyNumberFormat="1" applyFont="1" applyFill="1" applyBorder="1" applyAlignment="1">
      <alignment horizontal="center"/>
    </xf>
    <xf numFmtId="167" fontId="110" fillId="10" borderId="23" xfId="0" applyNumberFormat="1" applyFont="1" applyFill="1" applyBorder="1" applyAlignment="1">
      <alignment horizontal="right"/>
    </xf>
    <xf numFmtId="167" fontId="111" fillId="10" borderId="23" xfId="8" applyNumberFormat="1" applyFont="1" applyFill="1" applyBorder="1" applyAlignment="1">
      <alignment horizontal="center"/>
    </xf>
    <xf numFmtId="4" fontId="111" fillId="10" borderId="23" xfId="8" applyNumberFormat="1" applyFont="1" applyFill="1" applyBorder="1"/>
    <xf numFmtId="4" fontId="91" fillId="10" borderId="0" xfId="8" applyNumberFormat="1" applyFont="1" applyFill="1" applyBorder="1" applyAlignment="1">
      <alignment horizontal="center"/>
    </xf>
    <xf numFmtId="0" fontId="208" fillId="10" borderId="1" xfId="179" applyNumberFormat="1" applyFont="1" applyFill="1" applyBorder="1" applyAlignment="1" applyProtection="1">
      <alignment horizontal="center" vertical="center"/>
      <protection locked="0"/>
    </xf>
    <xf numFmtId="4" fontId="105" fillId="29" borderId="24" xfId="8" applyNumberFormat="1" applyFont="1" applyFill="1" applyBorder="1" applyAlignment="1">
      <alignment horizontal="center"/>
    </xf>
    <xf numFmtId="4" fontId="24" fillId="10" borderId="24" xfId="8" applyNumberFormat="1" applyFont="1" applyFill="1" applyBorder="1" applyAlignment="1">
      <alignment horizontal="right" vertical="center"/>
    </xf>
    <xf numFmtId="4" fontId="63" fillId="10" borderId="24" xfId="8" applyNumberFormat="1" applyFont="1" applyFill="1" applyBorder="1" applyAlignment="1">
      <alignment horizontal="right" vertical="center"/>
    </xf>
    <xf numFmtId="4" fontId="24" fillId="10" borderId="24" xfId="8" applyNumberFormat="1" applyFont="1" applyFill="1" applyBorder="1" applyAlignment="1">
      <alignment horizontal="left"/>
    </xf>
    <xf numFmtId="4" fontId="63" fillId="10" borderId="23" xfId="8" applyNumberFormat="1" applyFont="1" applyFill="1" applyBorder="1" applyAlignment="1">
      <alignment horizontal="right" vertical="center"/>
    </xf>
    <xf numFmtId="0" fontId="78" fillId="10" borderId="24" xfId="0" applyFont="1" applyFill="1" applyBorder="1" applyAlignment="1">
      <alignment horizontal="left" vertical="center"/>
    </xf>
    <xf numFmtId="4" fontId="24" fillId="10" borderId="23" xfId="8" applyNumberFormat="1" applyFont="1" applyFill="1" applyBorder="1" applyAlignment="1">
      <alignment horizontal="right" vertical="center"/>
    </xf>
    <xf numFmtId="4" fontId="110" fillId="10" borderId="0" xfId="8" applyNumberFormat="1" applyFont="1" applyFill="1" applyBorder="1" applyAlignment="1">
      <alignment vertical="center"/>
    </xf>
    <xf numFmtId="4" fontId="110" fillId="10" borderId="10" xfId="8" applyNumberFormat="1" applyFont="1" applyFill="1" applyBorder="1" applyAlignment="1">
      <alignment horizontal="center" vertical="center"/>
    </xf>
    <xf numFmtId="0" fontId="24" fillId="10" borderId="15" xfId="0" applyFont="1" applyFill="1" applyBorder="1"/>
    <xf numFmtId="0" fontId="108" fillId="10" borderId="23" xfId="8" applyNumberFormat="1" applyFont="1" applyFill="1" applyBorder="1" applyAlignment="1">
      <alignment horizontal="center" vertical="center"/>
    </xf>
    <xf numFmtId="167" fontId="106" fillId="21" borderId="23" xfId="8" applyNumberFormat="1" applyFont="1" applyFill="1" applyBorder="1" applyAlignment="1">
      <alignment horizontal="right"/>
    </xf>
    <xf numFmtId="0" fontId="106" fillId="21" borderId="24" xfId="0" applyFont="1" applyFill="1" applyBorder="1" applyAlignment="1">
      <alignment horizontal="center"/>
    </xf>
    <xf numFmtId="167" fontId="108" fillId="30" borderId="23" xfId="8" applyNumberFormat="1" applyFont="1" applyFill="1" applyBorder="1" applyAlignment="1">
      <alignment horizontal="center"/>
    </xf>
    <xf numFmtId="0" fontId="26" fillId="10" borderId="7" xfId="6" applyFont="1" applyFill="1" applyBorder="1" applyAlignment="1">
      <alignment horizontal="left" vertical="center"/>
    </xf>
    <xf numFmtId="0" fontId="88" fillId="10" borderId="7" xfId="0" applyFont="1" applyFill="1" applyBorder="1" applyAlignment="1">
      <alignment horizontal="center" vertical="center"/>
    </xf>
    <xf numFmtId="4" fontId="25" fillId="10" borderId="7" xfId="8" applyNumberFormat="1" applyFont="1" applyFill="1" applyBorder="1" applyAlignment="1">
      <alignment horizontal="center" vertical="center"/>
    </xf>
    <xf numFmtId="0" fontId="111" fillId="10" borderId="0" xfId="0" applyFont="1" applyFill="1" applyBorder="1" applyAlignment="1">
      <alignment horizontal="center" vertical="center"/>
    </xf>
    <xf numFmtId="0" fontId="63" fillId="10" borderId="0" xfId="0" applyFont="1" applyFill="1" applyBorder="1" applyAlignment="1">
      <alignment horizontal="center" vertical="center"/>
    </xf>
    <xf numFmtId="0" fontId="24" fillId="10" borderId="25" xfId="0" applyFont="1" applyFill="1" applyBorder="1" applyAlignment="1">
      <alignment horizontal="center"/>
    </xf>
    <xf numFmtId="167" fontId="36" fillId="10" borderId="9" xfId="8" applyNumberFormat="1" applyFont="1" applyFill="1" applyBorder="1" applyAlignment="1">
      <alignment horizontal="center" vertical="center"/>
    </xf>
    <xf numFmtId="44" fontId="34" fillId="0" borderId="4" xfId="55" applyNumberFormat="1" applyFont="1" applyFill="1" applyBorder="1" applyAlignment="1" applyProtection="1">
      <alignment horizontal="center" vertical="center"/>
      <protection hidden="1"/>
    </xf>
    <xf numFmtId="44" fontId="34" fillId="0" borderId="8" xfId="55" applyNumberFormat="1" applyFont="1" applyFill="1" applyBorder="1" applyAlignment="1" applyProtection="1">
      <alignment horizontal="center" vertical="center"/>
      <protection hidden="1"/>
    </xf>
    <xf numFmtId="0" fontId="0" fillId="0" borderId="0" xfId="0" applyAlignment="1">
      <alignment horizontal="center"/>
    </xf>
    <xf numFmtId="0" fontId="39" fillId="8" borderId="24" xfId="6" applyFont="1" applyFill="1" applyBorder="1"/>
    <xf numFmtId="167" fontId="33" fillId="10" borderId="22" xfId="8" applyNumberFormat="1" applyFont="1" applyFill="1" applyBorder="1" applyAlignment="1">
      <alignment horizontal="center"/>
    </xf>
    <xf numFmtId="4" fontId="34" fillId="10" borderId="0" xfId="8" applyNumberFormat="1" applyFont="1" applyFill="1" applyBorder="1"/>
    <xf numFmtId="4" fontId="33" fillId="10" borderId="10" xfId="0" applyNumberFormat="1" applyFont="1" applyFill="1" applyBorder="1" applyAlignment="1">
      <alignment horizontal="center"/>
    </xf>
    <xf numFmtId="167" fontId="26" fillId="10" borderId="23" xfId="0" applyNumberFormat="1" applyFont="1" applyFill="1" applyBorder="1" applyAlignment="1">
      <alignment horizontal="center"/>
    </xf>
    <xf numFmtId="0" fontId="26" fillId="10" borderId="24" xfId="6" applyFont="1" applyFill="1" applyBorder="1" applyAlignment="1"/>
    <xf numFmtId="4" fontId="94" fillId="10" borderId="0" xfId="8" applyNumberFormat="1" applyFont="1" applyFill="1" applyBorder="1" applyAlignment="1"/>
    <xf numFmtId="0" fontId="78" fillId="10" borderId="0" xfId="0" applyFont="1" applyFill="1" applyAlignment="1"/>
    <xf numFmtId="0" fontId="110" fillId="10" borderId="24" xfId="0" applyFont="1" applyFill="1" applyBorder="1" applyAlignment="1">
      <alignment horizontal="left"/>
    </xf>
    <xf numFmtId="4" fontId="110" fillId="10" borderId="0" xfId="8" applyNumberFormat="1" applyFont="1" applyFill="1" applyBorder="1" applyAlignment="1"/>
    <xf numFmtId="0" fontId="110" fillId="10" borderId="0" xfId="0" applyFont="1" applyFill="1" applyAlignment="1"/>
    <xf numFmtId="4" fontId="106" fillId="21" borderId="24" xfId="8" applyNumberFormat="1" applyFont="1" applyFill="1" applyBorder="1" applyAlignment="1">
      <alignment horizontal="right"/>
    </xf>
    <xf numFmtId="4" fontId="105" fillId="10" borderId="0" xfId="8" applyNumberFormat="1" applyFont="1" applyFill="1" applyBorder="1" applyAlignment="1"/>
    <xf numFmtId="0" fontId="63" fillId="10" borderId="0" xfId="0" applyFont="1" applyFill="1" applyAlignment="1"/>
    <xf numFmtId="0" fontId="24" fillId="10" borderId="15" xfId="0" applyFont="1" applyFill="1" applyBorder="1" applyAlignment="1"/>
    <xf numFmtId="4" fontId="106" fillId="16" borderId="23" xfId="8" applyNumberFormat="1" applyFont="1" applyFill="1" applyBorder="1" applyAlignment="1">
      <alignment horizontal="center"/>
    </xf>
    <xf numFmtId="167" fontId="63" fillId="10" borderId="23" xfId="8" applyNumberFormat="1" applyFont="1" applyFill="1" applyBorder="1" applyAlignment="1">
      <alignment horizontal="right"/>
    </xf>
    <xf numFmtId="4" fontId="63" fillId="10" borderId="24" xfId="8" applyNumberFormat="1" applyFont="1" applyFill="1" applyBorder="1" applyAlignment="1">
      <alignment horizontal="left"/>
    </xf>
    <xf numFmtId="0" fontId="63" fillId="10" borderId="24" xfId="0" applyFont="1" applyFill="1" applyBorder="1" applyAlignment="1">
      <alignment horizontal="center"/>
    </xf>
    <xf numFmtId="4" fontId="63" fillId="10" borderId="23" xfId="8" applyNumberFormat="1" applyFont="1" applyFill="1" applyBorder="1" applyAlignment="1">
      <alignment horizontal="center"/>
    </xf>
    <xf numFmtId="4" fontId="63" fillId="16" borderId="24" xfId="8" applyNumberFormat="1" applyFont="1" applyFill="1" applyBorder="1" applyAlignment="1">
      <alignment horizontal="center"/>
    </xf>
    <xf numFmtId="0" fontId="110" fillId="10" borderId="15" xfId="0" applyFont="1" applyFill="1" applyBorder="1" applyAlignment="1"/>
    <xf numFmtId="0" fontId="26" fillId="10" borderId="25" xfId="6" applyFont="1" applyFill="1" applyBorder="1" applyAlignment="1">
      <alignment vertical="center"/>
    </xf>
    <xf numFmtId="0" fontId="110" fillId="10" borderId="25" xfId="0" applyFont="1" applyFill="1" applyBorder="1" applyAlignment="1">
      <alignment horizontal="left"/>
    </xf>
    <xf numFmtId="0" fontId="106" fillId="10" borderId="25" xfId="0" applyFont="1" applyFill="1" applyBorder="1" applyAlignment="1">
      <alignment horizontal="center"/>
    </xf>
    <xf numFmtId="0" fontId="54" fillId="8" borderId="0" xfId="6" applyFont="1" applyFill="1" applyBorder="1"/>
    <xf numFmtId="0" fontId="24" fillId="10" borderId="23" xfId="6" applyFont="1" applyFill="1" applyBorder="1" applyAlignment="1">
      <alignment horizontal="center" vertical="center"/>
    </xf>
    <xf numFmtId="0" fontId="88" fillId="10" borderId="0" xfId="0" applyFont="1" applyFill="1" applyBorder="1" applyAlignment="1">
      <alignment horizontal="center" vertical="center"/>
    </xf>
    <xf numFmtId="167" fontId="130" fillId="10" borderId="23" xfId="6" applyNumberFormat="1" applyFont="1" applyFill="1" applyBorder="1" applyAlignment="1">
      <alignment horizontal="center"/>
    </xf>
    <xf numFmtId="0" fontId="78" fillId="10" borderId="24" xfId="11" applyFont="1" applyFill="1" applyBorder="1" applyAlignment="1">
      <alignment horizontal="center"/>
    </xf>
    <xf numFmtId="167" fontId="91" fillId="10" borderId="22" xfId="8" applyNumberFormat="1" applyFont="1" applyFill="1" applyBorder="1" applyAlignment="1">
      <alignment horizontal="center" vertical="center"/>
    </xf>
    <xf numFmtId="4" fontId="91" fillId="10" borderId="24" xfId="8" applyNumberFormat="1" applyFont="1" applyFill="1" applyBorder="1" applyAlignment="1">
      <alignment horizontal="left" vertical="center"/>
    </xf>
    <xf numFmtId="0" fontId="91" fillId="10" borderId="24" xfId="6" applyFont="1" applyFill="1" applyBorder="1" applyAlignment="1">
      <alignment horizontal="left" vertical="center"/>
    </xf>
    <xf numFmtId="4" fontId="91" fillId="10" borderId="23" xfId="8" applyNumberFormat="1" applyFont="1" applyFill="1" applyBorder="1" applyAlignment="1">
      <alignment horizontal="right" vertical="center"/>
    </xf>
    <xf numFmtId="4" fontId="91" fillId="10" borderId="24" xfId="8" applyNumberFormat="1" applyFont="1" applyFill="1" applyBorder="1" applyAlignment="1">
      <alignment horizontal="right" vertical="center"/>
    </xf>
    <xf numFmtId="0" fontId="88" fillId="10" borderId="25" xfId="0" applyFont="1" applyFill="1" applyBorder="1" applyAlignment="1">
      <alignment horizontal="center"/>
    </xf>
    <xf numFmtId="0" fontId="26" fillId="10" borderId="55" xfId="6" applyFont="1" applyFill="1" applyBorder="1" applyAlignment="1">
      <alignment horizontal="center" vertical="center"/>
    </xf>
    <xf numFmtId="0" fontId="26" fillId="10" borderId="3" xfId="0" applyFont="1" applyFill="1" applyBorder="1" applyAlignment="1">
      <alignment vertical="center" wrapText="1"/>
    </xf>
    <xf numFmtId="0" fontId="88" fillId="10" borderId="45" xfId="0" applyFont="1" applyFill="1" applyBorder="1" applyAlignment="1">
      <alignment horizontal="center" vertical="center"/>
    </xf>
    <xf numFmtId="4" fontId="24" fillId="10" borderId="45" xfId="8" applyNumberFormat="1" applyFont="1" applyFill="1" applyBorder="1" applyAlignment="1">
      <alignment horizontal="right" vertical="center"/>
    </xf>
    <xf numFmtId="4" fontId="25" fillId="10" borderId="3" xfId="8" applyNumberFormat="1" applyFont="1" applyFill="1" applyBorder="1" applyAlignment="1">
      <alignment horizontal="right" vertical="center"/>
    </xf>
    <xf numFmtId="4" fontId="25" fillId="10" borderId="4" xfId="8" applyNumberFormat="1" applyFont="1" applyFill="1" applyBorder="1" applyAlignment="1">
      <alignment horizontal="right" vertical="center"/>
    </xf>
    <xf numFmtId="0" fontId="89" fillId="10" borderId="2" xfId="0" applyFont="1" applyFill="1" applyBorder="1" applyAlignment="1">
      <alignment horizontal="center" vertical="center"/>
    </xf>
    <xf numFmtId="0" fontId="88" fillId="10" borderId="24" xfId="0" applyFont="1" applyFill="1" applyBorder="1" applyAlignment="1">
      <alignment horizontal="center" vertical="center"/>
    </xf>
    <xf numFmtId="4" fontId="25" fillId="10" borderId="0" xfId="8" applyNumberFormat="1" applyFont="1" applyFill="1" applyBorder="1" applyAlignment="1">
      <alignment horizontal="right"/>
    </xf>
    <xf numFmtId="4" fontId="25" fillId="10" borderId="10" xfId="8" applyNumberFormat="1" applyFont="1" applyFill="1" applyBorder="1" applyAlignment="1">
      <alignment horizontal="right"/>
    </xf>
    <xf numFmtId="2" fontId="63" fillId="10" borderId="24" xfId="6" applyNumberFormat="1" applyFont="1" applyFill="1" applyBorder="1" applyAlignment="1">
      <alignment horizontal="center"/>
    </xf>
    <xf numFmtId="4" fontId="63" fillId="10" borderId="0" xfId="8" applyNumberFormat="1" applyFont="1" applyFill="1" applyBorder="1" applyAlignment="1">
      <alignment horizontal="right" vertical="center"/>
    </xf>
    <xf numFmtId="4" fontId="24" fillId="10" borderId="10" xfId="0" applyNumberFormat="1" applyFont="1" applyFill="1" applyBorder="1" applyAlignment="1">
      <alignment horizontal="right"/>
    </xf>
    <xf numFmtId="4" fontId="63" fillId="10" borderId="0" xfId="8" applyNumberFormat="1" applyFont="1" applyFill="1" applyBorder="1" applyAlignment="1">
      <alignment vertical="center"/>
    </xf>
    <xf numFmtId="4" fontId="94" fillId="10" borderId="0" xfId="8" applyNumberFormat="1" applyFont="1" applyFill="1" applyBorder="1" applyAlignment="1">
      <alignment horizontal="right"/>
    </xf>
    <xf numFmtId="4" fontId="78" fillId="10" borderId="10" xfId="0" applyNumberFormat="1" applyFont="1" applyFill="1" applyBorder="1" applyAlignment="1">
      <alignment horizontal="right"/>
    </xf>
    <xf numFmtId="4" fontId="94" fillId="10" borderId="10" xfId="8" applyNumberFormat="1" applyFont="1" applyFill="1" applyBorder="1" applyAlignment="1">
      <alignment horizontal="right"/>
    </xf>
    <xf numFmtId="0" fontId="43" fillId="8" borderId="24" xfId="8" applyFont="1" applyFill="1" applyBorder="1"/>
    <xf numFmtId="4" fontId="91" fillId="10" borderId="0" xfId="8" applyNumberFormat="1" applyFont="1" applyFill="1" applyBorder="1" applyAlignment="1">
      <alignment horizontal="left" vertical="center"/>
    </xf>
    <xf numFmtId="0" fontId="91" fillId="10" borderId="24" xfId="6" applyFont="1" applyFill="1" applyBorder="1" applyAlignment="1">
      <alignment horizontal="center" vertical="center"/>
    </xf>
    <xf numFmtId="4" fontId="91" fillId="10" borderId="0" xfId="8" applyNumberFormat="1" applyFont="1" applyFill="1" applyBorder="1" applyAlignment="1">
      <alignment horizontal="right" vertical="center"/>
    </xf>
    <xf numFmtId="4" fontId="207" fillId="10" borderId="0" xfId="8" applyNumberFormat="1" applyFont="1" applyFill="1" applyBorder="1" applyAlignment="1">
      <alignment horizontal="right"/>
    </xf>
    <xf numFmtId="4" fontId="91" fillId="10" borderId="10" xfId="0" applyNumberFormat="1" applyFont="1" applyFill="1" applyBorder="1" applyAlignment="1">
      <alignment horizontal="right"/>
    </xf>
    <xf numFmtId="0" fontId="91" fillId="10" borderId="10" xfId="0" applyFont="1" applyFill="1" applyBorder="1" applyAlignment="1">
      <alignment vertical="center" wrapText="1"/>
    </xf>
    <xf numFmtId="167" fontId="106" fillId="0" borderId="22" xfId="8" applyNumberFormat="1" applyFont="1" applyFill="1" applyBorder="1" applyAlignment="1">
      <alignment horizontal="center"/>
    </xf>
    <xf numFmtId="4" fontId="106" fillId="0" borderId="0" xfId="8" applyNumberFormat="1" applyFont="1" applyFill="1" applyBorder="1" applyAlignment="1">
      <alignment horizontal="right"/>
    </xf>
    <xf numFmtId="0" fontId="106" fillId="0" borderId="24" xfId="0" applyFont="1" applyFill="1" applyBorder="1" applyAlignment="1">
      <alignment horizontal="center"/>
    </xf>
    <xf numFmtId="4" fontId="106" fillId="0" borderId="24" xfId="8" applyNumberFormat="1" applyFont="1" applyFill="1" applyBorder="1" applyAlignment="1">
      <alignment horizontal="right"/>
    </xf>
    <xf numFmtId="4" fontId="107" fillId="10" borderId="0" xfId="8" applyNumberFormat="1" applyFont="1" applyFill="1" applyBorder="1" applyAlignment="1">
      <alignment horizontal="right"/>
    </xf>
    <xf numFmtId="4" fontId="106" fillId="10" borderId="10" xfId="0" applyNumberFormat="1" applyFont="1" applyFill="1" applyBorder="1" applyAlignment="1">
      <alignment horizontal="right"/>
    </xf>
    <xf numFmtId="167" fontId="24" fillId="0" borderId="22" xfId="8" applyNumberFormat="1" applyFont="1" applyFill="1" applyBorder="1" applyAlignment="1">
      <alignment horizontal="center"/>
    </xf>
    <xf numFmtId="4" fontId="24" fillId="0" borderId="0" xfId="8" applyNumberFormat="1" applyFont="1" applyFill="1" applyBorder="1" applyAlignment="1">
      <alignment horizontal="right"/>
    </xf>
    <xf numFmtId="4" fontId="63" fillId="0" borderId="24" xfId="8" applyNumberFormat="1" applyFont="1" applyFill="1" applyBorder="1" applyAlignment="1">
      <alignment horizontal="right"/>
    </xf>
    <xf numFmtId="4" fontId="91" fillId="0" borderId="24" xfId="8" applyNumberFormat="1" applyFont="1" applyFill="1" applyBorder="1" applyAlignment="1">
      <alignment horizontal="center"/>
    </xf>
    <xf numFmtId="4" fontId="108" fillId="0" borderId="24" xfId="8" applyNumberFormat="1" applyFont="1" applyFill="1" applyBorder="1" applyAlignment="1">
      <alignment horizontal="right"/>
    </xf>
    <xf numFmtId="4" fontId="110" fillId="10" borderId="0" xfId="8" applyNumberFormat="1" applyFont="1" applyFill="1" applyBorder="1" applyAlignment="1">
      <alignment horizontal="right"/>
    </xf>
    <xf numFmtId="4" fontId="110" fillId="10" borderId="10" xfId="8" applyNumberFormat="1" applyFont="1" applyFill="1" applyBorder="1" applyAlignment="1">
      <alignment horizontal="right"/>
    </xf>
    <xf numFmtId="0" fontId="106" fillId="10" borderId="0" xfId="0" applyFont="1" applyFill="1" applyBorder="1"/>
    <xf numFmtId="4" fontId="106" fillId="10" borderId="0" xfId="8" applyNumberFormat="1" applyFont="1" applyFill="1" applyBorder="1" applyAlignment="1">
      <alignment horizontal="right"/>
    </xf>
    <xf numFmtId="4" fontId="132" fillId="10" borderId="0" xfId="8" applyNumberFormat="1" applyFont="1" applyFill="1" applyBorder="1" applyAlignment="1"/>
    <xf numFmtId="0" fontId="108" fillId="10" borderId="0" xfId="0" applyFont="1" applyFill="1" applyAlignment="1"/>
    <xf numFmtId="0" fontId="26" fillId="10" borderId="61" xfId="6" applyFont="1" applyFill="1" applyBorder="1" applyAlignment="1">
      <alignment horizontal="left" vertical="center"/>
    </xf>
    <xf numFmtId="0" fontId="88" fillId="10" borderId="64" xfId="0" applyFont="1" applyFill="1" applyBorder="1" applyAlignment="1">
      <alignment horizontal="center" vertical="center"/>
    </xf>
    <xf numFmtId="4" fontId="24" fillId="10" borderId="64" xfId="8" applyNumberFormat="1" applyFont="1" applyFill="1" applyBorder="1" applyAlignment="1">
      <alignment horizontal="right" vertical="center"/>
    </xf>
    <xf numFmtId="4" fontId="25" fillId="10" borderId="7" xfId="8" applyNumberFormat="1" applyFont="1" applyFill="1" applyBorder="1" applyAlignment="1">
      <alignment horizontal="right"/>
    </xf>
    <xf numFmtId="4" fontId="25" fillId="10" borderId="8" xfId="8" applyNumberFormat="1" applyFont="1" applyFill="1" applyBorder="1" applyAlignment="1">
      <alignment horizontal="right"/>
    </xf>
    <xf numFmtId="0" fontId="88" fillId="10" borderId="3" xfId="0" applyFont="1" applyFill="1" applyBorder="1" applyAlignment="1">
      <alignment horizontal="center" vertical="center"/>
    </xf>
    <xf numFmtId="4" fontId="24" fillId="10" borderId="3" xfId="8" applyNumberFormat="1" applyFont="1" applyFill="1" applyBorder="1" applyAlignment="1">
      <alignment horizontal="center" vertical="center"/>
    </xf>
    <xf numFmtId="4" fontId="91" fillId="10" borderId="23" xfId="8" applyNumberFormat="1" applyFont="1" applyFill="1" applyBorder="1" applyAlignment="1">
      <alignment horizontal="center" vertical="center"/>
    </xf>
    <xf numFmtId="4" fontId="91" fillId="10" borderId="24" xfId="8" applyNumberFormat="1" applyFont="1" applyFill="1" applyBorder="1" applyAlignment="1">
      <alignment horizontal="center" vertical="center"/>
    </xf>
    <xf numFmtId="167" fontId="108" fillId="10" borderId="23" xfId="8" applyNumberFormat="1" applyFont="1" applyFill="1" applyBorder="1" applyAlignment="1">
      <alignment horizontal="center" vertical="center"/>
    </xf>
    <xf numFmtId="0" fontId="78" fillId="10" borderId="23" xfId="0" applyFont="1" applyFill="1" applyBorder="1" applyAlignment="1">
      <alignment horizontal="center" vertical="center"/>
    </xf>
    <xf numFmtId="4" fontId="57" fillId="10" borderId="24" xfId="8" applyNumberFormat="1" applyFont="1" applyFill="1" applyBorder="1" applyAlignment="1">
      <alignment horizontal="right" vertical="center"/>
    </xf>
    <xf numFmtId="0" fontId="57" fillId="10" borderId="23" xfId="0" applyFont="1" applyFill="1" applyBorder="1" applyAlignment="1">
      <alignment horizontal="center" vertical="center"/>
    </xf>
    <xf numFmtId="4" fontId="57" fillId="10" borderId="24" xfId="8" applyNumberFormat="1" applyFont="1" applyFill="1" applyBorder="1" applyAlignment="1">
      <alignment horizontal="center"/>
    </xf>
    <xf numFmtId="4" fontId="57" fillId="10" borderId="24" xfId="8" applyNumberFormat="1" applyFont="1" applyFill="1" applyBorder="1" applyAlignment="1">
      <alignment horizontal="center" vertical="center"/>
    </xf>
    <xf numFmtId="4" fontId="57" fillId="10" borderId="24" xfId="8" applyNumberFormat="1" applyFont="1" applyFill="1" applyBorder="1" applyAlignment="1">
      <alignment horizontal="right"/>
    </xf>
    <xf numFmtId="0" fontId="57" fillId="10" borderId="24" xfId="0" applyFont="1" applyFill="1" applyBorder="1" applyAlignment="1">
      <alignment horizontal="center"/>
    </xf>
    <xf numFmtId="4" fontId="57" fillId="10" borderId="23" xfId="8" applyNumberFormat="1" applyFont="1" applyFill="1" applyBorder="1" applyAlignment="1">
      <alignment horizontal="center"/>
    </xf>
    <xf numFmtId="2" fontId="78" fillId="32" borderId="24" xfId="6" applyNumberFormat="1" applyFont="1" applyFill="1" applyBorder="1"/>
    <xf numFmtId="170" fontId="78" fillId="32" borderId="0" xfId="3" applyNumberFormat="1" applyFont="1" applyFill="1" applyAlignment="1">
      <alignment horizontal="center"/>
    </xf>
    <xf numFmtId="8" fontId="78" fillId="10" borderId="0" xfId="3" applyNumberFormat="1" applyFont="1" applyFill="1" applyAlignment="1">
      <alignment horizontal="center" vertical="center"/>
    </xf>
    <xf numFmtId="8" fontId="24" fillId="8" borderId="0" xfId="0" applyNumberFormat="1" applyFont="1" applyFill="1" applyAlignment="1">
      <alignment vertical="center"/>
    </xf>
    <xf numFmtId="8" fontId="78" fillId="64" borderId="0" xfId="3" applyNumberFormat="1" applyFont="1" applyFill="1" applyAlignment="1">
      <alignment horizontal="center" vertical="center"/>
    </xf>
    <xf numFmtId="8" fontId="78" fillId="32" borderId="0" xfId="3" applyNumberFormat="1" applyFont="1" applyFill="1" applyAlignment="1">
      <alignment horizontal="center" vertical="center"/>
    </xf>
    <xf numFmtId="8" fontId="24" fillId="0" borderId="0" xfId="0" applyNumberFormat="1" applyFont="1" applyBorder="1" applyAlignment="1">
      <alignment horizontal="center"/>
    </xf>
    <xf numFmtId="0" fontId="91" fillId="10" borderId="10" xfId="0" applyFont="1" applyFill="1" applyBorder="1" applyAlignment="1">
      <alignment vertical="center"/>
    </xf>
    <xf numFmtId="0" fontId="25" fillId="0" borderId="0" xfId="39490" applyFont="1" applyFill="1" applyAlignment="1">
      <alignment vertical="top"/>
    </xf>
    <xf numFmtId="167" fontId="186" fillId="10" borderId="22" xfId="8" applyNumberFormat="1" applyFont="1" applyFill="1" applyBorder="1" applyAlignment="1">
      <alignment horizontal="center" vertical="top"/>
    </xf>
    <xf numFmtId="4" fontId="186" fillId="10" borderId="10" xfId="0" applyNumberFormat="1" applyFont="1" applyFill="1" applyBorder="1" applyAlignment="1">
      <alignment horizontal="center"/>
    </xf>
    <xf numFmtId="0" fontId="64" fillId="10" borderId="55" xfId="6" applyFont="1" applyFill="1" applyBorder="1" applyAlignment="1">
      <alignment horizontal="center" vertical="top"/>
    </xf>
    <xf numFmtId="0" fontId="64" fillId="10" borderId="3" xfId="0" applyFont="1" applyFill="1" applyBorder="1" applyAlignment="1">
      <alignment vertical="top" wrapText="1"/>
    </xf>
    <xf numFmtId="4" fontId="105" fillId="10" borderId="4" xfId="8" applyNumberFormat="1" applyFont="1" applyFill="1" applyBorder="1" applyAlignment="1">
      <alignment horizontal="right" vertical="center"/>
    </xf>
    <xf numFmtId="0" fontId="64" fillId="10" borderId="0" xfId="0" applyFont="1" applyFill="1" applyBorder="1" applyAlignment="1">
      <alignment vertical="center"/>
    </xf>
    <xf numFmtId="4" fontId="105" fillId="10" borderId="10" xfId="8" applyNumberFormat="1" applyFont="1" applyFill="1" applyBorder="1" applyAlignment="1">
      <alignment horizontal="right"/>
    </xf>
    <xf numFmtId="4" fontId="63" fillId="10" borderId="10" xfId="0" applyNumberFormat="1" applyFont="1" applyFill="1" applyBorder="1" applyAlignment="1">
      <alignment horizontal="right"/>
    </xf>
    <xf numFmtId="4" fontId="63" fillId="10" borderId="0" xfId="8" applyNumberFormat="1" applyFont="1" applyFill="1" applyBorder="1" applyAlignment="1">
      <alignment horizontal="left" vertical="top"/>
    </xf>
    <xf numFmtId="4" fontId="63" fillId="10" borderId="10" xfId="8" applyNumberFormat="1" applyFont="1" applyFill="1" applyBorder="1" applyAlignment="1">
      <alignment horizontal="right"/>
    </xf>
    <xf numFmtId="0" fontId="64" fillId="10" borderId="61" xfId="6" applyFont="1" applyFill="1" applyBorder="1" applyAlignment="1">
      <alignment horizontal="left" vertical="top"/>
    </xf>
    <xf numFmtId="4" fontId="105" fillId="10" borderId="8" xfId="8" applyNumberFormat="1" applyFont="1" applyFill="1" applyBorder="1" applyAlignment="1">
      <alignment horizontal="right"/>
    </xf>
    <xf numFmtId="4" fontId="105" fillId="10" borderId="11" xfId="8" applyNumberFormat="1" applyFont="1" applyFill="1" applyBorder="1" applyAlignment="1"/>
    <xf numFmtId="4" fontId="63" fillId="10" borderId="11" xfId="8" applyNumberFormat="1" applyFont="1" applyFill="1" applyBorder="1" applyAlignment="1"/>
    <xf numFmtId="4" fontId="105" fillId="10" borderId="2" xfId="8" applyNumberFormat="1" applyFont="1" applyFill="1" applyBorder="1" applyAlignment="1">
      <alignment horizontal="right" vertical="center"/>
    </xf>
    <xf numFmtId="4" fontId="105" fillId="10" borderId="11" xfId="8" applyNumberFormat="1" applyFont="1" applyFill="1" applyBorder="1" applyAlignment="1">
      <alignment horizontal="right"/>
    </xf>
    <xf numFmtId="4" fontId="63" fillId="10" borderId="11" xfId="8" applyNumberFormat="1" applyFont="1" applyFill="1" applyBorder="1" applyAlignment="1">
      <alignment horizontal="right"/>
    </xf>
    <xf numFmtId="4" fontId="105" fillId="10" borderId="6" xfId="8" applyNumberFormat="1" applyFont="1" applyFill="1" applyBorder="1" applyAlignment="1">
      <alignment horizontal="right"/>
    </xf>
    <xf numFmtId="0" fontId="105" fillId="10" borderId="3" xfId="0" applyFont="1" applyFill="1" applyBorder="1" applyAlignment="1">
      <alignment horizontal="center" vertical="center"/>
    </xf>
    <xf numFmtId="4" fontId="63" fillId="10" borderId="25" xfId="8" applyNumberFormat="1" applyFont="1" applyFill="1" applyBorder="1" applyAlignment="1">
      <alignment horizontal="left" vertical="top" wrapText="1"/>
    </xf>
    <xf numFmtId="0" fontId="63" fillId="10" borderId="0" xfId="0" quotePrefix="1" applyFont="1" applyFill="1" applyAlignment="1">
      <alignment horizontal="left" vertical="top" wrapText="1" indent="2"/>
    </xf>
    <xf numFmtId="0" fontId="63" fillId="10" borderId="25" xfId="0" quotePrefix="1" applyFont="1" applyFill="1" applyBorder="1" applyAlignment="1">
      <alignment horizontal="left" vertical="top" wrapText="1" indent="2"/>
    </xf>
    <xf numFmtId="0" fontId="64" fillId="10" borderId="55" xfId="6" applyFont="1" applyFill="1" applyBorder="1" applyAlignment="1">
      <alignment horizontal="center" vertical="center"/>
    </xf>
    <xf numFmtId="0" fontId="64" fillId="10" borderId="3" xfId="0" applyFont="1" applyFill="1" applyBorder="1" applyAlignment="1">
      <alignment vertical="center" wrapText="1"/>
    </xf>
    <xf numFmtId="44" fontId="121" fillId="10" borderId="2" xfId="8" applyNumberFormat="1" applyFont="1" applyFill="1" applyBorder="1" applyAlignment="1">
      <alignment horizontal="center" vertical="center"/>
    </xf>
    <xf numFmtId="44" fontId="121" fillId="10" borderId="11" xfId="8" applyNumberFormat="1" applyFont="1" applyFill="1" applyBorder="1" applyAlignment="1">
      <alignment horizontal="center"/>
    </xf>
    <xf numFmtId="44" fontId="121" fillId="10" borderId="11" xfId="8" applyNumberFormat="1" applyFont="1" applyFill="1" applyBorder="1" applyAlignment="1"/>
    <xf numFmtId="44" fontId="98" fillId="10" borderId="11" xfId="8" applyNumberFormat="1" applyFont="1" applyFill="1" applyBorder="1" applyAlignment="1"/>
    <xf numFmtId="44" fontId="98" fillId="10" borderId="11" xfId="8" applyNumberFormat="1" applyFont="1" applyFill="1" applyBorder="1" applyAlignment="1">
      <alignment horizontal="center"/>
    </xf>
    <xf numFmtId="44" fontId="98" fillId="10" borderId="11" xfId="0" applyNumberFormat="1" applyFont="1" applyFill="1" applyBorder="1" applyAlignment="1">
      <alignment horizontal="center"/>
    </xf>
    <xf numFmtId="44" fontId="98" fillId="10" borderId="6" xfId="0" applyNumberFormat="1" applyFont="1" applyFill="1" applyBorder="1" applyAlignment="1">
      <alignment horizontal="center" vertical="center"/>
    </xf>
    <xf numFmtId="44" fontId="121" fillId="10" borderId="6" xfId="8" applyNumberFormat="1" applyFont="1" applyFill="1" applyBorder="1" applyAlignment="1">
      <alignment horizontal="center" vertical="center"/>
    </xf>
    <xf numFmtId="44" fontId="121" fillId="10" borderId="8" xfId="8" applyNumberFormat="1" applyFont="1" applyFill="1" applyBorder="1" applyAlignment="1">
      <alignment horizontal="center" vertical="center"/>
    </xf>
    <xf numFmtId="44" fontId="121" fillId="10" borderId="2" xfId="8" applyNumberFormat="1" applyFont="1" applyFill="1" applyBorder="1" applyAlignment="1">
      <alignment horizontal="right" vertical="center"/>
    </xf>
    <xf numFmtId="44" fontId="121" fillId="10" borderId="4" xfId="8" applyNumberFormat="1" applyFont="1" applyFill="1" applyBorder="1" applyAlignment="1">
      <alignment horizontal="right" vertical="center"/>
    </xf>
    <xf numFmtId="44" fontId="121" fillId="10" borderId="11" xfId="8" applyNumberFormat="1" applyFont="1" applyFill="1" applyBorder="1" applyAlignment="1">
      <alignment horizontal="right"/>
    </xf>
    <xf numFmtId="44" fontId="121" fillId="10" borderId="10" xfId="8" applyNumberFormat="1" applyFont="1" applyFill="1" applyBorder="1" applyAlignment="1">
      <alignment horizontal="right"/>
    </xf>
    <xf numFmtId="44" fontId="98" fillId="10" borderId="10" xfId="0" applyNumberFormat="1" applyFont="1" applyFill="1" applyBorder="1" applyAlignment="1">
      <alignment horizontal="right"/>
    </xf>
    <xf numFmtId="44" fontId="98" fillId="10" borderId="11" xfId="8" applyNumberFormat="1" applyFont="1" applyFill="1" applyBorder="1" applyAlignment="1">
      <alignment horizontal="right"/>
    </xf>
    <xf numFmtId="44" fontId="98" fillId="10" borderId="10" xfId="8" applyNumberFormat="1" applyFont="1" applyFill="1" applyBorder="1" applyAlignment="1">
      <alignment horizontal="right"/>
    </xf>
    <xf numFmtId="44" fontId="121" fillId="10" borderId="6" xfId="8" applyNumberFormat="1" applyFont="1" applyFill="1" applyBorder="1" applyAlignment="1">
      <alignment horizontal="right"/>
    </xf>
    <xf numFmtId="44" fontId="121" fillId="10" borderId="8" xfId="8" applyNumberFormat="1" applyFont="1" applyFill="1" applyBorder="1" applyAlignment="1">
      <alignment horizontal="right"/>
    </xf>
    <xf numFmtId="44" fontId="121" fillId="10" borderId="6" xfId="8" applyNumberFormat="1" applyFont="1" applyFill="1" applyBorder="1" applyAlignment="1">
      <alignment vertical="center"/>
    </xf>
    <xf numFmtId="0" fontId="36" fillId="5" borderId="16" xfId="55" applyFont="1" applyFill="1" applyBorder="1"/>
    <xf numFmtId="167" fontId="0" fillId="5" borderId="16" xfId="8" applyNumberFormat="1" applyFont="1" applyFill="1" applyBorder="1"/>
    <xf numFmtId="0" fontId="37" fillId="5" borderId="16" xfId="55" applyFont="1" applyFill="1" applyBorder="1" applyAlignment="1">
      <alignment horizontal="center" vertical="center" wrapText="1"/>
    </xf>
    <xf numFmtId="176" fontId="101" fillId="5" borderId="12" xfId="55" applyNumberFormat="1" applyFont="1" applyFill="1" applyBorder="1" applyAlignment="1">
      <alignment horizontal="center"/>
    </xf>
    <xf numFmtId="176" fontId="101" fillId="5" borderId="13" xfId="55" applyNumberFormat="1" applyFont="1" applyFill="1" applyBorder="1" applyAlignment="1">
      <alignment horizontal="center"/>
    </xf>
    <xf numFmtId="176" fontId="101" fillId="5" borderId="16" xfId="55" applyNumberFormat="1" applyFont="1" applyFill="1" applyBorder="1" applyAlignment="1">
      <alignment horizontal="center" wrapText="1"/>
    </xf>
    <xf numFmtId="0" fontId="25" fillId="0" borderId="15" xfId="55" applyFont="1" applyFill="1" applyBorder="1" applyAlignment="1">
      <alignment horizontal="left" vertical="center"/>
    </xf>
    <xf numFmtId="167" fontId="0" fillId="10" borderId="15" xfId="8" applyNumberFormat="1" applyFont="1" applyFill="1" applyBorder="1" applyAlignment="1">
      <alignment horizontal="left" vertical="center"/>
    </xf>
    <xf numFmtId="0" fontId="59" fillId="0" borderId="15" xfId="8" applyFont="1" applyFill="1" applyBorder="1" applyAlignment="1">
      <alignment horizontal="left" vertical="center" wrapText="1" indent="1"/>
    </xf>
    <xf numFmtId="0" fontId="25" fillId="0" borderId="15" xfId="55" applyFont="1" applyFill="1" applyBorder="1"/>
    <xf numFmtId="167" fontId="0" fillId="10" borderId="15" xfId="8" applyNumberFormat="1" applyFont="1" applyFill="1" applyBorder="1"/>
    <xf numFmtId="0" fontId="59" fillId="10" borderId="15" xfId="8" applyFont="1" applyFill="1" applyBorder="1" applyAlignment="1">
      <alignment horizontal="left" vertical="center" wrapText="1" indent="1"/>
    </xf>
    <xf numFmtId="167" fontId="0" fillId="10" borderId="9" xfId="8" applyNumberFormat="1" applyFont="1" applyFill="1" applyBorder="1"/>
    <xf numFmtId="0" fontId="59" fillId="10" borderId="9" xfId="8" applyFont="1" applyFill="1" applyBorder="1" applyAlignment="1">
      <alignment horizontal="left" vertical="center" wrapText="1"/>
    </xf>
    <xf numFmtId="167" fontId="36" fillId="10" borderId="11" xfId="8" applyNumberFormat="1" applyFont="1" applyFill="1" applyBorder="1" applyAlignment="1">
      <alignment horizontal="center" vertical="center"/>
    </xf>
    <xf numFmtId="44" fontId="121" fillId="10" borderId="11" xfId="8" applyNumberFormat="1" applyFont="1" applyFill="1" applyBorder="1" applyAlignment="1">
      <alignment horizontal="center" vertical="center"/>
    </xf>
    <xf numFmtId="167" fontId="36" fillId="10" borderId="6" xfId="8" applyNumberFormat="1" applyFont="1" applyFill="1" applyBorder="1" applyAlignment="1">
      <alignment horizontal="center" vertical="center"/>
    </xf>
    <xf numFmtId="0" fontId="37" fillId="5" borderId="3" xfId="55" applyFont="1" applyFill="1" applyBorder="1" applyAlignment="1">
      <alignment horizontal="center" vertical="center"/>
    </xf>
    <xf numFmtId="167" fontId="36" fillId="5" borderId="2" xfId="8" applyNumberFormat="1" applyFont="1" applyFill="1" applyBorder="1" applyAlignment="1">
      <alignment horizontal="center" vertical="center"/>
    </xf>
    <xf numFmtId="167" fontId="59" fillId="5" borderId="55" xfId="8" applyNumberFormat="1" applyFont="1" applyFill="1" applyBorder="1" applyAlignment="1">
      <alignment vertical="center"/>
    </xf>
    <xf numFmtId="44" fontId="121" fillId="5" borderId="2" xfId="8" applyNumberFormat="1" applyFont="1" applyFill="1" applyBorder="1" applyAlignment="1">
      <alignment horizontal="center" vertical="center"/>
    </xf>
    <xf numFmtId="44" fontId="121" fillId="5" borderId="4" xfId="8" applyNumberFormat="1" applyFont="1" applyFill="1" applyBorder="1" applyAlignment="1">
      <alignment horizontal="center" vertical="center"/>
    </xf>
    <xf numFmtId="0" fontId="151" fillId="46" borderId="43" xfId="0" applyFont="1" applyFill="1" applyBorder="1" applyAlignment="1">
      <alignment horizontal="left" vertical="center"/>
    </xf>
    <xf numFmtId="0" fontId="151" fillId="46" borderId="33" xfId="0" applyFont="1" applyFill="1" applyBorder="1" applyAlignment="1">
      <alignment horizontal="left" vertical="center"/>
    </xf>
    <xf numFmtId="4" fontId="25" fillId="0" borderId="50" xfId="8" applyNumberFormat="1" applyFont="1" applyFill="1" applyBorder="1" applyAlignment="1">
      <alignment horizontal="center" vertical="center"/>
    </xf>
    <xf numFmtId="4" fontId="25" fillId="0" borderId="62" xfId="8" applyNumberFormat="1" applyFont="1" applyFill="1" applyBorder="1" applyAlignment="1">
      <alignment horizontal="center" vertical="center"/>
    </xf>
    <xf numFmtId="4" fontId="25" fillId="0" borderId="6" xfId="8" applyNumberFormat="1" applyFont="1" applyFill="1" applyBorder="1" applyAlignment="1">
      <alignment horizontal="center" vertical="center"/>
    </xf>
    <xf numFmtId="4" fontId="25" fillId="0" borderId="8" xfId="8" applyNumberFormat="1" applyFont="1" applyFill="1" applyBorder="1" applyAlignment="1">
      <alignment horizontal="center" vertical="center"/>
    </xf>
    <xf numFmtId="0" fontId="24" fillId="10" borderId="11" xfId="0" applyFont="1" applyFill="1" applyBorder="1" applyAlignment="1">
      <alignment horizontal="right"/>
    </xf>
    <xf numFmtId="0" fontId="24" fillId="10" borderId="0" xfId="0" applyFont="1" applyFill="1" applyBorder="1" applyAlignment="1">
      <alignment horizontal="right"/>
    </xf>
    <xf numFmtId="0" fontId="24" fillId="10" borderId="11" xfId="0" applyFont="1" applyFill="1" applyBorder="1" applyAlignment="1">
      <alignment horizontal="right" vertical="center"/>
    </xf>
    <xf numFmtId="0" fontId="24" fillId="10" borderId="0" xfId="0" applyFont="1" applyFill="1" applyBorder="1" applyAlignment="1">
      <alignment horizontal="right" vertical="center"/>
    </xf>
    <xf numFmtId="0" fontId="155" fillId="46" borderId="2" xfId="0" applyFont="1" applyFill="1" applyBorder="1" applyAlignment="1">
      <alignment horizontal="center" vertical="center" wrapText="1"/>
    </xf>
    <xf numFmtId="0" fontId="155" fillId="46" borderId="4" xfId="0" applyFont="1" applyFill="1" applyBorder="1" applyAlignment="1">
      <alignment horizontal="center" vertical="center" wrapText="1"/>
    </xf>
    <xf numFmtId="0" fontId="155" fillId="46" borderId="11" xfId="0" applyFont="1" applyFill="1" applyBorder="1" applyAlignment="1">
      <alignment horizontal="center" vertical="center" wrapText="1"/>
    </xf>
    <xf numFmtId="0" fontId="155" fillId="46" borderId="10" xfId="0" applyFont="1" applyFill="1" applyBorder="1" applyAlignment="1">
      <alignment horizontal="center" vertical="center" wrapText="1"/>
    </xf>
    <xf numFmtId="0" fontId="155" fillId="46" borderId="77" xfId="0" applyFont="1" applyFill="1" applyBorder="1" applyAlignment="1">
      <alignment horizontal="center" vertical="center" wrapText="1"/>
    </xf>
    <xf numFmtId="0" fontId="155" fillId="46" borderId="63" xfId="0" applyFont="1" applyFill="1" applyBorder="1" applyAlignment="1">
      <alignment horizontal="center" vertical="center" wrapText="1"/>
    </xf>
    <xf numFmtId="0" fontId="151" fillId="15" borderId="28" xfId="0" applyFont="1" applyFill="1" applyBorder="1" applyAlignment="1">
      <alignment horizontal="left" vertical="center"/>
    </xf>
    <xf numFmtId="0" fontId="151" fillId="15" borderId="49" xfId="0" applyFont="1" applyFill="1" applyBorder="1" applyAlignment="1">
      <alignment horizontal="left" vertical="center"/>
    </xf>
    <xf numFmtId="0" fontId="166" fillId="10" borderId="11" xfId="0" applyFont="1" applyFill="1" applyBorder="1" applyAlignment="1">
      <alignment horizontal="center" vertical="center"/>
    </xf>
    <xf numFmtId="0" fontId="166" fillId="10" borderId="0" xfId="0" applyFont="1" applyFill="1" applyBorder="1" applyAlignment="1">
      <alignment horizontal="center" vertical="center"/>
    </xf>
    <xf numFmtId="0" fontId="161" fillId="7" borderId="75" xfId="8" applyFont="1" applyFill="1" applyBorder="1" applyAlignment="1">
      <alignment horizontal="center" vertical="center" wrapText="1"/>
    </xf>
    <xf numFmtId="0" fontId="161" fillId="7" borderId="61" xfId="8" applyFont="1" applyFill="1" applyBorder="1" applyAlignment="1">
      <alignment horizontal="center" vertical="center" wrapText="1"/>
    </xf>
    <xf numFmtId="4" fontId="153" fillId="21" borderId="48" xfId="0" applyNumberFormat="1" applyFont="1" applyFill="1" applyBorder="1" applyAlignment="1">
      <alignment horizontal="center" vertical="center"/>
    </xf>
    <xf numFmtId="4" fontId="153" fillId="21" borderId="49" xfId="0" applyNumberFormat="1" applyFont="1" applyFill="1" applyBorder="1" applyAlignment="1">
      <alignment horizontal="center" vertical="center"/>
    </xf>
    <xf numFmtId="0" fontId="25" fillId="7" borderId="5" xfId="8" applyFont="1" applyFill="1" applyBorder="1" applyAlignment="1">
      <alignment horizontal="center" vertical="center"/>
    </xf>
    <xf numFmtId="0" fontId="25" fillId="7" borderId="9" xfId="8" applyFont="1" applyFill="1" applyBorder="1" applyAlignment="1">
      <alignment horizontal="center" vertical="center"/>
    </xf>
    <xf numFmtId="14" fontId="25" fillId="0" borderId="50" xfId="0" applyNumberFormat="1" applyFont="1" applyFill="1" applyBorder="1" applyAlignment="1">
      <alignment horizontal="center" vertical="center"/>
    </xf>
    <xf numFmtId="14" fontId="25" fillId="0" borderId="62" xfId="0" applyNumberFormat="1" applyFont="1" applyFill="1" applyBorder="1" applyAlignment="1">
      <alignment horizontal="center" vertical="center"/>
    </xf>
    <xf numFmtId="14" fontId="25" fillId="0" borderId="6" xfId="0" applyNumberFormat="1" applyFont="1" applyFill="1" applyBorder="1" applyAlignment="1">
      <alignment horizontal="center" vertical="center"/>
    </xf>
    <xf numFmtId="14" fontId="25" fillId="0" borderId="8" xfId="0" applyNumberFormat="1" applyFont="1" applyFill="1" applyBorder="1" applyAlignment="1">
      <alignment horizontal="center" vertical="center"/>
    </xf>
    <xf numFmtId="0" fontId="201" fillId="54" borderId="0" xfId="11" applyFont="1" applyFill="1" applyAlignment="1">
      <alignment horizontal="center" vertical="center"/>
    </xf>
    <xf numFmtId="0" fontId="200" fillId="10" borderId="0" xfId="6" applyFont="1" applyFill="1" applyAlignment="1">
      <alignment horizontal="center" vertical="center"/>
    </xf>
    <xf numFmtId="0" fontId="189" fillId="5" borderId="0" xfId="6" applyFont="1" applyFill="1" applyBorder="1" applyAlignment="1">
      <alignment horizontal="center" vertical="center"/>
    </xf>
    <xf numFmtId="0" fontId="190" fillId="5" borderId="0" xfId="0" applyFont="1" applyFill="1" applyBorder="1" applyAlignment="1">
      <alignment horizontal="center" vertical="center"/>
    </xf>
    <xf numFmtId="0" fontId="123" fillId="45" borderId="25" xfId="0" applyFont="1" applyFill="1" applyBorder="1" applyAlignment="1">
      <alignment horizontal="left" vertical="center" indent="2"/>
    </xf>
    <xf numFmtId="0" fontId="123" fillId="45" borderId="0" xfId="0" applyFont="1" applyFill="1" applyBorder="1" applyAlignment="1">
      <alignment horizontal="left" vertical="center" indent="2"/>
    </xf>
    <xf numFmtId="0" fontId="34" fillId="2" borderId="1" xfId="4" applyFont="1" applyFill="1" applyBorder="1" applyAlignment="1">
      <alignment horizontal="right"/>
    </xf>
    <xf numFmtId="0" fontId="58" fillId="5" borderId="12" xfId="1" applyFont="1" applyFill="1" applyBorder="1" applyAlignment="1">
      <alignment horizontal="center" vertical="center"/>
    </xf>
    <xf numFmtId="0" fontId="58" fillId="5" borderId="14" xfId="1" applyFont="1" applyFill="1" applyBorder="1" applyAlignment="1">
      <alignment horizontal="center" vertical="center"/>
    </xf>
    <xf numFmtId="0" fontId="58" fillId="5" borderId="13" xfId="1" applyFont="1" applyFill="1" applyBorder="1" applyAlignment="1">
      <alignment horizontal="center" vertical="center"/>
    </xf>
    <xf numFmtId="0" fontId="37" fillId="10" borderId="0" xfId="4" applyFont="1" applyFill="1" applyBorder="1" applyAlignment="1">
      <alignment horizontal="center"/>
    </xf>
    <xf numFmtId="0" fontId="101" fillId="24" borderId="50" xfId="4" applyFont="1" applyFill="1" applyBorder="1" applyAlignment="1">
      <alignment horizontal="center" vertical="center" wrapText="1"/>
    </xf>
    <xf numFmtId="0" fontId="101" fillId="24" borderId="11" xfId="4" applyFont="1" applyFill="1" applyBorder="1" applyAlignment="1">
      <alignment horizontal="center" vertical="center" wrapText="1"/>
    </xf>
    <xf numFmtId="0" fontId="101" fillId="24" borderId="6" xfId="4" applyFont="1" applyFill="1" applyBorder="1" applyAlignment="1">
      <alignment horizontal="center" vertical="center" wrapText="1"/>
    </xf>
    <xf numFmtId="0" fontId="101" fillId="26" borderId="50" xfId="4" applyFont="1" applyFill="1" applyBorder="1" applyAlignment="1">
      <alignment horizontal="center" vertical="center" wrapText="1"/>
    </xf>
    <xf numFmtId="0" fontId="101" fillId="26" borderId="11" xfId="4" applyFont="1" applyFill="1" applyBorder="1" applyAlignment="1">
      <alignment horizontal="center" vertical="center" wrapText="1"/>
    </xf>
    <xf numFmtId="0" fontId="101" fillId="26" borderId="6" xfId="4" applyFont="1" applyFill="1" applyBorder="1" applyAlignment="1">
      <alignment horizontal="center" vertical="center" wrapText="1"/>
    </xf>
    <xf numFmtId="0" fontId="101" fillId="26" borderId="32" xfId="4" applyFont="1" applyFill="1" applyBorder="1" applyAlignment="1">
      <alignment horizontal="center" vertical="center"/>
    </xf>
    <xf numFmtId="0" fontId="101" fillId="26" borderId="48" xfId="4" applyFont="1" applyFill="1" applyBorder="1" applyAlignment="1">
      <alignment horizontal="center" vertical="center"/>
    </xf>
    <xf numFmtId="0" fontId="101" fillId="24" borderId="32" xfId="4" applyFont="1" applyFill="1" applyBorder="1" applyAlignment="1">
      <alignment horizontal="center" vertical="center"/>
    </xf>
    <xf numFmtId="0" fontId="101" fillId="24" borderId="48" xfId="4" applyFont="1" applyFill="1" applyBorder="1" applyAlignment="1">
      <alignment horizontal="center" vertical="center"/>
    </xf>
    <xf numFmtId="0" fontId="101" fillId="24" borderId="39" xfId="4" applyFont="1" applyFill="1" applyBorder="1" applyAlignment="1">
      <alignment horizontal="center" vertical="center"/>
    </xf>
    <xf numFmtId="0" fontId="101" fillId="24" borderId="40" xfId="4" applyFont="1" applyFill="1" applyBorder="1" applyAlignment="1">
      <alignment horizontal="center" vertical="center"/>
    </xf>
    <xf numFmtId="0" fontId="101" fillId="26" borderId="59" xfId="4" applyFont="1" applyFill="1" applyBorder="1" applyAlignment="1">
      <alignment horizontal="center" vertical="center"/>
    </xf>
    <xf numFmtId="0" fontId="101" fillId="26" borderId="2" xfId="4" applyFont="1" applyFill="1" applyBorder="1" applyAlignment="1">
      <alignment horizontal="center" vertical="center" wrapText="1"/>
    </xf>
    <xf numFmtId="0" fontId="101" fillId="26" borderId="39" xfId="4" applyFont="1" applyFill="1" applyBorder="1" applyAlignment="1">
      <alignment horizontal="center" vertical="center"/>
    </xf>
    <xf numFmtId="0" fontId="101" fillId="26" borderId="40" xfId="4" applyFont="1" applyFill="1" applyBorder="1" applyAlignment="1">
      <alignment horizontal="center" vertical="center"/>
    </xf>
    <xf numFmtId="0" fontId="101" fillId="26" borderId="5" xfId="4" applyFont="1" applyFill="1" applyBorder="1" applyAlignment="1">
      <alignment horizontal="center" vertical="center" wrapText="1"/>
    </xf>
    <xf numFmtId="0" fontId="101" fillId="26" borderId="9" xfId="4" applyFont="1" applyFill="1" applyBorder="1" applyAlignment="1">
      <alignment horizontal="center" vertical="center" wrapText="1"/>
    </xf>
    <xf numFmtId="0" fontId="101" fillId="44" borderId="5" xfId="4" applyFont="1" applyFill="1" applyBorder="1" applyAlignment="1">
      <alignment horizontal="center" vertical="center" wrapText="1"/>
    </xf>
    <xf numFmtId="0" fontId="101" fillId="44" borderId="15" xfId="4" applyFont="1" applyFill="1" applyBorder="1" applyAlignment="1">
      <alignment horizontal="center" vertical="center" wrapText="1"/>
    </xf>
    <xf numFmtId="0" fontId="101" fillId="44" borderId="9" xfId="4" applyFont="1" applyFill="1" applyBorder="1" applyAlignment="1">
      <alignment horizontal="center" vertical="center" wrapText="1"/>
    </xf>
    <xf numFmtId="0" fontId="101" fillId="26" borderId="15" xfId="4" applyFont="1" applyFill="1" applyBorder="1" applyAlignment="1">
      <alignment horizontal="center" vertical="center" wrapText="1"/>
    </xf>
    <xf numFmtId="0" fontId="101" fillId="26" borderId="5" xfId="4" applyFont="1" applyFill="1" applyBorder="1" applyAlignment="1">
      <alignment horizontal="center" vertical="center"/>
    </xf>
    <xf numFmtId="0" fontId="101" fillId="26" borderId="15" xfId="4" applyFont="1" applyFill="1" applyBorder="1" applyAlignment="1">
      <alignment horizontal="center" vertical="center"/>
    </xf>
    <xf numFmtId="0" fontId="101" fillId="26" borderId="9" xfId="4" applyFont="1" applyFill="1" applyBorder="1" applyAlignment="1">
      <alignment horizontal="center" vertical="center"/>
    </xf>
    <xf numFmtId="0" fontId="101" fillId="24" borderId="5" xfId="4" applyFont="1" applyFill="1" applyBorder="1" applyAlignment="1">
      <alignment horizontal="center" vertical="center" wrapText="1"/>
    </xf>
    <xf numFmtId="0" fontId="101" fillId="24" borderId="15" xfId="4" applyFont="1" applyFill="1" applyBorder="1" applyAlignment="1">
      <alignment horizontal="center" vertical="center" wrapText="1"/>
    </xf>
    <xf numFmtId="0" fontId="101" fillId="44" borderId="2" xfId="4" applyFont="1" applyFill="1" applyBorder="1" applyAlignment="1">
      <alignment horizontal="center" vertical="center" wrapText="1"/>
    </xf>
    <xf numFmtId="0" fontId="101" fillId="44" borderId="11" xfId="4" applyFont="1" applyFill="1" applyBorder="1" applyAlignment="1">
      <alignment horizontal="center" vertical="center" wrapText="1"/>
    </xf>
    <xf numFmtId="0" fontId="101" fillId="44" borderId="6" xfId="4" applyFont="1" applyFill="1" applyBorder="1" applyAlignment="1">
      <alignment horizontal="center" vertical="center" wrapText="1"/>
    </xf>
    <xf numFmtId="0" fontId="101" fillId="26" borderId="11" xfId="4" applyFont="1" applyFill="1" applyBorder="1" applyAlignment="1">
      <alignment horizontal="center" vertical="center"/>
    </xf>
    <xf numFmtId="0" fontId="101" fillId="26" borderId="4" xfId="4" applyFont="1" applyFill="1" applyBorder="1" applyAlignment="1">
      <alignment horizontal="center" vertical="center"/>
    </xf>
    <xf numFmtId="0" fontId="101" fillId="26" borderId="10" xfId="4" applyFont="1" applyFill="1" applyBorder="1" applyAlignment="1">
      <alignment horizontal="center" vertical="center"/>
    </xf>
    <xf numFmtId="0" fontId="101" fillId="10" borderId="0" xfId="4" applyFont="1" applyFill="1" applyBorder="1" applyAlignment="1">
      <alignment horizontal="center" vertical="center"/>
    </xf>
    <xf numFmtId="0" fontId="101" fillId="21" borderId="2" xfId="4" applyFont="1" applyFill="1" applyBorder="1" applyAlignment="1">
      <alignment horizontal="center" vertical="center"/>
    </xf>
    <xf numFmtId="0" fontId="101" fillId="21" borderId="3" xfId="4" applyFont="1" applyFill="1" applyBorder="1" applyAlignment="1">
      <alignment horizontal="center" vertical="center"/>
    </xf>
    <xf numFmtId="0" fontId="101" fillId="21" borderId="4" xfId="4" applyFont="1" applyFill="1" applyBorder="1" applyAlignment="1">
      <alignment horizontal="center" vertical="center"/>
    </xf>
    <xf numFmtId="0" fontId="101" fillId="12" borderId="42" xfId="4" applyFont="1" applyFill="1" applyBorder="1" applyAlignment="1">
      <alignment horizontal="center" vertical="center"/>
    </xf>
    <xf numFmtId="0" fontId="101" fillId="12" borderId="34" xfId="4" applyFont="1" applyFill="1" applyBorder="1" applyAlignment="1">
      <alignment horizontal="center" vertical="center"/>
    </xf>
    <xf numFmtId="0" fontId="101" fillId="12" borderId="43" xfId="4" applyFont="1" applyFill="1" applyBorder="1" applyAlignment="1">
      <alignment horizontal="center" vertical="center"/>
    </xf>
    <xf numFmtId="0" fontId="101" fillId="12" borderId="28" xfId="4" applyFont="1" applyFill="1" applyBorder="1" applyAlignment="1">
      <alignment horizontal="center" vertical="center"/>
    </xf>
    <xf numFmtId="0" fontId="101" fillId="12" borderId="45" xfId="4" applyFont="1" applyFill="1" applyBorder="1" applyAlignment="1">
      <alignment horizontal="center" vertical="center" wrapText="1"/>
    </xf>
    <xf numFmtId="0" fontId="101" fillId="12" borderId="20" xfId="4" applyFont="1" applyFill="1" applyBorder="1" applyAlignment="1">
      <alignment horizontal="center" vertical="center" wrapText="1"/>
    </xf>
    <xf numFmtId="0" fontId="101" fillId="12" borderId="55" xfId="4" applyFont="1" applyFill="1" applyBorder="1" applyAlignment="1">
      <alignment horizontal="center" vertical="center" wrapText="1"/>
    </xf>
    <xf numFmtId="0" fontId="101" fillId="12" borderId="21" xfId="4" applyFont="1" applyFill="1" applyBorder="1" applyAlignment="1">
      <alignment horizontal="center" vertical="center" wrapText="1"/>
    </xf>
    <xf numFmtId="0" fontId="101" fillId="5" borderId="12" xfId="4" applyFont="1" applyFill="1" applyBorder="1" applyAlignment="1">
      <alignment horizontal="center" vertical="center"/>
    </xf>
    <xf numFmtId="0" fontId="101" fillId="5" borderId="13" xfId="4" applyFont="1" applyFill="1" applyBorder="1" applyAlignment="1">
      <alignment horizontal="center" vertical="center"/>
    </xf>
    <xf numFmtId="0" fontId="101" fillId="24" borderId="5" xfId="4" applyFont="1" applyFill="1" applyBorder="1" applyAlignment="1">
      <alignment horizontal="left" vertical="center" wrapText="1"/>
    </xf>
    <xf numFmtId="0" fontId="101" fillId="24" borderId="54" xfId="4" applyFont="1" applyFill="1" applyBorder="1" applyAlignment="1">
      <alignment horizontal="left" vertical="center" wrapText="1"/>
    </xf>
    <xf numFmtId="0" fontId="89" fillId="14" borderId="12" xfId="0" applyFont="1" applyFill="1" applyBorder="1" applyAlignment="1">
      <alignment horizontal="center" vertical="center" wrapText="1"/>
    </xf>
    <xf numFmtId="0" fontId="89" fillId="14" borderId="13" xfId="0" applyFont="1" applyFill="1" applyBorder="1" applyAlignment="1">
      <alignment horizontal="center" vertical="center" wrapText="1"/>
    </xf>
    <xf numFmtId="0" fontId="25" fillId="5" borderId="11" xfId="0" applyFont="1" applyFill="1" applyBorder="1" applyAlignment="1">
      <alignment horizontal="center" vertical="center"/>
    </xf>
    <xf numFmtId="0" fontId="25" fillId="5" borderId="0" xfId="0" applyFont="1" applyFill="1" applyBorder="1" applyAlignment="1">
      <alignment horizontal="center" vertical="center"/>
    </xf>
    <xf numFmtId="0" fontId="25" fillId="5" borderId="2" xfId="0" applyFont="1" applyFill="1" applyBorder="1" applyAlignment="1">
      <alignment horizontal="center" vertical="center"/>
    </xf>
    <xf numFmtId="0" fontId="25" fillId="5" borderId="3" xfId="0" applyFont="1" applyFill="1" applyBorder="1" applyAlignment="1">
      <alignment horizontal="center" vertical="center"/>
    </xf>
    <xf numFmtId="0" fontId="25" fillId="5" borderId="4" xfId="0" applyFont="1" applyFill="1" applyBorder="1" applyAlignment="1">
      <alignment horizontal="center" vertical="center"/>
    </xf>
    <xf numFmtId="0" fontId="25" fillId="5" borderId="6" xfId="0" applyFont="1" applyFill="1" applyBorder="1" applyAlignment="1">
      <alignment horizontal="center" vertical="center"/>
    </xf>
    <xf numFmtId="0" fontId="25" fillId="5" borderId="7" xfId="0" applyFont="1" applyFill="1" applyBorder="1" applyAlignment="1">
      <alignment horizontal="center" vertical="center"/>
    </xf>
    <xf numFmtId="0" fontId="25" fillId="5" borderId="8" xfId="0" applyFont="1" applyFill="1" applyBorder="1" applyAlignment="1">
      <alignment horizontal="center" vertical="center"/>
    </xf>
    <xf numFmtId="0" fontId="89" fillId="14" borderId="6" xfId="0" applyFont="1" applyFill="1" applyBorder="1" applyAlignment="1">
      <alignment horizontal="center" vertical="center" wrapText="1"/>
    </xf>
    <xf numFmtId="0" fontId="89" fillId="14" borderId="8" xfId="0" applyFont="1" applyFill="1" applyBorder="1" applyAlignment="1">
      <alignment horizontal="center" vertical="center" wrapText="1"/>
    </xf>
    <xf numFmtId="0" fontId="24" fillId="10" borderId="10" xfId="0" applyFont="1" applyFill="1" applyBorder="1" applyAlignment="1">
      <alignment horizontal="center" vertical="center"/>
    </xf>
    <xf numFmtId="0" fontId="24" fillId="10" borderId="8" xfId="0" applyFont="1" applyFill="1" applyBorder="1" applyAlignment="1">
      <alignment horizontal="center" vertical="center"/>
    </xf>
    <xf numFmtId="0" fontId="89" fillId="10" borderId="12" xfId="0" applyFont="1" applyFill="1" applyBorder="1" applyAlignment="1">
      <alignment horizontal="center" vertical="center" wrapText="1"/>
    </xf>
    <xf numFmtId="0" fontId="89" fillId="10" borderId="13" xfId="0" applyFont="1" applyFill="1" applyBorder="1" applyAlignment="1">
      <alignment horizontal="center" vertical="center" wrapText="1"/>
    </xf>
    <xf numFmtId="0" fontId="128" fillId="16" borderId="28" xfId="0" applyFont="1" applyFill="1" applyBorder="1" applyAlignment="1">
      <alignment horizontal="center"/>
    </xf>
    <xf numFmtId="0" fontId="128" fillId="16" borderId="34" xfId="0" applyFont="1" applyFill="1" applyBorder="1" applyAlignment="1">
      <alignment horizontal="center"/>
    </xf>
    <xf numFmtId="0" fontId="128" fillId="16" borderId="48" xfId="0" applyFont="1" applyFill="1" applyBorder="1" applyAlignment="1">
      <alignment horizontal="center"/>
    </xf>
    <xf numFmtId="0" fontId="128" fillId="34" borderId="1" xfId="0" applyFont="1" applyFill="1" applyBorder="1" applyAlignment="1">
      <alignment horizontal="center"/>
    </xf>
    <xf numFmtId="0" fontId="128" fillId="16" borderId="18" xfId="0" applyFont="1" applyFill="1" applyBorder="1" applyAlignment="1">
      <alignment horizontal="center"/>
    </xf>
    <xf numFmtId="0" fontId="128" fillId="15" borderId="1" xfId="0" applyFont="1" applyFill="1" applyBorder="1" applyAlignment="1">
      <alignment horizontal="center"/>
    </xf>
    <xf numFmtId="0" fontId="128" fillId="17" borderId="1" xfId="0" applyFont="1" applyFill="1" applyBorder="1" applyAlignment="1">
      <alignment horizontal="center"/>
    </xf>
    <xf numFmtId="0" fontId="128" fillId="16" borderId="1" xfId="0" applyFont="1" applyFill="1" applyBorder="1" applyAlignment="1">
      <alignment horizontal="center"/>
    </xf>
    <xf numFmtId="0" fontId="128" fillId="16" borderId="21" xfId="0" applyFont="1" applyFill="1" applyBorder="1" applyAlignment="1">
      <alignment horizontal="center"/>
    </xf>
    <xf numFmtId="0" fontId="128" fillId="16" borderId="26" xfId="0" applyFont="1" applyFill="1" applyBorder="1" applyAlignment="1">
      <alignment horizontal="center"/>
    </xf>
    <xf numFmtId="0" fontId="25" fillId="10" borderId="0" xfId="0" applyFont="1" applyFill="1" applyBorder="1" applyAlignment="1">
      <alignment horizontal="center"/>
    </xf>
    <xf numFmtId="0" fontId="127" fillId="10" borderId="12" xfId="0" applyFont="1" applyFill="1" applyBorder="1" applyAlignment="1">
      <alignment horizontal="center" vertical="center"/>
    </xf>
    <xf numFmtId="0" fontId="127" fillId="10" borderId="13" xfId="0" applyFont="1" applyFill="1" applyBorder="1" applyAlignment="1">
      <alignment horizontal="center" vertical="center"/>
    </xf>
    <xf numFmtId="0" fontId="128" fillId="34" borderId="28" xfId="0" applyFont="1" applyFill="1" applyBorder="1" applyAlignment="1">
      <alignment horizontal="center"/>
    </xf>
    <xf numFmtId="0" fontId="128" fillId="34" borderId="34" xfId="0" applyFont="1" applyFill="1" applyBorder="1" applyAlignment="1">
      <alignment horizontal="center"/>
    </xf>
    <xf numFmtId="0" fontId="128" fillId="15" borderId="28" xfId="0" applyFont="1" applyFill="1" applyBorder="1" applyAlignment="1">
      <alignment horizontal="center"/>
    </xf>
    <xf numFmtId="0" fontId="128" fillId="15" borderId="34" xfId="0" applyFont="1" applyFill="1" applyBorder="1" applyAlignment="1">
      <alignment horizontal="center"/>
    </xf>
    <xf numFmtId="0" fontId="128" fillId="17" borderId="28" xfId="0" applyFont="1" applyFill="1" applyBorder="1" applyAlignment="1">
      <alignment horizontal="center"/>
    </xf>
    <xf numFmtId="0" fontId="128" fillId="17" borderId="34" xfId="0" applyFont="1" applyFill="1" applyBorder="1" applyAlignment="1">
      <alignment horizontal="center"/>
    </xf>
    <xf numFmtId="0" fontId="58" fillId="0" borderId="1" xfId="4" applyFont="1" applyBorder="1" applyAlignment="1">
      <alignment horizontal="center" vertical="center"/>
    </xf>
    <xf numFmtId="2" fontId="33" fillId="29" borderId="30" xfId="4" applyNumberFormat="1" applyFont="1" applyFill="1" applyBorder="1" applyAlignment="1">
      <alignment horizontal="left"/>
    </xf>
    <xf numFmtId="2" fontId="33" fillId="29" borderId="31" xfId="4" applyNumberFormat="1" applyFont="1" applyFill="1" applyBorder="1" applyAlignment="1">
      <alignment horizontal="left"/>
    </xf>
    <xf numFmtId="2" fontId="33" fillId="29" borderId="17" xfId="4" applyNumberFormat="1" applyFont="1" applyFill="1" applyBorder="1" applyAlignment="1">
      <alignment horizontal="left"/>
    </xf>
    <xf numFmtId="2" fontId="33" fillId="29" borderId="19" xfId="4" applyNumberFormat="1" applyFont="1" applyFill="1" applyBorder="1" applyAlignment="1">
      <alignment horizontal="left"/>
    </xf>
    <xf numFmtId="2" fontId="33" fillId="10" borderId="17" xfId="4" applyNumberFormat="1" applyFont="1" applyFill="1" applyBorder="1" applyAlignment="1">
      <alignment horizontal="left"/>
    </xf>
    <xf numFmtId="2" fontId="33" fillId="10" borderId="19" xfId="4" applyNumberFormat="1" applyFont="1" applyFill="1" applyBorder="1" applyAlignment="1">
      <alignment horizontal="left"/>
    </xf>
    <xf numFmtId="0" fontId="83" fillId="5" borderId="2" xfId="0" applyFont="1" applyFill="1" applyBorder="1" applyAlignment="1">
      <alignment horizontal="center" vertical="center"/>
    </xf>
    <xf numFmtId="0" fontId="83" fillId="5" borderId="3" xfId="0" applyFont="1" applyFill="1" applyBorder="1" applyAlignment="1">
      <alignment horizontal="center" vertical="center"/>
    </xf>
    <xf numFmtId="0" fontId="83" fillId="5" borderId="4" xfId="0" applyFont="1" applyFill="1" applyBorder="1" applyAlignment="1">
      <alignment horizontal="center" vertical="center"/>
    </xf>
    <xf numFmtId="0" fontId="83" fillId="5" borderId="6" xfId="0" applyFont="1" applyFill="1" applyBorder="1" applyAlignment="1">
      <alignment horizontal="center" vertical="center"/>
    </xf>
    <xf numFmtId="0" fontId="83" fillId="5" borderId="7" xfId="0" applyFont="1" applyFill="1" applyBorder="1" applyAlignment="1">
      <alignment horizontal="center" vertical="center"/>
    </xf>
    <xf numFmtId="0" fontId="83" fillId="5" borderId="8" xfId="0" applyFont="1" applyFill="1" applyBorder="1" applyAlignment="1">
      <alignment horizontal="center" vertical="center"/>
    </xf>
    <xf numFmtId="0" fontId="60" fillId="0" borderId="12" xfId="4" applyFont="1" applyBorder="1" applyAlignment="1">
      <alignment horizontal="center" vertical="center"/>
    </xf>
    <xf numFmtId="0" fontId="60" fillId="0" borderId="14" xfId="4" applyFont="1" applyBorder="1" applyAlignment="1">
      <alignment horizontal="center" vertical="center"/>
    </xf>
    <xf numFmtId="0" fontId="60" fillId="0" borderId="13" xfId="4" applyFont="1" applyBorder="1" applyAlignment="1">
      <alignment horizontal="center" vertical="center"/>
    </xf>
    <xf numFmtId="2" fontId="33" fillId="10" borderId="30" xfId="4" applyNumberFormat="1" applyFont="1" applyFill="1" applyBorder="1" applyAlignment="1">
      <alignment horizontal="left"/>
    </xf>
    <xf numFmtId="2" fontId="33" fillId="10" borderId="31" xfId="4" applyNumberFormat="1" applyFont="1" applyFill="1" applyBorder="1" applyAlignment="1">
      <alignment horizontal="left"/>
    </xf>
    <xf numFmtId="0" fontId="58" fillId="0" borderId="12" xfId="4" applyFont="1" applyBorder="1" applyAlignment="1">
      <alignment horizontal="center" vertical="center"/>
    </xf>
    <xf numFmtId="0" fontId="58" fillId="0" borderId="13" xfId="4" applyFont="1" applyBorder="1" applyAlignment="1">
      <alignment horizontal="center" vertical="center"/>
    </xf>
    <xf numFmtId="170" fontId="24" fillId="0" borderId="1" xfId="8" applyNumberFormat="1" applyFont="1" applyBorder="1" applyAlignment="1">
      <alignment horizontal="left" vertical="center"/>
    </xf>
    <xf numFmtId="0" fontId="25" fillId="31" borderId="2" xfId="8" applyFont="1" applyFill="1" applyBorder="1" applyAlignment="1">
      <alignment horizontal="center" vertical="center" wrapText="1"/>
    </xf>
    <xf numFmtId="0" fontId="25" fillId="31" borderId="4" xfId="8" applyFont="1" applyFill="1" applyBorder="1" applyAlignment="1">
      <alignment horizontal="center" vertical="center" wrapText="1"/>
    </xf>
    <xf numFmtId="170" fontId="24" fillId="0" borderId="37" xfId="8" applyNumberFormat="1" applyFont="1" applyBorder="1" applyAlignment="1">
      <alignment horizontal="left" vertical="center"/>
    </xf>
    <xf numFmtId="167" fontId="36" fillId="10" borderId="5" xfId="8" applyNumberFormat="1" applyFont="1" applyFill="1" applyBorder="1" applyAlignment="1">
      <alignment horizontal="center" vertical="center" wrapText="1"/>
    </xf>
    <xf numFmtId="167" fontId="36" fillId="10" borderId="9" xfId="8" applyNumberFormat="1" applyFont="1" applyFill="1" applyBorder="1" applyAlignment="1">
      <alignment horizontal="center" vertical="center"/>
    </xf>
    <xf numFmtId="0" fontId="24" fillId="0" borderId="0" xfId="0" applyFont="1" applyAlignment="1">
      <alignment horizontal="center"/>
    </xf>
    <xf numFmtId="0" fontId="0" fillId="0" borderId="0" xfId="0" applyAlignment="1">
      <alignment horizontal="center"/>
    </xf>
    <xf numFmtId="0" fontId="58" fillId="0" borderId="29" xfId="6" applyFont="1" applyBorder="1" applyAlignment="1">
      <alignment horizontal="center"/>
    </xf>
    <xf numFmtId="0" fontId="58" fillId="0" borderId="31" xfId="6" applyFont="1" applyBorder="1" applyAlignment="1">
      <alignment horizontal="center"/>
    </xf>
    <xf numFmtId="0" fontId="58" fillId="0" borderId="26" xfId="6" applyFont="1" applyBorder="1" applyAlignment="1">
      <alignment horizontal="center"/>
    </xf>
    <xf numFmtId="0" fontId="58" fillId="0" borderId="19" xfId="6" applyFont="1" applyBorder="1" applyAlignment="1">
      <alignment horizontal="center"/>
    </xf>
    <xf numFmtId="0" fontId="101" fillId="0" borderId="28" xfId="6" applyFont="1" applyBorder="1" applyAlignment="1">
      <alignment horizontal="center" vertical="center" wrapText="1"/>
    </xf>
    <xf numFmtId="0" fontId="101" fillId="0" borderId="73" xfId="6" applyFont="1" applyBorder="1" applyAlignment="1">
      <alignment horizontal="center" vertical="center" wrapText="1"/>
    </xf>
    <xf numFmtId="0" fontId="101" fillId="0" borderId="34" xfId="6" applyFont="1" applyBorder="1" applyAlignment="1">
      <alignment horizontal="center" vertical="center" wrapText="1"/>
    </xf>
    <xf numFmtId="0" fontId="34" fillId="0" borderId="29" xfId="55" applyFont="1" applyBorder="1" applyAlignment="1">
      <alignment horizontal="center" vertical="center" wrapText="1"/>
    </xf>
    <xf numFmtId="0" fontId="33" fillId="0" borderId="30" xfId="55" applyFont="1" applyBorder="1" applyAlignment="1">
      <alignment horizontal="center" vertical="center" wrapText="1"/>
    </xf>
    <xf numFmtId="0" fontId="33" fillId="0" borderId="31" xfId="55" applyFont="1" applyBorder="1" applyAlignment="1">
      <alignment horizontal="center" vertical="center" wrapText="1"/>
    </xf>
    <xf numFmtId="0" fontId="33" fillId="0" borderId="26" xfId="55" applyFont="1" applyBorder="1" applyAlignment="1">
      <alignment horizontal="center" vertical="center" wrapText="1"/>
    </xf>
    <xf numFmtId="0" fontId="33" fillId="0" borderId="17" xfId="55" applyFont="1" applyBorder="1" applyAlignment="1">
      <alignment horizontal="center" vertical="center" wrapText="1"/>
    </xf>
    <xf numFmtId="0" fontId="33" fillId="0" borderId="19" xfId="55" applyFont="1" applyBorder="1" applyAlignment="1">
      <alignment horizontal="center" vertical="center" wrapText="1"/>
    </xf>
    <xf numFmtId="0" fontId="101" fillId="0" borderId="28" xfId="6" applyFont="1" applyBorder="1" applyAlignment="1">
      <alignment horizontal="center" vertical="center"/>
    </xf>
    <xf numFmtId="0" fontId="101" fillId="0" borderId="73" xfId="6" applyFont="1" applyBorder="1" applyAlignment="1">
      <alignment horizontal="center" vertical="center"/>
    </xf>
    <xf numFmtId="0" fontId="101" fillId="0" borderId="34" xfId="6" applyFont="1" applyBorder="1" applyAlignment="1">
      <alignment horizontal="center" vertical="center"/>
    </xf>
    <xf numFmtId="175" fontId="37" fillId="3" borderId="14" xfId="55" applyNumberFormat="1" applyFont="1" applyFill="1" applyBorder="1" applyAlignment="1">
      <alignment horizontal="center" vertical="center" wrapText="1"/>
    </xf>
    <xf numFmtId="175" fontId="37" fillId="3" borderId="66" xfId="55" applyNumberFormat="1" applyFont="1" applyFill="1" applyBorder="1" applyAlignment="1">
      <alignment horizontal="center" vertical="center" wrapText="1"/>
    </xf>
    <xf numFmtId="178" fontId="59" fillId="0" borderId="0" xfId="55" applyNumberFormat="1" applyFont="1" applyAlignment="1">
      <alignment horizontal="left" vertical="center"/>
    </xf>
    <xf numFmtId="0" fontId="24" fillId="0" borderId="0" xfId="55" applyFont="1" applyAlignment="1">
      <alignment wrapText="1"/>
    </xf>
    <xf numFmtId="0" fontId="24" fillId="0" borderId="0" xfId="55" applyAlignment="1">
      <alignment wrapText="1"/>
    </xf>
    <xf numFmtId="44" fontId="34" fillId="0" borderId="4" xfId="55" applyNumberFormat="1" applyFont="1" applyFill="1" applyBorder="1" applyAlignment="1" applyProtection="1">
      <alignment horizontal="center" vertical="center"/>
      <protection hidden="1"/>
    </xf>
    <xf numFmtId="44" fontId="34" fillId="0" borderId="8" xfId="55" applyNumberFormat="1" applyFont="1" applyFill="1" applyBorder="1" applyAlignment="1" applyProtection="1">
      <alignment horizontal="center" vertical="center"/>
      <protection hidden="1"/>
    </xf>
    <xf numFmtId="0" fontId="174" fillId="0" borderId="0" xfId="55" applyFont="1" applyAlignment="1">
      <alignment horizontal="left" wrapText="1"/>
    </xf>
    <xf numFmtId="0" fontId="37" fillId="5" borderId="2" xfId="5" applyFont="1" applyFill="1" applyBorder="1" applyAlignment="1">
      <alignment horizontal="center" vertical="center"/>
    </xf>
    <xf numFmtId="0" fontId="37" fillId="5" borderId="3" xfId="5" applyFont="1" applyFill="1" applyBorder="1" applyAlignment="1">
      <alignment horizontal="center" vertical="center"/>
    </xf>
    <xf numFmtId="0" fontId="37" fillId="5" borderId="4" xfId="5" applyFont="1" applyFill="1" applyBorder="1" applyAlignment="1">
      <alignment horizontal="center" vertical="center"/>
    </xf>
    <xf numFmtId="0" fontId="37" fillId="5" borderId="6" xfId="5" applyFont="1" applyFill="1" applyBorder="1" applyAlignment="1">
      <alignment horizontal="center" vertical="center"/>
    </xf>
    <xf numFmtId="0" fontId="37" fillId="5" borderId="7" xfId="5" applyFont="1" applyFill="1" applyBorder="1" applyAlignment="1">
      <alignment horizontal="center" vertical="center"/>
    </xf>
    <xf numFmtId="0" fontId="37" fillId="5" borderId="8" xfId="5" applyFont="1" applyFill="1" applyBorder="1" applyAlignment="1">
      <alignment horizontal="center" vertical="center"/>
    </xf>
    <xf numFmtId="177" fontId="37" fillId="0" borderId="2" xfId="55" applyNumberFormat="1" applyFont="1" applyFill="1" applyBorder="1" applyAlignment="1" applyProtection="1">
      <alignment horizontal="center" vertical="center"/>
    </xf>
    <xf numFmtId="177" fontId="37" fillId="0" borderId="4" xfId="55" applyNumberFormat="1" applyFont="1" applyFill="1" applyBorder="1" applyAlignment="1" applyProtection="1">
      <alignment horizontal="center" vertical="center"/>
    </xf>
    <xf numFmtId="177" fontId="37" fillId="0" borderId="6" xfId="55" applyNumberFormat="1" applyFont="1" applyFill="1" applyBorder="1" applyAlignment="1" applyProtection="1">
      <alignment horizontal="center" vertical="center"/>
    </xf>
    <xf numFmtId="177" fontId="37" fillId="0" borderId="8" xfId="55" applyNumberFormat="1" applyFont="1" applyFill="1" applyBorder="1" applyAlignment="1" applyProtection="1">
      <alignment horizontal="center" vertical="center"/>
    </xf>
    <xf numFmtId="177" fontId="37" fillId="0" borderId="2" xfId="55" applyNumberFormat="1" applyFont="1" applyBorder="1" applyAlignment="1">
      <alignment horizontal="center" wrapText="1"/>
    </xf>
    <xf numFmtId="177" fontId="37" fillId="0" borderId="4" xfId="55" applyNumberFormat="1" applyFont="1" applyBorder="1" applyAlignment="1">
      <alignment horizontal="center" wrapText="1"/>
    </xf>
    <xf numFmtId="177" fontId="37" fillId="0" borderId="11" xfId="55" applyNumberFormat="1" applyFont="1" applyBorder="1" applyAlignment="1">
      <alignment horizontal="center" wrapText="1"/>
    </xf>
    <xf numFmtId="177" fontId="37" fillId="0" borderId="10" xfId="55" applyNumberFormat="1" applyFont="1" applyBorder="1" applyAlignment="1">
      <alignment horizontal="center" wrapText="1"/>
    </xf>
    <xf numFmtId="176" fontId="34" fillId="0" borderId="4" xfId="55" applyNumberFormat="1" applyFont="1" applyFill="1" applyBorder="1" applyAlignment="1" applyProtection="1">
      <alignment horizontal="center" vertical="center"/>
      <protection hidden="1"/>
    </xf>
    <xf numFmtId="176" fontId="34" fillId="0" borderId="8" xfId="55" applyNumberFormat="1" applyFont="1" applyFill="1" applyBorder="1" applyAlignment="1" applyProtection="1">
      <alignment horizontal="center" vertical="center"/>
      <protection hidden="1"/>
    </xf>
    <xf numFmtId="0" fontId="157" fillId="0" borderId="0" xfId="55" applyFont="1" applyAlignment="1">
      <alignment horizontal="left" wrapText="1"/>
    </xf>
    <xf numFmtId="177" fontId="37" fillId="0" borderId="6" xfId="55" applyNumberFormat="1" applyFont="1" applyBorder="1" applyAlignment="1">
      <alignment horizontal="center" wrapText="1"/>
    </xf>
    <xf numFmtId="177" fontId="37" fillId="0" borderId="8" xfId="55" applyNumberFormat="1" applyFont="1" applyBorder="1" applyAlignment="1">
      <alignment horizontal="center" wrapText="1"/>
    </xf>
    <xf numFmtId="4" fontId="24" fillId="10" borderId="11" xfId="8" applyNumberFormat="1" applyFont="1" applyFill="1" applyBorder="1" applyAlignment="1">
      <alignment horizontal="left" wrapText="1" indent="1"/>
    </xf>
    <xf numFmtId="4" fontId="24" fillId="10" borderId="11" xfId="8" applyNumberFormat="1" applyFont="1" applyFill="1" applyBorder="1" applyAlignment="1">
      <alignment vertical="center" wrapText="1"/>
    </xf>
    <xf numFmtId="177" fontId="37" fillId="10" borderId="11" xfId="55" applyNumberFormat="1" applyFont="1" applyFill="1" applyBorder="1" applyAlignment="1">
      <alignment horizontal="center" wrapText="1"/>
    </xf>
    <xf numFmtId="177" fontId="37" fillId="10" borderId="10" xfId="55" applyNumberFormat="1" applyFont="1" applyFill="1" applyBorder="1" applyAlignment="1">
      <alignment horizontal="center" wrapText="1"/>
    </xf>
  </cellXfs>
  <cellStyles count="39497">
    <cellStyle name="Cancel" xfId="1" xr:uid="{00000000-0005-0000-0000-000000000000}"/>
    <cellStyle name="Cancel 2" xfId="2" xr:uid="{00000000-0005-0000-0000-000001000000}"/>
    <cellStyle name="Cancel 2 2" xfId="8" xr:uid="{00000000-0005-0000-0000-000002000000}"/>
    <cellStyle name="Cancel_G y M ( Tableros - Link Tower )" xfId="7" xr:uid="{00000000-0005-0000-0000-000003000000}"/>
    <cellStyle name="Comma 2" xfId="20" xr:uid="{00000000-0005-0000-0000-000004000000}"/>
    <cellStyle name="Comma 2 10" xfId="2514" xr:uid="{00000000-0005-0000-0000-000005000000}"/>
    <cellStyle name="Comma 2 10 2" xfId="7449" xr:uid="{00000000-0005-0000-0000-000006000000}"/>
    <cellStyle name="Comma 2 10 2 2" xfId="17309" xr:uid="{00000000-0005-0000-0000-000007000000}"/>
    <cellStyle name="Comma 2 10 2 2 2" xfId="37024" xr:uid="{00000000-0005-0000-0000-000008000000}"/>
    <cellStyle name="Comma 2 10 2 3" xfId="27167" xr:uid="{00000000-0005-0000-0000-000009000000}"/>
    <cellStyle name="Comma 2 10 3" xfId="12381" xr:uid="{00000000-0005-0000-0000-00000A000000}"/>
    <cellStyle name="Comma 2 10 3 2" xfId="32096" xr:uid="{00000000-0005-0000-0000-00000B000000}"/>
    <cellStyle name="Comma 2 10 4" xfId="22239" xr:uid="{00000000-0005-0000-0000-00000C000000}"/>
    <cellStyle name="Comma 2 11" xfId="4982" xr:uid="{00000000-0005-0000-0000-00000D000000}"/>
    <cellStyle name="Comma 2 11 2" xfId="14845" xr:uid="{00000000-0005-0000-0000-00000E000000}"/>
    <cellStyle name="Comma 2 11 2 2" xfId="34560" xr:uid="{00000000-0005-0000-0000-00000F000000}"/>
    <cellStyle name="Comma 2 11 3" xfId="24703" xr:uid="{00000000-0005-0000-0000-000010000000}"/>
    <cellStyle name="Comma 2 12" xfId="9914" xr:uid="{00000000-0005-0000-0000-000011000000}"/>
    <cellStyle name="Comma 2 12 2" xfId="29631" xr:uid="{00000000-0005-0000-0000-000012000000}"/>
    <cellStyle name="Comma 2 13" xfId="19773" xr:uid="{00000000-0005-0000-0000-000013000000}"/>
    <cellStyle name="Comma 2 14" xfId="39489" xr:uid="{00000000-0005-0000-0000-000014000000}"/>
    <cellStyle name="Comma 2 2" xfId="36" xr:uid="{00000000-0005-0000-0000-000015000000}"/>
    <cellStyle name="Comma 2 2 10" xfId="9936" xr:uid="{00000000-0005-0000-0000-000016000000}"/>
    <cellStyle name="Comma 2 2 10 2" xfId="29651" xr:uid="{00000000-0005-0000-0000-000017000000}"/>
    <cellStyle name="Comma 2 2 11" xfId="19794" xr:uid="{00000000-0005-0000-0000-000018000000}"/>
    <cellStyle name="Comma 2 2 2" xfId="82" xr:uid="{00000000-0005-0000-0000-000019000000}"/>
    <cellStyle name="Comma 2 2 2 10" xfId="19832" xr:uid="{00000000-0005-0000-0000-00001A000000}"/>
    <cellStyle name="Comma 2 2 2 2" xfId="163" xr:uid="{00000000-0005-0000-0000-00001B000000}"/>
    <cellStyle name="Comma 2 2 2 2 2" xfId="320" xr:uid="{00000000-0005-0000-0000-00001C000000}"/>
    <cellStyle name="Comma 2 2 2 2 2 2" xfId="634" xr:uid="{00000000-0005-0000-0000-00001D000000}"/>
    <cellStyle name="Comma 2 2 2 2 2 2 2" xfId="1254" xr:uid="{00000000-0005-0000-0000-00001E000000}"/>
    <cellStyle name="Comma 2 2 2 2 2 2 2 2" xfId="2489" xr:uid="{00000000-0005-0000-0000-00001F000000}"/>
    <cellStyle name="Comma 2 2 2 2 2 2 2 2 2" xfId="4956" xr:uid="{00000000-0005-0000-0000-000020000000}"/>
    <cellStyle name="Comma 2 2 2 2 2 2 2 2 2 2" xfId="9888" xr:uid="{00000000-0005-0000-0000-000021000000}"/>
    <cellStyle name="Comma 2 2 2 2 2 2 2 2 2 2 2" xfId="19748" xr:uid="{00000000-0005-0000-0000-000022000000}"/>
    <cellStyle name="Comma 2 2 2 2 2 2 2 2 2 2 2 2" xfId="39463" xr:uid="{00000000-0005-0000-0000-000023000000}"/>
    <cellStyle name="Comma 2 2 2 2 2 2 2 2 2 2 3" xfId="29606" xr:uid="{00000000-0005-0000-0000-000024000000}"/>
    <cellStyle name="Comma 2 2 2 2 2 2 2 2 2 3" xfId="14820" xr:uid="{00000000-0005-0000-0000-000025000000}"/>
    <cellStyle name="Comma 2 2 2 2 2 2 2 2 2 3 2" xfId="34535" xr:uid="{00000000-0005-0000-0000-000026000000}"/>
    <cellStyle name="Comma 2 2 2 2 2 2 2 2 2 4" xfId="24678" xr:uid="{00000000-0005-0000-0000-000027000000}"/>
    <cellStyle name="Comma 2 2 2 2 2 2 2 2 3" xfId="7424" xr:uid="{00000000-0005-0000-0000-000028000000}"/>
    <cellStyle name="Comma 2 2 2 2 2 2 2 2 3 2" xfId="17284" xr:uid="{00000000-0005-0000-0000-000029000000}"/>
    <cellStyle name="Comma 2 2 2 2 2 2 2 2 3 2 2" xfId="36999" xr:uid="{00000000-0005-0000-0000-00002A000000}"/>
    <cellStyle name="Comma 2 2 2 2 2 2 2 2 3 3" xfId="27142" xr:uid="{00000000-0005-0000-0000-00002B000000}"/>
    <cellStyle name="Comma 2 2 2 2 2 2 2 2 4" xfId="12356" xr:uid="{00000000-0005-0000-0000-00002C000000}"/>
    <cellStyle name="Comma 2 2 2 2 2 2 2 2 4 2" xfId="32071" xr:uid="{00000000-0005-0000-0000-00002D000000}"/>
    <cellStyle name="Comma 2 2 2 2 2 2 2 2 5" xfId="22214" xr:uid="{00000000-0005-0000-0000-00002E000000}"/>
    <cellStyle name="Comma 2 2 2 2 2 2 2 3" xfId="3724" xr:uid="{00000000-0005-0000-0000-00002F000000}"/>
    <cellStyle name="Comma 2 2 2 2 2 2 2 3 2" xfId="8656" xr:uid="{00000000-0005-0000-0000-000030000000}"/>
    <cellStyle name="Comma 2 2 2 2 2 2 2 3 2 2" xfId="18516" xr:uid="{00000000-0005-0000-0000-000031000000}"/>
    <cellStyle name="Comma 2 2 2 2 2 2 2 3 2 2 2" xfId="38231" xr:uid="{00000000-0005-0000-0000-000032000000}"/>
    <cellStyle name="Comma 2 2 2 2 2 2 2 3 2 3" xfId="28374" xr:uid="{00000000-0005-0000-0000-000033000000}"/>
    <cellStyle name="Comma 2 2 2 2 2 2 2 3 3" xfId="13588" xr:uid="{00000000-0005-0000-0000-000034000000}"/>
    <cellStyle name="Comma 2 2 2 2 2 2 2 3 3 2" xfId="33303" xr:uid="{00000000-0005-0000-0000-000035000000}"/>
    <cellStyle name="Comma 2 2 2 2 2 2 2 3 4" xfId="23446" xr:uid="{00000000-0005-0000-0000-000036000000}"/>
    <cellStyle name="Comma 2 2 2 2 2 2 2 4" xfId="6192" xr:uid="{00000000-0005-0000-0000-000037000000}"/>
    <cellStyle name="Comma 2 2 2 2 2 2 2 4 2" xfId="16052" xr:uid="{00000000-0005-0000-0000-000038000000}"/>
    <cellStyle name="Comma 2 2 2 2 2 2 2 4 2 2" xfId="35767" xr:uid="{00000000-0005-0000-0000-000039000000}"/>
    <cellStyle name="Comma 2 2 2 2 2 2 2 4 3" xfId="25910" xr:uid="{00000000-0005-0000-0000-00003A000000}"/>
    <cellStyle name="Comma 2 2 2 2 2 2 2 5" xfId="11124" xr:uid="{00000000-0005-0000-0000-00003B000000}"/>
    <cellStyle name="Comma 2 2 2 2 2 2 2 5 2" xfId="30839" xr:uid="{00000000-0005-0000-0000-00003C000000}"/>
    <cellStyle name="Comma 2 2 2 2 2 2 2 6" xfId="20982" xr:uid="{00000000-0005-0000-0000-00003D000000}"/>
    <cellStyle name="Comma 2 2 2 2 2 2 3" xfId="1873" xr:uid="{00000000-0005-0000-0000-00003E000000}"/>
    <cellStyle name="Comma 2 2 2 2 2 2 3 2" xfId="4340" xr:uid="{00000000-0005-0000-0000-00003F000000}"/>
    <cellStyle name="Comma 2 2 2 2 2 2 3 2 2" xfId="9272" xr:uid="{00000000-0005-0000-0000-000040000000}"/>
    <cellStyle name="Comma 2 2 2 2 2 2 3 2 2 2" xfId="19132" xr:uid="{00000000-0005-0000-0000-000041000000}"/>
    <cellStyle name="Comma 2 2 2 2 2 2 3 2 2 2 2" xfId="38847" xr:uid="{00000000-0005-0000-0000-000042000000}"/>
    <cellStyle name="Comma 2 2 2 2 2 2 3 2 2 3" xfId="28990" xr:uid="{00000000-0005-0000-0000-000043000000}"/>
    <cellStyle name="Comma 2 2 2 2 2 2 3 2 3" xfId="14204" xr:uid="{00000000-0005-0000-0000-000044000000}"/>
    <cellStyle name="Comma 2 2 2 2 2 2 3 2 3 2" xfId="33919" xr:uid="{00000000-0005-0000-0000-000045000000}"/>
    <cellStyle name="Comma 2 2 2 2 2 2 3 2 4" xfId="24062" xr:uid="{00000000-0005-0000-0000-000046000000}"/>
    <cellStyle name="Comma 2 2 2 2 2 2 3 3" xfId="6808" xr:uid="{00000000-0005-0000-0000-000047000000}"/>
    <cellStyle name="Comma 2 2 2 2 2 2 3 3 2" xfId="16668" xr:uid="{00000000-0005-0000-0000-000048000000}"/>
    <cellStyle name="Comma 2 2 2 2 2 2 3 3 2 2" xfId="36383" xr:uid="{00000000-0005-0000-0000-000049000000}"/>
    <cellStyle name="Comma 2 2 2 2 2 2 3 3 3" xfId="26526" xr:uid="{00000000-0005-0000-0000-00004A000000}"/>
    <cellStyle name="Comma 2 2 2 2 2 2 3 4" xfId="11740" xr:uid="{00000000-0005-0000-0000-00004B000000}"/>
    <cellStyle name="Comma 2 2 2 2 2 2 3 4 2" xfId="31455" xr:uid="{00000000-0005-0000-0000-00004C000000}"/>
    <cellStyle name="Comma 2 2 2 2 2 2 3 5" xfId="21598" xr:uid="{00000000-0005-0000-0000-00004D000000}"/>
    <cellStyle name="Comma 2 2 2 2 2 2 4" xfId="3108" xr:uid="{00000000-0005-0000-0000-00004E000000}"/>
    <cellStyle name="Comma 2 2 2 2 2 2 4 2" xfId="8040" xr:uid="{00000000-0005-0000-0000-00004F000000}"/>
    <cellStyle name="Comma 2 2 2 2 2 2 4 2 2" xfId="17900" xr:uid="{00000000-0005-0000-0000-000050000000}"/>
    <cellStyle name="Comma 2 2 2 2 2 2 4 2 2 2" xfId="37615" xr:uid="{00000000-0005-0000-0000-000051000000}"/>
    <cellStyle name="Comma 2 2 2 2 2 2 4 2 3" xfId="27758" xr:uid="{00000000-0005-0000-0000-000052000000}"/>
    <cellStyle name="Comma 2 2 2 2 2 2 4 3" xfId="12972" xr:uid="{00000000-0005-0000-0000-000053000000}"/>
    <cellStyle name="Comma 2 2 2 2 2 2 4 3 2" xfId="32687" xr:uid="{00000000-0005-0000-0000-000054000000}"/>
    <cellStyle name="Comma 2 2 2 2 2 2 4 4" xfId="22830" xr:uid="{00000000-0005-0000-0000-000055000000}"/>
    <cellStyle name="Comma 2 2 2 2 2 2 5" xfId="5576" xr:uid="{00000000-0005-0000-0000-000056000000}"/>
    <cellStyle name="Comma 2 2 2 2 2 2 5 2" xfId="15436" xr:uid="{00000000-0005-0000-0000-000057000000}"/>
    <cellStyle name="Comma 2 2 2 2 2 2 5 2 2" xfId="35151" xr:uid="{00000000-0005-0000-0000-000058000000}"/>
    <cellStyle name="Comma 2 2 2 2 2 2 5 3" xfId="25294" xr:uid="{00000000-0005-0000-0000-000059000000}"/>
    <cellStyle name="Comma 2 2 2 2 2 2 6" xfId="10508" xr:uid="{00000000-0005-0000-0000-00005A000000}"/>
    <cellStyle name="Comma 2 2 2 2 2 2 6 2" xfId="30223" xr:uid="{00000000-0005-0000-0000-00005B000000}"/>
    <cellStyle name="Comma 2 2 2 2 2 2 7" xfId="20366" xr:uid="{00000000-0005-0000-0000-00005C000000}"/>
    <cellStyle name="Comma 2 2 2 2 2 3" xfId="947" xr:uid="{00000000-0005-0000-0000-00005D000000}"/>
    <cellStyle name="Comma 2 2 2 2 2 3 2" xfId="2183" xr:uid="{00000000-0005-0000-0000-00005E000000}"/>
    <cellStyle name="Comma 2 2 2 2 2 3 2 2" xfId="4650" xr:uid="{00000000-0005-0000-0000-00005F000000}"/>
    <cellStyle name="Comma 2 2 2 2 2 3 2 2 2" xfId="9582" xr:uid="{00000000-0005-0000-0000-000060000000}"/>
    <cellStyle name="Comma 2 2 2 2 2 3 2 2 2 2" xfId="19442" xr:uid="{00000000-0005-0000-0000-000061000000}"/>
    <cellStyle name="Comma 2 2 2 2 2 3 2 2 2 2 2" xfId="39157" xr:uid="{00000000-0005-0000-0000-000062000000}"/>
    <cellStyle name="Comma 2 2 2 2 2 3 2 2 2 3" xfId="29300" xr:uid="{00000000-0005-0000-0000-000063000000}"/>
    <cellStyle name="Comma 2 2 2 2 2 3 2 2 3" xfId="14514" xr:uid="{00000000-0005-0000-0000-000064000000}"/>
    <cellStyle name="Comma 2 2 2 2 2 3 2 2 3 2" xfId="34229" xr:uid="{00000000-0005-0000-0000-000065000000}"/>
    <cellStyle name="Comma 2 2 2 2 2 3 2 2 4" xfId="24372" xr:uid="{00000000-0005-0000-0000-000066000000}"/>
    <cellStyle name="Comma 2 2 2 2 2 3 2 3" xfId="7118" xr:uid="{00000000-0005-0000-0000-000067000000}"/>
    <cellStyle name="Comma 2 2 2 2 2 3 2 3 2" xfId="16978" xr:uid="{00000000-0005-0000-0000-000068000000}"/>
    <cellStyle name="Comma 2 2 2 2 2 3 2 3 2 2" xfId="36693" xr:uid="{00000000-0005-0000-0000-000069000000}"/>
    <cellStyle name="Comma 2 2 2 2 2 3 2 3 3" xfId="26836" xr:uid="{00000000-0005-0000-0000-00006A000000}"/>
    <cellStyle name="Comma 2 2 2 2 2 3 2 4" xfId="12050" xr:uid="{00000000-0005-0000-0000-00006B000000}"/>
    <cellStyle name="Comma 2 2 2 2 2 3 2 4 2" xfId="31765" xr:uid="{00000000-0005-0000-0000-00006C000000}"/>
    <cellStyle name="Comma 2 2 2 2 2 3 2 5" xfId="21908" xr:uid="{00000000-0005-0000-0000-00006D000000}"/>
    <cellStyle name="Comma 2 2 2 2 2 3 3" xfId="3418" xr:uid="{00000000-0005-0000-0000-00006E000000}"/>
    <cellStyle name="Comma 2 2 2 2 2 3 3 2" xfId="8350" xr:uid="{00000000-0005-0000-0000-00006F000000}"/>
    <cellStyle name="Comma 2 2 2 2 2 3 3 2 2" xfId="18210" xr:uid="{00000000-0005-0000-0000-000070000000}"/>
    <cellStyle name="Comma 2 2 2 2 2 3 3 2 2 2" xfId="37925" xr:uid="{00000000-0005-0000-0000-000071000000}"/>
    <cellStyle name="Comma 2 2 2 2 2 3 3 2 3" xfId="28068" xr:uid="{00000000-0005-0000-0000-000072000000}"/>
    <cellStyle name="Comma 2 2 2 2 2 3 3 3" xfId="13282" xr:uid="{00000000-0005-0000-0000-000073000000}"/>
    <cellStyle name="Comma 2 2 2 2 2 3 3 3 2" xfId="32997" xr:uid="{00000000-0005-0000-0000-000074000000}"/>
    <cellStyle name="Comma 2 2 2 2 2 3 3 4" xfId="23140" xr:uid="{00000000-0005-0000-0000-000075000000}"/>
    <cellStyle name="Comma 2 2 2 2 2 3 4" xfId="5886" xr:uid="{00000000-0005-0000-0000-000076000000}"/>
    <cellStyle name="Comma 2 2 2 2 2 3 4 2" xfId="15746" xr:uid="{00000000-0005-0000-0000-000077000000}"/>
    <cellStyle name="Comma 2 2 2 2 2 3 4 2 2" xfId="35461" xr:uid="{00000000-0005-0000-0000-000078000000}"/>
    <cellStyle name="Comma 2 2 2 2 2 3 4 3" xfId="25604" xr:uid="{00000000-0005-0000-0000-000079000000}"/>
    <cellStyle name="Comma 2 2 2 2 2 3 5" xfId="10818" xr:uid="{00000000-0005-0000-0000-00007A000000}"/>
    <cellStyle name="Comma 2 2 2 2 2 3 5 2" xfId="30533" xr:uid="{00000000-0005-0000-0000-00007B000000}"/>
    <cellStyle name="Comma 2 2 2 2 2 3 6" xfId="20676" xr:uid="{00000000-0005-0000-0000-00007C000000}"/>
    <cellStyle name="Comma 2 2 2 2 2 4" xfId="1567" xr:uid="{00000000-0005-0000-0000-00007D000000}"/>
    <cellStyle name="Comma 2 2 2 2 2 4 2" xfId="4034" xr:uid="{00000000-0005-0000-0000-00007E000000}"/>
    <cellStyle name="Comma 2 2 2 2 2 4 2 2" xfId="8966" xr:uid="{00000000-0005-0000-0000-00007F000000}"/>
    <cellStyle name="Comma 2 2 2 2 2 4 2 2 2" xfId="18826" xr:uid="{00000000-0005-0000-0000-000080000000}"/>
    <cellStyle name="Comma 2 2 2 2 2 4 2 2 2 2" xfId="38541" xr:uid="{00000000-0005-0000-0000-000081000000}"/>
    <cellStyle name="Comma 2 2 2 2 2 4 2 2 3" xfId="28684" xr:uid="{00000000-0005-0000-0000-000082000000}"/>
    <cellStyle name="Comma 2 2 2 2 2 4 2 3" xfId="13898" xr:uid="{00000000-0005-0000-0000-000083000000}"/>
    <cellStyle name="Comma 2 2 2 2 2 4 2 3 2" xfId="33613" xr:uid="{00000000-0005-0000-0000-000084000000}"/>
    <cellStyle name="Comma 2 2 2 2 2 4 2 4" xfId="23756" xr:uid="{00000000-0005-0000-0000-000085000000}"/>
    <cellStyle name="Comma 2 2 2 2 2 4 3" xfId="6502" xr:uid="{00000000-0005-0000-0000-000086000000}"/>
    <cellStyle name="Comma 2 2 2 2 2 4 3 2" xfId="16362" xr:uid="{00000000-0005-0000-0000-000087000000}"/>
    <cellStyle name="Comma 2 2 2 2 2 4 3 2 2" xfId="36077" xr:uid="{00000000-0005-0000-0000-000088000000}"/>
    <cellStyle name="Comma 2 2 2 2 2 4 3 3" xfId="26220" xr:uid="{00000000-0005-0000-0000-000089000000}"/>
    <cellStyle name="Comma 2 2 2 2 2 4 4" xfId="11434" xr:uid="{00000000-0005-0000-0000-00008A000000}"/>
    <cellStyle name="Comma 2 2 2 2 2 4 4 2" xfId="31149" xr:uid="{00000000-0005-0000-0000-00008B000000}"/>
    <cellStyle name="Comma 2 2 2 2 2 4 5" xfId="21292" xr:uid="{00000000-0005-0000-0000-00008C000000}"/>
    <cellStyle name="Comma 2 2 2 2 2 5" xfId="2802" xr:uid="{00000000-0005-0000-0000-00008D000000}"/>
    <cellStyle name="Comma 2 2 2 2 2 5 2" xfId="7734" xr:uid="{00000000-0005-0000-0000-00008E000000}"/>
    <cellStyle name="Comma 2 2 2 2 2 5 2 2" xfId="17594" xr:uid="{00000000-0005-0000-0000-00008F000000}"/>
    <cellStyle name="Comma 2 2 2 2 2 5 2 2 2" xfId="37309" xr:uid="{00000000-0005-0000-0000-000090000000}"/>
    <cellStyle name="Comma 2 2 2 2 2 5 2 3" xfId="27452" xr:uid="{00000000-0005-0000-0000-000091000000}"/>
    <cellStyle name="Comma 2 2 2 2 2 5 3" xfId="12666" xr:uid="{00000000-0005-0000-0000-000092000000}"/>
    <cellStyle name="Comma 2 2 2 2 2 5 3 2" xfId="32381" xr:uid="{00000000-0005-0000-0000-000093000000}"/>
    <cellStyle name="Comma 2 2 2 2 2 5 4" xfId="22524" xr:uid="{00000000-0005-0000-0000-000094000000}"/>
    <cellStyle name="Comma 2 2 2 2 2 6" xfId="5270" xr:uid="{00000000-0005-0000-0000-000095000000}"/>
    <cellStyle name="Comma 2 2 2 2 2 6 2" xfId="15130" xr:uid="{00000000-0005-0000-0000-000096000000}"/>
    <cellStyle name="Comma 2 2 2 2 2 6 2 2" xfId="34845" xr:uid="{00000000-0005-0000-0000-000097000000}"/>
    <cellStyle name="Comma 2 2 2 2 2 6 3" xfId="24988" xr:uid="{00000000-0005-0000-0000-000098000000}"/>
    <cellStyle name="Comma 2 2 2 2 2 7" xfId="10202" xr:uid="{00000000-0005-0000-0000-000099000000}"/>
    <cellStyle name="Comma 2 2 2 2 2 7 2" xfId="29917" xr:uid="{00000000-0005-0000-0000-00009A000000}"/>
    <cellStyle name="Comma 2 2 2 2 2 8" xfId="20060" xr:uid="{00000000-0005-0000-0000-00009B000000}"/>
    <cellStyle name="Comma 2 2 2 2 3" xfId="482" xr:uid="{00000000-0005-0000-0000-00009C000000}"/>
    <cellStyle name="Comma 2 2 2 2 3 2" xfId="1102" xr:uid="{00000000-0005-0000-0000-00009D000000}"/>
    <cellStyle name="Comma 2 2 2 2 3 2 2" xfId="2337" xr:uid="{00000000-0005-0000-0000-00009E000000}"/>
    <cellStyle name="Comma 2 2 2 2 3 2 2 2" xfId="4804" xr:uid="{00000000-0005-0000-0000-00009F000000}"/>
    <cellStyle name="Comma 2 2 2 2 3 2 2 2 2" xfId="9736" xr:uid="{00000000-0005-0000-0000-0000A0000000}"/>
    <cellStyle name="Comma 2 2 2 2 3 2 2 2 2 2" xfId="19596" xr:uid="{00000000-0005-0000-0000-0000A1000000}"/>
    <cellStyle name="Comma 2 2 2 2 3 2 2 2 2 2 2" xfId="39311" xr:uid="{00000000-0005-0000-0000-0000A2000000}"/>
    <cellStyle name="Comma 2 2 2 2 3 2 2 2 2 3" xfId="29454" xr:uid="{00000000-0005-0000-0000-0000A3000000}"/>
    <cellStyle name="Comma 2 2 2 2 3 2 2 2 3" xfId="14668" xr:uid="{00000000-0005-0000-0000-0000A4000000}"/>
    <cellStyle name="Comma 2 2 2 2 3 2 2 2 3 2" xfId="34383" xr:uid="{00000000-0005-0000-0000-0000A5000000}"/>
    <cellStyle name="Comma 2 2 2 2 3 2 2 2 4" xfId="24526" xr:uid="{00000000-0005-0000-0000-0000A6000000}"/>
    <cellStyle name="Comma 2 2 2 2 3 2 2 3" xfId="7272" xr:uid="{00000000-0005-0000-0000-0000A7000000}"/>
    <cellStyle name="Comma 2 2 2 2 3 2 2 3 2" xfId="17132" xr:uid="{00000000-0005-0000-0000-0000A8000000}"/>
    <cellStyle name="Comma 2 2 2 2 3 2 2 3 2 2" xfId="36847" xr:uid="{00000000-0005-0000-0000-0000A9000000}"/>
    <cellStyle name="Comma 2 2 2 2 3 2 2 3 3" xfId="26990" xr:uid="{00000000-0005-0000-0000-0000AA000000}"/>
    <cellStyle name="Comma 2 2 2 2 3 2 2 4" xfId="12204" xr:uid="{00000000-0005-0000-0000-0000AB000000}"/>
    <cellStyle name="Comma 2 2 2 2 3 2 2 4 2" xfId="31919" xr:uid="{00000000-0005-0000-0000-0000AC000000}"/>
    <cellStyle name="Comma 2 2 2 2 3 2 2 5" xfId="22062" xr:uid="{00000000-0005-0000-0000-0000AD000000}"/>
    <cellStyle name="Comma 2 2 2 2 3 2 3" xfId="3572" xr:uid="{00000000-0005-0000-0000-0000AE000000}"/>
    <cellStyle name="Comma 2 2 2 2 3 2 3 2" xfId="8504" xr:uid="{00000000-0005-0000-0000-0000AF000000}"/>
    <cellStyle name="Comma 2 2 2 2 3 2 3 2 2" xfId="18364" xr:uid="{00000000-0005-0000-0000-0000B0000000}"/>
    <cellStyle name="Comma 2 2 2 2 3 2 3 2 2 2" xfId="38079" xr:uid="{00000000-0005-0000-0000-0000B1000000}"/>
    <cellStyle name="Comma 2 2 2 2 3 2 3 2 3" xfId="28222" xr:uid="{00000000-0005-0000-0000-0000B2000000}"/>
    <cellStyle name="Comma 2 2 2 2 3 2 3 3" xfId="13436" xr:uid="{00000000-0005-0000-0000-0000B3000000}"/>
    <cellStyle name="Comma 2 2 2 2 3 2 3 3 2" xfId="33151" xr:uid="{00000000-0005-0000-0000-0000B4000000}"/>
    <cellStyle name="Comma 2 2 2 2 3 2 3 4" xfId="23294" xr:uid="{00000000-0005-0000-0000-0000B5000000}"/>
    <cellStyle name="Comma 2 2 2 2 3 2 4" xfId="6040" xr:uid="{00000000-0005-0000-0000-0000B6000000}"/>
    <cellStyle name="Comma 2 2 2 2 3 2 4 2" xfId="15900" xr:uid="{00000000-0005-0000-0000-0000B7000000}"/>
    <cellStyle name="Comma 2 2 2 2 3 2 4 2 2" xfId="35615" xr:uid="{00000000-0005-0000-0000-0000B8000000}"/>
    <cellStyle name="Comma 2 2 2 2 3 2 4 3" xfId="25758" xr:uid="{00000000-0005-0000-0000-0000B9000000}"/>
    <cellStyle name="Comma 2 2 2 2 3 2 5" xfId="10972" xr:uid="{00000000-0005-0000-0000-0000BA000000}"/>
    <cellStyle name="Comma 2 2 2 2 3 2 5 2" xfId="30687" xr:uid="{00000000-0005-0000-0000-0000BB000000}"/>
    <cellStyle name="Comma 2 2 2 2 3 2 6" xfId="20830" xr:uid="{00000000-0005-0000-0000-0000BC000000}"/>
    <cellStyle name="Comma 2 2 2 2 3 3" xfId="1721" xr:uid="{00000000-0005-0000-0000-0000BD000000}"/>
    <cellStyle name="Comma 2 2 2 2 3 3 2" xfId="4188" xr:uid="{00000000-0005-0000-0000-0000BE000000}"/>
    <cellStyle name="Comma 2 2 2 2 3 3 2 2" xfId="9120" xr:uid="{00000000-0005-0000-0000-0000BF000000}"/>
    <cellStyle name="Comma 2 2 2 2 3 3 2 2 2" xfId="18980" xr:uid="{00000000-0005-0000-0000-0000C0000000}"/>
    <cellStyle name="Comma 2 2 2 2 3 3 2 2 2 2" xfId="38695" xr:uid="{00000000-0005-0000-0000-0000C1000000}"/>
    <cellStyle name="Comma 2 2 2 2 3 3 2 2 3" xfId="28838" xr:uid="{00000000-0005-0000-0000-0000C2000000}"/>
    <cellStyle name="Comma 2 2 2 2 3 3 2 3" xfId="14052" xr:uid="{00000000-0005-0000-0000-0000C3000000}"/>
    <cellStyle name="Comma 2 2 2 2 3 3 2 3 2" xfId="33767" xr:uid="{00000000-0005-0000-0000-0000C4000000}"/>
    <cellStyle name="Comma 2 2 2 2 3 3 2 4" xfId="23910" xr:uid="{00000000-0005-0000-0000-0000C5000000}"/>
    <cellStyle name="Comma 2 2 2 2 3 3 3" xfId="6656" xr:uid="{00000000-0005-0000-0000-0000C6000000}"/>
    <cellStyle name="Comma 2 2 2 2 3 3 3 2" xfId="16516" xr:uid="{00000000-0005-0000-0000-0000C7000000}"/>
    <cellStyle name="Comma 2 2 2 2 3 3 3 2 2" xfId="36231" xr:uid="{00000000-0005-0000-0000-0000C8000000}"/>
    <cellStyle name="Comma 2 2 2 2 3 3 3 3" xfId="26374" xr:uid="{00000000-0005-0000-0000-0000C9000000}"/>
    <cellStyle name="Comma 2 2 2 2 3 3 4" xfId="11588" xr:uid="{00000000-0005-0000-0000-0000CA000000}"/>
    <cellStyle name="Comma 2 2 2 2 3 3 4 2" xfId="31303" xr:uid="{00000000-0005-0000-0000-0000CB000000}"/>
    <cellStyle name="Comma 2 2 2 2 3 3 5" xfId="21446" xr:uid="{00000000-0005-0000-0000-0000CC000000}"/>
    <cellStyle name="Comma 2 2 2 2 3 4" xfId="2956" xr:uid="{00000000-0005-0000-0000-0000CD000000}"/>
    <cellStyle name="Comma 2 2 2 2 3 4 2" xfId="7888" xr:uid="{00000000-0005-0000-0000-0000CE000000}"/>
    <cellStyle name="Comma 2 2 2 2 3 4 2 2" xfId="17748" xr:uid="{00000000-0005-0000-0000-0000CF000000}"/>
    <cellStyle name="Comma 2 2 2 2 3 4 2 2 2" xfId="37463" xr:uid="{00000000-0005-0000-0000-0000D0000000}"/>
    <cellStyle name="Comma 2 2 2 2 3 4 2 3" xfId="27606" xr:uid="{00000000-0005-0000-0000-0000D1000000}"/>
    <cellStyle name="Comma 2 2 2 2 3 4 3" xfId="12820" xr:uid="{00000000-0005-0000-0000-0000D2000000}"/>
    <cellStyle name="Comma 2 2 2 2 3 4 3 2" xfId="32535" xr:uid="{00000000-0005-0000-0000-0000D3000000}"/>
    <cellStyle name="Comma 2 2 2 2 3 4 4" xfId="22678" xr:uid="{00000000-0005-0000-0000-0000D4000000}"/>
    <cellStyle name="Comma 2 2 2 2 3 5" xfId="5424" xr:uid="{00000000-0005-0000-0000-0000D5000000}"/>
    <cellStyle name="Comma 2 2 2 2 3 5 2" xfId="15284" xr:uid="{00000000-0005-0000-0000-0000D6000000}"/>
    <cellStyle name="Comma 2 2 2 2 3 5 2 2" xfId="34999" xr:uid="{00000000-0005-0000-0000-0000D7000000}"/>
    <cellStyle name="Comma 2 2 2 2 3 5 3" xfId="25142" xr:uid="{00000000-0005-0000-0000-0000D8000000}"/>
    <cellStyle name="Comma 2 2 2 2 3 6" xfId="10356" xr:uid="{00000000-0005-0000-0000-0000D9000000}"/>
    <cellStyle name="Comma 2 2 2 2 3 6 2" xfId="30071" xr:uid="{00000000-0005-0000-0000-0000DA000000}"/>
    <cellStyle name="Comma 2 2 2 2 3 7" xfId="20214" xr:uid="{00000000-0005-0000-0000-0000DB000000}"/>
    <cellStyle name="Comma 2 2 2 2 4" xfId="795" xr:uid="{00000000-0005-0000-0000-0000DC000000}"/>
    <cellStyle name="Comma 2 2 2 2 4 2" xfId="2031" xr:uid="{00000000-0005-0000-0000-0000DD000000}"/>
    <cellStyle name="Comma 2 2 2 2 4 2 2" xfId="4498" xr:uid="{00000000-0005-0000-0000-0000DE000000}"/>
    <cellStyle name="Comma 2 2 2 2 4 2 2 2" xfId="9430" xr:uid="{00000000-0005-0000-0000-0000DF000000}"/>
    <cellStyle name="Comma 2 2 2 2 4 2 2 2 2" xfId="19290" xr:uid="{00000000-0005-0000-0000-0000E0000000}"/>
    <cellStyle name="Comma 2 2 2 2 4 2 2 2 2 2" xfId="39005" xr:uid="{00000000-0005-0000-0000-0000E1000000}"/>
    <cellStyle name="Comma 2 2 2 2 4 2 2 2 3" xfId="29148" xr:uid="{00000000-0005-0000-0000-0000E2000000}"/>
    <cellStyle name="Comma 2 2 2 2 4 2 2 3" xfId="14362" xr:uid="{00000000-0005-0000-0000-0000E3000000}"/>
    <cellStyle name="Comma 2 2 2 2 4 2 2 3 2" xfId="34077" xr:uid="{00000000-0005-0000-0000-0000E4000000}"/>
    <cellStyle name="Comma 2 2 2 2 4 2 2 4" xfId="24220" xr:uid="{00000000-0005-0000-0000-0000E5000000}"/>
    <cellStyle name="Comma 2 2 2 2 4 2 3" xfId="6966" xr:uid="{00000000-0005-0000-0000-0000E6000000}"/>
    <cellStyle name="Comma 2 2 2 2 4 2 3 2" xfId="16826" xr:uid="{00000000-0005-0000-0000-0000E7000000}"/>
    <cellStyle name="Comma 2 2 2 2 4 2 3 2 2" xfId="36541" xr:uid="{00000000-0005-0000-0000-0000E8000000}"/>
    <cellStyle name="Comma 2 2 2 2 4 2 3 3" xfId="26684" xr:uid="{00000000-0005-0000-0000-0000E9000000}"/>
    <cellStyle name="Comma 2 2 2 2 4 2 4" xfId="11898" xr:uid="{00000000-0005-0000-0000-0000EA000000}"/>
    <cellStyle name="Comma 2 2 2 2 4 2 4 2" xfId="31613" xr:uid="{00000000-0005-0000-0000-0000EB000000}"/>
    <cellStyle name="Comma 2 2 2 2 4 2 5" xfId="21756" xr:uid="{00000000-0005-0000-0000-0000EC000000}"/>
    <cellStyle name="Comma 2 2 2 2 4 3" xfId="3266" xr:uid="{00000000-0005-0000-0000-0000ED000000}"/>
    <cellStyle name="Comma 2 2 2 2 4 3 2" xfId="8198" xr:uid="{00000000-0005-0000-0000-0000EE000000}"/>
    <cellStyle name="Comma 2 2 2 2 4 3 2 2" xfId="18058" xr:uid="{00000000-0005-0000-0000-0000EF000000}"/>
    <cellStyle name="Comma 2 2 2 2 4 3 2 2 2" xfId="37773" xr:uid="{00000000-0005-0000-0000-0000F0000000}"/>
    <cellStyle name="Comma 2 2 2 2 4 3 2 3" xfId="27916" xr:uid="{00000000-0005-0000-0000-0000F1000000}"/>
    <cellStyle name="Comma 2 2 2 2 4 3 3" xfId="13130" xr:uid="{00000000-0005-0000-0000-0000F2000000}"/>
    <cellStyle name="Comma 2 2 2 2 4 3 3 2" xfId="32845" xr:uid="{00000000-0005-0000-0000-0000F3000000}"/>
    <cellStyle name="Comma 2 2 2 2 4 3 4" xfId="22988" xr:uid="{00000000-0005-0000-0000-0000F4000000}"/>
    <cellStyle name="Comma 2 2 2 2 4 4" xfId="5734" xr:uid="{00000000-0005-0000-0000-0000F5000000}"/>
    <cellStyle name="Comma 2 2 2 2 4 4 2" xfId="15594" xr:uid="{00000000-0005-0000-0000-0000F6000000}"/>
    <cellStyle name="Comma 2 2 2 2 4 4 2 2" xfId="35309" xr:uid="{00000000-0005-0000-0000-0000F7000000}"/>
    <cellStyle name="Comma 2 2 2 2 4 4 3" xfId="25452" xr:uid="{00000000-0005-0000-0000-0000F8000000}"/>
    <cellStyle name="Comma 2 2 2 2 4 5" xfId="10666" xr:uid="{00000000-0005-0000-0000-0000F9000000}"/>
    <cellStyle name="Comma 2 2 2 2 4 5 2" xfId="30381" xr:uid="{00000000-0005-0000-0000-0000FA000000}"/>
    <cellStyle name="Comma 2 2 2 2 4 6" xfId="20524" xr:uid="{00000000-0005-0000-0000-0000FB000000}"/>
    <cellStyle name="Comma 2 2 2 2 5" xfId="1415" xr:uid="{00000000-0005-0000-0000-0000FC000000}"/>
    <cellStyle name="Comma 2 2 2 2 5 2" xfId="3882" xr:uid="{00000000-0005-0000-0000-0000FD000000}"/>
    <cellStyle name="Comma 2 2 2 2 5 2 2" xfId="8814" xr:uid="{00000000-0005-0000-0000-0000FE000000}"/>
    <cellStyle name="Comma 2 2 2 2 5 2 2 2" xfId="18674" xr:uid="{00000000-0005-0000-0000-0000FF000000}"/>
    <cellStyle name="Comma 2 2 2 2 5 2 2 2 2" xfId="38389" xr:uid="{00000000-0005-0000-0000-000000010000}"/>
    <cellStyle name="Comma 2 2 2 2 5 2 2 3" xfId="28532" xr:uid="{00000000-0005-0000-0000-000001010000}"/>
    <cellStyle name="Comma 2 2 2 2 5 2 3" xfId="13746" xr:uid="{00000000-0005-0000-0000-000002010000}"/>
    <cellStyle name="Comma 2 2 2 2 5 2 3 2" xfId="33461" xr:uid="{00000000-0005-0000-0000-000003010000}"/>
    <cellStyle name="Comma 2 2 2 2 5 2 4" xfId="23604" xr:uid="{00000000-0005-0000-0000-000004010000}"/>
    <cellStyle name="Comma 2 2 2 2 5 3" xfId="6350" xr:uid="{00000000-0005-0000-0000-000005010000}"/>
    <cellStyle name="Comma 2 2 2 2 5 3 2" xfId="16210" xr:uid="{00000000-0005-0000-0000-000006010000}"/>
    <cellStyle name="Comma 2 2 2 2 5 3 2 2" xfId="35925" xr:uid="{00000000-0005-0000-0000-000007010000}"/>
    <cellStyle name="Comma 2 2 2 2 5 3 3" xfId="26068" xr:uid="{00000000-0005-0000-0000-000008010000}"/>
    <cellStyle name="Comma 2 2 2 2 5 4" xfId="11282" xr:uid="{00000000-0005-0000-0000-000009010000}"/>
    <cellStyle name="Comma 2 2 2 2 5 4 2" xfId="30997" xr:uid="{00000000-0005-0000-0000-00000A010000}"/>
    <cellStyle name="Comma 2 2 2 2 5 5" xfId="21140" xr:uid="{00000000-0005-0000-0000-00000B010000}"/>
    <cellStyle name="Comma 2 2 2 2 6" xfId="2650" xr:uid="{00000000-0005-0000-0000-00000C010000}"/>
    <cellStyle name="Comma 2 2 2 2 6 2" xfId="7582" xr:uid="{00000000-0005-0000-0000-00000D010000}"/>
    <cellStyle name="Comma 2 2 2 2 6 2 2" xfId="17442" xr:uid="{00000000-0005-0000-0000-00000E010000}"/>
    <cellStyle name="Comma 2 2 2 2 6 2 2 2" xfId="37157" xr:uid="{00000000-0005-0000-0000-00000F010000}"/>
    <cellStyle name="Comma 2 2 2 2 6 2 3" xfId="27300" xr:uid="{00000000-0005-0000-0000-000010010000}"/>
    <cellStyle name="Comma 2 2 2 2 6 3" xfId="12514" xr:uid="{00000000-0005-0000-0000-000011010000}"/>
    <cellStyle name="Comma 2 2 2 2 6 3 2" xfId="32229" xr:uid="{00000000-0005-0000-0000-000012010000}"/>
    <cellStyle name="Comma 2 2 2 2 6 4" xfId="22372" xr:uid="{00000000-0005-0000-0000-000013010000}"/>
    <cellStyle name="Comma 2 2 2 2 7" xfId="5118" xr:uid="{00000000-0005-0000-0000-000014010000}"/>
    <cellStyle name="Comma 2 2 2 2 7 2" xfId="14978" xr:uid="{00000000-0005-0000-0000-000015010000}"/>
    <cellStyle name="Comma 2 2 2 2 7 2 2" xfId="34693" xr:uid="{00000000-0005-0000-0000-000016010000}"/>
    <cellStyle name="Comma 2 2 2 2 7 3" xfId="24836" xr:uid="{00000000-0005-0000-0000-000017010000}"/>
    <cellStyle name="Comma 2 2 2 2 8" xfId="10050" xr:uid="{00000000-0005-0000-0000-000018010000}"/>
    <cellStyle name="Comma 2 2 2 2 8 2" xfId="29765" xr:uid="{00000000-0005-0000-0000-000019010000}"/>
    <cellStyle name="Comma 2 2 2 2 9" xfId="19908" xr:uid="{00000000-0005-0000-0000-00001A010000}"/>
    <cellStyle name="Comma 2 2 2 3" xfId="244" xr:uid="{00000000-0005-0000-0000-00001B010000}"/>
    <cellStyle name="Comma 2 2 2 3 2" xfId="558" xr:uid="{00000000-0005-0000-0000-00001C010000}"/>
    <cellStyle name="Comma 2 2 2 3 2 2" xfId="1178" xr:uid="{00000000-0005-0000-0000-00001D010000}"/>
    <cellStyle name="Comma 2 2 2 3 2 2 2" xfId="2413" xr:uid="{00000000-0005-0000-0000-00001E010000}"/>
    <cellStyle name="Comma 2 2 2 3 2 2 2 2" xfId="4880" xr:uid="{00000000-0005-0000-0000-00001F010000}"/>
    <cellStyle name="Comma 2 2 2 3 2 2 2 2 2" xfId="9812" xr:uid="{00000000-0005-0000-0000-000020010000}"/>
    <cellStyle name="Comma 2 2 2 3 2 2 2 2 2 2" xfId="19672" xr:uid="{00000000-0005-0000-0000-000021010000}"/>
    <cellStyle name="Comma 2 2 2 3 2 2 2 2 2 2 2" xfId="39387" xr:uid="{00000000-0005-0000-0000-000022010000}"/>
    <cellStyle name="Comma 2 2 2 3 2 2 2 2 2 3" xfId="29530" xr:uid="{00000000-0005-0000-0000-000023010000}"/>
    <cellStyle name="Comma 2 2 2 3 2 2 2 2 3" xfId="14744" xr:uid="{00000000-0005-0000-0000-000024010000}"/>
    <cellStyle name="Comma 2 2 2 3 2 2 2 2 3 2" xfId="34459" xr:uid="{00000000-0005-0000-0000-000025010000}"/>
    <cellStyle name="Comma 2 2 2 3 2 2 2 2 4" xfId="24602" xr:uid="{00000000-0005-0000-0000-000026010000}"/>
    <cellStyle name="Comma 2 2 2 3 2 2 2 3" xfId="7348" xr:uid="{00000000-0005-0000-0000-000027010000}"/>
    <cellStyle name="Comma 2 2 2 3 2 2 2 3 2" xfId="17208" xr:uid="{00000000-0005-0000-0000-000028010000}"/>
    <cellStyle name="Comma 2 2 2 3 2 2 2 3 2 2" xfId="36923" xr:uid="{00000000-0005-0000-0000-000029010000}"/>
    <cellStyle name="Comma 2 2 2 3 2 2 2 3 3" xfId="27066" xr:uid="{00000000-0005-0000-0000-00002A010000}"/>
    <cellStyle name="Comma 2 2 2 3 2 2 2 4" xfId="12280" xr:uid="{00000000-0005-0000-0000-00002B010000}"/>
    <cellStyle name="Comma 2 2 2 3 2 2 2 4 2" xfId="31995" xr:uid="{00000000-0005-0000-0000-00002C010000}"/>
    <cellStyle name="Comma 2 2 2 3 2 2 2 5" xfId="22138" xr:uid="{00000000-0005-0000-0000-00002D010000}"/>
    <cellStyle name="Comma 2 2 2 3 2 2 3" xfId="3648" xr:uid="{00000000-0005-0000-0000-00002E010000}"/>
    <cellStyle name="Comma 2 2 2 3 2 2 3 2" xfId="8580" xr:uid="{00000000-0005-0000-0000-00002F010000}"/>
    <cellStyle name="Comma 2 2 2 3 2 2 3 2 2" xfId="18440" xr:uid="{00000000-0005-0000-0000-000030010000}"/>
    <cellStyle name="Comma 2 2 2 3 2 2 3 2 2 2" xfId="38155" xr:uid="{00000000-0005-0000-0000-000031010000}"/>
    <cellStyle name="Comma 2 2 2 3 2 2 3 2 3" xfId="28298" xr:uid="{00000000-0005-0000-0000-000032010000}"/>
    <cellStyle name="Comma 2 2 2 3 2 2 3 3" xfId="13512" xr:uid="{00000000-0005-0000-0000-000033010000}"/>
    <cellStyle name="Comma 2 2 2 3 2 2 3 3 2" xfId="33227" xr:uid="{00000000-0005-0000-0000-000034010000}"/>
    <cellStyle name="Comma 2 2 2 3 2 2 3 4" xfId="23370" xr:uid="{00000000-0005-0000-0000-000035010000}"/>
    <cellStyle name="Comma 2 2 2 3 2 2 4" xfId="6116" xr:uid="{00000000-0005-0000-0000-000036010000}"/>
    <cellStyle name="Comma 2 2 2 3 2 2 4 2" xfId="15976" xr:uid="{00000000-0005-0000-0000-000037010000}"/>
    <cellStyle name="Comma 2 2 2 3 2 2 4 2 2" xfId="35691" xr:uid="{00000000-0005-0000-0000-000038010000}"/>
    <cellStyle name="Comma 2 2 2 3 2 2 4 3" xfId="25834" xr:uid="{00000000-0005-0000-0000-000039010000}"/>
    <cellStyle name="Comma 2 2 2 3 2 2 5" xfId="11048" xr:uid="{00000000-0005-0000-0000-00003A010000}"/>
    <cellStyle name="Comma 2 2 2 3 2 2 5 2" xfId="30763" xr:uid="{00000000-0005-0000-0000-00003B010000}"/>
    <cellStyle name="Comma 2 2 2 3 2 2 6" xfId="20906" xr:uid="{00000000-0005-0000-0000-00003C010000}"/>
    <cellStyle name="Comma 2 2 2 3 2 3" xfId="1797" xr:uid="{00000000-0005-0000-0000-00003D010000}"/>
    <cellStyle name="Comma 2 2 2 3 2 3 2" xfId="4264" xr:uid="{00000000-0005-0000-0000-00003E010000}"/>
    <cellStyle name="Comma 2 2 2 3 2 3 2 2" xfId="9196" xr:uid="{00000000-0005-0000-0000-00003F010000}"/>
    <cellStyle name="Comma 2 2 2 3 2 3 2 2 2" xfId="19056" xr:uid="{00000000-0005-0000-0000-000040010000}"/>
    <cellStyle name="Comma 2 2 2 3 2 3 2 2 2 2" xfId="38771" xr:uid="{00000000-0005-0000-0000-000041010000}"/>
    <cellStyle name="Comma 2 2 2 3 2 3 2 2 3" xfId="28914" xr:uid="{00000000-0005-0000-0000-000042010000}"/>
    <cellStyle name="Comma 2 2 2 3 2 3 2 3" xfId="14128" xr:uid="{00000000-0005-0000-0000-000043010000}"/>
    <cellStyle name="Comma 2 2 2 3 2 3 2 3 2" xfId="33843" xr:uid="{00000000-0005-0000-0000-000044010000}"/>
    <cellStyle name="Comma 2 2 2 3 2 3 2 4" xfId="23986" xr:uid="{00000000-0005-0000-0000-000045010000}"/>
    <cellStyle name="Comma 2 2 2 3 2 3 3" xfId="6732" xr:uid="{00000000-0005-0000-0000-000046010000}"/>
    <cellStyle name="Comma 2 2 2 3 2 3 3 2" xfId="16592" xr:uid="{00000000-0005-0000-0000-000047010000}"/>
    <cellStyle name="Comma 2 2 2 3 2 3 3 2 2" xfId="36307" xr:uid="{00000000-0005-0000-0000-000048010000}"/>
    <cellStyle name="Comma 2 2 2 3 2 3 3 3" xfId="26450" xr:uid="{00000000-0005-0000-0000-000049010000}"/>
    <cellStyle name="Comma 2 2 2 3 2 3 4" xfId="11664" xr:uid="{00000000-0005-0000-0000-00004A010000}"/>
    <cellStyle name="Comma 2 2 2 3 2 3 4 2" xfId="31379" xr:uid="{00000000-0005-0000-0000-00004B010000}"/>
    <cellStyle name="Comma 2 2 2 3 2 3 5" xfId="21522" xr:uid="{00000000-0005-0000-0000-00004C010000}"/>
    <cellStyle name="Comma 2 2 2 3 2 4" xfId="3032" xr:uid="{00000000-0005-0000-0000-00004D010000}"/>
    <cellStyle name="Comma 2 2 2 3 2 4 2" xfId="7964" xr:uid="{00000000-0005-0000-0000-00004E010000}"/>
    <cellStyle name="Comma 2 2 2 3 2 4 2 2" xfId="17824" xr:uid="{00000000-0005-0000-0000-00004F010000}"/>
    <cellStyle name="Comma 2 2 2 3 2 4 2 2 2" xfId="37539" xr:uid="{00000000-0005-0000-0000-000050010000}"/>
    <cellStyle name="Comma 2 2 2 3 2 4 2 3" xfId="27682" xr:uid="{00000000-0005-0000-0000-000051010000}"/>
    <cellStyle name="Comma 2 2 2 3 2 4 3" xfId="12896" xr:uid="{00000000-0005-0000-0000-000052010000}"/>
    <cellStyle name="Comma 2 2 2 3 2 4 3 2" xfId="32611" xr:uid="{00000000-0005-0000-0000-000053010000}"/>
    <cellStyle name="Comma 2 2 2 3 2 4 4" xfId="22754" xr:uid="{00000000-0005-0000-0000-000054010000}"/>
    <cellStyle name="Comma 2 2 2 3 2 5" xfId="5500" xr:uid="{00000000-0005-0000-0000-000055010000}"/>
    <cellStyle name="Comma 2 2 2 3 2 5 2" xfId="15360" xr:uid="{00000000-0005-0000-0000-000056010000}"/>
    <cellStyle name="Comma 2 2 2 3 2 5 2 2" xfId="35075" xr:uid="{00000000-0005-0000-0000-000057010000}"/>
    <cellStyle name="Comma 2 2 2 3 2 5 3" xfId="25218" xr:uid="{00000000-0005-0000-0000-000058010000}"/>
    <cellStyle name="Comma 2 2 2 3 2 6" xfId="10432" xr:uid="{00000000-0005-0000-0000-000059010000}"/>
    <cellStyle name="Comma 2 2 2 3 2 6 2" xfId="30147" xr:uid="{00000000-0005-0000-0000-00005A010000}"/>
    <cellStyle name="Comma 2 2 2 3 2 7" xfId="20290" xr:uid="{00000000-0005-0000-0000-00005B010000}"/>
    <cellStyle name="Comma 2 2 2 3 3" xfId="871" xr:uid="{00000000-0005-0000-0000-00005C010000}"/>
    <cellStyle name="Comma 2 2 2 3 3 2" xfId="2107" xr:uid="{00000000-0005-0000-0000-00005D010000}"/>
    <cellStyle name="Comma 2 2 2 3 3 2 2" xfId="4574" xr:uid="{00000000-0005-0000-0000-00005E010000}"/>
    <cellStyle name="Comma 2 2 2 3 3 2 2 2" xfId="9506" xr:uid="{00000000-0005-0000-0000-00005F010000}"/>
    <cellStyle name="Comma 2 2 2 3 3 2 2 2 2" xfId="19366" xr:uid="{00000000-0005-0000-0000-000060010000}"/>
    <cellStyle name="Comma 2 2 2 3 3 2 2 2 2 2" xfId="39081" xr:uid="{00000000-0005-0000-0000-000061010000}"/>
    <cellStyle name="Comma 2 2 2 3 3 2 2 2 3" xfId="29224" xr:uid="{00000000-0005-0000-0000-000062010000}"/>
    <cellStyle name="Comma 2 2 2 3 3 2 2 3" xfId="14438" xr:uid="{00000000-0005-0000-0000-000063010000}"/>
    <cellStyle name="Comma 2 2 2 3 3 2 2 3 2" xfId="34153" xr:uid="{00000000-0005-0000-0000-000064010000}"/>
    <cellStyle name="Comma 2 2 2 3 3 2 2 4" xfId="24296" xr:uid="{00000000-0005-0000-0000-000065010000}"/>
    <cellStyle name="Comma 2 2 2 3 3 2 3" xfId="7042" xr:uid="{00000000-0005-0000-0000-000066010000}"/>
    <cellStyle name="Comma 2 2 2 3 3 2 3 2" xfId="16902" xr:uid="{00000000-0005-0000-0000-000067010000}"/>
    <cellStyle name="Comma 2 2 2 3 3 2 3 2 2" xfId="36617" xr:uid="{00000000-0005-0000-0000-000068010000}"/>
    <cellStyle name="Comma 2 2 2 3 3 2 3 3" xfId="26760" xr:uid="{00000000-0005-0000-0000-000069010000}"/>
    <cellStyle name="Comma 2 2 2 3 3 2 4" xfId="11974" xr:uid="{00000000-0005-0000-0000-00006A010000}"/>
    <cellStyle name="Comma 2 2 2 3 3 2 4 2" xfId="31689" xr:uid="{00000000-0005-0000-0000-00006B010000}"/>
    <cellStyle name="Comma 2 2 2 3 3 2 5" xfId="21832" xr:uid="{00000000-0005-0000-0000-00006C010000}"/>
    <cellStyle name="Comma 2 2 2 3 3 3" xfId="3342" xr:uid="{00000000-0005-0000-0000-00006D010000}"/>
    <cellStyle name="Comma 2 2 2 3 3 3 2" xfId="8274" xr:uid="{00000000-0005-0000-0000-00006E010000}"/>
    <cellStyle name="Comma 2 2 2 3 3 3 2 2" xfId="18134" xr:uid="{00000000-0005-0000-0000-00006F010000}"/>
    <cellStyle name="Comma 2 2 2 3 3 3 2 2 2" xfId="37849" xr:uid="{00000000-0005-0000-0000-000070010000}"/>
    <cellStyle name="Comma 2 2 2 3 3 3 2 3" xfId="27992" xr:uid="{00000000-0005-0000-0000-000071010000}"/>
    <cellStyle name="Comma 2 2 2 3 3 3 3" xfId="13206" xr:uid="{00000000-0005-0000-0000-000072010000}"/>
    <cellStyle name="Comma 2 2 2 3 3 3 3 2" xfId="32921" xr:uid="{00000000-0005-0000-0000-000073010000}"/>
    <cellStyle name="Comma 2 2 2 3 3 3 4" xfId="23064" xr:uid="{00000000-0005-0000-0000-000074010000}"/>
    <cellStyle name="Comma 2 2 2 3 3 4" xfId="5810" xr:uid="{00000000-0005-0000-0000-000075010000}"/>
    <cellStyle name="Comma 2 2 2 3 3 4 2" xfId="15670" xr:uid="{00000000-0005-0000-0000-000076010000}"/>
    <cellStyle name="Comma 2 2 2 3 3 4 2 2" xfId="35385" xr:uid="{00000000-0005-0000-0000-000077010000}"/>
    <cellStyle name="Comma 2 2 2 3 3 4 3" xfId="25528" xr:uid="{00000000-0005-0000-0000-000078010000}"/>
    <cellStyle name="Comma 2 2 2 3 3 5" xfId="10742" xr:uid="{00000000-0005-0000-0000-000079010000}"/>
    <cellStyle name="Comma 2 2 2 3 3 5 2" xfId="30457" xr:uid="{00000000-0005-0000-0000-00007A010000}"/>
    <cellStyle name="Comma 2 2 2 3 3 6" xfId="20600" xr:uid="{00000000-0005-0000-0000-00007B010000}"/>
    <cellStyle name="Comma 2 2 2 3 4" xfId="1491" xr:uid="{00000000-0005-0000-0000-00007C010000}"/>
    <cellStyle name="Comma 2 2 2 3 4 2" xfId="3958" xr:uid="{00000000-0005-0000-0000-00007D010000}"/>
    <cellStyle name="Comma 2 2 2 3 4 2 2" xfId="8890" xr:uid="{00000000-0005-0000-0000-00007E010000}"/>
    <cellStyle name="Comma 2 2 2 3 4 2 2 2" xfId="18750" xr:uid="{00000000-0005-0000-0000-00007F010000}"/>
    <cellStyle name="Comma 2 2 2 3 4 2 2 2 2" xfId="38465" xr:uid="{00000000-0005-0000-0000-000080010000}"/>
    <cellStyle name="Comma 2 2 2 3 4 2 2 3" xfId="28608" xr:uid="{00000000-0005-0000-0000-000081010000}"/>
    <cellStyle name="Comma 2 2 2 3 4 2 3" xfId="13822" xr:uid="{00000000-0005-0000-0000-000082010000}"/>
    <cellStyle name="Comma 2 2 2 3 4 2 3 2" xfId="33537" xr:uid="{00000000-0005-0000-0000-000083010000}"/>
    <cellStyle name="Comma 2 2 2 3 4 2 4" xfId="23680" xr:uid="{00000000-0005-0000-0000-000084010000}"/>
    <cellStyle name="Comma 2 2 2 3 4 3" xfId="6426" xr:uid="{00000000-0005-0000-0000-000085010000}"/>
    <cellStyle name="Comma 2 2 2 3 4 3 2" xfId="16286" xr:uid="{00000000-0005-0000-0000-000086010000}"/>
    <cellStyle name="Comma 2 2 2 3 4 3 2 2" xfId="36001" xr:uid="{00000000-0005-0000-0000-000087010000}"/>
    <cellStyle name="Comma 2 2 2 3 4 3 3" xfId="26144" xr:uid="{00000000-0005-0000-0000-000088010000}"/>
    <cellStyle name="Comma 2 2 2 3 4 4" xfId="11358" xr:uid="{00000000-0005-0000-0000-000089010000}"/>
    <cellStyle name="Comma 2 2 2 3 4 4 2" xfId="31073" xr:uid="{00000000-0005-0000-0000-00008A010000}"/>
    <cellStyle name="Comma 2 2 2 3 4 5" xfId="21216" xr:uid="{00000000-0005-0000-0000-00008B010000}"/>
    <cellStyle name="Comma 2 2 2 3 5" xfId="2726" xr:uid="{00000000-0005-0000-0000-00008C010000}"/>
    <cellStyle name="Comma 2 2 2 3 5 2" xfId="7658" xr:uid="{00000000-0005-0000-0000-00008D010000}"/>
    <cellStyle name="Comma 2 2 2 3 5 2 2" xfId="17518" xr:uid="{00000000-0005-0000-0000-00008E010000}"/>
    <cellStyle name="Comma 2 2 2 3 5 2 2 2" xfId="37233" xr:uid="{00000000-0005-0000-0000-00008F010000}"/>
    <cellStyle name="Comma 2 2 2 3 5 2 3" xfId="27376" xr:uid="{00000000-0005-0000-0000-000090010000}"/>
    <cellStyle name="Comma 2 2 2 3 5 3" xfId="12590" xr:uid="{00000000-0005-0000-0000-000091010000}"/>
    <cellStyle name="Comma 2 2 2 3 5 3 2" xfId="32305" xr:uid="{00000000-0005-0000-0000-000092010000}"/>
    <cellStyle name="Comma 2 2 2 3 5 4" xfId="22448" xr:uid="{00000000-0005-0000-0000-000093010000}"/>
    <cellStyle name="Comma 2 2 2 3 6" xfId="5194" xr:uid="{00000000-0005-0000-0000-000094010000}"/>
    <cellStyle name="Comma 2 2 2 3 6 2" xfId="15054" xr:uid="{00000000-0005-0000-0000-000095010000}"/>
    <cellStyle name="Comma 2 2 2 3 6 2 2" xfId="34769" xr:uid="{00000000-0005-0000-0000-000096010000}"/>
    <cellStyle name="Comma 2 2 2 3 6 3" xfId="24912" xr:uid="{00000000-0005-0000-0000-000097010000}"/>
    <cellStyle name="Comma 2 2 2 3 7" xfId="10126" xr:uid="{00000000-0005-0000-0000-000098010000}"/>
    <cellStyle name="Comma 2 2 2 3 7 2" xfId="29841" xr:uid="{00000000-0005-0000-0000-000099010000}"/>
    <cellStyle name="Comma 2 2 2 3 8" xfId="19984" xr:uid="{00000000-0005-0000-0000-00009A010000}"/>
    <cellStyle name="Comma 2 2 2 4" xfId="406" xr:uid="{00000000-0005-0000-0000-00009B010000}"/>
    <cellStyle name="Comma 2 2 2 4 2" xfId="1026" xr:uid="{00000000-0005-0000-0000-00009C010000}"/>
    <cellStyle name="Comma 2 2 2 4 2 2" xfId="2261" xr:uid="{00000000-0005-0000-0000-00009D010000}"/>
    <cellStyle name="Comma 2 2 2 4 2 2 2" xfId="4728" xr:uid="{00000000-0005-0000-0000-00009E010000}"/>
    <cellStyle name="Comma 2 2 2 4 2 2 2 2" xfId="9660" xr:uid="{00000000-0005-0000-0000-00009F010000}"/>
    <cellStyle name="Comma 2 2 2 4 2 2 2 2 2" xfId="19520" xr:uid="{00000000-0005-0000-0000-0000A0010000}"/>
    <cellStyle name="Comma 2 2 2 4 2 2 2 2 2 2" xfId="39235" xr:uid="{00000000-0005-0000-0000-0000A1010000}"/>
    <cellStyle name="Comma 2 2 2 4 2 2 2 2 3" xfId="29378" xr:uid="{00000000-0005-0000-0000-0000A2010000}"/>
    <cellStyle name="Comma 2 2 2 4 2 2 2 3" xfId="14592" xr:uid="{00000000-0005-0000-0000-0000A3010000}"/>
    <cellStyle name="Comma 2 2 2 4 2 2 2 3 2" xfId="34307" xr:uid="{00000000-0005-0000-0000-0000A4010000}"/>
    <cellStyle name="Comma 2 2 2 4 2 2 2 4" xfId="24450" xr:uid="{00000000-0005-0000-0000-0000A5010000}"/>
    <cellStyle name="Comma 2 2 2 4 2 2 3" xfId="7196" xr:uid="{00000000-0005-0000-0000-0000A6010000}"/>
    <cellStyle name="Comma 2 2 2 4 2 2 3 2" xfId="17056" xr:uid="{00000000-0005-0000-0000-0000A7010000}"/>
    <cellStyle name="Comma 2 2 2 4 2 2 3 2 2" xfId="36771" xr:uid="{00000000-0005-0000-0000-0000A8010000}"/>
    <cellStyle name="Comma 2 2 2 4 2 2 3 3" xfId="26914" xr:uid="{00000000-0005-0000-0000-0000A9010000}"/>
    <cellStyle name="Comma 2 2 2 4 2 2 4" xfId="12128" xr:uid="{00000000-0005-0000-0000-0000AA010000}"/>
    <cellStyle name="Comma 2 2 2 4 2 2 4 2" xfId="31843" xr:uid="{00000000-0005-0000-0000-0000AB010000}"/>
    <cellStyle name="Comma 2 2 2 4 2 2 5" xfId="21986" xr:uid="{00000000-0005-0000-0000-0000AC010000}"/>
    <cellStyle name="Comma 2 2 2 4 2 3" xfId="3496" xr:uid="{00000000-0005-0000-0000-0000AD010000}"/>
    <cellStyle name="Comma 2 2 2 4 2 3 2" xfId="8428" xr:uid="{00000000-0005-0000-0000-0000AE010000}"/>
    <cellStyle name="Comma 2 2 2 4 2 3 2 2" xfId="18288" xr:uid="{00000000-0005-0000-0000-0000AF010000}"/>
    <cellStyle name="Comma 2 2 2 4 2 3 2 2 2" xfId="38003" xr:uid="{00000000-0005-0000-0000-0000B0010000}"/>
    <cellStyle name="Comma 2 2 2 4 2 3 2 3" xfId="28146" xr:uid="{00000000-0005-0000-0000-0000B1010000}"/>
    <cellStyle name="Comma 2 2 2 4 2 3 3" xfId="13360" xr:uid="{00000000-0005-0000-0000-0000B2010000}"/>
    <cellStyle name="Comma 2 2 2 4 2 3 3 2" xfId="33075" xr:uid="{00000000-0005-0000-0000-0000B3010000}"/>
    <cellStyle name="Comma 2 2 2 4 2 3 4" xfId="23218" xr:uid="{00000000-0005-0000-0000-0000B4010000}"/>
    <cellStyle name="Comma 2 2 2 4 2 4" xfId="5964" xr:uid="{00000000-0005-0000-0000-0000B5010000}"/>
    <cellStyle name="Comma 2 2 2 4 2 4 2" xfId="15824" xr:uid="{00000000-0005-0000-0000-0000B6010000}"/>
    <cellStyle name="Comma 2 2 2 4 2 4 2 2" xfId="35539" xr:uid="{00000000-0005-0000-0000-0000B7010000}"/>
    <cellStyle name="Comma 2 2 2 4 2 4 3" xfId="25682" xr:uid="{00000000-0005-0000-0000-0000B8010000}"/>
    <cellStyle name="Comma 2 2 2 4 2 5" xfId="10896" xr:uid="{00000000-0005-0000-0000-0000B9010000}"/>
    <cellStyle name="Comma 2 2 2 4 2 5 2" xfId="30611" xr:uid="{00000000-0005-0000-0000-0000BA010000}"/>
    <cellStyle name="Comma 2 2 2 4 2 6" xfId="20754" xr:uid="{00000000-0005-0000-0000-0000BB010000}"/>
    <cellStyle name="Comma 2 2 2 4 3" xfId="1645" xr:uid="{00000000-0005-0000-0000-0000BC010000}"/>
    <cellStyle name="Comma 2 2 2 4 3 2" xfId="4112" xr:uid="{00000000-0005-0000-0000-0000BD010000}"/>
    <cellStyle name="Comma 2 2 2 4 3 2 2" xfId="9044" xr:uid="{00000000-0005-0000-0000-0000BE010000}"/>
    <cellStyle name="Comma 2 2 2 4 3 2 2 2" xfId="18904" xr:uid="{00000000-0005-0000-0000-0000BF010000}"/>
    <cellStyle name="Comma 2 2 2 4 3 2 2 2 2" xfId="38619" xr:uid="{00000000-0005-0000-0000-0000C0010000}"/>
    <cellStyle name="Comma 2 2 2 4 3 2 2 3" xfId="28762" xr:uid="{00000000-0005-0000-0000-0000C1010000}"/>
    <cellStyle name="Comma 2 2 2 4 3 2 3" xfId="13976" xr:uid="{00000000-0005-0000-0000-0000C2010000}"/>
    <cellStyle name="Comma 2 2 2 4 3 2 3 2" xfId="33691" xr:uid="{00000000-0005-0000-0000-0000C3010000}"/>
    <cellStyle name="Comma 2 2 2 4 3 2 4" xfId="23834" xr:uid="{00000000-0005-0000-0000-0000C4010000}"/>
    <cellStyle name="Comma 2 2 2 4 3 3" xfId="6580" xr:uid="{00000000-0005-0000-0000-0000C5010000}"/>
    <cellStyle name="Comma 2 2 2 4 3 3 2" xfId="16440" xr:uid="{00000000-0005-0000-0000-0000C6010000}"/>
    <cellStyle name="Comma 2 2 2 4 3 3 2 2" xfId="36155" xr:uid="{00000000-0005-0000-0000-0000C7010000}"/>
    <cellStyle name="Comma 2 2 2 4 3 3 3" xfId="26298" xr:uid="{00000000-0005-0000-0000-0000C8010000}"/>
    <cellStyle name="Comma 2 2 2 4 3 4" xfId="11512" xr:uid="{00000000-0005-0000-0000-0000C9010000}"/>
    <cellStyle name="Comma 2 2 2 4 3 4 2" xfId="31227" xr:uid="{00000000-0005-0000-0000-0000CA010000}"/>
    <cellStyle name="Comma 2 2 2 4 3 5" xfId="21370" xr:uid="{00000000-0005-0000-0000-0000CB010000}"/>
    <cellStyle name="Comma 2 2 2 4 4" xfId="2880" xr:uid="{00000000-0005-0000-0000-0000CC010000}"/>
    <cellStyle name="Comma 2 2 2 4 4 2" xfId="7812" xr:uid="{00000000-0005-0000-0000-0000CD010000}"/>
    <cellStyle name="Comma 2 2 2 4 4 2 2" xfId="17672" xr:uid="{00000000-0005-0000-0000-0000CE010000}"/>
    <cellStyle name="Comma 2 2 2 4 4 2 2 2" xfId="37387" xr:uid="{00000000-0005-0000-0000-0000CF010000}"/>
    <cellStyle name="Comma 2 2 2 4 4 2 3" xfId="27530" xr:uid="{00000000-0005-0000-0000-0000D0010000}"/>
    <cellStyle name="Comma 2 2 2 4 4 3" xfId="12744" xr:uid="{00000000-0005-0000-0000-0000D1010000}"/>
    <cellStyle name="Comma 2 2 2 4 4 3 2" xfId="32459" xr:uid="{00000000-0005-0000-0000-0000D2010000}"/>
    <cellStyle name="Comma 2 2 2 4 4 4" xfId="22602" xr:uid="{00000000-0005-0000-0000-0000D3010000}"/>
    <cellStyle name="Comma 2 2 2 4 5" xfId="5348" xr:uid="{00000000-0005-0000-0000-0000D4010000}"/>
    <cellStyle name="Comma 2 2 2 4 5 2" xfId="15208" xr:uid="{00000000-0005-0000-0000-0000D5010000}"/>
    <cellStyle name="Comma 2 2 2 4 5 2 2" xfId="34923" xr:uid="{00000000-0005-0000-0000-0000D6010000}"/>
    <cellStyle name="Comma 2 2 2 4 5 3" xfId="25066" xr:uid="{00000000-0005-0000-0000-0000D7010000}"/>
    <cellStyle name="Comma 2 2 2 4 6" xfId="10280" xr:uid="{00000000-0005-0000-0000-0000D8010000}"/>
    <cellStyle name="Comma 2 2 2 4 6 2" xfId="29995" xr:uid="{00000000-0005-0000-0000-0000D9010000}"/>
    <cellStyle name="Comma 2 2 2 4 7" xfId="20138" xr:uid="{00000000-0005-0000-0000-0000DA010000}"/>
    <cellStyle name="Comma 2 2 2 5" xfId="719" xr:uid="{00000000-0005-0000-0000-0000DB010000}"/>
    <cellStyle name="Comma 2 2 2 5 2" xfId="1955" xr:uid="{00000000-0005-0000-0000-0000DC010000}"/>
    <cellStyle name="Comma 2 2 2 5 2 2" xfId="4422" xr:uid="{00000000-0005-0000-0000-0000DD010000}"/>
    <cellStyle name="Comma 2 2 2 5 2 2 2" xfId="9354" xr:uid="{00000000-0005-0000-0000-0000DE010000}"/>
    <cellStyle name="Comma 2 2 2 5 2 2 2 2" xfId="19214" xr:uid="{00000000-0005-0000-0000-0000DF010000}"/>
    <cellStyle name="Comma 2 2 2 5 2 2 2 2 2" xfId="38929" xr:uid="{00000000-0005-0000-0000-0000E0010000}"/>
    <cellStyle name="Comma 2 2 2 5 2 2 2 3" xfId="29072" xr:uid="{00000000-0005-0000-0000-0000E1010000}"/>
    <cellStyle name="Comma 2 2 2 5 2 2 3" xfId="14286" xr:uid="{00000000-0005-0000-0000-0000E2010000}"/>
    <cellStyle name="Comma 2 2 2 5 2 2 3 2" xfId="34001" xr:uid="{00000000-0005-0000-0000-0000E3010000}"/>
    <cellStyle name="Comma 2 2 2 5 2 2 4" xfId="24144" xr:uid="{00000000-0005-0000-0000-0000E4010000}"/>
    <cellStyle name="Comma 2 2 2 5 2 3" xfId="6890" xr:uid="{00000000-0005-0000-0000-0000E5010000}"/>
    <cellStyle name="Comma 2 2 2 5 2 3 2" xfId="16750" xr:uid="{00000000-0005-0000-0000-0000E6010000}"/>
    <cellStyle name="Comma 2 2 2 5 2 3 2 2" xfId="36465" xr:uid="{00000000-0005-0000-0000-0000E7010000}"/>
    <cellStyle name="Comma 2 2 2 5 2 3 3" xfId="26608" xr:uid="{00000000-0005-0000-0000-0000E8010000}"/>
    <cellStyle name="Comma 2 2 2 5 2 4" xfId="11822" xr:uid="{00000000-0005-0000-0000-0000E9010000}"/>
    <cellStyle name="Comma 2 2 2 5 2 4 2" xfId="31537" xr:uid="{00000000-0005-0000-0000-0000EA010000}"/>
    <cellStyle name="Comma 2 2 2 5 2 5" xfId="21680" xr:uid="{00000000-0005-0000-0000-0000EB010000}"/>
    <cellStyle name="Comma 2 2 2 5 3" xfId="3190" xr:uid="{00000000-0005-0000-0000-0000EC010000}"/>
    <cellStyle name="Comma 2 2 2 5 3 2" xfId="8122" xr:uid="{00000000-0005-0000-0000-0000ED010000}"/>
    <cellStyle name="Comma 2 2 2 5 3 2 2" xfId="17982" xr:uid="{00000000-0005-0000-0000-0000EE010000}"/>
    <cellStyle name="Comma 2 2 2 5 3 2 2 2" xfId="37697" xr:uid="{00000000-0005-0000-0000-0000EF010000}"/>
    <cellStyle name="Comma 2 2 2 5 3 2 3" xfId="27840" xr:uid="{00000000-0005-0000-0000-0000F0010000}"/>
    <cellStyle name="Comma 2 2 2 5 3 3" xfId="13054" xr:uid="{00000000-0005-0000-0000-0000F1010000}"/>
    <cellStyle name="Comma 2 2 2 5 3 3 2" xfId="32769" xr:uid="{00000000-0005-0000-0000-0000F2010000}"/>
    <cellStyle name="Comma 2 2 2 5 3 4" xfId="22912" xr:uid="{00000000-0005-0000-0000-0000F3010000}"/>
    <cellStyle name="Comma 2 2 2 5 4" xfId="5658" xr:uid="{00000000-0005-0000-0000-0000F4010000}"/>
    <cellStyle name="Comma 2 2 2 5 4 2" xfId="15518" xr:uid="{00000000-0005-0000-0000-0000F5010000}"/>
    <cellStyle name="Comma 2 2 2 5 4 2 2" xfId="35233" xr:uid="{00000000-0005-0000-0000-0000F6010000}"/>
    <cellStyle name="Comma 2 2 2 5 4 3" xfId="25376" xr:uid="{00000000-0005-0000-0000-0000F7010000}"/>
    <cellStyle name="Comma 2 2 2 5 5" xfId="10590" xr:uid="{00000000-0005-0000-0000-0000F8010000}"/>
    <cellStyle name="Comma 2 2 2 5 5 2" xfId="30305" xr:uid="{00000000-0005-0000-0000-0000F9010000}"/>
    <cellStyle name="Comma 2 2 2 5 6" xfId="20448" xr:uid="{00000000-0005-0000-0000-0000FA010000}"/>
    <cellStyle name="Comma 2 2 2 6" xfId="1339" xr:uid="{00000000-0005-0000-0000-0000FB010000}"/>
    <cellStyle name="Comma 2 2 2 6 2" xfId="3806" xr:uid="{00000000-0005-0000-0000-0000FC010000}"/>
    <cellStyle name="Comma 2 2 2 6 2 2" xfId="8738" xr:uid="{00000000-0005-0000-0000-0000FD010000}"/>
    <cellStyle name="Comma 2 2 2 6 2 2 2" xfId="18598" xr:uid="{00000000-0005-0000-0000-0000FE010000}"/>
    <cellStyle name="Comma 2 2 2 6 2 2 2 2" xfId="38313" xr:uid="{00000000-0005-0000-0000-0000FF010000}"/>
    <cellStyle name="Comma 2 2 2 6 2 2 3" xfId="28456" xr:uid="{00000000-0005-0000-0000-000000020000}"/>
    <cellStyle name="Comma 2 2 2 6 2 3" xfId="13670" xr:uid="{00000000-0005-0000-0000-000001020000}"/>
    <cellStyle name="Comma 2 2 2 6 2 3 2" xfId="33385" xr:uid="{00000000-0005-0000-0000-000002020000}"/>
    <cellStyle name="Comma 2 2 2 6 2 4" xfId="23528" xr:uid="{00000000-0005-0000-0000-000003020000}"/>
    <cellStyle name="Comma 2 2 2 6 3" xfId="6274" xr:uid="{00000000-0005-0000-0000-000004020000}"/>
    <cellStyle name="Comma 2 2 2 6 3 2" xfId="16134" xr:uid="{00000000-0005-0000-0000-000005020000}"/>
    <cellStyle name="Comma 2 2 2 6 3 2 2" xfId="35849" xr:uid="{00000000-0005-0000-0000-000006020000}"/>
    <cellStyle name="Comma 2 2 2 6 3 3" xfId="25992" xr:uid="{00000000-0005-0000-0000-000007020000}"/>
    <cellStyle name="Comma 2 2 2 6 4" xfId="11206" xr:uid="{00000000-0005-0000-0000-000008020000}"/>
    <cellStyle name="Comma 2 2 2 6 4 2" xfId="30921" xr:uid="{00000000-0005-0000-0000-000009020000}"/>
    <cellStyle name="Comma 2 2 2 6 5" xfId="21064" xr:uid="{00000000-0005-0000-0000-00000A020000}"/>
    <cellStyle name="Comma 2 2 2 7" xfId="2574" xr:uid="{00000000-0005-0000-0000-00000B020000}"/>
    <cellStyle name="Comma 2 2 2 7 2" xfId="7506" xr:uid="{00000000-0005-0000-0000-00000C020000}"/>
    <cellStyle name="Comma 2 2 2 7 2 2" xfId="17366" xr:uid="{00000000-0005-0000-0000-00000D020000}"/>
    <cellStyle name="Comma 2 2 2 7 2 2 2" xfId="37081" xr:uid="{00000000-0005-0000-0000-00000E020000}"/>
    <cellStyle name="Comma 2 2 2 7 2 3" xfId="27224" xr:uid="{00000000-0005-0000-0000-00000F020000}"/>
    <cellStyle name="Comma 2 2 2 7 3" xfId="12438" xr:uid="{00000000-0005-0000-0000-000010020000}"/>
    <cellStyle name="Comma 2 2 2 7 3 2" xfId="32153" xr:uid="{00000000-0005-0000-0000-000011020000}"/>
    <cellStyle name="Comma 2 2 2 7 4" xfId="22296" xr:uid="{00000000-0005-0000-0000-000012020000}"/>
    <cellStyle name="Comma 2 2 2 8" xfId="5042" xr:uid="{00000000-0005-0000-0000-000013020000}"/>
    <cellStyle name="Comma 2 2 2 8 2" xfId="14902" xr:uid="{00000000-0005-0000-0000-000014020000}"/>
    <cellStyle name="Comma 2 2 2 8 2 2" xfId="34617" xr:uid="{00000000-0005-0000-0000-000015020000}"/>
    <cellStyle name="Comma 2 2 2 8 3" xfId="24760" xr:uid="{00000000-0005-0000-0000-000016020000}"/>
    <cellStyle name="Comma 2 2 2 9" xfId="9974" xr:uid="{00000000-0005-0000-0000-000017020000}"/>
    <cellStyle name="Comma 2 2 2 9 2" xfId="29689" xr:uid="{00000000-0005-0000-0000-000018020000}"/>
    <cellStyle name="Comma 2 2 3" xfId="125" xr:uid="{00000000-0005-0000-0000-000019020000}"/>
    <cellStyle name="Comma 2 2 3 2" xfId="282" xr:uid="{00000000-0005-0000-0000-00001A020000}"/>
    <cellStyle name="Comma 2 2 3 2 2" xfId="596" xr:uid="{00000000-0005-0000-0000-00001B020000}"/>
    <cellStyle name="Comma 2 2 3 2 2 2" xfId="1216" xr:uid="{00000000-0005-0000-0000-00001C020000}"/>
    <cellStyle name="Comma 2 2 3 2 2 2 2" xfId="2451" xr:uid="{00000000-0005-0000-0000-00001D020000}"/>
    <cellStyle name="Comma 2 2 3 2 2 2 2 2" xfId="4918" xr:uid="{00000000-0005-0000-0000-00001E020000}"/>
    <cellStyle name="Comma 2 2 3 2 2 2 2 2 2" xfId="9850" xr:uid="{00000000-0005-0000-0000-00001F020000}"/>
    <cellStyle name="Comma 2 2 3 2 2 2 2 2 2 2" xfId="19710" xr:uid="{00000000-0005-0000-0000-000020020000}"/>
    <cellStyle name="Comma 2 2 3 2 2 2 2 2 2 2 2" xfId="39425" xr:uid="{00000000-0005-0000-0000-000021020000}"/>
    <cellStyle name="Comma 2 2 3 2 2 2 2 2 2 3" xfId="29568" xr:uid="{00000000-0005-0000-0000-000022020000}"/>
    <cellStyle name="Comma 2 2 3 2 2 2 2 2 3" xfId="14782" xr:uid="{00000000-0005-0000-0000-000023020000}"/>
    <cellStyle name="Comma 2 2 3 2 2 2 2 2 3 2" xfId="34497" xr:uid="{00000000-0005-0000-0000-000024020000}"/>
    <cellStyle name="Comma 2 2 3 2 2 2 2 2 4" xfId="24640" xr:uid="{00000000-0005-0000-0000-000025020000}"/>
    <cellStyle name="Comma 2 2 3 2 2 2 2 3" xfId="7386" xr:uid="{00000000-0005-0000-0000-000026020000}"/>
    <cellStyle name="Comma 2 2 3 2 2 2 2 3 2" xfId="17246" xr:uid="{00000000-0005-0000-0000-000027020000}"/>
    <cellStyle name="Comma 2 2 3 2 2 2 2 3 2 2" xfId="36961" xr:uid="{00000000-0005-0000-0000-000028020000}"/>
    <cellStyle name="Comma 2 2 3 2 2 2 2 3 3" xfId="27104" xr:uid="{00000000-0005-0000-0000-000029020000}"/>
    <cellStyle name="Comma 2 2 3 2 2 2 2 4" xfId="12318" xr:uid="{00000000-0005-0000-0000-00002A020000}"/>
    <cellStyle name="Comma 2 2 3 2 2 2 2 4 2" xfId="32033" xr:uid="{00000000-0005-0000-0000-00002B020000}"/>
    <cellStyle name="Comma 2 2 3 2 2 2 2 5" xfId="22176" xr:uid="{00000000-0005-0000-0000-00002C020000}"/>
    <cellStyle name="Comma 2 2 3 2 2 2 3" xfId="3686" xr:uid="{00000000-0005-0000-0000-00002D020000}"/>
    <cellStyle name="Comma 2 2 3 2 2 2 3 2" xfId="8618" xr:uid="{00000000-0005-0000-0000-00002E020000}"/>
    <cellStyle name="Comma 2 2 3 2 2 2 3 2 2" xfId="18478" xr:uid="{00000000-0005-0000-0000-00002F020000}"/>
    <cellStyle name="Comma 2 2 3 2 2 2 3 2 2 2" xfId="38193" xr:uid="{00000000-0005-0000-0000-000030020000}"/>
    <cellStyle name="Comma 2 2 3 2 2 2 3 2 3" xfId="28336" xr:uid="{00000000-0005-0000-0000-000031020000}"/>
    <cellStyle name="Comma 2 2 3 2 2 2 3 3" xfId="13550" xr:uid="{00000000-0005-0000-0000-000032020000}"/>
    <cellStyle name="Comma 2 2 3 2 2 2 3 3 2" xfId="33265" xr:uid="{00000000-0005-0000-0000-000033020000}"/>
    <cellStyle name="Comma 2 2 3 2 2 2 3 4" xfId="23408" xr:uid="{00000000-0005-0000-0000-000034020000}"/>
    <cellStyle name="Comma 2 2 3 2 2 2 4" xfId="6154" xr:uid="{00000000-0005-0000-0000-000035020000}"/>
    <cellStyle name="Comma 2 2 3 2 2 2 4 2" xfId="16014" xr:uid="{00000000-0005-0000-0000-000036020000}"/>
    <cellStyle name="Comma 2 2 3 2 2 2 4 2 2" xfId="35729" xr:uid="{00000000-0005-0000-0000-000037020000}"/>
    <cellStyle name="Comma 2 2 3 2 2 2 4 3" xfId="25872" xr:uid="{00000000-0005-0000-0000-000038020000}"/>
    <cellStyle name="Comma 2 2 3 2 2 2 5" xfId="11086" xr:uid="{00000000-0005-0000-0000-000039020000}"/>
    <cellStyle name="Comma 2 2 3 2 2 2 5 2" xfId="30801" xr:uid="{00000000-0005-0000-0000-00003A020000}"/>
    <cellStyle name="Comma 2 2 3 2 2 2 6" xfId="20944" xr:uid="{00000000-0005-0000-0000-00003B020000}"/>
    <cellStyle name="Comma 2 2 3 2 2 3" xfId="1835" xr:uid="{00000000-0005-0000-0000-00003C020000}"/>
    <cellStyle name="Comma 2 2 3 2 2 3 2" xfId="4302" xr:uid="{00000000-0005-0000-0000-00003D020000}"/>
    <cellStyle name="Comma 2 2 3 2 2 3 2 2" xfId="9234" xr:uid="{00000000-0005-0000-0000-00003E020000}"/>
    <cellStyle name="Comma 2 2 3 2 2 3 2 2 2" xfId="19094" xr:uid="{00000000-0005-0000-0000-00003F020000}"/>
    <cellStyle name="Comma 2 2 3 2 2 3 2 2 2 2" xfId="38809" xr:uid="{00000000-0005-0000-0000-000040020000}"/>
    <cellStyle name="Comma 2 2 3 2 2 3 2 2 3" xfId="28952" xr:uid="{00000000-0005-0000-0000-000041020000}"/>
    <cellStyle name="Comma 2 2 3 2 2 3 2 3" xfId="14166" xr:uid="{00000000-0005-0000-0000-000042020000}"/>
    <cellStyle name="Comma 2 2 3 2 2 3 2 3 2" xfId="33881" xr:uid="{00000000-0005-0000-0000-000043020000}"/>
    <cellStyle name="Comma 2 2 3 2 2 3 2 4" xfId="24024" xr:uid="{00000000-0005-0000-0000-000044020000}"/>
    <cellStyle name="Comma 2 2 3 2 2 3 3" xfId="6770" xr:uid="{00000000-0005-0000-0000-000045020000}"/>
    <cellStyle name="Comma 2 2 3 2 2 3 3 2" xfId="16630" xr:uid="{00000000-0005-0000-0000-000046020000}"/>
    <cellStyle name="Comma 2 2 3 2 2 3 3 2 2" xfId="36345" xr:uid="{00000000-0005-0000-0000-000047020000}"/>
    <cellStyle name="Comma 2 2 3 2 2 3 3 3" xfId="26488" xr:uid="{00000000-0005-0000-0000-000048020000}"/>
    <cellStyle name="Comma 2 2 3 2 2 3 4" xfId="11702" xr:uid="{00000000-0005-0000-0000-000049020000}"/>
    <cellStyle name="Comma 2 2 3 2 2 3 4 2" xfId="31417" xr:uid="{00000000-0005-0000-0000-00004A020000}"/>
    <cellStyle name="Comma 2 2 3 2 2 3 5" xfId="21560" xr:uid="{00000000-0005-0000-0000-00004B020000}"/>
    <cellStyle name="Comma 2 2 3 2 2 4" xfId="3070" xr:uid="{00000000-0005-0000-0000-00004C020000}"/>
    <cellStyle name="Comma 2 2 3 2 2 4 2" xfId="8002" xr:uid="{00000000-0005-0000-0000-00004D020000}"/>
    <cellStyle name="Comma 2 2 3 2 2 4 2 2" xfId="17862" xr:uid="{00000000-0005-0000-0000-00004E020000}"/>
    <cellStyle name="Comma 2 2 3 2 2 4 2 2 2" xfId="37577" xr:uid="{00000000-0005-0000-0000-00004F020000}"/>
    <cellStyle name="Comma 2 2 3 2 2 4 2 3" xfId="27720" xr:uid="{00000000-0005-0000-0000-000050020000}"/>
    <cellStyle name="Comma 2 2 3 2 2 4 3" xfId="12934" xr:uid="{00000000-0005-0000-0000-000051020000}"/>
    <cellStyle name="Comma 2 2 3 2 2 4 3 2" xfId="32649" xr:uid="{00000000-0005-0000-0000-000052020000}"/>
    <cellStyle name="Comma 2 2 3 2 2 4 4" xfId="22792" xr:uid="{00000000-0005-0000-0000-000053020000}"/>
    <cellStyle name="Comma 2 2 3 2 2 5" xfId="5538" xr:uid="{00000000-0005-0000-0000-000054020000}"/>
    <cellStyle name="Comma 2 2 3 2 2 5 2" xfId="15398" xr:uid="{00000000-0005-0000-0000-000055020000}"/>
    <cellStyle name="Comma 2 2 3 2 2 5 2 2" xfId="35113" xr:uid="{00000000-0005-0000-0000-000056020000}"/>
    <cellStyle name="Comma 2 2 3 2 2 5 3" xfId="25256" xr:uid="{00000000-0005-0000-0000-000057020000}"/>
    <cellStyle name="Comma 2 2 3 2 2 6" xfId="10470" xr:uid="{00000000-0005-0000-0000-000058020000}"/>
    <cellStyle name="Comma 2 2 3 2 2 6 2" xfId="30185" xr:uid="{00000000-0005-0000-0000-000059020000}"/>
    <cellStyle name="Comma 2 2 3 2 2 7" xfId="20328" xr:uid="{00000000-0005-0000-0000-00005A020000}"/>
    <cellStyle name="Comma 2 2 3 2 3" xfId="909" xr:uid="{00000000-0005-0000-0000-00005B020000}"/>
    <cellStyle name="Comma 2 2 3 2 3 2" xfId="2145" xr:uid="{00000000-0005-0000-0000-00005C020000}"/>
    <cellStyle name="Comma 2 2 3 2 3 2 2" xfId="4612" xr:uid="{00000000-0005-0000-0000-00005D020000}"/>
    <cellStyle name="Comma 2 2 3 2 3 2 2 2" xfId="9544" xr:uid="{00000000-0005-0000-0000-00005E020000}"/>
    <cellStyle name="Comma 2 2 3 2 3 2 2 2 2" xfId="19404" xr:uid="{00000000-0005-0000-0000-00005F020000}"/>
    <cellStyle name="Comma 2 2 3 2 3 2 2 2 2 2" xfId="39119" xr:uid="{00000000-0005-0000-0000-000060020000}"/>
    <cellStyle name="Comma 2 2 3 2 3 2 2 2 3" xfId="29262" xr:uid="{00000000-0005-0000-0000-000061020000}"/>
    <cellStyle name="Comma 2 2 3 2 3 2 2 3" xfId="14476" xr:uid="{00000000-0005-0000-0000-000062020000}"/>
    <cellStyle name="Comma 2 2 3 2 3 2 2 3 2" xfId="34191" xr:uid="{00000000-0005-0000-0000-000063020000}"/>
    <cellStyle name="Comma 2 2 3 2 3 2 2 4" xfId="24334" xr:uid="{00000000-0005-0000-0000-000064020000}"/>
    <cellStyle name="Comma 2 2 3 2 3 2 3" xfId="7080" xr:uid="{00000000-0005-0000-0000-000065020000}"/>
    <cellStyle name="Comma 2 2 3 2 3 2 3 2" xfId="16940" xr:uid="{00000000-0005-0000-0000-000066020000}"/>
    <cellStyle name="Comma 2 2 3 2 3 2 3 2 2" xfId="36655" xr:uid="{00000000-0005-0000-0000-000067020000}"/>
    <cellStyle name="Comma 2 2 3 2 3 2 3 3" xfId="26798" xr:uid="{00000000-0005-0000-0000-000068020000}"/>
    <cellStyle name="Comma 2 2 3 2 3 2 4" xfId="12012" xr:uid="{00000000-0005-0000-0000-000069020000}"/>
    <cellStyle name="Comma 2 2 3 2 3 2 4 2" xfId="31727" xr:uid="{00000000-0005-0000-0000-00006A020000}"/>
    <cellStyle name="Comma 2 2 3 2 3 2 5" xfId="21870" xr:uid="{00000000-0005-0000-0000-00006B020000}"/>
    <cellStyle name="Comma 2 2 3 2 3 3" xfId="3380" xr:uid="{00000000-0005-0000-0000-00006C020000}"/>
    <cellStyle name="Comma 2 2 3 2 3 3 2" xfId="8312" xr:uid="{00000000-0005-0000-0000-00006D020000}"/>
    <cellStyle name="Comma 2 2 3 2 3 3 2 2" xfId="18172" xr:uid="{00000000-0005-0000-0000-00006E020000}"/>
    <cellStyle name="Comma 2 2 3 2 3 3 2 2 2" xfId="37887" xr:uid="{00000000-0005-0000-0000-00006F020000}"/>
    <cellStyle name="Comma 2 2 3 2 3 3 2 3" xfId="28030" xr:uid="{00000000-0005-0000-0000-000070020000}"/>
    <cellStyle name="Comma 2 2 3 2 3 3 3" xfId="13244" xr:uid="{00000000-0005-0000-0000-000071020000}"/>
    <cellStyle name="Comma 2 2 3 2 3 3 3 2" xfId="32959" xr:uid="{00000000-0005-0000-0000-000072020000}"/>
    <cellStyle name="Comma 2 2 3 2 3 3 4" xfId="23102" xr:uid="{00000000-0005-0000-0000-000073020000}"/>
    <cellStyle name="Comma 2 2 3 2 3 4" xfId="5848" xr:uid="{00000000-0005-0000-0000-000074020000}"/>
    <cellStyle name="Comma 2 2 3 2 3 4 2" xfId="15708" xr:uid="{00000000-0005-0000-0000-000075020000}"/>
    <cellStyle name="Comma 2 2 3 2 3 4 2 2" xfId="35423" xr:uid="{00000000-0005-0000-0000-000076020000}"/>
    <cellStyle name="Comma 2 2 3 2 3 4 3" xfId="25566" xr:uid="{00000000-0005-0000-0000-000077020000}"/>
    <cellStyle name="Comma 2 2 3 2 3 5" xfId="10780" xr:uid="{00000000-0005-0000-0000-000078020000}"/>
    <cellStyle name="Comma 2 2 3 2 3 5 2" xfId="30495" xr:uid="{00000000-0005-0000-0000-000079020000}"/>
    <cellStyle name="Comma 2 2 3 2 3 6" xfId="20638" xr:uid="{00000000-0005-0000-0000-00007A020000}"/>
    <cellStyle name="Comma 2 2 3 2 4" xfId="1529" xr:uid="{00000000-0005-0000-0000-00007B020000}"/>
    <cellStyle name="Comma 2 2 3 2 4 2" xfId="3996" xr:uid="{00000000-0005-0000-0000-00007C020000}"/>
    <cellStyle name="Comma 2 2 3 2 4 2 2" xfId="8928" xr:uid="{00000000-0005-0000-0000-00007D020000}"/>
    <cellStyle name="Comma 2 2 3 2 4 2 2 2" xfId="18788" xr:uid="{00000000-0005-0000-0000-00007E020000}"/>
    <cellStyle name="Comma 2 2 3 2 4 2 2 2 2" xfId="38503" xr:uid="{00000000-0005-0000-0000-00007F020000}"/>
    <cellStyle name="Comma 2 2 3 2 4 2 2 3" xfId="28646" xr:uid="{00000000-0005-0000-0000-000080020000}"/>
    <cellStyle name="Comma 2 2 3 2 4 2 3" xfId="13860" xr:uid="{00000000-0005-0000-0000-000081020000}"/>
    <cellStyle name="Comma 2 2 3 2 4 2 3 2" xfId="33575" xr:uid="{00000000-0005-0000-0000-000082020000}"/>
    <cellStyle name="Comma 2 2 3 2 4 2 4" xfId="23718" xr:uid="{00000000-0005-0000-0000-000083020000}"/>
    <cellStyle name="Comma 2 2 3 2 4 3" xfId="6464" xr:uid="{00000000-0005-0000-0000-000084020000}"/>
    <cellStyle name="Comma 2 2 3 2 4 3 2" xfId="16324" xr:uid="{00000000-0005-0000-0000-000085020000}"/>
    <cellStyle name="Comma 2 2 3 2 4 3 2 2" xfId="36039" xr:uid="{00000000-0005-0000-0000-000086020000}"/>
    <cellStyle name="Comma 2 2 3 2 4 3 3" xfId="26182" xr:uid="{00000000-0005-0000-0000-000087020000}"/>
    <cellStyle name="Comma 2 2 3 2 4 4" xfId="11396" xr:uid="{00000000-0005-0000-0000-000088020000}"/>
    <cellStyle name="Comma 2 2 3 2 4 4 2" xfId="31111" xr:uid="{00000000-0005-0000-0000-000089020000}"/>
    <cellStyle name="Comma 2 2 3 2 4 5" xfId="21254" xr:uid="{00000000-0005-0000-0000-00008A020000}"/>
    <cellStyle name="Comma 2 2 3 2 5" xfId="2764" xr:uid="{00000000-0005-0000-0000-00008B020000}"/>
    <cellStyle name="Comma 2 2 3 2 5 2" xfId="7696" xr:uid="{00000000-0005-0000-0000-00008C020000}"/>
    <cellStyle name="Comma 2 2 3 2 5 2 2" xfId="17556" xr:uid="{00000000-0005-0000-0000-00008D020000}"/>
    <cellStyle name="Comma 2 2 3 2 5 2 2 2" xfId="37271" xr:uid="{00000000-0005-0000-0000-00008E020000}"/>
    <cellStyle name="Comma 2 2 3 2 5 2 3" xfId="27414" xr:uid="{00000000-0005-0000-0000-00008F020000}"/>
    <cellStyle name="Comma 2 2 3 2 5 3" xfId="12628" xr:uid="{00000000-0005-0000-0000-000090020000}"/>
    <cellStyle name="Comma 2 2 3 2 5 3 2" xfId="32343" xr:uid="{00000000-0005-0000-0000-000091020000}"/>
    <cellStyle name="Comma 2 2 3 2 5 4" xfId="22486" xr:uid="{00000000-0005-0000-0000-000092020000}"/>
    <cellStyle name="Comma 2 2 3 2 6" xfId="5232" xr:uid="{00000000-0005-0000-0000-000093020000}"/>
    <cellStyle name="Comma 2 2 3 2 6 2" xfId="15092" xr:uid="{00000000-0005-0000-0000-000094020000}"/>
    <cellStyle name="Comma 2 2 3 2 6 2 2" xfId="34807" xr:uid="{00000000-0005-0000-0000-000095020000}"/>
    <cellStyle name="Comma 2 2 3 2 6 3" xfId="24950" xr:uid="{00000000-0005-0000-0000-000096020000}"/>
    <cellStyle name="Comma 2 2 3 2 7" xfId="10164" xr:uid="{00000000-0005-0000-0000-000097020000}"/>
    <cellStyle name="Comma 2 2 3 2 7 2" xfId="29879" xr:uid="{00000000-0005-0000-0000-000098020000}"/>
    <cellStyle name="Comma 2 2 3 2 8" xfId="20022" xr:uid="{00000000-0005-0000-0000-000099020000}"/>
    <cellStyle name="Comma 2 2 3 3" xfId="444" xr:uid="{00000000-0005-0000-0000-00009A020000}"/>
    <cellStyle name="Comma 2 2 3 3 2" xfId="1064" xr:uid="{00000000-0005-0000-0000-00009B020000}"/>
    <cellStyle name="Comma 2 2 3 3 2 2" xfId="2299" xr:uid="{00000000-0005-0000-0000-00009C020000}"/>
    <cellStyle name="Comma 2 2 3 3 2 2 2" xfId="4766" xr:uid="{00000000-0005-0000-0000-00009D020000}"/>
    <cellStyle name="Comma 2 2 3 3 2 2 2 2" xfId="9698" xr:uid="{00000000-0005-0000-0000-00009E020000}"/>
    <cellStyle name="Comma 2 2 3 3 2 2 2 2 2" xfId="19558" xr:uid="{00000000-0005-0000-0000-00009F020000}"/>
    <cellStyle name="Comma 2 2 3 3 2 2 2 2 2 2" xfId="39273" xr:uid="{00000000-0005-0000-0000-0000A0020000}"/>
    <cellStyle name="Comma 2 2 3 3 2 2 2 2 3" xfId="29416" xr:uid="{00000000-0005-0000-0000-0000A1020000}"/>
    <cellStyle name="Comma 2 2 3 3 2 2 2 3" xfId="14630" xr:uid="{00000000-0005-0000-0000-0000A2020000}"/>
    <cellStyle name="Comma 2 2 3 3 2 2 2 3 2" xfId="34345" xr:uid="{00000000-0005-0000-0000-0000A3020000}"/>
    <cellStyle name="Comma 2 2 3 3 2 2 2 4" xfId="24488" xr:uid="{00000000-0005-0000-0000-0000A4020000}"/>
    <cellStyle name="Comma 2 2 3 3 2 2 3" xfId="7234" xr:uid="{00000000-0005-0000-0000-0000A5020000}"/>
    <cellStyle name="Comma 2 2 3 3 2 2 3 2" xfId="17094" xr:uid="{00000000-0005-0000-0000-0000A6020000}"/>
    <cellStyle name="Comma 2 2 3 3 2 2 3 2 2" xfId="36809" xr:uid="{00000000-0005-0000-0000-0000A7020000}"/>
    <cellStyle name="Comma 2 2 3 3 2 2 3 3" xfId="26952" xr:uid="{00000000-0005-0000-0000-0000A8020000}"/>
    <cellStyle name="Comma 2 2 3 3 2 2 4" xfId="12166" xr:uid="{00000000-0005-0000-0000-0000A9020000}"/>
    <cellStyle name="Comma 2 2 3 3 2 2 4 2" xfId="31881" xr:uid="{00000000-0005-0000-0000-0000AA020000}"/>
    <cellStyle name="Comma 2 2 3 3 2 2 5" xfId="22024" xr:uid="{00000000-0005-0000-0000-0000AB020000}"/>
    <cellStyle name="Comma 2 2 3 3 2 3" xfId="3534" xr:uid="{00000000-0005-0000-0000-0000AC020000}"/>
    <cellStyle name="Comma 2 2 3 3 2 3 2" xfId="8466" xr:uid="{00000000-0005-0000-0000-0000AD020000}"/>
    <cellStyle name="Comma 2 2 3 3 2 3 2 2" xfId="18326" xr:uid="{00000000-0005-0000-0000-0000AE020000}"/>
    <cellStyle name="Comma 2 2 3 3 2 3 2 2 2" xfId="38041" xr:uid="{00000000-0005-0000-0000-0000AF020000}"/>
    <cellStyle name="Comma 2 2 3 3 2 3 2 3" xfId="28184" xr:uid="{00000000-0005-0000-0000-0000B0020000}"/>
    <cellStyle name="Comma 2 2 3 3 2 3 3" xfId="13398" xr:uid="{00000000-0005-0000-0000-0000B1020000}"/>
    <cellStyle name="Comma 2 2 3 3 2 3 3 2" xfId="33113" xr:uid="{00000000-0005-0000-0000-0000B2020000}"/>
    <cellStyle name="Comma 2 2 3 3 2 3 4" xfId="23256" xr:uid="{00000000-0005-0000-0000-0000B3020000}"/>
    <cellStyle name="Comma 2 2 3 3 2 4" xfId="6002" xr:uid="{00000000-0005-0000-0000-0000B4020000}"/>
    <cellStyle name="Comma 2 2 3 3 2 4 2" xfId="15862" xr:uid="{00000000-0005-0000-0000-0000B5020000}"/>
    <cellStyle name="Comma 2 2 3 3 2 4 2 2" xfId="35577" xr:uid="{00000000-0005-0000-0000-0000B6020000}"/>
    <cellStyle name="Comma 2 2 3 3 2 4 3" xfId="25720" xr:uid="{00000000-0005-0000-0000-0000B7020000}"/>
    <cellStyle name="Comma 2 2 3 3 2 5" xfId="10934" xr:uid="{00000000-0005-0000-0000-0000B8020000}"/>
    <cellStyle name="Comma 2 2 3 3 2 5 2" xfId="30649" xr:uid="{00000000-0005-0000-0000-0000B9020000}"/>
    <cellStyle name="Comma 2 2 3 3 2 6" xfId="20792" xr:uid="{00000000-0005-0000-0000-0000BA020000}"/>
    <cellStyle name="Comma 2 2 3 3 3" xfId="1683" xr:uid="{00000000-0005-0000-0000-0000BB020000}"/>
    <cellStyle name="Comma 2 2 3 3 3 2" xfId="4150" xr:uid="{00000000-0005-0000-0000-0000BC020000}"/>
    <cellStyle name="Comma 2 2 3 3 3 2 2" xfId="9082" xr:uid="{00000000-0005-0000-0000-0000BD020000}"/>
    <cellStyle name="Comma 2 2 3 3 3 2 2 2" xfId="18942" xr:uid="{00000000-0005-0000-0000-0000BE020000}"/>
    <cellStyle name="Comma 2 2 3 3 3 2 2 2 2" xfId="38657" xr:uid="{00000000-0005-0000-0000-0000BF020000}"/>
    <cellStyle name="Comma 2 2 3 3 3 2 2 3" xfId="28800" xr:uid="{00000000-0005-0000-0000-0000C0020000}"/>
    <cellStyle name="Comma 2 2 3 3 3 2 3" xfId="14014" xr:uid="{00000000-0005-0000-0000-0000C1020000}"/>
    <cellStyle name="Comma 2 2 3 3 3 2 3 2" xfId="33729" xr:uid="{00000000-0005-0000-0000-0000C2020000}"/>
    <cellStyle name="Comma 2 2 3 3 3 2 4" xfId="23872" xr:uid="{00000000-0005-0000-0000-0000C3020000}"/>
    <cellStyle name="Comma 2 2 3 3 3 3" xfId="6618" xr:uid="{00000000-0005-0000-0000-0000C4020000}"/>
    <cellStyle name="Comma 2 2 3 3 3 3 2" xfId="16478" xr:uid="{00000000-0005-0000-0000-0000C5020000}"/>
    <cellStyle name="Comma 2 2 3 3 3 3 2 2" xfId="36193" xr:uid="{00000000-0005-0000-0000-0000C6020000}"/>
    <cellStyle name="Comma 2 2 3 3 3 3 3" xfId="26336" xr:uid="{00000000-0005-0000-0000-0000C7020000}"/>
    <cellStyle name="Comma 2 2 3 3 3 4" xfId="11550" xr:uid="{00000000-0005-0000-0000-0000C8020000}"/>
    <cellStyle name="Comma 2 2 3 3 3 4 2" xfId="31265" xr:uid="{00000000-0005-0000-0000-0000C9020000}"/>
    <cellStyle name="Comma 2 2 3 3 3 5" xfId="21408" xr:uid="{00000000-0005-0000-0000-0000CA020000}"/>
    <cellStyle name="Comma 2 2 3 3 4" xfId="2918" xr:uid="{00000000-0005-0000-0000-0000CB020000}"/>
    <cellStyle name="Comma 2 2 3 3 4 2" xfId="7850" xr:uid="{00000000-0005-0000-0000-0000CC020000}"/>
    <cellStyle name="Comma 2 2 3 3 4 2 2" xfId="17710" xr:uid="{00000000-0005-0000-0000-0000CD020000}"/>
    <cellStyle name="Comma 2 2 3 3 4 2 2 2" xfId="37425" xr:uid="{00000000-0005-0000-0000-0000CE020000}"/>
    <cellStyle name="Comma 2 2 3 3 4 2 3" xfId="27568" xr:uid="{00000000-0005-0000-0000-0000CF020000}"/>
    <cellStyle name="Comma 2 2 3 3 4 3" xfId="12782" xr:uid="{00000000-0005-0000-0000-0000D0020000}"/>
    <cellStyle name="Comma 2 2 3 3 4 3 2" xfId="32497" xr:uid="{00000000-0005-0000-0000-0000D1020000}"/>
    <cellStyle name="Comma 2 2 3 3 4 4" xfId="22640" xr:uid="{00000000-0005-0000-0000-0000D2020000}"/>
    <cellStyle name="Comma 2 2 3 3 5" xfId="5386" xr:uid="{00000000-0005-0000-0000-0000D3020000}"/>
    <cellStyle name="Comma 2 2 3 3 5 2" xfId="15246" xr:uid="{00000000-0005-0000-0000-0000D4020000}"/>
    <cellStyle name="Comma 2 2 3 3 5 2 2" xfId="34961" xr:uid="{00000000-0005-0000-0000-0000D5020000}"/>
    <cellStyle name="Comma 2 2 3 3 5 3" xfId="25104" xr:uid="{00000000-0005-0000-0000-0000D6020000}"/>
    <cellStyle name="Comma 2 2 3 3 6" xfId="10318" xr:uid="{00000000-0005-0000-0000-0000D7020000}"/>
    <cellStyle name="Comma 2 2 3 3 6 2" xfId="30033" xr:uid="{00000000-0005-0000-0000-0000D8020000}"/>
    <cellStyle name="Comma 2 2 3 3 7" xfId="20176" xr:uid="{00000000-0005-0000-0000-0000D9020000}"/>
    <cellStyle name="Comma 2 2 3 4" xfId="757" xr:uid="{00000000-0005-0000-0000-0000DA020000}"/>
    <cellStyle name="Comma 2 2 3 4 2" xfId="1993" xr:uid="{00000000-0005-0000-0000-0000DB020000}"/>
    <cellStyle name="Comma 2 2 3 4 2 2" xfId="4460" xr:uid="{00000000-0005-0000-0000-0000DC020000}"/>
    <cellStyle name="Comma 2 2 3 4 2 2 2" xfId="9392" xr:uid="{00000000-0005-0000-0000-0000DD020000}"/>
    <cellStyle name="Comma 2 2 3 4 2 2 2 2" xfId="19252" xr:uid="{00000000-0005-0000-0000-0000DE020000}"/>
    <cellStyle name="Comma 2 2 3 4 2 2 2 2 2" xfId="38967" xr:uid="{00000000-0005-0000-0000-0000DF020000}"/>
    <cellStyle name="Comma 2 2 3 4 2 2 2 3" xfId="29110" xr:uid="{00000000-0005-0000-0000-0000E0020000}"/>
    <cellStyle name="Comma 2 2 3 4 2 2 3" xfId="14324" xr:uid="{00000000-0005-0000-0000-0000E1020000}"/>
    <cellStyle name="Comma 2 2 3 4 2 2 3 2" xfId="34039" xr:uid="{00000000-0005-0000-0000-0000E2020000}"/>
    <cellStyle name="Comma 2 2 3 4 2 2 4" xfId="24182" xr:uid="{00000000-0005-0000-0000-0000E3020000}"/>
    <cellStyle name="Comma 2 2 3 4 2 3" xfId="6928" xr:uid="{00000000-0005-0000-0000-0000E4020000}"/>
    <cellStyle name="Comma 2 2 3 4 2 3 2" xfId="16788" xr:uid="{00000000-0005-0000-0000-0000E5020000}"/>
    <cellStyle name="Comma 2 2 3 4 2 3 2 2" xfId="36503" xr:uid="{00000000-0005-0000-0000-0000E6020000}"/>
    <cellStyle name="Comma 2 2 3 4 2 3 3" xfId="26646" xr:uid="{00000000-0005-0000-0000-0000E7020000}"/>
    <cellStyle name="Comma 2 2 3 4 2 4" xfId="11860" xr:uid="{00000000-0005-0000-0000-0000E8020000}"/>
    <cellStyle name="Comma 2 2 3 4 2 4 2" xfId="31575" xr:uid="{00000000-0005-0000-0000-0000E9020000}"/>
    <cellStyle name="Comma 2 2 3 4 2 5" xfId="21718" xr:uid="{00000000-0005-0000-0000-0000EA020000}"/>
    <cellStyle name="Comma 2 2 3 4 3" xfId="3228" xr:uid="{00000000-0005-0000-0000-0000EB020000}"/>
    <cellStyle name="Comma 2 2 3 4 3 2" xfId="8160" xr:uid="{00000000-0005-0000-0000-0000EC020000}"/>
    <cellStyle name="Comma 2 2 3 4 3 2 2" xfId="18020" xr:uid="{00000000-0005-0000-0000-0000ED020000}"/>
    <cellStyle name="Comma 2 2 3 4 3 2 2 2" xfId="37735" xr:uid="{00000000-0005-0000-0000-0000EE020000}"/>
    <cellStyle name="Comma 2 2 3 4 3 2 3" xfId="27878" xr:uid="{00000000-0005-0000-0000-0000EF020000}"/>
    <cellStyle name="Comma 2 2 3 4 3 3" xfId="13092" xr:uid="{00000000-0005-0000-0000-0000F0020000}"/>
    <cellStyle name="Comma 2 2 3 4 3 3 2" xfId="32807" xr:uid="{00000000-0005-0000-0000-0000F1020000}"/>
    <cellStyle name="Comma 2 2 3 4 3 4" xfId="22950" xr:uid="{00000000-0005-0000-0000-0000F2020000}"/>
    <cellStyle name="Comma 2 2 3 4 4" xfId="5696" xr:uid="{00000000-0005-0000-0000-0000F3020000}"/>
    <cellStyle name="Comma 2 2 3 4 4 2" xfId="15556" xr:uid="{00000000-0005-0000-0000-0000F4020000}"/>
    <cellStyle name="Comma 2 2 3 4 4 2 2" xfId="35271" xr:uid="{00000000-0005-0000-0000-0000F5020000}"/>
    <cellStyle name="Comma 2 2 3 4 4 3" xfId="25414" xr:uid="{00000000-0005-0000-0000-0000F6020000}"/>
    <cellStyle name="Comma 2 2 3 4 5" xfId="10628" xr:uid="{00000000-0005-0000-0000-0000F7020000}"/>
    <cellStyle name="Comma 2 2 3 4 5 2" xfId="30343" xr:uid="{00000000-0005-0000-0000-0000F8020000}"/>
    <cellStyle name="Comma 2 2 3 4 6" xfId="20486" xr:uid="{00000000-0005-0000-0000-0000F9020000}"/>
    <cellStyle name="Comma 2 2 3 5" xfId="1377" xr:uid="{00000000-0005-0000-0000-0000FA020000}"/>
    <cellStyle name="Comma 2 2 3 5 2" xfId="3844" xr:uid="{00000000-0005-0000-0000-0000FB020000}"/>
    <cellStyle name="Comma 2 2 3 5 2 2" xfId="8776" xr:uid="{00000000-0005-0000-0000-0000FC020000}"/>
    <cellStyle name="Comma 2 2 3 5 2 2 2" xfId="18636" xr:uid="{00000000-0005-0000-0000-0000FD020000}"/>
    <cellStyle name="Comma 2 2 3 5 2 2 2 2" xfId="38351" xr:uid="{00000000-0005-0000-0000-0000FE020000}"/>
    <cellStyle name="Comma 2 2 3 5 2 2 3" xfId="28494" xr:uid="{00000000-0005-0000-0000-0000FF020000}"/>
    <cellStyle name="Comma 2 2 3 5 2 3" xfId="13708" xr:uid="{00000000-0005-0000-0000-000000030000}"/>
    <cellStyle name="Comma 2 2 3 5 2 3 2" xfId="33423" xr:uid="{00000000-0005-0000-0000-000001030000}"/>
    <cellStyle name="Comma 2 2 3 5 2 4" xfId="23566" xr:uid="{00000000-0005-0000-0000-000002030000}"/>
    <cellStyle name="Comma 2 2 3 5 3" xfId="6312" xr:uid="{00000000-0005-0000-0000-000003030000}"/>
    <cellStyle name="Comma 2 2 3 5 3 2" xfId="16172" xr:uid="{00000000-0005-0000-0000-000004030000}"/>
    <cellStyle name="Comma 2 2 3 5 3 2 2" xfId="35887" xr:uid="{00000000-0005-0000-0000-000005030000}"/>
    <cellStyle name="Comma 2 2 3 5 3 3" xfId="26030" xr:uid="{00000000-0005-0000-0000-000006030000}"/>
    <cellStyle name="Comma 2 2 3 5 4" xfId="11244" xr:uid="{00000000-0005-0000-0000-000007030000}"/>
    <cellStyle name="Comma 2 2 3 5 4 2" xfId="30959" xr:uid="{00000000-0005-0000-0000-000008030000}"/>
    <cellStyle name="Comma 2 2 3 5 5" xfId="21102" xr:uid="{00000000-0005-0000-0000-000009030000}"/>
    <cellStyle name="Comma 2 2 3 6" xfId="2612" xr:uid="{00000000-0005-0000-0000-00000A030000}"/>
    <cellStyle name="Comma 2 2 3 6 2" xfId="7544" xr:uid="{00000000-0005-0000-0000-00000B030000}"/>
    <cellStyle name="Comma 2 2 3 6 2 2" xfId="17404" xr:uid="{00000000-0005-0000-0000-00000C030000}"/>
    <cellStyle name="Comma 2 2 3 6 2 2 2" xfId="37119" xr:uid="{00000000-0005-0000-0000-00000D030000}"/>
    <cellStyle name="Comma 2 2 3 6 2 3" xfId="27262" xr:uid="{00000000-0005-0000-0000-00000E030000}"/>
    <cellStyle name="Comma 2 2 3 6 3" xfId="12476" xr:uid="{00000000-0005-0000-0000-00000F030000}"/>
    <cellStyle name="Comma 2 2 3 6 3 2" xfId="32191" xr:uid="{00000000-0005-0000-0000-000010030000}"/>
    <cellStyle name="Comma 2 2 3 6 4" xfId="22334" xr:uid="{00000000-0005-0000-0000-000011030000}"/>
    <cellStyle name="Comma 2 2 3 7" xfId="5080" xr:uid="{00000000-0005-0000-0000-000012030000}"/>
    <cellStyle name="Comma 2 2 3 7 2" xfId="14940" xr:uid="{00000000-0005-0000-0000-000013030000}"/>
    <cellStyle name="Comma 2 2 3 7 2 2" xfId="34655" xr:uid="{00000000-0005-0000-0000-000014030000}"/>
    <cellStyle name="Comma 2 2 3 7 3" xfId="24798" xr:uid="{00000000-0005-0000-0000-000015030000}"/>
    <cellStyle name="Comma 2 2 3 8" xfId="10012" xr:uid="{00000000-0005-0000-0000-000016030000}"/>
    <cellStyle name="Comma 2 2 3 8 2" xfId="29727" xr:uid="{00000000-0005-0000-0000-000017030000}"/>
    <cellStyle name="Comma 2 2 3 9" xfId="19870" xr:uid="{00000000-0005-0000-0000-000018030000}"/>
    <cellStyle name="Comma 2 2 4" xfId="206" xr:uid="{00000000-0005-0000-0000-000019030000}"/>
    <cellStyle name="Comma 2 2 4 2" xfId="520" xr:uid="{00000000-0005-0000-0000-00001A030000}"/>
    <cellStyle name="Comma 2 2 4 2 2" xfId="1140" xr:uid="{00000000-0005-0000-0000-00001B030000}"/>
    <cellStyle name="Comma 2 2 4 2 2 2" xfId="2375" xr:uid="{00000000-0005-0000-0000-00001C030000}"/>
    <cellStyle name="Comma 2 2 4 2 2 2 2" xfId="4842" xr:uid="{00000000-0005-0000-0000-00001D030000}"/>
    <cellStyle name="Comma 2 2 4 2 2 2 2 2" xfId="9774" xr:uid="{00000000-0005-0000-0000-00001E030000}"/>
    <cellStyle name="Comma 2 2 4 2 2 2 2 2 2" xfId="19634" xr:uid="{00000000-0005-0000-0000-00001F030000}"/>
    <cellStyle name="Comma 2 2 4 2 2 2 2 2 2 2" xfId="39349" xr:uid="{00000000-0005-0000-0000-000020030000}"/>
    <cellStyle name="Comma 2 2 4 2 2 2 2 2 3" xfId="29492" xr:uid="{00000000-0005-0000-0000-000021030000}"/>
    <cellStyle name="Comma 2 2 4 2 2 2 2 3" xfId="14706" xr:uid="{00000000-0005-0000-0000-000022030000}"/>
    <cellStyle name="Comma 2 2 4 2 2 2 2 3 2" xfId="34421" xr:uid="{00000000-0005-0000-0000-000023030000}"/>
    <cellStyle name="Comma 2 2 4 2 2 2 2 4" xfId="24564" xr:uid="{00000000-0005-0000-0000-000024030000}"/>
    <cellStyle name="Comma 2 2 4 2 2 2 3" xfId="7310" xr:uid="{00000000-0005-0000-0000-000025030000}"/>
    <cellStyle name="Comma 2 2 4 2 2 2 3 2" xfId="17170" xr:uid="{00000000-0005-0000-0000-000026030000}"/>
    <cellStyle name="Comma 2 2 4 2 2 2 3 2 2" xfId="36885" xr:uid="{00000000-0005-0000-0000-000027030000}"/>
    <cellStyle name="Comma 2 2 4 2 2 2 3 3" xfId="27028" xr:uid="{00000000-0005-0000-0000-000028030000}"/>
    <cellStyle name="Comma 2 2 4 2 2 2 4" xfId="12242" xr:uid="{00000000-0005-0000-0000-000029030000}"/>
    <cellStyle name="Comma 2 2 4 2 2 2 4 2" xfId="31957" xr:uid="{00000000-0005-0000-0000-00002A030000}"/>
    <cellStyle name="Comma 2 2 4 2 2 2 5" xfId="22100" xr:uid="{00000000-0005-0000-0000-00002B030000}"/>
    <cellStyle name="Comma 2 2 4 2 2 3" xfId="3610" xr:uid="{00000000-0005-0000-0000-00002C030000}"/>
    <cellStyle name="Comma 2 2 4 2 2 3 2" xfId="8542" xr:uid="{00000000-0005-0000-0000-00002D030000}"/>
    <cellStyle name="Comma 2 2 4 2 2 3 2 2" xfId="18402" xr:uid="{00000000-0005-0000-0000-00002E030000}"/>
    <cellStyle name="Comma 2 2 4 2 2 3 2 2 2" xfId="38117" xr:uid="{00000000-0005-0000-0000-00002F030000}"/>
    <cellStyle name="Comma 2 2 4 2 2 3 2 3" xfId="28260" xr:uid="{00000000-0005-0000-0000-000030030000}"/>
    <cellStyle name="Comma 2 2 4 2 2 3 3" xfId="13474" xr:uid="{00000000-0005-0000-0000-000031030000}"/>
    <cellStyle name="Comma 2 2 4 2 2 3 3 2" xfId="33189" xr:uid="{00000000-0005-0000-0000-000032030000}"/>
    <cellStyle name="Comma 2 2 4 2 2 3 4" xfId="23332" xr:uid="{00000000-0005-0000-0000-000033030000}"/>
    <cellStyle name="Comma 2 2 4 2 2 4" xfId="6078" xr:uid="{00000000-0005-0000-0000-000034030000}"/>
    <cellStyle name="Comma 2 2 4 2 2 4 2" xfId="15938" xr:uid="{00000000-0005-0000-0000-000035030000}"/>
    <cellStyle name="Comma 2 2 4 2 2 4 2 2" xfId="35653" xr:uid="{00000000-0005-0000-0000-000036030000}"/>
    <cellStyle name="Comma 2 2 4 2 2 4 3" xfId="25796" xr:uid="{00000000-0005-0000-0000-000037030000}"/>
    <cellStyle name="Comma 2 2 4 2 2 5" xfId="11010" xr:uid="{00000000-0005-0000-0000-000038030000}"/>
    <cellStyle name="Comma 2 2 4 2 2 5 2" xfId="30725" xr:uid="{00000000-0005-0000-0000-000039030000}"/>
    <cellStyle name="Comma 2 2 4 2 2 6" xfId="20868" xr:uid="{00000000-0005-0000-0000-00003A030000}"/>
    <cellStyle name="Comma 2 2 4 2 3" xfId="1759" xr:uid="{00000000-0005-0000-0000-00003B030000}"/>
    <cellStyle name="Comma 2 2 4 2 3 2" xfId="4226" xr:uid="{00000000-0005-0000-0000-00003C030000}"/>
    <cellStyle name="Comma 2 2 4 2 3 2 2" xfId="9158" xr:uid="{00000000-0005-0000-0000-00003D030000}"/>
    <cellStyle name="Comma 2 2 4 2 3 2 2 2" xfId="19018" xr:uid="{00000000-0005-0000-0000-00003E030000}"/>
    <cellStyle name="Comma 2 2 4 2 3 2 2 2 2" xfId="38733" xr:uid="{00000000-0005-0000-0000-00003F030000}"/>
    <cellStyle name="Comma 2 2 4 2 3 2 2 3" xfId="28876" xr:uid="{00000000-0005-0000-0000-000040030000}"/>
    <cellStyle name="Comma 2 2 4 2 3 2 3" xfId="14090" xr:uid="{00000000-0005-0000-0000-000041030000}"/>
    <cellStyle name="Comma 2 2 4 2 3 2 3 2" xfId="33805" xr:uid="{00000000-0005-0000-0000-000042030000}"/>
    <cellStyle name="Comma 2 2 4 2 3 2 4" xfId="23948" xr:uid="{00000000-0005-0000-0000-000043030000}"/>
    <cellStyle name="Comma 2 2 4 2 3 3" xfId="6694" xr:uid="{00000000-0005-0000-0000-000044030000}"/>
    <cellStyle name="Comma 2 2 4 2 3 3 2" xfId="16554" xr:uid="{00000000-0005-0000-0000-000045030000}"/>
    <cellStyle name="Comma 2 2 4 2 3 3 2 2" xfId="36269" xr:uid="{00000000-0005-0000-0000-000046030000}"/>
    <cellStyle name="Comma 2 2 4 2 3 3 3" xfId="26412" xr:uid="{00000000-0005-0000-0000-000047030000}"/>
    <cellStyle name="Comma 2 2 4 2 3 4" xfId="11626" xr:uid="{00000000-0005-0000-0000-000048030000}"/>
    <cellStyle name="Comma 2 2 4 2 3 4 2" xfId="31341" xr:uid="{00000000-0005-0000-0000-000049030000}"/>
    <cellStyle name="Comma 2 2 4 2 3 5" xfId="21484" xr:uid="{00000000-0005-0000-0000-00004A030000}"/>
    <cellStyle name="Comma 2 2 4 2 4" xfId="2994" xr:uid="{00000000-0005-0000-0000-00004B030000}"/>
    <cellStyle name="Comma 2 2 4 2 4 2" xfId="7926" xr:uid="{00000000-0005-0000-0000-00004C030000}"/>
    <cellStyle name="Comma 2 2 4 2 4 2 2" xfId="17786" xr:uid="{00000000-0005-0000-0000-00004D030000}"/>
    <cellStyle name="Comma 2 2 4 2 4 2 2 2" xfId="37501" xr:uid="{00000000-0005-0000-0000-00004E030000}"/>
    <cellStyle name="Comma 2 2 4 2 4 2 3" xfId="27644" xr:uid="{00000000-0005-0000-0000-00004F030000}"/>
    <cellStyle name="Comma 2 2 4 2 4 3" xfId="12858" xr:uid="{00000000-0005-0000-0000-000050030000}"/>
    <cellStyle name="Comma 2 2 4 2 4 3 2" xfId="32573" xr:uid="{00000000-0005-0000-0000-000051030000}"/>
    <cellStyle name="Comma 2 2 4 2 4 4" xfId="22716" xr:uid="{00000000-0005-0000-0000-000052030000}"/>
    <cellStyle name="Comma 2 2 4 2 5" xfId="5462" xr:uid="{00000000-0005-0000-0000-000053030000}"/>
    <cellStyle name="Comma 2 2 4 2 5 2" xfId="15322" xr:uid="{00000000-0005-0000-0000-000054030000}"/>
    <cellStyle name="Comma 2 2 4 2 5 2 2" xfId="35037" xr:uid="{00000000-0005-0000-0000-000055030000}"/>
    <cellStyle name="Comma 2 2 4 2 5 3" xfId="25180" xr:uid="{00000000-0005-0000-0000-000056030000}"/>
    <cellStyle name="Comma 2 2 4 2 6" xfId="10394" xr:uid="{00000000-0005-0000-0000-000057030000}"/>
    <cellStyle name="Comma 2 2 4 2 6 2" xfId="30109" xr:uid="{00000000-0005-0000-0000-000058030000}"/>
    <cellStyle name="Comma 2 2 4 2 7" xfId="20252" xr:uid="{00000000-0005-0000-0000-000059030000}"/>
    <cellStyle name="Comma 2 2 4 3" xfId="833" xr:uid="{00000000-0005-0000-0000-00005A030000}"/>
    <cellStyle name="Comma 2 2 4 3 2" xfId="2069" xr:uid="{00000000-0005-0000-0000-00005B030000}"/>
    <cellStyle name="Comma 2 2 4 3 2 2" xfId="4536" xr:uid="{00000000-0005-0000-0000-00005C030000}"/>
    <cellStyle name="Comma 2 2 4 3 2 2 2" xfId="9468" xr:uid="{00000000-0005-0000-0000-00005D030000}"/>
    <cellStyle name="Comma 2 2 4 3 2 2 2 2" xfId="19328" xr:uid="{00000000-0005-0000-0000-00005E030000}"/>
    <cellStyle name="Comma 2 2 4 3 2 2 2 2 2" xfId="39043" xr:uid="{00000000-0005-0000-0000-00005F030000}"/>
    <cellStyle name="Comma 2 2 4 3 2 2 2 3" xfId="29186" xr:uid="{00000000-0005-0000-0000-000060030000}"/>
    <cellStyle name="Comma 2 2 4 3 2 2 3" xfId="14400" xr:uid="{00000000-0005-0000-0000-000061030000}"/>
    <cellStyle name="Comma 2 2 4 3 2 2 3 2" xfId="34115" xr:uid="{00000000-0005-0000-0000-000062030000}"/>
    <cellStyle name="Comma 2 2 4 3 2 2 4" xfId="24258" xr:uid="{00000000-0005-0000-0000-000063030000}"/>
    <cellStyle name="Comma 2 2 4 3 2 3" xfId="7004" xr:uid="{00000000-0005-0000-0000-000064030000}"/>
    <cellStyle name="Comma 2 2 4 3 2 3 2" xfId="16864" xr:uid="{00000000-0005-0000-0000-000065030000}"/>
    <cellStyle name="Comma 2 2 4 3 2 3 2 2" xfId="36579" xr:uid="{00000000-0005-0000-0000-000066030000}"/>
    <cellStyle name="Comma 2 2 4 3 2 3 3" xfId="26722" xr:uid="{00000000-0005-0000-0000-000067030000}"/>
    <cellStyle name="Comma 2 2 4 3 2 4" xfId="11936" xr:uid="{00000000-0005-0000-0000-000068030000}"/>
    <cellStyle name="Comma 2 2 4 3 2 4 2" xfId="31651" xr:uid="{00000000-0005-0000-0000-000069030000}"/>
    <cellStyle name="Comma 2 2 4 3 2 5" xfId="21794" xr:uid="{00000000-0005-0000-0000-00006A030000}"/>
    <cellStyle name="Comma 2 2 4 3 3" xfId="3304" xr:uid="{00000000-0005-0000-0000-00006B030000}"/>
    <cellStyle name="Comma 2 2 4 3 3 2" xfId="8236" xr:uid="{00000000-0005-0000-0000-00006C030000}"/>
    <cellStyle name="Comma 2 2 4 3 3 2 2" xfId="18096" xr:uid="{00000000-0005-0000-0000-00006D030000}"/>
    <cellStyle name="Comma 2 2 4 3 3 2 2 2" xfId="37811" xr:uid="{00000000-0005-0000-0000-00006E030000}"/>
    <cellStyle name="Comma 2 2 4 3 3 2 3" xfId="27954" xr:uid="{00000000-0005-0000-0000-00006F030000}"/>
    <cellStyle name="Comma 2 2 4 3 3 3" xfId="13168" xr:uid="{00000000-0005-0000-0000-000070030000}"/>
    <cellStyle name="Comma 2 2 4 3 3 3 2" xfId="32883" xr:uid="{00000000-0005-0000-0000-000071030000}"/>
    <cellStyle name="Comma 2 2 4 3 3 4" xfId="23026" xr:uid="{00000000-0005-0000-0000-000072030000}"/>
    <cellStyle name="Comma 2 2 4 3 4" xfId="5772" xr:uid="{00000000-0005-0000-0000-000073030000}"/>
    <cellStyle name="Comma 2 2 4 3 4 2" xfId="15632" xr:uid="{00000000-0005-0000-0000-000074030000}"/>
    <cellStyle name="Comma 2 2 4 3 4 2 2" xfId="35347" xr:uid="{00000000-0005-0000-0000-000075030000}"/>
    <cellStyle name="Comma 2 2 4 3 4 3" xfId="25490" xr:uid="{00000000-0005-0000-0000-000076030000}"/>
    <cellStyle name="Comma 2 2 4 3 5" xfId="10704" xr:uid="{00000000-0005-0000-0000-000077030000}"/>
    <cellStyle name="Comma 2 2 4 3 5 2" xfId="30419" xr:uid="{00000000-0005-0000-0000-000078030000}"/>
    <cellStyle name="Comma 2 2 4 3 6" xfId="20562" xr:uid="{00000000-0005-0000-0000-000079030000}"/>
    <cellStyle name="Comma 2 2 4 4" xfId="1453" xr:uid="{00000000-0005-0000-0000-00007A030000}"/>
    <cellStyle name="Comma 2 2 4 4 2" xfId="3920" xr:uid="{00000000-0005-0000-0000-00007B030000}"/>
    <cellStyle name="Comma 2 2 4 4 2 2" xfId="8852" xr:uid="{00000000-0005-0000-0000-00007C030000}"/>
    <cellStyle name="Comma 2 2 4 4 2 2 2" xfId="18712" xr:uid="{00000000-0005-0000-0000-00007D030000}"/>
    <cellStyle name="Comma 2 2 4 4 2 2 2 2" xfId="38427" xr:uid="{00000000-0005-0000-0000-00007E030000}"/>
    <cellStyle name="Comma 2 2 4 4 2 2 3" xfId="28570" xr:uid="{00000000-0005-0000-0000-00007F030000}"/>
    <cellStyle name="Comma 2 2 4 4 2 3" xfId="13784" xr:uid="{00000000-0005-0000-0000-000080030000}"/>
    <cellStyle name="Comma 2 2 4 4 2 3 2" xfId="33499" xr:uid="{00000000-0005-0000-0000-000081030000}"/>
    <cellStyle name="Comma 2 2 4 4 2 4" xfId="23642" xr:uid="{00000000-0005-0000-0000-000082030000}"/>
    <cellStyle name="Comma 2 2 4 4 3" xfId="6388" xr:uid="{00000000-0005-0000-0000-000083030000}"/>
    <cellStyle name="Comma 2 2 4 4 3 2" xfId="16248" xr:uid="{00000000-0005-0000-0000-000084030000}"/>
    <cellStyle name="Comma 2 2 4 4 3 2 2" xfId="35963" xr:uid="{00000000-0005-0000-0000-000085030000}"/>
    <cellStyle name="Comma 2 2 4 4 3 3" xfId="26106" xr:uid="{00000000-0005-0000-0000-000086030000}"/>
    <cellStyle name="Comma 2 2 4 4 4" xfId="11320" xr:uid="{00000000-0005-0000-0000-000087030000}"/>
    <cellStyle name="Comma 2 2 4 4 4 2" xfId="31035" xr:uid="{00000000-0005-0000-0000-000088030000}"/>
    <cellStyle name="Comma 2 2 4 4 5" xfId="21178" xr:uid="{00000000-0005-0000-0000-000089030000}"/>
    <cellStyle name="Comma 2 2 4 5" xfId="2688" xr:uid="{00000000-0005-0000-0000-00008A030000}"/>
    <cellStyle name="Comma 2 2 4 5 2" xfId="7620" xr:uid="{00000000-0005-0000-0000-00008B030000}"/>
    <cellStyle name="Comma 2 2 4 5 2 2" xfId="17480" xr:uid="{00000000-0005-0000-0000-00008C030000}"/>
    <cellStyle name="Comma 2 2 4 5 2 2 2" xfId="37195" xr:uid="{00000000-0005-0000-0000-00008D030000}"/>
    <cellStyle name="Comma 2 2 4 5 2 3" xfId="27338" xr:uid="{00000000-0005-0000-0000-00008E030000}"/>
    <cellStyle name="Comma 2 2 4 5 3" xfId="12552" xr:uid="{00000000-0005-0000-0000-00008F030000}"/>
    <cellStyle name="Comma 2 2 4 5 3 2" xfId="32267" xr:uid="{00000000-0005-0000-0000-000090030000}"/>
    <cellStyle name="Comma 2 2 4 5 4" xfId="22410" xr:uid="{00000000-0005-0000-0000-000091030000}"/>
    <cellStyle name="Comma 2 2 4 6" xfId="5156" xr:uid="{00000000-0005-0000-0000-000092030000}"/>
    <cellStyle name="Comma 2 2 4 6 2" xfId="15016" xr:uid="{00000000-0005-0000-0000-000093030000}"/>
    <cellStyle name="Comma 2 2 4 6 2 2" xfId="34731" xr:uid="{00000000-0005-0000-0000-000094030000}"/>
    <cellStyle name="Comma 2 2 4 6 3" xfId="24874" xr:uid="{00000000-0005-0000-0000-000095030000}"/>
    <cellStyle name="Comma 2 2 4 7" xfId="10088" xr:uid="{00000000-0005-0000-0000-000096030000}"/>
    <cellStyle name="Comma 2 2 4 7 2" xfId="29803" xr:uid="{00000000-0005-0000-0000-000097030000}"/>
    <cellStyle name="Comma 2 2 4 8" xfId="19946" xr:uid="{00000000-0005-0000-0000-000098030000}"/>
    <cellStyle name="Comma 2 2 5" xfId="368" xr:uid="{00000000-0005-0000-0000-000099030000}"/>
    <cellStyle name="Comma 2 2 5 2" xfId="988" xr:uid="{00000000-0005-0000-0000-00009A030000}"/>
    <cellStyle name="Comma 2 2 5 2 2" xfId="2223" xr:uid="{00000000-0005-0000-0000-00009B030000}"/>
    <cellStyle name="Comma 2 2 5 2 2 2" xfId="4690" xr:uid="{00000000-0005-0000-0000-00009C030000}"/>
    <cellStyle name="Comma 2 2 5 2 2 2 2" xfId="9622" xr:uid="{00000000-0005-0000-0000-00009D030000}"/>
    <cellStyle name="Comma 2 2 5 2 2 2 2 2" xfId="19482" xr:uid="{00000000-0005-0000-0000-00009E030000}"/>
    <cellStyle name="Comma 2 2 5 2 2 2 2 2 2" xfId="39197" xr:uid="{00000000-0005-0000-0000-00009F030000}"/>
    <cellStyle name="Comma 2 2 5 2 2 2 2 3" xfId="29340" xr:uid="{00000000-0005-0000-0000-0000A0030000}"/>
    <cellStyle name="Comma 2 2 5 2 2 2 3" xfId="14554" xr:uid="{00000000-0005-0000-0000-0000A1030000}"/>
    <cellStyle name="Comma 2 2 5 2 2 2 3 2" xfId="34269" xr:uid="{00000000-0005-0000-0000-0000A2030000}"/>
    <cellStyle name="Comma 2 2 5 2 2 2 4" xfId="24412" xr:uid="{00000000-0005-0000-0000-0000A3030000}"/>
    <cellStyle name="Comma 2 2 5 2 2 3" xfId="7158" xr:uid="{00000000-0005-0000-0000-0000A4030000}"/>
    <cellStyle name="Comma 2 2 5 2 2 3 2" xfId="17018" xr:uid="{00000000-0005-0000-0000-0000A5030000}"/>
    <cellStyle name="Comma 2 2 5 2 2 3 2 2" xfId="36733" xr:uid="{00000000-0005-0000-0000-0000A6030000}"/>
    <cellStyle name="Comma 2 2 5 2 2 3 3" xfId="26876" xr:uid="{00000000-0005-0000-0000-0000A7030000}"/>
    <cellStyle name="Comma 2 2 5 2 2 4" xfId="12090" xr:uid="{00000000-0005-0000-0000-0000A8030000}"/>
    <cellStyle name="Comma 2 2 5 2 2 4 2" xfId="31805" xr:uid="{00000000-0005-0000-0000-0000A9030000}"/>
    <cellStyle name="Comma 2 2 5 2 2 5" xfId="21948" xr:uid="{00000000-0005-0000-0000-0000AA030000}"/>
    <cellStyle name="Comma 2 2 5 2 3" xfId="3458" xr:uid="{00000000-0005-0000-0000-0000AB030000}"/>
    <cellStyle name="Comma 2 2 5 2 3 2" xfId="8390" xr:uid="{00000000-0005-0000-0000-0000AC030000}"/>
    <cellStyle name="Comma 2 2 5 2 3 2 2" xfId="18250" xr:uid="{00000000-0005-0000-0000-0000AD030000}"/>
    <cellStyle name="Comma 2 2 5 2 3 2 2 2" xfId="37965" xr:uid="{00000000-0005-0000-0000-0000AE030000}"/>
    <cellStyle name="Comma 2 2 5 2 3 2 3" xfId="28108" xr:uid="{00000000-0005-0000-0000-0000AF030000}"/>
    <cellStyle name="Comma 2 2 5 2 3 3" xfId="13322" xr:uid="{00000000-0005-0000-0000-0000B0030000}"/>
    <cellStyle name="Comma 2 2 5 2 3 3 2" xfId="33037" xr:uid="{00000000-0005-0000-0000-0000B1030000}"/>
    <cellStyle name="Comma 2 2 5 2 3 4" xfId="23180" xr:uid="{00000000-0005-0000-0000-0000B2030000}"/>
    <cellStyle name="Comma 2 2 5 2 4" xfId="5926" xr:uid="{00000000-0005-0000-0000-0000B3030000}"/>
    <cellStyle name="Comma 2 2 5 2 4 2" xfId="15786" xr:uid="{00000000-0005-0000-0000-0000B4030000}"/>
    <cellStyle name="Comma 2 2 5 2 4 2 2" xfId="35501" xr:uid="{00000000-0005-0000-0000-0000B5030000}"/>
    <cellStyle name="Comma 2 2 5 2 4 3" xfId="25644" xr:uid="{00000000-0005-0000-0000-0000B6030000}"/>
    <cellStyle name="Comma 2 2 5 2 5" xfId="10858" xr:uid="{00000000-0005-0000-0000-0000B7030000}"/>
    <cellStyle name="Comma 2 2 5 2 5 2" xfId="30573" xr:uid="{00000000-0005-0000-0000-0000B8030000}"/>
    <cellStyle name="Comma 2 2 5 2 6" xfId="20716" xr:uid="{00000000-0005-0000-0000-0000B9030000}"/>
    <cellStyle name="Comma 2 2 5 3" xfId="1607" xr:uid="{00000000-0005-0000-0000-0000BA030000}"/>
    <cellStyle name="Comma 2 2 5 3 2" xfId="4074" xr:uid="{00000000-0005-0000-0000-0000BB030000}"/>
    <cellStyle name="Comma 2 2 5 3 2 2" xfId="9006" xr:uid="{00000000-0005-0000-0000-0000BC030000}"/>
    <cellStyle name="Comma 2 2 5 3 2 2 2" xfId="18866" xr:uid="{00000000-0005-0000-0000-0000BD030000}"/>
    <cellStyle name="Comma 2 2 5 3 2 2 2 2" xfId="38581" xr:uid="{00000000-0005-0000-0000-0000BE030000}"/>
    <cellStyle name="Comma 2 2 5 3 2 2 3" xfId="28724" xr:uid="{00000000-0005-0000-0000-0000BF030000}"/>
    <cellStyle name="Comma 2 2 5 3 2 3" xfId="13938" xr:uid="{00000000-0005-0000-0000-0000C0030000}"/>
    <cellStyle name="Comma 2 2 5 3 2 3 2" xfId="33653" xr:uid="{00000000-0005-0000-0000-0000C1030000}"/>
    <cellStyle name="Comma 2 2 5 3 2 4" xfId="23796" xr:uid="{00000000-0005-0000-0000-0000C2030000}"/>
    <cellStyle name="Comma 2 2 5 3 3" xfId="6542" xr:uid="{00000000-0005-0000-0000-0000C3030000}"/>
    <cellStyle name="Comma 2 2 5 3 3 2" xfId="16402" xr:uid="{00000000-0005-0000-0000-0000C4030000}"/>
    <cellStyle name="Comma 2 2 5 3 3 2 2" xfId="36117" xr:uid="{00000000-0005-0000-0000-0000C5030000}"/>
    <cellStyle name="Comma 2 2 5 3 3 3" xfId="26260" xr:uid="{00000000-0005-0000-0000-0000C6030000}"/>
    <cellStyle name="Comma 2 2 5 3 4" xfId="11474" xr:uid="{00000000-0005-0000-0000-0000C7030000}"/>
    <cellStyle name="Comma 2 2 5 3 4 2" xfId="31189" xr:uid="{00000000-0005-0000-0000-0000C8030000}"/>
    <cellStyle name="Comma 2 2 5 3 5" xfId="21332" xr:uid="{00000000-0005-0000-0000-0000C9030000}"/>
    <cellStyle name="Comma 2 2 5 4" xfId="2842" xr:uid="{00000000-0005-0000-0000-0000CA030000}"/>
    <cellStyle name="Comma 2 2 5 4 2" xfId="7774" xr:uid="{00000000-0005-0000-0000-0000CB030000}"/>
    <cellStyle name="Comma 2 2 5 4 2 2" xfId="17634" xr:uid="{00000000-0005-0000-0000-0000CC030000}"/>
    <cellStyle name="Comma 2 2 5 4 2 2 2" xfId="37349" xr:uid="{00000000-0005-0000-0000-0000CD030000}"/>
    <cellStyle name="Comma 2 2 5 4 2 3" xfId="27492" xr:uid="{00000000-0005-0000-0000-0000CE030000}"/>
    <cellStyle name="Comma 2 2 5 4 3" xfId="12706" xr:uid="{00000000-0005-0000-0000-0000CF030000}"/>
    <cellStyle name="Comma 2 2 5 4 3 2" xfId="32421" xr:uid="{00000000-0005-0000-0000-0000D0030000}"/>
    <cellStyle name="Comma 2 2 5 4 4" xfId="22564" xr:uid="{00000000-0005-0000-0000-0000D1030000}"/>
    <cellStyle name="Comma 2 2 5 5" xfId="5310" xr:uid="{00000000-0005-0000-0000-0000D2030000}"/>
    <cellStyle name="Comma 2 2 5 5 2" xfId="15170" xr:uid="{00000000-0005-0000-0000-0000D3030000}"/>
    <cellStyle name="Comma 2 2 5 5 2 2" xfId="34885" xr:uid="{00000000-0005-0000-0000-0000D4030000}"/>
    <cellStyle name="Comma 2 2 5 5 3" xfId="25028" xr:uid="{00000000-0005-0000-0000-0000D5030000}"/>
    <cellStyle name="Comma 2 2 5 6" xfId="10242" xr:uid="{00000000-0005-0000-0000-0000D6030000}"/>
    <cellStyle name="Comma 2 2 5 6 2" xfId="29957" xr:uid="{00000000-0005-0000-0000-0000D7030000}"/>
    <cellStyle name="Comma 2 2 5 7" xfId="20100" xr:uid="{00000000-0005-0000-0000-0000D8030000}"/>
    <cellStyle name="Comma 2 2 6" xfId="681" xr:uid="{00000000-0005-0000-0000-0000D9030000}"/>
    <cellStyle name="Comma 2 2 6 2" xfId="1917" xr:uid="{00000000-0005-0000-0000-0000DA030000}"/>
    <cellStyle name="Comma 2 2 6 2 2" xfId="4384" xr:uid="{00000000-0005-0000-0000-0000DB030000}"/>
    <cellStyle name="Comma 2 2 6 2 2 2" xfId="9316" xr:uid="{00000000-0005-0000-0000-0000DC030000}"/>
    <cellStyle name="Comma 2 2 6 2 2 2 2" xfId="19176" xr:uid="{00000000-0005-0000-0000-0000DD030000}"/>
    <cellStyle name="Comma 2 2 6 2 2 2 2 2" xfId="38891" xr:uid="{00000000-0005-0000-0000-0000DE030000}"/>
    <cellStyle name="Comma 2 2 6 2 2 2 3" xfId="29034" xr:uid="{00000000-0005-0000-0000-0000DF030000}"/>
    <cellStyle name="Comma 2 2 6 2 2 3" xfId="14248" xr:uid="{00000000-0005-0000-0000-0000E0030000}"/>
    <cellStyle name="Comma 2 2 6 2 2 3 2" xfId="33963" xr:uid="{00000000-0005-0000-0000-0000E1030000}"/>
    <cellStyle name="Comma 2 2 6 2 2 4" xfId="24106" xr:uid="{00000000-0005-0000-0000-0000E2030000}"/>
    <cellStyle name="Comma 2 2 6 2 3" xfId="6852" xr:uid="{00000000-0005-0000-0000-0000E3030000}"/>
    <cellStyle name="Comma 2 2 6 2 3 2" xfId="16712" xr:uid="{00000000-0005-0000-0000-0000E4030000}"/>
    <cellStyle name="Comma 2 2 6 2 3 2 2" xfId="36427" xr:uid="{00000000-0005-0000-0000-0000E5030000}"/>
    <cellStyle name="Comma 2 2 6 2 3 3" xfId="26570" xr:uid="{00000000-0005-0000-0000-0000E6030000}"/>
    <cellStyle name="Comma 2 2 6 2 4" xfId="11784" xr:uid="{00000000-0005-0000-0000-0000E7030000}"/>
    <cellStyle name="Comma 2 2 6 2 4 2" xfId="31499" xr:uid="{00000000-0005-0000-0000-0000E8030000}"/>
    <cellStyle name="Comma 2 2 6 2 5" xfId="21642" xr:uid="{00000000-0005-0000-0000-0000E9030000}"/>
    <cellStyle name="Comma 2 2 6 3" xfId="3152" xr:uid="{00000000-0005-0000-0000-0000EA030000}"/>
    <cellStyle name="Comma 2 2 6 3 2" xfId="8084" xr:uid="{00000000-0005-0000-0000-0000EB030000}"/>
    <cellStyle name="Comma 2 2 6 3 2 2" xfId="17944" xr:uid="{00000000-0005-0000-0000-0000EC030000}"/>
    <cellStyle name="Comma 2 2 6 3 2 2 2" xfId="37659" xr:uid="{00000000-0005-0000-0000-0000ED030000}"/>
    <cellStyle name="Comma 2 2 6 3 2 3" xfId="27802" xr:uid="{00000000-0005-0000-0000-0000EE030000}"/>
    <cellStyle name="Comma 2 2 6 3 3" xfId="13016" xr:uid="{00000000-0005-0000-0000-0000EF030000}"/>
    <cellStyle name="Comma 2 2 6 3 3 2" xfId="32731" xr:uid="{00000000-0005-0000-0000-0000F0030000}"/>
    <cellStyle name="Comma 2 2 6 3 4" xfId="22874" xr:uid="{00000000-0005-0000-0000-0000F1030000}"/>
    <cellStyle name="Comma 2 2 6 4" xfId="5620" xr:uid="{00000000-0005-0000-0000-0000F2030000}"/>
    <cellStyle name="Comma 2 2 6 4 2" xfId="15480" xr:uid="{00000000-0005-0000-0000-0000F3030000}"/>
    <cellStyle name="Comma 2 2 6 4 2 2" xfId="35195" xr:uid="{00000000-0005-0000-0000-0000F4030000}"/>
    <cellStyle name="Comma 2 2 6 4 3" xfId="25338" xr:uid="{00000000-0005-0000-0000-0000F5030000}"/>
    <cellStyle name="Comma 2 2 6 5" xfId="10552" xr:uid="{00000000-0005-0000-0000-0000F6030000}"/>
    <cellStyle name="Comma 2 2 6 5 2" xfId="30267" xr:uid="{00000000-0005-0000-0000-0000F7030000}"/>
    <cellStyle name="Comma 2 2 6 6" xfId="20410" xr:uid="{00000000-0005-0000-0000-0000F8030000}"/>
    <cellStyle name="Comma 2 2 7" xfId="1301" xr:uid="{00000000-0005-0000-0000-0000F9030000}"/>
    <cellStyle name="Comma 2 2 7 2" xfId="3768" xr:uid="{00000000-0005-0000-0000-0000FA030000}"/>
    <cellStyle name="Comma 2 2 7 2 2" xfId="8700" xr:uid="{00000000-0005-0000-0000-0000FB030000}"/>
    <cellStyle name="Comma 2 2 7 2 2 2" xfId="18560" xr:uid="{00000000-0005-0000-0000-0000FC030000}"/>
    <cellStyle name="Comma 2 2 7 2 2 2 2" xfId="38275" xr:uid="{00000000-0005-0000-0000-0000FD030000}"/>
    <cellStyle name="Comma 2 2 7 2 2 3" xfId="28418" xr:uid="{00000000-0005-0000-0000-0000FE030000}"/>
    <cellStyle name="Comma 2 2 7 2 3" xfId="13632" xr:uid="{00000000-0005-0000-0000-0000FF030000}"/>
    <cellStyle name="Comma 2 2 7 2 3 2" xfId="33347" xr:uid="{00000000-0005-0000-0000-000000040000}"/>
    <cellStyle name="Comma 2 2 7 2 4" xfId="23490" xr:uid="{00000000-0005-0000-0000-000001040000}"/>
    <cellStyle name="Comma 2 2 7 3" xfId="6236" xr:uid="{00000000-0005-0000-0000-000002040000}"/>
    <cellStyle name="Comma 2 2 7 3 2" xfId="16096" xr:uid="{00000000-0005-0000-0000-000003040000}"/>
    <cellStyle name="Comma 2 2 7 3 2 2" xfId="35811" xr:uid="{00000000-0005-0000-0000-000004040000}"/>
    <cellStyle name="Comma 2 2 7 3 3" xfId="25954" xr:uid="{00000000-0005-0000-0000-000005040000}"/>
    <cellStyle name="Comma 2 2 7 4" xfId="11168" xr:uid="{00000000-0005-0000-0000-000006040000}"/>
    <cellStyle name="Comma 2 2 7 4 2" xfId="30883" xr:uid="{00000000-0005-0000-0000-000007040000}"/>
    <cellStyle name="Comma 2 2 7 5" xfId="21026" xr:uid="{00000000-0005-0000-0000-000008040000}"/>
    <cellStyle name="Comma 2 2 8" xfId="2536" xr:uid="{00000000-0005-0000-0000-000009040000}"/>
    <cellStyle name="Comma 2 2 8 2" xfId="7468" xr:uid="{00000000-0005-0000-0000-00000A040000}"/>
    <cellStyle name="Comma 2 2 8 2 2" xfId="17328" xr:uid="{00000000-0005-0000-0000-00000B040000}"/>
    <cellStyle name="Comma 2 2 8 2 2 2" xfId="37043" xr:uid="{00000000-0005-0000-0000-00000C040000}"/>
    <cellStyle name="Comma 2 2 8 2 3" xfId="27186" xr:uid="{00000000-0005-0000-0000-00000D040000}"/>
    <cellStyle name="Comma 2 2 8 3" xfId="12400" xr:uid="{00000000-0005-0000-0000-00000E040000}"/>
    <cellStyle name="Comma 2 2 8 3 2" xfId="32115" xr:uid="{00000000-0005-0000-0000-00000F040000}"/>
    <cellStyle name="Comma 2 2 8 4" xfId="22258" xr:uid="{00000000-0005-0000-0000-000010040000}"/>
    <cellStyle name="Comma 2 2 9" xfId="5004" xr:uid="{00000000-0005-0000-0000-000011040000}"/>
    <cellStyle name="Comma 2 2 9 2" xfId="14864" xr:uid="{00000000-0005-0000-0000-000012040000}"/>
    <cellStyle name="Comma 2 2 9 2 2" xfId="34579" xr:uid="{00000000-0005-0000-0000-000013040000}"/>
    <cellStyle name="Comma 2 2 9 3" xfId="24722" xr:uid="{00000000-0005-0000-0000-000014040000}"/>
    <cellStyle name="Comma 2 3" xfId="60" xr:uid="{00000000-0005-0000-0000-000015040000}"/>
    <cellStyle name="Comma 2 3 10" xfId="19813" xr:uid="{00000000-0005-0000-0000-000016040000}"/>
    <cellStyle name="Comma 2 3 2" xfId="144" xr:uid="{00000000-0005-0000-0000-000017040000}"/>
    <cellStyle name="Comma 2 3 2 2" xfId="301" xr:uid="{00000000-0005-0000-0000-000018040000}"/>
    <cellStyle name="Comma 2 3 2 2 2" xfId="615" xr:uid="{00000000-0005-0000-0000-000019040000}"/>
    <cellStyle name="Comma 2 3 2 2 2 2" xfId="1235" xr:uid="{00000000-0005-0000-0000-00001A040000}"/>
    <cellStyle name="Comma 2 3 2 2 2 2 2" xfId="2470" xr:uid="{00000000-0005-0000-0000-00001B040000}"/>
    <cellStyle name="Comma 2 3 2 2 2 2 2 2" xfId="4937" xr:uid="{00000000-0005-0000-0000-00001C040000}"/>
    <cellStyle name="Comma 2 3 2 2 2 2 2 2 2" xfId="9869" xr:uid="{00000000-0005-0000-0000-00001D040000}"/>
    <cellStyle name="Comma 2 3 2 2 2 2 2 2 2 2" xfId="19729" xr:uid="{00000000-0005-0000-0000-00001E040000}"/>
    <cellStyle name="Comma 2 3 2 2 2 2 2 2 2 2 2" xfId="39444" xr:uid="{00000000-0005-0000-0000-00001F040000}"/>
    <cellStyle name="Comma 2 3 2 2 2 2 2 2 2 3" xfId="29587" xr:uid="{00000000-0005-0000-0000-000020040000}"/>
    <cellStyle name="Comma 2 3 2 2 2 2 2 2 3" xfId="14801" xr:uid="{00000000-0005-0000-0000-000021040000}"/>
    <cellStyle name="Comma 2 3 2 2 2 2 2 2 3 2" xfId="34516" xr:uid="{00000000-0005-0000-0000-000022040000}"/>
    <cellStyle name="Comma 2 3 2 2 2 2 2 2 4" xfId="24659" xr:uid="{00000000-0005-0000-0000-000023040000}"/>
    <cellStyle name="Comma 2 3 2 2 2 2 2 3" xfId="7405" xr:uid="{00000000-0005-0000-0000-000024040000}"/>
    <cellStyle name="Comma 2 3 2 2 2 2 2 3 2" xfId="17265" xr:uid="{00000000-0005-0000-0000-000025040000}"/>
    <cellStyle name="Comma 2 3 2 2 2 2 2 3 2 2" xfId="36980" xr:uid="{00000000-0005-0000-0000-000026040000}"/>
    <cellStyle name="Comma 2 3 2 2 2 2 2 3 3" xfId="27123" xr:uid="{00000000-0005-0000-0000-000027040000}"/>
    <cellStyle name="Comma 2 3 2 2 2 2 2 4" xfId="12337" xr:uid="{00000000-0005-0000-0000-000028040000}"/>
    <cellStyle name="Comma 2 3 2 2 2 2 2 4 2" xfId="32052" xr:uid="{00000000-0005-0000-0000-000029040000}"/>
    <cellStyle name="Comma 2 3 2 2 2 2 2 5" xfId="22195" xr:uid="{00000000-0005-0000-0000-00002A040000}"/>
    <cellStyle name="Comma 2 3 2 2 2 2 3" xfId="3705" xr:uid="{00000000-0005-0000-0000-00002B040000}"/>
    <cellStyle name="Comma 2 3 2 2 2 2 3 2" xfId="8637" xr:uid="{00000000-0005-0000-0000-00002C040000}"/>
    <cellStyle name="Comma 2 3 2 2 2 2 3 2 2" xfId="18497" xr:uid="{00000000-0005-0000-0000-00002D040000}"/>
    <cellStyle name="Comma 2 3 2 2 2 2 3 2 2 2" xfId="38212" xr:uid="{00000000-0005-0000-0000-00002E040000}"/>
    <cellStyle name="Comma 2 3 2 2 2 2 3 2 3" xfId="28355" xr:uid="{00000000-0005-0000-0000-00002F040000}"/>
    <cellStyle name="Comma 2 3 2 2 2 2 3 3" xfId="13569" xr:uid="{00000000-0005-0000-0000-000030040000}"/>
    <cellStyle name="Comma 2 3 2 2 2 2 3 3 2" xfId="33284" xr:uid="{00000000-0005-0000-0000-000031040000}"/>
    <cellStyle name="Comma 2 3 2 2 2 2 3 4" xfId="23427" xr:uid="{00000000-0005-0000-0000-000032040000}"/>
    <cellStyle name="Comma 2 3 2 2 2 2 4" xfId="6173" xr:uid="{00000000-0005-0000-0000-000033040000}"/>
    <cellStyle name="Comma 2 3 2 2 2 2 4 2" xfId="16033" xr:uid="{00000000-0005-0000-0000-000034040000}"/>
    <cellStyle name="Comma 2 3 2 2 2 2 4 2 2" xfId="35748" xr:uid="{00000000-0005-0000-0000-000035040000}"/>
    <cellStyle name="Comma 2 3 2 2 2 2 4 3" xfId="25891" xr:uid="{00000000-0005-0000-0000-000036040000}"/>
    <cellStyle name="Comma 2 3 2 2 2 2 5" xfId="11105" xr:uid="{00000000-0005-0000-0000-000037040000}"/>
    <cellStyle name="Comma 2 3 2 2 2 2 5 2" xfId="30820" xr:uid="{00000000-0005-0000-0000-000038040000}"/>
    <cellStyle name="Comma 2 3 2 2 2 2 6" xfId="20963" xr:uid="{00000000-0005-0000-0000-000039040000}"/>
    <cellStyle name="Comma 2 3 2 2 2 3" xfId="1854" xr:uid="{00000000-0005-0000-0000-00003A040000}"/>
    <cellStyle name="Comma 2 3 2 2 2 3 2" xfId="4321" xr:uid="{00000000-0005-0000-0000-00003B040000}"/>
    <cellStyle name="Comma 2 3 2 2 2 3 2 2" xfId="9253" xr:uid="{00000000-0005-0000-0000-00003C040000}"/>
    <cellStyle name="Comma 2 3 2 2 2 3 2 2 2" xfId="19113" xr:uid="{00000000-0005-0000-0000-00003D040000}"/>
    <cellStyle name="Comma 2 3 2 2 2 3 2 2 2 2" xfId="38828" xr:uid="{00000000-0005-0000-0000-00003E040000}"/>
    <cellStyle name="Comma 2 3 2 2 2 3 2 2 3" xfId="28971" xr:uid="{00000000-0005-0000-0000-00003F040000}"/>
    <cellStyle name="Comma 2 3 2 2 2 3 2 3" xfId="14185" xr:uid="{00000000-0005-0000-0000-000040040000}"/>
    <cellStyle name="Comma 2 3 2 2 2 3 2 3 2" xfId="33900" xr:uid="{00000000-0005-0000-0000-000041040000}"/>
    <cellStyle name="Comma 2 3 2 2 2 3 2 4" xfId="24043" xr:uid="{00000000-0005-0000-0000-000042040000}"/>
    <cellStyle name="Comma 2 3 2 2 2 3 3" xfId="6789" xr:uid="{00000000-0005-0000-0000-000043040000}"/>
    <cellStyle name="Comma 2 3 2 2 2 3 3 2" xfId="16649" xr:uid="{00000000-0005-0000-0000-000044040000}"/>
    <cellStyle name="Comma 2 3 2 2 2 3 3 2 2" xfId="36364" xr:uid="{00000000-0005-0000-0000-000045040000}"/>
    <cellStyle name="Comma 2 3 2 2 2 3 3 3" xfId="26507" xr:uid="{00000000-0005-0000-0000-000046040000}"/>
    <cellStyle name="Comma 2 3 2 2 2 3 4" xfId="11721" xr:uid="{00000000-0005-0000-0000-000047040000}"/>
    <cellStyle name="Comma 2 3 2 2 2 3 4 2" xfId="31436" xr:uid="{00000000-0005-0000-0000-000048040000}"/>
    <cellStyle name="Comma 2 3 2 2 2 3 5" xfId="21579" xr:uid="{00000000-0005-0000-0000-000049040000}"/>
    <cellStyle name="Comma 2 3 2 2 2 4" xfId="3089" xr:uid="{00000000-0005-0000-0000-00004A040000}"/>
    <cellStyle name="Comma 2 3 2 2 2 4 2" xfId="8021" xr:uid="{00000000-0005-0000-0000-00004B040000}"/>
    <cellStyle name="Comma 2 3 2 2 2 4 2 2" xfId="17881" xr:uid="{00000000-0005-0000-0000-00004C040000}"/>
    <cellStyle name="Comma 2 3 2 2 2 4 2 2 2" xfId="37596" xr:uid="{00000000-0005-0000-0000-00004D040000}"/>
    <cellStyle name="Comma 2 3 2 2 2 4 2 3" xfId="27739" xr:uid="{00000000-0005-0000-0000-00004E040000}"/>
    <cellStyle name="Comma 2 3 2 2 2 4 3" xfId="12953" xr:uid="{00000000-0005-0000-0000-00004F040000}"/>
    <cellStyle name="Comma 2 3 2 2 2 4 3 2" xfId="32668" xr:uid="{00000000-0005-0000-0000-000050040000}"/>
    <cellStyle name="Comma 2 3 2 2 2 4 4" xfId="22811" xr:uid="{00000000-0005-0000-0000-000051040000}"/>
    <cellStyle name="Comma 2 3 2 2 2 5" xfId="5557" xr:uid="{00000000-0005-0000-0000-000052040000}"/>
    <cellStyle name="Comma 2 3 2 2 2 5 2" xfId="15417" xr:uid="{00000000-0005-0000-0000-000053040000}"/>
    <cellStyle name="Comma 2 3 2 2 2 5 2 2" xfId="35132" xr:uid="{00000000-0005-0000-0000-000054040000}"/>
    <cellStyle name="Comma 2 3 2 2 2 5 3" xfId="25275" xr:uid="{00000000-0005-0000-0000-000055040000}"/>
    <cellStyle name="Comma 2 3 2 2 2 6" xfId="10489" xr:uid="{00000000-0005-0000-0000-000056040000}"/>
    <cellStyle name="Comma 2 3 2 2 2 6 2" xfId="30204" xr:uid="{00000000-0005-0000-0000-000057040000}"/>
    <cellStyle name="Comma 2 3 2 2 2 7" xfId="20347" xr:uid="{00000000-0005-0000-0000-000058040000}"/>
    <cellStyle name="Comma 2 3 2 2 3" xfId="928" xr:uid="{00000000-0005-0000-0000-000059040000}"/>
    <cellStyle name="Comma 2 3 2 2 3 2" xfId="2164" xr:uid="{00000000-0005-0000-0000-00005A040000}"/>
    <cellStyle name="Comma 2 3 2 2 3 2 2" xfId="4631" xr:uid="{00000000-0005-0000-0000-00005B040000}"/>
    <cellStyle name="Comma 2 3 2 2 3 2 2 2" xfId="9563" xr:uid="{00000000-0005-0000-0000-00005C040000}"/>
    <cellStyle name="Comma 2 3 2 2 3 2 2 2 2" xfId="19423" xr:uid="{00000000-0005-0000-0000-00005D040000}"/>
    <cellStyle name="Comma 2 3 2 2 3 2 2 2 2 2" xfId="39138" xr:uid="{00000000-0005-0000-0000-00005E040000}"/>
    <cellStyle name="Comma 2 3 2 2 3 2 2 2 3" xfId="29281" xr:uid="{00000000-0005-0000-0000-00005F040000}"/>
    <cellStyle name="Comma 2 3 2 2 3 2 2 3" xfId="14495" xr:uid="{00000000-0005-0000-0000-000060040000}"/>
    <cellStyle name="Comma 2 3 2 2 3 2 2 3 2" xfId="34210" xr:uid="{00000000-0005-0000-0000-000061040000}"/>
    <cellStyle name="Comma 2 3 2 2 3 2 2 4" xfId="24353" xr:uid="{00000000-0005-0000-0000-000062040000}"/>
    <cellStyle name="Comma 2 3 2 2 3 2 3" xfId="7099" xr:uid="{00000000-0005-0000-0000-000063040000}"/>
    <cellStyle name="Comma 2 3 2 2 3 2 3 2" xfId="16959" xr:uid="{00000000-0005-0000-0000-000064040000}"/>
    <cellStyle name="Comma 2 3 2 2 3 2 3 2 2" xfId="36674" xr:uid="{00000000-0005-0000-0000-000065040000}"/>
    <cellStyle name="Comma 2 3 2 2 3 2 3 3" xfId="26817" xr:uid="{00000000-0005-0000-0000-000066040000}"/>
    <cellStyle name="Comma 2 3 2 2 3 2 4" xfId="12031" xr:uid="{00000000-0005-0000-0000-000067040000}"/>
    <cellStyle name="Comma 2 3 2 2 3 2 4 2" xfId="31746" xr:uid="{00000000-0005-0000-0000-000068040000}"/>
    <cellStyle name="Comma 2 3 2 2 3 2 5" xfId="21889" xr:uid="{00000000-0005-0000-0000-000069040000}"/>
    <cellStyle name="Comma 2 3 2 2 3 3" xfId="3399" xr:uid="{00000000-0005-0000-0000-00006A040000}"/>
    <cellStyle name="Comma 2 3 2 2 3 3 2" xfId="8331" xr:uid="{00000000-0005-0000-0000-00006B040000}"/>
    <cellStyle name="Comma 2 3 2 2 3 3 2 2" xfId="18191" xr:uid="{00000000-0005-0000-0000-00006C040000}"/>
    <cellStyle name="Comma 2 3 2 2 3 3 2 2 2" xfId="37906" xr:uid="{00000000-0005-0000-0000-00006D040000}"/>
    <cellStyle name="Comma 2 3 2 2 3 3 2 3" xfId="28049" xr:uid="{00000000-0005-0000-0000-00006E040000}"/>
    <cellStyle name="Comma 2 3 2 2 3 3 3" xfId="13263" xr:uid="{00000000-0005-0000-0000-00006F040000}"/>
    <cellStyle name="Comma 2 3 2 2 3 3 3 2" xfId="32978" xr:uid="{00000000-0005-0000-0000-000070040000}"/>
    <cellStyle name="Comma 2 3 2 2 3 3 4" xfId="23121" xr:uid="{00000000-0005-0000-0000-000071040000}"/>
    <cellStyle name="Comma 2 3 2 2 3 4" xfId="5867" xr:uid="{00000000-0005-0000-0000-000072040000}"/>
    <cellStyle name="Comma 2 3 2 2 3 4 2" xfId="15727" xr:uid="{00000000-0005-0000-0000-000073040000}"/>
    <cellStyle name="Comma 2 3 2 2 3 4 2 2" xfId="35442" xr:uid="{00000000-0005-0000-0000-000074040000}"/>
    <cellStyle name="Comma 2 3 2 2 3 4 3" xfId="25585" xr:uid="{00000000-0005-0000-0000-000075040000}"/>
    <cellStyle name="Comma 2 3 2 2 3 5" xfId="10799" xr:uid="{00000000-0005-0000-0000-000076040000}"/>
    <cellStyle name="Comma 2 3 2 2 3 5 2" xfId="30514" xr:uid="{00000000-0005-0000-0000-000077040000}"/>
    <cellStyle name="Comma 2 3 2 2 3 6" xfId="20657" xr:uid="{00000000-0005-0000-0000-000078040000}"/>
    <cellStyle name="Comma 2 3 2 2 4" xfId="1548" xr:uid="{00000000-0005-0000-0000-000079040000}"/>
    <cellStyle name="Comma 2 3 2 2 4 2" xfId="4015" xr:uid="{00000000-0005-0000-0000-00007A040000}"/>
    <cellStyle name="Comma 2 3 2 2 4 2 2" xfId="8947" xr:uid="{00000000-0005-0000-0000-00007B040000}"/>
    <cellStyle name="Comma 2 3 2 2 4 2 2 2" xfId="18807" xr:uid="{00000000-0005-0000-0000-00007C040000}"/>
    <cellStyle name="Comma 2 3 2 2 4 2 2 2 2" xfId="38522" xr:uid="{00000000-0005-0000-0000-00007D040000}"/>
    <cellStyle name="Comma 2 3 2 2 4 2 2 3" xfId="28665" xr:uid="{00000000-0005-0000-0000-00007E040000}"/>
    <cellStyle name="Comma 2 3 2 2 4 2 3" xfId="13879" xr:uid="{00000000-0005-0000-0000-00007F040000}"/>
    <cellStyle name="Comma 2 3 2 2 4 2 3 2" xfId="33594" xr:uid="{00000000-0005-0000-0000-000080040000}"/>
    <cellStyle name="Comma 2 3 2 2 4 2 4" xfId="23737" xr:uid="{00000000-0005-0000-0000-000081040000}"/>
    <cellStyle name="Comma 2 3 2 2 4 3" xfId="6483" xr:uid="{00000000-0005-0000-0000-000082040000}"/>
    <cellStyle name="Comma 2 3 2 2 4 3 2" xfId="16343" xr:uid="{00000000-0005-0000-0000-000083040000}"/>
    <cellStyle name="Comma 2 3 2 2 4 3 2 2" xfId="36058" xr:uid="{00000000-0005-0000-0000-000084040000}"/>
    <cellStyle name="Comma 2 3 2 2 4 3 3" xfId="26201" xr:uid="{00000000-0005-0000-0000-000085040000}"/>
    <cellStyle name="Comma 2 3 2 2 4 4" xfId="11415" xr:uid="{00000000-0005-0000-0000-000086040000}"/>
    <cellStyle name="Comma 2 3 2 2 4 4 2" xfId="31130" xr:uid="{00000000-0005-0000-0000-000087040000}"/>
    <cellStyle name="Comma 2 3 2 2 4 5" xfId="21273" xr:uid="{00000000-0005-0000-0000-000088040000}"/>
    <cellStyle name="Comma 2 3 2 2 5" xfId="2783" xr:uid="{00000000-0005-0000-0000-000089040000}"/>
    <cellStyle name="Comma 2 3 2 2 5 2" xfId="7715" xr:uid="{00000000-0005-0000-0000-00008A040000}"/>
    <cellStyle name="Comma 2 3 2 2 5 2 2" xfId="17575" xr:uid="{00000000-0005-0000-0000-00008B040000}"/>
    <cellStyle name="Comma 2 3 2 2 5 2 2 2" xfId="37290" xr:uid="{00000000-0005-0000-0000-00008C040000}"/>
    <cellStyle name="Comma 2 3 2 2 5 2 3" xfId="27433" xr:uid="{00000000-0005-0000-0000-00008D040000}"/>
    <cellStyle name="Comma 2 3 2 2 5 3" xfId="12647" xr:uid="{00000000-0005-0000-0000-00008E040000}"/>
    <cellStyle name="Comma 2 3 2 2 5 3 2" xfId="32362" xr:uid="{00000000-0005-0000-0000-00008F040000}"/>
    <cellStyle name="Comma 2 3 2 2 5 4" xfId="22505" xr:uid="{00000000-0005-0000-0000-000090040000}"/>
    <cellStyle name="Comma 2 3 2 2 6" xfId="5251" xr:uid="{00000000-0005-0000-0000-000091040000}"/>
    <cellStyle name="Comma 2 3 2 2 6 2" xfId="15111" xr:uid="{00000000-0005-0000-0000-000092040000}"/>
    <cellStyle name="Comma 2 3 2 2 6 2 2" xfId="34826" xr:uid="{00000000-0005-0000-0000-000093040000}"/>
    <cellStyle name="Comma 2 3 2 2 6 3" xfId="24969" xr:uid="{00000000-0005-0000-0000-000094040000}"/>
    <cellStyle name="Comma 2 3 2 2 7" xfId="10183" xr:uid="{00000000-0005-0000-0000-000095040000}"/>
    <cellStyle name="Comma 2 3 2 2 7 2" xfId="29898" xr:uid="{00000000-0005-0000-0000-000096040000}"/>
    <cellStyle name="Comma 2 3 2 2 8" xfId="20041" xr:uid="{00000000-0005-0000-0000-000097040000}"/>
    <cellStyle name="Comma 2 3 2 3" xfId="463" xr:uid="{00000000-0005-0000-0000-000098040000}"/>
    <cellStyle name="Comma 2 3 2 3 2" xfId="1083" xr:uid="{00000000-0005-0000-0000-000099040000}"/>
    <cellStyle name="Comma 2 3 2 3 2 2" xfId="2318" xr:uid="{00000000-0005-0000-0000-00009A040000}"/>
    <cellStyle name="Comma 2 3 2 3 2 2 2" xfId="4785" xr:uid="{00000000-0005-0000-0000-00009B040000}"/>
    <cellStyle name="Comma 2 3 2 3 2 2 2 2" xfId="9717" xr:uid="{00000000-0005-0000-0000-00009C040000}"/>
    <cellStyle name="Comma 2 3 2 3 2 2 2 2 2" xfId="19577" xr:uid="{00000000-0005-0000-0000-00009D040000}"/>
    <cellStyle name="Comma 2 3 2 3 2 2 2 2 2 2" xfId="39292" xr:uid="{00000000-0005-0000-0000-00009E040000}"/>
    <cellStyle name="Comma 2 3 2 3 2 2 2 2 3" xfId="29435" xr:uid="{00000000-0005-0000-0000-00009F040000}"/>
    <cellStyle name="Comma 2 3 2 3 2 2 2 3" xfId="14649" xr:uid="{00000000-0005-0000-0000-0000A0040000}"/>
    <cellStyle name="Comma 2 3 2 3 2 2 2 3 2" xfId="34364" xr:uid="{00000000-0005-0000-0000-0000A1040000}"/>
    <cellStyle name="Comma 2 3 2 3 2 2 2 4" xfId="24507" xr:uid="{00000000-0005-0000-0000-0000A2040000}"/>
    <cellStyle name="Comma 2 3 2 3 2 2 3" xfId="7253" xr:uid="{00000000-0005-0000-0000-0000A3040000}"/>
    <cellStyle name="Comma 2 3 2 3 2 2 3 2" xfId="17113" xr:uid="{00000000-0005-0000-0000-0000A4040000}"/>
    <cellStyle name="Comma 2 3 2 3 2 2 3 2 2" xfId="36828" xr:uid="{00000000-0005-0000-0000-0000A5040000}"/>
    <cellStyle name="Comma 2 3 2 3 2 2 3 3" xfId="26971" xr:uid="{00000000-0005-0000-0000-0000A6040000}"/>
    <cellStyle name="Comma 2 3 2 3 2 2 4" xfId="12185" xr:uid="{00000000-0005-0000-0000-0000A7040000}"/>
    <cellStyle name="Comma 2 3 2 3 2 2 4 2" xfId="31900" xr:uid="{00000000-0005-0000-0000-0000A8040000}"/>
    <cellStyle name="Comma 2 3 2 3 2 2 5" xfId="22043" xr:uid="{00000000-0005-0000-0000-0000A9040000}"/>
    <cellStyle name="Comma 2 3 2 3 2 3" xfId="3553" xr:uid="{00000000-0005-0000-0000-0000AA040000}"/>
    <cellStyle name="Comma 2 3 2 3 2 3 2" xfId="8485" xr:uid="{00000000-0005-0000-0000-0000AB040000}"/>
    <cellStyle name="Comma 2 3 2 3 2 3 2 2" xfId="18345" xr:uid="{00000000-0005-0000-0000-0000AC040000}"/>
    <cellStyle name="Comma 2 3 2 3 2 3 2 2 2" xfId="38060" xr:uid="{00000000-0005-0000-0000-0000AD040000}"/>
    <cellStyle name="Comma 2 3 2 3 2 3 2 3" xfId="28203" xr:uid="{00000000-0005-0000-0000-0000AE040000}"/>
    <cellStyle name="Comma 2 3 2 3 2 3 3" xfId="13417" xr:uid="{00000000-0005-0000-0000-0000AF040000}"/>
    <cellStyle name="Comma 2 3 2 3 2 3 3 2" xfId="33132" xr:uid="{00000000-0005-0000-0000-0000B0040000}"/>
    <cellStyle name="Comma 2 3 2 3 2 3 4" xfId="23275" xr:uid="{00000000-0005-0000-0000-0000B1040000}"/>
    <cellStyle name="Comma 2 3 2 3 2 4" xfId="6021" xr:uid="{00000000-0005-0000-0000-0000B2040000}"/>
    <cellStyle name="Comma 2 3 2 3 2 4 2" xfId="15881" xr:uid="{00000000-0005-0000-0000-0000B3040000}"/>
    <cellStyle name="Comma 2 3 2 3 2 4 2 2" xfId="35596" xr:uid="{00000000-0005-0000-0000-0000B4040000}"/>
    <cellStyle name="Comma 2 3 2 3 2 4 3" xfId="25739" xr:uid="{00000000-0005-0000-0000-0000B5040000}"/>
    <cellStyle name="Comma 2 3 2 3 2 5" xfId="10953" xr:uid="{00000000-0005-0000-0000-0000B6040000}"/>
    <cellStyle name="Comma 2 3 2 3 2 5 2" xfId="30668" xr:uid="{00000000-0005-0000-0000-0000B7040000}"/>
    <cellStyle name="Comma 2 3 2 3 2 6" xfId="20811" xr:uid="{00000000-0005-0000-0000-0000B8040000}"/>
    <cellStyle name="Comma 2 3 2 3 3" xfId="1702" xr:uid="{00000000-0005-0000-0000-0000B9040000}"/>
    <cellStyle name="Comma 2 3 2 3 3 2" xfId="4169" xr:uid="{00000000-0005-0000-0000-0000BA040000}"/>
    <cellStyle name="Comma 2 3 2 3 3 2 2" xfId="9101" xr:uid="{00000000-0005-0000-0000-0000BB040000}"/>
    <cellStyle name="Comma 2 3 2 3 3 2 2 2" xfId="18961" xr:uid="{00000000-0005-0000-0000-0000BC040000}"/>
    <cellStyle name="Comma 2 3 2 3 3 2 2 2 2" xfId="38676" xr:uid="{00000000-0005-0000-0000-0000BD040000}"/>
    <cellStyle name="Comma 2 3 2 3 3 2 2 3" xfId="28819" xr:uid="{00000000-0005-0000-0000-0000BE040000}"/>
    <cellStyle name="Comma 2 3 2 3 3 2 3" xfId="14033" xr:uid="{00000000-0005-0000-0000-0000BF040000}"/>
    <cellStyle name="Comma 2 3 2 3 3 2 3 2" xfId="33748" xr:uid="{00000000-0005-0000-0000-0000C0040000}"/>
    <cellStyle name="Comma 2 3 2 3 3 2 4" xfId="23891" xr:uid="{00000000-0005-0000-0000-0000C1040000}"/>
    <cellStyle name="Comma 2 3 2 3 3 3" xfId="6637" xr:uid="{00000000-0005-0000-0000-0000C2040000}"/>
    <cellStyle name="Comma 2 3 2 3 3 3 2" xfId="16497" xr:uid="{00000000-0005-0000-0000-0000C3040000}"/>
    <cellStyle name="Comma 2 3 2 3 3 3 2 2" xfId="36212" xr:uid="{00000000-0005-0000-0000-0000C4040000}"/>
    <cellStyle name="Comma 2 3 2 3 3 3 3" xfId="26355" xr:uid="{00000000-0005-0000-0000-0000C5040000}"/>
    <cellStyle name="Comma 2 3 2 3 3 4" xfId="11569" xr:uid="{00000000-0005-0000-0000-0000C6040000}"/>
    <cellStyle name="Comma 2 3 2 3 3 4 2" xfId="31284" xr:uid="{00000000-0005-0000-0000-0000C7040000}"/>
    <cellStyle name="Comma 2 3 2 3 3 5" xfId="21427" xr:uid="{00000000-0005-0000-0000-0000C8040000}"/>
    <cellStyle name="Comma 2 3 2 3 4" xfId="2937" xr:uid="{00000000-0005-0000-0000-0000C9040000}"/>
    <cellStyle name="Comma 2 3 2 3 4 2" xfId="7869" xr:uid="{00000000-0005-0000-0000-0000CA040000}"/>
    <cellStyle name="Comma 2 3 2 3 4 2 2" xfId="17729" xr:uid="{00000000-0005-0000-0000-0000CB040000}"/>
    <cellStyle name="Comma 2 3 2 3 4 2 2 2" xfId="37444" xr:uid="{00000000-0005-0000-0000-0000CC040000}"/>
    <cellStyle name="Comma 2 3 2 3 4 2 3" xfId="27587" xr:uid="{00000000-0005-0000-0000-0000CD040000}"/>
    <cellStyle name="Comma 2 3 2 3 4 3" xfId="12801" xr:uid="{00000000-0005-0000-0000-0000CE040000}"/>
    <cellStyle name="Comma 2 3 2 3 4 3 2" xfId="32516" xr:uid="{00000000-0005-0000-0000-0000CF040000}"/>
    <cellStyle name="Comma 2 3 2 3 4 4" xfId="22659" xr:uid="{00000000-0005-0000-0000-0000D0040000}"/>
    <cellStyle name="Comma 2 3 2 3 5" xfId="5405" xr:uid="{00000000-0005-0000-0000-0000D1040000}"/>
    <cellStyle name="Comma 2 3 2 3 5 2" xfId="15265" xr:uid="{00000000-0005-0000-0000-0000D2040000}"/>
    <cellStyle name="Comma 2 3 2 3 5 2 2" xfId="34980" xr:uid="{00000000-0005-0000-0000-0000D3040000}"/>
    <cellStyle name="Comma 2 3 2 3 5 3" xfId="25123" xr:uid="{00000000-0005-0000-0000-0000D4040000}"/>
    <cellStyle name="Comma 2 3 2 3 6" xfId="10337" xr:uid="{00000000-0005-0000-0000-0000D5040000}"/>
    <cellStyle name="Comma 2 3 2 3 6 2" xfId="30052" xr:uid="{00000000-0005-0000-0000-0000D6040000}"/>
    <cellStyle name="Comma 2 3 2 3 7" xfId="20195" xr:uid="{00000000-0005-0000-0000-0000D7040000}"/>
    <cellStyle name="Comma 2 3 2 4" xfId="776" xr:uid="{00000000-0005-0000-0000-0000D8040000}"/>
    <cellStyle name="Comma 2 3 2 4 2" xfId="2012" xr:uid="{00000000-0005-0000-0000-0000D9040000}"/>
    <cellStyle name="Comma 2 3 2 4 2 2" xfId="4479" xr:uid="{00000000-0005-0000-0000-0000DA040000}"/>
    <cellStyle name="Comma 2 3 2 4 2 2 2" xfId="9411" xr:uid="{00000000-0005-0000-0000-0000DB040000}"/>
    <cellStyle name="Comma 2 3 2 4 2 2 2 2" xfId="19271" xr:uid="{00000000-0005-0000-0000-0000DC040000}"/>
    <cellStyle name="Comma 2 3 2 4 2 2 2 2 2" xfId="38986" xr:uid="{00000000-0005-0000-0000-0000DD040000}"/>
    <cellStyle name="Comma 2 3 2 4 2 2 2 3" xfId="29129" xr:uid="{00000000-0005-0000-0000-0000DE040000}"/>
    <cellStyle name="Comma 2 3 2 4 2 2 3" xfId="14343" xr:uid="{00000000-0005-0000-0000-0000DF040000}"/>
    <cellStyle name="Comma 2 3 2 4 2 2 3 2" xfId="34058" xr:uid="{00000000-0005-0000-0000-0000E0040000}"/>
    <cellStyle name="Comma 2 3 2 4 2 2 4" xfId="24201" xr:uid="{00000000-0005-0000-0000-0000E1040000}"/>
    <cellStyle name="Comma 2 3 2 4 2 3" xfId="6947" xr:uid="{00000000-0005-0000-0000-0000E2040000}"/>
    <cellStyle name="Comma 2 3 2 4 2 3 2" xfId="16807" xr:uid="{00000000-0005-0000-0000-0000E3040000}"/>
    <cellStyle name="Comma 2 3 2 4 2 3 2 2" xfId="36522" xr:uid="{00000000-0005-0000-0000-0000E4040000}"/>
    <cellStyle name="Comma 2 3 2 4 2 3 3" xfId="26665" xr:uid="{00000000-0005-0000-0000-0000E5040000}"/>
    <cellStyle name="Comma 2 3 2 4 2 4" xfId="11879" xr:uid="{00000000-0005-0000-0000-0000E6040000}"/>
    <cellStyle name="Comma 2 3 2 4 2 4 2" xfId="31594" xr:uid="{00000000-0005-0000-0000-0000E7040000}"/>
    <cellStyle name="Comma 2 3 2 4 2 5" xfId="21737" xr:uid="{00000000-0005-0000-0000-0000E8040000}"/>
    <cellStyle name="Comma 2 3 2 4 3" xfId="3247" xr:uid="{00000000-0005-0000-0000-0000E9040000}"/>
    <cellStyle name="Comma 2 3 2 4 3 2" xfId="8179" xr:uid="{00000000-0005-0000-0000-0000EA040000}"/>
    <cellStyle name="Comma 2 3 2 4 3 2 2" xfId="18039" xr:uid="{00000000-0005-0000-0000-0000EB040000}"/>
    <cellStyle name="Comma 2 3 2 4 3 2 2 2" xfId="37754" xr:uid="{00000000-0005-0000-0000-0000EC040000}"/>
    <cellStyle name="Comma 2 3 2 4 3 2 3" xfId="27897" xr:uid="{00000000-0005-0000-0000-0000ED040000}"/>
    <cellStyle name="Comma 2 3 2 4 3 3" xfId="13111" xr:uid="{00000000-0005-0000-0000-0000EE040000}"/>
    <cellStyle name="Comma 2 3 2 4 3 3 2" xfId="32826" xr:uid="{00000000-0005-0000-0000-0000EF040000}"/>
    <cellStyle name="Comma 2 3 2 4 3 4" xfId="22969" xr:uid="{00000000-0005-0000-0000-0000F0040000}"/>
    <cellStyle name="Comma 2 3 2 4 4" xfId="5715" xr:uid="{00000000-0005-0000-0000-0000F1040000}"/>
    <cellStyle name="Comma 2 3 2 4 4 2" xfId="15575" xr:uid="{00000000-0005-0000-0000-0000F2040000}"/>
    <cellStyle name="Comma 2 3 2 4 4 2 2" xfId="35290" xr:uid="{00000000-0005-0000-0000-0000F3040000}"/>
    <cellStyle name="Comma 2 3 2 4 4 3" xfId="25433" xr:uid="{00000000-0005-0000-0000-0000F4040000}"/>
    <cellStyle name="Comma 2 3 2 4 5" xfId="10647" xr:uid="{00000000-0005-0000-0000-0000F5040000}"/>
    <cellStyle name="Comma 2 3 2 4 5 2" xfId="30362" xr:uid="{00000000-0005-0000-0000-0000F6040000}"/>
    <cellStyle name="Comma 2 3 2 4 6" xfId="20505" xr:uid="{00000000-0005-0000-0000-0000F7040000}"/>
    <cellStyle name="Comma 2 3 2 5" xfId="1396" xr:uid="{00000000-0005-0000-0000-0000F8040000}"/>
    <cellStyle name="Comma 2 3 2 5 2" xfId="3863" xr:uid="{00000000-0005-0000-0000-0000F9040000}"/>
    <cellStyle name="Comma 2 3 2 5 2 2" xfId="8795" xr:uid="{00000000-0005-0000-0000-0000FA040000}"/>
    <cellStyle name="Comma 2 3 2 5 2 2 2" xfId="18655" xr:uid="{00000000-0005-0000-0000-0000FB040000}"/>
    <cellStyle name="Comma 2 3 2 5 2 2 2 2" xfId="38370" xr:uid="{00000000-0005-0000-0000-0000FC040000}"/>
    <cellStyle name="Comma 2 3 2 5 2 2 3" xfId="28513" xr:uid="{00000000-0005-0000-0000-0000FD040000}"/>
    <cellStyle name="Comma 2 3 2 5 2 3" xfId="13727" xr:uid="{00000000-0005-0000-0000-0000FE040000}"/>
    <cellStyle name="Comma 2 3 2 5 2 3 2" xfId="33442" xr:uid="{00000000-0005-0000-0000-0000FF040000}"/>
    <cellStyle name="Comma 2 3 2 5 2 4" xfId="23585" xr:uid="{00000000-0005-0000-0000-000000050000}"/>
    <cellStyle name="Comma 2 3 2 5 3" xfId="6331" xr:uid="{00000000-0005-0000-0000-000001050000}"/>
    <cellStyle name="Comma 2 3 2 5 3 2" xfId="16191" xr:uid="{00000000-0005-0000-0000-000002050000}"/>
    <cellStyle name="Comma 2 3 2 5 3 2 2" xfId="35906" xr:uid="{00000000-0005-0000-0000-000003050000}"/>
    <cellStyle name="Comma 2 3 2 5 3 3" xfId="26049" xr:uid="{00000000-0005-0000-0000-000004050000}"/>
    <cellStyle name="Comma 2 3 2 5 4" xfId="11263" xr:uid="{00000000-0005-0000-0000-000005050000}"/>
    <cellStyle name="Comma 2 3 2 5 4 2" xfId="30978" xr:uid="{00000000-0005-0000-0000-000006050000}"/>
    <cellStyle name="Comma 2 3 2 5 5" xfId="21121" xr:uid="{00000000-0005-0000-0000-000007050000}"/>
    <cellStyle name="Comma 2 3 2 6" xfId="2631" xr:uid="{00000000-0005-0000-0000-000008050000}"/>
    <cellStyle name="Comma 2 3 2 6 2" xfId="7563" xr:uid="{00000000-0005-0000-0000-000009050000}"/>
    <cellStyle name="Comma 2 3 2 6 2 2" xfId="17423" xr:uid="{00000000-0005-0000-0000-00000A050000}"/>
    <cellStyle name="Comma 2 3 2 6 2 2 2" xfId="37138" xr:uid="{00000000-0005-0000-0000-00000B050000}"/>
    <cellStyle name="Comma 2 3 2 6 2 3" xfId="27281" xr:uid="{00000000-0005-0000-0000-00000C050000}"/>
    <cellStyle name="Comma 2 3 2 6 3" xfId="12495" xr:uid="{00000000-0005-0000-0000-00000D050000}"/>
    <cellStyle name="Comma 2 3 2 6 3 2" xfId="32210" xr:uid="{00000000-0005-0000-0000-00000E050000}"/>
    <cellStyle name="Comma 2 3 2 6 4" xfId="22353" xr:uid="{00000000-0005-0000-0000-00000F050000}"/>
    <cellStyle name="Comma 2 3 2 7" xfId="5099" xr:uid="{00000000-0005-0000-0000-000010050000}"/>
    <cellStyle name="Comma 2 3 2 7 2" xfId="14959" xr:uid="{00000000-0005-0000-0000-000011050000}"/>
    <cellStyle name="Comma 2 3 2 7 2 2" xfId="34674" xr:uid="{00000000-0005-0000-0000-000012050000}"/>
    <cellStyle name="Comma 2 3 2 7 3" xfId="24817" xr:uid="{00000000-0005-0000-0000-000013050000}"/>
    <cellStyle name="Comma 2 3 2 8" xfId="10031" xr:uid="{00000000-0005-0000-0000-000014050000}"/>
    <cellStyle name="Comma 2 3 2 8 2" xfId="29746" xr:uid="{00000000-0005-0000-0000-000015050000}"/>
    <cellStyle name="Comma 2 3 2 9" xfId="19889" xr:uid="{00000000-0005-0000-0000-000016050000}"/>
    <cellStyle name="Comma 2 3 3" xfId="225" xr:uid="{00000000-0005-0000-0000-000017050000}"/>
    <cellStyle name="Comma 2 3 3 2" xfId="539" xr:uid="{00000000-0005-0000-0000-000018050000}"/>
    <cellStyle name="Comma 2 3 3 2 2" xfId="1159" xr:uid="{00000000-0005-0000-0000-000019050000}"/>
    <cellStyle name="Comma 2 3 3 2 2 2" xfId="2394" xr:uid="{00000000-0005-0000-0000-00001A050000}"/>
    <cellStyle name="Comma 2 3 3 2 2 2 2" xfId="4861" xr:uid="{00000000-0005-0000-0000-00001B050000}"/>
    <cellStyle name="Comma 2 3 3 2 2 2 2 2" xfId="9793" xr:uid="{00000000-0005-0000-0000-00001C050000}"/>
    <cellStyle name="Comma 2 3 3 2 2 2 2 2 2" xfId="19653" xr:uid="{00000000-0005-0000-0000-00001D050000}"/>
    <cellStyle name="Comma 2 3 3 2 2 2 2 2 2 2" xfId="39368" xr:uid="{00000000-0005-0000-0000-00001E050000}"/>
    <cellStyle name="Comma 2 3 3 2 2 2 2 2 3" xfId="29511" xr:uid="{00000000-0005-0000-0000-00001F050000}"/>
    <cellStyle name="Comma 2 3 3 2 2 2 2 3" xfId="14725" xr:uid="{00000000-0005-0000-0000-000020050000}"/>
    <cellStyle name="Comma 2 3 3 2 2 2 2 3 2" xfId="34440" xr:uid="{00000000-0005-0000-0000-000021050000}"/>
    <cellStyle name="Comma 2 3 3 2 2 2 2 4" xfId="24583" xr:uid="{00000000-0005-0000-0000-000022050000}"/>
    <cellStyle name="Comma 2 3 3 2 2 2 3" xfId="7329" xr:uid="{00000000-0005-0000-0000-000023050000}"/>
    <cellStyle name="Comma 2 3 3 2 2 2 3 2" xfId="17189" xr:uid="{00000000-0005-0000-0000-000024050000}"/>
    <cellStyle name="Comma 2 3 3 2 2 2 3 2 2" xfId="36904" xr:uid="{00000000-0005-0000-0000-000025050000}"/>
    <cellStyle name="Comma 2 3 3 2 2 2 3 3" xfId="27047" xr:uid="{00000000-0005-0000-0000-000026050000}"/>
    <cellStyle name="Comma 2 3 3 2 2 2 4" xfId="12261" xr:uid="{00000000-0005-0000-0000-000027050000}"/>
    <cellStyle name="Comma 2 3 3 2 2 2 4 2" xfId="31976" xr:uid="{00000000-0005-0000-0000-000028050000}"/>
    <cellStyle name="Comma 2 3 3 2 2 2 5" xfId="22119" xr:uid="{00000000-0005-0000-0000-000029050000}"/>
    <cellStyle name="Comma 2 3 3 2 2 3" xfId="3629" xr:uid="{00000000-0005-0000-0000-00002A050000}"/>
    <cellStyle name="Comma 2 3 3 2 2 3 2" xfId="8561" xr:uid="{00000000-0005-0000-0000-00002B050000}"/>
    <cellStyle name="Comma 2 3 3 2 2 3 2 2" xfId="18421" xr:uid="{00000000-0005-0000-0000-00002C050000}"/>
    <cellStyle name="Comma 2 3 3 2 2 3 2 2 2" xfId="38136" xr:uid="{00000000-0005-0000-0000-00002D050000}"/>
    <cellStyle name="Comma 2 3 3 2 2 3 2 3" xfId="28279" xr:uid="{00000000-0005-0000-0000-00002E050000}"/>
    <cellStyle name="Comma 2 3 3 2 2 3 3" xfId="13493" xr:uid="{00000000-0005-0000-0000-00002F050000}"/>
    <cellStyle name="Comma 2 3 3 2 2 3 3 2" xfId="33208" xr:uid="{00000000-0005-0000-0000-000030050000}"/>
    <cellStyle name="Comma 2 3 3 2 2 3 4" xfId="23351" xr:uid="{00000000-0005-0000-0000-000031050000}"/>
    <cellStyle name="Comma 2 3 3 2 2 4" xfId="6097" xr:uid="{00000000-0005-0000-0000-000032050000}"/>
    <cellStyle name="Comma 2 3 3 2 2 4 2" xfId="15957" xr:uid="{00000000-0005-0000-0000-000033050000}"/>
    <cellStyle name="Comma 2 3 3 2 2 4 2 2" xfId="35672" xr:uid="{00000000-0005-0000-0000-000034050000}"/>
    <cellStyle name="Comma 2 3 3 2 2 4 3" xfId="25815" xr:uid="{00000000-0005-0000-0000-000035050000}"/>
    <cellStyle name="Comma 2 3 3 2 2 5" xfId="11029" xr:uid="{00000000-0005-0000-0000-000036050000}"/>
    <cellStyle name="Comma 2 3 3 2 2 5 2" xfId="30744" xr:uid="{00000000-0005-0000-0000-000037050000}"/>
    <cellStyle name="Comma 2 3 3 2 2 6" xfId="20887" xr:uid="{00000000-0005-0000-0000-000038050000}"/>
    <cellStyle name="Comma 2 3 3 2 3" xfId="1778" xr:uid="{00000000-0005-0000-0000-000039050000}"/>
    <cellStyle name="Comma 2 3 3 2 3 2" xfId="4245" xr:uid="{00000000-0005-0000-0000-00003A050000}"/>
    <cellStyle name="Comma 2 3 3 2 3 2 2" xfId="9177" xr:uid="{00000000-0005-0000-0000-00003B050000}"/>
    <cellStyle name="Comma 2 3 3 2 3 2 2 2" xfId="19037" xr:uid="{00000000-0005-0000-0000-00003C050000}"/>
    <cellStyle name="Comma 2 3 3 2 3 2 2 2 2" xfId="38752" xr:uid="{00000000-0005-0000-0000-00003D050000}"/>
    <cellStyle name="Comma 2 3 3 2 3 2 2 3" xfId="28895" xr:uid="{00000000-0005-0000-0000-00003E050000}"/>
    <cellStyle name="Comma 2 3 3 2 3 2 3" xfId="14109" xr:uid="{00000000-0005-0000-0000-00003F050000}"/>
    <cellStyle name="Comma 2 3 3 2 3 2 3 2" xfId="33824" xr:uid="{00000000-0005-0000-0000-000040050000}"/>
    <cellStyle name="Comma 2 3 3 2 3 2 4" xfId="23967" xr:uid="{00000000-0005-0000-0000-000041050000}"/>
    <cellStyle name="Comma 2 3 3 2 3 3" xfId="6713" xr:uid="{00000000-0005-0000-0000-000042050000}"/>
    <cellStyle name="Comma 2 3 3 2 3 3 2" xfId="16573" xr:uid="{00000000-0005-0000-0000-000043050000}"/>
    <cellStyle name="Comma 2 3 3 2 3 3 2 2" xfId="36288" xr:uid="{00000000-0005-0000-0000-000044050000}"/>
    <cellStyle name="Comma 2 3 3 2 3 3 3" xfId="26431" xr:uid="{00000000-0005-0000-0000-000045050000}"/>
    <cellStyle name="Comma 2 3 3 2 3 4" xfId="11645" xr:uid="{00000000-0005-0000-0000-000046050000}"/>
    <cellStyle name="Comma 2 3 3 2 3 4 2" xfId="31360" xr:uid="{00000000-0005-0000-0000-000047050000}"/>
    <cellStyle name="Comma 2 3 3 2 3 5" xfId="21503" xr:uid="{00000000-0005-0000-0000-000048050000}"/>
    <cellStyle name="Comma 2 3 3 2 4" xfId="3013" xr:uid="{00000000-0005-0000-0000-000049050000}"/>
    <cellStyle name="Comma 2 3 3 2 4 2" xfId="7945" xr:uid="{00000000-0005-0000-0000-00004A050000}"/>
    <cellStyle name="Comma 2 3 3 2 4 2 2" xfId="17805" xr:uid="{00000000-0005-0000-0000-00004B050000}"/>
    <cellStyle name="Comma 2 3 3 2 4 2 2 2" xfId="37520" xr:uid="{00000000-0005-0000-0000-00004C050000}"/>
    <cellStyle name="Comma 2 3 3 2 4 2 3" xfId="27663" xr:uid="{00000000-0005-0000-0000-00004D050000}"/>
    <cellStyle name="Comma 2 3 3 2 4 3" xfId="12877" xr:uid="{00000000-0005-0000-0000-00004E050000}"/>
    <cellStyle name="Comma 2 3 3 2 4 3 2" xfId="32592" xr:uid="{00000000-0005-0000-0000-00004F050000}"/>
    <cellStyle name="Comma 2 3 3 2 4 4" xfId="22735" xr:uid="{00000000-0005-0000-0000-000050050000}"/>
    <cellStyle name="Comma 2 3 3 2 5" xfId="5481" xr:uid="{00000000-0005-0000-0000-000051050000}"/>
    <cellStyle name="Comma 2 3 3 2 5 2" xfId="15341" xr:uid="{00000000-0005-0000-0000-000052050000}"/>
    <cellStyle name="Comma 2 3 3 2 5 2 2" xfId="35056" xr:uid="{00000000-0005-0000-0000-000053050000}"/>
    <cellStyle name="Comma 2 3 3 2 5 3" xfId="25199" xr:uid="{00000000-0005-0000-0000-000054050000}"/>
    <cellStyle name="Comma 2 3 3 2 6" xfId="10413" xr:uid="{00000000-0005-0000-0000-000055050000}"/>
    <cellStyle name="Comma 2 3 3 2 6 2" xfId="30128" xr:uid="{00000000-0005-0000-0000-000056050000}"/>
    <cellStyle name="Comma 2 3 3 2 7" xfId="20271" xr:uid="{00000000-0005-0000-0000-000057050000}"/>
    <cellStyle name="Comma 2 3 3 3" xfId="852" xr:uid="{00000000-0005-0000-0000-000058050000}"/>
    <cellStyle name="Comma 2 3 3 3 2" xfId="2088" xr:uid="{00000000-0005-0000-0000-000059050000}"/>
    <cellStyle name="Comma 2 3 3 3 2 2" xfId="4555" xr:uid="{00000000-0005-0000-0000-00005A050000}"/>
    <cellStyle name="Comma 2 3 3 3 2 2 2" xfId="9487" xr:uid="{00000000-0005-0000-0000-00005B050000}"/>
    <cellStyle name="Comma 2 3 3 3 2 2 2 2" xfId="19347" xr:uid="{00000000-0005-0000-0000-00005C050000}"/>
    <cellStyle name="Comma 2 3 3 3 2 2 2 2 2" xfId="39062" xr:uid="{00000000-0005-0000-0000-00005D050000}"/>
    <cellStyle name="Comma 2 3 3 3 2 2 2 3" xfId="29205" xr:uid="{00000000-0005-0000-0000-00005E050000}"/>
    <cellStyle name="Comma 2 3 3 3 2 2 3" xfId="14419" xr:uid="{00000000-0005-0000-0000-00005F050000}"/>
    <cellStyle name="Comma 2 3 3 3 2 2 3 2" xfId="34134" xr:uid="{00000000-0005-0000-0000-000060050000}"/>
    <cellStyle name="Comma 2 3 3 3 2 2 4" xfId="24277" xr:uid="{00000000-0005-0000-0000-000061050000}"/>
    <cellStyle name="Comma 2 3 3 3 2 3" xfId="7023" xr:uid="{00000000-0005-0000-0000-000062050000}"/>
    <cellStyle name="Comma 2 3 3 3 2 3 2" xfId="16883" xr:uid="{00000000-0005-0000-0000-000063050000}"/>
    <cellStyle name="Comma 2 3 3 3 2 3 2 2" xfId="36598" xr:uid="{00000000-0005-0000-0000-000064050000}"/>
    <cellStyle name="Comma 2 3 3 3 2 3 3" xfId="26741" xr:uid="{00000000-0005-0000-0000-000065050000}"/>
    <cellStyle name="Comma 2 3 3 3 2 4" xfId="11955" xr:uid="{00000000-0005-0000-0000-000066050000}"/>
    <cellStyle name="Comma 2 3 3 3 2 4 2" xfId="31670" xr:uid="{00000000-0005-0000-0000-000067050000}"/>
    <cellStyle name="Comma 2 3 3 3 2 5" xfId="21813" xr:uid="{00000000-0005-0000-0000-000068050000}"/>
    <cellStyle name="Comma 2 3 3 3 3" xfId="3323" xr:uid="{00000000-0005-0000-0000-000069050000}"/>
    <cellStyle name="Comma 2 3 3 3 3 2" xfId="8255" xr:uid="{00000000-0005-0000-0000-00006A050000}"/>
    <cellStyle name="Comma 2 3 3 3 3 2 2" xfId="18115" xr:uid="{00000000-0005-0000-0000-00006B050000}"/>
    <cellStyle name="Comma 2 3 3 3 3 2 2 2" xfId="37830" xr:uid="{00000000-0005-0000-0000-00006C050000}"/>
    <cellStyle name="Comma 2 3 3 3 3 2 3" xfId="27973" xr:uid="{00000000-0005-0000-0000-00006D050000}"/>
    <cellStyle name="Comma 2 3 3 3 3 3" xfId="13187" xr:uid="{00000000-0005-0000-0000-00006E050000}"/>
    <cellStyle name="Comma 2 3 3 3 3 3 2" xfId="32902" xr:uid="{00000000-0005-0000-0000-00006F050000}"/>
    <cellStyle name="Comma 2 3 3 3 3 4" xfId="23045" xr:uid="{00000000-0005-0000-0000-000070050000}"/>
    <cellStyle name="Comma 2 3 3 3 4" xfId="5791" xr:uid="{00000000-0005-0000-0000-000071050000}"/>
    <cellStyle name="Comma 2 3 3 3 4 2" xfId="15651" xr:uid="{00000000-0005-0000-0000-000072050000}"/>
    <cellStyle name="Comma 2 3 3 3 4 2 2" xfId="35366" xr:uid="{00000000-0005-0000-0000-000073050000}"/>
    <cellStyle name="Comma 2 3 3 3 4 3" xfId="25509" xr:uid="{00000000-0005-0000-0000-000074050000}"/>
    <cellStyle name="Comma 2 3 3 3 5" xfId="10723" xr:uid="{00000000-0005-0000-0000-000075050000}"/>
    <cellStyle name="Comma 2 3 3 3 5 2" xfId="30438" xr:uid="{00000000-0005-0000-0000-000076050000}"/>
    <cellStyle name="Comma 2 3 3 3 6" xfId="20581" xr:uid="{00000000-0005-0000-0000-000077050000}"/>
    <cellStyle name="Comma 2 3 3 4" xfId="1472" xr:uid="{00000000-0005-0000-0000-000078050000}"/>
    <cellStyle name="Comma 2 3 3 4 2" xfId="3939" xr:uid="{00000000-0005-0000-0000-000079050000}"/>
    <cellStyle name="Comma 2 3 3 4 2 2" xfId="8871" xr:uid="{00000000-0005-0000-0000-00007A050000}"/>
    <cellStyle name="Comma 2 3 3 4 2 2 2" xfId="18731" xr:uid="{00000000-0005-0000-0000-00007B050000}"/>
    <cellStyle name="Comma 2 3 3 4 2 2 2 2" xfId="38446" xr:uid="{00000000-0005-0000-0000-00007C050000}"/>
    <cellStyle name="Comma 2 3 3 4 2 2 3" xfId="28589" xr:uid="{00000000-0005-0000-0000-00007D050000}"/>
    <cellStyle name="Comma 2 3 3 4 2 3" xfId="13803" xr:uid="{00000000-0005-0000-0000-00007E050000}"/>
    <cellStyle name="Comma 2 3 3 4 2 3 2" xfId="33518" xr:uid="{00000000-0005-0000-0000-00007F050000}"/>
    <cellStyle name="Comma 2 3 3 4 2 4" xfId="23661" xr:uid="{00000000-0005-0000-0000-000080050000}"/>
    <cellStyle name="Comma 2 3 3 4 3" xfId="6407" xr:uid="{00000000-0005-0000-0000-000081050000}"/>
    <cellStyle name="Comma 2 3 3 4 3 2" xfId="16267" xr:uid="{00000000-0005-0000-0000-000082050000}"/>
    <cellStyle name="Comma 2 3 3 4 3 2 2" xfId="35982" xr:uid="{00000000-0005-0000-0000-000083050000}"/>
    <cellStyle name="Comma 2 3 3 4 3 3" xfId="26125" xr:uid="{00000000-0005-0000-0000-000084050000}"/>
    <cellStyle name="Comma 2 3 3 4 4" xfId="11339" xr:uid="{00000000-0005-0000-0000-000085050000}"/>
    <cellStyle name="Comma 2 3 3 4 4 2" xfId="31054" xr:uid="{00000000-0005-0000-0000-000086050000}"/>
    <cellStyle name="Comma 2 3 3 4 5" xfId="21197" xr:uid="{00000000-0005-0000-0000-000087050000}"/>
    <cellStyle name="Comma 2 3 3 5" xfId="2707" xr:uid="{00000000-0005-0000-0000-000088050000}"/>
    <cellStyle name="Comma 2 3 3 5 2" xfId="7639" xr:uid="{00000000-0005-0000-0000-000089050000}"/>
    <cellStyle name="Comma 2 3 3 5 2 2" xfId="17499" xr:uid="{00000000-0005-0000-0000-00008A050000}"/>
    <cellStyle name="Comma 2 3 3 5 2 2 2" xfId="37214" xr:uid="{00000000-0005-0000-0000-00008B050000}"/>
    <cellStyle name="Comma 2 3 3 5 2 3" xfId="27357" xr:uid="{00000000-0005-0000-0000-00008C050000}"/>
    <cellStyle name="Comma 2 3 3 5 3" xfId="12571" xr:uid="{00000000-0005-0000-0000-00008D050000}"/>
    <cellStyle name="Comma 2 3 3 5 3 2" xfId="32286" xr:uid="{00000000-0005-0000-0000-00008E050000}"/>
    <cellStyle name="Comma 2 3 3 5 4" xfId="22429" xr:uid="{00000000-0005-0000-0000-00008F050000}"/>
    <cellStyle name="Comma 2 3 3 6" xfId="5175" xr:uid="{00000000-0005-0000-0000-000090050000}"/>
    <cellStyle name="Comma 2 3 3 6 2" xfId="15035" xr:uid="{00000000-0005-0000-0000-000091050000}"/>
    <cellStyle name="Comma 2 3 3 6 2 2" xfId="34750" xr:uid="{00000000-0005-0000-0000-000092050000}"/>
    <cellStyle name="Comma 2 3 3 6 3" xfId="24893" xr:uid="{00000000-0005-0000-0000-000093050000}"/>
    <cellStyle name="Comma 2 3 3 7" xfId="10107" xr:uid="{00000000-0005-0000-0000-000094050000}"/>
    <cellStyle name="Comma 2 3 3 7 2" xfId="29822" xr:uid="{00000000-0005-0000-0000-000095050000}"/>
    <cellStyle name="Comma 2 3 3 8" xfId="19965" xr:uid="{00000000-0005-0000-0000-000096050000}"/>
    <cellStyle name="Comma 2 3 4" xfId="387" xr:uid="{00000000-0005-0000-0000-000097050000}"/>
    <cellStyle name="Comma 2 3 4 2" xfId="1007" xr:uid="{00000000-0005-0000-0000-000098050000}"/>
    <cellStyle name="Comma 2 3 4 2 2" xfId="2242" xr:uid="{00000000-0005-0000-0000-000099050000}"/>
    <cellStyle name="Comma 2 3 4 2 2 2" xfId="4709" xr:uid="{00000000-0005-0000-0000-00009A050000}"/>
    <cellStyle name="Comma 2 3 4 2 2 2 2" xfId="9641" xr:uid="{00000000-0005-0000-0000-00009B050000}"/>
    <cellStyle name="Comma 2 3 4 2 2 2 2 2" xfId="19501" xr:uid="{00000000-0005-0000-0000-00009C050000}"/>
    <cellStyle name="Comma 2 3 4 2 2 2 2 2 2" xfId="39216" xr:uid="{00000000-0005-0000-0000-00009D050000}"/>
    <cellStyle name="Comma 2 3 4 2 2 2 2 3" xfId="29359" xr:uid="{00000000-0005-0000-0000-00009E050000}"/>
    <cellStyle name="Comma 2 3 4 2 2 2 3" xfId="14573" xr:uid="{00000000-0005-0000-0000-00009F050000}"/>
    <cellStyle name="Comma 2 3 4 2 2 2 3 2" xfId="34288" xr:uid="{00000000-0005-0000-0000-0000A0050000}"/>
    <cellStyle name="Comma 2 3 4 2 2 2 4" xfId="24431" xr:uid="{00000000-0005-0000-0000-0000A1050000}"/>
    <cellStyle name="Comma 2 3 4 2 2 3" xfId="7177" xr:uid="{00000000-0005-0000-0000-0000A2050000}"/>
    <cellStyle name="Comma 2 3 4 2 2 3 2" xfId="17037" xr:uid="{00000000-0005-0000-0000-0000A3050000}"/>
    <cellStyle name="Comma 2 3 4 2 2 3 2 2" xfId="36752" xr:uid="{00000000-0005-0000-0000-0000A4050000}"/>
    <cellStyle name="Comma 2 3 4 2 2 3 3" xfId="26895" xr:uid="{00000000-0005-0000-0000-0000A5050000}"/>
    <cellStyle name="Comma 2 3 4 2 2 4" xfId="12109" xr:uid="{00000000-0005-0000-0000-0000A6050000}"/>
    <cellStyle name="Comma 2 3 4 2 2 4 2" xfId="31824" xr:uid="{00000000-0005-0000-0000-0000A7050000}"/>
    <cellStyle name="Comma 2 3 4 2 2 5" xfId="21967" xr:uid="{00000000-0005-0000-0000-0000A8050000}"/>
    <cellStyle name="Comma 2 3 4 2 3" xfId="3477" xr:uid="{00000000-0005-0000-0000-0000A9050000}"/>
    <cellStyle name="Comma 2 3 4 2 3 2" xfId="8409" xr:uid="{00000000-0005-0000-0000-0000AA050000}"/>
    <cellStyle name="Comma 2 3 4 2 3 2 2" xfId="18269" xr:uid="{00000000-0005-0000-0000-0000AB050000}"/>
    <cellStyle name="Comma 2 3 4 2 3 2 2 2" xfId="37984" xr:uid="{00000000-0005-0000-0000-0000AC050000}"/>
    <cellStyle name="Comma 2 3 4 2 3 2 3" xfId="28127" xr:uid="{00000000-0005-0000-0000-0000AD050000}"/>
    <cellStyle name="Comma 2 3 4 2 3 3" xfId="13341" xr:uid="{00000000-0005-0000-0000-0000AE050000}"/>
    <cellStyle name="Comma 2 3 4 2 3 3 2" xfId="33056" xr:uid="{00000000-0005-0000-0000-0000AF050000}"/>
    <cellStyle name="Comma 2 3 4 2 3 4" xfId="23199" xr:uid="{00000000-0005-0000-0000-0000B0050000}"/>
    <cellStyle name="Comma 2 3 4 2 4" xfId="5945" xr:uid="{00000000-0005-0000-0000-0000B1050000}"/>
    <cellStyle name="Comma 2 3 4 2 4 2" xfId="15805" xr:uid="{00000000-0005-0000-0000-0000B2050000}"/>
    <cellStyle name="Comma 2 3 4 2 4 2 2" xfId="35520" xr:uid="{00000000-0005-0000-0000-0000B3050000}"/>
    <cellStyle name="Comma 2 3 4 2 4 3" xfId="25663" xr:uid="{00000000-0005-0000-0000-0000B4050000}"/>
    <cellStyle name="Comma 2 3 4 2 5" xfId="10877" xr:uid="{00000000-0005-0000-0000-0000B5050000}"/>
    <cellStyle name="Comma 2 3 4 2 5 2" xfId="30592" xr:uid="{00000000-0005-0000-0000-0000B6050000}"/>
    <cellStyle name="Comma 2 3 4 2 6" xfId="20735" xr:uid="{00000000-0005-0000-0000-0000B7050000}"/>
    <cellStyle name="Comma 2 3 4 3" xfId="1626" xr:uid="{00000000-0005-0000-0000-0000B8050000}"/>
    <cellStyle name="Comma 2 3 4 3 2" xfId="4093" xr:uid="{00000000-0005-0000-0000-0000B9050000}"/>
    <cellStyle name="Comma 2 3 4 3 2 2" xfId="9025" xr:uid="{00000000-0005-0000-0000-0000BA050000}"/>
    <cellStyle name="Comma 2 3 4 3 2 2 2" xfId="18885" xr:uid="{00000000-0005-0000-0000-0000BB050000}"/>
    <cellStyle name="Comma 2 3 4 3 2 2 2 2" xfId="38600" xr:uid="{00000000-0005-0000-0000-0000BC050000}"/>
    <cellStyle name="Comma 2 3 4 3 2 2 3" xfId="28743" xr:uid="{00000000-0005-0000-0000-0000BD050000}"/>
    <cellStyle name="Comma 2 3 4 3 2 3" xfId="13957" xr:uid="{00000000-0005-0000-0000-0000BE050000}"/>
    <cellStyle name="Comma 2 3 4 3 2 3 2" xfId="33672" xr:uid="{00000000-0005-0000-0000-0000BF050000}"/>
    <cellStyle name="Comma 2 3 4 3 2 4" xfId="23815" xr:uid="{00000000-0005-0000-0000-0000C0050000}"/>
    <cellStyle name="Comma 2 3 4 3 3" xfId="6561" xr:uid="{00000000-0005-0000-0000-0000C1050000}"/>
    <cellStyle name="Comma 2 3 4 3 3 2" xfId="16421" xr:uid="{00000000-0005-0000-0000-0000C2050000}"/>
    <cellStyle name="Comma 2 3 4 3 3 2 2" xfId="36136" xr:uid="{00000000-0005-0000-0000-0000C3050000}"/>
    <cellStyle name="Comma 2 3 4 3 3 3" xfId="26279" xr:uid="{00000000-0005-0000-0000-0000C4050000}"/>
    <cellStyle name="Comma 2 3 4 3 4" xfId="11493" xr:uid="{00000000-0005-0000-0000-0000C5050000}"/>
    <cellStyle name="Comma 2 3 4 3 4 2" xfId="31208" xr:uid="{00000000-0005-0000-0000-0000C6050000}"/>
    <cellStyle name="Comma 2 3 4 3 5" xfId="21351" xr:uid="{00000000-0005-0000-0000-0000C7050000}"/>
    <cellStyle name="Comma 2 3 4 4" xfId="2861" xr:uid="{00000000-0005-0000-0000-0000C8050000}"/>
    <cellStyle name="Comma 2 3 4 4 2" xfId="7793" xr:uid="{00000000-0005-0000-0000-0000C9050000}"/>
    <cellStyle name="Comma 2 3 4 4 2 2" xfId="17653" xr:uid="{00000000-0005-0000-0000-0000CA050000}"/>
    <cellStyle name="Comma 2 3 4 4 2 2 2" xfId="37368" xr:uid="{00000000-0005-0000-0000-0000CB050000}"/>
    <cellStyle name="Comma 2 3 4 4 2 3" xfId="27511" xr:uid="{00000000-0005-0000-0000-0000CC050000}"/>
    <cellStyle name="Comma 2 3 4 4 3" xfId="12725" xr:uid="{00000000-0005-0000-0000-0000CD050000}"/>
    <cellStyle name="Comma 2 3 4 4 3 2" xfId="32440" xr:uid="{00000000-0005-0000-0000-0000CE050000}"/>
    <cellStyle name="Comma 2 3 4 4 4" xfId="22583" xr:uid="{00000000-0005-0000-0000-0000CF050000}"/>
    <cellStyle name="Comma 2 3 4 5" xfId="5329" xr:uid="{00000000-0005-0000-0000-0000D0050000}"/>
    <cellStyle name="Comma 2 3 4 5 2" xfId="15189" xr:uid="{00000000-0005-0000-0000-0000D1050000}"/>
    <cellStyle name="Comma 2 3 4 5 2 2" xfId="34904" xr:uid="{00000000-0005-0000-0000-0000D2050000}"/>
    <cellStyle name="Comma 2 3 4 5 3" xfId="25047" xr:uid="{00000000-0005-0000-0000-0000D3050000}"/>
    <cellStyle name="Comma 2 3 4 6" xfId="10261" xr:uid="{00000000-0005-0000-0000-0000D4050000}"/>
    <cellStyle name="Comma 2 3 4 6 2" xfId="29976" xr:uid="{00000000-0005-0000-0000-0000D5050000}"/>
    <cellStyle name="Comma 2 3 4 7" xfId="20119" xr:uid="{00000000-0005-0000-0000-0000D6050000}"/>
    <cellStyle name="Comma 2 3 5" xfId="700" xr:uid="{00000000-0005-0000-0000-0000D7050000}"/>
    <cellStyle name="Comma 2 3 5 2" xfId="1936" xr:uid="{00000000-0005-0000-0000-0000D8050000}"/>
    <cellStyle name="Comma 2 3 5 2 2" xfId="4403" xr:uid="{00000000-0005-0000-0000-0000D9050000}"/>
    <cellStyle name="Comma 2 3 5 2 2 2" xfId="9335" xr:uid="{00000000-0005-0000-0000-0000DA050000}"/>
    <cellStyle name="Comma 2 3 5 2 2 2 2" xfId="19195" xr:uid="{00000000-0005-0000-0000-0000DB050000}"/>
    <cellStyle name="Comma 2 3 5 2 2 2 2 2" xfId="38910" xr:uid="{00000000-0005-0000-0000-0000DC050000}"/>
    <cellStyle name="Comma 2 3 5 2 2 2 3" xfId="29053" xr:uid="{00000000-0005-0000-0000-0000DD050000}"/>
    <cellStyle name="Comma 2 3 5 2 2 3" xfId="14267" xr:uid="{00000000-0005-0000-0000-0000DE050000}"/>
    <cellStyle name="Comma 2 3 5 2 2 3 2" xfId="33982" xr:uid="{00000000-0005-0000-0000-0000DF050000}"/>
    <cellStyle name="Comma 2 3 5 2 2 4" xfId="24125" xr:uid="{00000000-0005-0000-0000-0000E0050000}"/>
    <cellStyle name="Comma 2 3 5 2 3" xfId="6871" xr:uid="{00000000-0005-0000-0000-0000E1050000}"/>
    <cellStyle name="Comma 2 3 5 2 3 2" xfId="16731" xr:uid="{00000000-0005-0000-0000-0000E2050000}"/>
    <cellStyle name="Comma 2 3 5 2 3 2 2" xfId="36446" xr:uid="{00000000-0005-0000-0000-0000E3050000}"/>
    <cellStyle name="Comma 2 3 5 2 3 3" xfId="26589" xr:uid="{00000000-0005-0000-0000-0000E4050000}"/>
    <cellStyle name="Comma 2 3 5 2 4" xfId="11803" xr:uid="{00000000-0005-0000-0000-0000E5050000}"/>
    <cellStyle name="Comma 2 3 5 2 4 2" xfId="31518" xr:uid="{00000000-0005-0000-0000-0000E6050000}"/>
    <cellStyle name="Comma 2 3 5 2 5" xfId="21661" xr:uid="{00000000-0005-0000-0000-0000E7050000}"/>
    <cellStyle name="Comma 2 3 5 3" xfId="3171" xr:uid="{00000000-0005-0000-0000-0000E8050000}"/>
    <cellStyle name="Comma 2 3 5 3 2" xfId="8103" xr:uid="{00000000-0005-0000-0000-0000E9050000}"/>
    <cellStyle name="Comma 2 3 5 3 2 2" xfId="17963" xr:uid="{00000000-0005-0000-0000-0000EA050000}"/>
    <cellStyle name="Comma 2 3 5 3 2 2 2" xfId="37678" xr:uid="{00000000-0005-0000-0000-0000EB050000}"/>
    <cellStyle name="Comma 2 3 5 3 2 3" xfId="27821" xr:uid="{00000000-0005-0000-0000-0000EC050000}"/>
    <cellStyle name="Comma 2 3 5 3 3" xfId="13035" xr:uid="{00000000-0005-0000-0000-0000ED050000}"/>
    <cellStyle name="Comma 2 3 5 3 3 2" xfId="32750" xr:uid="{00000000-0005-0000-0000-0000EE050000}"/>
    <cellStyle name="Comma 2 3 5 3 4" xfId="22893" xr:uid="{00000000-0005-0000-0000-0000EF050000}"/>
    <cellStyle name="Comma 2 3 5 4" xfId="5639" xr:uid="{00000000-0005-0000-0000-0000F0050000}"/>
    <cellStyle name="Comma 2 3 5 4 2" xfId="15499" xr:uid="{00000000-0005-0000-0000-0000F1050000}"/>
    <cellStyle name="Comma 2 3 5 4 2 2" xfId="35214" xr:uid="{00000000-0005-0000-0000-0000F2050000}"/>
    <cellStyle name="Comma 2 3 5 4 3" xfId="25357" xr:uid="{00000000-0005-0000-0000-0000F3050000}"/>
    <cellStyle name="Comma 2 3 5 5" xfId="10571" xr:uid="{00000000-0005-0000-0000-0000F4050000}"/>
    <cellStyle name="Comma 2 3 5 5 2" xfId="30286" xr:uid="{00000000-0005-0000-0000-0000F5050000}"/>
    <cellStyle name="Comma 2 3 5 6" xfId="20429" xr:uid="{00000000-0005-0000-0000-0000F6050000}"/>
    <cellStyle name="Comma 2 3 6" xfId="1320" xr:uid="{00000000-0005-0000-0000-0000F7050000}"/>
    <cellStyle name="Comma 2 3 6 2" xfId="3787" xr:uid="{00000000-0005-0000-0000-0000F8050000}"/>
    <cellStyle name="Comma 2 3 6 2 2" xfId="8719" xr:uid="{00000000-0005-0000-0000-0000F9050000}"/>
    <cellStyle name="Comma 2 3 6 2 2 2" xfId="18579" xr:uid="{00000000-0005-0000-0000-0000FA050000}"/>
    <cellStyle name="Comma 2 3 6 2 2 2 2" xfId="38294" xr:uid="{00000000-0005-0000-0000-0000FB050000}"/>
    <cellStyle name="Comma 2 3 6 2 2 3" xfId="28437" xr:uid="{00000000-0005-0000-0000-0000FC050000}"/>
    <cellStyle name="Comma 2 3 6 2 3" xfId="13651" xr:uid="{00000000-0005-0000-0000-0000FD050000}"/>
    <cellStyle name="Comma 2 3 6 2 3 2" xfId="33366" xr:uid="{00000000-0005-0000-0000-0000FE050000}"/>
    <cellStyle name="Comma 2 3 6 2 4" xfId="23509" xr:uid="{00000000-0005-0000-0000-0000FF050000}"/>
    <cellStyle name="Comma 2 3 6 3" xfId="6255" xr:uid="{00000000-0005-0000-0000-000000060000}"/>
    <cellStyle name="Comma 2 3 6 3 2" xfId="16115" xr:uid="{00000000-0005-0000-0000-000001060000}"/>
    <cellStyle name="Comma 2 3 6 3 2 2" xfId="35830" xr:uid="{00000000-0005-0000-0000-000002060000}"/>
    <cellStyle name="Comma 2 3 6 3 3" xfId="25973" xr:uid="{00000000-0005-0000-0000-000003060000}"/>
    <cellStyle name="Comma 2 3 6 4" xfId="11187" xr:uid="{00000000-0005-0000-0000-000004060000}"/>
    <cellStyle name="Comma 2 3 6 4 2" xfId="30902" xr:uid="{00000000-0005-0000-0000-000005060000}"/>
    <cellStyle name="Comma 2 3 6 5" xfId="21045" xr:uid="{00000000-0005-0000-0000-000006060000}"/>
    <cellStyle name="Comma 2 3 7" xfId="2555" xr:uid="{00000000-0005-0000-0000-000007060000}"/>
    <cellStyle name="Comma 2 3 7 2" xfId="7487" xr:uid="{00000000-0005-0000-0000-000008060000}"/>
    <cellStyle name="Comma 2 3 7 2 2" xfId="17347" xr:uid="{00000000-0005-0000-0000-000009060000}"/>
    <cellStyle name="Comma 2 3 7 2 2 2" xfId="37062" xr:uid="{00000000-0005-0000-0000-00000A060000}"/>
    <cellStyle name="Comma 2 3 7 2 3" xfId="27205" xr:uid="{00000000-0005-0000-0000-00000B060000}"/>
    <cellStyle name="Comma 2 3 7 3" xfId="12419" xr:uid="{00000000-0005-0000-0000-00000C060000}"/>
    <cellStyle name="Comma 2 3 7 3 2" xfId="32134" xr:uid="{00000000-0005-0000-0000-00000D060000}"/>
    <cellStyle name="Comma 2 3 7 4" xfId="22277" xr:uid="{00000000-0005-0000-0000-00000E060000}"/>
    <cellStyle name="Comma 2 3 8" xfId="5023" xr:uid="{00000000-0005-0000-0000-00000F060000}"/>
    <cellStyle name="Comma 2 3 8 2" xfId="14883" xr:uid="{00000000-0005-0000-0000-000010060000}"/>
    <cellStyle name="Comma 2 3 8 2 2" xfId="34598" xr:uid="{00000000-0005-0000-0000-000011060000}"/>
    <cellStyle name="Comma 2 3 8 3" xfId="24741" xr:uid="{00000000-0005-0000-0000-000012060000}"/>
    <cellStyle name="Comma 2 3 9" xfId="9955" xr:uid="{00000000-0005-0000-0000-000013060000}"/>
    <cellStyle name="Comma 2 3 9 2" xfId="29670" xr:uid="{00000000-0005-0000-0000-000014060000}"/>
    <cellStyle name="Comma 2 4" xfId="103" xr:uid="{00000000-0005-0000-0000-000015060000}"/>
    <cellStyle name="Comma 2 4 2" xfId="263" xr:uid="{00000000-0005-0000-0000-000016060000}"/>
    <cellStyle name="Comma 2 4 2 2" xfId="577" xr:uid="{00000000-0005-0000-0000-000017060000}"/>
    <cellStyle name="Comma 2 4 2 2 2" xfId="1197" xr:uid="{00000000-0005-0000-0000-000018060000}"/>
    <cellStyle name="Comma 2 4 2 2 2 2" xfId="2432" xr:uid="{00000000-0005-0000-0000-000019060000}"/>
    <cellStyle name="Comma 2 4 2 2 2 2 2" xfId="4899" xr:uid="{00000000-0005-0000-0000-00001A060000}"/>
    <cellStyle name="Comma 2 4 2 2 2 2 2 2" xfId="9831" xr:uid="{00000000-0005-0000-0000-00001B060000}"/>
    <cellStyle name="Comma 2 4 2 2 2 2 2 2 2" xfId="19691" xr:uid="{00000000-0005-0000-0000-00001C060000}"/>
    <cellStyle name="Comma 2 4 2 2 2 2 2 2 2 2" xfId="39406" xr:uid="{00000000-0005-0000-0000-00001D060000}"/>
    <cellStyle name="Comma 2 4 2 2 2 2 2 2 3" xfId="29549" xr:uid="{00000000-0005-0000-0000-00001E060000}"/>
    <cellStyle name="Comma 2 4 2 2 2 2 2 3" xfId="14763" xr:uid="{00000000-0005-0000-0000-00001F060000}"/>
    <cellStyle name="Comma 2 4 2 2 2 2 2 3 2" xfId="34478" xr:uid="{00000000-0005-0000-0000-000020060000}"/>
    <cellStyle name="Comma 2 4 2 2 2 2 2 4" xfId="24621" xr:uid="{00000000-0005-0000-0000-000021060000}"/>
    <cellStyle name="Comma 2 4 2 2 2 2 3" xfId="7367" xr:uid="{00000000-0005-0000-0000-000022060000}"/>
    <cellStyle name="Comma 2 4 2 2 2 2 3 2" xfId="17227" xr:uid="{00000000-0005-0000-0000-000023060000}"/>
    <cellStyle name="Comma 2 4 2 2 2 2 3 2 2" xfId="36942" xr:uid="{00000000-0005-0000-0000-000024060000}"/>
    <cellStyle name="Comma 2 4 2 2 2 2 3 3" xfId="27085" xr:uid="{00000000-0005-0000-0000-000025060000}"/>
    <cellStyle name="Comma 2 4 2 2 2 2 4" xfId="12299" xr:uid="{00000000-0005-0000-0000-000026060000}"/>
    <cellStyle name="Comma 2 4 2 2 2 2 4 2" xfId="32014" xr:uid="{00000000-0005-0000-0000-000027060000}"/>
    <cellStyle name="Comma 2 4 2 2 2 2 5" xfId="22157" xr:uid="{00000000-0005-0000-0000-000028060000}"/>
    <cellStyle name="Comma 2 4 2 2 2 3" xfId="3667" xr:uid="{00000000-0005-0000-0000-000029060000}"/>
    <cellStyle name="Comma 2 4 2 2 2 3 2" xfId="8599" xr:uid="{00000000-0005-0000-0000-00002A060000}"/>
    <cellStyle name="Comma 2 4 2 2 2 3 2 2" xfId="18459" xr:uid="{00000000-0005-0000-0000-00002B060000}"/>
    <cellStyle name="Comma 2 4 2 2 2 3 2 2 2" xfId="38174" xr:uid="{00000000-0005-0000-0000-00002C060000}"/>
    <cellStyle name="Comma 2 4 2 2 2 3 2 3" xfId="28317" xr:uid="{00000000-0005-0000-0000-00002D060000}"/>
    <cellStyle name="Comma 2 4 2 2 2 3 3" xfId="13531" xr:uid="{00000000-0005-0000-0000-00002E060000}"/>
    <cellStyle name="Comma 2 4 2 2 2 3 3 2" xfId="33246" xr:uid="{00000000-0005-0000-0000-00002F060000}"/>
    <cellStyle name="Comma 2 4 2 2 2 3 4" xfId="23389" xr:uid="{00000000-0005-0000-0000-000030060000}"/>
    <cellStyle name="Comma 2 4 2 2 2 4" xfId="6135" xr:uid="{00000000-0005-0000-0000-000031060000}"/>
    <cellStyle name="Comma 2 4 2 2 2 4 2" xfId="15995" xr:uid="{00000000-0005-0000-0000-000032060000}"/>
    <cellStyle name="Comma 2 4 2 2 2 4 2 2" xfId="35710" xr:uid="{00000000-0005-0000-0000-000033060000}"/>
    <cellStyle name="Comma 2 4 2 2 2 4 3" xfId="25853" xr:uid="{00000000-0005-0000-0000-000034060000}"/>
    <cellStyle name="Comma 2 4 2 2 2 5" xfId="11067" xr:uid="{00000000-0005-0000-0000-000035060000}"/>
    <cellStyle name="Comma 2 4 2 2 2 5 2" xfId="30782" xr:uid="{00000000-0005-0000-0000-000036060000}"/>
    <cellStyle name="Comma 2 4 2 2 2 6" xfId="20925" xr:uid="{00000000-0005-0000-0000-000037060000}"/>
    <cellStyle name="Comma 2 4 2 2 3" xfId="1816" xr:uid="{00000000-0005-0000-0000-000038060000}"/>
    <cellStyle name="Comma 2 4 2 2 3 2" xfId="4283" xr:uid="{00000000-0005-0000-0000-000039060000}"/>
    <cellStyle name="Comma 2 4 2 2 3 2 2" xfId="9215" xr:uid="{00000000-0005-0000-0000-00003A060000}"/>
    <cellStyle name="Comma 2 4 2 2 3 2 2 2" xfId="19075" xr:uid="{00000000-0005-0000-0000-00003B060000}"/>
    <cellStyle name="Comma 2 4 2 2 3 2 2 2 2" xfId="38790" xr:uid="{00000000-0005-0000-0000-00003C060000}"/>
    <cellStyle name="Comma 2 4 2 2 3 2 2 3" xfId="28933" xr:uid="{00000000-0005-0000-0000-00003D060000}"/>
    <cellStyle name="Comma 2 4 2 2 3 2 3" xfId="14147" xr:uid="{00000000-0005-0000-0000-00003E060000}"/>
    <cellStyle name="Comma 2 4 2 2 3 2 3 2" xfId="33862" xr:uid="{00000000-0005-0000-0000-00003F060000}"/>
    <cellStyle name="Comma 2 4 2 2 3 2 4" xfId="24005" xr:uid="{00000000-0005-0000-0000-000040060000}"/>
    <cellStyle name="Comma 2 4 2 2 3 3" xfId="6751" xr:uid="{00000000-0005-0000-0000-000041060000}"/>
    <cellStyle name="Comma 2 4 2 2 3 3 2" xfId="16611" xr:uid="{00000000-0005-0000-0000-000042060000}"/>
    <cellStyle name="Comma 2 4 2 2 3 3 2 2" xfId="36326" xr:uid="{00000000-0005-0000-0000-000043060000}"/>
    <cellStyle name="Comma 2 4 2 2 3 3 3" xfId="26469" xr:uid="{00000000-0005-0000-0000-000044060000}"/>
    <cellStyle name="Comma 2 4 2 2 3 4" xfId="11683" xr:uid="{00000000-0005-0000-0000-000045060000}"/>
    <cellStyle name="Comma 2 4 2 2 3 4 2" xfId="31398" xr:uid="{00000000-0005-0000-0000-000046060000}"/>
    <cellStyle name="Comma 2 4 2 2 3 5" xfId="21541" xr:uid="{00000000-0005-0000-0000-000047060000}"/>
    <cellStyle name="Comma 2 4 2 2 4" xfId="3051" xr:uid="{00000000-0005-0000-0000-000048060000}"/>
    <cellStyle name="Comma 2 4 2 2 4 2" xfId="7983" xr:uid="{00000000-0005-0000-0000-000049060000}"/>
    <cellStyle name="Comma 2 4 2 2 4 2 2" xfId="17843" xr:uid="{00000000-0005-0000-0000-00004A060000}"/>
    <cellStyle name="Comma 2 4 2 2 4 2 2 2" xfId="37558" xr:uid="{00000000-0005-0000-0000-00004B060000}"/>
    <cellStyle name="Comma 2 4 2 2 4 2 3" xfId="27701" xr:uid="{00000000-0005-0000-0000-00004C060000}"/>
    <cellStyle name="Comma 2 4 2 2 4 3" xfId="12915" xr:uid="{00000000-0005-0000-0000-00004D060000}"/>
    <cellStyle name="Comma 2 4 2 2 4 3 2" xfId="32630" xr:uid="{00000000-0005-0000-0000-00004E060000}"/>
    <cellStyle name="Comma 2 4 2 2 4 4" xfId="22773" xr:uid="{00000000-0005-0000-0000-00004F060000}"/>
    <cellStyle name="Comma 2 4 2 2 5" xfId="5519" xr:uid="{00000000-0005-0000-0000-000050060000}"/>
    <cellStyle name="Comma 2 4 2 2 5 2" xfId="15379" xr:uid="{00000000-0005-0000-0000-000051060000}"/>
    <cellStyle name="Comma 2 4 2 2 5 2 2" xfId="35094" xr:uid="{00000000-0005-0000-0000-000052060000}"/>
    <cellStyle name="Comma 2 4 2 2 5 3" xfId="25237" xr:uid="{00000000-0005-0000-0000-000053060000}"/>
    <cellStyle name="Comma 2 4 2 2 6" xfId="10451" xr:uid="{00000000-0005-0000-0000-000054060000}"/>
    <cellStyle name="Comma 2 4 2 2 6 2" xfId="30166" xr:uid="{00000000-0005-0000-0000-000055060000}"/>
    <cellStyle name="Comma 2 4 2 2 7" xfId="20309" xr:uid="{00000000-0005-0000-0000-000056060000}"/>
    <cellStyle name="Comma 2 4 2 3" xfId="890" xr:uid="{00000000-0005-0000-0000-000057060000}"/>
    <cellStyle name="Comma 2 4 2 3 2" xfId="2126" xr:uid="{00000000-0005-0000-0000-000058060000}"/>
    <cellStyle name="Comma 2 4 2 3 2 2" xfId="4593" xr:uid="{00000000-0005-0000-0000-000059060000}"/>
    <cellStyle name="Comma 2 4 2 3 2 2 2" xfId="9525" xr:uid="{00000000-0005-0000-0000-00005A060000}"/>
    <cellStyle name="Comma 2 4 2 3 2 2 2 2" xfId="19385" xr:uid="{00000000-0005-0000-0000-00005B060000}"/>
    <cellStyle name="Comma 2 4 2 3 2 2 2 2 2" xfId="39100" xr:uid="{00000000-0005-0000-0000-00005C060000}"/>
    <cellStyle name="Comma 2 4 2 3 2 2 2 3" xfId="29243" xr:uid="{00000000-0005-0000-0000-00005D060000}"/>
    <cellStyle name="Comma 2 4 2 3 2 2 3" xfId="14457" xr:uid="{00000000-0005-0000-0000-00005E060000}"/>
    <cellStyle name="Comma 2 4 2 3 2 2 3 2" xfId="34172" xr:uid="{00000000-0005-0000-0000-00005F060000}"/>
    <cellStyle name="Comma 2 4 2 3 2 2 4" xfId="24315" xr:uid="{00000000-0005-0000-0000-000060060000}"/>
    <cellStyle name="Comma 2 4 2 3 2 3" xfId="7061" xr:uid="{00000000-0005-0000-0000-000061060000}"/>
    <cellStyle name="Comma 2 4 2 3 2 3 2" xfId="16921" xr:uid="{00000000-0005-0000-0000-000062060000}"/>
    <cellStyle name="Comma 2 4 2 3 2 3 2 2" xfId="36636" xr:uid="{00000000-0005-0000-0000-000063060000}"/>
    <cellStyle name="Comma 2 4 2 3 2 3 3" xfId="26779" xr:uid="{00000000-0005-0000-0000-000064060000}"/>
    <cellStyle name="Comma 2 4 2 3 2 4" xfId="11993" xr:uid="{00000000-0005-0000-0000-000065060000}"/>
    <cellStyle name="Comma 2 4 2 3 2 4 2" xfId="31708" xr:uid="{00000000-0005-0000-0000-000066060000}"/>
    <cellStyle name="Comma 2 4 2 3 2 5" xfId="21851" xr:uid="{00000000-0005-0000-0000-000067060000}"/>
    <cellStyle name="Comma 2 4 2 3 3" xfId="3361" xr:uid="{00000000-0005-0000-0000-000068060000}"/>
    <cellStyle name="Comma 2 4 2 3 3 2" xfId="8293" xr:uid="{00000000-0005-0000-0000-000069060000}"/>
    <cellStyle name="Comma 2 4 2 3 3 2 2" xfId="18153" xr:uid="{00000000-0005-0000-0000-00006A060000}"/>
    <cellStyle name="Comma 2 4 2 3 3 2 2 2" xfId="37868" xr:uid="{00000000-0005-0000-0000-00006B060000}"/>
    <cellStyle name="Comma 2 4 2 3 3 2 3" xfId="28011" xr:uid="{00000000-0005-0000-0000-00006C060000}"/>
    <cellStyle name="Comma 2 4 2 3 3 3" xfId="13225" xr:uid="{00000000-0005-0000-0000-00006D060000}"/>
    <cellStyle name="Comma 2 4 2 3 3 3 2" xfId="32940" xr:uid="{00000000-0005-0000-0000-00006E060000}"/>
    <cellStyle name="Comma 2 4 2 3 3 4" xfId="23083" xr:uid="{00000000-0005-0000-0000-00006F060000}"/>
    <cellStyle name="Comma 2 4 2 3 4" xfId="5829" xr:uid="{00000000-0005-0000-0000-000070060000}"/>
    <cellStyle name="Comma 2 4 2 3 4 2" xfId="15689" xr:uid="{00000000-0005-0000-0000-000071060000}"/>
    <cellStyle name="Comma 2 4 2 3 4 2 2" xfId="35404" xr:uid="{00000000-0005-0000-0000-000072060000}"/>
    <cellStyle name="Comma 2 4 2 3 4 3" xfId="25547" xr:uid="{00000000-0005-0000-0000-000073060000}"/>
    <cellStyle name="Comma 2 4 2 3 5" xfId="10761" xr:uid="{00000000-0005-0000-0000-000074060000}"/>
    <cellStyle name="Comma 2 4 2 3 5 2" xfId="30476" xr:uid="{00000000-0005-0000-0000-000075060000}"/>
    <cellStyle name="Comma 2 4 2 3 6" xfId="20619" xr:uid="{00000000-0005-0000-0000-000076060000}"/>
    <cellStyle name="Comma 2 4 2 4" xfId="1510" xr:uid="{00000000-0005-0000-0000-000077060000}"/>
    <cellStyle name="Comma 2 4 2 4 2" xfId="3977" xr:uid="{00000000-0005-0000-0000-000078060000}"/>
    <cellStyle name="Comma 2 4 2 4 2 2" xfId="8909" xr:uid="{00000000-0005-0000-0000-000079060000}"/>
    <cellStyle name="Comma 2 4 2 4 2 2 2" xfId="18769" xr:uid="{00000000-0005-0000-0000-00007A060000}"/>
    <cellStyle name="Comma 2 4 2 4 2 2 2 2" xfId="38484" xr:uid="{00000000-0005-0000-0000-00007B060000}"/>
    <cellStyle name="Comma 2 4 2 4 2 2 3" xfId="28627" xr:uid="{00000000-0005-0000-0000-00007C060000}"/>
    <cellStyle name="Comma 2 4 2 4 2 3" xfId="13841" xr:uid="{00000000-0005-0000-0000-00007D060000}"/>
    <cellStyle name="Comma 2 4 2 4 2 3 2" xfId="33556" xr:uid="{00000000-0005-0000-0000-00007E060000}"/>
    <cellStyle name="Comma 2 4 2 4 2 4" xfId="23699" xr:uid="{00000000-0005-0000-0000-00007F060000}"/>
    <cellStyle name="Comma 2 4 2 4 3" xfId="6445" xr:uid="{00000000-0005-0000-0000-000080060000}"/>
    <cellStyle name="Comma 2 4 2 4 3 2" xfId="16305" xr:uid="{00000000-0005-0000-0000-000081060000}"/>
    <cellStyle name="Comma 2 4 2 4 3 2 2" xfId="36020" xr:uid="{00000000-0005-0000-0000-000082060000}"/>
    <cellStyle name="Comma 2 4 2 4 3 3" xfId="26163" xr:uid="{00000000-0005-0000-0000-000083060000}"/>
    <cellStyle name="Comma 2 4 2 4 4" xfId="11377" xr:uid="{00000000-0005-0000-0000-000084060000}"/>
    <cellStyle name="Comma 2 4 2 4 4 2" xfId="31092" xr:uid="{00000000-0005-0000-0000-000085060000}"/>
    <cellStyle name="Comma 2 4 2 4 5" xfId="21235" xr:uid="{00000000-0005-0000-0000-000086060000}"/>
    <cellStyle name="Comma 2 4 2 5" xfId="2745" xr:uid="{00000000-0005-0000-0000-000087060000}"/>
    <cellStyle name="Comma 2 4 2 5 2" xfId="7677" xr:uid="{00000000-0005-0000-0000-000088060000}"/>
    <cellStyle name="Comma 2 4 2 5 2 2" xfId="17537" xr:uid="{00000000-0005-0000-0000-000089060000}"/>
    <cellStyle name="Comma 2 4 2 5 2 2 2" xfId="37252" xr:uid="{00000000-0005-0000-0000-00008A060000}"/>
    <cellStyle name="Comma 2 4 2 5 2 3" xfId="27395" xr:uid="{00000000-0005-0000-0000-00008B060000}"/>
    <cellStyle name="Comma 2 4 2 5 3" xfId="12609" xr:uid="{00000000-0005-0000-0000-00008C060000}"/>
    <cellStyle name="Comma 2 4 2 5 3 2" xfId="32324" xr:uid="{00000000-0005-0000-0000-00008D060000}"/>
    <cellStyle name="Comma 2 4 2 5 4" xfId="22467" xr:uid="{00000000-0005-0000-0000-00008E060000}"/>
    <cellStyle name="Comma 2 4 2 6" xfId="5213" xr:uid="{00000000-0005-0000-0000-00008F060000}"/>
    <cellStyle name="Comma 2 4 2 6 2" xfId="15073" xr:uid="{00000000-0005-0000-0000-000090060000}"/>
    <cellStyle name="Comma 2 4 2 6 2 2" xfId="34788" xr:uid="{00000000-0005-0000-0000-000091060000}"/>
    <cellStyle name="Comma 2 4 2 6 3" xfId="24931" xr:uid="{00000000-0005-0000-0000-000092060000}"/>
    <cellStyle name="Comma 2 4 2 7" xfId="10145" xr:uid="{00000000-0005-0000-0000-000093060000}"/>
    <cellStyle name="Comma 2 4 2 7 2" xfId="29860" xr:uid="{00000000-0005-0000-0000-000094060000}"/>
    <cellStyle name="Comma 2 4 2 8" xfId="20003" xr:uid="{00000000-0005-0000-0000-000095060000}"/>
    <cellStyle name="Comma 2 4 3" xfId="425" xr:uid="{00000000-0005-0000-0000-000096060000}"/>
    <cellStyle name="Comma 2 4 3 2" xfId="1045" xr:uid="{00000000-0005-0000-0000-000097060000}"/>
    <cellStyle name="Comma 2 4 3 2 2" xfId="2280" xr:uid="{00000000-0005-0000-0000-000098060000}"/>
    <cellStyle name="Comma 2 4 3 2 2 2" xfId="4747" xr:uid="{00000000-0005-0000-0000-000099060000}"/>
    <cellStyle name="Comma 2 4 3 2 2 2 2" xfId="9679" xr:uid="{00000000-0005-0000-0000-00009A060000}"/>
    <cellStyle name="Comma 2 4 3 2 2 2 2 2" xfId="19539" xr:uid="{00000000-0005-0000-0000-00009B060000}"/>
    <cellStyle name="Comma 2 4 3 2 2 2 2 2 2" xfId="39254" xr:uid="{00000000-0005-0000-0000-00009C060000}"/>
    <cellStyle name="Comma 2 4 3 2 2 2 2 3" xfId="29397" xr:uid="{00000000-0005-0000-0000-00009D060000}"/>
    <cellStyle name="Comma 2 4 3 2 2 2 3" xfId="14611" xr:uid="{00000000-0005-0000-0000-00009E060000}"/>
    <cellStyle name="Comma 2 4 3 2 2 2 3 2" xfId="34326" xr:uid="{00000000-0005-0000-0000-00009F060000}"/>
    <cellStyle name="Comma 2 4 3 2 2 2 4" xfId="24469" xr:uid="{00000000-0005-0000-0000-0000A0060000}"/>
    <cellStyle name="Comma 2 4 3 2 2 3" xfId="7215" xr:uid="{00000000-0005-0000-0000-0000A1060000}"/>
    <cellStyle name="Comma 2 4 3 2 2 3 2" xfId="17075" xr:uid="{00000000-0005-0000-0000-0000A2060000}"/>
    <cellStyle name="Comma 2 4 3 2 2 3 2 2" xfId="36790" xr:uid="{00000000-0005-0000-0000-0000A3060000}"/>
    <cellStyle name="Comma 2 4 3 2 2 3 3" xfId="26933" xr:uid="{00000000-0005-0000-0000-0000A4060000}"/>
    <cellStyle name="Comma 2 4 3 2 2 4" xfId="12147" xr:uid="{00000000-0005-0000-0000-0000A5060000}"/>
    <cellStyle name="Comma 2 4 3 2 2 4 2" xfId="31862" xr:uid="{00000000-0005-0000-0000-0000A6060000}"/>
    <cellStyle name="Comma 2 4 3 2 2 5" xfId="22005" xr:uid="{00000000-0005-0000-0000-0000A7060000}"/>
    <cellStyle name="Comma 2 4 3 2 3" xfId="3515" xr:uid="{00000000-0005-0000-0000-0000A8060000}"/>
    <cellStyle name="Comma 2 4 3 2 3 2" xfId="8447" xr:uid="{00000000-0005-0000-0000-0000A9060000}"/>
    <cellStyle name="Comma 2 4 3 2 3 2 2" xfId="18307" xr:uid="{00000000-0005-0000-0000-0000AA060000}"/>
    <cellStyle name="Comma 2 4 3 2 3 2 2 2" xfId="38022" xr:uid="{00000000-0005-0000-0000-0000AB060000}"/>
    <cellStyle name="Comma 2 4 3 2 3 2 3" xfId="28165" xr:uid="{00000000-0005-0000-0000-0000AC060000}"/>
    <cellStyle name="Comma 2 4 3 2 3 3" xfId="13379" xr:uid="{00000000-0005-0000-0000-0000AD060000}"/>
    <cellStyle name="Comma 2 4 3 2 3 3 2" xfId="33094" xr:uid="{00000000-0005-0000-0000-0000AE060000}"/>
    <cellStyle name="Comma 2 4 3 2 3 4" xfId="23237" xr:uid="{00000000-0005-0000-0000-0000AF060000}"/>
    <cellStyle name="Comma 2 4 3 2 4" xfId="5983" xr:uid="{00000000-0005-0000-0000-0000B0060000}"/>
    <cellStyle name="Comma 2 4 3 2 4 2" xfId="15843" xr:uid="{00000000-0005-0000-0000-0000B1060000}"/>
    <cellStyle name="Comma 2 4 3 2 4 2 2" xfId="35558" xr:uid="{00000000-0005-0000-0000-0000B2060000}"/>
    <cellStyle name="Comma 2 4 3 2 4 3" xfId="25701" xr:uid="{00000000-0005-0000-0000-0000B3060000}"/>
    <cellStyle name="Comma 2 4 3 2 5" xfId="10915" xr:uid="{00000000-0005-0000-0000-0000B4060000}"/>
    <cellStyle name="Comma 2 4 3 2 5 2" xfId="30630" xr:uid="{00000000-0005-0000-0000-0000B5060000}"/>
    <cellStyle name="Comma 2 4 3 2 6" xfId="20773" xr:uid="{00000000-0005-0000-0000-0000B6060000}"/>
    <cellStyle name="Comma 2 4 3 3" xfId="1664" xr:uid="{00000000-0005-0000-0000-0000B7060000}"/>
    <cellStyle name="Comma 2 4 3 3 2" xfId="4131" xr:uid="{00000000-0005-0000-0000-0000B8060000}"/>
    <cellStyle name="Comma 2 4 3 3 2 2" xfId="9063" xr:uid="{00000000-0005-0000-0000-0000B9060000}"/>
    <cellStyle name="Comma 2 4 3 3 2 2 2" xfId="18923" xr:uid="{00000000-0005-0000-0000-0000BA060000}"/>
    <cellStyle name="Comma 2 4 3 3 2 2 2 2" xfId="38638" xr:uid="{00000000-0005-0000-0000-0000BB060000}"/>
    <cellStyle name="Comma 2 4 3 3 2 2 3" xfId="28781" xr:uid="{00000000-0005-0000-0000-0000BC060000}"/>
    <cellStyle name="Comma 2 4 3 3 2 3" xfId="13995" xr:uid="{00000000-0005-0000-0000-0000BD060000}"/>
    <cellStyle name="Comma 2 4 3 3 2 3 2" xfId="33710" xr:uid="{00000000-0005-0000-0000-0000BE060000}"/>
    <cellStyle name="Comma 2 4 3 3 2 4" xfId="23853" xr:uid="{00000000-0005-0000-0000-0000BF060000}"/>
    <cellStyle name="Comma 2 4 3 3 3" xfId="6599" xr:uid="{00000000-0005-0000-0000-0000C0060000}"/>
    <cellStyle name="Comma 2 4 3 3 3 2" xfId="16459" xr:uid="{00000000-0005-0000-0000-0000C1060000}"/>
    <cellStyle name="Comma 2 4 3 3 3 2 2" xfId="36174" xr:uid="{00000000-0005-0000-0000-0000C2060000}"/>
    <cellStyle name="Comma 2 4 3 3 3 3" xfId="26317" xr:uid="{00000000-0005-0000-0000-0000C3060000}"/>
    <cellStyle name="Comma 2 4 3 3 4" xfId="11531" xr:uid="{00000000-0005-0000-0000-0000C4060000}"/>
    <cellStyle name="Comma 2 4 3 3 4 2" xfId="31246" xr:uid="{00000000-0005-0000-0000-0000C5060000}"/>
    <cellStyle name="Comma 2 4 3 3 5" xfId="21389" xr:uid="{00000000-0005-0000-0000-0000C6060000}"/>
    <cellStyle name="Comma 2 4 3 4" xfId="2899" xr:uid="{00000000-0005-0000-0000-0000C7060000}"/>
    <cellStyle name="Comma 2 4 3 4 2" xfId="7831" xr:uid="{00000000-0005-0000-0000-0000C8060000}"/>
    <cellStyle name="Comma 2 4 3 4 2 2" xfId="17691" xr:uid="{00000000-0005-0000-0000-0000C9060000}"/>
    <cellStyle name="Comma 2 4 3 4 2 2 2" xfId="37406" xr:uid="{00000000-0005-0000-0000-0000CA060000}"/>
    <cellStyle name="Comma 2 4 3 4 2 3" xfId="27549" xr:uid="{00000000-0005-0000-0000-0000CB060000}"/>
    <cellStyle name="Comma 2 4 3 4 3" xfId="12763" xr:uid="{00000000-0005-0000-0000-0000CC060000}"/>
    <cellStyle name="Comma 2 4 3 4 3 2" xfId="32478" xr:uid="{00000000-0005-0000-0000-0000CD060000}"/>
    <cellStyle name="Comma 2 4 3 4 4" xfId="22621" xr:uid="{00000000-0005-0000-0000-0000CE060000}"/>
    <cellStyle name="Comma 2 4 3 5" xfId="5367" xr:uid="{00000000-0005-0000-0000-0000CF060000}"/>
    <cellStyle name="Comma 2 4 3 5 2" xfId="15227" xr:uid="{00000000-0005-0000-0000-0000D0060000}"/>
    <cellStyle name="Comma 2 4 3 5 2 2" xfId="34942" xr:uid="{00000000-0005-0000-0000-0000D1060000}"/>
    <cellStyle name="Comma 2 4 3 5 3" xfId="25085" xr:uid="{00000000-0005-0000-0000-0000D2060000}"/>
    <cellStyle name="Comma 2 4 3 6" xfId="10299" xr:uid="{00000000-0005-0000-0000-0000D3060000}"/>
    <cellStyle name="Comma 2 4 3 6 2" xfId="30014" xr:uid="{00000000-0005-0000-0000-0000D4060000}"/>
    <cellStyle name="Comma 2 4 3 7" xfId="20157" xr:uid="{00000000-0005-0000-0000-0000D5060000}"/>
    <cellStyle name="Comma 2 4 4" xfId="738" xr:uid="{00000000-0005-0000-0000-0000D6060000}"/>
    <cellStyle name="Comma 2 4 4 2" xfId="1974" xr:uid="{00000000-0005-0000-0000-0000D7060000}"/>
    <cellStyle name="Comma 2 4 4 2 2" xfId="4441" xr:uid="{00000000-0005-0000-0000-0000D8060000}"/>
    <cellStyle name="Comma 2 4 4 2 2 2" xfId="9373" xr:uid="{00000000-0005-0000-0000-0000D9060000}"/>
    <cellStyle name="Comma 2 4 4 2 2 2 2" xfId="19233" xr:uid="{00000000-0005-0000-0000-0000DA060000}"/>
    <cellStyle name="Comma 2 4 4 2 2 2 2 2" xfId="38948" xr:uid="{00000000-0005-0000-0000-0000DB060000}"/>
    <cellStyle name="Comma 2 4 4 2 2 2 3" xfId="29091" xr:uid="{00000000-0005-0000-0000-0000DC060000}"/>
    <cellStyle name="Comma 2 4 4 2 2 3" xfId="14305" xr:uid="{00000000-0005-0000-0000-0000DD060000}"/>
    <cellStyle name="Comma 2 4 4 2 2 3 2" xfId="34020" xr:uid="{00000000-0005-0000-0000-0000DE060000}"/>
    <cellStyle name="Comma 2 4 4 2 2 4" xfId="24163" xr:uid="{00000000-0005-0000-0000-0000DF060000}"/>
    <cellStyle name="Comma 2 4 4 2 3" xfId="6909" xr:uid="{00000000-0005-0000-0000-0000E0060000}"/>
    <cellStyle name="Comma 2 4 4 2 3 2" xfId="16769" xr:uid="{00000000-0005-0000-0000-0000E1060000}"/>
    <cellStyle name="Comma 2 4 4 2 3 2 2" xfId="36484" xr:uid="{00000000-0005-0000-0000-0000E2060000}"/>
    <cellStyle name="Comma 2 4 4 2 3 3" xfId="26627" xr:uid="{00000000-0005-0000-0000-0000E3060000}"/>
    <cellStyle name="Comma 2 4 4 2 4" xfId="11841" xr:uid="{00000000-0005-0000-0000-0000E4060000}"/>
    <cellStyle name="Comma 2 4 4 2 4 2" xfId="31556" xr:uid="{00000000-0005-0000-0000-0000E5060000}"/>
    <cellStyle name="Comma 2 4 4 2 5" xfId="21699" xr:uid="{00000000-0005-0000-0000-0000E6060000}"/>
    <cellStyle name="Comma 2 4 4 3" xfId="3209" xr:uid="{00000000-0005-0000-0000-0000E7060000}"/>
    <cellStyle name="Comma 2 4 4 3 2" xfId="8141" xr:uid="{00000000-0005-0000-0000-0000E8060000}"/>
    <cellStyle name="Comma 2 4 4 3 2 2" xfId="18001" xr:uid="{00000000-0005-0000-0000-0000E9060000}"/>
    <cellStyle name="Comma 2 4 4 3 2 2 2" xfId="37716" xr:uid="{00000000-0005-0000-0000-0000EA060000}"/>
    <cellStyle name="Comma 2 4 4 3 2 3" xfId="27859" xr:uid="{00000000-0005-0000-0000-0000EB060000}"/>
    <cellStyle name="Comma 2 4 4 3 3" xfId="13073" xr:uid="{00000000-0005-0000-0000-0000EC060000}"/>
    <cellStyle name="Comma 2 4 4 3 3 2" xfId="32788" xr:uid="{00000000-0005-0000-0000-0000ED060000}"/>
    <cellStyle name="Comma 2 4 4 3 4" xfId="22931" xr:uid="{00000000-0005-0000-0000-0000EE060000}"/>
    <cellStyle name="Comma 2 4 4 4" xfId="5677" xr:uid="{00000000-0005-0000-0000-0000EF060000}"/>
    <cellStyle name="Comma 2 4 4 4 2" xfId="15537" xr:uid="{00000000-0005-0000-0000-0000F0060000}"/>
    <cellStyle name="Comma 2 4 4 4 2 2" xfId="35252" xr:uid="{00000000-0005-0000-0000-0000F1060000}"/>
    <cellStyle name="Comma 2 4 4 4 3" xfId="25395" xr:uid="{00000000-0005-0000-0000-0000F2060000}"/>
    <cellStyle name="Comma 2 4 4 5" xfId="10609" xr:uid="{00000000-0005-0000-0000-0000F3060000}"/>
    <cellStyle name="Comma 2 4 4 5 2" xfId="30324" xr:uid="{00000000-0005-0000-0000-0000F4060000}"/>
    <cellStyle name="Comma 2 4 4 6" xfId="20467" xr:uid="{00000000-0005-0000-0000-0000F5060000}"/>
    <cellStyle name="Comma 2 4 5" xfId="1358" xr:uid="{00000000-0005-0000-0000-0000F6060000}"/>
    <cellStyle name="Comma 2 4 5 2" xfId="3825" xr:uid="{00000000-0005-0000-0000-0000F7060000}"/>
    <cellStyle name="Comma 2 4 5 2 2" xfId="8757" xr:uid="{00000000-0005-0000-0000-0000F8060000}"/>
    <cellStyle name="Comma 2 4 5 2 2 2" xfId="18617" xr:uid="{00000000-0005-0000-0000-0000F9060000}"/>
    <cellStyle name="Comma 2 4 5 2 2 2 2" xfId="38332" xr:uid="{00000000-0005-0000-0000-0000FA060000}"/>
    <cellStyle name="Comma 2 4 5 2 2 3" xfId="28475" xr:uid="{00000000-0005-0000-0000-0000FB060000}"/>
    <cellStyle name="Comma 2 4 5 2 3" xfId="13689" xr:uid="{00000000-0005-0000-0000-0000FC060000}"/>
    <cellStyle name="Comma 2 4 5 2 3 2" xfId="33404" xr:uid="{00000000-0005-0000-0000-0000FD060000}"/>
    <cellStyle name="Comma 2 4 5 2 4" xfId="23547" xr:uid="{00000000-0005-0000-0000-0000FE060000}"/>
    <cellStyle name="Comma 2 4 5 3" xfId="6293" xr:uid="{00000000-0005-0000-0000-0000FF060000}"/>
    <cellStyle name="Comma 2 4 5 3 2" xfId="16153" xr:uid="{00000000-0005-0000-0000-000000070000}"/>
    <cellStyle name="Comma 2 4 5 3 2 2" xfId="35868" xr:uid="{00000000-0005-0000-0000-000001070000}"/>
    <cellStyle name="Comma 2 4 5 3 3" xfId="26011" xr:uid="{00000000-0005-0000-0000-000002070000}"/>
    <cellStyle name="Comma 2 4 5 4" xfId="11225" xr:uid="{00000000-0005-0000-0000-000003070000}"/>
    <cellStyle name="Comma 2 4 5 4 2" xfId="30940" xr:uid="{00000000-0005-0000-0000-000004070000}"/>
    <cellStyle name="Comma 2 4 5 5" xfId="21083" xr:uid="{00000000-0005-0000-0000-000005070000}"/>
    <cellStyle name="Comma 2 4 6" xfId="2593" xr:uid="{00000000-0005-0000-0000-000006070000}"/>
    <cellStyle name="Comma 2 4 6 2" xfId="7525" xr:uid="{00000000-0005-0000-0000-000007070000}"/>
    <cellStyle name="Comma 2 4 6 2 2" xfId="17385" xr:uid="{00000000-0005-0000-0000-000008070000}"/>
    <cellStyle name="Comma 2 4 6 2 2 2" xfId="37100" xr:uid="{00000000-0005-0000-0000-000009070000}"/>
    <cellStyle name="Comma 2 4 6 2 3" xfId="27243" xr:uid="{00000000-0005-0000-0000-00000A070000}"/>
    <cellStyle name="Comma 2 4 6 3" xfId="12457" xr:uid="{00000000-0005-0000-0000-00000B070000}"/>
    <cellStyle name="Comma 2 4 6 3 2" xfId="32172" xr:uid="{00000000-0005-0000-0000-00000C070000}"/>
    <cellStyle name="Comma 2 4 6 4" xfId="22315" xr:uid="{00000000-0005-0000-0000-00000D070000}"/>
    <cellStyle name="Comma 2 4 7" xfId="5061" xr:uid="{00000000-0005-0000-0000-00000E070000}"/>
    <cellStyle name="Comma 2 4 7 2" xfId="14921" xr:uid="{00000000-0005-0000-0000-00000F070000}"/>
    <cellStyle name="Comma 2 4 7 2 2" xfId="34636" xr:uid="{00000000-0005-0000-0000-000010070000}"/>
    <cellStyle name="Comma 2 4 7 3" xfId="24779" xr:uid="{00000000-0005-0000-0000-000011070000}"/>
    <cellStyle name="Comma 2 4 8" xfId="9993" xr:uid="{00000000-0005-0000-0000-000012070000}"/>
    <cellStyle name="Comma 2 4 8 2" xfId="29708" xr:uid="{00000000-0005-0000-0000-000013070000}"/>
    <cellStyle name="Comma 2 4 9" xfId="19851" xr:uid="{00000000-0005-0000-0000-000014070000}"/>
    <cellStyle name="Comma 2 5" xfId="184" xr:uid="{00000000-0005-0000-0000-000015070000}"/>
    <cellStyle name="Comma 2 5 2" xfId="501" xr:uid="{00000000-0005-0000-0000-000016070000}"/>
    <cellStyle name="Comma 2 5 2 2" xfId="1121" xr:uid="{00000000-0005-0000-0000-000017070000}"/>
    <cellStyle name="Comma 2 5 2 2 2" xfId="2356" xr:uid="{00000000-0005-0000-0000-000018070000}"/>
    <cellStyle name="Comma 2 5 2 2 2 2" xfId="4823" xr:uid="{00000000-0005-0000-0000-000019070000}"/>
    <cellStyle name="Comma 2 5 2 2 2 2 2" xfId="9755" xr:uid="{00000000-0005-0000-0000-00001A070000}"/>
    <cellStyle name="Comma 2 5 2 2 2 2 2 2" xfId="19615" xr:uid="{00000000-0005-0000-0000-00001B070000}"/>
    <cellStyle name="Comma 2 5 2 2 2 2 2 2 2" xfId="39330" xr:uid="{00000000-0005-0000-0000-00001C070000}"/>
    <cellStyle name="Comma 2 5 2 2 2 2 2 3" xfId="29473" xr:uid="{00000000-0005-0000-0000-00001D070000}"/>
    <cellStyle name="Comma 2 5 2 2 2 2 3" xfId="14687" xr:uid="{00000000-0005-0000-0000-00001E070000}"/>
    <cellStyle name="Comma 2 5 2 2 2 2 3 2" xfId="34402" xr:uid="{00000000-0005-0000-0000-00001F070000}"/>
    <cellStyle name="Comma 2 5 2 2 2 2 4" xfId="24545" xr:uid="{00000000-0005-0000-0000-000020070000}"/>
    <cellStyle name="Comma 2 5 2 2 2 3" xfId="7291" xr:uid="{00000000-0005-0000-0000-000021070000}"/>
    <cellStyle name="Comma 2 5 2 2 2 3 2" xfId="17151" xr:uid="{00000000-0005-0000-0000-000022070000}"/>
    <cellStyle name="Comma 2 5 2 2 2 3 2 2" xfId="36866" xr:uid="{00000000-0005-0000-0000-000023070000}"/>
    <cellStyle name="Comma 2 5 2 2 2 3 3" xfId="27009" xr:uid="{00000000-0005-0000-0000-000024070000}"/>
    <cellStyle name="Comma 2 5 2 2 2 4" xfId="12223" xr:uid="{00000000-0005-0000-0000-000025070000}"/>
    <cellStyle name="Comma 2 5 2 2 2 4 2" xfId="31938" xr:uid="{00000000-0005-0000-0000-000026070000}"/>
    <cellStyle name="Comma 2 5 2 2 2 5" xfId="22081" xr:uid="{00000000-0005-0000-0000-000027070000}"/>
    <cellStyle name="Comma 2 5 2 2 3" xfId="3591" xr:uid="{00000000-0005-0000-0000-000028070000}"/>
    <cellStyle name="Comma 2 5 2 2 3 2" xfId="8523" xr:uid="{00000000-0005-0000-0000-000029070000}"/>
    <cellStyle name="Comma 2 5 2 2 3 2 2" xfId="18383" xr:uid="{00000000-0005-0000-0000-00002A070000}"/>
    <cellStyle name="Comma 2 5 2 2 3 2 2 2" xfId="38098" xr:uid="{00000000-0005-0000-0000-00002B070000}"/>
    <cellStyle name="Comma 2 5 2 2 3 2 3" xfId="28241" xr:uid="{00000000-0005-0000-0000-00002C070000}"/>
    <cellStyle name="Comma 2 5 2 2 3 3" xfId="13455" xr:uid="{00000000-0005-0000-0000-00002D070000}"/>
    <cellStyle name="Comma 2 5 2 2 3 3 2" xfId="33170" xr:uid="{00000000-0005-0000-0000-00002E070000}"/>
    <cellStyle name="Comma 2 5 2 2 3 4" xfId="23313" xr:uid="{00000000-0005-0000-0000-00002F070000}"/>
    <cellStyle name="Comma 2 5 2 2 4" xfId="6059" xr:uid="{00000000-0005-0000-0000-000030070000}"/>
    <cellStyle name="Comma 2 5 2 2 4 2" xfId="15919" xr:uid="{00000000-0005-0000-0000-000031070000}"/>
    <cellStyle name="Comma 2 5 2 2 4 2 2" xfId="35634" xr:uid="{00000000-0005-0000-0000-000032070000}"/>
    <cellStyle name="Comma 2 5 2 2 4 3" xfId="25777" xr:uid="{00000000-0005-0000-0000-000033070000}"/>
    <cellStyle name="Comma 2 5 2 2 5" xfId="10991" xr:uid="{00000000-0005-0000-0000-000034070000}"/>
    <cellStyle name="Comma 2 5 2 2 5 2" xfId="30706" xr:uid="{00000000-0005-0000-0000-000035070000}"/>
    <cellStyle name="Comma 2 5 2 2 6" xfId="20849" xr:uid="{00000000-0005-0000-0000-000036070000}"/>
    <cellStyle name="Comma 2 5 2 3" xfId="1740" xr:uid="{00000000-0005-0000-0000-000037070000}"/>
    <cellStyle name="Comma 2 5 2 3 2" xfId="4207" xr:uid="{00000000-0005-0000-0000-000038070000}"/>
    <cellStyle name="Comma 2 5 2 3 2 2" xfId="9139" xr:uid="{00000000-0005-0000-0000-000039070000}"/>
    <cellStyle name="Comma 2 5 2 3 2 2 2" xfId="18999" xr:uid="{00000000-0005-0000-0000-00003A070000}"/>
    <cellStyle name="Comma 2 5 2 3 2 2 2 2" xfId="38714" xr:uid="{00000000-0005-0000-0000-00003B070000}"/>
    <cellStyle name="Comma 2 5 2 3 2 2 3" xfId="28857" xr:uid="{00000000-0005-0000-0000-00003C070000}"/>
    <cellStyle name="Comma 2 5 2 3 2 3" xfId="14071" xr:uid="{00000000-0005-0000-0000-00003D070000}"/>
    <cellStyle name="Comma 2 5 2 3 2 3 2" xfId="33786" xr:uid="{00000000-0005-0000-0000-00003E070000}"/>
    <cellStyle name="Comma 2 5 2 3 2 4" xfId="23929" xr:uid="{00000000-0005-0000-0000-00003F070000}"/>
    <cellStyle name="Comma 2 5 2 3 3" xfId="6675" xr:uid="{00000000-0005-0000-0000-000040070000}"/>
    <cellStyle name="Comma 2 5 2 3 3 2" xfId="16535" xr:uid="{00000000-0005-0000-0000-000041070000}"/>
    <cellStyle name="Comma 2 5 2 3 3 2 2" xfId="36250" xr:uid="{00000000-0005-0000-0000-000042070000}"/>
    <cellStyle name="Comma 2 5 2 3 3 3" xfId="26393" xr:uid="{00000000-0005-0000-0000-000043070000}"/>
    <cellStyle name="Comma 2 5 2 3 4" xfId="11607" xr:uid="{00000000-0005-0000-0000-000044070000}"/>
    <cellStyle name="Comma 2 5 2 3 4 2" xfId="31322" xr:uid="{00000000-0005-0000-0000-000045070000}"/>
    <cellStyle name="Comma 2 5 2 3 5" xfId="21465" xr:uid="{00000000-0005-0000-0000-000046070000}"/>
    <cellStyle name="Comma 2 5 2 4" xfId="2975" xr:uid="{00000000-0005-0000-0000-000047070000}"/>
    <cellStyle name="Comma 2 5 2 4 2" xfId="7907" xr:uid="{00000000-0005-0000-0000-000048070000}"/>
    <cellStyle name="Comma 2 5 2 4 2 2" xfId="17767" xr:uid="{00000000-0005-0000-0000-000049070000}"/>
    <cellStyle name="Comma 2 5 2 4 2 2 2" xfId="37482" xr:uid="{00000000-0005-0000-0000-00004A070000}"/>
    <cellStyle name="Comma 2 5 2 4 2 3" xfId="27625" xr:uid="{00000000-0005-0000-0000-00004B070000}"/>
    <cellStyle name="Comma 2 5 2 4 3" xfId="12839" xr:uid="{00000000-0005-0000-0000-00004C070000}"/>
    <cellStyle name="Comma 2 5 2 4 3 2" xfId="32554" xr:uid="{00000000-0005-0000-0000-00004D070000}"/>
    <cellStyle name="Comma 2 5 2 4 4" xfId="22697" xr:uid="{00000000-0005-0000-0000-00004E070000}"/>
    <cellStyle name="Comma 2 5 2 5" xfId="5443" xr:uid="{00000000-0005-0000-0000-00004F070000}"/>
    <cellStyle name="Comma 2 5 2 5 2" xfId="15303" xr:uid="{00000000-0005-0000-0000-000050070000}"/>
    <cellStyle name="Comma 2 5 2 5 2 2" xfId="35018" xr:uid="{00000000-0005-0000-0000-000051070000}"/>
    <cellStyle name="Comma 2 5 2 5 3" xfId="25161" xr:uid="{00000000-0005-0000-0000-000052070000}"/>
    <cellStyle name="Comma 2 5 2 6" xfId="10375" xr:uid="{00000000-0005-0000-0000-000053070000}"/>
    <cellStyle name="Comma 2 5 2 6 2" xfId="30090" xr:uid="{00000000-0005-0000-0000-000054070000}"/>
    <cellStyle name="Comma 2 5 2 7" xfId="20233" xr:uid="{00000000-0005-0000-0000-000055070000}"/>
    <cellStyle name="Comma 2 5 3" xfId="814" xr:uid="{00000000-0005-0000-0000-000056070000}"/>
    <cellStyle name="Comma 2 5 3 2" xfId="2050" xr:uid="{00000000-0005-0000-0000-000057070000}"/>
    <cellStyle name="Comma 2 5 3 2 2" xfId="4517" xr:uid="{00000000-0005-0000-0000-000058070000}"/>
    <cellStyle name="Comma 2 5 3 2 2 2" xfId="9449" xr:uid="{00000000-0005-0000-0000-000059070000}"/>
    <cellStyle name="Comma 2 5 3 2 2 2 2" xfId="19309" xr:uid="{00000000-0005-0000-0000-00005A070000}"/>
    <cellStyle name="Comma 2 5 3 2 2 2 2 2" xfId="39024" xr:uid="{00000000-0005-0000-0000-00005B070000}"/>
    <cellStyle name="Comma 2 5 3 2 2 2 3" xfId="29167" xr:uid="{00000000-0005-0000-0000-00005C070000}"/>
    <cellStyle name="Comma 2 5 3 2 2 3" xfId="14381" xr:uid="{00000000-0005-0000-0000-00005D070000}"/>
    <cellStyle name="Comma 2 5 3 2 2 3 2" xfId="34096" xr:uid="{00000000-0005-0000-0000-00005E070000}"/>
    <cellStyle name="Comma 2 5 3 2 2 4" xfId="24239" xr:uid="{00000000-0005-0000-0000-00005F070000}"/>
    <cellStyle name="Comma 2 5 3 2 3" xfId="6985" xr:uid="{00000000-0005-0000-0000-000060070000}"/>
    <cellStyle name="Comma 2 5 3 2 3 2" xfId="16845" xr:uid="{00000000-0005-0000-0000-000061070000}"/>
    <cellStyle name="Comma 2 5 3 2 3 2 2" xfId="36560" xr:uid="{00000000-0005-0000-0000-000062070000}"/>
    <cellStyle name="Comma 2 5 3 2 3 3" xfId="26703" xr:uid="{00000000-0005-0000-0000-000063070000}"/>
    <cellStyle name="Comma 2 5 3 2 4" xfId="11917" xr:uid="{00000000-0005-0000-0000-000064070000}"/>
    <cellStyle name="Comma 2 5 3 2 4 2" xfId="31632" xr:uid="{00000000-0005-0000-0000-000065070000}"/>
    <cellStyle name="Comma 2 5 3 2 5" xfId="21775" xr:uid="{00000000-0005-0000-0000-000066070000}"/>
    <cellStyle name="Comma 2 5 3 3" xfId="3285" xr:uid="{00000000-0005-0000-0000-000067070000}"/>
    <cellStyle name="Comma 2 5 3 3 2" xfId="8217" xr:uid="{00000000-0005-0000-0000-000068070000}"/>
    <cellStyle name="Comma 2 5 3 3 2 2" xfId="18077" xr:uid="{00000000-0005-0000-0000-000069070000}"/>
    <cellStyle name="Comma 2 5 3 3 2 2 2" xfId="37792" xr:uid="{00000000-0005-0000-0000-00006A070000}"/>
    <cellStyle name="Comma 2 5 3 3 2 3" xfId="27935" xr:uid="{00000000-0005-0000-0000-00006B070000}"/>
    <cellStyle name="Comma 2 5 3 3 3" xfId="13149" xr:uid="{00000000-0005-0000-0000-00006C070000}"/>
    <cellStyle name="Comma 2 5 3 3 3 2" xfId="32864" xr:uid="{00000000-0005-0000-0000-00006D070000}"/>
    <cellStyle name="Comma 2 5 3 3 4" xfId="23007" xr:uid="{00000000-0005-0000-0000-00006E070000}"/>
    <cellStyle name="Comma 2 5 3 4" xfId="5753" xr:uid="{00000000-0005-0000-0000-00006F070000}"/>
    <cellStyle name="Comma 2 5 3 4 2" xfId="15613" xr:uid="{00000000-0005-0000-0000-000070070000}"/>
    <cellStyle name="Comma 2 5 3 4 2 2" xfId="35328" xr:uid="{00000000-0005-0000-0000-000071070000}"/>
    <cellStyle name="Comma 2 5 3 4 3" xfId="25471" xr:uid="{00000000-0005-0000-0000-000072070000}"/>
    <cellStyle name="Comma 2 5 3 5" xfId="10685" xr:uid="{00000000-0005-0000-0000-000073070000}"/>
    <cellStyle name="Comma 2 5 3 5 2" xfId="30400" xr:uid="{00000000-0005-0000-0000-000074070000}"/>
    <cellStyle name="Comma 2 5 3 6" xfId="20543" xr:uid="{00000000-0005-0000-0000-000075070000}"/>
    <cellStyle name="Comma 2 5 4" xfId="1434" xr:uid="{00000000-0005-0000-0000-000076070000}"/>
    <cellStyle name="Comma 2 5 4 2" xfId="3901" xr:uid="{00000000-0005-0000-0000-000077070000}"/>
    <cellStyle name="Comma 2 5 4 2 2" xfId="8833" xr:uid="{00000000-0005-0000-0000-000078070000}"/>
    <cellStyle name="Comma 2 5 4 2 2 2" xfId="18693" xr:uid="{00000000-0005-0000-0000-000079070000}"/>
    <cellStyle name="Comma 2 5 4 2 2 2 2" xfId="38408" xr:uid="{00000000-0005-0000-0000-00007A070000}"/>
    <cellStyle name="Comma 2 5 4 2 2 3" xfId="28551" xr:uid="{00000000-0005-0000-0000-00007B070000}"/>
    <cellStyle name="Comma 2 5 4 2 3" xfId="13765" xr:uid="{00000000-0005-0000-0000-00007C070000}"/>
    <cellStyle name="Comma 2 5 4 2 3 2" xfId="33480" xr:uid="{00000000-0005-0000-0000-00007D070000}"/>
    <cellStyle name="Comma 2 5 4 2 4" xfId="23623" xr:uid="{00000000-0005-0000-0000-00007E070000}"/>
    <cellStyle name="Comma 2 5 4 3" xfId="6369" xr:uid="{00000000-0005-0000-0000-00007F070000}"/>
    <cellStyle name="Comma 2 5 4 3 2" xfId="16229" xr:uid="{00000000-0005-0000-0000-000080070000}"/>
    <cellStyle name="Comma 2 5 4 3 2 2" xfId="35944" xr:uid="{00000000-0005-0000-0000-000081070000}"/>
    <cellStyle name="Comma 2 5 4 3 3" xfId="26087" xr:uid="{00000000-0005-0000-0000-000082070000}"/>
    <cellStyle name="Comma 2 5 4 4" xfId="11301" xr:uid="{00000000-0005-0000-0000-000083070000}"/>
    <cellStyle name="Comma 2 5 4 4 2" xfId="31016" xr:uid="{00000000-0005-0000-0000-000084070000}"/>
    <cellStyle name="Comma 2 5 4 5" xfId="21159" xr:uid="{00000000-0005-0000-0000-000085070000}"/>
    <cellStyle name="Comma 2 5 5" xfId="2669" xr:uid="{00000000-0005-0000-0000-000086070000}"/>
    <cellStyle name="Comma 2 5 5 2" xfId="7601" xr:uid="{00000000-0005-0000-0000-000087070000}"/>
    <cellStyle name="Comma 2 5 5 2 2" xfId="17461" xr:uid="{00000000-0005-0000-0000-000088070000}"/>
    <cellStyle name="Comma 2 5 5 2 2 2" xfId="37176" xr:uid="{00000000-0005-0000-0000-000089070000}"/>
    <cellStyle name="Comma 2 5 5 2 3" xfId="27319" xr:uid="{00000000-0005-0000-0000-00008A070000}"/>
    <cellStyle name="Comma 2 5 5 3" xfId="12533" xr:uid="{00000000-0005-0000-0000-00008B070000}"/>
    <cellStyle name="Comma 2 5 5 3 2" xfId="32248" xr:uid="{00000000-0005-0000-0000-00008C070000}"/>
    <cellStyle name="Comma 2 5 5 4" xfId="22391" xr:uid="{00000000-0005-0000-0000-00008D070000}"/>
    <cellStyle name="Comma 2 5 6" xfId="5137" xr:uid="{00000000-0005-0000-0000-00008E070000}"/>
    <cellStyle name="Comma 2 5 6 2" xfId="14997" xr:uid="{00000000-0005-0000-0000-00008F070000}"/>
    <cellStyle name="Comma 2 5 6 2 2" xfId="34712" xr:uid="{00000000-0005-0000-0000-000090070000}"/>
    <cellStyle name="Comma 2 5 6 3" xfId="24855" xr:uid="{00000000-0005-0000-0000-000091070000}"/>
    <cellStyle name="Comma 2 5 7" xfId="10069" xr:uid="{00000000-0005-0000-0000-000092070000}"/>
    <cellStyle name="Comma 2 5 7 2" xfId="29784" xr:uid="{00000000-0005-0000-0000-000093070000}"/>
    <cellStyle name="Comma 2 5 8" xfId="19927" xr:uid="{00000000-0005-0000-0000-000094070000}"/>
    <cellStyle name="Comma 2 6" xfId="346" xr:uid="{00000000-0005-0000-0000-000095070000}"/>
    <cellStyle name="Comma 2 6 2" xfId="968" xr:uid="{00000000-0005-0000-0000-000096070000}"/>
    <cellStyle name="Comma 2 6 2 2" xfId="2204" xr:uid="{00000000-0005-0000-0000-000097070000}"/>
    <cellStyle name="Comma 2 6 2 2 2" xfId="4671" xr:uid="{00000000-0005-0000-0000-000098070000}"/>
    <cellStyle name="Comma 2 6 2 2 2 2" xfId="9603" xr:uid="{00000000-0005-0000-0000-000099070000}"/>
    <cellStyle name="Comma 2 6 2 2 2 2 2" xfId="19463" xr:uid="{00000000-0005-0000-0000-00009A070000}"/>
    <cellStyle name="Comma 2 6 2 2 2 2 2 2" xfId="39178" xr:uid="{00000000-0005-0000-0000-00009B070000}"/>
    <cellStyle name="Comma 2 6 2 2 2 2 3" xfId="29321" xr:uid="{00000000-0005-0000-0000-00009C070000}"/>
    <cellStyle name="Comma 2 6 2 2 2 3" xfId="14535" xr:uid="{00000000-0005-0000-0000-00009D070000}"/>
    <cellStyle name="Comma 2 6 2 2 2 3 2" xfId="34250" xr:uid="{00000000-0005-0000-0000-00009E070000}"/>
    <cellStyle name="Comma 2 6 2 2 2 4" xfId="24393" xr:uid="{00000000-0005-0000-0000-00009F070000}"/>
    <cellStyle name="Comma 2 6 2 2 3" xfId="7139" xr:uid="{00000000-0005-0000-0000-0000A0070000}"/>
    <cellStyle name="Comma 2 6 2 2 3 2" xfId="16999" xr:uid="{00000000-0005-0000-0000-0000A1070000}"/>
    <cellStyle name="Comma 2 6 2 2 3 2 2" xfId="36714" xr:uid="{00000000-0005-0000-0000-0000A2070000}"/>
    <cellStyle name="Comma 2 6 2 2 3 3" xfId="26857" xr:uid="{00000000-0005-0000-0000-0000A3070000}"/>
    <cellStyle name="Comma 2 6 2 2 4" xfId="12071" xr:uid="{00000000-0005-0000-0000-0000A4070000}"/>
    <cellStyle name="Comma 2 6 2 2 4 2" xfId="31786" xr:uid="{00000000-0005-0000-0000-0000A5070000}"/>
    <cellStyle name="Comma 2 6 2 2 5" xfId="21929" xr:uid="{00000000-0005-0000-0000-0000A6070000}"/>
    <cellStyle name="Comma 2 6 2 3" xfId="3439" xr:uid="{00000000-0005-0000-0000-0000A7070000}"/>
    <cellStyle name="Comma 2 6 2 3 2" xfId="8371" xr:uid="{00000000-0005-0000-0000-0000A8070000}"/>
    <cellStyle name="Comma 2 6 2 3 2 2" xfId="18231" xr:uid="{00000000-0005-0000-0000-0000A9070000}"/>
    <cellStyle name="Comma 2 6 2 3 2 2 2" xfId="37946" xr:uid="{00000000-0005-0000-0000-0000AA070000}"/>
    <cellStyle name="Comma 2 6 2 3 2 3" xfId="28089" xr:uid="{00000000-0005-0000-0000-0000AB070000}"/>
    <cellStyle name="Comma 2 6 2 3 3" xfId="13303" xr:uid="{00000000-0005-0000-0000-0000AC070000}"/>
    <cellStyle name="Comma 2 6 2 3 3 2" xfId="33018" xr:uid="{00000000-0005-0000-0000-0000AD070000}"/>
    <cellStyle name="Comma 2 6 2 3 4" xfId="23161" xr:uid="{00000000-0005-0000-0000-0000AE070000}"/>
    <cellStyle name="Comma 2 6 2 4" xfId="5907" xr:uid="{00000000-0005-0000-0000-0000AF070000}"/>
    <cellStyle name="Comma 2 6 2 4 2" xfId="15767" xr:uid="{00000000-0005-0000-0000-0000B0070000}"/>
    <cellStyle name="Comma 2 6 2 4 2 2" xfId="35482" xr:uid="{00000000-0005-0000-0000-0000B1070000}"/>
    <cellStyle name="Comma 2 6 2 4 3" xfId="25625" xr:uid="{00000000-0005-0000-0000-0000B2070000}"/>
    <cellStyle name="Comma 2 6 2 5" xfId="10839" xr:uid="{00000000-0005-0000-0000-0000B3070000}"/>
    <cellStyle name="Comma 2 6 2 5 2" xfId="30554" xr:uid="{00000000-0005-0000-0000-0000B4070000}"/>
    <cellStyle name="Comma 2 6 2 6" xfId="20697" xr:uid="{00000000-0005-0000-0000-0000B5070000}"/>
    <cellStyle name="Comma 2 6 3" xfId="1588" xr:uid="{00000000-0005-0000-0000-0000B6070000}"/>
    <cellStyle name="Comma 2 6 3 2" xfId="4055" xr:uid="{00000000-0005-0000-0000-0000B7070000}"/>
    <cellStyle name="Comma 2 6 3 2 2" xfId="8987" xr:uid="{00000000-0005-0000-0000-0000B8070000}"/>
    <cellStyle name="Comma 2 6 3 2 2 2" xfId="18847" xr:uid="{00000000-0005-0000-0000-0000B9070000}"/>
    <cellStyle name="Comma 2 6 3 2 2 2 2" xfId="38562" xr:uid="{00000000-0005-0000-0000-0000BA070000}"/>
    <cellStyle name="Comma 2 6 3 2 2 3" xfId="28705" xr:uid="{00000000-0005-0000-0000-0000BB070000}"/>
    <cellStyle name="Comma 2 6 3 2 3" xfId="13919" xr:uid="{00000000-0005-0000-0000-0000BC070000}"/>
    <cellStyle name="Comma 2 6 3 2 3 2" xfId="33634" xr:uid="{00000000-0005-0000-0000-0000BD070000}"/>
    <cellStyle name="Comma 2 6 3 2 4" xfId="23777" xr:uid="{00000000-0005-0000-0000-0000BE070000}"/>
    <cellStyle name="Comma 2 6 3 3" xfId="6523" xr:uid="{00000000-0005-0000-0000-0000BF070000}"/>
    <cellStyle name="Comma 2 6 3 3 2" xfId="16383" xr:uid="{00000000-0005-0000-0000-0000C0070000}"/>
    <cellStyle name="Comma 2 6 3 3 2 2" xfId="36098" xr:uid="{00000000-0005-0000-0000-0000C1070000}"/>
    <cellStyle name="Comma 2 6 3 3 3" xfId="26241" xr:uid="{00000000-0005-0000-0000-0000C2070000}"/>
    <cellStyle name="Comma 2 6 3 4" xfId="11455" xr:uid="{00000000-0005-0000-0000-0000C3070000}"/>
    <cellStyle name="Comma 2 6 3 4 2" xfId="31170" xr:uid="{00000000-0005-0000-0000-0000C4070000}"/>
    <cellStyle name="Comma 2 6 3 5" xfId="21313" xr:uid="{00000000-0005-0000-0000-0000C5070000}"/>
    <cellStyle name="Comma 2 6 4" xfId="2823" xr:uid="{00000000-0005-0000-0000-0000C6070000}"/>
    <cellStyle name="Comma 2 6 4 2" xfId="7755" xr:uid="{00000000-0005-0000-0000-0000C7070000}"/>
    <cellStyle name="Comma 2 6 4 2 2" xfId="17615" xr:uid="{00000000-0005-0000-0000-0000C8070000}"/>
    <cellStyle name="Comma 2 6 4 2 2 2" xfId="37330" xr:uid="{00000000-0005-0000-0000-0000C9070000}"/>
    <cellStyle name="Comma 2 6 4 2 3" xfId="27473" xr:uid="{00000000-0005-0000-0000-0000CA070000}"/>
    <cellStyle name="Comma 2 6 4 3" xfId="12687" xr:uid="{00000000-0005-0000-0000-0000CB070000}"/>
    <cellStyle name="Comma 2 6 4 3 2" xfId="32402" xr:uid="{00000000-0005-0000-0000-0000CC070000}"/>
    <cellStyle name="Comma 2 6 4 4" xfId="22545" xr:uid="{00000000-0005-0000-0000-0000CD070000}"/>
    <cellStyle name="Comma 2 6 5" xfId="5291" xr:uid="{00000000-0005-0000-0000-0000CE070000}"/>
    <cellStyle name="Comma 2 6 5 2" xfId="15151" xr:uid="{00000000-0005-0000-0000-0000CF070000}"/>
    <cellStyle name="Comma 2 6 5 2 2" xfId="34866" xr:uid="{00000000-0005-0000-0000-0000D0070000}"/>
    <cellStyle name="Comma 2 6 5 3" xfId="25009" xr:uid="{00000000-0005-0000-0000-0000D1070000}"/>
    <cellStyle name="Comma 2 6 6" xfId="10223" xr:uid="{00000000-0005-0000-0000-0000D2070000}"/>
    <cellStyle name="Comma 2 6 6 2" xfId="29938" xr:uid="{00000000-0005-0000-0000-0000D3070000}"/>
    <cellStyle name="Comma 2 6 7" xfId="20081" xr:uid="{00000000-0005-0000-0000-0000D4070000}"/>
    <cellStyle name="Comma 2 7" xfId="655" xr:uid="{00000000-0005-0000-0000-0000D5070000}"/>
    <cellStyle name="Comma 2 7 2" xfId="1275" xr:uid="{00000000-0005-0000-0000-0000D6070000}"/>
    <cellStyle name="Comma 2 7 2 2" xfId="2510" xr:uid="{00000000-0005-0000-0000-0000D7070000}"/>
    <cellStyle name="Comma 2 7 2 2 2" xfId="4977" xr:uid="{00000000-0005-0000-0000-0000D8070000}"/>
    <cellStyle name="Comma 2 7 2 2 2 2" xfId="9909" xr:uid="{00000000-0005-0000-0000-0000D9070000}"/>
    <cellStyle name="Comma 2 7 2 2 2 2 2" xfId="19769" xr:uid="{00000000-0005-0000-0000-0000DA070000}"/>
    <cellStyle name="Comma 2 7 2 2 2 2 2 2" xfId="39484" xr:uid="{00000000-0005-0000-0000-0000DB070000}"/>
    <cellStyle name="Comma 2 7 2 2 2 2 3" xfId="29627" xr:uid="{00000000-0005-0000-0000-0000DC070000}"/>
    <cellStyle name="Comma 2 7 2 2 2 3" xfId="14841" xr:uid="{00000000-0005-0000-0000-0000DD070000}"/>
    <cellStyle name="Comma 2 7 2 2 2 3 2" xfId="34556" xr:uid="{00000000-0005-0000-0000-0000DE070000}"/>
    <cellStyle name="Comma 2 7 2 2 2 4" xfId="24699" xr:uid="{00000000-0005-0000-0000-0000DF070000}"/>
    <cellStyle name="Comma 2 7 2 2 3" xfId="7445" xr:uid="{00000000-0005-0000-0000-0000E0070000}"/>
    <cellStyle name="Comma 2 7 2 2 3 2" xfId="17305" xr:uid="{00000000-0005-0000-0000-0000E1070000}"/>
    <cellStyle name="Comma 2 7 2 2 3 2 2" xfId="37020" xr:uid="{00000000-0005-0000-0000-0000E2070000}"/>
    <cellStyle name="Comma 2 7 2 2 3 3" xfId="27163" xr:uid="{00000000-0005-0000-0000-0000E3070000}"/>
    <cellStyle name="Comma 2 7 2 2 4" xfId="12377" xr:uid="{00000000-0005-0000-0000-0000E4070000}"/>
    <cellStyle name="Comma 2 7 2 2 4 2" xfId="32092" xr:uid="{00000000-0005-0000-0000-0000E5070000}"/>
    <cellStyle name="Comma 2 7 2 2 5" xfId="22235" xr:uid="{00000000-0005-0000-0000-0000E6070000}"/>
    <cellStyle name="Comma 2 7 2 3" xfId="3745" xr:uid="{00000000-0005-0000-0000-0000E7070000}"/>
    <cellStyle name="Comma 2 7 2 3 2" xfId="8677" xr:uid="{00000000-0005-0000-0000-0000E8070000}"/>
    <cellStyle name="Comma 2 7 2 3 2 2" xfId="18537" xr:uid="{00000000-0005-0000-0000-0000E9070000}"/>
    <cellStyle name="Comma 2 7 2 3 2 2 2" xfId="38252" xr:uid="{00000000-0005-0000-0000-0000EA070000}"/>
    <cellStyle name="Comma 2 7 2 3 2 3" xfId="28395" xr:uid="{00000000-0005-0000-0000-0000EB070000}"/>
    <cellStyle name="Comma 2 7 2 3 3" xfId="13609" xr:uid="{00000000-0005-0000-0000-0000EC070000}"/>
    <cellStyle name="Comma 2 7 2 3 3 2" xfId="33324" xr:uid="{00000000-0005-0000-0000-0000ED070000}"/>
    <cellStyle name="Comma 2 7 2 3 4" xfId="23467" xr:uid="{00000000-0005-0000-0000-0000EE070000}"/>
    <cellStyle name="Comma 2 7 2 4" xfId="6213" xr:uid="{00000000-0005-0000-0000-0000EF070000}"/>
    <cellStyle name="Comma 2 7 2 4 2" xfId="16073" xr:uid="{00000000-0005-0000-0000-0000F0070000}"/>
    <cellStyle name="Comma 2 7 2 4 2 2" xfId="35788" xr:uid="{00000000-0005-0000-0000-0000F1070000}"/>
    <cellStyle name="Comma 2 7 2 4 3" xfId="25931" xr:uid="{00000000-0005-0000-0000-0000F2070000}"/>
    <cellStyle name="Comma 2 7 2 5" xfId="11145" xr:uid="{00000000-0005-0000-0000-0000F3070000}"/>
    <cellStyle name="Comma 2 7 2 5 2" xfId="30860" xr:uid="{00000000-0005-0000-0000-0000F4070000}"/>
    <cellStyle name="Comma 2 7 2 6" xfId="21003" xr:uid="{00000000-0005-0000-0000-0000F5070000}"/>
    <cellStyle name="Comma 2 7 3" xfId="1894" xr:uid="{00000000-0005-0000-0000-0000F6070000}"/>
    <cellStyle name="Comma 2 7 3 2" xfId="4361" xr:uid="{00000000-0005-0000-0000-0000F7070000}"/>
    <cellStyle name="Comma 2 7 3 2 2" xfId="9293" xr:uid="{00000000-0005-0000-0000-0000F8070000}"/>
    <cellStyle name="Comma 2 7 3 2 2 2" xfId="19153" xr:uid="{00000000-0005-0000-0000-0000F9070000}"/>
    <cellStyle name="Comma 2 7 3 2 2 2 2" xfId="38868" xr:uid="{00000000-0005-0000-0000-0000FA070000}"/>
    <cellStyle name="Comma 2 7 3 2 2 3" xfId="29011" xr:uid="{00000000-0005-0000-0000-0000FB070000}"/>
    <cellStyle name="Comma 2 7 3 2 3" xfId="14225" xr:uid="{00000000-0005-0000-0000-0000FC070000}"/>
    <cellStyle name="Comma 2 7 3 2 3 2" xfId="33940" xr:uid="{00000000-0005-0000-0000-0000FD070000}"/>
    <cellStyle name="Comma 2 7 3 2 4" xfId="24083" xr:uid="{00000000-0005-0000-0000-0000FE070000}"/>
    <cellStyle name="Comma 2 7 3 3" xfId="6829" xr:uid="{00000000-0005-0000-0000-0000FF070000}"/>
    <cellStyle name="Comma 2 7 3 3 2" xfId="16689" xr:uid="{00000000-0005-0000-0000-000000080000}"/>
    <cellStyle name="Comma 2 7 3 3 2 2" xfId="36404" xr:uid="{00000000-0005-0000-0000-000001080000}"/>
    <cellStyle name="Comma 2 7 3 3 3" xfId="26547" xr:uid="{00000000-0005-0000-0000-000002080000}"/>
    <cellStyle name="Comma 2 7 3 4" xfId="11761" xr:uid="{00000000-0005-0000-0000-000003080000}"/>
    <cellStyle name="Comma 2 7 3 4 2" xfId="31476" xr:uid="{00000000-0005-0000-0000-000004080000}"/>
    <cellStyle name="Comma 2 7 3 5" xfId="21619" xr:uid="{00000000-0005-0000-0000-000005080000}"/>
    <cellStyle name="Comma 2 7 4" xfId="3129" xr:uid="{00000000-0005-0000-0000-000006080000}"/>
    <cellStyle name="Comma 2 7 4 2" xfId="8061" xr:uid="{00000000-0005-0000-0000-000007080000}"/>
    <cellStyle name="Comma 2 7 4 2 2" xfId="17921" xr:uid="{00000000-0005-0000-0000-000008080000}"/>
    <cellStyle name="Comma 2 7 4 2 2 2" xfId="37636" xr:uid="{00000000-0005-0000-0000-000009080000}"/>
    <cellStyle name="Comma 2 7 4 2 3" xfId="27779" xr:uid="{00000000-0005-0000-0000-00000A080000}"/>
    <cellStyle name="Comma 2 7 4 3" xfId="12993" xr:uid="{00000000-0005-0000-0000-00000B080000}"/>
    <cellStyle name="Comma 2 7 4 3 2" xfId="32708" xr:uid="{00000000-0005-0000-0000-00000C080000}"/>
    <cellStyle name="Comma 2 7 4 4" xfId="22851" xr:uid="{00000000-0005-0000-0000-00000D080000}"/>
    <cellStyle name="Comma 2 7 5" xfId="5597" xr:uid="{00000000-0005-0000-0000-00000E080000}"/>
    <cellStyle name="Comma 2 7 5 2" xfId="15457" xr:uid="{00000000-0005-0000-0000-00000F080000}"/>
    <cellStyle name="Comma 2 7 5 2 2" xfId="35172" xr:uid="{00000000-0005-0000-0000-000010080000}"/>
    <cellStyle name="Comma 2 7 5 3" xfId="25315" xr:uid="{00000000-0005-0000-0000-000011080000}"/>
    <cellStyle name="Comma 2 7 6" xfId="10529" xr:uid="{00000000-0005-0000-0000-000012080000}"/>
    <cellStyle name="Comma 2 7 6 2" xfId="30244" xr:uid="{00000000-0005-0000-0000-000013080000}"/>
    <cellStyle name="Comma 2 7 7" xfId="20387" xr:uid="{00000000-0005-0000-0000-000014080000}"/>
    <cellStyle name="Comma 2 8" xfId="659" xr:uid="{00000000-0005-0000-0000-000015080000}"/>
    <cellStyle name="Comma 2 8 2" xfId="1898" xr:uid="{00000000-0005-0000-0000-000016080000}"/>
    <cellStyle name="Comma 2 8 2 2" xfId="4365" xr:uid="{00000000-0005-0000-0000-000017080000}"/>
    <cellStyle name="Comma 2 8 2 2 2" xfId="9297" xr:uid="{00000000-0005-0000-0000-000018080000}"/>
    <cellStyle name="Comma 2 8 2 2 2 2" xfId="19157" xr:uid="{00000000-0005-0000-0000-000019080000}"/>
    <cellStyle name="Comma 2 8 2 2 2 2 2" xfId="38872" xr:uid="{00000000-0005-0000-0000-00001A080000}"/>
    <cellStyle name="Comma 2 8 2 2 2 3" xfId="29015" xr:uid="{00000000-0005-0000-0000-00001B080000}"/>
    <cellStyle name="Comma 2 8 2 2 3" xfId="14229" xr:uid="{00000000-0005-0000-0000-00001C080000}"/>
    <cellStyle name="Comma 2 8 2 2 3 2" xfId="33944" xr:uid="{00000000-0005-0000-0000-00001D080000}"/>
    <cellStyle name="Comma 2 8 2 2 4" xfId="24087" xr:uid="{00000000-0005-0000-0000-00001E080000}"/>
    <cellStyle name="Comma 2 8 2 3" xfId="6833" xr:uid="{00000000-0005-0000-0000-00001F080000}"/>
    <cellStyle name="Comma 2 8 2 3 2" xfId="16693" xr:uid="{00000000-0005-0000-0000-000020080000}"/>
    <cellStyle name="Comma 2 8 2 3 2 2" xfId="36408" xr:uid="{00000000-0005-0000-0000-000021080000}"/>
    <cellStyle name="Comma 2 8 2 3 3" xfId="26551" xr:uid="{00000000-0005-0000-0000-000022080000}"/>
    <cellStyle name="Comma 2 8 2 4" xfId="11765" xr:uid="{00000000-0005-0000-0000-000023080000}"/>
    <cellStyle name="Comma 2 8 2 4 2" xfId="31480" xr:uid="{00000000-0005-0000-0000-000024080000}"/>
    <cellStyle name="Comma 2 8 2 5" xfId="21623" xr:uid="{00000000-0005-0000-0000-000025080000}"/>
    <cellStyle name="Comma 2 8 3" xfId="3133" xr:uid="{00000000-0005-0000-0000-000026080000}"/>
    <cellStyle name="Comma 2 8 3 2" xfId="8065" xr:uid="{00000000-0005-0000-0000-000027080000}"/>
    <cellStyle name="Comma 2 8 3 2 2" xfId="17925" xr:uid="{00000000-0005-0000-0000-000028080000}"/>
    <cellStyle name="Comma 2 8 3 2 2 2" xfId="37640" xr:uid="{00000000-0005-0000-0000-000029080000}"/>
    <cellStyle name="Comma 2 8 3 2 3" xfId="27783" xr:uid="{00000000-0005-0000-0000-00002A080000}"/>
    <cellStyle name="Comma 2 8 3 3" xfId="12997" xr:uid="{00000000-0005-0000-0000-00002B080000}"/>
    <cellStyle name="Comma 2 8 3 3 2" xfId="32712" xr:uid="{00000000-0005-0000-0000-00002C080000}"/>
    <cellStyle name="Comma 2 8 3 4" xfId="22855" xr:uid="{00000000-0005-0000-0000-00002D080000}"/>
    <cellStyle name="Comma 2 8 4" xfId="5601" xr:uid="{00000000-0005-0000-0000-00002E080000}"/>
    <cellStyle name="Comma 2 8 4 2" xfId="15461" xr:uid="{00000000-0005-0000-0000-00002F080000}"/>
    <cellStyle name="Comma 2 8 4 2 2" xfId="35176" xr:uid="{00000000-0005-0000-0000-000030080000}"/>
    <cellStyle name="Comma 2 8 4 3" xfId="25319" xr:uid="{00000000-0005-0000-0000-000031080000}"/>
    <cellStyle name="Comma 2 8 5" xfId="10533" xr:uid="{00000000-0005-0000-0000-000032080000}"/>
    <cellStyle name="Comma 2 8 5 2" xfId="30248" xr:uid="{00000000-0005-0000-0000-000033080000}"/>
    <cellStyle name="Comma 2 8 6" xfId="20391" xr:uid="{00000000-0005-0000-0000-000034080000}"/>
    <cellStyle name="Comma 2 9" xfId="1279" xr:uid="{00000000-0005-0000-0000-000035080000}"/>
    <cellStyle name="Comma 2 9 2" xfId="3749" xr:uid="{00000000-0005-0000-0000-000036080000}"/>
    <cellStyle name="Comma 2 9 2 2" xfId="8681" xr:uid="{00000000-0005-0000-0000-000037080000}"/>
    <cellStyle name="Comma 2 9 2 2 2" xfId="18541" xr:uid="{00000000-0005-0000-0000-000038080000}"/>
    <cellStyle name="Comma 2 9 2 2 2 2" xfId="38256" xr:uid="{00000000-0005-0000-0000-000039080000}"/>
    <cellStyle name="Comma 2 9 2 2 3" xfId="28399" xr:uid="{00000000-0005-0000-0000-00003A080000}"/>
    <cellStyle name="Comma 2 9 2 3" xfId="13613" xr:uid="{00000000-0005-0000-0000-00003B080000}"/>
    <cellStyle name="Comma 2 9 2 3 2" xfId="33328" xr:uid="{00000000-0005-0000-0000-00003C080000}"/>
    <cellStyle name="Comma 2 9 2 4" xfId="23471" xr:uid="{00000000-0005-0000-0000-00003D080000}"/>
    <cellStyle name="Comma 2 9 3" xfId="6217" xr:uid="{00000000-0005-0000-0000-00003E080000}"/>
    <cellStyle name="Comma 2 9 3 2" xfId="16077" xr:uid="{00000000-0005-0000-0000-00003F080000}"/>
    <cellStyle name="Comma 2 9 3 2 2" xfId="35792" xr:uid="{00000000-0005-0000-0000-000040080000}"/>
    <cellStyle name="Comma 2 9 3 3" xfId="25935" xr:uid="{00000000-0005-0000-0000-000041080000}"/>
    <cellStyle name="Comma 2 9 4" xfId="11149" xr:uid="{00000000-0005-0000-0000-000042080000}"/>
    <cellStyle name="Comma 2 9 4 2" xfId="30864" xr:uid="{00000000-0005-0000-0000-000043080000}"/>
    <cellStyle name="Comma 2 9 5" xfId="21007" xr:uid="{00000000-0005-0000-0000-000044080000}"/>
    <cellStyle name="Euro" xfId="3" xr:uid="{00000000-0005-0000-0000-000045080000}"/>
    <cellStyle name="Millares" xfId="39496" builtinId="3"/>
    <cellStyle name="Millares 10" xfId="1277" xr:uid="{00000000-0005-0000-0000-000047080000}"/>
    <cellStyle name="Millares 10 2" xfId="3747" xr:uid="{00000000-0005-0000-0000-000048080000}"/>
    <cellStyle name="Millares 10 2 2" xfId="8679" xr:uid="{00000000-0005-0000-0000-000049080000}"/>
    <cellStyle name="Millares 10 2 2 2" xfId="18539" xr:uid="{00000000-0005-0000-0000-00004A080000}"/>
    <cellStyle name="Millares 10 2 2 2 2" xfId="38254" xr:uid="{00000000-0005-0000-0000-00004B080000}"/>
    <cellStyle name="Millares 10 2 2 3" xfId="28397" xr:uid="{00000000-0005-0000-0000-00004C080000}"/>
    <cellStyle name="Millares 10 2 3" xfId="13611" xr:uid="{00000000-0005-0000-0000-00004D080000}"/>
    <cellStyle name="Millares 10 2 3 2" xfId="33326" xr:uid="{00000000-0005-0000-0000-00004E080000}"/>
    <cellStyle name="Millares 10 2 4" xfId="23469" xr:uid="{00000000-0005-0000-0000-00004F080000}"/>
    <cellStyle name="Millares 10 3" xfId="6215" xr:uid="{00000000-0005-0000-0000-000050080000}"/>
    <cellStyle name="Millares 10 3 2" xfId="16075" xr:uid="{00000000-0005-0000-0000-000051080000}"/>
    <cellStyle name="Millares 10 3 2 2" xfId="35790" xr:uid="{00000000-0005-0000-0000-000052080000}"/>
    <cellStyle name="Millares 10 3 3" xfId="25933" xr:uid="{00000000-0005-0000-0000-000053080000}"/>
    <cellStyle name="Millares 10 4" xfId="11147" xr:uid="{00000000-0005-0000-0000-000054080000}"/>
    <cellStyle name="Millares 10 4 2" xfId="30862" xr:uid="{00000000-0005-0000-0000-000055080000}"/>
    <cellStyle name="Millares 10 5" xfId="21005" xr:uid="{00000000-0005-0000-0000-000056080000}"/>
    <cellStyle name="Millares 11" xfId="2512" xr:uid="{00000000-0005-0000-0000-000057080000}"/>
    <cellStyle name="Millares 11 2" xfId="7447" xr:uid="{00000000-0005-0000-0000-000058080000}"/>
    <cellStyle name="Millares 11 2 2" xfId="17307" xr:uid="{00000000-0005-0000-0000-000059080000}"/>
    <cellStyle name="Millares 11 2 2 2" xfId="37022" xr:uid="{00000000-0005-0000-0000-00005A080000}"/>
    <cellStyle name="Millares 11 2 3" xfId="27165" xr:uid="{00000000-0005-0000-0000-00005B080000}"/>
    <cellStyle name="Millares 11 3" xfId="12379" xr:uid="{00000000-0005-0000-0000-00005C080000}"/>
    <cellStyle name="Millares 11 3 2" xfId="32094" xr:uid="{00000000-0005-0000-0000-00005D080000}"/>
    <cellStyle name="Millares 11 4" xfId="22237" xr:uid="{00000000-0005-0000-0000-00005E080000}"/>
    <cellStyle name="Millares 12" xfId="4980" xr:uid="{00000000-0005-0000-0000-00005F080000}"/>
    <cellStyle name="Millares 12 2" xfId="14843" xr:uid="{00000000-0005-0000-0000-000060080000}"/>
    <cellStyle name="Millares 12 2 2" xfId="34558" xr:uid="{00000000-0005-0000-0000-000061080000}"/>
    <cellStyle name="Millares 12 3" xfId="24701" xr:uid="{00000000-0005-0000-0000-000062080000}"/>
    <cellStyle name="Millares 13" xfId="9912" xr:uid="{00000000-0005-0000-0000-000063080000}"/>
    <cellStyle name="Millares 13 2" xfId="29629" xr:uid="{00000000-0005-0000-0000-000064080000}"/>
    <cellStyle name="Millares 14" xfId="19771" xr:uid="{00000000-0005-0000-0000-000065080000}"/>
    <cellStyle name="Millares 15" xfId="39487" xr:uid="{00000000-0005-0000-0000-000066080000}"/>
    <cellStyle name="Millares 2" xfId="19" xr:uid="{00000000-0005-0000-0000-000067080000}"/>
    <cellStyle name="Millares 2 10" xfId="4994" xr:uid="{00000000-0005-0000-0000-000068080000}"/>
    <cellStyle name="Millares 2 10 2" xfId="14854" xr:uid="{00000000-0005-0000-0000-000069080000}"/>
    <cellStyle name="Millares 2 10 2 2" xfId="34569" xr:uid="{00000000-0005-0000-0000-00006A080000}"/>
    <cellStyle name="Millares 2 10 3" xfId="24712" xr:uid="{00000000-0005-0000-0000-00006B080000}"/>
    <cellStyle name="Millares 2 11" xfId="9926" xr:uid="{00000000-0005-0000-0000-00006C080000}"/>
    <cellStyle name="Millares 2 11 2" xfId="29641" xr:uid="{00000000-0005-0000-0000-00006D080000}"/>
    <cellStyle name="Millares 2 12" xfId="19784" xr:uid="{00000000-0005-0000-0000-00006E080000}"/>
    <cellStyle name="Millares 2 2" xfId="48" xr:uid="{00000000-0005-0000-0000-00006F080000}"/>
    <cellStyle name="Millares 2 2 10" xfId="9945" xr:uid="{00000000-0005-0000-0000-000070080000}"/>
    <cellStyle name="Millares 2 2 10 2" xfId="29660" xr:uid="{00000000-0005-0000-0000-000071080000}"/>
    <cellStyle name="Millares 2 2 11" xfId="19803" xr:uid="{00000000-0005-0000-0000-000072080000}"/>
    <cellStyle name="Millares 2 2 2" xfId="91" xr:uid="{00000000-0005-0000-0000-000073080000}"/>
    <cellStyle name="Millares 2 2 2 10" xfId="19841" xr:uid="{00000000-0005-0000-0000-000074080000}"/>
    <cellStyle name="Millares 2 2 2 2" xfId="172" xr:uid="{00000000-0005-0000-0000-000075080000}"/>
    <cellStyle name="Millares 2 2 2 2 2" xfId="329" xr:uid="{00000000-0005-0000-0000-000076080000}"/>
    <cellStyle name="Millares 2 2 2 2 2 2" xfId="643" xr:uid="{00000000-0005-0000-0000-000077080000}"/>
    <cellStyle name="Millares 2 2 2 2 2 2 2" xfId="1263" xr:uid="{00000000-0005-0000-0000-000078080000}"/>
    <cellStyle name="Millares 2 2 2 2 2 2 2 2" xfId="2498" xr:uid="{00000000-0005-0000-0000-000079080000}"/>
    <cellStyle name="Millares 2 2 2 2 2 2 2 2 2" xfId="4965" xr:uid="{00000000-0005-0000-0000-00007A080000}"/>
    <cellStyle name="Millares 2 2 2 2 2 2 2 2 2 2" xfId="9897" xr:uid="{00000000-0005-0000-0000-00007B080000}"/>
    <cellStyle name="Millares 2 2 2 2 2 2 2 2 2 2 2" xfId="19757" xr:uid="{00000000-0005-0000-0000-00007C080000}"/>
    <cellStyle name="Millares 2 2 2 2 2 2 2 2 2 2 2 2" xfId="39472" xr:uid="{00000000-0005-0000-0000-00007D080000}"/>
    <cellStyle name="Millares 2 2 2 2 2 2 2 2 2 2 3" xfId="29615" xr:uid="{00000000-0005-0000-0000-00007E080000}"/>
    <cellStyle name="Millares 2 2 2 2 2 2 2 2 2 3" xfId="14829" xr:uid="{00000000-0005-0000-0000-00007F080000}"/>
    <cellStyle name="Millares 2 2 2 2 2 2 2 2 2 3 2" xfId="34544" xr:uid="{00000000-0005-0000-0000-000080080000}"/>
    <cellStyle name="Millares 2 2 2 2 2 2 2 2 2 4" xfId="24687" xr:uid="{00000000-0005-0000-0000-000081080000}"/>
    <cellStyle name="Millares 2 2 2 2 2 2 2 2 3" xfId="7433" xr:uid="{00000000-0005-0000-0000-000082080000}"/>
    <cellStyle name="Millares 2 2 2 2 2 2 2 2 3 2" xfId="17293" xr:uid="{00000000-0005-0000-0000-000083080000}"/>
    <cellStyle name="Millares 2 2 2 2 2 2 2 2 3 2 2" xfId="37008" xr:uid="{00000000-0005-0000-0000-000084080000}"/>
    <cellStyle name="Millares 2 2 2 2 2 2 2 2 3 3" xfId="27151" xr:uid="{00000000-0005-0000-0000-000085080000}"/>
    <cellStyle name="Millares 2 2 2 2 2 2 2 2 4" xfId="12365" xr:uid="{00000000-0005-0000-0000-000086080000}"/>
    <cellStyle name="Millares 2 2 2 2 2 2 2 2 4 2" xfId="32080" xr:uid="{00000000-0005-0000-0000-000087080000}"/>
    <cellStyle name="Millares 2 2 2 2 2 2 2 2 5" xfId="22223" xr:uid="{00000000-0005-0000-0000-000088080000}"/>
    <cellStyle name="Millares 2 2 2 2 2 2 2 3" xfId="3733" xr:uid="{00000000-0005-0000-0000-000089080000}"/>
    <cellStyle name="Millares 2 2 2 2 2 2 2 3 2" xfId="8665" xr:uid="{00000000-0005-0000-0000-00008A080000}"/>
    <cellStyle name="Millares 2 2 2 2 2 2 2 3 2 2" xfId="18525" xr:uid="{00000000-0005-0000-0000-00008B080000}"/>
    <cellStyle name="Millares 2 2 2 2 2 2 2 3 2 2 2" xfId="38240" xr:uid="{00000000-0005-0000-0000-00008C080000}"/>
    <cellStyle name="Millares 2 2 2 2 2 2 2 3 2 3" xfId="28383" xr:uid="{00000000-0005-0000-0000-00008D080000}"/>
    <cellStyle name="Millares 2 2 2 2 2 2 2 3 3" xfId="13597" xr:uid="{00000000-0005-0000-0000-00008E080000}"/>
    <cellStyle name="Millares 2 2 2 2 2 2 2 3 3 2" xfId="33312" xr:uid="{00000000-0005-0000-0000-00008F080000}"/>
    <cellStyle name="Millares 2 2 2 2 2 2 2 3 4" xfId="23455" xr:uid="{00000000-0005-0000-0000-000090080000}"/>
    <cellStyle name="Millares 2 2 2 2 2 2 2 4" xfId="6201" xr:uid="{00000000-0005-0000-0000-000091080000}"/>
    <cellStyle name="Millares 2 2 2 2 2 2 2 4 2" xfId="16061" xr:uid="{00000000-0005-0000-0000-000092080000}"/>
    <cellStyle name="Millares 2 2 2 2 2 2 2 4 2 2" xfId="35776" xr:uid="{00000000-0005-0000-0000-000093080000}"/>
    <cellStyle name="Millares 2 2 2 2 2 2 2 4 3" xfId="25919" xr:uid="{00000000-0005-0000-0000-000094080000}"/>
    <cellStyle name="Millares 2 2 2 2 2 2 2 5" xfId="11133" xr:uid="{00000000-0005-0000-0000-000095080000}"/>
    <cellStyle name="Millares 2 2 2 2 2 2 2 5 2" xfId="30848" xr:uid="{00000000-0005-0000-0000-000096080000}"/>
    <cellStyle name="Millares 2 2 2 2 2 2 2 6" xfId="20991" xr:uid="{00000000-0005-0000-0000-000097080000}"/>
    <cellStyle name="Millares 2 2 2 2 2 2 3" xfId="1882" xr:uid="{00000000-0005-0000-0000-000098080000}"/>
    <cellStyle name="Millares 2 2 2 2 2 2 3 2" xfId="4349" xr:uid="{00000000-0005-0000-0000-000099080000}"/>
    <cellStyle name="Millares 2 2 2 2 2 2 3 2 2" xfId="9281" xr:uid="{00000000-0005-0000-0000-00009A080000}"/>
    <cellStyle name="Millares 2 2 2 2 2 2 3 2 2 2" xfId="19141" xr:uid="{00000000-0005-0000-0000-00009B080000}"/>
    <cellStyle name="Millares 2 2 2 2 2 2 3 2 2 2 2" xfId="38856" xr:uid="{00000000-0005-0000-0000-00009C080000}"/>
    <cellStyle name="Millares 2 2 2 2 2 2 3 2 2 3" xfId="28999" xr:uid="{00000000-0005-0000-0000-00009D080000}"/>
    <cellStyle name="Millares 2 2 2 2 2 2 3 2 3" xfId="14213" xr:uid="{00000000-0005-0000-0000-00009E080000}"/>
    <cellStyle name="Millares 2 2 2 2 2 2 3 2 3 2" xfId="33928" xr:uid="{00000000-0005-0000-0000-00009F080000}"/>
    <cellStyle name="Millares 2 2 2 2 2 2 3 2 4" xfId="24071" xr:uid="{00000000-0005-0000-0000-0000A0080000}"/>
    <cellStyle name="Millares 2 2 2 2 2 2 3 3" xfId="6817" xr:uid="{00000000-0005-0000-0000-0000A1080000}"/>
    <cellStyle name="Millares 2 2 2 2 2 2 3 3 2" xfId="16677" xr:uid="{00000000-0005-0000-0000-0000A2080000}"/>
    <cellStyle name="Millares 2 2 2 2 2 2 3 3 2 2" xfId="36392" xr:uid="{00000000-0005-0000-0000-0000A3080000}"/>
    <cellStyle name="Millares 2 2 2 2 2 2 3 3 3" xfId="26535" xr:uid="{00000000-0005-0000-0000-0000A4080000}"/>
    <cellStyle name="Millares 2 2 2 2 2 2 3 4" xfId="11749" xr:uid="{00000000-0005-0000-0000-0000A5080000}"/>
    <cellStyle name="Millares 2 2 2 2 2 2 3 4 2" xfId="31464" xr:uid="{00000000-0005-0000-0000-0000A6080000}"/>
    <cellStyle name="Millares 2 2 2 2 2 2 3 5" xfId="21607" xr:uid="{00000000-0005-0000-0000-0000A7080000}"/>
    <cellStyle name="Millares 2 2 2 2 2 2 4" xfId="3117" xr:uid="{00000000-0005-0000-0000-0000A8080000}"/>
    <cellStyle name="Millares 2 2 2 2 2 2 4 2" xfId="8049" xr:uid="{00000000-0005-0000-0000-0000A9080000}"/>
    <cellStyle name="Millares 2 2 2 2 2 2 4 2 2" xfId="17909" xr:uid="{00000000-0005-0000-0000-0000AA080000}"/>
    <cellStyle name="Millares 2 2 2 2 2 2 4 2 2 2" xfId="37624" xr:uid="{00000000-0005-0000-0000-0000AB080000}"/>
    <cellStyle name="Millares 2 2 2 2 2 2 4 2 3" xfId="27767" xr:uid="{00000000-0005-0000-0000-0000AC080000}"/>
    <cellStyle name="Millares 2 2 2 2 2 2 4 3" xfId="12981" xr:uid="{00000000-0005-0000-0000-0000AD080000}"/>
    <cellStyle name="Millares 2 2 2 2 2 2 4 3 2" xfId="32696" xr:uid="{00000000-0005-0000-0000-0000AE080000}"/>
    <cellStyle name="Millares 2 2 2 2 2 2 4 4" xfId="22839" xr:uid="{00000000-0005-0000-0000-0000AF080000}"/>
    <cellStyle name="Millares 2 2 2 2 2 2 5" xfId="5585" xr:uid="{00000000-0005-0000-0000-0000B0080000}"/>
    <cellStyle name="Millares 2 2 2 2 2 2 5 2" xfId="15445" xr:uid="{00000000-0005-0000-0000-0000B1080000}"/>
    <cellStyle name="Millares 2 2 2 2 2 2 5 2 2" xfId="35160" xr:uid="{00000000-0005-0000-0000-0000B2080000}"/>
    <cellStyle name="Millares 2 2 2 2 2 2 5 3" xfId="25303" xr:uid="{00000000-0005-0000-0000-0000B3080000}"/>
    <cellStyle name="Millares 2 2 2 2 2 2 6" xfId="10517" xr:uid="{00000000-0005-0000-0000-0000B4080000}"/>
    <cellStyle name="Millares 2 2 2 2 2 2 6 2" xfId="30232" xr:uid="{00000000-0005-0000-0000-0000B5080000}"/>
    <cellStyle name="Millares 2 2 2 2 2 2 7" xfId="20375" xr:uid="{00000000-0005-0000-0000-0000B6080000}"/>
    <cellStyle name="Millares 2 2 2 2 2 3" xfId="956" xr:uid="{00000000-0005-0000-0000-0000B7080000}"/>
    <cellStyle name="Millares 2 2 2 2 2 3 2" xfId="2192" xr:uid="{00000000-0005-0000-0000-0000B8080000}"/>
    <cellStyle name="Millares 2 2 2 2 2 3 2 2" xfId="4659" xr:uid="{00000000-0005-0000-0000-0000B9080000}"/>
    <cellStyle name="Millares 2 2 2 2 2 3 2 2 2" xfId="9591" xr:uid="{00000000-0005-0000-0000-0000BA080000}"/>
    <cellStyle name="Millares 2 2 2 2 2 3 2 2 2 2" xfId="19451" xr:uid="{00000000-0005-0000-0000-0000BB080000}"/>
    <cellStyle name="Millares 2 2 2 2 2 3 2 2 2 2 2" xfId="39166" xr:uid="{00000000-0005-0000-0000-0000BC080000}"/>
    <cellStyle name="Millares 2 2 2 2 2 3 2 2 2 3" xfId="29309" xr:uid="{00000000-0005-0000-0000-0000BD080000}"/>
    <cellStyle name="Millares 2 2 2 2 2 3 2 2 3" xfId="14523" xr:uid="{00000000-0005-0000-0000-0000BE080000}"/>
    <cellStyle name="Millares 2 2 2 2 2 3 2 2 3 2" xfId="34238" xr:uid="{00000000-0005-0000-0000-0000BF080000}"/>
    <cellStyle name="Millares 2 2 2 2 2 3 2 2 4" xfId="24381" xr:uid="{00000000-0005-0000-0000-0000C0080000}"/>
    <cellStyle name="Millares 2 2 2 2 2 3 2 3" xfId="7127" xr:uid="{00000000-0005-0000-0000-0000C1080000}"/>
    <cellStyle name="Millares 2 2 2 2 2 3 2 3 2" xfId="16987" xr:uid="{00000000-0005-0000-0000-0000C2080000}"/>
    <cellStyle name="Millares 2 2 2 2 2 3 2 3 2 2" xfId="36702" xr:uid="{00000000-0005-0000-0000-0000C3080000}"/>
    <cellStyle name="Millares 2 2 2 2 2 3 2 3 3" xfId="26845" xr:uid="{00000000-0005-0000-0000-0000C4080000}"/>
    <cellStyle name="Millares 2 2 2 2 2 3 2 4" xfId="12059" xr:uid="{00000000-0005-0000-0000-0000C5080000}"/>
    <cellStyle name="Millares 2 2 2 2 2 3 2 4 2" xfId="31774" xr:uid="{00000000-0005-0000-0000-0000C6080000}"/>
    <cellStyle name="Millares 2 2 2 2 2 3 2 5" xfId="21917" xr:uid="{00000000-0005-0000-0000-0000C7080000}"/>
    <cellStyle name="Millares 2 2 2 2 2 3 3" xfId="3427" xr:uid="{00000000-0005-0000-0000-0000C8080000}"/>
    <cellStyle name="Millares 2 2 2 2 2 3 3 2" xfId="8359" xr:uid="{00000000-0005-0000-0000-0000C9080000}"/>
    <cellStyle name="Millares 2 2 2 2 2 3 3 2 2" xfId="18219" xr:uid="{00000000-0005-0000-0000-0000CA080000}"/>
    <cellStyle name="Millares 2 2 2 2 2 3 3 2 2 2" xfId="37934" xr:uid="{00000000-0005-0000-0000-0000CB080000}"/>
    <cellStyle name="Millares 2 2 2 2 2 3 3 2 3" xfId="28077" xr:uid="{00000000-0005-0000-0000-0000CC080000}"/>
    <cellStyle name="Millares 2 2 2 2 2 3 3 3" xfId="13291" xr:uid="{00000000-0005-0000-0000-0000CD080000}"/>
    <cellStyle name="Millares 2 2 2 2 2 3 3 3 2" xfId="33006" xr:uid="{00000000-0005-0000-0000-0000CE080000}"/>
    <cellStyle name="Millares 2 2 2 2 2 3 3 4" xfId="23149" xr:uid="{00000000-0005-0000-0000-0000CF080000}"/>
    <cellStyle name="Millares 2 2 2 2 2 3 4" xfId="5895" xr:uid="{00000000-0005-0000-0000-0000D0080000}"/>
    <cellStyle name="Millares 2 2 2 2 2 3 4 2" xfId="15755" xr:uid="{00000000-0005-0000-0000-0000D1080000}"/>
    <cellStyle name="Millares 2 2 2 2 2 3 4 2 2" xfId="35470" xr:uid="{00000000-0005-0000-0000-0000D2080000}"/>
    <cellStyle name="Millares 2 2 2 2 2 3 4 3" xfId="25613" xr:uid="{00000000-0005-0000-0000-0000D3080000}"/>
    <cellStyle name="Millares 2 2 2 2 2 3 5" xfId="10827" xr:uid="{00000000-0005-0000-0000-0000D4080000}"/>
    <cellStyle name="Millares 2 2 2 2 2 3 5 2" xfId="30542" xr:uid="{00000000-0005-0000-0000-0000D5080000}"/>
    <cellStyle name="Millares 2 2 2 2 2 3 6" xfId="20685" xr:uid="{00000000-0005-0000-0000-0000D6080000}"/>
    <cellStyle name="Millares 2 2 2 2 2 4" xfId="1576" xr:uid="{00000000-0005-0000-0000-0000D7080000}"/>
    <cellStyle name="Millares 2 2 2 2 2 4 2" xfId="4043" xr:uid="{00000000-0005-0000-0000-0000D8080000}"/>
    <cellStyle name="Millares 2 2 2 2 2 4 2 2" xfId="8975" xr:uid="{00000000-0005-0000-0000-0000D9080000}"/>
    <cellStyle name="Millares 2 2 2 2 2 4 2 2 2" xfId="18835" xr:uid="{00000000-0005-0000-0000-0000DA080000}"/>
    <cellStyle name="Millares 2 2 2 2 2 4 2 2 2 2" xfId="38550" xr:uid="{00000000-0005-0000-0000-0000DB080000}"/>
    <cellStyle name="Millares 2 2 2 2 2 4 2 2 3" xfId="28693" xr:uid="{00000000-0005-0000-0000-0000DC080000}"/>
    <cellStyle name="Millares 2 2 2 2 2 4 2 3" xfId="13907" xr:uid="{00000000-0005-0000-0000-0000DD080000}"/>
    <cellStyle name="Millares 2 2 2 2 2 4 2 3 2" xfId="33622" xr:uid="{00000000-0005-0000-0000-0000DE080000}"/>
    <cellStyle name="Millares 2 2 2 2 2 4 2 4" xfId="23765" xr:uid="{00000000-0005-0000-0000-0000DF080000}"/>
    <cellStyle name="Millares 2 2 2 2 2 4 3" xfId="6511" xr:uid="{00000000-0005-0000-0000-0000E0080000}"/>
    <cellStyle name="Millares 2 2 2 2 2 4 3 2" xfId="16371" xr:uid="{00000000-0005-0000-0000-0000E1080000}"/>
    <cellStyle name="Millares 2 2 2 2 2 4 3 2 2" xfId="36086" xr:uid="{00000000-0005-0000-0000-0000E2080000}"/>
    <cellStyle name="Millares 2 2 2 2 2 4 3 3" xfId="26229" xr:uid="{00000000-0005-0000-0000-0000E3080000}"/>
    <cellStyle name="Millares 2 2 2 2 2 4 4" xfId="11443" xr:uid="{00000000-0005-0000-0000-0000E4080000}"/>
    <cellStyle name="Millares 2 2 2 2 2 4 4 2" xfId="31158" xr:uid="{00000000-0005-0000-0000-0000E5080000}"/>
    <cellStyle name="Millares 2 2 2 2 2 4 5" xfId="21301" xr:uid="{00000000-0005-0000-0000-0000E6080000}"/>
    <cellStyle name="Millares 2 2 2 2 2 5" xfId="2811" xr:uid="{00000000-0005-0000-0000-0000E7080000}"/>
    <cellStyle name="Millares 2 2 2 2 2 5 2" xfId="7743" xr:uid="{00000000-0005-0000-0000-0000E8080000}"/>
    <cellStyle name="Millares 2 2 2 2 2 5 2 2" xfId="17603" xr:uid="{00000000-0005-0000-0000-0000E9080000}"/>
    <cellStyle name="Millares 2 2 2 2 2 5 2 2 2" xfId="37318" xr:uid="{00000000-0005-0000-0000-0000EA080000}"/>
    <cellStyle name="Millares 2 2 2 2 2 5 2 3" xfId="27461" xr:uid="{00000000-0005-0000-0000-0000EB080000}"/>
    <cellStyle name="Millares 2 2 2 2 2 5 3" xfId="12675" xr:uid="{00000000-0005-0000-0000-0000EC080000}"/>
    <cellStyle name="Millares 2 2 2 2 2 5 3 2" xfId="32390" xr:uid="{00000000-0005-0000-0000-0000ED080000}"/>
    <cellStyle name="Millares 2 2 2 2 2 5 4" xfId="22533" xr:uid="{00000000-0005-0000-0000-0000EE080000}"/>
    <cellStyle name="Millares 2 2 2 2 2 6" xfId="5279" xr:uid="{00000000-0005-0000-0000-0000EF080000}"/>
    <cellStyle name="Millares 2 2 2 2 2 6 2" xfId="15139" xr:uid="{00000000-0005-0000-0000-0000F0080000}"/>
    <cellStyle name="Millares 2 2 2 2 2 6 2 2" xfId="34854" xr:uid="{00000000-0005-0000-0000-0000F1080000}"/>
    <cellStyle name="Millares 2 2 2 2 2 6 3" xfId="24997" xr:uid="{00000000-0005-0000-0000-0000F2080000}"/>
    <cellStyle name="Millares 2 2 2 2 2 7" xfId="10211" xr:uid="{00000000-0005-0000-0000-0000F3080000}"/>
    <cellStyle name="Millares 2 2 2 2 2 7 2" xfId="29926" xr:uid="{00000000-0005-0000-0000-0000F4080000}"/>
    <cellStyle name="Millares 2 2 2 2 2 8" xfId="20069" xr:uid="{00000000-0005-0000-0000-0000F5080000}"/>
    <cellStyle name="Millares 2 2 2 2 3" xfId="491" xr:uid="{00000000-0005-0000-0000-0000F6080000}"/>
    <cellStyle name="Millares 2 2 2 2 3 2" xfId="1111" xr:uid="{00000000-0005-0000-0000-0000F7080000}"/>
    <cellStyle name="Millares 2 2 2 2 3 2 2" xfId="2346" xr:uid="{00000000-0005-0000-0000-0000F8080000}"/>
    <cellStyle name="Millares 2 2 2 2 3 2 2 2" xfId="4813" xr:uid="{00000000-0005-0000-0000-0000F9080000}"/>
    <cellStyle name="Millares 2 2 2 2 3 2 2 2 2" xfId="9745" xr:uid="{00000000-0005-0000-0000-0000FA080000}"/>
    <cellStyle name="Millares 2 2 2 2 3 2 2 2 2 2" xfId="19605" xr:uid="{00000000-0005-0000-0000-0000FB080000}"/>
    <cellStyle name="Millares 2 2 2 2 3 2 2 2 2 2 2" xfId="39320" xr:uid="{00000000-0005-0000-0000-0000FC080000}"/>
    <cellStyle name="Millares 2 2 2 2 3 2 2 2 2 3" xfId="29463" xr:uid="{00000000-0005-0000-0000-0000FD080000}"/>
    <cellStyle name="Millares 2 2 2 2 3 2 2 2 3" xfId="14677" xr:uid="{00000000-0005-0000-0000-0000FE080000}"/>
    <cellStyle name="Millares 2 2 2 2 3 2 2 2 3 2" xfId="34392" xr:uid="{00000000-0005-0000-0000-0000FF080000}"/>
    <cellStyle name="Millares 2 2 2 2 3 2 2 2 4" xfId="24535" xr:uid="{00000000-0005-0000-0000-000000090000}"/>
    <cellStyle name="Millares 2 2 2 2 3 2 2 3" xfId="7281" xr:uid="{00000000-0005-0000-0000-000001090000}"/>
    <cellStyle name="Millares 2 2 2 2 3 2 2 3 2" xfId="17141" xr:uid="{00000000-0005-0000-0000-000002090000}"/>
    <cellStyle name="Millares 2 2 2 2 3 2 2 3 2 2" xfId="36856" xr:uid="{00000000-0005-0000-0000-000003090000}"/>
    <cellStyle name="Millares 2 2 2 2 3 2 2 3 3" xfId="26999" xr:uid="{00000000-0005-0000-0000-000004090000}"/>
    <cellStyle name="Millares 2 2 2 2 3 2 2 4" xfId="12213" xr:uid="{00000000-0005-0000-0000-000005090000}"/>
    <cellStyle name="Millares 2 2 2 2 3 2 2 4 2" xfId="31928" xr:uid="{00000000-0005-0000-0000-000006090000}"/>
    <cellStyle name="Millares 2 2 2 2 3 2 2 5" xfId="22071" xr:uid="{00000000-0005-0000-0000-000007090000}"/>
    <cellStyle name="Millares 2 2 2 2 3 2 3" xfId="3581" xr:uid="{00000000-0005-0000-0000-000008090000}"/>
    <cellStyle name="Millares 2 2 2 2 3 2 3 2" xfId="8513" xr:uid="{00000000-0005-0000-0000-000009090000}"/>
    <cellStyle name="Millares 2 2 2 2 3 2 3 2 2" xfId="18373" xr:uid="{00000000-0005-0000-0000-00000A090000}"/>
    <cellStyle name="Millares 2 2 2 2 3 2 3 2 2 2" xfId="38088" xr:uid="{00000000-0005-0000-0000-00000B090000}"/>
    <cellStyle name="Millares 2 2 2 2 3 2 3 2 3" xfId="28231" xr:uid="{00000000-0005-0000-0000-00000C090000}"/>
    <cellStyle name="Millares 2 2 2 2 3 2 3 3" xfId="13445" xr:uid="{00000000-0005-0000-0000-00000D090000}"/>
    <cellStyle name="Millares 2 2 2 2 3 2 3 3 2" xfId="33160" xr:uid="{00000000-0005-0000-0000-00000E090000}"/>
    <cellStyle name="Millares 2 2 2 2 3 2 3 4" xfId="23303" xr:uid="{00000000-0005-0000-0000-00000F090000}"/>
    <cellStyle name="Millares 2 2 2 2 3 2 4" xfId="6049" xr:uid="{00000000-0005-0000-0000-000010090000}"/>
    <cellStyle name="Millares 2 2 2 2 3 2 4 2" xfId="15909" xr:uid="{00000000-0005-0000-0000-000011090000}"/>
    <cellStyle name="Millares 2 2 2 2 3 2 4 2 2" xfId="35624" xr:uid="{00000000-0005-0000-0000-000012090000}"/>
    <cellStyle name="Millares 2 2 2 2 3 2 4 3" xfId="25767" xr:uid="{00000000-0005-0000-0000-000013090000}"/>
    <cellStyle name="Millares 2 2 2 2 3 2 5" xfId="10981" xr:uid="{00000000-0005-0000-0000-000014090000}"/>
    <cellStyle name="Millares 2 2 2 2 3 2 5 2" xfId="30696" xr:uid="{00000000-0005-0000-0000-000015090000}"/>
    <cellStyle name="Millares 2 2 2 2 3 2 6" xfId="20839" xr:uid="{00000000-0005-0000-0000-000016090000}"/>
    <cellStyle name="Millares 2 2 2 2 3 3" xfId="1730" xr:uid="{00000000-0005-0000-0000-000017090000}"/>
    <cellStyle name="Millares 2 2 2 2 3 3 2" xfId="4197" xr:uid="{00000000-0005-0000-0000-000018090000}"/>
    <cellStyle name="Millares 2 2 2 2 3 3 2 2" xfId="9129" xr:uid="{00000000-0005-0000-0000-000019090000}"/>
    <cellStyle name="Millares 2 2 2 2 3 3 2 2 2" xfId="18989" xr:uid="{00000000-0005-0000-0000-00001A090000}"/>
    <cellStyle name="Millares 2 2 2 2 3 3 2 2 2 2" xfId="38704" xr:uid="{00000000-0005-0000-0000-00001B090000}"/>
    <cellStyle name="Millares 2 2 2 2 3 3 2 2 3" xfId="28847" xr:uid="{00000000-0005-0000-0000-00001C090000}"/>
    <cellStyle name="Millares 2 2 2 2 3 3 2 3" xfId="14061" xr:uid="{00000000-0005-0000-0000-00001D090000}"/>
    <cellStyle name="Millares 2 2 2 2 3 3 2 3 2" xfId="33776" xr:uid="{00000000-0005-0000-0000-00001E090000}"/>
    <cellStyle name="Millares 2 2 2 2 3 3 2 4" xfId="23919" xr:uid="{00000000-0005-0000-0000-00001F090000}"/>
    <cellStyle name="Millares 2 2 2 2 3 3 3" xfId="6665" xr:uid="{00000000-0005-0000-0000-000020090000}"/>
    <cellStyle name="Millares 2 2 2 2 3 3 3 2" xfId="16525" xr:uid="{00000000-0005-0000-0000-000021090000}"/>
    <cellStyle name="Millares 2 2 2 2 3 3 3 2 2" xfId="36240" xr:uid="{00000000-0005-0000-0000-000022090000}"/>
    <cellStyle name="Millares 2 2 2 2 3 3 3 3" xfId="26383" xr:uid="{00000000-0005-0000-0000-000023090000}"/>
    <cellStyle name="Millares 2 2 2 2 3 3 4" xfId="11597" xr:uid="{00000000-0005-0000-0000-000024090000}"/>
    <cellStyle name="Millares 2 2 2 2 3 3 4 2" xfId="31312" xr:uid="{00000000-0005-0000-0000-000025090000}"/>
    <cellStyle name="Millares 2 2 2 2 3 3 5" xfId="21455" xr:uid="{00000000-0005-0000-0000-000026090000}"/>
    <cellStyle name="Millares 2 2 2 2 3 4" xfId="2965" xr:uid="{00000000-0005-0000-0000-000027090000}"/>
    <cellStyle name="Millares 2 2 2 2 3 4 2" xfId="7897" xr:uid="{00000000-0005-0000-0000-000028090000}"/>
    <cellStyle name="Millares 2 2 2 2 3 4 2 2" xfId="17757" xr:uid="{00000000-0005-0000-0000-000029090000}"/>
    <cellStyle name="Millares 2 2 2 2 3 4 2 2 2" xfId="37472" xr:uid="{00000000-0005-0000-0000-00002A090000}"/>
    <cellStyle name="Millares 2 2 2 2 3 4 2 3" xfId="27615" xr:uid="{00000000-0005-0000-0000-00002B090000}"/>
    <cellStyle name="Millares 2 2 2 2 3 4 3" xfId="12829" xr:uid="{00000000-0005-0000-0000-00002C090000}"/>
    <cellStyle name="Millares 2 2 2 2 3 4 3 2" xfId="32544" xr:uid="{00000000-0005-0000-0000-00002D090000}"/>
    <cellStyle name="Millares 2 2 2 2 3 4 4" xfId="22687" xr:uid="{00000000-0005-0000-0000-00002E090000}"/>
    <cellStyle name="Millares 2 2 2 2 3 5" xfId="5433" xr:uid="{00000000-0005-0000-0000-00002F090000}"/>
    <cellStyle name="Millares 2 2 2 2 3 5 2" xfId="15293" xr:uid="{00000000-0005-0000-0000-000030090000}"/>
    <cellStyle name="Millares 2 2 2 2 3 5 2 2" xfId="35008" xr:uid="{00000000-0005-0000-0000-000031090000}"/>
    <cellStyle name="Millares 2 2 2 2 3 5 3" xfId="25151" xr:uid="{00000000-0005-0000-0000-000032090000}"/>
    <cellStyle name="Millares 2 2 2 2 3 6" xfId="10365" xr:uid="{00000000-0005-0000-0000-000033090000}"/>
    <cellStyle name="Millares 2 2 2 2 3 6 2" xfId="30080" xr:uid="{00000000-0005-0000-0000-000034090000}"/>
    <cellStyle name="Millares 2 2 2 2 3 7" xfId="20223" xr:uid="{00000000-0005-0000-0000-000035090000}"/>
    <cellStyle name="Millares 2 2 2 2 4" xfId="804" xr:uid="{00000000-0005-0000-0000-000036090000}"/>
    <cellStyle name="Millares 2 2 2 2 4 2" xfId="2040" xr:uid="{00000000-0005-0000-0000-000037090000}"/>
    <cellStyle name="Millares 2 2 2 2 4 2 2" xfId="4507" xr:uid="{00000000-0005-0000-0000-000038090000}"/>
    <cellStyle name="Millares 2 2 2 2 4 2 2 2" xfId="9439" xr:uid="{00000000-0005-0000-0000-000039090000}"/>
    <cellStyle name="Millares 2 2 2 2 4 2 2 2 2" xfId="19299" xr:uid="{00000000-0005-0000-0000-00003A090000}"/>
    <cellStyle name="Millares 2 2 2 2 4 2 2 2 2 2" xfId="39014" xr:uid="{00000000-0005-0000-0000-00003B090000}"/>
    <cellStyle name="Millares 2 2 2 2 4 2 2 2 3" xfId="29157" xr:uid="{00000000-0005-0000-0000-00003C090000}"/>
    <cellStyle name="Millares 2 2 2 2 4 2 2 3" xfId="14371" xr:uid="{00000000-0005-0000-0000-00003D090000}"/>
    <cellStyle name="Millares 2 2 2 2 4 2 2 3 2" xfId="34086" xr:uid="{00000000-0005-0000-0000-00003E090000}"/>
    <cellStyle name="Millares 2 2 2 2 4 2 2 4" xfId="24229" xr:uid="{00000000-0005-0000-0000-00003F090000}"/>
    <cellStyle name="Millares 2 2 2 2 4 2 3" xfId="6975" xr:uid="{00000000-0005-0000-0000-000040090000}"/>
    <cellStyle name="Millares 2 2 2 2 4 2 3 2" xfId="16835" xr:uid="{00000000-0005-0000-0000-000041090000}"/>
    <cellStyle name="Millares 2 2 2 2 4 2 3 2 2" xfId="36550" xr:uid="{00000000-0005-0000-0000-000042090000}"/>
    <cellStyle name="Millares 2 2 2 2 4 2 3 3" xfId="26693" xr:uid="{00000000-0005-0000-0000-000043090000}"/>
    <cellStyle name="Millares 2 2 2 2 4 2 4" xfId="11907" xr:uid="{00000000-0005-0000-0000-000044090000}"/>
    <cellStyle name="Millares 2 2 2 2 4 2 4 2" xfId="31622" xr:uid="{00000000-0005-0000-0000-000045090000}"/>
    <cellStyle name="Millares 2 2 2 2 4 2 5" xfId="21765" xr:uid="{00000000-0005-0000-0000-000046090000}"/>
    <cellStyle name="Millares 2 2 2 2 4 3" xfId="3275" xr:uid="{00000000-0005-0000-0000-000047090000}"/>
    <cellStyle name="Millares 2 2 2 2 4 3 2" xfId="8207" xr:uid="{00000000-0005-0000-0000-000048090000}"/>
    <cellStyle name="Millares 2 2 2 2 4 3 2 2" xfId="18067" xr:uid="{00000000-0005-0000-0000-000049090000}"/>
    <cellStyle name="Millares 2 2 2 2 4 3 2 2 2" xfId="37782" xr:uid="{00000000-0005-0000-0000-00004A090000}"/>
    <cellStyle name="Millares 2 2 2 2 4 3 2 3" xfId="27925" xr:uid="{00000000-0005-0000-0000-00004B090000}"/>
    <cellStyle name="Millares 2 2 2 2 4 3 3" xfId="13139" xr:uid="{00000000-0005-0000-0000-00004C090000}"/>
    <cellStyle name="Millares 2 2 2 2 4 3 3 2" xfId="32854" xr:uid="{00000000-0005-0000-0000-00004D090000}"/>
    <cellStyle name="Millares 2 2 2 2 4 3 4" xfId="22997" xr:uid="{00000000-0005-0000-0000-00004E090000}"/>
    <cellStyle name="Millares 2 2 2 2 4 4" xfId="5743" xr:uid="{00000000-0005-0000-0000-00004F090000}"/>
    <cellStyle name="Millares 2 2 2 2 4 4 2" xfId="15603" xr:uid="{00000000-0005-0000-0000-000050090000}"/>
    <cellStyle name="Millares 2 2 2 2 4 4 2 2" xfId="35318" xr:uid="{00000000-0005-0000-0000-000051090000}"/>
    <cellStyle name="Millares 2 2 2 2 4 4 3" xfId="25461" xr:uid="{00000000-0005-0000-0000-000052090000}"/>
    <cellStyle name="Millares 2 2 2 2 4 5" xfId="10675" xr:uid="{00000000-0005-0000-0000-000053090000}"/>
    <cellStyle name="Millares 2 2 2 2 4 5 2" xfId="30390" xr:uid="{00000000-0005-0000-0000-000054090000}"/>
    <cellStyle name="Millares 2 2 2 2 4 6" xfId="20533" xr:uid="{00000000-0005-0000-0000-000055090000}"/>
    <cellStyle name="Millares 2 2 2 2 5" xfId="1424" xr:uid="{00000000-0005-0000-0000-000056090000}"/>
    <cellStyle name="Millares 2 2 2 2 5 2" xfId="3891" xr:uid="{00000000-0005-0000-0000-000057090000}"/>
    <cellStyle name="Millares 2 2 2 2 5 2 2" xfId="8823" xr:uid="{00000000-0005-0000-0000-000058090000}"/>
    <cellStyle name="Millares 2 2 2 2 5 2 2 2" xfId="18683" xr:uid="{00000000-0005-0000-0000-000059090000}"/>
    <cellStyle name="Millares 2 2 2 2 5 2 2 2 2" xfId="38398" xr:uid="{00000000-0005-0000-0000-00005A090000}"/>
    <cellStyle name="Millares 2 2 2 2 5 2 2 3" xfId="28541" xr:uid="{00000000-0005-0000-0000-00005B090000}"/>
    <cellStyle name="Millares 2 2 2 2 5 2 3" xfId="13755" xr:uid="{00000000-0005-0000-0000-00005C090000}"/>
    <cellStyle name="Millares 2 2 2 2 5 2 3 2" xfId="33470" xr:uid="{00000000-0005-0000-0000-00005D090000}"/>
    <cellStyle name="Millares 2 2 2 2 5 2 4" xfId="23613" xr:uid="{00000000-0005-0000-0000-00005E090000}"/>
    <cellStyle name="Millares 2 2 2 2 5 3" xfId="6359" xr:uid="{00000000-0005-0000-0000-00005F090000}"/>
    <cellStyle name="Millares 2 2 2 2 5 3 2" xfId="16219" xr:uid="{00000000-0005-0000-0000-000060090000}"/>
    <cellStyle name="Millares 2 2 2 2 5 3 2 2" xfId="35934" xr:uid="{00000000-0005-0000-0000-000061090000}"/>
    <cellStyle name="Millares 2 2 2 2 5 3 3" xfId="26077" xr:uid="{00000000-0005-0000-0000-000062090000}"/>
    <cellStyle name="Millares 2 2 2 2 5 4" xfId="11291" xr:uid="{00000000-0005-0000-0000-000063090000}"/>
    <cellStyle name="Millares 2 2 2 2 5 4 2" xfId="31006" xr:uid="{00000000-0005-0000-0000-000064090000}"/>
    <cellStyle name="Millares 2 2 2 2 5 5" xfId="21149" xr:uid="{00000000-0005-0000-0000-000065090000}"/>
    <cellStyle name="Millares 2 2 2 2 6" xfId="2659" xr:uid="{00000000-0005-0000-0000-000066090000}"/>
    <cellStyle name="Millares 2 2 2 2 6 2" xfId="7591" xr:uid="{00000000-0005-0000-0000-000067090000}"/>
    <cellStyle name="Millares 2 2 2 2 6 2 2" xfId="17451" xr:uid="{00000000-0005-0000-0000-000068090000}"/>
    <cellStyle name="Millares 2 2 2 2 6 2 2 2" xfId="37166" xr:uid="{00000000-0005-0000-0000-000069090000}"/>
    <cellStyle name="Millares 2 2 2 2 6 2 3" xfId="27309" xr:uid="{00000000-0005-0000-0000-00006A090000}"/>
    <cellStyle name="Millares 2 2 2 2 6 3" xfId="12523" xr:uid="{00000000-0005-0000-0000-00006B090000}"/>
    <cellStyle name="Millares 2 2 2 2 6 3 2" xfId="32238" xr:uid="{00000000-0005-0000-0000-00006C090000}"/>
    <cellStyle name="Millares 2 2 2 2 6 4" xfId="22381" xr:uid="{00000000-0005-0000-0000-00006D090000}"/>
    <cellStyle name="Millares 2 2 2 2 7" xfId="5127" xr:uid="{00000000-0005-0000-0000-00006E090000}"/>
    <cellStyle name="Millares 2 2 2 2 7 2" xfId="14987" xr:uid="{00000000-0005-0000-0000-00006F090000}"/>
    <cellStyle name="Millares 2 2 2 2 7 2 2" xfId="34702" xr:uid="{00000000-0005-0000-0000-000070090000}"/>
    <cellStyle name="Millares 2 2 2 2 7 3" xfId="24845" xr:uid="{00000000-0005-0000-0000-000071090000}"/>
    <cellStyle name="Millares 2 2 2 2 8" xfId="10059" xr:uid="{00000000-0005-0000-0000-000072090000}"/>
    <cellStyle name="Millares 2 2 2 2 8 2" xfId="29774" xr:uid="{00000000-0005-0000-0000-000073090000}"/>
    <cellStyle name="Millares 2 2 2 2 9" xfId="19917" xr:uid="{00000000-0005-0000-0000-000074090000}"/>
    <cellStyle name="Millares 2 2 2 3" xfId="253" xr:uid="{00000000-0005-0000-0000-000075090000}"/>
    <cellStyle name="Millares 2 2 2 3 2" xfId="567" xr:uid="{00000000-0005-0000-0000-000076090000}"/>
    <cellStyle name="Millares 2 2 2 3 2 2" xfId="1187" xr:uid="{00000000-0005-0000-0000-000077090000}"/>
    <cellStyle name="Millares 2 2 2 3 2 2 2" xfId="2422" xr:uid="{00000000-0005-0000-0000-000078090000}"/>
    <cellStyle name="Millares 2 2 2 3 2 2 2 2" xfId="4889" xr:uid="{00000000-0005-0000-0000-000079090000}"/>
    <cellStyle name="Millares 2 2 2 3 2 2 2 2 2" xfId="9821" xr:uid="{00000000-0005-0000-0000-00007A090000}"/>
    <cellStyle name="Millares 2 2 2 3 2 2 2 2 2 2" xfId="19681" xr:uid="{00000000-0005-0000-0000-00007B090000}"/>
    <cellStyle name="Millares 2 2 2 3 2 2 2 2 2 2 2" xfId="39396" xr:uid="{00000000-0005-0000-0000-00007C090000}"/>
    <cellStyle name="Millares 2 2 2 3 2 2 2 2 2 3" xfId="29539" xr:uid="{00000000-0005-0000-0000-00007D090000}"/>
    <cellStyle name="Millares 2 2 2 3 2 2 2 2 3" xfId="14753" xr:uid="{00000000-0005-0000-0000-00007E090000}"/>
    <cellStyle name="Millares 2 2 2 3 2 2 2 2 3 2" xfId="34468" xr:uid="{00000000-0005-0000-0000-00007F090000}"/>
    <cellStyle name="Millares 2 2 2 3 2 2 2 2 4" xfId="24611" xr:uid="{00000000-0005-0000-0000-000080090000}"/>
    <cellStyle name="Millares 2 2 2 3 2 2 2 3" xfId="7357" xr:uid="{00000000-0005-0000-0000-000081090000}"/>
    <cellStyle name="Millares 2 2 2 3 2 2 2 3 2" xfId="17217" xr:uid="{00000000-0005-0000-0000-000082090000}"/>
    <cellStyle name="Millares 2 2 2 3 2 2 2 3 2 2" xfId="36932" xr:uid="{00000000-0005-0000-0000-000083090000}"/>
    <cellStyle name="Millares 2 2 2 3 2 2 2 3 3" xfId="27075" xr:uid="{00000000-0005-0000-0000-000084090000}"/>
    <cellStyle name="Millares 2 2 2 3 2 2 2 4" xfId="12289" xr:uid="{00000000-0005-0000-0000-000085090000}"/>
    <cellStyle name="Millares 2 2 2 3 2 2 2 4 2" xfId="32004" xr:uid="{00000000-0005-0000-0000-000086090000}"/>
    <cellStyle name="Millares 2 2 2 3 2 2 2 5" xfId="22147" xr:uid="{00000000-0005-0000-0000-000087090000}"/>
    <cellStyle name="Millares 2 2 2 3 2 2 3" xfId="3657" xr:uid="{00000000-0005-0000-0000-000088090000}"/>
    <cellStyle name="Millares 2 2 2 3 2 2 3 2" xfId="8589" xr:uid="{00000000-0005-0000-0000-000089090000}"/>
    <cellStyle name="Millares 2 2 2 3 2 2 3 2 2" xfId="18449" xr:uid="{00000000-0005-0000-0000-00008A090000}"/>
    <cellStyle name="Millares 2 2 2 3 2 2 3 2 2 2" xfId="38164" xr:uid="{00000000-0005-0000-0000-00008B090000}"/>
    <cellStyle name="Millares 2 2 2 3 2 2 3 2 3" xfId="28307" xr:uid="{00000000-0005-0000-0000-00008C090000}"/>
    <cellStyle name="Millares 2 2 2 3 2 2 3 3" xfId="13521" xr:uid="{00000000-0005-0000-0000-00008D090000}"/>
    <cellStyle name="Millares 2 2 2 3 2 2 3 3 2" xfId="33236" xr:uid="{00000000-0005-0000-0000-00008E090000}"/>
    <cellStyle name="Millares 2 2 2 3 2 2 3 4" xfId="23379" xr:uid="{00000000-0005-0000-0000-00008F090000}"/>
    <cellStyle name="Millares 2 2 2 3 2 2 4" xfId="6125" xr:uid="{00000000-0005-0000-0000-000090090000}"/>
    <cellStyle name="Millares 2 2 2 3 2 2 4 2" xfId="15985" xr:uid="{00000000-0005-0000-0000-000091090000}"/>
    <cellStyle name="Millares 2 2 2 3 2 2 4 2 2" xfId="35700" xr:uid="{00000000-0005-0000-0000-000092090000}"/>
    <cellStyle name="Millares 2 2 2 3 2 2 4 3" xfId="25843" xr:uid="{00000000-0005-0000-0000-000093090000}"/>
    <cellStyle name="Millares 2 2 2 3 2 2 5" xfId="11057" xr:uid="{00000000-0005-0000-0000-000094090000}"/>
    <cellStyle name="Millares 2 2 2 3 2 2 5 2" xfId="30772" xr:uid="{00000000-0005-0000-0000-000095090000}"/>
    <cellStyle name="Millares 2 2 2 3 2 2 6" xfId="20915" xr:uid="{00000000-0005-0000-0000-000096090000}"/>
    <cellStyle name="Millares 2 2 2 3 2 3" xfId="1806" xr:uid="{00000000-0005-0000-0000-000097090000}"/>
    <cellStyle name="Millares 2 2 2 3 2 3 2" xfId="4273" xr:uid="{00000000-0005-0000-0000-000098090000}"/>
    <cellStyle name="Millares 2 2 2 3 2 3 2 2" xfId="9205" xr:uid="{00000000-0005-0000-0000-000099090000}"/>
    <cellStyle name="Millares 2 2 2 3 2 3 2 2 2" xfId="19065" xr:uid="{00000000-0005-0000-0000-00009A090000}"/>
    <cellStyle name="Millares 2 2 2 3 2 3 2 2 2 2" xfId="38780" xr:uid="{00000000-0005-0000-0000-00009B090000}"/>
    <cellStyle name="Millares 2 2 2 3 2 3 2 2 3" xfId="28923" xr:uid="{00000000-0005-0000-0000-00009C090000}"/>
    <cellStyle name="Millares 2 2 2 3 2 3 2 3" xfId="14137" xr:uid="{00000000-0005-0000-0000-00009D090000}"/>
    <cellStyle name="Millares 2 2 2 3 2 3 2 3 2" xfId="33852" xr:uid="{00000000-0005-0000-0000-00009E090000}"/>
    <cellStyle name="Millares 2 2 2 3 2 3 2 4" xfId="23995" xr:uid="{00000000-0005-0000-0000-00009F090000}"/>
    <cellStyle name="Millares 2 2 2 3 2 3 3" xfId="6741" xr:uid="{00000000-0005-0000-0000-0000A0090000}"/>
    <cellStyle name="Millares 2 2 2 3 2 3 3 2" xfId="16601" xr:uid="{00000000-0005-0000-0000-0000A1090000}"/>
    <cellStyle name="Millares 2 2 2 3 2 3 3 2 2" xfId="36316" xr:uid="{00000000-0005-0000-0000-0000A2090000}"/>
    <cellStyle name="Millares 2 2 2 3 2 3 3 3" xfId="26459" xr:uid="{00000000-0005-0000-0000-0000A3090000}"/>
    <cellStyle name="Millares 2 2 2 3 2 3 4" xfId="11673" xr:uid="{00000000-0005-0000-0000-0000A4090000}"/>
    <cellStyle name="Millares 2 2 2 3 2 3 4 2" xfId="31388" xr:uid="{00000000-0005-0000-0000-0000A5090000}"/>
    <cellStyle name="Millares 2 2 2 3 2 3 5" xfId="21531" xr:uid="{00000000-0005-0000-0000-0000A6090000}"/>
    <cellStyle name="Millares 2 2 2 3 2 4" xfId="3041" xr:uid="{00000000-0005-0000-0000-0000A7090000}"/>
    <cellStyle name="Millares 2 2 2 3 2 4 2" xfId="7973" xr:uid="{00000000-0005-0000-0000-0000A8090000}"/>
    <cellStyle name="Millares 2 2 2 3 2 4 2 2" xfId="17833" xr:uid="{00000000-0005-0000-0000-0000A9090000}"/>
    <cellStyle name="Millares 2 2 2 3 2 4 2 2 2" xfId="37548" xr:uid="{00000000-0005-0000-0000-0000AA090000}"/>
    <cellStyle name="Millares 2 2 2 3 2 4 2 3" xfId="27691" xr:uid="{00000000-0005-0000-0000-0000AB090000}"/>
    <cellStyle name="Millares 2 2 2 3 2 4 3" xfId="12905" xr:uid="{00000000-0005-0000-0000-0000AC090000}"/>
    <cellStyle name="Millares 2 2 2 3 2 4 3 2" xfId="32620" xr:uid="{00000000-0005-0000-0000-0000AD090000}"/>
    <cellStyle name="Millares 2 2 2 3 2 4 4" xfId="22763" xr:uid="{00000000-0005-0000-0000-0000AE090000}"/>
    <cellStyle name="Millares 2 2 2 3 2 5" xfId="5509" xr:uid="{00000000-0005-0000-0000-0000AF090000}"/>
    <cellStyle name="Millares 2 2 2 3 2 5 2" xfId="15369" xr:uid="{00000000-0005-0000-0000-0000B0090000}"/>
    <cellStyle name="Millares 2 2 2 3 2 5 2 2" xfId="35084" xr:uid="{00000000-0005-0000-0000-0000B1090000}"/>
    <cellStyle name="Millares 2 2 2 3 2 5 3" xfId="25227" xr:uid="{00000000-0005-0000-0000-0000B2090000}"/>
    <cellStyle name="Millares 2 2 2 3 2 6" xfId="10441" xr:uid="{00000000-0005-0000-0000-0000B3090000}"/>
    <cellStyle name="Millares 2 2 2 3 2 6 2" xfId="30156" xr:uid="{00000000-0005-0000-0000-0000B4090000}"/>
    <cellStyle name="Millares 2 2 2 3 2 7" xfId="20299" xr:uid="{00000000-0005-0000-0000-0000B5090000}"/>
    <cellStyle name="Millares 2 2 2 3 3" xfId="880" xr:uid="{00000000-0005-0000-0000-0000B6090000}"/>
    <cellStyle name="Millares 2 2 2 3 3 2" xfId="2116" xr:uid="{00000000-0005-0000-0000-0000B7090000}"/>
    <cellStyle name="Millares 2 2 2 3 3 2 2" xfId="4583" xr:uid="{00000000-0005-0000-0000-0000B8090000}"/>
    <cellStyle name="Millares 2 2 2 3 3 2 2 2" xfId="9515" xr:uid="{00000000-0005-0000-0000-0000B9090000}"/>
    <cellStyle name="Millares 2 2 2 3 3 2 2 2 2" xfId="19375" xr:uid="{00000000-0005-0000-0000-0000BA090000}"/>
    <cellStyle name="Millares 2 2 2 3 3 2 2 2 2 2" xfId="39090" xr:uid="{00000000-0005-0000-0000-0000BB090000}"/>
    <cellStyle name="Millares 2 2 2 3 3 2 2 2 3" xfId="29233" xr:uid="{00000000-0005-0000-0000-0000BC090000}"/>
    <cellStyle name="Millares 2 2 2 3 3 2 2 3" xfId="14447" xr:uid="{00000000-0005-0000-0000-0000BD090000}"/>
    <cellStyle name="Millares 2 2 2 3 3 2 2 3 2" xfId="34162" xr:uid="{00000000-0005-0000-0000-0000BE090000}"/>
    <cellStyle name="Millares 2 2 2 3 3 2 2 4" xfId="24305" xr:uid="{00000000-0005-0000-0000-0000BF090000}"/>
    <cellStyle name="Millares 2 2 2 3 3 2 3" xfId="7051" xr:uid="{00000000-0005-0000-0000-0000C0090000}"/>
    <cellStyle name="Millares 2 2 2 3 3 2 3 2" xfId="16911" xr:uid="{00000000-0005-0000-0000-0000C1090000}"/>
    <cellStyle name="Millares 2 2 2 3 3 2 3 2 2" xfId="36626" xr:uid="{00000000-0005-0000-0000-0000C2090000}"/>
    <cellStyle name="Millares 2 2 2 3 3 2 3 3" xfId="26769" xr:uid="{00000000-0005-0000-0000-0000C3090000}"/>
    <cellStyle name="Millares 2 2 2 3 3 2 4" xfId="11983" xr:uid="{00000000-0005-0000-0000-0000C4090000}"/>
    <cellStyle name="Millares 2 2 2 3 3 2 4 2" xfId="31698" xr:uid="{00000000-0005-0000-0000-0000C5090000}"/>
    <cellStyle name="Millares 2 2 2 3 3 2 5" xfId="21841" xr:uid="{00000000-0005-0000-0000-0000C6090000}"/>
    <cellStyle name="Millares 2 2 2 3 3 3" xfId="3351" xr:uid="{00000000-0005-0000-0000-0000C7090000}"/>
    <cellStyle name="Millares 2 2 2 3 3 3 2" xfId="8283" xr:uid="{00000000-0005-0000-0000-0000C8090000}"/>
    <cellStyle name="Millares 2 2 2 3 3 3 2 2" xfId="18143" xr:uid="{00000000-0005-0000-0000-0000C9090000}"/>
    <cellStyle name="Millares 2 2 2 3 3 3 2 2 2" xfId="37858" xr:uid="{00000000-0005-0000-0000-0000CA090000}"/>
    <cellStyle name="Millares 2 2 2 3 3 3 2 3" xfId="28001" xr:uid="{00000000-0005-0000-0000-0000CB090000}"/>
    <cellStyle name="Millares 2 2 2 3 3 3 3" xfId="13215" xr:uid="{00000000-0005-0000-0000-0000CC090000}"/>
    <cellStyle name="Millares 2 2 2 3 3 3 3 2" xfId="32930" xr:uid="{00000000-0005-0000-0000-0000CD090000}"/>
    <cellStyle name="Millares 2 2 2 3 3 3 4" xfId="23073" xr:uid="{00000000-0005-0000-0000-0000CE090000}"/>
    <cellStyle name="Millares 2 2 2 3 3 4" xfId="5819" xr:uid="{00000000-0005-0000-0000-0000CF090000}"/>
    <cellStyle name="Millares 2 2 2 3 3 4 2" xfId="15679" xr:uid="{00000000-0005-0000-0000-0000D0090000}"/>
    <cellStyle name="Millares 2 2 2 3 3 4 2 2" xfId="35394" xr:uid="{00000000-0005-0000-0000-0000D1090000}"/>
    <cellStyle name="Millares 2 2 2 3 3 4 3" xfId="25537" xr:uid="{00000000-0005-0000-0000-0000D2090000}"/>
    <cellStyle name="Millares 2 2 2 3 3 5" xfId="10751" xr:uid="{00000000-0005-0000-0000-0000D3090000}"/>
    <cellStyle name="Millares 2 2 2 3 3 5 2" xfId="30466" xr:uid="{00000000-0005-0000-0000-0000D4090000}"/>
    <cellStyle name="Millares 2 2 2 3 3 6" xfId="20609" xr:uid="{00000000-0005-0000-0000-0000D5090000}"/>
    <cellStyle name="Millares 2 2 2 3 4" xfId="1500" xr:uid="{00000000-0005-0000-0000-0000D6090000}"/>
    <cellStyle name="Millares 2 2 2 3 4 2" xfId="3967" xr:uid="{00000000-0005-0000-0000-0000D7090000}"/>
    <cellStyle name="Millares 2 2 2 3 4 2 2" xfId="8899" xr:uid="{00000000-0005-0000-0000-0000D8090000}"/>
    <cellStyle name="Millares 2 2 2 3 4 2 2 2" xfId="18759" xr:uid="{00000000-0005-0000-0000-0000D9090000}"/>
    <cellStyle name="Millares 2 2 2 3 4 2 2 2 2" xfId="38474" xr:uid="{00000000-0005-0000-0000-0000DA090000}"/>
    <cellStyle name="Millares 2 2 2 3 4 2 2 3" xfId="28617" xr:uid="{00000000-0005-0000-0000-0000DB090000}"/>
    <cellStyle name="Millares 2 2 2 3 4 2 3" xfId="13831" xr:uid="{00000000-0005-0000-0000-0000DC090000}"/>
    <cellStyle name="Millares 2 2 2 3 4 2 3 2" xfId="33546" xr:uid="{00000000-0005-0000-0000-0000DD090000}"/>
    <cellStyle name="Millares 2 2 2 3 4 2 4" xfId="23689" xr:uid="{00000000-0005-0000-0000-0000DE090000}"/>
    <cellStyle name="Millares 2 2 2 3 4 3" xfId="6435" xr:uid="{00000000-0005-0000-0000-0000DF090000}"/>
    <cellStyle name="Millares 2 2 2 3 4 3 2" xfId="16295" xr:uid="{00000000-0005-0000-0000-0000E0090000}"/>
    <cellStyle name="Millares 2 2 2 3 4 3 2 2" xfId="36010" xr:uid="{00000000-0005-0000-0000-0000E1090000}"/>
    <cellStyle name="Millares 2 2 2 3 4 3 3" xfId="26153" xr:uid="{00000000-0005-0000-0000-0000E2090000}"/>
    <cellStyle name="Millares 2 2 2 3 4 4" xfId="11367" xr:uid="{00000000-0005-0000-0000-0000E3090000}"/>
    <cellStyle name="Millares 2 2 2 3 4 4 2" xfId="31082" xr:uid="{00000000-0005-0000-0000-0000E4090000}"/>
    <cellStyle name="Millares 2 2 2 3 4 5" xfId="21225" xr:uid="{00000000-0005-0000-0000-0000E5090000}"/>
    <cellStyle name="Millares 2 2 2 3 5" xfId="2735" xr:uid="{00000000-0005-0000-0000-0000E6090000}"/>
    <cellStyle name="Millares 2 2 2 3 5 2" xfId="7667" xr:uid="{00000000-0005-0000-0000-0000E7090000}"/>
    <cellStyle name="Millares 2 2 2 3 5 2 2" xfId="17527" xr:uid="{00000000-0005-0000-0000-0000E8090000}"/>
    <cellStyle name="Millares 2 2 2 3 5 2 2 2" xfId="37242" xr:uid="{00000000-0005-0000-0000-0000E9090000}"/>
    <cellStyle name="Millares 2 2 2 3 5 2 3" xfId="27385" xr:uid="{00000000-0005-0000-0000-0000EA090000}"/>
    <cellStyle name="Millares 2 2 2 3 5 3" xfId="12599" xr:uid="{00000000-0005-0000-0000-0000EB090000}"/>
    <cellStyle name="Millares 2 2 2 3 5 3 2" xfId="32314" xr:uid="{00000000-0005-0000-0000-0000EC090000}"/>
    <cellStyle name="Millares 2 2 2 3 5 4" xfId="22457" xr:uid="{00000000-0005-0000-0000-0000ED090000}"/>
    <cellStyle name="Millares 2 2 2 3 6" xfId="5203" xr:uid="{00000000-0005-0000-0000-0000EE090000}"/>
    <cellStyle name="Millares 2 2 2 3 6 2" xfId="15063" xr:uid="{00000000-0005-0000-0000-0000EF090000}"/>
    <cellStyle name="Millares 2 2 2 3 6 2 2" xfId="34778" xr:uid="{00000000-0005-0000-0000-0000F0090000}"/>
    <cellStyle name="Millares 2 2 2 3 6 3" xfId="24921" xr:uid="{00000000-0005-0000-0000-0000F1090000}"/>
    <cellStyle name="Millares 2 2 2 3 7" xfId="10135" xr:uid="{00000000-0005-0000-0000-0000F2090000}"/>
    <cellStyle name="Millares 2 2 2 3 7 2" xfId="29850" xr:uid="{00000000-0005-0000-0000-0000F3090000}"/>
    <cellStyle name="Millares 2 2 2 3 8" xfId="19993" xr:uid="{00000000-0005-0000-0000-0000F4090000}"/>
    <cellStyle name="Millares 2 2 2 4" xfId="415" xr:uid="{00000000-0005-0000-0000-0000F5090000}"/>
    <cellStyle name="Millares 2 2 2 4 2" xfId="1035" xr:uid="{00000000-0005-0000-0000-0000F6090000}"/>
    <cellStyle name="Millares 2 2 2 4 2 2" xfId="2270" xr:uid="{00000000-0005-0000-0000-0000F7090000}"/>
    <cellStyle name="Millares 2 2 2 4 2 2 2" xfId="4737" xr:uid="{00000000-0005-0000-0000-0000F8090000}"/>
    <cellStyle name="Millares 2 2 2 4 2 2 2 2" xfId="9669" xr:uid="{00000000-0005-0000-0000-0000F9090000}"/>
    <cellStyle name="Millares 2 2 2 4 2 2 2 2 2" xfId="19529" xr:uid="{00000000-0005-0000-0000-0000FA090000}"/>
    <cellStyle name="Millares 2 2 2 4 2 2 2 2 2 2" xfId="39244" xr:uid="{00000000-0005-0000-0000-0000FB090000}"/>
    <cellStyle name="Millares 2 2 2 4 2 2 2 2 3" xfId="29387" xr:uid="{00000000-0005-0000-0000-0000FC090000}"/>
    <cellStyle name="Millares 2 2 2 4 2 2 2 3" xfId="14601" xr:uid="{00000000-0005-0000-0000-0000FD090000}"/>
    <cellStyle name="Millares 2 2 2 4 2 2 2 3 2" xfId="34316" xr:uid="{00000000-0005-0000-0000-0000FE090000}"/>
    <cellStyle name="Millares 2 2 2 4 2 2 2 4" xfId="24459" xr:uid="{00000000-0005-0000-0000-0000FF090000}"/>
    <cellStyle name="Millares 2 2 2 4 2 2 3" xfId="7205" xr:uid="{00000000-0005-0000-0000-0000000A0000}"/>
    <cellStyle name="Millares 2 2 2 4 2 2 3 2" xfId="17065" xr:uid="{00000000-0005-0000-0000-0000010A0000}"/>
    <cellStyle name="Millares 2 2 2 4 2 2 3 2 2" xfId="36780" xr:uid="{00000000-0005-0000-0000-0000020A0000}"/>
    <cellStyle name="Millares 2 2 2 4 2 2 3 3" xfId="26923" xr:uid="{00000000-0005-0000-0000-0000030A0000}"/>
    <cellStyle name="Millares 2 2 2 4 2 2 4" xfId="12137" xr:uid="{00000000-0005-0000-0000-0000040A0000}"/>
    <cellStyle name="Millares 2 2 2 4 2 2 4 2" xfId="31852" xr:uid="{00000000-0005-0000-0000-0000050A0000}"/>
    <cellStyle name="Millares 2 2 2 4 2 2 5" xfId="21995" xr:uid="{00000000-0005-0000-0000-0000060A0000}"/>
    <cellStyle name="Millares 2 2 2 4 2 3" xfId="3505" xr:uid="{00000000-0005-0000-0000-0000070A0000}"/>
    <cellStyle name="Millares 2 2 2 4 2 3 2" xfId="8437" xr:uid="{00000000-0005-0000-0000-0000080A0000}"/>
    <cellStyle name="Millares 2 2 2 4 2 3 2 2" xfId="18297" xr:uid="{00000000-0005-0000-0000-0000090A0000}"/>
    <cellStyle name="Millares 2 2 2 4 2 3 2 2 2" xfId="38012" xr:uid="{00000000-0005-0000-0000-00000A0A0000}"/>
    <cellStyle name="Millares 2 2 2 4 2 3 2 3" xfId="28155" xr:uid="{00000000-0005-0000-0000-00000B0A0000}"/>
    <cellStyle name="Millares 2 2 2 4 2 3 3" xfId="13369" xr:uid="{00000000-0005-0000-0000-00000C0A0000}"/>
    <cellStyle name="Millares 2 2 2 4 2 3 3 2" xfId="33084" xr:uid="{00000000-0005-0000-0000-00000D0A0000}"/>
    <cellStyle name="Millares 2 2 2 4 2 3 4" xfId="23227" xr:uid="{00000000-0005-0000-0000-00000E0A0000}"/>
    <cellStyle name="Millares 2 2 2 4 2 4" xfId="5973" xr:uid="{00000000-0005-0000-0000-00000F0A0000}"/>
    <cellStyle name="Millares 2 2 2 4 2 4 2" xfId="15833" xr:uid="{00000000-0005-0000-0000-0000100A0000}"/>
    <cellStyle name="Millares 2 2 2 4 2 4 2 2" xfId="35548" xr:uid="{00000000-0005-0000-0000-0000110A0000}"/>
    <cellStyle name="Millares 2 2 2 4 2 4 3" xfId="25691" xr:uid="{00000000-0005-0000-0000-0000120A0000}"/>
    <cellStyle name="Millares 2 2 2 4 2 5" xfId="10905" xr:uid="{00000000-0005-0000-0000-0000130A0000}"/>
    <cellStyle name="Millares 2 2 2 4 2 5 2" xfId="30620" xr:uid="{00000000-0005-0000-0000-0000140A0000}"/>
    <cellStyle name="Millares 2 2 2 4 2 6" xfId="20763" xr:uid="{00000000-0005-0000-0000-0000150A0000}"/>
    <cellStyle name="Millares 2 2 2 4 3" xfId="1654" xr:uid="{00000000-0005-0000-0000-0000160A0000}"/>
    <cellStyle name="Millares 2 2 2 4 3 2" xfId="4121" xr:uid="{00000000-0005-0000-0000-0000170A0000}"/>
    <cellStyle name="Millares 2 2 2 4 3 2 2" xfId="9053" xr:uid="{00000000-0005-0000-0000-0000180A0000}"/>
    <cellStyle name="Millares 2 2 2 4 3 2 2 2" xfId="18913" xr:uid="{00000000-0005-0000-0000-0000190A0000}"/>
    <cellStyle name="Millares 2 2 2 4 3 2 2 2 2" xfId="38628" xr:uid="{00000000-0005-0000-0000-00001A0A0000}"/>
    <cellStyle name="Millares 2 2 2 4 3 2 2 3" xfId="28771" xr:uid="{00000000-0005-0000-0000-00001B0A0000}"/>
    <cellStyle name="Millares 2 2 2 4 3 2 3" xfId="13985" xr:uid="{00000000-0005-0000-0000-00001C0A0000}"/>
    <cellStyle name="Millares 2 2 2 4 3 2 3 2" xfId="33700" xr:uid="{00000000-0005-0000-0000-00001D0A0000}"/>
    <cellStyle name="Millares 2 2 2 4 3 2 4" xfId="23843" xr:uid="{00000000-0005-0000-0000-00001E0A0000}"/>
    <cellStyle name="Millares 2 2 2 4 3 3" xfId="6589" xr:uid="{00000000-0005-0000-0000-00001F0A0000}"/>
    <cellStyle name="Millares 2 2 2 4 3 3 2" xfId="16449" xr:uid="{00000000-0005-0000-0000-0000200A0000}"/>
    <cellStyle name="Millares 2 2 2 4 3 3 2 2" xfId="36164" xr:uid="{00000000-0005-0000-0000-0000210A0000}"/>
    <cellStyle name="Millares 2 2 2 4 3 3 3" xfId="26307" xr:uid="{00000000-0005-0000-0000-0000220A0000}"/>
    <cellStyle name="Millares 2 2 2 4 3 4" xfId="11521" xr:uid="{00000000-0005-0000-0000-0000230A0000}"/>
    <cellStyle name="Millares 2 2 2 4 3 4 2" xfId="31236" xr:uid="{00000000-0005-0000-0000-0000240A0000}"/>
    <cellStyle name="Millares 2 2 2 4 3 5" xfId="21379" xr:uid="{00000000-0005-0000-0000-0000250A0000}"/>
    <cellStyle name="Millares 2 2 2 4 4" xfId="2889" xr:uid="{00000000-0005-0000-0000-0000260A0000}"/>
    <cellStyle name="Millares 2 2 2 4 4 2" xfId="7821" xr:uid="{00000000-0005-0000-0000-0000270A0000}"/>
    <cellStyle name="Millares 2 2 2 4 4 2 2" xfId="17681" xr:uid="{00000000-0005-0000-0000-0000280A0000}"/>
    <cellStyle name="Millares 2 2 2 4 4 2 2 2" xfId="37396" xr:uid="{00000000-0005-0000-0000-0000290A0000}"/>
    <cellStyle name="Millares 2 2 2 4 4 2 3" xfId="27539" xr:uid="{00000000-0005-0000-0000-00002A0A0000}"/>
    <cellStyle name="Millares 2 2 2 4 4 3" xfId="12753" xr:uid="{00000000-0005-0000-0000-00002B0A0000}"/>
    <cellStyle name="Millares 2 2 2 4 4 3 2" xfId="32468" xr:uid="{00000000-0005-0000-0000-00002C0A0000}"/>
    <cellStyle name="Millares 2 2 2 4 4 4" xfId="22611" xr:uid="{00000000-0005-0000-0000-00002D0A0000}"/>
    <cellStyle name="Millares 2 2 2 4 5" xfId="5357" xr:uid="{00000000-0005-0000-0000-00002E0A0000}"/>
    <cellStyle name="Millares 2 2 2 4 5 2" xfId="15217" xr:uid="{00000000-0005-0000-0000-00002F0A0000}"/>
    <cellStyle name="Millares 2 2 2 4 5 2 2" xfId="34932" xr:uid="{00000000-0005-0000-0000-0000300A0000}"/>
    <cellStyle name="Millares 2 2 2 4 5 3" xfId="25075" xr:uid="{00000000-0005-0000-0000-0000310A0000}"/>
    <cellStyle name="Millares 2 2 2 4 6" xfId="10289" xr:uid="{00000000-0005-0000-0000-0000320A0000}"/>
    <cellStyle name="Millares 2 2 2 4 6 2" xfId="30004" xr:uid="{00000000-0005-0000-0000-0000330A0000}"/>
    <cellStyle name="Millares 2 2 2 4 7" xfId="20147" xr:uid="{00000000-0005-0000-0000-0000340A0000}"/>
    <cellStyle name="Millares 2 2 2 5" xfId="728" xr:uid="{00000000-0005-0000-0000-0000350A0000}"/>
    <cellStyle name="Millares 2 2 2 5 2" xfId="1964" xr:uid="{00000000-0005-0000-0000-0000360A0000}"/>
    <cellStyle name="Millares 2 2 2 5 2 2" xfId="4431" xr:uid="{00000000-0005-0000-0000-0000370A0000}"/>
    <cellStyle name="Millares 2 2 2 5 2 2 2" xfId="9363" xr:uid="{00000000-0005-0000-0000-0000380A0000}"/>
    <cellStyle name="Millares 2 2 2 5 2 2 2 2" xfId="19223" xr:uid="{00000000-0005-0000-0000-0000390A0000}"/>
    <cellStyle name="Millares 2 2 2 5 2 2 2 2 2" xfId="38938" xr:uid="{00000000-0005-0000-0000-00003A0A0000}"/>
    <cellStyle name="Millares 2 2 2 5 2 2 2 3" xfId="29081" xr:uid="{00000000-0005-0000-0000-00003B0A0000}"/>
    <cellStyle name="Millares 2 2 2 5 2 2 3" xfId="14295" xr:uid="{00000000-0005-0000-0000-00003C0A0000}"/>
    <cellStyle name="Millares 2 2 2 5 2 2 3 2" xfId="34010" xr:uid="{00000000-0005-0000-0000-00003D0A0000}"/>
    <cellStyle name="Millares 2 2 2 5 2 2 4" xfId="24153" xr:uid="{00000000-0005-0000-0000-00003E0A0000}"/>
    <cellStyle name="Millares 2 2 2 5 2 3" xfId="6899" xr:uid="{00000000-0005-0000-0000-00003F0A0000}"/>
    <cellStyle name="Millares 2 2 2 5 2 3 2" xfId="16759" xr:uid="{00000000-0005-0000-0000-0000400A0000}"/>
    <cellStyle name="Millares 2 2 2 5 2 3 2 2" xfId="36474" xr:uid="{00000000-0005-0000-0000-0000410A0000}"/>
    <cellStyle name="Millares 2 2 2 5 2 3 3" xfId="26617" xr:uid="{00000000-0005-0000-0000-0000420A0000}"/>
    <cellStyle name="Millares 2 2 2 5 2 4" xfId="11831" xr:uid="{00000000-0005-0000-0000-0000430A0000}"/>
    <cellStyle name="Millares 2 2 2 5 2 4 2" xfId="31546" xr:uid="{00000000-0005-0000-0000-0000440A0000}"/>
    <cellStyle name="Millares 2 2 2 5 2 5" xfId="21689" xr:uid="{00000000-0005-0000-0000-0000450A0000}"/>
    <cellStyle name="Millares 2 2 2 5 3" xfId="3199" xr:uid="{00000000-0005-0000-0000-0000460A0000}"/>
    <cellStyle name="Millares 2 2 2 5 3 2" xfId="8131" xr:uid="{00000000-0005-0000-0000-0000470A0000}"/>
    <cellStyle name="Millares 2 2 2 5 3 2 2" xfId="17991" xr:uid="{00000000-0005-0000-0000-0000480A0000}"/>
    <cellStyle name="Millares 2 2 2 5 3 2 2 2" xfId="37706" xr:uid="{00000000-0005-0000-0000-0000490A0000}"/>
    <cellStyle name="Millares 2 2 2 5 3 2 3" xfId="27849" xr:uid="{00000000-0005-0000-0000-00004A0A0000}"/>
    <cellStyle name="Millares 2 2 2 5 3 3" xfId="13063" xr:uid="{00000000-0005-0000-0000-00004B0A0000}"/>
    <cellStyle name="Millares 2 2 2 5 3 3 2" xfId="32778" xr:uid="{00000000-0005-0000-0000-00004C0A0000}"/>
    <cellStyle name="Millares 2 2 2 5 3 4" xfId="22921" xr:uid="{00000000-0005-0000-0000-00004D0A0000}"/>
    <cellStyle name="Millares 2 2 2 5 4" xfId="5667" xr:uid="{00000000-0005-0000-0000-00004E0A0000}"/>
    <cellStyle name="Millares 2 2 2 5 4 2" xfId="15527" xr:uid="{00000000-0005-0000-0000-00004F0A0000}"/>
    <cellStyle name="Millares 2 2 2 5 4 2 2" xfId="35242" xr:uid="{00000000-0005-0000-0000-0000500A0000}"/>
    <cellStyle name="Millares 2 2 2 5 4 3" xfId="25385" xr:uid="{00000000-0005-0000-0000-0000510A0000}"/>
    <cellStyle name="Millares 2 2 2 5 5" xfId="10599" xr:uid="{00000000-0005-0000-0000-0000520A0000}"/>
    <cellStyle name="Millares 2 2 2 5 5 2" xfId="30314" xr:uid="{00000000-0005-0000-0000-0000530A0000}"/>
    <cellStyle name="Millares 2 2 2 5 6" xfId="20457" xr:uid="{00000000-0005-0000-0000-0000540A0000}"/>
    <cellStyle name="Millares 2 2 2 6" xfId="1348" xr:uid="{00000000-0005-0000-0000-0000550A0000}"/>
    <cellStyle name="Millares 2 2 2 6 2" xfId="3815" xr:uid="{00000000-0005-0000-0000-0000560A0000}"/>
    <cellStyle name="Millares 2 2 2 6 2 2" xfId="8747" xr:uid="{00000000-0005-0000-0000-0000570A0000}"/>
    <cellStyle name="Millares 2 2 2 6 2 2 2" xfId="18607" xr:uid="{00000000-0005-0000-0000-0000580A0000}"/>
    <cellStyle name="Millares 2 2 2 6 2 2 2 2" xfId="38322" xr:uid="{00000000-0005-0000-0000-0000590A0000}"/>
    <cellStyle name="Millares 2 2 2 6 2 2 3" xfId="28465" xr:uid="{00000000-0005-0000-0000-00005A0A0000}"/>
    <cellStyle name="Millares 2 2 2 6 2 3" xfId="13679" xr:uid="{00000000-0005-0000-0000-00005B0A0000}"/>
    <cellStyle name="Millares 2 2 2 6 2 3 2" xfId="33394" xr:uid="{00000000-0005-0000-0000-00005C0A0000}"/>
    <cellStyle name="Millares 2 2 2 6 2 4" xfId="23537" xr:uid="{00000000-0005-0000-0000-00005D0A0000}"/>
    <cellStyle name="Millares 2 2 2 6 3" xfId="6283" xr:uid="{00000000-0005-0000-0000-00005E0A0000}"/>
    <cellStyle name="Millares 2 2 2 6 3 2" xfId="16143" xr:uid="{00000000-0005-0000-0000-00005F0A0000}"/>
    <cellStyle name="Millares 2 2 2 6 3 2 2" xfId="35858" xr:uid="{00000000-0005-0000-0000-0000600A0000}"/>
    <cellStyle name="Millares 2 2 2 6 3 3" xfId="26001" xr:uid="{00000000-0005-0000-0000-0000610A0000}"/>
    <cellStyle name="Millares 2 2 2 6 4" xfId="11215" xr:uid="{00000000-0005-0000-0000-0000620A0000}"/>
    <cellStyle name="Millares 2 2 2 6 4 2" xfId="30930" xr:uid="{00000000-0005-0000-0000-0000630A0000}"/>
    <cellStyle name="Millares 2 2 2 6 5" xfId="21073" xr:uid="{00000000-0005-0000-0000-0000640A0000}"/>
    <cellStyle name="Millares 2 2 2 7" xfId="2583" xr:uid="{00000000-0005-0000-0000-0000650A0000}"/>
    <cellStyle name="Millares 2 2 2 7 2" xfId="7515" xr:uid="{00000000-0005-0000-0000-0000660A0000}"/>
    <cellStyle name="Millares 2 2 2 7 2 2" xfId="17375" xr:uid="{00000000-0005-0000-0000-0000670A0000}"/>
    <cellStyle name="Millares 2 2 2 7 2 2 2" xfId="37090" xr:uid="{00000000-0005-0000-0000-0000680A0000}"/>
    <cellStyle name="Millares 2 2 2 7 2 3" xfId="27233" xr:uid="{00000000-0005-0000-0000-0000690A0000}"/>
    <cellStyle name="Millares 2 2 2 7 3" xfId="12447" xr:uid="{00000000-0005-0000-0000-00006A0A0000}"/>
    <cellStyle name="Millares 2 2 2 7 3 2" xfId="32162" xr:uid="{00000000-0005-0000-0000-00006B0A0000}"/>
    <cellStyle name="Millares 2 2 2 7 4" xfId="22305" xr:uid="{00000000-0005-0000-0000-00006C0A0000}"/>
    <cellStyle name="Millares 2 2 2 8" xfId="5051" xr:uid="{00000000-0005-0000-0000-00006D0A0000}"/>
    <cellStyle name="Millares 2 2 2 8 2" xfId="14911" xr:uid="{00000000-0005-0000-0000-00006E0A0000}"/>
    <cellStyle name="Millares 2 2 2 8 2 2" xfId="34626" xr:uid="{00000000-0005-0000-0000-00006F0A0000}"/>
    <cellStyle name="Millares 2 2 2 8 3" xfId="24769" xr:uid="{00000000-0005-0000-0000-0000700A0000}"/>
    <cellStyle name="Millares 2 2 2 9" xfId="9983" xr:uid="{00000000-0005-0000-0000-0000710A0000}"/>
    <cellStyle name="Millares 2 2 2 9 2" xfId="29698" xr:uid="{00000000-0005-0000-0000-0000720A0000}"/>
    <cellStyle name="Millares 2 2 3" xfId="134" xr:uid="{00000000-0005-0000-0000-0000730A0000}"/>
    <cellStyle name="Millares 2 2 3 2" xfId="291" xr:uid="{00000000-0005-0000-0000-0000740A0000}"/>
    <cellStyle name="Millares 2 2 3 2 2" xfId="605" xr:uid="{00000000-0005-0000-0000-0000750A0000}"/>
    <cellStyle name="Millares 2 2 3 2 2 2" xfId="1225" xr:uid="{00000000-0005-0000-0000-0000760A0000}"/>
    <cellStyle name="Millares 2 2 3 2 2 2 2" xfId="2460" xr:uid="{00000000-0005-0000-0000-0000770A0000}"/>
    <cellStyle name="Millares 2 2 3 2 2 2 2 2" xfId="4927" xr:uid="{00000000-0005-0000-0000-0000780A0000}"/>
    <cellStyle name="Millares 2 2 3 2 2 2 2 2 2" xfId="9859" xr:uid="{00000000-0005-0000-0000-0000790A0000}"/>
    <cellStyle name="Millares 2 2 3 2 2 2 2 2 2 2" xfId="19719" xr:uid="{00000000-0005-0000-0000-00007A0A0000}"/>
    <cellStyle name="Millares 2 2 3 2 2 2 2 2 2 2 2" xfId="39434" xr:uid="{00000000-0005-0000-0000-00007B0A0000}"/>
    <cellStyle name="Millares 2 2 3 2 2 2 2 2 2 3" xfId="29577" xr:uid="{00000000-0005-0000-0000-00007C0A0000}"/>
    <cellStyle name="Millares 2 2 3 2 2 2 2 2 3" xfId="14791" xr:uid="{00000000-0005-0000-0000-00007D0A0000}"/>
    <cellStyle name="Millares 2 2 3 2 2 2 2 2 3 2" xfId="34506" xr:uid="{00000000-0005-0000-0000-00007E0A0000}"/>
    <cellStyle name="Millares 2 2 3 2 2 2 2 2 4" xfId="24649" xr:uid="{00000000-0005-0000-0000-00007F0A0000}"/>
    <cellStyle name="Millares 2 2 3 2 2 2 2 3" xfId="7395" xr:uid="{00000000-0005-0000-0000-0000800A0000}"/>
    <cellStyle name="Millares 2 2 3 2 2 2 2 3 2" xfId="17255" xr:uid="{00000000-0005-0000-0000-0000810A0000}"/>
    <cellStyle name="Millares 2 2 3 2 2 2 2 3 2 2" xfId="36970" xr:uid="{00000000-0005-0000-0000-0000820A0000}"/>
    <cellStyle name="Millares 2 2 3 2 2 2 2 3 3" xfId="27113" xr:uid="{00000000-0005-0000-0000-0000830A0000}"/>
    <cellStyle name="Millares 2 2 3 2 2 2 2 4" xfId="12327" xr:uid="{00000000-0005-0000-0000-0000840A0000}"/>
    <cellStyle name="Millares 2 2 3 2 2 2 2 4 2" xfId="32042" xr:uid="{00000000-0005-0000-0000-0000850A0000}"/>
    <cellStyle name="Millares 2 2 3 2 2 2 2 5" xfId="22185" xr:uid="{00000000-0005-0000-0000-0000860A0000}"/>
    <cellStyle name="Millares 2 2 3 2 2 2 3" xfId="3695" xr:uid="{00000000-0005-0000-0000-0000870A0000}"/>
    <cellStyle name="Millares 2 2 3 2 2 2 3 2" xfId="8627" xr:uid="{00000000-0005-0000-0000-0000880A0000}"/>
    <cellStyle name="Millares 2 2 3 2 2 2 3 2 2" xfId="18487" xr:uid="{00000000-0005-0000-0000-0000890A0000}"/>
    <cellStyle name="Millares 2 2 3 2 2 2 3 2 2 2" xfId="38202" xr:uid="{00000000-0005-0000-0000-00008A0A0000}"/>
    <cellStyle name="Millares 2 2 3 2 2 2 3 2 3" xfId="28345" xr:uid="{00000000-0005-0000-0000-00008B0A0000}"/>
    <cellStyle name="Millares 2 2 3 2 2 2 3 3" xfId="13559" xr:uid="{00000000-0005-0000-0000-00008C0A0000}"/>
    <cellStyle name="Millares 2 2 3 2 2 2 3 3 2" xfId="33274" xr:uid="{00000000-0005-0000-0000-00008D0A0000}"/>
    <cellStyle name="Millares 2 2 3 2 2 2 3 4" xfId="23417" xr:uid="{00000000-0005-0000-0000-00008E0A0000}"/>
    <cellStyle name="Millares 2 2 3 2 2 2 4" xfId="6163" xr:uid="{00000000-0005-0000-0000-00008F0A0000}"/>
    <cellStyle name="Millares 2 2 3 2 2 2 4 2" xfId="16023" xr:uid="{00000000-0005-0000-0000-0000900A0000}"/>
    <cellStyle name="Millares 2 2 3 2 2 2 4 2 2" xfId="35738" xr:uid="{00000000-0005-0000-0000-0000910A0000}"/>
    <cellStyle name="Millares 2 2 3 2 2 2 4 3" xfId="25881" xr:uid="{00000000-0005-0000-0000-0000920A0000}"/>
    <cellStyle name="Millares 2 2 3 2 2 2 5" xfId="11095" xr:uid="{00000000-0005-0000-0000-0000930A0000}"/>
    <cellStyle name="Millares 2 2 3 2 2 2 5 2" xfId="30810" xr:uid="{00000000-0005-0000-0000-0000940A0000}"/>
    <cellStyle name="Millares 2 2 3 2 2 2 6" xfId="20953" xr:uid="{00000000-0005-0000-0000-0000950A0000}"/>
    <cellStyle name="Millares 2 2 3 2 2 3" xfId="1844" xr:uid="{00000000-0005-0000-0000-0000960A0000}"/>
    <cellStyle name="Millares 2 2 3 2 2 3 2" xfId="4311" xr:uid="{00000000-0005-0000-0000-0000970A0000}"/>
    <cellStyle name="Millares 2 2 3 2 2 3 2 2" xfId="9243" xr:uid="{00000000-0005-0000-0000-0000980A0000}"/>
    <cellStyle name="Millares 2 2 3 2 2 3 2 2 2" xfId="19103" xr:uid="{00000000-0005-0000-0000-0000990A0000}"/>
    <cellStyle name="Millares 2 2 3 2 2 3 2 2 2 2" xfId="38818" xr:uid="{00000000-0005-0000-0000-00009A0A0000}"/>
    <cellStyle name="Millares 2 2 3 2 2 3 2 2 3" xfId="28961" xr:uid="{00000000-0005-0000-0000-00009B0A0000}"/>
    <cellStyle name="Millares 2 2 3 2 2 3 2 3" xfId="14175" xr:uid="{00000000-0005-0000-0000-00009C0A0000}"/>
    <cellStyle name="Millares 2 2 3 2 2 3 2 3 2" xfId="33890" xr:uid="{00000000-0005-0000-0000-00009D0A0000}"/>
    <cellStyle name="Millares 2 2 3 2 2 3 2 4" xfId="24033" xr:uid="{00000000-0005-0000-0000-00009E0A0000}"/>
    <cellStyle name="Millares 2 2 3 2 2 3 3" xfId="6779" xr:uid="{00000000-0005-0000-0000-00009F0A0000}"/>
    <cellStyle name="Millares 2 2 3 2 2 3 3 2" xfId="16639" xr:uid="{00000000-0005-0000-0000-0000A00A0000}"/>
    <cellStyle name="Millares 2 2 3 2 2 3 3 2 2" xfId="36354" xr:uid="{00000000-0005-0000-0000-0000A10A0000}"/>
    <cellStyle name="Millares 2 2 3 2 2 3 3 3" xfId="26497" xr:uid="{00000000-0005-0000-0000-0000A20A0000}"/>
    <cellStyle name="Millares 2 2 3 2 2 3 4" xfId="11711" xr:uid="{00000000-0005-0000-0000-0000A30A0000}"/>
    <cellStyle name="Millares 2 2 3 2 2 3 4 2" xfId="31426" xr:uid="{00000000-0005-0000-0000-0000A40A0000}"/>
    <cellStyle name="Millares 2 2 3 2 2 3 5" xfId="21569" xr:uid="{00000000-0005-0000-0000-0000A50A0000}"/>
    <cellStyle name="Millares 2 2 3 2 2 4" xfId="3079" xr:uid="{00000000-0005-0000-0000-0000A60A0000}"/>
    <cellStyle name="Millares 2 2 3 2 2 4 2" xfId="8011" xr:uid="{00000000-0005-0000-0000-0000A70A0000}"/>
    <cellStyle name="Millares 2 2 3 2 2 4 2 2" xfId="17871" xr:uid="{00000000-0005-0000-0000-0000A80A0000}"/>
    <cellStyle name="Millares 2 2 3 2 2 4 2 2 2" xfId="37586" xr:uid="{00000000-0005-0000-0000-0000A90A0000}"/>
    <cellStyle name="Millares 2 2 3 2 2 4 2 3" xfId="27729" xr:uid="{00000000-0005-0000-0000-0000AA0A0000}"/>
    <cellStyle name="Millares 2 2 3 2 2 4 3" xfId="12943" xr:uid="{00000000-0005-0000-0000-0000AB0A0000}"/>
    <cellStyle name="Millares 2 2 3 2 2 4 3 2" xfId="32658" xr:uid="{00000000-0005-0000-0000-0000AC0A0000}"/>
    <cellStyle name="Millares 2 2 3 2 2 4 4" xfId="22801" xr:uid="{00000000-0005-0000-0000-0000AD0A0000}"/>
    <cellStyle name="Millares 2 2 3 2 2 5" xfId="5547" xr:uid="{00000000-0005-0000-0000-0000AE0A0000}"/>
    <cellStyle name="Millares 2 2 3 2 2 5 2" xfId="15407" xr:uid="{00000000-0005-0000-0000-0000AF0A0000}"/>
    <cellStyle name="Millares 2 2 3 2 2 5 2 2" xfId="35122" xr:uid="{00000000-0005-0000-0000-0000B00A0000}"/>
    <cellStyle name="Millares 2 2 3 2 2 5 3" xfId="25265" xr:uid="{00000000-0005-0000-0000-0000B10A0000}"/>
    <cellStyle name="Millares 2 2 3 2 2 6" xfId="10479" xr:uid="{00000000-0005-0000-0000-0000B20A0000}"/>
    <cellStyle name="Millares 2 2 3 2 2 6 2" xfId="30194" xr:uid="{00000000-0005-0000-0000-0000B30A0000}"/>
    <cellStyle name="Millares 2 2 3 2 2 7" xfId="20337" xr:uid="{00000000-0005-0000-0000-0000B40A0000}"/>
    <cellStyle name="Millares 2 2 3 2 3" xfId="918" xr:uid="{00000000-0005-0000-0000-0000B50A0000}"/>
    <cellStyle name="Millares 2 2 3 2 3 2" xfId="2154" xr:uid="{00000000-0005-0000-0000-0000B60A0000}"/>
    <cellStyle name="Millares 2 2 3 2 3 2 2" xfId="4621" xr:uid="{00000000-0005-0000-0000-0000B70A0000}"/>
    <cellStyle name="Millares 2 2 3 2 3 2 2 2" xfId="9553" xr:uid="{00000000-0005-0000-0000-0000B80A0000}"/>
    <cellStyle name="Millares 2 2 3 2 3 2 2 2 2" xfId="19413" xr:uid="{00000000-0005-0000-0000-0000B90A0000}"/>
    <cellStyle name="Millares 2 2 3 2 3 2 2 2 2 2" xfId="39128" xr:uid="{00000000-0005-0000-0000-0000BA0A0000}"/>
    <cellStyle name="Millares 2 2 3 2 3 2 2 2 3" xfId="29271" xr:uid="{00000000-0005-0000-0000-0000BB0A0000}"/>
    <cellStyle name="Millares 2 2 3 2 3 2 2 3" xfId="14485" xr:uid="{00000000-0005-0000-0000-0000BC0A0000}"/>
    <cellStyle name="Millares 2 2 3 2 3 2 2 3 2" xfId="34200" xr:uid="{00000000-0005-0000-0000-0000BD0A0000}"/>
    <cellStyle name="Millares 2 2 3 2 3 2 2 4" xfId="24343" xr:uid="{00000000-0005-0000-0000-0000BE0A0000}"/>
    <cellStyle name="Millares 2 2 3 2 3 2 3" xfId="7089" xr:uid="{00000000-0005-0000-0000-0000BF0A0000}"/>
    <cellStyle name="Millares 2 2 3 2 3 2 3 2" xfId="16949" xr:uid="{00000000-0005-0000-0000-0000C00A0000}"/>
    <cellStyle name="Millares 2 2 3 2 3 2 3 2 2" xfId="36664" xr:uid="{00000000-0005-0000-0000-0000C10A0000}"/>
    <cellStyle name="Millares 2 2 3 2 3 2 3 3" xfId="26807" xr:uid="{00000000-0005-0000-0000-0000C20A0000}"/>
    <cellStyle name="Millares 2 2 3 2 3 2 4" xfId="12021" xr:uid="{00000000-0005-0000-0000-0000C30A0000}"/>
    <cellStyle name="Millares 2 2 3 2 3 2 4 2" xfId="31736" xr:uid="{00000000-0005-0000-0000-0000C40A0000}"/>
    <cellStyle name="Millares 2 2 3 2 3 2 5" xfId="21879" xr:uid="{00000000-0005-0000-0000-0000C50A0000}"/>
    <cellStyle name="Millares 2 2 3 2 3 3" xfId="3389" xr:uid="{00000000-0005-0000-0000-0000C60A0000}"/>
    <cellStyle name="Millares 2 2 3 2 3 3 2" xfId="8321" xr:uid="{00000000-0005-0000-0000-0000C70A0000}"/>
    <cellStyle name="Millares 2 2 3 2 3 3 2 2" xfId="18181" xr:uid="{00000000-0005-0000-0000-0000C80A0000}"/>
    <cellStyle name="Millares 2 2 3 2 3 3 2 2 2" xfId="37896" xr:uid="{00000000-0005-0000-0000-0000C90A0000}"/>
    <cellStyle name="Millares 2 2 3 2 3 3 2 3" xfId="28039" xr:uid="{00000000-0005-0000-0000-0000CA0A0000}"/>
    <cellStyle name="Millares 2 2 3 2 3 3 3" xfId="13253" xr:uid="{00000000-0005-0000-0000-0000CB0A0000}"/>
    <cellStyle name="Millares 2 2 3 2 3 3 3 2" xfId="32968" xr:uid="{00000000-0005-0000-0000-0000CC0A0000}"/>
    <cellStyle name="Millares 2 2 3 2 3 3 4" xfId="23111" xr:uid="{00000000-0005-0000-0000-0000CD0A0000}"/>
    <cellStyle name="Millares 2 2 3 2 3 4" xfId="5857" xr:uid="{00000000-0005-0000-0000-0000CE0A0000}"/>
    <cellStyle name="Millares 2 2 3 2 3 4 2" xfId="15717" xr:uid="{00000000-0005-0000-0000-0000CF0A0000}"/>
    <cellStyle name="Millares 2 2 3 2 3 4 2 2" xfId="35432" xr:uid="{00000000-0005-0000-0000-0000D00A0000}"/>
    <cellStyle name="Millares 2 2 3 2 3 4 3" xfId="25575" xr:uid="{00000000-0005-0000-0000-0000D10A0000}"/>
    <cellStyle name="Millares 2 2 3 2 3 5" xfId="10789" xr:uid="{00000000-0005-0000-0000-0000D20A0000}"/>
    <cellStyle name="Millares 2 2 3 2 3 5 2" xfId="30504" xr:uid="{00000000-0005-0000-0000-0000D30A0000}"/>
    <cellStyle name="Millares 2 2 3 2 3 6" xfId="20647" xr:uid="{00000000-0005-0000-0000-0000D40A0000}"/>
    <cellStyle name="Millares 2 2 3 2 4" xfId="1538" xr:uid="{00000000-0005-0000-0000-0000D50A0000}"/>
    <cellStyle name="Millares 2 2 3 2 4 2" xfId="4005" xr:uid="{00000000-0005-0000-0000-0000D60A0000}"/>
    <cellStyle name="Millares 2 2 3 2 4 2 2" xfId="8937" xr:uid="{00000000-0005-0000-0000-0000D70A0000}"/>
    <cellStyle name="Millares 2 2 3 2 4 2 2 2" xfId="18797" xr:uid="{00000000-0005-0000-0000-0000D80A0000}"/>
    <cellStyle name="Millares 2 2 3 2 4 2 2 2 2" xfId="38512" xr:uid="{00000000-0005-0000-0000-0000D90A0000}"/>
    <cellStyle name="Millares 2 2 3 2 4 2 2 3" xfId="28655" xr:uid="{00000000-0005-0000-0000-0000DA0A0000}"/>
    <cellStyle name="Millares 2 2 3 2 4 2 3" xfId="13869" xr:uid="{00000000-0005-0000-0000-0000DB0A0000}"/>
    <cellStyle name="Millares 2 2 3 2 4 2 3 2" xfId="33584" xr:uid="{00000000-0005-0000-0000-0000DC0A0000}"/>
    <cellStyle name="Millares 2 2 3 2 4 2 4" xfId="23727" xr:uid="{00000000-0005-0000-0000-0000DD0A0000}"/>
    <cellStyle name="Millares 2 2 3 2 4 3" xfId="6473" xr:uid="{00000000-0005-0000-0000-0000DE0A0000}"/>
    <cellStyle name="Millares 2 2 3 2 4 3 2" xfId="16333" xr:uid="{00000000-0005-0000-0000-0000DF0A0000}"/>
    <cellStyle name="Millares 2 2 3 2 4 3 2 2" xfId="36048" xr:uid="{00000000-0005-0000-0000-0000E00A0000}"/>
    <cellStyle name="Millares 2 2 3 2 4 3 3" xfId="26191" xr:uid="{00000000-0005-0000-0000-0000E10A0000}"/>
    <cellStyle name="Millares 2 2 3 2 4 4" xfId="11405" xr:uid="{00000000-0005-0000-0000-0000E20A0000}"/>
    <cellStyle name="Millares 2 2 3 2 4 4 2" xfId="31120" xr:uid="{00000000-0005-0000-0000-0000E30A0000}"/>
    <cellStyle name="Millares 2 2 3 2 4 5" xfId="21263" xr:uid="{00000000-0005-0000-0000-0000E40A0000}"/>
    <cellStyle name="Millares 2 2 3 2 5" xfId="2773" xr:uid="{00000000-0005-0000-0000-0000E50A0000}"/>
    <cellStyle name="Millares 2 2 3 2 5 2" xfId="7705" xr:uid="{00000000-0005-0000-0000-0000E60A0000}"/>
    <cellStyle name="Millares 2 2 3 2 5 2 2" xfId="17565" xr:uid="{00000000-0005-0000-0000-0000E70A0000}"/>
    <cellStyle name="Millares 2 2 3 2 5 2 2 2" xfId="37280" xr:uid="{00000000-0005-0000-0000-0000E80A0000}"/>
    <cellStyle name="Millares 2 2 3 2 5 2 3" xfId="27423" xr:uid="{00000000-0005-0000-0000-0000E90A0000}"/>
    <cellStyle name="Millares 2 2 3 2 5 3" xfId="12637" xr:uid="{00000000-0005-0000-0000-0000EA0A0000}"/>
    <cellStyle name="Millares 2 2 3 2 5 3 2" xfId="32352" xr:uid="{00000000-0005-0000-0000-0000EB0A0000}"/>
    <cellStyle name="Millares 2 2 3 2 5 4" xfId="22495" xr:uid="{00000000-0005-0000-0000-0000EC0A0000}"/>
    <cellStyle name="Millares 2 2 3 2 6" xfId="5241" xr:uid="{00000000-0005-0000-0000-0000ED0A0000}"/>
    <cellStyle name="Millares 2 2 3 2 6 2" xfId="15101" xr:uid="{00000000-0005-0000-0000-0000EE0A0000}"/>
    <cellStyle name="Millares 2 2 3 2 6 2 2" xfId="34816" xr:uid="{00000000-0005-0000-0000-0000EF0A0000}"/>
    <cellStyle name="Millares 2 2 3 2 6 3" xfId="24959" xr:uid="{00000000-0005-0000-0000-0000F00A0000}"/>
    <cellStyle name="Millares 2 2 3 2 7" xfId="10173" xr:uid="{00000000-0005-0000-0000-0000F10A0000}"/>
    <cellStyle name="Millares 2 2 3 2 7 2" xfId="29888" xr:uid="{00000000-0005-0000-0000-0000F20A0000}"/>
    <cellStyle name="Millares 2 2 3 2 8" xfId="20031" xr:uid="{00000000-0005-0000-0000-0000F30A0000}"/>
    <cellStyle name="Millares 2 2 3 3" xfId="453" xr:uid="{00000000-0005-0000-0000-0000F40A0000}"/>
    <cellStyle name="Millares 2 2 3 3 2" xfId="1073" xr:uid="{00000000-0005-0000-0000-0000F50A0000}"/>
    <cellStyle name="Millares 2 2 3 3 2 2" xfId="2308" xr:uid="{00000000-0005-0000-0000-0000F60A0000}"/>
    <cellStyle name="Millares 2 2 3 3 2 2 2" xfId="4775" xr:uid="{00000000-0005-0000-0000-0000F70A0000}"/>
    <cellStyle name="Millares 2 2 3 3 2 2 2 2" xfId="9707" xr:uid="{00000000-0005-0000-0000-0000F80A0000}"/>
    <cellStyle name="Millares 2 2 3 3 2 2 2 2 2" xfId="19567" xr:uid="{00000000-0005-0000-0000-0000F90A0000}"/>
    <cellStyle name="Millares 2 2 3 3 2 2 2 2 2 2" xfId="39282" xr:uid="{00000000-0005-0000-0000-0000FA0A0000}"/>
    <cellStyle name="Millares 2 2 3 3 2 2 2 2 3" xfId="29425" xr:uid="{00000000-0005-0000-0000-0000FB0A0000}"/>
    <cellStyle name="Millares 2 2 3 3 2 2 2 3" xfId="14639" xr:uid="{00000000-0005-0000-0000-0000FC0A0000}"/>
    <cellStyle name="Millares 2 2 3 3 2 2 2 3 2" xfId="34354" xr:uid="{00000000-0005-0000-0000-0000FD0A0000}"/>
    <cellStyle name="Millares 2 2 3 3 2 2 2 4" xfId="24497" xr:uid="{00000000-0005-0000-0000-0000FE0A0000}"/>
    <cellStyle name="Millares 2 2 3 3 2 2 3" xfId="7243" xr:uid="{00000000-0005-0000-0000-0000FF0A0000}"/>
    <cellStyle name="Millares 2 2 3 3 2 2 3 2" xfId="17103" xr:uid="{00000000-0005-0000-0000-0000000B0000}"/>
    <cellStyle name="Millares 2 2 3 3 2 2 3 2 2" xfId="36818" xr:uid="{00000000-0005-0000-0000-0000010B0000}"/>
    <cellStyle name="Millares 2 2 3 3 2 2 3 3" xfId="26961" xr:uid="{00000000-0005-0000-0000-0000020B0000}"/>
    <cellStyle name="Millares 2 2 3 3 2 2 4" xfId="12175" xr:uid="{00000000-0005-0000-0000-0000030B0000}"/>
    <cellStyle name="Millares 2 2 3 3 2 2 4 2" xfId="31890" xr:uid="{00000000-0005-0000-0000-0000040B0000}"/>
    <cellStyle name="Millares 2 2 3 3 2 2 5" xfId="22033" xr:uid="{00000000-0005-0000-0000-0000050B0000}"/>
    <cellStyle name="Millares 2 2 3 3 2 3" xfId="3543" xr:uid="{00000000-0005-0000-0000-0000060B0000}"/>
    <cellStyle name="Millares 2 2 3 3 2 3 2" xfId="8475" xr:uid="{00000000-0005-0000-0000-0000070B0000}"/>
    <cellStyle name="Millares 2 2 3 3 2 3 2 2" xfId="18335" xr:uid="{00000000-0005-0000-0000-0000080B0000}"/>
    <cellStyle name="Millares 2 2 3 3 2 3 2 2 2" xfId="38050" xr:uid="{00000000-0005-0000-0000-0000090B0000}"/>
    <cellStyle name="Millares 2 2 3 3 2 3 2 3" xfId="28193" xr:uid="{00000000-0005-0000-0000-00000A0B0000}"/>
    <cellStyle name="Millares 2 2 3 3 2 3 3" xfId="13407" xr:uid="{00000000-0005-0000-0000-00000B0B0000}"/>
    <cellStyle name="Millares 2 2 3 3 2 3 3 2" xfId="33122" xr:uid="{00000000-0005-0000-0000-00000C0B0000}"/>
    <cellStyle name="Millares 2 2 3 3 2 3 4" xfId="23265" xr:uid="{00000000-0005-0000-0000-00000D0B0000}"/>
    <cellStyle name="Millares 2 2 3 3 2 4" xfId="6011" xr:uid="{00000000-0005-0000-0000-00000E0B0000}"/>
    <cellStyle name="Millares 2 2 3 3 2 4 2" xfId="15871" xr:uid="{00000000-0005-0000-0000-00000F0B0000}"/>
    <cellStyle name="Millares 2 2 3 3 2 4 2 2" xfId="35586" xr:uid="{00000000-0005-0000-0000-0000100B0000}"/>
    <cellStyle name="Millares 2 2 3 3 2 4 3" xfId="25729" xr:uid="{00000000-0005-0000-0000-0000110B0000}"/>
    <cellStyle name="Millares 2 2 3 3 2 5" xfId="10943" xr:uid="{00000000-0005-0000-0000-0000120B0000}"/>
    <cellStyle name="Millares 2 2 3 3 2 5 2" xfId="30658" xr:uid="{00000000-0005-0000-0000-0000130B0000}"/>
    <cellStyle name="Millares 2 2 3 3 2 6" xfId="20801" xr:uid="{00000000-0005-0000-0000-0000140B0000}"/>
    <cellStyle name="Millares 2 2 3 3 3" xfId="1692" xr:uid="{00000000-0005-0000-0000-0000150B0000}"/>
    <cellStyle name="Millares 2 2 3 3 3 2" xfId="4159" xr:uid="{00000000-0005-0000-0000-0000160B0000}"/>
    <cellStyle name="Millares 2 2 3 3 3 2 2" xfId="9091" xr:uid="{00000000-0005-0000-0000-0000170B0000}"/>
    <cellStyle name="Millares 2 2 3 3 3 2 2 2" xfId="18951" xr:uid="{00000000-0005-0000-0000-0000180B0000}"/>
    <cellStyle name="Millares 2 2 3 3 3 2 2 2 2" xfId="38666" xr:uid="{00000000-0005-0000-0000-0000190B0000}"/>
    <cellStyle name="Millares 2 2 3 3 3 2 2 3" xfId="28809" xr:uid="{00000000-0005-0000-0000-00001A0B0000}"/>
    <cellStyle name="Millares 2 2 3 3 3 2 3" xfId="14023" xr:uid="{00000000-0005-0000-0000-00001B0B0000}"/>
    <cellStyle name="Millares 2 2 3 3 3 2 3 2" xfId="33738" xr:uid="{00000000-0005-0000-0000-00001C0B0000}"/>
    <cellStyle name="Millares 2 2 3 3 3 2 4" xfId="23881" xr:uid="{00000000-0005-0000-0000-00001D0B0000}"/>
    <cellStyle name="Millares 2 2 3 3 3 3" xfId="6627" xr:uid="{00000000-0005-0000-0000-00001E0B0000}"/>
    <cellStyle name="Millares 2 2 3 3 3 3 2" xfId="16487" xr:uid="{00000000-0005-0000-0000-00001F0B0000}"/>
    <cellStyle name="Millares 2 2 3 3 3 3 2 2" xfId="36202" xr:uid="{00000000-0005-0000-0000-0000200B0000}"/>
    <cellStyle name="Millares 2 2 3 3 3 3 3" xfId="26345" xr:uid="{00000000-0005-0000-0000-0000210B0000}"/>
    <cellStyle name="Millares 2 2 3 3 3 4" xfId="11559" xr:uid="{00000000-0005-0000-0000-0000220B0000}"/>
    <cellStyle name="Millares 2 2 3 3 3 4 2" xfId="31274" xr:uid="{00000000-0005-0000-0000-0000230B0000}"/>
    <cellStyle name="Millares 2 2 3 3 3 5" xfId="21417" xr:uid="{00000000-0005-0000-0000-0000240B0000}"/>
    <cellStyle name="Millares 2 2 3 3 4" xfId="2927" xr:uid="{00000000-0005-0000-0000-0000250B0000}"/>
    <cellStyle name="Millares 2 2 3 3 4 2" xfId="7859" xr:uid="{00000000-0005-0000-0000-0000260B0000}"/>
    <cellStyle name="Millares 2 2 3 3 4 2 2" xfId="17719" xr:uid="{00000000-0005-0000-0000-0000270B0000}"/>
    <cellStyle name="Millares 2 2 3 3 4 2 2 2" xfId="37434" xr:uid="{00000000-0005-0000-0000-0000280B0000}"/>
    <cellStyle name="Millares 2 2 3 3 4 2 3" xfId="27577" xr:uid="{00000000-0005-0000-0000-0000290B0000}"/>
    <cellStyle name="Millares 2 2 3 3 4 3" xfId="12791" xr:uid="{00000000-0005-0000-0000-00002A0B0000}"/>
    <cellStyle name="Millares 2 2 3 3 4 3 2" xfId="32506" xr:uid="{00000000-0005-0000-0000-00002B0B0000}"/>
    <cellStyle name="Millares 2 2 3 3 4 4" xfId="22649" xr:uid="{00000000-0005-0000-0000-00002C0B0000}"/>
    <cellStyle name="Millares 2 2 3 3 5" xfId="5395" xr:uid="{00000000-0005-0000-0000-00002D0B0000}"/>
    <cellStyle name="Millares 2 2 3 3 5 2" xfId="15255" xr:uid="{00000000-0005-0000-0000-00002E0B0000}"/>
    <cellStyle name="Millares 2 2 3 3 5 2 2" xfId="34970" xr:uid="{00000000-0005-0000-0000-00002F0B0000}"/>
    <cellStyle name="Millares 2 2 3 3 5 3" xfId="25113" xr:uid="{00000000-0005-0000-0000-0000300B0000}"/>
    <cellStyle name="Millares 2 2 3 3 6" xfId="10327" xr:uid="{00000000-0005-0000-0000-0000310B0000}"/>
    <cellStyle name="Millares 2 2 3 3 6 2" xfId="30042" xr:uid="{00000000-0005-0000-0000-0000320B0000}"/>
    <cellStyle name="Millares 2 2 3 3 7" xfId="20185" xr:uid="{00000000-0005-0000-0000-0000330B0000}"/>
    <cellStyle name="Millares 2 2 3 4" xfId="766" xr:uid="{00000000-0005-0000-0000-0000340B0000}"/>
    <cellStyle name="Millares 2 2 3 4 2" xfId="2002" xr:uid="{00000000-0005-0000-0000-0000350B0000}"/>
    <cellStyle name="Millares 2 2 3 4 2 2" xfId="4469" xr:uid="{00000000-0005-0000-0000-0000360B0000}"/>
    <cellStyle name="Millares 2 2 3 4 2 2 2" xfId="9401" xr:uid="{00000000-0005-0000-0000-0000370B0000}"/>
    <cellStyle name="Millares 2 2 3 4 2 2 2 2" xfId="19261" xr:uid="{00000000-0005-0000-0000-0000380B0000}"/>
    <cellStyle name="Millares 2 2 3 4 2 2 2 2 2" xfId="38976" xr:uid="{00000000-0005-0000-0000-0000390B0000}"/>
    <cellStyle name="Millares 2 2 3 4 2 2 2 3" xfId="29119" xr:uid="{00000000-0005-0000-0000-00003A0B0000}"/>
    <cellStyle name="Millares 2 2 3 4 2 2 3" xfId="14333" xr:uid="{00000000-0005-0000-0000-00003B0B0000}"/>
    <cellStyle name="Millares 2 2 3 4 2 2 3 2" xfId="34048" xr:uid="{00000000-0005-0000-0000-00003C0B0000}"/>
    <cellStyle name="Millares 2 2 3 4 2 2 4" xfId="24191" xr:uid="{00000000-0005-0000-0000-00003D0B0000}"/>
    <cellStyle name="Millares 2 2 3 4 2 3" xfId="6937" xr:uid="{00000000-0005-0000-0000-00003E0B0000}"/>
    <cellStyle name="Millares 2 2 3 4 2 3 2" xfId="16797" xr:uid="{00000000-0005-0000-0000-00003F0B0000}"/>
    <cellStyle name="Millares 2 2 3 4 2 3 2 2" xfId="36512" xr:uid="{00000000-0005-0000-0000-0000400B0000}"/>
    <cellStyle name="Millares 2 2 3 4 2 3 3" xfId="26655" xr:uid="{00000000-0005-0000-0000-0000410B0000}"/>
    <cellStyle name="Millares 2 2 3 4 2 4" xfId="11869" xr:uid="{00000000-0005-0000-0000-0000420B0000}"/>
    <cellStyle name="Millares 2 2 3 4 2 4 2" xfId="31584" xr:uid="{00000000-0005-0000-0000-0000430B0000}"/>
    <cellStyle name="Millares 2 2 3 4 2 5" xfId="21727" xr:uid="{00000000-0005-0000-0000-0000440B0000}"/>
    <cellStyle name="Millares 2 2 3 4 3" xfId="3237" xr:uid="{00000000-0005-0000-0000-0000450B0000}"/>
    <cellStyle name="Millares 2 2 3 4 3 2" xfId="8169" xr:uid="{00000000-0005-0000-0000-0000460B0000}"/>
    <cellStyle name="Millares 2 2 3 4 3 2 2" xfId="18029" xr:uid="{00000000-0005-0000-0000-0000470B0000}"/>
    <cellStyle name="Millares 2 2 3 4 3 2 2 2" xfId="37744" xr:uid="{00000000-0005-0000-0000-0000480B0000}"/>
    <cellStyle name="Millares 2 2 3 4 3 2 3" xfId="27887" xr:uid="{00000000-0005-0000-0000-0000490B0000}"/>
    <cellStyle name="Millares 2 2 3 4 3 3" xfId="13101" xr:uid="{00000000-0005-0000-0000-00004A0B0000}"/>
    <cellStyle name="Millares 2 2 3 4 3 3 2" xfId="32816" xr:uid="{00000000-0005-0000-0000-00004B0B0000}"/>
    <cellStyle name="Millares 2 2 3 4 3 4" xfId="22959" xr:uid="{00000000-0005-0000-0000-00004C0B0000}"/>
    <cellStyle name="Millares 2 2 3 4 4" xfId="5705" xr:uid="{00000000-0005-0000-0000-00004D0B0000}"/>
    <cellStyle name="Millares 2 2 3 4 4 2" xfId="15565" xr:uid="{00000000-0005-0000-0000-00004E0B0000}"/>
    <cellStyle name="Millares 2 2 3 4 4 2 2" xfId="35280" xr:uid="{00000000-0005-0000-0000-00004F0B0000}"/>
    <cellStyle name="Millares 2 2 3 4 4 3" xfId="25423" xr:uid="{00000000-0005-0000-0000-0000500B0000}"/>
    <cellStyle name="Millares 2 2 3 4 5" xfId="10637" xr:uid="{00000000-0005-0000-0000-0000510B0000}"/>
    <cellStyle name="Millares 2 2 3 4 5 2" xfId="30352" xr:uid="{00000000-0005-0000-0000-0000520B0000}"/>
    <cellStyle name="Millares 2 2 3 4 6" xfId="20495" xr:uid="{00000000-0005-0000-0000-0000530B0000}"/>
    <cellStyle name="Millares 2 2 3 5" xfId="1386" xr:uid="{00000000-0005-0000-0000-0000540B0000}"/>
    <cellStyle name="Millares 2 2 3 5 2" xfId="3853" xr:uid="{00000000-0005-0000-0000-0000550B0000}"/>
    <cellStyle name="Millares 2 2 3 5 2 2" xfId="8785" xr:uid="{00000000-0005-0000-0000-0000560B0000}"/>
    <cellStyle name="Millares 2 2 3 5 2 2 2" xfId="18645" xr:uid="{00000000-0005-0000-0000-0000570B0000}"/>
    <cellStyle name="Millares 2 2 3 5 2 2 2 2" xfId="38360" xr:uid="{00000000-0005-0000-0000-0000580B0000}"/>
    <cellStyle name="Millares 2 2 3 5 2 2 3" xfId="28503" xr:uid="{00000000-0005-0000-0000-0000590B0000}"/>
    <cellStyle name="Millares 2 2 3 5 2 3" xfId="13717" xr:uid="{00000000-0005-0000-0000-00005A0B0000}"/>
    <cellStyle name="Millares 2 2 3 5 2 3 2" xfId="33432" xr:uid="{00000000-0005-0000-0000-00005B0B0000}"/>
    <cellStyle name="Millares 2 2 3 5 2 4" xfId="23575" xr:uid="{00000000-0005-0000-0000-00005C0B0000}"/>
    <cellStyle name="Millares 2 2 3 5 3" xfId="6321" xr:uid="{00000000-0005-0000-0000-00005D0B0000}"/>
    <cellStyle name="Millares 2 2 3 5 3 2" xfId="16181" xr:uid="{00000000-0005-0000-0000-00005E0B0000}"/>
    <cellStyle name="Millares 2 2 3 5 3 2 2" xfId="35896" xr:uid="{00000000-0005-0000-0000-00005F0B0000}"/>
    <cellStyle name="Millares 2 2 3 5 3 3" xfId="26039" xr:uid="{00000000-0005-0000-0000-0000600B0000}"/>
    <cellStyle name="Millares 2 2 3 5 4" xfId="11253" xr:uid="{00000000-0005-0000-0000-0000610B0000}"/>
    <cellStyle name="Millares 2 2 3 5 4 2" xfId="30968" xr:uid="{00000000-0005-0000-0000-0000620B0000}"/>
    <cellStyle name="Millares 2 2 3 5 5" xfId="21111" xr:uid="{00000000-0005-0000-0000-0000630B0000}"/>
    <cellStyle name="Millares 2 2 3 6" xfId="2621" xr:uid="{00000000-0005-0000-0000-0000640B0000}"/>
    <cellStyle name="Millares 2 2 3 6 2" xfId="7553" xr:uid="{00000000-0005-0000-0000-0000650B0000}"/>
    <cellStyle name="Millares 2 2 3 6 2 2" xfId="17413" xr:uid="{00000000-0005-0000-0000-0000660B0000}"/>
    <cellStyle name="Millares 2 2 3 6 2 2 2" xfId="37128" xr:uid="{00000000-0005-0000-0000-0000670B0000}"/>
    <cellStyle name="Millares 2 2 3 6 2 3" xfId="27271" xr:uid="{00000000-0005-0000-0000-0000680B0000}"/>
    <cellStyle name="Millares 2 2 3 6 3" xfId="12485" xr:uid="{00000000-0005-0000-0000-0000690B0000}"/>
    <cellStyle name="Millares 2 2 3 6 3 2" xfId="32200" xr:uid="{00000000-0005-0000-0000-00006A0B0000}"/>
    <cellStyle name="Millares 2 2 3 6 4" xfId="22343" xr:uid="{00000000-0005-0000-0000-00006B0B0000}"/>
    <cellStyle name="Millares 2 2 3 7" xfId="5089" xr:uid="{00000000-0005-0000-0000-00006C0B0000}"/>
    <cellStyle name="Millares 2 2 3 7 2" xfId="14949" xr:uid="{00000000-0005-0000-0000-00006D0B0000}"/>
    <cellStyle name="Millares 2 2 3 7 2 2" xfId="34664" xr:uid="{00000000-0005-0000-0000-00006E0B0000}"/>
    <cellStyle name="Millares 2 2 3 7 3" xfId="24807" xr:uid="{00000000-0005-0000-0000-00006F0B0000}"/>
    <cellStyle name="Millares 2 2 3 8" xfId="10021" xr:uid="{00000000-0005-0000-0000-0000700B0000}"/>
    <cellStyle name="Millares 2 2 3 8 2" xfId="29736" xr:uid="{00000000-0005-0000-0000-0000710B0000}"/>
    <cellStyle name="Millares 2 2 3 9" xfId="19879" xr:uid="{00000000-0005-0000-0000-0000720B0000}"/>
    <cellStyle name="Millares 2 2 4" xfId="215" xr:uid="{00000000-0005-0000-0000-0000730B0000}"/>
    <cellStyle name="Millares 2 2 4 2" xfId="529" xr:uid="{00000000-0005-0000-0000-0000740B0000}"/>
    <cellStyle name="Millares 2 2 4 2 2" xfId="1149" xr:uid="{00000000-0005-0000-0000-0000750B0000}"/>
    <cellStyle name="Millares 2 2 4 2 2 2" xfId="2384" xr:uid="{00000000-0005-0000-0000-0000760B0000}"/>
    <cellStyle name="Millares 2 2 4 2 2 2 2" xfId="4851" xr:uid="{00000000-0005-0000-0000-0000770B0000}"/>
    <cellStyle name="Millares 2 2 4 2 2 2 2 2" xfId="9783" xr:uid="{00000000-0005-0000-0000-0000780B0000}"/>
    <cellStyle name="Millares 2 2 4 2 2 2 2 2 2" xfId="19643" xr:uid="{00000000-0005-0000-0000-0000790B0000}"/>
    <cellStyle name="Millares 2 2 4 2 2 2 2 2 2 2" xfId="39358" xr:uid="{00000000-0005-0000-0000-00007A0B0000}"/>
    <cellStyle name="Millares 2 2 4 2 2 2 2 2 3" xfId="29501" xr:uid="{00000000-0005-0000-0000-00007B0B0000}"/>
    <cellStyle name="Millares 2 2 4 2 2 2 2 3" xfId="14715" xr:uid="{00000000-0005-0000-0000-00007C0B0000}"/>
    <cellStyle name="Millares 2 2 4 2 2 2 2 3 2" xfId="34430" xr:uid="{00000000-0005-0000-0000-00007D0B0000}"/>
    <cellStyle name="Millares 2 2 4 2 2 2 2 4" xfId="24573" xr:uid="{00000000-0005-0000-0000-00007E0B0000}"/>
    <cellStyle name="Millares 2 2 4 2 2 2 3" xfId="7319" xr:uid="{00000000-0005-0000-0000-00007F0B0000}"/>
    <cellStyle name="Millares 2 2 4 2 2 2 3 2" xfId="17179" xr:uid="{00000000-0005-0000-0000-0000800B0000}"/>
    <cellStyle name="Millares 2 2 4 2 2 2 3 2 2" xfId="36894" xr:uid="{00000000-0005-0000-0000-0000810B0000}"/>
    <cellStyle name="Millares 2 2 4 2 2 2 3 3" xfId="27037" xr:uid="{00000000-0005-0000-0000-0000820B0000}"/>
    <cellStyle name="Millares 2 2 4 2 2 2 4" xfId="12251" xr:uid="{00000000-0005-0000-0000-0000830B0000}"/>
    <cellStyle name="Millares 2 2 4 2 2 2 4 2" xfId="31966" xr:uid="{00000000-0005-0000-0000-0000840B0000}"/>
    <cellStyle name="Millares 2 2 4 2 2 2 5" xfId="22109" xr:uid="{00000000-0005-0000-0000-0000850B0000}"/>
    <cellStyle name="Millares 2 2 4 2 2 3" xfId="3619" xr:uid="{00000000-0005-0000-0000-0000860B0000}"/>
    <cellStyle name="Millares 2 2 4 2 2 3 2" xfId="8551" xr:uid="{00000000-0005-0000-0000-0000870B0000}"/>
    <cellStyle name="Millares 2 2 4 2 2 3 2 2" xfId="18411" xr:uid="{00000000-0005-0000-0000-0000880B0000}"/>
    <cellStyle name="Millares 2 2 4 2 2 3 2 2 2" xfId="38126" xr:uid="{00000000-0005-0000-0000-0000890B0000}"/>
    <cellStyle name="Millares 2 2 4 2 2 3 2 3" xfId="28269" xr:uid="{00000000-0005-0000-0000-00008A0B0000}"/>
    <cellStyle name="Millares 2 2 4 2 2 3 3" xfId="13483" xr:uid="{00000000-0005-0000-0000-00008B0B0000}"/>
    <cellStyle name="Millares 2 2 4 2 2 3 3 2" xfId="33198" xr:uid="{00000000-0005-0000-0000-00008C0B0000}"/>
    <cellStyle name="Millares 2 2 4 2 2 3 4" xfId="23341" xr:uid="{00000000-0005-0000-0000-00008D0B0000}"/>
    <cellStyle name="Millares 2 2 4 2 2 4" xfId="6087" xr:uid="{00000000-0005-0000-0000-00008E0B0000}"/>
    <cellStyle name="Millares 2 2 4 2 2 4 2" xfId="15947" xr:uid="{00000000-0005-0000-0000-00008F0B0000}"/>
    <cellStyle name="Millares 2 2 4 2 2 4 2 2" xfId="35662" xr:uid="{00000000-0005-0000-0000-0000900B0000}"/>
    <cellStyle name="Millares 2 2 4 2 2 4 3" xfId="25805" xr:uid="{00000000-0005-0000-0000-0000910B0000}"/>
    <cellStyle name="Millares 2 2 4 2 2 5" xfId="11019" xr:uid="{00000000-0005-0000-0000-0000920B0000}"/>
    <cellStyle name="Millares 2 2 4 2 2 5 2" xfId="30734" xr:uid="{00000000-0005-0000-0000-0000930B0000}"/>
    <cellStyle name="Millares 2 2 4 2 2 6" xfId="20877" xr:uid="{00000000-0005-0000-0000-0000940B0000}"/>
    <cellStyle name="Millares 2 2 4 2 3" xfId="1768" xr:uid="{00000000-0005-0000-0000-0000950B0000}"/>
    <cellStyle name="Millares 2 2 4 2 3 2" xfId="4235" xr:uid="{00000000-0005-0000-0000-0000960B0000}"/>
    <cellStyle name="Millares 2 2 4 2 3 2 2" xfId="9167" xr:uid="{00000000-0005-0000-0000-0000970B0000}"/>
    <cellStyle name="Millares 2 2 4 2 3 2 2 2" xfId="19027" xr:uid="{00000000-0005-0000-0000-0000980B0000}"/>
    <cellStyle name="Millares 2 2 4 2 3 2 2 2 2" xfId="38742" xr:uid="{00000000-0005-0000-0000-0000990B0000}"/>
    <cellStyle name="Millares 2 2 4 2 3 2 2 3" xfId="28885" xr:uid="{00000000-0005-0000-0000-00009A0B0000}"/>
    <cellStyle name="Millares 2 2 4 2 3 2 3" xfId="14099" xr:uid="{00000000-0005-0000-0000-00009B0B0000}"/>
    <cellStyle name="Millares 2 2 4 2 3 2 3 2" xfId="33814" xr:uid="{00000000-0005-0000-0000-00009C0B0000}"/>
    <cellStyle name="Millares 2 2 4 2 3 2 4" xfId="23957" xr:uid="{00000000-0005-0000-0000-00009D0B0000}"/>
    <cellStyle name="Millares 2 2 4 2 3 3" xfId="6703" xr:uid="{00000000-0005-0000-0000-00009E0B0000}"/>
    <cellStyle name="Millares 2 2 4 2 3 3 2" xfId="16563" xr:uid="{00000000-0005-0000-0000-00009F0B0000}"/>
    <cellStyle name="Millares 2 2 4 2 3 3 2 2" xfId="36278" xr:uid="{00000000-0005-0000-0000-0000A00B0000}"/>
    <cellStyle name="Millares 2 2 4 2 3 3 3" xfId="26421" xr:uid="{00000000-0005-0000-0000-0000A10B0000}"/>
    <cellStyle name="Millares 2 2 4 2 3 4" xfId="11635" xr:uid="{00000000-0005-0000-0000-0000A20B0000}"/>
    <cellStyle name="Millares 2 2 4 2 3 4 2" xfId="31350" xr:uid="{00000000-0005-0000-0000-0000A30B0000}"/>
    <cellStyle name="Millares 2 2 4 2 3 5" xfId="21493" xr:uid="{00000000-0005-0000-0000-0000A40B0000}"/>
    <cellStyle name="Millares 2 2 4 2 4" xfId="3003" xr:uid="{00000000-0005-0000-0000-0000A50B0000}"/>
    <cellStyle name="Millares 2 2 4 2 4 2" xfId="7935" xr:uid="{00000000-0005-0000-0000-0000A60B0000}"/>
    <cellStyle name="Millares 2 2 4 2 4 2 2" xfId="17795" xr:uid="{00000000-0005-0000-0000-0000A70B0000}"/>
    <cellStyle name="Millares 2 2 4 2 4 2 2 2" xfId="37510" xr:uid="{00000000-0005-0000-0000-0000A80B0000}"/>
    <cellStyle name="Millares 2 2 4 2 4 2 3" xfId="27653" xr:uid="{00000000-0005-0000-0000-0000A90B0000}"/>
    <cellStyle name="Millares 2 2 4 2 4 3" xfId="12867" xr:uid="{00000000-0005-0000-0000-0000AA0B0000}"/>
    <cellStyle name="Millares 2 2 4 2 4 3 2" xfId="32582" xr:uid="{00000000-0005-0000-0000-0000AB0B0000}"/>
    <cellStyle name="Millares 2 2 4 2 4 4" xfId="22725" xr:uid="{00000000-0005-0000-0000-0000AC0B0000}"/>
    <cellStyle name="Millares 2 2 4 2 5" xfId="5471" xr:uid="{00000000-0005-0000-0000-0000AD0B0000}"/>
    <cellStyle name="Millares 2 2 4 2 5 2" xfId="15331" xr:uid="{00000000-0005-0000-0000-0000AE0B0000}"/>
    <cellStyle name="Millares 2 2 4 2 5 2 2" xfId="35046" xr:uid="{00000000-0005-0000-0000-0000AF0B0000}"/>
    <cellStyle name="Millares 2 2 4 2 5 3" xfId="25189" xr:uid="{00000000-0005-0000-0000-0000B00B0000}"/>
    <cellStyle name="Millares 2 2 4 2 6" xfId="10403" xr:uid="{00000000-0005-0000-0000-0000B10B0000}"/>
    <cellStyle name="Millares 2 2 4 2 6 2" xfId="30118" xr:uid="{00000000-0005-0000-0000-0000B20B0000}"/>
    <cellStyle name="Millares 2 2 4 2 7" xfId="20261" xr:uid="{00000000-0005-0000-0000-0000B30B0000}"/>
    <cellStyle name="Millares 2 2 4 3" xfId="842" xr:uid="{00000000-0005-0000-0000-0000B40B0000}"/>
    <cellStyle name="Millares 2 2 4 3 2" xfId="2078" xr:uid="{00000000-0005-0000-0000-0000B50B0000}"/>
    <cellStyle name="Millares 2 2 4 3 2 2" xfId="4545" xr:uid="{00000000-0005-0000-0000-0000B60B0000}"/>
    <cellStyle name="Millares 2 2 4 3 2 2 2" xfId="9477" xr:uid="{00000000-0005-0000-0000-0000B70B0000}"/>
    <cellStyle name="Millares 2 2 4 3 2 2 2 2" xfId="19337" xr:uid="{00000000-0005-0000-0000-0000B80B0000}"/>
    <cellStyle name="Millares 2 2 4 3 2 2 2 2 2" xfId="39052" xr:uid="{00000000-0005-0000-0000-0000B90B0000}"/>
    <cellStyle name="Millares 2 2 4 3 2 2 2 3" xfId="29195" xr:uid="{00000000-0005-0000-0000-0000BA0B0000}"/>
    <cellStyle name="Millares 2 2 4 3 2 2 3" xfId="14409" xr:uid="{00000000-0005-0000-0000-0000BB0B0000}"/>
    <cellStyle name="Millares 2 2 4 3 2 2 3 2" xfId="34124" xr:uid="{00000000-0005-0000-0000-0000BC0B0000}"/>
    <cellStyle name="Millares 2 2 4 3 2 2 4" xfId="24267" xr:uid="{00000000-0005-0000-0000-0000BD0B0000}"/>
    <cellStyle name="Millares 2 2 4 3 2 3" xfId="7013" xr:uid="{00000000-0005-0000-0000-0000BE0B0000}"/>
    <cellStyle name="Millares 2 2 4 3 2 3 2" xfId="16873" xr:uid="{00000000-0005-0000-0000-0000BF0B0000}"/>
    <cellStyle name="Millares 2 2 4 3 2 3 2 2" xfId="36588" xr:uid="{00000000-0005-0000-0000-0000C00B0000}"/>
    <cellStyle name="Millares 2 2 4 3 2 3 3" xfId="26731" xr:uid="{00000000-0005-0000-0000-0000C10B0000}"/>
    <cellStyle name="Millares 2 2 4 3 2 4" xfId="11945" xr:uid="{00000000-0005-0000-0000-0000C20B0000}"/>
    <cellStyle name="Millares 2 2 4 3 2 4 2" xfId="31660" xr:uid="{00000000-0005-0000-0000-0000C30B0000}"/>
    <cellStyle name="Millares 2 2 4 3 2 5" xfId="21803" xr:uid="{00000000-0005-0000-0000-0000C40B0000}"/>
    <cellStyle name="Millares 2 2 4 3 3" xfId="3313" xr:uid="{00000000-0005-0000-0000-0000C50B0000}"/>
    <cellStyle name="Millares 2 2 4 3 3 2" xfId="8245" xr:uid="{00000000-0005-0000-0000-0000C60B0000}"/>
    <cellStyle name="Millares 2 2 4 3 3 2 2" xfId="18105" xr:uid="{00000000-0005-0000-0000-0000C70B0000}"/>
    <cellStyle name="Millares 2 2 4 3 3 2 2 2" xfId="37820" xr:uid="{00000000-0005-0000-0000-0000C80B0000}"/>
    <cellStyle name="Millares 2 2 4 3 3 2 3" xfId="27963" xr:uid="{00000000-0005-0000-0000-0000C90B0000}"/>
    <cellStyle name="Millares 2 2 4 3 3 3" xfId="13177" xr:uid="{00000000-0005-0000-0000-0000CA0B0000}"/>
    <cellStyle name="Millares 2 2 4 3 3 3 2" xfId="32892" xr:uid="{00000000-0005-0000-0000-0000CB0B0000}"/>
    <cellStyle name="Millares 2 2 4 3 3 4" xfId="23035" xr:uid="{00000000-0005-0000-0000-0000CC0B0000}"/>
    <cellStyle name="Millares 2 2 4 3 4" xfId="5781" xr:uid="{00000000-0005-0000-0000-0000CD0B0000}"/>
    <cellStyle name="Millares 2 2 4 3 4 2" xfId="15641" xr:uid="{00000000-0005-0000-0000-0000CE0B0000}"/>
    <cellStyle name="Millares 2 2 4 3 4 2 2" xfId="35356" xr:uid="{00000000-0005-0000-0000-0000CF0B0000}"/>
    <cellStyle name="Millares 2 2 4 3 4 3" xfId="25499" xr:uid="{00000000-0005-0000-0000-0000D00B0000}"/>
    <cellStyle name="Millares 2 2 4 3 5" xfId="10713" xr:uid="{00000000-0005-0000-0000-0000D10B0000}"/>
    <cellStyle name="Millares 2 2 4 3 5 2" xfId="30428" xr:uid="{00000000-0005-0000-0000-0000D20B0000}"/>
    <cellStyle name="Millares 2 2 4 3 6" xfId="20571" xr:uid="{00000000-0005-0000-0000-0000D30B0000}"/>
    <cellStyle name="Millares 2 2 4 4" xfId="1462" xr:uid="{00000000-0005-0000-0000-0000D40B0000}"/>
    <cellStyle name="Millares 2 2 4 4 2" xfId="3929" xr:uid="{00000000-0005-0000-0000-0000D50B0000}"/>
    <cellStyle name="Millares 2 2 4 4 2 2" xfId="8861" xr:uid="{00000000-0005-0000-0000-0000D60B0000}"/>
    <cellStyle name="Millares 2 2 4 4 2 2 2" xfId="18721" xr:uid="{00000000-0005-0000-0000-0000D70B0000}"/>
    <cellStyle name="Millares 2 2 4 4 2 2 2 2" xfId="38436" xr:uid="{00000000-0005-0000-0000-0000D80B0000}"/>
    <cellStyle name="Millares 2 2 4 4 2 2 3" xfId="28579" xr:uid="{00000000-0005-0000-0000-0000D90B0000}"/>
    <cellStyle name="Millares 2 2 4 4 2 3" xfId="13793" xr:uid="{00000000-0005-0000-0000-0000DA0B0000}"/>
    <cellStyle name="Millares 2 2 4 4 2 3 2" xfId="33508" xr:uid="{00000000-0005-0000-0000-0000DB0B0000}"/>
    <cellStyle name="Millares 2 2 4 4 2 4" xfId="23651" xr:uid="{00000000-0005-0000-0000-0000DC0B0000}"/>
    <cellStyle name="Millares 2 2 4 4 3" xfId="6397" xr:uid="{00000000-0005-0000-0000-0000DD0B0000}"/>
    <cellStyle name="Millares 2 2 4 4 3 2" xfId="16257" xr:uid="{00000000-0005-0000-0000-0000DE0B0000}"/>
    <cellStyle name="Millares 2 2 4 4 3 2 2" xfId="35972" xr:uid="{00000000-0005-0000-0000-0000DF0B0000}"/>
    <cellStyle name="Millares 2 2 4 4 3 3" xfId="26115" xr:uid="{00000000-0005-0000-0000-0000E00B0000}"/>
    <cellStyle name="Millares 2 2 4 4 4" xfId="11329" xr:uid="{00000000-0005-0000-0000-0000E10B0000}"/>
    <cellStyle name="Millares 2 2 4 4 4 2" xfId="31044" xr:uid="{00000000-0005-0000-0000-0000E20B0000}"/>
    <cellStyle name="Millares 2 2 4 4 5" xfId="21187" xr:uid="{00000000-0005-0000-0000-0000E30B0000}"/>
    <cellStyle name="Millares 2 2 4 5" xfId="2697" xr:uid="{00000000-0005-0000-0000-0000E40B0000}"/>
    <cellStyle name="Millares 2 2 4 5 2" xfId="7629" xr:uid="{00000000-0005-0000-0000-0000E50B0000}"/>
    <cellStyle name="Millares 2 2 4 5 2 2" xfId="17489" xr:uid="{00000000-0005-0000-0000-0000E60B0000}"/>
    <cellStyle name="Millares 2 2 4 5 2 2 2" xfId="37204" xr:uid="{00000000-0005-0000-0000-0000E70B0000}"/>
    <cellStyle name="Millares 2 2 4 5 2 3" xfId="27347" xr:uid="{00000000-0005-0000-0000-0000E80B0000}"/>
    <cellStyle name="Millares 2 2 4 5 3" xfId="12561" xr:uid="{00000000-0005-0000-0000-0000E90B0000}"/>
    <cellStyle name="Millares 2 2 4 5 3 2" xfId="32276" xr:uid="{00000000-0005-0000-0000-0000EA0B0000}"/>
    <cellStyle name="Millares 2 2 4 5 4" xfId="22419" xr:uid="{00000000-0005-0000-0000-0000EB0B0000}"/>
    <cellStyle name="Millares 2 2 4 6" xfId="5165" xr:uid="{00000000-0005-0000-0000-0000EC0B0000}"/>
    <cellStyle name="Millares 2 2 4 6 2" xfId="15025" xr:uid="{00000000-0005-0000-0000-0000ED0B0000}"/>
    <cellStyle name="Millares 2 2 4 6 2 2" xfId="34740" xr:uid="{00000000-0005-0000-0000-0000EE0B0000}"/>
    <cellStyle name="Millares 2 2 4 6 3" xfId="24883" xr:uid="{00000000-0005-0000-0000-0000EF0B0000}"/>
    <cellStyle name="Millares 2 2 4 7" xfId="10097" xr:uid="{00000000-0005-0000-0000-0000F00B0000}"/>
    <cellStyle name="Millares 2 2 4 7 2" xfId="29812" xr:uid="{00000000-0005-0000-0000-0000F10B0000}"/>
    <cellStyle name="Millares 2 2 4 8" xfId="19955" xr:uid="{00000000-0005-0000-0000-0000F20B0000}"/>
    <cellStyle name="Millares 2 2 5" xfId="377" xr:uid="{00000000-0005-0000-0000-0000F30B0000}"/>
    <cellStyle name="Millares 2 2 5 2" xfId="997" xr:uid="{00000000-0005-0000-0000-0000F40B0000}"/>
    <cellStyle name="Millares 2 2 5 2 2" xfId="2232" xr:uid="{00000000-0005-0000-0000-0000F50B0000}"/>
    <cellStyle name="Millares 2 2 5 2 2 2" xfId="4699" xr:uid="{00000000-0005-0000-0000-0000F60B0000}"/>
    <cellStyle name="Millares 2 2 5 2 2 2 2" xfId="9631" xr:uid="{00000000-0005-0000-0000-0000F70B0000}"/>
    <cellStyle name="Millares 2 2 5 2 2 2 2 2" xfId="19491" xr:uid="{00000000-0005-0000-0000-0000F80B0000}"/>
    <cellStyle name="Millares 2 2 5 2 2 2 2 2 2" xfId="39206" xr:uid="{00000000-0005-0000-0000-0000F90B0000}"/>
    <cellStyle name="Millares 2 2 5 2 2 2 2 3" xfId="29349" xr:uid="{00000000-0005-0000-0000-0000FA0B0000}"/>
    <cellStyle name="Millares 2 2 5 2 2 2 3" xfId="14563" xr:uid="{00000000-0005-0000-0000-0000FB0B0000}"/>
    <cellStyle name="Millares 2 2 5 2 2 2 3 2" xfId="34278" xr:uid="{00000000-0005-0000-0000-0000FC0B0000}"/>
    <cellStyle name="Millares 2 2 5 2 2 2 4" xfId="24421" xr:uid="{00000000-0005-0000-0000-0000FD0B0000}"/>
    <cellStyle name="Millares 2 2 5 2 2 3" xfId="7167" xr:uid="{00000000-0005-0000-0000-0000FE0B0000}"/>
    <cellStyle name="Millares 2 2 5 2 2 3 2" xfId="17027" xr:uid="{00000000-0005-0000-0000-0000FF0B0000}"/>
    <cellStyle name="Millares 2 2 5 2 2 3 2 2" xfId="36742" xr:uid="{00000000-0005-0000-0000-0000000C0000}"/>
    <cellStyle name="Millares 2 2 5 2 2 3 3" xfId="26885" xr:uid="{00000000-0005-0000-0000-0000010C0000}"/>
    <cellStyle name="Millares 2 2 5 2 2 4" xfId="12099" xr:uid="{00000000-0005-0000-0000-0000020C0000}"/>
    <cellStyle name="Millares 2 2 5 2 2 4 2" xfId="31814" xr:uid="{00000000-0005-0000-0000-0000030C0000}"/>
    <cellStyle name="Millares 2 2 5 2 2 5" xfId="21957" xr:uid="{00000000-0005-0000-0000-0000040C0000}"/>
    <cellStyle name="Millares 2 2 5 2 3" xfId="3467" xr:uid="{00000000-0005-0000-0000-0000050C0000}"/>
    <cellStyle name="Millares 2 2 5 2 3 2" xfId="8399" xr:uid="{00000000-0005-0000-0000-0000060C0000}"/>
    <cellStyle name="Millares 2 2 5 2 3 2 2" xfId="18259" xr:uid="{00000000-0005-0000-0000-0000070C0000}"/>
    <cellStyle name="Millares 2 2 5 2 3 2 2 2" xfId="37974" xr:uid="{00000000-0005-0000-0000-0000080C0000}"/>
    <cellStyle name="Millares 2 2 5 2 3 2 3" xfId="28117" xr:uid="{00000000-0005-0000-0000-0000090C0000}"/>
    <cellStyle name="Millares 2 2 5 2 3 3" xfId="13331" xr:uid="{00000000-0005-0000-0000-00000A0C0000}"/>
    <cellStyle name="Millares 2 2 5 2 3 3 2" xfId="33046" xr:uid="{00000000-0005-0000-0000-00000B0C0000}"/>
    <cellStyle name="Millares 2 2 5 2 3 4" xfId="23189" xr:uid="{00000000-0005-0000-0000-00000C0C0000}"/>
    <cellStyle name="Millares 2 2 5 2 4" xfId="5935" xr:uid="{00000000-0005-0000-0000-00000D0C0000}"/>
    <cellStyle name="Millares 2 2 5 2 4 2" xfId="15795" xr:uid="{00000000-0005-0000-0000-00000E0C0000}"/>
    <cellStyle name="Millares 2 2 5 2 4 2 2" xfId="35510" xr:uid="{00000000-0005-0000-0000-00000F0C0000}"/>
    <cellStyle name="Millares 2 2 5 2 4 3" xfId="25653" xr:uid="{00000000-0005-0000-0000-0000100C0000}"/>
    <cellStyle name="Millares 2 2 5 2 5" xfId="10867" xr:uid="{00000000-0005-0000-0000-0000110C0000}"/>
    <cellStyle name="Millares 2 2 5 2 5 2" xfId="30582" xr:uid="{00000000-0005-0000-0000-0000120C0000}"/>
    <cellStyle name="Millares 2 2 5 2 6" xfId="20725" xr:uid="{00000000-0005-0000-0000-0000130C0000}"/>
    <cellStyle name="Millares 2 2 5 3" xfId="1616" xr:uid="{00000000-0005-0000-0000-0000140C0000}"/>
    <cellStyle name="Millares 2 2 5 3 2" xfId="4083" xr:uid="{00000000-0005-0000-0000-0000150C0000}"/>
    <cellStyle name="Millares 2 2 5 3 2 2" xfId="9015" xr:uid="{00000000-0005-0000-0000-0000160C0000}"/>
    <cellStyle name="Millares 2 2 5 3 2 2 2" xfId="18875" xr:uid="{00000000-0005-0000-0000-0000170C0000}"/>
    <cellStyle name="Millares 2 2 5 3 2 2 2 2" xfId="38590" xr:uid="{00000000-0005-0000-0000-0000180C0000}"/>
    <cellStyle name="Millares 2 2 5 3 2 2 3" xfId="28733" xr:uid="{00000000-0005-0000-0000-0000190C0000}"/>
    <cellStyle name="Millares 2 2 5 3 2 3" xfId="13947" xr:uid="{00000000-0005-0000-0000-00001A0C0000}"/>
    <cellStyle name="Millares 2 2 5 3 2 3 2" xfId="33662" xr:uid="{00000000-0005-0000-0000-00001B0C0000}"/>
    <cellStyle name="Millares 2 2 5 3 2 4" xfId="23805" xr:uid="{00000000-0005-0000-0000-00001C0C0000}"/>
    <cellStyle name="Millares 2 2 5 3 3" xfId="6551" xr:uid="{00000000-0005-0000-0000-00001D0C0000}"/>
    <cellStyle name="Millares 2 2 5 3 3 2" xfId="16411" xr:uid="{00000000-0005-0000-0000-00001E0C0000}"/>
    <cellStyle name="Millares 2 2 5 3 3 2 2" xfId="36126" xr:uid="{00000000-0005-0000-0000-00001F0C0000}"/>
    <cellStyle name="Millares 2 2 5 3 3 3" xfId="26269" xr:uid="{00000000-0005-0000-0000-0000200C0000}"/>
    <cellStyle name="Millares 2 2 5 3 4" xfId="11483" xr:uid="{00000000-0005-0000-0000-0000210C0000}"/>
    <cellStyle name="Millares 2 2 5 3 4 2" xfId="31198" xr:uid="{00000000-0005-0000-0000-0000220C0000}"/>
    <cellStyle name="Millares 2 2 5 3 5" xfId="21341" xr:uid="{00000000-0005-0000-0000-0000230C0000}"/>
    <cellStyle name="Millares 2 2 5 4" xfId="2851" xr:uid="{00000000-0005-0000-0000-0000240C0000}"/>
    <cellStyle name="Millares 2 2 5 4 2" xfId="7783" xr:uid="{00000000-0005-0000-0000-0000250C0000}"/>
    <cellStyle name="Millares 2 2 5 4 2 2" xfId="17643" xr:uid="{00000000-0005-0000-0000-0000260C0000}"/>
    <cellStyle name="Millares 2 2 5 4 2 2 2" xfId="37358" xr:uid="{00000000-0005-0000-0000-0000270C0000}"/>
    <cellStyle name="Millares 2 2 5 4 2 3" xfId="27501" xr:uid="{00000000-0005-0000-0000-0000280C0000}"/>
    <cellStyle name="Millares 2 2 5 4 3" xfId="12715" xr:uid="{00000000-0005-0000-0000-0000290C0000}"/>
    <cellStyle name="Millares 2 2 5 4 3 2" xfId="32430" xr:uid="{00000000-0005-0000-0000-00002A0C0000}"/>
    <cellStyle name="Millares 2 2 5 4 4" xfId="22573" xr:uid="{00000000-0005-0000-0000-00002B0C0000}"/>
    <cellStyle name="Millares 2 2 5 5" xfId="5319" xr:uid="{00000000-0005-0000-0000-00002C0C0000}"/>
    <cellStyle name="Millares 2 2 5 5 2" xfId="15179" xr:uid="{00000000-0005-0000-0000-00002D0C0000}"/>
    <cellStyle name="Millares 2 2 5 5 2 2" xfId="34894" xr:uid="{00000000-0005-0000-0000-00002E0C0000}"/>
    <cellStyle name="Millares 2 2 5 5 3" xfId="25037" xr:uid="{00000000-0005-0000-0000-00002F0C0000}"/>
    <cellStyle name="Millares 2 2 5 6" xfId="10251" xr:uid="{00000000-0005-0000-0000-0000300C0000}"/>
    <cellStyle name="Millares 2 2 5 6 2" xfId="29966" xr:uid="{00000000-0005-0000-0000-0000310C0000}"/>
    <cellStyle name="Millares 2 2 5 7" xfId="20109" xr:uid="{00000000-0005-0000-0000-0000320C0000}"/>
    <cellStyle name="Millares 2 2 6" xfId="690" xr:uid="{00000000-0005-0000-0000-0000330C0000}"/>
    <cellStyle name="Millares 2 2 6 2" xfId="1926" xr:uid="{00000000-0005-0000-0000-0000340C0000}"/>
    <cellStyle name="Millares 2 2 6 2 2" xfId="4393" xr:uid="{00000000-0005-0000-0000-0000350C0000}"/>
    <cellStyle name="Millares 2 2 6 2 2 2" xfId="9325" xr:uid="{00000000-0005-0000-0000-0000360C0000}"/>
    <cellStyle name="Millares 2 2 6 2 2 2 2" xfId="19185" xr:uid="{00000000-0005-0000-0000-0000370C0000}"/>
    <cellStyle name="Millares 2 2 6 2 2 2 2 2" xfId="38900" xr:uid="{00000000-0005-0000-0000-0000380C0000}"/>
    <cellStyle name="Millares 2 2 6 2 2 2 3" xfId="29043" xr:uid="{00000000-0005-0000-0000-0000390C0000}"/>
    <cellStyle name="Millares 2 2 6 2 2 3" xfId="14257" xr:uid="{00000000-0005-0000-0000-00003A0C0000}"/>
    <cellStyle name="Millares 2 2 6 2 2 3 2" xfId="33972" xr:uid="{00000000-0005-0000-0000-00003B0C0000}"/>
    <cellStyle name="Millares 2 2 6 2 2 4" xfId="24115" xr:uid="{00000000-0005-0000-0000-00003C0C0000}"/>
    <cellStyle name="Millares 2 2 6 2 3" xfId="6861" xr:uid="{00000000-0005-0000-0000-00003D0C0000}"/>
    <cellStyle name="Millares 2 2 6 2 3 2" xfId="16721" xr:uid="{00000000-0005-0000-0000-00003E0C0000}"/>
    <cellStyle name="Millares 2 2 6 2 3 2 2" xfId="36436" xr:uid="{00000000-0005-0000-0000-00003F0C0000}"/>
    <cellStyle name="Millares 2 2 6 2 3 3" xfId="26579" xr:uid="{00000000-0005-0000-0000-0000400C0000}"/>
    <cellStyle name="Millares 2 2 6 2 4" xfId="11793" xr:uid="{00000000-0005-0000-0000-0000410C0000}"/>
    <cellStyle name="Millares 2 2 6 2 4 2" xfId="31508" xr:uid="{00000000-0005-0000-0000-0000420C0000}"/>
    <cellStyle name="Millares 2 2 6 2 5" xfId="21651" xr:uid="{00000000-0005-0000-0000-0000430C0000}"/>
    <cellStyle name="Millares 2 2 6 3" xfId="3161" xr:uid="{00000000-0005-0000-0000-0000440C0000}"/>
    <cellStyle name="Millares 2 2 6 3 2" xfId="8093" xr:uid="{00000000-0005-0000-0000-0000450C0000}"/>
    <cellStyle name="Millares 2 2 6 3 2 2" xfId="17953" xr:uid="{00000000-0005-0000-0000-0000460C0000}"/>
    <cellStyle name="Millares 2 2 6 3 2 2 2" xfId="37668" xr:uid="{00000000-0005-0000-0000-0000470C0000}"/>
    <cellStyle name="Millares 2 2 6 3 2 3" xfId="27811" xr:uid="{00000000-0005-0000-0000-0000480C0000}"/>
    <cellStyle name="Millares 2 2 6 3 3" xfId="13025" xr:uid="{00000000-0005-0000-0000-0000490C0000}"/>
    <cellStyle name="Millares 2 2 6 3 3 2" xfId="32740" xr:uid="{00000000-0005-0000-0000-00004A0C0000}"/>
    <cellStyle name="Millares 2 2 6 3 4" xfId="22883" xr:uid="{00000000-0005-0000-0000-00004B0C0000}"/>
    <cellStyle name="Millares 2 2 6 4" xfId="5629" xr:uid="{00000000-0005-0000-0000-00004C0C0000}"/>
    <cellStyle name="Millares 2 2 6 4 2" xfId="15489" xr:uid="{00000000-0005-0000-0000-00004D0C0000}"/>
    <cellStyle name="Millares 2 2 6 4 2 2" xfId="35204" xr:uid="{00000000-0005-0000-0000-00004E0C0000}"/>
    <cellStyle name="Millares 2 2 6 4 3" xfId="25347" xr:uid="{00000000-0005-0000-0000-00004F0C0000}"/>
    <cellStyle name="Millares 2 2 6 5" xfId="10561" xr:uid="{00000000-0005-0000-0000-0000500C0000}"/>
    <cellStyle name="Millares 2 2 6 5 2" xfId="30276" xr:uid="{00000000-0005-0000-0000-0000510C0000}"/>
    <cellStyle name="Millares 2 2 6 6" xfId="20419" xr:uid="{00000000-0005-0000-0000-0000520C0000}"/>
    <cellStyle name="Millares 2 2 7" xfId="1310" xr:uid="{00000000-0005-0000-0000-0000530C0000}"/>
    <cellStyle name="Millares 2 2 7 2" xfId="3777" xr:uid="{00000000-0005-0000-0000-0000540C0000}"/>
    <cellStyle name="Millares 2 2 7 2 2" xfId="8709" xr:uid="{00000000-0005-0000-0000-0000550C0000}"/>
    <cellStyle name="Millares 2 2 7 2 2 2" xfId="18569" xr:uid="{00000000-0005-0000-0000-0000560C0000}"/>
    <cellStyle name="Millares 2 2 7 2 2 2 2" xfId="38284" xr:uid="{00000000-0005-0000-0000-0000570C0000}"/>
    <cellStyle name="Millares 2 2 7 2 2 3" xfId="28427" xr:uid="{00000000-0005-0000-0000-0000580C0000}"/>
    <cellStyle name="Millares 2 2 7 2 3" xfId="13641" xr:uid="{00000000-0005-0000-0000-0000590C0000}"/>
    <cellStyle name="Millares 2 2 7 2 3 2" xfId="33356" xr:uid="{00000000-0005-0000-0000-00005A0C0000}"/>
    <cellStyle name="Millares 2 2 7 2 4" xfId="23499" xr:uid="{00000000-0005-0000-0000-00005B0C0000}"/>
    <cellStyle name="Millares 2 2 7 3" xfId="6245" xr:uid="{00000000-0005-0000-0000-00005C0C0000}"/>
    <cellStyle name="Millares 2 2 7 3 2" xfId="16105" xr:uid="{00000000-0005-0000-0000-00005D0C0000}"/>
    <cellStyle name="Millares 2 2 7 3 2 2" xfId="35820" xr:uid="{00000000-0005-0000-0000-00005E0C0000}"/>
    <cellStyle name="Millares 2 2 7 3 3" xfId="25963" xr:uid="{00000000-0005-0000-0000-00005F0C0000}"/>
    <cellStyle name="Millares 2 2 7 4" xfId="11177" xr:uid="{00000000-0005-0000-0000-0000600C0000}"/>
    <cellStyle name="Millares 2 2 7 4 2" xfId="30892" xr:uid="{00000000-0005-0000-0000-0000610C0000}"/>
    <cellStyle name="Millares 2 2 7 5" xfId="21035" xr:uid="{00000000-0005-0000-0000-0000620C0000}"/>
    <cellStyle name="Millares 2 2 8" xfId="2545" xr:uid="{00000000-0005-0000-0000-0000630C0000}"/>
    <cellStyle name="Millares 2 2 8 2" xfId="7477" xr:uid="{00000000-0005-0000-0000-0000640C0000}"/>
    <cellStyle name="Millares 2 2 8 2 2" xfId="17337" xr:uid="{00000000-0005-0000-0000-0000650C0000}"/>
    <cellStyle name="Millares 2 2 8 2 2 2" xfId="37052" xr:uid="{00000000-0005-0000-0000-0000660C0000}"/>
    <cellStyle name="Millares 2 2 8 2 3" xfId="27195" xr:uid="{00000000-0005-0000-0000-0000670C0000}"/>
    <cellStyle name="Millares 2 2 8 3" xfId="12409" xr:uid="{00000000-0005-0000-0000-0000680C0000}"/>
    <cellStyle name="Millares 2 2 8 3 2" xfId="32124" xr:uid="{00000000-0005-0000-0000-0000690C0000}"/>
    <cellStyle name="Millares 2 2 8 4" xfId="22267" xr:uid="{00000000-0005-0000-0000-00006A0C0000}"/>
    <cellStyle name="Millares 2 2 9" xfId="5013" xr:uid="{00000000-0005-0000-0000-00006B0C0000}"/>
    <cellStyle name="Millares 2 2 9 2" xfId="14873" xr:uid="{00000000-0005-0000-0000-00006C0C0000}"/>
    <cellStyle name="Millares 2 2 9 2 2" xfId="34588" xr:uid="{00000000-0005-0000-0000-00006D0C0000}"/>
    <cellStyle name="Millares 2 2 9 3" xfId="24731" xr:uid="{00000000-0005-0000-0000-00006E0C0000}"/>
    <cellStyle name="Millares 2 3" xfId="72" xr:uid="{00000000-0005-0000-0000-00006F0C0000}"/>
    <cellStyle name="Millares 2 3 10" xfId="19822" xr:uid="{00000000-0005-0000-0000-0000700C0000}"/>
    <cellStyle name="Millares 2 3 2" xfId="153" xr:uid="{00000000-0005-0000-0000-0000710C0000}"/>
    <cellStyle name="Millares 2 3 2 2" xfId="310" xr:uid="{00000000-0005-0000-0000-0000720C0000}"/>
    <cellStyle name="Millares 2 3 2 2 2" xfId="624" xr:uid="{00000000-0005-0000-0000-0000730C0000}"/>
    <cellStyle name="Millares 2 3 2 2 2 2" xfId="1244" xr:uid="{00000000-0005-0000-0000-0000740C0000}"/>
    <cellStyle name="Millares 2 3 2 2 2 2 2" xfId="2479" xr:uid="{00000000-0005-0000-0000-0000750C0000}"/>
    <cellStyle name="Millares 2 3 2 2 2 2 2 2" xfId="4946" xr:uid="{00000000-0005-0000-0000-0000760C0000}"/>
    <cellStyle name="Millares 2 3 2 2 2 2 2 2 2" xfId="9878" xr:uid="{00000000-0005-0000-0000-0000770C0000}"/>
    <cellStyle name="Millares 2 3 2 2 2 2 2 2 2 2" xfId="19738" xr:uid="{00000000-0005-0000-0000-0000780C0000}"/>
    <cellStyle name="Millares 2 3 2 2 2 2 2 2 2 2 2" xfId="39453" xr:uid="{00000000-0005-0000-0000-0000790C0000}"/>
    <cellStyle name="Millares 2 3 2 2 2 2 2 2 2 3" xfId="29596" xr:uid="{00000000-0005-0000-0000-00007A0C0000}"/>
    <cellStyle name="Millares 2 3 2 2 2 2 2 2 3" xfId="14810" xr:uid="{00000000-0005-0000-0000-00007B0C0000}"/>
    <cellStyle name="Millares 2 3 2 2 2 2 2 2 3 2" xfId="34525" xr:uid="{00000000-0005-0000-0000-00007C0C0000}"/>
    <cellStyle name="Millares 2 3 2 2 2 2 2 2 4" xfId="24668" xr:uid="{00000000-0005-0000-0000-00007D0C0000}"/>
    <cellStyle name="Millares 2 3 2 2 2 2 2 3" xfId="7414" xr:uid="{00000000-0005-0000-0000-00007E0C0000}"/>
    <cellStyle name="Millares 2 3 2 2 2 2 2 3 2" xfId="17274" xr:uid="{00000000-0005-0000-0000-00007F0C0000}"/>
    <cellStyle name="Millares 2 3 2 2 2 2 2 3 2 2" xfId="36989" xr:uid="{00000000-0005-0000-0000-0000800C0000}"/>
    <cellStyle name="Millares 2 3 2 2 2 2 2 3 3" xfId="27132" xr:uid="{00000000-0005-0000-0000-0000810C0000}"/>
    <cellStyle name="Millares 2 3 2 2 2 2 2 4" xfId="12346" xr:uid="{00000000-0005-0000-0000-0000820C0000}"/>
    <cellStyle name="Millares 2 3 2 2 2 2 2 4 2" xfId="32061" xr:uid="{00000000-0005-0000-0000-0000830C0000}"/>
    <cellStyle name="Millares 2 3 2 2 2 2 2 5" xfId="22204" xr:uid="{00000000-0005-0000-0000-0000840C0000}"/>
    <cellStyle name="Millares 2 3 2 2 2 2 3" xfId="3714" xr:uid="{00000000-0005-0000-0000-0000850C0000}"/>
    <cellStyle name="Millares 2 3 2 2 2 2 3 2" xfId="8646" xr:uid="{00000000-0005-0000-0000-0000860C0000}"/>
    <cellStyle name="Millares 2 3 2 2 2 2 3 2 2" xfId="18506" xr:uid="{00000000-0005-0000-0000-0000870C0000}"/>
    <cellStyle name="Millares 2 3 2 2 2 2 3 2 2 2" xfId="38221" xr:uid="{00000000-0005-0000-0000-0000880C0000}"/>
    <cellStyle name="Millares 2 3 2 2 2 2 3 2 3" xfId="28364" xr:uid="{00000000-0005-0000-0000-0000890C0000}"/>
    <cellStyle name="Millares 2 3 2 2 2 2 3 3" xfId="13578" xr:uid="{00000000-0005-0000-0000-00008A0C0000}"/>
    <cellStyle name="Millares 2 3 2 2 2 2 3 3 2" xfId="33293" xr:uid="{00000000-0005-0000-0000-00008B0C0000}"/>
    <cellStyle name="Millares 2 3 2 2 2 2 3 4" xfId="23436" xr:uid="{00000000-0005-0000-0000-00008C0C0000}"/>
    <cellStyle name="Millares 2 3 2 2 2 2 4" xfId="6182" xr:uid="{00000000-0005-0000-0000-00008D0C0000}"/>
    <cellStyle name="Millares 2 3 2 2 2 2 4 2" xfId="16042" xr:uid="{00000000-0005-0000-0000-00008E0C0000}"/>
    <cellStyle name="Millares 2 3 2 2 2 2 4 2 2" xfId="35757" xr:uid="{00000000-0005-0000-0000-00008F0C0000}"/>
    <cellStyle name="Millares 2 3 2 2 2 2 4 3" xfId="25900" xr:uid="{00000000-0005-0000-0000-0000900C0000}"/>
    <cellStyle name="Millares 2 3 2 2 2 2 5" xfId="11114" xr:uid="{00000000-0005-0000-0000-0000910C0000}"/>
    <cellStyle name="Millares 2 3 2 2 2 2 5 2" xfId="30829" xr:uid="{00000000-0005-0000-0000-0000920C0000}"/>
    <cellStyle name="Millares 2 3 2 2 2 2 6" xfId="20972" xr:uid="{00000000-0005-0000-0000-0000930C0000}"/>
    <cellStyle name="Millares 2 3 2 2 2 3" xfId="1863" xr:uid="{00000000-0005-0000-0000-0000940C0000}"/>
    <cellStyle name="Millares 2 3 2 2 2 3 2" xfId="4330" xr:uid="{00000000-0005-0000-0000-0000950C0000}"/>
    <cellStyle name="Millares 2 3 2 2 2 3 2 2" xfId="9262" xr:uid="{00000000-0005-0000-0000-0000960C0000}"/>
    <cellStyle name="Millares 2 3 2 2 2 3 2 2 2" xfId="19122" xr:uid="{00000000-0005-0000-0000-0000970C0000}"/>
    <cellStyle name="Millares 2 3 2 2 2 3 2 2 2 2" xfId="38837" xr:uid="{00000000-0005-0000-0000-0000980C0000}"/>
    <cellStyle name="Millares 2 3 2 2 2 3 2 2 3" xfId="28980" xr:uid="{00000000-0005-0000-0000-0000990C0000}"/>
    <cellStyle name="Millares 2 3 2 2 2 3 2 3" xfId="14194" xr:uid="{00000000-0005-0000-0000-00009A0C0000}"/>
    <cellStyle name="Millares 2 3 2 2 2 3 2 3 2" xfId="33909" xr:uid="{00000000-0005-0000-0000-00009B0C0000}"/>
    <cellStyle name="Millares 2 3 2 2 2 3 2 4" xfId="24052" xr:uid="{00000000-0005-0000-0000-00009C0C0000}"/>
    <cellStyle name="Millares 2 3 2 2 2 3 3" xfId="6798" xr:uid="{00000000-0005-0000-0000-00009D0C0000}"/>
    <cellStyle name="Millares 2 3 2 2 2 3 3 2" xfId="16658" xr:uid="{00000000-0005-0000-0000-00009E0C0000}"/>
    <cellStyle name="Millares 2 3 2 2 2 3 3 2 2" xfId="36373" xr:uid="{00000000-0005-0000-0000-00009F0C0000}"/>
    <cellStyle name="Millares 2 3 2 2 2 3 3 3" xfId="26516" xr:uid="{00000000-0005-0000-0000-0000A00C0000}"/>
    <cellStyle name="Millares 2 3 2 2 2 3 4" xfId="11730" xr:uid="{00000000-0005-0000-0000-0000A10C0000}"/>
    <cellStyle name="Millares 2 3 2 2 2 3 4 2" xfId="31445" xr:uid="{00000000-0005-0000-0000-0000A20C0000}"/>
    <cellStyle name="Millares 2 3 2 2 2 3 5" xfId="21588" xr:uid="{00000000-0005-0000-0000-0000A30C0000}"/>
    <cellStyle name="Millares 2 3 2 2 2 4" xfId="3098" xr:uid="{00000000-0005-0000-0000-0000A40C0000}"/>
    <cellStyle name="Millares 2 3 2 2 2 4 2" xfId="8030" xr:uid="{00000000-0005-0000-0000-0000A50C0000}"/>
    <cellStyle name="Millares 2 3 2 2 2 4 2 2" xfId="17890" xr:uid="{00000000-0005-0000-0000-0000A60C0000}"/>
    <cellStyle name="Millares 2 3 2 2 2 4 2 2 2" xfId="37605" xr:uid="{00000000-0005-0000-0000-0000A70C0000}"/>
    <cellStyle name="Millares 2 3 2 2 2 4 2 3" xfId="27748" xr:uid="{00000000-0005-0000-0000-0000A80C0000}"/>
    <cellStyle name="Millares 2 3 2 2 2 4 3" xfId="12962" xr:uid="{00000000-0005-0000-0000-0000A90C0000}"/>
    <cellStyle name="Millares 2 3 2 2 2 4 3 2" xfId="32677" xr:uid="{00000000-0005-0000-0000-0000AA0C0000}"/>
    <cellStyle name="Millares 2 3 2 2 2 4 4" xfId="22820" xr:uid="{00000000-0005-0000-0000-0000AB0C0000}"/>
    <cellStyle name="Millares 2 3 2 2 2 5" xfId="5566" xr:uid="{00000000-0005-0000-0000-0000AC0C0000}"/>
    <cellStyle name="Millares 2 3 2 2 2 5 2" xfId="15426" xr:uid="{00000000-0005-0000-0000-0000AD0C0000}"/>
    <cellStyle name="Millares 2 3 2 2 2 5 2 2" xfId="35141" xr:uid="{00000000-0005-0000-0000-0000AE0C0000}"/>
    <cellStyle name="Millares 2 3 2 2 2 5 3" xfId="25284" xr:uid="{00000000-0005-0000-0000-0000AF0C0000}"/>
    <cellStyle name="Millares 2 3 2 2 2 6" xfId="10498" xr:uid="{00000000-0005-0000-0000-0000B00C0000}"/>
    <cellStyle name="Millares 2 3 2 2 2 6 2" xfId="30213" xr:uid="{00000000-0005-0000-0000-0000B10C0000}"/>
    <cellStyle name="Millares 2 3 2 2 2 7" xfId="20356" xr:uid="{00000000-0005-0000-0000-0000B20C0000}"/>
    <cellStyle name="Millares 2 3 2 2 3" xfId="937" xr:uid="{00000000-0005-0000-0000-0000B30C0000}"/>
    <cellStyle name="Millares 2 3 2 2 3 2" xfId="2173" xr:uid="{00000000-0005-0000-0000-0000B40C0000}"/>
    <cellStyle name="Millares 2 3 2 2 3 2 2" xfId="4640" xr:uid="{00000000-0005-0000-0000-0000B50C0000}"/>
    <cellStyle name="Millares 2 3 2 2 3 2 2 2" xfId="9572" xr:uid="{00000000-0005-0000-0000-0000B60C0000}"/>
    <cellStyle name="Millares 2 3 2 2 3 2 2 2 2" xfId="19432" xr:uid="{00000000-0005-0000-0000-0000B70C0000}"/>
    <cellStyle name="Millares 2 3 2 2 3 2 2 2 2 2" xfId="39147" xr:uid="{00000000-0005-0000-0000-0000B80C0000}"/>
    <cellStyle name="Millares 2 3 2 2 3 2 2 2 3" xfId="29290" xr:uid="{00000000-0005-0000-0000-0000B90C0000}"/>
    <cellStyle name="Millares 2 3 2 2 3 2 2 3" xfId="14504" xr:uid="{00000000-0005-0000-0000-0000BA0C0000}"/>
    <cellStyle name="Millares 2 3 2 2 3 2 2 3 2" xfId="34219" xr:uid="{00000000-0005-0000-0000-0000BB0C0000}"/>
    <cellStyle name="Millares 2 3 2 2 3 2 2 4" xfId="24362" xr:uid="{00000000-0005-0000-0000-0000BC0C0000}"/>
    <cellStyle name="Millares 2 3 2 2 3 2 3" xfId="7108" xr:uid="{00000000-0005-0000-0000-0000BD0C0000}"/>
    <cellStyle name="Millares 2 3 2 2 3 2 3 2" xfId="16968" xr:uid="{00000000-0005-0000-0000-0000BE0C0000}"/>
    <cellStyle name="Millares 2 3 2 2 3 2 3 2 2" xfId="36683" xr:uid="{00000000-0005-0000-0000-0000BF0C0000}"/>
    <cellStyle name="Millares 2 3 2 2 3 2 3 3" xfId="26826" xr:uid="{00000000-0005-0000-0000-0000C00C0000}"/>
    <cellStyle name="Millares 2 3 2 2 3 2 4" xfId="12040" xr:uid="{00000000-0005-0000-0000-0000C10C0000}"/>
    <cellStyle name="Millares 2 3 2 2 3 2 4 2" xfId="31755" xr:uid="{00000000-0005-0000-0000-0000C20C0000}"/>
    <cellStyle name="Millares 2 3 2 2 3 2 5" xfId="21898" xr:uid="{00000000-0005-0000-0000-0000C30C0000}"/>
    <cellStyle name="Millares 2 3 2 2 3 3" xfId="3408" xr:uid="{00000000-0005-0000-0000-0000C40C0000}"/>
    <cellStyle name="Millares 2 3 2 2 3 3 2" xfId="8340" xr:uid="{00000000-0005-0000-0000-0000C50C0000}"/>
    <cellStyle name="Millares 2 3 2 2 3 3 2 2" xfId="18200" xr:uid="{00000000-0005-0000-0000-0000C60C0000}"/>
    <cellStyle name="Millares 2 3 2 2 3 3 2 2 2" xfId="37915" xr:uid="{00000000-0005-0000-0000-0000C70C0000}"/>
    <cellStyle name="Millares 2 3 2 2 3 3 2 3" xfId="28058" xr:uid="{00000000-0005-0000-0000-0000C80C0000}"/>
    <cellStyle name="Millares 2 3 2 2 3 3 3" xfId="13272" xr:uid="{00000000-0005-0000-0000-0000C90C0000}"/>
    <cellStyle name="Millares 2 3 2 2 3 3 3 2" xfId="32987" xr:uid="{00000000-0005-0000-0000-0000CA0C0000}"/>
    <cellStyle name="Millares 2 3 2 2 3 3 4" xfId="23130" xr:uid="{00000000-0005-0000-0000-0000CB0C0000}"/>
    <cellStyle name="Millares 2 3 2 2 3 4" xfId="5876" xr:uid="{00000000-0005-0000-0000-0000CC0C0000}"/>
    <cellStyle name="Millares 2 3 2 2 3 4 2" xfId="15736" xr:uid="{00000000-0005-0000-0000-0000CD0C0000}"/>
    <cellStyle name="Millares 2 3 2 2 3 4 2 2" xfId="35451" xr:uid="{00000000-0005-0000-0000-0000CE0C0000}"/>
    <cellStyle name="Millares 2 3 2 2 3 4 3" xfId="25594" xr:uid="{00000000-0005-0000-0000-0000CF0C0000}"/>
    <cellStyle name="Millares 2 3 2 2 3 5" xfId="10808" xr:uid="{00000000-0005-0000-0000-0000D00C0000}"/>
    <cellStyle name="Millares 2 3 2 2 3 5 2" xfId="30523" xr:uid="{00000000-0005-0000-0000-0000D10C0000}"/>
    <cellStyle name="Millares 2 3 2 2 3 6" xfId="20666" xr:uid="{00000000-0005-0000-0000-0000D20C0000}"/>
    <cellStyle name="Millares 2 3 2 2 4" xfId="1557" xr:uid="{00000000-0005-0000-0000-0000D30C0000}"/>
    <cellStyle name="Millares 2 3 2 2 4 2" xfId="4024" xr:uid="{00000000-0005-0000-0000-0000D40C0000}"/>
    <cellStyle name="Millares 2 3 2 2 4 2 2" xfId="8956" xr:uid="{00000000-0005-0000-0000-0000D50C0000}"/>
    <cellStyle name="Millares 2 3 2 2 4 2 2 2" xfId="18816" xr:uid="{00000000-0005-0000-0000-0000D60C0000}"/>
    <cellStyle name="Millares 2 3 2 2 4 2 2 2 2" xfId="38531" xr:uid="{00000000-0005-0000-0000-0000D70C0000}"/>
    <cellStyle name="Millares 2 3 2 2 4 2 2 3" xfId="28674" xr:uid="{00000000-0005-0000-0000-0000D80C0000}"/>
    <cellStyle name="Millares 2 3 2 2 4 2 3" xfId="13888" xr:uid="{00000000-0005-0000-0000-0000D90C0000}"/>
    <cellStyle name="Millares 2 3 2 2 4 2 3 2" xfId="33603" xr:uid="{00000000-0005-0000-0000-0000DA0C0000}"/>
    <cellStyle name="Millares 2 3 2 2 4 2 4" xfId="23746" xr:uid="{00000000-0005-0000-0000-0000DB0C0000}"/>
    <cellStyle name="Millares 2 3 2 2 4 3" xfId="6492" xr:uid="{00000000-0005-0000-0000-0000DC0C0000}"/>
    <cellStyle name="Millares 2 3 2 2 4 3 2" xfId="16352" xr:uid="{00000000-0005-0000-0000-0000DD0C0000}"/>
    <cellStyle name="Millares 2 3 2 2 4 3 2 2" xfId="36067" xr:uid="{00000000-0005-0000-0000-0000DE0C0000}"/>
    <cellStyle name="Millares 2 3 2 2 4 3 3" xfId="26210" xr:uid="{00000000-0005-0000-0000-0000DF0C0000}"/>
    <cellStyle name="Millares 2 3 2 2 4 4" xfId="11424" xr:uid="{00000000-0005-0000-0000-0000E00C0000}"/>
    <cellStyle name="Millares 2 3 2 2 4 4 2" xfId="31139" xr:uid="{00000000-0005-0000-0000-0000E10C0000}"/>
    <cellStyle name="Millares 2 3 2 2 4 5" xfId="21282" xr:uid="{00000000-0005-0000-0000-0000E20C0000}"/>
    <cellStyle name="Millares 2 3 2 2 5" xfId="2792" xr:uid="{00000000-0005-0000-0000-0000E30C0000}"/>
    <cellStyle name="Millares 2 3 2 2 5 2" xfId="7724" xr:uid="{00000000-0005-0000-0000-0000E40C0000}"/>
    <cellStyle name="Millares 2 3 2 2 5 2 2" xfId="17584" xr:uid="{00000000-0005-0000-0000-0000E50C0000}"/>
    <cellStyle name="Millares 2 3 2 2 5 2 2 2" xfId="37299" xr:uid="{00000000-0005-0000-0000-0000E60C0000}"/>
    <cellStyle name="Millares 2 3 2 2 5 2 3" xfId="27442" xr:uid="{00000000-0005-0000-0000-0000E70C0000}"/>
    <cellStyle name="Millares 2 3 2 2 5 3" xfId="12656" xr:uid="{00000000-0005-0000-0000-0000E80C0000}"/>
    <cellStyle name="Millares 2 3 2 2 5 3 2" xfId="32371" xr:uid="{00000000-0005-0000-0000-0000E90C0000}"/>
    <cellStyle name="Millares 2 3 2 2 5 4" xfId="22514" xr:uid="{00000000-0005-0000-0000-0000EA0C0000}"/>
    <cellStyle name="Millares 2 3 2 2 6" xfId="5260" xr:uid="{00000000-0005-0000-0000-0000EB0C0000}"/>
    <cellStyle name="Millares 2 3 2 2 6 2" xfId="15120" xr:uid="{00000000-0005-0000-0000-0000EC0C0000}"/>
    <cellStyle name="Millares 2 3 2 2 6 2 2" xfId="34835" xr:uid="{00000000-0005-0000-0000-0000ED0C0000}"/>
    <cellStyle name="Millares 2 3 2 2 6 3" xfId="24978" xr:uid="{00000000-0005-0000-0000-0000EE0C0000}"/>
    <cellStyle name="Millares 2 3 2 2 7" xfId="10192" xr:uid="{00000000-0005-0000-0000-0000EF0C0000}"/>
    <cellStyle name="Millares 2 3 2 2 7 2" xfId="29907" xr:uid="{00000000-0005-0000-0000-0000F00C0000}"/>
    <cellStyle name="Millares 2 3 2 2 8" xfId="20050" xr:uid="{00000000-0005-0000-0000-0000F10C0000}"/>
    <cellStyle name="Millares 2 3 2 3" xfId="472" xr:uid="{00000000-0005-0000-0000-0000F20C0000}"/>
    <cellStyle name="Millares 2 3 2 3 2" xfId="1092" xr:uid="{00000000-0005-0000-0000-0000F30C0000}"/>
    <cellStyle name="Millares 2 3 2 3 2 2" xfId="2327" xr:uid="{00000000-0005-0000-0000-0000F40C0000}"/>
    <cellStyle name="Millares 2 3 2 3 2 2 2" xfId="4794" xr:uid="{00000000-0005-0000-0000-0000F50C0000}"/>
    <cellStyle name="Millares 2 3 2 3 2 2 2 2" xfId="9726" xr:uid="{00000000-0005-0000-0000-0000F60C0000}"/>
    <cellStyle name="Millares 2 3 2 3 2 2 2 2 2" xfId="19586" xr:uid="{00000000-0005-0000-0000-0000F70C0000}"/>
    <cellStyle name="Millares 2 3 2 3 2 2 2 2 2 2" xfId="39301" xr:uid="{00000000-0005-0000-0000-0000F80C0000}"/>
    <cellStyle name="Millares 2 3 2 3 2 2 2 2 3" xfId="29444" xr:uid="{00000000-0005-0000-0000-0000F90C0000}"/>
    <cellStyle name="Millares 2 3 2 3 2 2 2 3" xfId="14658" xr:uid="{00000000-0005-0000-0000-0000FA0C0000}"/>
    <cellStyle name="Millares 2 3 2 3 2 2 2 3 2" xfId="34373" xr:uid="{00000000-0005-0000-0000-0000FB0C0000}"/>
    <cellStyle name="Millares 2 3 2 3 2 2 2 4" xfId="24516" xr:uid="{00000000-0005-0000-0000-0000FC0C0000}"/>
    <cellStyle name="Millares 2 3 2 3 2 2 3" xfId="7262" xr:uid="{00000000-0005-0000-0000-0000FD0C0000}"/>
    <cellStyle name="Millares 2 3 2 3 2 2 3 2" xfId="17122" xr:uid="{00000000-0005-0000-0000-0000FE0C0000}"/>
    <cellStyle name="Millares 2 3 2 3 2 2 3 2 2" xfId="36837" xr:uid="{00000000-0005-0000-0000-0000FF0C0000}"/>
    <cellStyle name="Millares 2 3 2 3 2 2 3 3" xfId="26980" xr:uid="{00000000-0005-0000-0000-0000000D0000}"/>
    <cellStyle name="Millares 2 3 2 3 2 2 4" xfId="12194" xr:uid="{00000000-0005-0000-0000-0000010D0000}"/>
    <cellStyle name="Millares 2 3 2 3 2 2 4 2" xfId="31909" xr:uid="{00000000-0005-0000-0000-0000020D0000}"/>
    <cellStyle name="Millares 2 3 2 3 2 2 5" xfId="22052" xr:uid="{00000000-0005-0000-0000-0000030D0000}"/>
    <cellStyle name="Millares 2 3 2 3 2 3" xfId="3562" xr:uid="{00000000-0005-0000-0000-0000040D0000}"/>
    <cellStyle name="Millares 2 3 2 3 2 3 2" xfId="8494" xr:uid="{00000000-0005-0000-0000-0000050D0000}"/>
    <cellStyle name="Millares 2 3 2 3 2 3 2 2" xfId="18354" xr:uid="{00000000-0005-0000-0000-0000060D0000}"/>
    <cellStyle name="Millares 2 3 2 3 2 3 2 2 2" xfId="38069" xr:uid="{00000000-0005-0000-0000-0000070D0000}"/>
    <cellStyle name="Millares 2 3 2 3 2 3 2 3" xfId="28212" xr:uid="{00000000-0005-0000-0000-0000080D0000}"/>
    <cellStyle name="Millares 2 3 2 3 2 3 3" xfId="13426" xr:uid="{00000000-0005-0000-0000-0000090D0000}"/>
    <cellStyle name="Millares 2 3 2 3 2 3 3 2" xfId="33141" xr:uid="{00000000-0005-0000-0000-00000A0D0000}"/>
    <cellStyle name="Millares 2 3 2 3 2 3 4" xfId="23284" xr:uid="{00000000-0005-0000-0000-00000B0D0000}"/>
    <cellStyle name="Millares 2 3 2 3 2 4" xfId="6030" xr:uid="{00000000-0005-0000-0000-00000C0D0000}"/>
    <cellStyle name="Millares 2 3 2 3 2 4 2" xfId="15890" xr:uid="{00000000-0005-0000-0000-00000D0D0000}"/>
    <cellStyle name="Millares 2 3 2 3 2 4 2 2" xfId="35605" xr:uid="{00000000-0005-0000-0000-00000E0D0000}"/>
    <cellStyle name="Millares 2 3 2 3 2 4 3" xfId="25748" xr:uid="{00000000-0005-0000-0000-00000F0D0000}"/>
    <cellStyle name="Millares 2 3 2 3 2 5" xfId="10962" xr:uid="{00000000-0005-0000-0000-0000100D0000}"/>
    <cellStyle name="Millares 2 3 2 3 2 5 2" xfId="30677" xr:uid="{00000000-0005-0000-0000-0000110D0000}"/>
    <cellStyle name="Millares 2 3 2 3 2 6" xfId="20820" xr:uid="{00000000-0005-0000-0000-0000120D0000}"/>
    <cellStyle name="Millares 2 3 2 3 3" xfId="1711" xr:uid="{00000000-0005-0000-0000-0000130D0000}"/>
    <cellStyle name="Millares 2 3 2 3 3 2" xfId="4178" xr:uid="{00000000-0005-0000-0000-0000140D0000}"/>
    <cellStyle name="Millares 2 3 2 3 3 2 2" xfId="9110" xr:uid="{00000000-0005-0000-0000-0000150D0000}"/>
    <cellStyle name="Millares 2 3 2 3 3 2 2 2" xfId="18970" xr:uid="{00000000-0005-0000-0000-0000160D0000}"/>
    <cellStyle name="Millares 2 3 2 3 3 2 2 2 2" xfId="38685" xr:uid="{00000000-0005-0000-0000-0000170D0000}"/>
    <cellStyle name="Millares 2 3 2 3 3 2 2 3" xfId="28828" xr:uid="{00000000-0005-0000-0000-0000180D0000}"/>
    <cellStyle name="Millares 2 3 2 3 3 2 3" xfId="14042" xr:uid="{00000000-0005-0000-0000-0000190D0000}"/>
    <cellStyle name="Millares 2 3 2 3 3 2 3 2" xfId="33757" xr:uid="{00000000-0005-0000-0000-00001A0D0000}"/>
    <cellStyle name="Millares 2 3 2 3 3 2 4" xfId="23900" xr:uid="{00000000-0005-0000-0000-00001B0D0000}"/>
    <cellStyle name="Millares 2 3 2 3 3 3" xfId="6646" xr:uid="{00000000-0005-0000-0000-00001C0D0000}"/>
    <cellStyle name="Millares 2 3 2 3 3 3 2" xfId="16506" xr:uid="{00000000-0005-0000-0000-00001D0D0000}"/>
    <cellStyle name="Millares 2 3 2 3 3 3 2 2" xfId="36221" xr:uid="{00000000-0005-0000-0000-00001E0D0000}"/>
    <cellStyle name="Millares 2 3 2 3 3 3 3" xfId="26364" xr:uid="{00000000-0005-0000-0000-00001F0D0000}"/>
    <cellStyle name="Millares 2 3 2 3 3 4" xfId="11578" xr:uid="{00000000-0005-0000-0000-0000200D0000}"/>
    <cellStyle name="Millares 2 3 2 3 3 4 2" xfId="31293" xr:uid="{00000000-0005-0000-0000-0000210D0000}"/>
    <cellStyle name="Millares 2 3 2 3 3 5" xfId="21436" xr:uid="{00000000-0005-0000-0000-0000220D0000}"/>
    <cellStyle name="Millares 2 3 2 3 4" xfId="2946" xr:uid="{00000000-0005-0000-0000-0000230D0000}"/>
    <cellStyle name="Millares 2 3 2 3 4 2" xfId="7878" xr:uid="{00000000-0005-0000-0000-0000240D0000}"/>
    <cellStyle name="Millares 2 3 2 3 4 2 2" xfId="17738" xr:uid="{00000000-0005-0000-0000-0000250D0000}"/>
    <cellStyle name="Millares 2 3 2 3 4 2 2 2" xfId="37453" xr:uid="{00000000-0005-0000-0000-0000260D0000}"/>
    <cellStyle name="Millares 2 3 2 3 4 2 3" xfId="27596" xr:uid="{00000000-0005-0000-0000-0000270D0000}"/>
    <cellStyle name="Millares 2 3 2 3 4 3" xfId="12810" xr:uid="{00000000-0005-0000-0000-0000280D0000}"/>
    <cellStyle name="Millares 2 3 2 3 4 3 2" xfId="32525" xr:uid="{00000000-0005-0000-0000-0000290D0000}"/>
    <cellStyle name="Millares 2 3 2 3 4 4" xfId="22668" xr:uid="{00000000-0005-0000-0000-00002A0D0000}"/>
    <cellStyle name="Millares 2 3 2 3 5" xfId="5414" xr:uid="{00000000-0005-0000-0000-00002B0D0000}"/>
    <cellStyle name="Millares 2 3 2 3 5 2" xfId="15274" xr:uid="{00000000-0005-0000-0000-00002C0D0000}"/>
    <cellStyle name="Millares 2 3 2 3 5 2 2" xfId="34989" xr:uid="{00000000-0005-0000-0000-00002D0D0000}"/>
    <cellStyle name="Millares 2 3 2 3 5 3" xfId="25132" xr:uid="{00000000-0005-0000-0000-00002E0D0000}"/>
    <cellStyle name="Millares 2 3 2 3 6" xfId="10346" xr:uid="{00000000-0005-0000-0000-00002F0D0000}"/>
    <cellStyle name="Millares 2 3 2 3 6 2" xfId="30061" xr:uid="{00000000-0005-0000-0000-0000300D0000}"/>
    <cellStyle name="Millares 2 3 2 3 7" xfId="20204" xr:uid="{00000000-0005-0000-0000-0000310D0000}"/>
    <cellStyle name="Millares 2 3 2 4" xfId="785" xr:uid="{00000000-0005-0000-0000-0000320D0000}"/>
    <cellStyle name="Millares 2 3 2 4 2" xfId="2021" xr:uid="{00000000-0005-0000-0000-0000330D0000}"/>
    <cellStyle name="Millares 2 3 2 4 2 2" xfId="4488" xr:uid="{00000000-0005-0000-0000-0000340D0000}"/>
    <cellStyle name="Millares 2 3 2 4 2 2 2" xfId="9420" xr:uid="{00000000-0005-0000-0000-0000350D0000}"/>
    <cellStyle name="Millares 2 3 2 4 2 2 2 2" xfId="19280" xr:uid="{00000000-0005-0000-0000-0000360D0000}"/>
    <cellStyle name="Millares 2 3 2 4 2 2 2 2 2" xfId="38995" xr:uid="{00000000-0005-0000-0000-0000370D0000}"/>
    <cellStyle name="Millares 2 3 2 4 2 2 2 3" xfId="29138" xr:uid="{00000000-0005-0000-0000-0000380D0000}"/>
    <cellStyle name="Millares 2 3 2 4 2 2 3" xfId="14352" xr:uid="{00000000-0005-0000-0000-0000390D0000}"/>
    <cellStyle name="Millares 2 3 2 4 2 2 3 2" xfId="34067" xr:uid="{00000000-0005-0000-0000-00003A0D0000}"/>
    <cellStyle name="Millares 2 3 2 4 2 2 4" xfId="24210" xr:uid="{00000000-0005-0000-0000-00003B0D0000}"/>
    <cellStyle name="Millares 2 3 2 4 2 3" xfId="6956" xr:uid="{00000000-0005-0000-0000-00003C0D0000}"/>
    <cellStyle name="Millares 2 3 2 4 2 3 2" xfId="16816" xr:uid="{00000000-0005-0000-0000-00003D0D0000}"/>
    <cellStyle name="Millares 2 3 2 4 2 3 2 2" xfId="36531" xr:uid="{00000000-0005-0000-0000-00003E0D0000}"/>
    <cellStyle name="Millares 2 3 2 4 2 3 3" xfId="26674" xr:uid="{00000000-0005-0000-0000-00003F0D0000}"/>
    <cellStyle name="Millares 2 3 2 4 2 4" xfId="11888" xr:uid="{00000000-0005-0000-0000-0000400D0000}"/>
    <cellStyle name="Millares 2 3 2 4 2 4 2" xfId="31603" xr:uid="{00000000-0005-0000-0000-0000410D0000}"/>
    <cellStyle name="Millares 2 3 2 4 2 5" xfId="21746" xr:uid="{00000000-0005-0000-0000-0000420D0000}"/>
    <cellStyle name="Millares 2 3 2 4 3" xfId="3256" xr:uid="{00000000-0005-0000-0000-0000430D0000}"/>
    <cellStyle name="Millares 2 3 2 4 3 2" xfId="8188" xr:uid="{00000000-0005-0000-0000-0000440D0000}"/>
    <cellStyle name="Millares 2 3 2 4 3 2 2" xfId="18048" xr:uid="{00000000-0005-0000-0000-0000450D0000}"/>
    <cellStyle name="Millares 2 3 2 4 3 2 2 2" xfId="37763" xr:uid="{00000000-0005-0000-0000-0000460D0000}"/>
    <cellStyle name="Millares 2 3 2 4 3 2 3" xfId="27906" xr:uid="{00000000-0005-0000-0000-0000470D0000}"/>
    <cellStyle name="Millares 2 3 2 4 3 3" xfId="13120" xr:uid="{00000000-0005-0000-0000-0000480D0000}"/>
    <cellStyle name="Millares 2 3 2 4 3 3 2" xfId="32835" xr:uid="{00000000-0005-0000-0000-0000490D0000}"/>
    <cellStyle name="Millares 2 3 2 4 3 4" xfId="22978" xr:uid="{00000000-0005-0000-0000-00004A0D0000}"/>
    <cellStyle name="Millares 2 3 2 4 4" xfId="5724" xr:uid="{00000000-0005-0000-0000-00004B0D0000}"/>
    <cellStyle name="Millares 2 3 2 4 4 2" xfId="15584" xr:uid="{00000000-0005-0000-0000-00004C0D0000}"/>
    <cellStyle name="Millares 2 3 2 4 4 2 2" xfId="35299" xr:uid="{00000000-0005-0000-0000-00004D0D0000}"/>
    <cellStyle name="Millares 2 3 2 4 4 3" xfId="25442" xr:uid="{00000000-0005-0000-0000-00004E0D0000}"/>
    <cellStyle name="Millares 2 3 2 4 5" xfId="10656" xr:uid="{00000000-0005-0000-0000-00004F0D0000}"/>
    <cellStyle name="Millares 2 3 2 4 5 2" xfId="30371" xr:uid="{00000000-0005-0000-0000-0000500D0000}"/>
    <cellStyle name="Millares 2 3 2 4 6" xfId="20514" xr:uid="{00000000-0005-0000-0000-0000510D0000}"/>
    <cellStyle name="Millares 2 3 2 5" xfId="1405" xr:uid="{00000000-0005-0000-0000-0000520D0000}"/>
    <cellStyle name="Millares 2 3 2 5 2" xfId="3872" xr:uid="{00000000-0005-0000-0000-0000530D0000}"/>
    <cellStyle name="Millares 2 3 2 5 2 2" xfId="8804" xr:uid="{00000000-0005-0000-0000-0000540D0000}"/>
    <cellStyle name="Millares 2 3 2 5 2 2 2" xfId="18664" xr:uid="{00000000-0005-0000-0000-0000550D0000}"/>
    <cellStyle name="Millares 2 3 2 5 2 2 2 2" xfId="38379" xr:uid="{00000000-0005-0000-0000-0000560D0000}"/>
    <cellStyle name="Millares 2 3 2 5 2 2 3" xfId="28522" xr:uid="{00000000-0005-0000-0000-0000570D0000}"/>
    <cellStyle name="Millares 2 3 2 5 2 3" xfId="13736" xr:uid="{00000000-0005-0000-0000-0000580D0000}"/>
    <cellStyle name="Millares 2 3 2 5 2 3 2" xfId="33451" xr:uid="{00000000-0005-0000-0000-0000590D0000}"/>
    <cellStyle name="Millares 2 3 2 5 2 4" xfId="23594" xr:uid="{00000000-0005-0000-0000-00005A0D0000}"/>
    <cellStyle name="Millares 2 3 2 5 3" xfId="6340" xr:uid="{00000000-0005-0000-0000-00005B0D0000}"/>
    <cellStyle name="Millares 2 3 2 5 3 2" xfId="16200" xr:uid="{00000000-0005-0000-0000-00005C0D0000}"/>
    <cellStyle name="Millares 2 3 2 5 3 2 2" xfId="35915" xr:uid="{00000000-0005-0000-0000-00005D0D0000}"/>
    <cellStyle name="Millares 2 3 2 5 3 3" xfId="26058" xr:uid="{00000000-0005-0000-0000-00005E0D0000}"/>
    <cellStyle name="Millares 2 3 2 5 4" xfId="11272" xr:uid="{00000000-0005-0000-0000-00005F0D0000}"/>
    <cellStyle name="Millares 2 3 2 5 4 2" xfId="30987" xr:uid="{00000000-0005-0000-0000-0000600D0000}"/>
    <cellStyle name="Millares 2 3 2 5 5" xfId="21130" xr:uid="{00000000-0005-0000-0000-0000610D0000}"/>
    <cellStyle name="Millares 2 3 2 6" xfId="2640" xr:uid="{00000000-0005-0000-0000-0000620D0000}"/>
    <cellStyle name="Millares 2 3 2 6 2" xfId="7572" xr:uid="{00000000-0005-0000-0000-0000630D0000}"/>
    <cellStyle name="Millares 2 3 2 6 2 2" xfId="17432" xr:uid="{00000000-0005-0000-0000-0000640D0000}"/>
    <cellStyle name="Millares 2 3 2 6 2 2 2" xfId="37147" xr:uid="{00000000-0005-0000-0000-0000650D0000}"/>
    <cellStyle name="Millares 2 3 2 6 2 3" xfId="27290" xr:uid="{00000000-0005-0000-0000-0000660D0000}"/>
    <cellStyle name="Millares 2 3 2 6 3" xfId="12504" xr:uid="{00000000-0005-0000-0000-0000670D0000}"/>
    <cellStyle name="Millares 2 3 2 6 3 2" xfId="32219" xr:uid="{00000000-0005-0000-0000-0000680D0000}"/>
    <cellStyle name="Millares 2 3 2 6 4" xfId="22362" xr:uid="{00000000-0005-0000-0000-0000690D0000}"/>
    <cellStyle name="Millares 2 3 2 7" xfId="5108" xr:uid="{00000000-0005-0000-0000-00006A0D0000}"/>
    <cellStyle name="Millares 2 3 2 7 2" xfId="14968" xr:uid="{00000000-0005-0000-0000-00006B0D0000}"/>
    <cellStyle name="Millares 2 3 2 7 2 2" xfId="34683" xr:uid="{00000000-0005-0000-0000-00006C0D0000}"/>
    <cellStyle name="Millares 2 3 2 7 3" xfId="24826" xr:uid="{00000000-0005-0000-0000-00006D0D0000}"/>
    <cellStyle name="Millares 2 3 2 8" xfId="10040" xr:uid="{00000000-0005-0000-0000-00006E0D0000}"/>
    <cellStyle name="Millares 2 3 2 8 2" xfId="29755" xr:uid="{00000000-0005-0000-0000-00006F0D0000}"/>
    <cellStyle name="Millares 2 3 2 9" xfId="19898" xr:uid="{00000000-0005-0000-0000-0000700D0000}"/>
    <cellStyle name="Millares 2 3 3" xfId="234" xr:uid="{00000000-0005-0000-0000-0000710D0000}"/>
    <cellStyle name="Millares 2 3 3 2" xfId="548" xr:uid="{00000000-0005-0000-0000-0000720D0000}"/>
    <cellStyle name="Millares 2 3 3 2 2" xfId="1168" xr:uid="{00000000-0005-0000-0000-0000730D0000}"/>
    <cellStyle name="Millares 2 3 3 2 2 2" xfId="2403" xr:uid="{00000000-0005-0000-0000-0000740D0000}"/>
    <cellStyle name="Millares 2 3 3 2 2 2 2" xfId="4870" xr:uid="{00000000-0005-0000-0000-0000750D0000}"/>
    <cellStyle name="Millares 2 3 3 2 2 2 2 2" xfId="9802" xr:uid="{00000000-0005-0000-0000-0000760D0000}"/>
    <cellStyle name="Millares 2 3 3 2 2 2 2 2 2" xfId="19662" xr:uid="{00000000-0005-0000-0000-0000770D0000}"/>
    <cellStyle name="Millares 2 3 3 2 2 2 2 2 2 2" xfId="39377" xr:uid="{00000000-0005-0000-0000-0000780D0000}"/>
    <cellStyle name="Millares 2 3 3 2 2 2 2 2 3" xfId="29520" xr:uid="{00000000-0005-0000-0000-0000790D0000}"/>
    <cellStyle name="Millares 2 3 3 2 2 2 2 3" xfId="14734" xr:uid="{00000000-0005-0000-0000-00007A0D0000}"/>
    <cellStyle name="Millares 2 3 3 2 2 2 2 3 2" xfId="34449" xr:uid="{00000000-0005-0000-0000-00007B0D0000}"/>
    <cellStyle name="Millares 2 3 3 2 2 2 2 4" xfId="24592" xr:uid="{00000000-0005-0000-0000-00007C0D0000}"/>
    <cellStyle name="Millares 2 3 3 2 2 2 3" xfId="7338" xr:uid="{00000000-0005-0000-0000-00007D0D0000}"/>
    <cellStyle name="Millares 2 3 3 2 2 2 3 2" xfId="17198" xr:uid="{00000000-0005-0000-0000-00007E0D0000}"/>
    <cellStyle name="Millares 2 3 3 2 2 2 3 2 2" xfId="36913" xr:uid="{00000000-0005-0000-0000-00007F0D0000}"/>
    <cellStyle name="Millares 2 3 3 2 2 2 3 3" xfId="27056" xr:uid="{00000000-0005-0000-0000-0000800D0000}"/>
    <cellStyle name="Millares 2 3 3 2 2 2 4" xfId="12270" xr:uid="{00000000-0005-0000-0000-0000810D0000}"/>
    <cellStyle name="Millares 2 3 3 2 2 2 4 2" xfId="31985" xr:uid="{00000000-0005-0000-0000-0000820D0000}"/>
    <cellStyle name="Millares 2 3 3 2 2 2 5" xfId="22128" xr:uid="{00000000-0005-0000-0000-0000830D0000}"/>
    <cellStyle name="Millares 2 3 3 2 2 3" xfId="3638" xr:uid="{00000000-0005-0000-0000-0000840D0000}"/>
    <cellStyle name="Millares 2 3 3 2 2 3 2" xfId="8570" xr:uid="{00000000-0005-0000-0000-0000850D0000}"/>
    <cellStyle name="Millares 2 3 3 2 2 3 2 2" xfId="18430" xr:uid="{00000000-0005-0000-0000-0000860D0000}"/>
    <cellStyle name="Millares 2 3 3 2 2 3 2 2 2" xfId="38145" xr:uid="{00000000-0005-0000-0000-0000870D0000}"/>
    <cellStyle name="Millares 2 3 3 2 2 3 2 3" xfId="28288" xr:uid="{00000000-0005-0000-0000-0000880D0000}"/>
    <cellStyle name="Millares 2 3 3 2 2 3 3" xfId="13502" xr:uid="{00000000-0005-0000-0000-0000890D0000}"/>
    <cellStyle name="Millares 2 3 3 2 2 3 3 2" xfId="33217" xr:uid="{00000000-0005-0000-0000-00008A0D0000}"/>
    <cellStyle name="Millares 2 3 3 2 2 3 4" xfId="23360" xr:uid="{00000000-0005-0000-0000-00008B0D0000}"/>
    <cellStyle name="Millares 2 3 3 2 2 4" xfId="6106" xr:uid="{00000000-0005-0000-0000-00008C0D0000}"/>
    <cellStyle name="Millares 2 3 3 2 2 4 2" xfId="15966" xr:uid="{00000000-0005-0000-0000-00008D0D0000}"/>
    <cellStyle name="Millares 2 3 3 2 2 4 2 2" xfId="35681" xr:uid="{00000000-0005-0000-0000-00008E0D0000}"/>
    <cellStyle name="Millares 2 3 3 2 2 4 3" xfId="25824" xr:uid="{00000000-0005-0000-0000-00008F0D0000}"/>
    <cellStyle name="Millares 2 3 3 2 2 5" xfId="11038" xr:uid="{00000000-0005-0000-0000-0000900D0000}"/>
    <cellStyle name="Millares 2 3 3 2 2 5 2" xfId="30753" xr:uid="{00000000-0005-0000-0000-0000910D0000}"/>
    <cellStyle name="Millares 2 3 3 2 2 6" xfId="20896" xr:uid="{00000000-0005-0000-0000-0000920D0000}"/>
    <cellStyle name="Millares 2 3 3 2 3" xfId="1787" xr:uid="{00000000-0005-0000-0000-0000930D0000}"/>
    <cellStyle name="Millares 2 3 3 2 3 2" xfId="4254" xr:uid="{00000000-0005-0000-0000-0000940D0000}"/>
    <cellStyle name="Millares 2 3 3 2 3 2 2" xfId="9186" xr:uid="{00000000-0005-0000-0000-0000950D0000}"/>
    <cellStyle name="Millares 2 3 3 2 3 2 2 2" xfId="19046" xr:uid="{00000000-0005-0000-0000-0000960D0000}"/>
    <cellStyle name="Millares 2 3 3 2 3 2 2 2 2" xfId="38761" xr:uid="{00000000-0005-0000-0000-0000970D0000}"/>
    <cellStyle name="Millares 2 3 3 2 3 2 2 3" xfId="28904" xr:uid="{00000000-0005-0000-0000-0000980D0000}"/>
    <cellStyle name="Millares 2 3 3 2 3 2 3" xfId="14118" xr:uid="{00000000-0005-0000-0000-0000990D0000}"/>
    <cellStyle name="Millares 2 3 3 2 3 2 3 2" xfId="33833" xr:uid="{00000000-0005-0000-0000-00009A0D0000}"/>
    <cellStyle name="Millares 2 3 3 2 3 2 4" xfId="23976" xr:uid="{00000000-0005-0000-0000-00009B0D0000}"/>
    <cellStyle name="Millares 2 3 3 2 3 3" xfId="6722" xr:uid="{00000000-0005-0000-0000-00009C0D0000}"/>
    <cellStyle name="Millares 2 3 3 2 3 3 2" xfId="16582" xr:uid="{00000000-0005-0000-0000-00009D0D0000}"/>
    <cellStyle name="Millares 2 3 3 2 3 3 2 2" xfId="36297" xr:uid="{00000000-0005-0000-0000-00009E0D0000}"/>
    <cellStyle name="Millares 2 3 3 2 3 3 3" xfId="26440" xr:uid="{00000000-0005-0000-0000-00009F0D0000}"/>
    <cellStyle name="Millares 2 3 3 2 3 4" xfId="11654" xr:uid="{00000000-0005-0000-0000-0000A00D0000}"/>
    <cellStyle name="Millares 2 3 3 2 3 4 2" xfId="31369" xr:uid="{00000000-0005-0000-0000-0000A10D0000}"/>
    <cellStyle name="Millares 2 3 3 2 3 5" xfId="21512" xr:uid="{00000000-0005-0000-0000-0000A20D0000}"/>
    <cellStyle name="Millares 2 3 3 2 4" xfId="3022" xr:uid="{00000000-0005-0000-0000-0000A30D0000}"/>
    <cellStyle name="Millares 2 3 3 2 4 2" xfId="7954" xr:uid="{00000000-0005-0000-0000-0000A40D0000}"/>
    <cellStyle name="Millares 2 3 3 2 4 2 2" xfId="17814" xr:uid="{00000000-0005-0000-0000-0000A50D0000}"/>
    <cellStyle name="Millares 2 3 3 2 4 2 2 2" xfId="37529" xr:uid="{00000000-0005-0000-0000-0000A60D0000}"/>
    <cellStyle name="Millares 2 3 3 2 4 2 3" xfId="27672" xr:uid="{00000000-0005-0000-0000-0000A70D0000}"/>
    <cellStyle name="Millares 2 3 3 2 4 3" xfId="12886" xr:uid="{00000000-0005-0000-0000-0000A80D0000}"/>
    <cellStyle name="Millares 2 3 3 2 4 3 2" xfId="32601" xr:uid="{00000000-0005-0000-0000-0000A90D0000}"/>
    <cellStyle name="Millares 2 3 3 2 4 4" xfId="22744" xr:uid="{00000000-0005-0000-0000-0000AA0D0000}"/>
    <cellStyle name="Millares 2 3 3 2 5" xfId="5490" xr:uid="{00000000-0005-0000-0000-0000AB0D0000}"/>
    <cellStyle name="Millares 2 3 3 2 5 2" xfId="15350" xr:uid="{00000000-0005-0000-0000-0000AC0D0000}"/>
    <cellStyle name="Millares 2 3 3 2 5 2 2" xfId="35065" xr:uid="{00000000-0005-0000-0000-0000AD0D0000}"/>
    <cellStyle name="Millares 2 3 3 2 5 3" xfId="25208" xr:uid="{00000000-0005-0000-0000-0000AE0D0000}"/>
    <cellStyle name="Millares 2 3 3 2 6" xfId="10422" xr:uid="{00000000-0005-0000-0000-0000AF0D0000}"/>
    <cellStyle name="Millares 2 3 3 2 6 2" xfId="30137" xr:uid="{00000000-0005-0000-0000-0000B00D0000}"/>
    <cellStyle name="Millares 2 3 3 2 7" xfId="20280" xr:uid="{00000000-0005-0000-0000-0000B10D0000}"/>
    <cellStyle name="Millares 2 3 3 3" xfId="861" xr:uid="{00000000-0005-0000-0000-0000B20D0000}"/>
    <cellStyle name="Millares 2 3 3 3 2" xfId="2097" xr:uid="{00000000-0005-0000-0000-0000B30D0000}"/>
    <cellStyle name="Millares 2 3 3 3 2 2" xfId="4564" xr:uid="{00000000-0005-0000-0000-0000B40D0000}"/>
    <cellStyle name="Millares 2 3 3 3 2 2 2" xfId="9496" xr:uid="{00000000-0005-0000-0000-0000B50D0000}"/>
    <cellStyle name="Millares 2 3 3 3 2 2 2 2" xfId="19356" xr:uid="{00000000-0005-0000-0000-0000B60D0000}"/>
    <cellStyle name="Millares 2 3 3 3 2 2 2 2 2" xfId="39071" xr:uid="{00000000-0005-0000-0000-0000B70D0000}"/>
    <cellStyle name="Millares 2 3 3 3 2 2 2 3" xfId="29214" xr:uid="{00000000-0005-0000-0000-0000B80D0000}"/>
    <cellStyle name="Millares 2 3 3 3 2 2 3" xfId="14428" xr:uid="{00000000-0005-0000-0000-0000B90D0000}"/>
    <cellStyle name="Millares 2 3 3 3 2 2 3 2" xfId="34143" xr:uid="{00000000-0005-0000-0000-0000BA0D0000}"/>
    <cellStyle name="Millares 2 3 3 3 2 2 4" xfId="24286" xr:uid="{00000000-0005-0000-0000-0000BB0D0000}"/>
    <cellStyle name="Millares 2 3 3 3 2 3" xfId="7032" xr:uid="{00000000-0005-0000-0000-0000BC0D0000}"/>
    <cellStyle name="Millares 2 3 3 3 2 3 2" xfId="16892" xr:uid="{00000000-0005-0000-0000-0000BD0D0000}"/>
    <cellStyle name="Millares 2 3 3 3 2 3 2 2" xfId="36607" xr:uid="{00000000-0005-0000-0000-0000BE0D0000}"/>
    <cellStyle name="Millares 2 3 3 3 2 3 3" xfId="26750" xr:uid="{00000000-0005-0000-0000-0000BF0D0000}"/>
    <cellStyle name="Millares 2 3 3 3 2 4" xfId="11964" xr:uid="{00000000-0005-0000-0000-0000C00D0000}"/>
    <cellStyle name="Millares 2 3 3 3 2 4 2" xfId="31679" xr:uid="{00000000-0005-0000-0000-0000C10D0000}"/>
    <cellStyle name="Millares 2 3 3 3 2 5" xfId="21822" xr:uid="{00000000-0005-0000-0000-0000C20D0000}"/>
    <cellStyle name="Millares 2 3 3 3 3" xfId="3332" xr:uid="{00000000-0005-0000-0000-0000C30D0000}"/>
    <cellStyle name="Millares 2 3 3 3 3 2" xfId="8264" xr:uid="{00000000-0005-0000-0000-0000C40D0000}"/>
    <cellStyle name="Millares 2 3 3 3 3 2 2" xfId="18124" xr:uid="{00000000-0005-0000-0000-0000C50D0000}"/>
    <cellStyle name="Millares 2 3 3 3 3 2 2 2" xfId="37839" xr:uid="{00000000-0005-0000-0000-0000C60D0000}"/>
    <cellStyle name="Millares 2 3 3 3 3 2 3" xfId="27982" xr:uid="{00000000-0005-0000-0000-0000C70D0000}"/>
    <cellStyle name="Millares 2 3 3 3 3 3" xfId="13196" xr:uid="{00000000-0005-0000-0000-0000C80D0000}"/>
    <cellStyle name="Millares 2 3 3 3 3 3 2" xfId="32911" xr:uid="{00000000-0005-0000-0000-0000C90D0000}"/>
    <cellStyle name="Millares 2 3 3 3 3 4" xfId="23054" xr:uid="{00000000-0005-0000-0000-0000CA0D0000}"/>
    <cellStyle name="Millares 2 3 3 3 4" xfId="5800" xr:uid="{00000000-0005-0000-0000-0000CB0D0000}"/>
    <cellStyle name="Millares 2 3 3 3 4 2" xfId="15660" xr:uid="{00000000-0005-0000-0000-0000CC0D0000}"/>
    <cellStyle name="Millares 2 3 3 3 4 2 2" xfId="35375" xr:uid="{00000000-0005-0000-0000-0000CD0D0000}"/>
    <cellStyle name="Millares 2 3 3 3 4 3" xfId="25518" xr:uid="{00000000-0005-0000-0000-0000CE0D0000}"/>
    <cellStyle name="Millares 2 3 3 3 5" xfId="10732" xr:uid="{00000000-0005-0000-0000-0000CF0D0000}"/>
    <cellStyle name="Millares 2 3 3 3 5 2" xfId="30447" xr:uid="{00000000-0005-0000-0000-0000D00D0000}"/>
    <cellStyle name="Millares 2 3 3 3 6" xfId="20590" xr:uid="{00000000-0005-0000-0000-0000D10D0000}"/>
    <cellStyle name="Millares 2 3 3 4" xfId="1481" xr:uid="{00000000-0005-0000-0000-0000D20D0000}"/>
    <cellStyle name="Millares 2 3 3 4 2" xfId="3948" xr:uid="{00000000-0005-0000-0000-0000D30D0000}"/>
    <cellStyle name="Millares 2 3 3 4 2 2" xfId="8880" xr:uid="{00000000-0005-0000-0000-0000D40D0000}"/>
    <cellStyle name="Millares 2 3 3 4 2 2 2" xfId="18740" xr:uid="{00000000-0005-0000-0000-0000D50D0000}"/>
    <cellStyle name="Millares 2 3 3 4 2 2 2 2" xfId="38455" xr:uid="{00000000-0005-0000-0000-0000D60D0000}"/>
    <cellStyle name="Millares 2 3 3 4 2 2 3" xfId="28598" xr:uid="{00000000-0005-0000-0000-0000D70D0000}"/>
    <cellStyle name="Millares 2 3 3 4 2 3" xfId="13812" xr:uid="{00000000-0005-0000-0000-0000D80D0000}"/>
    <cellStyle name="Millares 2 3 3 4 2 3 2" xfId="33527" xr:uid="{00000000-0005-0000-0000-0000D90D0000}"/>
    <cellStyle name="Millares 2 3 3 4 2 4" xfId="23670" xr:uid="{00000000-0005-0000-0000-0000DA0D0000}"/>
    <cellStyle name="Millares 2 3 3 4 3" xfId="6416" xr:uid="{00000000-0005-0000-0000-0000DB0D0000}"/>
    <cellStyle name="Millares 2 3 3 4 3 2" xfId="16276" xr:uid="{00000000-0005-0000-0000-0000DC0D0000}"/>
    <cellStyle name="Millares 2 3 3 4 3 2 2" xfId="35991" xr:uid="{00000000-0005-0000-0000-0000DD0D0000}"/>
    <cellStyle name="Millares 2 3 3 4 3 3" xfId="26134" xr:uid="{00000000-0005-0000-0000-0000DE0D0000}"/>
    <cellStyle name="Millares 2 3 3 4 4" xfId="11348" xr:uid="{00000000-0005-0000-0000-0000DF0D0000}"/>
    <cellStyle name="Millares 2 3 3 4 4 2" xfId="31063" xr:uid="{00000000-0005-0000-0000-0000E00D0000}"/>
    <cellStyle name="Millares 2 3 3 4 5" xfId="21206" xr:uid="{00000000-0005-0000-0000-0000E10D0000}"/>
    <cellStyle name="Millares 2 3 3 5" xfId="2716" xr:uid="{00000000-0005-0000-0000-0000E20D0000}"/>
    <cellStyle name="Millares 2 3 3 5 2" xfId="7648" xr:uid="{00000000-0005-0000-0000-0000E30D0000}"/>
    <cellStyle name="Millares 2 3 3 5 2 2" xfId="17508" xr:uid="{00000000-0005-0000-0000-0000E40D0000}"/>
    <cellStyle name="Millares 2 3 3 5 2 2 2" xfId="37223" xr:uid="{00000000-0005-0000-0000-0000E50D0000}"/>
    <cellStyle name="Millares 2 3 3 5 2 3" xfId="27366" xr:uid="{00000000-0005-0000-0000-0000E60D0000}"/>
    <cellStyle name="Millares 2 3 3 5 3" xfId="12580" xr:uid="{00000000-0005-0000-0000-0000E70D0000}"/>
    <cellStyle name="Millares 2 3 3 5 3 2" xfId="32295" xr:uid="{00000000-0005-0000-0000-0000E80D0000}"/>
    <cellStyle name="Millares 2 3 3 5 4" xfId="22438" xr:uid="{00000000-0005-0000-0000-0000E90D0000}"/>
    <cellStyle name="Millares 2 3 3 6" xfId="5184" xr:uid="{00000000-0005-0000-0000-0000EA0D0000}"/>
    <cellStyle name="Millares 2 3 3 6 2" xfId="15044" xr:uid="{00000000-0005-0000-0000-0000EB0D0000}"/>
    <cellStyle name="Millares 2 3 3 6 2 2" xfId="34759" xr:uid="{00000000-0005-0000-0000-0000EC0D0000}"/>
    <cellStyle name="Millares 2 3 3 6 3" xfId="24902" xr:uid="{00000000-0005-0000-0000-0000ED0D0000}"/>
    <cellStyle name="Millares 2 3 3 7" xfId="10116" xr:uid="{00000000-0005-0000-0000-0000EE0D0000}"/>
    <cellStyle name="Millares 2 3 3 7 2" xfId="29831" xr:uid="{00000000-0005-0000-0000-0000EF0D0000}"/>
    <cellStyle name="Millares 2 3 3 8" xfId="19974" xr:uid="{00000000-0005-0000-0000-0000F00D0000}"/>
    <cellStyle name="Millares 2 3 4" xfId="396" xr:uid="{00000000-0005-0000-0000-0000F10D0000}"/>
    <cellStyle name="Millares 2 3 4 2" xfId="1016" xr:uid="{00000000-0005-0000-0000-0000F20D0000}"/>
    <cellStyle name="Millares 2 3 4 2 2" xfId="2251" xr:uid="{00000000-0005-0000-0000-0000F30D0000}"/>
    <cellStyle name="Millares 2 3 4 2 2 2" xfId="4718" xr:uid="{00000000-0005-0000-0000-0000F40D0000}"/>
    <cellStyle name="Millares 2 3 4 2 2 2 2" xfId="9650" xr:uid="{00000000-0005-0000-0000-0000F50D0000}"/>
    <cellStyle name="Millares 2 3 4 2 2 2 2 2" xfId="19510" xr:uid="{00000000-0005-0000-0000-0000F60D0000}"/>
    <cellStyle name="Millares 2 3 4 2 2 2 2 2 2" xfId="39225" xr:uid="{00000000-0005-0000-0000-0000F70D0000}"/>
    <cellStyle name="Millares 2 3 4 2 2 2 2 3" xfId="29368" xr:uid="{00000000-0005-0000-0000-0000F80D0000}"/>
    <cellStyle name="Millares 2 3 4 2 2 2 3" xfId="14582" xr:uid="{00000000-0005-0000-0000-0000F90D0000}"/>
    <cellStyle name="Millares 2 3 4 2 2 2 3 2" xfId="34297" xr:uid="{00000000-0005-0000-0000-0000FA0D0000}"/>
    <cellStyle name="Millares 2 3 4 2 2 2 4" xfId="24440" xr:uid="{00000000-0005-0000-0000-0000FB0D0000}"/>
    <cellStyle name="Millares 2 3 4 2 2 3" xfId="7186" xr:uid="{00000000-0005-0000-0000-0000FC0D0000}"/>
    <cellStyle name="Millares 2 3 4 2 2 3 2" xfId="17046" xr:uid="{00000000-0005-0000-0000-0000FD0D0000}"/>
    <cellStyle name="Millares 2 3 4 2 2 3 2 2" xfId="36761" xr:uid="{00000000-0005-0000-0000-0000FE0D0000}"/>
    <cellStyle name="Millares 2 3 4 2 2 3 3" xfId="26904" xr:uid="{00000000-0005-0000-0000-0000FF0D0000}"/>
    <cellStyle name="Millares 2 3 4 2 2 4" xfId="12118" xr:uid="{00000000-0005-0000-0000-0000000E0000}"/>
    <cellStyle name="Millares 2 3 4 2 2 4 2" xfId="31833" xr:uid="{00000000-0005-0000-0000-0000010E0000}"/>
    <cellStyle name="Millares 2 3 4 2 2 5" xfId="21976" xr:uid="{00000000-0005-0000-0000-0000020E0000}"/>
    <cellStyle name="Millares 2 3 4 2 3" xfId="3486" xr:uid="{00000000-0005-0000-0000-0000030E0000}"/>
    <cellStyle name="Millares 2 3 4 2 3 2" xfId="8418" xr:uid="{00000000-0005-0000-0000-0000040E0000}"/>
    <cellStyle name="Millares 2 3 4 2 3 2 2" xfId="18278" xr:uid="{00000000-0005-0000-0000-0000050E0000}"/>
    <cellStyle name="Millares 2 3 4 2 3 2 2 2" xfId="37993" xr:uid="{00000000-0005-0000-0000-0000060E0000}"/>
    <cellStyle name="Millares 2 3 4 2 3 2 3" xfId="28136" xr:uid="{00000000-0005-0000-0000-0000070E0000}"/>
    <cellStyle name="Millares 2 3 4 2 3 3" xfId="13350" xr:uid="{00000000-0005-0000-0000-0000080E0000}"/>
    <cellStyle name="Millares 2 3 4 2 3 3 2" xfId="33065" xr:uid="{00000000-0005-0000-0000-0000090E0000}"/>
    <cellStyle name="Millares 2 3 4 2 3 4" xfId="23208" xr:uid="{00000000-0005-0000-0000-00000A0E0000}"/>
    <cellStyle name="Millares 2 3 4 2 4" xfId="5954" xr:uid="{00000000-0005-0000-0000-00000B0E0000}"/>
    <cellStyle name="Millares 2 3 4 2 4 2" xfId="15814" xr:uid="{00000000-0005-0000-0000-00000C0E0000}"/>
    <cellStyle name="Millares 2 3 4 2 4 2 2" xfId="35529" xr:uid="{00000000-0005-0000-0000-00000D0E0000}"/>
    <cellStyle name="Millares 2 3 4 2 4 3" xfId="25672" xr:uid="{00000000-0005-0000-0000-00000E0E0000}"/>
    <cellStyle name="Millares 2 3 4 2 5" xfId="10886" xr:uid="{00000000-0005-0000-0000-00000F0E0000}"/>
    <cellStyle name="Millares 2 3 4 2 5 2" xfId="30601" xr:uid="{00000000-0005-0000-0000-0000100E0000}"/>
    <cellStyle name="Millares 2 3 4 2 6" xfId="20744" xr:uid="{00000000-0005-0000-0000-0000110E0000}"/>
    <cellStyle name="Millares 2 3 4 3" xfId="1635" xr:uid="{00000000-0005-0000-0000-0000120E0000}"/>
    <cellStyle name="Millares 2 3 4 3 2" xfId="4102" xr:uid="{00000000-0005-0000-0000-0000130E0000}"/>
    <cellStyle name="Millares 2 3 4 3 2 2" xfId="9034" xr:uid="{00000000-0005-0000-0000-0000140E0000}"/>
    <cellStyle name="Millares 2 3 4 3 2 2 2" xfId="18894" xr:uid="{00000000-0005-0000-0000-0000150E0000}"/>
    <cellStyle name="Millares 2 3 4 3 2 2 2 2" xfId="38609" xr:uid="{00000000-0005-0000-0000-0000160E0000}"/>
    <cellStyle name="Millares 2 3 4 3 2 2 3" xfId="28752" xr:uid="{00000000-0005-0000-0000-0000170E0000}"/>
    <cellStyle name="Millares 2 3 4 3 2 3" xfId="13966" xr:uid="{00000000-0005-0000-0000-0000180E0000}"/>
    <cellStyle name="Millares 2 3 4 3 2 3 2" xfId="33681" xr:uid="{00000000-0005-0000-0000-0000190E0000}"/>
    <cellStyle name="Millares 2 3 4 3 2 4" xfId="23824" xr:uid="{00000000-0005-0000-0000-00001A0E0000}"/>
    <cellStyle name="Millares 2 3 4 3 3" xfId="6570" xr:uid="{00000000-0005-0000-0000-00001B0E0000}"/>
    <cellStyle name="Millares 2 3 4 3 3 2" xfId="16430" xr:uid="{00000000-0005-0000-0000-00001C0E0000}"/>
    <cellStyle name="Millares 2 3 4 3 3 2 2" xfId="36145" xr:uid="{00000000-0005-0000-0000-00001D0E0000}"/>
    <cellStyle name="Millares 2 3 4 3 3 3" xfId="26288" xr:uid="{00000000-0005-0000-0000-00001E0E0000}"/>
    <cellStyle name="Millares 2 3 4 3 4" xfId="11502" xr:uid="{00000000-0005-0000-0000-00001F0E0000}"/>
    <cellStyle name="Millares 2 3 4 3 4 2" xfId="31217" xr:uid="{00000000-0005-0000-0000-0000200E0000}"/>
    <cellStyle name="Millares 2 3 4 3 5" xfId="21360" xr:uid="{00000000-0005-0000-0000-0000210E0000}"/>
    <cellStyle name="Millares 2 3 4 4" xfId="2870" xr:uid="{00000000-0005-0000-0000-0000220E0000}"/>
    <cellStyle name="Millares 2 3 4 4 2" xfId="7802" xr:uid="{00000000-0005-0000-0000-0000230E0000}"/>
    <cellStyle name="Millares 2 3 4 4 2 2" xfId="17662" xr:uid="{00000000-0005-0000-0000-0000240E0000}"/>
    <cellStyle name="Millares 2 3 4 4 2 2 2" xfId="37377" xr:uid="{00000000-0005-0000-0000-0000250E0000}"/>
    <cellStyle name="Millares 2 3 4 4 2 3" xfId="27520" xr:uid="{00000000-0005-0000-0000-0000260E0000}"/>
    <cellStyle name="Millares 2 3 4 4 3" xfId="12734" xr:uid="{00000000-0005-0000-0000-0000270E0000}"/>
    <cellStyle name="Millares 2 3 4 4 3 2" xfId="32449" xr:uid="{00000000-0005-0000-0000-0000280E0000}"/>
    <cellStyle name="Millares 2 3 4 4 4" xfId="22592" xr:uid="{00000000-0005-0000-0000-0000290E0000}"/>
    <cellStyle name="Millares 2 3 4 5" xfId="5338" xr:uid="{00000000-0005-0000-0000-00002A0E0000}"/>
    <cellStyle name="Millares 2 3 4 5 2" xfId="15198" xr:uid="{00000000-0005-0000-0000-00002B0E0000}"/>
    <cellStyle name="Millares 2 3 4 5 2 2" xfId="34913" xr:uid="{00000000-0005-0000-0000-00002C0E0000}"/>
    <cellStyle name="Millares 2 3 4 5 3" xfId="25056" xr:uid="{00000000-0005-0000-0000-00002D0E0000}"/>
    <cellStyle name="Millares 2 3 4 6" xfId="10270" xr:uid="{00000000-0005-0000-0000-00002E0E0000}"/>
    <cellStyle name="Millares 2 3 4 6 2" xfId="29985" xr:uid="{00000000-0005-0000-0000-00002F0E0000}"/>
    <cellStyle name="Millares 2 3 4 7" xfId="20128" xr:uid="{00000000-0005-0000-0000-0000300E0000}"/>
    <cellStyle name="Millares 2 3 5" xfId="709" xr:uid="{00000000-0005-0000-0000-0000310E0000}"/>
    <cellStyle name="Millares 2 3 5 2" xfId="1945" xr:uid="{00000000-0005-0000-0000-0000320E0000}"/>
    <cellStyle name="Millares 2 3 5 2 2" xfId="4412" xr:uid="{00000000-0005-0000-0000-0000330E0000}"/>
    <cellStyle name="Millares 2 3 5 2 2 2" xfId="9344" xr:uid="{00000000-0005-0000-0000-0000340E0000}"/>
    <cellStyle name="Millares 2 3 5 2 2 2 2" xfId="19204" xr:uid="{00000000-0005-0000-0000-0000350E0000}"/>
    <cellStyle name="Millares 2 3 5 2 2 2 2 2" xfId="38919" xr:uid="{00000000-0005-0000-0000-0000360E0000}"/>
    <cellStyle name="Millares 2 3 5 2 2 2 3" xfId="29062" xr:uid="{00000000-0005-0000-0000-0000370E0000}"/>
    <cellStyle name="Millares 2 3 5 2 2 3" xfId="14276" xr:uid="{00000000-0005-0000-0000-0000380E0000}"/>
    <cellStyle name="Millares 2 3 5 2 2 3 2" xfId="33991" xr:uid="{00000000-0005-0000-0000-0000390E0000}"/>
    <cellStyle name="Millares 2 3 5 2 2 4" xfId="24134" xr:uid="{00000000-0005-0000-0000-00003A0E0000}"/>
    <cellStyle name="Millares 2 3 5 2 3" xfId="6880" xr:uid="{00000000-0005-0000-0000-00003B0E0000}"/>
    <cellStyle name="Millares 2 3 5 2 3 2" xfId="16740" xr:uid="{00000000-0005-0000-0000-00003C0E0000}"/>
    <cellStyle name="Millares 2 3 5 2 3 2 2" xfId="36455" xr:uid="{00000000-0005-0000-0000-00003D0E0000}"/>
    <cellStyle name="Millares 2 3 5 2 3 3" xfId="26598" xr:uid="{00000000-0005-0000-0000-00003E0E0000}"/>
    <cellStyle name="Millares 2 3 5 2 4" xfId="11812" xr:uid="{00000000-0005-0000-0000-00003F0E0000}"/>
    <cellStyle name="Millares 2 3 5 2 4 2" xfId="31527" xr:uid="{00000000-0005-0000-0000-0000400E0000}"/>
    <cellStyle name="Millares 2 3 5 2 5" xfId="21670" xr:uid="{00000000-0005-0000-0000-0000410E0000}"/>
    <cellStyle name="Millares 2 3 5 3" xfId="3180" xr:uid="{00000000-0005-0000-0000-0000420E0000}"/>
    <cellStyle name="Millares 2 3 5 3 2" xfId="8112" xr:uid="{00000000-0005-0000-0000-0000430E0000}"/>
    <cellStyle name="Millares 2 3 5 3 2 2" xfId="17972" xr:uid="{00000000-0005-0000-0000-0000440E0000}"/>
    <cellStyle name="Millares 2 3 5 3 2 2 2" xfId="37687" xr:uid="{00000000-0005-0000-0000-0000450E0000}"/>
    <cellStyle name="Millares 2 3 5 3 2 3" xfId="27830" xr:uid="{00000000-0005-0000-0000-0000460E0000}"/>
    <cellStyle name="Millares 2 3 5 3 3" xfId="13044" xr:uid="{00000000-0005-0000-0000-0000470E0000}"/>
    <cellStyle name="Millares 2 3 5 3 3 2" xfId="32759" xr:uid="{00000000-0005-0000-0000-0000480E0000}"/>
    <cellStyle name="Millares 2 3 5 3 4" xfId="22902" xr:uid="{00000000-0005-0000-0000-0000490E0000}"/>
    <cellStyle name="Millares 2 3 5 4" xfId="5648" xr:uid="{00000000-0005-0000-0000-00004A0E0000}"/>
    <cellStyle name="Millares 2 3 5 4 2" xfId="15508" xr:uid="{00000000-0005-0000-0000-00004B0E0000}"/>
    <cellStyle name="Millares 2 3 5 4 2 2" xfId="35223" xr:uid="{00000000-0005-0000-0000-00004C0E0000}"/>
    <cellStyle name="Millares 2 3 5 4 3" xfId="25366" xr:uid="{00000000-0005-0000-0000-00004D0E0000}"/>
    <cellStyle name="Millares 2 3 5 5" xfId="10580" xr:uid="{00000000-0005-0000-0000-00004E0E0000}"/>
    <cellStyle name="Millares 2 3 5 5 2" xfId="30295" xr:uid="{00000000-0005-0000-0000-00004F0E0000}"/>
    <cellStyle name="Millares 2 3 5 6" xfId="20438" xr:uid="{00000000-0005-0000-0000-0000500E0000}"/>
    <cellStyle name="Millares 2 3 6" xfId="1329" xr:uid="{00000000-0005-0000-0000-0000510E0000}"/>
    <cellStyle name="Millares 2 3 6 2" xfId="3796" xr:uid="{00000000-0005-0000-0000-0000520E0000}"/>
    <cellStyle name="Millares 2 3 6 2 2" xfId="8728" xr:uid="{00000000-0005-0000-0000-0000530E0000}"/>
    <cellStyle name="Millares 2 3 6 2 2 2" xfId="18588" xr:uid="{00000000-0005-0000-0000-0000540E0000}"/>
    <cellStyle name="Millares 2 3 6 2 2 2 2" xfId="38303" xr:uid="{00000000-0005-0000-0000-0000550E0000}"/>
    <cellStyle name="Millares 2 3 6 2 2 3" xfId="28446" xr:uid="{00000000-0005-0000-0000-0000560E0000}"/>
    <cellStyle name="Millares 2 3 6 2 3" xfId="13660" xr:uid="{00000000-0005-0000-0000-0000570E0000}"/>
    <cellStyle name="Millares 2 3 6 2 3 2" xfId="33375" xr:uid="{00000000-0005-0000-0000-0000580E0000}"/>
    <cellStyle name="Millares 2 3 6 2 4" xfId="23518" xr:uid="{00000000-0005-0000-0000-0000590E0000}"/>
    <cellStyle name="Millares 2 3 6 3" xfId="6264" xr:uid="{00000000-0005-0000-0000-00005A0E0000}"/>
    <cellStyle name="Millares 2 3 6 3 2" xfId="16124" xr:uid="{00000000-0005-0000-0000-00005B0E0000}"/>
    <cellStyle name="Millares 2 3 6 3 2 2" xfId="35839" xr:uid="{00000000-0005-0000-0000-00005C0E0000}"/>
    <cellStyle name="Millares 2 3 6 3 3" xfId="25982" xr:uid="{00000000-0005-0000-0000-00005D0E0000}"/>
    <cellStyle name="Millares 2 3 6 4" xfId="11196" xr:uid="{00000000-0005-0000-0000-00005E0E0000}"/>
    <cellStyle name="Millares 2 3 6 4 2" xfId="30911" xr:uid="{00000000-0005-0000-0000-00005F0E0000}"/>
    <cellStyle name="Millares 2 3 6 5" xfId="21054" xr:uid="{00000000-0005-0000-0000-0000600E0000}"/>
    <cellStyle name="Millares 2 3 7" xfId="2564" xr:uid="{00000000-0005-0000-0000-0000610E0000}"/>
    <cellStyle name="Millares 2 3 7 2" xfId="7496" xr:uid="{00000000-0005-0000-0000-0000620E0000}"/>
    <cellStyle name="Millares 2 3 7 2 2" xfId="17356" xr:uid="{00000000-0005-0000-0000-0000630E0000}"/>
    <cellStyle name="Millares 2 3 7 2 2 2" xfId="37071" xr:uid="{00000000-0005-0000-0000-0000640E0000}"/>
    <cellStyle name="Millares 2 3 7 2 3" xfId="27214" xr:uid="{00000000-0005-0000-0000-0000650E0000}"/>
    <cellStyle name="Millares 2 3 7 3" xfId="12428" xr:uid="{00000000-0005-0000-0000-0000660E0000}"/>
    <cellStyle name="Millares 2 3 7 3 2" xfId="32143" xr:uid="{00000000-0005-0000-0000-0000670E0000}"/>
    <cellStyle name="Millares 2 3 7 4" xfId="22286" xr:uid="{00000000-0005-0000-0000-0000680E0000}"/>
    <cellStyle name="Millares 2 3 8" xfId="5032" xr:uid="{00000000-0005-0000-0000-0000690E0000}"/>
    <cellStyle name="Millares 2 3 8 2" xfId="14892" xr:uid="{00000000-0005-0000-0000-00006A0E0000}"/>
    <cellStyle name="Millares 2 3 8 2 2" xfId="34607" xr:uid="{00000000-0005-0000-0000-00006B0E0000}"/>
    <cellStyle name="Millares 2 3 8 3" xfId="24750" xr:uid="{00000000-0005-0000-0000-00006C0E0000}"/>
    <cellStyle name="Millares 2 3 9" xfId="9964" xr:uid="{00000000-0005-0000-0000-00006D0E0000}"/>
    <cellStyle name="Millares 2 3 9 2" xfId="29679" xr:uid="{00000000-0005-0000-0000-00006E0E0000}"/>
    <cellStyle name="Millares 2 4" xfId="115" xr:uid="{00000000-0005-0000-0000-00006F0E0000}"/>
    <cellStyle name="Millares 2 4 2" xfId="272" xr:uid="{00000000-0005-0000-0000-0000700E0000}"/>
    <cellStyle name="Millares 2 4 2 2" xfId="586" xr:uid="{00000000-0005-0000-0000-0000710E0000}"/>
    <cellStyle name="Millares 2 4 2 2 2" xfId="1206" xr:uid="{00000000-0005-0000-0000-0000720E0000}"/>
    <cellStyle name="Millares 2 4 2 2 2 2" xfId="2441" xr:uid="{00000000-0005-0000-0000-0000730E0000}"/>
    <cellStyle name="Millares 2 4 2 2 2 2 2" xfId="4908" xr:uid="{00000000-0005-0000-0000-0000740E0000}"/>
    <cellStyle name="Millares 2 4 2 2 2 2 2 2" xfId="9840" xr:uid="{00000000-0005-0000-0000-0000750E0000}"/>
    <cellStyle name="Millares 2 4 2 2 2 2 2 2 2" xfId="19700" xr:uid="{00000000-0005-0000-0000-0000760E0000}"/>
    <cellStyle name="Millares 2 4 2 2 2 2 2 2 2 2" xfId="39415" xr:uid="{00000000-0005-0000-0000-0000770E0000}"/>
    <cellStyle name="Millares 2 4 2 2 2 2 2 2 3" xfId="29558" xr:uid="{00000000-0005-0000-0000-0000780E0000}"/>
    <cellStyle name="Millares 2 4 2 2 2 2 2 3" xfId="14772" xr:uid="{00000000-0005-0000-0000-0000790E0000}"/>
    <cellStyle name="Millares 2 4 2 2 2 2 2 3 2" xfId="34487" xr:uid="{00000000-0005-0000-0000-00007A0E0000}"/>
    <cellStyle name="Millares 2 4 2 2 2 2 2 4" xfId="24630" xr:uid="{00000000-0005-0000-0000-00007B0E0000}"/>
    <cellStyle name="Millares 2 4 2 2 2 2 3" xfId="7376" xr:uid="{00000000-0005-0000-0000-00007C0E0000}"/>
    <cellStyle name="Millares 2 4 2 2 2 2 3 2" xfId="17236" xr:uid="{00000000-0005-0000-0000-00007D0E0000}"/>
    <cellStyle name="Millares 2 4 2 2 2 2 3 2 2" xfId="36951" xr:uid="{00000000-0005-0000-0000-00007E0E0000}"/>
    <cellStyle name="Millares 2 4 2 2 2 2 3 3" xfId="27094" xr:uid="{00000000-0005-0000-0000-00007F0E0000}"/>
    <cellStyle name="Millares 2 4 2 2 2 2 4" xfId="12308" xr:uid="{00000000-0005-0000-0000-0000800E0000}"/>
    <cellStyle name="Millares 2 4 2 2 2 2 4 2" xfId="32023" xr:uid="{00000000-0005-0000-0000-0000810E0000}"/>
    <cellStyle name="Millares 2 4 2 2 2 2 5" xfId="22166" xr:uid="{00000000-0005-0000-0000-0000820E0000}"/>
    <cellStyle name="Millares 2 4 2 2 2 3" xfId="3676" xr:uid="{00000000-0005-0000-0000-0000830E0000}"/>
    <cellStyle name="Millares 2 4 2 2 2 3 2" xfId="8608" xr:uid="{00000000-0005-0000-0000-0000840E0000}"/>
    <cellStyle name="Millares 2 4 2 2 2 3 2 2" xfId="18468" xr:uid="{00000000-0005-0000-0000-0000850E0000}"/>
    <cellStyle name="Millares 2 4 2 2 2 3 2 2 2" xfId="38183" xr:uid="{00000000-0005-0000-0000-0000860E0000}"/>
    <cellStyle name="Millares 2 4 2 2 2 3 2 3" xfId="28326" xr:uid="{00000000-0005-0000-0000-0000870E0000}"/>
    <cellStyle name="Millares 2 4 2 2 2 3 3" xfId="13540" xr:uid="{00000000-0005-0000-0000-0000880E0000}"/>
    <cellStyle name="Millares 2 4 2 2 2 3 3 2" xfId="33255" xr:uid="{00000000-0005-0000-0000-0000890E0000}"/>
    <cellStyle name="Millares 2 4 2 2 2 3 4" xfId="23398" xr:uid="{00000000-0005-0000-0000-00008A0E0000}"/>
    <cellStyle name="Millares 2 4 2 2 2 4" xfId="6144" xr:uid="{00000000-0005-0000-0000-00008B0E0000}"/>
    <cellStyle name="Millares 2 4 2 2 2 4 2" xfId="16004" xr:uid="{00000000-0005-0000-0000-00008C0E0000}"/>
    <cellStyle name="Millares 2 4 2 2 2 4 2 2" xfId="35719" xr:uid="{00000000-0005-0000-0000-00008D0E0000}"/>
    <cellStyle name="Millares 2 4 2 2 2 4 3" xfId="25862" xr:uid="{00000000-0005-0000-0000-00008E0E0000}"/>
    <cellStyle name="Millares 2 4 2 2 2 5" xfId="11076" xr:uid="{00000000-0005-0000-0000-00008F0E0000}"/>
    <cellStyle name="Millares 2 4 2 2 2 5 2" xfId="30791" xr:uid="{00000000-0005-0000-0000-0000900E0000}"/>
    <cellStyle name="Millares 2 4 2 2 2 6" xfId="20934" xr:uid="{00000000-0005-0000-0000-0000910E0000}"/>
    <cellStyle name="Millares 2 4 2 2 3" xfId="1825" xr:uid="{00000000-0005-0000-0000-0000920E0000}"/>
    <cellStyle name="Millares 2 4 2 2 3 2" xfId="4292" xr:uid="{00000000-0005-0000-0000-0000930E0000}"/>
    <cellStyle name="Millares 2 4 2 2 3 2 2" xfId="9224" xr:uid="{00000000-0005-0000-0000-0000940E0000}"/>
    <cellStyle name="Millares 2 4 2 2 3 2 2 2" xfId="19084" xr:uid="{00000000-0005-0000-0000-0000950E0000}"/>
    <cellStyle name="Millares 2 4 2 2 3 2 2 2 2" xfId="38799" xr:uid="{00000000-0005-0000-0000-0000960E0000}"/>
    <cellStyle name="Millares 2 4 2 2 3 2 2 3" xfId="28942" xr:uid="{00000000-0005-0000-0000-0000970E0000}"/>
    <cellStyle name="Millares 2 4 2 2 3 2 3" xfId="14156" xr:uid="{00000000-0005-0000-0000-0000980E0000}"/>
    <cellStyle name="Millares 2 4 2 2 3 2 3 2" xfId="33871" xr:uid="{00000000-0005-0000-0000-0000990E0000}"/>
    <cellStyle name="Millares 2 4 2 2 3 2 4" xfId="24014" xr:uid="{00000000-0005-0000-0000-00009A0E0000}"/>
    <cellStyle name="Millares 2 4 2 2 3 3" xfId="6760" xr:uid="{00000000-0005-0000-0000-00009B0E0000}"/>
    <cellStyle name="Millares 2 4 2 2 3 3 2" xfId="16620" xr:uid="{00000000-0005-0000-0000-00009C0E0000}"/>
    <cellStyle name="Millares 2 4 2 2 3 3 2 2" xfId="36335" xr:uid="{00000000-0005-0000-0000-00009D0E0000}"/>
    <cellStyle name="Millares 2 4 2 2 3 3 3" xfId="26478" xr:uid="{00000000-0005-0000-0000-00009E0E0000}"/>
    <cellStyle name="Millares 2 4 2 2 3 4" xfId="11692" xr:uid="{00000000-0005-0000-0000-00009F0E0000}"/>
    <cellStyle name="Millares 2 4 2 2 3 4 2" xfId="31407" xr:uid="{00000000-0005-0000-0000-0000A00E0000}"/>
    <cellStyle name="Millares 2 4 2 2 3 5" xfId="21550" xr:uid="{00000000-0005-0000-0000-0000A10E0000}"/>
    <cellStyle name="Millares 2 4 2 2 4" xfId="3060" xr:uid="{00000000-0005-0000-0000-0000A20E0000}"/>
    <cellStyle name="Millares 2 4 2 2 4 2" xfId="7992" xr:uid="{00000000-0005-0000-0000-0000A30E0000}"/>
    <cellStyle name="Millares 2 4 2 2 4 2 2" xfId="17852" xr:uid="{00000000-0005-0000-0000-0000A40E0000}"/>
    <cellStyle name="Millares 2 4 2 2 4 2 2 2" xfId="37567" xr:uid="{00000000-0005-0000-0000-0000A50E0000}"/>
    <cellStyle name="Millares 2 4 2 2 4 2 3" xfId="27710" xr:uid="{00000000-0005-0000-0000-0000A60E0000}"/>
    <cellStyle name="Millares 2 4 2 2 4 3" xfId="12924" xr:uid="{00000000-0005-0000-0000-0000A70E0000}"/>
    <cellStyle name="Millares 2 4 2 2 4 3 2" xfId="32639" xr:uid="{00000000-0005-0000-0000-0000A80E0000}"/>
    <cellStyle name="Millares 2 4 2 2 4 4" xfId="22782" xr:uid="{00000000-0005-0000-0000-0000A90E0000}"/>
    <cellStyle name="Millares 2 4 2 2 5" xfId="5528" xr:uid="{00000000-0005-0000-0000-0000AA0E0000}"/>
    <cellStyle name="Millares 2 4 2 2 5 2" xfId="15388" xr:uid="{00000000-0005-0000-0000-0000AB0E0000}"/>
    <cellStyle name="Millares 2 4 2 2 5 2 2" xfId="35103" xr:uid="{00000000-0005-0000-0000-0000AC0E0000}"/>
    <cellStyle name="Millares 2 4 2 2 5 3" xfId="25246" xr:uid="{00000000-0005-0000-0000-0000AD0E0000}"/>
    <cellStyle name="Millares 2 4 2 2 6" xfId="10460" xr:uid="{00000000-0005-0000-0000-0000AE0E0000}"/>
    <cellStyle name="Millares 2 4 2 2 6 2" xfId="30175" xr:uid="{00000000-0005-0000-0000-0000AF0E0000}"/>
    <cellStyle name="Millares 2 4 2 2 7" xfId="20318" xr:uid="{00000000-0005-0000-0000-0000B00E0000}"/>
    <cellStyle name="Millares 2 4 2 3" xfId="899" xr:uid="{00000000-0005-0000-0000-0000B10E0000}"/>
    <cellStyle name="Millares 2 4 2 3 2" xfId="2135" xr:uid="{00000000-0005-0000-0000-0000B20E0000}"/>
    <cellStyle name="Millares 2 4 2 3 2 2" xfId="4602" xr:uid="{00000000-0005-0000-0000-0000B30E0000}"/>
    <cellStyle name="Millares 2 4 2 3 2 2 2" xfId="9534" xr:uid="{00000000-0005-0000-0000-0000B40E0000}"/>
    <cellStyle name="Millares 2 4 2 3 2 2 2 2" xfId="19394" xr:uid="{00000000-0005-0000-0000-0000B50E0000}"/>
    <cellStyle name="Millares 2 4 2 3 2 2 2 2 2" xfId="39109" xr:uid="{00000000-0005-0000-0000-0000B60E0000}"/>
    <cellStyle name="Millares 2 4 2 3 2 2 2 3" xfId="29252" xr:uid="{00000000-0005-0000-0000-0000B70E0000}"/>
    <cellStyle name="Millares 2 4 2 3 2 2 3" xfId="14466" xr:uid="{00000000-0005-0000-0000-0000B80E0000}"/>
    <cellStyle name="Millares 2 4 2 3 2 2 3 2" xfId="34181" xr:uid="{00000000-0005-0000-0000-0000B90E0000}"/>
    <cellStyle name="Millares 2 4 2 3 2 2 4" xfId="24324" xr:uid="{00000000-0005-0000-0000-0000BA0E0000}"/>
    <cellStyle name="Millares 2 4 2 3 2 3" xfId="7070" xr:uid="{00000000-0005-0000-0000-0000BB0E0000}"/>
    <cellStyle name="Millares 2 4 2 3 2 3 2" xfId="16930" xr:uid="{00000000-0005-0000-0000-0000BC0E0000}"/>
    <cellStyle name="Millares 2 4 2 3 2 3 2 2" xfId="36645" xr:uid="{00000000-0005-0000-0000-0000BD0E0000}"/>
    <cellStyle name="Millares 2 4 2 3 2 3 3" xfId="26788" xr:uid="{00000000-0005-0000-0000-0000BE0E0000}"/>
    <cellStyle name="Millares 2 4 2 3 2 4" xfId="12002" xr:uid="{00000000-0005-0000-0000-0000BF0E0000}"/>
    <cellStyle name="Millares 2 4 2 3 2 4 2" xfId="31717" xr:uid="{00000000-0005-0000-0000-0000C00E0000}"/>
    <cellStyle name="Millares 2 4 2 3 2 5" xfId="21860" xr:uid="{00000000-0005-0000-0000-0000C10E0000}"/>
    <cellStyle name="Millares 2 4 2 3 3" xfId="3370" xr:uid="{00000000-0005-0000-0000-0000C20E0000}"/>
    <cellStyle name="Millares 2 4 2 3 3 2" xfId="8302" xr:uid="{00000000-0005-0000-0000-0000C30E0000}"/>
    <cellStyle name="Millares 2 4 2 3 3 2 2" xfId="18162" xr:uid="{00000000-0005-0000-0000-0000C40E0000}"/>
    <cellStyle name="Millares 2 4 2 3 3 2 2 2" xfId="37877" xr:uid="{00000000-0005-0000-0000-0000C50E0000}"/>
    <cellStyle name="Millares 2 4 2 3 3 2 3" xfId="28020" xr:uid="{00000000-0005-0000-0000-0000C60E0000}"/>
    <cellStyle name="Millares 2 4 2 3 3 3" xfId="13234" xr:uid="{00000000-0005-0000-0000-0000C70E0000}"/>
    <cellStyle name="Millares 2 4 2 3 3 3 2" xfId="32949" xr:uid="{00000000-0005-0000-0000-0000C80E0000}"/>
    <cellStyle name="Millares 2 4 2 3 3 4" xfId="23092" xr:uid="{00000000-0005-0000-0000-0000C90E0000}"/>
    <cellStyle name="Millares 2 4 2 3 4" xfId="5838" xr:uid="{00000000-0005-0000-0000-0000CA0E0000}"/>
    <cellStyle name="Millares 2 4 2 3 4 2" xfId="15698" xr:uid="{00000000-0005-0000-0000-0000CB0E0000}"/>
    <cellStyle name="Millares 2 4 2 3 4 2 2" xfId="35413" xr:uid="{00000000-0005-0000-0000-0000CC0E0000}"/>
    <cellStyle name="Millares 2 4 2 3 4 3" xfId="25556" xr:uid="{00000000-0005-0000-0000-0000CD0E0000}"/>
    <cellStyle name="Millares 2 4 2 3 5" xfId="10770" xr:uid="{00000000-0005-0000-0000-0000CE0E0000}"/>
    <cellStyle name="Millares 2 4 2 3 5 2" xfId="30485" xr:uid="{00000000-0005-0000-0000-0000CF0E0000}"/>
    <cellStyle name="Millares 2 4 2 3 6" xfId="20628" xr:uid="{00000000-0005-0000-0000-0000D00E0000}"/>
    <cellStyle name="Millares 2 4 2 4" xfId="1519" xr:uid="{00000000-0005-0000-0000-0000D10E0000}"/>
    <cellStyle name="Millares 2 4 2 4 2" xfId="3986" xr:uid="{00000000-0005-0000-0000-0000D20E0000}"/>
    <cellStyle name="Millares 2 4 2 4 2 2" xfId="8918" xr:uid="{00000000-0005-0000-0000-0000D30E0000}"/>
    <cellStyle name="Millares 2 4 2 4 2 2 2" xfId="18778" xr:uid="{00000000-0005-0000-0000-0000D40E0000}"/>
    <cellStyle name="Millares 2 4 2 4 2 2 2 2" xfId="38493" xr:uid="{00000000-0005-0000-0000-0000D50E0000}"/>
    <cellStyle name="Millares 2 4 2 4 2 2 3" xfId="28636" xr:uid="{00000000-0005-0000-0000-0000D60E0000}"/>
    <cellStyle name="Millares 2 4 2 4 2 3" xfId="13850" xr:uid="{00000000-0005-0000-0000-0000D70E0000}"/>
    <cellStyle name="Millares 2 4 2 4 2 3 2" xfId="33565" xr:uid="{00000000-0005-0000-0000-0000D80E0000}"/>
    <cellStyle name="Millares 2 4 2 4 2 4" xfId="23708" xr:uid="{00000000-0005-0000-0000-0000D90E0000}"/>
    <cellStyle name="Millares 2 4 2 4 3" xfId="6454" xr:uid="{00000000-0005-0000-0000-0000DA0E0000}"/>
    <cellStyle name="Millares 2 4 2 4 3 2" xfId="16314" xr:uid="{00000000-0005-0000-0000-0000DB0E0000}"/>
    <cellStyle name="Millares 2 4 2 4 3 2 2" xfId="36029" xr:uid="{00000000-0005-0000-0000-0000DC0E0000}"/>
    <cellStyle name="Millares 2 4 2 4 3 3" xfId="26172" xr:uid="{00000000-0005-0000-0000-0000DD0E0000}"/>
    <cellStyle name="Millares 2 4 2 4 4" xfId="11386" xr:uid="{00000000-0005-0000-0000-0000DE0E0000}"/>
    <cellStyle name="Millares 2 4 2 4 4 2" xfId="31101" xr:uid="{00000000-0005-0000-0000-0000DF0E0000}"/>
    <cellStyle name="Millares 2 4 2 4 5" xfId="21244" xr:uid="{00000000-0005-0000-0000-0000E00E0000}"/>
    <cellStyle name="Millares 2 4 2 5" xfId="2754" xr:uid="{00000000-0005-0000-0000-0000E10E0000}"/>
    <cellStyle name="Millares 2 4 2 5 2" xfId="7686" xr:uid="{00000000-0005-0000-0000-0000E20E0000}"/>
    <cellStyle name="Millares 2 4 2 5 2 2" xfId="17546" xr:uid="{00000000-0005-0000-0000-0000E30E0000}"/>
    <cellStyle name="Millares 2 4 2 5 2 2 2" xfId="37261" xr:uid="{00000000-0005-0000-0000-0000E40E0000}"/>
    <cellStyle name="Millares 2 4 2 5 2 3" xfId="27404" xr:uid="{00000000-0005-0000-0000-0000E50E0000}"/>
    <cellStyle name="Millares 2 4 2 5 3" xfId="12618" xr:uid="{00000000-0005-0000-0000-0000E60E0000}"/>
    <cellStyle name="Millares 2 4 2 5 3 2" xfId="32333" xr:uid="{00000000-0005-0000-0000-0000E70E0000}"/>
    <cellStyle name="Millares 2 4 2 5 4" xfId="22476" xr:uid="{00000000-0005-0000-0000-0000E80E0000}"/>
    <cellStyle name="Millares 2 4 2 6" xfId="5222" xr:uid="{00000000-0005-0000-0000-0000E90E0000}"/>
    <cellStyle name="Millares 2 4 2 6 2" xfId="15082" xr:uid="{00000000-0005-0000-0000-0000EA0E0000}"/>
    <cellStyle name="Millares 2 4 2 6 2 2" xfId="34797" xr:uid="{00000000-0005-0000-0000-0000EB0E0000}"/>
    <cellStyle name="Millares 2 4 2 6 3" xfId="24940" xr:uid="{00000000-0005-0000-0000-0000EC0E0000}"/>
    <cellStyle name="Millares 2 4 2 7" xfId="10154" xr:uid="{00000000-0005-0000-0000-0000ED0E0000}"/>
    <cellStyle name="Millares 2 4 2 7 2" xfId="29869" xr:uid="{00000000-0005-0000-0000-0000EE0E0000}"/>
    <cellStyle name="Millares 2 4 2 8" xfId="20012" xr:uid="{00000000-0005-0000-0000-0000EF0E0000}"/>
    <cellStyle name="Millares 2 4 3" xfId="434" xr:uid="{00000000-0005-0000-0000-0000F00E0000}"/>
    <cellStyle name="Millares 2 4 3 2" xfId="1054" xr:uid="{00000000-0005-0000-0000-0000F10E0000}"/>
    <cellStyle name="Millares 2 4 3 2 2" xfId="2289" xr:uid="{00000000-0005-0000-0000-0000F20E0000}"/>
    <cellStyle name="Millares 2 4 3 2 2 2" xfId="4756" xr:uid="{00000000-0005-0000-0000-0000F30E0000}"/>
    <cellStyle name="Millares 2 4 3 2 2 2 2" xfId="9688" xr:uid="{00000000-0005-0000-0000-0000F40E0000}"/>
    <cellStyle name="Millares 2 4 3 2 2 2 2 2" xfId="19548" xr:uid="{00000000-0005-0000-0000-0000F50E0000}"/>
    <cellStyle name="Millares 2 4 3 2 2 2 2 2 2" xfId="39263" xr:uid="{00000000-0005-0000-0000-0000F60E0000}"/>
    <cellStyle name="Millares 2 4 3 2 2 2 2 3" xfId="29406" xr:uid="{00000000-0005-0000-0000-0000F70E0000}"/>
    <cellStyle name="Millares 2 4 3 2 2 2 3" xfId="14620" xr:uid="{00000000-0005-0000-0000-0000F80E0000}"/>
    <cellStyle name="Millares 2 4 3 2 2 2 3 2" xfId="34335" xr:uid="{00000000-0005-0000-0000-0000F90E0000}"/>
    <cellStyle name="Millares 2 4 3 2 2 2 4" xfId="24478" xr:uid="{00000000-0005-0000-0000-0000FA0E0000}"/>
    <cellStyle name="Millares 2 4 3 2 2 3" xfId="7224" xr:uid="{00000000-0005-0000-0000-0000FB0E0000}"/>
    <cellStyle name="Millares 2 4 3 2 2 3 2" xfId="17084" xr:uid="{00000000-0005-0000-0000-0000FC0E0000}"/>
    <cellStyle name="Millares 2 4 3 2 2 3 2 2" xfId="36799" xr:uid="{00000000-0005-0000-0000-0000FD0E0000}"/>
    <cellStyle name="Millares 2 4 3 2 2 3 3" xfId="26942" xr:uid="{00000000-0005-0000-0000-0000FE0E0000}"/>
    <cellStyle name="Millares 2 4 3 2 2 4" xfId="12156" xr:uid="{00000000-0005-0000-0000-0000FF0E0000}"/>
    <cellStyle name="Millares 2 4 3 2 2 4 2" xfId="31871" xr:uid="{00000000-0005-0000-0000-0000000F0000}"/>
    <cellStyle name="Millares 2 4 3 2 2 5" xfId="22014" xr:uid="{00000000-0005-0000-0000-0000010F0000}"/>
    <cellStyle name="Millares 2 4 3 2 3" xfId="3524" xr:uid="{00000000-0005-0000-0000-0000020F0000}"/>
    <cellStyle name="Millares 2 4 3 2 3 2" xfId="8456" xr:uid="{00000000-0005-0000-0000-0000030F0000}"/>
    <cellStyle name="Millares 2 4 3 2 3 2 2" xfId="18316" xr:uid="{00000000-0005-0000-0000-0000040F0000}"/>
    <cellStyle name="Millares 2 4 3 2 3 2 2 2" xfId="38031" xr:uid="{00000000-0005-0000-0000-0000050F0000}"/>
    <cellStyle name="Millares 2 4 3 2 3 2 3" xfId="28174" xr:uid="{00000000-0005-0000-0000-0000060F0000}"/>
    <cellStyle name="Millares 2 4 3 2 3 3" xfId="13388" xr:uid="{00000000-0005-0000-0000-0000070F0000}"/>
    <cellStyle name="Millares 2 4 3 2 3 3 2" xfId="33103" xr:uid="{00000000-0005-0000-0000-0000080F0000}"/>
    <cellStyle name="Millares 2 4 3 2 3 4" xfId="23246" xr:uid="{00000000-0005-0000-0000-0000090F0000}"/>
    <cellStyle name="Millares 2 4 3 2 4" xfId="5992" xr:uid="{00000000-0005-0000-0000-00000A0F0000}"/>
    <cellStyle name="Millares 2 4 3 2 4 2" xfId="15852" xr:uid="{00000000-0005-0000-0000-00000B0F0000}"/>
    <cellStyle name="Millares 2 4 3 2 4 2 2" xfId="35567" xr:uid="{00000000-0005-0000-0000-00000C0F0000}"/>
    <cellStyle name="Millares 2 4 3 2 4 3" xfId="25710" xr:uid="{00000000-0005-0000-0000-00000D0F0000}"/>
    <cellStyle name="Millares 2 4 3 2 5" xfId="10924" xr:uid="{00000000-0005-0000-0000-00000E0F0000}"/>
    <cellStyle name="Millares 2 4 3 2 5 2" xfId="30639" xr:uid="{00000000-0005-0000-0000-00000F0F0000}"/>
    <cellStyle name="Millares 2 4 3 2 6" xfId="20782" xr:uid="{00000000-0005-0000-0000-0000100F0000}"/>
    <cellStyle name="Millares 2 4 3 3" xfId="1673" xr:uid="{00000000-0005-0000-0000-0000110F0000}"/>
    <cellStyle name="Millares 2 4 3 3 2" xfId="4140" xr:uid="{00000000-0005-0000-0000-0000120F0000}"/>
    <cellStyle name="Millares 2 4 3 3 2 2" xfId="9072" xr:uid="{00000000-0005-0000-0000-0000130F0000}"/>
    <cellStyle name="Millares 2 4 3 3 2 2 2" xfId="18932" xr:uid="{00000000-0005-0000-0000-0000140F0000}"/>
    <cellStyle name="Millares 2 4 3 3 2 2 2 2" xfId="38647" xr:uid="{00000000-0005-0000-0000-0000150F0000}"/>
    <cellStyle name="Millares 2 4 3 3 2 2 3" xfId="28790" xr:uid="{00000000-0005-0000-0000-0000160F0000}"/>
    <cellStyle name="Millares 2 4 3 3 2 3" xfId="14004" xr:uid="{00000000-0005-0000-0000-0000170F0000}"/>
    <cellStyle name="Millares 2 4 3 3 2 3 2" xfId="33719" xr:uid="{00000000-0005-0000-0000-0000180F0000}"/>
    <cellStyle name="Millares 2 4 3 3 2 4" xfId="23862" xr:uid="{00000000-0005-0000-0000-0000190F0000}"/>
    <cellStyle name="Millares 2 4 3 3 3" xfId="6608" xr:uid="{00000000-0005-0000-0000-00001A0F0000}"/>
    <cellStyle name="Millares 2 4 3 3 3 2" xfId="16468" xr:uid="{00000000-0005-0000-0000-00001B0F0000}"/>
    <cellStyle name="Millares 2 4 3 3 3 2 2" xfId="36183" xr:uid="{00000000-0005-0000-0000-00001C0F0000}"/>
    <cellStyle name="Millares 2 4 3 3 3 3" xfId="26326" xr:uid="{00000000-0005-0000-0000-00001D0F0000}"/>
    <cellStyle name="Millares 2 4 3 3 4" xfId="11540" xr:uid="{00000000-0005-0000-0000-00001E0F0000}"/>
    <cellStyle name="Millares 2 4 3 3 4 2" xfId="31255" xr:uid="{00000000-0005-0000-0000-00001F0F0000}"/>
    <cellStyle name="Millares 2 4 3 3 5" xfId="21398" xr:uid="{00000000-0005-0000-0000-0000200F0000}"/>
    <cellStyle name="Millares 2 4 3 4" xfId="2908" xr:uid="{00000000-0005-0000-0000-0000210F0000}"/>
    <cellStyle name="Millares 2 4 3 4 2" xfId="7840" xr:uid="{00000000-0005-0000-0000-0000220F0000}"/>
    <cellStyle name="Millares 2 4 3 4 2 2" xfId="17700" xr:uid="{00000000-0005-0000-0000-0000230F0000}"/>
    <cellStyle name="Millares 2 4 3 4 2 2 2" xfId="37415" xr:uid="{00000000-0005-0000-0000-0000240F0000}"/>
    <cellStyle name="Millares 2 4 3 4 2 3" xfId="27558" xr:uid="{00000000-0005-0000-0000-0000250F0000}"/>
    <cellStyle name="Millares 2 4 3 4 3" xfId="12772" xr:uid="{00000000-0005-0000-0000-0000260F0000}"/>
    <cellStyle name="Millares 2 4 3 4 3 2" xfId="32487" xr:uid="{00000000-0005-0000-0000-0000270F0000}"/>
    <cellStyle name="Millares 2 4 3 4 4" xfId="22630" xr:uid="{00000000-0005-0000-0000-0000280F0000}"/>
    <cellStyle name="Millares 2 4 3 5" xfId="5376" xr:uid="{00000000-0005-0000-0000-0000290F0000}"/>
    <cellStyle name="Millares 2 4 3 5 2" xfId="15236" xr:uid="{00000000-0005-0000-0000-00002A0F0000}"/>
    <cellStyle name="Millares 2 4 3 5 2 2" xfId="34951" xr:uid="{00000000-0005-0000-0000-00002B0F0000}"/>
    <cellStyle name="Millares 2 4 3 5 3" xfId="25094" xr:uid="{00000000-0005-0000-0000-00002C0F0000}"/>
    <cellStyle name="Millares 2 4 3 6" xfId="10308" xr:uid="{00000000-0005-0000-0000-00002D0F0000}"/>
    <cellStyle name="Millares 2 4 3 6 2" xfId="30023" xr:uid="{00000000-0005-0000-0000-00002E0F0000}"/>
    <cellStyle name="Millares 2 4 3 7" xfId="20166" xr:uid="{00000000-0005-0000-0000-00002F0F0000}"/>
    <cellStyle name="Millares 2 4 4" xfId="747" xr:uid="{00000000-0005-0000-0000-0000300F0000}"/>
    <cellStyle name="Millares 2 4 4 2" xfId="1983" xr:uid="{00000000-0005-0000-0000-0000310F0000}"/>
    <cellStyle name="Millares 2 4 4 2 2" xfId="4450" xr:uid="{00000000-0005-0000-0000-0000320F0000}"/>
    <cellStyle name="Millares 2 4 4 2 2 2" xfId="9382" xr:uid="{00000000-0005-0000-0000-0000330F0000}"/>
    <cellStyle name="Millares 2 4 4 2 2 2 2" xfId="19242" xr:uid="{00000000-0005-0000-0000-0000340F0000}"/>
    <cellStyle name="Millares 2 4 4 2 2 2 2 2" xfId="38957" xr:uid="{00000000-0005-0000-0000-0000350F0000}"/>
    <cellStyle name="Millares 2 4 4 2 2 2 3" xfId="29100" xr:uid="{00000000-0005-0000-0000-0000360F0000}"/>
    <cellStyle name="Millares 2 4 4 2 2 3" xfId="14314" xr:uid="{00000000-0005-0000-0000-0000370F0000}"/>
    <cellStyle name="Millares 2 4 4 2 2 3 2" xfId="34029" xr:uid="{00000000-0005-0000-0000-0000380F0000}"/>
    <cellStyle name="Millares 2 4 4 2 2 4" xfId="24172" xr:uid="{00000000-0005-0000-0000-0000390F0000}"/>
    <cellStyle name="Millares 2 4 4 2 3" xfId="6918" xr:uid="{00000000-0005-0000-0000-00003A0F0000}"/>
    <cellStyle name="Millares 2 4 4 2 3 2" xfId="16778" xr:uid="{00000000-0005-0000-0000-00003B0F0000}"/>
    <cellStyle name="Millares 2 4 4 2 3 2 2" xfId="36493" xr:uid="{00000000-0005-0000-0000-00003C0F0000}"/>
    <cellStyle name="Millares 2 4 4 2 3 3" xfId="26636" xr:uid="{00000000-0005-0000-0000-00003D0F0000}"/>
    <cellStyle name="Millares 2 4 4 2 4" xfId="11850" xr:uid="{00000000-0005-0000-0000-00003E0F0000}"/>
    <cellStyle name="Millares 2 4 4 2 4 2" xfId="31565" xr:uid="{00000000-0005-0000-0000-00003F0F0000}"/>
    <cellStyle name="Millares 2 4 4 2 5" xfId="21708" xr:uid="{00000000-0005-0000-0000-0000400F0000}"/>
    <cellStyle name="Millares 2 4 4 3" xfId="3218" xr:uid="{00000000-0005-0000-0000-0000410F0000}"/>
    <cellStyle name="Millares 2 4 4 3 2" xfId="8150" xr:uid="{00000000-0005-0000-0000-0000420F0000}"/>
    <cellStyle name="Millares 2 4 4 3 2 2" xfId="18010" xr:uid="{00000000-0005-0000-0000-0000430F0000}"/>
    <cellStyle name="Millares 2 4 4 3 2 2 2" xfId="37725" xr:uid="{00000000-0005-0000-0000-0000440F0000}"/>
    <cellStyle name="Millares 2 4 4 3 2 3" xfId="27868" xr:uid="{00000000-0005-0000-0000-0000450F0000}"/>
    <cellStyle name="Millares 2 4 4 3 3" xfId="13082" xr:uid="{00000000-0005-0000-0000-0000460F0000}"/>
    <cellStyle name="Millares 2 4 4 3 3 2" xfId="32797" xr:uid="{00000000-0005-0000-0000-0000470F0000}"/>
    <cellStyle name="Millares 2 4 4 3 4" xfId="22940" xr:uid="{00000000-0005-0000-0000-0000480F0000}"/>
    <cellStyle name="Millares 2 4 4 4" xfId="5686" xr:uid="{00000000-0005-0000-0000-0000490F0000}"/>
    <cellStyle name="Millares 2 4 4 4 2" xfId="15546" xr:uid="{00000000-0005-0000-0000-00004A0F0000}"/>
    <cellStyle name="Millares 2 4 4 4 2 2" xfId="35261" xr:uid="{00000000-0005-0000-0000-00004B0F0000}"/>
    <cellStyle name="Millares 2 4 4 4 3" xfId="25404" xr:uid="{00000000-0005-0000-0000-00004C0F0000}"/>
    <cellStyle name="Millares 2 4 4 5" xfId="10618" xr:uid="{00000000-0005-0000-0000-00004D0F0000}"/>
    <cellStyle name="Millares 2 4 4 5 2" xfId="30333" xr:uid="{00000000-0005-0000-0000-00004E0F0000}"/>
    <cellStyle name="Millares 2 4 4 6" xfId="20476" xr:uid="{00000000-0005-0000-0000-00004F0F0000}"/>
    <cellStyle name="Millares 2 4 5" xfId="1367" xr:uid="{00000000-0005-0000-0000-0000500F0000}"/>
    <cellStyle name="Millares 2 4 5 2" xfId="3834" xr:uid="{00000000-0005-0000-0000-0000510F0000}"/>
    <cellStyle name="Millares 2 4 5 2 2" xfId="8766" xr:uid="{00000000-0005-0000-0000-0000520F0000}"/>
    <cellStyle name="Millares 2 4 5 2 2 2" xfId="18626" xr:uid="{00000000-0005-0000-0000-0000530F0000}"/>
    <cellStyle name="Millares 2 4 5 2 2 2 2" xfId="38341" xr:uid="{00000000-0005-0000-0000-0000540F0000}"/>
    <cellStyle name="Millares 2 4 5 2 2 3" xfId="28484" xr:uid="{00000000-0005-0000-0000-0000550F0000}"/>
    <cellStyle name="Millares 2 4 5 2 3" xfId="13698" xr:uid="{00000000-0005-0000-0000-0000560F0000}"/>
    <cellStyle name="Millares 2 4 5 2 3 2" xfId="33413" xr:uid="{00000000-0005-0000-0000-0000570F0000}"/>
    <cellStyle name="Millares 2 4 5 2 4" xfId="23556" xr:uid="{00000000-0005-0000-0000-0000580F0000}"/>
    <cellStyle name="Millares 2 4 5 3" xfId="6302" xr:uid="{00000000-0005-0000-0000-0000590F0000}"/>
    <cellStyle name="Millares 2 4 5 3 2" xfId="16162" xr:uid="{00000000-0005-0000-0000-00005A0F0000}"/>
    <cellStyle name="Millares 2 4 5 3 2 2" xfId="35877" xr:uid="{00000000-0005-0000-0000-00005B0F0000}"/>
    <cellStyle name="Millares 2 4 5 3 3" xfId="26020" xr:uid="{00000000-0005-0000-0000-00005C0F0000}"/>
    <cellStyle name="Millares 2 4 5 4" xfId="11234" xr:uid="{00000000-0005-0000-0000-00005D0F0000}"/>
    <cellStyle name="Millares 2 4 5 4 2" xfId="30949" xr:uid="{00000000-0005-0000-0000-00005E0F0000}"/>
    <cellStyle name="Millares 2 4 5 5" xfId="21092" xr:uid="{00000000-0005-0000-0000-00005F0F0000}"/>
    <cellStyle name="Millares 2 4 6" xfId="2602" xr:uid="{00000000-0005-0000-0000-0000600F0000}"/>
    <cellStyle name="Millares 2 4 6 2" xfId="7534" xr:uid="{00000000-0005-0000-0000-0000610F0000}"/>
    <cellStyle name="Millares 2 4 6 2 2" xfId="17394" xr:uid="{00000000-0005-0000-0000-0000620F0000}"/>
    <cellStyle name="Millares 2 4 6 2 2 2" xfId="37109" xr:uid="{00000000-0005-0000-0000-0000630F0000}"/>
    <cellStyle name="Millares 2 4 6 2 3" xfId="27252" xr:uid="{00000000-0005-0000-0000-0000640F0000}"/>
    <cellStyle name="Millares 2 4 6 3" xfId="12466" xr:uid="{00000000-0005-0000-0000-0000650F0000}"/>
    <cellStyle name="Millares 2 4 6 3 2" xfId="32181" xr:uid="{00000000-0005-0000-0000-0000660F0000}"/>
    <cellStyle name="Millares 2 4 6 4" xfId="22324" xr:uid="{00000000-0005-0000-0000-0000670F0000}"/>
    <cellStyle name="Millares 2 4 7" xfId="5070" xr:uid="{00000000-0005-0000-0000-0000680F0000}"/>
    <cellStyle name="Millares 2 4 7 2" xfId="14930" xr:uid="{00000000-0005-0000-0000-0000690F0000}"/>
    <cellStyle name="Millares 2 4 7 2 2" xfId="34645" xr:uid="{00000000-0005-0000-0000-00006A0F0000}"/>
    <cellStyle name="Millares 2 4 7 3" xfId="24788" xr:uid="{00000000-0005-0000-0000-00006B0F0000}"/>
    <cellStyle name="Millares 2 4 8" xfId="10002" xr:uid="{00000000-0005-0000-0000-00006C0F0000}"/>
    <cellStyle name="Millares 2 4 8 2" xfId="29717" xr:uid="{00000000-0005-0000-0000-00006D0F0000}"/>
    <cellStyle name="Millares 2 4 9" xfId="19860" xr:uid="{00000000-0005-0000-0000-00006E0F0000}"/>
    <cellStyle name="Millares 2 5" xfId="196" xr:uid="{00000000-0005-0000-0000-00006F0F0000}"/>
    <cellStyle name="Millares 2 5 2" xfId="510" xr:uid="{00000000-0005-0000-0000-0000700F0000}"/>
    <cellStyle name="Millares 2 5 2 2" xfId="1130" xr:uid="{00000000-0005-0000-0000-0000710F0000}"/>
    <cellStyle name="Millares 2 5 2 2 2" xfId="2365" xr:uid="{00000000-0005-0000-0000-0000720F0000}"/>
    <cellStyle name="Millares 2 5 2 2 2 2" xfId="4832" xr:uid="{00000000-0005-0000-0000-0000730F0000}"/>
    <cellStyle name="Millares 2 5 2 2 2 2 2" xfId="9764" xr:uid="{00000000-0005-0000-0000-0000740F0000}"/>
    <cellStyle name="Millares 2 5 2 2 2 2 2 2" xfId="19624" xr:uid="{00000000-0005-0000-0000-0000750F0000}"/>
    <cellStyle name="Millares 2 5 2 2 2 2 2 2 2" xfId="39339" xr:uid="{00000000-0005-0000-0000-0000760F0000}"/>
    <cellStyle name="Millares 2 5 2 2 2 2 2 3" xfId="29482" xr:uid="{00000000-0005-0000-0000-0000770F0000}"/>
    <cellStyle name="Millares 2 5 2 2 2 2 3" xfId="14696" xr:uid="{00000000-0005-0000-0000-0000780F0000}"/>
    <cellStyle name="Millares 2 5 2 2 2 2 3 2" xfId="34411" xr:uid="{00000000-0005-0000-0000-0000790F0000}"/>
    <cellStyle name="Millares 2 5 2 2 2 2 4" xfId="24554" xr:uid="{00000000-0005-0000-0000-00007A0F0000}"/>
    <cellStyle name="Millares 2 5 2 2 2 3" xfId="7300" xr:uid="{00000000-0005-0000-0000-00007B0F0000}"/>
    <cellStyle name="Millares 2 5 2 2 2 3 2" xfId="17160" xr:uid="{00000000-0005-0000-0000-00007C0F0000}"/>
    <cellStyle name="Millares 2 5 2 2 2 3 2 2" xfId="36875" xr:uid="{00000000-0005-0000-0000-00007D0F0000}"/>
    <cellStyle name="Millares 2 5 2 2 2 3 3" xfId="27018" xr:uid="{00000000-0005-0000-0000-00007E0F0000}"/>
    <cellStyle name="Millares 2 5 2 2 2 4" xfId="12232" xr:uid="{00000000-0005-0000-0000-00007F0F0000}"/>
    <cellStyle name="Millares 2 5 2 2 2 4 2" xfId="31947" xr:uid="{00000000-0005-0000-0000-0000800F0000}"/>
    <cellStyle name="Millares 2 5 2 2 2 5" xfId="22090" xr:uid="{00000000-0005-0000-0000-0000810F0000}"/>
    <cellStyle name="Millares 2 5 2 2 3" xfId="3600" xr:uid="{00000000-0005-0000-0000-0000820F0000}"/>
    <cellStyle name="Millares 2 5 2 2 3 2" xfId="8532" xr:uid="{00000000-0005-0000-0000-0000830F0000}"/>
    <cellStyle name="Millares 2 5 2 2 3 2 2" xfId="18392" xr:uid="{00000000-0005-0000-0000-0000840F0000}"/>
    <cellStyle name="Millares 2 5 2 2 3 2 2 2" xfId="38107" xr:uid="{00000000-0005-0000-0000-0000850F0000}"/>
    <cellStyle name="Millares 2 5 2 2 3 2 3" xfId="28250" xr:uid="{00000000-0005-0000-0000-0000860F0000}"/>
    <cellStyle name="Millares 2 5 2 2 3 3" xfId="13464" xr:uid="{00000000-0005-0000-0000-0000870F0000}"/>
    <cellStyle name="Millares 2 5 2 2 3 3 2" xfId="33179" xr:uid="{00000000-0005-0000-0000-0000880F0000}"/>
    <cellStyle name="Millares 2 5 2 2 3 4" xfId="23322" xr:uid="{00000000-0005-0000-0000-0000890F0000}"/>
    <cellStyle name="Millares 2 5 2 2 4" xfId="6068" xr:uid="{00000000-0005-0000-0000-00008A0F0000}"/>
    <cellStyle name="Millares 2 5 2 2 4 2" xfId="15928" xr:uid="{00000000-0005-0000-0000-00008B0F0000}"/>
    <cellStyle name="Millares 2 5 2 2 4 2 2" xfId="35643" xr:uid="{00000000-0005-0000-0000-00008C0F0000}"/>
    <cellStyle name="Millares 2 5 2 2 4 3" xfId="25786" xr:uid="{00000000-0005-0000-0000-00008D0F0000}"/>
    <cellStyle name="Millares 2 5 2 2 5" xfId="11000" xr:uid="{00000000-0005-0000-0000-00008E0F0000}"/>
    <cellStyle name="Millares 2 5 2 2 5 2" xfId="30715" xr:uid="{00000000-0005-0000-0000-00008F0F0000}"/>
    <cellStyle name="Millares 2 5 2 2 6" xfId="20858" xr:uid="{00000000-0005-0000-0000-0000900F0000}"/>
    <cellStyle name="Millares 2 5 2 3" xfId="1749" xr:uid="{00000000-0005-0000-0000-0000910F0000}"/>
    <cellStyle name="Millares 2 5 2 3 2" xfId="4216" xr:uid="{00000000-0005-0000-0000-0000920F0000}"/>
    <cellStyle name="Millares 2 5 2 3 2 2" xfId="9148" xr:uid="{00000000-0005-0000-0000-0000930F0000}"/>
    <cellStyle name="Millares 2 5 2 3 2 2 2" xfId="19008" xr:uid="{00000000-0005-0000-0000-0000940F0000}"/>
    <cellStyle name="Millares 2 5 2 3 2 2 2 2" xfId="38723" xr:uid="{00000000-0005-0000-0000-0000950F0000}"/>
    <cellStyle name="Millares 2 5 2 3 2 2 3" xfId="28866" xr:uid="{00000000-0005-0000-0000-0000960F0000}"/>
    <cellStyle name="Millares 2 5 2 3 2 3" xfId="14080" xr:uid="{00000000-0005-0000-0000-0000970F0000}"/>
    <cellStyle name="Millares 2 5 2 3 2 3 2" xfId="33795" xr:uid="{00000000-0005-0000-0000-0000980F0000}"/>
    <cellStyle name="Millares 2 5 2 3 2 4" xfId="23938" xr:uid="{00000000-0005-0000-0000-0000990F0000}"/>
    <cellStyle name="Millares 2 5 2 3 3" xfId="6684" xr:uid="{00000000-0005-0000-0000-00009A0F0000}"/>
    <cellStyle name="Millares 2 5 2 3 3 2" xfId="16544" xr:uid="{00000000-0005-0000-0000-00009B0F0000}"/>
    <cellStyle name="Millares 2 5 2 3 3 2 2" xfId="36259" xr:uid="{00000000-0005-0000-0000-00009C0F0000}"/>
    <cellStyle name="Millares 2 5 2 3 3 3" xfId="26402" xr:uid="{00000000-0005-0000-0000-00009D0F0000}"/>
    <cellStyle name="Millares 2 5 2 3 4" xfId="11616" xr:uid="{00000000-0005-0000-0000-00009E0F0000}"/>
    <cellStyle name="Millares 2 5 2 3 4 2" xfId="31331" xr:uid="{00000000-0005-0000-0000-00009F0F0000}"/>
    <cellStyle name="Millares 2 5 2 3 5" xfId="21474" xr:uid="{00000000-0005-0000-0000-0000A00F0000}"/>
    <cellStyle name="Millares 2 5 2 4" xfId="2984" xr:uid="{00000000-0005-0000-0000-0000A10F0000}"/>
    <cellStyle name="Millares 2 5 2 4 2" xfId="7916" xr:uid="{00000000-0005-0000-0000-0000A20F0000}"/>
    <cellStyle name="Millares 2 5 2 4 2 2" xfId="17776" xr:uid="{00000000-0005-0000-0000-0000A30F0000}"/>
    <cellStyle name="Millares 2 5 2 4 2 2 2" xfId="37491" xr:uid="{00000000-0005-0000-0000-0000A40F0000}"/>
    <cellStyle name="Millares 2 5 2 4 2 3" xfId="27634" xr:uid="{00000000-0005-0000-0000-0000A50F0000}"/>
    <cellStyle name="Millares 2 5 2 4 3" xfId="12848" xr:uid="{00000000-0005-0000-0000-0000A60F0000}"/>
    <cellStyle name="Millares 2 5 2 4 3 2" xfId="32563" xr:uid="{00000000-0005-0000-0000-0000A70F0000}"/>
    <cellStyle name="Millares 2 5 2 4 4" xfId="22706" xr:uid="{00000000-0005-0000-0000-0000A80F0000}"/>
    <cellStyle name="Millares 2 5 2 5" xfId="5452" xr:uid="{00000000-0005-0000-0000-0000A90F0000}"/>
    <cellStyle name="Millares 2 5 2 5 2" xfId="15312" xr:uid="{00000000-0005-0000-0000-0000AA0F0000}"/>
    <cellStyle name="Millares 2 5 2 5 2 2" xfId="35027" xr:uid="{00000000-0005-0000-0000-0000AB0F0000}"/>
    <cellStyle name="Millares 2 5 2 5 3" xfId="25170" xr:uid="{00000000-0005-0000-0000-0000AC0F0000}"/>
    <cellStyle name="Millares 2 5 2 6" xfId="10384" xr:uid="{00000000-0005-0000-0000-0000AD0F0000}"/>
    <cellStyle name="Millares 2 5 2 6 2" xfId="30099" xr:uid="{00000000-0005-0000-0000-0000AE0F0000}"/>
    <cellStyle name="Millares 2 5 2 7" xfId="20242" xr:uid="{00000000-0005-0000-0000-0000AF0F0000}"/>
    <cellStyle name="Millares 2 5 3" xfId="823" xr:uid="{00000000-0005-0000-0000-0000B00F0000}"/>
    <cellStyle name="Millares 2 5 3 2" xfId="2059" xr:uid="{00000000-0005-0000-0000-0000B10F0000}"/>
    <cellStyle name="Millares 2 5 3 2 2" xfId="4526" xr:uid="{00000000-0005-0000-0000-0000B20F0000}"/>
    <cellStyle name="Millares 2 5 3 2 2 2" xfId="9458" xr:uid="{00000000-0005-0000-0000-0000B30F0000}"/>
    <cellStyle name="Millares 2 5 3 2 2 2 2" xfId="19318" xr:uid="{00000000-0005-0000-0000-0000B40F0000}"/>
    <cellStyle name="Millares 2 5 3 2 2 2 2 2" xfId="39033" xr:uid="{00000000-0005-0000-0000-0000B50F0000}"/>
    <cellStyle name="Millares 2 5 3 2 2 2 3" xfId="29176" xr:uid="{00000000-0005-0000-0000-0000B60F0000}"/>
    <cellStyle name="Millares 2 5 3 2 2 3" xfId="14390" xr:uid="{00000000-0005-0000-0000-0000B70F0000}"/>
    <cellStyle name="Millares 2 5 3 2 2 3 2" xfId="34105" xr:uid="{00000000-0005-0000-0000-0000B80F0000}"/>
    <cellStyle name="Millares 2 5 3 2 2 4" xfId="24248" xr:uid="{00000000-0005-0000-0000-0000B90F0000}"/>
    <cellStyle name="Millares 2 5 3 2 3" xfId="6994" xr:uid="{00000000-0005-0000-0000-0000BA0F0000}"/>
    <cellStyle name="Millares 2 5 3 2 3 2" xfId="16854" xr:uid="{00000000-0005-0000-0000-0000BB0F0000}"/>
    <cellStyle name="Millares 2 5 3 2 3 2 2" xfId="36569" xr:uid="{00000000-0005-0000-0000-0000BC0F0000}"/>
    <cellStyle name="Millares 2 5 3 2 3 3" xfId="26712" xr:uid="{00000000-0005-0000-0000-0000BD0F0000}"/>
    <cellStyle name="Millares 2 5 3 2 4" xfId="11926" xr:uid="{00000000-0005-0000-0000-0000BE0F0000}"/>
    <cellStyle name="Millares 2 5 3 2 4 2" xfId="31641" xr:uid="{00000000-0005-0000-0000-0000BF0F0000}"/>
    <cellStyle name="Millares 2 5 3 2 5" xfId="21784" xr:uid="{00000000-0005-0000-0000-0000C00F0000}"/>
    <cellStyle name="Millares 2 5 3 3" xfId="3294" xr:uid="{00000000-0005-0000-0000-0000C10F0000}"/>
    <cellStyle name="Millares 2 5 3 3 2" xfId="8226" xr:uid="{00000000-0005-0000-0000-0000C20F0000}"/>
    <cellStyle name="Millares 2 5 3 3 2 2" xfId="18086" xr:uid="{00000000-0005-0000-0000-0000C30F0000}"/>
    <cellStyle name="Millares 2 5 3 3 2 2 2" xfId="37801" xr:uid="{00000000-0005-0000-0000-0000C40F0000}"/>
    <cellStyle name="Millares 2 5 3 3 2 3" xfId="27944" xr:uid="{00000000-0005-0000-0000-0000C50F0000}"/>
    <cellStyle name="Millares 2 5 3 3 3" xfId="13158" xr:uid="{00000000-0005-0000-0000-0000C60F0000}"/>
    <cellStyle name="Millares 2 5 3 3 3 2" xfId="32873" xr:uid="{00000000-0005-0000-0000-0000C70F0000}"/>
    <cellStyle name="Millares 2 5 3 3 4" xfId="23016" xr:uid="{00000000-0005-0000-0000-0000C80F0000}"/>
    <cellStyle name="Millares 2 5 3 4" xfId="5762" xr:uid="{00000000-0005-0000-0000-0000C90F0000}"/>
    <cellStyle name="Millares 2 5 3 4 2" xfId="15622" xr:uid="{00000000-0005-0000-0000-0000CA0F0000}"/>
    <cellStyle name="Millares 2 5 3 4 2 2" xfId="35337" xr:uid="{00000000-0005-0000-0000-0000CB0F0000}"/>
    <cellStyle name="Millares 2 5 3 4 3" xfId="25480" xr:uid="{00000000-0005-0000-0000-0000CC0F0000}"/>
    <cellStyle name="Millares 2 5 3 5" xfId="10694" xr:uid="{00000000-0005-0000-0000-0000CD0F0000}"/>
    <cellStyle name="Millares 2 5 3 5 2" xfId="30409" xr:uid="{00000000-0005-0000-0000-0000CE0F0000}"/>
    <cellStyle name="Millares 2 5 3 6" xfId="20552" xr:uid="{00000000-0005-0000-0000-0000CF0F0000}"/>
    <cellStyle name="Millares 2 5 4" xfId="1443" xr:uid="{00000000-0005-0000-0000-0000D00F0000}"/>
    <cellStyle name="Millares 2 5 4 2" xfId="3910" xr:uid="{00000000-0005-0000-0000-0000D10F0000}"/>
    <cellStyle name="Millares 2 5 4 2 2" xfId="8842" xr:uid="{00000000-0005-0000-0000-0000D20F0000}"/>
    <cellStyle name="Millares 2 5 4 2 2 2" xfId="18702" xr:uid="{00000000-0005-0000-0000-0000D30F0000}"/>
    <cellStyle name="Millares 2 5 4 2 2 2 2" xfId="38417" xr:uid="{00000000-0005-0000-0000-0000D40F0000}"/>
    <cellStyle name="Millares 2 5 4 2 2 3" xfId="28560" xr:uid="{00000000-0005-0000-0000-0000D50F0000}"/>
    <cellStyle name="Millares 2 5 4 2 3" xfId="13774" xr:uid="{00000000-0005-0000-0000-0000D60F0000}"/>
    <cellStyle name="Millares 2 5 4 2 3 2" xfId="33489" xr:uid="{00000000-0005-0000-0000-0000D70F0000}"/>
    <cellStyle name="Millares 2 5 4 2 4" xfId="23632" xr:uid="{00000000-0005-0000-0000-0000D80F0000}"/>
    <cellStyle name="Millares 2 5 4 3" xfId="6378" xr:uid="{00000000-0005-0000-0000-0000D90F0000}"/>
    <cellStyle name="Millares 2 5 4 3 2" xfId="16238" xr:uid="{00000000-0005-0000-0000-0000DA0F0000}"/>
    <cellStyle name="Millares 2 5 4 3 2 2" xfId="35953" xr:uid="{00000000-0005-0000-0000-0000DB0F0000}"/>
    <cellStyle name="Millares 2 5 4 3 3" xfId="26096" xr:uid="{00000000-0005-0000-0000-0000DC0F0000}"/>
    <cellStyle name="Millares 2 5 4 4" xfId="11310" xr:uid="{00000000-0005-0000-0000-0000DD0F0000}"/>
    <cellStyle name="Millares 2 5 4 4 2" xfId="31025" xr:uid="{00000000-0005-0000-0000-0000DE0F0000}"/>
    <cellStyle name="Millares 2 5 4 5" xfId="21168" xr:uid="{00000000-0005-0000-0000-0000DF0F0000}"/>
    <cellStyle name="Millares 2 5 5" xfId="2678" xr:uid="{00000000-0005-0000-0000-0000E00F0000}"/>
    <cellStyle name="Millares 2 5 5 2" xfId="7610" xr:uid="{00000000-0005-0000-0000-0000E10F0000}"/>
    <cellStyle name="Millares 2 5 5 2 2" xfId="17470" xr:uid="{00000000-0005-0000-0000-0000E20F0000}"/>
    <cellStyle name="Millares 2 5 5 2 2 2" xfId="37185" xr:uid="{00000000-0005-0000-0000-0000E30F0000}"/>
    <cellStyle name="Millares 2 5 5 2 3" xfId="27328" xr:uid="{00000000-0005-0000-0000-0000E40F0000}"/>
    <cellStyle name="Millares 2 5 5 3" xfId="12542" xr:uid="{00000000-0005-0000-0000-0000E50F0000}"/>
    <cellStyle name="Millares 2 5 5 3 2" xfId="32257" xr:uid="{00000000-0005-0000-0000-0000E60F0000}"/>
    <cellStyle name="Millares 2 5 5 4" xfId="22400" xr:uid="{00000000-0005-0000-0000-0000E70F0000}"/>
    <cellStyle name="Millares 2 5 6" xfId="5146" xr:uid="{00000000-0005-0000-0000-0000E80F0000}"/>
    <cellStyle name="Millares 2 5 6 2" xfId="15006" xr:uid="{00000000-0005-0000-0000-0000E90F0000}"/>
    <cellStyle name="Millares 2 5 6 2 2" xfId="34721" xr:uid="{00000000-0005-0000-0000-0000EA0F0000}"/>
    <cellStyle name="Millares 2 5 6 3" xfId="24864" xr:uid="{00000000-0005-0000-0000-0000EB0F0000}"/>
    <cellStyle name="Millares 2 5 7" xfId="10078" xr:uid="{00000000-0005-0000-0000-0000EC0F0000}"/>
    <cellStyle name="Millares 2 5 7 2" xfId="29793" xr:uid="{00000000-0005-0000-0000-0000ED0F0000}"/>
    <cellStyle name="Millares 2 5 8" xfId="19936" xr:uid="{00000000-0005-0000-0000-0000EE0F0000}"/>
    <cellStyle name="Millares 2 6" xfId="358" xr:uid="{00000000-0005-0000-0000-0000EF0F0000}"/>
    <cellStyle name="Millares 2 6 2" xfId="978" xr:uid="{00000000-0005-0000-0000-0000F00F0000}"/>
    <cellStyle name="Millares 2 6 2 2" xfId="2213" xr:uid="{00000000-0005-0000-0000-0000F10F0000}"/>
    <cellStyle name="Millares 2 6 2 2 2" xfId="4680" xr:uid="{00000000-0005-0000-0000-0000F20F0000}"/>
    <cellStyle name="Millares 2 6 2 2 2 2" xfId="9612" xr:uid="{00000000-0005-0000-0000-0000F30F0000}"/>
    <cellStyle name="Millares 2 6 2 2 2 2 2" xfId="19472" xr:uid="{00000000-0005-0000-0000-0000F40F0000}"/>
    <cellStyle name="Millares 2 6 2 2 2 2 2 2" xfId="39187" xr:uid="{00000000-0005-0000-0000-0000F50F0000}"/>
    <cellStyle name="Millares 2 6 2 2 2 2 3" xfId="29330" xr:uid="{00000000-0005-0000-0000-0000F60F0000}"/>
    <cellStyle name="Millares 2 6 2 2 2 3" xfId="14544" xr:uid="{00000000-0005-0000-0000-0000F70F0000}"/>
    <cellStyle name="Millares 2 6 2 2 2 3 2" xfId="34259" xr:uid="{00000000-0005-0000-0000-0000F80F0000}"/>
    <cellStyle name="Millares 2 6 2 2 2 4" xfId="24402" xr:uid="{00000000-0005-0000-0000-0000F90F0000}"/>
    <cellStyle name="Millares 2 6 2 2 3" xfId="7148" xr:uid="{00000000-0005-0000-0000-0000FA0F0000}"/>
    <cellStyle name="Millares 2 6 2 2 3 2" xfId="17008" xr:uid="{00000000-0005-0000-0000-0000FB0F0000}"/>
    <cellStyle name="Millares 2 6 2 2 3 2 2" xfId="36723" xr:uid="{00000000-0005-0000-0000-0000FC0F0000}"/>
    <cellStyle name="Millares 2 6 2 2 3 3" xfId="26866" xr:uid="{00000000-0005-0000-0000-0000FD0F0000}"/>
    <cellStyle name="Millares 2 6 2 2 4" xfId="12080" xr:uid="{00000000-0005-0000-0000-0000FE0F0000}"/>
    <cellStyle name="Millares 2 6 2 2 4 2" xfId="31795" xr:uid="{00000000-0005-0000-0000-0000FF0F0000}"/>
    <cellStyle name="Millares 2 6 2 2 5" xfId="21938" xr:uid="{00000000-0005-0000-0000-000000100000}"/>
    <cellStyle name="Millares 2 6 2 3" xfId="3448" xr:uid="{00000000-0005-0000-0000-000001100000}"/>
    <cellStyle name="Millares 2 6 2 3 2" xfId="8380" xr:uid="{00000000-0005-0000-0000-000002100000}"/>
    <cellStyle name="Millares 2 6 2 3 2 2" xfId="18240" xr:uid="{00000000-0005-0000-0000-000003100000}"/>
    <cellStyle name="Millares 2 6 2 3 2 2 2" xfId="37955" xr:uid="{00000000-0005-0000-0000-000004100000}"/>
    <cellStyle name="Millares 2 6 2 3 2 3" xfId="28098" xr:uid="{00000000-0005-0000-0000-000005100000}"/>
    <cellStyle name="Millares 2 6 2 3 3" xfId="13312" xr:uid="{00000000-0005-0000-0000-000006100000}"/>
    <cellStyle name="Millares 2 6 2 3 3 2" xfId="33027" xr:uid="{00000000-0005-0000-0000-000007100000}"/>
    <cellStyle name="Millares 2 6 2 3 4" xfId="23170" xr:uid="{00000000-0005-0000-0000-000008100000}"/>
    <cellStyle name="Millares 2 6 2 4" xfId="5916" xr:uid="{00000000-0005-0000-0000-000009100000}"/>
    <cellStyle name="Millares 2 6 2 4 2" xfId="15776" xr:uid="{00000000-0005-0000-0000-00000A100000}"/>
    <cellStyle name="Millares 2 6 2 4 2 2" xfId="35491" xr:uid="{00000000-0005-0000-0000-00000B100000}"/>
    <cellStyle name="Millares 2 6 2 4 3" xfId="25634" xr:uid="{00000000-0005-0000-0000-00000C100000}"/>
    <cellStyle name="Millares 2 6 2 5" xfId="10848" xr:uid="{00000000-0005-0000-0000-00000D100000}"/>
    <cellStyle name="Millares 2 6 2 5 2" xfId="30563" xr:uid="{00000000-0005-0000-0000-00000E100000}"/>
    <cellStyle name="Millares 2 6 2 6" xfId="20706" xr:uid="{00000000-0005-0000-0000-00000F100000}"/>
    <cellStyle name="Millares 2 6 3" xfId="1597" xr:uid="{00000000-0005-0000-0000-000010100000}"/>
    <cellStyle name="Millares 2 6 3 2" xfId="4064" xr:uid="{00000000-0005-0000-0000-000011100000}"/>
    <cellStyle name="Millares 2 6 3 2 2" xfId="8996" xr:uid="{00000000-0005-0000-0000-000012100000}"/>
    <cellStyle name="Millares 2 6 3 2 2 2" xfId="18856" xr:uid="{00000000-0005-0000-0000-000013100000}"/>
    <cellStyle name="Millares 2 6 3 2 2 2 2" xfId="38571" xr:uid="{00000000-0005-0000-0000-000014100000}"/>
    <cellStyle name="Millares 2 6 3 2 2 3" xfId="28714" xr:uid="{00000000-0005-0000-0000-000015100000}"/>
    <cellStyle name="Millares 2 6 3 2 3" xfId="13928" xr:uid="{00000000-0005-0000-0000-000016100000}"/>
    <cellStyle name="Millares 2 6 3 2 3 2" xfId="33643" xr:uid="{00000000-0005-0000-0000-000017100000}"/>
    <cellStyle name="Millares 2 6 3 2 4" xfId="23786" xr:uid="{00000000-0005-0000-0000-000018100000}"/>
    <cellStyle name="Millares 2 6 3 3" xfId="6532" xr:uid="{00000000-0005-0000-0000-000019100000}"/>
    <cellStyle name="Millares 2 6 3 3 2" xfId="16392" xr:uid="{00000000-0005-0000-0000-00001A100000}"/>
    <cellStyle name="Millares 2 6 3 3 2 2" xfId="36107" xr:uid="{00000000-0005-0000-0000-00001B100000}"/>
    <cellStyle name="Millares 2 6 3 3 3" xfId="26250" xr:uid="{00000000-0005-0000-0000-00001C100000}"/>
    <cellStyle name="Millares 2 6 3 4" xfId="11464" xr:uid="{00000000-0005-0000-0000-00001D100000}"/>
    <cellStyle name="Millares 2 6 3 4 2" xfId="31179" xr:uid="{00000000-0005-0000-0000-00001E100000}"/>
    <cellStyle name="Millares 2 6 3 5" xfId="21322" xr:uid="{00000000-0005-0000-0000-00001F100000}"/>
    <cellStyle name="Millares 2 6 4" xfId="2832" xr:uid="{00000000-0005-0000-0000-000020100000}"/>
    <cellStyle name="Millares 2 6 4 2" xfId="7764" xr:uid="{00000000-0005-0000-0000-000021100000}"/>
    <cellStyle name="Millares 2 6 4 2 2" xfId="17624" xr:uid="{00000000-0005-0000-0000-000022100000}"/>
    <cellStyle name="Millares 2 6 4 2 2 2" xfId="37339" xr:uid="{00000000-0005-0000-0000-000023100000}"/>
    <cellStyle name="Millares 2 6 4 2 3" xfId="27482" xr:uid="{00000000-0005-0000-0000-000024100000}"/>
    <cellStyle name="Millares 2 6 4 3" xfId="12696" xr:uid="{00000000-0005-0000-0000-000025100000}"/>
    <cellStyle name="Millares 2 6 4 3 2" xfId="32411" xr:uid="{00000000-0005-0000-0000-000026100000}"/>
    <cellStyle name="Millares 2 6 4 4" xfId="22554" xr:uid="{00000000-0005-0000-0000-000027100000}"/>
    <cellStyle name="Millares 2 6 5" xfId="5300" xr:uid="{00000000-0005-0000-0000-000028100000}"/>
    <cellStyle name="Millares 2 6 5 2" xfId="15160" xr:uid="{00000000-0005-0000-0000-000029100000}"/>
    <cellStyle name="Millares 2 6 5 2 2" xfId="34875" xr:uid="{00000000-0005-0000-0000-00002A100000}"/>
    <cellStyle name="Millares 2 6 5 3" xfId="25018" xr:uid="{00000000-0005-0000-0000-00002B100000}"/>
    <cellStyle name="Millares 2 6 6" xfId="10232" xr:uid="{00000000-0005-0000-0000-00002C100000}"/>
    <cellStyle name="Millares 2 6 6 2" xfId="29947" xr:uid="{00000000-0005-0000-0000-00002D100000}"/>
    <cellStyle name="Millares 2 6 7" xfId="20090" xr:uid="{00000000-0005-0000-0000-00002E100000}"/>
    <cellStyle name="Millares 2 7" xfId="671" xr:uid="{00000000-0005-0000-0000-00002F100000}"/>
    <cellStyle name="Millares 2 7 2" xfId="1907" xr:uid="{00000000-0005-0000-0000-000030100000}"/>
    <cellStyle name="Millares 2 7 2 2" xfId="4374" xr:uid="{00000000-0005-0000-0000-000031100000}"/>
    <cellStyle name="Millares 2 7 2 2 2" xfId="9306" xr:uid="{00000000-0005-0000-0000-000032100000}"/>
    <cellStyle name="Millares 2 7 2 2 2 2" xfId="19166" xr:uid="{00000000-0005-0000-0000-000033100000}"/>
    <cellStyle name="Millares 2 7 2 2 2 2 2" xfId="38881" xr:uid="{00000000-0005-0000-0000-000034100000}"/>
    <cellStyle name="Millares 2 7 2 2 2 3" xfId="29024" xr:uid="{00000000-0005-0000-0000-000035100000}"/>
    <cellStyle name="Millares 2 7 2 2 3" xfId="14238" xr:uid="{00000000-0005-0000-0000-000036100000}"/>
    <cellStyle name="Millares 2 7 2 2 3 2" xfId="33953" xr:uid="{00000000-0005-0000-0000-000037100000}"/>
    <cellStyle name="Millares 2 7 2 2 4" xfId="24096" xr:uid="{00000000-0005-0000-0000-000038100000}"/>
    <cellStyle name="Millares 2 7 2 3" xfId="6842" xr:uid="{00000000-0005-0000-0000-000039100000}"/>
    <cellStyle name="Millares 2 7 2 3 2" xfId="16702" xr:uid="{00000000-0005-0000-0000-00003A100000}"/>
    <cellStyle name="Millares 2 7 2 3 2 2" xfId="36417" xr:uid="{00000000-0005-0000-0000-00003B100000}"/>
    <cellStyle name="Millares 2 7 2 3 3" xfId="26560" xr:uid="{00000000-0005-0000-0000-00003C100000}"/>
    <cellStyle name="Millares 2 7 2 4" xfId="11774" xr:uid="{00000000-0005-0000-0000-00003D100000}"/>
    <cellStyle name="Millares 2 7 2 4 2" xfId="31489" xr:uid="{00000000-0005-0000-0000-00003E100000}"/>
    <cellStyle name="Millares 2 7 2 5" xfId="21632" xr:uid="{00000000-0005-0000-0000-00003F100000}"/>
    <cellStyle name="Millares 2 7 3" xfId="3142" xr:uid="{00000000-0005-0000-0000-000040100000}"/>
    <cellStyle name="Millares 2 7 3 2" xfId="8074" xr:uid="{00000000-0005-0000-0000-000041100000}"/>
    <cellStyle name="Millares 2 7 3 2 2" xfId="17934" xr:uid="{00000000-0005-0000-0000-000042100000}"/>
    <cellStyle name="Millares 2 7 3 2 2 2" xfId="37649" xr:uid="{00000000-0005-0000-0000-000043100000}"/>
    <cellStyle name="Millares 2 7 3 2 3" xfId="27792" xr:uid="{00000000-0005-0000-0000-000044100000}"/>
    <cellStyle name="Millares 2 7 3 3" xfId="13006" xr:uid="{00000000-0005-0000-0000-000045100000}"/>
    <cellStyle name="Millares 2 7 3 3 2" xfId="32721" xr:uid="{00000000-0005-0000-0000-000046100000}"/>
    <cellStyle name="Millares 2 7 3 4" xfId="22864" xr:uid="{00000000-0005-0000-0000-000047100000}"/>
    <cellStyle name="Millares 2 7 4" xfId="5610" xr:uid="{00000000-0005-0000-0000-000048100000}"/>
    <cellStyle name="Millares 2 7 4 2" xfId="15470" xr:uid="{00000000-0005-0000-0000-000049100000}"/>
    <cellStyle name="Millares 2 7 4 2 2" xfId="35185" xr:uid="{00000000-0005-0000-0000-00004A100000}"/>
    <cellStyle name="Millares 2 7 4 3" xfId="25328" xr:uid="{00000000-0005-0000-0000-00004B100000}"/>
    <cellStyle name="Millares 2 7 5" xfId="10542" xr:uid="{00000000-0005-0000-0000-00004C100000}"/>
    <cellStyle name="Millares 2 7 5 2" xfId="30257" xr:uid="{00000000-0005-0000-0000-00004D100000}"/>
    <cellStyle name="Millares 2 7 6" xfId="20400" xr:uid="{00000000-0005-0000-0000-00004E100000}"/>
    <cellStyle name="Millares 2 8" xfId="1291" xr:uid="{00000000-0005-0000-0000-00004F100000}"/>
    <cellStyle name="Millares 2 8 2" xfId="3758" xr:uid="{00000000-0005-0000-0000-000050100000}"/>
    <cellStyle name="Millares 2 8 2 2" xfId="8690" xr:uid="{00000000-0005-0000-0000-000051100000}"/>
    <cellStyle name="Millares 2 8 2 2 2" xfId="18550" xr:uid="{00000000-0005-0000-0000-000052100000}"/>
    <cellStyle name="Millares 2 8 2 2 2 2" xfId="38265" xr:uid="{00000000-0005-0000-0000-000053100000}"/>
    <cellStyle name="Millares 2 8 2 2 3" xfId="28408" xr:uid="{00000000-0005-0000-0000-000054100000}"/>
    <cellStyle name="Millares 2 8 2 3" xfId="13622" xr:uid="{00000000-0005-0000-0000-000055100000}"/>
    <cellStyle name="Millares 2 8 2 3 2" xfId="33337" xr:uid="{00000000-0005-0000-0000-000056100000}"/>
    <cellStyle name="Millares 2 8 2 4" xfId="23480" xr:uid="{00000000-0005-0000-0000-000057100000}"/>
    <cellStyle name="Millares 2 8 3" xfId="6226" xr:uid="{00000000-0005-0000-0000-000058100000}"/>
    <cellStyle name="Millares 2 8 3 2" xfId="16086" xr:uid="{00000000-0005-0000-0000-000059100000}"/>
    <cellStyle name="Millares 2 8 3 2 2" xfId="35801" xr:uid="{00000000-0005-0000-0000-00005A100000}"/>
    <cellStyle name="Millares 2 8 3 3" xfId="25944" xr:uid="{00000000-0005-0000-0000-00005B100000}"/>
    <cellStyle name="Millares 2 8 4" xfId="11158" xr:uid="{00000000-0005-0000-0000-00005C100000}"/>
    <cellStyle name="Millares 2 8 4 2" xfId="30873" xr:uid="{00000000-0005-0000-0000-00005D100000}"/>
    <cellStyle name="Millares 2 8 5" xfId="21016" xr:uid="{00000000-0005-0000-0000-00005E100000}"/>
    <cellStyle name="Millares 2 9" xfId="2526" xr:uid="{00000000-0005-0000-0000-00005F100000}"/>
    <cellStyle name="Millares 2 9 2" xfId="7458" xr:uid="{00000000-0005-0000-0000-000060100000}"/>
    <cellStyle name="Millares 2 9 2 2" xfId="17318" xr:uid="{00000000-0005-0000-0000-000061100000}"/>
    <cellStyle name="Millares 2 9 2 2 2" xfId="37033" xr:uid="{00000000-0005-0000-0000-000062100000}"/>
    <cellStyle name="Millares 2 9 2 3" xfId="27176" xr:uid="{00000000-0005-0000-0000-000063100000}"/>
    <cellStyle name="Millares 2 9 3" xfId="12390" xr:uid="{00000000-0005-0000-0000-000064100000}"/>
    <cellStyle name="Millares 2 9 3 2" xfId="32105" xr:uid="{00000000-0005-0000-0000-000065100000}"/>
    <cellStyle name="Millares 2 9 4" xfId="22248" xr:uid="{00000000-0005-0000-0000-000066100000}"/>
    <cellStyle name="Millares 3" xfId="34" xr:uid="{00000000-0005-0000-0000-000067100000}"/>
    <cellStyle name="Millares 3 10" xfId="9934" xr:uid="{00000000-0005-0000-0000-000068100000}"/>
    <cellStyle name="Millares 3 10 2" xfId="29649" xr:uid="{00000000-0005-0000-0000-000069100000}"/>
    <cellStyle name="Millares 3 11" xfId="19792" xr:uid="{00000000-0005-0000-0000-00006A100000}"/>
    <cellStyle name="Millares 3 2" xfId="80" xr:uid="{00000000-0005-0000-0000-00006B100000}"/>
    <cellStyle name="Millares 3 2 10" xfId="19830" xr:uid="{00000000-0005-0000-0000-00006C100000}"/>
    <cellStyle name="Millares 3 2 2" xfId="161" xr:uid="{00000000-0005-0000-0000-00006D100000}"/>
    <cellStyle name="Millares 3 2 2 2" xfId="318" xr:uid="{00000000-0005-0000-0000-00006E100000}"/>
    <cellStyle name="Millares 3 2 2 2 2" xfId="632" xr:uid="{00000000-0005-0000-0000-00006F100000}"/>
    <cellStyle name="Millares 3 2 2 2 2 2" xfId="1252" xr:uid="{00000000-0005-0000-0000-000070100000}"/>
    <cellStyle name="Millares 3 2 2 2 2 2 2" xfId="2487" xr:uid="{00000000-0005-0000-0000-000071100000}"/>
    <cellStyle name="Millares 3 2 2 2 2 2 2 2" xfId="4954" xr:uid="{00000000-0005-0000-0000-000072100000}"/>
    <cellStyle name="Millares 3 2 2 2 2 2 2 2 2" xfId="9886" xr:uid="{00000000-0005-0000-0000-000073100000}"/>
    <cellStyle name="Millares 3 2 2 2 2 2 2 2 2 2" xfId="19746" xr:uid="{00000000-0005-0000-0000-000074100000}"/>
    <cellStyle name="Millares 3 2 2 2 2 2 2 2 2 2 2" xfId="39461" xr:uid="{00000000-0005-0000-0000-000075100000}"/>
    <cellStyle name="Millares 3 2 2 2 2 2 2 2 2 3" xfId="29604" xr:uid="{00000000-0005-0000-0000-000076100000}"/>
    <cellStyle name="Millares 3 2 2 2 2 2 2 2 3" xfId="14818" xr:uid="{00000000-0005-0000-0000-000077100000}"/>
    <cellStyle name="Millares 3 2 2 2 2 2 2 2 3 2" xfId="34533" xr:uid="{00000000-0005-0000-0000-000078100000}"/>
    <cellStyle name="Millares 3 2 2 2 2 2 2 2 4" xfId="24676" xr:uid="{00000000-0005-0000-0000-000079100000}"/>
    <cellStyle name="Millares 3 2 2 2 2 2 2 3" xfId="7422" xr:uid="{00000000-0005-0000-0000-00007A100000}"/>
    <cellStyle name="Millares 3 2 2 2 2 2 2 3 2" xfId="17282" xr:uid="{00000000-0005-0000-0000-00007B100000}"/>
    <cellStyle name="Millares 3 2 2 2 2 2 2 3 2 2" xfId="36997" xr:uid="{00000000-0005-0000-0000-00007C100000}"/>
    <cellStyle name="Millares 3 2 2 2 2 2 2 3 3" xfId="27140" xr:uid="{00000000-0005-0000-0000-00007D100000}"/>
    <cellStyle name="Millares 3 2 2 2 2 2 2 4" xfId="12354" xr:uid="{00000000-0005-0000-0000-00007E100000}"/>
    <cellStyle name="Millares 3 2 2 2 2 2 2 4 2" xfId="32069" xr:uid="{00000000-0005-0000-0000-00007F100000}"/>
    <cellStyle name="Millares 3 2 2 2 2 2 2 5" xfId="22212" xr:uid="{00000000-0005-0000-0000-000080100000}"/>
    <cellStyle name="Millares 3 2 2 2 2 2 3" xfId="3722" xr:uid="{00000000-0005-0000-0000-000081100000}"/>
    <cellStyle name="Millares 3 2 2 2 2 2 3 2" xfId="8654" xr:uid="{00000000-0005-0000-0000-000082100000}"/>
    <cellStyle name="Millares 3 2 2 2 2 2 3 2 2" xfId="18514" xr:uid="{00000000-0005-0000-0000-000083100000}"/>
    <cellStyle name="Millares 3 2 2 2 2 2 3 2 2 2" xfId="38229" xr:uid="{00000000-0005-0000-0000-000084100000}"/>
    <cellStyle name="Millares 3 2 2 2 2 2 3 2 3" xfId="28372" xr:uid="{00000000-0005-0000-0000-000085100000}"/>
    <cellStyle name="Millares 3 2 2 2 2 2 3 3" xfId="13586" xr:uid="{00000000-0005-0000-0000-000086100000}"/>
    <cellStyle name="Millares 3 2 2 2 2 2 3 3 2" xfId="33301" xr:uid="{00000000-0005-0000-0000-000087100000}"/>
    <cellStyle name="Millares 3 2 2 2 2 2 3 4" xfId="23444" xr:uid="{00000000-0005-0000-0000-000088100000}"/>
    <cellStyle name="Millares 3 2 2 2 2 2 4" xfId="6190" xr:uid="{00000000-0005-0000-0000-000089100000}"/>
    <cellStyle name="Millares 3 2 2 2 2 2 4 2" xfId="16050" xr:uid="{00000000-0005-0000-0000-00008A100000}"/>
    <cellStyle name="Millares 3 2 2 2 2 2 4 2 2" xfId="35765" xr:uid="{00000000-0005-0000-0000-00008B100000}"/>
    <cellStyle name="Millares 3 2 2 2 2 2 4 3" xfId="25908" xr:uid="{00000000-0005-0000-0000-00008C100000}"/>
    <cellStyle name="Millares 3 2 2 2 2 2 5" xfId="11122" xr:uid="{00000000-0005-0000-0000-00008D100000}"/>
    <cellStyle name="Millares 3 2 2 2 2 2 5 2" xfId="30837" xr:uid="{00000000-0005-0000-0000-00008E100000}"/>
    <cellStyle name="Millares 3 2 2 2 2 2 6" xfId="20980" xr:uid="{00000000-0005-0000-0000-00008F100000}"/>
    <cellStyle name="Millares 3 2 2 2 2 3" xfId="1871" xr:uid="{00000000-0005-0000-0000-000090100000}"/>
    <cellStyle name="Millares 3 2 2 2 2 3 2" xfId="4338" xr:uid="{00000000-0005-0000-0000-000091100000}"/>
    <cellStyle name="Millares 3 2 2 2 2 3 2 2" xfId="9270" xr:uid="{00000000-0005-0000-0000-000092100000}"/>
    <cellStyle name="Millares 3 2 2 2 2 3 2 2 2" xfId="19130" xr:uid="{00000000-0005-0000-0000-000093100000}"/>
    <cellStyle name="Millares 3 2 2 2 2 3 2 2 2 2" xfId="38845" xr:uid="{00000000-0005-0000-0000-000094100000}"/>
    <cellStyle name="Millares 3 2 2 2 2 3 2 2 3" xfId="28988" xr:uid="{00000000-0005-0000-0000-000095100000}"/>
    <cellStyle name="Millares 3 2 2 2 2 3 2 3" xfId="14202" xr:uid="{00000000-0005-0000-0000-000096100000}"/>
    <cellStyle name="Millares 3 2 2 2 2 3 2 3 2" xfId="33917" xr:uid="{00000000-0005-0000-0000-000097100000}"/>
    <cellStyle name="Millares 3 2 2 2 2 3 2 4" xfId="24060" xr:uid="{00000000-0005-0000-0000-000098100000}"/>
    <cellStyle name="Millares 3 2 2 2 2 3 3" xfId="6806" xr:uid="{00000000-0005-0000-0000-000099100000}"/>
    <cellStyle name="Millares 3 2 2 2 2 3 3 2" xfId="16666" xr:uid="{00000000-0005-0000-0000-00009A100000}"/>
    <cellStyle name="Millares 3 2 2 2 2 3 3 2 2" xfId="36381" xr:uid="{00000000-0005-0000-0000-00009B100000}"/>
    <cellStyle name="Millares 3 2 2 2 2 3 3 3" xfId="26524" xr:uid="{00000000-0005-0000-0000-00009C100000}"/>
    <cellStyle name="Millares 3 2 2 2 2 3 4" xfId="11738" xr:uid="{00000000-0005-0000-0000-00009D100000}"/>
    <cellStyle name="Millares 3 2 2 2 2 3 4 2" xfId="31453" xr:uid="{00000000-0005-0000-0000-00009E100000}"/>
    <cellStyle name="Millares 3 2 2 2 2 3 5" xfId="21596" xr:uid="{00000000-0005-0000-0000-00009F100000}"/>
    <cellStyle name="Millares 3 2 2 2 2 4" xfId="3106" xr:uid="{00000000-0005-0000-0000-0000A0100000}"/>
    <cellStyle name="Millares 3 2 2 2 2 4 2" xfId="8038" xr:uid="{00000000-0005-0000-0000-0000A1100000}"/>
    <cellStyle name="Millares 3 2 2 2 2 4 2 2" xfId="17898" xr:uid="{00000000-0005-0000-0000-0000A2100000}"/>
    <cellStyle name="Millares 3 2 2 2 2 4 2 2 2" xfId="37613" xr:uid="{00000000-0005-0000-0000-0000A3100000}"/>
    <cellStyle name="Millares 3 2 2 2 2 4 2 3" xfId="27756" xr:uid="{00000000-0005-0000-0000-0000A4100000}"/>
    <cellStyle name="Millares 3 2 2 2 2 4 3" xfId="12970" xr:uid="{00000000-0005-0000-0000-0000A5100000}"/>
    <cellStyle name="Millares 3 2 2 2 2 4 3 2" xfId="32685" xr:uid="{00000000-0005-0000-0000-0000A6100000}"/>
    <cellStyle name="Millares 3 2 2 2 2 4 4" xfId="22828" xr:uid="{00000000-0005-0000-0000-0000A7100000}"/>
    <cellStyle name="Millares 3 2 2 2 2 5" xfId="5574" xr:uid="{00000000-0005-0000-0000-0000A8100000}"/>
    <cellStyle name="Millares 3 2 2 2 2 5 2" xfId="15434" xr:uid="{00000000-0005-0000-0000-0000A9100000}"/>
    <cellStyle name="Millares 3 2 2 2 2 5 2 2" xfId="35149" xr:uid="{00000000-0005-0000-0000-0000AA100000}"/>
    <cellStyle name="Millares 3 2 2 2 2 5 3" xfId="25292" xr:uid="{00000000-0005-0000-0000-0000AB100000}"/>
    <cellStyle name="Millares 3 2 2 2 2 6" xfId="10506" xr:uid="{00000000-0005-0000-0000-0000AC100000}"/>
    <cellStyle name="Millares 3 2 2 2 2 6 2" xfId="30221" xr:uid="{00000000-0005-0000-0000-0000AD100000}"/>
    <cellStyle name="Millares 3 2 2 2 2 7" xfId="20364" xr:uid="{00000000-0005-0000-0000-0000AE100000}"/>
    <cellStyle name="Millares 3 2 2 2 3" xfId="945" xr:uid="{00000000-0005-0000-0000-0000AF100000}"/>
    <cellStyle name="Millares 3 2 2 2 3 2" xfId="2181" xr:uid="{00000000-0005-0000-0000-0000B0100000}"/>
    <cellStyle name="Millares 3 2 2 2 3 2 2" xfId="4648" xr:uid="{00000000-0005-0000-0000-0000B1100000}"/>
    <cellStyle name="Millares 3 2 2 2 3 2 2 2" xfId="9580" xr:uid="{00000000-0005-0000-0000-0000B2100000}"/>
    <cellStyle name="Millares 3 2 2 2 3 2 2 2 2" xfId="19440" xr:uid="{00000000-0005-0000-0000-0000B3100000}"/>
    <cellStyle name="Millares 3 2 2 2 3 2 2 2 2 2" xfId="39155" xr:uid="{00000000-0005-0000-0000-0000B4100000}"/>
    <cellStyle name="Millares 3 2 2 2 3 2 2 2 3" xfId="29298" xr:uid="{00000000-0005-0000-0000-0000B5100000}"/>
    <cellStyle name="Millares 3 2 2 2 3 2 2 3" xfId="14512" xr:uid="{00000000-0005-0000-0000-0000B6100000}"/>
    <cellStyle name="Millares 3 2 2 2 3 2 2 3 2" xfId="34227" xr:uid="{00000000-0005-0000-0000-0000B7100000}"/>
    <cellStyle name="Millares 3 2 2 2 3 2 2 4" xfId="24370" xr:uid="{00000000-0005-0000-0000-0000B8100000}"/>
    <cellStyle name="Millares 3 2 2 2 3 2 3" xfId="7116" xr:uid="{00000000-0005-0000-0000-0000B9100000}"/>
    <cellStyle name="Millares 3 2 2 2 3 2 3 2" xfId="16976" xr:uid="{00000000-0005-0000-0000-0000BA100000}"/>
    <cellStyle name="Millares 3 2 2 2 3 2 3 2 2" xfId="36691" xr:uid="{00000000-0005-0000-0000-0000BB100000}"/>
    <cellStyle name="Millares 3 2 2 2 3 2 3 3" xfId="26834" xr:uid="{00000000-0005-0000-0000-0000BC100000}"/>
    <cellStyle name="Millares 3 2 2 2 3 2 4" xfId="12048" xr:uid="{00000000-0005-0000-0000-0000BD100000}"/>
    <cellStyle name="Millares 3 2 2 2 3 2 4 2" xfId="31763" xr:uid="{00000000-0005-0000-0000-0000BE100000}"/>
    <cellStyle name="Millares 3 2 2 2 3 2 5" xfId="21906" xr:uid="{00000000-0005-0000-0000-0000BF100000}"/>
    <cellStyle name="Millares 3 2 2 2 3 3" xfId="3416" xr:uid="{00000000-0005-0000-0000-0000C0100000}"/>
    <cellStyle name="Millares 3 2 2 2 3 3 2" xfId="8348" xr:uid="{00000000-0005-0000-0000-0000C1100000}"/>
    <cellStyle name="Millares 3 2 2 2 3 3 2 2" xfId="18208" xr:uid="{00000000-0005-0000-0000-0000C2100000}"/>
    <cellStyle name="Millares 3 2 2 2 3 3 2 2 2" xfId="37923" xr:uid="{00000000-0005-0000-0000-0000C3100000}"/>
    <cellStyle name="Millares 3 2 2 2 3 3 2 3" xfId="28066" xr:uid="{00000000-0005-0000-0000-0000C4100000}"/>
    <cellStyle name="Millares 3 2 2 2 3 3 3" xfId="13280" xr:uid="{00000000-0005-0000-0000-0000C5100000}"/>
    <cellStyle name="Millares 3 2 2 2 3 3 3 2" xfId="32995" xr:uid="{00000000-0005-0000-0000-0000C6100000}"/>
    <cellStyle name="Millares 3 2 2 2 3 3 4" xfId="23138" xr:uid="{00000000-0005-0000-0000-0000C7100000}"/>
    <cellStyle name="Millares 3 2 2 2 3 4" xfId="5884" xr:uid="{00000000-0005-0000-0000-0000C8100000}"/>
    <cellStyle name="Millares 3 2 2 2 3 4 2" xfId="15744" xr:uid="{00000000-0005-0000-0000-0000C9100000}"/>
    <cellStyle name="Millares 3 2 2 2 3 4 2 2" xfId="35459" xr:uid="{00000000-0005-0000-0000-0000CA100000}"/>
    <cellStyle name="Millares 3 2 2 2 3 4 3" xfId="25602" xr:uid="{00000000-0005-0000-0000-0000CB100000}"/>
    <cellStyle name="Millares 3 2 2 2 3 5" xfId="10816" xr:uid="{00000000-0005-0000-0000-0000CC100000}"/>
    <cellStyle name="Millares 3 2 2 2 3 5 2" xfId="30531" xr:uid="{00000000-0005-0000-0000-0000CD100000}"/>
    <cellStyle name="Millares 3 2 2 2 3 6" xfId="20674" xr:uid="{00000000-0005-0000-0000-0000CE100000}"/>
    <cellStyle name="Millares 3 2 2 2 4" xfId="1565" xr:uid="{00000000-0005-0000-0000-0000CF100000}"/>
    <cellStyle name="Millares 3 2 2 2 4 2" xfId="4032" xr:uid="{00000000-0005-0000-0000-0000D0100000}"/>
    <cellStyle name="Millares 3 2 2 2 4 2 2" xfId="8964" xr:uid="{00000000-0005-0000-0000-0000D1100000}"/>
    <cellStyle name="Millares 3 2 2 2 4 2 2 2" xfId="18824" xr:uid="{00000000-0005-0000-0000-0000D2100000}"/>
    <cellStyle name="Millares 3 2 2 2 4 2 2 2 2" xfId="38539" xr:uid="{00000000-0005-0000-0000-0000D3100000}"/>
    <cellStyle name="Millares 3 2 2 2 4 2 2 3" xfId="28682" xr:uid="{00000000-0005-0000-0000-0000D4100000}"/>
    <cellStyle name="Millares 3 2 2 2 4 2 3" xfId="13896" xr:uid="{00000000-0005-0000-0000-0000D5100000}"/>
    <cellStyle name="Millares 3 2 2 2 4 2 3 2" xfId="33611" xr:uid="{00000000-0005-0000-0000-0000D6100000}"/>
    <cellStyle name="Millares 3 2 2 2 4 2 4" xfId="23754" xr:uid="{00000000-0005-0000-0000-0000D7100000}"/>
    <cellStyle name="Millares 3 2 2 2 4 3" xfId="6500" xr:uid="{00000000-0005-0000-0000-0000D8100000}"/>
    <cellStyle name="Millares 3 2 2 2 4 3 2" xfId="16360" xr:uid="{00000000-0005-0000-0000-0000D9100000}"/>
    <cellStyle name="Millares 3 2 2 2 4 3 2 2" xfId="36075" xr:uid="{00000000-0005-0000-0000-0000DA100000}"/>
    <cellStyle name="Millares 3 2 2 2 4 3 3" xfId="26218" xr:uid="{00000000-0005-0000-0000-0000DB100000}"/>
    <cellStyle name="Millares 3 2 2 2 4 4" xfId="11432" xr:uid="{00000000-0005-0000-0000-0000DC100000}"/>
    <cellStyle name="Millares 3 2 2 2 4 4 2" xfId="31147" xr:uid="{00000000-0005-0000-0000-0000DD100000}"/>
    <cellStyle name="Millares 3 2 2 2 4 5" xfId="21290" xr:uid="{00000000-0005-0000-0000-0000DE100000}"/>
    <cellStyle name="Millares 3 2 2 2 5" xfId="2800" xr:uid="{00000000-0005-0000-0000-0000DF100000}"/>
    <cellStyle name="Millares 3 2 2 2 5 2" xfId="7732" xr:uid="{00000000-0005-0000-0000-0000E0100000}"/>
    <cellStyle name="Millares 3 2 2 2 5 2 2" xfId="17592" xr:uid="{00000000-0005-0000-0000-0000E1100000}"/>
    <cellStyle name="Millares 3 2 2 2 5 2 2 2" xfId="37307" xr:uid="{00000000-0005-0000-0000-0000E2100000}"/>
    <cellStyle name="Millares 3 2 2 2 5 2 3" xfId="27450" xr:uid="{00000000-0005-0000-0000-0000E3100000}"/>
    <cellStyle name="Millares 3 2 2 2 5 3" xfId="12664" xr:uid="{00000000-0005-0000-0000-0000E4100000}"/>
    <cellStyle name="Millares 3 2 2 2 5 3 2" xfId="32379" xr:uid="{00000000-0005-0000-0000-0000E5100000}"/>
    <cellStyle name="Millares 3 2 2 2 5 4" xfId="22522" xr:uid="{00000000-0005-0000-0000-0000E6100000}"/>
    <cellStyle name="Millares 3 2 2 2 6" xfId="5268" xr:uid="{00000000-0005-0000-0000-0000E7100000}"/>
    <cellStyle name="Millares 3 2 2 2 6 2" xfId="15128" xr:uid="{00000000-0005-0000-0000-0000E8100000}"/>
    <cellStyle name="Millares 3 2 2 2 6 2 2" xfId="34843" xr:uid="{00000000-0005-0000-0000-0000E9100000}"/>
    <cellStyle name="Millares 3 2 2 2 6 3" xfId="24986" xr:uid="{00000000-0005-0000-0000-0000EA100000}"/>
    <cellStyle name="Millares 3 2 2 2 7" xfId="10200" xr:uid="{00000000-0005-0000-0000-0000EB100000}"/>
    <cellStyle name="Millares 3 2 2 2 7 2" xfId="29915" xr:uid="{00000000-0005-0000-0000-0000EC100000}"/>
    <cellStyle name="Millares 3 2 2 2 8" xfId="20058" xr:uid="{00000000-0005-0000-0000-0000ED100000}"/>
    <cellStyle name="Millares 3 2 2 3" xfId="480" xr:uid="{00000000-0005-0000-0000-0000EE100000}"/>
    <cellStyle name="Millares 3 2 2 3 2" xfId="1100" xr:uid="{00000000-0005-0000-0000-0000EF100000}"/>
    <cellStyle name="Millares 3 2 2 3 2 2" xfId="2335" xr:uid="{00000000-0005-0000-0000-0000F0100000}"/>
    <cellStyle name="Millares 3 2 2 3 2 2 2" xfId="4802" xr:uid="{00000000-0005-0000-0000-0000F1100000}"/>
    <cellStyle name="Millares 3 2 2 3 2 2 2 2" xfId="9734" xr:uid="{00000000-0005-0000-0000-0000F2100000}"/>
    <cellStyle name="Millares 3 2 2 3 2 2 2 2 2" xfId="19594" xr:uid="{00000000-0005-0000-0000-0000F3100000}"/>
    <cellStyle name="Millares 3 2 2 3 2 2 2 2 2 2" xfId="39309" xr:uid="{00000000-0005-0000-0000-0000F4100000}"/>
    <cellStyle name="Millares 3 2 2 3 2 2 2 2 3" xfId="29452" xr:uid="{00000000-0005-0000-0000-0000F5100000}"/>
    <cellStyle name="Millares 3 2 2 3 2 2 2 3" xfId="14666" xr:uid="{00000000-0005-0000-0000-0000F6100000}"/>
    <cellStyle name="Millares 3 2 2 3 2 2 2 3 2" xfId="34381" xr:uid="{00000000-0005-0000-0000-0000F7100000}"/>
    <cellStyle name="Millares 3 2 2 3 2 2 2 4" xfId="24524" xr:uid="{00000000-0005-0000-0000-0000F8100000}"/>
    <cellStyle name="Millares 3 2 2 3 2 2 3" xfId="7270" xr:uid="{00000000-0005-0000-0000-0000F9100000}"/>
    <cellStyle name="Millares 3 2 2 3 2 2 3 2" xfId="17130" xr:uid="{00000000-0005-0000-0000-0000FA100000}"/>
    <cellStyle name="Millares 3 2 2 3 2 2 3 2 2" xfId="36845" xr:uid="{00000000-0005-0000-0000-0000FB100000}"/>
    <cellStyle name="Millares 3 2 2 3 2 2 3 3" xfId="26988" xr:uid="{00000000-0005-0000-0000-0000FC100000}"/>
    <cellStyle name="Millares 3 2 2 3 2 2 4" xfId="12202" xr:uid="{00000000-0005-0000-0000-0000FD100000}"/>
    <cellStyle name="Millares 3 2 2 3 2 2 4 2" xfId="31917" xr:uid="{00000000-0005-0000-0000-0000FE100000}"/>
    <cellStyle name="Millares 3 2 2 3 2 2 5" xfId="22060" xr:uid="{00000000-0005-0000-0000-0000FF100000}"/>
    <cellStyle name="Millares 3 2 2 3 2 3" xfId="3570" xr:uid="{00000000-0005-0000-0000-000000110000}"/>
    <cellStyle name="Millares 3 2 2 3 2 3 2" xfId="8502" xr:uid="{00000000-0005-0000-0000-000001110000}"/>
    <cellStyle name="Millares 3 2 2 3 2 3 2 2" xfId="18362" xr:uid="{00000000-0005-0000-0000-000002110000}"/>
    <cellStyle name="Millares 3 2 2 3 2 3 2 2 2" xfId="38077" xr:uid="{00000000-0005-0000-0000-000003110000}"/>
    <cellStyle name="Millares 3 2 2 3 2 3 2 3" xfId="28220" xr:uid="{00000000-0005-0000-0000-000004110000}"/>
    <cellStyle name="Millares 3 2 2 3 2 3 3" xfId="13434" xr:uid="{00000000-0005-0000-0000-000005110000}"/>
    <cellStyle name="Millares 3 2 2 3 2 3 3 2" xfId="33149" xr:uid="{00000000-0005-0000-0000-000006110000}"/>
    <cellStyle name="Millares 3 2 2 3 2 3 4" xfId="23292" xr:uid="{00000000-0005-0000-0000-000007110000}"/>
    <cellStyle name="Millares 3 2 2 3 2 4" xfId="6038" xr:uid="{00000000-0005-0000-0000-000008110000}"/>
    <cellStyle name="Millares 3 2 2 3 2 4 2" xfId="15898" xr:uid="{00000000-0005-0000-0000-000009110000}"/>
    <cellStyle name="Millares 3 2 2 3 2 4 2 2" xfId="35613" xr:uid="{00000000-0005-0000-0000-00000A110000}"/>
    <cellStyle name="Millares 3 2 2 3 2 4 3" xfId="25756" xr:uid="{00000000-0005-0000-0000-00000B110000}"/>
    <cellStyle name="Millares 3 2 2 3 2 5" xfId="10970" xr:uid="{00000000-0005-0000-0000-00000C110000}"/>
    <cellStyle name="Millares 3 2 2 3 2 5 2" xfId="30685" xr:uid="{00000000-0005-0000-0000-00000D110000}"/>
    <cellStyle name="Millares 3 2 2 3 2 6" xfId="20828" xr:uid="{00000000-0005-0000-0000-00000E110000}"/>
    <cellStyle name="Millares 3 2 2 3 3" xfId="1719" xr:uid="{00000000-0005-0000-0000-00000F110000}"/>
    <cellStyle name="Millares 3 2 2 3 3 2" xfId="4186" xr:uid="{00000000-0005-0000-0000-000010110000}"/>
    <cellStyle name="Millares 3 2 2 3 3 2 2" xfId="9118" xr:uid="{00000000-0005-0000-0000-000011110000}"/>
    <cellStyle name="Millares 3 2 2 3 3 2 2 2" xfId="18978" xr:uid="{00000000-0005-0000-0000-000012110000}"/>
    <cellStyle name="Millares 3 2 2 3 3 2 2 2 2" xfId="38693" xr:uid="{00000000-0005-0000-0000-000013110000}"/>
    <cellStyle name="Millares 3 2 2 3 3 2 2 3" xfId="28836" xr:uid="{00000000-0005-0000-0000-000014110000}"/>
    <cellStyle name="Millares 3 2 2 3 3 2 3" xfId="14050" xr:uid="{00000000-0005-0000-0000-000015110000}"/>
    <cellStyle name="Millares 3 2 2 3 3 2 3 2" xfId="33765" xr:uid="{00000000-0005-0000-0000-000016110000}"/>
    <cellStyle name="Millares 3 2 2 3 3 2 4" xfId="23908" xr:uid="{00000000-0005-0000-0000-000017110000}"/>
    <cellStyle name="Millares 3 2 2 3 3 3" xfId="6654" xr:uid="{00000000-0005-0000-0000-000018110000}"/>
    <cellStyle name="Millares 3 2 2 3 3 3 2" xfId="16514" xr:uid="{00000000-0005-0000-0000-000019110000}"/>
    <cellStyle name="Millares 3 2 2 3 3 3 2 2" xfId="36229" xr:uid="{00000000-0005-0000-0000-00001A110000}"/>
    <cellStyle name="Millares 3 2 2 3 3 3 3" xfId="26372" xr:uid="{00000000-0005-0000-0000-00001B110000}"/>
    <cellStyle name="Millares 3 2 2 3 3 4" xfId="11586" xr:uid="{00000000-0005-0000-0000-00001C110000}"/>
    <cellStyle name="Millares 3 2 2 3 3 4 2" xfId="31301" xr:uid="{00000000-0005-0000-0000-00001D110000}"/>
    <cellStyle name="Millares 3 2 2 3 3 5" xfId="21444" xr:uid="{00000000-0005-0000-0000-00001E110000}"/>
    <cellStyle name="Millares 3 2 2 3 4" xfId="2954" xr:uid="{00000000-0005-0000-0000-00001F110000}"/>
    <cellStyle name="Millares 3 2 2 3 4 2" xfId="7886" xr:uid="{00000000-0005-0000-0000-000020110000}"/>
    <cellStyle name="Millares 3 2 2 3 4 2 2" xfId="17746" xr:uid="{00000000-0005-0000-0000-000021110000}"/>
    <cellStyle name="Millares 3 2 2 3 4 2 2 2" xfId="37461" xr:uid="{00000000-0005-0000-0000-000022110000}"/>
    <cellStyle name="Millares 3 2 2 3 4 2 3" xfId="27604" xr:uid="{00000000-0005-0000-0000-000023110000}"/>
    <cellStyle name="Millares 3 2 2 3 4 3" xfId="12818" xr:uid="{00000000-0005-0000-0000-000024110000}"/>
    <cellStyle name="Millares 3 2 2 3 4 3 2" xfId="32533" xr:uid="{00000000-0005-0000-0000-000025110000}"/>
    <cellStyle name="Millares 3 2 2 3 4 4" xfId="22676" xr:uid="{00000000-0005-0000-0000-000026110000}"/>
    <cellStyle name="Millares 3 2 2 3 5" xfId="5422" xr:uid="{00000000-0005-0000-0000-000027110000}"/>
    <cellStyle name="Millares 3 2 2 3 5 2" xfId="15282" xr:uid="{00000000-0005-0000-0000-000028110000}"/>
    <cellStyle name="Millares 3 2 2 3 5 2 2" xfId="34997" xr:uid="{00000000-0005-0000-0000-000029110000}"/>
    <cellStyle name="Millares 3 2 2 3 5 3" xfId="25140" xr:uid="{00000000-0005-0000-0000-00002A110000}"/>
    <cellStyle name="Millares 3 2 2 3 6" xfId="10354" xr:uid="{00000000-0005-0000-0000-00002B110000}"/>
    <cellStyle name="Millares 3 2 2 3 6 2" xfId="30069" xr:uid="{00000000-0005-0000-0000-00002C110000}"/>
    <cellStyle name="Millares 3 2 2 3 7" xfId="20212" xr:uid="{00000000-0005-0000-0000-00002D110000}"/>
    <cellStyle name="Millares 3 2 2 4" xfId="793" xr:uid="{00000000-0005-0000-0000-00002E110000}"/>
    <cellStyle name="Millares 3 2 2 4 2" xfId="2029" xr:uid="{00000000-0005-0000-0000-00002F110000}"/>
    <cellStyle name="Millares 3 2 2 4 2 2" xfId="4496" xr:uid="{00000000-0005-0000-0000-000030110000}"/>
    <cellStyle name="Millares 3 2 2 4 2 2 2" xfId="9428" xr:uid="{00000000-0005-0000-0000-000031110000}"/>
    <cellStyle name="Millares 3 2 2 4 2 2 2 2" xfId="19288" xr:uid="{00000000-0005-0000-0000-000032110000}"/>
    <cellStyle name="Millares 3 2 2 4 2 2 2 2 2" xfId="39003" xr:uid="{00000000-0005-0000-0000-000033110000}"/>
    <cellStyle name="Millares 3 2 2 4 2 2 2 3" xfId="29146" xr:uid="{00000000-0005-0000-0000-000034110000}"/>
    <cellStyle name="Millares 3 2 2 4 2 2 3" xfId="14360" xr:uid="{00000000-0005-0000-0000-000035110000}"/>
    <cellStyle name="Millares 3 2 2 4 2 2 3 2" xfId="34075" xr:uid="{00000000-0005-0000-0000-000036110000}"/>
    <cellStyle name="Millares 3 2 2 4 2 2 4" xfId="24218" xr:uid="{00000000-0005-0000-0000-000037110000}"/>
    <cellStyle name="Millares 3 2 2 4 2 3" xfId="6964" xr:uid="{00000000-0005-0000-0000-000038110000}"/>
    <cellStyle name="Millares 3 2 2 4 2 3 2" xfId="16824" xr:uid="{00000000-0005-0000-0000-000039110000}"/>
    <cellStyle name="Millares 3 2 2 4 2 3 2 2" xfId="36539" xr:uid="{00000000-0005-0000-0000-00003A110000}"/>
    <cellStyle name="Millares 3 2 2 4 2 3 3" xfId="26682" xr:uid="{00000000-0005-0000-0000-00003B110000}"/>
    <cellStyle name="Millares 3 2 2 4 2 4" xfId="11896" xr:uid="{00000000-0005-0000-0000-00003C110000}"/>
    <cellStyle name="Millares 3 2 2 4 2 4 2" xfId="31611" xr:uid="{00000000-0005-0000-0000-00003D110000}"/>
    <cellStyle name="Millares 3 2 2 4 2 5" xfId="21754" xr:uid="{00000000-0005-0000-0000-00003E110000}"/>
    <cellStyle name="Millares 3 2 2 4 3" xfId="3264" xr:uid="{00000000-0005-0000-0000-00003F110000}"/>
    <cellStyle name="Millares 3 2 2 4 3 2" xfId="8196" xr:uid="{00000000-0005-0000-0000-000040110000}"/>
    <cellStyle name="Millares 3 2 2 4 3 2 2" xfId="18056" xr:uid="{00000000-0005-0000-0000-000041110000}"/>
    <cellStyle name="Millares 3 2 2 4 3 2 2 2" xfId="37771" xr:uid="{00000000-0005-0000-0000-000042110000}"/>
    <cellStyle name="Millares 3 2 2 4 3 2 3" xfId="27914" xr:uid="{00000000-0005-0000-0000-000043110000}"/>
    <cellStyle name="Millares 3 2 2 4 3 3" xfId="13128" xr:uid="{00000000-0005-0000-0000-000044110000}"/>
    <cellStyle name="Millares 3 2 2 4 3 3 2" xfId="32843" xr:uid="{00000000-0005-0000-0000-000045110000}"/>
    <cellStyle name="Millares 3 2 2 4 3 4" xfId="22986" xr:uid="{00000000-0005-0000-0000-000046110000}"/>
    <cellStyle name="Millares 3 2 2 4 4" xfId="5732" xr:uid="{00000000-0005-0000-0000-000047110000}"/>
    <cellStyle name="Millares 3 2 2 4 4 2" xfId="15592" xr:uid="{00000000-0005-0000-0000-000048110000}"/>
    <cellStyle name="Millares 3 2 2 4 4 2 2" xfId="35307" xr:uid="{00000000-0005-0000-0000-000049110000}"/>
    <cellStyle name="Millares 3 2 2 4 4 3" xfId="25450" xr:uid="{00000000-0005-0000-0000-00004A110000}"/>
    <cellStyle name="Millares 3 2 2 4 5" xfId="10664" xr:uid="{00000000-0005-0000-0000-00004B110000}"/>
    <cellStyle name="Millares 3 2 2 4 5 2" xfId="30379" xr:uid="{00000000-0005-0000-0000-00004C110000}"/>
    <cellStyle name="Millares 3 2 2 4 6" xfId="20522" xr:uid="{00000000-0005-0000-0000-00004D110000}"/>
    <cellStyle name="Millares 3 2 2 5" xfId="1413" xr:uid="{00000000-0005-0000-0000-00004E110000}"/>
    <cellStyle name="Millares 3 2 2 5 2" xfId="3880" xr:uid="{00000000-0005-0000-0000-00004F110000}"/>
    <cellStyle name="Millares 3 2 2 5 2 2" xfId="8812" xr:uid="{00000000-0005-0000-0000-000050110000}"/>
    <cellStyle name="Millares 3 2 2 5 2 2 2" xfId="18672" xr:uid="{00000000-0005-0000-0000-000051110000}"/>
    <cellStyle name="Millares 3 2 2 5 2 2 2 2" xfId="38387" xr:uid="{00000000-0005-0000-0000-000052110000}"/>
    <cellStyle name="Millares 3 2 2 5 2 2 3" xfId="28530" xr:uid="{00000000-0005-0000-0000-000053110000}"/>
    <cellStyle name="Millares 3 2 2 5 2 3" xfId="13744" xr:uid="{00000000-0005-0000-0000-000054110000}"/>
    <cellStyle name="Millares 3 2 2 5 2 3 2" xfId="33459" xr:uid="{00000000-0005-0000-0000-000055110000}"/>
    <cellStyle name="Millares 3 2 2 5 2 4" xfId="23602" xr:uid="{00000000-0005-0000-0000-000056110000}"/>
    <cellStyle name="Millares 3 2 2 5 3" xfId="6348" xr:uid="{00000000-0005-0000-0000-000057110000}"/>
    <cellStyle name="Millares 3 2 2 5 3 2" xfId="16208" xr:uid="{00000000-0005-0000-0000-000058110000}"/>
    <cellStyle name="Millares 3 2 2 5 3 2 2" xfId="35923" xr:uid="{00000000-0005-0000-0000-000059110000}"/>
    <cellStyle name="Millares 3 2 2 5 3 3" xfId="26066" xr:uid="{00000000-0005-0000-0000-00005A110000}"/>
    <cellStyle name="Millares 3 2 2 5 4" xfId="11280" xr:uid="{00000000-0005-0000-0000-00005B110000}"/>
    <cellStyle name="Millares 3 2 2 5 4 2" xfId="30995" xr:uid="{00000000-0005-0000-0000-00005C110000}"/>
    <cellStyle name="Millares 3 2 2 5 5" xfId="21138" xr:uid="{00000000-0005-0000-0000-00005D110000}"/>
    <cellStyle name="Millares 3 2 2 6" xfId="2648" xr:uid="{00000000-0005-0000-0000-00005E110000}"/>
    <cellStyle name="Millares 3 2 2 6 2" xfId="7580" xr:uid="{00000000-0005-0000-0000-00005F110000}"/>
    <cellStyle name="Millares 3 2 2 6 2 2" xfId="17440" xr:uid="{00000000-0005-0000-0000-000060110000}"/>
    <cellStyle name="Millares 3 2 2 6 2 2 2" xfId="37155" xr:uid="{00000000-0005-0000-0000-000061110000}"/>
    <cellStyle name="Millares 3 2 2 6 2 3" xfId="27298" xr:uid="{00000000-0005-0000-0000-000062110000}"/>
    <cellStyle name="Millares 3 2 2 6 3" xfId="12512" xr:uid="{00000000-0005-0000-0000-000063110000}"/>
    <cellStyle name="Millares 3 2 2 6 3 2" xfId="32227" xr:uid="{00000000-0005-0000-0000-000064110000}"/>
    <cellStyle name="Millares 3 2 2 6 4" xfId="22370" xr:uid="{00000000-0005-0000-0000-000065110000}"/>
    <cellStyle name="Millares 3 2 2 7" xfId="5116" xr:uid="{00000000-0005-0000-0000-000066110000}"/>
    <cellStyle name="Millares 3 2 2 7 2" xfId="14976" xr:uid="{00000000-0005-0000-0000-000067110000}"/>
    <cellStyle name="Millares 3 2 2 7 2 2" xfId="34691" xr:uid="{00000000-0005-0000-0000-000068110000}"/>
    <cellStyle name="Millares 3 2 2 7 3" xfId="24834" xr:uid="{00000000-0005-0000-0000-000069110000}"/>
    <cellStyle name="Millares 3 2 2 8" xfId="10048" xr:uid="{00000000-0005-0000-0000-00006A110000}"/>
    <cellStyle name="Millares 3 2 2 8 2" xfId="29763" xr:uid="{00000000-0005-0000-0000-00006B110000}"/>
    <cellStyle name="Millares 3 2 2 9" xfId="19906" xr:uid="{00000000-0005-0000-0000-00006C110000}"/>
    <cellStyle name="Millares 3 2 3" xfId="242" xr:uid="{00000000-0005-0000-0000-00006D110000}"/>
    <cellStyle name="Millares 3 2 3 2" xfId="556" xr:uid="{00000000-0005-0000-0000-00006E110000}"/>
    <cellStyle name="Millares 3 2 3 2 2" xfId="1176" xr:uid="{00000000-0005-0000-0000-00006F110000}"/>
    <cellStyle name="Millares 3 2 3 2 2 2" xfId="2411" xr:uid="{00000000-0005-0000-0000-000070110000}"/>
    <cellStyle name="Millares 3 2 3 2 2 2 2" xfId="4878" xr:uid="{00000000-0005-0000-0000-000071110000}"/>
    <cellStyle name="Millares 3 2 3 2 2 2 2 2" xfId="9810" xr:uid="{00000000-0005-0000-0000-000072110000}"/>
    <cellStyle name="Millares 3 2 3 2 2 2 2 2 2" xfId="19670" xr:uid="{00000000-0005-0000-0000-000073110000}"/>
    <cellStyle name="Millares 3 2 3 2 2 2 2 2 2 2" xfId="39385" xr:uid="{00000000-0005-0000-0000-000074110000}"/>
    <cellStyle name="Millares 3 2 3 2 2 2 2 2 3" xfId="29528" xr:uid="{00000000-0005-0000-0000-000075110000}"/>
    <cellStyle name="Millares 3 2 3 2 2 2 2 3" xfId="14742" xr:uid="{00000000-0005-0000-0000-000076110000}"/>
    <cellStyle name="Millares 3 2 3 2 2 2 2 3 2" xfId="34457" xr:uid="{00000000-0005-0000-0000-000077110000}"/>
    <cellStyle name="Millares 3 2 3 2 2 2 2 4" xfId="24600" xr:uid="{00000000-0005-0000-0000-000078110000}"/>
    <cellStyle name="Millares 3 2 3 2 2 2 3" xfId="7346" xr:uid="{00000000-0005-0000-0000-000079110000}"/>
    <cellStyle name="Millares 3 2 3 2 2 2 3 2" xfId="17206" xr:uid="{00000000-0005-0000-0000-00007A110000}"/>
    <cellStyle name="Millares 3 2 3 2 2 2 3 2 2" xfId="36921" xr:uid="{00000000-0005-0000-0000-00007B110000}"/>
    <cellStyle name="Millares 3 2 3 2 2 2 3 3" xfId="27064" xr:uid="{00000000-0005-0000-0000-00007C110000}"/>
    <cellStyle name="Millares 3 2 3 2 2 2 4" xfId="12278" xr:uid="{00000000-0005-0000-0000-00007D110000}"/>
    <cellStyle name="Millares 3 2 3 2 2 2 4 2" xfId="31993" xr:uid="{00000000-0005-0000-0000-00007E110000}"/>
    <cellStyle name="Millares 3 2 3 2 2 2 5" xfId="22136" xr:uid="{00000000-0005-0000-0000-00007F110000}"/>
    <cellStyle name="Millares 3 2 3 2 2 3" xfId="3646" xr:uid="{00000000-0005-0000-0000-000080110000}"/>
    <cellStyle name="Millares 3 2 3 2 2 3 2" xfId="8578" xr:uid="{00000000-0005-0000-0000-000081110000}"/>
    <cellStyle name="Millares 3 2 3 2 2 3 2 2" xfId="18438" xr:uid="{00000000-0005-0000-0000-000082110000}"/>
    <cellStyle name="Millares 3 2 3 2 2 3 2 2 2" xfId="38153" xr:uid="{00000000-0005-0000-0000-000083110000}"/>
    <cellStyle name="Millares 3 2 3 2 2 3 2 3" xfId="28296" xr:uid="{00000000-0005-0000-0000-000084110000}"/>
    <cellStyle name="Millares 3 2 3 2 2 3 3" xfId="13510" xr:uid="{00000000-0005-0000-0000-000085110000}"/>
    <cellStyle name="Millares 3 2 3 2 2 3 3 2" xfId="33225" xr:uid="{00000000-0005-0000-0000-000086110000}"/>
    <cellStyle name="Millares 3 2 3 2 2 3 4" xfId="23368" xr:uid="{00000000-0005-0000-0000-000087110000}"/>
    <cellStyle name="Millares 3 2 3 2 2 4" xfId="6114" xr:uid="{00000000-0005-0000-0000-000088110000}"/>
    <cellStyle name="Millares 3 2 3 2 2 4 2" xfId="15974" xr:uid="{00000000-0005-0000-0000-000089110000}"/>
    <cellStyle name="Millares 3 2 3 2 2 4 2 2" xfId="35689" xr:uid="{00000000-0005-0000-0000-00008A110000}"/>
    <cellStyle name="Millares 3 2 3 2 2 4 3" xfId="25832" xr:uid="{00000000-0005-0000-0000-00008B110000}"/>
    <cellStyle name="Millares 3 2 3 2 2 5" xfId="11046" xr:uid="{00000000-0005-0000-0000-00008C110000}"/>
    <cellStyle name="Millares 3 2 3 2 2 5 2" xfId="30761" xr:uid="{00000000-0005-0000-0000-00008D110000}"/>
    <cellStyle name="Millares 3 2 3 2 2 6" xfId="20904" xr:uid="{00000000-0005-0000-0000-00008E110000}"/>
    <cellStyle name="Millares 3 2 3 2 3" xfId="1795" xr:uid="{00000000-0005-0000-0000-00008F110000}"/>
    <cellStyle name="Millares 3 2 3 2 3 2" xfId="4262" xr:uid="{00000000-0005-0000-0000-000090110000}"/>
    <cellStyle name="Millares 3 2 3 2 3 2 2" xfId="9194" xr:uid="{00000000-0005-0000-0000-000091110000}"/>
    <cellStyle name="Millares 3 2 3 2 3 2 2 2" xfId="19054" xr:uid="{00000000-0005-0000-0000-000092110000}"/>
    <cellStyle name="Millares 3 2 3 2 3 2 2 2 2" xfId="38769" xr:uid="{00000000-0005-0000-0000-000093110000}"/>
    <cellStyle name="Millares 3 2 3 2 3 2 2 3" xfId="28912" xr:uid="{00000000-0005-0000-0000-000094110000}"/>
    <cellStyle name="Millares 3 2 3 2 3 2 3" xfId="14126" xr:uid="{00000000-0005-0000-0000-000095110000}"/>
    <cellStyle name="Millares 3 2 3 2 3 2 3 2" xfId="33841" xr:uid="{00000000-0005-0000-0000-000096110000}"/>
    <cellStyle name="Millares 3 2 3 2 3 2 4" xfId="23984" xr:uid="{00000000-0005-0000-0000-000097110000}"/>
    <cellStyle name="Millares 3 2 3 2 3 3" xfId="6730" xr:uid="{00000000-0005-0000-0000-000098110000}"/>
    <cellStyle name="Millares 3 2 3 2 3 3 2" xfId="16590" xr:uid="{00000000-0005-0000-0000-000099110000}"/>
    <cellStyle name="Millares 3 2 3 2 3 3 2 2" xfId="36305" xr:uid="{00000000-0005-0000-0000-00009A110000}"/>
    <cellStyle name="Millares 3 2 3 2 3 3 3" xfId="26448" xr:uid="{00000000-0005-0000-0000-00009B110000}"/>
    <cellStyle name="Millares 3 2 3 2 3 4" xfId="11662" xr:uid="{00000000-0005-0000-0000-00009C110000}"/>
    <cellStyle name="Millares 3 2 3 2 3 4 2" xfId="31377" xr:uid="{00000000-0005-0000-0000-00009D110000}"/>
    <cellStyle name="Millares 3 2 3 2 3 5" xfId="21520" xr:uid="{00000000-0005-0000-0000-00009E110000}"/>
    <cellStyle name="Millares 3 2 3 2 4" xfId="3030" xr:uid="{00000000-0005-0000-0000-00009F110000}"/>
    <cellStyle name="Millares 3 2 3 2 4 2" xfId="7962" xr:uid="{00000000-0005-0000-0000-0000A0110000}"/>
    <cellStyle name="Millares 3 2 3 2 4 2 2" xfId="17822" xr:uid="{00000000-0005-0000-0000-0000A1110000}"/>
    <cellStyle name="Millares 3 2 3 2 4 2 2 2" xfId="37537" xr:uid="{00000000-0005-0000-0000-0000A2110000}"/>
    <cellStyle name="Millares 3 2 3 2 4 2 3" xfId="27680" xr:uid="{00000000-0005-0000-0000-0000A3110000}"/>
    <cellStyle name="Millares 3 2 3 2 4 3" xfId="12894" xr:uid="{00000000-0005-0000-0000-0000A4110000}"/>
    <cellStyle name="Millares 3 2 3 2 4 3 2" xfId="32609" xr:uid="{00000000-0005-0000-0000-0000A5110000}"/>
    <cellStyle name="Millares 3 2 3 2 4 4" xfId="22752" xr:uid="{00000000-0005-0000-0000-0000A6110000}"/>
    <cellStyle name="Millares 3 2 3 2 5" xfId="5498" xr:uid="{00000000-0005-0000-0000-0000A7110000}"/>
    <cellStyle name="Millares 3 2 3 2 5 2" xfId="15358" xr:uid="{00000000-0005-0000-0000-0000A8110000}"/>
    <cellStyle name="Millares 3 2 3 2 5 2 2" xfId="35073" xr:uid="{00000000-0005-0000-0000-0000A9110000}"/>
    <cellStyle name="Millares 3 2 3 2 5 3" xfId="25216" xr:uid="{00000000-0005-0000-0000-0000AA110000}"/>
    <cellStyle name="Millares 3 2 3 2 6" xfId="10430" xr:uid="{00000000-0005-0000-0000-0000AB110000}"/>
    <cellStyle name="Millares 3 2 3 2 6 2" xfId="30145" xr:uid="{00000000-0005-0000-0000-0000AC110000}"/>
    <cellStyle name="Millares 3 2 3 2 7" xfId="20288" xr:uid="{00000000-0005-0000-0000-0000AD110000}"/>
    <cellStyle name="Millares 3 2 3 3" xfId="869" xr:uid="{00000000-0005-0000-0000-0000AE110000}"/>
    <cellStyle name="Millares 3 2 3 3 2" xfId="2105" xr:uid="{00000000-0005-0000-0000-0000AF110000}"/>
    <cellStyle name="Millares 3 2 3 3 2 2" xfId="4572" xr:uid="{00000000-0005-0000-0000-0000B0110000}"/>
    <cellStyle name="Millares 3 2 3 3 2 2 2" xfId="9504" xr:uid="{00000000-0005-0000-0000-0000B1110000}"/>
    <cellStyle name="Millares 3 2 3 3 2 2 2 2" xfId="19364" xr:uid="{00000000-0005-0000-0000-0000B2110000}"/>
    <cellStyle name="Millares 3 2 3 3 2 2 2 2 2" xfId="39079" xr:uid="{00000000-0005-0000-0000-0000B3110000}"/>
    <cellStyle name="Millares 3 2 3 3 2 2 2 3" xfId="29222" xr:uid="{00000000-0005-0000-0000-0000B4110000}"/>
    <cellStyle name="Millares 3 2 3 3 2 2 3" xfId="14436" xr:uid="{00000000-0005-0000-0000-0000B5110000}"/>
    <cellStyle name="Millares 3 2 3 3 2 2 3 2" xfId="34151" xr:uid="{00000000-0005-0000-0000-0000B6110000}"/>
    <cellStyle name="Millares 3 2 3 3 2 2 4" xfId="24294" xr:uid="{00000000-0005-0000-0000-0000B7110000}"/>
    <cellStyle name="Millares 3 2 3 3 2 3" xfId="7040" xr:uid="{00000000-0005-0000-0000-0000B8110000}"/>
    <cellStyle name="Millares 3 2 3 3 2 3 2" xfId="16900" xr:uid="{00000000-0005-0000-0000-0000B9110000}"/>
    <cellStyle name="Millares 3 2 3 3 2 3 2 2" xfId="36615" xr:uid="{00000000-0005-0000-0000-0000BA110000}"/>
    <cellStyle name="Millares 3 2 3 3 2 3 3" xfId="26758" xr:uid="{00000000-0005-0000-0000-0000BB110000}"/>
    <cellStyle name="Millares 3 2 3 3 2 4" xfId="11972" xr:uid="{00000000-0005-0000-0000-0000BC110000}"/>
    <cellStyle name="Millares 3 2 3 3 2 4 2" xfId="31687" xr:uid="{00000000-0005-0000-0000-0000BD110000}"/>
    <cellStyle name="Millares 3 2 3 3 2 5" xfId="21830" xr:uid="{00000000-0005-0000-0000-0000BE110000}"/>
    <cellStyle name="Millares 3 2 3 3 3" xfId="3340" xr:uid="{00000000-0005-0000-0000-0000BF110000}"/>
    <cellStyle name="Millares 3 2 3 3 3 2" xfId="8272" xr:uid="{00000000-0005-0000-0000-0000C0110000}"/>
    <cellStyle name="Millares 3 2 3 3 3 2 2" xfId="18132" xr:uid="{00000000-0005-0000-0000-0000C1110000}"/>
    <cellStyle name="Millares 3 2 3 3 3 2 2 2" xfId="37847" xr:uid="{00000000-0005-0000-0000-0000C2110000}"/>
    <cellStyle name="Millares 3 2 3 3 3 2 3" xfId="27990" xr:uid="{00000000-0005-0000-0000-0000C3110000}"/>
    <cellStyle name="Millares 3 2 3 3 3 3" xfId="13204" xr:uid="{00000000-0005-0000-0000-0000C4110000}"/>
    <cellStyle name="Millares 3 2 3 3 3 3 2" xfId="32919" xr:uid="{00000000-0005-0000-0000-0000C5110000}"/>
    <cellStyle name="Millares 3 2 3 3 3 4" xfId="23062" xr:uid="{00000000-0005-0000-0000-0000C6110000}"/>
    <cellStyle name="Millares 3 2 3 3 4" xfId="5808" xr:uid="{00000000-0005-0000-0000-0000C7110000}"/>
    <cellStyle name="Millares 3 2 3 3 4 2" xfId="15668" xr:uid="{00000000-0005-0000-0000-0000C8110000}"/>
    <cellStyle name="Millares 3 2 3 3 4 2 2" xfId="35383" xr:uid="{00000000-0005-0000-0000-0000C9110000}"/>
    <cellStyle name="Millares 3 2 3 3 4 3" xfId="25526" xr:uid="{00000000-0005-0000-0000-0000CA110000}"/>
    <cellStyle name="Millares 3 2 3 3 5" xfId="10740" xr:uid="{00000000-0005-0000-0000-0000CB110000}"/>
    <cellStyle name="Millares 3 2 3 3 5 2" xfId="30455" xr:uid="{00000000-0005-0000-0000-0000CC110000}"/>
    <cellStyle name="Millares 3 2 3 3 6" xfId="20598" xr:uid="{00000000-0005-0000-0000-0000CD110000}"/>
    <cellStyle name="Millares 3 2 3 4" xfId="1489" xr:uid="{00000000-0005-0000-0000-0000CE110000}"/>
    <cellStyle name="Millares 3 2 3 4 2" xfId="3956" xr:uid="{00000000-0005-0000-0000-0000CF110000}"/>
    <cellStyle name="Millares 3 2 3 4 2 2" xfId="8888" xr:uid="{00000000-0005-0000-0000-0000D0110000}"/>
    <cellStyle name="Millares 3 2 3 4 2 2 2" xfId="18748" xr:uid="{00000000-0005-0000-0000-0000D1110000}"/>
    <cellStyle name="Millares 3 2 3 4 2 2 2 2" xfId="38463" xr:uid="{00000000-0005-0000-0000-0000D2110000}"/>
    <cellStyle name="Millares 3 2 3 4 2 2 3" xfId="28606" xr:uid="{00000000-0005-0000-0000-0000D3110000}"/>
    <cellStyle name="Millares 3 2 3 4 2 3" xfId="13820" xr:uid="{00000000-0005-0000-0000-0000D4110000}"/>
    <cellStyle name="Millares 3 2 3 4 2 3 2" xfId="33535" xr:uid="{00000000-0005-0000-0000-0000D5110000}"/>
    <cellStyle name="Millares 3 2 3 4 2 4" xfId="23678" xr:uid="{00000000-0005-0000-0000-0000D6110000}"/>
    <cellStyle name="Millares 3 2 3 4 3" xfId="6424" xr:uid="{00000000-0005-0000-0000-0000D7110000}"/>
    <cellStyle name="Millares 3 2 3 4 3 2" xfId="16284" xr:uid="{00000000-0005-0000-0000-0000D8110000}"/>
    <cellStyle name="Millares 3 2 3 4 3 2 2" xfId="35999" xr:uid="{00000000-0005-0000-0000-0000D9110000}"/>
    <cellStyle name="Millares 3 2 3 4 3 3" xfId="26142" xr:uid="{00000000-0005-0000-0000-0000DA110000}"/>
    <cellStyle name="Millares 3 2 3 4 4" xfId="11356" xr:uid="{00000000-0005-0000-0000-0000DB110000}"/>
    <cellStyle name="Millares 3 2 3 4 4 2" xfId="31071" xr:uid="{00000000-0005-0000-0000-0000DC110000}"/>
    <cellStyle name="Millares 3 2 3 4 5" xfId="21214" xr:uid="{00000000-0005-0000-0000-0000DD110000}"/>
    <cellStyle name="Millares 3 2 3 5" xfId="2724" xr:uid="{00000000-0005-0000-0000-0000DE110000}"/>
    <cellStyle name="Millares 3 2 3 5 2" xfId="7656" xr:uid="{00000000-0005-0000-0000-0000DF110000}"/>
    <cellStyle name="Millares 3 2 3 5 2 2" xfId="17516" xr:uid="{00000000-0005-0000-0000-0000E0110000}"/>
    <cellStyle name="Millares 3 2 3 5 2 2 2" xfId="37231" xr:uid="{00000000-0005-0000-0000-0000E1110000}"/>
    <cellStyle name="Millares 3 2 3 5 2 3" xfId="27374" xr:uid="{00000000-0005-0000-0000-0000E2110000}"/>
    <cellStyle name="Millares 3 2 3 5 3" xfId="12588" xr:uid="{00000000-0005-0000-0000-0000E3110000}"/>
    <cellStyle name="Millares 3 2 3 5 3 2" xfId="32303" xr:uid="{00000000-0005-0000-0000-0000E4110000}"/>
    <cellStyle name="Millares 3 2 3 5 4" xfId="22446" xr:uid="{00000000-0005-0000-0000-0000E5110000}"/>
    <cellStyle name="Millares 3 2 3 6" xfId="5192" xr:uid="{00000000-0005-0000-0000-0000E6110000}"/>
    <cellStyle name="Millares 3 2 3 6 2" xfId="15052" xr:uid="{00000000-0005-0000-0000-0000E7110000}"/>
    <cellStyle name="Millares 3 2 3 6 2 2" xfId="34767" xr:uid="{00000000-0005-0000-0000-0000E8110000}"/>
    <cellStyle name="Millares 3 2 3 6 3" xfId="24910" xr:uid="{00000000-0005-0000-0000-0000E9110000}"/>
    <cellStyle name="Millares 3 2 3 7" xfId="10124" xr:uid="{00000000-0005-0000-0000-0000EA110000}"/>
    <cellStyle name="Millares 3 2 3 7 2" xfId="29839" xr:uid="{00000000-0005-0000-0000-0000EB110000}"/>
    <cellStyle name="Millares 3 2 3 8" xfId="19982" xr:uid="{00000000-0005-0000-0000-0000EC110000}"/>
    <cellStyle name="Millares 3 2 4" xfId="404" xr:uid="{00000000-0005-0000-0000-0000ED110000}"/>
    <cellStyle name="Millares 3 2 4 2" xfId="1024" xr:uid="{00000000-0005-0000-0000-0000EE110000}"/>
    <cellStyle name="Millares 3 2 4 2 2" xfId="2259" xr:uid="{00000000-0005-0000-0000-0000EF110000}"/>
    <cellStyle name="Millares 3 2 4 2 2 2" xfId="4726" xr:uid="{00000000-0005-0000-0000-0000F0110000}"/>
    <cellStyle name="Millares 3 2 4 2 2 2 2" xfId="9658" xr:uid="{00000000-0005-0000-0000-0000F1110000}"/>
    <cellStyle name="Millares 3 2 4 2 2 2 2 2" xfId="19518" xr:uid="{00000000-0005-0000-0000-0000F2110000}"/>
    <cellStyle name="Millares 3 2 4 2 2 2 2 2 2" xfId="39233" xr:uid="{00000000-0005-0000-0000-0000F3110000}"/>
    <cellStyle name="Millares 3 2 4 2 2 2 2 3" xfId="29376" xr:uid="{00000000-0005-0000-0000-0000F4110000}"/>
    <cellStyle name="Millares 3 2 4 2 2 2 3" xfId="14590" xr:uid="{00000000-0005-0000-0000-0000F5110000}"/>
    <cellStyle name="Millares 3 2 4 2 2 2 3 2" xfId="34305" xr:uid="{00000000-0005-0000-0000-0000F6110000}"/>
    <cellStyle name="Millares 3 2 4 2 2 2 4" xfId="24448" xr:uid="{00000000-0005-0000-0000-0000F7110000}"/>
    <cellStyle name="Millares 3 2 4 2 2 3" xfId="7194" xr:uid="{00000000-0005-0000-0000-0000F8110000}"/>
    <cellStyle name="Millares 3 2 4 2 2 3 2" xfId="17054" xr:uid="{00000000-0005-0000-0000-0000F9110000}"/>
    <cellStyle name="Millares 3 2 4 2 2 3 2 2" xfId="36769" xr:uid="{00000000-0005-0000-0000-0000FA110000}"/>
    <cellStyle name="Millares 3 2 4 2 2 3 3" xfId="26912" xr:uid="{00000000-0005-0000-0000-0000FB110000}"/>
    <cellStyle name="Millares 3 2 4 2 2 4" xfId="12126" xr:uid="{00000000-0005-0000-0000-0000FC110000}"/>
    <cellStyle name="Millares 3 2 4 2 2 4 2" xfId="31841" xr:uid="{00000000-0005-0000-0000-0000FD110000}"/>
    <cellStyle name="Millares 3 2 4 2 2 5" xfId="21984" xr:uid="{00000000-0005-0000-0000-0000FE110000}"/>
    <cellStyle name="Millares 3 2 4 2 3" xfId="3494" xr:uid="{00000000-0005-0000-0000-0000FF110000}"/>
    <cellStyle name="Millares 3 2 4 2 3 2" xfId="8426" xr:uid="{00000000-0005-0000-0000-000000120000}"/>
    <cellStyle name="Millares 3 2 4 2 3 2 2" xfId="18286" xr:uid="{00000000-0005-0000-0000-000001120000}"/>
    <cellStyle name="Millares 3 2 4 2 3 2 2 2" xfId="38001" xr:uid="{00000000-0005-0000-0000-000002120000}"/>
    <cellStyle name="Millares 3 2 4 2 3 2 3" xfId="28144" xr:uid="{00000000-0005-0000-0000-000003120000}"/>
    <cellStyle name="Millares 3 2 4 2 3 3" xfId="13358" xr:uid="{00000000-0005-0000-0000-000004120000}"/>
    <cellStyle name="Millares 3 2 4 2 3 3 2" xfId="33073" xr:uid="{00000000-0005-0000-0000-000005120000}"/>
    <cellStyle name="Millares 3 2 4 2 3 4" xfId="23216" xr:uid="{00000000-0005-0000-0000-000006120000}"/>
    <cellStyle name="Millares 3 2 4 2 4" xfId="5962" xr:uid="{00000000-0005-0000-0000-000007120000}"/>
    <cellStyle name="Millares 3 2 4 2 4 2" xfId="15822" xr:uid="{00000000-0005-0000-0000-000008120000}"/>
    <cellStyle name="Millares 3 2 4 2 4 2 2" xfId="35537" xr:uid="{00000000-0005-0000-0000-000009120000}"/>
    <cellStyle name="Millares 3 2 4 2 4 3" xfId="25680" xr:uid="{00000000-0005-0000-0000-00000A120000}"/>
    <cellStyle name="Millares 3 2 4 2 5" xfId="10894" xr:uid="{00000000-0005-0000-0000-00000B120000}"/>
    <cellStyle name="Millares 3 2 4 2 5 2" xfId="30609" xr:uid="{00000000-0005-0000-0000-00000C120000}"/>
    <cellStyle name="Millares 3 2 4 2 6" xfId="20752" xr:uid="{00000000-0005-0000-0000-00000D120000}"/>
    <cellStyle name="Millares 3 2 4 3" xfId="1643" xr:uid="{00000000-0005-0000-0000-00000E120000}"/>
    <cellStyle name="Millares 3 2 4 3 2" xfId="4110" xr:uid="{00000000-0005-0000-0000-00000F120000}"/>
    <cellStyle name="Millares 3 2 4 3 2 2" xfId="9042" xr:uid="{00000000-0005-0000-0000-000010120000}"/>
    <cellStyle name="Millares 3 2 4 3 2 2 2" xfId="18902" xr:uid="{00000000-0005-0000-0000-000011120000}"/>
    <cellStyle name="Millares 3 2 4 3 2 2 2 2" xfId="38617" xr:uid="{00000000-0005-0000-0000-000012120000}"/>
    <cellStyle name="Millares 3 2 4 3 2 2 3" xfId="28760" xr:uid="{00000000-0005-0000-0000-000013120000}"/>
    <cellStyle name="Millares 3 2 4 3 2 3" xfId="13974" xr:uid="{00000000-0005-0000-0000-000014120000}"/>
    <cellStyle name="Millares 3 2 4 3 2 3 2" xfId="33689" xr:uid="{00000000-0005-0000-0000-000015120000}"/>
    <cellStyle name="Millares 3 2 4 3 2 4" xfId="23832" xr:uid="{00000000-0005-0000-0000-000016120000}"/>
    <cellStyle name="Millares 3 2 4 3 3" xfId="6578" xr:uid="{00000000-0005-0000-0000-000017120000}"/>
    <cellStyle name="Millares 3 2 4 3 3 2" xfId="16438" xr:uid="{00000000-0005-0000-0000-000018120000}"/>
    <cellStyle name="Millares 3 2 4 3 3 2 2" xfId="36153" xr:uid="{00000000-0005-0000-0000-000019120000}"/>
    <cellStyle name="Millares 3 2 4 3 3 3" xfId="26296" xr:uid="{00000000-0005-0000-0000-00001A120000}"/>
    <cellStyle name="Millares 3 2 4 3 4" xfId="11510" xr:uid="{00000000-0005-0000-0000-00001B120000}"/>
    <cellStyle name="Millares 3 2 4 3 4 2" xfId="31225" xr:uid="{00000000-0005-0000-0000-00001C120000}"/>
    <cellStyle name="Millares 3 2 4 3 5" xfId="21368" xr:uid="{00000000-0005-0000-0000-00001D120000}"/>
    <cellStyle name="Millares 3 2 4 4" xfId="2878" xr:uid="{00000000-0005-0000-0000-00001E120000}"/>
    <cellStyle name="Millares 3 2 4 4 2" xfId="7810" xr:uid="{00000000-0005-0000-0000-00001F120000}"/>
    <cellStyle name="Millares 3 2 4 4 2 2" xfId="17670" xr:uid="{00000000-0005-0000-0000-000020120000}"/>
    <cellStyle name="Millares 3 2 4 4 2 2 2" xfId="37385" xr:uid="{00000000-0005-0000-0000-000021120000}"/>
    <cellStyle name="Millares 3 2 4 4 2 3" xfId="27528" xr:uid="{00000000-0005-0000-0000-000022120000}"/>
    <cellStyle name="Millares 3 2 4 4 3" xfId="12742" xr:uid="{00000000-0005-0000-0000-000023120000}"/>
    <cellStyle name="Millares 3 2 4 4 3 2" xfId="32457" xr:uid="{00000000-0005-0000-0000-000024120000}"/>
    <cellStyle name="Millares 3 2 4 4 4" xfId="22600" xr:uid="{00000000-0005-0000-0000-000025120000}"/>
    <cellStyle name="Millares 3 2 4 5" xfId="5346" xr:uid="{00000000-0005-0000-0000-000026120000}"/>
    <cellStyle name="Millares 3 2 4 5 2" xfId="15206" xr:uid="{00000000-0005-0000-0000-000027120000}"/>
    <cellStyle name="Millares 3 2 4 5 2 2" xfId="34921" xr:uid="{00000000-0005-0000-0000-000028120000}"/>
    <cellStyle name="Millares 3 2 4 5 3" xfId="25064" xr:uid="{00000000-0005-0000-0000-000029120000}"/>
    <cellStyle name="Millares 3 2 4 6" xfId="10278" xr:uid="{00000000-0005-0000-0000-00002A120000}"/>
    <cellStyle name="Millares 3 2 4 6 2" xfId="29993" xr:uid="{00000000-0005-0000-0000-00002B120000}"/>
    <cellStyle name="Millares 3 2 4 7" xfId="20136" xr:uid="{00000000-0005-0000-0000-00002C120000}"/>
    <cellStyle name="Millares 3 2 5" xfId="717" xr:uid="{00000000-0005-0000-0000-00002D120000}"/>
    <cellStyle name="Millares 3 2 5 2" xfId="1953" xr:uid="{00000000-0005-0000-0000-00002E120000}"/>
    <cellStyle name="Millares 3 2 5 2 2" xfId="4420" xr:uid="{00000000-0005-0000-0000-00002F120000}"/>
    <cellStyle name="Millares 3 2 5 2 2 2" xfId="9352" xr:uid="{00000000-0005-0000-0000-000030120000}"/>
    <cellStyle name="Millares 3 2 5 2 2 2 2" xfId="19212" xr:uid="{00000000-0005-0000-0000-000031120000}"/>
    <cellStyle name="Millares 3 2 5 2 2 2 2 2" xfId="38927" xr:uid="{00000000-0005-0000-0000-000032120000}"/>
    <cellStyle name="Millares 3 2 5 2 2 2 3" xfId="29070" xr:uid="{00000000-0005-0000-0000-000033120000}"/>
    <cellStyle name="Millares 3 2 5 2 2 3" xfId="14284" xr:uid="{00000000-0005-0000-0000-000034120000}"/>
    <cellStyle name="Millares 3 2 5 2 2 3 2" xfId="33999" xr:uid="{00000000-0005-0000-0000-000035120000}"/>
    <cellStyle name="Millares 3 2 5 2 2 4" xfId="24142" xr:uid="{00000000-0005-0000-0000-000036120000}"/>
    <cellStyle name="Millares 3 2 5 2 3" xfId="6888" xr:uid="{00000000-0005-0000-0000-000037120000}"/>
    <cellStyle name="Millares 3 2 5 2 3 2" xfId="16748" xr:uid="{00000000-0005-0000-0000-000038120000}"/>
    <cellStyle name="Millares 3 2 5 2 3 2 2" xfId="36463" xr:uid="{00000000-0005-0000-0000-000039120000}"/>
    <cellStyle name="Millares 3 2 5 2 3 3" xfId="26606" xr:uid="{00000000-0005-0000-0000-00003A120000}"/>
    <cellStyle name="Millares 3 2 5 2 4" xfId="11820" xr:uid="{00000000-0005-0000-0000-00003B120000}"/>
    <cellStyle name="Millares 3 2 5 2 4 2" xfId="31535" xr:uid="{00000000-0005-0000-0000-00003C120000}"/>
    <cellStyle name="Millares 3 2 5 2 5" xfId="21678" xr:uid="{00000000-0005-0000-0000-00003D120000}"/>
    <cellStyle name="Millares 3 2 5 3" xfId="3188" xr:uid="{00000000-0005-0000-0000-00003E120000}"/>
    <cellStyle name="Millares 3 2 5 3 2" xfId="8120" xr:uid="{00000000-0005-0000-0000-00003F120000}"/>
    <cellStyle name="Millares 3 2 5 3 2 2" xfId="17980" xr:uid="{00000000-0005-0000-0000-000040120000}"/>
    <cellStyle name="Millares 3 2 5 3 2 2 2" xfId="37695" xr:uid="{00000000-0005-0000-0000-000041120000}"/>
    <cellStyle name="Millares 3 2 5 3 2 3" xfId="27838" xr:uid="{00000000-0005-0000-0000-000042120000}"/>
    <cellStyle name="Millares 3 2 5 3 3" xfId="13052" xr:uid="{00000000-0005-0000-0000-000043120000}"/>
    <cellStyle name="Millares 3 2 5 3 3 2" xfId="32767" xr:uid="{00000000-0005-0000-0000-000044120000}"/>
    <cellStyle name="Millares 3 2 5 3 4" xfId="22910" xr:uid="{00000000-0005-0000-0000-000045120000}"/>
    <cellStyle name="Millares 3 2 5 4" xfId="5656" xr:uid="{00000000-0005-0000-0000-000046120000}"/>
    <cellStyle name="Millares 3 2 5 4 2" xfId="15516" xr:uid="{00000000-0005-0000-0000-000047120000}"/>
    <cellStyle name="Millares 3 2 5 4 2 2" xfId="35231" xr:uid="{00000000-0005-0000-0000-000048120000}"/>
    <cellStyle name="Millares 3 2 5 4 3" xfId="25374" xr:uid="{00000000-0005-0000-0000-000049120000}"/>
    <cellStyle name="Millares 3 2 5 5" xfId="10588" xr:uid="{00000000-0005-0000-0000-00004A120000}"/>
    <cellStyle name="Millares 3 2 5 5 2" xfId="30303" xr:uid="{00000000-0005-0000-0000-00004B120000}"/>
    <cellStyle name="Millares 3 2 5 6" xfId="20446" xr:uid="{00000000-0005-0000-0000-00004C120000}"/>
    <cellStyle name="Millares 3 2 6" xfId="1337" xr:uid="{00000000-0005-0000-0000-00004D120000}"/>
    <cellStyle name="Millares 3 2 6 2" xfId="3804" xr:uid="{00000000-0005-0000-0000-00004E120000}"/>
    <cellStyle name="Millares 3 2 6 2 2" xfId="8736" xr:uid="{00000000-0005-0000-0000-00004F120000}"/>
    <cellStyle name="Millares 3 2 6 2 2 2" xfId="18596" xr:uid="{00000000-0005-0000-0000-000050120000}"/>
    <cellStyle name="Millares 3 2 6 2 2 2 2" xfId="38311" xr:uid="{00000000-0005-0000-0000-000051120000}"/>
    <cellStyle name="Millares 3 2 6 2 2 3" xfId="28454" xr:uid="{00000000-0005-0000-0000-000052120000}"/>
    <cellStyle name="Millares 3 2 6 2 3" xfId="13668" xr:uid="{00000000-0005-0000-0000-000053120000}"/>
    <cellStyle name="Millares 3 2 6 2 3 2" xfId="33383" xr:uid="{00000000-0005-0000-0000-000054120000}"/>
    <cellStyle name="Millares 3 2 6 2 4" xfId="23526" xr:uid="{00000000-0005-0000-0000-000055120000}"/>
    <cellStyle name="Millares 3 2 6 3" xfId="6272" xr:uid="{00000000-0005-0000-0000-000056120000}"/>
    <cellStyle name="Millares 3 2 6 3 2" xfId="16132" xr:uid="{00000000-0005-0000-0000-000057120000}"/>
    <cellStyle name="Millares 3 2 6 3 2 2" xfId="35847" xr:uid="{00000000-0005-0000-0000-000058120000}"/>
    <cellStyle name="Millares 3 2 6 3 3" xfId="25990" xr:uid="{00000000-0005-0000-0000-000059120000}"/>
    <cellStyle name="Millares 3 2 6 4" xfId="11204" xr:uid="{00000000-0005-0000-0000-00005A120000}"/>
    <cellStyle name="Millares 3 2 6 4 2" xfId="30919" xr:uid="{00000000-0005-0000-0000-00005B120000}"/>
    <cellStyle name="Millares 3 2 6 5" xfId="21062" xr:uid="{00000000-0005-0000-0000-00005C120000}"/>
    <cellStyle name="Millares 3 2 7" xfId="2572" xr:uid="{00000000-0005-0000-0000-00005D120000}"/>
    <cellStyle name="Millares 3 2 7 2" xfId="7504" xr:uid="{00000000-0005-0000-0000-00005E120000}"/>
    <cellStyle name="Millares 3 2 7 2 2" xfId="17364" xr:uid="{00000000-0005-0000-0000-00005F120000}"/>
    <cellStyle name="Millares 3 2 7 2 2 2" xfId="37079" xr:uid="{00000000-0005-0000-0000-000060120000}"/>
    <cellStyle name="Millares 3 2 7 2 3" xfId="27222" xr:uid="{00000000-0005-0000-0000-000061120000}"/>
    <cellStyle name="Millares 3 2 7 3" xfId="12436" xr:uid="{00000000-0005-0000-0000-000062120000}"/>
    <cellStyle name="Millares 3 2 7 3 2" xfId="32151" xr:uid="{00000000-0005-0000-0000-000063120000}"/>
    <cellStyle name="Millares 3 2 7 4" xfId="22294" xr:uid="{00000000-0005-0000-0000-000064120000}"/>
    <cellStyle name="Millares 3 2 8" xfId="5040" xr:uid="{00000000-0005-0000-0000-000065120000}"/>
    <cellStyle name="Millares 3 2 8 2" xfId="14900" xr:uid="{00000000-0005-0000-0000-000066120000}"/>
    <cellStyle name="Millares 3 2 8 2 2" xfId="34615" xr:uid="{00000000-0005-0000-0000-000067120000}"/>
    <cellStyle name="Millares 3 2 8 3" xfId="24758" xr:uid="{00000000-0005-0000-0000-000068120000}"/>
    <cellStyle name="Millares 3 2 9" xfId="9972" xr:uid="{00000000-0005-0000-0000-000069120000}"/>
    <cellStyle name="Millares 3 2 9 2" xfId="29687" xr:uid="{00000000-0005-0000-0000-00006A120000}"/>
    <cellStyle name="Millares 3 3" xfId="123" xr:uid="{00000000-0005-0000-0000-00006B120000}"/>
    <cellStyle name="Millares 3 3 2" xfId="280" xr:uid="{00000000-0005-0000-0000-00006C120000}"/>
    <cellStyle name="Millares 3 3 2 2" xfId="594" xr:uid="{00000000-0005-0000-0000-00006D120000}"/>
    <cellStyle name="Millares 3 3 2 2 2" xfId="1214" xr:uid="{00000000-0005-0000-0000-00006E120000}"/>
    <cellStyle name="Millares 3 3 2 2 2 2" xfId="2449" xr:uid="{00000000-0005-0000-0000-00006F120000}"/>
    <cellStyle name="Millares 3 3 2 2 2 2 2" xfId="4916" xr:uid="{00000000-0005-0000-0000-000070120000}"/>
    <cellStyle name="Millares 3 3 2 2 2 2 2 2" xfId="9848" xr:uid="{00000000-0005-0000-0000-000071120000}"/>
    <cellStyle name="Millares 3 3 2 2 2 2 2 2 2" xfId="19708" xr:uid="{00000000-0005-0000-0000-000072120000}"/>
    <cellStyle name="Millares 3 3 2 2 2 2 2 2 2 2" xfId="39423" xr:uid="{00000000-0005-0000-0000-000073120000}"/>
    <cellStyle name="Millares 3 3 2 2 2 2 2 2 3" xfId="29566" xr:uid="{00000000-0005-0000-0000-000074120000}"/>
    <cellStyle name="Millares 3 3 2 2 2 2 2 3" xfId="14780" xr:uid="{00000000-0005-0000-0000-000075120000}"/>
    <cellStyle name="Millares 3 3 2 2 2 2 2 3 2" xfId="34495" xr:uid="{00000000-0005-0000-0000-000076120000}"/>
    <cellStyle name="Millares 3 3 2 2 2 2 2 4" xfId="24638" xr:uid="{00000000-0005-0000-0000-000077120000}"/>
    <cellStyle name="Millares 3 3 2 2 2 2 3" xfId="7384" xr:uid="{00000000-0005-0000-0000-000078120000}"/>
    <cellStyle name="Millares 3 3 2 2 2 2 3 2" xfId="17244" xr:uid="{00000000-0005-0000-0000-000079120000}"/>
    <cellStyle name="Millares 3 3 2 2 2 2 3 2 2" xfId="36959" xr:uid="{00000000-0005-0000-0000-00007A120000}"/>
    <cellStyle name="Millares 3 3 2 2 2 2 3 3" xfId="27102" xr:uid="{00000000-0005-0000-0000-00007B120000}"/>
    <cellStyle name="Millares 3 3 2 2 2 2 4" xfId="12316" xr:uid="{00000000-0005-0000-0000-00007C120000}"/>
    <cellStyle name="Millares 3 3 2 2 2 2 4 2" xfId="32031" xr:uid="{00000000-0005-0000-0000-00007D120000}"/>
    <cellStyle name="Millares 3 3 2 2 2 2 5" xfId="22174" xr:uid="{00000000-0005-0000-0000-00007E120000}"/>
    <cellStyle name="Millares 3 3 2 2 2 3" xfId="3684" xr:uid="{00000000-0005-0000-0000-00007F120000}"/>
    <cellStyle name="Millares 3 3 2 2 2 3 2" xfId="8616" xr:uid="{00000000-0005-0000-0000-000080120000}"/>
    <cellStyle name="Millares 3 3 2 2 2 3 2 2" xfId="18476" xr:uid="{00000000-0005-0000-0000-000081120000}"/>
    <cellStyle name="Millares 3 3 2 2 2 3 2 2 2" xfId="38191" xr:uid="{00000000-0005-0000-0000-000082120000}"/>
    <cellStyle name="Millares 3 3 2 2 2 3 2 3" xfId="28334" xr:uid="{00000000-0005-0000-0000-000083120000}"/>
    <cellStyle name="Millares 3 3 2 2 2 3 3" xfId="13548" xr:uid="{00000000-0005-0000-0000-000084120000}"/>
    <cellStyle name="Millares 3 3 2 2 2 3 3 2" xfId="33263" xr:uid="{00000000-0005-0000-0000-000085120000}"/>
    <cellStyle name="Millares 3 3 2 2 2 3 4" xfId="23406" xr:uid="{00000000-0005-0000-0000-000086120000}"/>
    <cellStyle name="Millares 3 3 2 2 2 4" xfId="6152" xr:uid="{00000000-0005-0000-0000-000087120000}"/>
    <cellStyle name="Millares 3 3 2 2 2 4 2" xfId="16012" xr:uid="{00000000-0005-0000-0000-000088120000}"/>
    <cellStyle name="Millares 3 3 2 2 2 4 2 2" xfId="35727" xr:uid="{00000000-0005-0000-0000-000089120000}"/>
    <cellStyle name="Millares 3 3 2 2 2 4 3" xfId="25870" xr:uid="{00000000-0005-0000-0000-00008A120000}"/>
    <cellStyle name="Millares 3 3 2 2 2 5" xfId="11084" xr:uid="{00000000-0005-0000-0000-00008B120000}"/>
    <cellStyle name="Millares 3 3 2 2 2 5 2" xfId="30799" xr:uid="{00000000-0005-0000-0000-00008C120000}"/>
    <cellStyle name="Millares 3 3 2 2 2 6" xfId="20942" xr:uid="{00000000-0005-0000-0000-00008D120000}"/>
    <cellStyle name="Millares 3 3 2 2 3" xfId="1833" xr:uid="{00000000-0005-0000-0000-00008E120000}"/>
    <cellStyle name="Millares 3 3 2 2 3 2" xfId="4300" xr:uid="{00000000-0005-0000-0000-00008F120000}"/>
    <cellStyle name="Millares 3 3 2 2 3 2 2" xfId="9232" xr:uid="{00000000-0005-0000-0000-000090120000}"/>
    <cellStyle name="Millares 3 3 2 2 3 2 2 2" xfId="19092" xr:uid="{00000000-0005-0000-0000-000091120000}"/>
    <cellStyle name="Millares 3 3 2 2 3 2 2 2 2" xfId="38807" xr:uid="{00000000-0005-0000-0000-000092120000}"/>
    <cellStyle name="Millares 3 3 2 2 3 2 2 3" xfId="28950" xr:uid="{00000000-0005-0000-0000-000093120000}"/>
    <cellStyle name="Millares 3 3 2 2 3 2 3" xfId="14164" xr:uid="{00000000-0005-0000-0000-000094120000}"/>
    <cellStyle name="Millares 3 3 2 2 3 2 3 2" xfId="33879" xr:uid="{00000000-0005-0000-0000-000095120000}"/>
    <cellStyle name="Millares 3 3 2 2 3 2 4" xfId="24022" xr:uid="{00000000-0005-0000-0000-000096120000}"/>
    <cellStyle name="Millares 3 3 2 2 3 3" xfId="6768" xr:uid="{00000000-0005-0000-0000-000097120000}"/>
    <cellStyle name="Millares 3 3 2 2 3 3 2" xfId="16628" xr:uid="{00000000-0005-0000-0000-000098120000}"/>
    <cellStyle name="Millares 3 3 2 2 3 3 2 2" xfId="36343" xr:uid="{00000000-0005-0000-0000-000099120000}"/>
    <cellStyle name="Millares 3 3 2 2 3 3 3" xfId="26486" xr:uid="{00000000-0005-0000-0000-00009A120000}"/>
    <cellStyle name="Millares 3 3 2 2 3 4" xfId="11700" xr:uid="{00000000-0005-0000-0000-00009B120000}"/>
    <cellStyle name="Millares 3 3 2 2 3 4 2" xfId="31415" xr:uid="{00000000-0005-0000-0000-00009C120000}"/>
    <cellStyle name="Millares 3 3 2 2 3 5" xfId="21558" xr:uid="{00000000-0005-0000-0000-00009D120000}"/>
    <cellStyle name="Millares 3 3 2 2 4" xfId="3068" xr:uid="{00000000-0005-0000-0000-00009E120000}"/>
    <cellStyle name="Millares 3 3 2 2 4 2" xfId="8000" xr:uid="{00000000-0005-0000-0000-00009F120000}"/>
    <cellStyle name="Millares 3 3 2 2 4 2 2" xfId="17860" xr:uid="{00000000-0005-0000-0000-0000A0120000}"/>
    <cellStyle name="Millares 3 3 2 2 4 2 2 2" xfId="37575" xr:uid="{00000000-0005-0000-0000-0000A1120000}"/>
    <cellStyle name="Millares 3 3 2 2 4 2 3" xfId="27718" xr:uid="{00000000-0005-0000-0000-0000A2120000}"/>
    <cellStyle name="Millares 3 3 2 2 4 3" xfId="12932" xr:uid="{00000000-0005-0000-0000-0000A3120000}"/>
    <cellStyle name="Millares 3 3 2 2 4 3 2" xfId="32647" xr:uid="{00000000-0005-0000-0000-0000A4120000}"/>
    <cellStyle name="Millares 3 3 2 2 4 4" xfId="22790" xr:uid="{00000000-0005-0000-0000-0000A5120000}"/>
    <cellStyle name="Millares 3 3 2 2 5" xfId="5536" xr:uid="{00000000-0005-0000-0000-0000A6120000}"/>
    <cellStyle name="Millares 3 3 2 2 5 2" xfId="15396" xr:uid="{00000000-0005-0000-0000-0000A7120000}"/>
    <cellStyle name="Millares 3 3 2 2 5 2 2" xfId="35111" xr:uid="{00000000-0005-0000-0000-0000A8120000}"/>
    <cellStyle name="Millares 3 3 2 2 5 3" xfId="25254" xr:uid="{00000000-0005-0000-0000-0000A9120000}"/>
    <cellStyle name="Millares 3 3 2 2 6" xfId="10468" xr:uid="{00000000-0005-0000-0000-0000AA120000}"/>
    <cellStyle name="Millares 3 3 2 2 6 2" xfId="30183" xr:uid="{00000000-0005-0000-0000-0000AB120000}"/>
    <cellStyle name="Millares 3 3 2 2 7" xfId="20326" xr:uid="{00000000-0005-0000-0000-0000AC120000}"/>
    <cellStyle name="Millares 3 3 2 3" xfId="907" xr:uid="{00000000-0005-0000-0000-0000AD120000}"/>
    <cellStyle name="Millares 3 3 2 3 2" xfId="2143" xr:uid="{00000000-0005-0000-0000-0000AE120000}"/>
    <cellStyle name="Millares 3 3 2 3 2 2" xfId="4610" xr:uid="{00000000-0005-0000-0000-0000AF120000}"/>
    <cellStyle name="Millares 3 3 2 3 2 2 2" xfId="9542" xr:uid="{00000000-0005-0000-0000-0000B0120000}"/>
    <cellStyle name="Millares 3 3 2 3 2 2 2 2" xfId="19402" xr:uid="{00000000-0005-0000-0000-0000B1120000}"/>
    <cellStyle name="Millares 3 3 2 3 2 2 2 2 2" xfId="39117" xr:uid="{00000000-0005-0000-0000-0000B2120000}"/>
    <cellStyle name="Millares 3 3 2 3 2 2 2 3" xfId="29260" xr:uid="{00000000-0005-0000-0000-0000B3120000}"/>
    <cellStyle name="Millares 3 3 2 3 2 2 3" xfId="14474" xr:uid="{00000000-0005-0000-0000-0000B4120000}"/>
    <cellStyle name="Millares 3 3 2 3 2 2 3 2" xfId="34189" xr:uid="{00000000-0005-0000-0000-0000B5120000}"/>
    <cellStyle name="Millares 3 3 2 3 2 2 4" xfId="24332" xr:uid="{00000000-0005-0000-0000-0000B6120000}"/>
    <cellStyle name="Millares 3 3 2 3 2 3" xfId="7078" xr:uid="{00000000-0005-0000-0000-0000B7120000}"/>
    <cellStyle name="Millares 3 3 2 3 2 3 2" xfId="16938" xr:uid="{00000000-0005-0000-0000-0000B8120000}"/>
    <cellStyle name="Millares 3 3 2 3 2 3 2 2" xfId="36653" xr:uid="{00000000-0005-0000-0000-0000B9120000}"/>
    <cellStyle name="Millares 3 3 2 3 2 3 3" xfId="26796" xr:uid="{00000000-0005-0000-0000-0000BA120000}"/>
    <cellStyle name="Millares 3 3 2 3 2 4" xfId="12010" xr:uid="{00000000-0005-0000-0000-0000BB120000}"/>
    <cellStyle name="Millares 3 3 2 3 2 4 2" xfId="31725" xr:uid="{00000000-0005-0000-0000-0000BC120000}"/>
    <cellStyle name="Millares 3 3 2 3 2 5" xfId="21868" xr:uid="{00000000-0005-0000-0000-0000BD120000}"/>
    <cellStyle name="Millares 3 3 2 3 3" xfId="3378" xr:uid="{00000000-0005-0000-0000-0000BE120000}"/>
    <cellStyle name="Millares 3 3 2 3 3 2" xfId="8310" xr:uid="{00000000-0005-0000-0000-0000BF120000}"/>
    <cellStyle name="Millares 3 3 2 3 3 2 2" xfId="18170" xr:uid="{00000000-0005-0000-0000-0000C0120000}"/>
    <cellStyle name="Millares 3 3 2 3 3 2 2 2" xfId="37885" xr:uid="{00000000-0005-0000-0000-0000C1120000}"/>
    <cellStyle name="Millares 3 3 2 3 3 2 3" xfId="28028" xr:uid="{00000000-0005-0000-0000-0000C2120000}"/>
    <cellStyle name="Millares 3 3 2 3 3 3" xfId="13242" xr:uid="{00000000-0005-0000-0000-0000C3120000}"/>
    <cellStyle name="Millares 3 3 2 3 3 3 2" xfId="32957" xr:uid="{00000000-0005-0000-0000-0000C4120000}"/>
    <cellStyle name="Millares 3 3 2 3 3 4" xfId="23100" xr:uid="{00000000-0005-0000-0000-0000C5120000}"/>
    <cellStyle name="Millares 3 3 2 3 4" xfId="5846" xr:uid="{00000000-0005-0000-0000-0000C6120000}"/>
    <cellStyle name="Millares 3 3 2 3 4 2" xfId="15706" xr:uid="{00000000-0005-0000-0000-0000C7120000}"/>
    <cellStyle name="Millares 3 3 2 3 4 2 2" xfId="35421" xr:uid="{00000000-0005-0000-0000-0000C8120000}"/>
    <cellStyle name="Millares 3 3 2 3 4 3" xfId="25564" xr:uid="{00000000-0005-0000-0000-0000C9120000}"/>
    <cellStyle name="Millares 3 3 2 3 5" xfId="10778" xr:uid="{00000000-0005-0000-0000-0000CA120000}"/>
    <cellStyle name="Millares 3 3 2 3 5 2" xfId="30493" xr:uid="{00000000-0005-0000-0000-0000CB120000}"/>
    <cellStyle name="Millares 3 3 2 3 6" xfId="20636" xr:uid="{00000000-0005-0000-0000-0000CC120000}"/>
    <cellStyle name="Millares 3 3 2 4" xfId="1527" xr:uid="{00000000-0005-0000-0000-0000CD120000}"/>
    <cellStyle name="Millares 3 3 2 4 2" xfId="3994" xr:uid="{00000000-0005-0000-0000-0000CE120000}"/>
    <cellStyle name="Millares 3 3 2 4 2 2" xfId="8926" xr:uid="{00000000-0005-0000-0000-0000CF120000}"/>
    <cellStyle name="Millares 3 3 2 4 2 2 2" xfId="18786" xr:uid="{00000000-0005-0000-0000-0000D0120000}"/>
    <cellStyle name="Millares 3 3 2 4 2 2 2 2" xfId="38501" xr:uid="{00000000-0005-0000-0000-0000D1120000}"/>
    <cellStyle name="Millares 3 3 2 4 2 2 3" xfId="28644" xr:uid="{00000000-0005-0000-0000-0000D2120000}"/>
    <cellStyle name="Millares 3 3 2 4 2 3" xfId="13858" xr:uid="{00000000-0005-0000-0000-0000D3120000}"/>
    <cellStyle name="Millares 3 3 2 4 2 3 2" xfId="33573" xr:uid="{00000000-0005-0000-0000-0000D4120000}"/>
    <cellStyle name="Millares 3 3 2 4 2 4" xfId="23716" xr:uid="{00000000-0005-0000-0000-0000D5120000}"/>
    <cellStyle name="Millares 3 3 2 4 3" xfId="6462" xr:uid="{00000000-0005-0000-0000-0000D6120000}"/>
    <cellStyle name="Millares 3 3 2 4 3 2" xfId="16322" xr:uid="{00000000-0005-0000-0000-0000D7120000}"/>
    <cellStyle name="Millares 3 3 2 4 3 2 2" xfId="36037" xr:uid="{00000000-0005-0000-0000-0000D8120000}"/>
    <cellStyle name="Millares 3 3 2 4 3 3" xfId="26180" xr:uid="{00000000-0005-0000-0000-0000D9120000}"/>
    <cellStyle name="Millares 3 3 2 4 4" xfId="11394" xr:uid="{00000000-0005-0000-0000-0000DA120000}"/>
    <cellStyle name="Millares 3 3 2 4 4 2" xfId="31109" xr:uid="{00000000-0005-0000-0000-0000DB120000}"/>
    <cellStyle name="Millares 3 3 2 4 5" xfId="21252" xr:uid="{00000000-0005-0000-0000-0000DC120000}"/>
    <cellStyle name="Millares 3 3 2 5" xfId="2762" xr:uid="{00000000-0005-0000-0000-0000DD120000}"/>
    <cellStyle name="Millares 3 3 2 5 2" xfId="7694" xr:uid="{00000000-0005-0000-0000-0000DE120000}"/>
    <cellStyle name="Millares 3 3 2 5 2 2" xfId="17554" xr:uid="{00000000-0005-0000-0000-0000DF120000}"/>
    <cellStyle name="Millares 3 3 2 5 2 2 2" xfId="37269" xr:uid="{00000000-0005-0000-0000-0000E0120000}"/>
    <cellStyle name="Millares 3 3 2 5 2 3" xfId="27412" xr:uid="{00000000-0005-0000-0000-0000E1120000}"/>
    <cellStyle name="Millares 3 3 2 5 3" xfId="12626" xr:uid="{00000000-0005-0000-0000-0000E2120000}"/>
    <cellStyle name="Millares 3 3 2 5 3 2" xfId="32341" xr:uid="{00000000-0005-0000-0000-0000E3120000}"/>
    <cellStyle name="Millares 3 3 2 5 4" xfId="22484" xr:uid="{00000000-0005-0000-0000-0000E4120000}"/>
    <cellStyle name="Millares 3 3 2 6" xfId="5230" xr:uid="{00000000-0005-0000-0000-0000E5120000}"/>
    <cellStyle name="Millares 3 3 2 6 2" xfId="15090" xr:uid="{00000000-0005-0000-0000-0000E6120000}"/>
    <cellStyle name="Millares 3 3 2 6 2 2" xfId="34805" xr:uid="{00000000-0005-0000-0000-0000E7120000}"/>
    <cellStyle name="Millares 3 3 2 6 3" xfId="24948" xr:uid="{00000000-0005-0000-0000-0000E8120000}"/>
    <cellStyle name="Millares 3 3 2 7" xfId="10162" xr:uid="{00000000-0005-0000-0000-0000E9120000}"/>
    <cellStyle name="Millares 3 3 2 7 2" xfId="29877" xr:uid="{00000000-0005-0000-0000-0000EA120000}"/>
    <cellStyle name="Millares 3 3 2 8" xfId="20020" xr:uid="{00000000-0005-0000-0000-0000EB120000}"/>
    <cellStyle name="Millares 3 3 3" xfId="442" xr:uid="{00000000-0005-0000-0000-0000EC120000}"/>
    <cellStyle name="Millares 3 3 3 2" xfId="1062" xr:uid="{00000000-0005-0000-0000-0000ED120000}"/>
    <cellStyle name="Millares 3 3 3 2 2" xfId="2297" xr:uid="{00000000-0005-0000-0000-0000EE120000}"/>
    <cellStyle name="Millares 3 3 3 2 2 2" xfId="4764" xr:uid="{00000000-0005-0000-0000-0000EF120000}"/>
    <cellStyle name="Millares 3 3 3 2 2 2 2" xfId="9696" xr:uid="{00000000-0005-0000-0000-0000F0120000}"/>
    <cellStyle name="Millares 3 3 3 2 2 2 2 2" xfId="19556" xr:uid="{00000000-0005-0000-0000-0000F1120000}"/>
    <cellStyle name="Millares 3 3 3 2 2 2 2 2 2" xfId="39271" xr:uid="{00000000-0005-0000-0000-0000F2120000}"/>
    <cellStyle name="Millares 3 3 3 2 2 2 2 3" xfId="29414" xr:uid="{00000000-0005-0000-0000-0000F3120000}"/>
    <cellStyle name="Millares 3 3 3 2 2 2 3" xfId="14628" xr:uid="{00000000-0005-0000-0000-0000F4120000}"/>
    <cellStyle name="Millares 3 3 3 2 2 2 3 2" xfId="34343" xr:uid="{00000000-0005-0000-0000-0000F5120000}"/>
    <cellStyle name="Millares 3 3 3 2 2 2 4" xfId="24486" xr:uid="{00000000-0005-0000-0000-0000F6120000}"/>
    <cellStyle name="Millares 3 3 3 2 2 3" xfId="7232" xr:uid="{00000000-0005-0000-0000-0000F7120000}"/>
    <cellStyle name="Millares 3 3 3 2 2 3 2" xfId="17092" xr:uid="{00000000-0005-0000-0000-0000F8120000}"/>
    <cellStyle name="Millares 3 3 3 2 2 3 2 2" xfId="36807" xr:uid="{00000000-0005-0000-0000-0000F9120000}"/>
    <cellStyle name="Millares 3 3 3 2 2 3 3" xfId="26950" xr:uid="{00000000-0005-0000-0000-0000FA120000}"/>
    <cellStyle name="Millares 3 3 3 2 2 4" xfId="12164" xr:uid="{00000000-0005-0000-0000-0000FB120000}"/>
    <cellStyle name="Millares 3 3 3 2 2 4 2" xfId="31879" xr:uid="{00000000-0005-0000-0000-0000FC120000}"/>
    <cellStyle name="Millares 3 3 3 2 2 5" xfId="22022" xr:uid="{00000000-0005-0000-0000-0000FD120000}"/>
    <cellStyle name="Millares 3 3 3 2 3" xfId="3532" xr:uid="{00000000-0005-0000-0000-0000FE120000}"/>
    <cellStyle name="Millares 3 3 3 2 3 2" xfId="8464" xr:uid="{00000000-0005-0000-0000-0000FF120000}"/>
    <cellStyle name="Millares 3 3 3 2 3 2 2" xfId="18324" xr:uid="{00000000-0005-0000-0000-000000130000}"/>
    <cellStyle name="Millares 3 3 3 2 3 2 2 2" xfId="38039" xr:uid="{00000000-0005-0000-0000-000001130000}"/>
    <cellStyle name="Millares 3 3 3 2 3 2 3" xfId="28182" xr:uid="{00000000-0005-0000-0000-000002130000}"/>
    <cellStyle name="Millares 3 3 3 2 3 3" xfId="13396" xr:uid="{00000000-0005-0000-0000-000003130000}"/>
    <cellStyle name="Millares 3 3 3 2 3 3 2" xfId="33111" xr:uid="{00000000-0005-0000-0000-000004130000}"/>
    <cellStyle name="Millares 3 3 3 2 3 4" xfId="23254" xr:uid="{00000000-0005-0000-0000-000005130000}"/>
    <cellStyle name="Millares 3 3 3 2 4" xfId="6000" xr:uid="{00000000-0005-0000-0000-000006130000}"/>
    <cellStyle name="Millares 3 3 3 2 4 2" xfId="15860" xr:uid="{00000000-0005-0000-0000-000007130000}"/>
    <cellStyle name="Millares 3 3 3 2 4 2 2" xfId="35575" xr:uid="{00000000-0005-0000-0000-000008130000}"/>
    <cellStyle name="Millares 3 3 3 2 4 3" xfId="25718" xr:uid="{00000000-0005-0000-0000-000009130000}"/>
    <cellStyle name="Millares 3 3 3 2 5" xfId="10932" xr:uid="{00000000-0005-0000-0000-00000A130000}"/>
    <cellStyle name="Millares 3 3 3 2 5 2" xfId="30647" xr:uid="{00000000-0005-0000-0000-00000B130000}"/>
    <cellStyle name="Millares 3 3 3 2 6" xfId="20790" xr:uid="{00000000-0005-0000-0000-00000C130000}"/>
    <cellStyle name="Millares 3 3 3 3" xfId="1681" xr:uid="{00000000-0005-0000-0000-00000D130000}"/>
    <cellStyle name="Millares 3 3 3 3 2" xfId="4148" xr:uid="{00000000-0005-0000-0000-00000E130000}"/>
    <cellStyle name="Millares 3 3 3 3 2 2" xfId="9080" xr:uid="{00000000-0005-0000-0000-00000F130000}"/>
    <cellStyle name="Millares 3 3 3 3 2 2 2" xfId="18940" xr:uid="{00000000-0005-0000-0000-000010130000}"/>
    <cellStyle name="Millares 3 3 3 3 2 2 2 2" xfId="38655" xr:uid="{00000000-0005-0000-0000-000011130000}"/>
    <cellStyle name="Millares 3 3 3 3 2 2 3" xfId="28798" xr:uid="{00000000-0005-0000-0000-000012130000}"/>
    <cellStyle name="Millares 3 3 3 3 2 3" xfId="14012" xr:uid="{00000000-0005-0000-0000-000013130000}"/>
    <cellStyle name="Millares 3 3 3 3 2 3 2" xfId="33727" xr:uid="{00000000-0005-0000-0000-000014130000}"/>
    <cellStyle name="Millares 3 3 3 3 2 4" xfId="23870" xr:uid="{00000000-0005-0000-0000-000015130000}"/>
    <cellStyle name="Millares 3 3 3 3 3" xfId="6616" xr:uid="{00000000-0005-0000-0000-000016130000}"/>
    <cellStyle name="Millares 3 3 3 3 3 2" xfId="16476" xr:uid="{00000000-0005-0000-0000-000017130000}"/>
    <cellStyle name="Millares 3 3 3 3 3 2 2" xfId="36191" xr:uid="{00000000-0005-0000-0000-000018130000}"/>
    <cellStyle name="Millares 3 3 3 3 3 3" xfId="26334" xr:uid="{00000000-0005-0000-0000-000019130000}"/>
    <cellStyle name="Millares 3 3 3 3 4" xfId="11548" xr:uid="{00000000-0005-0000-0000-00001A130000}"/>
    <cellStyle name="Millares 3 3 3 3 4 2" xfId="31263" xr:uid="{00000000-0005-0000-0000-00001B130000}"/>
    <cellStyle name="Millares 3 3 3 3 5" xfId="21406" xr:uid="{00000000-0005-0000-0000-00001C130000}"/>
    <cellStyle name="Millares 3 3 3 4" xfId="2916" xr:uid="{00000000-0005-0000-0000-00001D130000}"/>
    <cellStyle name="Millares 3 3 3 4 2" xfId="7848" xr:uid="{00000000-0005-0000-0000-00001E130000}"/>
    <cellStyle name="Millares 3 3 3 4 2 2" xfId="17708" xr:uid="{00000000-0005-0000-0000-00001F130000}"/>
    <cellStyle name="Millares 3 3 3 4 2 2 2" xfId="37423" xr:uid="{00000000-0005-0000-0000-000020130000}"/>
    <cellStyle name="Millares 3 3 3 4 2 3" xfId="27566" xr:uid="{00000000-0005-0000-0000-000021130000}"/>
    <cellStyle name="Millares 3 3 3 4 3" xfId="12780" xr:uid="{00000000-0005-0000-0000-000022130000}"/>
    <cellStyle name="Millares 3 3 3 4 3 2" xfId="32495" xr:uid="{00000000-0005-0000-0000-000023130000}"/>
    <cellStyle name="Millares 3 3 3 4 4" xfId="22638" xr:uid="{00000000-0005-0000-0000-000024130000}"/>
    <cellStyle name="Millares 3 3 3 5" xfId="5384" xr:uid="{00000000-0005-0000-0000-000025130000}"/>
    <cellStyle name="Millares 3 3 3 5 2" xfId="15244" xr:uid="{00000000-0005-0000-0000-000026130000}"/>
    <cellStyle name="Millares 3 3 3 5 2 2" xfId="34959" xr:uid="{00000000-0005-0000-0000-000027130000}"/>
    <cellStyle name="Millares 3 3 3 5 3" xfId="25102" xr:uid="{00000000-0005-0000-0000-000028130000}"/>
    <cellStyle name="Millares 3 3 3 6" xfId="10316" xr:uid="{00000000-0005-0000-0000-000029130000}"/>
    <cellStyle name="Millares 3 3 3 6 2" xfId="30031" xr:uid="{00000000-0005-0000-0000-00002A130000}"/>
    <cellStyle name="Millares 3 3 3 7" xfId="20174" xr:uid="{00000000-0005-0000-0000-00002B130000}"/>
    <cellStyle name="Millares 3 3 4" xfId="755" xr:uid="{00000000-0005-0000-0000-00002C130000}"/>
    <cellStyle name="Millares 3 3 4 2" xfId="1991" xr:uid="{00000000-0005-0000-0000-00002D130000}"/>
    <cellStyle name="Millares 3 3 4 2 2" xfId="4458" xr:uid="{00000000-0005-0000-0000-00002E130000}"/>
    <cellStyle name="Millares 3 3 4 2 2 2" xfId="9390" xr:uid="{00000000-0005-0000-0000-00002F130000}"/>
    <cellStyle name="Millares 3 3 4 2 2 2 2" xfId="19250" xr:uid="{00000000-0005-0000-0000-000030130000}"/>
    <cellStyle name="Millares 3 3 4 2 2 2 2 2" xfId="38965" xr:uid="{00000000-0005-0000-0000-000031130000}"/>
    <cellStyle name="Millares 3 3 4 2 2 2 3" xfId="29108" xr:uid="{00000000-0005-0000-0000-000032130000}"/>
    <cellStyle name="Millares 3 3 4 2 2 3" xfId="14322" xr:uid="{00000000-0005-0000-0000-000033130000}"/>
    <cellStyle name="Millares 3 3 4 2 2 3 2" xfId="34037" xr:uid="{00000000-0005-0000-0000-000034130000}"/>
    <cellStyle name="Millares 3 3 4 2 2 4" xfId="24180" xr:uid="{00000000-0005-0000-0000-000035130000}"/>
    <cellStyle name="Millares 3 3 4 2 3" xfId="6926" xr:uid="{00000000-0005-0000-0000-000036130000}"/>
    <cellStyle name="Millares 3 3 4 2 3 2" xfId="16786" xr:uid="{00000000-0005-0000-0000-000037130000}"/>
    <cellStyle name="Millares 3 3 4 2 3 2 2" xfId="36501" xr:uid="{00000000-0005-0000-0000-000038130000}"/>
    <cellStyle name="Millares 3 3 4 2 3 3" xfId="26644" xr:uid="{00000000-0005-0000-0000-000039130000}"/>
    <cellStyle name="Millares 3 3 4 2 4" xfId="11858" xr:uid="{00000000-0005-0000-0000-00003A130000}"/>
    <cellStyle name="Millares 3 3 4 2 4 2" xfId="31573" xr:uid="{00000000-0005-0000-0000-00003B130000}"/>
    <cellStyle name="Millares 3 3 4 2 5" xfId="21716" xr:uid="{00000000-0005-0000-0000-00003C130000}"/>
    <cellStyle name="Millares 3 3 4 3" xfId="3226" xr:uid="{00000000-0005-0000-0000-00003D130000}"/>
    <cellStyle name="Millares 3 3 4 3 2" xfId="8158" xr:uid="{00000000-0005-0000-0000-00003E130000}"/>
    <cellStyle name="Millares 3 3 4 3 2 2" xfId="18018" xr:uid="{00000000-0005-0000-0000-00003F130000}"/>
    <cellStyle name="Millares 3 3 4 3 2 2 2" xfId="37733" xr:uid="{00000000-0005-0000-0000-000040130000}"/>
    <cellStyle name="Millares 3 3 4 3 2 3" xfId="27876" xr:uid="{00000000-0005-0000-0000-000041130000}"/>
    <cellStyle name="Millares 3 3 4 3 3" xfId="13090" xr:uid="{00000000-0005-0000-0000-000042130000}"/>
    <cellStyle name="Millares 3 3 4 3 3 2" xfId="32805" xr:uid="{00000000-0005-0000-0000-000043130000}"/>
    <cellStyle name="Millares 3 3 4 3 4" xfId="22948" xr:uid="{00000000-0005-0000-0000-000044130000}"/>
    <cellStyle name="Millares 3 3 4 4" xfId="5694" xr:uid="{00000000-0005-0000-0000-000045130000}"/>
    <cellStyle name="Millares 3 3 4 4 2" xfId="15554" xr:uid="{00000000-0005-0000-0000-000046130000}"/>
    <cellStyle name="Millares 3 3 4 4 2 2" xfId="35269" xr:uid="{00000000-0005-0000-0000-000047130000}"/>
    <cellStyle name="Millares 3 3 4 4 3" xfId="25412" xr:uid="{00000000-0005-0000-0000-000048130000}"/>
    <cellStyle name="Millares 3 3 4 5" xfId="10626" xr:uid="{00000000-0005-0000-0000-000049130000}"/>
    <cellStyle name="Millares 3 3 4 5 2" xfId="30341" xr:uid="{00000000-0005-0000-0000-00004A130000}"/>
    <cellStyle name="Millares 3 3 4 6" xfId="20484" xr:uid="{00000000-0005-0000-0000-00004B130000}"/>
    <cellStyle name="Millares 3 3 5" xfId="1375" xr:uid="{00000000-0005-0000-0000-00004C130000}"/>
    <cellStyle name="Millares 3 3 5 2" xfId="3842" xr:uid="{00000000-0005-0000-0000-00004D130000}"/>
    <cellStyle name="Millares 3 3 5 2 2" xfId="8774" xr:uid="{00000000-0005-0000-0000-00004E130000}"/>
    <cellStyle name="Millares 3 3 5 2 2 2" xfId="18634" xr:uid="{00000000-0005-0000-0000-00004F130000}"/>
    <cellStyle name="Millares 3 3 5 2 2 2 2" xfId="38349" xr:uid="{00000000-0005-0000-0000-000050130000}"/>
    <cellStyle name="Millares 3 3 5 2 2 3" xfId="28492" xr:uid="{00000000-0005-0000-0000-000051130000}"/>
    <cellStyle name="Millares 3 3 5 2 3" xfId="13706" xr:uid="{00000000-0005-0000-0000-000052130000}"/>
    <cellStyle name="Millares 3 3 5 2 3 2" xfId="33421" xr:uid="{00000000-0005-0000-0000-000053130000}"/>
    <cellStyle name="Millares 3 3 5 2 4" xfId="23564" xr:uid="{00000000-0005-0000-0000-000054130000}"/>
    <cellStyle name="Millares 3 3 5 3" xfId="6310" xr:uid="{00000000-0005-0000-0000-000055130000}"/>
    <cellStyle name="Millares 3 3 5 3 2" xfId="16170" xr:uid="{00000000-0005-0000-0000-000056130000}"/>
    <cellStyle name="Millares 3 3 5 3 2 2" xfId="35885" xr:uid="{00000000-0005-0000-0000-000057130000}"/>
    <cellStyle name="Millares 3 3 5 3 3" xfId="26028" xr:uid="{00000000-0005-0000-0000-000058130000}"/>
    <cellStyle name="Millares 3 3 5 4" xfId="11242" xr:uid="{00000000-0005-0000-0000-000059130000}"/>
    <cellStyle name="Millares 3 3 5 4 2" xfId="30957" xr:uid="{00000000-0005-0000-0000-00005A130000}"/>
    <cellStyle name="Millares 3 3 5 5" xfId="21100" xr:uid="{00000000-0005-0000-0000-00005B130000}"/>
    <cellStyle name="Millares 3 3 6" xfId="2610" xr:uid="{00000000-0005-0000-0000-00005C130000}"/>
    <cellStyle name="Millares 3 3 6 2" xfId="7542" xr:uid="{00000000-0005-0000-0000-00005D130000}"/>
    <cellStyle name="Millares 3 3 6 2 2" xfId="17402" xr:uid="{00000000-0005-0000-0000-00005E130000}"/>
    <cellStyle name="Millares 3 3 6 2 2 2" xfId="37117" xr:uid="{00000000-0005-0000-0000-00005F130000}"/>
    <cellStyle name="Millares 3 3 6 2 3" xfId="27260" xr:uid="{00000000-0005-0000-0000-000060130000}"/>
    <cellStyle name="Millares 3 3 6 3" xfId="12474" xr:uid="{00000000-0005-0000-0000-000061130000}"/>
    <cellStyle name="Millares 3 3 6 3 2" xfId="32189" xr:uid="{00000000-0005-0000-0000-000062130000}"/>
    <cellStyle name="Millares 3 3 6 4" xfId="22332" xr:uid="{00000000-0005-0000-0000-000063130000}"/>
    <cellStyle name="Millares 3 3 7" xfId="5078" xr:uid="{00000000-0005-0000-0000-000064130000}"/>
    <cellStyle name="Millares 3 3 7 2" xfId="14938" xr:uid="{00000000-0005-0000-0000-000065130000}"/>
    <cellStyle name="Millares 3 3 7 2 2" xfId="34653" xr:uid="{00000000-0005-0000-0000-000066130000}"/>
    <cellStyle name="Millares 3 3 7 3" xfId="24796" xr:uid="{00000000-0005-0000-0000-000067130000}"/>
    <cellStyle name="Millares 3 3 8" xfId="10010" xr:uid="{00000000-0005-0000-0000-000068130000}"/>
    <cellStyle name="Millares 3 3 8 2" xfId="29725" xr:uid="{00000000-0005-0000-0000-000069130000}"/>
    <cellStyle name="Millares 3 3 9" xfId="19868" xr:uid="{00000000-0005-0000-0000-00006A130000}"/>
    <cellStyle name="Millares 3 4" xfId="204" xr:uid="{00000000-0005-0000-0000-00006B130000}"/>
    <cellStyle name="Millares 3 4 2" xfId="518" xr:uid="{00000000-0005-0000-0000-00006C130000}"/>
    <cellStyle name="Millares 3 4 2 2" xfId="1138" xr:uid="{00000000-0005-0000-0000-00006D130000}"/>
    <cellStyle name="Millares 3 4 2 2 2" xfId="2373" xr:uid="{00000000-0005-0000-0000-00006E130000}"/>
    <cellStyle name="Millares 3 4 2 2 2 2" xfId="4840" xr:uid="{00000000-0005-0000-0000-00006F130000}"/>
    <cellStyle name="Millares 3 4 2 2 2 2 2" xfId="9772" xr:uid="{00000000-0005-0000-0000-000070130000}"/>
    <cellStyle name="Millares 3 4 2 2 2 2 2 2" xfId="19632" xr:uid="{00000000-0005-0000-0000-000071130000}"/>
    <cellStyle name="Millares 3 4 2 2 2 2 2 2 2" xfId="39347" xr:uid="{00000000-0005-0000-0000-000072130000}"/>
    <cellStyle name="Millares 3 4 2 2 2 2 2 3" xfId="29490" xr:uid="{00000000-0005-0000-0000-000073130000}"/>
    <cellStyle name="Millares 3 4 2 2 2 2 3" xfId="14704" xr:uid="{00000000-0005-0000-0000-000074130000}"/>
    <cellStyle name="Millares 3 4 2 2 2 2 3 2" xfId="34419" xr:uid="{00000000-0005-0000-0000-000075130000}"/>
    <cellStyle name="Millares 3 4 2 2 2 2 4" xfId="24562" xr:uid="{00000000-0005-0000-0000-000076130000}"/>
    <cellStyle name="Millares 3 4 2 2 2 3" xfId="7308" xr:uid="{00000000-0005-0000-0000-000077130000}"/>
    <cellStyle name="Millares 3 4 2 2 2 3 2" xfId="17168" xr:uid="{00000000-0005-0000-0000-000078130000}"/>
    <cellStyle name="Millares 3 4 2 2 2 3 2 2" xfId="36883" xr:uid="{00000000-0005-0000-0000-000079130000}"/>
    <cellStyle name="Millares 3 4 2 2 2 3 3" xfId="27026" xr:uid="{00000000-0005-0000-0000-00007A130000}"/>
    <cellStyle name="Millares 3 4 2 2 2 4" xfId="12240" xr:uid="{00000000-0005-0000-0000-00007B130000}"/>
    <cellStyle name="Millares 3 4 2 2 2 4 2" xfId="31955" xr:uid="{00000000-0005-0000-0000-00007C130000}"/>
    <cellStyle name="Millares 3 4 2 2 2 5" xfId="22098" xr:uid="{00000000-0005-0000-0000-00007D130000}"/>
    <cellStyle name="Millares 3 4 2 2 3" xfId="3608" xr:uid="{00000000-0005-0000-0000-00007E130000}"/>
    <cellStyle name="Millares 3 4 2 2 3 2" xfId="8540" xr:uid="{00000000-0005-0000-0000-00007F130000}"/>
    <cellStyle name="Millares 3 4 2 2 3 2 2" xfId="18400" xr:uid="{00000000-0005-0000-0000-000080130000}"/>
    <cellStyle name="Millares 3 4 2 2 3 2 2 2" xfId="38115" xr:uid="{00000000-0005-0000-0000-000081130000}"/>
    <cellStyle name="Millares 3 4 2 2 3 2 3" xfId="28258" xr:uid="{00000000-0005-0000-0000-000082130000}"/>
    <cellStyle name="Millares 3 4 2 2 3 3" xfId="13472" xr:uid="{00000000-0005-0000-0000-000083130000}"/>
    <cellStyle name="Millares 3 4 2 2 3 3 2" xfId="33187" xr:uid="{00000000-0005-0000-0000-000084130000}"/>
    <cellStyle name="Millares 3 4 2 2 3 4" xfId="23330" xr:uid="{00000000-0005-0000-0000-000085130000}"/>
    <cellStyle name="Millares 3 4 2 2 4" xfId="6076" xr:uid="{00000000-0005-0000-0000-000086130000}"/>
    <cellStyle name="Millares 3 4 2 2 4 2" xfId="15936" xr:uid="{00000000-0005-0000-0000-000087130000}"/>
    <cellStyle name="Millares 3 4 2 2 4 2 2" xfId="35651" xr:uid="{00000000-0005-0000-0000-000088130000}"/>
    <cellStyle name="Millares 3 4 2 2 4 3" xfId="25794" xr:uid="{00000000-0005-0000-0000-000089130000}"/>
    <cellStyle name="Millares 3 4 2 2 5" xfId="11008" xr:uid="{00000000-0005-0000-0000-00008A130000}"/>
    <cellStyle name="Millares 3 4 2 2 5 2" xfId="30723" xr:uid="{00000000-0005-0000-0000-00008B130000}"/>
    <cellStyle name="Millares 3 4 2 2 6" xfId="20866" xr:uid="{00000000-0005-0000-0000-00008C130000}"/>
    <cellStyle name="Millares 3 4 2 3" xfId="1757" xr:uid="{00000000-0005-0000-0000-00008D130000}"/>
    <cellStyle name="Millares 3 4 2 3 2" xfId="4224" xr:uid="{00000000-0005-0000-0000-00008E130000}"/>
    <cellStyle name="Millares 3 4 2 3 2 2" xfId="9156" xr:uid="{00000000-0005-0000-0000-00008F130000}"/>
    <cellStyle name="Millares 3 4 2 3 2 2 2" xfId="19016" xr:uid="{00000000-0005-0000-0000-000090130000}"/>
    <cellStyle name="Millares 3 4 2 3 2 2 2 2" xfId="38731" xr:uid="{00000000-0005-0000-0000-000091130000}"/>
    <cellStyle name="Millares 3 4 2 3 2 2 3" xfId="28874" xr:uid="{00000000-0005-0000-0000-000092130000}"/>
    <cellStyle name="Millares 3 4 2 3 2 3" xfId="14088" xr:uid="{00000000-0005-0000-0000-000093130000}"/>
    <cellStyle name="Millares 3 4 2 3 2 3 2" xfId="33803" xr:uid="{00000000-0005-0000-0000-000094130000}"/>
    <cellStyle name="Millares 3 4 2 3 2 4" xfId="23946" xr:uid="{00000000-0005-0000-0000-000095130000}"/>
    <cellStyle name="Millares 3 4 2 3 3" xfId="6692" xr:uid="{00000000-0005-0000-0000-000096130000}"/>
    <cellStyle name="Millares 3 4 2 3 3 2" xfId="16552" xr:uid="{00000000-0005-0000-0000-000097130000}"/>
    <cellStyle name="Millares 3 4 2 3 3 2 2" xfId="36267" xr:uid="{00000000-0005-0000-0000-000098130000}"/>
    <cellStyle name="Millares 3 4 2 3 3 3" xfId="26410" xr:uid="{00000000-0005-0000-0000-000099130000}"/>
    <cellStyle name="Millares 3 4 2 3 4" xfId="11624" xr:uid="{00000000-0005-0000-0000-00009A130000}"/>
    <cellStyle name="Millares 3 4 2 3 4 2" xfId="31339" xr:uid="{00000000-0005-0000-0000-00009B130000}"/>
    <cellStyle name="Millares 3 4 2 3 5" xfId="21482" xr:uid="{00000000-0005-0000-0000-00009C130000}"/>
    <cellStyle name="Millares 3 4 2 4" xfId="2992" xr:uid="{00000000-0005-0000-0000-00009D130000}"/>
    <cellStyle name="Millares 3 4 2 4 2" xfId="7924" xr:uid="{00000000-0005-0000-0000-00009E130000}"/>
    <cellStyle name="Millares 3 4 2 4 2 2" xfId="17784" xr:uid="{00000000-0005-0000-0000-00009F130000}"/>
    <cellStyle name="Millares 3 4 2 4 2 2 2" xfId="37499" xr:uid="{00000000-0005-0000-0000-0000A0130000}"/>
    <cellStyle name="Millares 3 4 2 4 2 3" xfId="27642" xr:uid="{00000000-0005-0000-0000-0000A1130000}"/>
    <cellStyle name="Millares 3 4 2 4 3" xfId="12856" xr:uid="{00000000-0005-0000-0000-0000A2130000}"/>
    <cellStyle name="Millares 3 4 2 4 3 2" xfId="32571" xr:uid="{00000000-0005-0000-0000-0000A3130000}"/>
    <cellStyle name="Millares 3 4 2 4 4" xfId="22714" xr:uid="{00000000-0005-0000-0000-0000A4130000}"/>
    <cellStyle name="Millares 3 4 2 5" xfId="5460" xr:uid="{00000000-0005-0000-0000-0000A5130000}"/>
    <cellStyle name="Millares 3 4 2 5 2" xfId="15320" xr:uid="{00000000-0005-0000-0000-0000A6130000}"/>
    <cellStyle name="Millares 3 4 2 5 2 2" xfId="35035" xr:uid="{00000000-0005-0000-0000-0000A7130000}"/>
    <cellStyle name="Millares 3 4 2 5 3" xfId="25178" xr:uid="{00000000-0005-0000-0000-0000A8130000}"/>
    <cellStyle name="Millares 3 4 2 6" xfId="10392" xr:uid="{00000000-0005-0000-0000-0000A9130000}"/>
    <cellStyle name="Millares 3 4 2 6 2" xfId="30107" xr:uid="{00000000-0005-0000-0000-0000AA130000}"/>
    <cellStyle name="Millares 3 4 2 7" xfId="20250" xr:uid="{00000000-0005-0000-0000-0000AB130000}"/>
    <cellStyle name="Millares 3 4 3" xfId="831" xr:uid="{00000000-0005-0000-0000-0000AC130000}"/>
    <cellStyle name="Millares 3 4 3 2" xfId="2067" xr:uid="{00000000-0005-0000-0000-0000AD130000}"/>
    <cellStyle name="Millares 3 4 3 2 2" xfId="4534" xr:uid="{00000000-0005-0000-0000-0000AE130000}"/>
    <cellStyle name="Millares 3 4 3 2 2 2" xfId="9466" xr:uid="{00000000-0005-0000-0000-0000AF130000}"/>
    <cellStyle name="Millares 3 4 3 2 2 2 2" xfId="19326" xr:uid="{00000000-0005-0000-0000-0000B0130000}"/>
    <cellStyle name="Millares 3 4 3 2 2 2 2 2" xfId="39041" xr:uid="{00000000-0005-0000-0000-0000B1130000}"/>
    <cellStyle name="Millares 3 4 3 2 2 2 3" xfId="29184" xr:uid="{00000000-0005-0000-0000-0000B2130000}"/>
    <cellStyle name="Millares 3 4 3 2 2 3" xfId="14398" xr:uid="{00000000-0005-0000-0000-0000B3130000}"/>
    <cellStyle name="Millares 3 4 3 2 2 3 2" xfId="34113" xr:uid="{00000000-0005-0000-0000-0000B4130000}"/>
    <cellStyle name="Millares 3 4 3 2 2 4" xfId="24256" xr:uid="{00000000-0005-0000-0000-0000B5130000}"/>
    <cellStyle name="Millares 3 4 3 2 3" xfId="7002" xr:uid="{00000000-0005-0000-0000-0000B6130000}"/>
    <cellStyle name="Millares 3 4 3 2 3 2" xfId="16862" xr:uid="{00000000-0005-0000-0000-0000B7130000}"/>
    <cellStyle name="Millares 3 4 3 2 3 2 2" xfId="36577" xr:uid="{00000000-0005-0000-0000-0000B8130000}"/>
    <cellStyle name="Millares 3 4 3 2 3 3" xfId="26720" xr:uid="{00000000-0005-0000-0000-0000B9130000}"/>
    <cellStyle name="Millares 3 4 3 2 4" xfId="11934" xr:uid="{00000000-0005-0000-0000-0000BA130000}"/>
    <cellStyle name="Millares 3 4 3 2 4 2" xfId="31649" xr:uid="{00000000-0005-0000-0000-0000BB130000}"/>
    <cellStyle name="Millares 3 4 3 2 5" xfId="21792" xr:uid="{00000000-0005-0000-0000-0000BC130000}"/>
    <cellStyle name="Millares 3 4 3 3" xfId="3302" xr:uid="{00000000-0005-0000-0000-0000BD130000}"/>
    <cellStyle name="Millares 3 4 3 3 2" xfId="8234" xr:uid="{00000000-0005-0000-0000-0000BE130000}"/>
    <cellStyle name="Millares 3 4 3 3 2 2" xfId="18094" xr:uid="{00000000-0005-0000-0000-0000BF130000}"/>
    <cellStyle name="Millares 3 4 3 3 2 2 2" xfId="37809" xr:uid="{00000000-0005-0000-0000-0000C0130000}"/>
    <cellStyle name="Millares 3 4 3 3 2 3" xfId="27952" xr:uid="{00000000-0005-0000-0000-0000C1130000}"/>
    <cellStyle name="Millares 3 4 3 3 3" xfId="13166" xr:uid="{00000000-0005-0000-0000-0000C2130000}"/>
    <cellStyle name="Millares 3 4 3 3 3 2" xfId="32881" xr:uid="{00000000-0005-0000-0000-0000C3130000}"/>
    <cellStyle name="Millares 3 4 3 3 4" xfId="23024" xr:uid="{00000000-0005-0000-0000-0000C4130000}"/>
    <cellStyle name="Millares 3 4 3 4" xfId="5770" xr:uid="{00000000-0005-0000-0000-0000C5130000}"/>
    <cellStyle name="Millares 3 4 3 4 2" xfId="15630" xr:uid="{00000000-0005-0000-0000-0000C6130000}"/>
    <cellStyle name="Millares 3 4 3 4 2 2" xfId="35345" xr:uid="{00000000-0005-0000-0000-0000C7130000}"/>
    <cellStyle name="Millares 3 4 3 4 3" xfId="25488" xr:uid="{00000000-0005-0000-0000-0000C8130000}"/>
    <cellStyle name="Millares 3 4 3 5" xfId="10702" xr:uid="{00000000-0005-0000-0000-0000C9130000}"/>
    <cellStyle name="Millares 3 4 3 5 2" xfId="30417" xr:uid="{00000000-0005-0000-0000-0000CA130000}"/>
    <cellStyle name="Millares 3 4 3 6" xfId="20560" xr:uid="{00000000-0005-0000-0000-0000CB130000}"/>
    <cellStyle name="Millares 3 4 4" xfId="1451" xr:uid="{00000000-0005-0000-0000-0000CC130000}"/>
    <cellStyle name="Millares 3 4 4 2" xfId="3918" xr:uid="{00000000-0005-0000-0000-0000CD130000}"/>
    <cellStyle name="Millares 3 4 4 2 2" xfId="8850" xr:uid="{00000000-0005-0000-0000-0000CE130000}"/>
    <cellStyle name="Millares 3 4 4 2 2 2" xfId="18710" xr:uid="{00000000-0005-0000-0000-0000CF130000}"/>
    <cellStyle name="Millares 3 4 4 2 2 2 2" xfId="38425" xr:uid="{00000000-0005-0000-0000-0000D0130000}"/>
    <cellStyle name="Millares 3 4 4 2 2 3" xfId="28568" xr:uid="{00000000-0005-0000-0000-0000D1130000}"/>
    <cellStyle name="Millares 3 4 4 2 3" xfId="13782" xr:uid="{00000000-0005-0000-0000-0000D2130000}"/>
    <cellStyle name="Millares 3 4 4 2 3 2" xfId="33497" xr:uid="{00000000-0005-0000-0000-0000D3130000}"/>
    <cellStyle name="Millares 3 4 4 2 4" xfId="23640" xr:uid="{00000000-0005-0000-0000-0000D4130000}"/>
    <cellStyle name="Millares 3 4 4 3" xfId="6386" xr:uid="{00000000-0005-0000-0000-0000D5130000}"/>
    <cellStyle name="Millares 3 4 4 3 2" xfId="16246" xr:uid="{00000000-0005-0000-0000-0000D6130000}"/>
    <cellStyle name="Millares 3 4 4 3 2 2" xfId="35961" xr:uid="{00000000-0005-0000-0000-0000D7130000}"/>
    <cellStyle name="Millares 3 4 4 3 3" xfId="26104" xr:uid="{00000000-0005-0000-0000-0000D8130000}"/>
    <cellStyle name="Millares 3 4 4 4" xfId="11318" xr:uid="{00000000-0005-0000-0000-0000D9130000}"/>
    <cellStyle name="Millares 3 4 4 4 2" xfId="31033" xr:uid="{00000000-0005-0000-0000-0000DA130000}"/>
    <cellStyle name="Millares 3 4 4 5" xfId="21176" xr:uid="{00000000-0005-0000-0000-0000DB130000}"/>
    <cellStyle name="Millares 3 4 5" xfId="2686" xr:uid="{00000000-0005-0000-0000-0000DC130000}"/>
    <cellStyle name="Millares 3 4 5 2" xfId="7618" xr:uid="{00000000-0005-0000-0000-0000DD130000}"/>
    <cellStyle name="Millares 3 4 5 2 2" xfId="17478" xr:uid="{00000000-0005-0000-0000-0000DE130000}"/>
    <cellStyle name="Millares 3 4 5 2 2 2" xfId="37193" xr:uid="{00000000-0005-0000-0000-0000DF130000}"/>
    <cellStyle name="Millares 3 4 5 2 3" xfId="27336" xr:uid="{00000000-0005-0000-0000-0000E0130000}"/>
    <cellStyle name="Millares 3 4 5 3" xfId="12550" xr:uid="{00000000-0005-0000-0000-0000E1130000}"/>
    <cellStyle name="Millares 3 4 5 3 2" xfId="32265" xr:uid="{00000000-0005-0000-0000-0000E2130000}"/>
    <cellStyle name="Millares 3 4 5 4" xfId="22408" xr:uid="{00000000-0005-0000-0000-0000E3130000}"/>
    <cellStyle name="Millares 3 4 6" xfId="5154" xr:uid="{00000000-0005-0000-0000-0000E4130000}"/>
    <cellStyle name="Millares 3 4 6 2" xfId="15014" xr:uid="{00000000-0005-0000-0000-0000E5130000}"/>
    <cellStyle name="Millares 3 4 6 2 2" xfId="34729" xr:uid="{00000000-0005-0000-0000-0000E6130000}"/>
    <cellStyle name="Millares 3 4 6 3" xfId="24872" xr:uid="{00000000-0005-0000-0000-0000E7130000}"/>
    <cellStyle name="Millares 3 4 7" xfId="10086" xr:uid="{00000000-0005-0000-0000-0000E8130000}"/>
    <cellStyle name="Millares 3 4 7 2" xfId="29801" xr:uid="{00000000-0005-0000-0000-0000E9130000}"/>
    <cellStyle name="Millares 3 4 8" xfId="19944" xr:uid="{00000000-0005-0000-0000-0000EA130000}"/>
    <cellStyle name="Millares 3 5" xfId="366" xr:uid="{00000000-0005-0000-0000-0000EB130000}"/>
    <cellStyle name="Millares 3 5 2" xfId="986" xr:uid="{00000000-0005-0000-0000-0000EC130000}"/>
    <cellStyle name="Millares 3 5 2 2" xfId="2221" xr:uid="{00000000-0005-0000-0000-0000ED130000}"/>
    <cellStyle name="Millares 3 5 2 2 2" xfId="4688" xr:uid="{00000000-0005-0000-0000-0000EE130000}"/>
    <cellStyle name="Millares 3 5 2 2 2 2" xfId="9620" xr:uid="{00000000-0005-0000-0000-0000EF130000}"/>
    <cellStyle name="Millares 3 5 2 2 2 2 2" xfId="19480" xr:uid="{00000000-0005-0000-0000-0000F0130000}"/>
    <cellStyle name="Millares 3 5 2 2 2 2 2 2" xfId="39195" xr:uid="{00000000-0005-0000-0000-0000F1130000}"/>
    <cellStyle name="Millares 3 5 2 2 2 2 3" xfId="29338" xr:uid="{00000000-0005-0000-0000-0000F2130000}"/>
    <cellStyle name="Millares 3 5 2 2 2 3" xfId="14552" xr:uid="{00000000-0005-0000-0000-0000F3130000}"/>
    <cellStyle name="Millares 3 5 2 2 2 3 2" xfId="34267" xr:uid="{00000000-0005-0000-0000-0000F4130000}"/>
    <cellStyle name="Millares 3 5 2 2 2 4" xfId="24410" xr:uid="{00000000-0005-0000-0000-0000F5130000}"/>
    <cellStyle name="Millares 3 5 2 2 3" xfId="7156" xr:uid="{00000000-0005-0000-0000-0000F6130000}"/>
    <cellStyle name="Millares 3 5 2 2 3 2" xfId="17016" xr:uid="{00000000-0005-0000-0000-0000F7130000}"/>
    <cellStyle name="Millares 3 5 2 2 3 2 2" xfId="36731" xr:uid="{00000000-0005-0000-0000-0000F8130000}"/>
    <cellStyle name="Millares 3 5 2 2 3 3" xfId="26874" xr:uid="{00000000-0005-0000-0000-0000F9130000}"/>
    <cellStyle name="Millares 3 5 2 2 4" xfId="12088" xr:uid="{00000000-0005-0000-0000-0000FA130000}"/>
    <cellStyle name="Millares 3 5 2 2 4 2" xfId="31803" xr:uid="{00000000-0005-0000-0000-0000FB130000}"/>
    <cellStyle name="Millares 3 5 2 2 5" xfId="21946" xr:uid="{00000000-0005-0000-0000-0000FC130000}"/>
    <cellStyle name="Millares 3 5 2 3" xfId="3456" xr:uid="{00000000-0005-0000-0000-0000FD130000}"/>
    <cellStyle name="Millares 3 5 2 3 2" xfId="8388" xr:uid="{00000000-0005-0000-0000-0000FE130000}"/>
    <cellStyle name="Millares 3 5 2 3 2 2" xfId="18248" xr:uid="{00000000-0005-0000-0000-0000FF130000}"/>
    <cellStyle name="Millares 3 5 2 3 2 2 2" xfId="37963" xr:uid="{00000000-0005-0000-0000-000000140000}"/>
    <cellStyle name="Millares 3 5 2 3 2 3" xfId="28106" xr:uid="{00000000-0005-0000-0000-000001140000}"/>
    <cellStyle name="Millares 3 5 2 3 3" xfId="13320" xr:uid="{00000000-0005-0000-0000-000002140000}"/>
    <cellStyle name="Millares 3 5 2 3 3 2" xfId="33035" xr:uid="{00000000-0005-0000-0000-000003140000}"/>
    <cellStyle name="Millares 3 5 2 3 4" xfId="23178" xr:uid="{00000000-0005-0000-0000-000004140000}"/>
    <cellStyle name="Millares 3 5 2 4" xfId="5924" xr:uid="{00000000-0005-0000-0000-000005140000}"/>
    <cellStyle name="Millares 3 5 2 4 2" xfId="15784" xr:uid="{00000000-0005-0000-0000-000006140000}"/>
    <cellStyle name="Millares 3 5 2 4 2 2" xfId="35499" xr:uid="{00000000-0005-0000-0000-000007140000}"/>
    <cellStyle name="Millares 3 5 2 4 3" xfId="25642" xr:uid="{00000000-0005-0000-0000-000008140000}"/>
    <cellStyle name="Millares 3 5 2 5" xfId="10856" xr:uid="{00000000-0005-0000-0000-000009140000}"/>
    <cellStyle name="Millares 3 5 2 5 2" xfId="30571" xr:uid="{00000000-0005-0000-0000-00000A140000}"/>
    <cellStyle name="Millares 3 5 2 6" xfId="20714" xr:uid="{00000000-0005-0000-0000-00000B140000}"/>
    <cellStyle name="Millares 3 5 3" xfId="1605" xr:uid="{00000000-0005-0000-0000-00000C140000}"/>
    <cellStyle name="Millares 3 5 3 2" xfId="4072" xr:uid="{00000000-0005-0000-0000-00000D140000}"/>
    <cellStyle name="Millares 3 5 3 2 2" xfId="9004" xr:uid="{00000000-0005-0000-0000-00000E140000}"/>
    <cellStyle name="Millares 3 5 3 2 2 2" xfId="18864" xr:uid="{00000000-0005-0000-0000-00000F140000}"/>
    <cellStyle name="Millares 3 5 3 2 2 2 2" xfId="38579" xr:uid="{00000000-0005-0000-0000-000010140000}"/>
    <cellStyle name="Millares 3 5 3 2 2 3" xfId="28722" xr:uid="{00000000-0005-0000-0000-000011140000}"/>
    <cellStyle name="Millares 3 5 3 2 3" xfId="13936" xr:uid="{00000000-0005-0000-0000-000012140000}"/>
    <cellStyle name="Millares 3 5 3 2 3 2" xfId="33651" xr:uid="{00000000-0005-0000-0000-000013140000}"/>
    <cellStyle name="Millares 3 5 3 2 4" xfId="23794" xr:uid="{00000000-0005-0000-0000-000014140000}"/>
    <cellStyle name="Millares 3 5 3 3" xfId="6540" xr:uid="{00000000-0005-0000-0000-000015140000}"/>
    <cellStyle name="Millares 3 5 3 3 2" xfId="16400" xr:uid="{00000000-0005-0000-0000-000016140000}"/>
    <cellStyle name="Millares 3 5 3 3 2 2" xfId="36115" xr:uid="{00000000-0005-0000-0000-000017140000}"/>
    <cellStyle name="Millares 3 5 3 3 3" xfId="26258" xr:uid="{00000000-0005-0000-0000-000018140000}"/>
    <cellStyle name="Millares 3 5 3 4" xfId="11472" xr:uid="{00000000-0005-0000-0000-000019140000}"/>
    <cellStyle name="Millares 3 5 3 4 2" xfId="31187" xr:uid="{00000000-0005-0000-0000-00001A140000}"/>
    <cellStyle name="Millares 3 5 3 5" xfId="21330" xr:uid="{00000000-0005-0000-0000-00001B140000}"/>
    <cellStyle name="Millares 3 5 4" xfId="2840" xr:uid="{00000000-0005-0000-0000-00001C140000}"/>
    <cellStyle name="Millares 3 5 4 2" xfId="7772" xr:uid="{00000000-0005-0000-0000-00001D140000}"/>
    <cellStyle name="Millares 3 5 4 2 2" xfId="17632" xr:uid="{00000000-0005-0000-0000-00001E140000}"/>
    <cellStyle name="Millares 3 5 4 2 2 2" xfId="37347" xr:uid="{00000000-0005-0000-0000-00001F140000}"/>
    <cellStyle name="Millares 3 5 4 2 3" xfId="27490" xr:uid="{00000000-0005-0000-0000-000020140000}"/>
    <cellStyle name="Millares 3 5 4 3" xfId="12704" xr:uid="{00000000-0005-0000-0000-000021140000}"/>
    <cellStyle name="Millares 3 5 4 3 2" xfId="32419" xr:uid="{00000000-0005-0000-0000-000022140000}"/>
    <cellStyle name="Millares 3 5 4 4" xfId="22562" xr:uid="{00000000-0005-0000-0000-000023140000}"/>
    <cellStyle name="Millares 3 5 5" xfId="5308" xr:uid="{00000000-0005-0000-0000-000024140000}"/>
    <cellStyle name="Millares 3 5 5 2" xfId="15168" xr:uid="{00000000-0005-0000-0000-000025140000}"/>
    <cellStyle name="Millares 3 5 5 2 2" xfId="34883" xr:uid="{00000000-0005-0000-0000-000026140000}"/>
    <cellStyle name="Millares 3 5 5 3" xfId="25026" xr:uid="{00000000-0005-0000-0000-000027140000}"/>
    <cellStyle name="Millares 3 5 6" xfId="10240" xr:uid="{00000000-0005-0000-0000-000028140000}"/>
    <cellStyle name="Millares 3 5 6 2" xfId="29955" xr:uid="{00000000-0005-0000-0000-000029140000}"/>
    <cellStyle name="Millares 3 5 7" xfId="20098" xr:uid="{00000000-0005-0000-0000-00002A140000}"/>
    <cellStyle name="Millares 3 6" xfId="679" xr:uid="{00000000-0005-0000-0000-00002B140000}"/>
    <cellStyle name="Millares 3 6 2" xfId="1915" xr:uid="{00000000-0005-0000-0000-00002C140000}"/>
    <cellStyle name="Millares 3 6 2 2" xfId="4382" xr:uid="{00000000-0005-0000-0000-00002D140000}"/>
    <cellStyle name="Millares 3 6 2 2 2" xfId="9314" xr:uid="{00000000-0005-0000-0000-00002E140000}"/>
    <cellStyle name="Millares 3 6 2 2 2 2" xfId="19174" xr:uid="{00000000-0005-0000-0000-00002F140000}"/>
    <cellStyle name="Millares 3 6 2 2 2 2 2" xfId="38889" xr:uid="{00000000-0005-0000-0000-000030140000}"/>
    <cellStyle name="Millares 3 6 2 2 2 3" xfId="29032" xr:uid="{00000000-0005-0000-0000-000031140000}"/>
    <cellStyle name="Millares 3 6 2 2 3" xfId="14246" xr:uid="{00000000-0005-0000-0000-000032140000}"/>
    <cellStyle name="Millares 3 6 2 2 3 2" xfId="33961" xr:uid="{00000000-0005-0000-0000-000033140000}"/>
    <cellStyle name="Millares 3 6 2 2 4" xfId="24104" xr:uid="{00000000-0005-0000-0000-000034140000}"/>
    <cellStyle name="Millares 3 6 2 3" xfId="6850" xr:uid="{00000000-0005-0000-0000-000035140000}"/>
    <cellStyle name="Millares 3 6 2 3 2" xfId="16710" xr:uid="{00000000-0005-0000-0000-000036140000}"/>
    <cellStyle name="Millares 3 6 2 3 2 2" xfId="36425" xr:uid="{00000000-0005-0000-0000-000037140000}"/>
    <cellStyle name="Millares 3 6 2 3 3" xfId="26568" xr:uid="{00000000-0005-0000-0000-000038140000}"/>
    <cellStyle name="Millares 3 6 2 4" xfId="11782" xr:uid="{00000000-0005-0000-0000-000039140000}"/>
    <cellStyle name="Millares 3 6 2 4 2" xfId="31497" xr:uid="{00000000-0005-0000-0000-00003A140000}"/>
    <cellStyle name="Millares 3 6 2 5" xfId="21640" xr:uid="{00000000-0005-0000-0000-00003B140000}"/>
    <cellStyle name="Millares 3 6 3" xfId="3150" xr:uid="{00000000-0005-0000-0000-00003C140000}"/>
    <cellStyle name="Millares 3 6 3 2" xfId="8082" xr:uid="{00000000-0005-0000-0000-00003D140000}"/>
    <cellStyle name="Millares 3 6 3 2 2" xfId="17942" xr:uid="{00000000-0005-0000-0000-00003E140000}"/>
    <cellStyle name="Millares 3 6 3 2 2 2" xfId="37657" xr:uid="{00000000-0005-0000-0000-00003F140000}"/>
    <cellStyle name="Millares 3 6 3 2 3" xfId="27800" xr:uid="{00000000-0005-0000-0000-000040140000}"/>
    <cellStyle name="Millares 3 6 3 3" xfId="13014" xr:uid="{00000000-0005-0000-0000-000041140000}"/>
    <cellStyle name="Millares 3 6 3 3 2" xfId="32729" xr:uid="{00000000-0005-0000-0000-000042140000}"/>
    <cellStyle name="Millares 3 6 3 4" xfId="22872" xr:uid="{00000000-0005-0000-0000-000043140000}"/>
    <cellStyle name="Millares 3 6 4" xfId="5618" xr:uid="{00000000-0005-0000-0000-000044140000}"/>
    <cellStyle name="Millares 3 6 4 2" xfId="15478" xr:uid="{00000000-0005-0000-0000-000045140000}"/>
    <cellStyle name="Millares 3 6 4 2 2" xfId="35193" xr:uid="{00000000-0005-0000-0000-000046140000}"/>
    <cellStyle name="Millares 3 6 4 3" xfId="25336" xr:uid="{00000000-0005-0000-0000-000047140000}"/>
    <cellStyle name="Millares 3 6 5" xfId="10550" xr:uid="{00000000-0005-0000-0000-000048140000}"/>
    <cellStyle name="Millares 3 6 5 2" xfId="30265" xr:uid="{00000000-0005-0000-0000-000049140000}"/>
    <cellStyle name="Millares 3 6 6" xfId="20408" xr:uid="{00000000-0005-0000-0000-00004A140000}"/>
    <cellStyle name="Millares 3 7" xfId="1299" xr:uid="{00000000-0005-0000-0000-00004B140000}"/>
    <cellStyle name="Millares 3 7 2" xfId="3766" xr:uid="{00000000-0005-0000-0000-00004C140000}"/>
    <cellStyle name="Millares 3 7 2 2" xfId="8698" xr:uid="{00000000-0005-0000-0000-00004D140000}"/>
    <cellStyle name="Millares 3 7 2 2 2" xfId="18558" xr:uid="{00000000-0005-0000-0000-00004E140000}"/>
    <cellStyle name="Millares 3 7 2 2 2 2" xfId="38273" xr:uid="{00000000-0005-0000-0000-00004F140000}"/>
    <cellStyle name="Millares 3 7 2 2 3" xfId="28416" xr:uid="{00000000-0005-0000-0000-000050140000}"/>
    <cellStyle name="Millares 3 7 2 3" xfId="13630" xr:uid="{00000000-0005-0000-0000-000051140000}"/>
    <cellStyle name="Millares 3 7 2 3 2" xfId="33345" xr:uid="{00000000-0005-0000-0000-000052140000}"/>
    <cellStyle name="Millares 3 7 2 4" xfId="23488" xr:uid="{00000000-0005-0000-0000-000053140000}"/>
    <cellStyle name="Millares 3 7 3" xfId="6234" xr:uid="{00000000-0005-0000-0000-000054140000}"/>
    <cellStyle name="Millares 3 7 3 2" xfId="16094" xr:uid="{00000000-0005-0000-0000-000055140000}"/>
    <cellStyle name="Millares 3 7 3 2 2" xfId="35809" xr:uid="{00000000-0005-0000-0000-000056140000}"/>
    <cellStyle name="Millares 3 7 3 3" xfId="25952" xr:uid="{00000000-0005-0000-0000-000057140000}"/>
    <cellStyle name="Millares 3 7 4" xfId="11166" xr:uid="{00000000-0005-0000-0000-000058140000}"/>
    <cellStyle name="Millares 3 7 4 2" xfId="30881" xr:uid="{00000000-0005-0000-0000-000059140000}"/>
    <cellStyle name="Millares 3 7 5" xfId="21024" xr:uid="{00000000-0005-0000-0000-00005A140000}"/>
    <cellStyle name="Millares 3 8" xfId="2534" xr:uid="{00000000-0005-0000-0000-00005B140000}"/>
    <cellStyle name="Millares 3 8 2" xfId="7466" xr:uid="{00000000-0005-0000-0000-00005C140000}"/>
    <cellStyle name="Millares 3 8 2 2" xfId="17326" xr:uid="{00000000-0005-0000-0000-00005D140000}"/>
    <cellStyle name="Millares 3 8 2 2 2" xfId="37041" xr:uid="{00000000-0005-0000-0000-00005E140000}"/>
    <cellStyle name="Millares 3 8 2 3" xfId="27184" xr:uid="{00000000-0005-0000-0000-00005F140000}"/>
    <cellStyle name="Millares 3 8 3" xfId="12398" xr:uid="{00000000-0005-0000-0000-000060140000}"/>
    <cellStyle name="Millares 3 8 3 2" xfId="32113" xr:uid="{00000000-0005-0000-0000-000061140000}"/>
    <cellStyle name="Millares 3 8 4" xfId="22256" xr:uid="{00000000-0005-0000-0000-000062140000}"/>
    <cellStyle name="Millares 3 9" xfId="5002" xr:uid="{00000000-0005-0000-0000-000063140000}"/>
    <cellStyle name="Millares 3 9 2" xfId="14862" xr:uid="{00000000-0005-0000-0000-000064140000}"/>
    <cellStyle name="Millares 3 9 2 2" xfId="34577" xr:uid="{00000000-0005-0000-0000-000065140000}"/>
    <cellStyle name="Millares 3 9 3" xfId="24720" xr:uid="{00000000-0005-0000-0000-000066140000}"/>
    <cellStyle name="Millares 4" xfId="58" xr:uid="{00000000-0005-0000-0000-000067140000}"/>
    <cellStyle name="Millares 4 10" xfId="19811" xr:uid="{00000000-0005-0000-0000-000068140000}"/>
    <cellStyle name="Millares 4 2" xfId="142" xr:uid="{00000000-0005-0000-0000-000069140000}"/>
    <cellStyle name="Millares 4 2 2" xfId="299" xr:uid="{00000000-0005-0000-0000-00006A140000}"/>
    <cellStyle name="Millares 4 2 2 2" xfId="613" xr:uid="{00000000-0005-0000-0000-00006B140000}"/>
    <cellStyle name="Millares 4 2 2 2 2" xfId="1233" xr:uid="{00000000-0005-0000-0000-00006C140000}"/>
    <cellStyle name="Millares 4 2 2 2 2 2" xfId="2468" xr:uid="{00000000-0005-0000-0000-00006D140000}"/>
    <cellStyle name="Millares 4 2 2 2 2 2 2" xfId="4935" xr:uid="{00000000-0005-0000-0000-00006E140000}"/>
    <cellStyle name="Millares 4 2 2 2 2 2 2 2" xfId="9867" xr:uid="{00000000-0005-0000-0000-00006F140000}"/>
    <cellStyle name="Millares 4 2 2 2 2 2 2 2 2" xfId="19727" xr:uid="{00000000-0005-0000-0000-000070140000}"/>
    <cellStyle name="Millares 4 2 2 2 2 2 2 2 2 2" xfId="39442" xr:uid="{00000000-0005-0000-0000-000071140000}"/>
    <cellStyle name="Millares 4 2 2 2 2 2 2 2 3" xfId="29585" xr:uid="{00000000-0005-0000-0000-000072140000}"/>
    <cellStyle name="Millares 4 2 2 2 2 2 2 3" xfId="14799" xr:uid="{00000000-0005-0000-0000-000073140000}"/>
    <cellStyle name="Millares 4 2 2 2 2 2 2 3 2" xfId="34514" xr:uid="{00000000-0005-0000-0000-000074140000}"/>
    <cellStyle name="Millares 4 2 2 2 2 2 2 4" xfId="24657" xr:uid="{00000000-0005-0000-0000-000075140000}"/>
    <cellStyle name="Millares 4 2 2 2 2 2 3" xfId="7403" xr:uid="{00000000-0005-0000-0000-000076140000}"/>
    <cellStyle name="Millares 4 2 2 2 2 2 3 2" xfId="17263" xr:uid="{00000000-0005-0000-0000-000077140000}"/>
    <cellStyle name="Millares 4 2 2 2 2 2 3 2 2" xfId="36978" xr:uid="{00000000-0005-0000-0000-000078140000}"/>
    <cellStyle name="Millares 4 2 2 2 2 2 3 3" xfId="27121" xr:uid="{00000000-0005-0000-0000-000079140000}"/>
    <cellStyle name="Millares 4 2 2 2 2 2 4" xfId="12335" xr:uid="{00000000-0005-0000-0000-00007A140000}"/>
    <cellStyle name="Millares 4 2 2 2 2 2 4 2" xfId="32050" xr:uid="{00000000-0005-0000-0000-00007B140000}"/>
    <cellStyle name="Millares 4 2 2 2 2 2 5" xfId="22193" xr:uid="{00000000-0005-0000-0000-00007C140000}"/>
    <cellStyle name="Millares 4 2 2 2 2 3" xfId="3703" xr:uid="{00000000-0005-0000-0000-00007D140000}"/>
    <cellStyle name="Millares 4 2 2 2 2 3 2" xfId="8635" xr:uid="{00000000-0005-0000-0000-00007E140000}"/>
    <cellStyle name="Millares 4 2 2 2 2 3 2 2" xfId="18495" xr:uid="{00000000-0005-0000-0000-00007F140000}"/>
    <cellStyle name="Millares 4 2 2 2 2 3 2 2 2" xfId="38210" xr:uid="{00000000-0005-0000-0000-000080140000}"/>
    <cellStyle name="Millares 4 2 2 2 2 3 2 3" xfId="28353" xr:uid="{00000000-0005-0000-0000-000081140000}"/>
    <cellStyle name="Millares 4 2 2 2 2 3 3" xfId="13567" xr:uid="{00000000-0005-0000-0000-000082140000}"/>
    <cellStyle name="Millares 4 2 2 2 2 3 3 2" xfId="33282" xr:uid="{00000000-0005-0000-0000-000083140000}"/>
    <cellStyle name="Millares 4 2 2 2 2 3 4" xfId="23425" xr:uid="{00000000-0005-0000-0000-000084140000}"/>
    <cellStyle name="Millares 4 2 2 2 2 4" xfId="6171" xr:uid="{00000000-0005-0000-0000-000085140000}"/>
    <cellStyle name="Millares 4 2 2 2 2 4 2" xfId="16031" xr:uid="{00000000-0005-0000-0000-000086140000}"/>
    <cellStyle name="Millares 4 2 2 2 2 4 2 2" xfId="35746" xr:uid="{00000000-0005-0000-0000-000087140000}"/>
    <cellStyle name="Millares 4 2 2 2 2 4 3" xfId="25889" xr:uid="{00000000-0005-0000-0000-000088140000}"/>
    <cellStyle name="Millares 4 2 2 2 2 5" xfId="11103" xr:uid="{00000000-0005-0000-0000-000089140000}"/>
    <cellStyle name="Millares 4 2 2 2 2 5 2" xfId="30818" xr:uid="{00000000-0005-0000-0000-00008A140000}"/>
    <cellStyle name="Millares 4 2 2 2 2 6" xfId="20961" xr:uid="{00000000-0005-0000-0000-00008B140000}"/>
    <cellStyle name="Millares 4 2 2 2 3" xfId="1852" xr:uid="{00000000-0005-0000-0000-00008C140000}"/>
    <cellStyle name="Millares 4 2 2 2 3 2" xfId="4319" xr:uid="{00000000-0005-0000-0000-00008D140000}"/>
    <cellStyle name="Millares 4 2 2 2 3 2 2" xfId="9251" xr:uid="{00000000-0005-0000-0000-00008E140000}"/>
    <cellStyle name="Millares 4 2 2 2 3 2 2 2" xfId="19111" xr:uid="{00000000-0005-0000-0000-00008F140000}"/>
    <cellStyle name="Millares 4 2 2 2 3 2 2 2 2" xfId="38826" xr:uid="{00000000-0005-0000-0000-000090140000}"/>
    <cellStyle name="Millares 4 2 2 2 3 2 2 3" xfId="28969" xr:uid="{00000000-0005-0000-0000-000091140000}"/>
    <cellStyle name="Millares 4 2 2 2 3 2 3" xfId="14183" xr:uid="{00000000-0005-0000-0000-000092140000}"/>
    <cellStyle name="Millares 4 2 2 2 3 2 3 2" xfId="33898" xr:uid="{00000000-0005-0000-0000-000093140000}"/>
    <cellStyle name="Millares 4 2 2 2 3 2 4" xfId="24041" xr:uid="{00000000-0005-0000-0000-000094140000}"/>
    <cellStyle name="Millares 4 2 2 2 3 3" xfId="6787" xr:uid="{00000000-0005-0000-0000-000095140000}"/>
    <cellStyle name="Millares 4 2 2 2 3 3 2" xfId="16647" xr:uid="{00000000-0005-0000-0000-000096140000}"/>
    <cellStyle name="Millares 4 2 2 2 3 3 2 2" xfId="36362" xr:uid="{00000000-0005-0000-0000-000097140000}"/>
    <cellStyle name="Millares 4 2 2 2 3 3 3" xfId="26505" xr:uid="{00000000-0005-0000-0000-000098140000}"/>
    <cellStyle name="Millares 4 2 2 2 3 4" xfId="11719" xr:uid="{00000000-0005-0000-0000-000099140000}"/>
    <cellStyle name="Millares 4 2 2 2 3 4 2" xfId="31434" xr:uid="{00000000-0005-0000-0000-00009A140000}"/>
    <cellStyle name="Millares 4 2 2 2 3 5" xfId="21577" xr:uid="{00000000-0005-0000-0000-00009B140000}"/>
    <cellStyle name="Millares 4 2 2 2 4" xfId="3087" xr:uid="{00000000-0005-0000-0000-00009C140000}"/>
    <cellStyle name="Millares 4 2 2 2 4 2" xfId="8019" xr:uid="{00000000-0005-0000-0000-00009D140000}"/>
    <cellStyle name="Millares 4 2 2 2 4 2 2" xfId="17879" xr:uid="{00000000-0005-0000-0000-00009E140000}"/>
    <cellStyle name="Millares 4 2 2 2 4 2 2 2" xfId="37594" xr:uid="{00000000-0005-0000-0000-00009F140000}"/>
    <cellStyle name="Millares 4 2 2 2 4 2 3" xfId="27737" xr:uid="{00000000-0005-0000-0000-0000A0140000}"/>
    <cellStyle name="Millares 4 2 2 2 4 3" xfId="12951" xr:uid="{00000000-0005-0000-0000-0000A1140000}"/>
    <cellStyle name="Millares 4 2 2 2 4 3 2" xfId="32666" xr:uid="{00000000-0005-0000-0000-0000A2140000}"/>
    <cellStyle name="Millares 4 2 2 2 4 4" xfId="22809" xr:uid="{00000000-0005-0000-0000-0000A3140000}"/>
    <cellStyle name="Millares 4 2 2 2 5" xfId="5555" xr:uid="{00000000-0005-0000-0000-0000A4140000}"/>
    <cellStyle name="Millares 4 2 2 2 5 2" xfId="15415" xr:uid="{00000000-0005-0000-0000-0000A5140000}"/>
    <cellStyle name="Millares 4 2 2 2 5 2 2" xfId="35130" xr:uid="{00000000-0005-0000-0000-0000A6140000}"/>
    <cellStyle name="Millares 4 2 2 2 5 3" xfId="25273" xr:uid="{00000000-0005-0000-0000-0000A7140000}"/>
    <cellStyle name="Millares 4 2 2 2 6" xfId="10487" xr:uid="{00000000-0005-0000-0000-0000A8140000}"/>
    <cellStyle name="Millares 4 2 2 2 6 2" xfId="30202" xr:uid="{00000000-0005-0000-0000-0000A9140000}"/>
    <cellStyle name="Millares 4 2 2 2 7" xfId="20345" xr:uid="{00000000-0005-0000-0000-0000AA140000}"/>
    <cellStyle name="Millares 4 2 2 3" xfId="926" xr:uid="{00000000-0005-0000-0000-0000AB140000}"/>
    <cellStyle name="Millares 4 2 2 3 2" xfId="2162" xr:uid="{00000000-0005-0000-0000-0000AC140000}"/>
    <cellStyle name="Millares 4 2 2 3 2 2" xfId="4629" xr:uid="{00000000-0005-0000-0000-0000AD140000}"/>
    <cellStyle name="Millares 4 2 2 3 2 2 2" xfId="9561" xr:uid="{00000000-0005-0000-0000-0000AE140000}"/>
    <cellStyle name="Millares 4 2 2 3 2 2 2 2" xfId="19421" xr:uid="{00000000-0005-0000-0000-0000AF140000}"/>
    <cellStyle name="Millares 4 2 2 3 2 2 2 2 2" xfId="39136" xr:uid="{00000000-0005-0000-0000-0000B0140000}"/>
    <cellStyle name="Millares 4 2 2 3 2 2 2 3" xfId="29279" xr:uid="{00000000-0005-0000-0000-0000B1140000}"/>
    <cellStyle name="Millares 4 2 2 3 2 2 3" xfId="14493" xr:uid="{00000000-0005-0000-0000-0000B2140000}"/>
    <cellStyle name="Millares 4 2 2 3 2 2 3 2" xfId="34208" xr:uid="{00000000-0005-0000-0000-0000B3140000}"/>
    <cellStyle name="Millares 4 2 2 3 2 2 4" xfId="24351" xr:uid="{00000000-0005-0000-0000-0000B4140000}"/>
    <cellStyle name="Millares 4 2 2 3 2 3" xfId="7097" xr:uid="{00000000-0005-0000-0000-0000B5140000}"/>
    <cellStyle name="Millares 4 2 2 3 2 3 2" xfId="16957" xr:uid="{00000000-0005-0000-0000-0000B6140000}"/>
    <cellStyle name="Millares 4 2 2 3 2 3 2 2" xfId="36672" xr:uid="{00000000-0005-0000-0000-0000B7140000}"/>
    <cellStyle name="Millares 4 2 2 3 2 3 3" xfId="26815" xr:uid="{00000000-0005-0000-0000-0000B8140000}"/>
    <cellStyle name="Millares 4 2 2 3 2 4" xfId="12029" xr:uid="{00000000-0005-0000-0000-0000B9140000}"/>
    <cellStyle name="Millares 4 2 2 3 2 4 2" xfId="31744" xr:uid="{00000000-0005-0000-0000-0000BA140000}"/>
    <cellStyle name="Millares 4 2 2 3 2 5" xfId="21887" xr:uid="{00000000-0005-0000-0000-0000BB140000}"/>
    <cellStyle name="Millares 4 2 2 3 3" xfId="3397" xr:uid="{00000000-0005-0000-0000-0000BC140000}"/>
    <cellStyle name="Millares 4 2 2 3 3 2" xfId="8329" xr:uid="{00000000-0005-0000-0000-0000BD140000}"/>
    <cellStyle name="Millares 4 2 2 3 3 2 2" xfId="18189" xr:uid="{00000000-0005-0000-0000-0000BE140000}"/>
    <cellStyle name="Millares 4 2 2 3 3 2 2 2" xfId="37904" xr:uid="{00000000-0005-0000-0000-0000BF140000}"/>
    <cellStyle name="Millares 4 2 2 3 3 2 3" xfId="28047" xr:uid="{00000000-0005-0000-0000-0000C0140000}"/>
    <cellStyle name="Millares 4 2 2 3 3 3" xfId="13261" xr:uid="{00000000-0005-0000-0000-0000C1140000}"/>
    <cellStyle name="Millares 4 2 2 3 3 3 2" xfId="32976" xr:uid="{00000000-0005-0000-0000-0000C2140000}"/>
    <cellStyle name="Millares 4 2 2 3 3 4" xfId="23119" xr:uid="{00000000-0005-0000-0000-0000C3140000}"/>
    <cellStyle name="Millares 4 2 2 3 4" xfId="5865" xr:uid="{00000000-0005-0000-0000-0000C4140000}"/>
    <cellStyle name="Millares 4 2 2 3 4 2" xfId="15725" xr:uid="{00000000-0005-0000-0000-0000C5140000}"/>
    <cellStyle name="Millares 4 2 2 3 4 2 2" xfId="35440" xr:uid="{00000000-0005-0000-0000-0000C6140000}"/>
    <cellStyle name="Millares 4 2 2 3 4 3" xfId="25583" xr:uid="{00000000-0005-0000-0000-0000C7140000}"/>
    <cellStyle name="Millares 4 2 2 3 5" xfId="10797" xr:uid="{00000000-0005-0000-0000-0000C8140000}"/>
    <cellStyle name="Millares 4 2 2 3 5 2" xfId="30512" xr:uid="{00000000-0005-0000-0000-0000C9140000}"/>
    <cellStyle name="Millares 4 2 2 3 6" xfId="20655" xr:uid="{00000000-0005-0000-0000-0000CA140000}"/>
    <cellStyle name="Millares 4 2 2 4" xfId="1546" xr:uid="{00000000-0005-0000-0000-0000CB140000}"/>
    <cellStyle name="Millares 4 2 2 4 2" xfId="4013" xr:uid="{00000000-0005-0000-0000-0000CC140000}"/>
    <cellStyle name="Millares 4 2 2 4 2 2" xfId="8945" xr:uid="{00000000-0005-0000-0000-0000CD140000}"/>
    <cellStyle name="Millares 4 2 2 4 2 2 2" xfId="18805" xr:uid="{00000000-0005-0000-0000-0000CE140000}"/>
    <cellStyle name="Millares 4 2 2 4 2 2 2 2" xfId="38520" xr:uid="{00000000-0005-0000-0000-0000CF140000}"/>
    <cellStyle name="Millares 4 2 2 4 2 2 3" xfId="28663" xr:uid="{00000000-0005-0000-0000-0000D0140000}"/>
    <cellStyle name="Millares 4 2 2 4 2 3" xfId="13877" xr:uid="{00000000-0005-0000-0000-0000D1140000}"/>
    <cellStyle name="Millares 4 2 2 4 2 3 2" xfId="33592" xr:uid="{00000000-0005-0000-0000-0000D2140000}"/>
    <cellStyle name="Millares 4 2 2 4 2 4" xfId="23735" xr:uid="{00000000-0005-0000-0000-0000D3140000}"/>
    <cellStyle name="Millares 4 2 2 4 3" xfId="6481" xr:uid="{00000000-0005-0000-0000-0000D4140000}"/>
    <cellStyle name="Millares 4 2 2 4 3 2" xfId="16341" xr:uid="{00000000-0005-0000-0000-0000D5140000}"/>
    <cellStyle name="Millares 4 2 2 4 3 2 2" xfId="36056" xr:uid="{00000000-0005-0000-0000-0000D6140000}"/>
    <cellStyle name="Millares 4 2 2 4 3 3" xfId="26199" xr:uid="{00000000-0005-0000-0000-0000D7140000}"/>
    <cellStyle name="Millares 4 2 2 4 4" xfId="11413" xr:uid="{00000000-0005-0000-0000-0000D8140000}"/>
    <cellStyle name="Millares 4 2 2 4 4 2" xfId="31128" xr:uid="{00000000-0005-0000-0000-0000D9140000}"/>
    <cellStyle name="Millares 4 2 2 4 5" xfId="21271" xr:uid="{00000000-0005-0000-0000-0000DA140000}"/>
    <cellStyle name="Millares 4 2 2 5" xfId="2781" xr:uid="{00000000-0005-0000-0000-0000DB140000}"/>
    <cellStyle name="Millares 4 2 2 5 2" xfId="7713" xr:uid="{00000000-0005-0000-0000-0000DC140000}"/>
    <cellStyle name="Millares 4 2 2 5 2 2" xfId="17573" xr:uid="{00000000-0005-0000-0000-0000DD140000}"/>
    <cellStyle name="Millares 4 2 2 5 2 2 2" xfId="37288" xr:uid="{00000000-0005-0000-0000-0000DE140000}"/>
    <cellStyle name="Millares 4 2 2 5 2 3" xfId="27431" xr:uid="{00000000-0005-0000-0000-0000DF140000}"/>
    <cellStyle name="Millares 4 2 2 5 3" xfId="12645" xr:uid="{00000000-0005-0000-0000-0000E0140000}"/>
    <cellStyle name="Millares 4 2 2 5 3 2" xfId="32360" xr:uid="{00000000-0005-0000-0000-0000E1140000}"/>
    <cellStyle name="Millares 4 2 2 5 4" xfId="22503" xr:uid="{00000000-0005-0000-0000-0000E2140000}"/>
    <cellStyle name="Millares 4 2 2 6" xfId="5249" xr:uid="{00000000-0005-0000-0000-0000E3140000}"/>
    <cellStyle name="Millares 4 2 2 6 2" xfId="15109" xr:uid="{00000000-0005-0000-0000-0000E4140000}"/>
    <cellStyle name="Millares 4 2 2 6 2 2" xfId="34824" xr:uid="{00000000-0005-0000-0000-0000E5140000}"/>
    <cellStyle name="Millares 4 2 2 6 3" xfId="24967" xr:uid="{00000000-0005-0000-0000-0000E6140000}"/>
    <cellStyle name="Millares 4 2 2 7" xfId="10181" xr:uid="{00000000-0005-0000-0000-0000E7140000}"/>
    <cellStyle name="Millares 4 2 2 7 2" xfId="29896" xr:uid="{00000000-0005-0000-0000-0000E8140000}"/>
    <cellStyle name="Millares 4 2 2 8" xfId="20039" xr:uid="{00000000-0005-0000-0000-0000E9140000}"/>
    <cellStyle name="Millares 4 2 3" xfId="461" xr:uid="{00000000-0005-0000-0000-0000EA140000}"/>
    <cellStyle name="Millares 4 2 3 2" xfId="1081" xr:uid="{00000000-0005-0000-0000-0000EB140000}"/>
    <cellStyle name="Millares 4 2 3 2 2" xfId="2316" xr:uid="{00000000-0005-0000-0000-0000EC140000}"/>
    <cellStyle name="Millares 4 2 3 2 2 2" xfId="4783" xr:uid="{00000000-0005-0000-0000-0000ED140000}"/>
    <cellStyle name="Millares 4 2 3 2 2 2 2" xfId="9715" xr:uid="{00000000-0005-0000-0000-0000EE140000}"/>
    <cellStyle name="Millares 4 2 3 2 2 2 2 2" xfId="19575" xr:uid="{00000000-0005-0000-0000-0000EF140000}"/>
    <cellStyle name="Millares 4 2 3 2 2 2 2 2 2" xfId="39290" xr:uid="{00000000-0005-0000-0000-0000F0140000}"/>
    <cellStyle name="Millares 4 2 3 2 2 2 2 3" xfId="29433" xr:uid="{00000000-0005-0000-0000-0000F1140000}"/>
    <cellStyle name="Millares 4 2 3 2 2 2 3" xfId="14647" xr:uid="{00000000-0005-0000-0000-0000F2140000}"/>
    <cellStyle name="Millares 4 2 3 2 2 2 3 2" xfId="34362" xr:uid="{00000000-0005-0000-0000-0000F3140000}"/>
    <cellStyle name="Millares 4 2 3 2 2 2 4" xfId="24505" xr:uid="{00000000-0005-0000-0000-0000F4140000}"/>
    <cellStyle name="Millares 4 2 3 2 2 3" xfId="7251" xr:uid="{00000000-0005-0000-0000-0000F5140000}"/>
    <cellStyle name="Millares 4 2 3 2 2 3 2" xfId="17111" xr:uid="{00000000-0005-0000-0000-0000F6140000}"/>
    <cellStyle name="Millares 4 2 3 2 2 3 2 2" xfId="36826" xr:uid="{00000000-0005-0000-0000-0000F7140000}"/>
    <cellStyle name="Millares 4 2 3 2 2 3 3" xfId="26969" xr:uid="{00000000-0005-0000-0000-0000F8140000}"/>
    <cellStyle name="Millares 4 2 3 2 2 4" xfId="12183" xr:uid="{00000000-0005-0000-0000-0000F9140000}"/>
    <cellStyle name="Millares 4 2 3 2 2 4 2" xfId="31898" xr:uid="{00000000-0005-0000-0000-0000FA140000}"/>
    <cellStyle name="Millares 4 2 3 2 2 5" xfId="22041" xr:uid="{00000000-0005-0000-0000-0000FB140000}"/>
    <cellStyle name="Millares 4 2 3 2 3" xfId="3551" xr:uid="{00000000-0005-0000-0000-0000FC140000}"/>
    <cellStyle name="Millares 4 2 3 2 3 2" xfId="8483" xr:uid="{00000000-0005-0000-0000-0000FD140000}"/>
    <cellStyle name="Millares 4 2 3 2 3 2 2" xfId="18343" xr:uid="{00000000-0005-0000-0000-0000FE140000}"/>
    <cellStyle name="Millares 4 2 3 2 3 2 2 2" xfId="38058" xr:uid="{00000000-0005-0000-0000-0000FF140000}"/>
    <cellStyle name="Millares 4 2 3 2 3 2 3" xfId="28201" xr:uid="{00000000-0005-0000-0000-000000150000}"/>
    <cellStyle name="Millares 4 2 3 2 3 3" xfId="13415" xr:uid="{00000000-0005-0000-0000-000001150000}"/>
    <cellStyle name="Millares 4 2 3 2 3 3 2" xfId="33130" xr:uid="{00000000-0005-0000-0000-000002150000}"/>
    <cellStyle name="Millares 4 2 3 2 3 4" xfId="23273" xr:uid="{00000000-0005-0000-0000-000003150000}"/>
    <cellStyle name="Millares 4 2 3 2 4" xfId="6019" xr:uid="{00000000-0005-0000-0000-000004150000}"/>
    <cellStyle name="Millares 4 2 3 2 4 2" xfId="15879" xr:uid="{00000000-0005-0000-0000-000005150000}"/>
    <cellStyle name="Millares 4 2 3 2 4 2 2" xfId="35594" xr:uid="{00000000-0005-0000-0000-000006150000}"/>
    <cellStyle name="Millares 4 2 3 2 4 3" xfId="25737" xr:uid="{00000000-0005-0000-0000-000007150000}"/>
    <cellStyle name="Millares 4 2 3 2 5" xfId="10951" xr:uid="{00000000-0005-0000-0000-000008150000}"/>
    <cellStyle name="Millares 4 2 3 2 5 2" xfId="30666" xr:uid="{00000000-0005-0000-0000-000009150000}"/>
    <cellStyle name="Millares 4 2 3 2 6" xfId="20809" xr:uid="{00000000-0005-0000-0000-00000A150000}"/>
    <cellStyle name="Millares 4 2 3 3" xfId="1700" xr:uid="{00000000-0005-0000-0000-00000B150000}"/>
    <cellStyle name="Millares 4 2 3 3 2" xfId="4167" xr:uid="{00000000-0005-0000-0000-00000C150000}"/>
    <cellStyle name="Millares 4 2 3 3 2 2" xfId="9099" xr:uid="{00000000-0005-0000-0000-00000D150000}"/>
    <cellStyle name="Millares 4 2 3 3 2 2 2" xfId="18959" xr:uid="{00000000-0005-0000-0000-00000E150000}"/>
    <cellStyle name="Millares 4 2 3 3 2 2 2 2" xfId="38674" xr:uid="{00000000-0005-0000-0000-00000F150000}"/>
    <cellStyle name="Millares 4 2 3 3 2 2 3" xfId="28817" xr:uid="{00000000-0005-0000-0000-000010150000}"/>
    <cellStyle name="Millares 4 2 3 3 2 3" xfId="14031" xr:uid="{00000000-0005-0000-0000-000011150000}"/>
    <cellStyle name="Millares 4 2 3 3 2 3 2" xfId="33746" xr:uid="{00000000-0005-0000-0000-000012150000}"/>
    <cellStyle name="Millares 4 2 3 3 2 4" xfId="23889" xr:uid="{00000000-0005-0000-0000-000013150000}"/>
    <cellStyle name="Millares 4 2 3 3 3" xfId="6635" xr:uid="{00000000-0005-0000-0000-000014150000}"/>
    <cellStyle name="Millares 4 2 3 3 3 2" xfId="16495" xr:uid="{00000000-0005-0000-0000-000015150000}"/>
    <cellStyle name="Millares 4 2 3 3 3 2 2" xfId="36210" xr:uid="{00000000-0005-0000-0000-000016150000}"/>
    <cellStyle name="Millares 4 2 3 3 3 3" xfId="26353" xr:uid="{00000000-0005-0000-0000-000017150000}"/>
    <cellStyle name="Millares 4 2 3 3 4" xfId="11567" xr:uid="{00000000-0005-0000-0000-000018150000}"/>
    <cellStyle name="Millares 4 2 3 3 4 2" xfId="31282" xr:uid="{00000000-0005-0000-0000-000019150000}"/>
    <cellStyle name="Millares 4 2 3 3 5" xfId="21425" xr:uid="{00000000-0005-0000-0000-00001A150000}"/>
    <cellStyle name="Millares 4 2 3 4" xfId="2935" xr:uid="{00000000-0005-0000-0000-00001B150000}"/>
    <cellStyle name="Millares 4 2 3 4 2" xfId="7867" xr:uid="{00000000-0005-0000-0000-00001C150000}"/>
    <cellStyle name="Millares 4 2 3 4 2 2" xfId="17727" xr:uid="{00000000-0005-0000-0000-00001D150000}"/>
    <cellStyle name="Millares 4 2 3 4 2 2 2" xfId="37442" xr:uid="{00000000-0005-0000-0000-00001E150000}"/>
    <cellStyle name="Millares 4 2 3 4 2 3" xfId="27585" xr:uid="{00000000-0005-0000-0000-00001F150000}"/>
    <cellStyle name="Millares 4 2 3 4 3" xfId="12799" xr:uid="{00000000-0005-0000-0000-000020150000}"/>
    <cellStyle name="Millares 4 2 3 4 3 2" xfId="32514" xr:uid="{00000000-0005-0000-0000-000021150000}"/>
    <cellStyle name="Millares 4 2 3 4 4" xfId="22657" xr:uid="{00000000-0005-0000-0000-000022150000}"/>
    <cellStyle name="Millares 4 2 3 5" xfId="5403" xr:uid="{00000000-0005-0000-0000-000023150000}"/>
    <cellStyle name="Millares 4 2 3 5 2" xfId="15263" xr:uid="{00000000-0005-0000-0000-000024150000}"/>
    <cellStyle name="Millares 4 2 3 5 2 2" xfId="34978" xr:uid="{00000000-0005-0000-0000-000025150000}"/>
    <cellStyle name="Millares 4 2 3 5 3" xfId="25121" xr:uid="{00000000-0005-0000-0000-000026150000}"/>
    <cellStyle name="Millares 4 2 3 6" xfId="10335" xr:uid="{00000000-0005-0000-0000-000027150000}"/>
    <cellStyle name="Millares 4 2 3 6 2" xfId="30050" xr:uid="{00000000-0005-0000-0000-000028150000}"/>
    <cellStyle name="Millares 4 2 3 7" xfId="20193" xr:uid="{00000000-0005-0000-0000-000029150000}"/>
    <cellStyle name="Millares 4 2 4" xfId="774" xr:uid="{00000000-0005-0000-0000-00002A150000}"/>
    <cellStyle name="Millares 4 2 4 2" xfId="2010" xr:uid="{00000000-0005-0000-0000-00002B150000}"/>
    <cellStyle name="Millares 4 2 4 2 2" xfId="4477" xr:uid="{00000000-0005-0000-0000-00002C150000}"/>
    <cellStyle name="Millares 4 2 4 2 2 2" xfId="9409" xr:uid="{00000000-0005-0000-0000-00002D150000}"/>
    <cellStyle name="Millares 4 2 4 2 2 2 2" xfId="19269" xr:uid="{00000000-0005-0000-0000-00002E150000}"/>
    <cellStyle name="Millares 4 2 4 2 2 2 2 2" xfId="38984" xr:uid="{00000000-0005-0000-0000-00002F150000}"/>
    <cellStyle name="Millares 4 2 4 2 2 2 3" xfId="29127" xr:uid="{00000000-0005-0000-0000-000030150000}"/>
    <cellStyle name="Millares 4 2 4 2 2 3" xfId="14341" xr:uid="{00000000-0005-0000-0000-000031150000}"/>
    <cellStyle name="Millares 4 2 4 2 2 3 2" xfId="34056" xr:uid="{00000000-0005-0000-0000-000032150000}"/>
    <cellStyle name="Millares 4 2 4 2 2 4" xfId="24199" xr:uid="{00000000-0005-0000-0000-000033150000}"/>
    <cellStyle name="Millares 4 2 4 2 3" xfId="6945" xr:uid="{00000000-0005-0000-0000-000034150000}"/>
    <cellStyle name="Millares 4 2 4 2 3 2" xfId="16805" xr:uid="{00000000-0005-0000-0000-000035150000}"/>
    <cellStyle name="Millares 4 2 4 2 3 2 2" xfId="36520" xr:uid="{00000000-0005-0000-0000-000036150000}"/>
    <cellStyle name="Millares 4 2 4 2 3 3" xfId="26663" xr:uid="{00000000-0005-0000-0000-000037150000}"/>
    <cellStyle name="Millares 4 2 4 2 4" xfId="11877" xr:uid="{00000000-0005-0000-0000-000038150000}"/>
    <cellStyle name="Millares 4 2 4 2 4 2" xfId="31592" xr:uid="{00000000-0005-0000-0000-000039150000}"/>
    <cellStyle name="Millares 4 2 4 2 5" xfId="21735" xr:uid="{00000000-0005-0000-0000-00003A150000}"/>
    <cellStyle name="Millares 4 2 4 3" xfId="3245" xr:uid="{00000000-0005-0000-0000-00003B150000}"/>
    <cellStyle name="Millares 4 2 4 3 2" xfId="8177" xr:uid="{00000000-0005-0000-0000-00003C150000}"/>
    <cellStyle name="Millares 4 2 4 3 2 2" xfId="18037" xr:uid="{00000000-0005-0000-0000-00003D150000}"/>
    <cellStyle name="Millares 4 2 4 3 2 2 2" xfId="37752" xr:uid="{00000000-0005-0000-0000-00003E150000}"/>
    <cellStyle name="Millares 4 2 4 3 2 3" xfId="27895" xr:uid="{00000000-0005-0000-0000-00003F150000}"/>
    <cellStyle name="Millares 4 2 4 3 3" xfId="13109" xr:uid="{00000000-0005-0000-0000-000040150000}"/>
    <cellStyle name="Millares 4 2 4 3 3 2" xfId="32824" xr:uid="{00000000-0005-0000-0000-000041150000}"/>
    <cellStyle name="Millares 4 2 4 3 4" xfId="22967" xr:uid="{00000000-0005-0000-0000-000042150000}"/>
    <cellStyle name="Millares 4 2 4 4" xfId="5713" xr:uid="{00000000-0005-0000-0000-000043150000}"/>
    <cellStyle name="Millares 4 2 4 4 2" xfId="15573" xr:uid="{00000000-0005-0000-0000-000044150000}"/>
    <cellStyle name="Millares 4 2 4 4 2 2" xfId="35288" xr:uid="{00000000-0005-0000-0000-000045150000}"/>
    <cellStyle name="Millares 4 2 4 4 3" xfId="25431" xr:uid="{00000000-0005-0000-0000-000046150000}"/>
    <cellStyle name="Millares 4 2 4 5" xfId="10645" xr:uid="{00000000-0005-0000-0000-000047150000}"/>
    <cellStyle name="Millares 4 2 4 5 2" xfId="30360" xr:uid="{00000000-0005-0000-0000-000048150000}"/>
    <cellStyle name="Millares 4 2 4 6" xfId="20503" xr:uid="{00000000-0005-0000-0000-000049150000}"/>
    <cellStyle name="Millares 4 2 5" xfId="1394" xr:uid="{00000000-0005-0000-0000-00004A150000}"/>
    <cellStyle name="Millares 4 2 5 2" xfId="3861" xr:uid="{00000000-0005-0000-0000-00004B150000}"/>
    <cellStyle name="Millares 4 2 5 2 2" xfId="8793" xr:uid="{00000000-0005-0000-0000-00004C150000}"/>
    <cellStyle name="Millares 4 2 5 2 2 2" xfId="18653" xr:uid="{00000000-0005-0000-0000-00004D150000}"/>
    <cellStyle name="Millares 4 2 5 2 2 2 2" xfId="38368" xr:uid="{00000000-0005-0000-0000-00004E150000}"/>
    <cellStyle name="Millares 4 2 5 2 2 3" xfId="28511" xr:uid="{00000000-0005-0000-0000-00004F150000}"/>
    <cellStyle name="Millares 4 2 5 2 3" xfId="13725" xr:uid="{00000000-0005-0000-0000-000050150000}"/>
    <cellStyle name="Millares 4 2 5 2 3 2" xfId="33440" xr:uid="{00000000-0005-0000-0000-000051150000}"/>
    <cellStyle name="Millares 4 2 5 2 4" xfId="23583" xr:uid="{00000000-0005-0000-0000-000052150000}"/>
    <cellStyle name="Millares 4 2 5 3" xfId="6329" xr:uid="{00000000-0005-0000-0000-000053150000}"/>
    <cellStyle name="Millares 4 2 5 3 2" xfId="16189" xr:uid="{00000000-0005-0000-0000-000054150000}"/>
    <cellStyle name="Millares 4 2 5 3 2 2" xfId="35904" xr:uid="{00000000-0005-0000-0000-000055150000}"/>
    <cellStyle name="Millares 4 2 5 3 3" xfId="26047" xr:uid="{00000000-0005-0000-0000-000056150000}"/>
    <cellStyle name="Millares 4 2 5 4" xfId="11261" xr:uid="{00000000-0005-0000-0000-000057150000}"/>
    <cellStyle name="Millares 4 2 5 4 2" xfId="30976" xr:uid="{00000000-0005-0000-0000-000058150000}"/>
    <cellStyle name="Millares 4 2 5 5" xfId="21119" xr:uid="{00000000-0005-0000-0000-000059150000}"/>
    <cellStyle name="Millares 4 2 6" xfId="2629" xr:uid="{00000000-0005-0000-0000-00005A150000}"/>
    <cellStyle name="Millares 4 2 6 2" xfId="7561" xr:uid="{00000000-0005-0000-0000-00005B150000}"/>
    <cellStyle name="Millares 4 2 6 2 2" xfId="17421" xr:uid="{00000000-0005-0000-0000-00005C150000}"/>
    <cellStyle name="Millares 4 2 6 2 2 2" xfId="37136" xr:uid="{00000000-0005-0000-0000-00005D150000}"/>
    <cellStyle name="Millares 4 2 6 2 3" xfId="27279" xr:uid="{00000000-0005-0000-0000-00005E150000}"/>
    <cellStyle name="Millares 4 2 6 3" xfId="12493" xr:uid="{00000000-0005-0000-0000-00005F150000}"/>
    <cellStyle name="Millares 4 2 6 3 2" xfId="32208" xr:uid="{00000000-0005-0000-0000-000060150000}"/>
    <cellStyle name="Millares 4 2 6 4" xfId="22351" xr:uid="{00000000-0005-0000-0000-000061150000}"/>
    <cellStyle name="Millares 4 2 7" xfId="5097" xr:uid="{00000000-0005-0000-0000-000062150000}"/>
    <cellStyle name="Millares 4 2 7 2" xfId="14957" xr:uid="{00000000-0005-0000-0000-000063150000}"/>
    <cellStyle name="Millares 4 2 7 2 2" xfId="34672" xr:uid="{00000000-0005-0000-0000-000064150000}"/>
    <cellStyle name="Millares 4 2 7 3" xfId="24815" xr:uid="{00000000-0005-0000-0000-000065150000}"/>
    <cellStyle name="Millares 4 2 8" xfId="10029" xr:uid="{00000000-0005-0000-0000-000066150000}"/>
    <cellStyle name="Millares 4 2 8 2" xfId="29744" xr:uid="{00000000-0005-0000-0000-000067150000}"/>
    <cellStyle name="Millares 4 2 9" xfId="19887" xr:uid="{00000000-0005-0000-0000-000068150000}"/>
    <cellStyle name="Millares 4 3" xfId="223" xr:uid="{00000000-0005-0000-0000-000069150000}"/>
    <cellStyle name="Millares 4 3 2" xfId="537" xr:uid="{00000000-0005-0000-0000-00006A150000}"/>
    <cellStyle name="Millares 4 3 2 2" xfId="1157" xr:uid="{00000000-0005-0000-0000-00006B150000}"/>
    <cellStyle name="Millares 4 3 2 2 2" xfId="2392" xr:uid="{00000000-0005-0000-0000-00006C150000}"/>
    <cellStyle name="Millares 4 3 2 2 2 2" xfId="4859" xr:uid="{00000000-0005-0000-0000-00006D150000}"/>
    <cellStyle name="Millares 4 3 2 2 2 2 2" xfId="9791" xr:uid="{00000000-0005-0000-0000-00006E150000}"/>
    <cellStyle name="Millares 4 3 2 2 2 2 2 2" xfId="19651" xr:uid="{00000000-0005-0000-0000-00006F150000}"/>
    <cellStyle name="Millares 4 3 2 2 2 2 2 2 2" xfId="39366" xr:uid="{00000000-0005-0000-0000-000070150000}"/>
    <cellStyle name="Millares 4 3 2 2 2 2 2 3" xfId="29509" xr:uid="{00000000-0005-0000-0000-000071150000}"/>
    <cellStyle name="Millares 4 3 2 2 2 2 3" xfId="14723" xr:uid="{00000000-0005-0000-0000-000072150000}"/>
    <cellStyle name="Millares 4 3 2 2 2 2 3 2" xfId="34438" xr:uid="{00000000-0005-0000-0000-000073150000}"/>
    <cellStyle name="Millares 4 3 2 2 2 2 4" xfId="24581" xr:uid="{00000000-0005-0000-0000-000074150000}"/>
    <cellStyle name="Millares 4 3 2 2 2 3" xfId="7327" xr:uid="{00000000-0005-0000-0000-000075150000}"/>
    <cellStyle name="Millares 4 3 2 2 2 3 2" xfId="17187" xr:uid="{00000000-0005-0000-0000-000076150000}"/>
    <cellStyle name="Millares 4 3 2 2 2 3 2 2" xfId="36902" xr:uid="{00000000-0005-0000-0000-000077150000}"/>
    <cellStyle name="Millares 4 3 2 2 2 3 3" xfId="27045" xr:uid="{00000000-0005-0000-0000-000078150000}"/>
    <cellStyle name="Millares 4 3 2 2 2 4" xfId="12259" xr:uid="{00000000-0005-0000-0000-000079150000}"/>
    <cellStyle name="Millares 4 3 2 2 2 4 2" xfId="31974" xr:uid="{00000000-0005-0000-0000-00007A150000}"/>
    <cellStyle name="Millares 4 3 2 2 2 5" xfId="22117" xr:uid="{00000000-0005-0000-0000-00007B150000}"/>
    <cellStyle name="Millares 4 3 2 2 3" xfId="3627" xr:uid="{00000000-0005-0000-0000-00007C150000}"/>
    <cellStyle name="Millares 4 3 2 2 3 2" xfId="8559" xr:uid="{00000000-0005-0000-0000-00007D150000}"/>
    <cellStyle name="Millares 4 3 2 2 3 2 2" xfId="18419" xr:uid="{00000000-0005-0000-0000-00007E150000}"/>
    <cellStyle name="Millares 4 3 2 2 3 2 2 2" xfId="38134" xr:uid="{00000000-0005-0000-0000-00007F150000}"/>
    <cellStyle name="Millares 4 3 2 2 3 2 3" xfId="28277" xr:uid="{00000000-0005-0000-0000-000080150000}"/>
    <cellStyle name="Millares 4 3 2 2 3 3" xfId="13491" xr:uid="{00000000-0005-0000-0000-000081150000}"/>
    <cellStyle name="Millares 4 3 2 2 3 3 2" xfId="33206" xr:uid="{00000000-0005-0000-0000-000082150000}"/>
    <cellStyle name="Millares 4 3 2 2 3 4" xfId="23349" xr:uid="{00000000-0005-0000-0000-000083150000}"/>
    <cellStyle name="Millares 4 3 2 2 4" xfId="6095" xr:uid="{00000000-0005-0000-0000-000084150000}"/>
    <cellStyle name="Millares 4 3 2 2 4 2" xfId="15955" xr:uid="{00000000-0005-0000-0000-000085150000}"/>
    <cellStyle name="Millares 4 3 2 2 4 2 2" xfId="35670" xr:uid="{00000000-0005-0000-0000-000086150000}"/>
    <cellStyle name="Millares 4 3 2 2 4 3" xfId="25813" xr:uid="{00000000-0005-0000-0000-000087150000}"/>
    <cellStyle name="Millares 4 3 2 2 5" xfId="11027" xr:uid="{00000000-0005-0000-0000-000088150000}"/>
    <cellStyle name="Millares 4 3 2 2 5 2" xfId="30742" xr:uid="{00000000-0005-0000-0000-000089150000}"/>
    <cellStyle name="Millares 4 3 2 2 6" xfId="20885" xr:uid="{00000000-0005-0000-0000-00008A150000}"/>
    <cellStyle name="Millares 4 3 2 3" xfId="1776" xr:uid="{00000000-0005-0000-0000-00008B150000}"/>
    <cellStyle name="Millares 4 3 2 3 2" xfId="4243" xr:uid="{00000000-0005-0000-0000-00008C150000}"/>
    <cellStyle name="Millares 4 3 2 3 2 2" xfId="9175" xr:uid="{00000000-0005-0000-0000-00008D150000}"/>
    <cellStyle name="Millares 4 3 2 3 2 2 2" xfId="19035" xr:uid="{00000000-0005-0000-0000-00008E150000}"/>
    <cellStyle name="Millares 4 3 2 3 2 2 2 2" xfId="38750" xr:uid="{00000000-0005-0000-0000-00008F150000}"/>
    <cellStyle name="Millares 4 3 2 3 2 2 3" xfId="28893" xr:uid="{00000000-0005-0000-0000-000090150000}"/>
    <cellStyle name="Millares 4 3 2 3 2 3" xfId="14107" xr:uid="{00000000-0005-0000-0000-000091150000}"/>
    <cellStyle name="Millares 4 3 2 3 2 3 2" xfId="33822" xr:uid="{00000000-0005-0000-0000-000092150000}"/>
    <cellStyle name="Millares 4 3 2 3 2 4" xfId="23965" xr:uid="{00000000-0005-0000-0000-000093150000}"/>
    <cellStyle name="Millares 4 3 2 3 3" xfId="6711" xr:uid="{00000000-0005-0000-0000-000094150000}"/>
    <cellStyle name="Millares 4 3 2 3 3 2" xfId="16571" xr:uid="{00000000-0005-0000-0000-000095150000}"/>
    <cellStyle name="Millares 4 3 2 3 3 2 2" xfId="36286" xr:uid="{00000000-0005-0000-0000-000096150000}"/>
    <cellStyle name="Millares 4 3 2 3 3 3" xfId="26429" xr:uid="{00000000-0005-0000-0000-000097150000}"/>
    <cellStyle name="Millares 4 3 2 3 4" xfId="11643" xr:uid="{00000000-0005-0000-0000-000098150000}"/>
    <cellStyle name="Millares 4 3 2 3 4 2" xfId="31358" xr:uid="{00000000-0005-0000-0000-000099150000}"/>
    <cellStyle name="Millares 4 3 2 3 5" xfId="21501" xr:uid="{00000000-0005-0000-0000-00009A150000}"/>
    <cellStyle name="Millares 4 3 2 4" xfId="3011" xr:uid="{00000000-0005-0000-0000-00009B150000}"/>
    <cellStyle name="Millares 4 3 2 4 2" xfId="7943" xr:uid="{00000000-0005-0000-0000-00009C150000}"/>
    <cellStyle name="Millares 4 3 2 4 2 2" xfId="17803" xr:uid="{00000000-0005-0000-0000-00009D150000}"/>
    <cellStyle name="Millares 4 3 2 4 2 2 2" xfId="37518" xr:uid="{00000000-0005-0000-0000-00009E150000}"/>
    <cellStyle name="Millares 4 3 2 4 2 3" xfId="27661" xr:uid="{00000000-0005-0000-0000-00009F150000}"/>
    <cellStyle name="Millares 4 3 2 4 3" xfId="12875" xr:uid="{00000000-0005-0000-0000-0000A0150000}"/>
    <cellStyle name="Millares 4 3 2 4 3 2" xfId="32590" xr:uid="{00000000-0005-0000-0000-0000A1150000}"/>
    <cellStyle name="Millares 4 3 2 4 4" xfId="22733" xr:uid="{00000000-0005-0000-0000-0000A2150000}"/>
    <cellStyle name="Millares 4 3 2 5" xfId="5479" xr:uid="{00000000-0005-0000-0000-0000A3150000}"/>
    <cellStyle name="Millares 4 3 2 5 2" xfId="15339" xr:uid="{00000000-0005-0000-0000-0000A4150000}"/>
    <cellStyle name="Millares 4 3 2 5 2 2" xfId="35054" xr:uid="{00000000-0005-0000-0000-0000A5150000}"/>
    <cellStyle name="Millares 4 3 2 5 3" xfId="25197" xr:uid="{00000000-0005-0000-0000-0000A6150000}"/>
    <cellStyle name="Millares 4 3 2 6" xfId="10411" xr:uid="{00000000-0005-0000-0000-0000A7150000}"/>
    <cellStyle name="Millares 4 3 2 6 2" xfId="30126" xr:uid="{00000000-0005-0000-0000-0000A8150000}"/>
    <cellStyle name="Millares 4 3 2 7" xfId="20269" xr:uid="{00000000-0005-0000-0000-0000A9150000}"/>
    <cellStyle name="Millares 4 3 3" xfId="850" xr:uid="{00000000-0005-0000-0000-0000AA150000}"/>
    <cellStyle name="Millares 4 3 3 2" xfId="2086" xr:uid="{00000000-0005-0000-0000-0000AB150000}"/>
    <cellStyle name="Millares 4 3 3 2 2" xfId="4553" xr:uid="{00000000-0005-0000-0000-0000AC150000}"/>
    <cellStyle name="Millares 4 3 3 2 2 2" xfId="9485" xr:uid="{00000000-0005-0000-0000-0000AD150000}"/>
    <cellStyle name="Millares 4 3 3 2 2 2 2" xfId="19345" xr:uid="{00000000-0005-0000-0000-0000AE150000}"/>
    <cellStyle name="Millares 4 3 3 2 2 2 2 2" xfId="39060" xr:uid="{00000000-0005-0000-0000-0000AF150000}"/>
    <cellStyle name="Millares 4 3 3 2 2 2 3" xfId="29203" xr:uid="{00000000-0005-0000-0000-0000B0150000}"/>
    <cellStyle name="Millares 4 3 3 2 2 3" xfId="14417" xr:uid="{00000000-0005-0000-0000-0000B1150000}"/>
    <cellStyle name="Millares 4 3 3 2 2 3 2" xfId="34132" xr:uid="{00000000-0005-0000-0000-0000B2150000}"/>
    <cellStyle name="Millares 4 3 3 2 2 4" xfId="24275" xr:uid="{00000000-0005-0000-0000-0000B3150000}"/>
    <cellStyle name="Millares 4 3 3 2 3" xfId="7021" xr:uid="{00000000-0005-0000-0000-0000B4150000}"/>
    <cellStyle name="Millares 4 3 3 2 3 2" xfId="16881" xr:uid="{00000000-0005-0000-0000-0000B5150000}"/>
    <cellStyle name="Millares 4 3 3 2 3 2 2" xfId="36596" xr:uid="{00000000-0005-0000-0000-0000B6150000}"/>
    <cellStyle name="Millares 4 3 3 2 3 3" xfId="26739" xr:uid="{00000000-0005-0000-0000-0000B7150000}"/>
    <cellStyle name="Millares 4 3 3 2 4" xfId="11953" xr:uid="{00000000-0005-0000-0000-0000B8150000}"/>
    <cellStyle name="Millares 4 3 3 2 4 2" xfId="31668" xr:uid="{00000000-0005-0000-0000-0000B9150000}"/>
    <cellStyle name="Millares 4 3 3 2 5" xfId="21811" xr:uid="{00000000-0005-0000-0000-0000BA150000}"/>
    <cellStyle name="Millares 4 3 3 3" xfId="3321" xr:uid="{00000000-0005-0000-0000-0000BB150000}"/>
    <cellStyle name="Millares 4 3 3 3 2" xfId="8253" xr:uid="{00000000-0005-0000-0000-0000BC150000}"/>
    <cellStyle name="Millares 4 3 3 3 2 2" xfId="18113" xr:uid="{00000000-0005-0000-0000-0000BD150000}"/>
    <cellStyle name="Millares 4 3 3 3 2 2 2" xfId="37828" xr:uid="{00000000-0005-0000-0000-0000BE150000}"/>
    <cellStyle name="Millares 4 3 3 3 2 3" xfId="27971" xr:uid="{00000000-0005-0000-0000-0000BF150000}"/>
    <cellStyle name="Millares 4 3 3 3 3" xfId="13185" xr:uid="{00000000-0005-0000-0000-0000C0150000}"/>
    <cellStyle name="Millares 4 3 3 3 3 2" xfId="32900" xr:uid="{00000000-0005-0000-0000-0000C1150000}"/>
    <cellStyle name="Millares 4 3 3 3 4" xfId="23043" xr:uid="{00000000-0005-0000-0000-0000C2150000}"/>
    <cellStyle name="Millares 4 3 3 4" xfId="5789" xr:uid="{00000000-0005-0000-0000-0000C3150000}"/>
    <cellStyle name="Millares 4 3 3 4 2" xfId="15649" xr:uid="{00000000-0005-0000-0000-0000C4150000}"/>
    <cellStyle name="Millares 4 3 3 4 2 2" xfId="35364" xr:uid="{00000000-0005-0000-0000-0000C5150000}"/>
    <cellStyle name="Millares 4 3 3 4 3" xfId="25507" xr:uid="{00000000-0005-0000-0000-0000C6150000}"/>
    <cellStyle name="Millares 4 3 3 5" xfId="10721" xr:uid="{00000000-0005-0000-0000-0000C7150000}"/>
    <cellStyle name="Millares 4 3 3 5 2" xfId="30436" xr:uid="{00000000-0005-0000-0000-0000C8150000}"/>
    <cellStyle name="Millares 4 3 3 6" xfId="20579" xr:uid="{00000000-0005-0000-0000-0000C9150000}"/>
    <cellStyle name="Millares 4 3 4" xfId="1470" xr:uid="{00000000-0005-0000-0000-0000CA150000}"/>
    <cellStyle name="Millares 4 3 4 2" xfId="3937" xr:uid="{00000000-0005-0000-0000-0000CB150000}"/>
    <cellStyle name="Millares 4 3 4 2 2" xfId="8869" xr:uid="{00000000-0005-0000-0000-0000CC150000}"/>
    <cellStyle name="Millares 4 3 4 2 2 2" xfId="18729" xr:uid="{00000000-0005-0000-0000-0000CD150000}"/>
    <cellStyle name="Millares 4 3 4 2 2 2 2" xfId="38444" xr:uid="{00000000-0005-0000-0000-0000CE150000}"/>
    <cellStyle name="Millares 4 3 4 2 2 3" xfId="28587" xr:uid="{00000000-0005-0000-0000-0000CF150000}"/>
    <cellStyle name="Millares 4 3 4 2 3" xfId="13801" xr:uid="{00000000-0005-0000-0000-0000D0150000}"/>
    <cellStyle name="Millares 4 3 4 2 3 2" xfId="33516" xr:uid="{00000000-0005-0000-0000-0000D1150000}"/>
    <cellStyle name="Millares 4 3 4 2 4" xfId="23659" xr:uid="{00000000-0005-0000-0000-0000D2150000}"/>
    <cellStyle name="Millares 4 3 4 3" xfId="6405" xr:uid="{00000000-0005-0000-0000-0000D3150000}"/>
    <cellStyle name="Millares 4 3 4 3 2" xfId="16265" xr:uid="{00000000-0005-0000-0000-0000D4150000}"/>
    <cellStyle name="Millares 4 3 4 3 2 2" xfId="35980" xr:uid="{00000000-0005-0000-0000-0000D5150000}"/>
    <cellStyle name="Millares 4 3 4 3 3" xfId="26123" xr:uid="{00000000-0005-0000-0000-0000D6150000}"/>
    <cellStyle name="Millares 4 3 4 4" xfId="11337" xr:uid="{00000000-0005-0000-0000-0000D7150000}"/>
    <cellStyle name="Millares 4 3 4 4 2" xfId="31052" xr:uid="{00000000-0005-0000-0000-0000D8150000}"/>
    <cellStyle name="Millares 4 3 4 5" xfId="21195" xr:uid="{00000000-0005-0000-0000-0000D9150000}"/>
    <cellStyle name="Millares 4 3 5" xfId="2705" xr:uid="{00000000-0005-0000-0000-0000DA150000}"/>
    <cellStyle name="Millares 4 3 5 2" xfId="7637" xr:uid="{00000000-0005-0000-0000-0000DB150000}"/>
    <cellStyle name="Millares 4 3 5 2 2" xfId="17497" xr:uid="{00000000-0005-0000-0000-0000DC150000}"/>
    <cellStyle name="Millares 4 3 5 2 2 2" xfId="37212" xr:uid="{00000000-0005-0000-0000-0000DD150000}"/>
    <cellStyle name="Millares 4 3 5 2 3" xfId="27355" xr:uid="{00000000-0005-0000-0000-0000DE150000}"/>
    <cellStyle name="Millares 4 3 5 3" xfId="12569" xr:uid="{00000000-0005-0000-0000-0000DF150000}"/>
    <cellStyle name="Millares 4 3 5 3 2" xfId="32284" xr:uid="{00000000-0005-0000-0000-0000E0150000}"/>
    <cellStyle name="Millares 4 3 5 4" xfId="22427" xr:uid="{00000000-0005-0000-0000-0000E1150000}"/>
    <cellStyle name="Millares 4 3 6" xfId="5173" xr:uid="{00000000-0005-0000-0000-0000E2150000}"/>
    <cellStyle name="Millares 4 3 6 2" xfId="15033" xr:uid="{00000000-0005-0000-0000-0000E3150000}"/>
    <cellStyle name="Millares 4 3 6 2 2" xfId="34748" xr:uid="{00000000-0005-0000-0000-0000E4150000}"/>
    <cellStyle name="Millares 4 3 6 3" xfId="24891" xr:uid="{00000000-0005-0000-0000-0000E5150000}"/>
    <cellStyle name="Millares 4 3 7" xfId="10105" xr:uid="{00000000-0005-0000-0000-0000E6150000}"/>
    <cellStyle name="Millares 4 3 7 2" xfId="29820" xr:uid="{00000000-0005-0000-0000-0000E7150000}"/>
    <cellStyle name="Millares 4 3 8" xfId="19963" xr:uid="{00000000-0005-0000-0000-0000E8150000}"/>
    <cellStyle name="Millares 4 4" xfId="385" xr:uid="{00000000-0005-0000-0000-0000E9150000}"/>
    <cellStyle name="Millares 4 4 2" xfId="1005" xr:uid="{00000000-0005-0000-0000-0000EA150000}"/>
    <cellStyle name="Millares 4 4 2 2" xfId="2240" xr:uid="{00000000-0005-0000-0000-0000EB150000}"/>
    <cellStyle name="Millares 4 4 2 2 2" xfId="4707" xr:uid="{00000000-0005-0000-0000-0000EC150000}"/>
    <cellStyle name="Millares 4 4 2 2 2 2" xfId="9639" xr:uid="{00000000-0005-0000-0000-0000ED150000}"/>
    <cellStyle name="Millares 4 4 2 2 2 2 2" xfId="19499" xr:uid="{00000000-0005-0000-0000-0000EE150000}"/>
    <cellStyle name="Millares 4 4 2 2 2 2 2 2" xfId="39214" xr:uid="{00000000-0005-0000-0000-0000EF150000}"/>
    <cellStyle name="Millares 4 4 2 2 2 2 3" xfId="29357" xr:uid="{00000000-0005-0000-0000-0000F0150000}"/>
    <cellStyle name="Millares 4 4 2 2 2 3" xfId="14571" xr:uid="{00000000-0005-0000-0000-0000F1150000}"/>
    <cellStyle name="Millares 4 4 2 2 2 3 2" xfId="34286" xr:uid="{00000000-0005-0000-0000-0000F2150000}"/>
    <cellStyle name="Millares 4 4 2 2 2 4" xfId="24429" xr:uid="{00000000-0005-0000-0000-0000F3150000}"/>
    <cellStyle name="Millares 4 4 2 2 3" xfId="7175" xr:uid="{00000000-0005-0000-0000-0000F4150000}"/>
    <cellStyle name="Millares 4 4 2 2 3 2" xfId="17035" xr:uid="{00000000-0005-0000-0000-0000F5150000}"/>
    <cellStyle name="Millares 4 4 2 2 3 2 2" xfId="36750" xr:uid="{00000000-0005-0000-0000-0000F6150000}"/>
    <cellStyle name="Millares 4 4 2 2 3 3" xfId="26893" xr:uid="{00000000-0005-0000-0000-0000F7150000}"/>
    <cellStyle name="Millares 4 4 2 2 4" xfId="12107" xr:uid="{00000000-0005-0000-0000-0000F8150000}"/>
    <cellStyle name="Millares 4 4 2 2 4 2" xfId="31822" xr:uid="{00000000-0005-0000-0000-0000F9150000}"/>
    <cellStyle name="Millares 4 4 2 2 5" xfId="21965" xr:uid="{00000000-0005-0000-0000-0000FA150000}"/>
    <cellStyle name="Millares 4 4 2 3" xfId="3475" xr:uid="{00000000-0005-0000-0000-0000FB150000}"/>
    <cellStyle name="Millares 4 4 2 3 2" xfId="8407" xr:uid="{00000000-0005-0000-0000-0000FC150000}"/>
    <cellStyle name="Millares 4 4 2 3 2 2" xfId="18267" xr:uid="{00000000-0005-0000-0000-0000FD150000}"/>
    <cellStyle name="Millares 4 4 2 3 2 2 2" xfId="37982" xr:uid="{00000000-0005-0000-0000-0000FE150000}"/>
    <cellStyle name="Millares 4 4 2 3 2 3" xfId="28125" xr:uid="{00000000-0005-0000-0000-0000FF150000}"/>
    <cellStyle name="Millares 4 4 2 3 3" xfId="13339" xr:uid="{00000000-0005-0000-0000-000000160000}"/>
    <cellStyle name="Millares 4 4 2 3 3 2" xfId="33054" xr:uid="{00000000-0005-0000-0000-000001160000}"/>
    <cellStyle name="Millares 4 4 2 3 4" xfId="23197" xr:uid="{00000000-0005-0000-0000-000002160000}"/>
    <cellStyle name="Millares 4 4 2 4" xfId="5943" xr:uid="{00000000-0005-0000-0000-000003160000}"/>
    <cellStyle name="Millares 4 4 2 4 2" xfId="15803" xr:uid="{00000000-0005-0000-0000-000004160000}"/>
    <cellStyle name="Millares 4 4 2 4 2 2" xfId="35518" xr:uid="{00000000-0005-0000-0000-000005160000}"/>
    <cellStyle name="Millares 4 4 2 4 3" xfId="25661" xr:uid="{00000000-0005-0000-0000-000006160000}"/>
    <cellStyle name="Millares 4 4 2 5" xfId="10875" xr:uid="{00000000-0005-0000-0000-000007160000}"/>
    <cellStyle name="Millares 4 4 2 5 2" xfId="30590" xr:uid="{00000000-0005-0000-0000-000008160000}"/>
    <cellStyle name="Millares 4 4 2 6" xfId="20733" xr:uid="{00000000-0005-0000-0000-000009160000}"/>
    <cellStyle name="Millares 4 4 3" xfId="1624" xr:uid="{00000000-0005-0000-0000-00000A160000}"/>
    <cellStyle name="Millares 4 4 3 2" xfId="4091" xr:uid="{00000000-0005-0000-0000-00000B160000}"/>
    <cellStyle name="Millares 4 4 3 2 2" xfId="9023" xr:uid="{00000000-0005-0000-0000-00000C160000}"/>
    <cellStyle name="Millares 4 4 3 2 2 2" xfId="18883" xr:uid="{00000000-0005-0000-0000-00000D160000}"/>
    <cellStyle name="Millares 4 4 3 2 2 2 2" xfId="38598" xr:uid="{00000000-0005-0000-0000-00000E160000}"/>
    <cellStyle name="Millares 4 4 3 2 2 3" xfId="28741" xr:uid="{00000000-0005-0000-0000-00000F160000}"/>
    <cellStyle name="Millares 4 4 3 2 3" xfId="13955" xr:uid="{00000000-0005-0000-0000-000010160000}"/>
    <cellStyle name="Millares 4 4 3 2 3 2" xfId="33670" xr:uid="{00000000-0005-0000-0000-000011160000}"/>
    <cellStyle name="Millares 4 4 3 2 4" xfId="23813" xr:uid="{00000000-0005-0000-0000-000012160000}"/>
    <cellStyle name="Millares 4 4 3 3" xfId="6559" xr:uid="{00000000-0005-0000-0000-000013160000}"/>
    <cellStyle name="Millares 4 4 3 3 2" xfId="16419" xr:uid="{00000000-0005-0000-0000-000014160000}"/>
    <cellStyle name="Millares 4 4 3 3 2 2" xfId="36134" xr:uid="{00000000-0005-0000-0000-000015160000}"/>
    <cellStyle name="Millares 4 4 3 3 3" xfId="26277" xr:uid="{00000000-0005-0000-0000-000016160000}"/>
    <cellStyle name="Millares 4 4 3 4" xfId="11491" xr:uid="{00000000-0005-0000-0000-000017160000}"/>
    <cellStyle name="Millares 4 4 3 4 2" xfId="31206" xr:uid="{00000000-0005-0000-0000-000018160000}"/>
    <cellStyle name="Millares 4 4 3 5" xfId="21349" xr:uid="{00000000-0005-0000-0000-000019160000}"/>
    <cellStyle name="Millares 4 4 4" xfId="2859" xr:uid="{00000000-0005-0000-0000-00001A160000}"/>
    <cellStyle name="Millares 4 4 4 2" xfId="7791" xr:uid="{00000000-0005-0000-0000-00001B160000}"/>
    <cellStyle name="Millares 4 4 4 2 2" xfId="17651" xr:uid="{00000000-0005-0000-0000-00001C160000}"/>
    <cellStyle name="Millares 4 4 4 2 2 2" xfId="37366" xr:uid="{00000000-0005-0000-0000-00001D160000}"/>
    <cellStyle name="Millares 4 4 4 2 3" xfId="27509" xr:uid="{00000000-0005-0000-0000-00001E160000}"/>
    <cellStyle name="Millares 4 4 4 3" xfId="12723" xr:uid="{00000000-0005-0000-0000-00001F160000}"/>
    <cellStyle name="Millares 4 4 4 3 2" xfId="32438" xr:uid="{00000000-0005-0000-0000-000020160000}"/>
    <cellStyle name="Millares 4 4 4 4" xfId="22581" xr:uid="{00000000-0005-0000-0000-000021160000}"/>
    <cellStyle name="Millares 4 4 5" xfId="5327" xr:uid="{00000000-0005-0000-0000-000022160000}"/>
    <cellStyle name="Millares 4 4 5 2" xfId="15187" xr:uid="{00000000-0005-0000-0000-000023160000}"/>
    <cellStyle name="Millares 4 4 5 2 2" xfId="34902" xr:uid="{00000000-0005-0000-0000-000024160000}"/>
    <cellStyle name="Millares 4 4 5 3" xfId="25045" xr:uid="{00000000-0005-0000-0000-000025160000}"/>
    <cellStyle name="Millares 4 4 6" xfId="10259" xr:uid="{00000000-0005-0000-0000-000026160000}"/>
    <cellStyle name="Millares 4 4 6 2" xfId="29974" xr:uid="{00000000-0005-0000-0000-000027160000}"/>
    <cellStyle name="Millares 4 4 7" xfId="20117" xr:uid="{00000000-0005-0000-0000-000028160000}"/>
    <cellStyle name="Millares 4 5" xfId="698" xr:uid="{00000000-0005-0000-0000-000029160000}"/>
    <cellStyle name="Millares 4 5 2" xfId="1934" xr:uid="{00000000-0005-0000-0000-00002A160000}"/>
    <cellStyle name="Millares 4 5 2 2" xfId="4401" xr:uid="{00000000-0005-0000-0000-00002B160000}"/>
    <cellStyle name="Millares 4 5 2 2 2" xfId="9333" xr:uid="{00000000-0005-0000-0000-00002C160000}"/>
    <cellStyle name="Millares 4 5 2 2 2 2" xfId="19193" xr:uid="{00000000-0005-0000-0000-00002D160000}"/>
    <cellStyle name="Millares 4 5 2 2 2 2 2" xfId="38908" xr:uid="{00000000-0005-0000-0000-00002E160000}"/>
    <cellStyle name="Millares 4 5 2 2 2 3" xfId="29051" xr:uid="{00000000-0005-0000-0000-00002F160000}"/>
    <cellStyle name="Millares 4 5 2 2 3" xfId="14265" xr:uid="{00000000-0005-0000-0000-000030160000}"/>
    <cellStyle name="Millares 4 5 2 2 3 2" xfId="33980" xr:uid="{00000000-0005-0000-0000-000031160000}"/>
    <cellStyle name="Millares 4 5 2 2 4" xfId="24123" xr:uid="{00000000-0005-0000-0000-000032160000}"/>
    <cellStyle name="Millares 4 5 2 3" xfId="6869" xr:uid="{00000000-0005-0000-0000-000033160000}"/>
    <cellStyle name="Millares 4 5 2 3 2" xfId="16729" xr:uid="{00000000-0005-0000-0000-000034160000}"/>
    <cellStyle name="Millares 4 5 2 3 2 2" xfId="36444" xr:uid="{00000000-0005-0000-0000-000035160000}"/>
    <cellStyle name="Millares 4 5 2 3 3" xfId="26587" xr:uid="{00000000-0005-0000-0000-000036160000}"/>
    <cellStyle name="Millares 4 5 2 4" xfId="11801" xr:uid="{00000000-0005-0000-0000-000037160000}"/>
    <cellStyle name="Millares 4 5 2 4 2" xfId="31516" xr:uid="{00000000-0005-0000-0000-000038160000}"/>
    <cellStyle name="Millares 4 5 2 5" xfId="21659" xr:uid="{00000000-0005-0000-0000-000039160000}"/>
    <cellStyle name="Millares 4 5 3" xfId="3169" xr:uid="{00000000-0005-0000-0000-00003A160000}"/>
    <cellStyle name="Millares 4 5 3 2" xfId="8101" xr:uid="{00000000-0005-0000-0000-00003B160000}"/>
    <cellStyle name="Millares 4 5 3 2 2" xfId="17961" xr:uid="{00000000-0005-0000-0000-00003C160000}"/>
    <cellStyle name="Millares 4 5 3 2 2 2" xfId="37676" xr:uid="{00000000-0005-0000-0000-00003D160000}"/>
    <cellStyle name="Millares 4 5 3 2 3" xfId="27819" xr:uid="{00000000-0005-0000-0000-00003E160000}"/>
    <cellStyle name="Millares 4 5 3 3" xfId="13033" xr:uid="{00000000-0005-0000-0000-00003F160000}"/>
    <cellStyle name="Millares 4 5 3 3 2" xfId="32748" xr:uid="{00000000-0005-0000-0000-000040160000}"/>
    <cellStyle name="Millares 4 5 3 4" xfId="22891" xr:uid="{00000000-0005-0000-0000-000041160000}"/>
    <cellStyle name="Millares 4 5 4" xfId="5637" xr:uid="{00000000-0005-0000-0000-000042160000}"/>
    <cellStyle name="Millares 4 5 4 2" xfId="15497" xr:uid="{00000000-0005-0000-0000-000043160000}"/>
    <cellStyle name="Millares 4 5 4 2 2" xfId="35212" xr:uid="{00000000-0005-0000-0000-000044160000}"/>
    <cellStyle name="Millares 4 5 4 3" xfId="25355" xr:uid="{00000000-0005-0000-0000-000045160000}"/>
    <cellStyle name="Millares 4 5 5" xfId="10569" xr:uid="{00000000-0005-0000-0000-000046160000}"/>
    <cellStyle name="Millares 4 5 5 2" xfId="30284" xr:uid="{00000000-0005-0000-0000-000047160000}"/>
    <cellStyle name="Millares 4 5 6" xfId="20427" xr:uid="{00000000-0005-0000-0000-000048160000}"/>
    <cellStyle name="Millares 4 6" xfId="1318" xr:uid="{00000000-0005-0000-0000-000049160000}"/>
    <cellStyle name="Millares 4 6 2" xfId="3785" xr:uid="{00000000-0005-0000-0000-00004A160000}"/>
    <cellStyle name="Millares 4 6 2 2" xfId="8717" xr:uid="{00000000-0005-0000-0000-00004B160000}"/>
    <cellStyle name="Millares 4 6 2 2 2" xfId="18577" xr:uid="{00000000-0005-0000-0000-00004C160000}"/>
    <cellStyle name="Millares 4 6 2 2 2 2" xfId="38292" xr:uid="{00000000-0005-0000-0000-00004D160000}"/>
    <cellStyle name="Millares 4 6 2 2 3" xfId="28435" xr:uid="{00000000-0005-0000-0000-00004E160000}"/>
    <cellStyle name="Millares 4 6 2 3" xfId="13649" xr:uid="{00000000-0005-0000-0000-00004F160000}"/>
    <cellStyle name="Millares 4 6 2 3 2" xfId="33364" xr:uid="{00000000-0005-0000-0000-000050160000}"/>
    <cellStyle name="Millares 4 6 2 4" xfId="23507" xr:uid="{00000000-0005-0000-0000-000051160000}"/>
    <cellStyle name="Millares 4 6 3" xfId="6253" xr:uid="{00000000-0005-0000-0000-000052160000}"/>
    <cellStyle name="Millares 4 6 3 2" xfId="16113" xr:uid="{00000000-0005-0000-0000-000053160000}"/>
    <cellStyle name="Millares 4 6 3 2 2" xfId="35828" xr:uid="{00000000-0005-0000-0000-000054160000}"/>
    <cellStyle name="Millares 4 6 3 3" xfId="25971" xr:uid="{00000000-0005-0000-0000-000055160000}"/>
    <cellStyle name="Millares 4 6 4" xfId="11185" xr:uid="{00000000-0005-0000-0000-000056160000}"/>
    <cellStyle name="Millares 4 6 4 2" xfId="30900" xr:uid="{00000000-0005-0000-0000-000057160000}"/>
    <cellStyle name="Millares 4 6 5" xfId="21043" xr:uid="{00000000-0005-0000-0000-000058160000}"/>
    <cellStyle name="Millares 4 7" xfId="2553" xr:uid="{00000000-0005-0000-0000-000059160000}"/>
    <cellStyle name="Millares 4 7 2" xfId="7485" xr:uid="{00000000-0005-0000-0000-00005A160000}"/>
    <cellStyle name="Millares 4 7 2 2" xfId="17345" xr:uid="{00000000-0005-0000-0000-00005B160000}"/>
    <cellStyle name="Millares 4 7 2 2 2" xfId="37060" xr:uid="{00000000-0005-0000-0000-00005C160000}"/>
    <cellStyle name="Millares 4 7 2 3" xfId="27203" xr:uid="{00000000-0005-0000-0000-00005D160000}"/>
    <cellStyle name="Millares 4 7 3" xfId="12417" xr:uid="{00000000-0005-0000-0000-00005E160000}"/>
    <cellStyle name="Millares 4 7 3 2" xfId="32132" xr:uid="{00000000-0005-0000-0000-00005F160000}"/>
    <cellStyle name="Millares 4 7 4" xfId="22275" xr:uid="{00000000-0005-0000-0000-000060160000}"/>
    <cellStyle name="Millares 4 8" xfId="5021" xr:uid="{00000000-0005-0000-0000-000061160000}"/>
    <cellStyle name="Millares 4 8 2" xfId="14881" xr:uid="{00000000-0005-0000-0000-000062160000}"/>
    <cellStyle name="Millares 4 8 2 2" xfId="34596" xr:uid="{00000000-0005-0000-0000-000063160000}"/>
    <cellStyle name="Millares 4 8 3" xfId="24739" xr:uid="{00000000-0005-0000-0000-000064160000}"/>
    <cellStyle name="Millares 4 9" xfId="9953" xr:uid="{00000000-0005-0000-0000-000065160000}"/>
    <cellStyle name="Millares 4 9 2" xfId="29668" xr:uid="{00000000-0005-0000-0000-000066160000}"/>
    <cellStyle name="Millares 5" xfId="102" xr:uid="{00000000-0005-0000-0000-000067160000}"/>
    <cellStyle name="Millares 5 2" xfId="262" xr:uid="{00000000-0005-0000-0000-000068160000}"/>
    <cellStyle name="Millares 5 2 2" xfId="576" xr:uid="{00000000-0005-0000-0000-000069160000}"/>
    <cellStyle name="Millares 5 2 2 2" xfId="1196" xr:uid="{00000000-0005-0000-0000-00006A160000}"/>
    <cellStyle name="Millares 5 2 2 2 2" xfId="2431" xr:uid="{00000000-0005-0000-0000-00006B160000}"/>
    <cellStyle name="Millares 5 2 2 2 2 2" xfId="4898" xr:uid="{00000000-0005-0000-0000-00006C160000}"/>
    <cellStyle name="Millares 5 2 2 2 2 2 2" xfId="9830" xr:uid="{00000000-0005-0000-0000-00006D160000}"/>
    <cellStyle name="Millares 5 2 2 2 2 2 2 2" xfId="19690" xr:uid="{00000000-0005-0000-0000-00006E160000}"/>
    <cellStyle name="Millares 5 2 2 2 2 2 2 2 2" xfId="39405" xr:uid="{00000000-0005-0000-0000-00006F160000}"/>
    <cellStyle name="Millares 5 2 2 2 2 2 2 3" xfId="29548" xr:uid="{00000000-0005-0000-0000-000070160000}"/>
    <cellStyle name="Millares 5 2 2 2 2 2 3" xfId="14762" xr:uid="{00000000-0005-0000-0000-000071160000}"/>
    <cellStyle name="Millares 5 2 2 2 2 2 3 2" xfId="34477" xr:uid="{00000000-0005-0000-0000-000072160000}"/>
    <cellStyle name="Millares 5 2 2 2 2 2 4" xfId="24620" xr:uid="{00000000-0005-0000-0000-000073160000}"/>
    <cellStyle name="Millares 5 2 2 2 2 3" xfId="7366" xr:uid="{00000000-0005-0000-0000-000074160000}"/>
    <cellStyle name="Millares 5 2 2 2 2 3 2" xfId="17226" xr:uid="{00000000-0005-0000-0000-000075160000}"/>
    <cellStyle name="Millares 5 2 2 2 2 3 2 2" xfId="36941" xr:uid="{00000000-0005-0000-0000-000076160000}"/>
    <cellStyle name="Millares 5 2 2 2 2 3 3" xfId="27084" xr:uid="{00000000-0005-0000-0000-000077160000}"/>
    <cellStyle name="Millares 5 2 2 2 2 4" xfId="12298" xr:uid="{00000000-0005-0000-0000-000078160000}"/>
    <cellStyle name="Millares 5 2 2 2 2 4 2" xfId="32013" xr:uid="{00000000-0005-0000-0000-000079160000}"/>
    <cellStyle name="Millares 5 2 2 2 2 5" xfId="22156" xr:uid="{00000000-0005-0000-0000-00007A160000}"/>
    <cellStyle name="Millares 5 2 2 2 3" xfId="3666" xr:uid="{00000000-0005-0000-0000-00007B160000}"/>
    <cellStyle name="Millares 5 2 2 2 3 2" xfId="8598" xr:uid="{00000000-0005-0000-0000-00007C160000}"/>
    <cellStyle name="Millares 5 2 2 2 3 2 2" xfId="18458" xr:uid="{00000000-0005-0000-0000-00007D160000}"/>
    <cellStyle name="Millares 5 2 2 2 3 2 2 2" xfId="38173" xr:uid="{00000000-0005-0000-0000-00007E160000}"/>
    <cellStyle name="Millares 5 2 2 2 3 2 3" xfId="28316" xr:uid="{00000000-0005-0000-0000-00007F160000}"/>
    <cellStyle name="Millares 5 2 2 2 3 3" xfId="13530" xr:uid="{00000000-0005-0000-0000-000080160000}"/>
    <cellStyle name="Millares 5 2 2 2 3 3 2" xfId="33245" xr:uid="{00000000-0005-0000-0000-000081160000}"/>
    <cellStyle name="Millares 5 2 2 2 3 4" xfId="23388" xr:uid="{00000000-0005-0000-0000-000082160000}"/>
    <cellStyle name="Millares 5 2 2 2 4" xfId="6134" xr:uid="{00000000-0005-0000-0000-000083160000}"/>
    <cellStyle name="Millares 5 2 2 2 4 2" xfId="15994" xr:uid="{00000000-0005-0000-0000-000084160000}"/>
    <cellStyle name="Millares 5 2 2 2 4 2 2" xfId="35709" xr:uid="{00000000-0005-0000-0000-000085160000}"/>
    <cellStyle name="Millares 5 2 2 2 4 3" xfId="25852" xr:uid="{00000000-0005-0000-0000-000086160000}"/>
    <cellStyle name="Millares 5 2 2 2 5" xfId="11066" xr:uid="{00000000-0005-0000-0000-000087160000}"/>
    <cellStyle name="Millares 5 2 2 2 5 2" xfId="30781" xr:uid="{00000000-0005-0000-0000-000088160000}"/>
    <cellStyle name="Millares 5 2 2 2 6" xfId="20924" xr:uid="{00000000-0005-0000-0000-000089160000}"/>
    <cellStyle name="Millares 5 2 2 3" xfId="1815" xr:uid="{00000000-0005-0000-0000-00008A160000}"/>
    <cellStyle name="Millares 5 2 2 3 2" xfId="4282" xr:uid="{00000000-0005-0000-0000-00008B160000}"/>
    <cellStyle name="Millares 5 2 2 3 2 2" xfId="9214" xr:uid="{00000000-0005-0000-0000-00008C160000}"/>
    <cellStyle name="Millares 5 2 2 3 2 2 2" xfId="19074" xr:uid="{00000000-0005-0000-0000-00008D160000}"/>
    <cellStyle name="Millares 5 2 2 3 2 2 2 2" xfId="38789" xr:uid="{00000000-0005-0000-0000-00008E160000}"/>
    <cellStyle name="Millares 5 2 2 3 2 2 3" xfId="28932" xr:uid="{00000000-0005-0000-0000-00008F160000}"/>
    <cellStyle name="Millares 5 2 2 3 2 3" xfId="14146" xr:uid="{00000000-0005-0000-0000-000090160000}"/>
    <cellStyle name="Millares 5 2 2 3 2 3 2" xfId="33861" xr:uid="{00000000-0005-0000-0000-000091160000}"/>
    <cellStyle name="Millares 5 2 2 3 2 4" xfId="24004" xr:uid="{00000000-0005-0000-0000-000092160000}"/>
    <cellStyle name="Millares 5 2 2 3 3" xfId="6750" xr:uid="{00000000-0005-0000-0000-000093160000}"/>
    <cellStyle name="Millares 5 2 2 3 3 2" xfId="16610" xr:uid="{00000000-0005-0000-0000-000094160000}"/>
    <cellStyle name="Millares 5 2 2 3 3 2 2" xfId="36325" xr:uid="{00000000-0005-0000-0000-000095160000}"/>
    <cellStyle name="Millares 5 2 2 3 3 3" xfId="26468" xr:uid="{00000000-0005-0000-0000-000096160000}"/>
    <cellStyle name="Millares 5 2 2 3 4" xfId="11682" xr:uid="{00000000-0005-0000-0000-000097160000}"/>
    <cellStyle name="Millares 5 2 2 3 4 2" xfId="31397" xr:uid="{00000000-0005-0000-0000-000098160000}"/>
    <cellStyle name="Millares 5 2 2 3 5" xfId="21540" xr:uid="{00000000-0005-0000-0000-000099160000}"/>
    <cellStyle name="Millares 5 2 2 4" xfId="3050" xr:uid="{00000000-0005-0000-0000-00009A160000}"/>
    <cellStyle name="Millares 5 2 2 4 2" xfId="7982" xr:uid="{00000000-0005-0000-0000-00009B160000}"/>
    <cellStyle name="Millares 5 2 2 4 2 2" xfId="17842" xr:uid="{00000000-0005-0000-0000-00009C160000}"/>
    <cellStyle name="Millares 5 2 2 4 2 2 2" xfId="37557" xr:uid="{00000000-0005-0000-0000-00009D160000}"/>
    <cellStyle name="Millares 5 2 2 4 2 3" xfId="27700" xr:uid="{00000000-0005-0000-0000-00009E160000}"/>
    <cellStyle name="Millares 5 2 2 4 3" xfId="12914" xr:uid="{00000000-0005-0000-0000-00009F160000}"/>
    <cellStyle name="Millares 5 2 2 4 3 2" xfId="32629" xr:uid="{00000000-0005-0000-0000-0000A0160000}"/>
    <cellStyle name="Millares 5 2 2 4 4" xfId="22772" xr:uid="{00000000-0005-0000-0000-0000A1160000}"/>
    <cellStyle name="Millares 5 2 2 5" xfId="5518" xr:uid="{00000000-0005-0000-0000-0000A2160000}"/>
    <cellStyle name="Millares 5 2 2 5 2" xfId="15378" xr:uid="{00000000-0005-0000-0000-0000A3160000}"/>
    <cellStyle name="Millares 5 2 2 5 2 2" xfId="35093" xr:uid="{00000000-0005-0000-0000-0000A4160000}"/>
    <cellStyle name="Millares 5 2 2 5 3" xfId="25236" xr:uid="{00000000-0005-0000-0000-0000A5160000}"/>
    <cellStyle name="Millares 5 2 2 6" xfId="10450" xr:uid="{00000000-0005-0000-0000-0000A6160000}"/>
    <cellStyle name="Millares 5 2 2 6 2" xfId="30165" xr:uid="{00000000-0005-0000-0000-0000A7160000}"/>
    <cellStyle name="Millares 5 2 2 7" xfId="20308" xr:uid="{00000000-0005-0000-0000-0000A8160000}"/>
    <cellStyle name="Millares 5 2 3" xfId="889" xr:uid="{00000000-0005-0000-0000-0000A9160000}"/>
    <cellStyle name="Millares 5 2 3 2" xfId="2125" xr:uid="{00000000-0005-0000-0000-0000AA160000}"/>
    <cellStyle name="Millares 5 2 3 2 2" xfId="4592" xr:uid="{00000000-0005-0000-0000-0000AB160000}"/>
    <cellStyle name="Millares 5 2 3 2 2 2" xfId="9524" xr:uid="{00000000-0005-0000-0000-0000AC160000}"/>
    <cellStyle name="Millares 5 2 3 2 2 2 2" xfId="19384" xr:uid="{00000000-0005-0000-0000-0000AD160000}"/>
    <cellStyle name="Millares 5 2 3 2 2 2 2 2" xfId="39099" xr:uid="{00000000-0005-0000-0000-0000AE160000}"/>
    <cellStyle name="Millares 5 2 3 2 2 2 3" xfId="29242" xr:uid="{00000000-0005-0000-0000-0000AF160000}"/>
    <cellStyle name="Millares 5 2 3 2 2 3" xfId="14456" xr:uid="{00000000-0005-0000-0000-0000B0160000}"/>
    <cellStyle name="Millares 5 2 3 2 2 3 2" xfId="34171" xr:uid="{00000000-0005-0000-0000-0000B1160000}"/>
    <cellStyle name="Millares 5 2 3 2 2 4" xfId="24314" xr:uid="{00000000-0005-0000-0000-0000B2160000}"/>
    <cellStyle name="Millares 5 2 3 2 3" xfId="7060" xr:uid="{00000000-0005-0000-0000-0000B3160000}"/>
    <cellStyle name="Millares 5 2 3 2 3 2" xfId="16920" xr:uid="{00000000-0005-0000-0000-0000B4160000}"/>
    <cellStyle name="Millares 5 2 3 2 3 2 2" xfId="36635" xr:uid="{00000000-0005-0000-0000-0000B5160000}"/>
    <cellStyle name="Millares 5 2 3 2 3 3" xfId="26778" xr:uid="{00000000-0005-0000-0000-0000B6160000}"/>
    <cellStyle name="Millares 5 2 3 2 4" xfId="11992" xr:uid="{00000000-0005-0000-0000-0000B7160000}"/>
    <cellStyle name="Millares 5 2 3 2 4 2" xfId="31707" xr:uid="{00000000-0005-0000-0000-0000B8160000}"/>
    <cellStyle name="Millares 5 2 3 2 5" xfId="21850" xr:uid="{00000000-0005-0000-0000-0000B9160000}"/>
    <cellStyle name="Millares 5 2 3 3" xfId="3360" xr:uid="{00000000-0005-0000-0000-0000BA160000}"/>
    <cellStyle name="Millares 5 2 3 3 2" xfId="8292" xr:uid="{00000000-0005-0000-0000-0000BB160000}"/>
    <cellStyle name="Millares 5 2 3 3 2 2" xfId="18152" xr:uid="{00000000-0005-0000-0000-0000BC160000}"/>
    <cellStyle name="Millares 5 2 3 3 2 2 2" xfId="37867" xr:uid="{00000000-0005-0000-0000-0000BD160000}"/>
    <cellStyle name="Millares 5 2 3 3 2 3" xfId="28010" xr:uid="{00000000-0005-0000-0000-0000BE160000}"/>
    <cellStyle name="Millares 5 2 3 3 3" xfId="13224" xr:uid="{00000000-0005-0000-0000-0000BF160000}"/>
    <cellStyle name="Millares 5 2 3 3 3 2" xfId="32939" xr:uid="{00000000-0005-0000-0000-0000C0160000}"/>
    <cellStyle name="Millares 5 2 3 3 4" xfId="23082" xr:uid="{00000000-0005-0000-0000-0000C1160000}"/>
    <cellStyle name="Millares 5 2 3 4" xfId="5828" xr:uid="{00000000-0005-0000-0000-0000C2160000}"/>
    <cellStyle name="Millares 5 2 3 4 2" xfId="15688" xr:uid="{00000000-0005-0000-0000-0000C3160000}"/>
    <cellStyle name="Millares 5 2 3 4 2 2" xfId="35403" xr:uid="{00000000-0005-0000-0000-0000C4160000}"/>
    <cellStyle name="Millares 5 2 3 4 3" xfId="25546" xr:uid="{00000000-0005-0000-0000-0000C5160000}"/>
    <cellStyle name="Millares 5 2 3 5" xfId="10760" xr:uid="{00000000-0005-0000-0000-0000C6160000}"/>
    <cellStyle name="Millares 5 2 3 5 2" xfId="30475" xr:uid="{00000000-0005-0000-0000-0000C7160000}"/>
    <cellStyle name="Millares 5 2 3 6" xfId="20618" xr:uid="{00000000-0005-0000-0000-0000C8160000}"/>
    <cellStyle name="Millares 5 2 4" xfId="1509" xr:uid="{00000000-0005-0000-0000-0000C9160000}"/>
    <cellStyle name="Millares 5 2 4 2" xfId="3976" xr:uid="{00000000-0005-0000-0000-0000CA160000}"/>
    <cellStyle name="Millares 5 2 4 2 2" xfId="8908" xr:uid="{00000000-0005-0000-0000-0000CB160000}"/>
    <cellStyle name="Millares 5 2 4 2 2 2" xfId="18768" xr:uid="{00000000-0005-0000-0000-0000CC160000}"/>
    <cellStyle name="Millares 5 2 4 2 2 2 2" xfId="38483" xr:uid="{00000000-0005-0000-0000-0000CD160000}"/>
    <cellStyle name="Millares 5 2 4 2 2 3" xfId="28626" xr:uid="{00000000-0005-0000-0000-0000CE160000}"/>
    <cellStyle name="Millares 5 2 4 2 3" xfId="13840" xr:uid="{00000000-0005-0000-0000-0000CF160000}"/>
    <cellStyle name="Millares 5 2 4 2 3 2" xfId="33555" xr:uid="{00000000-0005-0000-0000-0000D0160000}"/>
    <cellStyle name="Millares 5 2 4 2 4" xfId="23698" xr:uid="{00000000-0005-0000-0000-0000D1160000}"/>
    <cellStyle name="Millares 5 2 4 3" xfId="6444" xr:uid="{00000000-0005-0000-0000-0000D2160000}"/>
    <cellStyle name="Millares 5 2 4 3 2" xfId="16304" xr:uid="{00000000-0005-0000-0000-0000D3160000}"/>
    <cellStyle name="Millares 5 2 4 3 2 2" xfId="36019" xr:uid="{00000000-0005-0000-0000-0000D4160000}"/>
    <cellStyle name="Millares 5 2 4 3 3" xfId="26162" xr:uid="{00000000-0005-0000-0000-0000D5160000}"/>
    <cellStyle name="Millares 5 2 4 4" xfId="11376" xr:uid="{00000000-0005-0000-0000-0000D6160000}"/>
    <cellStyle name="Millares 5 2 4 4 2" xfId="31091" xr:uid="{00000000-0005-0000-0000-0000D7160000}"/>
    <cellStyle name="Millares 5 2 4 5" xfId="21234" xr:uid="{00000000-0005-0000-0000-0000D8160000}"/>
    <cellStyle name="Millares 5 2 5" xfId="2744" xr:uid="{00000000-0005-0000-0000-0000D9160000}"/>
    <cellStyle name="Millares 5 2 5 2" xfId="7676" xr:uid="{00000000-0005-0000-0000-0000DA160000}"/>
    <cellStyle name="Millares 5 2 5 2 2" xfId="17536" xr:uid="{00000000-0005-0000-0000-0000DB160000}"/>
    <cellStyle name="Millares 5 2 5 2 2 2" xfId="37251" xr:uid="{00000000-0005-0000-0000-0000DC160000}"/>
    <cellStyle name="Millares 5 2 5 2 3" xfId="27394" xr:uid="{00000000-0005-0000-0000-0000DD160000}"/>
    <cellStyle name="Millares 5 2 5 3" xfId="12608" xr:uid="{00000000-0005-0000-0000-0000DE160000}"/>
    <cellStyle name="Millares 5 2 5 3 2" xfId="32323" xr:uid="{00000000-0005-0000-0000-0000DF160000}"/>
    <cellStyle name="Millares 5 2 5 4" xfId="22466" xr:uid="{00000000-0005-0000-0000-0000E0160000}"/>
    <cellStyle name="Millares 5 2 6" xfId="5212" xr:uid="{00000000-0005-0000-0000-0000E1160000}"/>
    <cellStyle name="Millares 5 2 6 2" xfId="15072" xr:uid="{00000000-0005-0000-0000-0000E2160000}"/>
    <cellStyle name="Millares 5 2 6 2 2" xfId="34787" xr:uid="{00000000-0005-0000-0000-0000E3160000}"/>
    <cellStyle name="Millares 5 2 6 3" xfId="24930" xr:uid="{00000000-0005-0000-0000-0000E4160000}"/>
    <cellStyle name="Millares 5 2 7" xfId="10144" xr:uid="{00000000-0005-0000-0000-0000E5160000}"/>
    <cellStyle name="Millares 5 2 7 2" xfId="29859" xr:uid="{00000000-0005-0000-0000-0000E6160000}"/>
    <cellStyle name="Millares 5 2 8" xfId="20002" xr:uid="{00000000-0005-0000-0000-0000E7160000}"/>
    <cellStyle name="Millares 5 3" xfId="424" xr:uid="{00000000-0005-0000-0000-0000E8160000}"/>
    <cellStyle name="Millares 5 3 2" xfId="1044" xr:uid="{00000000-0005-0000-0000-0000E9160000}"/>
    <cellStyle name="Millares 5 3 2 2" xfId="2279" xr:uid="{00000000-0005-0000-0000-0000EA160000}"/>
    <cellStyle name="Millares 5 3 2 2 2" xfId="4746" xr:uid="{00000000-0005-0000-0000-0000EB160000}"/>
    <cellStyle name="Millares 5 3 2 2 2 2" xfId="9678" xr:uid="{00000000-0005-0000-0000-0000EC160000}"/>
    <cellStyle name="Millares 5 3 2 2 2 2 2" xfId="19538" xr:uid="{00000000-0005-0000-0000-0000ED160000}"/>
    <cellStyle name="Millares 5 3 2 2 2 2 2 2" xfId="39253" xr:uid="{00000000-0005-0000-0000-0000EE160000}"/>
    <cellStyle name="Millares 5 3 2 2 2 2 3" xfId="29396" xr:uid="{00000000-0005-0000-0000-0000EF160000}"/>
    <cellStyle name="Millares 5 3 2 2 2 3" xfId="14610" xr:uid="{00000000-0005-0000-0000-0000F0160000}"/>
    <cellStyle name="Millares 5 3 2 2 2 3 2" xfId="34325" xr:uid="{00000000-0005-0000-0000-0000F1160000}"/>
    <cellStyle name="Millares 5 3 2 2 2 4" xfId="24468" xr:uid="{00000000-0005-0000-0000-0000F2160000}"/>
    <cellStyle name="Millares 5 3 2 2 3" xfId="7214" xr:uid="{00000000-0005-0000-0000-0000F3160000}"/>
    <cellStyle name="Millares 5 3 2 2 3 2" xfId="17074" xr:uid="{00000000-0005-0000-0000-0000F4160000}"/>
    <cellStyle name="Millares 5 3 2 2 3 2 2" xfId="36789" xr:uid="{00000000-0005-0000-0000-0000F5160000}"/>
    <cellStyle name="Millares 5 3 2 2 3 3" xfId="26932" xr:uid="{00000000-0005-0000-0000-0000F6160000}"/>
    <cellStyle name="Millares 5 3 2 2 4" xfId="12146" xr:uid="{00000000-0005-0000-0000-0000F7160000}"/>
    <cellStyle name="Millares 5 3 2 2 4 2" xfId="31861" xr:uid="{00000000-0005-0000-0000-0000F8160000}"/>
    <cellStyle name="Millares 5 3 2 2 5" xfId="22004" xr:uid="{00000000-0005-0000-0000-0000F9160000}"/>
    <cellStyle name="Millares 5 3 2 3" xfId="3514" xr:uid="{00000000-0005-0000-0000-0000FA160000}"/>
    <cellStyle name="Millares 5 3 2 3 2" xfId="8446" xr:uid="{00000000-0005-0000-0000-0000FB160000}"/>
    <cellStyle name="Millares 5 3 2 3 2 2" xfId="18306" xr:uid="{00000000-0005-0000-0000-0000FC160000}"/>
    <cellStyle name="Millares 5 3 2 3 2 2 2" xfId="38021" xr:uid="{00000000-0005-0000-0000-0000FD160000}"/>
    <cellStyle name="Millares 5 3 2 3 2 3" xfId="28164" xr:uid="{00000000-0005-0000-0000-0000FE160000}"/>
    <cellStyle name="Millares 5 3 2 3 3" xfId="13378" xr:uid="{00000000-0005-0000-0000-0000FF160000}"/>
    <cellStyle name="Millares 5 3 2 3 3 2" xfId="33093" xr:uid="{00000000-0005-0000-0000-000000170000}"/>
    <cellStyle name="Millares 5 3 2 3 4" xfId="23236" xr:uid="{00000000-0005-0000-0000-000001170000}"/>
    <cellStyle name="Millares 5 3 2 4" xfId="5982" xr:uid="{00000000-0005-0000-0000-000002170000}"/>
    <cellStyle name="Millares 5 3 2 4 2" xfId="15842" xr:uid="{00000000-0005-0000-0000-000003170000}"/>
    <cellStyle name="Millares 5 3 2 4 2 2" xfId="35557" xr:uid="{00000000-0005-0000-0000-000004170000}"/>
    <cellStyle name="Millares 5 3 2 4 3" xfId="25700" xr:uid="{00000000-0005-0000-0000-000005170000}"/>
    <cellStyle name="Millares 5 3 2 5" xfId="10914" xr:uid="{00000000-0005-0000-0000-000006170000}"/>
    <cellStyle name="Millares 5 3 2 5 2" xfId="30629" xr:uid="{00000000-0005-0000-0000-000007170000}"/>
    <cellStyle name="Millares 5 3 2 6" xfId="20772" xr:uid="{00000000-0005-0000-0000-000008170000}"/>
    <cellStyle name="Millares 5 3 3" xfId="1663" xr:uid="{00000000-0005-0000-0000-000009170000}"/>
    <cellStyle name="Millares 5 3 3 2" xfId="4130" xr:uid="{00000000-0005-0000-0000-00000A170000}"/>
    <cellStyle name="Millares 5 3 3 2 2" xfId="9062" xr:uid="{00000000-0005-0000-0000-00000B170000}"/>
    <cellStyle name="Millares 5 3 3 2 2 2" xfId="18922" xr:uid="{00000000-0005-0000-0000-00000C170000}"/>
    <cellStyle name="Millares 5 3 3 2 2 2 2" xfId="38637" xr:uid="{00000000-0005-0000-0000-00000D170000}"/>
    <cellStyle name="Millares 5 3 3 2 2 3" xfId="28780" xr:uid="{00000000-0005-0000-0000-00000E170000}"/>
    <cellStyle name="Millares 5 3 3 2 3" xfId="13994" xr:uid="{00000000-0005-0000-0000-00000F170000}"/>
    <cellStyle name="Millares 5 3 3 2 3 2" xfId="33709" xr:uid="{00000000-0005-0000-0000-000010170000}"/>
    <cellStyle name="Millares 5 3 3 2 4" xfId="23852" xr:uid="{00000000-0005-0000-0000-000011170000}"/>
    <cellStyle name="Millares 5 3 3 3" xfId="6598" xr:uid="{00000000-0005-0000-0000-000012170000}"/>
    <cellStyle name="Millares 5 3 3 3 2" xfId="16458" xr:uid="{00000000-0005-0000-0000-000013170000}"/>
    <cellStyle name="Millares 5 3 3 3 2 2" xfId="36173" xr:uid="{00000000-0005-0000-0000-000014170000}"/>
    <cellStyle name="Millares 5 3 3 3 3" xfId="26316" xr:uid="{00000000-0005-0000-0000-000015170000}"/>
    <cellStyle name="Millares 5 3 3 4" xfId="11530" xr:uid="{00000000-0005-0000-0000-000016170000}"/>
    <cellStyle name="Millares 5 3 3 4 2" xfId="31245" xr:uid="{00000000-0005-0000-0000-000017170000}"/>
    <cellStyle name="Millares 5 3 3 5" xfId="21388" xr:uid="{00000000-0005-0000-0000-000018170000}"/>
    <cellStyle name="Millares 5 3 4" xfId="2898" xr:uid="{00000000-0005-0000-0000-000019170000}"/>
    <cellStyle name="Millares 5 3 4 2" xfId="7830" xr:uid="{00000000-0005-0000-0000-00001A170000}"/>
    <cellStyle name="Millares 5 3 4 2 2" xfId="17690" xr:uid="{00000000-0005-0000-0000-00001B170000}"/>
    <cellStyle name="Millares 5 3 4 2 2 2" xfId="37405" xr:uid="{00000000-0005-0000-0000-00001C170000}"/>
    <cellStyle name="Millares 5 3 4 2 3" xfId="27548" xr:uid="{00000000-0005-0000-0000-00001D170000}"/>
    <cellStyle name="Millares 5 3 4 3" xfId="12762" xr:uid="{00000000-0005-0000-0000-00001E170000}"/>
    <cellStyle name="Millares 5 3 4 3 2" xfId="32477" xr:uid="{00000000-0005-0000-0000-00001F170000}"/>
    <cellStyle name="Millares 5 3 4 4" xfId="22620" xr:uid="{00000000-0005-0000-0000-000020170000}"/>
    <cellStyle name="Millares 5 3 5" xfId="5366" xr:uid="{00000000-0005-0000-0000-000021170000}"/>
    <cellStyle name="Millares 5 3 5 2" xfId="15226" xr:uid="{00000000-0005-0000-0000-000022170000}"/>
    <cellStyle name="Millares 5 3 5 2 2" xfId="34941" xr:uid="{00000000-0005-0000-0000-000023170000}"/>
    <cellStyle name="Millares 5 3 5 3" xfId="25084" xr:uid="{00000000-0005-0000-0000-000024170000}"/>
    <cellStyle name="Millares 5 3 6" xfId="10298" xr:uid="{00000000-0005-0000-0000-000025170000}"/>
    <cellStyle name="Millares 5 3 6 2" xfId="30013" xr:uid="{00000000-0005-0000-0000-000026170000}"/>
    <cellStyle name="Millares 5 3 7" xfId="20156" xr:uid="{00000000-0005-0000-0000-000027170000}"/>
    <cellStyle name="Millares 5 4" xfId="737" xr:uid="{00000000-0005-0000-0000-000028170000}"/>
    <cellStyle name="Millares 5 4 2" xfId="1973" xr:uid="{00000000-0005-0000-0000-000029170000}"/>
    <cellStyle name="Millares 5 4 2 2" xfId="4440" xr:uid="{00000000-0005-0000-0000-00002A170000}"/>
    <cellStyle name="Millares 5 4 2 2 2" xfId="9372" xr:uid="{00000000-0005-0000-0000-00002B170000}"/>
    <cellStyle name="Millares 5 4 2 2 2 2" xfId="19232" xr:uid="{00000000-0005-0000-0000-00002C170000}"/>
    <cellStyle name="Millares 5 4 2 2 2 2 2" xfId="38947" xr:uid="{00000000-0005-0000-0000-00002D170000}"/>
    <cellStyle name="Millares 5 4 2 2 2 3" xfId="29090" xr:uid="{00000000-0005-0000-0000-00002E170000}"/>
    <cellStyle name="Millares 5 4 2 2 3" xfId="14304" xr:uid="{00000000-0005-0000-0000-00002F170000}"/>
    <cellStyle name="Millares 5 4 2 2 3 2" xfId="34019" xr:uid="{00000000-0005-0000-0000-000030170000}"/>
    <cellStyle name="Millares 5 4 2 2 4" xfId="24162" xr:uid="{00000000-0005-0000-0000-000031170000}"/>
    <cellStyle name="Millares 5 4 2 3" xfId="6908" xr:uid="{00000000-0005-0000-0000-000032170000}"/>
    <cellStyle name="Millares 5 4 2 3 2" xfId="16768" xr:uid="{00000000-0005-0000-0000-000033170000}"/>
    <cellStyle name="Millares 5 4 2 3 2 2" xfId="36483" xr:uid="{00000000-0005-0000-0000-000034170000}"/>
    <cellStyle name="Millares 5 4 2 3 3" xfId="26626" xr:uid="{00000000-0005-0000-0000-000035170000}"/>
    <cellStyle name="Millares 5 4 2 4" xfId="11840" xr:uid="{00000000-0005-0000-0000-000036170000}"/>
    <cellStyle name="Millares 5 4 2 4 2" xfId="31555" xr:uid="{00000000-0005-0000-0000-000037170000}"/>
    <cellStyle name="Millares 5 4 2 5" xfId="21698" xr:uid="{00000000-0005-0000-0000-000038170000}"/>
    <cellStyle name="Millares 5 4 3" xfId="3208" xr:uid="{00000000-0005-0000-0000-000039170000}"/>
    <cellStyle name="Millares 5 4 3 2" xfId="8140" xr:uid="{00000000-0005-0000-0000-00003A170000}"/>
    <cellStyle name="Millares 5 4 3 2 2" xfId="18000" xr:uid="{00000000-0005-0000-0000-00003B170000}"/>
    <cellStyle name="Millares 5 4 3 2 2 2" xfId="37715" xr:uid="{00000000-0005-0000-0000-00003C170000}"/>
    <cellStyle name="Millares 5 4 3 2 3" xfId="27858" xr:uid="{00000000-0005-0000-0000-00003D170000}"/>
    <cellStyle name="Millares 5 4 3 3" xfId="13072" xr:uid="{00000000-0005-0000-0000-00003E170000}"/>
    <cellStyle name="Millares 5 4 3 3 2" xfId="32787" xr:uid="{00000000-0005-0000-0000-00003F170000}"/>
    <cellStyle name="Millares 5 4 3 4" xfId="22930" xr:uid="{00000000-0005-0000-0000-000040170000}"/>
    <cellStyle name="Millares 5 4 4" xfId="5676" xr:uid="{00000000-0005-0000-0000-000041170000}"/>
    <cellStyle name="Millares 5 4 4 2" xfId="15536" xr:uid="{00000000-0005-0000-0000-000042170000}"/>
    <cellStyle name="Millares 5 4 4 2 2" xfId="35251" xr:uid="{00000000-0005-0000-0000-000043170000}"/>
    <cellStyle name="Millares 5 4 4 3" xfId="25394" xr:uid="{00000000-0005-0000-0000-000044170000}"/>
    <cellStyle name="Millares 5 4 5" xfId="10608" xr:uid="{00000000-0005-0000-0000-000045170000}"/>
    <cellStyle name="Millares 5 4 5 2" xfId="30323" xr:uid="{00000000-0005-0000-0000-000046170000}"/>
    <cellStyle name="Millares 5 4 6" xfId="20466" xr:uid="{00000000-0005-0000-0000-000047170000}"/>
    <cellStyle name="Millares 5 5" xfId="1357" xr:uid="{00000000-0005-0000-0000-000048170000}"/>
    <cellStyle name="Millares 5 5 2" xfId="3824" xr:uid="{00000000-0005-0000-0000-000049170000}"/>
    <cellStyle name="Millares 5 5 2 2" xfId="8756" xr:uid="{00000000-0005-0000-0000-00004A170000}"/>
    <cellStyle name="Millares 5 5 2 2 2" xfId="18616" xr:uid="{00000000-0005-0000-0000-00004B170000}"/>
    <cellStyle name="Millares 5 5 2 2 2 2" xfId="38331" xr:uid="{00000000-0005-0000-0000-00004C170000}"/>
    <cellStyle name="Millares 5 5 2 2 3" xfId="28474" xr:uid="{00000000-0005-0000-0000-00004D170000}"/>
    <cellStyle name="Millares 5 5 2 3" xfId="13688" xr:uid="{00000000-0005-0000-0000-00004E170000}"/>
    <cellStyle name="Millares 5 5 2 3 2" xfId="33403" xr:uid="{00000000-0005-0000-0000-00004F170000}"/>
    <cellStyle name="Millares 5 5 2 4" xfId="23546" xr:uid="{00000000-0005-0000-0000-000050170000}"/>
    <cellStyle name="Millares 5 5 3" xfId="6292" xr:uid="{00000000-0005-0000-0000-000051170000}"/>
    <cellStyle name="Millares 5 5 3 2" xfId="16152" xr:uid="{00000000-0005-0000-0000-000052170000}"/>
    <cellStyle name="Millares 5 5 3 2 2" xfId="35867" xr:uid="{00000000-0005-0000-0000-000053170000}"/>
    <cellStyle name="Millares 5 5 3 3" xfId="26010" xr:uid="{00000000-0005-0000-0000-000054170000}"/>
    <cellStyle name="Millares 5 5 4" xfId="11224" xr:uid="{00000000-0005-0000-0000-000055170000}"/>
    <cellStyle name="Millares 5 5 4 2" xfId="30939" xr:uid="{00000000-0005-0000-0000-000056170000}"/>
    <cellStyle name="Millares 5 5 5" xfId="21082" xr:uid="{00000000-0005-0000-0000-000057170000}"/>
    <cellStyle name="Millares 5 6" xfId="2592" xr:uid="{00000000-0005-0000-0000-000058170000}"/>
    <cellStyle name="Millares 5 6 2" xfId="7524" xr:uid="{00000000-0005-0000-0000-000059170000}"/>
    <cellStyle name="Millares 5 6 2 2" xfId="17384" xr:uid="{00000000-0005-0000-0000-00005A170000}"/>
    <cellStyle name="Millares 5 6 2 2 2" xfId="37099" xr:uid="{00000000-0005-0000-0000-00005B170000}"/>
    <cellStyle name="Millares 5 6 2 3" xfId="27242" xr:uid="{00000000-0005-0000-0000-00005C170000}"/>
    <cellStyle name="Millares 5 6 3" xfId="12456" xr:uid="{00000000-0005-0000-0000-00005D170000}"/>
    <cellStyle name="Millares 5 6 3 2" xfId="32171" xr:uid="{00000000-0005-0000-0000-00005E170000}"/>
    <cellStyle name="Millares 5 6 4" xfId="22314" xr:uid="{00000000-0005-0000-0000-00005F170000}"/>
    <cellStyle name="Millares 5 7" xfId="5060" xr:uid="{00000000-0005-0000-0000-000060170000}"/>
    <cellStyle name="Millares 5 7 2" xfId="14920" xr:uid="{00000000-0005-0000-0000-000061170000}"/>
    <cellStyle name="Millares 5 7 2 2" xfId="34635" xr:uid="{00000000-0005-0000-0000-000062170000}"/>
    <cellStyle name="Millares 5 7 3" xfId="24778" xr:uid="{00000000-0005-0000-0000-000063170000}"/>
    <cellStyle name="Millares 5 8" xfId="9992" xr:uid="{00000000-0005-0000-0000-000064170000}"/>
    <cellStyle name="Millares 5 8 2" xfId="29707" xr:uid="{00000000-0005-0000-0000-000065170000}"/>
    <cellStyle name="Millares 5 9" xfId="19850" xr:uid="{00000000-0005-0000-0000-000066170000}"/>
    <cellStyle name="Millares 6" xfId="182" xr:uid="{00000000-0005-0000-0000-000067170000}"/>
    <cellStyle name="Millares 6 2" xfId="499" xr:uid="{00000000-0005-0000-0000-000068170000}"/>
    <cellStyle name="Millares 6 2 2" xfId="1119" xr:uid="{00000000-0005-0000-0000-000069170000}"/>
    <cellStyle name="Millares 6 2 2 2" xfId="2354" xr:uid="{00000000-0005-0000-0000-00006A170000}"/>
    <cellStyle name="Millares 6 2 2 2 2" xfId="4821" xr:uid="{00000000-0005-0000-0000-00006B170000}"/>
    <cellStyle name="Millares 6 2 2 2 2 2" xfId="9753" xr:uid="{00000000-0005-0000-0000-00006C170000}"/>
    <cellStyle name="Millares 6 2 2 2 2 2 2" xfId="19613" xr:uid="{00000000-0005-0000-0000-00006D170000}"/>
    <cellStyle name="Millares 6 2 2 2 2 2 2 2" xfId="39328" xr:uid="{00000000-0005-0000-0000-00006E170000}"/>
    <cellStyle name="Millares 6 2 2 2 2 2 3" xfId="29471" xr:uid="{00000000-0005-0000-0000-00006F170000}"/>
    <cellStyle name="Millares 6 2 2 2 2 3" xfId="14685" xr:uid="{00000000-0005-0000-0000-000070170000}"/>
    <cellStyle name="Millares 6 2 2 2 2 3 2" xfId="34400" xr:uid="{00000000-0005-0000-0000-000071170000}"/>
    <cellStyle name="Millares 6 2 2 2 2 4" xfId="24543" xr:uid="{00000000-0005-0000-0000-000072170000}"/>
    <cellStyle name="Millares 6 2 2 2 3" xfId="7289" xr:uid="{00000000-0005-0000-0000-000073170000}"/>
    <cellStyle name="Millares 6 2 2 2 3 2" xfId="17149" xr:uid="{00000000-0005-0000-0000-000074170000}"/>
    <cellStyle name="Millares 6 2 2 2 3 2 2" xfId="36864" xr:uid="{00000000-0005-0000-0000-000075170000}"/>
    <cellStyle name="Millares 6 2 2 2 3 3" xfId="27007" xr:uid="{00000000-0005-0000-0000-000076170000}"/>
    <cellStyle name="Millares 6 2 2 2 4" xfId="12221" xr:uid="{00000000-0005-0000-0000-000077170000}"/>
    <cellStyle name="Millares 6 2 2 2 4 2" xfId="31936" xr:uid="{00000000-0005-0000-0000-000078170000}"/>
    <cellStyle name="Millares 6 2 2 2 5" xfId="22079" xr:uid="{00000000-0005-0000-0000-000079170000}"/>
    <cellStyle name="Millares 6 2 2 3" xfId="3589" xr:uid="{00000000-0005-0000-0000-00007A170000}"/>
    <cellStyle name="Millares 6 2 2 3 2" xfId="8521" xr:uid="{00000000-0005-0000-0000-00007B170000}"/>
    <cellStyle name="Millares 6 2 2 3 2 2" xfId="18381" xr:uid="{00000000-0005-0000-0000-00007C170000}"/>
    <cellStyle name="Millares 6 2 2 3 2 2 2" xfId="38096" xr:uid="{00000000-0005-0000-0000-00007D170000}"/>
    <cellStyle name="Millares 6 2 2 3 2 3" xfId="28239" xr:uid="{00000000-0005-0000-0000-00007E170000}"/>
    <cellStyle name="Millares 6 2 2 3 3" xfId="13453" xr:uid="{00000000-0005-0000-0000-00007F170000}"/>
    <cellStyle name="Millares 6 2 2 3 3 2" xfId="33168" xr:uid="{00000000-0005-0000-0000-000080170000}"/>
    <cellStyle name="Millares 6 2 2 3 4" xfId="23311" xr:uid="{00000000-0005-0000-0000-000081170000}"/>
    <cellStyle name="Millares 6 2 2 4" xfId="6057" xr:uid="{00000000-0005-0000-0000-000082170000}"/>
    <cellStyle name="Millares 6 2 2 4 2" xfId="15917" xr:uid="{00000000-0005-0000-0000-000083170000}"/>
    <cellStyle name="Millares 6 2 2 4 2 2" xfId="35632" xr:uid="{00000000-0005-0000-0000-000084170000}"/>
    <cellStyle name="Millares 6 2 2 4 3" xfId="25775" xr:uid="{00000000-0005-0000-0000-000085170000}"/>
    <cellStyle name="Millares 6 2 2 5" xfId="10989" xr:uid="{00000000-0005-0000-0000-000086170000}"/>
    <cellStyle name="Millares 6 2 2 5 2" xfId="30704" xr:uid="{00000000-0005-0000-0000-000087170000}"/>
    <cellStyle name="Millares 6 2 2 6" xfId="20847" xr:uid="{00000000-0005-0000-0000-000088170000}"/>
    <cellStyle name="Millares 6 2 3" xfId="1738" xr:uid="{00000000-0005-0000-0000-000089170000}"/>
    <cellStyle name="Millares 6 2 3 2" xfId="4205" xr:uid="{00000000-0005-0000-0000-00008A170000}"/>
    <cellStyle name="Millares 6 2 3 2 2" xfId="9137" xr:uid="{00000000-0005-0000-0000-00008B170000}"/>
    <cellStyle name="Millares 6 2 3 2 2 2" xfId="18997" xr:uid="{00000000-0005-0000-0000-00008C170000}"/>
    <cellStyle name="Millares 6 2 3 2 2 2 2" xfId="38712" xr:uid="{00000000-0005-0000-0000-00008D170000}"/>
    <cellStyle name="Millares 6 2 3 2 2 3" xfId="28855" xr:uid="{00000000-0005-0000-0000-00008E170000}"/>
    <cellStyle name="Millares 6 2 3 2 3" xfId="14069" xr:uid="{00000000-0005-0000-0000-00008F170000}"/>
    <cellStyle name="Millares 6 2 3 2 3 2" xfId="33784" xr:uid="{00000000-0005-0000-0000-000090170000}"/>
    <cellStyle name="Millares 6 2 3 2 4" xfId="23927" xr:uid="{00000000-0005-0000-0000-000091170000}"/>
    <cellStyle name="Millares 6 2 3 3" xfId="6673" xr:uid="{00000000-0005-0000-0000-000092170000}"/>
    <cellStyle name="Millares 6 2 3 3 2" xfId="16533" xr:uid="{00000000-0005-0000-0000-000093170000}"/>
    <cellStyle name="Millares 6 2 3 3 2 2" xfId="36248" xr:uid="{00000000-0005-0000-0000-000094170000}"/>
    <cellStyle name="Millares 6 2 3 3 3" xfId="26391" xr:uid="{00000000-0005-0000-0000-000095170000}"/>
    <cellStyle name="Millares 6 2 3 4" xfId="11605" xr:uid="{00000000-0005-0000-0000-000096170000}"/>
    <cellStyle name="Millares 6 2 3 4 2" xfId="31320" xr:uid="{00000000-0005-0000-0000-000097170000}"/>
    <cellStyle name="Millares 6 2 3 5" xfId="21463" xr:uid="{00000000-0005-0000-0000-000098170000}"/>
    <cellStyle name="Millares 6 2 4" xfId="2973" xr:uid="{00000000-0005-0000-0000-000099170000}"/>
    <cellStyle name="Millares 6 2 4 2" xfId="7905" xr:uid="{00000000-0005-0000-0000-00009A170000}"/>
    <cellStyle name="Millares 6 2 4 2 2" xfId="17765" xr:uid="{00000000-0005-0000-0000-00009B170000}"/>
    <cellStyle name="Millares 6 2 4 2 2 2" xfId="37480" xr:uid="{00000000-0005-0000-0000-00009C170000}"/>
    <cellStyle name="Millares 6 2 4 2 3" xfId="27623" xr:uid="{00000000-0005-0000-0000-00009D170000}"/>
    <cellStyle name="Millares 6 2 4 3" xfId="12837" xr:uid="{00000000-0005-0000-0000-00009E170000}"/>
    <cellStyle name="Millares 6 2 4 3 2" xfId="32552" xr:uid="{00000000-0005-0000-0000-00009F170000}"/>
    <cellStyle name="Millares 6 2 4 4" xfId="22695" xr:uid="{00000000-0005-0000-0000-0000A0170000}"/>
    <cellStyle name="Millares 6 2 5" xfId="5441" xr:uid="{00000000-0005-0000-0000-0000A1170000}"/>
    <cellStyle name="Millares 6 2 5 2" xfId="15301" xr:uid="{00000000-0005-0000-0000-0000A2170000}"/>
    <cellStyle name="Millares 6 2 5 2 2" xfId="35016" xr:uid="{00000000-0005-0000-0000-0000A3170000}"/>
    <cellStyle name="Millares 6 2 5 3" xfId="25159" xr:uid="{00000000-0005-0000-0000-0000A4170000}"/>
    <cellStyle name="Millares 6 2 6" xfId="10373" xr:uid="{00000000-0005-0000-0000-0000A5170000}"/>
    <cellStyle name="Millares 6 2 6 2" xfId="30088" xr:uid="{00000000-0005-0000-0000-0000A6170000}"/>
    <cellStyle name="Millares 6 2 7" xfId="20231" xr:uid="{00000000-0005-0000-0000-0000A7170000}"/>
    <cellStyle name="Millares 6 3" xfId="812" xr:uid="{00000000-0005-0000-0000-0000A8170000}"/>
    <cellStyle name="Millares 6 3 2" xfId="2048" xr:uid="{00000000-0005-0000-0000-0000A9170000}"/>
    <cellStyle name="Millares 6 3 2 2" xfId="4515" xr:uid="{00000000-0005-0000-0000-0000AA170000}"/>
    <cellStyle name="Millares 6 3 2 2 2" xfId="9447" xr:uid="{00000000-0005-0000-0000-0000AB170000}"/>
    <cellStyle name="Millares 6 3 2 2 2 2" xfId="19307" xr:uid="{00000000-0005-0000-0000-0000AC170000}"/>
    <cellStyle name="Millares 6 3 2 2 2 2 2" xfId="39022" xr:uid="{00000000-0005-0000-0000-0000AD170000}"/>
    <cellStyle name="Millares 6 3 2 2 2 3" xfId="29165" xr:uid="{00000000-0005-0000-0000-0000AE170000}"/>
    <cellStyle name="Millares 6 3 2 2 3" xfId="14379" xr:uid="{00000000-0005-0000-0000-0000AF170000}"/>
    <cellStyle name="Millares 6 3 2 2 3 2" xfId="34094" xr:uid="{00000000-0005-0000-0000-0000B0170000}"/>
    <cellStyle name="Millares 6 3 2 2 4" xfId="24237" xr:uid="{00000000-0005-0000-0000-0000B1170000}"/>
    <cellStyle name="Millares 6 3 2 3" xfId="6983" xr:uid="{00000000-0005-0000-0000-0000B2170000}"/>
    <cellStyle name="Millares 6 3 2 3 2" xfId="16843" xr:uid="{00000000-0005-0000-0000-0000B3170000}"/>
    <cellStyle name="Millares 6 3 2 3 2 2" xfId="36558" xr:uid="{00000000-0005-0000-0000-0000B4170000}"/>
    <cellStyle name="Millares 6 3 2 3 3" xfId="26701" xr:uid="{00000000-0005-0000-0000-0000B5170000}"/>
    <cellStyle name="Millares 6 3 2 4" xfId="11915" xr:uid="{00000000-0005-0000-0000-0000B6170000}"/>
    <cellStyle name="Millares 6 3 2 4 2" xfId="31630" xr:uid="{00000000-0005-0000-0000-0000B7170000}"/>
    <cellStyle name="Millares 6 3 2 5" xfId="21773" xr:uid="{00000000-0005-0000-0000-0000B8170000}"/>
    <cellStyle name="Millares 6 3 3" xfId="3283" xr:uid="{00000000-0005-0000-0000-0000B9170000}"/>
    <cellStyle name="Millares 6 3 3 2" xfId="8215" xr:uid="{00000000-0005-0000-0000-0000BA170000}"/>
    <cellStyle name="Millares 6 3 3 2 2" xfId="18075" xr:uid="{00000000-0005-0000-0000-0000BB170000}"/>
    <cellStyle name="Millares 6 3 3 2 2 2" xfId="37790" xr:uid="{00000000-0005-0000-0000-0000BC170000}"/>
    <cellStyle name="Millares 6 3 3 2 3" xfId="27933" xr:uid="{00000000-0005-0000-0000-0000BD170000}"/>
    <cellStyle name="Millares 6 3 3 3" xfId="13147" xr:uid="{00000000-0005-0000-0000-0000BE170000}"/>
    <cellStyle name="Millares 6 3 3 3 2" xfId="32862" xr:uid="{00000000-0005-0000-0000-0000BF170000}"/>
    <cellStyle name="Millares 6 3 3 4" xfId="23005" xr:uid="{00000000-0005-0000-0000-0000C0170000}"/>
    <cellStyle name="Millares 6 3 4" xfId="5751" xr:uid="{00000000-0005-0000-0000-0000C1170000}"/>
    <cellStyle name="Millares 6 3 4 2" xfId="15611" xr:uid="{00000000-0005-0000-0000-0000C2170000}"/>
    <cellStyle name="Millares 6 3 4 2 2" xfId="35326" xr:uid="{00000000-0005-0000-0000-0000C3170000}"/>
    <cellStyle name="Millares 6 3 4 3" xfId="25469" xr:uid="{00000000-0005-0000-0000-0000C4170000}"/>
    <cellStyle name="Millares 6 3 5" xfId="10683" xr:uid="{00000000-0005-0000-0000-0000C5170000}"/>
    <cellStyle name="Millares 6 3 5 2" xfId="30398" xr:uid="{00000000-0005-0000-0000-0000C6170000}"/>
    <cellStyle name="Millares 6 3 6" xfId="20541" xr:uid="{00000000-0005-0000-0000-0000C7170000}"/>
    <cellStyle name="Millares 6 4" xfId="1432" xr:uid="{00000000-0005-0000-0000-0000C8170000}"/>
    <cellStyle name="Millares 6 4 2" xfId="3899" xr:uid="{00000000-0005-0000-0000-0000C9170000}"/>
    <cellStyle name="Millares 6 4 2 2" xfId="8831" xr:uid="{00000000-0005-0000-0000-0000CA170000}"/>
    <cellStyle name="Millares 6 4 2 2 2" xfId="18691" xr:uid="{00000000-0005-0000-0000-0000CB170000}"/>
    <cellStyle name="Millares 6 4 2 2 2 2" xfId="38406" xr:uid="{00000000-0005-0000-0000-0000CC170000}"/>
    <cellStyle name="Millares 6 4 2 2 3" xfId="28549" xr:uid="{00000000-0005-0000-0000-0000CD170000}"/>
    <cellStyle name="Millares 6 4 2 3" xfId="13763" xr:uid="{00000000-0005-0000-0000-0000CE170000}"/>
    <cellStyle name="Millares 6 4 2 3 2" xfId="33478" xr:uid="{00000000-0005-0000-0000-0000CF170000}"/>
    <cellStyle name="Millares 6 4 2 4" xfId="23621" xr:uid="{00000000-0005-0000-0000-0000D0170000}"/>
    <cellStyle name="Millares 6 4 3" xfId="6367" xr:uid="{00000000-0005-0000-0000-0000D1170000}"/>
    <cellStyle name="Millares 6 4 3 2" xfId="16227" xr:uid="{00000000-0005-0000-0000-0000D2170000}"/>
    <cellStyle name="Millares 6 4 3 2 2" xfId="35942" xr:uid="{00000000-0005-0000-0000-0000D3170000}"/>
    <cellStyle name="Millares 6 4 3 3" xfId="26085" xr:uid="{00000000-0005-0000-0000-0000D4170000}"/>
    <cellStyle name="Millares 6 4 4" xfId="11299" xr:uid="{00000000-0005-0000-0000-0000D5170000}"/>
    <cellStyle name="Millares 6 4 4 2" xfId="31014" xr:uid="{00000000-0005-0000-0000-0000D6170000}"/>
    <cellStyle name="Millares 6 4 5" xfId="21157" xr:uid="{00000000-0005-0000-0000-0000D7170000}"/>
    <cellStyle name="Millares 6 5" xfId="2667" xr:uid="{00000000-0005-0000-0000-0000D8170000}"/>
    <cellStyle name="Millares 6 5 2" xfId="7599" xr:uid="{00000000-0005-0000-0000-0000D9170000}"/>
    <cellStyle name="Millares 6 5 2 2" xfId="17459" xr:uid="{00000000-0005-0000-0000-0000DA170000}"/>
    <cellStyle name="Millares 6 5 2 2 2" xfId="37174" xr:uid="{00000000-0005-0000-0000-0000DB170000}"/>
    <cellStyle name="Millares 6 5 2 3" xfId="27317" xr:uid="{00000000-0005-0000-0000-0000DC170000}"/>
    <cellStyle name="Millares 6 5 3" xfId="12531" xr:uid="{00000000-0005-0000-0000-0000DD170000}"/>
    <cellStyle name="Millares 6 5 3 2" xfId="32246" xr:uid="{00000000-0005-0000-0000-0000DE170000}"/>
    <cellStyle name="Millares 6 5 4" xfId="22389" xr:uid="{00000000-0005-0000-0000-0000DF170000}"/>
    <cellStyle name="Millares 6 6" xfId="5135" xr:uid="{00000000-0005-0000-0000-0000E0170000}"/>
    <cellStyle name="Millares 6 6 2" xfId="14995" xr:uid="{00000000-0005-0000-0000-0000E1170000}"/>
    <cellStyle name="Millares 6 6 2 2" xfId="34710" xr:uid="{00000000-0005-0000-0000-0000E2170000}"/>
    <cellStyle name="Millares 6 6 3" xfId="24853" xr:uid="{00000000-0005-0000-0000-0000E3170000}"/>
    <cellStyle name="Millares 6 7" xfId="10067" xr:uid="{00000000-0005-0000-0000-0000E4170000}"/>
    <cellStyle name="Millares 6 7 2" xfId="29782" xr:uid="{00000000-0005-0000-0000-0000E5170000}"/>
    <cellStyle name="Millares 6 8" xfId="19925" xr:uid="{00000000-0005-0000-0000-0000E6170000}"/>
    <cellStyle name="Millares 7" xfId="344" xr:uid="{00000000-0005-0000-0000-0000E7170000}"/>
    <cellStyle name="Millares 7 2" xfId="966" xr:uid="{00000000-0005-0000-0000-0000E8170000}"/>
    <cellStyle name="Millares 7 2 2" xfId="2202" xr:uid="{00000000-0005-0000-0000-0000E9170000}"/>
    <cellStyle name="Millares 7 2 2 2" xfId="4669" xr:uid="{00000000-0005-0000-0000-0000EA170000}"/>
    <cellStyle name="Millares 7 2 2 2 2" xfId="9601" xr:uid="{00000000-0005-0000-0000-0000EB170000}"/>
    <cellStyle name="Millares 7 2 2 2 2 2" xfId="19461" xr:uid="{00000000-0005-0000-0000-0000EC170000}"/>
    <cellStyle name="Millares 7 2 2 2 2 2 2" xfId="39176" xr:uid="{00000000-0005-0000-0000-0000ED170000}"/>
    <cellStyle name="Millares 7 2 2 2 2 3" xfId="29319" xr:uid="{00000000-0005-0000-0000-0000EE170000}"/>
    <cellStyle name="Millares 7 2 2 2 3" xfId="14533" xr:uid="{00000000-0005-0000-0000-0000EF170000}"/>
    <cellStyle name="Millares 7 2 2 2 3 2" xfId="34248" xr:uid="{00000000-0005-0000-0000-0000F0170000}"/>
    <cellStyle name="Millares 7 2 2 2 4" xfId="24391" xr:uid="{00000000-0005-0000-0000-0000F1170000}"/>
    <cellStyle name="Millares 7 2 2 3" xfId="7137" xr:uid="{00000000-0005-0000-0000-0000F2170000}"/>
    <cellStyle name="Millares 7 2 2 3 2" xfId="16997" xr:uid="{00000000-0005-0000-0000-0000F3170000}"/>
    <cellStyle name="Millares 7 2 2 3 2 2" xfId="36712" xr:uid="{00000000-0005-0000-0000-0000F4170000}"/>
    <cellStyle name="Millares 7 2 2 3 3" xfId="26855" xr:uid="{00000000-0005-0000-0000-0000F5170000}"/>
    <cellStyle name="Millares 7 2 2 4" xfId="12069" xr:uid="{00000000-0005-0000-0000-0000F6170000}"/>
    <cellStyle name="Millares 7 2 2 4 2" xfId="31784" xr:uid="{00000000-0005-0000-0000-0000F7170000}"/>
    <cellStyle name="Millares 7 2 2 5" xfId="21927" xr:uid="{00000000-0005-0000-0000-0000F8170000}"/>
    <cellStyle name="Millares 7 2 3" xfId="3437" xr:uid="{00000000-0005-0000-0000-0000F9170000}"/>
    <cellStyle name="Millares 7 2 3 2" xfId="8369" xr:uid="{00000000-0005-0000-0000-0000FA170000}"/>
    <cellStyle name="Millares 7 2 3 2 2" xfId="18229" xr:uid="{00000000-0005-0000-0000-0000FB170000}"/>
    <cellStyle name="Millares 7 2 3 2 2 2" xfId="37944" xr:uid="{00000000-0005-0000-0000-0000FC170000}"/>
    <cellStyle name="Millares 7 2 3 2 3" xfId="28087" xr:uid="{00000000-0005-0000-0000-0000FD170000}"/>
    <cellStyle name="Millares 7 2 3 3" xfId="13301" xr:uid="{00000000-0005-0000-0000-0000FE170000}"/>
    <cellStyle name="Millares 7 2 3 3 2" xfId="33016" xr:uid="{00000000-0005-0000-0000-0000FF170000}"/>
    <cellStyle name="Millares 7 2 3 4" xfId="23159" xr:uid="{00000000-0005-0000-0000-000000180000}"/>
    <cellStyle name="Millares 7 2 4" xfId="5905" xr:uid="{00000000-0005-0000-0000-000001180000}"/>
    <cellStyle name="Millares 7 2 4 2" xfId="15765" xr:uid="{00000000-0005-0000-0000-000002180000}"/>
    <cellStyle name="Millares 7 2 4 2 2" xfId="35480" xr:uid="{00000000-0005-0000-0000-000003180000}"/>
    <cellStyle name="Millares 7 2 4 3" xfId="25623" xr:uid="{00000000-0005-0000-0000-000004180000}"/>
    <cellStyle name="Millares 7 2 5" xfId="10837" xr:uid="{00000000-0005-0000-0000-000005180000}"/>
    <cellStyle name="Millares 7 2 5 2" xfId="30552" xr:uid="{00000000-0005-0000-0000-000006180000}"/>
    <cellStyle name="Millares 7 2 6" xfId="20695" xr:uid="{00000000-0005-0000-0000-000007180000}"/>
    <cellStyle name="Millares 7 3" xfId="1586" xr:uid="{00000000-0005-0000-0000-000008180000}"/>
    <cellStyle name="Millares 7 3 2" xfId="4053" xr:uid="{00000000-0005-0000-0000-000009180000}"/>
    <cellStyle name="Millares 7 3 2 2" xfId="8985" xr:uid="{00000000-0005-0000-0000-00000A180000}"/>
    <cellStyle name="Millares 7 3 2 2 2" xfId="18845" xr:uid="{00000000-0005-0000-0000-00000B180000}"/>
    <cellStyle name="Millares 7 3 2 2 2 2" xfId="38560" xr:uid="{00000000-0005-0000-0000-00000C180000}"/>
    <cellStyle name="Millares 7 3 2 2 3" xfId="28703" xr:uid="{00000000-0005-0000-0000-00000D180000}"/>
    <cellStyle name="Millares 7 3 2 3" xfId="13917" xr:uid="{00000000-0005-0000-0000-00000E180000}"/>
    <cellStyle name="Millares 7 3 2 3 2" xfId="33632" xr:uid="{00000000-0005-0000-0000-00000F180000}"/>
    <cellStyle name="Millares 7 3 2 4" xfId="23775" xr:uid="{00000000-0005-0000-0000-000010180000}"/>
    <cellStyle name="Millares 7 3 3" xfId="6521" xr:uid="{00000000-0005-0000-0000-000011180000}"/>
    <cellStyle name="Millares 7 3 3 2" xfId="16381" xr:uid="{00000000-0005-0000-0000-000012180000}"/>
    <cellStyle name="Millares 7 3 3 2 2" xfId="36096" xr:uid="{00000000-0005-0000-0000-000013180000}"/>
    <cellStyle name="Millares 7 3 3 3" xfId="26239" xr:uid="{00000000-0005-0000-0000-000014180000}"/>
    <cellStyle name="Millares 7 3 4" xfId="11453" xr:uid="{00000000-0005-0000-0000-000015180000}"/>
    <cellStyle name="Millares 7 3 4 2" xfId="31168" xr:uid="{00000000-0005-0000-0000-000016180000}"/>
    <cellStyle name="Millares 7 3 5" xfId="21311" xr:uid="{00000000-0005-0000-0000-000017180000}"/>
    <cellStyle name="Millares 7 4" xfId="2821" xr:uid="{00000000-0005-0000-0000-000018180000}"/>
    <cellStyle name="Millares 7 4 2" xfId="7753" xr:uid="{00000000-0005-0000-0000-000019180000}"/>
    <cellStyle name="Millares 7 4 2 2" xfId="17613" xr:uid="{00000000-0005-0000-0000-00001A180000}"/>
    <cellStyle name="Millares 7 4 2 2 2" xfId="37328" xr:uid="{00000000-0005-0000-0000-00001B180000}"/>
    <cellStyle name="Millares 7 4 2 3" xfId="27471" xr:uid="{00000000-0005-0000-0000-00001C180000}"/>
    <cellStyle name="Millares 7 4 3" xfId="12685" xr:uid="{00000000-0005-0000-0000-00001D180000}"/>
    <cellStyle name="Millares 7 4 3 2" xfId="32400" xr:uid="{00000000-0005-0000-0000-00001E180000}"/>
    <cellStyle name="Millares 7 4 4" xfId="22543" xr:uid="{00000000-0005-0000-0000-00001F180000}"/>
    <cellStyle name="Millares 7 5" xfId="5289" xr:uid="{00000000-0005-0000-0000-000020180000}"/>
    <cellStyle name="Millares 7 5 2" xfId="15149" xr:uid="{00000000-0005-0000-0000-000021180000}"/>
    <cellStyle name="Millares 7 5 2 2" xfId="34864" xr:uid="{00000000-0005-0000-0000-000022180000}"/>
    <cellStyle name="Millares 7 5 3" xfId="25007" xr:uid="{00000000-0005-0000-0000-000023180000}"/>
    <cellStyle name="Millares 7 6" xfId="10221" xr:uid="{00000000-0005-0000-0000-000024180000}"/>
    <cellStyle name="Millares 7 6 2" xfId="29936" xr:uid="{00000000-0005-0000-0000-000025180000}"/>
    <cellStyle name="Millares 7 7" xfId="20079" xr:uid="{00000000-0005-0000-0000-000026180000}"/>
    <cellStyle name="Millares 8" xfId="653" xr:uid="{00000000-0005-0000-0000-000027180000}"/>
    <cellStyle name="Millares 8 2" xfId="1273" xr:uid="{00000000-0005-0000-0000-000028180000}"/>
    <cellStyle name="Millares 8 2 2" xfId="2508" xr:uid="{00000000-0005-0000-0000-000029180000}"/>
    <cellStyle name="Millares 8 2 2 2" xfId="4975" xr:uid="{00000000-0005-0000-0000-00002A180000}"/>
    <cellStyle name="Millares 8 2 2 2 2" xfId="9907" xr:uid="{00000000-0005-0000-0000-00002B180000}"/>
    <cellStyle name="Millares 8 2 2 2 2 2" xfId="19767" xr:uid="{00000000-0005-0000-0000-00002C180000}"/>
    <cellStyle name="Millares 8 2 2 2 2 2 2" xfId="39482" xr:uid="{00000000-0005-0000-0000-00002D180000}"/>
    <cellStyle name="Millares 8 2 2 2 2 3" xfId="29625" xr:uid="{00000000-0005-0000-0000-00002E180000}"/>
    <cellStyle name="Millares 8 2 2 2 3" xfId="14839" xr:uid="{00000000-0005-0000-0000-00002F180000}"/>
    <cellStyle name="Millares 8 2 2 2 3 2" xfId="34554" xr:uid="{00000000-0005-0000-0000-000030180000}"/>
    <cellStyle name="Millares 8 2 2 2 4" xfId="24697" xr:uid="{00000000-0005-0000-0000-000031180000}"/>
    <cellStyle name="Millares 8 2 2 3" xfId="7443" xr:uid="{00000000-0005-0000-0000-000032180000}"/>
    <cellStyle name="Millares 8 2 2 3 2" xfId="17303" xr:uid="{00000000-0005-0000-0000-000033180000}"/>
    <cellStyle name="Millares 8 2 2 3 2 2" xfId="37018" xr:uid="{00000000-0005-0000-0000-000034180000}"/>
    <cellStyle name="Millares 8 2 2 3 3" xfId="27161" xr:uid="{00000000-0005-0000-0000-000035180000}"/>
    <cellStyle name="Millares 8 2 2 4" xfId="12375" xr:uid="{00000000-0005-0000-0000-000036180000}"/>
    <cellStyle name="Millares 8 2 2 4 2" xfId="32090" xr:uid="{00000000-0005-0000-0000-000037180000}"/>
    <cellStyle name="Millares 8 2 2 5" xfId="22233" xr:uid="{00000000-0005-0000-0000-000038180000}"/>
    <cellStyle name="Millares 8 2 3" xfId="3743" xr:uid="{00000000-0005-0000-0000-000039180000}"/>
    <cellStyle name="Millares 8 2 3 2" xfId="8675" xr:uid="{00000000-0005-0000-0000-00003A180000}"/>
    <cellStyle name="Millares 8 2 3 2 2" xfId="18535" xr:uid="{00000000-0005-0000-0000-00003B180000}"/>
    <cellStyle name="Millares 8 2 3 2 2 2" xfId="38250" xr:uid="{00000000-0005-0000-0000-00003C180000}"/>
    <cellStyle name="Millares 8 2 3 2 3" xfId="28393" xr:uid="{00000000-0005-0000-0000-00003D180000}"/>
    <cellStyle name="Millares 8 2 3 3" xfId="13607" xr:uid="{00000000-0005-0000-0000-00003E180000}"/>
    <cellStyle name="Millares 8 2 3 3 2" xfId="33322" xr:uid="{00000000-0005-0000-0000-00003F180000}"/>
    <cellStyle name="Millares 8 2 3 4" xfId="23465" xr:uid="{00000000-0005-0000-0000-000040180000}"/>
    <cellStyle name="Millares 8 2 4" xfId="6211" xr:uid="{00000000-0005-0000-0000-000041180000}"/>
    <cellStyle name="Millares 8 2 4 2" xfId="16071" xr:uid="{00000000-0005-0000-0000-000042180000}"/>
    <cellStyle name="Millares 8 2 4 2 2" xfId="35786" xr:uid="{00000000-0005-0000-0000-000043180000}"/>
    <cellStyle name="Millares 8 2 4 3" xfId="25929" xr:uid="{00000000-0005-0000-0000-000044180000}"/>
    <cellStyle name="Millares 8 2 5" xfId="11143" xr:uid="{00000000-0005-0000-0000-000045180000}"/>
    <cellStyle name="Millares 8 2 5 2" xfId="30858" xr:uid="{00000000-0005-0000-0000-000046180000}"/>
    <cellStyle name="Millares 8 2 6" xfId="21001" xr:uid="{00000000-0005-0000-0000-000047180000}"/>
    <cellStyle name="Millares 8 3" xfId="1892" xr:uid="{00000000-0005-0000-0000-000048180000}"/>
    <cellStyle name="Millares 8 3 2" xfId="4359" xr:uid="{00000000-0005-0000-0000-000049180000}"/>
    <cellStyle name="Millares 8 3 2 2" xfId="9291" xr:uid="{00000000-0005-0000-0000-00004A180000}"/>
    <cellStyle name="Millares 8 3 2 2 2" xfId="19151" xr:uid="{00000000-0005-0000-0000-00004B180000}"/>
    <cellStyle name="Millares 8 3 2 2 2 2" xfId="38866" xr:uid="{00000000-0005-0000-0000-00004C180000}"/>
    <cellStyle name="Millares 8 3 2 2 3" xfId="29009" xr:uid="{00000000-0005-0000-0000-00004D180000}"/>
    <cellStyle name="Millares 8 3 2 3" xfId="14223" xr:uid="{00000000-0005-0000-0000-00004E180000}"/>
    <cellStyle name="Millares 8 3 2 3 2" xfId="33938" xr:uid="{00000000-0005-0000-0000-00004F180000}"/>
    <cellStyle name="Millares 8 3 2 4" xfId="24081" xr:uid="{00000000-0005-0000-0000-000050180000}"/>
    <cellStyle name="Millares 8 3 3" xfId="6827" xr:uid="{00000000-0005-0000-0000-000051180000}"/>
    <cellStyle name="Millares 8 3 3 2" xfId="16687" xr:uid="{00000000-0005-0000-0000-000052180000}"/>
    <cellStyle name="Millares 8 3 3 2 2" xfId="36402" xr:uid="{00000000-0005-0000-0000-000053180000}"/>
    <cellStyle name="Millares 8 3 3 3" xfId="26545" xr:uid="{00000000-0005-0000-0000-000054180000}"/>
    <cellStyle name="Millares 8 3 4" xfId="11759" xr:uid="{00000000-0005-0000-0000-000055180000}"/>
    <cellStyle name="Millares 8 3 4 2" xfId="31474" xr:uid="{00000000-0005-0000-0000-000056180000}"/>
    <cellStyle name="Millares 8 3 5" xfId="21617" xr:uid="{00000000-0005-0000-0000-000057180000}"/>
    <cellStyle name="Millares 8 4" xfId="3127" xr:uid="{00000000-0005-0000-0000-000058180000}"/>
    <cellStyle name="Millares 8 4 2" xfId="8059" xr:uid="{00000000-0005-0000-0000-000059180000}"/>
    <cellStyle name="Millares 8 4 2 2" xfId="17919" xr:uid="{00000000-0005-0000-0000-00005A180000}"/>
    <cellStyle name="Millares 8 4 2 2 2" xfId="37634" xr:uid="{00000000-0005-0000-0000-00005B180000}"/>
    <cellStyle name="Millares 8 4 2 3" xfId="27777" xr:uid="{00000000-0005-0000-0000-00005C180000}"/>
    <cellStyle name="Millares 8 4 3" xfId="12991" xr:uid="{00000000-0005-0000-0000-00005D180000}"/>
    <cellStyle name="Millares 8 4 3 2" xfId="32706" xr:uid="{00000000-0005-0000-0000-00005E180000}"/>
    <cellStyle name="Millares 8 4 4" xfId="22849" xr:uid="{00000000-0005-0000-0000-00005F180000}"/>
    <cellStyle name="Millares 8 5" xfId="5595" xr:uid="{00000000-0005-0000-0000-000060180000}"/>
    <cellStyle name="Millares 8 5 2" xfId="15455" xr:uid="{00000000-0005-0000-0000-000061180000}"/>
    <cellStyle name="Millares 8 5 2 2" xfId="35170" xr:uid="{00000000-0005-0000-0000-000062180000}"/>
    <cellStyle name="Millares 8 5 3" xfId="25313" xr:uid="{00000000-0005-0000-0000-000063180000}"/>
    <cellStyle name="Millares 8 6" xfId="10527" xr:uid="{00000000-0005-0000-0000-000064180000}"/>
    <cellStyle name="Millares 8 6 2" xfId="30242" xr:uid="{00000000-0005-0000-0000-000065180000}"/>
    <cellStyle name="Millares 8 7" xfId="20385" xr:uid="{00000000-0005-0000-0000-000066180000}"/>
    <cellStyle name="Millares 9" xfId="657" xr:uid="{00000000-0005-0000-0000-000067180000}"/>
    <cellStyle name="Millares 9 2" xfId="1896" xr:uid="{00000000-0005-0000-0000-000068180000}"/>
    <cellStyle name="Millares 9 2 2" xfId="4363" xr:uid="{00000000-0005-0000-0000-000069180000}"/>
    <cellStyle name="Millares 9 2 2 2" xfId="9295" xr:uid="{00000000-0005-0000-0000-00006A180000}"/>
    <cellStyle name="Millares 9 2 2 2 2" xfId="19155" xr:uid="{00000000-0005-0000-0000-00006B180000}"/>
    <cellStyle name="Millares 9 2 2 2 2 2" xfId="38870" xr:uid="{00000000-0005-0000-0000-00006C180000}"/>
    <cellStyle name="Millares 9 2 2 2 3" xfId="29013" xr:uid="{00000000-0005-0000-0000-00006D180000}"/>
    <cellStyle name="Millares 9 2 2 3" xfId="14227" xr:uid="{00000000-0005-0000-0000-00006E180000}"/>
    <cellStyle name="Millares 9 2 2 3 2" xfId="33942" xr:uid="{00000000-0005-0000-0000-00006F180000}"/>
    <cellStyle name="Millares 9 2 2 4" xfId="24085" xr:uid="{00000000-0005-0000-0000-000070180000}"/>
    <cellStyle name="Millares 9 2 3" xfId="6831" xr:uid="{00000000-0005-0000-0000-000071180000}"/>
    <cellStyle name="Millares 9 2 3 2" xfId="16691" xr:uid="{00000000-0005-0000-0000-000072180000}"/>
    <cellStyle name="Millares 9 2 3 2 2" xfId="36406" xr:uid="{00000000-0005-0000-0000-000073180000}"/>
    <cellStyle name="Millares 9 2 3 3" xfId="26549" xr:uid="{00000000-0005-0000-0000-000074180000}"/>
    <cellStyle name="Millares 9 2 4" xfId="11763" xr:uid="{00000000-0005-0000-0000-000075180000}"/>
    <cellStyle name="Millares 9 2 4 2" xfId="31478" xr:uid="{00000000-0005-0000-0000-000076180000}"/>
    <cellStyle name="Millares 9 2 5" xfId="21621" xr:uid="{00000000-0005-0000-0000-000077180000}"/>
    <cellStyle name="Millares 9 3" xfId="3131" xr:uid="{00000000-0005-0000-0000-000078180000}"/>
    <cellStyle name="Millares 9 3 2" xfId="8063" xr:uid="{00000000-0005-0000-0000-000079180000}"/>
    <cellStyle name="Millares 9 3 2 2" xfId="17923" xr:uid="{00000000-0005-0000-0000-00007A180000}"/>
    <cellStyle name="Millares 9 3 2 2 2" xfId="37638" xr:uid="{00000000-0005-0000-0000-00007B180000}"/>
    <cellStyle name="Millares 9 3 2 3" xfId="27781" xr:uid="{00000000-0005-0000-0000-00007C180000}"/>
    <cellStyle name="Millares 9 3 3" xfId="12995" xr:uid="{00000000-0005-0000-0000-00007D180000}"/>
    <cellStyle name="Millares 9 3 3 2" xfId="32710" xr:uid="{00000000-0005-0000-0000-00007E180000}"/>
    <cellStyle name="Millares 9 3 4" xfId="22853" xr:uid="{00000000-0005-0000-0000-00007F180000}"/>
    <cellStyle name="Millares 9 4" xfId="5599" xr:uid="{00000000-0005-0000-0000-000080180000}"/>
    <cellStyle name="Millares 9 4 2" xfId="15459" xr:uid="{00000000-0005-0000-0000-000081180000}"/>
    <cellStyle name="Millares 9 4 2 2" xfId="35174" xr:uid="{00000000-0005-0000-0000-000082180000}"/>
    <cellStyle name="Millares 9 4 3" xfId="25317" xr:uid="{00000000-0005-0000-0000-000083180000}"/>
    <cellStyle name="Millares 9 5" xfId="10531" xr:uid="{00000000-0005-0000-0000-000084180000}"/>
    <cellStyle name="Millares 9 5 2" xfId="30246" xr:uid="{00000000-0005-0000-0000-000085180000}"/>
    <cellStyle name="Millares 9 6" xfId="20389" xr:uid="{00000000-0005-0000-0000-000086180000}"/>
    <cellStyle name="Moneda" xfId="39495" builtinId="4"/>
    <cellStyle name="Normal" xfId="0" builtinId="0"/>
    <cellStyle name="Normal 10" xfId="37" xr:uid="{00000000-0005-0000-0000-000089180000}"/>
    <cellStyle name="Normal 10 2" xfId="55" xr:uid="{00000000-0005-0000-0000-00008A180000}"/>
    <cellStyle name="Normal 11" xfId="33" xr:uid="{00000000-0005-0000-0000-00008B180000}"/>
    <cellStyle name="Normal 11 10" xfId="9933" xr:uid="{00000000-0005-0000-0000-00008C180000}"/>
    <cellStyle name="Normal 11 10 2" xfId="29648" xr:uid="{00000000-0005-0000-0000-00008D180000}"/>
    <cellStyle name="Normal 11 11" xfId="19791" xr:uid="{00000000-0005-0000-0000-00008E180000}"/>
    <cellStyle name="Normal 11 2" xfId="79" xr:uid="{00000000-0005-0000-0000-00008F180000}"/>
    <cellStyle name="Normal 11 2 10" xfId="19829" xr:uid="{00000000-0005-0000-0000-000090180000}"/>
    <cellStyle name="Normal 11 2 2" xfId="160" xr:uid="{00000000-0005-0000-0000-000091180000}"/>
    <cellStyle name="Normal 11 2 2 2" xfId="317" xr:uid="{00000000-0005-0000-0000-000092180000}"/>
    <cellStyle name="Normal 11 2 2 2 2" xfId="631" xr:uid="{00000000-0005-0000-0000-000093180000}"/>
    <cellStyle name="Normal 11 2 2 2 2 2" xfId="1251" xr:uid="{00000000-0005-0000-0000-000094180000}"/>
    <cellStyle name="Normal 11 2 2 2 2 2 2" xfId="2486" xr:uid="{00000000-0005-0000-0000-000095180000}"/>
    <cellStyle name="Normal 11 2 2 2 2 2 2 2" xfId="4953" xr:uid="{00000000-0005-0000-0000-000096180000}"/>
    <cellStyle name="Normal 11 2 2 2 2 2 2 2 2" xfId="9885" xr:uid="{00000000-0005-0000-0000-000097180000}"/>
    <cellStyle name="Normal 11 2 2 2 2 2 2 2 2 2" xfId="19745" xr:uid="{00000000-0005-0000-0000-000098180000}"/>
    <cellStyle name="Normal 11 2 2 2 2 2 2 2 2 2 2" xfId="39460" xr:uid="{00000000-0005-0000-0000-000099180000}"/>
    <cellStyle name="Normal 11 2 2 2 2 2 2 2 2 3" xfId="29603" xr:uid="{00000000-0005-0000-0000-00009A180000}"/>
    <cellStyle name="Normal 11 2 2 2 2 2 2 2 3" xfId="14817" xr:uid="{00000000-0005-0000-0000-00009B180000}"/>
    <cellStyle name="Normal 11 2 2 2 2 2 2 2 3 2" xfId="34532" xr:uid="{00000000-0005-0000-0000-00009C180000}"/>
    <cellStyle name="Normal 11 2 2 2 2 2 2 2 4" xfId="24675" xr:uid="{00000000-0005-0000-0000-00009D180000}"/>
    <cellStyle name="Normal 11 2 2 2 2 2 2 3" xfId="7421" xr:uid="{00000000-0005-0000-0000-00009E180000}"/>
    <cellStyle name="Normal 11 2 2 2 2 2 2 3 2" xfId="17281" xr:uid="{00000000-0005-0000-0000-00009F180000}"/>
    <cellStyle name="Normal 11 2 2 2 2 2 2 3 2 2" xfId="36996" xr:uid="{00000000-0005-0000-0000-0000A0180000}"/>
    <cellStyle name="Normal 11 2 2 2 2 2 2 3 3" xfId="27139" xr:uid="{00000000-0005-0000-0000-0000A1180000}"/>
    <cellStyle name="Normal 11 2 2 2 2 2 2 4" xfId="12353" xr:uid="{00000000-0005-0000-0000-0000A2180000}"/>
    <cellStyle name="Normal 11 2 2 2 2 2 2 4 2" xfId="32068" xr:uid="{00000000-0005-0000-0000-0000A3180000}"/>
    <cellStyle name="Normal 11 2 2 2 2 2 2 5" xfId="22211" xr:uid="{00000000-0005-0000-0000-0000A4180000}"/>
    <cellStyle name="Normal 11 2 2 2 2 2 3" xfId="3721" xr:uid="{00000000-0005-0000-0000-0000A5180000}"/>
    <cellStyle name="Normal 11 2 2 2 2 2 3 2" xfId="8653" xr:uid="{00000000-0005-0000-0000-0000A6180000}"/>
    <cellStyle name="Normal 11 2 2 2 2 2 3 2 2" xfId="18513" xr:uid="{00000000-0005-0000-0000-0000A7180000}"/>
    <cellStyle name="Normal 11 2 2 2 2 2 3 2 2 2" xfId="38228" xr:uid="{00000000-0005-0000-0000-0000A8180000}"/>
    <cellStyle name="Normal 11 2 2 2 2 2 3 2 3" xfId="28371" xr:uid="{00000000-0005-0000-0000-0000A9180000}"/>
    <cellStyle name="Normal 11 2 2 2 2 2 3 3" xfId="13585" xr:uid="{00000000-0005-0000-0000-0000AA180000}"/>
    <cellStyle name="Normal 11 2 2 2 2 2 3 3 2" xfId="33300" xr:uid="{00000000-0005-0000-0000-0000AB180000}"/>
    <cellStyle name="Normal 11 2 2 2 2 2 3 4" xfId="23443" xr:uid="{00000000-0005-0000-0000-0000AC180000}"/>
    <cellStyle name="Normal 11 2 2 2 2 2 4" xfId="6189" xr:uid="{00000000-0005-0000-0000-0000AD180000}"/>
    <cellStyle name="Normal 11 2 2 2 2 2 4 2" xfId="16049" xr:uid="{00000000-0005-0000-0000-0000AE180000}"/>
    <cellStyle name="Normal 11 2 2 2 2 2 4 2 2" xfId="35764" xr:uid="{00000000-0005-0000-0000-0000AF180000}"/>
    <cellStyle name="Normal 11 2 2 2 2 2 4 3" xfId="25907" xr:uid="{00000000-0005-0000-0000-0000B0180000}"/>
    <cellStyle name="Normal 11 2 2 2 2 2 5" xfId="11121" xr:uid="{00000000-0005-0000-0000-0000B1180000}"/>
    <cellStyle name="Normal 11 2 2 2 2 2 5 2" xfId="30836" xr:uid="{00000000-0005-0000-0000-0000B2180000}"/>
    <cellStyle name="Normal 11 2 2 2 2 2 6" xfId="20979" xr:uid="{00000000-0005-0000-0000-0000B3180000}"/>
    <cellStyle name="Normal 11 2 2 2 2 3" xfId="1870" xr:uid="{00000000-0005-0000-0000-0000B4180000}"/>
    <cellStyle name="Normal 11 2 2 2 2 3 2" xfId="4337" xr:uid="{00000000-0005-0000-0000-0000B5180000}"/>
    <cellStyle name="Normal 11 2 2 2 2 3 2 2" xfId="9269" xr:uid="{00000000-0005-0000-0000-0000B6180000}"/>
    <cellStyle name="Normal 11 2 2 2 2 3 2 2 2" xfId="19129" xr:uid="{00000000-0005-0000-0000-0000B7180000}"/>
    <cellStyle name="Normal 11 2 2 2 2 3 2 2 2 2" xfId="38844" xr:uid="{00000000-0005-0000-0000-0000B8180000}"/>
    <cellStyle name="Normal 11 2 2 2 2 3 2 2 3" xfId="28987" xr:uid="{00000000-0005-0000-0000-0000B9180000}"/>
    <cellStyle name="Normal 11 2 2 2 2 3 2 3" xfId="14201" xr:uid="{00000000-0005-0000-0000-0000BA180000}"/>
    <cellStyle name="Normal 11 2 2 2 2 3 2 3 2" xfId="33916" xr:uid="{00000000-0005-0000-0000-0000BB180000}"/>
    <cellStyle name="Normal 11 2 2 2 2 3 2 4" xfId="24059" xr:uid="{00000000-0005-0000-0000-0000BC180000}"/>
    <cellStyle name="Normal 11 2 2 2 2 3 3" xfId="6805" xr:uid="{00000000-0005-0000-0000-0000BD180000}"/>
    <cellStyle name="Normal 11 2 2 2 2 3 3 2" xfId="16665" xr:uid="{00000000-0005-0000-0000-0000BE180000}"/>
    <cellStyle name="Normal 11 2 2 2 2 3 3 2 2" xfId="36380" xr:uid="{00000000-0005-0000-0000-0000BF180000}"/>
    <cellStyle name="Normal 11 2 2 2 2 3 3 3" xfId="26523" xr:uid="{00000000-0005-0000-0000-0000C0180000}"/>
    <cellStyle name="Normal 11 2 2 2 2 3 4" xfId="11737" xr:uid="{00000000-0005-0000-0000-0000C1180000}"/>
    <cellStyle name="Normal 11 2 2 2 2 3 4 2" xfId="31452" xr:uid="{00000000-0005-0000-0000-0000C2180000}"/>
    <cellStyle name="Normal 11 2 2 2 2 3 5" xfId="21595" xr:uid="{00000000-0005-0000-0000-0000C3180000}"/>
    <cellStyle name="Normal 11 2 2 2 2 4" xfId="3105" xr:uid="{00000000-0005-0000-0000-0000C4180000}"/>
    <cellStyle name="Normal 11 2 2 2 2 4 2" xfId="8037" xr:uid="{00000000-0005-0000-0000-0000C5180000}"/>
    <cellStyle name="Normal 11 2 2 2 2 4 2 2" xfId="17897" xr:uid="{00000000-0005-0000-0000-0000C6180000}"/>
    <cellStyle name="Normal 11 2 2 2 2 4 2 2 2" xfId="37612" xr:uid="{00000000-0005-0000-0000-0000C7180000}"/>
    <cellStyle name="Normal 11 2 2 2 2 4 2 3" xfId="27755" xr:uid="{00000000-0005-0000-0000-0000C8180000}"/>
    <cellStyle name="Normal 11 2 2 2 2 4 3" xfId="12969" xr:uid="{00000000-0005-0000-0000-0000C9180000}"/>
    <cellStyle name="Normal 11 2 2 2 2 4 3 2" xfId="32684" xr:uid="{00000000-0005-0000-0000-0000CA180000}"/>
    <cellStyle name="Normal 11 2 2 2 2 4 4" xfId="22827" xr:uid="{00000000-0005-0000-0000-0000CB180000}"/>
    <cellStyle name="Normal 11 2 2 2 2 5" xfId="5573" xr:uid="{00000000-0005-0000-0000-0000CC180000}"/>
    <cellStyle name="Normal 11 2 2 2 2 5 2" xfId="15433" xr:uid="{00000000-0005-0000-0000-0000CD180000}"/>
    <cellStyle name="Normal 11 2 2 2 2 5 2 2" xfId="35148" xr:uid="{00000000-0005-0000-0000-0000CE180000}"/>
    <cellStyle name="Normal 11 2 2 2 2 5 3" xfId="25291" xr:uid="{00000000-0005-0000-0000-0000CF180000}"/>
    <cellStyle name="Normal 11 2 2 2 2 6" xfId="10505" xr:uid="{00000000-0005-0000-0000-0000D0180000}"/>
    <cellStyle name="Normal 11 2 2 2 2 6 2" xfId="30220" xr:uid="{00000000-0005-0000-0000-0000D1180000}"/>
    <cellStyle name="Normal 11 2 2 2 2 7" xfId="20363" xr:uid="{00000000-0005-0000-0000-0000D2180000}"/>
    <cellStyle name="Normal 11 2 2 2 3" xfId="944" xr:uid="{00000000-0005-0000-0000-0000D3180000}"/>
    <cellStyle name="Normal 11 2 2 2 3 2" xfId="2180" xr:uid="{00000000-0005-0000-0000-0000D4180000}"/>
    <cellStyle name="Normal 11 2 2 2 3 2 2" xfId="4647" xr:uid="{00000000-0005-0000-0000-0000D5180000}"/>
    <cellStyle name="Normal 11 2 2 2 3 2 2 2" xfId="9579" xr:uid="{00000000-0005-0000-0000-0000D6180000}"/>
    <cellStyle name="Normal 11 2 2 2 3 2 2 2 2" xfId="19439" xr:uid="{00000000-0005-0000-0000-0000D7180000}"/>
    <cellStyle name="Normal 11 2 2 2 3 2 2 2 2 2" xfId="39154" xr:uid="{00000000-0005-0000-0000-0000D8180000}"/>
    <cellStyle name="Normal 11 2 2 2 3 2 2 2 3" xfId="29297" xr:uid="{00000000-0005-0000-0000-0000D9180000}"/>
    <cellStyle name="Normal 11 2 2 2 3 2 2 3" xfId="14511" xr:uid="{00000000-0005-0000-0000-0000DA180000}"/>
    <cellStyle name="Normal 11 2 2 2 3 2 2 3 2" xfId="34226" xr:uid="{00000000-0005-0000-0000-0000DB180000}"/>
    <cellStyle name="Normal 11 2 2 2 3 2 2 4" xfId="24369" xr:uid="{00000000-0005-0000-0000-0000DC180000}"/>
    <cellStyle name="Normal 11 2 2 2 3 2 3" xfId="7115" xr:uid="{00000000-0005-0000-0000-0000DD180000}"/>
    <cellStyle name="Normal 11 2 2 2 3 2 3 2" xfId="16975" xr:uid="{00000000-0005-0000-0000-0000DE180000}"/>
    <cellStyle name="Normal 11 2 2 2 3 2 3 2 2" xfId="36690" xr:uid="{00000000-0005-0000-0000-0000DF180000}"/>
    <cellStyle name="Normal 11 2 2 2 3 2 3 3" xfId="26833" xr:uid="{00000000-0005-0000-0000-0000E0180000}"/>
    <cellStyle name="Normal 11 2 2 2 3 2 4" xfId="12047" xr:uid="{00000000-0005-0000-0000-0000E1180000}"/>
    <cellStyle name="Normal 11 2 2 2 3 2 4 2" xfId="31762" xr:uid="{00000000-0005-0000-0000-0000E2180000}"/>
    <cellStyle name="Normal 11 2 2 2 3 2 5" xfId="21905" xr:uid="{00000000-0005-0000-0000-0000E3180000}"/>
    <cellStyle name="Normal 11 2 2 2 3 3" xfId="3415" xr:uid="{00000000-0005-0000-0000-0000E4180000}"/>
    <cellStyle name="Normal 11 2 2 2 3 3 2" xfId="8347" xr:uid="{00000000-0005-0000-0000-0000E5180000}"/>
    <cellStyle name="Normal 11 2 2 2 3 3 2 2" xfId="18207" xr:uid="{00000000-0005-0000-0000-0000E6180000}"/>
    <cellStyle name="Normal 11 2 2 2 3 3 2 2 2" xfId="37922" xr:uid="{00000000-0005-0000-0000-0000E7180000}"/>
    <cellStyle name="Normal 11 2 2 2 3 3 2 3" xfId="28065" xr:uid="{00000000-0005-0000-0000-0000E8180000}"/>
    <cellStyle name="Normal 11 2 2 2 3 3 3" xfId="13279" xr:uid="{00000000-0005-0000-0000-0000E9180000}"/>
    <cellStyle name="Normal 11 2 2 2 3 3 3 2" xfId="32994" xr:uid="{00000000-0005-0000-0000-0000EA180000}"/>
    <cellStyle name="Normal 11 2 2 2 3 3 4" xfId="23137" xr:uid="{00000000-0005-0000-0000-0000EB180000}"/>
    <cellStyle name="Normal 11 2 2 2 3 4" xfId="5883" xr:uid="{00000000-0005-0000-0000-0000EC180000}"/>
    <cellStyle name="Normal 11 2 2 2 3 4 2" xfId="15743" xr:uid="{00000000-0005-0000-0000-0000ED180000}"/>
    <cellStyle name="Normal 11 2 2 2 3 4 2 2" xfId="35458" xr:uid="{00000000-0005-0000-0000-0000EE180000}"/>
    <cellStyle name="Normal 11 2 2 2 3 4 3" xfId="25601" xr:uid="{00000000-0005-0000-0000-0000EF180000}"/>
    <cellStyle name="Normal 11 2 2 2 3 5" xfId="10815" xr:uid="{00000000-0005-0000-0000-0000F0180000}"/>
    <cellStyle name="Normal 11 2 2 2 3 5 2" xfId="30530" xr:uid="{00000000-0005-0000-0000-0000F1180000}"/>
    <cellStyle name="Normal 11 2 2 2 3 6" xfId="20673" xr:uid="{00000000-0005-0000-0000-0000F2180000}"/>
    <cellStyle name="Normal 11 2 2 2 4" xfId="1564" xr:uid="{00000000-0005-0000-0000-0000F3180000}"/>
    <cellStyle name="Normal 11 2 2 2 4 2" xfId="4031" xr:uid="{00000000-0005-0000-0000-0000F4180000}"/>
    <cellStyle name="Normal 11 2 2 2 4 2 2" xfId="8963" xr:uid="{00000000-0005-0000-0000-0000F5180000}"/>
    <cellStyle name="Normal 11 2 2 2 4 2 2 2" xfId="18823" xr:uid="{00000000-0005-0000-0000-0000F6180000}"/>
    <cellStyle name="Normal 11 2 2 2 4 2 2 2 2" xfId="38538" xr:uid="{00000000-0005-0000-0000-0000F7180000}"/>
    <cellStyle name="Normal 11 2 2 2 4 2 2 3" xfId="28681" xr:uid="{00000000-0005-0000-0000-0000F8180000}"/>
    <cellStyle name="Normal 11 2 2 2 4 2 3" xfId="13895" xr:uid="{00000000-0005-0000-0000-0000F9180000}"/>
    <cellStyle name="Normal 11 2 2 2 4 2 3 2" xfId="33610" xr:uid="{00000000-0005-0000-0000-0000FA180000}"/>
    <cellStyle name="Normal 11 2 2 2 4 2 4" xfId="23753" xr:uid="{00000000-0005-0000-0000-0000FB180000}"/>
    <cellStyle name="Normal 11 2 2 2 4 3" xfId="6499" xr:uid="{00000000-0005-0000-0000-0000FC180000}"/>
    <cellStyle name="Normal 11 2 2 2 4 3 2" xfId="16359" xr:uid="{00000000-0005-0000-0000-0000FD180000}"/>
    <cellStyle name="Normal 11 2 2 2 4 3 2 2" xfId="36074" xr:uid="{00000000-0005-0000-0000-0000FE180000}"/>
    <cellStyle name="Normal 11 2 2 2 4 3 3" xfId="26217" xr:uid="{00000000-0005-0000-0000-0000FF180000}"/>
    <cellStyle name="Normal 11 2 2 2 4 4" xfId="11431" xr:uid="{00000000-0005-0000-0000-000000190000}"/>
    <cellStyle name="Normal 11 2 2 2 4 4 2" xfId="31146" xr:uid="{00000000-0005-0000-0000-000001190000}"/>
    <cellStyle name="Normal 11 2 2 2 4 5" xfId="21289" xr:uid="{00000000-0005-0000-0000-000002190000}"/>
    <cellStyle name="Normal 11 2 2 2 5" xfId="2799" xr:uid="{00000000-0005-0000-0000-000003190000}"/>
    <cellStyle name="Normal 11 2 2 2 5 2" xfId="7731" xr:uid="{00000000-0005-0000-0000-000004190000}"/>
    <cellStyle name="Normal 11 2 2 2 5 2 2" xfId="17591" xr:uid="{00000000-0005-0000-0000-000005190000}"/>
    <cellStyle name="Normal 11 2 2 2 5 2 2 2" xfId="37306" xr:uid="{00000000-0005-0000-0000-000006190000}"/>
    <cellStyle name="Normal 11 2 2 2 5 2 3" xfId="27449" xr:uid="{00000000-0005-0000-0000-000007190000}"/>
    <cellStyle name="Normal 11 2 2 2 5 3" xfId="12663" xr:uid="{00000000-0005-0000-0000-000008190000}"/>
    <cellStyle name="Normal 11 2 2 2 5 3 2" xfId="32378" xr:uid="{00000000-0005-0000-0000-000009190000}"/>
    <cellStyle name="Normal 11 2 2 2 5 4" xfId="22521" xr:uid="{00000000-0005-0000-0000-00000A190000}"/>
    <cellStyle name="Normal 11 2 2 2 6" xfId="5267" xr:uid="{00000000-0005-0000-0000-00000B190000}"/>
    <cellStyle name="Normal 11 2 2 2 6 2" xfId="15127" xr:uid="{00000000-0005-0000-0000-00000C190000}"/>
    <cellStyle name="Normal 11 2 2 2 6 2 2" xfId="34842" xr:uid="{00000000-0005-0000-0000-00000D190000}"/>
    <cellStyle name="Normal 11 2 2 2 6 3" xfId="24985" xr:uid="{00000000-0005-0000-0000-00000E190000}"/>
    <cellStyle name="Normal 11 2 2 2 7" xfId="10199" xr:uid="{00000000-0005-0000-0000-00000F190000}"/>
    <cellStyle name="Normal 11 2 2 2 7 2" xfId="29914" xr:uid="{00000000-0005-0000-0000-000010190000}"/>
    <cellStyle name="Normal 11 2 2 2 8" xfId="20057" xr:uid="{00000000-0005-0000-0000-000011190000}"/>
    <cellStyle name="Normal 11 2 2 3" xfId="479" xr:uid="{00000000-0005-0000-0000-000012190000}"/>
    <cellStyle name="Normal 11 2 2 3 2" xfId="1099" xr:uid="{00000000-0005-0000-0000-000013190000}"/>
    <cellStyle name="Normal 11 2 2 3 2 2" xfId="2334" xr:uid="{00000000-0005-0000-0000-000014190000}"/>
    <cellStyle name="Normal 11 2 2 3 2 2 2" xfId="4801" xr:uid="{00000000-0005-0000-0000-000015190000}"/>
    <cellStyle name="Normal 11 2 2 3 2 2 2 2" xfId="9733" xr:uid="{00000000-0005-0000-0000-000016190000}"/>
    <cellStyle name="Normal 11 2 2 3 2 2 2 2 2" xfId="19593" xr:uid="{00000000-0005-0000-0000-000017190000}"/>
    <cellStyle name="Normal 11 2 2 3 2 2 2 2 2 2" xfId="39308" xr:uid="{00000000-0005-0000-0000-000018190000}"/>
    <cellStyle name="Normal 11 2 2 3 2 2 2 2 3" xfId="29451" xr:uid="{00000000-0005-0000-0000-000019190000}"/>
    <cellStyle name="Normal 11 2 2 3 2 2 2 3" xfId="14665" xr:uid="{00000000-0005-0000-0000-00001A190000}"/>
    <cellStyle name="Normal 11 2 2 3 2 2 2 3 2" xfId="34380" xr:uid="{00000000-0005-0000-0000-00001B190000}"/>
    <cellStyle name="Normal 11 2 2 3 2 2 2 4" xfId="24523" xr:uid="{00000000-0005-0000-0000-00001C190000}"/>
    <cellStyle name="Normal 11 2 2 3 2 2 3" xfId="7269" xr:uid="{00000000-0005-0000-0000-00001D190000}"/>
    <cellStyle name="Normal 11 2 2 3 2 2 3 2" xfId="17129" xr:uid="{00000000-0005-0000-0000-00001E190000}"/>
    <cellStyle name="Normal 11 2 2 3 2 2 3 2 2" xfId="36844" xr:uid="{00000000-0005-0000-0000-00001F190000}"/>
    <cellStyle name="Normal 11 2 2 3 2 2 3 3" xfId="26987" xr:uid="{00000000-0005-0000-0000-000020190000}"/>
    <cellStyle name="Normal 11 2 2 3 2 2 4" xfId="12201" xr:uid="{00000000-0005-0000-0000-000021190000}"/>
    <cellStyle name="Normal 11 2 2 3 2 2 4 2" xfId="31916" xr:uid="{00000000-0005-0000-0000-000022190000}"/>
    <cellStyle name="Normal 11 2 2 3 2 2 5" xfId="22059" xr:uid="{00000000-0005-0000-0000-000023190000}"/>
    <cellStyle name="Normal 11 2 2 3 2 3" xfId="3569" xr:uid="{00000000-0005-0000-0000-000024190000}"/>
    <cellStyle name="Normal 11 2 2 3 2 3 2" xfId="8501" xr:uid="{00000000-0005-0000-0000-000025190000}"/>
    <cellStyle name="Normal 11 2 2 3 2 3 2 2" xfId="18361" xr:uid="{00000000-0005-0000-0000-000026190000}"/>
    <cellStyle name="Normal 11 2 2 3 2 3 2 2 2" xfId="38076" xr:uid="{00000000-0005-0000-0000-000027190000}"/>
    <cellStyle name="Normal 11 2 2 3 2 3 2 3" xfId="28219" xr:uid="{00000000-0005-0000-0000-000028190000}"/>
    <cellStyle name="Normal 11 2 2 3 2 3 3" xfId="13433" xr:uid="{00000000-0005-0000-0000-000029190000}"/>
    <cellStyle name="Normal 11 2 2 3 2 3 3 2" xfId="33148" xr:uid="{00000000-0005-0000-0000-00002A190000}"/>
    <cellStyle name="Normal 11 2 2 3 2 3 4" xfId="23291" xr:uid="{00000000-0005-0000-0000-00002B190000}"/>
    <cellStyle name="Normal 11 2 2 3 2 4" xfId="6037" xr:uid="{00000000-0005-0000-0000-00002C190000}"/>
    <cellStyle name="Normal 11 2 2 3 2 4 2" xfId="15897" xr:uid="{00000000-0005-0000-0000-00002D190000}"/>
    <cellStyle name="Normal 11 2 2 3 2 4 2 2" xfId="35612" xr:uid="{00000000-0005-0000-0000-00002E190000}"/>
    <cellStyle name="Normal 11 2 2 3 2 4 3" xfId="25755" xr:uid="{00000000-0005-0000-0000-00002F190000}"/>
    <cellStyle name="Normal 11 2 2 3 2 5" xfId="10969" xr:uid="{00000000-0005-0000-0000-000030190000}"/>
    <cellStyle name="Normal 11 2 2 3 2 5 2" xfId="30684" xr:uid="{00000000-0005-0000-0000-000031190000}"/>
    <cellStyle name="Normal 11 2 2 3 2 6" xfId="20827" xr:uid="{00000000-0005-0000-0000-000032190000}"/>
    <cellStyle name="Normal 11 2 2 3 3" xfId="1718" xr:uid="{00000000-0005-0000-0000-000033190000}"/>
    <cellStyle name="Normal 11 2 2 3 3 2" xfId="4185" xr:uid="{00000000-0005-0000-0000-000034190000}"/>
    <cellStyle name="Normal 11 2 2 3 3 2 2" xfId="9117" xr:uid="{00000000-0005-0000-0000-000035190000}"/>
    <cellStyle name="Normal 11 2 2 3 3 2 2 2" xfId="18977" xr:uid="{00000000-0005-0000-0000-000036190000}"/>
    <cellStyle name="Normal 11 2 2 3 3 2 2 2 2" xfId="38692" xr:uid="{00000000-0005-0000-0000-000037190000}"/>
    <cellStyle name="Normal 11 2 2 3 3 2 2 3" xfId="28835" xr:uid="{00000000-0005-0000-0000-000038190000}"/>
    <cellStyle name="Normal 11 2 2 3 3 2 3" xfId="14049" xr:uid="{00000000-0005-0000-0000-000039190000}"/>
    <cellStyle name="Normal 11 2 2 3 3 2 3 2" xfId="33764" xr:uid="{00000000-0005-0000-0000-00003A190000}"/>
    <cellStyle name="Normal 11 2 2 3 3 2 4" xfId="23907" xr:uid="{00000000-0005-0000-0000-00003B190000}"/>
    <cellStyle name="Normal 11 2 2 3 3 3" xfId="6653" xr:uid="{00000000-0005-0000-0000-00003C190000}"/>
    <cellStyle name="Normal 11 2 2 3 3 3 2" xfId="16513" xr:uid="{00000000-0005-0000-0000-00003D190000}"/>
    <cellStyle name="Normal 11 2 2 3 3 3 2 2" xfId="36228" xr:uid="{00000000-0005-0000-0000-00003E190000}"/>
    <cellStyle name="Normal 11 2 2 3 3 3 3" xfId="26371" xr:uid="{00000000-0005-0000-0000-00003F190000}"/>
    <cellStyle name="Normal 11 2 2 3 3 4" xfId="11585" xr:uid="{00000000-0005-0000-0000-000040190000}"/>
    <cellStyle name="Normal 11 2 2 3 3 4 2" xfId="31300" xr:uid="{00000000-0005-0000-0000-000041190000}"/>
    <cellStyle name="Normal 11 2 2 3 3 5" xfId="21443" xr:uid="{00000000-0005-0000-0000-000042190000}"/>
    <cellStyle name="Normal 11 2 2 3 4" xfId="2953" xr:uid="{00000000-0005-0000-0000-000043190000}"/>
    <cellStyle name="Normal 11 2 2 3 4 2" xfId="7885" xr:uid="{00000000-0005-0000-0000-000044190000}"/>
    <cellStyle name="Normal 11 2 2 3 4 2 2" xfId="17745" xr:uid="{00000000-0005-0000-0000-000045190000}"/>
    <cellStyle name="Normal 11 2 2 3 4 2 2 2" xfId="37460" xr:uid="{00000000-0005-0000-0000-000046190000}"/>
    <cellStyle name="Normal 11 2 2 3 4 2 3" xfId="27603" xr:uid="{00000000-0005-0000-0000-000047190000}"/>
    <cellStyle name="Normal 11 2 2 3 4 3" xfId="12817" xr:uid="{00000000-0005-0000-0000-000048190000}"/>
    <cellStyle name="Normal 11 2 2 3 4 3 2" xfId="32532" xr:uid="{00000000-0005-0000-0000-000049190000}"/>
    <cellStyle name="Normal 11 2 2 3 4 4" xfId="22675" xr:uid="{00000000-0005-0000-0000-00004A190000}"/>
    <cellStyle name="Normal 11 2 2 3 5" xfId="5421" xr:uid="{00000000-0005-0000-0000-00004B190000}"/>
    <cellStyle name="Normal 11 2 2 3 5 2" xfId="15281" xr:uid="{00000000-0005-0000-0000-00004C190000}"/>
    <cellStyle name="Normal 11 2 2 3 5 2 2" xfId="34996" xr:uid="{00000000-0005-0000-0000-00004D190000}"/>
    <cellStyle name="Normal 11 2 2 3 5 3" xfId="25139" xr:uid="{00000000-0005-0000-0000-00004E190000}"/>
    <cellStyle name="Normal 11 2 2 3 6" xfId="10353" xr:uid="{00000000-0005-0000-0000-00004F190000}"/>
    <cellStyle name="Normal 11 2 2 3 6 2" xfId="30068" xr:uid="{00000000-0005-0000-0000-000050190000}"/>
    <cellStyle name="Normal 11 2 2 3 7" xfId="20211" xr:uid="{00000000-0005-0000-0000-000051190000}"/>
    <cellStyle name="Normal 11 2 2 4" xfId="792" xr:uid="{00000000-0005-0000-0000-000052190000}"/>
    <cellStyle name="Normal 11 2 2 4 2" xfId="2028" xr:uid="{00000000-0005-0000-0000-000053190000}"/>
    <cellStyle name="Normal 11 2 2 4 2 2" xfId="4495" xr:uid="{00000000-0005-0000-0000-000054190000}"/>
    <cellStyle name="Normal 11 2 2 4 2 2 2" xfId="9427" xr:uid="{00000000-0005-0000-0000-000055190000}"/>
    <cellStyle name="Normal 11 2 2 4 2 2 2 2" xfId="19287" xr:uid="{00000000-0005-0000-0000-000056190000}"/>
    <cellStyle name="Normal 11 2 2 4 2 2 2 2 2" xfId="39002" xr:uid="{00000000-0005-0000-0000-000057190000}"/>
    <cellStyle name="Normal 11 2 2 4 2 2 2 3" xfId="29145" xr:uid="{00000000-0005-0000-0000-000058190000}"/>
    <cellStyle name="Normal 11 2 2 4 2 2 3" xfId="14359" xr:uid="{00000000-0005-0000-0000-000059190000}"/>
    <cellStyle name="Normal 11 2 2 4 2 2 3 2" xfId="34074" xr:uid="{00000000-0005-0000-0000-00005A190000}"/>
    <cellStyle name="Normal 11 2 2 4 2 2 4" xfId="24217" xr:uid="{00000000-0005-0000-0000-00005B190000}"/>
    <cellStyle name="Normal 11 2 2 4 2 3" xfId="6963" xr:uid="{00000000-0005-0000-0000-00005C190000}"/>
    <cellStyle name="Normal 11 2 2 4 2 3 2" xfId="16823" xr:uid="{00000000-0005-0000-0000-00005D190000}"/>
    <cellStyle name="Normal 11 2 2 4 2 3 2 2" xfId="36538" xr:uid="{00000000-0005-0000-0000-00005E190000}"/>
    <cellStyle name="Normal 11 2 2 4 2 3 3" xfId="26681" xr:uid="{00000000-0005-0000-0000-00005F190000}"/>
    <cellStyle name="Normal 11 2 2 4 2 4" xfId="11895" xr:uid="{00000000-0005-0000-0000-000060190000}"/>
    <cellStyle name="Normal 11 2 2 4 2 4 2" xfId="31610" xr:uid="{00000000-0005-0000-0000-000061190000}"/>
    <cellStyle name="Normal 11 2 2 4 2 5" xfId="21753" xr:uid="{00000000-0005-0000-0000-000062190000}"/>
    <cellStyle name="Normal 11 2 2 4 3" xfId="3263" xr:uid="{00000000-0005-0000-0000-000063190000}"/>
    <cellStyle name="Normal 11 2 2 4 3 2" xfId="8195" xr:uid="{00000000-0005-0000-0000-000064190000}"/>
    <cellStyle name="Normal 11 2 2 4 3 2 2" xfId="18055" xr:uid="{00000000-0005-0000-0000-000065190000}"/>
    <cellStyle name="Normal 11 2 2 4 3 2 2 2" xfId="37770" xr:uid="{00000000-0005-0000-0000-000066190000}"/>
    <cellStyle name="Normal 11 2 2 4 3 2 3" xfId="27913" xr:uid="{00000000-0005-0000-0000-000067190000}"/>
    <cellStyle name="Normal 11 2 2 4 3 3" xfId="13127" xr:uid="{00000000-0005-0000-0000-000068190000}"/>
    <cellStyle name="Normal 11 2 2 4 3 3 2" xfId="32842" xr:uid="{00000000-0005-0000-0000-000069190000}"/>
    <cellStyle name="Normal 11 2 2 4 3 4" xfId="22985" xr:uid="{00000000-0005-0000-0000-00006A190000}"/>
    <cellStyle name="Normal 11 2 2 4 4" xfId="5731" xr:uid="{00000000-0005-0000-0000-00006B190000}"/>
    <cellStyle name="Normal 11 2 2 4 4 2" xfId="15591" xr:uid="{00000000-0005-0000-0000-00006C190000}"/>
    <cellStyle name="Normal 11 2 2 4 4 2 2" xfId="35306" xr:uid="{00000000-0005-0000-0000-00006D190000}"/>
    <cellStyle name="Normal 11 2 2 4 4 3" xfId="25449" xr:uid="{00000000-0005-0000-0000-00006E190000}"/>
    <cellStyle name="Normal 11 2 2 4 5" xfId="10663" xr:uid="{00000000-0005-0000-0000-00006F190000}"/>
    <cellStyle name="Normal 11 2 2 4 5 2" xfId="30378" xr:uid="{00000000-0005-0000-0000-000070190000}"/>
    <cellStyle name="Normal 11 2 2 4 6" xfId="20521" xr:uid="{00000000-0005-0000-0000-000071190000}"/>
    <cellStyle name="Normal 11 2 2 5" xfId="1412" xr:uid="{00000000-0005-0000-0000-000072190000}"/>
    <cellStyle name="Normal 11 2 2 5 2" xfId="3879" xr:uid="{00000000-0005-0000-0000-000073190000}"/>
    <cellStyle name="Normal 11 2 2 5 2 2" xfId="8811" xr:uid="{00000000-0005-0000-0000-000074190000}"/>
    <cellStyle name="Normal 11 2 2 5 2 2 2" xfId="18671" xr:uid="{00000000-0005-0000-0000-000075190000}"/>
    <cellStyle name="Normal 11 2 2 5 2 2 2 2" xfId="38386" xr:uid="{00000000-0005-0000-0000-000076190000}"/>
    <cellStyle name="Normal 11 2 2 5 2 2 3" xfId="28529" xr:uid="{00000000-0005-0000-0000-000077190000}"/>
    <cellStyle name="Normal 11 2 2 5 2 3" xfId="13743" xr:uid="{00000000-0005-0000-0000-000078190000}"/>
    <cellStyle name="Normal 11 2 2 5 2 3 2" xfId="33458" xr:uid="{00000000-0005-0000-0000-000079190000}"/>
    <cellStyle name="Normal 11 2 2 5 2 4" xfId="23601" xr:uid="{00000000-0005-0000-0000-00007A190000}"/>
    <cellStyle name="Normal 11 2 2 5 3" xfId="6347" xr:uid="{00000000-0005-0000-0000-00007B190000}"/>
    <cellStyle name="Normal 11 2 2 5 3 2" xfId="16207" xr:uid="{00000000-0005-0000-0000-00007C190000}"/>
    <cellStyle name="Normal 11 2 2 5 3 2 2" xfId="35922" xr:uid="{00000000-0005-0000-0000-00007D190000}"/>
    <cellStyle name="Normal 11 2 2 5 3 3" xfId="26065" xr:uid="{00000000-0005-0000-0000-00007E190000}"/>
    <cellStyle name="Normal 11 2 2 5 4" xfId="11279" xr:uid="{00000000-0005-0000-0000-00007F190000}"/>
    <cellStyle name="Normal 11 2 2 5 4 2" xfId="30994" xr:uid="{00000000-0005-0000-0000-000080190000}"/>
    <cellStyle name="Normal 11 2 2 5 5" xfId="21137" xr:uid="{00000000-0005-0000-0000-000081190000}"/>
    <cellStyle name="Normal 11 2 2 6" xfId="2647" xr:uid="{00000000-0005-0000-0000-000082190000}"/>
    <cellStyle name="Normal 11 2 2 6 2" xfId="7579" xr:uid="{00000000-0005-0000-0000-000083190000}"/>
    <cellStyle name="Normal 11 2 2 6 2 2" xfId="17439" xr:uid="{00000000-0005-0000-0000-000084190000}"/>
    <cellStyle name="Normal 11 2 2 6 2 2 2" xfId="37154" xr:uid="{00000000-0005-0000-0000-000085190000}"/>
    <cellStyle name="Normal 11 2 2 6 2 3" xfId="27297" xr:uid="{00000000-0005-0000-0000-000086190000}"/>
    <cellStyle name="Normal 11 2 2 6 3" xfId="12511" xr:uid="{00000000-0005-0000-0000-000087190000}"/>
    <cellStyle name="Normal 11 2 2 6 3 2" xfId="32226" xr:uid="{00000000-0005-0000-0000-000088190000}"/>
    <cellStyle name="Normal 11 2 2 6 4" xfId="22369" xr:uid="{00000000-0005-0000-0000-000089190000}"/>
    <cellStyle name="Normal 11 2 2 7" xfId="5115" xr:uid="{00000000-0005-0000-0000-00008A190000}"/>
    <cellStyle name="Normal 11 2 2 7 2" xfId="14975" xr:uid="{00000000-0005-0000-0000-00008B190000}"/>
    <cellStyle name="Normal 11 2 2 7 2 2" xfId="34690" xr:uid="{00000000-0005-0000-0000-00008C190000}"/>
    <cellStyle name="Normal 11 2 2 7 3" xfId="24833" xr:uid="{00000000-0005-0000-0000-00008D190000}"/>
    <cellStyle name="Normal 11 2 2 8" xfId="10047" xr:uid="{00000000-0005-0000-0000-00008E190000}"/>
    <cellStyle name="Normal 11 2 2 8 2" xfId="29762" xr:uid="{00000000-0005-0000-0000-00008F190000}"/>
    <cellStyle name="Normal 11 2 2 9" xfId="19905" xr:uid="{00000000-0005-0000-0000-000090190000}"/>
    <cellStyle name="Normal 11 2 3" xfId="241" xr:uid="{00000000-0005-0000-0000-000091190000}"/>
    <cellStyle name="Normal 11 2 3 2" xfId="555" xr:uid="{00000000-0005-0000-0000-000092190000}"/>
    <cellStyle name="Normal 11 2 3 2 2" xfId="1175" xr:uid="{00000000-0005-0000-0000-000093190000}"/>
    <cellStyle name="Normal 11 2 3 2 2 2" xfId="2410" xr:uid="{00000000-0005-0000-0000-000094190000}"/>
    <cellStyle name="Normal 11 2 3 2 2 2 2" xfId="4877" xr:uid="{00000000-0005-0000-0000-000095190000}"/>
    <cellStyle name="Normal 11 2 3 2 2 2 2 2" xfId="9809" xr:uid="{00000000-0005-0000-0000-000096190000}"/>
    <cellStyle name="Normal 11 2 3 2 2 2 2 2 2" xfId="19669" xr:uid="{00000000-0005-0000-0000-000097190000}"/>
    <cellStyle name="Normal 11 2 3 2 2 2 2 2 2 2" xfId="39384" xr:uid="{00000000-0005-0000-0000-000098190000}"/>
    <cellStyle name="Normal 11 2 3 2 2 2 2 2 3" xfId="29527" xr:uid="{00000000-0005-0000-0000-000099190000}"/>
    <cellStyle name="Normal 11 2 3 2 2 2 2 3" xfId="14741" xr:uid="{00000000-0005-0000-0000-00009A190000}"/>
    <cellStyle name="Normal 11 2 3 2 2 2 2 3 2" xfId="34456" xr:uid="{00000000-0005-0000-0000-00009B190000}"/>
    <cellStyle name="Normal 11 2 3 2 2 2 2 4" xfId="24599" xr:uid="{00000000-0005-0000-0000-00009C190000}"/>
    <cellStyle name="Normal 11 2 3 2 2 2 3" xfId="7345" xr:uid="{00000000-0005-0000-0000-00009D190000}"/>
    <cellStyle name="Normal 11 2 3 2 2 2 3 2" xfId="17205" xr:uid="{00000000-0005-0000-0000-00009E190000}"/>
    <cellStyle name="Normal 11 2 3 2 2 2 3 2 2" xfId="36920" xr:uid="{00000000-0005-0000-0000-00009F190000}"/>
    <cellStyle name="Normal 11 2 3 2 2 2 3 3" xfId="27063" xr:uid="{00000000-0005-0000-0000-0000A0190000}"/>
    <cellStyle name="Normal 11 2 3 2 2 2 4" xfId="12277" xr:uid="{00000000-0005-0000-0000-0000A1190000}"/>
    <cellStyle name="Normal 11 2 3 2 2 2 4 2" xfId="31992" xr:uid="{00000000-0005-0000-0000-0000A2190000}"/>
    <cellStyle name="Normal 11 2 3 2 2 2 5" xfId="22135" xr:uid="{00000000-0005-0000-0000-0000A3190000}"/>
    <cellStyle name="Normal 11 2 3 2 2 3" xfId="3645" xr:uid="{00000000-0005-0000-0000-0000A4190000}"/>
    <cellStyle name="Normal 11 2 3 2 2 3 2" xfId="8577" xr:uid="{00000000-0005-0000-0000-0000A5190000}"/>
    <cellStyle name="Normal 11 2 3 2 2 3 2 2" xfId="18437" xr:uid="{00000000-0005-0000-0000-0000A6190000}"/>
    <cellStyle name="Normal 11 2 3 2 2 3 2 2 2" xfId="38152" xr:uid="{00000000-0005-0000-0000-0000A7190000}"/>
    <cellStyle name="Normal 11 2 3 2 2 3 2 3" xfId="28295" xr:uid="{00000000-0005-0000-0000-0000A8190000}"/>
    <cellStyle name="Normal 11 2 3 2 2 3 3" xfId="13509" xr:uid="{00000000-0005-0000-0000-0000A9190000}"/>
    <cellStyle name="Normal 11 2 3 2 2 3 3 2" xfId="33224" xr:uid="{00000000-0005-0000-0000-0000AA190000}"/>
    <cellStyle name="Normal 11 2 3 2 2 3 4" xfId="23367" xr:uid="{00000000-0005-0000-0000-0000AB190000}"/>
    <cellStyle name="Normal 11 2 3 2 2 4" xfId="6113" xr:uid="{00000000-0005-0000-0000-0000AC190000}"/>
    <cellStyle name="Normal 11 2 3 2 2 4 2" xfId="15973" xr:uid="{00000000-0005-0000-0000-0000AD190000}"/>
    <cellStyle name="Normal 11 2 3 2 2 4 2 2" xfId="35688" xr:uid="{00000000-0005-0000-0000-0000AE190000}"/>
    <cellStyle name="Normal 11 2 3 2 2 4 3" xfId="25831" xr:uid="{00000000-0005-0000-0000-0000AF190000}"/>
    <cellStyle name="Normal 11 2 3 2 2 5" xfId="11045" xr:uid="{00000000-0005-0000-0000-0000B0190000}"/>
    <cellStyle name="Normal 11 2 3 2 2 5 2" xfId="30760" xr:uid="{00000000-0005-0000-0000-0000B1190000}"/>
    <cellStyle name="Normal 11 2 3 2 2 6" xfId="20903" xr:uid="{00000000-0005-0000-0000-0000B2190000}"/>
    <cellStyle name="Normal 11 2 3 2 3" xfId="1794" xr:uid="{00000000-0005-0000-0000-0000B3190000}"/>
    <cellStyle name="Normal 11 2 3 2 3 2" xfId="4261" xr:uid="{00000000-0005-0000-0000-0000B4190000}"/>
    <cellStyle name="Normal 11 2 3 2 3 2 2" xfId="9193" xr:uid="{00000000-0005-0000-0000-0000B5190000}"/>
    <cellStyle name="Normal 11 2 3 2 3 2 2 2" xfId="19053" xr:uid="{00000000-0005-0000-0000-0000B6190000}"/>
    <cellStyle name="Normal 11 2 3 2 3 2 2 2 2" xfId="38768" xr:uid="{00000000-0005-0000-0000-0000B7190000}"/>
    <cellStyle name="Normal 11 2 3 2 3 2 2 3" xfId="28911" xr:uid="{00000000-0005-0000-0000-0000B8190000}"/>
    <cellStyle name="Normal 11 2 3 2 3 2 3" xfId="14125" xr:uid="{00000000-0005-0000-0000-0000B9190000}"/>
    <cellStyle name="Normal 11 2 3 2 3 2 3 2" xfId="33840" xr:uid="{00000000-0005-0000-0000-0000BA190000}"/>
    <cellStyle name="Normal 11 2 3 2 3 2 4" xfId="23983" xr:uid="{00000000-0005-0000-0000-0000BB190000}"/>
    <cellStyle name="Normal 11 2 3 2 3 3" xfId="6729" xr:uid="{00000000-0005-0000-0000-0000BC190000}"/>
    <cellStyle name="Normal 11 2 3 2 3 3 2" xfId="16589" xr:uid="{00000000-0005-0000-0000-0000BD190000}"/>
    <cellStyle name="Normal 11 2 3 2 3 3 2 2" xfId="36304" xr:uid="{00000000-0005-0000-0000-0000BE190000}"/>
    <cellStyle name="Normal 11 2 3 2 3 3 3" xfId="26447" xr:uid="{00000000-0005-0000-0000-0000BF190000}"/>
    <cellStyle name="Normal 11 2 3 2 3 4" xfId="11661" xr:uid="{00000000-0005-0000-0000-0000C0190000}"/>
    <cellStyle name="Normal 11 2 3 2 3 4 2" xfId="31376" xr:uid="{00000000-0005-0000-0000-0000C1190000}"/>
    <cellStyle name="Normal 11 2 3 2 3 5" xfId="21519" xr:uid="{00000000-0005-0000-0000-0000C2190000}"/>
    <cellStyle name="Normal 11 2 3 2 4" xfId="3029" xr:uid="{00000000-0005-0000-0000-0000C3190000}"/>
    <cellStyle name="Normal 11 2 3 2 4 2" xfId="7961" xr:uid="{00000000-0005-0000-0000-0000C4190000}"/>
    <cellStyle name="Normal 11 2 3 2 4 2 2" xfId="17821" xr:uid="{00000000-0005-0000-0000-0000C5190000}"/>
    <cellStyle name="Normal 11 2 3 2 4 2 2 2" xfId="37536" xr:uid="{00000000-0005-0000-0000-0000C6190000}"/>
    <cellStyle name="Normal 11 2 3 2 4 2 3" xfId="27679" xr:uid="{00000000-0005-0000-0000-0000C7190000}"/>
    <cellStyle name="Normal 11 2 3 2 4 3" xfId="12893" xr:uid="{00000000-0005-0000-0000-0000C8190000}"/>
    <cellStyle name="Normal 11 2 3 2 4 3 2" xfId="32608" xr:uid="{00000000-0005-0000-0000-0000C9190000}"/>
    <cellStyle name="Normal 11 2 3 2 4 4" xfId="22751" xr:uid="{00000000-0005-0000-0000-0000CA190000}"/>
    <cellStyle name="Normal 11 2 3 2 5" xfId="5497" xr:uid="{00000000-0005-0000-0000-0000CB190000}"/>
    <cellStyle name="Normal 11 2 3 2 5 2" xfId="15357" xr:uid="{00000000-0005-0000-0000-0000CC190000}"/>
    <cellStyle name="Normal 11 2 3 2 5 2 2" xfId="35072" xr:uid="{00000000-0005-0000-0000-0000CD190000}"/>
    <cellStyle name="Normal 11 2 3 2 5 3" xfId="25215" xr:uid="{00000000-0005-0000-0000-0000CE190000}"/>
    <cellStyle name="Normal 11 2 3 2 6" xfId="10429" xr:uid="{00000000-0005-0000-0000-0000CF190000}"/>
    <cellStyle name="Normal 11 2 3 2 6 2" xfId="30144" xr:uid="{00000000-0005-0000-0000-0000D0190000}"/>
    <cellStyle name="Normal 11 2 3 2 7" xfId="20287" xr:uid="{00000000-0005-0000-0000-0000D1190000}"/>
    <cellStyle name="Normal 11 2 3 3" xfId="868" xr:uid="{00000000-0005-0000-0000-0000D2190000}"/>
    <cellStyle name="Normal 11 2 3 3 2" xfId="2104" xr:uid="{00000000-0005-0000-0000-0000D3190000}"/>
    <cellStyle name="Normal 11 2 3 3 2 2" xfId="4571" xr:uid="{00000000-0005-0000-0000-0000D4190000}"/>
    <cellStyle name="Normal 11 2 3 3 2 2 2" xfId="9503" xr:uid="{00000000-0005-0000-0000-0000D5190000}"/>
    <cellStyle name="Normal 11 2 3 3 2 2 2 2" xfId="19363" xr:uid="{00000000-0005-0000-0000-0000D6190000}"/>
    <cellStyle name="Normal 11 2 3 3 2 2 2 2 2" xfId="39078" xr:uid="{00000000-0005-0000-0000-0000D7190000}"/>
    <cellStyle name="Normal 11 2 3 3 2 2 2 3" xfId="29221" xr:uid="{00000000-0005-0000-0000-0000D8190000}"/>
    <cellStyle name="Normal 11 2 3 3 2 2 3" xfId="14435" xr:uid="{00000000-0005-0000-0000-0000D9190000}"/>
    <cellStyle name="Normal 11 2 3 3 2 2 3 2" xfId="34150" xr:uid="{00000000-0005-0000-0000-0000DA190000}"/>
    <cellStyle name="Normal 11 2 3 3 2 2 4" xfId="24293" xr:uid="{00000000-0005-0000-0000-0000DB190000}"/>
    <cellStyle name="Normal 11 2 3 3 2 3" xfId="7039" xr:uid="{00000000-0005-0000-0000-0000DC190000}"/>
    <cellStyle name="Normal 11 2 3 3 2 3 2" xfId="16899" xr:uid="{00000000-0005-0000-0000-0000DD190000}"/>
    <cellStyle name="Normal 11 2 3 3 2 3 2 2" xfId="36614" xr:uid="{00000000-0005-0000-0000-0000DE190000}"/>
    <cellStyle name="Normal 11 2 3 3 2 3 3" xfId="26757" xr:uid="{00000000-0005-0000-0000-0000DF190000}"/>
    <cellStyle name="Normal 11 2 3 3 2 4" xfId="11971" xr:uid="{00000000-0005-0000-0000-0000E0190000}"/>
    <cellStyle name="Normal 11 2 3 3 2 4 2" xfId="31686" xr:uid="{00000000-0005-0000-0000-0000E1190000}"/>
    <cellStyle name="Normal 11 2 3 3 2 5" xfId="21829" xr:uid="{00000000-0005-0000-0000-0000E2190000}"/>
    <cellStyle name="Normal 11 2 3 3 3" xfId="3339" xr:uid="{00000000-0005-0000-0000-0000E3190000}"/>
    <cellStyle name="Normal 11 2 3 3 3 2" xfId="8271" xr:uid="{00000000-0005-0000-0000-0000E4190000}"/>
    <cellStyle name="Normal 11 2 3 3 3 2 2" xfId="18131" xr:uid="{00000000-0005-0000-0000-0000E5190000}"/>
    <cellStyle name="Normal 11 2 3 3 3 2 2 2" xfId="37846" xr:uid="{00000000-0005-0000-0000-0000E6190000}"/>
    <cellStyle name="Normal 11 2 3 3 3 2 3" xfId="27989" xr:uid="{00000000-0005-0000-0000-0000E7190000}"/>
    <cellStyle name="Normal 11 2 3 3 3 3" xfId="13203" xr:uid="{00000000-0005-0000-0000-0000E8190000}"/>
    <cellStyle name="Normal 11 2 3 3 3 3 2" xfId="32918" xr:uid="{00000000-0005-0000-0000-0000E9190000}"/>
    <cellStyle name="Normal 11 2 3 3 3 4" xfId="23061" xr:uid="{00000000-0005-0000-0000-0000EA190000}"/>
    <cellStyle name="Normal 11 2 3 3 4" xfId="5807" xr:uid="{00000000-0005-0000-0000-0000EB190000}"/>
    <cellStyle name="Normal 11 2 3 3 4 2" xfId="15667" xr:uid="{00000000-0005-0000-0000-0000EC190000}"/>
    <cellStyle name="Normal 11 2 3 3 4 2 2" xfId="35382" xr:uid="{00000000-0005-0000-0000-0000ED190000}"/>
    <cellStyle name="Normal 11 2 3 3 4 3" xfId="25525" xr:uid="{00000000-0005-0000-0000-0000EE190000}"/>
    <cellStyle name="Normal 11 2 3 3 5" xfId="10739" xr:uid="{00000000-0005-0000-0000-0000EF190000}"/>
    <cellStyle name="Normal 11 2 3 3 5 2" xfId="30454" xr:uid="{00000000-0005-0000-0000-0000F0190000}"/>
    <cellStyle name="Normal 11 2 3 3 6" xfId="20597" xr:uid="{00000000-0005-0000-0000-0000F1190000}"/>
    <cellStyle name="Normal 11 2 3 4" xfId="1488" xr:uid="{00000000-0005-0000-0000-0000F2190000}"/>
    <cellStyle name="Normal 11 2 3 4 2" xfId="3955" xr:uid="{00000000-0005-0000-0000-0000F3190000}"/>
    <cellStyle name="Normal 11 2 3 4 2 2" xfId="8887" xr:uid="{00000000-0005-0000-0000-0000F4190000}"/>
    <cellStyle name="Normal 11 2 3 4 2 2 2" xfId="18747" xr:uid="{00000000-0005-0000-0000-0000F5190000}"/>
    <cellStyle name="Normal 11 2 3 4 2 2 2 2" xfId="38462" xr:uid="{00000000-0005-0000-0000-0000F6190000}"/>
    <cellStyle name="Normal 11 2 3 4 2 2 3" xfId="28605" xr:uid="{00000000-0005-0000-0000-0000F7190000}"/>
    <cellStyle name="Normal 11 2 3 4 2 3" xfId="13819" xr:uid="{00000000-0005-0000-0000-0000F8190000}"/>
    <cellStyle name="Normal 11 2 3 4 2 3 2" xfId="33534" xr:uid="{00000000-0005-0000-0000-0000F9190000}"/>
    <cellStyle name="Normal 11 2 3 4 2 4" xfId="23677" xr:uid="{00000000-0005-0000-0000-0000FA190000}"/>
    <cellStyle name="Normal 11 2 3 4 3" xfId="6423" xr:uid="{00000000-0005-0000-0000-0000FB190000}"/>
    <cellStyle name="Normal 11 2 3 4 3 2" xfId="16283" xr:uid="{00000000-0005-0000-0000-0000FC190000}"/>
    <cellStyle name="Normal 11 2 3 4 3 2 2" xfId="35998" xr:uid="{00000000-0005-0000-0000-0000FD190000}"/>
    <cellStyle name="Normal 11 2 3 4 3 3" xfId="26141" xr:uid="{00000000-0005-0000-0000-0000FE190000}"/>
    <cellStyle name="Normal 11 2 3 4 4" xfId="11355" xr:uid="{00000000-0005-0000-0000-0000FF190000}"/>
    <cellStyle name="Normal 11 2 3 4 4 2" xfId="31070" xr:uid="{00000000-0005-0000-0000-0000001A0000}"/>
    <cellStyle name="Normal 11 2 3 4 5" xfId="21213" xr:uid="{00000000-0005-0000-0000-0000011A0000}"/>
    <cellStyle name="Normal 11 2 3 5" xfId="2723" xr:uid="{00000000-0005-0000-0000-0000021A0000}"/>
    <cellStyle name="Normal 11 2 3 5 2" xfId="7655" xr:uid="{00000000-0005-0000-0000-0000031A0000}"/>
    <cellStyle name="Normal 11 2 3 5 2 2" xfId="17515" xr:uid="{00000000-0005-0000-0000-0000041A0000}"/>
    <cellStyle name="Normal 11 2 3 5 2 2 2" xfId="37230" xr:uid="{00000000-0005-0000-0000-0000051A0000}"/>
    <cellStyle name="Normal 11 2 3 5 2 3" xfId="27373" xr:uid="{00000000-0005-0000-0000-0000061A0000}"/>
    <cellStyle name="Normal 11 2 3 5 3" xfId="12587" xr:uid="{00000000-0005-0000-0000-0000071A0000}"/>
    <cellStyle name="Normal 11 2 3 5 3 2" xfId="32302" xr:uid="{00000000-0005-0000-0000-0000081A0000}"/>
    <cellStyle name="Normal 11 2 3 5 4" xfId="22445" xr:uid="{00000000-0005-0000-0000-0000091A0000}"/>
    <cellStyle name="Normal 11 2 3 6" xfId="5191" xr:uid="{00000000-0005-0000-0000-00000A1A0000}"/>
    <cellStyle name="Normal 11 2 3 6 2" xfId="15051" xr:uid="{00000000-0005-0000-0000-00000B1A0000}"/>
    <cellStyle name="Normal 11 2 3 6 2 2" xfId="34766" xr:uid="{00000000-0005-0000-0000-00000C1A0000}"/>
    <cellStyle name="Normal 11 2 3 6 3" xfId="24909" xr:uid="{00000000-0005-0000-0000-00000D1A0000}"/>
    <cellStyle name="Normal 11 2 3 7" xfId="10123" xr:uid="{00000000-0005-0000-0000-00000E1A0000}"/>
    <cellStyle name="Normal 11 2 3 7 2" xfId="29838" xr:uid="{00000000-0005-0000-0000-00000F1A0000}"/>
    <cellStyle name="Normal 11 2 3 8" xfId="19981" xr:uid="{00000000-0005-0000-0000-0000101A0000}"/>
    <cellStyle name="Normal 11 2 4" xfId="403" xr:uid="{00000000-0005-0000-0000-0000111A0000}"/>
    <cellStyle name="Normal 11 2 4 2" xfId="1023" xr:uid="{00000000-0005-0000-0000-0000121A0000}"/>
    <cellStyle name="Normal 11 2 4 2 2" xfId="2258" xr:uid="{00000000-0005-0000-0000-0000131A0000}"/>
    <cellStyle name="Normal 11 2 4 2 2 2" xfId="4725" xr:uid="{00000000-0005-0000-0000-0000141A0000}"/>
    <cellStyle name="Normal 11 2 4 2 2 2 2" xfId="9657" xr:uid="{00000000-0005-0000-0000-0000151A0000}"/>
    <cellStyle name="Normal 11 2 4 2 2 2 2 2" xfId="19517" xr:uid="{00000000-0005-0000-0000-0000161A0000}"/>
    <cellStyle name="Normal 11 2 4 2 2 2 2 2 2" xfId="39232" xr:uid="{00000000-0005-0000-0000-0000171A0000}"/>
    <cellStyle name="Normal 11 2 4 2 2 2 2 3" xfId="29375" xr:uid="{00000000-0005-0000-0000-0000181A0000}"/>
    <cellStyle name="Normal 11 2 4 2 2 2 3" xfId="14589" xr:uid="{00000000-0005-0000-0000-0000191A0000}"/>
    <cellStyle name="Normal 11 2 4 2 2 2 3 2" xfId="34304" xr:uid="{00000000-0005-0000-0000-00001A1A0000}"/>
    <cellStyle name="Normal 11 2 4 2 2 2 4" xfId="24447" xr:uid="{00000000-0005-0000-0000-00001B1A0000}"/>
    <cellStyle name="Normal 11 2 4 2 2 3" xfId="7193" xr:uid="{00000000-0005-0000-0000-00001C1A0000}"/>
    <cellStyle name="Normal 11 2 4 2 2 3 2" xfId="17053" xr:uid="{00000000-0005-0000-0000-00001D1A0000}"/>
    <cellStyle name="Normal 11 2 4 2 2 3 2 2" xfId="36768" xr:uid="{00000000-0005-0000-0000-00001E1A0000}"/>
    <cellStyle name="Normal 11 2 4 2 2 3 3" xfId="26911" xr:uid="{00000000-0005-0000-0000-00001F1A0000}"/>
    <cellStyle name="Normal 11 2 4 2 2 4" xfId="12125" xr:uid="{00000000-0005-0000-0000-0000201A0000}"/>
    <cellStyle name="Normal 11 2 4 2 2 4 2" xfId="31840" xr:uid="{00000000-0005-0000-0000-0000211A0000}"/>
    <cellStyle name="Normal 11 2 4 2 2 5" xfId="21983" xr:uid="{00000000-0005-0000-0000-0000221A0000}"/>
    <cellStyle name="Normal 11 2 4 2 3" xfId="3493" xr:uid="{00000000-0005-0000-0000-0000231A0000}"/>
    <cellStyle name="Normal 11 2 4 2 3 2" xfId="8425" xr:uid="{00000000-0005-0000-0000-0000241A0000}"/>
    <cellStyle name="Normal 11 2 4 2 3 2 2" xfId="18285" xr:uid="{00000000-0005-0000-0000-0000251A0000}"/>
    <cellStyle name="Normal 11 2 4 2 3 2 2 2" xfId="38000" xr:uid="{00000000-0005-0000-0000-0000261A0000}"/>
    <cellStyle name="Normal 11 2 4 2 3 2 3" xfId="28143" xr:uid="{00000000-0005-0000-0000-0000271A0000}"/>
    <cellStyle name="Normal 11 2 4 2 3 3" xfId="13357" xr:uid="{00000000-0005-0000-0000-0000281A0000}"/>
    <cellStyle name="Normal 11 2 4 2 3 3 2" xfId="33072" xr:uid="{00000000-0005-0000-0000-0000291A0000}"/>
    <cellStyle name="Normal 11 2 4 2 3 4" xfId="23215" xr:uid="{00000000-0005-0000-0000-00002A1A0000}"/>
    <cellStyle name="Normal 11 2 4 2 4" xfId="5961" xr:uid="{00000000-0005-0000-0000-00002B1A0000}"/>
    <cellStyle name="Normal 11 2 4 2 4 2" xfId="15821" xr:uid="{00000000-0005-0000-0000-00002C1A0000}"/>
    <cellStyle name="Normal 11 2 4 2 4 2 2" xfId="35536" xr:uid="{00000000-0005-0000-0000-00002D1A0000}"/>
    <cellStyle name="Normal 11 2 4 2 4 3" xfId="25679" xr:uid="{00000000-0005-0000-0000-00002E1A0000}"/>
    <cellStyle name="Normal 11 2 4 2 5" xfId="10893" xr:uid="{00000000-0005-0000-0000-00002F1A0000}"/>
    <cellStyle name="Normal 11 2 4 2 5 2" xfId="30608" xr:uid="{00000000-0005-0000-0000-0000301A0000}"/>
    <cellStyle name="Normal 11 2 4 2 6" xfId="20751" xr:uid="{00000000-0005-0000-0000-0000311A0000}"/>
    <cellStyle name="Normal 11 2 4 3" xfId="1642" xr:uid="{00000000-0005-0000-0000-0000321A0000}"/>
    <cellStyle name="Normal 11 2 4 3 2" xfId="4109" xr:uid="{00000000-0005-0000-0000-0000331A0000}"/>
    <cellStyle name="Normal 11 2 4 3 2 2" xfId="9041" xr:uid="{00000000-0005-0000-0000-0000341A0000}"/>
    <cellStyle name="Normal 11 2 4 3 2 2 2" xfId="18901" xr:uid="{00000000-0005-0000-0000-0000351A0000}"/>
    <cellStyle name="Normal 11 2 4 3 2 2 2 2" xfId="38616" xr:uid="{00000000-0005-0000-0000-0000361A0000}"/>
    <cellStyle name="Normal 11 2 4 3 2 2 3" xfId="28759" xr:uid="{00000000-0005-0000-0000-0000371A0000}"/>
    <cellStyle name="Normal 11 2 4 3 2 3" xfId="13973" xr:uid="{00000000-0005-0000-0000-0000381A0000}"/>
    <cellStyle name="Normal 11 2 4 3 2 3 2" xfId="33688" xr:uid="{00000000-0005-0000-0000-0000391A0000}"/>
    <cellStyle name="Normal 11 2 4 3 2 4" xfId="23831" xr:uid="{00000000-0005-0000-0000-00003A1A0000}"/>
    <cellStyle name="Normal 11 2 4 3 3" xfId="6577" xr:uid="{00000000-0005-0000-0000-00003B1A0000}"/>
    <cellStyle name="Normal 11 2 4 3 3 2" xfId="16437" xr:uid="{00000000-0005-0000-0000-00003C1A0000}"/>
    <cellStyle name="Normal 11 2 4 3 3 2 2" xfId="36152" xr:uid="{00000000-0005-0000-0000-00003D1A0000}"/>
    <cellStyle name="Normal 11 2 4 3 3 3" xfId="26295" xr:uid="{00000000-0005-0000-0000-00003E1A0000}"/>
    <cellStyle name="Normal 11 2 4 3 4" xfId="11509" xr:uid="{00000000-0005-0000-0000-00003F1A0000}"/>
    <cellStyle name="Normal 11 2 4 3 4 2" xfId="31224" xr:uid="{00000000-0005-0000-0000-0000401A0000}"/>
    <cellStyle name="Normal 11 2 4 3 5" xfId="21367" xr:uid="{00000000-0005-0000-0000-0000411A0000}"/>
    <cellStyle name="Normal 11 2 4 4" xfId="2877" xr:uid="{00000000-0005-0000-0000-0000421A0000}"/>
    <cellStyle name="Normal 11 2 4 4 2" xfId="7809" xr:uid="{00000000-0005-0000-0000-0000431A0000}"/>
    <cellStyle name="Normal 11 2 4 4 2 2" xfId="17669" xr:uid="{00000000-0005-0000-0000-0000441A0000}"/>
    <cellStyle name="Normal 11 2 4 4 2 2 2" xfId="37384" xr:uid="{00000000-0005-0000-0000-0000451A0000}"/>
    <cellStyle name="Normal 11 2 4 4 2 3" xfId="27527" xr:uid="{00000000-0005-0000-0000-0000461A0000}"/>
    <cellStyle name="Normal 11 2 4 4 3" xfId="12741" xr:uid="{00000000-0005-0000-0000-0000471A0000}"/>
    <cellStyle name="Normal 11 2 4 4 3 2" xfId="32456" xr:uid="{00000000-0005-0000-0000-0000481A0000}"/>
    <cellStyle name="Normal 11 2 4 4 4" xfId="22599" xr:uid="{00000000-0005-0000-0000-0000491A0000}"/>
    <cellStyle name="Normal 11 2 4 5" xfId="5345" xr:uid="{00000000-0005-0000-0000-00004A1A0000}"/>
    <cellStyle name="Normal 11 2 4 5 2" xfId="15205" xr:uid="{00000000-0005-0000-0000-00004B1A0000}"/>
    <cellStyle name="Normal 11 2 4 5 2 2" xfId="34920" xr:uid="{00000000-0005-0000-0000-00004C1A0000}"/>
    <cellStyle name="Normal 11 2 4 5 3" xfId="25063" xr:uid="{00000000-0005-0000-0000-00004D1A0000}"/>
    <cellStyle name="Normal 11 2 4 6" xfId="10277" xr:uid="{00000000-0005-0000-0000-00004E1A0000}"/>
    <cellStyle name="Normal 11 2 4 6 2" xfId="29992" xr:uid="{00000000-0005-0000-0000-00004F1A0000}"/>
    <cellStyle name="Normal 11 2 4 7" xfId="20135" xr:uid="{00000000-0005-0000-0000-0000501A0000}"/>
    <cellStyle name="Normal 11 2 5" xfId="716" xr:uid="{00000000-0005-0000-0000-0000511A0000}"/>
    <cellStyle name="Normal 11 2 5 2" xfId="1952" xr:uid="{00000000-0005-0000-0000-0000521A0000}"/>
    <cellStyle name="Normal 11 2 5 2 2" xfId="4419" xr:uid="{00000000-0005-0000-0000-0000531A0000}"/>
    <cellStyle name="Normal 11 2 5 2 2 2" xfId="9351" xr:uid="{00000000-0005-0000-0000-0000541A0000}"/>
    <cellStyle name="Normal 11 2 5 2 2 2 2" xfId="19211" xr:uid="{00000000-0005-0000-0000-0000551A0000}"/>
    <cellStyle name="Normal 11 2 5 2 2 2 2 2" xfId="38926" xr:uid="{00000000-0005-0000-0000-0000561A0000}"/>
    <cellStyle name="Normal 11 2 5 2 2 2 3" xfId="29069" xr:uid="{00000000-0005-0000-0000-0000571A0000}"/>
    <cellStyle name="Normal 11 2 5 2 2 3" xfId="14283" xr:uid="{00000000-0005-0000-0000-0000581A0000}"/>
    <cellStyle name="Normal 11 2 5 2 2 3 2" xfId="33998" xr:uid="{00000000-0005-0000-0000-0000591A0000}"/>
    <cellStyle name="Normal 11 2 5 2 2 4" xfId="24141" xr:uid="{00000000-0005-0000-0000-00005A1A0000}"/>
    <cellStyle name="Normal 11 2 5 2 3" xfId="6887" xr:uid="{00000000-0005-0000-0000-00005B1A0000}"/>
    <cellStyle name="Normal 11 2 5 2 3 2" xfId="16747" xr:uid="{00000000-0005-0000-0000-00005C1A0000}"/>
    <cellStyle name="Normal 11 2 5 2 3 2 2" xfId="36462" xr:uid="{00000000-0005-0000-0000-00005D1A0000}"/>
    <cellStyle name="Normal 11 2 5 2 3 3" xfId="26605" xr:uid="{00000000-0005-0000-0000-00005E1A0000}"/>
    <cellStyle name="Normal 11 2 5 2 4" xfId="11819" xr:uid="{00000000-0005-0000-0000-00005F1A0000}"/>
    <cellStyle name="Normal 11 2 5 2 4 2" xfId="31534" xr:uid="{00000000-0005-0000-0000-0000601A0000}"/>
    <cellStyle name="Normal 11 2 5 2 5" xfId="21677" xr:uid="{00000000-0005-0000-0000-0000611A0000}"/>
    <cellStyle name="Normal 11 2 5 3" xfId="3187" xr:uid="{00000000-0005-0000-0000-0000621A0000}"/>
    <cellStyle name="Normal 11 2 5 3 2" xfId="8119" xr:uid="{00000000-0005-0000-0000-0000631A0000}"/>
    <cellStyle name="Normal 11 2 5 3 2 2" xfId="17979" xr:uid="{00000000-0005-0000-0000-0000641A0000}"/>
    <cellStyle name="Normal 11 2 5 3 2 2 2" xfId="37694" xr:uid="{00000000-0005-0000-0000-0000651A0000}"/>
    <cellStyle name="Normal 11 2 5 3 2 3" xfId="27837" xr:uid="{00000000-0005-0000-0000-0000661A0000}"/>
    <cellStyle name="Normal 11 2 5 3 3" xfId="13051" xr:uid="{00000000-0005-0000-0000-0000671A0000}"/>
    <cellStyle name="Normal 11 2 5 3 3 2" xfId="32766" xr:uid="{00000000-0005-0000-0000-0000681A0000}"/>
    <cellStyle name="Normal 11 2 5 3 4" xfId="22909" xr:uid="{00000000-0005-0000-0000-0000691A0000}"/>
    <cellStyle name="Normal 11 2 5 4" xfId="5655" xr:uid="{00000000-0005-0000-0000-00006A1A0000}"/>
    <cellStyle name="Normal 11 2 5 4 2" xfId="15515" xr:uid="{00000000-0005-0000-0000-00006B1A0000}"/>
    <cellStyle name="Normal 11 2 5 4 2 2" xfId="35230" xr:uid="{00000000-0005-0000-0000-00006C1A0000}"/>
    <cellStyle name="Normal 11 2 5 4 3" xfId="25373" xr:uid="{00000000-0005-0000-0000-00006D1A0000}"/>
    <cellStyle name="Normal 11 2 5 5" xfId="10587" xr:uid="{00000000-0005-0000-0000-00006E1A0000}"/>
    <cellStyle name="Normal 11 2 5 5 2" xfId="30302" xr:uid="{00000000-0005-0000-0000-00006F1A0000}"/>
    <cellStyle name="Normal 11 2 5 6" xfId="20445" xr:uid="{00000000-0005-0000-0000-0000701A0000}"/>
    <cellStyle name="Normal 11 2 6" xfId="1336" xr:uid="{00000000-0005-0000-0000-0000711A0000}"/>
    <cellStyle name="Normal 11 2 6 2" xfId="3803" xr:uid="{00000000-0005-0000-0000-0000721A0000}"/>
    <cellStyle name="Normal 11 2 6 2 2" xfId="8735" xr:uid="{00000000-0005-0000-0000-0000731A0000}"/>
    <cellStyle name="Normal 11 2 6 2 2 2" xfId="18595" xr:uid="{00000000-0005-0000-0000-0000741A0000}"/>
    <cellStyle name="Normal 11 2 6 2 2 2 2" xfId="38310" xr:uid="{00000000-0005-0000-0000-0000751A0000}"/>
    <cellStyle name="Normal 11 2 6 2 2 3" xfId="28453" xr:uid="{00000000-0005-0000-0000-0000761A0000}"/>
    <cellStyle name="Normal 11 2 6 2 3" xfId="13667" xr:uid="{00000000-0005-0000-0000-0000771A0000}"/>
    <cellStyle name="Normal 11 2 6 2 3 2" xfId="33382" xr:uid="{00000000-0005-0000-0000-0000781A0000}"/>
    <cellStyle name="Normal 11 2 6 2 4" xfId="23525" xr:uid="{00000000-0005-0000-0000-0000791A0000}"/>
    <cellStyle name="Normal 11 2 6 3" xfId="6271" xr:uid="{00000000-0005-0000-0000-00007A1A0000}"/>
    <cellStyle name="Normal 11 2 6 3 2" xfId="16131" xr:uid="{00000000-0005-0000-0000-00007B1A0000}"/>
    <cellStyle name="Normal 11 2 6 3 2 2" xfId="35846" xr:uid="{00000000-0005-0000-0000-00007C1A0000}"/>
    <cellStyle name="Normal 11 2 6 3 3" xfId="25989" xr:uid="{00000000-0005-0000-0000-00007D1A0000}"/>
    <cellStyle name="Normal 11 2 6 4" xfId="11203" xr:uid="{00000000-0005-0000-0000-00007E1A0000}"/>
    <cellStyle name="Normal 11 2 6 4 2" xfId="30918" xr:uid="{00000000-0005-0000-0000-00007F1A0000}"/>
    <cellStyle name="Normal 11 2 6 5" xfId="21061" xr:uid="{00000000-0005-0000-0000-0000801A0000}"/>
    <cellStyle name="Normal 11 2 7" xfId="2571" xr:uid="{00000000-0005-0000-0000-0000811A0000}"/>
    <cellStyle name="Normal 11 2 7 2" xfId="7503" xr:uid="{00000000-0005-0000-0000-0000821A0000}"/>
    <cellStyle name="Normal 11 2 7 2 2" xfId="17363" xr:uid="{00000000-0005-0000-0000-0000831A0000}"/>
    <cellStyle name="Normal 11 2 7 2 2 2" xfId="37078" xr:uid="{00000000-0005-0000-0000-0000841A0000}"/>
    <cellStyle name="Normal 11 2 7 2 3" xfId="27221" xr:uid="{00000000-0005-0000-0000-0000851A0000}"/>
    <cellStyle name="Normal 11 2 7 3" xfId="12435" xr:uid="{00000000-0005-0000-0000-0000861A0000}"/>
    <cellStyle name="Normal 11 2 7 3 2" xfId="32150" xr:uid="{00000000-0005-0000-0000-0000871A0000}"/>
    <cellStyle name="Normal 11 2 7 4" xfId="22293" xr:uid="{00000000-0005-0000-0000-0000881A0000}"/>
    <cellStyle name="Normal 11 2 8" xfId="5039" xr:uid="{00000000-0005-0000-0000-0000891A0000}"/>
    <cellStyle name="Normal 11 2 8 2" xfId="14899" xr:uid="{00000000-0005-0000-0000-00008A1A0000}"/>
    <cellStyle name="Normal 11 2 8 2 2" xfId="34614" xr:uid="{00000000-0005-0000-0000-00008B1A0000}"/>
    <cellStyle name="Normal 11 2 8 3" xfId="24757" xr:uid="{00000000-0005-0000-0000-00008C1A0000}"/>
    <cellStyle name="Normal 11 2 9" xfId="9971" xr:uid="{00000000-0005-0000-0000-00008D1A0000}"/>
    <cellStyle name="Normal 11 2 9 2" xfId="29686" xr:uid="{00000000-0005-0000-0000-00008E1A0000}"/>
    <cellStyle name="Normal 11 3" xfId="122" xr:uid="{00000000-0005-0000-0000-00008F1A0000}"/>
    <cellStyle name="Normal 11 3 2" xfId="279" xr:uid="{00000000-0005-0000-0000-0000901A0000}"/>
    <cellStyle name="Normal 11 3 2 2" xfId="593" xr:uid="{00000000-0005-0000-0000-0000911A0000}"/>
    <cellStyle name="Normal 11 3 2 2 2" xfId="1213" xr:uid="{00000000-0005-0000-0000-0000921A0000}"/>
    <cellStyle name="Normal 11 3 2 2 2 2" xfId="2448" xr:uid="{00000000-0005-0000-0000-0000931A0000}"/>
    <cellStyle name="Normal 11 3 2 2 2 2 2" xfId="4915" xr:uid="{00000000-0005-0000-0000-0000941A0000}"/>
    <cellStyle name="Normal 11 3 2 2 2 2 2 2" xfId="9847" xr:uid="{00000000-0005-0000-0000-0000951A0000}"/>
    <cellStyle name="Normal 11 3 2 2 2 2 2 2 2" xfId="19707" xr:uid="{00000000-0005-0000-0000-0000961A0000}"/>
    <cellStyle name="Normal 11 3 2 2 2 2 2 2 2 2" xfId="39422" xr:uid="{00000000-0005-0000-0000-0000971A0000}"/>
    <cellStyle name="Normal 11 3 2 2 2 2 2 2 3" xfId="29565" xr:uid="{00000000-0005-0000-0000-0000981A0000}"/>
    <cellStyle name="Normal 11 3 2 2 2 2 2 3" xfId="14779" xr:uid="{00000000-0005-0000-0000-0000991A0000}"/>
    <cellStyle name="Normal 11 3 2 2 2 2 2 3 2" xfId="34494" xr:uid="{00000000-0005-0000-0000-00009A1A0000}"/>
    <cellStyle name="Normal 11 3 2 2 2 2 2 4" xfId="24637" xr:uid="{00000000-0005-0000-0000-00009B1A0000}"/>
    <cellStyle name="Normal 11 3 2 2 2 2 3" xfId="7383" xr:uid="{00000000-0005-0000-0000-00009C1A0000}"/>
    <cellStyle name="Normal 11 3 2 2 2 2 3 2" xfId="17243" xr:uid="{00000000-0005-0000-0000-00009D1A0000}"/>
    <cellStyle name="Normal 11 3 2 2 2 2 3 2 2" xfId="36958" xr:uid="{00000000-0005-0000-0000-00009E1A0000}"/>
    <cellStyle name="Normal 11 3 2 2 2 2 3 3" xfId="27101" xr:uid="{00000000-0005-0000-0000-00009F1A0000}"/>
    <cellStyle name="Normal 11 3 2 2 2 2 4" xfId="12315" xr:uid="{00000000-0005-0000-0000-0000A01A0000}"/>
    <cellStyle name="Normal 11 3 2 2 2 2 4 2" xfId="32030" xr:uid="{00000000-0005-0000-0000-0000A11A0000}"/>
    <cellStyle name="Normal 11 3 2 2 2 2 5" xfId="22173" xr:uid="{00000000-0005-0000-0000-0000A21A0000}"/>
    <cellStyle name="Normal 11 3 2 2 2 3" xfId="3683" xr:uid="{00000000-0005-0000-0000-0000A31A0000}"/>
    <cellStyle name="Normal 11 3 2 2 2 3 2" xfId="8615" xr:uid="{00000000-0005-0000-0000-0000A41A0000}"/>
    <cellStyle name="Normal 11 3 2 2 2 3 2 2" xfId="18475" xr:uid="{00000000-0005-0000-0000-0000A51A0000}"/>
    <cellStyle name="Normal 11 3 2 2 2 3 2 2 2" xfId="38190" xr:uid="{00000000-0005-0000-0000-0000A61A0000}"/>
    <cellStyle name="Normal 11 3 2 2 2 3 2 3" xfId="28333" xr:uid="{00000000-0005-0000-0000-0000A71A0000}"/>
    <cellStyle name="Normal 11 3 2 2 2 3 3" xfId="13547" xr:uid="{00000000-0005-0000-0000-0000A81A0000}"/>
    <cellStyle name="Normal 11 3 2 2 2 3 3 2" xfId="33262" xr:uid="{00000000-0005-0000-0000-0000A91A0000}"/>
    <cellStyle name="Normal 11 3 2 2 2 3 4" xfId="23405" xr:uid="{00000000-0005-0000-0000-0000AA1A0000}"/>
    <cellStyle name="Normal 11 3 2 2 2 4" xfId="6151" xr:uid="{00000000-0005-0000-0000-0000AB1A0000}"/>
    <cellStyle name="Normal 11 3 2 2 2 4 2" xfId="16011" xr:uid="{00000000-0005-0000-0000-0000AC1A0000}"/>
    <cellStyle name="Normal 11 3 2 2 2 4 2 2" xfId="35726" xr:uid="{00000000-0005-0000-0000-0000AD1A0000}"/>
    <cellStyle name="Normal 11 3 2 2 2 4 3" xfId="25869" xr:uid="{00000000-0005-0000-0000-0000AE1A0000}"/>
    <cellStyle name="Normal 11 3 2 2 2 5" xfId="11083" xr:uid="{00000000-0005-0000-0000-0000AF1A0000}"/>
    <cellStyle name="Normal 11 3 2 2 2 5 2" xfId="30798" xr:uid="{00000000-0005-0000-0000-0000B01A0000}"/>
    <cellStyle name="Normal 11 3 2 2 2 6" xfId="20941" xr:uid="{00000000-0005-0000-0000-0000B11A0000}"/>
    <cellStyle name="Normal 11 3 2 2 3" xfId="1832" xr:uid="{00000000-0005-0000-0000-0000B21A0000}"/>
    <cellStyle name="Normal 11 3 2 2 3 2" xfId="4299" xr:uid="{00000000-0005-0000-0000-0000B31A0000}"/>
    <cellStyle name="Normal 11 3 2 2 3 2 2" xfId="9231" xr:uid="{00000000-0005-0000-0000-0000B41A0000}"/>
    <cellStyle name="Normal 11 3 2 2 3 2 2 2" xfId="19091" xr:uid="{00000000-0005-0000-0000-0000B51A0000}"/>
    <cellStyle name="Normal 11 3 2 2 3 2 2 2 2" xfId="38806" xr:uid="{00000000-0005-0000-0000-0000B61A0000}"/>
    <cellStyle name="Normal 11 3 2 2 3 2 2 3" xfId="28949" xr:uid="{00000000-0005-0000-0000-0000B71A0000}"/>
    <cellStyle name="Normal 11 3 2 2 3 2 3" xfId="14163" xr:uid="{00000000-0005-0000-0000-0000B81A0000}"/>
    <cellStyle name="Normal 11 3 2 2 3 2 3 2" xfId="33878" xr:uid="{00000000-0005-0000-0000-0000B91A0000}"/>
    <cellStyle name="Normal 11 3 2 2 3 2 4" xfId="24021" xr:uid="{00000000-0005-0000-0000-0000BA1A0000}"/>
    <cellStyle name="Normal 11 3 2 2 3 3" xfId="6767" xr:uid="{00000000-0005-0000-0000-0000BB1A0000}"/>
    <cellStyle name="Normal 11 3 2 2 3 3 2" xfId="16627" xr:uid="{00000000-0005-0000-0000-0000BC1A0000}"/>
    <cellStyle name="Normal 11 3 2 2 3 3 2 2" xfId="36342" xr:uid="{00000000-0005-0000-0000-0000BD1A0000}"/>
    <cellStyle name="Normal 11 3 2 2 3 3 3" xfId="26485" xr:uid="{00000000-0005-0000-0000-0000BE1A0000}"/>
    <cellStyle name="Normal 11 3 2 2 3 4" xfId="11699" xr:uid="{00000000-0005-0000-0000-0000BF1A0000}"/>
    <cellStyle name="Normal 11 3 2 2 3 4 2" xfId="31414" xr:uid="{00000000-0005-0000-0000-0000C01A0000}"/>
    <cellStyle name="Normal 11 3 2 2 3 5" xfId="21557" xr:uid="{00000000-0005-0000-0000-0000C11A0000}"/>
    <cellStyle name="Normal 11 3 2 2 4" xfId="3067" xr:uid="{00000000-0005-0000-0000-0000C21A0000}"/>
    <cellStyle name="Normal 11 3 2 2 4 2" xfId="7999" xr:uid="{00000000-0005-0000-0000-0000C31A0000}"/>
    <cellStyle name="Normal 11 3 2 2 4 2 2" xfId="17859" xr:uid="{00000000-0005-0000-0000-0000C41A0000}"/>
    <cellStyle name="Normal 11 3 2 2 4 2 2 2" xfId="37574" xr:uid="{00000000-0005-0000-0000-0000C51A0000}"/>
    <cellStyle name="Normal 11 3 2 2 4 2 3" xfId="27717" xr:uid="{00000000-0005-0000-0000-0000C61A0000}"/>
    <cellStyle name="Normal 11 3 2 2 4 3" xfId="12931" xr:uid="{00000000-0005-0000-0000-0000C71A0000}"/>
    <cellStyle name="Normal 11 3 2 2 4 3 2" xfId="32646" xr:uid="{00000000-0005-0000-0000-0000C81A0000}"/>
    <cellStyle name="Normal 11 3 2 2 4 4" xfId="22789" xr:uid="{00000000-0005-0000-0000-0000C91A0000}"/>
    <cellStyle name="Normal 11 3 2 2 5" xfId="5535" xr:uid="{00000000-0005-0000-0000-0000CA1A0000}"/>
    <cellStyle name="Normal 11 3 2 2 5 2" xfId="15395" xr:uid="{00000000-0005-0000-0000-0000CB1A0000}"/>
    <cellStyle name="Normal 11 3 2 2 5 2 2" xfId="35110" xr:uid="{00000000-0005-0000-0000-0000CC1A0000}"/>
    <cellStyle name="Normal 11 3 2 2 5 3" xfId="25253" xr:uid="{00000000-0005-0000-0000-0000CD1A0000}"/>
    <cellStyle name="Normal 11 3 2 2 6" xfId="10467" xr:uid="{00000000-0005-0000-0000-0000CE1A0000}"/>
    <cellStyle name="Normal 11 3 2 2 6 2" xfId="30182" xr:uid="{00000000-0005-0000-0000-0000CF1A0000}"/>
    <cellStyle name="Normal 11 3 2 2 7" xfId="20325" xr:uid="{00000000-0005-0000-0000-0000D01A0000}"/>
    <cellStyle name="Normal 11 3 2 3" xfId="906" xr:uid="{00000000-0005-0000-0000-0000D11A0000}"/>
    <cellStyle name="Normal 11 3 2 3 2" xfId="2142" xr:uid="{00000000-0005-0000-0000-0000D21A0000}"/>
    <cellStyle name="Normal 11 3 2 3 2 2" xfId="4609" xr:uid="{00000000-0005-0000-0000-0000D31A0000}"/>
    <cellStyle name="Normal 11 3 2 3 2 2 2" xfId="9541" xr:uid="{00000000-0005-0000-0000-0000D41A0000}"/>
    <cellStyle name="Normal 11 3 2 3 2 2 2 2" xfId="19401" xr:uid="{00000000-0005-0000-0000-0000D51A0000}"/>
    <cellStyle name="Normal 11 3 2 3 2 2 2 2 2" xfId="39116" xr:uid="{00000000-0005-0000-0000-0000D61A0000}"/>
    <cellStyle name="Normal 11 3 2 3 2 2 2 3" xfId="29259" xr:uid="{00000000-0005-0000-0000-0000D71A0000}"/>
    <cellStyle name="Normal 11 3 2 3 2 2 3" xfId="14473" xr:uid="{00000000-0005-0000-0000-0000D81A0000}"/>
    <cellStyle name="Normal 11 3 2 3 2 2 3 2" xfId="34188" xr:uid="{00000000-0005-0000-0000-0000D91A0000}"/>
    <cellStyle name="Normal 11 3 2 3 2 2 4" xfId="24331" xr:uid="{00000000-0005-0000-0000-0000DA1A0000}"/>
    <cellStyle name="Normal 11 3 2 3 2 3" xfId="7077" xr:uid="{00000000-0005-0000-0000-0000DB1A0000}"/>
    <cellStyle name="Normal 11 3 2 3 2 3 2" xfId="16937" xr:uid="{00000000-0005-0000-0000-0000DC1A0000}"/>
    <cellStyle name="Normal 11 3 2 3 2 3 2 2" xfId="36652" xr:uid="{00000000-0005-0000-0000-0000DD1A0000}"/>
    <cellStyle name="Normal 11 3 2 3 2 3 3" xfId="26795" xr:uid="{00000000-0005-0000-0000-0000DE1A0000}"/>
    <cellStyle name="Normal 11 3 2 3 2 4" xfId="12009" xr:uid="{00000000-0005-0000-0000-0000DF1A0000}"/>
    <cellStyle name="Normal 11 3 2 3 2 4 2" xfId="31724" xr:uid="{00000000-0005-0000-0000-0000E01A0000}"/>
    <cellStyle name="Normal 11 3 2 3 2 5" xfId="21867" xr:uid="{00000000-0005-0000-0000-0000E11A0000}"/>
    <cellStyle name="Normal 11 3 2 3 3" xfId="3377" xr:uid="{00000000-0005-0000-0000-0000E21A0000}"/>
    <cellStyle name="Normal 11 3 2 3 3 2" xfId="8309" xr:uid="{00000000-0005-0000-0000-0000E31A0000}"/>
    <cellStyle name="Normal 11 3 2 3 3 2 2" xfId="18169" xr:uid="{00000000-0005-0000-0000-0000E41A0000}"/>
    <cellStyle name="Normal 11 3 2 3 3 2 2 2" xfId="37884" xr:uid="{00000000-0005-0000-0000-0000E51A0000}"/>
    <cellStyle name="Normal 11 3 2 3 3 2 3" xfId="28027" xr:uid="{00000000-0005-0000-0000-0000E61A0000}"/>
    <cellStyle name="Normal 11 3 2 3 3 3" xfId="13241" xr:uid="{00000000-0005-0000-0000-0000E71A0000}"/>
    <cellStyle name="Normal 11 3 2 3 3 3 2" xfId="32956" xr:uid="{00000000-0005-0000-0000-0000E81A0000}"/>
    <cellStyle name="Normal 11 3 2 3 3 4" xfId="23099" xr:uid="{00000000-0005-0000-0000-0000E91A0000}"/>
    <cellStyle name="Normal 11 3 2 3 4" xfId="5845" xr:uid="{00000000-0005-0000-0000-0000EA1A0000}"/>
    <cellStyle name="Normal 11 3 2 3 4 2" xfId="15705" xr:uid="{00000000-0005-0000-0000-0000EB1A0000}"/>
    <cellStyle name="Normal 11 3 2 3 4 2 2" xfId="35420" xr:uid="{00000000-0005-0000-0000-0000EC1A0000}"/>
    <cellStyle name="Normal 11 3 2 3 4 3" xfId="25563" xr:uid="{00000000-0005-0000-0000-0000ED1A0000}"/>
    <cellStyle name="Normal 11 3 2 3 5" xfId="10777" xr:uid="{00000000-0005-0000-0000-0000EE1A0000}"/>
    <cellStyle name="Normal 11 3 2 3 5 2" xfId="30492" xr:uid="{00000000-0005-0000-0000-0000EF1A0000}"/>
    <cellStyle name="Normal 11 3 2 3 6" xfId="20635" xr:uid="{00000000-0005-0000-0000-0000F01A0000}"/>
    <cellStyle name="Normal 11 3 2 4" xfId="1526" xr:uid="{00000000-0005-0000-0000-0000F11A0000}"/>
    <cellStyle name="Normal 11 3 2 4 2" xfId="3993" xr:uid="{00000000-0005-0000-0000-0000F21A0000}"/>
    <cellStyle name="Normal 11 3 2 4 2 2" xfId="8925" xr:uid="{00000000-0005-0000-0000-0000F31A0000}"/>
    <cellStyle name="Normal 11 3 2 4 2 2 2" xfId="18785" xr:uid="{00000000-0005-0000-0000-0000F41A0000}"/>
    <cellStyle name="Normal 11 3 2 4 2 2 2 2" xfId="38500" xr:uid="{00000000-0005-0000-0000-0000F51A0000}"/>
    <cellStyle name="Normal 11 3 2 4 2 2 3" xfId="28643" xr:uid="{00000000-0005-0000-0000-0000F61A0000}"/>
    <cellStyle name="Normal 11 3 2 4 2 3" xfId="13857" xr:uid="{00000000-0005-0000-0000-0000F71A0000}"/>
    <cellStyle name="Normal 11 3 2 4 2 3 2" xfId="33572" xr:uid="{00000000-0005-0000-0000-0000F81A0000}"/>
    <cellStyle name="Normal 11 3 2 4 2 4" xfId="23715" xr:uid="{00000000-0005-0000-0000-0000F91A0000}"/>
    <cellStyle name="Normal 11 3 2 4 3" xfId="6461" xr:uid="{00000000-0005-0000-0000-0000FA1A0000}"/>
    <cellStyle name="Normal 11 3 2 4 3 2" xfId="16321" xr:uid="{00000000-0005-0000-0000-0000FB1A0000}"/>
    <cellStyle name="Normal 11 3 2 4 3 2 2" xfId="36036" xr:uid="{00000000-0005-0000-0000-0000FC1A0000}"/>
    <cellStyle name="Normal 11 3 2 4 3 3" xfId="26179" xr:uid="{00000000-0005-0000-0000-0000FD1A0000}"/>
    <cellStyle name="Normal 11 3 2 4 4" xfId="11393" xr:uid="{00000000-0005-0000-0000-0000FE1A0000}"/>
    <cellStyle name="Normal 11 3 2 4 4 2" xfId="31108" xr:uid="{00000000-0005-0000-0000-0000FF1A0000}"/>
    <cellStyle name="Normal 11 3 2 4 5" xfId="21251" xr:uid="{00000000-0005-0000-0000-0000001B0000}"/>
    <cellStyle name="Normal 11 3 2 5" xfId="2761" xr:uid="{00000000-0005-0000-0000-0000011B0000}"/>
    <cellStyle name="Normal 11 3 2 5 2" xfId="7693" xr:uid="{00000000-0005-0000-0000-0000021B0000}"/>
    <cellStyle name="Normal 11 3 2 5 2 2" xfId="17553" xr:uid="{00000000-0005-0000-0000-0000031B0000}"/>
    <cellStyle name="Normal 11 3 2 5 2 2 2" xfId="37268" xr:uid="{00000000-0005-0000-0000-0000041B0000}"/>
    <cellStyle name="Normal 11 3 2 5 2 3" xfId="27411" xr:uid="{00000000-0005-0000-0000-0000051B0000}"/>
    <cellStyle name="Normal 11 3 2 5 3" xfId="12625" xr:uid="{00000000-0005-0000-0000-0000061B0000}"/>
    <cellStyle name="Normal 11 3 2 5 3 2" xfId="32340" xr:uid="{00000000-0005-0000-0000-0000071B0000}"/>
    <cellStyle name="Normal 11 3 2 5 4" xfId="22483" xr:uid="{00000000-0005-0000-0000-0000081B0000}"/>
    <cellStyle name="Normal 11 3 2 6" xfId="5229" xr:uid="{00000000-0005-0000-0000-0000091B0000}"/>
    <cellStyle name="Normal 11 3 2 6 2" xfId="15089" xr:uid="{00000000-0005-0000-0000-00000A1B0000}"/>
    <cellStyle name="Normal 11 3 2 6 2 2" xfId="34804" xr:uid="{00000000-0005-0000-0000-00000B1B0000}"/>
    <cellStyle name="Normal 11 3 2 6 3" xfId="24947" xr:uid="{00000000-0005-0000-0000-00000C1B0000}"/>
    <cellStyle name="Normal 11 3 2 7" xfId="10161" xr:uid="{00000000-0005-0000-0000-00000D1B0000}"/>
    <cellStyle name="Normal 11 3 2 7 2" xfId="29876" xr:uid="{00000000-0005-0000-0000-00000E1B0000}"/>
    <cellStyle name="Normal 11 3 2 8" xfId="20019" xr:uid="{00000000-0005-0000-0000-00000F1B0000}"/>
    <cellStyle name="Normal 11 3 3" xfId="441" xr:uid="{00000000-0005-0000-0000-0000101B0000}"/>
    <cellStyle name="Normal 11 3 3 2" xfId="1061" xr:uid="{00000000-0005-0000-0000-0000111B0000}"/>
    <cellStyle name="Normal 11 3 3 2 2" xfId="2296" xr:uid="{00000000-0005-0000-0000-0000121B0000}"/>
    <cellStyle name="Normal 11 3 3 2 2 2" xfId="4763" xr:uid="{00000000-0005-0000-0000-0000131B0000}"/>
    <cellStyle name="Normal 11 3 3 2 2 2 2" xfId="9695" xr:uid="{00000000-0005-0000-0000-0000141B0000}"/>
    <cellStyle name="Normal 11 3 3 2 2 2 2 2" xfId="19555" xr:uid="{00000000-0005-0000-0000-0000151B0000}"/>
    <cellStyle name="Normal 11 3 3 2 2 2 2 2 2" xfId="39270" xr:uid="{00000000-0005-0000-0000-0000161B0000}"/>
    <cellStyle name="Normal 11 3 3 2 2 2 2 3" xfId="29413" xr:uid="{00000000-0005-0000-0000-0000171B0000}"/>
    <cellStyle name="Normal 11 3 3 2 2 2 3" xfId="14627" xr:uid="{00000000-0005-0000-0000-0000181B0000}"/>
    <cellStyle name="Normal 11 3 3 2 2 2 3 2" xfId="34342" xr:uid="{00000000-0005-0000-0000-0000191B0000}"/>
    <cellStyle name="Normal 11 3 3 2 2 2 4" xfId="24485" xr:uid="{00000000-0005-0000-0000-00001A1B0000}"/>
    <cellStyle name="Normal 11 3 3 2 2 3" xfId="7231" xr:uid="{00000000-0005-0000-0000-00001B1B0000}"/>
    <cellStyle name="Normal 11 3 3 2 2 3 2" xfId="17091" xr:uid="{00000000-0005-0000-0000-00001C1B0000}"/>
    <cellStyle name="Normal 11 3 3 2 2 3 2 2" xfId="36806" xr:uid="{00000000-0005-0000-0000-00001D1B0000}"/>
    <cellStyle name="Normal 11 3 3 2 2 3 3" xfId="26949" xr:uid="{00000000-0005-0000-0000-00001E1B0000}"/>
    <cellStyle name="Normal 11 3 3 2 2 4" xfId="12163" xr:uid="{00000000-0005-0000-0000-00001F1B0000}"/>
    <cellStyle name="Normal 11 3 3 2 2 4 2" xfId="31878" xr:uid="{00000000-0005-0000-0000-0000201B0000}"/>
    <cellStyle name="Normal 11 3 3 2 2 5" xfId="22021" xr:uid="{00000000-0005-0000-0000-0000211B0000}"/>
    <cellStyle name="Normal 11 3 3 2 3" xfId="3531" xr:uid="{00000000-0005-0000-0000-0000221B0000}"/>
    <cellStyle name="Normal 11 3 3 2 3 2" xfId="8463" xr:uid="{00000000-0005-0000-0000-0000231B0000}"/>
    <cellStyle name="Normal 11 3 3 2 3 2 2" xfId="18323" xr:uid="{00000000-0005-0000-0000-0000241B0000}"/>
    <cellStyle name="Normal 11 3 3 2 3 2 2 2" xfId="38038" xr:uid="{00000000-0005-0000-0000-0000251B0000}"/>
    <cellStyle name="Normal 11 3 3 2 3 2 3" xfId="28181" xr:uid="{00000000-0005-0000-0000-0000261B0000}"/>
    <cellStyle name="Normal 11 3 3 2 3 3" xfId="13395" xr:uid="{00000000-0005-0000-0000-0000271B0000}"/>
    <cellStyle name="Normal 11 3 3 2 3 3 2" xfId="33110" xr:uid="{00000000-0005-0000-0000-0000281B0000}"/>
    <cellStyle name="Normal 11 3 3 2 3 4" xfId="23253" xr:uid="{00000000-0005-0000-0000-0000291B0000}"/>
    <cellStyle name="Normal 11 3 3 2 4" xfId="5999" xr:uid="{00000000-0005-0000-0000-00002A1B0000}"/>
    <cellStyle name="Normal 11 3 3 2 4 2" xfId="15859" xr:uid="{00000000-0005-0000-0000-00002B1B0000}"/>
    <cellStyle name="Normal 11 3 3 2 4 2 2" xfId="35574" xr:uid="{00000000-0005-0000-0000-00002C1B0000}"/>
    <cellStyle name="Normal 11 3 3 2 4 3" xfId="25717" xr:uid="{00000000-0005-0000-0000-00002D1B0000}"/>
    <cellStyle name="Normal 11 3 3 2 5" xfId="10931" xr:uid="{00000000-0005-0000-0000-00002E1B0000}"/>
    <cellStyle name="Normal 11 3 3 2 5 2" xfId="30646" xr:uid="{00000000-0005-0000-0000-00002F1B0000}"/>
    <cellStyle name="Normal 11 3 3 2 6" xfId="20789" xr:uid="{00000000-0005-0000-0000-0000301B0000}"/>
    <cellStyle name="Normal 11 3 3 3" xfId="1680" xr:uid="{00000000-0005-0000-0000-0000311B0000}"/>
    <cellStyle name="Normal 11 3 3 3 2" xfId="4147" xr:uid="{00000000-0005-0000-0000-0000321B0000}"/>
    <cellStyle name="Normal 11 3 3 3 2 2" xfId="9079" xr:uid="{00000000-0005-0000-0000-0000331B0000}"/>
    <cellStyle name="Normal 11 3 3 3 2 2 2" xfId="18939" xr:uid="{00000000-0005-0000-0000-0000341B0000}"/>
    <cellStyle name="Normal 11 3 3 3 2 2 2 2" xfId="38654" xr:uid="{00000000-0005-0000-0000-0000351B0000}"/>
    <cellStyle name="Normal 11 3 3 3 2 2 3" xfId="28797" xr:uid="{00000000-0005-0000-0000-0000361B0000}"/>
    <cellStyle name="Normal 11 3 3 3 2 3" xfId="14011" xr:uid="{00000000-0005-0000-0000-0000371B0000}"/>
    <cellStyle name="Normal 11 3 3 3 2 3 2" xfId="33726" xr:uid="{00000000-0005-0000-0000-0000381B0000}"/>
    <cellStyle name="Normal 11 3 3 3 2 4" xfId="23869" xr:uid="{00000000-0005-0000-0000-0000391B0000}"/>
    <cellStyle name="Normal 11 3 3 3 3" xfId="6615" xr:uid="{00000000-0005-0000-0000-00003A1B0000}"/>
    <cellStyle name="Normal 11 3 3 3 3 2" xfId="16475" xr:uid="{00000000-0005-0000-0000-00003B1B0000}"/>
    <cellStyle name="Normal 11 3 3 3 3 2 2" xfId="36190" xr:uid="{00000000-0005-0000-0000-00003C1B0000}"/>
    <cellStyle name="Normal 11 3 3 3 3 3" xfId="26333" xr:uid="{00000000-0005-0000-0000-00003D1B0000}"/>
    <cellStyle name="Normal 11 3 3 3 4" xfId="11547" xr:uid="{00000000-0005-0000-0000-00003E1B0000}"/>
    <cellStyle name="Normal 11 3 3 3 4 2" xfId="31262" xr:uid="{00000000-0005-0000-0000-00003F1B0000}"/>
    <cellStyle name="Normal 11 3 3 3 5" xfId="21405" xr:uid="{00000000-0005-0000-0000-0000401B0000}"/>
    <cellStyle name="Normal 11 3 3 4" xfId="2915" xr:uid="{00000000-0005-0000-0000-0000411B0000}"/>
    <cellStyle name="Normal 11 3 3 4 2" xfId="7847" xr:uid="{00000000-0005-0000-0000-0000421B0000}"/>
    <cellStyle name="Normal 11 3 3 4 2 2" xfId="17707" xr:uid="{00000000-0005-0000-0000-0000431B0000}"/>
    <cellStyle name="Normal 11 3 3 4 2 2 2" xfId="37422" xr:uid="{00000000-0005-0000-0000-0000441B0000}"/>
    <cellStyle name="Normal 11 3 3 4 2 3" xfId="27565" xr:uid="{00000000-0005-0000-0000-0000451B0000}"/>
    <cellStyle name="Normal 11 3 3 4 3" xfId="12779" xr:uid="{00000000-0005-0000-0000-0000461B0000}"/>
    <cellStyle name="Normal 11 3 3 4 3 2" xfId="32494" xr:uid="{00000000-0005-0000-0000-0000471B0000}"/>
    <cellStyle name="Normal 11 3 3 4 4" xfId="22637" xr:uid="{00000000-0005-0000-0000-0000481B0000}"/>
    <cellStyle name="Normal 11 3 3 5" xfId="5383" xr:uid="{00000000-0005-0000-0000-0000491B0000}"/>
    <cellStyle name="Normal 11 3 3 5 2" xfId="15243" xr:uid="{00000000-0005-0000-0000-00004A1B0000}"/>
    <cellStyle name="Normal 11 3 3 5 2 2" xfId="34958" xr:uid="{00000000-0005-0000-0000-00004B1B0000}"/>
    <cellStyle name="Normal 11 3 3 5 3" xfId="25101" xr:uid="{00000000-0005-0000-0000-00004C1B0000}"/>
    <cellStyle name="Normal 11 3 3 6" xfId="10315" xr:uid="{00000000-0005-0000-0000-00004D1B0000}"/>
    <cellStyle name="Normal 11 3 3 6 2" xfId="30030" xr:uid="{00000000-0005-0000-0000-00004E1B0000}"/>
    <cellStyle name="Normal 11 3 3 7" xfId="20173" xr:uid="{00000000-0005-0000-0000-00004F1B0000}"/>
    <cellStyle name="Normal 11 3 4" xfId="754" xr:uid="{00000000-0005-0000-0000-0000501B0000}"/>
    <cellStyle name="Normal 11 3 4 2" xfId="1990" xr:uid="{00000000-0005-0000-0000-0000511B0000}"/>
    <cellStyle name="Normal 11 3 4 2 2" xfId="4457" xr:uid="{00000000-0005-0000-0000-0000521B0000}"/>
    <cellStyle name="Normal 11 3 4 2 2 2" xfId="9389" xr:uid="{00000000-0005-0000-0000-0000531B0000}"/>
    <cellStyle name="Normal 11 3 4 2 2 2 2" xfId="19249" xr:uid="{00000000-0005-0000-0000-0000541B0000}"/>
    <cellStyle name="Normal 11 3 4 2 2 2 2 2" xfId="38964" xr:uid="{00000000-0005-0000-0000-0000551B0000}"/>
    <cellStyle name="Normal 11 3 4 2 2 2 3" xfId="29107" xr:uid="{00000000-0005-0000-0000-0000561B0000}"/>
    <cellStyle name="Normal 11 3 4 2 2 3" xfId="14321" xr:uid="{00000000-0005-0000-0000-0000571B0000}"/>
    <cellStyle name="Normal 11 3 4 2 2 3 2" xfId="34036" xr:uid="{00000000-0005-0000-0000-0000581B0000}"/>
    <cellStyle name="Normal 11 3 4 2 2 4" xfId="24179" xr:uid="{00000000-0005-0000-0000-0000591B0000}"/>
    <cellStyle name="Normal 11 3 4 2 3" xfId="6925" xr:uid="{00000000-0005-0000-0000-00005A1B0000}"/>
    <cellStyle name="Normal 11 3 4 2 3 2" xfId="16785" xr:uid="{00000000-0005-0000-0000-00005B1B0000}"/>
    <cellStyle name="Normal 11 3 4 2 3 2 2" xfId="36500" xr:uid="{00000000-0005-0000-0000-00005C1B0000}"/>
    <cellStyle name="Normal 11 3 4 2 3 3" xfId="26643" xr:uid="{00000000-0005-0000-0000-00005D1B0000}"/>
    <cellStyle name="Normal 11 3 4 2 4" xfId="11857" xr:uid="{00000000-0005-0000-0000-00005E1B0000}"/>
    <cellStyle name="Normal 11 3 4 2 4 2" xfId="31572" xr:uid="{00000000-0005-0000-0000-00005F1B0000}"/>
    <cellStyle name="Normal 11 3 4 2 5" xfId="21715" xr:uid="{00000000-0005-0000-0000-0000601B0000}"/>
    <cellStyle name="Normal 11 3 4 3" xfId="3225" xr:uid="{00000000-0005-0000-0000-0000611B0000}"/>
    <cellStyle name="Normal 11 3 4 3 2" xfId="8157" xr:uid="{00000000-0005-0000-0000-0000621B0000}"/>
    <cellStyle name="Normal 11 3 4 3 2 2" xfId="18017" xr:uid="{00000000-0005-0000-0000-0000631B0000}"/>
    <cellStyle name="Normal 11 3 4 3 2 2 2" xfId="37732" xr:uid="{00000000-0005-0000-0000-0000641B0000}"/>
    <cellStyle name="Normal 11 3 4 3 2 3" xfId="27875" xr:uid="{00000000-0005-0000-0000-0000651B0000}"/>
    <cellStyle name="Normal 11 3 4 3 3" xfId="13089" xr:uid="{00000000-0005-0000-0000-0000661B0000}"/>
    <cellStyle name="Normal 11 3 4 3 3 2" xfId="32804" xr:uid="{00000000-0005-0000-0000-0000671B0000}"/>
    <cellStyle name="Normal 11 3 4 3 4" xfId="22947" xr:uid="{00000000-0005-0000-0000-0000681B0000}"/>
    <cellStyle name="Normal 11 3 4 4" xfId="5693" xr:uid="{00000000-0005-0000-0000-0000691B0000}"/>
    <cellStyle name="Normal 11 3 4 4 2" xfId="15553" xr:uid="{00000000-0005-0000-0000-00006A1B0000}"/>
    <cellStyle name="Normal 11 3 4 4 2 2" xfId="35268" xr:uid="{00000000-0005-0000-0000-00006B1B0000}"/>
    <cellStyle name="Normal 11 3 4 4 3" xfId="25411" xr:uid="{00000000-0005-0000-0000-00006C1B0000}"/>
    <cellStyle name="Normal 11 3 4 5" xfId="10625" xr:uid="{00000000-0005-0000-0000-00006D1B0000}"/>
    <cellStyle name="Normal 11 3 4 5 2" xfId="30340" xr:uid="{00000000-0005-0000-0000-00006E1B0000}"/>
    <cellStyle name="Normal 11 3 4 6" xfId="20483" xr:uid="{00000000-0005-0000-0000-00006F1B0000}"/>
    <cellStyle name="Normal 11 3 5" xfId="1374" xr:uid="{00000000-0005-0000-0000-0000701B0000}"/>
    <cellStyle name="Normal 11 3 5 2" xfId="3841" xr:uid="{00000000-0005-0000-0000-0000711B0000}"/>
    <cellStyle name="Normal 11 3 5 2 2" xfId="8773" xr:uid="{00000000-0005-0000-0000-0000721B0000}"/>
    <cellStyle name="Normal 11 3 5 2 2 2" xfId="18633" xr:uid="{00000000-0005-0000-0000-0000731B0000}"/>
    <cellStyle name="Normal 11 3 5 2 2 2 2" xfId="38348" xr:uid="{00000000-0005-0000-0000-0000741B0000}"/>
    <cellStyle name="Normal 11 3 5 2 2 3" xfId="28491" xr:uid="{00000000-0005-0000-0000-0000751B0000}"/>
    <cellStyle name="Normal 11 3 5 2 3" xfId="13705" xr:uid="{00000000-0005-0000-0000-0000761B0000}"/>
    <cellStyle name="Normal 11 3 5 2 3 2" xfId="33420" xr:uid="{00000000-0005-0000-0000-0000771B0000}"/>
    <cellStyle name="Normal 11 3 5 2 4" xfId="23563" xr:uid="{00000000-0005-0000-0000-0000781B0000}"/>
    <cellStyle name="Normal 11 3 5 3" xfId="6309" xr:uid="{00000000-0005-0000-0000-0000791B0000}"/>
    <cellStyle name="Normal 11 3 5 3 2" xfId="16169" xr:uid="{00000000-0005-0000-0000-00007A1B0000}"/>
    <cellStyle name="Normal 11 3 5 3 2 2" xfId="35884" xr:uid="{00000000-0005-0000-0000-00007B1B0000}"/>
    <cellStyle name="Normal 11 3 5 3 3" xfId="26027" xr:uid="{00000000-0005-0000-0000-00007C1B0000}"/>
    <cellStyle name="Normal 11 3 5 4" xfId="11241" xr:uid="{00000000-0005-0000-0000-00007D1B0000}"/>
    <cellStyle name="Normal 11 3 5 4 2" xfId="30956" xr:uid="{00000000-0005-0000-0000-00007E1B0000}"/>
    <cellStyle name="Normal 11 3 5 5" xfId="21099" xr:uid="{00000000-0005-0000-0000-00007F1B0000}"/>
    <cellStyle name="Normal 11 3 6" xfId="2609" xr:uid="{00000000-0005-0000-0000-0000801B0000}"/>
    <cellStyle name="Normal 11 3 6 2" xfId="7541" xr:uid="{00000000-0005-0000-0000-0000811B0000}"/>
    <cellStyle name="Normal 11 3 6 2 2" xfId="17401" xr:uid="{00000000-0005-0000-0000-0000821B0000}"/>
    <cellStyle name="Normal 11 3 6 2 2 2" xfId="37116" xr:uid="{00000000-0005-0000-0000-0000831B0000}"/>
    <cellStyle name="Normal 11 3 6 2 3" xfId="27259" xr:uid="{00000000-0005-0000-0000-0000841B0000}"/>
    <cellStyle name="Normal 11 3 6 3" xfId="12473" xr:uid="{00000000-0005-0000-0000-0000851B0000}"/>
    <cellStyle name="Normal 11 3 6 3 2" xfId="32188" xr:uid="{00000000-0005-0000-0000-0000861B0000}"/>
    <cellStyle name="Normal 11 3 6 4" xfId="22331" xr:uid="{00000000-0005-0000-0000-0000871B0000}"/>
    <cellStyle name="Normal 11 3 7" xfId="5077" xr:uid="{00000000-0005-0000-0000-0000881B0000}"/>
    <cellStyle name="Normal 11 3 7 2" xfId="14937" xr:uid="{00000000-0005-0000-0000-0000891B0000}"/>
    <cellStyle name="Normal 11 3 7 2 2" xfId="34652" xr:uid="{00000000-0005-0000-0000-00008A1B0000}"/>
    <cellStyle name="Normal 11 3 7 3" xfId="24795" xr:uid="{00000000-0005-0000-0000-00008B1B0000}"/>
    <cellStyle name="Normal 11 3 8" xfId="10009" xr:uid="{00000000-0005-0000-0000-00008C1B0000}"/>
    <cellStyle name="Normal 11 3 8 2" xfId="29724" xr:uid="{00000000-0005-0000-0000-00008D1B0000}"/>
    <cellStyle name="Normal 11 3 9" xfId="19867" xr:uid="{00000000-0005-0000-0000-00008E1B0000}"/>
    <cellStyle name="Normal 11 4" xfId="203" xr:uid="{00000000-0005-0000-0000-00008F1B0000}"/>
    <cellStyle name="Normal 11 4 2" xfId="517" xr:uid="{00000000-0005-0000-0000-0000901B0000}"/>
    <cellStyle name="Normal 11 4 2 2" xfId="1137" xr:uid="{00000000-0005-0000-0000-0000911B0000}"/>
    <cellStyle name="Normal 11 4 2 2 2" xfId="2372" xr:uid="{00000000-0005-0000-0000-0000921B0000}"/>
    <cellStyle name="Normal 11 4 2 2 2 2" xfId="4839" xr:uid="{00000000-0005-0000-0000-0000931B0000}"/>
    <cellStyle name="Normal 11 4 2 2 2 2 2" xfId="9771" xr:uid="{00000000-0005-0000-0000-0000941B0000}"/>
    <cellStyle name="Normal 11 4 2 2 2 2 2 2" xfId="19631" xr:uid="{00000000-0005-0000-0000-0000951B0000}"/>
    <cellStyle name="Normal 11 4 2 2 2 2 2 2 2" xfId="39346" xr:uid="{00000000-0005-0000-0000-0000961B0000}"/>
    <cellStyle name="Normal 11 4 2 2 2 2 2 3" xfId="29489" xr:uid="{00000000-0005-0000-0000-0000971B0000}"/>
    <cellStyle name="Normal 11 4 2 2 2 2 3" xfId="14703" xr:uid="{00000000-0005-0000-0000-0000981B0000}"/>
    <cellStyle name="Normal 11 4 2 2 2 2 3 2" xfId="34418" xr:uid="{00000000-0005-0000-0000-0000991B0000}"/>
    <cellStyle name="Normal 11 4 2 2 2 2 4" xfId="24561" xr:uid="{00000000-0005-0000-0000-00009A1B0000}"/>
    <cellStyle name="Normal 11 4 2 2 2 3" xfId="7307" xr:uid="{00000000-0005-0000-0000-00009B1B0000}"/>
    <cellStyle name="Normal 11 4 2 2 2 3 2" xfId="17167" xr:uid="{00000000-0005-0000-0000-00009C1B0000}"/>
    <cellStyle name="Normal 11 4 2 2 2 3 2 2" xfId="36882" xr:uid="{00000000-0005-0000-0000-00009D1B0000}"/>
    <cellStyle name="Normal 11 4 2 2 2 3 3" xfId="27025" xr:uid="{00000000-0005-0000-0000-00009E1B0000}"/>
    <cellStyle name="Normal 11 4 2 2 2 4" xfId="12239" xr:uid="{00000000-0005-0000-0000-00009F1B0000}"/>
    <cellStyle name="Normal 11 4 2 2 2 4 2" xfId="31954" xr:uid="{00000000-0005-0000-0000-0000A01B0000}"/>
    <cellStyle name="Normal 11 4 2 2 2 5" xfId="22097" xr:uid="{00000000-0005-0000-0000-0000A11B0000}"/>
    <cellStyle name="Normal 11 4 2 2 3" xfId="3607" xr:uid="{00000000-0005-0000-0000-0000A21B0000}"/>
    <cellStyle name="Normal 11 4 2 2 3 2" xfId="8539" xr:uid="{00000000-0005-0000-0000-0000A31B0000}"/>
    <cellStyle name="Normal 11 4 2 2 3 2 2" xfId="18399" xr:uid="{00000000-0005-0000-0000-0000A41B0000}"/>
    <cellStyle name="Normal 11 4 2 2 3 2 2 2" xfId="38114" xr:uid="{00000000-0005-0000-0000-0000A51B0000}"/>
    <cellStyle name="Normal 11 4 2 2 3 2 3" xfId="28257" xr:uid="{00000000-0005-0000-0000-0000A61B0000}"/>
    <cellStyle name="Normal 11 4 2 2 3 3" xfId="13471" xr:uid="{00000000-0005-0000-0000-0000A71B0000}"/>
    <cellStyle name="Normal 11 4 2 2 3 3 2" xfId="33186" xr:uid="{00000000-0005-0000-0000-0000A81B0000}"/>
    <cellStyle name="Normal 11 4 2 2 3 4" xfId="23329" xr:uid="{00000000-0005-0000-0000-0000A91B0000}"/>
    <cellStyle name="Normal 11 4 2 2 4" xfId="6075" xr:uid="{00000000-0005-0000-0000-0000AA1B0000}"/>
    <cellStyle name="Normal 11 4 2 2 4 2" xfId="15935" xr:uid="{00000000-0005-0000-0000-0000AB1B0000}"/>
    <cellStyle name="Normal 11 4 2 2 4 2 2" xfId="35650" xr:uid="{00000000-0005-0000-0000-0000AC1B0000}"/>
    <cellStyle name="Normal 11 4 2 2 4 3" xfId="25793" xr:uid="{00000000-0005-0000-0000-0000AD1B0000}"/>
    <cellStyle name="Normal 11 4 2 2 5" xfId="11007" xr:uid="{00000000-0005-0000-0000-0000AE1B0000}"/>
    <cellStyle name="Normal 11 4 2 2 5 2" xfId="30722" xr:uid="{00000000-0005-0000-0000-0000AF1B0000}"/>
    <cellStyle name="Normal 11 4 2 2 6" xfId="20865" xr:uid="{00000000-0005-0000-0000-0000B01B0000}"/>
    <cellStyle name="Normal 11 4 2 3" xfId="1756" xr:uid="{00000000-0005-0000-0000-0000B11B0000}"/>
    <cellStyle name="Normal 11 4 2 3 2" xfId="4223" xr:uid="{00000000-0005-0000-0000-0000B21B0000}"/>
    <cellStyle name="Normal 11 4 2 3 2 2" xfId="9155" xr:uid="{00000000-0005-0000-0000-0000B31B0000}"/>
    <cellStyle name="Normal 11 4 2 3 2 2 2" xfId="19015" xr:uid="{00000000-0005-0000-0000-0000B41B0000}"/>
    <cellStyle name="Normal 11 4 2 3 2 2 2 2" xfId="38730" xr:uid="{00000000-0005-0000-0000-0000B51B0000}"/>
    <cellStyle name="Normal 11 4 2 3 2 2 3" xfId="28873" xr:uid="{00000000-0005-0000-0000-0000B61B0000}"/>
    <cellStyle name="Normal 11 4 2 3 2 3" xfId="14087" xr:uid="{00000000-0005-0000-0000-0000B71B0000}"/>
    <cellStyle name="Normal 11 4 2 3 2 3 2" xfId="33802" xr:uid="{00000000-0005-0000-0000-0000B81B0000}"/>
    <cellStyle name="Normal 11 4 2 3 2 4" xfId="23945" xr:uid="{00000000-0005-0000-0000-0000B91B0000}"/>
    <cellStyle name="Normal 11 4 2 3 3" xfId="6691" xr:uid="{00000000-0005-0000-0000-0000BA1B0000}"/>
    <cellStyle name="Normal 11 4 2 3 3 2" xfId="16551" xr:uid="{00000000-0005-0000-0000-0000BB1B0000}"/>
    <cellStyle name="Normal 11 4 2 3 3 2 2" xfId="36266" xr:uid="{00000000-0005-0000-0000-0000BC1B0000}"/>
    <cellStyle name="Normal 11 4 2 3 3 3" xfId="26409" xr:uid="{00000000-0005-0000-0000-0000BD1B0000}"/>
    <cellStyle name="Normal 11 4 2 3 4" xfId="11623" xr:uid="{00000000-0005-0000-0000-0000BE1B0000}"/>
    <cellStyle name="Normal 11 4 2 3 4 2" xfId="31338" xr:uid="{00000000-0005-0000-0000-0000BF1B0000}"/>
    <cellStyle name="Normal 11 4 2 3 5" xfId="21481" xr:uid="{00000000-0005-0000-0000-0000C01B0000}"/>
    <cellStyle name="Normal 11 4 2 4" xfId="2991" xr:uid="{00000000-0005-0000-0000-0000C11B0000}"/>
    <cellStyle name="Normal 11 4 2 4 2" xfId="7923" xr:uid="{00000000-0005-0000-0000-0000C21B0000}"/>
    <cellStyle name="Normal 11 4 2 4 2 2" xfId="17783" xr:uid="{00000000-0005-0000-0000-0000C31B0000}"/>
    <cellStyle name="Normal 11 4 2 4 2 2 2" xfId="37498" xr:uid="{00000000-0005-0000-0000-0000C41B0000}"/>
    <cellStyle name="Normal 11 4 2 4 2 3" xfId="27641" xr:uid="{00000000-0005-0000-0000-0000C51B0000}"/>
    <cellStyle name="Normal 11 4 2 4 3" xfId="12855" xr:uid="{00000000-0005-0000-0000-0000C61B0000}"/>
    <cellStyle name="Normal 11 4 2 4 3 2" xfId="32570" xr:uid="{00000000-0005-0000-0000-0000C71B0000}"/>
    <cellStyle name="Normal 11 4 2 4 4" xfId="22713" xr:uid="{00000000-0005-0000-0000-0000C81B0000}"/>
    <cellStyle name="Normal 11 4 2 5" xfId="5459" xr:uid="{00000000-0005-0000-0000-0000C91B0000}"/>
    <cellStyle name="Normal 11 4 2 5 2" xfId="15319" xr:uid="{00000000-0005-0000-0000-0000CA1B0000}"/>
    <cellStyle name="Normal 11 4 2 5 2 2" xfId="35034" xr:uid="{00000000-0005-0000-0000-0000CB1B0000}"/>
    <cellStyle name="Normal 11 4 2 5 3" xfId="25177" xr:uid="{00000000-0005-0000-0000-0000CC1B0000}"/>
    <cellStyle name="Normal 11 4 2 6" xfId="10391" xr:uid="{00000000-0005-0000-0000-0000CD1B0000}"/>
    <cellStyle name="Normal 11 4 2 6 2" xfId="30106" xr:uid="{00000000-0005-0000-0000-0000CE1B0000}"/>
    <cellStyle name="Normal 11 4 2 7" xfId="20249" xr:uid="{00000000-0005-0000-0000-0000CF1B0000}"/>
    <cellStyle name="Normal 11 4 3" xfId="830" xr:uid="{00000000-0005-0000-0000-0000D01B0000}"/>
    <cellStyle name="Normal 11 4 3 2" xfId="2066" xr:uid="{00000000-0005-0000-0000-0000D11B0000}"/>
    <cellStyle name="Normal 11 4 3 2 2" xfId="4533" xr:uid="{00000000-0005-0000-0000-0000D21B0000}"/>
    <cellStyle name="Normal 11 4 3 2 2 2" xfId="9465" xr:uid="{00000000-0005-0000-0000-0000D31B0000}"/>
    <cellStyle name="Normal 11 4 3 2 2 2 2" xfId="19325" xr:uid="{00000000-0005-0000-0000-0000D41B0000}"/>
    <cellStyle name="Normal 11 4 3 2 2 2 2 2" xfId="39040" xr:uid="{00000000-0005-0000-0000-0000D51B0000}"/>
    <cellStyle name="Normal 11 4 3 2 2 2 3" xfId="29183" xr:uid="{00000000-0005-0000-0000-0000D61B0000}"/>
    <cellStyle name="Normal 11 4 3 2 2 3" xfId="14397" xr:uid="{00000000-0005-0000-0000-0000D71B0000}"/>
    <cellStyle name="Normal 11 4 3 2 2 3 2" xfId="34112" xr:uid="{00000000-0005-0000-0000-0000D81B0000}"/>
    <cellStyle name="Normal 11 4 3 2 2 4" xfId="24255" xr:uid="{00000000-0005-0000-0000-0000D91B0000}"/>
    <cellStyle name="Normal 11 4 3 2 3" xfId="7001" xr:uid="{00000000-0005-0000-0000-0000DA1B0000}"/>
    <cellStyle name="Normal 11 4 3 2 3 2" xfId="16861" xr:uid="{00000000-0005-0000-0000-0000DB1B0000}"/>
    <cellStyle name="Normal 11 4 3 2 3 2 2" xfId="36576" xr:uid="{00000000-0005-0000-0000-0000DC1B0000}"/>
    <cellStyle name="Normal 11 4 3 2 3 3" xfId="26719" xr:uid="{00000000-0005-0000-0000-0000DD1B0000}"/>
    <cellStyle name="Normal 11 4 3 2 4" xfId="11933" xr:uid="{00000000-0005-0000-0000-0000DE1B0000}"/>
    <cellStyle name="Normal 11 4 3 2 4 2" xfId="31648" xr:uid="{00000000-0005-0000-0000-0000DF1B0000}"/>
    <cellStyle name="Normal 11 4 3 2 5" xfId="21791" xr:uid="{00000000-0005-0000-0000-0000E01B0000}"/>
    <cellStyle name="Normal 11 4 3 3" xfId="3301" xr:uid="{00000000-0005-0000-0000-0000E11B0000}"/>
    <cellStyle name="Normal 11 4 3 3 2" xfId="8233" xr:uid="{00000000-0005-0000-0000-0000E21B0000}"/>
    <cellStyle name="Normal 11 4 3 3 2 2" xfId="18093" xr:uid="{00000000-0005-0000-0000-0000E31B0000}"/>
    <cellStyle name="Normal 11 4 3 3 2 2 2" xfId="37808" xr:uid="{00000000-0005-0000-0000-0000E41B0000}"/>
    <cellStyle name="Normal 11 4 3 3 2 3" xfId="27951" xr:uid="{00000000-0005-0000-0000-0000E51B0000}"/>
    <cellStyle name="Normal 11 4 3 3 3" xfId="13165" xr:uid="{00000000-0005-0000-0000-0000E61B0000}"/>
    <cellStyle name="Normal 11 4 3 3 3 2" xfId="32880" xr:uid="{00000000-0005-0000-0000-0000E71B0000}"/>
    <cellStyle name="Normal 11 4 3 3 4" xfId="23023" xr:uid="{00000000-0005-0000-0000-0000E81B0000}"/>
    <cellStyle name="Normal 11 4 3 4" xfId="5769" xr:uid="{00000000-0005-0000-0000-0000E91B0000}"/>
    <cellStyle name="Normal 11 4 3 4 2" xfId="15629" xr:uid="{00000000-0005-0000-0000-0000EA1B0000}"/>
    <cellStyle name="Normal 11 4 3 4 2 2" xfId="35344" xr:uid="{00000000-0005-0000-0000-0000EB1B0000}"/>
    <cellStyle name="Normal 11 4 3 4 3" xfId="25487" xr:uid="{00000000-0005-0000-0000-0000EC1B0000}"/>
    <cellStyle name="Normal 11 4 3 5" xfId="10701" xr:uid="{00000000-0005-0000-0000-0000ED1B0000}"/>
    <cellStyle name="Normal 11 4 3 5 2" xfId="30416" xr:uid="{00000000-0005-0000-0000-0000EE1B0000}"/>
    <cellStyle name="Normal 11 4 3 6" xfId="20559" xr:uid="{00000000-0005-0000-0000-0000EF1B0000}"/>
    <cellStyle name="Normal 11 4 4" xfId="1450" xr:uid="{00000000-0005-0000-0000-0000F01B0000}"/>
    <cellStyle name="Normal 11 4 4 2" xfId="3917" xr:uid="{00000000-0005-0000-0000-0000F11B0000}"/>
    <cellStyle name="Normal 11 4 4 2 2" xfId="8849" xr:uid="{00000000-0005-0000-0000-0000F21B0000}"/>
    <cellStyle name="Normal 11 4 4 2 2 2" xfId="18709" xr:uid="{00000000-0005-0000-0000-0000F31B0000}"/>
    <cellStyle name="Normal 11 4 4 2 2 2 2" xfId="38424" xr:uid="{00000000-0005-0000-0000-0000F41B0000}"/>
    <cellStyle name="Normal 11 4 4 2 2 3" xfId="28567" xr:uid="{00000000-0005-0000-0000-0000F51B0000}"/>
    <cellStyle name="Normal 11 4 4 2 3" xfId="13781" xr:uid="{00000000-0005-0000-0000-0000F61B0000}"/>
    <cellStyle name="Normal 11 4 4 2 3 2" xfId="33496" xr:uid="{00000000-0005-0000-0000-0000F71B0000}"/>
    <cellStyle name="Normal 11 4 4 2 4" xfId="23639" xr:uid="{00000000-0005-0000-0000-0000F81B0000}"/>
    <cellStyle name="Normal 11 4 4 3" xfId="6385" xr:uid="{00000000-0005-0000-0000-0000F91B0000}"/>
    <cellStyle name="Normal 11 4 4 3 2" xfId="16245" xr:uid="{00000000-0005-0000-0000-0000FA1B0000}"/>
    <cellStyle name="Normal 11 4 4 3 2 2" xfId="35960" xr:uid="{00000000-0005-0000-0000-0000FB1B0000}"/>
    <cellStyle name="Normal 11 4 4 3 3" xfId="26103" xr:uid="{00000000-0005-0000-0000-0000FC1B0000}"/>
    <cellStyle name="Normal 11 4 4 4" xfId="11317" xr:uid="{00000000-0005-0000-0000-0000FD1B0000}"/>
    <cellStyle name="Normal 11 4 4 4 2" xfId="31032" xr:uid="{00000000-0005-0000-0000-0000FE1B0000}"/>
    <cellStyle name="Normal 11 4 4 5" xfId="21175" xr:uid="{00000000-0005-0000-0000-0000FF1B0000}"/>
    <cellStyle name="Normal 11 4 5" xfId="2685" xr:uid="{00000000-0005-0000-0000-0000001C0000}"/>
    <cellStyle name="Normal 11 4 5 2" xfId="7617" xr:uid="{00000000-0005-0000-0000-0000011C0000}"/>
    <cellStyle name="Normal 11 4 5 2 2" xfId="17477" xr:uid="{00000000-0005-0000-0000-0000021C0000}"/>
    <cellStyle name="Normal 11 4 5 2 2 2" xfId="37192" xr:uid="{00000000-0005-0000-0000-0000031C0000}"/>
    <cellStyle name="Normal 11 4 5 2 3" xfId="27335" xr:uid="{00000000-0005-0000-0000-0000041C0000}"/>
    <cellStyle name="Normal 11 4 5 3" xfId="12549" xr:uid="{00000000-0005-0000-0000-0000051C0000}"/>
    <cellStyle name="Normal 11 4 5 3 2" xfId="32264" xr:uid="{00000000-0005-0000-0000-0000061C0000}"/>
    <cellStyle name="Normal 11 4 5 4" xfId="22407" xr:uid="{00000000-0005-0000-0000-0000071C0000}"/>
    <cellStyle name="Normal 11 4 6" xfId="5153" xr:uid="{00000000-0005-0000-0000-0000081C0000}"/>
    <cellStyle name="Normal 11 4 6 2" xfId="15013" xr:uid="{00000000-0005-0000-0000-0000091C0000}"/>
    <cellStyle name="Normal 11 4 6 2 2" xfId="34728" xr:uid="{00000000-0005-0000-0000-00000A1C0000}"/>
    <cellStyle name="Normal 11 4 6 3" xfId="24871" xr:uid="{00000000-0005-0000-0000-00000B1C0000}"/>
    <cellStyle name="Normal 11 4 7" xfId="10085" xr:uid="{00000000-0005-0000-0000-00000C1C0000}"/>
    <cellStyle name="Normal 11 4 7 2" xfId="29800" xr:uid="{00000000-0005-0000-0000-00000D1C0000}"/>
    <cellStyle name="Normal 11 4 8" xfId="19943" xr:uid="{00000000-0005-0000-0000-00000E1C0000}"/>
    <cellStyle name="Normal 11 5" xfId="365" xr:uid="{00000000-0005-0000-0000-00000F1C0000}"/>
    <cellStyle name="Normal 11 5 2" xfId="985" xr:uid="{00000000-0005-0000-0000-0000101C0000}"/>
    <cellStyle name="Normal 11 5 2 2" xfId="2220" xr:uid="{00000000-0005-0000-0000-0000111C0000}"/>
    <cellStyle name="Normal 11 5 2 2 2" xfId="4687" xr:uid="{00000000-0005-0000-0000-0000121C0000}"/>
    <cellStyle name="Normal 11 5 2 2 2 2" xfId="9619" xr:uid="{00000000-0005-0000-0000-0000131C0000}"/>
    <cellStyle name="Normal 11 5 2 2 2 2 2" xfId="19479" xr:uid="{00000000-0005-0000-0000-0000141C0000}"/>
    <cellStyle name="Normal 11 5 2 2 2 2 2 2" xfId="39194" xr:uid="{00000000-0005-0000-0000-0000151C0000}"/>
    <cellStyle name="Normal 11 5 2 2 2 2 3" xfId="29337" xr:uid="{00000000-0005-0000-0000-0000161C0000}"/>
    <cellStyle name="Normal 11 5 2 2 2 3" xfId="14551" xr:uid="{00000000-0005-0000-0000-0000171C0000}"/>
    <cellStyle name="Normal 11 5 2 2 2 3 2" xfId="34266" xr:uid="{00000000-0005-0000-0000-0000181C0000}"/>
    <cellStyle name="Normal 11 5 2 2 2 4" xfId="24409" xr:uid="{00000000-0005-0000-0000-0000191C0000}"/>
    <cellStyle name="Normal 11 5 2 2 3" xfId="7155" xr:uid="{00000000-0005-0000-0000-00001A1C0000}"/>
    <cellStyle name="Normal 11 5 2 2 3 2" xfId="17015" xr:uid="{00000000-0005-0000-0000-00001B1C0000}"/>
    <cellStyle name="Normal 11 5 2 2 3 2 2" xfId="36730" xr:uid="{00000000-0005-0000-0000-00001C1C0000}"/>
    <cellStyle name="Normal 11 5 2 2 3 3" xfId="26873" xr:uid="{00000000-0005-0000-0000-00001D1C0000}"/>
    <cellStyle name="Normal 11 5 2 2 4" xfId="12087" xr:uid="{00000000-0005-0000-0000-00001E1C0000}"/>
    <cellStyle name="Normal 11 5 2 2 4 2" xfId="31802" xr:uid="{00000000-0005-0000-0000-00001F1C0000}"/>
    <cellStyle name="Normal 11 5 2 2 5" xfId="21945" xr:uid="{00000000-0005-0000-0000-0000201C0000}"/>
    <cellStyle name="Normal 11 5 2 3" xfId="3455" xr:uid="{00000000-0005-0000-0000-0000211C0000}"/>
    <cellStyle name="Normal 11 5 2 3 2" xfId="8387" xr:uid="{00000000-0005-0000-0000-0000221C0000}"/>
    <cellStyle name="Normal 11 5 2 3 2 2" xfId="18247" xr:uid="{00000000-0005-0000-0000-0000231C0000}"/>
    <cellStyle name="Normal 11 5 2 3 2 2 2" xfId="37962" xr:uid="{00000000-0005-0000-0000-0000241C0000}"/>
    <cellStyle name="Normal 11 5 2 3 2 3" xfId="28105" xr:uid="{00000000-0005-0000-0000-0000251C0000}"/>
    <cellStyle name="Normal 11 5 2 3 3" xfId="13319" xr:uid="{00000000-0005-0000-0000-0000261C0000}"/>
    <cellStyle name="Normal 11 5 2 3 3 2" xfId="33034" xr:uid="{00000000-0005-0000-0000-0000271C0000}"/>
    <cellStyle name="Normal 11 5 2 3 4" xfId="23177" xr:uid="{00000000-0005-0000-0000-0000281C0000}"/>
    <cellStyle name="Normal 11 5 2 4" xfId="5923" xr:uid="{00000000-0005-0000-0000-0000291C0000}"/>
    <cellStyle name="Normal 11 5 2 4 2" xfId="15783" xr:uid="{00000000-0005-0000-0000-00002A1C0000}"/>
    <cellStyle name="Normal 11 5 2 4 2 2" xfId="35498" xr:uid="{00000000-0005-0000-0000-00002B1C0000}"/>
    <cellStyle name="Normal 11 5 2 4 3" xfId="25641" xr:uid="{00000000-0005-0000-0000-00002C1C0000}"/>
    <cellStyle name="Normal 11 5 2 5" xfId="10855" xr:uid="{00000000-0005-0000-0000-00002D1C0000}"/>
    <cellStyle name="Normal 11 5 2 5 2" xfId="30570" xr:uid="{00000000-0005-0000-0000-00002E1C0000}"/>
    <cellStyle name="Normal 11 5 2 6" xfId="20713" xr:uid="{00000000-0005-0000-0000-00002F1C0000}"/>
    <cellStyle name="Normal 11 5 3" xfId="1604" xr:uid="{00000000-0005-0000-0000-0000301C0000}"/>
    <cellStyle name="Normal 11 5 3 2" xfId="4071" xr:uid="{00000000-0005-0000-0000-0000311C0000}"/>
    <cellStyle name="Normal 11 5 3 2 2" xfId="9003" xr:uid="{00000000-0005-0000-0000-0000321C0000}"/>
    <cellStyle name="Normal 11 5 3 2 2 2" xfId="18863" xr:uid="{00000000-0005-0000-0000-0000331C0000}"/>
    <cellStyle name="Normal 11 5 3 2 2 2 2" xfId="38578" xr:uid="{00000000-0005-0000-0000-0000341C0000}"/>
    <cellStyle name="Normal 11 5 3 2 2 3" xfId="28721" xr:uid="{00000000-0005-0000-0000-0000351C0000}"/>
    <cellStyle name="Normal 11 5 3 2 3" xfId="13935" xr:uid="{00000000-0005-0000-0000-0000361C0000}"/>
    <cellStyle name="Normal 11 5 3 2 3 2" xfId="33650" xr:uid="{00000000-0005-0000-0000-0000371C0000}"/>
    <cellStyle name="Normal 11 5 3 2 4" xfId="23793" xr:uid="{00000000-0005-0000-0000-0000381C0000}"/>
    <cellStyle name="Normal 11 5 3 3" xfId="6539" xr:uid="{00000000-0005-0000-0000-0000391C0000}"/>
    <cellStyle name="Normal 11 5 3 3 2" xfId="16399" xr:uid="{00000000-0005-0000-0000-00003A1C0000}"/>
    <cellStyle name="Normal 11 5 3 3 2 2" xfId="36114" xr:uid="{00000000-0005-0000-0000-00003B1C0000}"/>
    <cellStyle name="Normal 11 5 3 3 3" xfId="26257" xr:uid="{00000000-0005-0000-0000-00003C1C0000}"/>
    <cellStyle name="Normal 11 5 3 4" xfId="11471" xr:uid="{00000000-0005-0000-0000-00003D1C0000}"/>
    <cellStyle name="Normal 11 5 3 4 2" xfId="31186" xr:uid="{00000000-0005-0000-0000-00003E1C0000}"/>
    <cellStyle name="Normal 11 5 3 5" xfId="21329" xr:uid="{00000000-0005-0000-0000-00003F1C0000}"/>
    <cellStyle name="Normal 11 5 4" xfId="2839" xr:uid="{00000000-0005-0000-0000-0000401C0000}"/>
    <cellStyle name="Normal 11 5 4 2" xfId="7771" xr:uid="{00000000-0005-0000-0000-0000411C0000}"/>
    <cellStyle name="Normal 11 5 4 2 2" xfId="17631" xr:uid="{00000000-0005-0000-0000-0000421C0000}"/>
    <cellStyle name="Normal 11 5 4 2 2 2" xfId="37346" xr:uid="{00000000-0005-0000-0000-0000431C0000}"/>
    <cellStyle name="Normal 11 5 4 2 3" xfId="27489" xr:uid="{00000000-0005-0000-0000-0000441C0000}"/>
    <cellStyle name="Normal 11 5 4 3" xfId="12703" xr:uid="{00000000-0005-0000-0000-0000451C0000}"/>
    <cellStyle name="Normal 11 5 4 3 2" xfId="32418" xr:uid="{00000000-0005-0000-0000-0000461C0000}"/>
    <cellStyle name="Normal 11 5 4 4" xfId="22561" xr:uid="{00000000-0005-0000-0000-0000471C0000}"/>
    <cellStyle name="Normal 11 5 5" xfId="5307" xr:uid="{00000000-0005-0000-0000-0000481C0000}"/>
    <cellStyle name="Normal 11 5 5 2" xfId="15167" xr:uid="{00000000-0005-0000-0000-0000491C0000}"/>
    <cellStyle name="Normal 11 5 5 2 2" xfId="34882" xr:uid="{00000000-0005-0000-0000-00004A1C0000}"/>
    <cellStyle name="Normal 11 5 5 3" xfId="25025" xr:uid="{00000000-0005-0000-0000-00004B1C0000}"/>
    <cellStyle name="Normal 11 5 6" xfId="10239" xr:uid="{00000000-0005-0000-0000-00004C1C0000}"/>
    <cellStyle name="Normal 11 5 6 2" xfId="29954" xr:uid="{00000000-0005-0000-0000-00004D1C0000}"/>
    <cellStyle name="Normal 11 5 7" xfId="20097" xr:uid="{00000000-0005-0000-0000-00004E1C0000}"/>
    <cellStyle name="Normal 11 6" xfId="678" xr:uid="{00000000-0005-0000-0000-00004F1C0000}"/>
    <cellStyle name="Normal 11 6 2" xfId="1914" xr:uid="{00000000-0005-0000-0000-0000501C0000}"/>
    <cellStyle name="Normal 11 6 2 2" xfId="4381" xr:uid="{00000000-0005-0000-0000-0000511C0000}"/>
    <cellStyle name="Normal 11 6 2 2 2" xfId="9313" xr:uid="{00000000-0005-0000-0000-0000521C0000}"/>
    <cellStyle name="Normal 11 6 2 2 2 2" xfId="19173" xr:uid="{00000000-0005-0000-0000-0000531C0000}"/>
    <cellStyle name="Normal 11 6 2 2 2 2 2" xfId="38888" xr:uid="{00000000-0005-0000-0000-0000541C0000}"/>
    <cellStyle name="Normal 11 6 2 2 2 3" xfId="29031" xr:uid="{00000000-0005-0000-0000-0000551C0000}"/>
    <cellStyle name="Normal 11 6 2 2 3" xfId="14245" xr:uid="{00000000-0005-0000-0000-0000561C0000}"/>
    <cellStyle name="Normal 11 6 2 2 3 2" xfId="33960" xr:uid="{00000000-0005-0000-0000-0000571C0000}"/>
    <cellStyle name="Normal 11 6 2 2 4" xfId="24103" xr:uid="{00000000-0005-0000-0000-0000581C0000}"/>
    <cellStyle name="Normal 11 6 2 3" xfId="6849" xr:uid="{00000000-0005-0000-0000-0000591C0000}"/>
    <cellStyle name="Normal 11 6 2 3 2" xfId="16709" xr:uid="{00000000-0005-0000-0000-00005A1C0000}"/>
    <cellStyle name="Normal 11 6 2 3 2 2" xfId="36424" xr:uid="{00000000-0005-0000-0000-00005B1C0000}"/>
    <cellStyle name="Normal 11 6 2 3 3" xfId="26567" xr:uid="{00000000-0005-0000-0000-00005C1C0000}"/>
    <cellStyle name="Normal 11 6 2 4" xfId="11781" xr:uid="{00000000-0005-0000-0000-00005D1C0000}"/>
    <cellStyle name="Normal 11 6 2 4 2" xfId="31496" xr:uid="{00000000-0005-0000-0000-00005E1C0000}"/>
    <cellStyle name="Normal 11 6 2 5" xfId="21639" xr:uid="{00000000-0005-0000-0000-00005F1C0000}"/>
    <cellStyle name="Normal 11 6 3" xfId="3149" xr:uid="{00000000-0005-0000-0000-0000601C0000}"/>
    <cellStyle name="Normal 11 6 3 2" xfId="8081" xr:uid="{00000000-0005-0000-0000-0000611C0000}"/>
    <cellStyle name="Normal 11 6 3 2 2" xfId="17941" xr:uid="{00000000-0005-0000-0000-0000621C0000}"/>
    <cellStyle name="Normal 11 6 3 2 2 2" xfId="37656" xr:uid="{00000000-0005-0000-0000-0000631C0000}"/>
    <cellStyle name="Normal 11 6 3 2 3" xfId="27799" xr:uid="{00000000-0005-0000-0000-0000641C0000}"/>
    <cellStyle name="Normal 11 6 3 3" xfId="13013" xr:uid="{00000000-0005-0000-0000-0000651C0000}"/>
    <cellStyle name="Normal 11 6 3 3 2" xfId="32728" xr:uid="{00000000-0005-0000-0000-0000661C0000}"/>
    <cellStyle name="Normal 11 6 3 4" xfId="22871" xr:uid="{00000000-0005-0000-0000-0000671C0000}"/>
    <cellStyle name="Normal 11 6 4" xfId="5617" xr:uid="{00000000-0005-0000-0000-0000681C0000}"/>
    <cellStyle name="Normal 11 6 4 2" xfId="15477" xr:uid="{00000000-0005-0000-0000-0000691C0000}"/>
    <cellStyle name="Normal 11 6 4 2 2" xfId="35192" xr:uid="{00000000-0005-0000-0000-00006A1C0000}"/>
    <cellStyle name="Normal 11 6 4 3" xfId="25335" xr:uid="{00000000-0005-0000-0000-00006B1C0000}"/>
    <cellStyle name="Normal 11 6 5" xfId="10549" xr:uid="{00000000-0005-0000-0000-00006C1C0000}"/>
    <cellStyle name="Normal 11 6 5 2" xfId="30264" xr:uid="{00000000-0005-0000-0000-00006D1C0000}"/>
    <cellStyle name="Normal 11 6 6" xfId="20407" xr:uid="{00000000-0005-0000-0000-00006E1C0000}"/>
    <cellStyle name="Normal 11 7" xfId="1298" xr:uid="{00000000-0005-0000-0000-00006F1C0000}"/>
    <cellStyle name="Normal 11 7 2" xfId="3765" xr:uid="{00000000-0005-0000-0000-0000701C0000}"/>
    <cellStyle name="Normal 11 7 2 2" xfId="8697" xr:uid="{00000000-0005-0000-0000-0000711C0000}"/>
    <cellStyle name="Normal 11 7 2 2 2" xfId="18557" xr:uid="{00000000-0005-0000-0000-0000721C0000}"/>
    <cellStyle name="Normal 11 7 2 2 2 2" xfId="38272" xr:uid="{00000000-0005-0000-0000-0000731C0000}"/>
    <cellStyle name="Normal 11 7 2 2 3" xfId="28415" xr:uid="{00000000-0005-0000-0000-0000741C0000}"/>
    <cellStyle name="Normal 11 7 2 3" xfId="13629" xr:uid="{00000000-0005-0000-0000-0000751C0000}"/>
    <cellStyle name="Normal 11 7 2 3 2" xfId="33344" xr:uid="{00000000-0005-0000-0000-0000761C0000}"/>
    <cellStyle name="Normal 11 7 2 4" xfId="23487" xr:uid="{00000000-0005-0000-0000-0000771C0000}"/>
    <cellStyle name="Normal 11 7 3" xfId="6233" xr:uid="{00000000-0005-0000-0000-0000781C0000}"/>
    <cellStyle name="Normal 11 7 3 2" xfId="16093" xr:uid="{00000000-0005-0000-0000-0000791C0000}"/>
    <cellStyle name="Normal 11 7 3 2 2" xfId="35808" xr:uid="{00000000-0005-0000-0000-00007A1C0000}"/>
    <cellStyle name="Normal 11 7 3 3" xfId="25951" xr:uid="{00000000-0005-0000-0000-00007B1C0000}"/>
    <cellStyle name="Normal 11 7 4" xfId="11165" xr:uid="{00000000-0005-0000-0000-00007C1C0000}"/>
    <cellStyle name="Normal 11 7 4 2" xfId="30880" xr:uid="{00000000-0005-0000-0000-00007D1C0000}"/>
    <cellStyle name="Normal 11 7 5" xfId="21023" xr:uid="{00000000-0005-0000-0000-00007E1C0000}"/>
    <cellStyle name="Normal 11 8" xfId="2533" xr:uid="{00000000-0005-0000-0000-00007F1C0000}"/>
    <cellStyle name="Normal 11 8 2" xfId="7465" xr:uid="{00000000-0005-0000-0000-0000801C0000}"/>
    <cellStyle name="Normal 11 8 2 2" xfId="17325" xr:uid="{00000000-0005-0000-0000-0000811C0000}"/>
    <cellStyle name="Normal 11 8 2 2 2" xfId="37040" xr:uid="{00000000-0005-0000-0000-0000821C0000}"/>
    <cellStyle name="Normal 11 8 2 3" xfId="27183" xr:uid="{00000000-0005-0000-0000-0000831C0000}"/>
    <cellStyle name="Normal 11 8 3" xfId="12397" xr:uid="{00000000-0005-0000-0000-0000841C0000}"/>
    <cellStyle name="Normal 11 8 3 2" xfId="32112" xr:uid="{00000000-0005-0000-0000-0000851C0000}"/>
    <cellStyle name="Normal 11 8 4" xfId="22255" xr:uid="{00000000-0005-0000-0000-0000861C0000}"/>
    <cellStyle name="Normal 11 9" xfId="5001" xr:uid="{00000000-0005-0000-0000-0000871C0000}"/>
    <cellStyle name="Normal 11 9 2" xfId="14861" xr:uid="{00000000-0005-0000-0000-0000881C0000}"/>
    <cellStyle name="Normal 11 9 2 2" xfId="34576" xr:uid="{00000000-0005-0000-0000-0000891C0000}"/>
    <cellStyle name="Normal 11 9 3" xfId="24719" xr:uid="{00000000-0005-0000-0000-00008A1C0000}"/>
    <cellStyle name="Normal 12" xfId="61" xr:uid="{00000000-0005-0000-0000-00008B1C0000}"/>
    <cellStyle name="Normal 12 2" xfId="98" xr:uid="{00000000-0005-0000-0000-00008C1C0000}"/>
    <cellStyle name="Normal 13" xfId="57" xr:uid="{00000000-0005-0000-0000-00008D1C0000}"/>
    <cellStyle name="Normal 13 10" xfId="19810" xr:uid="{00000000-0005-0000-0000-00008E1C0000}"/>
    <cellStyle name="Normal 13 2" xfId="141" xr:uid="{00000000-0005-0000-0000-00008F1C0000}"/>
    <cellStyle name="Normal 13 2 2" xfId="298" xr:uid="{00000000-0005-0000-0000-0000901C0000}"/>
    <cellStyle name="Normal 13 2 2 2" xfId="612" xr:uid="{00000000-0005-0000-0000-0000911C0000}"/>
    <cellStyle name="Normal 13 2 2 2 2" xfId="1232" xr:uid="{00000000-0005-0000-0000-0000921C0000}"/>
    <cellStyle name="Normal 13 2 2 2 2 2" xfId="2467" xr:uid="{00000000-0005-0000-0000-0000931C0000}"/>
    <cellStyle name="Normal 13 2 2 2 2 2 2" xfId="4934" xr:uid="{00000000-0005-0000-0000-0000941C0000}"/>
    <cellStyle name="Normal 13 2 2 2 2 2 2 2" xfId="9866" xr:uid="{00000000-0005-0000-0000-0000951C0000}"/>
    <cellStyle name="Normal 13 2 2 2 2 2 2 2 2" xfId="19726" xr:uid="{00000000-0005-0000-0000-0000961C0000}"/>
    <cellStyle name="Normal 13 2 2 2 2 2 2 2 2 2" xfId="39441" xr:uid="{00000000-0005-0000-0000-0000971C0000}"/>
    <cellStyle name="Normal 13 2 2 2 2 2 2 2 3" xfId="29584" xr:uid="{00000000-0005-0000-0000-0000981C0000}"/>
    <cellStyle name="Normal 13 2 2 2 2 2 2 3" xfId="14798" xr:uid="{00000000-0005-0000-0000-0000991C0000}"/>
    <cellStyle name="Normal 13 2 2 2 2 2 2 3 2" xfId="34513" xr:uid="{00000000-0005-0000-0000-00009A1C0000}"/>
    <cellStyle name="Normal 13 2 2 2 2 2 2 4" xfId="24656" xr:uid="{00000000-0005-0000-0000-00009B1C0000}"/>
    <cellStyle name="Normal 13 2 2 2 2 2 3" xfId="7402" xr:uid="{00000000-0005-0000-0000-00009C1C0000}"/>
    <cellStyle name="Normal 13 2 2 2 2 2 3 2" xfId="17262" xr:uid="{00000000-0005-0000-0000-00009D1C0000}"/>
    <cellStyle name="Normal 13 2 2 2 2 2 3 2 2" xfId="36977" xr:uid="{00000000-0005-0000-0000-00009E1C0000}"/>
    <cellStyle name="Normal 13 2 2 2 2 2 3 3" xfId="27120" xr:uid="{00000000-0005-0000-0000-00009F1C0000}"/>
    <cellStyle name="Normal 13 2 2 2 2 2 4" xfId="12334" xr:uid="{00000000-0005-0000-0000-0000A01C0000}"/>
    <cellStyle name="Normal 13 2 2 2 2 2 4 2" xfId="32049" xr:uid="{00000000-0005-0000-0000-0000A11C0000}"/>
    <cellStyle name="Normal 13 2 2 2 2 2 5" xfId="22192" xr:uid="{00000000-0005-0000-0000-0000A21C0000}"/>
    <cellStyle name="Normal 13 2 2 2 2 3" xfId="3702" xr:uid="{00000000-0005-0000-0000-0000A31C0000}"/>
    <cellStyle name="Normal 13 2 2 2 2 3 2" xfId="8634" xr:uid="{00000000-0005-0000-0000-0000A41C0000}"/>
    <cellStyle name="Normal 13 2 2 2 2 3 2 2" xfId="18494" xr:uid="{00000000-0005-0000-0000-0000A51C0000}"/>
    <cellStyle name="Normal 13 2 2 2 2 3 2 2 2" xfId="38209" xr:uid="{00000000-0005-0000-0000-0000A61C0000}"/>
    <cellStyle name="Normal 13 2 2 2 2 3 2 3" xfId="28352" xr:uid="{00000000-0005-0000-0000-0000A71C0000}"/>
    <cellStyle name="Normal 13 2 2 2 2 3 3" xfId="13566" xr:uid="{00000000-0005-0000-0000-0000A81C0000}"/>
    <cellStyle name="Normal 13 2 2 2 2 3 3 2" xfId="33281" xr:uid="{00000000-0005-0000-0000-0000A91C0000}"/>
    <cellStyle name="Normal 13 2 2 2 2 3 4" xfId="23424" xr:uid="{00000000-0005-0000-0000-0000AA1C0000}"/>
    <cellStyle name="Normal 13 2 2 2 2 4" xfId="6170" xr:uid="{00000000-0005-0000-0000-0000AB1C0000}"/>
    <cellStyle name="Normal 13 2 2 2 2 4 2" xfId="16030" xr:uid="{00000000-0005-0000-0000-0000AC1C0000}"/>
    <cellStyle name="Normal 13 2 2 2 2 4 2 2" xfId="35745" xr:uid="{00000000-0005-0000-0000-0000AD1C0000}"/>
    <cellStyle name="Normal 13 2 2 2 2 4 3" xfId="25888" xr:uid="{00000000-0005-0000-0000-0000AE1C0000}"/>
    <cellStyle name="Normal 13 2 2 2 2 5" xfId="11102" xr:uid="{00000000-0005-0000-0000-0000AF1C0000}"/>
    <cellStyle name="Normal 13 2 2 2 2 5 2" xfId="30817" xr:uid="{00000000-0005-0000-0000-0000B01C0000}"/>
    <cellStyle name="Normal 13 2 2 2 2 6" xfId="20960" xr:uid="{00000000-0005-0000-0000-0000B11C0000}"/>
    <cellStyle name="Normal 13 2 2 2 3" xfId="1851" xr:uid="{00000000-0005-0000-0000-0000B21C0000}"/>
    <cellStyle name="Normal 13 2 2 2 3 2" xfId="4318" xr:uid="{00000000-0005-0000-0000-0000B31C0000}"/>
    <cellStyle name="Normal 13 2 2 2 3 2 2" xfId="9250" xr:uid="{00000000-0005-0000-0000-0000B41C0000}"/>
    <cellStyle name="Normal 13 2 2 2 3 2 2 2" xfId="19110" xr:uid="{00000000-0005-0000-0000-0000B51C0000}"/>
    <cellStyle name="Normal 13 2 2 2 3 2 2 2 2" xfId="38825" xr:uid="{00000000-0005-0000-0000-0000B61C0000}"/>
    <cellStyle name="Normal 13 2 2 2 3 2 2 3" xfId="28968" xr:uid="{00000000-0005-0000-0000-0000B71C0000}"/>
    <cellStyle name="Normal 13 2 2 2 3 2 3" xfId="14182" xr:uid="{00000000-0005-0000-0000-0000B81C0000}"/>
    <cellStyle name="Normal 13 2 2 2 3 2 3 2" xfId="33897" xr:uid="{00000000-0005-0000-0000-0000B91C0000}"/>
    <cellStyle name="Normal 13 2 2 2 3 2 4" xfId="24040" xr:uid="{00000000-0005-0000-0000-0000BA1C0000}"/>
    <cellStyle name="Normal 13 2 2 2 3 3" xfId="6786" xr:uid="{00000000-0005-0000-0000-0000BB1C0000}"/>
    <cellStyle name="Normal 13 2 2 2 3 3 2" xfId="16646" xr:uid="{00000000-0005-0000-0000-0000BC1C0000}"/>
    <cellStyle name="Normal 13 2 2 2 3 3 2 2" xfId="36361" xr:uid="{00000000-0005-0000-0000-0000BD1C0000}"/>
    <cellStyle name="Normal 13 2 2 2 3 3 3" xfId="26504" xr:uid="{00000000-0005-0000-0000-0000BE1C0000}"/>
    <cellStyle name="Normal 13 2 2 2 3 4" xfId="11718" xr:uid="{00000000-0005-0000-0000-0000BF1C0000}"/>
    <cellStyle name="Normal 13 2 2 2 3 4 2" xfId="31433" xr:uid="{00000000-0005-0000-0000-0000C01C0000}"/>
    <cellStyle name="Normal 13 2 2 2 3 5" xfId="21576" xr:uid="{00000000-0005-0000-0000-0000C11C0000}"/>
    <cellStyle name="Normal 13 2 2 2 4" xfId="3086" xr:uid="{00000000-0005-0000-0000-0000C21C0000}"/>
    <cellStyle name="Normal 13 2 2 2 4 2" xfId="8018" xr:uid="{00000000-0005-0000-0000-0000C31C0000}"/>
    <cellStyle name="Normal 13 2 2 2 4 2 2" xfId="17878" xr:uid="{00000000-0005-0000-0000-0000C41C0000}"/>
    <cellStyle name="Normal 13 2 2 2 4 2 2 2" xfId="37593" xr:uid="{00000000-0005-0000-0000-0000C51C0000}"/>
    <cellStyle name="Normal 13 2 2 2 4 2 3" xfId="27736" xr:uid="{00000000-0005-0000-0000-0000C61C0000}"/>
    <cellStyle name="Normal 13 2 2 2 4 3" xfId="12950" xr:uid="{00000000-0005-0000-0000-0000C71C0000}"/>
    <cellStyle name="Normal 13 2 2 2 4 3 2" xfId="32665" xr:uid="{00000000-0005-0000-0000-0000C81C0000}"/>
    <cellStyle name="Normal 13 2 2 2 4 4" xfId="22808" xr:uid="{00000000-0005-0000-0000-0000C91C0000}"/>
    <cellStyle name="Normal 13 2 2 2 5" xfId="5554" xr:uid="{00000000-0005-0000-0000-0000CA1C0000}"/>
    <cellStyle name="Normal 13 2 2 2 5 2" xfId="15414" xr:uid="{00000000-0005-0000-0000-0000CB1C0000}"/>
    <cellStyle name="Normal 13 2 2 2 5 2 2" xfId="35129" xr:uid="{00000000-0005-0000-0000-0000CC1C0000}"/>
    <cellStyle name="Normal 13 2 2 2 5 3" xfId="25272" xr:uid="{00000000-0005-0000-0000-0000CD1C0000}"/>
    <cellStyle name="Normal 13 2 2 2 6" xfId="10486" xr:uid="{00000000-0005-0000-0000-0000CE1C0000}"/>
    <cellStyle name="Normal 13 2 2 2 6 2" xfId="30201" xr:uid="{00000000-0005-0000-0000-0000CF1C0000}"/>
    <cellStyle name="Normal 13 2 2 2 7" xfId="20344" xr:uid="{00000000-0005-0000-0000-0000D01C0000}"/>
    <cellStyle name="Normal 13 2 2 3" xfId="925" xr:uid="{00000000-0005-0000-0000-0000D11C0000}"/>
    <cellStyle name="Normal 13 2 2 3 2" xfId="2161" xr:uid="{00000000-0005-0000-0000-0000D21C0000}"/>
    <cellStyle name="Normal 13 2 2 3 2 2" xfId="4628" xr:uid="{00000000-0005-0000-0000-0000D31C0000}"/>
    <cellStyle name="Normal 13 2 2 3 2 2 2" xfId="9560" xr:uid="{00000000-0005-0000-0000-0000D41C0000}"/>
    <cellStyle name="Normal 13 2 2 3 2 2 2 2" xfId="19420" xr:uid="{00000000-0005-0000-0000-0000D51C0000}"/>
    <cellStyle name="Normal 13 2 2 3 2 2 2 2 2" xfId="39135" xr:uid="{00000000-0005-0000-0000-0000D61C0000}"/>
    <cellStyle name="Normal 13 2 2 3 2 2 2 3" xfId="29278" xr:uid="{00000000-0005-0000-0000-0000D71C0000}"/>
    <cellStyle name="Normal 13 2 2 3 2 2 3" xfId="14492" xr:uid="{00000000-0005-0000-0000-0000D81C0000}"/>
    <cellStyle name="Normal 13 2 2 3 2 2 3 2" xfId="34207" xr:uid="{00000000-0005-0000-0000-0000D91C0000}"/>
    <cellStyle name="Normal 13 2 2 3 2 2 4" xfId="24350" xr:uid="{00000000-0005-0000-0000-0000DA1C0000}"/>
    <cellStyle name="Normal 13 2 2 3 2 3" xfId="7096" xr:uid="{00000000-0005-0000-0000-0000DB1C0000}"/>
    <cellStyle name="Normal 13 2 2 3 2 3 2" xfId="16956" xr:uid="{00000000-0005-0000-0000-0000DC1C0000}"/>
    <cellStyle name="Normal 13 2 2 3 2 3 2 2" xfId="36671" xr:uid="{00000000-0005-0000-0000-0000DD1C0000}"/>
    <cellStyle name="Normal 13 2 2 3 2 3 3" xfId="26814" xr:uid="{00000000-0005-0000-0000-0000DE1C0000}"/>
    <cellStyle name="Normal 13 2 2 3 2 4" xfId="12028" xr:uid="{00000000-0005-0000-0000-0000DF1C0000}"/>
    <cellStyle name="Normal 13 2 2 3 2 4 2" xfId="31743" xr:uid="{00000000-0005-0000-0000-0000E01C0000}"/>
    <cellStyle name="Normal 13 2 2 3 2 5" xfId="21886" xr:uid="{00000000-0005-0000-0000-0000E11C0000}"/>
    <cellStyle name="Normal 13 2 2 3 3" xfId="3396" xr:uid="{00000000-0005-0000-0000-0000E21C0000}"/>
    <cellStyle name="Normal 13 2 2 3 3 2" xfId="8328" xr:uid="{00000000-0005-0000-0000-0000E31C0000}"/>
    <cellStyle name="Normal 13 2 2 3 3 2 2" xfId="18188" xr:uid="{00000000-0005-0000-0000-0000E41C0000}"/>
    <cellStyle name="Normal 13 2 2 3 3 2 2 2" xfId="37903" xr:uid="{00000000-0005-0000-0000-0000E51C0000}"/>
    <cellStyle name="Normal 13 2 2 3 3 2 3" xfId="28046" xr:uid="{00000000-0005-0000-0000-0000E61C0000}"/>
    <cellStyle name="Normal 13 2 2 3 3 3" xfId="13260" xr:uid="{00000000-0005-0000-0000-0000E71C0000}"/>
    <cellStyle name="Normal 13 2 2 3 3 3 2" xfId="32975" xr:uid="{00000000-0005-0000-0000-0000E81C0000}"/>
    <cellStyle name="Normal 13 2 2 3 3 4" xfId="23118" xr:uid="{00000000-0005-0000-0000-0000E91C0000}"/>
    <cellStyle name="Normal 13 2 2 3 4" xfId="5864" xr:uid="{00000000-0005-0000-0000-0000EA1C0000}"/>
    <cellStyle name="Normal 13 2 2 3 4 2" xfId="15724" xr:uid="{00000000-0005-0000-0000-0000EB1C0000}"/>
    <cellStyle name="Normal 13 2 2 3 4 2 2" xfId="35439" xr:uid="{00000000-0005-0000-0000-0000EC1C0000}"/>
    <cellStyle name="Normal 13 2 2 3 4 3" xfId="25582" xr:uid="{00000000-0005-0000-0000-0000ED1C0000}"/>
    <cellStyle name="Normal 13 2 2 3 5" xfId="10796" xr:uid="{00000000-0005-0000-0000-0000EE1C0000}"/>
    <cellStyle name="Normal 13 2 2 3 5 2" xfId="30511" xr:uid="{00000000-0005-0000-0000-0000EF1C0000}"/>
    <cellStyle name="Normal 13 2 2 3 6" xfId="20654" xr:uid="{00000000-0005-0000-0000-0000F01C0000}"/>
    <cellStyle name="Normal 13 2 2 4" xfId="1545" xr:uid="{00000000-0005-0000-0000-0000F11C0000}"/>
    <cellStyle name="Normal 13 2 2 4 2" xfId="4012" xr:uid="{00000000-0005-0000-0000-0000F21C0000}"/>
    <cellStyle name="Normal 13 2 2 4 2 2" xfId="8944" xr:uid="{00000000-0005-0000-0000-0000F31C0000}"/>
    <cellStyle name="Normal 13 2 2 4 2 2 2" xfId="18804" xr:uid="{00000000-0005-0000-0000-0000F41C0000}"/>
    <cellStyle name="Normal 13 2 2 4 2 2 2 2" xfId="38519" xr:uid="{00000000-0005-0000-0000-0000F51C0000}"/>
    <cellStyle name="Normal 13 2 2 4 2 2 3" xfId="28662" xr:uid="{00000000-0005-0000-0000-0000F61C0000}"/>
    <cellStyle name="Normal 13 2 2 4 2 3" xfId="13876" xr:uid="{00000000-0005-0000-0000-0000F71C0000}"/>
    <cellStyle name="Normal 13 2 2 4 2 3 2" xfId="33591" xr:uid="{00000000-0005-0000-0000-0000F81C0000}"/>
    <cellStyle name="Normal 13 2 2 4 2 4" xfId="23734" xr:uid="{00000000-0005-0000-0000-0000F91C0000}"/>
    <cellStyle name="Normal 13 2 2 4 3" xfId="6480" xr:uid="{00000000-0005-0000-0000-0000FA1C0000}"/>
    <cellStyle name="Normal 13 2 2 4 3 2" xfId="16340" xr:uid="{00000000-0005-0000-0000-0000FB1C0000}"/>
    <cellStyle name="Normal 13 2 2 4 3 2 2" xfId="36055" xr:uid="{00000000-0005-0000-0000-0000FC1C0000}"/>
    <cellStyle name="Normal 13 2 2 4 3 3" xfId="26198" xr:uid="{00000000-0005-0000-0000-0000FD1C0000}"/>
    <cellStyle name="Normal 13 2 2 4 4" xfId="11412" xr:uid="{00000000-0005-0000-0000-0000FE1C0000}"/>
    <cellStyle name="Normal 13 2 2 4 4 2" xfId="31127" xr:uid="{00000000-0005-0000-0000-0000FF1C0000}"/>
    <cellStyle name="Normal 13 2 2 4 5" xfId="21270" xr:uid="{00000000-0005-0000-0000-0000001D0000}"/>
    <cellStyle name="Normal 13 2 2 5" xfId="2780" xr:uid="{00000000-0005-0000-0000-0000011D0000}"/>
    <cellStyle name="Normal 13 2 2 5 2" xfId="7712" xr:uid="{00000000-0005-0000-0000-0000021D0000}"/>
    <cellStyle name="Normal 13 2 2 5 2 2" xfId="17572" xr:uid="{00000000-0005-0000-0000-0000031D0000}"/>
    <cellStyle name="Normal 13 2 2 5 2 2 2" xfId="37287" xr:uid="{00000000-0005-0000-0000-0000041D0000}"/>
    <cellStyle name="Normal 13 2 2 5 2 3" xfId="27430" xr:uid="{00000000-0005-0000-0000-0000051D0000}"/>
    <cellStyle name="Normal 13 2 2 5 3" xfId="12644" xr:uid="{00000000-0005-0000-0000-0000061D0000}"/>
    <cellStyle name="Normal 13 2 2 5 3 2" xfId="32359" xr:uid="{00000000-0005-0000-0000-0000071D0000}"/>
    <cellStyle name="Normal 13 2 2 5 4" xfId="22502" xr:uid="{00000000-0005-0000-0000-0000081D0000}"/>
    <cellStyle name="Normal 13 2 2 6" xfId="5248" xr:uid="{00000000-0005-0000-0000-0000091D0000}"/>
    <cellStyle name="Normal 13 2 2 6 2" xfId="15108" xr:uid="{00000000-0005-0000-0000-00000A1D0000}"/>
    <cellStyle name="Normal 13 2 2 6 2 2" xfId="34823" xr:uid="{00000000-0005-0000-0000-00000B1D0000}"/>
    <cellStyle name="Normal 13 2 2 6 3" xfId="24966" xr:uid="{00000000-0005-0000-0000-00000C1D0000}"/>
    <cellStyle name="Normal 13 2 2 7" xfId="10180" xr:uid="{00000000-0005-0000-0000-00000D1D0000}"/>
    <cellStyle name="Normal 13 2 2 7 2" xfId="29895" xr:uid="{00000000-0005-0000-0000-00000E1D0000}"/>
    <cellStyle name="Normal 13 2 2 8" xfId="20038" xr:uid="{00000000-0005-0000-0000-00000F1D0000}"/>
    <cellStyle name="Normal 13 2 3" xfId="460" xr:uid="{00000000-0005-0000-0000-0000101D0000}"/>
    <cellStyle name="Normal 13 2 3 2" xfId="1080" xr:uid="{00000000-0005-0000-0000-0000111D0000}"/>
    <cellStyle name="Normal 13 2 3 2 2" xfId="2315" xr:uid="{00000000-0005-0000-0000-0000121D0000}"/>
    <cellStyle name="Normal 13 2 3 2 2 2" xfId="4782" xr:uid="{00000000-0005-0000-0000-0000131D0000}"/>
    <cellStyle name="Normal 13 2 3 2 2 2 2" xfId="9714" xr:uid="{00000000-0005-0000-0000-0000141D0000}"/>
    <cellStyle name="Normal 13 2 3 2 2 2 2 2" xfId="19574" xr:uid="{00000000-0005-0000-0000-0000151D0000}"/>
    <cellStyle name="Normal 13 2 3 2 2 2 2 2 2" xfId="39289" xr:uid="{00000000-0005-0000-0000-0000161D0000}"/>
    <cellStyle name="Normal 13 2 3 2 2 2 2 3" xfId="29432" xr:uid="{00000000-0005-0000-0000-0000171D0000}"/>
    <cellStyle name="Normal 13 2 3 2 2 2 3" xfId="14646" xr:uid="{00000000-0005-0000-0000-0000181D0000}"/>
    <cellStyle name="Normal 13 2 3 2 2 2 3 2" xfId="34361" xr:uid="{00000000-0005-0000-0000-0000191D0000}"/>
    <cellStyle name="Normal 13 2 3 2 2 2 4" xfId="24504" xr:uid="{00000000-0005-0000-0000-00001A1D0000}"/>
    <cellStyle name="Normal 13 2 3 2 2 3" xfId="7250" xr:uid="{00000000-0005-0000-0000-00001B1D0000}"/>
    <cellStyle name="Normal 13 2 3 2 2 3 2" xfId="17110" xr:uid="{00000000-0005-0000-0000-00001C1D0000}"/>
    <cellStyle name="Normal 13 2 3 2 2 3 2 2" xfId="36825" xr:uid="{00000000-0005-0000-0000-00001D1D0000}"/>
    <cellStyle name="Normal 13 2 3 2 2 3 3" xfId="26968" xr:uid="{00000000-0005-0000-0000-00001E1D0000}"/>
    <cellStyle name="Normal 13 2 3 2 2 4" xfId="12182" xr:uid="{00000000-0005-0000-0000-00001F1D0000}"/>
    <cellStyle name="Normal 13 2 3 2 2 4 2" xfId="31897" xr:uid="{00000000-0005-0000-0000-0000201D0000}"/>
    <cellStyle name="Normal 13 2 3 2 2 5" xfId="22040" xr:uid="{00000000-0005-0000-0000-0000211D0000}"/>
    <cellStyle name="Normal 13 2 3 2 3" xfId="3550" xr:uid="{00000000-0005-0000-0000-0000221D0000}"/>
    <cellStyle name="Normal 13 2 3 2 3 2" xfId="8482" xr:uid="{00000000-0005-0000-0000-0000231D0000}"/>
    <cellStyle name="Normal 13 2 3 2 3 2 2" xfId="18342" xr:uid="{00000000-0005-0000-0000-0000241D0000}"/>
    <cellStyle name="Normal 13 2 3 2 3 2 2 2" xfId="38057" xr:uid="{00000000-0005-0000-0000-0000251D0000}"/>
    <cellStyle name="Normal 13 2 3 2 3 2 3" xfId="28200" xr:uid="{00000000-0005-0000-0000-0000261D0000}"/>
    <cellStyle name="Normal 13 2 3 2 3 3" xfId="13414" xr:uid="{00000000-0005-0000-0000-0000271D0000}"/>
    <cellStyle name="Normal 13 2 3 2 3 3 2" xfId="33129" xr:uid="{00000000-0005-0000-0000-0000281D0000}"/>
    <cellStyle name="Normal 13 2 3 2 3 4" xfId="23272" xr:uid="{00000000-0005-0000-0000-0000291D0000}"/>
    <cellStyle name="Normal 13 2 3 2 4" xfId="6018" xr:uid="{00000000-0005-0000-0000-00002A1D0000}"/>
    <cellStyle name="Normal 13 2 3 2 4 2" xfId="15878" xr:uid="{00000000-0005-0000-0000-00002B1D0000}"/>
    <cellStyle name="Normal 13 2 3 2 4 2 2" xfId="35593" xr:uid="{00000000-0005-0000-0000-00002C1D0000}"/>
    <cellStyle name="Normal 13 2 3 2 4 3" xfId="25736" xr:uid="{00000000-0005-0000-0000-00002D1D0000}"/>
    <cellStyle name="Normal 13 2 3 2 5" xfId="10950" xr:uid="{00000000-0005-0000-0000-00002E1D0000}"/>
    <cellStyle name="Normal 13 2 3 2 5 2" xfId="30665" xr:uid="{00000000-0005-0000-0000-00002F1D0000}"/>
    <cellStyle name="Normal 13 2 3 2 6" xfId="20808" xr:uid="{00000000-0005-0000-0000-0000301D0000}"/>
    <cellStyle name="Normal 13 2 3 3" xfId="1699" xr:uid="{00000000-0005-0000-0000-0000311D0000}"/>
    <cellStyle name="Normal 13 2 3 3 2" xfId="4166" xr:uid="{00000000-0005-0000-0000-0000321D0000}"/>
    <cellStyle name="Normal 13 2 3 3 2 2" xfId="9098" xr:uid="{00000000-0005-0000-0000-0000331D0000}"/>
    <cellStyle name="Normal 13 2 3 3 2 2 2" xfId="18958" xr:uid="{00000000-0005-0000-0000-0000341D0000}"/>
    <cellStyle name="Normal 13 2 3 3 2 2 2 2" xfId="38673" xr:uid="{00000000-0005-0000-0000-0000351D0000}"/>
    <cellStyle name="Normal 13 2 3 3 2 2 3" xfId="28816" xr:uid="{00000000-0005-0000-0000-0000361D0000}"/>
    <cellStyle name="Normal 13 2 3 3 2 3" xfId="14030" xr:uid="{00000000-0005-0000-0000-0000371D0000}"/>
    <cellStyle name="Normal 13 2 3 3 2 3 2" xfId="33745" xr:uid="{00000000-0005-0000-0000-0000381D0000}"/>
    <cellStyle name="Normal 13 2 3 3 2 4" xfId="23888" xr:uid="{00000000-0005-0000-0000-0000391D0000}"/>
    <cellStyle name="Normal 13 2 3 3 3" xfId="6634" xr:uid="{00000000-0005-0000-0000-00003A1D0000}"/>
    <cellStyle name="Normal 13 2 3 3 3 2" xfId="16494" xr:uid="{00000000-0005-0000-0000-00003B1D0000}"/>
    <cellStyle name="Normal 13 2 3 3 3 2 2" xfId="36209" xr:uid="{00000000-0005-0000-0000-00003C1D0000}"/>
    <cellStyle name="Normal 13 2 3 3 3 3" xfId="26352" xr:uid="{00000000-0005-0000-0000-00003D1D0000}"/>
    <cellStyle name="Normal 13 2 3 3 4" xfId="11566" xr:uid="{00000000-0005-0000-0000-00003E1D0000}"/>
    <cellStyle name="Normal 13 2 3 3 4 2" xfId="31281" xr:uid="{00000000-0005-0000-0000-00003F1D0000}"/>
    <cellStyle name="Normal 13 2 3 3 5" xfId="21424" xr:uid="{00000000-0005-0000-0000-0000401D0000}"/>
    <cellStyle name="Normal 13 2 3 4" xfId="2934" xr:uid="{00000000-0005-0000-0000-0000411D0000}"/>
    <cellStyle name="Normal 13 2 3 4 2" xfId="7866" xr:uid="{00000000-0005-0000-0000-0000421D0000}"/>
    <cellStyle name="Normal 13 2 3 4 2 2" xfId="17726" xr:uid="{00000000-0005-0000-0000-0000431D0000}"/>
    <cellStyle name="Normal 13 2 3 4 2 2 2" xfId="37441" xr:uid="{00000000-0005-0000-0000-0000441D0000}"/>
    <cellStyle name="Normal 13 2 3 4 2 3" xfId="27584" xr:uid="{00000000-0005-0000-0000-0000451D0000}"/>
    <cellStyle name="Normal 13 2 3 4 3" xfId="12798" xr:uid="{00000000-0005-0000-0000-0000461D0000}"/>
    <cellStyle name="Normal 13 2 3 4 3 2" xfId="32513" xr:uid="{00000000-0005-0000-0000-0000471D0000}"/>
    <cellStyle name="Normal 13 2 3 4 4" xfId="22656" xr:uid="{00000000-0005-0000-0000-0000481D0000}"/>
    <cellStyle name="Normal 13 2 3 5" xfId="5402" xr:uid="{00000000-0005-0000-0000-0000491D0000}"/>
    <cellStyle name="Normal 13 2 3 5 2" xfId="15262" xr:uid="{00000000-0005-0000-0000-00004A1D0000}"/>
    <cellStyle name="Normal 13 2 3 5 2 2" xfId="34977" xr:uid="{00000000-0005-0000-0000-00004B1D0000}"/>
    <cellStyle name="Normal 13 2 3 5 3" xfId="25120" xr:uid="{00000000-0005-0000-0000-00004C1D0000}"/>
    <cellStyle name="Normal 13 2 3 6" xfId="10334" xr:uid="{00000000-0005-0000-0000-00004D1D0000}"/>
    <cellStyle name="Normal 13 2 3 6 2" xfId="30049" xr:uid="{00000000-0005-0000-0000-00004E1D0000}"/>
    <cellStyle name="Normal 13 2 3 7" xfId="20192" xr:uid="{00000000-0005-0000-0000-00004F1D0000}"/>
    <cellStyle name="Normal 13 2 4" xfId="773" xr:uid="{00000000-0005-0000-0000-0000501D0000}"/>
    <cellStyle name="Normal 13 2 4 2" xfId="2009" xr:uid="{00000000-0005-0000-0000-0000511D0000}"/>
    <cellStyle name="Normal 13 2 4 2 2" xfId="4476" xr:uid="{00000000-0005-0000-0000-0000521D0000}"/>
    <cellStyle name="Normal 13 2 4 2 2 2" xfId="9408" xr:uid="{00000000-0005-0000-0000-0000531D0000}"/>
    <cellStyle name="Normal 13 2 4 2 2 2 2" xfId="19268" xr:uid="{00000000-0005-0000-0000-0000541D0000}"/>
    <cellStyle name="Normal 13 2 4 2 2 2 2 2" xfId="38983" xr:uid="{00000000-0005-0000-0000-0000551D0000}"/>
    <cellStyle name="Normal 13 2 4 2 2 2 3" xfId="29126" xr:uid="{00000000-0005-0000-0000-0000561D0000}"/>
    <cellStyle name="Normal 13 2 4 2 2 3" xfId="14340" xr:uid="{00000000-0005-0000-0000-0000571D0000}"/>
    <cellStyle name="Normal 13 2 4 2 2 3 2" xfId="34055" xr:uid="{00000000-0005-0000-0000-0000581D0000}"/>
    <cellStyle name="Normal 13 2 4 2 2 4" xfId="24198" xr:uid="{00000000-0005-0000-0000-0000591D0000}"/>
    <cellStyle name="Normal 13 2 4 2 3" xfId="6944" xr:uid="{00000000-0005-0000-0000-00005A1D0000}"/>
    <cellStyle name="Normal 13 2 4 2 3 2" xfId="16804" xr:uid="{00000000-0005-0000-0000-00005B1D0000}"/>
    <cellStyle name="Normal 13 2 4 2 3 2 2" xfId="36519" xr:uid="{00000000-0005-0000-0000-00005C1D0000}"/>
    <cellStyle name="Normal 13 2 4 2 3 3" xfId="26662" xr:uid="{00000000-0005-0000-0000-00005D1D0000}"/>
    <cellStyle name="Normal 13 2 4 2 4" xfId="11876" xr:uid="{00000000-0005-0000-0000-00005E1D0000}"/>
    <cellStyle name="Normal 13 2 4 2 4 2" xfId="31591" xr:uid="{00000000-0005-0000-0000-00005F1D0000}"/>
    <cellStyle name="Normal 13 2 4 2 5" xfId="21734" xr:uid="{00000000-0005-0000-0000-0000601D0000}"/>
    <cellStyle name="Normal 13 2 4 3" xfId="3244" xr:uid="{00000000-0005-0000-0000-0000611D0000}"/>
    <cellStyle name="Normal 13 2 4 3 2" xfId="8176" xr:uid="{00000000-0005-0000-0000-0000621D0000}"/>
    <cellStyle name="Normal 13 2 4 3 2 2" xfId="18036" xr:uid="{00000000-0005-0000-0000-0000631D0000}"/>
    <cellStyle name="Normal 13 2 4 3 2 2 2" xfId="37751" xr:uid="{00000000-0005-0000-0000-0000641D0000}"/>
    <cellStyle name="Normal 13 2 4 3 2 3" xfId="27894" xr:uid="{00000000-0005-0000-0000-0000651D0000}"/>
    <cellStyle name="Normal 13 2 4 3 3" xfId="13108" xr:uid="{00000000-0005-0000-0000-0000661D0000}"/>
    <cellStyle name="Normal 13 2 4 3 3 2" xfId="32823" xr:uid="{00000000-0005-0000-0000-0000671D0000}"/>
    <cellStyle name="Normal 13 2 4 3 4" xfId="22966" xr:uid="{00000000-0005-0000-0000-0000681D0000}"/>
    <cellStyle name="Normal 13 2 4 4" xfId="5712" xr:uid="{00000000-0005-0000-0000-0000691D0000}"/>
    <cellStyle name="Normal 13 2 4 4 2" xfId="15572" xr:uid="{00000000-0005-0000-0000-00006A1D0000}"/>
    <cellStyle name="Normal 13 2 4 4 2 2" xfId="35287" xr:uid="{00000000-0005-0000-0000-00006B1D0000}"/>
    <cellStyle name="Normal 13 2 4 4 3" xfId="25430" xr:uid="{00000000-0005-0000-0000-00006C1D0000}"/>
    <cellStyle name="Normal 13 2 4 5" xfId="10644" xr:uid="{00000000-0005-0000-0000-00006D1D0000}"/>
    <cellStyle name="Normal 13 2 4 5 2" xfId="30359" xr:uid="{00000000-0005-0000-0000-00006E1D0000}"/>
    <cellStyle name="Normal 13 2 4 6" xfId="20502" xr:uid="{00000000-0005-0000-0000-00006F1D0000}"/>
    <cellStyle name="Normal 13 2 5" xfId="1393" xr:uid="{00000000-0005-0000-0000-0000701D0000}"/>
    <cellStyle name="Normal 13 2 5 2" xfId="3860" xr:uid="{00000000-0005-0000-0000-0000711D0000}"/>
    <cellStyle name="Normal 13 2 5 2 2" xfId="8792" xr:uid="{00000000-0005-0000-0000-0000721D0000}"/>
    <cellStyle name="Normal 13 2 5 2 2 2" xfId="18652" xr:uid="{00000000-0005-0000-0000-0000731D0000}"/>
    <cellStyle name="Normal 13 2 5 2 2 2 2" xfId="38367" xr:uid="{00000000-0005-0000-0000-0000741D0000}"/>
    <cellStyle name="Normal 13 2 5 2 2 3" xfId="28510" xr:uid="{00000000-0005-0000-0000-0000751D0000}"/>
    <cellStyle name="Normal 13 2 5 2 3" xfId="13724" xr:uid="{00000000-0005-0000-0000-0000761D0000}"/>
    <cellStyle name="Normal 13 2 5 2 3 2" xfId="33439" xr:uid="{00000000-0005-0000-0000-0000771D0000}"/>
    <cellStyle name="Normal 13 2 5 2 4" xfId="23582" xr:uid="{00000000-0005-0000-0000-0000781D0000}"/>
    <cellStyle name="Normal 13 2 5 3" xfId="6328" xr:uid="{00000000-0005-0000-0000-0000791D0000}"/>
    <cellStyle name="Normal 13 2 5 3 2" xfId="16188" xr:uid="{00000000-0005-0000-0000-00007A1D0000}"/>
    <cellStyle name="Normal 13 2 5 3 2 2" xfId="35903" xr:uid="{00000000-0005-0000-0000-00007B1D0000}"/>
    <cellStyle name="Normal 13 2 5 3 3" xfId="26046" xr:uid="{00000000-0005-0000-0000-00007C1D0000}"/>
    <cellStyle name="Normal 13 2 5 4" xfId="11260" xr:uid="{00000000-0005-0000-0000-00007D1D0000}"/>
    <cellStyle name="Normal 13 2 5 4 2" xfId="30975" xr:uid="{00000000-0005-0000-0000-00007E1D0000}"/>
    <cellStyle name="Normal 13 2 5 5" xfId="21118" xr:uid="{00000000-0005-0000-0000-00007F1D0000}"/>
    <cellStyle name="Normal 13 2 6" xfId="2628" xr:uid="{00000000-0005-0000-0000-0000801D0000}"/>
    <cellStyle name="Normal 13 2 6 2" xfId="7560" xr:uid="{00000000-0005-0000-0000-0000811D0000}"/>
    <cellStyle name="Normal 13 2 6 2 2" xfId="17420" xr:uid="{00000000-0005-0000-0000-0000821D0000}"/>
    <cellStyle name="Normal 13 2 6 2 2 2" xfId="37135" xr:uid="{00000000-0005-0000-0000-0000831D0000}"/>
    <cellStyle name="Normal 13 2 6 2 3" xfId="27278" xr:uid="{00000000-0005-0000-0000-0000841D0000}"/>
    <cellStyle name="Normal 13 2 6 3" xfId="12492" xr:uid="{00000000-0005-0000-0000-0000851D0000}"/>
    <cellStyle name="Normal 13 2 6 3 2" xfId="32207" xr:uid="{00000000-0005-0000-0000-0000861D0000}"/>
    <cellStyle name="Normal 13 2 6 4" xfId="22350" xr:uid="{00000000-0005-0000-0000-0000871D0000}"/>
    <cellStyle name="Normal 13 2 7" xfId="5096" xr:uid="{00000000-0005-0000-0000-0000881D0000}"/>
    <cellStyle name="Normal 13 2 7 2" xfId="14956" xr:uid="{00000000-0005-0000-0000-0000891D0000}"/>
    <cellStyle name="Normal 13 2 7 2 2" xfId="34671" xr:uid="{00000000-0005-0000-0000-00008A1D0000}"/>
    <cellStyle name="Normal 13 2 7 3" xfId="24814" xr:uid="{00000000-0005-0000-0000-00008B1D0000}"/>
    <cellStyle name="Normal 13 2 8" xfId="10028" xr:uid="{00000000-0005-0000-0000-00008C1D0000}"/>
    <cellStyle name="Normal 13 2 8 2" xfId="29743" xr:uid="{00000000-0005-0000-0000-00008D1D0000}"/>
    <cellStyle name="Normal 13 2 9" xfId="19886" xr:uid="{00000000-0005-0000-0000-00008E1D0000}"/>
    <cellStyle name="Normal 13 3" xfId="222" xr:uid="{00000000-0005-0000-0000-00008F1D0000}"/>
    <cellStyle name="Normal 13 3 2" xfId="536" xr:uid="{00000000-0005-0000-0000-0000901D0000}"/>
    <cellStyle name="Normal 13 3 2 2" xfId="1156" xr:uid="{00000000-0005-0000-0000-0000911D0000}"/>
    <cellStyle name="Normal 13 3 2 2 2" xfId="2391" xr:uid="{00000000-0005-0000-0000-0000921D0000}"/>
    <cellStyle name="Normal 13 3 2 2 2 2" xfId="4858" xr:uid="{00000000-0005-0000-0000-0000931D0000}"/>
    <cellStyle name="Normal 13 3 2 2 2 2 2" xfId="9790" xr:uid="{00000000-0005-0000-0000-0000941D0000}"/>
    <cellStyle name="Normal 13 3 2 2 2 2 2 2" xfId="19650" xr:uid="{00000000-0005-0000-0000-0000951D0000}"/>
    <cellStyle name="Normal 13 3 2 2 2 2 2 2 2" xfId="39365" xr:uid="{00000000-0005-0000-0000-0000961D0000}"/>
    <cellStyle name="Normal 13 3 2 2 2 2 2 3" xfId="29508" xr:uid="{00000000-0005-0000-0000-0000971D0000}"/>
    <cellStyle name="Normal 13 3 2 2 2 2 3" xfId="14722" xr:uid="{00000000-0005-0000-0000-0000981D0000}"/>
    <cellStyle name="Normal 13 3 2 2 2 2 3 2" xfId="34437" xr:uid="{00000000-0005-0000-0000-0000991D0000}"/>
    <cellStyle name="Normal 13 3 2 2 2 2 4" xfId="24580" xr:uid="{00000000-0005-0000-0000-00009A1D0000}"/>
    <cellStyle name="Normal 13 3 2 2 2 3" xfId="7326" xr:uid="{00000000-0005-0000-0000-00009B1D0000}"/>
    <cellStyle name="Normal 13 3 2 2 2 3 2" xfId="17186" xr:uid="{00000000-0005-0000-0000-00009C1D0000}"/>
    <cellStyle name="Normal 13 3 2 2 2 3 2 2" xfId="36901" xr:uid="{00000000-0005-0000-0000-00009D1D0000}"/>
    <cellStyle name="Normal 13 3 2 2 2 3 3" xfId="27044" xr:uid="{00000000-0005-0000-0000-00009E1D0000}"/>
    <cellStyle name="Normal 13 3 2 2 2 4" xfId="12258" xr:uid="{00000000-0005-0000-0000-00009F1D0000}"/>
    <cellStyle name="Normal 13 3 2 2 2 4 2" xfId="31973" xr:uid="{00000000-0005-0000-0000-0000A01D0000}"/>
    <cellStyle name="Normal 13 3 2 2 2 5" xfId="22116" xr:uid="{00000000-0005-0000-0000-0000A11D0000}"/>
    <cellStyle name="Normal 13 3 2 2 3" xfId="3626" xr:uid="{00000000-0005-0000-0000-0000A21D0000}"/>
    <cellStyle name="Normal 13 3 2 2 3 2" xfId="8558" xr:uid="{00000000-0005-0000-0000-0000A31D0000}"/>
    <cellStyle name="Normal 13 3 2 2 3 2 2" xfId="18418" xr:uid="{00000000-0005-0000-0000-0000A41D0000}"/>
    <cellStyle name="Normal 13 3 2 2 3 2 2 2" xfId="38133" xr:uid="{00000000-0005-0000-0000-0000A51D0000}"/>
    <cellStyle name="Normal 13 3 2 2 3 2 3" xfId="28276" xr:uid="{00000000-0005-0000-0000-0000A61D0000}"/>
    <cellStyle name="Normal 13 3 2 2 3 3" xfId="13490" xr:uid="{00000000-0005-0000-0000-0000A71D0000}"/>
    <cellStyle name="Normal 13 3 2 2 3 3 2" xfId="33205" xr:uid="{00000000-0005-0000-0000-0000A81D0000}"/>
    <cellStyle name="Normal 13 3 2 2 3 4" xfId="23348" xr:uid="{00000000-0005-0000-0000-0000A91D0000}"/>
    <cellStyle name="Normal 13 3 2 2 4" xfId="6094" xr:uid="{00000000-0005-0000-0000-0000AA1D0000}"/>
    <cellStyle name="Normal 13 3 2 2 4 2" xfId="15954" xr:uid="{00000000-0005-0000-0000-0000AB1D0000}"/>
    <cellStyle name="Normal 13 3 2 2 4 2 2" xfId="35669" xr:uid="{00000000-0005-0000-0000-0000AC1D0000}"/>
    <cellStyle name="Normal 13 3 2 2 4 3" xfId="25812" xr:uid="{00000000-0005-0000-0000-0000AD1D0000}"/>
    <cellStyle name="Normal 13 3 2 2 5" xfId="11026" xr:uid="{00000000-0005-0000-0000-0000AE1D0000}"/>
    <cellStyle name="Normal 13 3 2 2 5 2" xfId="30741" xr:uid="{00000000-0005-0000-0000-0000AF1D0000}"/>
    <cellStyle name="Normal 13 3 2 2 6" xfId="20884" xr:uid="{00000000-0005-0000-0000-0000B01D0000}"/>
    <cellStyle name="Normal 13 3 2 3" xfId="1775" xr:uid="{00000000-0005-0000-0000-0000B11D0000}"/>
    <cellStyle name="Normal 13 3 2 3 2" xfId="4242" xr:uid="{00000000-0005-0000-0000-0000B21D0000}"/>
    <cellStyle name="Normal 13 3 2 3 2 2" xfId="9174" xr:uid="{00000000-0005-0000-0000-0000B31D0000}"/>
    <cellStyle name="Normal 13 3 2 3 2 2 2" xfId="19034" xr:uid="{00000000-0005-0000-0000-0000B41D0000}"/>
    <cellStyle name="Normal 13 3 2 3 2 2 2 2" xfId="38749" xr:uid="{00000000-0005-0000-0000-0000B51D0000}"/>
    <cellStyle name="Normal 13 3 2 3 2 2 3" xfId="28892" xr:uid="{00000000-0005-0000-0000-0000B61D0000}"/>
    <cellStyle name="Normal 13 3 2 3 2 3" xfId="14106" xr:uid="{00000000-0005-0000-0000-0000B71D0000}"/>
    <cellStyle name="Normal 13 3 2 3 2 3 2" xfId="33821" xr:uid="{00000000-0005-0000-0000-0000B81D0000}"/>
    <cellStyle name="Normal 13 3 2 3 2 4" xfId="23964" xr:uid="{00000000-0005-0000-0000-0000B91D0000}"/>
    <cellStyle name="Normal 13 3 2 3 3" xfId="6710" xr:uid="{00000000-0005-0000-0000-0000BA1D0000}"/>
    <cellStyle name="Normal 13 3 2 3 3 2" xfId="16570" xr:uid="{00000000-0005-0000-0000-0000BB1D0000}"/>
    <cellStyle name="Normal 13 3 2 3 3 2 2" xfId="36285" xr:uid="{00000000-0005-0000-0000-0000BC1D0000}"/>
    <cellStyle name="Normal 13 3 2 3 3 3" xfId="26428" xr:uid="{00000000-0005-0000-0000-0000BD1D0000}"/>
    <cellStyle name="Normal 13 3 2 3 4" xfId="11642" xr:uid="{00000000-0005-0000-0000-0000BE1D0000}"/>
    <cellStyle name="Normal 13 3 2 3 4 2" xfId="31357" xr:uid="{00000000-0005-0000-0000-0000BF1D0000}"/>
    <cellStyle name="Normal 13 3 2 3 5" xfId="21500" xr:uid="{00000000-0005-0000-0000-0000C01D0000}"/>
    <cellStyle name="Normal 13 3 2 4" xfId="3010" xr:uid="{00000000-0005-0000-0000-0000C11D0000}"/>
    <cellStyle name="Normal 13 3 2 4 2" xfId="7942" xr:uid="{00000000-0005-0000-0000-0000C21D0000}"/>
    <cellStyle name="Normal 13 3 2 4 2 2" xfId="17802" xr:uid="{00000000-0005-0000-0000-0000C31D0000}"/>
    <cellStyle name="Normal 13 3 2 4 2 2 2" xfId="37517" xr:uid="{00000000-0005-0000-0000-0000C41D0000}"/>
    <cellStyle name="Normal 13 3 2 4 2 3" xfId="27660" xr:uid="{00000000-0005-0000-0000-0000C51D0000}"/>
    <cellStyle name="Normal 13 3 2 4 3" xfId="12874" xr:uid="{00000000-0005-0000-0000-0000C61D0000}"/>
    <cellStyle name="Normal 13 3 2 4 3 2" xfId="32589" xr:uid="{00000000-0005-0000-0000-0000C71D0000}"/>
    <cellStyle name="Normal 13 3 2 4 4" xfId="22732" xr:uid="{00000000-0005-0000-0000-0000C81D0000}"/>
    <cellStyle name="Normal 13 3 2 5" xfId="5478" xr:uid="{00000000-0005-0000-0000-0000C91D0000}"/>
    <cellStyle name="Normal 13 3 2 5 2" xfId="15338" xr:uid="{00000000-0005-0000-0000-0000CA1D0000}"/>
    <cellStyle name="Normal 13 3 2 5 2 2" xfId="35053" xr:uid="{00000000-0005-0000-0000-0000CB1D0000}"/>
    <cellStyle name="Normal 13 3 2 5 3" xfId="25196" xr:uid="{00000000-0005-0000-0000-0000CC1D0000}"/>
    <cellStyle name="Normal 13 3 2 6" xfId="10410" xr:uid="{00000000-0005-0000-0000-0000CD1D0000}"/>
    <cellStyle name="Normal 13 3 2 6 2" xfId="30125" xr:uid="{00000000-0005-0000-0000-0000CE1D0000}"/>
    <cellStyle name="Normal 13 3 2 7" xfId="20268" xr:uid="{00000000-0005-0000-0000-0000CF1D0000}"/>
    <cellStyle name="Normal 13 3 3" xfId="849" xr:uid="{00000000-0005-0000-0000-0000D01D0000}"/>
    <cellStyle name="Normal 13 3 3 2" xfId="2085" xr:uid="{00000000-0005-0000-0000-0000D11D0000}"/>
    <cellStyle name="Normal 13 3 3 2 2" xfId="4552" xr:uid="{00000000-0005-0000-0000-0000D21D0000}"/>
    <cellStyle name="Normal 13 3 3 2 2 2" xfId="9484" xr:uid="{00000000-0005-0000-0000-0000D31D0000}"/>
    <cellStyle name="Normal 13 3 3 2 2 2 2" xfId="19344" xr:uid="{00000000-0005-0000-0000-0000D41D0000}"/>
    <cellStyle name="Normal 13 3 3 2 2 2 2 2" xfId="39059" xr:uid="{00000000-0005-0000-0000-0000D51D0000}"/>
    <cellStyle name="Normal 13 3 3 2 2 2 3" xfId="29202" xr:uid="{00000000-0005-0000-0000-0000D61D0000}"/>
    <cellStyle name="Normal 13 3 3 2 2 3" xfId="14416" xr:uid="{00000000-0005-0000-0000-0000D71D0000}"/>
    <cellStyle name="Normal 13 3 3 2 2 3 2" xfId="34131" xr:uid="{00000000-0005-0000-0000-0000D81D0000}"/>
    <cellStyle name="Normal 13 3 3 2 2 4" xfId="24274" xr:uid="{00000000-0005-0000-0000-0000D91D0000}"/>
    <cellStyle name="Normal 13 3 3 2 3" xfId="7020" xr:uid="{00000000-0005-0000-0000-0000DA1D0000}"/>
    <cellStyle name="Normal 13 3 3 2 3 2" xfId="16880" xr:uid="{00000000-0005-0000-0000-0000DB1D0000}"/>
    <cellStyle name="Normal 13 3 3 2 3 2 2" xfId="36595" xr:uid="{00000000-0005-0000-0000-0000DC1D0000}"/>
    <cellStyle name="Normal 13 3 3 2 3 3" xfId="26738" xr:uid="{00000000-0005-0000-0000-0000DD1D0000}"/>
    <cellStyle name="Normal 13 3 3 2 4" xfId="11952" xr:uid="{00000000-0005-0000-0000-0000DE1D0000}"/>
    <cellStyle name="Normal 13 3 3 2 4 2" xfId="31667" xr:uid="{00000000-0005-0000-0000-0000DF1D0000}"/>
    <cellStyle name="Normal 13 3 3 2 5" xfId="21810" xr:uid="{00000000-0005-0000-0000-0000E01D0000}"/>
    <cellStyle name="Normal 13 3 3 3" xfId="3320" xr:uid="{00000000-0005-0000-0000-0000E11D0000}"/>
    <cellStyle name="Normal 13 3 3 3 2" xfId="8252" xr:uid="{00000000-0005-0000-0000-0000E21D0000}"/>
    <cellStyle name="Normal 13 3 3 3 2 2" xfId="18112" xr:uid="{00000000-0005-0000-0000-0000E31D0000}"/>
    <cellStyle name="Normal 13 3 3 3 2 2 2" xfId="37827" xr:uid="{00000000-0005-0000-0000-0000E41D0000}"/>
    <cellStyle name="Normal 13 3 3 3 2 3" xfId="27970" xr:uid="{00000000-0005-0000-0000-0000E51D0000}"/>
    <cellStyle name="Normal 13 3 3 3 3" xfId="13184" xr:uid="{00000000-0005-0000-0000-0000E61D0000}"/>
    <cellStyle name="Normal 13 3 3 3 3 2" xfId="32899" xr:uid="{00000000-0005-0000-0000-0000E71D0000}"/>
    <cellStyle name="Normal 13 3 3 3 4" xfId="23042" xr:uid="{00000000-0005-0000-0000-0000E81D0000}"/>
    <cellStyle name="Normal 13 3 3 4" xfId="5788" xr:uid="{00000000-0005-0000-0000-0000E91D0000}"/>
    <cellStyle name="Normal 13 3 3 4 2" xfId="15648" xr:uid="{00000000-0005-0000-0000-0000EA1D0000}"/>
    <cellStyle name="Normal 13 3 3 4 2 2" xfId="35363" xr:uid="{00000000-0005-0000-0000-0000EB1D0000}"/>
    <cellStyle name="Normal 13 3 3 4 3" xfId="25506" xr:uid="{00000000-0005-0000-0000-0000EC1D0000}"/>
    <cellStyle name="Normal 13 3 3 5" xfId="10720" xr:uid="{00000000-0005-0000-0000-0000ED1D0000}"/>
    <cellStyle name="Normal 13 3 3 5 2" xfId="30435" xr:uid="{00000000-0005-0000-0000-0000EE1D0000}"/>
    <cellStyle name="Normal 13 3 3 6" xfId="20578" xr:uid="{00000000-0005-0000-0000-0000EF1D0000}"/>
    <cellStyle name="Normal 13 3 4" xfId="1469" xr:uid="{00000000-0005-0000-0000-0000F01D0000}"/>
    <cellStyle name="Normal 13 3 4 2" xfId="3936" xr:uid="{00000000-0005-0000-0000-0000F11D0000}"/>
    <cellStyle name="Normal 13 3 4 2 2" xfId="8868" xr:uid="{00000000-0005-0000-0000-0000F21D0000}"/>
    <cellStyle name="Normal 13 3 4 2 2 2" xfId="18728" xr:uid="{00000000-0005-0000-0000-0000F31D0000}"/>
    <cellStyle name="Normal 13 3 4 2 2 2 2" xfId="38443" xr:uid="{00000000-0005-0000-0000-0000F41D0000}"/>
    <cellStyle name="Normal 13 3 4 2 2 3" xfId="28586" xr:uid="{00000000-0005-0000-0000-0000F51D0000}"/>
    <cellStyle name="Normal 13 3 4 2 3" xfId="13800" xr:uid="{00000000-0005-0000-0000-0000F61D0000}"/>
    <cellStyle name="Normal 13 3 4 2 3 2" xfId="33515" xr:uid="{00000000-0005-0000-0000-0000F71D0000}"/>
    <cellStyle name="Normal 13 3 4 2 4" xfId="23658" xr:uid="{00000000-0005-0000-0000-0000F81D0000}"/>
    <cellStyle name="Normal 13 3 4 3" xfId="6404" xr:uid="{00000000-0005-0000-0000-0000F91D0000}"/>
    <cellStyle name="Normal 13 3 4 3 2" xfId="16264" xr:uid="{00000000-0005-0000-0000-0000FA1D0000}"/>
    <cellStyle name="Normal 13 3 4 3 2 2" xfId="35979" xr:uid="{00000000-0005-0000-0000-0000FB1D0000}"/>
    <cellStyle name="Normal 13 3 4 3 3" xfId="26122" xr:uid="{00000000-0005-0000-0000-0000FC1D0000}"/>
    <cellStyle name="Normal 13 3 4 4" xfId="11336" xr:uid="{00000000-0005-0000-0000-0000FD1D0000}"/>
    <cellStyle name="Normal 13 3 4 4 2" xfId="31051" xr:uid="{00000000-0005-0000-0000-0000FE1D0000}"/>
    <cellStyle name="Normal 13 3 4 5" xfId="21194" xr:uid="{00000000-0005-0000-0000-0000FF1D0000}"/>
    <cellStyle name="Normal 13 3 5" xfId="2704" xr:uid="{00000000-0005-0000-0000-0000001E0000}"/>
    <cellStyle name="Normal 13 3 5 2" xfId="7636" xr:uid="{00000000-0005-0000-0000-0000011E0000}"/>
    <cellStyle name="Normal 13 3 5 2 2" xfId="17496" xr:uid="{00000000-0005-0000-0000-0000021E0000}"/>
    <cellStyle name="Normal 13 3 5 2 2 2" xfId="37211" xr:uid="{00000000-0005-0000-0000-0000031E0000}"/>
    <cellStyle name="Normal 13 3 5 2 3" xfId="27354" xr:uid="{00000000-0005-0000-0000-0000041E0000}"/>
    <cellStyle name="Normal 13 3 5 3" xfId="12568" xr:uid="{00000000-0005-0000-0000-0000051E0000}"/>
    <cellStyle name="Normal 13 3 5 3 2" xfId="32283" xr:uid="{00000000-0005-0000-0000-0000061E0000}"/>
    <cellStyle name="Normal 13 3 5 4" xfId="22426" xr:uid="{00000000-0005-0000-0000-0000071E0000}"/>
    <cellStyle name="Normal 13 3 6" xfId="5172" xr:uid="{00000000-0005-0000-0000-0000081E0000}"/>
    <cellStyle name="Normal 13 3 6 2" xfId="15032" xr:uid="{00000000-0005-0000-0000-0000091E0000}"/>
    <cellStyle name="Normal 13 3 6 2 2" xfId="34747" xr:uid="{00000000-0005-0000-0000-00000A1E0000}"/>
    <cellStyle name="Normal 13 3 6 3" xfId="24890" xr:uid="{00000000-0005-0000-0000-00000B1E0000}"/>
    <cellStyle name="Normal 13 3 7" xfId="10104" xr:uid="{00000000-0005-0000-0000-00000C1E0000}"/>
    <cellStyle name="Normal 13 3 7 2" xfId="29819" xr:uid="{00000000-0005-0000-0000-00000D1E0000}"/>
    <cellStyle name="Normal 13 3 8" xfId="19962" xr:uid="{00000000-0005-0000-0000-00000E1E0000}"/>
    <cellStyle name="Normal 13 4" xfId="384" xr:uid="{00000000-0005-0000-0000-00000F1E0000}"/>
    <cellStyle name="Normal 13 4 2" xfId="1004" xr:uid="{00000000-0005-0000-0000-0000101E0000}"/>
    <cellStyle name="Normal 13 4 2 2" xfId="2239" xr:uid="{00000000-0005-0000-0000-0000111E0000}"/>
    <cellStyle name="Normal 13 4 2 2 2" xfId="4706" xr:uid="{00000000-0005-0000-0000-0000121E0000}"/>
    <cellStyle name="Normal 13 4 2 2 2 2" xfId="9638" xr:uid="{00000000-0005-0000-0000-0000131E0000}"/>
    <cellStyle name="Normal 13 4 2 2 2 2 2" xfId="19498" xr:uid="{00000000-0005-0000-0000-0000141E0000}"/>
    <cellStyle name="Normal 13 4 2 2 2 2 2 2" xfId="39213" xr:uid="{00000000-0005-0000-0000-0000151E0000}"/>
    <cellStyle name="Normal 13 4 2 2 2 2 3" xfId="29356" xr:uid="{00000000-0005-0000-0000-0000161E0000}"/>
    <cellStyle name="Normal 13 4 2 2 2 3" xfId="14570" xr:uid="{00000000-0005-0000-0000-0000171E0000}"/>
    <cellStyle name="Normal 13 4 2 2 2 3 2" xfId="34285" xr:uid="{00000000-0005-0000-0000-0000181E0000}"/>
    <cellStyle name="Normal 13 4 2 2 2 4" xfId="24428" xr:uid="{00000000-0005-0000-0000-0000191E0000}"/>
    <cellStyle name="Normal 13 4 2 2 3" xfId="7174" xr:uid="{00000000-0005-0000-0000-00001A1E0000}"/>
    <cellStyle name="Normal 13 4 2 2 3 2" xfId="17034" xr:uid="{00000000-0005-0000-0000-00001B1E0000}"/>
    <cellStyle name="Normal 13 4 2 2 3 2 2" xfId="36749" xr:uid="{00000000-0005-0000-0000-00001C1E0000}"/>
    <cellStyle name="Normal 13 4 2 2 3 3" xfId="26892" xr:uid="{00000000-0005-0000-0000-00001D1E0000}"/>
    <cellStyle name="Normal 13 4 2 2 4" xfId="12106" xr:uid="{00000000-0005-0000-0000-00001E1E0000}"/>
    <cellStyle name="Normal 13 4 2 2 4 2" xfId="31821" xr:uid="{00000000-0005-0000-0000-00001F1E0000}"/>
    <cellStyle name="Normal 13 4 2 2 5" xfId="21964" xr:uid="{00000000-0005-0000-0000-0000201E0000}"/>
    <cellStyle name="Normal 13 4 2 3" xfId="3474" xr:uid="{00000000-0005-0000-0000-0000211E0000}"/>
    <cellStyle name="Normal 13 4 2 3 2" xfId="8406" xr:uid="{00000000-0005-0000-0000-0000221E0000}"/>
    <cellStyle name="Normal 13 4 2 3 2 2" xfId="18266" xr:uid="{00000000-0005-0000-0000-0000231E0000}"/>
    <cellStyle name="Normal 13 4 2 3 2 2 2" xfId="37981" xr:uid="{00000000-0005-0000-0000-0000241E0000}"/>
    <cellStyle name="Normal 13 4 2 3 2 3" xfId="28124" xr:uid="{00000000-0005-0000-0000-0000251E0000}"/>
    <cellStyle name="Normal 13 4 2 3 3" xfId="13338" xr:uid="{00000000-0005-0000-0000-0000261E0000}"/>
    <cellStyle name="Normal 13 4 2 3 3 2" xfId="33053" xr:uid="{00000000-0005-0000-0000-0000271E0000}"/>
    <cellStyle name="Normal 13 4 2 3 4" xfId="23196" xr:uid="{00000000-0005-0000-0000-0000281E0000}"/>
    <cellStyle name="Normal 13 4 2 4" xfId="5942" xr:uid="{00000000-0005-0000-0000-0000291E0000}"/>
    <cellStyle name="Normal 13 4 2 4 2" xfId="15802" xr:uid="{00000000-0005-0000-0000-00002A1E0000}"/>
    <cellStyle name="Normal 13 4 2 4 2 2" xfId="35517" xr:uid="{00000000-0005-0000-0000-00002B1E0000}"/>
    <cellStyle name="Normal 13 4 2 4 3" xfId="25660" xr:uid="{00000000-0005-0000-0000-00002C1E0000}"/>
    <cellStyle name="Normal 13 4 2 5" xfId="10874" xr:uid="{00000000-0005-0000-0000-00002D1E0000}"/>
    <cellStyle name="Normal 13 4 2 5 2" xfId="30589" xr:uid="{00000000-0005-0000-0000-00002E1E0000}"/>
    <cellStyle name="Normal 13 4 2 6" xfId="20732" xr:uid="{00000000-0005-0000-0000-00002F1E0000}"/>
    <cellStyle name="Normal 13 4 3" xfId="1623" xr:uid="{00000000-0005-0000-0000-0000301E0000}"/>
    <cellStyle name="Normal 13 4 3 2" xfId="4090" xr:uid="{00000000-0005-0000-0000-0000311E0000}"/>
    <cellStyle name="Normal 13 4 3 2 2" xfId="9022" xr:uid="{00000000-0005-0000-0000-0000321E0000}"/>
    <cellStyle name="Normal 13 4 3 2 2 2" xfId="18882" xr:uid="{00000000-0005-0000-0000-0000331E0000}"/>
    <cellStyle name="Normal 13 4 3 2 2 2 2" xfId="38597" xr:uid="{00000000-0005-0000-0000-0000341E0000}"/>
    <cellStyle name="Normal 13 4 3 2 2 3" xfId="28740" xr:uid="{00000000-0005-0000-0000-0000351E0000}"/>
    <cellStyle name="Normal 13 4 3 2 3" xfId="13954" xr:uid="{00000000-0005-0000-0000-0000361E0000}"/>
    <cellStyle name="Normal 13 4 3 2 3 2" xfId="33669" xr:uid="{00000000-0005-0000-0000-0000371E0000}"/>
    <cellStyle name="Normal 13 4 3 2 4" xfId="23812" xr:uid="{00000000-0005-0000-0000-0000381E0000}"/>
    <cellStyle name="Normal 13 4 3 3" xfId="6558" xr:uid="{00000000-0005-0000-0000-0000391E0000}"/>
    <cellStyle name="Normal 13 4 3 3 2" xfId="16418" xr:uid="{00000000-0005-0000-0000-00003A1E0000}"/>
    <cellStyle name="Normal 13 4 3 3 2 2" xfId="36133" xr:uid="{00000000-0005-0000-0000-00003B1E0000}"/>
    <cellStyle name="Normal 13 4 3 3 3" xfId="26276" xr:uid="{00000000-0005-0000-0000-00003C1E0000}"/>
    <cellStyle name="Normal 13 4 3 4" xfId="11490" xr:uid="{00000000-0005-0000-0000-00003D1E0000}"/>
    <cellStyle name="Normal 13 4 3 4 2" xfId="31205" xr:uid="{00000000-0005-0000-0000-00003E1E0000}"/>
    <cellStyle name="Normal 13 4 3 5" xfId="21348" xr:uid="{00000000-0005-0000-0000-00003F1E0000}"/>
    <cellStyle name="Normal 13 4 4" xfId="2858" xr:uid="{00000000-0005-0000-0000-0000401E0000}"/>
    <cellStyle name="Normal 13 4 4 2" xfId="7790" xr:uid="{00000000-0005-0000-0000-0000411E0000}"/>
    <cellStyle name="Normal 13 4 4 2 2" xfId="17650" xr:uid="{00000000-0005-0000-0000-0000421E0000}"/>
    <cellStyle name="Normal 13 4 4 2 2 2" xfId="37365" xr:uid="{00000000-0005-0000-0000-0000431E0000}"/>
    <cellStyle name="Normal 13 4 4 2 3" xfId="27508" xr:uid="{00000000-0005-0000-0000-0000441E0000}"/>
    <cellStyle name="Normal 13 4 4 3" xfId="12722" xr:uid="{00000000-0005-0000-0000-0000451E0000}"/>
    <cellStyle name="Normal 13 4 4 3 2" xfId="32437" xr:uid="{00000000-0005-0000-0000-0000461E0000}"/>
    <cellStyle name="Normal 13 4 4 4" xfId="22580" xr:uid="{00000000-0005-0000-0000-0000471E0000}"/>
    <cellStyle name="Normal 13 4 5" xfId="5326" xr:uid="{00000000-0005-0000-0000-0000481E0000}"/>
    <cellStyle name="Normal 13 4 5 2" xfId="15186" xr:uid="{00000000-0005-0000-0000-0000491E0000}"/>
    <cellStyle name="Normal 13 4 5 2 2" xfId="34901" xr:uid="{00000000-0005-0000-0000-00004A1E0000}"/>
    <cellStyle name="Normal 13 4 5 3" xfId="25044" xr:uid="{00000000-0005-0000-0000-00004B1E0000}"/>
    <cellStyle name="Normal 13 4 6" xfId="10258" xr:uid="{00000000-0005-0000-0000-00004C1E0000}"/>
    <cellStyle name="Normal 13 4 6 2" xfId="29973" xr:uid="{00000000-0005-0000-0000-00004D1E0000}"/>
    <cellStyle name="Normal 13 4 7" xfId="20116" xr:uid="{00000000-0005-0000-0000-00004E1E0000}"/>
    <cellStyle name="Normal 13 5" xfId="697" xr:uid="{00000000-0005-0000-0000-00004F1E0000}"/>
    <cellStyle name="Normal 13 5 2" xfId="1933" xr:uid="{00000000-0005-0000-0000-0000501E0000}"/>
    <cellStyle name="Normal 13 5 2 2" xfId="4400" xr:uid="{00000000-0005-0000-0000-0000511E0000}"/>
    <cellStyle name="Normal 13 5 2 2 2" xfId="9332" xr:uid="{00000000-0005-0000-0000-0000521E0000}"/>
    <cellStyle name="Normal 13 5 2 2 2 2" xfId="19192" xr:uid="{00000000-0005-0000-0000-0000531E0000}"/>
    <cellStyle name="Normal 13 5 2 2 2 2 2" xfId="38907" xr:uid="{00000000-0005-0000-0000-0000541E0000}"/>
    <cellStyle name="Normal 13 5 2 2 2 3" xfId="29050" xr:uid="{00000000-0005-0000-0000-0000551E0000}"/>
    <cellStyle name="Normal 13 5 2 2 3" xfId="14264" xr:uid="{00000000-0005-0000-0000-0000561E0000}"/>
    <cellStyle name="Normal 13 5 2 2 3 2" xfId="33979" xr:uid="{00000000-0005-0000-0000-0000571E0000}"/>
    <cellStyle name="Normal 13 5 2 2 4" xfId="24122" xr:uid="{00000000-0005-0000-0000-0000581E0000}"/>
    <cellStyle name="Normal 13 5 2 3" xfId="6868" xr:uid="{00000000-0005-0000-0000-0000591E0000}"/>
    <cellStyle name="Normal 13 5 2 3 2" xfId="16728" xr:uid="{00000000-0005-0000-0000-00005A1E0000}"/>
    <cellStyle name="Normal 13 5 2 3 2 2" xfId="36443" xr:uid="{00000000-0005-0000-0000-00005B1E0000}"/>
    <cellStyle name="Normal 13 5 2 3 3" xfId="26586" xr:uid="{00000000-0005-0000-0000-00005C1E0000}"/>
    <cellStyle name="Normal 13 5 2 4" xfId="11800" xr:uid="{00000000-0005-0000-0000-00005D1E0000}"/>
    <cellStyle name="Normal 13 5 2 4 2" xfId="31515" xr:uid="{00000000-0005-0000-0000-00005E1E0000}"/>
    <cellStyle name="Normal 13 5 2 5" xfId="21658" xr:uid="{00000000-0005-0000-0000-00005F1E0000}"/>
    <cellStyle name="Normal 13 5 3" xfId="3168" xr:uid="{00000000-0005-0000-0000-0000601E0000}"/>
    <cellStyle name="Normal 13 5 3 2" xfId="8100" xr:uid="{00000000-0005-0000-0000-0000611E0000}"/>
    <cellStyle name="Normal 13 5 3 2 2" xfId="17960" xr:uid="{00000000-0005-0000-0000-0000621E0000}"/>
    <cellStyle name="Normal 13 5 3 2 2 2" xfId="37675" xr:uid="{00000000-0005-0000-0000-0000631E0000}"/>
    <cellStyle name="Normal 13 5 3 2 3" xfId="27818" xr:uid="{00000000-0005-0000-0000-0000641E0000}"/>
    <cellStyle name="Normal 13 5 3 3" xfId="13032" xr:uid="{00000000-0005-0000-0000-0000651E0000}"/>
    <cellStyle name="Normal 13 5 3 3 2" xfId="32747" xr:uid="{00000000-0005-0000-0000-0000661E0000}"/>
    <cellStyle name="Normal 13 5 3 4" xfId="22890" xr:uid="{00000000-0005-0000-0000-0000671E0000}"/>
    <cellStyle name="Normal 13 5 4" xfId="5636" xr:uid="{00000000-0005-0000-0000-0000681E0000}"/>
    <cellStyle name="Normal 13 5 4 2" xfId="15496" xr:uid="{00000000-0005-0000-0000-0000691E0000}"/>
    <cellStyle name="Normal 13 5 4 2 2" xfId="35211" xr:uid="{00000000-0005-0000-0000-00006A1E0000}"/>
    <cellStyle name="Normal 13 5 4 3" xfId="25354" xr:uid="{00000000-0005-0000-0000-00006B1E0000}"/>
    <cellStyle name="Normal 13 5 5" xfId="10568" xr:uid="{00000000-0005-0000-0000-00006C1E0000}"/>
    <cellStyle name="Normal 13 5 5 2" xfId="30283" xr:uid="{00000000-0005-0000-0000-00006D1E0000}"/>
    <cellStyle name="Normal 13 5 6" xfId="20426" xr:uid="{00000000-0005-0000-0000-00006E1E0000}"/>
    <cellStyle name="Normal 13 6" xfId="1317" xr:uid="{00000000-0005-0000-0000-00006F1E0000}"/>
    <cellStyle name="Normal 13 6 2" xfId="3784" xr:uid="{00000000-0005-0000-0000-0000701E0000}"/>
    <cellStyle name="Normal 13 6 2 2" xfId="8716" xr:uid="{00000000-0005-0000-0000-0000711E0000}"/>
    <cellStyle name="Normal 13 6 2 2 2" xfId="18576" xr:uid="{00000000-0005-0000-0000-0000721E0000}"/>
    <cellStyle name="Normal 13 6 2 2 2 2" xfId="38291" xr:uid="{00000000-0005-0000-0000-0000731E0000}"/>
    <cellStyle name="Normal 13 6 2 2 3" xfId="28434" xr:uid="{00000000-0005-0000-0000-0000741E0000}"/>
    <cellStyle name="Normal 13 6 2 3" xfId="13648" xr:uid="{00000000-0005-0000-0000-0000751E0000}"/>
    <cellStyle name="Normal 13 6 2 3 2" xfId="33363" xr:uid="{00000000-0005-0000-0000-0000761E0000}"/>
    <cellStyle name="Normal 13 6 2 4" xfId="23506" xr:uid="{00000000-0005-0000-0000-0000771E0000}"/>
    <cellStyle name="Normal 13 6 3" xfId="6252" xr:uid="{00000000-0005-0000-0000-0000781E0000}"/>
    <cellStyle name="Normal 13 6 3 2" xfId="16112" xr:uid="{00000000-0005-0000-0000-0000791E0000}"/>
    <cellStyle name="Normal 13 6 3 2 2" xfId="35827" xr:uid="{00000000-0005-0000-0000-00007A1E0000}"/>
    <cellStyle name="Normal 13 6 3 3" xfId="25970" xr:uid="{00000000-0005-0000-0000-00007B1E0000}"/>
    <cellStyle name="Normal 13 6 4" xfId="11184" xr:uid="{00000000-0005-0000-0000-00007C1E0000}"/>
    <cellStyle name="Normal 13 6 4 2" xfId="30899" xr:uid="{00000000-0005-0000-0000-00007D1E0000}"/>
    <cellStyle name="Normal 13 6 5" xfId="21042" xr:uid="{00000000-0005-0000-0000-00007E1E0000}"/>
    <cellStyle name="Normal 13 7" xfId="2552" xr:uid="{00000000-0005-0000-0000-00007F1E0000}"/>
    <cellStyle name="Normal 13 7 2" xfId="7484" xr:uid="{00000000-0005-0000-0000-0000801E0000}"/>
    <cellStyle name="Normal 13 7 2 2" xfId="17344" xr:uid="{00000000-0005-0000-0000-0000811E0000}"/>
    <cellStyle name="Normal 13 7 2 2 2" xfId="37059" xr:uid="{00000000-0005-0000-0000-0000821E0000}"/>
    <cellStyle name="Normal 13 7 2 3" xfId="27202" xr:uid="{00000000-0005-0000-0000-0000831E0000}"/>
    <cellStyle name="Normal 13 7 3" xfId="12416" xr:uid="{00000000-0005-0000-0000-0000841E0000}"/>
    <cellStyle name="Normal 13 7 3 2" xfId="32131" xr:uid="{00000000-0005-0000-0000-0000851E0000}"/>
    <cellStyle name="Normal 13 7 4" xfId="22274" xr:uid="{00000000-0005-0000-0000-0000861E0000}"/>
    <cellStyle name="Normal 13 8" xfId="5020" xr:uid="{00000000-0005-0000-0000-0000871E0000}"/>
    <cellStyle name="Normal 13 8 2" xfId="14880" xr:uid="{00000000-0005-0000-0000-0000881E0000}"/>
    <cellStyle name="Normal 13 8 2 2" xfId="34595" xr:uid="{00000000-0005-0000-0000-0000891E0000}"/>
    <cellStyle name="Normal 13 8 3" xfId="24738" xr:uid="{00000000-0005-0000-0000-00008A1E0000}"/>
    <cellStyle name="Normal 13 9" xfId="9952" xr:uid="{00000000-0005-0000-0000-00008B1E0000}"/>
    <cellStyle name="Normal 13 9 2" xfId="29667" xr:uid="{00000000-0005-0000-0000-00008C1E0000}"/>
    <cellStyle name="Normal 14" xfId="100" xr:uid="{00000000-0005-0000-0000-00008D1E0000}"/>
    <cellStyle name="Normal 14 2" xfId="260" xr:uid="{00000000-0005-0000-0000-00008E1E0000}"/>
    <cellStyle name="Normal 14 2 2" xfId="574" xr:uid="{00000000-0005-0000-0000-00008F1E0000}"/>
    <cellStyle name="Normal 14 2 2 2" xfId="1194" xr:uid="{00000000-0005-0000-0000-0000901E0000}"/>
    <cellStyle name="Normal 14 2 2 2 2" xfId="2429" xr:uid="{00000000-0005-0000-0000-0000911E0000}"/>
    <cellStyle name="Normal 14 2 2 2 2 2" xfId="4896" xr:uid="{00000000-0005-0000-0000-0000921E0000}"/>
    <cellStyle name="Normal 14 2 2 2 2 2 2" xfId="9828" xr:uid="{00000000-0005-0000-0000-0000931E0000}"/>
    <cellStyle name="Normal 14 2 2 2 2 2 2 2" xfId="19688" xr:uid="{00000000-0005-0000-0000-0000941E0000}"/>
    <cellStyle name="Normal 14 2 2 2 2 2 2 2 2" xfId="39403" xr:uid="{00000000-0005-0000-0000-0000951E0000}"/>
    <cellStyle name="Normal 14 2 2 2 2 2 2 3" xfId="29546" xr:uid="{00000000-0005-0000-0000-0000961E0000}"/>
    <cellStyle name="Normal 14 2 2 2 2 2 3" xfId="14760" xr:uid="{00000000-0005-0000-0000-0000971E0000}"/>
    <cellStyle name="Normal 14 2 2 2 2 2 3 2" xfId="34475" xr:uid="{00000000-0005-0000-0000-0000981E0000}"/>
    <cellStyle name="Normal 14 2 2 2 2 2 4" xfId="24618" xr:uid="{00000000-0005-0000-0000-0000991E0000}"/>
    <cellStyle name="Normal 14 2 2 2 2 3" xfId="7364" xr:uid="{00000000-0005-0000-0000-00009A1E0000}"/>
    <cellStyle name="Normal 14 2 2 2 2 3 2" xfId="17224" xr:uid="{00000000-0005-0000-0000-00009B1E0000}"/>
    <cellStyle name="Normal 14 2 2 2 2 3 2 2" xfId="36939" xr:uid="{00000000-0005-0000-0000-00009C1E0000}"/>
    <cellStyle name="Normal 14 2 2 2 2 3 3" xfId="27082" xr:uid="{00000000-0005-0000-0000-00009D1E0000}"/>
    <cellStyle name="Normal 14 2 2 2 2 4" xfId="12296" xr:uid="{00000000-0005-0000-0000-00009E1E0000}"/>
    <cellStyle name="Normal 14 2 2 2 2 4 2" xfId="32011" xr:uid="{00000000-0005-0000-0000-00009F1E0000}"/>
    <cellStyle name="Normal 14 2 2 2 2 5" xfId="22154" xr:uid="{00000000-0005-0000-0000-0000A01E0000}"/>
    <cellStyle name="Normal 14 2 2 2 3" xfId="3664" xr:uid="{00000000-0005-0000-0000-0000A11E0000}"/>
    <cellStyle name="Normal 14 2 2 2 3 2" xfId="8596" xr:uid="{00000000-0005-0000-0000-0000A21E0000}"/>
    <cellStyle name="Normal 14 2 2 2 3 2 2" xfId="18456" xr:uid="{00000000-0005-0000-0000-0000A31E0000}"/>
    <cellStyle name="Normal 14 2 2 2 3 2 2 2" xfId="38171" xr:uid="{00000000-0005-0000-0000-0000A41E0000}"/>
    <cellStyle name="Normal 14 2 2 2 3 2 3" xfId="28314" xr:uid="{00000000-0005-0000-0000-0000A51E0000}"/>
    <cellStyle name="Normal 14 2 2 2 3 3" xfId="13528" xr:uid="{00000000-0005-0000-0000-0000A61E0000}"/>
    <cellStyle name="Normal 14 2 2 2 3 3 2" xfId="33243" xr:uid="{00000000-0005-0000-0000-0000A71E0000}"/>
    <cellStyle name="Normal 14 2 2 2 3 4" xfId="23386" xr:uid="{00000000-0005-0000-0000-0000A81E0000}"/>
    <cellStyle name="Normal 14 2 2 2 4" xfId="6132" xr:uid="{00000000-0005-0000-0000-0000A91E0000}"/>
    <cellStyle name="Normal 14 2 2 2 4 2" xfId="15992" xr:uid="{00000000-0005-0000-0000-0000AA1E0000}"/>
    <cellStyle name="Normal 14 2 2 2 4 2 2" xfId="35707" xr:uid="{00000000-0005-0000-0000-0000AB1E0000}"/>
    <cellStyle name="Normal 14 2 2 2 4 3" xfId="25850" xr:uid="{00000000-0005-0000-0000-0000AC1E0000}"/>
    <cellStyle name="Normal 14 2 2 2 5" xfId="11064" xr:uid="{00000000-0005-0000-0000-0000AD1E0000}"/>
    <cellStyle name="Normal 14 2 2 2 5 2" xfId="30779" xr:uid="{00000000-0005-0000-0000-0000AE1E0000}"/>
    <cellStyle name="Normal 14 2 2 2 6" xfId="20922" xr:uid="{00000000-0005-0000-0000-0000AF1E0000}"/>
    <cellStyle name="Normal 14 2 2 3" xfId="1813" xr:uid="{00000000-0005-0000-0000-0000B01E0000}"/>
    <cellStyle name="Normal 14 2 2 3 2" xfId="4280" xr:uid="{00000000-0005-0000-0000-0000B11E0000}"/>
    <cellStyle name="Normal 14 2 2 3 2 2" xfId="9212" xr:uid="{00000000-0005-0000-0000-0000B21E0000}"/>
    <cellStyle name="Normal 14 2 2 3 2 2 2" xfId="19072" xr:uid="{00000000-0005-0000-0000-0000B31E0000}"/>
    <cellStyle name="Normal 14 2 2 3 2 2 2 2" xfId="38787" xr:uid="{00000000-0005-0000-0000-0000B41E0000}"/>
    <cellStyle name="Normal 14 2 2 3 2 2 3" xfId="28930" xr:uid="{00000000-0005-0000-0000-0000B51E0000}"/>
    <cellStyle name="Normal 14 2 2 3 2 3" xfId="14144" xr:uid="{00000000-0005-0000-0000-0000B61E0000}"/>
    <cellStyle name="Normal 14 2 2 3 2 3 2" xfId="33859" xr:uid="{00000000-0005-0000-0000-0000B71E0000}"/>
    <cellStyle name="Normal 14 2 2 3 2 4" xfId="24002" xr:uid="{00000000-0005-0000-0000-0000B81E0000}"/>
    <cellStyle name="Normal 14 2 2 3 3" xfId="6748" xr:uid="{00000000-0005-0000-0000-0000B91E0000}"/>
    <cellStyle name="Normal 14 2 2 3 3 2" xfId="16608" xr:uid="{00000000-0005-0000-0000-0000BA1E0000}"/>
    <cellStyle name="Normal 14 2 2 3 3 2 2" xfId="36323" xr:uid="{00000000-0005-0000-0000-0000BB1E0000}"/>
    <cellStyle name="Normal 14 2 2 3 3 3" xfId="26466" xr:uid="{00000000-0005-0000-0000-0000BC1E0000}"/>
    <cellStyle name="Normal 14 2 2 3 4" xfId="11680" xr:uid="{00000000-0005-0000-0000-0000BD1E0000}"/>
    <cellStyle name="Normal 14 2 2 3 4 2" xfId="31395" xr:uid="{00000000-0005-0000-0000-0000BE1E0000}"/>
    <cellStyle name="Normal 14 2 2 3 5" xfId="21538" xr:uid="{00000000-0005-0000-0000-0000BF1E0000}"/>
    <cellStyle name="Normal 14 2 2 4" xfId="3048" xr:uid="{00000000-0005-0000-0000-0000C01E0000}"/>
    <cellStyle name="Normal 14 2 2 4 2" xfId="7980" xr:uid="{00000000-0005-0000-0000-0000C11E0000}"/>
    <cellStyle name="Normal 14 2 2 4 2 2" xfId="17840" xr:uid="{00000000-0005-0000-0000-0000C21E0000}"/>
    <cellStyle name="Normal 14 2 2 4 2 2 2" xfId="37555" xr:uid="{00000000-0005-0000-0000-0000C31E0000}"/>
    <cellStyle name="Normal 14 2 2 4 2 3" xfId="27698" xr:uid="{00000000-0005-0000-0000-0000C41E0000}"/>
    <cellStyle name="Normal 14 2 2 4 3" xfId="12912" xr:uid="{00000000-0005-0000-0000-0000C51E0000}"/>
    <cellStyle name="Normal 14 2 2 4 3 2" xfId="32627" xr:uid="{00000000-0005-0000-0000-0000C61E0000}"/>
    <cellStyle name="Normal 14 2 2 4 4" xfId="22770" xr:uid="{00000000-0005-0000-0000-0000C71E0000}"/>
    <cellStyle name="Normal 14 2 2 5" xfId="5516" xr:uid="{00000000-0005-0000-0000-0000C81E0000}"/>
    <cellStyle name="Normal 14 2 2 5 2" xfId="15376" xr:uid="{00000000-0005-0000-0000-0000C91E0000}"/>
    <cellStyle name="Normal 14 2 2 5 2 2" xfId="35091" xr:uid="{00000000-0005-0000-0000-0000CA1E0000}"/>
    <cellStyle name="Normal 14 2 2 5 3" xfId="25234" xr:uid="{00000000-0005-0000-0000-0000CB1E0000}"/>
    <cellStyle name="Normal 14 2 2 6" xfId="10448" xr:uid="{00000000-0005-0000-0000-0000CC1E0000}"/>
    <cellStyle name="Normal 14 2 2 6 2" xfId="30163" xr:uid="{00000000-0005-0000-0000-0000CD1E0000}"/>
    <cellStyle name="Normal 14 2 2 7" xfId="20306" xr:uid="{00000000-0005-0000-0000-0000CE1E0000}"/>
    <cellStyle name="Normal 14 2 3" xfId="887" xr:uid="{00000000-0005-0000-0000-0000CF1E0000}"/>
    <cellStyle name="Normal 14 2 3 2" xfId="2123" xr:uid="{00000000-0005-0000-0000-0000D01E0000}"/>
    <cellStyle name="Normal 14 2 3 2 2" xfId="4590" xr:uid="{00000000-0005-0000-0000-0000D11E0000}"/>
    <cellStyle name="Normal 14 2 3 2 2 2" xfId="9522" xr:uid="{00000000-0005-0000-0000-0000D21E0000}"/>
    <cellStyle name="Normal 14 2 3 2 2 2 2" xfId="19382" xr:uid="{00000000-0005-0000-0000-0000D31E0000}"/>
    <cellStyle name="Normal 14 2 3 2 2 2 2 2" xfId="39097" xr:uid="{00000000-0005-0000-0000-0000D41E0000}"/>
    <cellStyle name="Normal 14 2 3 2 2 2 3" xfId="29240" xr:uid="{00000000-0005-0000-0000-0000D51E0000}"/>
    <cellStyle name="Normal 14 2 3 2 2 3" xfId="14454" xr:uid="{00000000-0005-0000-0000-0000D61E0000}"/>
    <cellStyle name="Normal 14 2 3 2 2 3 2" xfId="34169" xr:uid="{00000000-0005-0000-0000-0000D71E0000}"/>
    <cellStyle name="Normal 14 2 3 2 2 4" xfId="24312" xr:uid="{00000000-0005-0000-0000-0000D81E0000}"/>
    <cellStyle name="Normal 14 2 3 2 3" xfId="7058" xr:uid="{00000000-0005-0000-0000-0000D91E0000}"/>
    <cellStyle name="Normal 14 2 3 2 3 2" xfId="16918" xr:uid="{00000000-0005-0000-0000-0000DA1E0000}"/>
    <cellStyle name="Normal 14 2 3 2 3 2 2" xfId="36633" xr:uid="{00000000-0005-0000-0000-0000DB1E0000}"/>
    <cellStyle name="Normal 14 2 3 2 3 3" xfId="26776" xr:uid="{00000000-0005-0000-0000-0000DC1E0000}"/>
    <cellStyle name="Normal 14 2 3 2 4" xfId="11990" xr:uid="{00000000-0005-0000-0000-0000DD1E0000}"/>
    <cellStyle name="Normal 14 2 3 2 4 2" xfId="31705" xr:uid="{00000000-0005-0000-0000-0000DE1E0000}"/>
    <cellStyle name="Normal 14 2 3 2 5" xfId="21848" xr:uid="{00000000-0005-0000-0000-0000DF1E0000}"/>
    <cellStyle name="Normal 14 2 3 3" xfId="3358" xr:uid="{00000000-0005-0000-0000-0000E01E0000}"/>
    <cellStyle name="Normal 14 2 3 3 2" xfId="8290" xr:uid="{00000000-0005-0000-0000-0000E11E0000}"/>
    <cellStyle name="Normal 14 2 3 3 2 2" xfId="18150" xr:uid="{00000000-0005-0000-0000-0000E21E0000}"/>
    <cellStyle name="Normal 14 2 3 3 2 2 2" xfId="37865" xr:uid="{00000000-0005-0000-0000-0000E31E0000}"/>
    <cellStyle name="Normal 14 2 3 3 2 3" xfId="28008" xr:uid="{00000000-0005-0000-0000-0000E41E0000}"/>
    <cellStyle name="Normal 14 2 3 3 3" xfId="13222" xr:uid="{00000000-0005-0000-0000-0000E51E0000}"/>
    <cellStyle name="Normal 14 2 3 3 3 2" xfId="32937" xr:uid="{00000000-0005-0000-0000-0000E61E0000}"/>
    <cellStyle name="Normal 14 2 3 3 4" xfId="23080" xr:uid="{00000000-0005-0000-0000-0000E71E0000}"/>
    <cellStyle name="Normal 14 2 3 4" xfId="5826" xr:uid="{00000000-0005-0000-0000-0000E81E0000}"/>
    <cellStyle name="Normal 14 2 3 4 2" xfId="15686" xr:uid="{00000000-0005-0000-0000-0000E91E0000}"/>
    <cellStyle name="Normal 14 2 3 4 2 2" xfId="35401" xr:uid="{00000000-0005-0000-0000-0000EA1E0000}"/>
    <cellStyle name="Normal 14 2 3 4 3" xfId="25544" xr:uid="{00000000-0005-0000-0000-0000EB1E0000}"/>
    <cellStyle name="Normal 14 2 3 5" xfId="10758" xr:uid="{00000000-0005-0000-0000-0000EC1E0000}"/>
    <cellStyle name="Normal 14 2 3 5 2" xfId="30473" xr:uid="{00000000-0005-0000-0000-0000ED1E0000}"/>
    <cellStyle name="Normal 14 2 3 6" xfId="20616" xr:uid="{00000000-0005-0000-0000-0000EE1E0000}"/>
    <cellStyle name="Normal 14 2 4" xfId="1507" xr:uid="{00000000-0005-0000-0000-0000EF1E0000}"/>
    <cellStyle name="Normal 14 2 4 2" xfId="3974" xr:uid="{00000000-0005-0000-0000-0000F01E0000}"/>
    <cellStyle name="Normal 14 2 4 2 2" xfId="8906" xr:uid="{00000000-0005-0000-0000-0000F11E0000}"/>
    <cellStyle name="Normal 14 2 4 2 2 2" xfId="18766" xr:uid="{00000000-0005-0000-0000-0000F21E0000}"/>
    <cellStyle name="Normal 14 2 4 2 2 2 2" xfId="38481" xr:uid="{00000000-0005-0000-0000-0000F31E0000}"/>
    <cellStyle name="Normal 14 2 4 2 2 3" xfId="28624" xr:uid="{00000000-0005-0000-0000-0000F41E0000}"/>
    <cellStyle name="Normal 14 2 4 2 3" xfId="13838" xr:uid="{00000000-0005-0000-0000-0000F51E0000}"/>
    <cellStyle name="Normal 14 2 4 2 3 2" xfId="33553" xr:uid="{00000000-0005-0000-0000-0000F61E0000}"/>
    <cellStyle name="Normal 14 2 4 2 4" xfId="23696" xr:uid="{00000000-0005-0000-0000-0000F71E0000}"/>
    <cellStyle name="Normal 14 2 4 3" xfId="6442" xr:uid="{00000000-0005-0000-0000-0000F81E0000}"/>
    <cellStyle name="Normal 14 2 4 3 2" xfId="16302" xr:uid="{00000000-0005-0000-0000-0000F91E0000}"/>
    <cellStyle name="Normal 14 2 4 3 2 2" xfId="36017" xr:uid="{00000000-0005-0000-0000-0000FA1E0000}"/>
    <cellStyle name="Normal 14 2 4 3 3" xfId="26160" xr:uid="{00000000-0005-0000-0000-0000FB1E0000}"/>
    <cellStyle name="Normal 14 2 4 4" xfId="11374" xr:uid="{00000000-0005-0000-0000-0000FC1E0000}"/>
    <cellStyle name="Normal 14 2 4 4 2" xfId="31089" xr:uid="{00000000-0005-0000-0000-0000FD1E0000}"/>
    <cellStyle name="Normal 14 2 4 5" xfId="21232" xr:uid="{00000000-0005-0000-0000-0000FE1E0000}"/>
    <cellStyle name="Normal 14 2 5" xfId="2742" xr:uid="{00000000-0005-0000-0000-0000FF1E0000}"/>
    <cellStyle name="Normal 14 2 5 2" xfId="7674" xr:uid="{00000000-0005-0000-0000-0000001F0000}"/>
    <cellStyle name="Normal 14 2 5 2 2" xfId="17534" xr:uid="{00000000-0005-0000-0000-0000011F0000}"/>
    <cellStyle name="Normal 14 2 5 2 2 2" xfId="37249" xr:uid="{00000000-0005-0000-0000-0000021F0000}"/>
    <cellStyle name="Normal 14 2 5 2 3" xfId="27392" xr:uid="{00000000-0005-0000-0000-0000031F0000}"/>
    <cellStyle name="Normal 14 2 5 3" xfId="12606" xr:uid="{00000000-0005-0000-0000-0000041F0000}"/>
    <cellStyle name="Normal 14 2 5 3 2" xfId="32321" xr:uid="{00000000-0005-0000-0000-0000051F0000}"/>
    <cellStyle name="Normal 14 2 5 4" xfId="22464" xr:uid="{00000000-0005-0000-0000-0000061F0000}"/>
    <cellStyle name="Normal 14 2 6" xfId="5210" xr:uid="{00000000-0005-0000-0000-0000071F0000}"/>
    <cellStyle name="Normal 14 2 6 2" xfId="15070" xr:uid="{00000000-0005-0000-0000-0000081F0000}"/>
    <cellStyle name="Normal 14 2 6 2 2" xfId="34785" xr:uid="{00000000-0005-0000-0000-0000091F0000}"/>
    <cellStyle name="Normal 14 2 6 3" xfId="24928" xr:uid="{00000000-0005-0000-0000-00000A1F0000}"/>
    <cellStyle name="Normal 14 2 7" xfId="10142" xr:uid="{00000000-0005-0000-0000-00000B1F0000}"/>
    <cellStyle name="Normal 14 2 7 2" xfId="29857" xr:uid="{00000000-0005-0000-0000-00000C1F0000}"/>
    <cellStyle name="Normal 14 2 8" xfId="20000" xr:uid="{00000000-0005-0000-0000-00000D1F0000}"/>
    <cellStyle name="Normal 14 3" xfId="422" xr:uid="{00000000-0005-0000-0000-00000E1F0000}"/>
    <cellStyle name="Normal 14 3 2" xfId="1042" xr:uid="{00000000-0005-0000-0000-00000F1F0000}"/>
    <cellStyle name="Normal 14 3 2 2" xfId="2277" xr:uid="{00000000-0005-0000-0000-0000101F0000}"/>
    <cellStyle name="Normal 14 3 2 2 2" xfId="4744" xr:uid="{00000000-0005-0000-0000-0000111F0000}"/>
    <cellStyle name="Normal 14 3 2 2 2 2" xfId="9676" xr:uid="{00000000-0005-0000-0000-0000121F0000}"/>
    <cellStyle name="Normal 14 3 2 2 2 2 2" xfId="19536" xr:uid="{00000000-0005-0000-0000-0000131F0000}"/>
    <cellStyle name="Normal 14 3 2 2 2 2 2 2" xfId="39251" xr:uid="{00000000-0005-0000-0000-0000141F0000}"/>
    <cellStyle name="Normal 14 3 2 2 2 2 3" xfId="29394" xr:uid="{00000000-0005-0000-0000-0000151F0000}"/>
    <cellStyle name="Normal 14 3 2 2 2 3" xfId="14608" xr:uid="{00000000-0005-0000-0000-0000161F0000}"/>
    <cellStyle name="Normal 14 3 2 2 2 3 2" xfId="34323" xr:uid="{00000000-0005-0000-0000-0000171F0000}"/>
    <cellStyle name="Normal 14 3 2 2 2 4" xfId="24466" xr:uid="{00000000-0005-0000-0000-0000181F0000}"/>
    <cellStyle name="Normal 14 3 2 2 3" xfId="7212" xr:uid="{00000000-0005-0000-0000-0000191F0000}"/>
    <cellStyle name="Normal 14 3 2 2 3 2" xfId="17072" xr:uid="{00000000-0005-0000-0000-00001A1F0000}"/>
    <cellStyle name="Normal 14 3 2 2 3 2 2" xfId="36787" xr:uid="{00000000-0005-0000-0000-00001B1F0000}"/>
    <cellStyle name="Normal 14 3 2 2 3 3" xfId="26930" xr:uid="{00000000-0005-0000-0000-00001C1F0000}"/>
    <cellStyle name="Normal 14 3 2 2 4" xfId="12144" xr:uid="{00000000-0005-0000-0000-00001D1F0000}"/>
    <cellStyle name="Normal 14 3 2 2 4 2" xfId="31859" xr:uid="{00000000-0005-0000-0000-00001E1F0000}"/>
    <cellStyle name="Normal 14 3 2 2 5" xfId="22002" xr:uid="{00000000-0005-0000-0000-00001F1F0000}"/>
    <cellStyle name="Normal 14 3 2 3" xfId="3512" xr:uid="{00000000-0005-0000-0000-0000201F0000}"/>
    <cellStyle name="Normal 14 3 2 3 2" xfId="8444" xr:uid="{00000000-0005-0000-0000-0000211F0000}"/>
    <cellStyle name="Normal 14 3 2 3 2 2" xfId="18304" xr:uid="{00000000-0005-0000-0000-0000221F0000}"/>
    <cellStyle name="Normal 14 3 2 3 2 2 2" xfId="38019" xr:uid="{00000000-0005-0000-0000-0000231F0000}"/>
    <cellStyle name="Normal 14 3 2 3 2 3" xfId="28162" xr:uid="{00000000-0005-0000-0000-0000241F0000}"/>
    <cellStyle name="Normal 14 3 2 3 3" xfId="13376" xr:uid="{00000000-0005-0000-0000-0000251F0000}"/>
    <cellStyle name="Normal 14 3 2 3 3 2" xfId="33091" xr:uid="{00000000-0005-0000-0000-0000261F0000}"/>
    <cellStyle name="Normal 14 3 2 3 4" xfId="23234" xr:uid="{00000000-0005-0000-0000-0000271F0000}"/>
    <cellStyle name="Normal 14 3 2 4" xfId="5980" xr:uid="{00000000-0005-0000-0000-0000281F0000}"/>
    <cellStyle name="Normal 14 3 2 4 2" xfId="15840" xr:uid="{00000000-0005-0000-0000-0000291F0000}"/>
    <cellStyle name="Normal 14 3 2 4 2 2" xfId="35555" xr:uid="{00000000-0005-0000-0000-00002A1F0000}"/>
    <cellStyle name="Normal 14 3 2 4 3" xfId="25698" xr:uid="{00000000-0005-0000-0000-00002B1F0000}"/>
    <cellStyle name="Normal 14 3 2 5" xfId="10912" xr:uid="{00000000-0005-0000-0000-00002C1F0000}"/>
    <cellStyle name="Normal 14 3 2 5 2" xfId="30627" xr:uid="{00000000-0005-0000-0000-00002D1F0000}"/>
    <cellStyle name="Normal 14 3 2 6" xfId="20770" xr:uid="{00000000-0005-0000-0000-00002E1F0000}"/>
    <cellStyle name="Normal 14 3 3" xfId="1661" xr:uid="{00000000-0005-0000-0000-00002F1F0000}"/>
    <cellStyle name="Normal 14 3 3 2" xfId="4128" xr:uid="{00000000-0005-0000-0000-0000301F0000}"/>
    <cellStyle name="Normal 14 3 3 2 2" xfId="9060" xr:uid="{00000000-0005-0000-0000-0000311F0000}"/>
    <cellStyle name="Normal 14 3 3 2 2 2" xfId="18920" xr:uid="{00000000-0005-0000-0000-0000321F0000}"/>
    <cellStyle name="Normal 14 3 3 2 2 2 2" xfId="38635" xr:uid="{00000000-0005-0000-0000-0000331F0000}"/>
    <cellStyle name="Normal 14 3 3 2 2 3" xfId="28778" xr:uid="{00000000-0005-0000-0000-0000341F0000}"/>
    <cellStyle name="Normal 14 3 3 2 3" xfId="13992" xr:uid="{00000000-0005-0000-0000-0000351F0000}"/>
    <cellStyle name="Normal 14 3 3 2 3 2" xfId="33707" xr:uid="{00000000-0005-0000-0000-0000361F0000}"/>
    <cellStyle name="Normal 14 3 3 2 4" xfId="23850" xr:uid="{00000000-0005-0000-0000-0000371F0000}"/>
    <cellStyle name="Normal 14 3 3 3" xfId="6596" xr:uid="{00000000-0005-0000-0000-0000381F0000}"/>
    <cellStyle name="Normal 14 3 3 3 2" xfId="16456" xr:uid="{00000000-0005-0000-0000-0000391F0000}"/>
    <cellStyle name="Normal 14 3 3 3 2 2" xfId="36171" xr:uid="{00000000-0005-0000-0000-00003A1F0000}"/>
    <cellStyle name="Normal 14 3 3 3 3" xfId="26314" xr:uid="{00000000-0005-0000-0000-00003B1F0000}"/>
    <cellStyle name="Normal 14 3 3 4" xfId="11528" xr:uid="{00000000-0005-0000-0000-00003C1F0000}"/>
    <cellStyle name="Normal 14 3 3 4 2" xfId="31243" xr:uid="{00000000-0005-0000-0000-00003D1F0000}"/>
    <cellStyle name="Normal 14 3 3 5" xfId="21386" xr:uid="{00000000-0005-0000-0000-00003E1F0000}"/>
    <cellStyle name="Normal 14 3 4" xfId="2896" xr:uid="{00000000-0005-0000-0000-00003F1F0000}"/>
    <cellStyle name="Normal 14 3 4 2" xfId="7828" xr:uid="{00000000-0005-0000-0000-0000401F0000}"/>
    <cellStyle name="Normal 14 3 4 2 2" xfId="17688" xr:uid="{00000000-0005-0000-0000-0000411F0000}"/>
    <cellStyle name="Normal 14 3 4 2 2 2" xfId="37403" xr:uid="{00000000-0005-0000-0000-0000421F0000}"/>
    <cellStyle name="Normal 14 3 4 2 3" xfId="27546" xr:uid="{00000000-0005-0000-0000-0000431F0000}"/>
    <cellStyle name="Normal 14 3 4 3" xfId="12760" xr:uid="{00000000-0005-0000-0000-0000441F0000}"/>
    <cellStyle name="Normal 14 3 4 3 2" xfId="32475" xr:uid="{00000000-0005-0000-0000-0000451F0000}"/>
    <cellStyle name="Normal 14 3 4 4" xfId="22618" xr:uid="{00000000-0005-0000-0000-0000461F0000}"/>
    <cellStyle name="Normal 14 3 5" xfId="5364" xr:uid="{00000000-0005-0000-0000-0000471F0000}"/>
    <cellStyle name="Normal 14 3 5 2" xfId="15224" xr:uid="{00000000-0005-0000-0000-0000481F0000}"/>
    <cellStyle name="Normal 14 3 5 2 2" xfId="34939" xr:uid="{00000000-0005-0000-0000-0000491F0000}"/>
    <cellStyle name="Normal 14 3 5 3" xfId="25082" xr:uid="{00000000-0005-0000-0000-00004A1F0000}"/>
    <cellStyle name="Normal 14 3 6" xfId="10296" xr:uid="{00000000-0005-0000-0000-00004B1F0000}"/>
    <cellStyle name="Normal 14 3 6 2" xfId="30011" xr:uid="{00000000-0005-0000-0000-00004C1F0000}"/>
    <cellStyle name="Normal 14 3 7" xfId="20154" xr:uid="{00000000-0005-0000-0000-00004D1F0000}"/>
    <cellStyle name="Normal 14 4" xfId="735" xr:uid="{00000000-0005-0000-0000-00004E1F0000}"/>
    <cellStyle name="Normal 14 4 2" xfId="1971" xr:uid="{00000000-0005-0000-0000-00004F1F0000}"/>
    <cellStyle name="Normal 14 4 2 2" xfId="4438" xr:uid="{00000000-0005-0000-0000-0000501F0000}"/>
    <cellStyle name="Normal 14 4 2 2 2" xfId="9370" xr:uid="{00000000-0005-0000-0000-0000511F0000}"/>
    <cellStyle name="Normal 14 4 2 2 2 2" xfId="19230" xr:uid="{00000000-0005-0000-0000-0000521F0000}"/>
    <cellStyle name="Normal 14 4 2 2 2 2 2" xfId="38945" xr:uid="{00000000-0005-0000-0000-0000531F0000}"/>
    <cellStyle name="Normal 14 4 2 2 2 3" xfId="29088" xr:uid="{00000000-0005-0000-0000-0000541F0000}"/>
    <cellStyle name="Normal 14 4 2 2 3" xfId="14302" xr:uid="{00000000-0005-0000-0000-0000551F0000}"/>
    <cellStyle name="Normal 14 4 2 2 3 2" xfId="34017" xr:uid="{00000000-0005-0000-0000-0000561F0000}"/>
    <cellStyle name="Normal 14 4 2 2 4" xfId="24160" xr:uid="{00000000-0005-0000-0000-0000571F0000}"/>
    <cellStyle name="Normal 14 4 2 3" xfId="6906" xr:uid="{00000000-0005-0000-0000-0000581F0000}"/>
    <cellStyle name="Normal 14 4 2 3 2" xfId="16766" xr:uid="{00000000-0005-0000-0000-0000591F0000}"/>
    <cellStyle name="Normal 14 4 2 3 2 2" xfId="36481" xr:uid="{00000000-0005-0000-0000-00005A1F0000}"/>
    <cellStyle name="Normal 14 4 2 3 3" xfId="26624" xr:uid="{00000000-0005-0000-0000-00005B1F0000}"/>
    <cellStyle name="Normal 14 4 2 4" xfId="11838" xr:uid="{00000000-0005-0000-0000-00005C1F0000}"/>
    <cellStyle name="Normal 14 4 2 4 2" xfId="31553" xr:uid="{00000000-0005-0000-0000-00005D1F0000}"/>
    <cellStyle name="Normal 14 4 2 5" xfId="21696" xr:uid="{00000000-0005-0000-0000-00005E1F0000}"/>
    <cellStyle name="Normal 14 4 3" xfId="3206" xr:uid="{00000000-0005-0000-0000-00005F1F0000}"/>
    <cellStyle name="Normal 14 4 3 2" xfId="8138" xr:uid="{00000000-0005-0000-0000-0000601F0000}"/>
    <cellStyle name="Normal 14 4 3 2 2" xfId="17998" xr:uid="{00000000-0005-0000-0000-0000611F0000}"/>
    <cellStyle name="Normal 14 4 3 2 2 2" xfId="37713" xr:uid="{00000000-0005-0000-0000-0000621F0000}"/>
    <cellStyle name="Normal 14 4 3 2 3" xfId="27856" xr:uid="{00000000-0005-0000-0000-0000631F0000}"/>
    <cellStyle name="Normal 14 4 3 3" xfId="13070" xr:uid="{00000000-0005-0000-0000-0000641F0000}"/>
    <cellStyle name="Normal 14 4 3 3 2" xfId="32785" xr:uid="{00000000-0005-0000-0000-0000651F0000}"/>
    <cellStyle name="Normal 14 4 3 4" xfId="22928" xr:uid="{00000000-0005-0000-0000-0000661F0000}"/>
    <cellStyle name="Normal 14 4 4" xfId="5674" xr:uid="{00000000-0005-0000-0000-0000671F0000}"/>
    <cellStyle name="Normal 14 4 4 2" xfId="15534" xr:uid="{00000000-0005-0000-0000-0000681F0000}"/>
    <cellStyle name="Normal 14 4 4 2 2" xfId="35249" xr:uid="{00000000-0005-0000-0000-0000691F0000}"/>
    <cellStyle name="Normal 14 4 4 3" xfId="25392" xr:uid="{00000000-0005-0000-0000-00006A1F0000}"/>
    <cellStyle name="Normal 14 4 5" xfId="10606" xr:uid="{00000000-0005-0000-0000-00006B1F0000}"/>
    <cellStyle name="Normal 14 4 5 2" xfId="30321" xr:uid="{00000000-0005-0000-0000-00006C1F0000}"/>
    <cellStyle name="Normal 14 4 6" xfId="20464" xr:uid="{00000000-0005-0000-0000-00006D1F0000}"/>
    <cellStyle name="Normal 14 5" xfId="1355" xr:uid="{00000000-0005-0000-0000-00006E1F0000}"/>
    <cellStyle name="Normal 14 5 2" xfId="3822" xr:uid="{00000000-0005-0000-0000-00006F1F0000}"/>
    <cellStyle name="Normal 14 5 2 2" xfId="8754" xr:uid="{00000000-0005-0000-0000-0000701F0000}"/>
    <cellStyle name="Normal 14 5 2 2 2" xfId="18614" xr:uid="{00000000-0005-0000-0000-0000711F0000}"/>
    <cellStyle name="Normal 14 5 2 2 2 2" xfId="38329" xr:uid="{00000000-0005-0000-0000-0000721F0000}"/>
    <cellStyle name="Normal 14 5 2 2 3" xfId="28472" xr:uid="{00000000-0005-0000-0000-0000731F0000}"/>
    <cellStyle name="Normal 14 5 2 3" xfId="13686" xr:uid="{00000000-0005-0000-0000-0000741F0000}"/>
    <cellStyle name="Normal 14 5 2 3 2" xfId="33401" xr:uid="{00000000-0005-0000-0000-0000751F0000}"/>
    <cellStyle name="Normal 14 5 2 4" xfId="23544" xr:uid="{00000000-0005-0000-0000-0000761F0000}"/>
    <cellStyle name="Normal 14 5 3" xfId="6290" xr:uid="{00000000-0005-0000-0000-0000771F0000}"/>
    <cellStyle name="Normal 14 5 3 2" xfId="16150" xr:uid="{00000000-0005-0000-0000-0000781F0000}"/>
    <cellStyle name="Normal 14 5 3 2 2" xfId="35865" xr:uid="{00000000-0005-0000-0000-0000791F0000}"/>
    <cellStyle name="Normal 14 5 3 3" xfId="26008" xr:uid="{00000000-0005-0000-0000-00007A1F0000}"/>
    <cellStyle name="Normal 14 5 4" xfId="11222" xr:uid="{00000000-0005-0000-0000-00007B1F0000}"/>
    <cellStyle name="Normal 14 5 4 2" xfId="30937" xr:uid="{00000000-0005-0000-0000-00007C1F0000}"/>
    <cellStyle name="Normal 14 5 5" xfId="21080" xr:uid="{00000000-0005-0000-0000-00007D1F0000}"/>
    <cellStyle name="Normal 14 6" xfId="2590" xr:uid="{00000000-0005-0000-0000-00007E1F0000}"/>
    <cellStyle name="Normal 14 6 2" xfId="7522" xr:uid="{00000000-0005-0000-0000-00007F1F0000}"/>
    <cellStyle name="Normal 14 6 2 2" xfId="17382" xr:uid="{00000000-0005-0000-0000-0000801F0000}"/>
    <cellStyle name="Normal 14 6 2 2 2" xfId="37097" xr:uid="{00000000-0005-0000-0000-0000811F0000}"/>
    <cellStyle name="Normal 14 6 2 3" xfId="27240" xr:uid="{00000000-0005-0000-0000-0000821F0000}"/>
    <cellStyle name="Normal 14 6 3" xfId="12454" xr:uid="{00000000-0005-0000-0000-0000831F0000}"/>
    <cellStyle name="Normal 14 6 3 2" xfId="32169" xr:uid="{00000000-0005-0000-0000-0000841F0000}"/>
    <cellStyle name="Normal 14 6 4" xfId="22312" xr:uid="{00000000-0005-0000-0000-0000851F0000}"/>
    <cellStyle name="Normal 14 7" xfId="5058" xr:uid="{00000000-0005-0000-0000-0000861F0000}"/>
    <cellStyle name="Normal 14 7 2" xfId="14918" xr:uid="{00000000-0005-0000-0000-0000871F0000}"/>
    <cellStyle name="Normal 14 7 2 2" xfId="34633" xr:uid="{00000000-0005-0000-0000-0000881F0000}"/>
    <cellStyle name="Normal 14 7 3" xfId="24776" xr:uid="{00000000-0005-0000-0000-0000891F0000}"/>
    <cellStyle name="Normal 14 8" xfId="9990" xr:uid="{00000000-0005-0000-0000-00008A1F0000}"/>
    <cellStyle name="Normal 14 8 2" xfId="29705" xr:uid="{00000000-0005-0000-0000-00008B1F0000}"/>
    <cellStyle name="Normal 14 9" xfId="19848" xr:uid="{00000000-0005-0000-0000-00008C1F0000}"/>
    <cellStyle name="Normal 15" xfId="104" xr:uid="{00000000-0005-0000-0000-00008D1F0000}"/>
    <cellStyle name="Normal 15 2" xfId="180" xr:uid="{00000000-0005-0000-0000-00008E1F0000}"/>
    <cellStyle name="Normal 16" xfId="185" xr:uid="{00000000-0005-0000-0000-00008F1F0000}"/>
    <cellStyle name="Normal 16 2" xfId="339" xr:uid="{00000000-0005-0000-0000-0000901F0000}"/>
    <cellStyle name="Normal 17" xfId="181" xr:uid="{00000000-0005-0000-0000-0000911F0000}"/>
    <cellStyle name="Normal 17 2" xfId="498" xr:uid="{00000000-0005-0000-0000-0000921F0000}"/>
    <cellStyle name="Normal 17 2 2" xfId="1118" xr:uid="{00000000-0005-0000-0000-0000931F0000}"/>
    <cellStyle name="Normal 17 2 2 2" xfId="2353" xr:uid="{00000000-0005-0000-0000-0000941F0000}"/>
    <cellStyle name="Normal 17 2 2 2 2" xfId="4820" xr:uid="{00000000-0005-0000-0000-0000951F0000}"/>
    <cellStyle name="Normal 17 2 2 2 2 2" xfId="9752" xr:uid="{00000000-0005-0000-0000-0000961F0000}"/>
    <cellStyle name="Normal 17 2 2 2 2 2 2" xfId="19612" xr:uid="{00000000-0005-0000-0000-0000971F0000}"/>
    <cellStyle name="Normal 17 2 2 2 2 2 2 2" xfId="39327" xr:uid="{00000000-0005-0000-0000-0000981F0000}"/>
    <cellStyle name="Normal 17 2 2 2 2 2 3" xfId="29470" xr:uid="{00000000-0005-0000-0000-0000991F0000}"/>
    <cellStyle name="Normal 17 2 2 2 2 3" xfId="14684" xr:uid="{00000000-0005-0000-0000-00009A1F0000}"/>
    <cellStyle name="Normal 17 2 2 2 2 3 2" xfId="34399" xr:uid="{00000000-0005-0000-0000-00009B1F0000}"/>
    <cellStyle name="Normal 17 2 2 2 2 4" xfId="24542" xr:uid="{00000000-0005-0000-0000-00009C1F0000}"/>
    <cellStyle name="Normal 17 2 2 2 3" xfId="7288" xr:uid="{00000000-0005-0000-0000-00009D1F0000}"/>
    <cellStyle name="Normal 17 2 2 2 3 2" xfId="17148" xr:uid="{00000000-0005-0000-0000-00009E1F0000}"/>
    <cellStyle name="Normal 17 2 2 2 3 2 2" xfId="36863" xr:uid="{00000000-0005-0000-0000-00009F1F0000}"/>
    <cellStyle name="Normal 17 2 2 2 3 3" xfId="27006" xr:uid="{00000000-0005-0000-0000-0000A01F0000}"/>
    <cellStyle name="Normal 17 2 2 2 4" xfId="12220" xr:uid="{00000000-0005-0000-0000-0000A11F0000}"/>
    <cellStyle name="Normal 17 2 2 2 4 2" xfId="31935" xr:uid="{00000000-0005-0000-0000-0000A21F0000}"/>
    <cellStyle name="Normal 17 2 2 2 5" xfId="22078" xr:uid="{00000000-0005-0000-0000-0000A31F0000}"/>
    <cellStyle name="Normal 17 2 2 3" xfId="3588" xr:uid="{00000000-0005-0000-0000-0000A41F0000}"/>
    <cellStyle name="Normal 17 2 2 3 2" xfId="8520" xr:uid="{00000000-0005-0000-0000-0000A51F0000}"/>
    <cellStyle name="Normal 17 2 2 3 2 2" xfId="18380" xr:uid="{00000000-0005-0000-0000-0000A61F0000}"/>
    <cellStyle name="Normal 17 2 2 3 2 2 2" xfId="38095" xr:uid="{00000000-0005-0000-0000-0000A71F0000}"/>
    <cellStyle name="Normal 17 2 2 3 2 3" xfId="28238" xr:uid="{00000000-0005-0000-0000-0000A81F0000}"/>
    <cellStyle name="Normal 17 2 2 3 3" xfId="13452" xr:uid="{00000000-0005-0000-0000-0000A91F0000}"/>
    <cellStyle name="Normal 17 2 2 3 3 2" xfId="33167" xr:uid="{00000000-0005-0000-0000-0000AA1F0000}"/>
    <cellStyle name="Normal 17 2 2 3 4" xfId="23310" xr:uid="{00000000-0005-0000-0000-0000AB1F0000}"/>
    <cellStyle name="Normal 17 2 2 4" xfId="6056" xr:uid="{00000000-0005-0000-0000-0000AC1F0000}"/>
    <cellStyle name="Normal 17 2 2 4 2" xfId="15916" xr:uid="{00000000-0005-0000-0000-0000AD1F0000}"/>
    <cellStyle name="Normal 17 2 2 4 2 2" xfId="35631" xr:uid="{00000000-0005-0000-0000-0000AE1F0000}"/>
    <cellStyle name="Normal 17 2 2 4 3" xfId="25774" xr:uid="{00000000-0005-0000-0000-0000AF1F0000}"/>
    <cellStyle name="Normal 17 2 2 5" xfId="10988" xr:uid="{00000000-0005-0000-0000-0000B01F0000}"/>
    <cellStyle name="Normal 17 2 2 5 2" xfId="30703" xr:uid="{00000000-0005-0000-0000-0000B11F0000}"/>
    <cellStyle name="Normal 17 2 2 6" xfId="20846" xr:uid="{00000000-0005-0000-0000-0000B21F0000}"/>
    <cellStyle name="Normal 17 2 3" xfId="1737" xr:uid="{00000000-0005-0000-0000-0000B31F0000}"/>
    <cellStyle name="Normal 17 2 3 2" xfId="4204" xr:uid="{00000000-0005-0000-0000-0000B41F0000}"/>
    <cellStyle name="Normal 17 2 3 2 2" xfId="9136" xr:uid="{00000000-0005-0000-0000-0000B51F0000}"/>
    <cellStyle name="Normal 17 2 3 2 2 2" xfId="18996" xr:uid="{00000000-0005-0000-0000-0000B61F0000}"/>
    <cellStyle name="Normal 17 2 3 2 2 2 2" xfId="38711" xr:uid="{00000000-0005-0000-0000-0000B71F0000}"/>
    <cellStyle name="Normal 17 2 3 2 2 3" xfId="28854" xr:uid="{00000000-0005-0000-0000-0000B81F0000}"/>
    <cellStyle name="Normal 17 2 3 2 3" xfId="14068" xr:uid="{00000000-0005-0000-0000-0000B91F0000}"/>
    <cellStyle name="Normal 17 2 3 2 3 2" xfId="33783" xr:uid="{00000000-0005-0000-0000-0000BA1F0000}"/>
    <cellStyle name="Normal 17 2 3 2 4" xfId="23926" xr:uid="{00000000-0005-0000-0000-0000BB1F0000}"/>
    <cellStyle name="Normal 17 2 3 3" xfId="6672" xr:uid="{00000000-0005-0000-0000-0000BC1F0000}"/>
    <cellStyle name="Normal 17 2 3 3 2" xfId="16532" xr:uid="{00000000-0005-0000-0000-0000BD1F0000}"/>
    <cellStyle name="Normal 17 2 3 3 2 2" xfId="36247" xr:uid="{00000000-0005-0000-0000-0000BE1F0000}"/>
    <cellStyle name="Normal 17 2 3 3 3" xfId="26390" xr:uid="{00000000-0005-0000-0000-0000BF1F0000}"/>
    <cellStyle name="Normal 17 2 3 4" xfId="11604" xr:uid="{00000000-0005-0000-0000-0000C01F0000}"/>
    <cellStyle name="Normal 17 2 3 4 2" xfId="31319" xr:uid="{00000000-0005-0000-0000-0000C11F0000}"/>
    <cellStyle name="Normal 17 2 3 5" xfId="21462" xr:uid="{00000000-0005-0000-0000-0000C21F0000}"/>
    <cellStyle name="Normal 17 2 4" xfId="2972" xr:uid="{00000000-0005-0000-0000-0000C31F0000}"/>
    <cellStyle name="Normal 17 2 4 2" xfId="7904" xr:uid="{00000000-0005-0000-0000-0000C41F0000}"/>
    <cellStyle name="Normal 17 2 4 2 2" xfId="17764" xr:uid="{00000000-0005-0000-0000-0000C51F0000}"/>
    <cellStyle name="Normal 17 2 4 2 2 2" xfId="37479" xr:uid="{00000000-0005-0000-0000-0000C61F0000}"/>
    <cellStyle name="Normal 17 2 4 2 3" xfId="27622" xr:uid="{00000000-0005-0000-0000-0000C71F0000}"/>
    <cellStyle name="Normal 17 2 4 3" xfId="12836" xr:uid="{00000000-0005-0000-0000-0000C81F0000}"/>
    <cellStyle name="Normal 17 2 4 3 2" xfId="32551" xr:uid="{00000000-0005-0000-0000-0000C91F0000}"/>
    <cellStyle name="Normal 17 2 4 4" xfId="22694" xr:uid="{00000000-0005-0000-0000-0000CA1F0000}"/>
    <cellStyle name="Normal 17 2 5" xfId="5440" xr:uid="{00000000-0005-0000-0000-0000CB1F0000}"/>
    <cellStyle name="Normal 17 2 5 2" xfId="15300" xr:uid="{00000000-0005-0000-0000-0000CC1F0000}"/>
    <cellStyle name="Normal 17 2 5 2 2" xfId="35015" xr:uid="{00000000-0005-0000-0000-0000CD1F0000}"/>
    <cellStyle name="Normal 17 2 5 3" xfId="25158" xr:uid="{00000000-0005-0000-0000-0000CE1F0000}"/>
    <cellStyle name="Normal 17 2 6" xfId="10372" xr:uid="{00000000-0005-0000-0000-0000CF1F0000}"/>
    <cellStyle name="Normal 17 2 6 2" xfId="30087" xr:uid="{00000000-0005-0000-0000-0000D01F0000}"/>
    <cellStyle name="Normal 17 2 7" xfId="20230" xr:uid="{00000000-0005-0000-0000-0000D11F0000}"/>
    <cellStyle name="Normal 17 3" xfId="811" xr:uid="{00000000-0005-0000-0000-0000D21F0000}"/>
    <cellStyle name="Normal 17 3 2" xfId="2047" xr:uid="{00000000-0005-0000-0000-0000D31F0000}"/>
    <cellStyle name="Normal 17 3 2 2" xfId="4514" xr:uid="{00000000-0005-0000-0000-0000D41F0000}"/>
    <cellStyle name="Normal 17 3 2 2 2" xfId="9446" xr:uid="{00000000-0005-0000-0000-0000D51F0000}"/>
    <cellStyle name="Normal 17 3 2 2 2 2" xfId="19306" xr:uid="{00000000-0005-0000-0000-0000D61F0000}"/>
    <cellStyle name="Normal 17 3 2 2 2 2 2" xfId="39021" xr:uid="{00000000-0005-0000-0000-0000D71F0000}"/>
    <cellStyle name="Normal 17 3 2 2 2 3" xfId="29164" xr:uid="{00000000-0005-0000-0000-0000D81F0000}"/>
    <cellStyle name="Normal 17 3 2 2 3" xfId="14378" xr:uid="{00000000-0005-0000-0000-0000D91F0000}"/>
    <cellStyle name="Normal 17 3 2 2 3 2" xfId="34093" xr:uid="{00000000-0005-0000-0000-0000DA1F0000}"/>
    <cellStyle name="Normal 17 3 2 2 4" xfId="24236" xr:uid="{00000000-0005-0000-0000-0000DB1F0000}"/>
    <cellStyle name="Normal 17 3 2 3" xfId="6982" xr:uid="{00000000-0005-0000-0000-0000DC1F0000}"/>
    <cellStyle name="Normal 17 3 2 3 2" xfId="16842" xr:uid="{00000000-0005-0000-0000-0000DD1F0000}"/>
    <cellStyle name="Normal 17 3 2 3 2 2" xfId="36557" xr:uid="{00000000-0005-0000-0000-0000DE1F0000}"/>
    <cellStyle name="Normal 17 3 2 3 3" xfId="26700" xr:uid="{00000000-0005-0000-0000-0000DF1F0000}"/>
    <cellStyle name="Normal 17 3 2 4" xfId="11914" xr:uid="{00000000-0005-0000-0000-0000E01F0000}"/>
    <cellStyle name="Normal 17 3 2 4 2" xfId="31629" xr:uid="{00000000-0005-0000-0000-0000E11F0000}"/>
    <cellStyle name="Normal 17 3 2 5" xfId="21772" xr:uid="{00000000-0005-0000-0000-0000E21F0000}"/>
    <cellStyle name="Normal 17 3 3" xfId="3282" xr:uid="{00000000-0005-0000-0000-0000E31F0000}"/>
    <cellStyle name="Normal 17 3 3 2" xfId="8214" xr:uid="{00000000-0005-0000-0000-0000E41F0000}"/>
    <cellStyle name="Normal 17 3 3 2 2" xfId="18074" xr:uid="{00000000-0005-0000-0000-0000E51F0000}"/>
    <cellStyle name="Normal 17 3 3 2 2 2" xfId="37789" xr:uid="{00000000-0005-0000-0000-0000E61F0000}"/>
    <cellStyle name="Normal 17 3 3 2 3" xfId="27932" xr:uid="{00000000-0005-0000-0000-0000E71F0000}"/>
    <cellStyle name="Normal 17 3 3 3" xfId="13146" xr:uid="{00000000-0005-0000-0000-0000E81F0000}"/>
    <cellStyle name="Normal 17 3 3 3 2" xfId="32861" xr:uid="{00000000-0005-0000-0000-0000E91F0000}"/>
    <cellStyle name="Normal 17 3 3 4" xfId="23004" xr:uid="{00000000-0005-0000-0000-0000EA1F0000}"/>
    <cellStyle name="Normal 17 3 4" xfId="5750" xr:uid="{00000000-0005-0000-0000-0000EB1F0000}"/>
    <cellStyle name="Normal 17 3 4 2" xfId="15610" xr:uid="{00000000-0005-0000-0000-0000EC1F0000}"/>
    <cellStyle name="Normal 17 3 4 2 2" xfId="35325" xr:uid="{00000000-0005-0000-0000-0000ED1F0000}"/>
    <cellStyle name="Normal 17 3 4 3" xfId="25468" xr:uid="{00000000-0005-0000-0000-0000EE1F0000}"/>
    <cellStyle name="Normal 17 3 5" xfId="10682" xr:uid="{00000000-0005-0000-0000-0000EF1F0000}"/>
    <cellStyle name="Normal 17 3 5 2" xfId="30397" xr:uid="{00000000-0005-0000-0000-0000F01F0000}"/>
    <cellStyle name="Normal 17 3 6" xfId="20540" xr:uid="{00000000-0005-0000-0000-0000F11F0000}"/>
    <cellStyle name="Normal 17 4" xfId="1431" xr:uid="{00000000-0005-0000-0000-0000F21F0000}"/>
    <cellStyle name="Normal 17 4 2" xfId="3898" xr:uid="{00000000-0005-0000-0000-0000F31F0000}"/>
    <cellStyle name="Normal 17 4 2 2" xfId="8830" xr:uid="{00000000-0005-0000-0000-0000F41F0000}"/>
    <cellStyle name="Normal 17 4 2 2 2" xfId="18690" xr:uid="{00000000-0005-0000-0000-0000F51F0000}"/>
    <cellStyle name="Normal 17 4 2 2 2 2" xfId="38405" xr:uid="{00000000-0005-0000-0000-0000F61F0000}"/>
    <cellStyle name="Normal 17 4 2 2 3" xfId="28548" xr:uid="{00000000-0005-0000-0000-0000F71F0000}"/>
    <cellStyle name="Normal 17 4 2 3" xfId="13762" xr:uid="{00000000-0005-0000-0000-0000F81F0000}"/>
    <cellStyle name="Normal 17 4 2 3 2" xfId="33477" xr:uid="{00000000-0005-0000-0000-0000F91F0000}"/>
    <cellStyle name="Normal 17 4 2 4" xfId="23620" xr:uid="{00000000-0005-0000-0000-0000FA1F0000}"/>
    <cellStyle name="Normal 17 4 3" xfId="6366" xr:uid="{00000000-0005-0000-0000-0000FB1F0000}"/>
    <cellStyle name="Normal 17 4 3 2" xfId="16226" xr:uid="{00000000-0005-0000-0000-0000FC1F0000}"/>
    <cellStyle name="Normal 17 4 3 2 2" xfId="35941" xr:uid="{00000000-0005-0000-0000-0000FD1F0000}"/>
    <cellStyle name="Normal 17 4 3 3" xfId="26084" xr:uid="{00000000-0005-0000-0000-0000FE1F0000}"/>
    <cellStyle name="Normal 17 4 4" xfId="11298" xr:uid="{00000000-0005-0000-0000-0000FF1F0000}"/>
    <cellStyle name="Normal 17 4 4 2" xfId="31013" xr:uid="{00000000-0005-0000-0000-000000200000}"/>
    <cellStyle name="Normal 17 4 5" xfId="21156" xr:uid="{00000000-0005-0000-0000-000001200000}"/>
    <cellStyle name="Normal 17 5" xfId="2666" xr:uid="{00000000-0005-0000-0000-000002200000}"/>
    <cellStyle name="Normal 17 5 2" xfId="7598" xr:uid="{00000000-0005-0000-0000-000003200000}"/>
    <cellStyle name="Normal 17 5 2 2" xfId="17458" xr:uid="{00000000-0005-0000-0000-000004200000}"/>
    <cellStyle name="Normal 17 5 2 2 2" xfId="37173" xr:uid="{00000000-0005-0000-0000-000005200000}"/>
    <cellStyle name="Normal 17 5 2 3" xfId="27316" xr:uid="{00000000-0005-0000-0000-000006200000}"/>
    <cellStyle name="Normal 17 5 3" xfId="12530" xr:uid="{00000000-0005-0000-0000-000007200000}"/>
    <cellStyle name="Normal 17 5 3 2" xfId="32245" xr:uid="{00000000-0005-0000-0000-000008200000}"/>
    <cellStyle name="Normal 17 5 4" xfId="22388" xr:uid="{00000000-0005-0000-0000-000009200000}"/>
    <cellStyle name="Normal 17 6" xfId="5134" xr:uid="{00000000-0005-0000-0000-00000A200000}"/>
    <cellStyle name="Normal 17 6 2" xfId="14994" xr:uid="{00000000-0005-0000-0000-00000B200000}"/>
    <cellStyle name="Normal 17 6 2 2" xfId="34709" xr:uid="{00000000-0005-0000-0000-00000C200000}"/>
    <cellStyle name="Normal 17 6 3" xfId="24852" xr:uid="{00000000-0005-0000-0000-00000D200000}"/>
    <cellStyle name="Normal 17 7" xfId="10066" xr:uid="{00000000-0005-0000-0000-00000E200000}"/>
    <cellStyle name="Normal 17 7 2" xfId="29781" xr:uid="{00000000-0005-0000-0000-00000F200000}"/>
    <cellStyle name="Normal 17 8" xfId="19924" xr:uid="{00000000-0005-0000-0000-000010200000}"/>
    <cellStyle name="Normal 18" xfId="336" xr:uid="{00000000-0005-0000-0000-000011200000}"/>
    <cellStyle name="Normal 19" xfId="342" xr:uid="{00000000-0005-0000-0000-000012200000}"/>
    <cellStyle name="Normal 19 2" xfId="651" xr:uid="{00000000-0005-0000-0000-000013200000}"/>
    <cellStyle name="Normal 19 2 2" xfId="1271" xr:uid="{00000000-0005-0000-0000-000014200000}"/>
    <cellStyle name="Normal 19 2 2 2" xfId="2506" xr:uid="{00000000-0005-0000-0000-000015200000}"/>
    <cellStyle name="Normal 19 2 2 2 2" xfId="4973" xr:uid="{00000000-0005-0000-0000-000016200000}"/>
    <cellStyle name="Normal 19 2 2 2 2 2" xfId="9905" xr:uid="{00000000-0005-0000-0000-000017200000}"/>
    <cellStyle name="Normal 19 2 2 2 2 2 2" xfId="19765" xr:uid="{00000000-0005-0000-0000-000018200000}"/>
    <cellStyle name="Normal 19 2 2 2 2 2 2 2" xfId="39480" xr:uid="{00000000-0005-0000-0000-000019200000}"/>
    <cellStyle name="Normal 19 2 2 2 2 2 3" xfId="29623" xr:uid="{00000000-0005-0000-0000-00001A200000}"/>
    <cellStyle name="Normal 19 2 2 2 2 3" xfId="14837" xr:uid="{00000000-0005-0000-0000-00001B200000}"/>
    <cellStyle name="Normal 19 2 2 2 2 3 2" xfId="34552" xr:uid="{00000000-0005-0000-0000-00001C200000}"/>
    <cellStyle name="Normal 19 2 2 2 2 4" xfId="24695" xr:uid="{00000000-0005-0000-0000-00001D200000}"/>
    <cellStyle name="Normal 19 2 2 2 3" xfId="7441" xr:uid="{00000000-0005-0000-0000-00001E200000}"/>
    <cellStyle name="Normal 19 2 2 2 3 2" xfId="17301" xr:uid="{00000000-0005-0000-0000-00001F200000}"/>
    <cellStyle name="Normal 19 2 2 2 3 2 2" xfId="37016" xr:uid="{00000000-0005-0000-0000-000020200000}"/>
    <cellStyle name="Normal 19 2 2 2 3 3" xfId="27159" xr:uid="{00000000-0005-0000-0000-000021200000}"/>
    <cellStyle name="Normal 19 2 2 2 4" xfId="12373" xr:uid="{00000000-0005-0000-0000-000022200000}"/>
    <cellStyle name="Normal 19 2 2 2 4 2" xfId="32088" xr:uid="{00000000-0005-0000-0000-000023200000}"/>
    <cellStyle name="Normal 19 2 2 2 5" xfId="22231" xr:uid="{00000000-0005-0000-0000-000024200000}"/>
    <cellStyle name="Normal 19 2 2 3" xfId="3741" xr:uid="{00000000-0005-0000-0000-000025200000}"/>
    <cellStyle name="Normal 19 2 2 3 2" xfId="8673" xr:uid="{00000000-0005-0000-0000-000026200000}"/>
    <cellStyle name="Normal 19 2 2 3 2 2" xfId="18533" xr:uid="{00000000-0005-0000-0000-000027200000}"/>
    <cellStyle name="Normal 19 2 2 3 2 2 2" xfId="38248" xr:uid="{00000000-0005-0000-0000-000028200000}"/>
    <cellStyle name="Normal 19 2 2 3 2 3" xfId="28391" xr:uid="{00000000-0005-0000-0000-000029200000}"/>
    <cellStyle name="Normal 19 2 2 3 3" xfId="13605" xr:uid="{00000000-0005-0000-0000-00002A200000}"/>
    <cellStyle name="Normal 19 2 2 3 3 2" xfId="33320" xr:uid="{00000000-0005-0000-0000-00002B200000}"/>
    <cellStyle name="Normal 19 2 2 3 4" xfId="23463" xr:uid="{00000000-0005-0000-0000-00002C200000}"/>
    <cellStyle name="Normal 19 2 2 4" xfId="6209" xr:uid="{00000000-0005-0000-0000-00002D200000}"/>
    <cellStyle name="Normal 19 2 2 4 2" xfId="16069" xr:uid="{00000000-0005-0000-0000-00002E200000}"/>
    <cellStyle name="Normal 19 2 2 4 2 2" xfId="35784" xr:uid="{00000000-0005-0000-0000-00002F200000}"/>
    <cellStyle name="Normal 19 2 2 4 3" xfId="25927" xr:uid="{00000000-0005-0000-0000-000030200000}"/>
    <cellStyle name="Normal 19 2 2 5" xfId="11141" xr:uid="{00000000-0005-0000-0000-000031200000}"/>
    <cellStyle name="Normal 19 2 2 5 2" xfId="30856" xr:uid="{00000000-0005-0000-0000-000032200000}"/>
    <cellStyle name="Normal 19 2 2 6" xfId="20999" xr:uid="{00000000-0005-0000-0000-000033200000}"/>
    <cellStyle name="Normal 19 2 3" xfId="1890" xr:uid="{00000000-0005-0000-0000-000034200000}"/>
    <cellStyle name="Normal 19 2 3 2" xfId="4357" xr:uid="{00000000-0005-0000-0000-000035200000}"/>
    <cellStyle name="Normal 19 2 3 2 2" xfId="9289" xr:uid="{00000000-0005-0000-0000-000036200000}"/>
    <cellStyle name="Normal 19 2 3 2 2 2" xfId="19149" xr:uid="{00000000-0005-0000-0000-000037200000}"/>
    <cellStyle name="Normal 19 2 3 2 2 2 2" xfId="38864" xr:uid="{00000000-0005-0000-0000-000038200000}"/>
    <cellStyle name="Normal 19 2 3 2 2 3" xfId="29007" xr:uid="{00000000-0005-0000-0000-000039200000}"/>
    <cellStyle name="Normal 19 2 3 2 3" xfId="14221" xr:uid="{00000000-0005-0000-0000-00003A200000}"/>
    <cellStyle name="Normal 19 2 3 2 3 2" xfId="33936" xr:uid="{00000000-0005-0000-0000-00003B200000}"/>
    <cellStyle name="Normal 19 2 3 2 4" xfId="24079" xr:uid="{00000000-0005-0000-0000-00003C200000}"/>
    <cellStyle name="Normal 19 2 3 3" xfId="6825" xr:uid="{00000000-0005-0000-0000-00003D200000}"/>
    <cellStyle name="Normal 19 2 3 3 2" xfId="16685" xr:uid="{00000000-0005-0000-0000-00003E200000}"/>
    <cellStyle name="Normal 19 2 3 3 2 2" xfId="36400" xr:uid="{00000000-0005-0000-0000-00003F200000}"/>
    <cellStyle name="Normal 19 2 3 3 3" xfId="26543" xr:uid="{00000000-0005-0000-0000-000040200000}"/>
    <cellStyle name="Normal 19 2 3 4" xfId="11757" xr:uid="{00000000-0005-0000-0000-000041200000}"/>
    <cellStyle name="Normal 19 2 3 4 2" xfId="31472" xr:uid="{00000000-0005-0000-0000-000042200000}"/>
    <cellStyle name="Normal 19 2 3 5" xfId="21615" xr:uid="{00000000-0005-0000-0000-000043200000}"/>
    <cellStyle name="Normal 19 2 4" xfId="3125" xr:uid="{00000000-0005-0000-0000-000044200000}"/>
    <cellStyle name="Normal 19 2 4 2" xfId="8057" xr:uid="{00000000-0005-0000-0000-000045200000}"/>
    <cellStyle name="Normal 19 2 4 2 2" xfId="17917" xr:uid="{00000000-0005-0000-0000-000046200000}"/>
    <cellStyle name="Normal 19 2 4 2 2 2" xfId="37632" xr:uid="{00000000-0005-0000-0000-000047200000}"/>
    <cellStyle name="Normal 19 2 4 2 3" xfId="27775" xr:uid="{00000000-0005-0000-0000-000048200000}"/>
    <cellStyle name="Normal 19 2 4 3" xfId="12989" xr:uid="{00000000-0005-0000-0000-000049200000}"/>
    <cellStyle name="Normal 19 2 4 3 2" xfId="32704" xr:uid="{00000000-0005-0000-0000-00004A200000}"/>
    <cellStyle name="Normal 19 2 4 4" xfId="22847" xr:uid="{00000000-0005-0000-0000-00004B200000}"/>
    <cellStyle name="Normal 19 2 5" xfId="5593" xr:uid="{00000000-0005-0000-0000-00004C200000}"/>
    <cellStyle name="Normal 19 2 5 2" xfId="15453" xr:uid="{00000000-0005-0000-0000-00004D200000}"/>
    <cellStyle name="Normal 19 2 5 2 2" xfId="35168" xr:uid="{00000000-0005-0000-0000-00004E200000}"/>
    <cellStyle name="Normal 19 2 5 3" xfId="25311" xr:uid="{00000000-0005-0000-0000-00004F200000}"/>
    <cellStyle name="Normal 19 2 6" xfId="10525" xr:uid="{00000000-0005-0000-0000-000050200000}"/>
    <cellStyle name="Normal 19 2 6 2" xfId="30240" xr:uid="{00000000-0005-0000-0000-000051200000}"/>
    <cellStyle name="Normal 19 2 7" xfId="20383" xr:uid="{00000000-0005-0000-0000-000052200000}"/>
    <cellStyle name="Normal 19 3" xfId="964" xr:uid="{00000000-0005-0000-0000-000053200000}"/>
    <cellStyle name="Normal 19 3 2" xfId="2200" xr:uid="{00000000-0005-0000-0000-000054200000}"/>
    <cellStyle name="Normal 19 3 2 2" xfId="4667" xr:uid="{00000000-0005-0000-0000-000055200000}"/>
    <cellStyle name="Normal 19 3 2 2 2" xfId="9599" xr:uid="{00000000-0005-0000-0000-000056200000}"/>
    <cellStyle name="Normal 19 3 2 2 2 2" xfId="19459" xr:uid="{00000000-0005-0000-0000-000057200000}"/>
    <cellStyle name="Normal 19 3 2 2 2 2 2" xfId="39174" xr:uid="{00000000-0005-0000-0000-000058200000}"/>
    <cellStyle name="Normal 19 3 2 2 2 3" xfId="29317" xr:uid="{00000000-0005-0000-0000-000059200000}"/>
    <cellStyle name="Normal 19 3 2 2 3" xfId="14531" xr:uid="{00000000-0005-0000-0000-00005A200000}"/>
    <cellStyle name="Normal 19 3 2 2 3 2" xfId="34246" xr:uid="{00000000-0005-0000-0000-00005B200000}"/>
    <cellStyle name="Normal 19 3 2 2 4" xfId="24389" xr:uid="{00000000-0005-0000-0000-00005C200000}"/>
    <cellStyle name="Normal 19 3 2 3" xfId="7135" xr:uid="{00000000-0005-0000-0000-00005D200000}"/>
    <cellStyle name="Normal 19 3 2 3 2" xfId="16995" xr:uid="{00000000-0005-0000-0000-00005E200000}"/>
    <cellStyle name="Normal 19 3 2 3 2 2" xfId="36710" xr:uid="{00000000-0005-0000-0000-00005F200000}"/>
    <cellStyle name="Normal 19 3 2 3 3" xfId="26853" xr:uid="{00000000-0005-0000-0000-000060200000}"/>
    <cellStyle name="Normal 19 3 2 4" xfId="12067" xr:uid="{00000000-0005-0000-0000-000061200000}"/>
    <cellStyle name="Normal 19 3 2 4 2" xfId="31782" xr:uid="{00000000-0005-0000-0000-000062200000}"/>
    <cellStyle name="Normal 19 3 2 5" xfId="21925" xr:uid="{00000000-0005-0000-0000-000063200000}"/>
    <cellStyle name="Normal 19 3 3" xfId="3435" xr:uid="{00000000-0005-0000-0000-000064200000}"/>
    <cellStyle name="Normal 19 3 3 2" xfId="8367" xr:uid="{00000000-0005-0000-0000-000065200000}"/>
    <cellStyle name="Normal 19 3 3 2 2" xfId="18227" xr:uid="{00000000-0005-0000-0000-000066200000}"/>
    <cellStyle name="Normal 19 3 3 2 2 2" xfId="37942" xr:uid="{00000000-0005-0000-0000-000067200000}"/>
    <cellStyle name="Normal 19 3 3 2 3" xfId="28085" xr:uid="{00000000-0005-0000-0000-000068200000}"/>
    <cellStyle name="Normal 19 3 3 3" xfId="13299" xr:uid="{00000000-0005-0000-0000-000069200000}"/>
    <cellStyle name="Normal 19 3 3 3 2" xfId="33014" xr:uid="{00000000-0005-0000-0000-00006A200000}"/>
    <cellStyle name="Normal 19 3 3 4" xfId="23157" xr:uid="{00000000-0005-0000-0000-00006B200000}"/>
    <cellStyle name="Normal 19 3 4" xfId="5903" xr:uid="{00000000-0005-0000-0000-00006C200000}"/>
    <cellStyle name="Normal 19 3 4 2" xfId="15763" xr:uid="{00000000-0005-0000-0000-00006D200000}"/>
    <cellStyle name="Normal 19 3 4 2 2" xfId="35478" xr:uid="{00000000-0005-0000-0000-00006E200000}"/>
    <cellStyle name="Normal 19 3 4 3" xfId="25621" xr:uid="{00000000-0005-0000-0000-00006F200000}"/>
    <cellStyle name="Normal 19 3 5" xfId="10835" xr:uid="{00000000-0005-0000-0000-000070200000}"/>
    <cellStyle name="Normal 19 3 5 2" xfId="30550" xr:uid="{00000000-0005-0000-0000-000071200000}"/>
    <cellStyle name="Normal 19 3 6" xfId="20693" xr:uid="{00000000-0005-0000-0000-000072200000}"/>
    <cellStyle name="Normal 19 4" xfId="1584" xr:uid="{00000000-0005-0000-0000-000073200000}"/>
    <cellStyle name="Normal 19 4 2" xfId="4051" xr:uid="{00000000-0005-0000-0000-000074200000}"/>
    <cellStyle name="Normal 19 4 2 2" xfId="8983" xr:uid="{00000000-0005-0000-0000-000075200000}"/>
    <cellStyle name="Normal 19 4 2 2 2" xfId="18843" xr:uid="{00000000-0005-0000-0000-000076200000}"/>
    <cellStyle name="Normal 19 4 2 2 2 2" xfId="38558" xr:uid="{00000000-0005-0000-0000-000077200000}"/>
    <cellStyle name="Normal 19 4 2 2 3" xfId="28701" xr:uid="{00000000-0005-0000-0000-000078200000}"/>
    <cellStyle name="Normal 19 4 2 3" xfId="13915" xr:uid="{00000000-0005-0000-0000-000079200000}"/>
    <cellStyle name="Normal 19 4 2 3 2" xfId="33630" xr:uid="{00000000-0005-0000-0000-00007A200000}"/>
    <cellStyle name="Normal 19 4 2 4" xfId="23773" xr:uid="{00000000-0005-0000-0000-00007B200000}"/>
    <cellStyle name="Normal 19 4 3" xfId="6519" xr:uid="{00000000-0005-0000-0000-00007C200000}"/>
    <cellStyle name="Normal 19 4 3 2" xfId="16379" xr:uid="{00000000-0005-0000-0000-00007D200000}"/>
    <cellStyle name="Normal 19 4 3 2 2" xfId="36094" xr:uid="{00000000-0005-0000-0000-00007E200000}"/>
    <cellStyle name="Normal 19 4 3 3" xfId="26237" xr:uid="{00000000-0005-0000-0000-00007F200000}"/>
    <cellStyle name="Normal 19 4 4" xfId="11451" xr:uid="{00000000-0005-0000-0000-000080200000}"/>
    <cellStyle name="Normal 19 4 4 2" xfId="31166" xr:uid="{00000000-0005-0000-0000-000081200000}"/>
    <cellStyle name="Normal 19 4 5" xfId="21309" xr:uid="{00000000-0005-0000-0000-000082200000}"/>
    <cellStyle name="Normal 19 5" xfId="2819" xr:uid="{00000000-0005-0000-0000-000083200000}"/>
    <cellStyle name="Normal 19 5 2" xfId="7751" xr:uid="{00000000-0005-0000-0000-000084200000}"/>
    <cellStyle name="Normal 19 5 2 2" xfId="17611" xr:uid="{00000000-0005-0000-0000-000085200000}"/>
    <cellStyle name="Normal 19 5 2 2 2" xfId="37326" xr:uid="{00000000-0005-0000-0000-000086200000}"/>
    <cellStyle name="Normal 19 5 2 3" xfId="27469" xr:uid="{00000000-0005-0000-0000-000087200000}"/>
    <cellStyle name="Normal 19 5 3" xfId="12683" xr:uid="{00000000-0005-0000-0000-000088200000}"/>
    <cellStyle name="Normal 19 5 3 2" xfId="32398" xr:uid="{00000000-0005-0000-0000-000089200000}"/>
    <cellStyle name="Normal 19 5 4" xfId="22541" xr:uid="{00000000-0005-0000-0000-00008A200000}"/>
    <cellStyle name="Normal 19 6" xfId="5287" xr:uid="{00000000-0005-0000-0000-00008B200000}"/>
    <cellStyle name="Normal 19 6 2" xfId="15147" xr:uid="{00000000-0005-0000-0000-00008C200000}"/>
    <cellStyle name="Normal 19 6 2 2" xfId="34862" xr:uid="{00000000-0005-0000-0000-00008D200000}"/>
    <cellStyle name="Normal 19 6 3" xfId="25005" xr:uid="{00000000-0005-0000-0000-00008E200000}"/>
    <cellStyle name="Normal 19 7" xfId="10219" xr:uid="{00000000-0005-0000-0000-00008F200000}"/>
    <cellStyle name="Normal 19 7 2" xfId="29934" xr:uid="{00000000-0005-0000-0000-000090200000}"/>
    <cellStyle name="Normal 19 8" xfId="20077" xr:uid="{00000000-0005-0000-0000-000091200000}"/>
    <cellStyle name="Normal 2" xfId="6" xr:uid="{00000000-0005-0000-0000-000092200000}"/>
    <cellStyle name="Normal 2 10" xfId="661" xr:uid="{00000000-0005-0000-0000-000093200000}"/>
    <cellStyle name="Normal 2 11" xfId="1281" xr:uid="{00000000-0005-0000-0000-000094200000}"/>
    <cellStyle name="Normal 2 12" xfId="2516" xr:uid="{00000000-0005-0000-0000-000095200000}"/>
    <cellStyle name="Normal 2 13" xfId="4984" xr:uid="{00000000-0005-0000-0000-000096200000}"/>
    <cellStyle name="Normal 2 14" xfId="9916" xr:uid="{00000000-0005-0000-0000-000097200000}"/>
    <cellStyle name="Normal 2 15" xfId="19775" xr:uid="{00000000-0005-0000-0000-000098200000}"/>
    <cellStyle name="Normal 2 2" xfId="23" xr:uid="{00000000-0005-0000-0000-000099200000}"/>
    <cellStyle name="Normal 2 3" xfId="21" xr:uid="{00000000-0005-0000-0000-00009A200000}"/>
    <cellStyle name="Normal 2 4" xfId="38" xr:uid="{00000000-0005-0000-0000-00009B200000}"/>
    <cellStyle name="Normal 2 5" xfId="62" xr:uid="{00000000-0005-0000-0000-00009C200000}"/>
    <cellStyle name="Normal 2 6" xfId="105" xr:uid="{00000000-0005-0000-0000-00009D200000}"/>
    <cellStyle name="Normal 2 7" xfId="186" xr:uid="{00000000-0005-0000-0000-00009E200000}"/>
    <cellStyle name="Normal 2 8" xfId="337" xr:uid="{00000000-0005-0000-0000-00009F200000}"/>
    <cellStyle name="Normal 2 9" xfId="348" xr:uid="{00000000-0005-0000-0000-0000A0200000}"/>
    <cellStyle name="Normal 20" xfId="347" xr:uid="{00000000-0005-0000-0000-0000A1200000}"/>
    <cellStyle name="Normal 20 2" xfId="969" xr:uid="{00000000-0005-0000-0000-0000A2200000}"/>
    <cellStyle name="Normal 21" xfId="343" xr:uid="{00000000-0005-0000-0000-0000A3200000}"/>
    <cellStyle name="Normal 21 2" xfId="965" xr:uid="{00000000-0005-0000-0000-0000A4200000}"/>
    <cellStyle name="Normal 21 2 2" xfId="2201" xr:uid="{00000000-0005-0000-0000-0000A5200000}"/>
    <cellStyle name="Normal 21 2 2 2" xfId="4668" xr:uid="{00000000-0005-0000-0000-0000A6200000}"/>
    <cellStyle name="Normal 21 2 2 2 2" xfId="9600" xr:uid="{00000000-0005-0000-0000-0000A7200000}"/>
    <cellStyle name="Normal 21 2 2 2 2 2" xfId="19460" xr:uid="{00000000-0005-0000-0000-0000A8200000}"/>
    <cellStyle name="Normal 21 2 2 2 2 2 2" xfId="39175" xr:uid="{00000000-0005-0000-0000-0000A9200000}"/>
    <cellStyle name="Normal 21 2 2 2 2 3" xfId="29318" xr:uid="{00000000-0005-0000-0000-0000AA200000}"/>
    <cellStyle name="Normal 21 2 2 2 3" xfId="14532" xr:uid="{00000000-0005-0000-0000-0000AB200000}"/>
    <cellStyle name="Normal 21 2 2 2 3 2" xfId="34247" xr:uid="{00000000-0005-0000-0000-0000AC200000}"/>
    <cellStyle name="Normal 21 2 2 2 4" xfId="24390" xr:uid="{00000000-0005-0000-0000-0000AD200000}"/>
    <cellStyle name="Normal 21 2 2 3" xfId="7136" xr:uid="{00000000-0005-0000-0000-0000AE200000}"/>
    <cellStyle name="Normal 21 2 2 3 2" xfId="16996" xr:uid="{00000000-0005-0000-0000-0000AF200000}"/>
    <cellStyle name="Normal 21 2 2 3 2 2" xfId="36711" xr:uid="{00000000-0005-0000-0000-0000B0200000}"/>
    <cellStyle name="Normal 21 2 2 3 3" xfId="26854" xr:uid="{00000000-0005-0000-0000-0000B1200000}"/>
    <cellStyle name="Normal 21 2 2 4" xfId="12068" xr:uid="{00000000-0005-0000-0000-0000B2200000}"/>
    <cellStyle name="Normal 21 2 2 4 2" xfId="31783" xr:uid="{00000000-0005-0000-0000-0000B3200000}"/>
    <cellStyle name="Normal 21 2 2 5" xfId="21926" xr:uid="{00000000-0005-0000-0000-0000B4200000}"/>
    <cellStyle name="Normal 21 2 3" xfId="3436" xr:uid="{00000000-0005-0000-0000-0000B5200000}"/>
    <cellStyle name="Normal 21 2 3 2" xfId="8368" xr:uid="{00000000-0005-0000-0000-0000B6200000}"/>
    <cellStyle name="Normal 21 2 3 2 2" xfId="18228" xr:uid="{00000000-0005-0000-0000-0000B7200000}"/>
    <cellStyle name="Normal 21 2 3 2 2 2" xfId="37943" xr:uid="{00000000-0005-0000-0000-0000B8200000}"/>
    <cellStyle name="Normal 21 2 3 2 3" xfId="28086" xr:uid="{00000000-0005-0000-0000-0000B9200000}"/>
    <cellStyle name="Normal 21 2 3 3" xfId="13300" xr:uid="{00000000-0005-0000-0000-0000BA200000}"/>
    <cellStyle name="Normal 21 2 3 3 2" xfId="33015" xr:uid="{00000000-0005-0000-0000-0000BB200000}"/>
    <cellStyle name="Normal 21 2 3 4" xfId="23158" xr:uid="{00000000-0005-0000-0000-0000BC200000}"/>
    <cellStyle name="Normal 21 2 4" xfId="5904" xr:uid="{00000000-0005-0000-0000-0000BD200000}"/>
    <cellStyle name="Normal 21 2 4 2" xfId="15764" xr:uid="{00000000-0005-0000-0000-0000BE200000}"/>
    <cellStyle name="Normal 21 2 4 2 2" xfId="35479" xr:uid="{00000000-0005-0000-0000-0000BF200000}"/>
    <cellStyle name="Normal 21 2 4 3" xfId="25622" xr:uid="{00000000-0005-0000-0000-0000C0200000}"/>
    <cellStyle name="Normal 21 2 5" xfId="10836" xr:uid="{00000000-0005-0000-0000-0000C1200000}"/>
    <cellStyle name="Normal 21 2 5 2" xfId="30551" xr:uid="{00000000-0005-0000-0000-0000C2200000}"/>
    <cellStyle name="Normal 21 2 6" xfId="20694" xr:uid="{00000000-0005-0000-0000-0000C3200000}"/>
    <cellStyle name="Normal 21 3" xfId="1585" xr:uid="{00000000-0005-0000-0000-0000C4200000}"/>
    <cellStyle name="Normal 21 3 2" xfId="4052" xr:uid="{00000000-0005-0000-0000-0000C5200000}"/>
    <cellStyle name="Normal 21 3 2 2" xfId="8984" xr:uid="{00000000-0005-0000-0000-0000C6200000}"/>
    <cellStyle name="Normal 21 3 2 2 2" xfId="18844" xr:uid="{00000000-0005-0000-0000-0000C7200000}"/>
    <cellStyle name="Normal 21 3 2 2 2 2" xfId="38559" xr:uid="{00000000-0005-0000-0000-0000C8200000}"/>
    <cellStyle name="Normal 21 3 2 2 3" xfId="28702" xr:uid="{00000000-0005-0000-0000-0000C9200000}"/>
    <cellStyle name="Normal 21 3 2 3" xfId="13916" xr:uid="{00000000-0005-0000-0000-0000CA200000}"/>
    <cellStyle name="Normal 21 3 2 3 2" xfId="33631" xr:uid="{00000000-0005-0000-0000-0000CB200000}"/>
    <cellStyle name="Normal 21 3 2 4" xfId="23774" xr:uid="{00000000-0005-0000-0000-0000CC200000}"/>
    <cellStyle name="Normal 21 3 3" xfId="6520" xr:uid="{00000000-0005-0000-0000-0000CD200000}"/>
    <cellStyle name="Normal 21 3 3 2" xfId="16380" xr:uid="{00000000-0005-0000-0000-0000CE200000}"/>
    <cellStyle name="Normal 21 3 3 2 2" xfId="36095" xr:uid="{00000000-0005-0000-0000-0000CF200000}"/>
    <cellStyle name="Normal 21 3 3 3" xfId="26238" xr:uid="{00000000-0005-0000-0000-0000D0200000}"/>
    <cellStyle name="Normal 21 3 4" xfId="11452" xr:uid="{00000000-0005-0000-0000-0000D1200000}"/>
    <cellStyle name="Normal 21 3 4 2" xfId="31167" xr:uid="{00000000-0005-0000-0000-0000D2200000}"/>
    <cellStyle name="Normal 21 3 5" xfId="21310" xr:uid="{00000000-0005-0000-0000-0000D3200000}"/>
    <cellStyle name="Normal 21 4" xfId="2820" xr:uid="{00000000-0005-0000-0000-0000D4200000}"/>
    <cellStyle name="Normal 21 4 2" xfId="7752" xr:uid="{00000000-0005-0000-0000-0000D5200000}"/>
    <cellStyle name="Normal 21 4 2 2" xfId="17612" xr:uid="{00000000-0005-0000-0000-0000D6200000}"/>
    <cellStyle name="Normal 21 4 2 2 2" xfId="37327" xr:uid="{00000000-0005-0000-0000-0000D7200000}"/>
    <cellStyle name="Normal 21 4 2 3" xfId="27470" xr:uid="{00000000-0005-0000-0000-0000D8200000}"/>
    <cellStyle name="Normal 21 4 3" xfId="12684" xr:uid="{00000000-0005-0000-0000-0000D9200000}"/>
    <cellStyle name="Normal 21 4 3 2" xfId="32399" xr:uid="{00000000-0005-0000-0000-0000DA200000}"/>
    <cellStyle name="Normal 21 4 4" xfId="22542" xr:uid="{00000000-0005-0000-0000-0000DB200000}"/>
    <cellStyle name="Normal 21 5" xfId="5288" xr:uid="{00000000-0005-0000-0000-0000DC200000}"/>
    <cellStyle name="Normal 21 5 2" xfId="15148" xr:uid="{00000000-0005-0000-0000-0000DD200000}"/>
    <cellStyle name="Normal 21 5 2 2" xfId="34863" xr:uid="{00000000-0005-0000-0000-0000DE200000}"/>
    <cellStyle name="Normal 21 5 3" xfId="25006" xr:uid="{00000000-0005-0000-0000-0000DF200000}"/>
    <cellStyle name="Normal 21 6" xfId="10220" xr:uid="{00000000-0005-0000-0000-0000E0200000}"/>
    <cellStyle name="Normal 21 6 2" xfId="29935" xr:uid="{00000000-0005-0000-0000-0000E1200000}"/>
    <cellStyle name="Normal 21 7" xfId="20078" xr:uid="{00000000-0005-0000-0000-0000E2200000}"/>
    <cellStyle name="Normal 22" xfId="652" xr:uid="{00000000-0005-0000-0000-0000E3200000}"/>
    <cellStyle name="Normal 22 2" xfId="1272" xr:uid="{00000000-0005-0000-0000-0000E4200000}"/>
    <cellStyle name="Normal 22 2 2" xfId="2507" xr:uid="{00000000-0005-0000-0000-0000E5200000}"/>
    <cellStyle name="Normal 22 2 2 2" xfId="4974" xr:uid="{00000000-0005-0000-0000-0000E6200000}"/>
    <cellStyle name="Normal 22 2 2 2 2" xfId="9906" xr:uid="{00000000-0005-0000-0000-0000E7200000}"/>
    <cellStyle name="Normal 22 2 2 2 2 2" xfId="19766" xr:uid="{00000000-0005-0000-0000-0000E8200000}"/>
    <cellStyle name="Normal 22 2 2 2 2 2 2" xfId="39481" xr:uid="{00000000-0005-0000-0000-0000E9200000}"/>
    <cellStyle name="Normal 22 2 2 2 2 3" xfId="29624" xr:uid="{00000000-0005-0000-0000-0000EA200000}"/>
    <cellStyle name="Normal 22 2 2 2 3" xfId="14838" xr:uid="{00000000-0005-0000-0000-0000EB200000}"/>
    <cellStyle name="Normal 22 2 2 2 3 2" xfId="34553" xr:uid="{00000000-0005-0000-0000-0000EC200000}"/>
    <cellStyle name="Normal 22 2 2 2 4" xfId="24696" xr:uid="{00000000-0005-0000-0000-0000ED200000}"/>
    <cellStyle name="Normal 22 2 2 3" xfId="7442" xr:uid="{00000000-0005-0000-0000-0000EE200000}"/>
    <cellStyle name="Normal 22 2 2 3 2" xfId="17302" xr:uid="{00000000-0005-0000-0000-0000EF200000}"/>
    <cellStyle name="Normal 22 2 2 3 2 2" xfId="37017" xr:uid="{00000000-0005-0000-0000-0000F0200000}"/>
    <cellStyle name="Normal 22 2 2 3 3" xfId="27160" xr:uid="{00000000-0005-0000-0000-0000F1200000}"/>
    <cellStyle name="Normal 22 2 2 4" xfId="12374" xr:uid="{00000000-0005-0000-0000-0000F2200000}"/>
    <cellStyle name="Normal 22 2 2 4 2" xfId="32089" xr:uid="{00000000-0005-0000-0000-0000F3200000}"/>
    <cellStyle name="Normal 22 2 2 5" xfId="22232" xr:uid="{00000000-0005-0000-0000-0000F4200000}"/>
    <cellStyle name="Normal 22 2 3" xfId="3742" xr:uid="{00000000-0005-0000-0000-0000F5200000}"/>
    <cellStyle name="Normal 22 2 3 2" xfId="8674" xr:uid="{00000000-0005-0000-0000-0000F6200000}"/>
    <cellStyle name="Normal 22 2 3 2 2" xfId="18534" xr:uid="{00000000-0005-0000-0000-0000F7200000}"/>
    <cellStyle name="Normal 22 2 3 2 2 2" xfId="38249" xr:uid="{00000000-0005-0000-0000-0000F8200000}"/>
    <cellStyle name="Normal 22 2 3 2 3" xfId="28392" xr:uid="{00000000-0005-0000-0000-0000F9200000}"/>
    <cellStyle name="Normal 22 2 3 3" xfId="13606" xr:uid="{00000000-0005-0000-0000-0000FA200000}"/>
    <cellStyle name="Normal 22 2 3 3 2" xfId="33321" xr:uid="{00000000-0005-0000-0000-0000FB200000}"/>
    <cellStyle name="Normal 22 2 3 4" xfId="23464" xr:uid="{00000000-0005-0000-0000-0000FC200000}"/>
    <cellStyle name="Normal 22 2 4" xfId="6210" xr:uid="{00000000-0005-0000-0000-0000FD200000}"/>
    <cellStyle name="Normal 22 2 4 2" xfId="16070" xr:uid="{00000000-0005-0000-0000-0000FE200000}"/>
    <cellStyle name="Normal 22 2 4 2 2" xfId="35785" xr:uid="{00000000-0005-0000-0000-0000FF200000}"/>
    <cellStyle name="Normal 22 2 4 3" xfId="25928" xr:uid="{00000000-0005-0000-0000-000000210000}"/>
    <cellStyle name="Normal 22 2 5" xfId="11142" xr:uid="{00000000-0005-0000-0000-000001210000}"/>
    <cellStyle name="Normal 22 2 5 2" xfId="30857" xr:uid="{00000000-0005-0000-0000-000002210000}"/>
    <cellStyle name="Normal 22 2 6" xfId="21000" xr:uid="{00000000-0005-0000-0000-000003210000}"/>
    <cellStyle name="Normal 22 3" xfId="1891" xr:uid="{00000000-0005-0000-0000-000004210000}"/>
    <cellStyle name="Normal 22 3 2" xfId="4358" xr:uid="{00000000-0005-0000-0000-000005210000}"/>
    <cellStyle name="Normal 22 3 2 2" xfId="9290" xr:uid="{00000000-0005-0000-0000-000006210000}"/>
    <cellStyle name="Normal 22 3 2 2 2" xfId="19150" xr:uid="{00000000-0005-0000-0000-000007210000}"/>
    <cellStyle name="Normal 22 3 2 2 2 2" xfId="38865" xr:uid="{00000000-0005-0000-0000-000008210000}"/>
    <cellStyle name="Normal 22 3 2 2 3" xfId="29008" xr:uid="{00000000-0005-0000-0000-000009210000}"/>
    <cellStyle name="Normal 22 3 2 3" xfId="14222" xr:uid="{00000000-0005-0000-0000-00000A210000}"/>
    <cellStyle name="Normal 22 3 2 3 2" xfId="33937" xr:uid="{00000000-0005-0000-0000-00000B210000}"/>
    <cellStyle name="Normal 22 3 2 4" xfId="24080" xr:uid="{00000000-0005-0000-0000-00000C210000}"/>
    <cellStyle name="Normal 22 3 3" xfId="6826" xr:uid="{00000000-0005-0000-0000-00000D210000}"/>
    <cellStyle name="Normal 22 3 3 2" xfId="16686" xr:uid="{00000000-0005-0000-0000-00000E210000}"/>
    <cellStyle name="Normal 22 3 3 2 2" xfId="36401" xr:uid="{00000000-0005-0000-0000-00000F210000}"/>
    <cellStyle name="Normal 22 3 3 3" xfId="26544" xr:uid="{00000000-0005-0000-0000-000010210000}"/>
    <cellStyle name="Normal 22 3 4" xfId="11758" xr:uid="{00000000-0005-0000-0000-000011210000}"/>
    <cellStyle name="Normal 22 3 4 2" xfId="31473" xr:uid="{00000000-0005-0000-0000-000012210000}"/>
    <cellStyle name="Normal 22 3 5" xfId="21616" xr:uid="{00000000-0005-0000-0000-000013210000}"/>
    <cellStyle name="Normal 22 4" xfId="3126" xr:uid="{00000000-0005-0000-0000-000014210000}"/>
    <cellStyle name="Normal 22 4 2" xfId="8058" xr:uid="{00000000-0005-0000-0000-000015210000}"/>
    <cellStyle name="Normal 22 4 2 2" xfId="17918" xr:uid="{00000000-0005-0000-0000-000016210000}"/>
    <cellStyle name="Normal 22 4 2 2 2" xfId="37633" xr:uid="{00000000-0005-0000-0000-000017210000}"/>
    <cellStyle name="Normal 22 4 2 3" xfId="27776" xr:uid="{00000000-0005-0000-0000-000018210000}"/>
    <cellStyle name="Normal 22 4 3" xfId="12990" xr:uid="{00000000-0005-0000-0000-000019210000}"/>
    <cellStyle name="Normal 22 4 3 2" xfId="32705" xr:uid="{00000000-0005-0000-0000-00001A210000}"/>
    <cellStyle name="Normal 22 4 4" xfId="22848" xr:uid="{00000000-0005-0000-0000-00001B210000}"/>
    <cellStyle name="Normal 22 5" xfId="5594" xr:uid="{00000000-0005-0000-0000-00001C210000}"/>
    <cellStyle name="Normal 22 5 2" xfId="15454" xr:uid="{00000000-0005-0000-0000-00001D210000}"/>
    <cellStyle name="Normal 22 5 2 2" xfId="35169" xr:uid="{00000000-0005-0000-0000-00001E210000}"/>
    <cellStyle name="Normal 22 5 3" xfId="25312" xr:uid="{00000000-0005-0000-0000-00001F210000}"/>
    <cellStyle name="Normal 22 6" xfId="10526" xr:uid="{00000000-0005-0000-0000-000020210000}"/>
    <cellStyle name="Normal 22 6 2" xfId="30241" xr:uid="{00000000-0005-0000-0000-000021210000}"/>
    <cellStyle name="Normal 22 7" xfId="20384" xr:uid="{00000000-0005-0000-0000-000022210000}"/>
    <cellStyle name="Normal 23" xfId="660" xr:uid="{00000000-0005-0000-0000-000023210000}"/>
    <cellStyle name="Normal 24" xfId="656" xr:uid="{00000000-0005-0000-0000-000024210000}"/>
    <cellStyle name="Normal 24 2" xfId="1895" xr:uid="{00000000-0005-0000-0000-000025210000}"/>
    <cellStyle name="Normal 24 2 2" xfId="4362" xr:uid="{00000000-0005-0000-0000-000026210000}"/>
    <cellStyle name="Normal 24 2 2 2" xfId="9294" xr:uid="{00000000-0005-0000-0000-000027210000}"/>
    <cellStyle name="Normal 24 2 2 2 2" xfId="19154" xr:uid="{00000000-0005-0000-0000-000028210000}"/>
    <cellStyle name="Normal 24 2 2 2 2 2" xfId="38869" xr:uid="{00000000-0005-0000-0000-000029210000}"/>
    <cellStyle name="Normal 24 2 2 2 3" xfId="29012" xr:uid="{00000000-0005-0000-0000-00002A210000}"/>
    <cellStyle name="Normal 24 2 2 3" xfId="14226" xr:uid="{00000000-0005-0000-0000-00002B210000}"/>
    <cellStyle name="Normal 24 2 2 3 2" xfId="33941" xr:uid="{00000000-0005-0000-0000-00002C210000}"/>
    <cellStyle name="Normal 24 2 2 4" xfId="24084" xr:uid="{00000000-0005-0000-0000-00002D210000}"/>
    <cellStyle name="Normal 24 2 3" xfId="6830" xr:uid="{00000000-0005-0000-0000-00002E210000}"/>
    <cellStyle name="Normal 24 2 3 2" xfId="16690" xr:uid="{00000000-0005-0000-0000-00002F210000}"/>
    <cellStyle name="Normal 24 2 3 2 2" xfId="36405" xr:uid="{00000000-0005-0000-0000-000030210000}"/>
    <cellStyle name="Normal 24 2 3 3" xfId="26548" xr:uid="{00000000-0005-0000-0000-000031210000}"/>
    <cellStyle name="Normal 24 2 4" xfId="11762" xr:uid="{00000000-0005-0000-0000-000032210000}"/>
    <cellStyle name="Normal 24 2 4 2" xfId="31477" xr:uid="{00000000-0005-0000-0000-000033210000}"/>
    <cellStyle name="Normal 24 2 5" xfId="21620" xr:uid="{00000000-0005-0000-0000-000034210000}"/>
    <cellStyle name="Normal 24 3" xfId="3130" xr:uid="{00000000-0005-0000-0000-000035210000}"/>
    <cellStyle name="Normal 24 3 2" xfId="8062" xr:uid="{00000000-0005-0000-0000-000036210000}"/>
    <cellStyle name="Normal 24 3 2 2" xfId="17922" xr:uid="{00000000-0005-0000-0000-000037210000}"/>
    <cellStyle name="Normal 24 3 2 2 2" xfId="37637" xr:uid="{00000000-0005-0000-0000-000038210000}"/>
    <cellStyle name="Normal 24 3 2 3" xfId="27780" xr:uid="{00000000-0005-0000-0000-000039210000}"/>
    <cellStyle name="Normal 24 3 3" xfId="12994" xr:uid="{00000000-0005-0000-0000-00003A210000}"/>
    <cellStyle name="Normal 24 3 3 2" xfId="32709" xr:uid="{00000000-0005-0000-0000-00003B210000}"/>
    <cellStyle name="Normal 24 3 4" xfId="22852" xr:uid="{00000000-0005-0000-0000-00003C210000}"/>
    <cellStyle name="Normal 24 4" xfId="5598" xr:uid="{00000000-0005-0000-0000-00003D210000}"/>
    <cellStyle name="Normal 24 4 2" xfId="15458" xr:uid="{00000000-0005-0000-0000-00003E210000}"/>
    <cellStyle name="Normal 24 4 2 2" xfId="35173" xr:uid="{00000000-0005-0000-0000-00003F210000}"/>
    <cellStyle name="Normal 24 4 3" xfId="25316" xr:uid="{00000000-0005-0000-0000-000040210000}"/>
    <cellStyle name="Normal 24 5" xfId="10530" xr:uid="{00000000-0005-0000-0000-000041210000}"/>
    <cellStyle name="Normal 24 5 2" xfId="30245" xr:uid="{00000000-0005-0000-0000-000042210000}"/>
    <cellStyle name="Normal 24 6" xfId="20388" xr:uid="{00000000-0005-0000-0000-000043210000}"/>
    <cellStyle name="Normal 25" xfId="1280" xr:uid="{00000000-0005-0000-0000-000044210000}"/>
    <cellStyle name="Normal 26" xfId="1276" xr:uid="{00000000-0005-0000-0000-000045210000}"/>
    <cellStyle name="Normal 26 2" xfId="3746" xr:uid="{00000000-0005-0000-0000-000046210000}"/>
    <cellStyle name="Normal 26 2 2" xfId="8678" xr:uid="{00000000-0005-0000-0000-000047210000}"/>
    <cellStyle name="Normal 26 2 2 2" xfId="18538" xr:uid="{00000000-0005-0000-0000-000048210000}"/>
    <cellStyle name="Normal 26 2 2 2 2" xfId="38253" xr:uid="{00000000-0005-0000-0000-000049210000}"/>
    <cellStyle name="Normal 26 2 2 3" xfId="28396" xr:uid="{00000000-0005-0000-0000-00004A210000}"/>
    <cellStyle name="Normal 26 2 3" xfId="13610" xr:uid="{00000000-0005-0000-0000-00004B210000}"/>
    <cellStyle name="Normal 26 2 3 2" xfId="33325" xr:uid="{00000000-0005-0000-0000-00004C210000}"/>
    <cellStyle name="Normal 26 2 4" xfId="23468" xr:uid="{00000000-0005-0000-0000-00004D210000}"/>
    <cellStyle name="Normal 26 3" xfId="6214" xr:uid="{00000000-0005-0000-0000-00004E210000}"/>
    <cellStyle name="Normal 26 3 2" xfId="16074" xr:uid="{00000000-0005-0000-0000-00004F210000}"/>
    <cellStyle name="Normal 26 3 2 2" xfId="35789" xr:uid="{00000000-0005-0000-0000-000050210000}"/>
    <cellStyle name="Normal 26 3 3" xfId="25932" xr:uid="{00000000-0005-0000-0000-000051210000}"/>
    <cellStyle name="Normal 26 4" xfId="11146" xr:uid="{00000000-0005-0000-0000-000052210000}"/>
    <cellStyle name="Normal 26 4 2" xfId="30861" xr:uid="{00000000-0005-0000-0000-000053210000}"/>
    <cellStyle name="Normal 26 5" xfId="21004" xr:uid="{00000000-0005-0000-0000-000054210000}"/>
    <cellStyle name="Normal 27" xfId="2515" xr:uid="{00000000-0005-0000-0000-000055210000}"/>
    <cellStyle name="Normal 27 2" xfId="4978" xr:uid="{00000000-0005-0000-0000-000056210000}"/>
    <cellStyle name="Normal 28" xfId="2511" xr:uid="{00000000-0005-0000-0000-000057210000}"/>
    <cellStyle name="Normal 28 2" xfId="7446" xr:uid="{00000000-0005-0000-0000-000058210000}"/>
    <cellStyle name="Normal 28 2 2" xfId="17306" xr:uid="{00000000-0005-0000-0000-000059210000}"/>
    <cellStyle name="Normal 28 2 2 2" xfId="37021" xr:uid="{00000000-0005-0000-0000-00005A210000}"/>
    <cellStyle name="Normal 28 2 3" xfId="27164" xr:uid="{00000000-0005-0000-0000-00005B210000}"/>
    <cellStyle name="Normal 28 3" xfId="12378" xr:uid="{00000000-0005-0000-0000-00005C210000}"/>
    <cellStyle name="Normal 28 3 2" xfId="32093" xr:uid="{00000000-0005-0000-0000-00005D210000}"/>
    <cellStyle name="Normal 28 4" xfId="22236" xr:uid="{00000000-0005-0000-0000-00005E210000}"/>
    <cellStyle name="Normal 29" xfId="4979" xr:uid="{00000000-0005-0000-0000-00005F210000}"/>
    <cellStyle name="Normal 29 2" xfId="14842" xr:uid="{00000000-0005-0000-0000-000060210000}"/>
    <cellStyle name="Normal 29 2 2" xfId="34557" xr:uid="{00000000-0005-0000-0000-000061210000}"/>
    <cellStyle name="Normal 29 3" xfId="24700" xr:uid="{00000000-0005-0000-0000-000062210000}"/>
    <cellStyle name="Normal 3" xfId="11" xr:uid="{00000000-0005-0000-0000-000063210000}"/>
    <cellStyle name="Normal 3 2" xfId="39491" xr:uid="{00000000-0005-0000-0000-000064210000}"/>
    <cellStyle name="Normal 30" xfId="4983" xr:uid="{00000000-0005-0000-0000-000065210000}"/>
    <cellStyle name="Normal 30 2" xfId="9910" xr:uid="{00000000-0005-0000-0000-000066210000}"/>
    <cellStyle name="Normal 31" xfId="9915" xr:uid="{00000000-0005-0000-0000-000067210000}"/>
    <cellStyle name="Normal 31 2" xfId="29632" xr:uid="{00000000-0005-0000-0000-000068210000}"/>
    <cellStyle name="Normal 32" xfId="9911" xr:uid="{00000000-0005-0000-0000-000069210000}"/>
    <cellStyle name="Normal 32 2" xfId="29628" xr:uid="{00000000-0005-0000-0000-00006A210000}"/>
    <cellStyle name="Normal 33" xfId="19774" xr:uid="{00000000-0005-0000-0000-00006B210000}"/>
    <cellStyle name="Normal 34" xfId="19770" xr:uid="{00000000-0005-0000-0000-00006C210000}"/>
    <cellStyle name="Normal 35" xfId="39485" xr:uid="{00000000-0005-0000-0000-00006D210000}"/>
    <cellStyle name="Normal 36" xfId="39486" xr:uid="{00000000-0005-0000-0000-00006E210000}"/>
    <cellStyle name="Normal 37" xfId="39493" xr:uid="{00000000-0005-0000-0000-00006F210000}"/>
    <cellStyle name="Normal 38" xfId="39494" xr:uid="{00000000-0005-0000-0000-000070210000}"/>
    <cellStyle name="Normal 4" xfId="5" xr:uid="{00000000-0005-0000-0000-000071210000}"/>
    <cellStyle name="Normal 4 2" xfId="9" xr:uid="{00000000-0005-0000-0000-000072210000}"/>
    <cellStyle name="Normal 5" xfId="10" xr:uid="{00000000-0005-0000-0000-000073210000}"/>
    <cellStyle name="Normal 5 10" xfId="662" xr:uid="{00000000-0005-0000-0000-000074210000}"/>
    <cellStyle name="Normal 5 10 2" xfId="1899" xr:uid="{00000000-0005-0000-0000-000075210000}"/>
    <cellStyle name="Normal 5 10 2 2" xfId="4366" xr:uid="{00000000-0005-0000-0000-000076210000}"/>
    <cellStyle name="Normal 5 10 2 2 2" xfId="9298" xr:uid="{00000000-0005-0000-0000-000077210000}"/>
    <cellStyle name="Normal 5 10 2 2 2 2" xfId="19158" xr:uid="{00000000-0005-0000-0000-000078210000}"/>
    <cellStyle name="Normal 5 10 2 2 2 2 2" xfId="38873" xr:uid="{00000000-0005-0000-0000-000079210000}"/>
    <cellStyle name="Normal 5 10 2 2 2 3" xfId="29016" xr:uid="{00000000-0005-0000-0000-00007A210000}"/>
    <cellStyle name="Normal 5 10 2 2 3" xfId="14230" xr:uid="{00000000-0005-0000-0000-00007B210000}"/>
    <cellStyle name="Normal 5 10 2 2 3 2" xfId="33945" xr:uid="{00000000-0005-0000-0000-00007C210000}"/>
    <cellStyle name="Normal 5 10 2 2 4" xfId="24088" xr:uid="{00000000-0005-0000-0000-00007D210000}"/>
    <cellStyle name="Normal 5 10 2 3" xfId="6834" xr:uid="{00000000-0005-0000-0000-00007E210000}"/>
    <cellStyle name="Normal 5 10 2 3 2" xfId="16694" xr:uid="{00000000-0005-0000-0000-00007F210000}"/>
    <cellStyle name="Normal 5 10 2 3 2 2" xfId="36409" xr:uid="{00000000-0005-0000-0000-000080210000}"/>
    <cellStyle name="Normal 5 10 2 3 3" xfId="26552" xr:uid="{00000000-0005-0000-0000-000081210000}"/>
    <cellStyle name="Normal 5 10 2 4" xfId="11766" xr:uid="{00000000-0005-0000-0000-000082210000}"/>
    <cellStyle name="Normal 5 10 2 4 2" xfId="31481" xr:uid="{00000000-0005-0000-0000-000083210000}"/>
    <cellStyle name="Normal 5 10 2 5" xfId="21624" xr:uid="{00000000-0005-0000-0000-000084210000}"/>
    <cellStyle name="Normal 5 10 3" xfId="3134" xr:uid="{00000000-0005-0000-0000-000085210000}"/>
    <cellStyle name="Normal 5 10 3 2" xfId="8066" xr:uid="{00000000-0005-0000-0000-000086210000}"/>
    <cellStyle name="Normal 5 10 3 2 2" xfId="17926" xr:uid="{00000000-0005-0000-0000-000087210000}"/>
    <cellStyle name="Normal 5 10 3 2 2 2" xfId="37641" xr:uid="{00000000-0005-0000-0000-000088210000}"/>
    <cellStyle name="Normal 5 10 3 2 3" xfId="27784" xr:uid="{00000000-0005-0000-0000-000089210000}"/>
    <cellStyle name="Normal 5 10 3 3" xfId="12998" xr:uid="{00000000-0005-0000-0000-00008A210000}"/>
    <cellStyle name="Normal 5 10 3 3 2" xfId="32713" xr:uid="{00000000-0005-0000-0000-00008B210000}"/>
    <cellStyle name="Normal 5 10 3 4" xfId="22856" xr:uid="{00000000-0005-0000-0000-00008C210000}"/>
    <cellStyle name="Normal 5 10 4" xfId="5602" xr:uid="{00000000-0005-0000-0000-00008D210000}"/>
    <cellStyle name="Normal 5 10 4 2" xfId="15462" xr:uid="{00000000-0005-0000-0000-00008E210000}"/>
    <cellStyle name="Normal 5 10 4 2 2" xfId="35177" xr:uid="{00000000-0005-0000-0000-00008F210000}"/>
    <cellStyle name="Normal 5 10 4 3" xfId="25320" xr:uid="{00000000-0005-0000-0000-000090210000}"/>
    <cellStyle name="Normal 5 10 5" xfId="10534" xr:uid="{00000000-0005-0000-0000-000091210000}"/>
    <cellStyle name="Normal 5 10 5 2" xfId="30249" xr:uid="{00000000-0005-0000-0000-000092210000}"/>
    <cellStyle name="Normal 5 10 6" xfId="20392" xr:uid="{00000000-0005-0000-0000-000093210000}"/>
    <cellStyle name="Normal 5 11" xfId="1282" xr:uid="{00000000-0005-0000-0000-000094210000}"/>
    <cellStyle name="Normal 5 11 2" xfId="3750" xr:uid="{00000000-0005-0000-0000-000095210000}"/>
    <cellStyle name="Normal 5 11 2 2" xfId="8682" xr:uid="{00000000-0005-0000-0000-000096210000}"/>
    <cellStyle name="Normal 5 11 2 2 2" xfId="18542" xr:uid="{00000000-0005-0000-0000-000097210000}"/>
    <cellStyle name="Normal 5 11 2 2 2 2" xfId="38257" xr:uid="{00000000-0005-0000-0000-000098210000}"/>
    <cellStyle name="Normal 5 11 2 2 3" xfId="28400" xr:uid="{00000000-0005-0000-0000-000099210000}"/>
    <cellStyle name="Normal 5 11 2 3" xfId="13614" xr:uid="{00000000-0005-0000-0000-00009A210000}"/>
    <cellStyle name="Normal 5 11 2 3 2" xfId="33329" xr:uid="{00000000-0005-0000-0000-00009B210000}"/>
    <cellStyle name="Normal 5 11 2 4" xfId="23472" xr:uid="{00000000-0005-0000-0000-00009C210000}"/>
    <cellStyle name="Normal 5 11 3" xfId="6218" xr:uid="{00000000-0005-0000-0000-00009D210000}"/>
    <cellStyle name="Normal 5 11 3 2" xfId="16078" xr:uid="{00000000-0005-0000-0000-00009E210000}"/>
    <cellStyle name="Normal 5 11 3 2 2" xfId="35793" xr:uid="{00000000-0005-0000-0000-00009F210000}"/>
    <cellStyle name="Normal 5 11 3 3" xfId="25936" xr:uid="{00000000-0005-0000-0000-0000A0210000}"/>
    <cellStyle name="Normal 5 11 4" xfId="11150" xr:uid="{00000000-0005-0000-0000-0000A1210000}"/>
    <cellStyle name="Normal 5 11 4 2" xfId="30865" xr:uid="{00000000-0005-0000-0000-0000A2210000}"/>
    <cellStyle name="Normal 5 11 5" xfId="21008" xr:uid="{00000000-0005-0000-0000-0000A3210000}"/>
    <cellStyle name="Normal 5 12" xfId="2517" xr:uid="{00000000-0005-0000-0000-0000A4210000}"/>
    <cellStyle name="Normal 5 12 2" xfId="7450" xr:uid="{00000000-0005-0000-0000-0000A5210000}"/>
    <cellStyle name="Normal 5 12 2 2" xfId="17310" xr:uid="{00000000-0005-0000-0000-0000A6210000}"/>
    <cellStyle name="Normal 5 12 2 2 2" xfId="37025" xr:uid="{00000000-0005-0000-0000-0000A7210000}"/>
    <cellStyle name="Normal 5 12 2 3" xfId="27168" xr:uid="{00000000-0005-0000-0000-0000A8210000}"/>
    <cellStyle name="Normal 5 12 3" xfId="12382" xr:uid="{00000000-0005-0000-0000-0000A9210000}"/>
    <cellStyle name="Normal 5 12 3 2" xfId="32097" xr:uid="{00000000-0005-0000-0000-0000AA210000}"/>
    <cellStyle name="Normal 5 12 4" xfId="22240" xr:uid="{00000000-0005-0000-0000-0000AB210000}"/>
    <cellStyle name="Normal 5 13" xfId="4985" xr:uid="{00000000-0005-0000-0000-0000AC210000}"/>
    <cellStyle name="Normal 5 13 2" xfId="14846" xr:uid="{00000000-0005-0000-0000-0000AD210000}"/>
    <cellStyle name="Normal 5 13 2 2" xfId="34561" xr:uid="{00000000-0005-0000-0000-0000AE210000}"/>
    <cellStyle name="Normal 5 13 3" xfId="24704" xr:uid="{00000000-0005-0000-0000-0000AF210000}"/>
    <cellStyle name="Normal 5 14" xfId="9917" xr:uid="{00000000-0005-0000-0000-0000B0210000}"/>
    <cellStyle name="Normal 5 14 2" xfId="29633" xr:uid="{00000000-0005-0000-0000-0000B1210000}"/>
    <cellStyle name="Normal 5 15" xfId="19776" xr:uid="{00000000-0005-0000-0000-0000B2210000}"/>
    <cellStyle name="Normal 5 2" xfId="14" xr:uid="{00000000-0005-0000-0000-0000B3210000}"/>
    <cellStyle name="Normal 5 2 10" xfId="2520" xr:uid="{00000000-0005-0000-0000-0000B4210000}"/>
    <cellStyle name="Normal 5 2 10 2" xfId="7453" xr:uid="{00000000-0005-0000-0000-0000B5210000}"/>
    <cellStyle name="Normal 5 2 10 2 2" xfId="17313" xr:uid="{00000000-0005-0000-0000-0000B6210000}"/>
    <cellStyle name="Normal 5 2 10 2 2 2" xfId="37028" xr:uid="{00000000-0005-0000-0000-0000B7210000}"/>
    <cellStyle name="Normal 5 2 10 2 3" xfId="27171" xr:uid="{00000000-0005-0000-0000-0000B8210000}"/>
    <cellStyle name="Normal 5 2 10 3" xfId="12385" xr:uid="{00000000-0005-0000-0000-0000B9210000}"/>
    <cellStyle name="Normal 5 2 10 3 2" xfId="32100" xr:uid="{00000000-0005-0000-0000-0000BA210000}"/>
    <cellStyle name="Normal 5 2 10 4" xfId="22243" xr:uid="{00000000-0005-0000-0000-0000BB210000}"/>
    <cellStyle name="Normal 5 2 11" xfId="4988" xr:uid="{00000000-0005-0000-0000-0000BC210000}"/>
    <cellStyle name="Normal 5 2 11 2" xfId="14849" xr:uid="{00000000-0005-0000-0000-0000BD210000}"/>
    <cellStyle name="Normal 5 2 11 2 2" xfId="34564" xr:uid="{00000000-0005-0000-0000-0000BE210000}"/>
    <cellStyle name="Normal 5 2 11 3" xfId="24707" xr:uid="{00000000-0005-0000-0000-0000BF210000}"/>
    <cellStyle name="Normal 5 2 12" xfId="9920" xr:uid="{00000000-0005-0000-0000-0000C0210000}"/>
    <cellStyle name="Normal 5 2 12 2" xfId="29636" xr:uid="{00000000-0005-0000-0000-0000C1210000}"/>
    <cellStyle name="Normal 5 2 13" xfId="19779" xr:uid="{00000000-0005-0000-0000-0000C2210000}"/>
    <cellStyle name="Normal 5 2 2" xfId="27" xr:uid="{00000000-0005-0000-0000-0000C3210000}"/>
    <cellStyle name="Normal 5 2 2 10" xfId="4998" xr:uid="{00000000-0005-0000-0000-0000C4210000}"/>
    <cellStyle name="Normal 5 2 2 10 2" xfId="14858" xr:uid="{00000000-0005-0000-0000-0000C5210000}"/>
    <cellStyle name="Normal 5 2 2 10 2 2" xfId="34573" xr:uid="{00000000-0005-0000-0000-0000C6210000}"/>
    <cellStyle name="Normal 5 2 2 10 3" xfId="24716" xr:uid="{00000000-0005-0000-0000-0000C7210000}"/>
    <cellStyle name="Normal 5 2 2 11" xfId="9930" xr:uid="{00000000-0005-0000-0000-0000C8210000}"/>
    <cellStyle name="Normal 5 2 2 11 2" xfId="29645" xr:uid="{00000000-0005-0000-0000-0000C9210000}"/>
    <cellStyle name="Normal 5 2 2 12" xfId="19788" xr:uid="{00000000-0005-0000-0000-0000CA210000}"/>
    <cellStyle name="Normal 5 2 2 2" xfId="52" xr:uid="{00000000-0005-0000-0000-0000CB210000}"/>
    <cellStyle name="Normal 5 2 2 2 10" xfId="9949" xr:uid="{00000000-0005-0000-0000-0000CC210000}"/>
    <cellStyle name="Normal 5 2 2 2 10 2" xfId="29664" xr:uid="{00000000-0005-0000-0000-0000CD210000}"/>
    <cellStyle name="Normal 5 2 2 2 11" xfId="19807" xr:uid="{00000000-0005-0000-0000-0000CE210000}"/>
    <cellStyle name="Normal 5 2 2 2 2" xfId="95" xr:uid="{00000000-0005-0000-0000-0000CF210000}"/>
    <cellStyle name="Normal 5 2 2 2 2 10" xfId="19845" xr:uid="{00000000-0005-0000-0000-0000D0210000}"/>
    <cellStyle name="Normal 5 2 2 2 2 2" xfId="176" xr:uid="{00000000-0005-0000-0000-0000D1210000}"/>
    <cellStyle name="Normal 5 2 2 2 2 2 2" xfId="333" xr:uid="{00000000-0005-0000-0000-0000D2210000}"/>
    <cellStyle name="Normal 5 2 2 2 2 2 2 2" xfId="647" xr:uid="{00000000-0005-0000-0000-0000D3210000}"/>
    <cellStyle name="Normal 5 2 2 2 2 2 2 2 2" xfId="1267" xr:uid="{00000000-0005-0000-0000-0000D4210000}"/>
    <cellStyle name="Normal 5 2 2 2 2 2 2 2 2 2" xfId="2502" xr:uid="{00000000-0005-0000-0000-0000D5210000}"/>
    <cellStyle name="Normal 5 2 2 2 2 2 2 2 2 2 2" xfId="4969" xr:uid="{00000000-0005-0000-0000-0000D6210000}"/>
    <cellStyle name="Normal 5 2 2 2 2 2 2 2 2 2 2 2" xfId="9901" xr:uid="{00000000-0005-0000-0000-0000D7210000}"/>
    <cellStyle name="Normal 5 2 2 2 2 2 2 2 2 2 2 2 2" xfId="19761" xr:uid="{00000000-0005-0000-0000-0000D8210000}"/>
    <cellStyle name="Normal 5 2 2 2 2 2 2 2 2 2 2 2 2 2" xfId="39476" xr:uid="{00000000-0005-0000-0000-0000D9210000}"/>
    <cellStyle name="Normal 5 2 2 2 2 2 2 2 2 2 2 2 3" xfId="29619" xr:uid="{00000000-0005-0000-0000-0000DA210000}"/>
    <cellStyle name="Normal 5 2 2 2 2 2 2 2 2 2 2 3" xfId="14833" xr:uid="{00000000-0005-0000-0000-0000DB210000}"/>
    <cellStyle name="Normal 5 2 2 2 2 2 2 2 2 2 2 3 2" xfId="34548" xr:uid="{00000000-0005-0000-0000-0000DC210000}"/>
    <cellStyle name="Normal 5 2 2 2 2 2 2 2 2 2 2 4" xfId="24691" xr:uid="{00000000-0005-0000-0000-0000DD210000}"/>
    <cellStyle name="Normal 5 2 2 2 2 2 2 2 2 2 3" xfId="7437" xr:uid="{00000000-0005-0000-0000-0000DE210000}"/>
    <cellStyle name="Normal 5 2 2 2 2 2 2 2 2 2 3 2" xfId="17297" xr:uid="{00000000-0005-0000-0000-0000DF210000}"/>
    <cellStyle name="Normal 5 2 2 2 2 2 2 2 2 2 3 2 2" xfId="37012" xr:uid="{00000000-0005-0000-0000-0000E0210000}"/>
    <cellStyle name="Normal 5 2 2 2 2 2 2 2 2 2 3 3" xfId="27155" xr:uid="{00000000-0005-0000-0000-0000E1210000}"/>
    <cellStyle name="Normal 5 2 2 2 2 2 2 2 2 2 4" xfId="12369" xr:uid="{00000000-0005-0000-0000-0000E2210000}"/>
    <cellStyle name="Normal 5 2 2 2 2 2 2 2 2 2 4 2" xfId="32084" xr:uid="{00000000-0005-0000-0000-0000E3210000}"/>
    <cellStyle name="Normal 5 2 2 2 2 2 2 2 2 2 5" xfId="22227" xr:uid="{00000000-0005-0000-0000-0000E4210000}"/>
    <cellStyle name="Normal 5 2 2 2 2 2 2 2 2 3" xfId="3737" xr:uid="{00000000-0005-0000-0000-0000E5210000}"/>
    <cellStyle name="Normal 5 2 2 2 2 2 2 2 2 3 2" xfId="8669" xr:uid="{00000000-0005-0000-0000-0000E6210000}"/>
    <cellStyle name="Normal 5 2 2 2 2 2 2 2 2 3 2 2" xfId="18529" xr:uid="{00000000-0005-0000-0000-0000E7210000}"/>
    <cellStyle name="Normal 5 2 2 2 2 2 2 2 2 3 2 2 2" xfId="38244" xr:uid="{00000000-0005-0000-0000-0000E8210000}"/>
    <cellStyle name="Normal 5 2 2 2 2 2 2 2 2 3 2 3" xfId="28387" xr:uid="{00000000-0005-0000-0000-0000E9210000}"/>
    <cellStyle name="Normal 5 2 2 2 2 2 2 2 2 3 3" xfId="13601" xr:uid="{00000000-0005-0000-0000-0000EA210000}"/>
    <cellStyle name="Normal 5 2 2 2 2 2 2 2 2 3 3 2" xfId="33316" xr:uid="{00000000-0005-0000-0000-0000EB210000}"/>
    <cellStyle name="Normal 5 2 2 2 2 2 2 2 2 3 4" xfId="23459" xr:uid="{00000000-0005-0000-0000-0000EC210000}"/>
    <cellStyle name="Normal 5 2 2 2 2 2 2 2 2 4" xfId="6205" xr:uid="{00000000-0005-0000-0000-0000ED210000}"/>
    <cellStyle name="Normal 5 2 2 2 2 2 2 2 2 4 2" xfId="16065" xr:uid="{00000000-0005-0000-0000-0000EE210000}"/>
    <cellStyle name="Normal 5 2 2 2 2 2 2 2 2 4 2 2" xfId="35780" xr:uid="{00000000-0005-0000-0000-0000EF210000}"/>
    <cellStyle name="Normal 5 2 2 2 2 2 2 2 2 4 3" xfId="25923" xr:uid="{00000000-0005-0000-0000-0000F0210000}"/>
    <cellStyle name="Normal 5 2 2 2 2 2 2 2 2 5" xfId="11137" xr:uid="{00000000-0005-0000-0000-0000F1210000}"/>
    <cellStyle name="Normal 5 2 2 2 2 2 2 2 2 5 2" xfId="30852" xr:uid="{00000000-0005-0000-0000-0000F2210000}"/>
    <cellStyle name="Normal 5 2 2 2 2 2 2 2 2 6" xfId="20995" xr:uid="{00000000-0005-0000-0000-0000F3210000}"/>
    <cellStyle name="Normal 5 2 2 2 2 2 2 2 3" xfId="1886" xr:uid="{00000000-0005-0000-0000-0000F4210000}"/>
    <cellStyle name="Normal 5 2 2 2 2 2 2 2 3 2" xfId="4353" xr:uid="{00000000-0005-0000-0000-0000F5210000}"/>
    <cellStyle name="Normal 5 2 2 2 2 2 2 2 3 2 2" xfId="9285" xr:uid="{00000000-0005-0000-0000-0000F6210000}"/>
    <cellStyle name="Normal 5 2 2 2 2 2 2 2 3 2 2 2" xfId="19145" xr:uid="{00000000-0005-0000-0000-0000F7210000}"/>
    <cellStyle name="Normal 5 2 2 2 2 2 2 2 3 2 2 2 2" xfId="38860" xr:uid="{00000000-0005-0000-0000-0000F8210000}"/>
    <cellStyle name="Normal 5 2 2 2 2 2 2 2 3 2 2 3" xfId="29003" xr:uid="{00000000-0005-0000-0000-0000F9210000}"/>
    <cellStyle name="Normal 5 2 2 2 2 2 2 2 3 2 3" xfId="14217" xr:uid="{00000000-0005-0000-0000-0000FA210000}"/>
    <cellStyle name="Normal 5 2 2 2 2 2 2 2 3 2 3 2" xfId="33932" xr:uid="{00000000-0005-0000-0000-0000FB210000}"/>
    <cellStyle name="Normal 5 2 2 2 2 2 2 2 3 2 4" xfId="24075" xr:uid="{00000000-0005-0000-0000-0000FC210000}"/>
    <cellStyle name="Normal 5 2 2 2 2 2 2 2 3 3" xfId="6821" xr:uid="{00000000-0005-0000-0000-0000FD210000}"/>
    <cellStyle name="Normal 5 2 2 2 2 2 2 2 3 3 2" xfId="16681" xr:uid="{00000000-0005-0000-0000-0000FE210000}"/>
    <cellStyle name="Normal 5 2 2 2 2 2 2 2 3 3 2 2" xfId="36396" xr:uid="{00000000-0005-0000-0000-0000FF210000}"/>
    <cellStyle name="Normal 5 2 2 2 2 2 2 2 3 3 3" xfId="26539" xr:uid="{00000000-0005-0000-0000-000000220000}"/>
    <cellStyle name="Normal 5 2 2 2 2 2 2 2 3 4" xfId="11753" xr:uid="{00000000-0005-0000-0000-000001220000}"/>
    <cellStyle name="Normal 5 2 2 2 2 2 2 2 3 4 2" xfId="31468" xr:uid="{00000000-0005-0000-0000-000002220000}"/>
    <cellStyle name="Normal 5 2 2 2 2 2 2 2 3 5" xfId="21611" xr:uid="{00000000-0005-0000-0000-000003220000}"/>
    <cellStyle name="Normal 5 2 2 2 2 2 2 2 4" xfId="3121" xr:uid="{00000000-0005-0000-0000-000004220000}"/>
    <cellStyle name="Normal 5 2 2 2 2 2 2 2 4 2" xfId="8053" xr:uid="{00000000-0005-0000-0000-000005220000}"/>
    <cellStyle name="Normal 5 2 2 2 2 2 2 2 4 2 2" xfId="17913" xr:uid="{00000000-0005-0000-0000-000006220000}"/>
    <cellStyle name="Normal 5 2 2 2 2 2 2 2 4 2 2 2" xfId="37628" xr:uid="{00000000-0005-0000-0000-000007220000}"/>
    <cellStyle name="Normal 5 2 2 2 2 2 2 2 4 2 3" xfId="27771" xr:uid="{00000000-0005-0000-0000-000008220000}"/>
    <cellStyle name="Normal 5 2 2 2 2 2 2 2 4 3" xfId="12985" xr:uid="{00000000-0005-0000-0000-000009220000}"/>
    <cellStyle name="Normal 5 2 2 2 2 2 2 2 4 3 2" xfId="32700" xr:uid="{00000000-0005-0000-0000-00000A220000}"/>
    <cellStyle name="Normal 5 2 2 2 2 2 2 2 4 4" xfId="22843" xr:uid="{00000000-0005-0000-0000-00000B220000}"/>
    <cellStyle name="Normal 5 2 2 2 2 2 2 2 5" xfId="5589" xr:uid="{00000000-0005-0000-0000-00000C220000}"/>
    <cellStyle name="Normal 5 2 2 2 2 2 2 2 5 2" xfId="15449" xr:uid="{00000000-0005-0000-0000-00000D220000}"/>
    <cellStyle name="Normal 5 2 2 2 2 2 2 2 5 2 2" xfId="35164" xr:uid="{00000000-0005-0000-0000-00000E220000}"/>
    <cellStyle name="Normal 5 2 2 2 2 2 2 2 5 3" xfId="25307" xr:uid="{00000000-0005-0000-0000-00000F220000}"/>
    <cellStyle name="Normal 5 2 2 2 2 2 2 2 6" xfId="10521" xr:uid="{00000000-0005-0000-0000-000010220000}"/>
    <cellStyle name="Normal 5 2 2 2 2 2 2 2 6 2" xfId="30236" xr:uid="{00000000-0005-0000-0000-000011220000}"/>
    <cellStyle name="Normal 5 2 2 2 2 2 2 2 7" xfId="20379" xr:uid="{00000000-0005-0000-0000-000012220000}"/>
    <cellStyle name="Normal 5 2 2 2 2 2 2 3" xfId="960" xr:uid="{00000000-0005-0000-0000-000013220000}"/>
    <cellStyle name="Normal 5 2 2 2 2 2 2 3 2" xfId="2196" xr:uid="{00000000-0005-0000-0000-000014220000}"/>
    <cellStyle name="Normal 5 2 2 2 2 2 2 3 2 2" xfId="4663" xr:uid="{00000000-0005-0000-0000-000015220000}"/>
    <cellStyle name="Normal 5 2 2 2 2 2 2 3 2 2 2" xfId="9595" xr:uid="{00000000-0005-0000-0000-000016220000}"/>
    <cellStyle name="Normal 5 2 2 2 2 2 2 3 2 2 2 2" xfId="19455" xr:uid="{00000000-0005-0000-0000-000017220000}"/>
    <cellStyle name="Normal 5 2 2 2 2 2 2 3 2 2 2 2 2" xfId="39170" xr:uid="{00000000-0005-0000-0000-000018220000}"/>
    <cellStyle name="Normal 5 2 2 2 2 2 2 3 2 2 2 3" xfId="29313" xr:uid="{00000000-0005-0000-0000-000019220000}"/>
    <cellStyle name="Normal 5 2 2 2 2 2 2 3 2 2 3" xfId="14527" xr:uid="{00000000-0005-0000-0000-00001A220000}"/>
    <cellStyle name="Normal 5 2 2 2 2 2 2 3 2 2 3 2" xfId="34242" xr:uid="{00000000-0005-0000-0000-00001B220000}"/>
    <cellStyle name="Normal 5 2 2 2 2 2 2 3 2 2 4" xfId="24385" xr:uid="{00000000-0005-0000-0000-00001C220000}"/>
    <cellStyle name="Normal 5 2 2 2 2 2 2 3 2 3" xfId="7131" xr:uid="{00000000-0005-0000-0000-00001D220000}"/>
    <cellStyle name="Normal 5 2 2 2 2 2 2 3 2 3 2" xfId="16991" xr:uid="{00000000-0005-0000-0000-00001E220000}"/>
    <cellStyle name="Normal 5 2 2 2 2 2 2 3 2 3 2 2" xfId="36706" xr:uid="{00000000-0005-0000-0000-00001F220000}"/>
    <cellStyle name="Normal 5 2 2 2 2 2 2 3 2 3 3" xfId="26849" xr:uid="{00000000-0005-0000-0000-000020220000}"/>
    <cellStyle name="Normal 5 2 2 2 2 2 2 3 2 4" xfId="12063" xr:uid="{00000000-0005-0000-0000-000021220000}"/>
    <cellStyle name="Normal 5 2 2 2 2 2 2 3 2 4 2" xfId="31778" xr:uid="{00000000-0005-0000-0000-000022220000}"/>
    <cellStyle name="Normal 5 2 2 2 2 2 2 3 2 5" xfId="21921" xr:uid="{00000000-0005-0000-0000-000023220000}"/>
    <cellStyle name="Normal 5 2 2 2 2 2 2 3 3" xfId="3431" xr:uid="{00000000-0005-0000-0000-000024220000}"/>
    <cellStyle name="Normal 5 2 2 2 2 2 2 3 3 2" xfId="8363" xr:uid="{00000000-0005-0000-0000-000025220000}"/>
    <cellStyle name="Normal 5 2 2 2 2 2 2 3 3 2 2" xfId="18223" xr:uid="{00000000-0005-0000-0000-000026220000}"/>
    <cellStyle name="Normal 5 2 2 2 2 2 2 3 3 2 2 2" xfId="37938" xr:uid="{00000000-0005-0000-0000-000027220000}"/>
    <cellStyle name="Normal 5 2 2 2 2 2 2 3 3 2 3" xfId="28081" xr:uid="{00000000-0005-0000-0000-000028220000}"/>
    <cellStyle name="Normal 5 2 2 2 2 2 2 3 3 3" xfId="13295" xr:uid="{00000000-0005-0000-0000-000029220000}"/>
    <cellStyle name="Normal 5 2 2 2 2 2 2 3 3 3 2" xfId="33010" xr:uid="{00000000-0005-0000-0000-00002A220000}"/>
    <cellStyle name="Normal 5 2 2 2 2 2 2 3 3 4" xfId="23153" xr:uid="{00000000-0005-0000-0000-00002B220000}"/>
    <cellStyle name="Normal 5 2 2 2 2 2 2 3 4" xfId="5899" xr:uid="{00000000-0005-0000-0000-00002C220000}"/>
    <cellStyle name="Normal 5 2 2 2 2 2 2 3 4 2" xfId="15759" xr:uid="{00000000-0005-0000-0000-00002D220000}"/>
    <cellStyle name="Normal 5 2 2 2 2 2 2 3 4 2 2" xfId="35474" xr:uid="{00000000-0005-0000-0000-00002E220000}"/>
    <cellStyle name="Normal 5 2 2 2 2 2 2 3 4 3" xfId="25617" xr:uid="{00000000-0005-0000-0000-00002F220000}"/>
    <cellStyle name="Normal 5 2 2 2 2 2 2 3 5" xfId="10831" xr:uid="{00000000-0005-0000-0000-000030220000}"/>
    <cellStyle name="Normal 5 2 2 2 2 2 2 3 5 2" xfId="30546" xr:uid="{00000000-0005-0000-0000-000031220000}"/>
    <cellStyle name="Normal 5 2 2 2 2 2 2 3 6" xfId="20689" xr:uid="{00000000-0005-0000-0000-000032220000}"/>
    <cellStyle name="Normal 5 2 2 2 2 2 2 4" xfId="1580" xr:uid="{00000000-0005-0000-0000-000033220000}"/>
    <cellStyle name="Normal 5 2 2 2 2 2 2 4 2" xfId="4047" xr:uid="{00000000-0005-0000-0000-000034220000}"/>
    <cellStyle name="Normal 5 2 2 2 2 2 2 4 2 2" xfId="8979" xr:uid="{00000000-0005-0000-0000-000035220000}"/>
    <cellStyle name="Normal 5 2 2 2 2 2 2 4 2 2 2" xfId="18839" xr:uid="{00000000-0005-0000-0000-000036220000}"/>
    <cellStyle name="Normal 5 2 2 2 2 2 2 4 2 2 2 2" xfId="38554" xr:uid="{00000000-0005-0000-0000-000037220000}"/>
    <cellStyle name="Normal 5 2 2 2 2 2 2 4 2 2 3" xfId="28697" xr:uid="{00000000-0005-0000-0000-000038220000}"/>
    <cellStyle name="Normal 5 2 2 2 2 2 2 4 2 3" xfId="13911" xr:uid="{00000000-0005-0000-0000-000039220000}"/>
    <cellStyle name="Normal 5 2 2 2 2 2 2 4 2 3 2" xfId="33626" xr:uid="{00000000-0005-0000-0000-00003A220000}"/>
    <cellStyle name="Normal 5 2 2 2 2 2 2 4 2 4" xfId="23769" xr:uid="{00000000-0005-0000-0000-00003B220000}"/>
    <cellStyle name="Normal 5 2 2 2 2 2 2 4 3" xfId="6515" xr:uid="{00000000-0005-0000-0000-00003C220000}"/>
    <cellStyle name="Normal 5 2 2 2 2 2 2 4 3 2" xfId="16375" xr:uid="{00000000-0005-0000-0000-00003D220000}"/>
    <cellStyle name="Normal 5 2 2 2 2 2 2 4 3 2 2" xfId="36090" xr:uid="{00000000-0005-0000-0000-00003E220000}"/>
    <cellStyle name="Normal 5 2 2 2 2 2 2 4 3 3" xfId="26233" xr:uid="{00000000-0005-0000-0000-00003F220000}"/>
    <cellStyle name="Normal 5 2 2 2 2 2 2 4 4" xfId="11447" xr:uid="{00000000-0005-0000-0000-000040220000}"/>
    <cellStyle name="Normal 5 2 2 2 2 2 2 4 4 2" xfId="31162" xr:uid="{00000000-0005-0000-0000-000041220000}"/>
    <cellStyle name="Normal 5 2 2 2 2 2 2 4 5" xfId="21305" xr:uid="{00000000-0005-0000-0000-000042220000}"/>
    <cellStyle name="Normal 5 2 2 2 2 2 2 5" xfId="2815" xr:uid="{00000000-0005-0000-0000-000043220000}"/>
    <cellStyle name="Normal 5 2 2 2 2 2 2 5 2" xfId="7747" xr:uid="{00000000-0005-0000-0000-000044220000}"/>
    <cellStyle name="Normal 5 2 2 2 2 2 2 5 2 2" xfId="17607" xr:uid="{00000000-0005-0000-0000-000045220000}"/>
    <cellStyle name="Normal 5 2 2 2 2 2 2 5 2 2 2" xfId="37322" xr:uid="{00000000-0005-0000-0000-000046220000}"/>
    <cellStyle name="Normal 5 2 2 2 2 2 2 5 2 3" xfId="27465" xr:uid="{00000000-0005-0000-0000-000047220000}"/>
    <cellStyle name="Normal 5 2 2 2 2 2 2 5 3" xfId="12679" xr:uid="{00000000-0005-0000-0000-000048220000}"/>
    <cellStyle name="Normal 5 2 2 2 2 2 2 5 3 2" xfId="32394" xr:uid="{00000000-0005-0000-0000-000049220000}"/>
    <cellStyle name="Normal 5 2 2 2 2 2 2 5 4" xfId="22537" xr:uid="{00000000-0005-0000-0000-00004A220000}"/>
    <cellStyle name="Normal 5 2 2 2 2 2 2 6" xfId="5283" xr:uid="{00000000-0005-0000-0000-00004B220000}"/>
    <cellStyle name="Normal 5 2 2 2 2 2 2 6 2" xfId="15143" xr:uid="{00000000-0005-0000-0000-00004C220000}"/>
    <cellStyle name="Normal 5 2 2 2 2 2 2 6 2 2" xfId="34858" xr:uid="{00000000-0005-0000-0000-00004D220000}"/>
    <cellStyle name="Normal 5 2 2 2 2 2 2 6 3" xfId="25001" xr:uid="{00000000-0005-0000-0000-00004E220000}"/>
    <cellStyle name="Normal 5 2 2 2 2 2 2 7" xfId="10215" xr:uid="{00000000-0005-0000-0000-00004F220000}"/>
    <cellStyle name="Normal 5 2 2 2 2 2 2 7 2" xfId="29930" xr:uid="{00000000-0005-0000-0000-000050220000}"/>
    <cellStyle name="Normal 5 2 2 2 2 2 2 8" xfId="20073" xr:uid="{00000000-0005-0000-0000-000051220000}"/>
    <cellStyle name="Normal 5 2 2 2 2 2 3" xfId="495" xr:uid="{00000000-0005-0000-0000-000052220000}"/>
    <cellStyle name="Normal 5 2 2 2 2 2 3 2" xfId="1115" xr:uid="{00000000-0005-0000-0000-000053220000}"/>
    <cellStyle name="Normal 5 2 2 2 2 2 3 2 2" xfId="2350" xr:uid="{00000000-0005-0000-0000-000054220000}"/>
    <cellStyle name="Normal 5 2 2 2 2 2 3 2 2 2" xfId="4817" xr:uid="{00000000-0005-0000-0000-000055220000}"/>
    <cellStyle name="Normal 5 2 2 2 2 2 3 2 2 2 2" xfId="9749" xr:uid="{00000000-0005-0000-0000-000056220000}"/>
    <cellStyle name="Normal 5 2 2 2 2 2 3 2 2 2 2 2" xfId="19609" xr:uid="{00000000-0005-0000-0000-000057220000}"/>
    <cellStyle name="Normal 5 2 2 2 2 2 3 2 2 2 2 2 2" xfId="39324" xr:uid="{00000000-0005-0000-0000-000058220000}"/>
    <cellStyle name="Normal 5 2 2 2 2 2 3 2 2 2 2 3" xfId="29467" xr:uid="{00000000-0005-0000-0000-000059220000}"/>
    <cellStyle name="Normal 5 2 2 2 2 2 3 2 2 2 3" xfId="14681" xr:uid="{00000000-0005-0000-0000-00005A220000}"/>
    <cellStyle name="Normal 5 2 2 2 2 2 3 2 2 2 3 2" xfId="34396" xr:uid="{00000000-0005-0000-0000-00005B220000}"/>
    <cellStyle name="Normal 5 2 2 2 2 2 3 2 2 2 4" xfId="24539" xr:uid="{00000000-0005-0000-0000-00005C220000}"/>
    <cellStyle name="Normal 5 2 2 2 2 2 3 2 2 3" xfId="7285" xr:uid="{00000000-0005-0000-0000-00005D220000}"/>
    <cellStyle name="Normal 5 2 2 2 2 2 3 2 2 3 2" xfId="17145" xr:uid="{00000000-0005-0000-0000-00005E220000}"/>
    <cellStyle name="Normal 5 2 2 2 2 2 3 2 2 3 2 2" xfId="36860" xr:uid="{00000000-0005-0000-0000-00005F220000}"/>
    <cellStyle name="Normal 5 2 2 2 2 2 3 2 2 3 3" xfId="27003" xr:uid="{00000000-0005-0000-0000-000060220000}"/>
    <cellStyle name="Normal 5 2 2 2 2 2 3 2 2 4" xfId="12217" xr:uid="{00000000-0005-0000-0000-000061220000}"/>
    <cellStyle name="Normal 5 2 2 2 2 2 3 2 2 4 2" xfId="31932" xr:uid="{00000000-0005-0000-0000-000062220000}"/>
    <cellStyle name="Normal 5 2 2 2 2 2 3 2 2 5" xfId="22075" xr:uid="{00000000-0005-0000-0000-000063220000}"/>
    <cellStyle name="Normal 5 2 2 2 2 2 3 2 3" xfId="3585" xr:uid="{00000000-0005-0000-0000-000064220000}"/>
    <cellStyle name="Normal 5 2 2 2 2 2 3 2 3 2" xfId="8517" xr:uid="{00000000-0005-0000-0000-000065220000}"/>
    <cellStyle name="Normal 5 2 2 2 2 2 3 2 3 2 2" xfId="18377" xr:uid="{00000000-0005-0000-0000-000066220000}"/>
    <cellStyle name="Normal 5 2 2 2 2 2 3 2 3 2 2 2" xfId="38092" xr:uid="{00000000-0005-0000-0000-000067220000}"/>
    <cellStyle name="Normal 5 2 2 2 2 2 3 2 3 2 3" xfId="28235" xr:uid="{00000000-0005-0000-0000-000068220000}"/>
    <cellStyle name="Normal 5 2 2 2 2 2 3 2 3 3" xfId="13449" xr:uid="{00000000-0005-0000-0000-000069220000}"/>
    <cellStyle name="Normal 5 2 2 2 2 2 3 2 3 3 2" xfId="33164" xr:uid="{00000000-0005-0000-0000-00006A220000}"/>
    <cellStyle name="Normal 5 2 2 2 2 2 3 2 3 4" xfId="23307" xr:uid="{00000000-0005-0000-0000-00006B220000}"/>
    <cellStyle name="Normal 5 2 2 2 2 2 3 2 4" xfId="6053" xr:uid="{00000000-0005-0000-0000-00006C220000}"/>
    <cellStyle name="Normal 5 2 2 2 2 2 3 2 4 2" xfId="15913" xr:uid="{00000000-0005-0000-0000-00006D220000}"/>
    <cellStyle name="Normal 5 2 2 2 2 2 3 2 4 2 2" xfId="35628" xr:uid="{00000000-0005-0000-0000-00006E220000}"/>
    <cellStyle name="Normal 5 2 2 2 2 2 3 2 4 3" xfId="25771" xr:uid="{00000000-0005-0000-0000-00006F220000}"/>
    <cellStyle name="Normal 5 2 2 2 2 2 3 2 5" xfId="10985" xr:uid="{00000000-0005-0000-0000-000070220000}"/>
    <cellStyle name="Normal 5 2 2 2 2 2 3 2 5 2" xfId="30700" xr:uid="{00000000-0005-0000-0000-000071220000}"/>
    <cellStyle name="Normal 5 2 2 2 2 2 3 2 6" xfId="20843" xr:uid="{00000000-0005-0000-0000-000072220000}"/>
    <cellStyle name="Normal 5 2 2 2 2 2 3 3" xfId="1734" xr:uid="{00000000-0005-0000-0000-000073220000}"/>
    <cellStyle name="Normal 5 2 2 2 2 2 3 3 2" xfId="4201" xr:uid="{00000000-0005-0000-0000-000074220000}"/>
    <cellStyle name="Normal 5 2 2 2 2 2 3 3 2 2" xfId="9133" xr:uid="{00000000-0005-0000-0000-000075220000}"/>
    <cellStyle name="Normal 5 2 2 2 2 2 3 3 2 2 2" xfId="18993" xr:uid="{00000000-0005-0000-0000-000076220000}"/>
    <cellStyle name="Normal 5 2 2 2 2 2 3 3 2 2 2 2" xfId="38708" xr:uid="{00000000-0005-0000-0000-000077220000}"/>
    <cellStyle name="Normal 5 2 2 2 2 2 3 3 2 2 3" xfId="28851" xr:uid="{00000000-0005-0000-0000-000078220000}"/>
    <cellStyle name="Normal 5 2 2 2 2 2 3 3 2 3" xfId="14065" xr:uid="{00000000-0005-0000-0000-000079220000}"/>
    <cellStyle name="Normal 5 2 2 2 2 2 3 3 2 3 2" xfId="33780" xr:uid="{00000000-0005-0000-0000-00007A220000}"/>
    <cellStyle name="Normal 5 2 2 2 2 2 3 3 2 4" xfId="23923" xr:uid="{00000000-0005-0000-0000-00007B220000}"/>
    <cellStyle name="Normal 5 2 2 2 2 2 3 3 3" xfId="6669" xr:uid="{00000000-0005-0000-0000-00007C220000}"/>
    <cellStyle name="Normal 5 2 2 2 2 2 3 3 3 2" xfId="16529" xr:uid="{00000000-0005-0000-0000-00007D220000}"/>
    <cellStyle name="Normal 5 2 2 2 2 2 3 3 3 2 2" xfId="36244" xr:uid="{00000000-0005-0000-0000-00007E220000}"/>
    <cellStyle name="Normal 5 2 2 2 2 2 3 3 3 3" xfId="26387" xr:uid="{00000000-0005-0000-0000-00007F220000}"/>
    <cellStyle name="Normal 5 2 2 2 2 2 3 3 4" xfId="11601" xr:uid="{00000000-0005-0000-0000-000080220000}"/>
    <cellStyle name="Normal 5 2 2 2 2 2 3 3 4 2" xfId="31316" xr:uid="{00000000-0005-0000-0000-000081220000}"/>
    <cellStyle name="Normal 5 2 2 2 2 2 3 3 5" xfId="21459" xr:uid="{00000000-0005-0000-0000-000082220000}"/>
    <cellStyle name="Normal 5 2 2 2 2 2 3 4" xfId="2969" xr:uid="{00000000-0005-0000-0000-000083220000}"/>
    <cellStyle name="Normal 5 2 2 2 2 2 3 4 2" xfId="7901" xr:uid="{00000000-0005-0000-0000-000084220000}"/>
    <cellStyle name="Normal 5 2 2 2 2 2 3 4 2 2" xfId="17761" xr:uid="{00000000-0005-0000-0000-000085220000}"/>
    <cellStyle name="Normal 5 2 2 2 2 2 3 4 2 2 2" xfId="37476" xr:uid="{00000000-0005-0000-0000-000086220000}"/>
    <cellStyle name="Normal 5 2 2 2 2 2 3 4 2 3" xfId="27619" xr:uid="{00000000-0005-0000-0000-000087220000}"/>
    <cellStyle name="Normal 5 2 2 2 2 2 3 4 3" xfId="12833" xr:uid="{00000000-0005-0000-0000-000088220000}"/>
    <cellStyle name="Normal 5 2 2 2 2 2 3 4 3 2" xfId="32548" xr:uid="{00000000-0005-0000-0000-000089220000}"/>
    <cellStyle name="Normal 5 2 2 2 2 2 3 4 4" xfId="22691" xr:uid="{00000000-0005-0000-0000-00008A220000}"/>
    <cellStyle name="Normal 5 2 2 2 2 2 3 5" xfId="5437" xr:uid="{00000000-0005-0000-0000-00008B220000}"/>
    <cellStyle name="Normal 5 2 2 2 2 2 3 5 2" xfId="15297" xr:uid="{00000000-0005-0000-0000-00008C220000}"/>
    <cellStyle name="Normal 5 2 2 2 2 2 3 5 2 2" xfId="35012" xr:uid="{00000000-0005-0000-0000-00008D220000}"/>
    <cellStyle name="Normal 5 2 2 2 2 2 3 5 3" xfId="25155" xr:uid="{00000000-0005-0000-0000-00008E220000}"/>
    <cellStyle name="Normal 5 2 2 2 2 2 3 6" xfId="10369" xr:uid="{00000000-0005-0000-0000-00008F220000}"/>
    <cellStyle name="Normal 5 2 2 2 2 2 3 6 2" xfId="30084" xr:uid="{00000000-0005-0000-0000-000090220000}"/>
    <cellStyle name="Normal 5 2 2 2 2 2 3 7" xfId="20227" xr:uid="{00000000-0005-0000-0000-000091220000}"/>
    <cellStyle name="Normal 5 2 2 2 2 2 4" xfId="808" xr:uid="{00000000-0005-0000-0000-000092220000}"/>
    <cellStyle name="Normal 5 2 2 2 2 2 4 2" xfId="2044" xr:uid="{00000000-0005-0000-0000-000093220000}"/>
    <cellStyle name="Normal 5 2 2 2 2 2 4 2 2" xfId="4511" xr:uid="{00000000-0005-0000-0000-000094220000}"/>
    <cellStyle name="Normal 5 2 2 2 2 2 4 2 2 2" xfId="9443" xr:uid="{00000000-0005-0000-0000-000095220000}"/>
    <cellStyle name="Normal 5 2 2 2 2 2 4 2 2 2 2" xfId="19303" xr:uid="{00000000-0005-0000-0000-000096220000}"/>
    <cellStyle name="Normal 5 2 2 2 2 2 4 2 2 2 2 2" xfId="39018" xr:uid="{00000000-0005-0000-0000-000097220000}"/>
    <cellStyle name="Normal 5 2 2 2 2 2 4 2 2 2 3" xfId="29161" xr:uid="{00000000-0005-0000-0000-000098220000}"/>
    <cellStyle name="Normal 5 2 2 2 2 2 4 2 2 3" xfId="14375" xr:uid="{00000000-0005-0000-0000-000099220000}"/>
    <cellStyle name="Normal 5 2 2 2 2 2 4 2 2 3 2" xfId="34090" xr:uid="{00000000-0005-0000-0000-00009A220000}"/>
    <cellStyle name="Normal 5 2 2 2 2 2 4 2 2 4" xfId="24233" xr:uid="{00000000-0005-0000-0000-00009B220000}"/>
    <cellStyle name="Normal 5 2 2 2 2 2 4 2 3" xfId="6979" xr:uid="{00000000-0005-0000-0000-00009C220000}"/>
    <cellStyle name="Normal 5 2 2 2 2 2 4 2 3 2" xfId="16839" xr:uid="{00000000-0005-0000-0000-00009D220000}"/>
    <cellStyle name="Normal 5 2 2 2 2 2 4 2 3 2 2" xfId="36554" xr:uid="{00000000-0005-0000-0000-00009E220000}"/>
    <cellStyle name="Normal 5 2 2 2 2 2 4 2 3 3" xfId="26697" xr:uid="{00000000-0005-0000-0000-00009F220000}"/>
    <cellStyle name="Normal 5 2 2 2 2 2 4 2 4" xfId="11911" xr:uid="{00000000-0005-0000-0000-0000A0220000}"/>
    <cellStyle name="Normal 5 2 2 2 2 2 4 2 4 2" xfId="31626" xr:uid="{00000000-0005-0000-0000-0000A1220000}"/>
    <cellStyle name="Normal 5 2 2 2 2 2 4 2 5" xfId="21769" xr:uid="{00000000-0005-0000-0000-0000A2220000}"/>
    <cellStyle name="Normal 5 2 2 2 2 2 4 3" xfId="3279" xr:uid="{00000000-0005-0000-0000-0000A3220000}"/>
    <cellStyle name="Normal 5 2 2 2 2 2 4 3 2" xfId="8211" xr:uid="{00000000-0005-0000-0000-0000A4220000}"/>
    <cellStyle name="Normal 5 2 2 2 2 2 4 3 2 2" xfId="18071" xr:uid="{00000000-0005-0000-0000-0000A5220000}"/>
    <cellStyle name="Normal 5 2 2 2 2 2 4 3 2 2 2" xfId="37786" xr:uid="{00000000-0005-0000-0000-0000A6220000}"/>
    <cellStyle name="Normal 5 2 2 2 2 2 4 3 2 3" xfId="27929" xr:uid="{00000000-0005-0000-0000-0000A7220000}"/>
    <cellStyle name="Normal 5 2 2 2 2 2 4 3 3" xfId="13143" xr:uid="{00000000-0005-0000-0000-0000A8220000}"/>
    <cellStyle name="Normal 5 2 2 2 2 2 4 3 3 2" xfId="32858" xr:uid="{00000000-0005-0000-0000-0000A9220000}"/>
    <cellStyle name="Normal 5 2 2 2 2 2 4 3 4" xfId="23001" xr:uid="{00000000-0005-0000-0000-0000AA220000}"/>
    <cellStyle name="Normal 5 2 2 2 2 2 4 4" xfId="5747" xr:uid="{00000000-0005-0000-0000-0000AB220000}"/>
    <cellStyle name="Normal 5 2 2 2 2 2 4 4 2" xfId="15607" xr:uid="{00000000-0005-0000-0000-0000AC220000}"/>
    <cellStyle name="Normal 5 2 2 2 2 2 4 4 2 2" xfId="35322" xr:uid="{00000000-0005-0000-0000-0000AD220000}"/>
    <cellStyle name="Normal 5 2 2 2 2 2 4 4 3" xfId="25465" xr:uid="{00000000-0005-0000-0000-0000AE220000}"/>
    <cellStyle name="Normal 5 2 2 2 2 2 4 5" xfId="10679" xr:uid="{00000000-0005-0000-0000-0000AF220000}"/>
    <cellStyle name="Normal 5 2 2 2 2 2 4 5 2" xfId="30394" xr:uid="{00000000-0005-0000-0000-0000B0220000}"/>
    <cellStyle name="Normal 5 2 2 2 2 2 4 6" xfId="20537" xr:uid="{00000000-0005-0000-0000-0000B1220000}"/>
    <cellStyle name="Normal 5 2 2 2 2 2 5" xfId="1428" xr:uid="{00000000-0005-0000-0000-0000B2220000}"/>
    <cellStyle name="Normal 5 2 2 2 2 2 5 2" xfId="3895" xr:uid="{00000000-0005-0000-0000-0000B3220000}"/>
    <cellStyle name="Normal 5 2 2 2 2 2 5 2 2" xfId="8827" xr:uid="{00000000-0005-0000-0000-0000B4220000}"/>
    <cellStyle name="Normal 5 2 2 2 2 2 5 2 2 2" xfId="18687" xr:uid="{00000000-0005-0000-0000-0000B5220000}"/>
    <cellStyle name="Normal 5 2 2 2 2 2 5 2 2 2 2" xfId="38402" xr:uid="{00000000-0005-0000-0000-0000B6220000}"/>
    <cellStyle name="Normal 5 2 2 2 2 2 5 2 2 3" xfId="28545" xr:uid="{00000000-0005-0000-0000-0000B7220000}"/>
    <cellStyle name="Normal 5 2 2 2 2 2 5 2 3" xfId="13759" xr:uid="{00000000-0005-0000-0000-0000B8220000}"/>
    <cellStyle name="Normal 5 2 2 2 2 2 5 2 3 2" xfId="33474" xr:uid="{00000000-0005-0000-0000-0000B9220000}"/>
    <cellStyle name="Normal 5 2 2 2 2 2 5 2 4" xfId="23617" xr:uid="{00000000-0005-0000-0000-0000BA220000}"/>
    <cellStyle name="Normal 5 2 2 2 2 2 5 3" xfId="6363" xr:uid="{00000000-0005-0000-0000-0000BB220000}"/>
    <cellStyle name="Normal 5 2 2 2 2 2 5 3 2" xfId="16223" xr:uid="{00000000-0005-0000-0000-0000BC220000}"/>
    <cellStyle name="Normal 5 2 2 2 2 2 5 3 2 2" xfId="35938" xr:uid="{00000000-0005-0000-0000-0000BD220000}"/>
    <cellStyle name="Normal 5 2 2 2 2 2 5 3 3" xfId="26081" xr:uid="{00000000-0005-0000-0000-0000BE220000}"/>
    <cellStyle name="Normal 5 2 2 2 2 2 5 4" xfId="11295" xr:uid="{00000000-0005-0000-0000-0000BF220000}"/>
    <cellStyle name="Normal 5 2 2 2 2 2 5 4 2" xfId="31010" xr:uid="{00000000-0005-0000-0000-0000C0220000}"/>
    <cellStyle name="Normal 5 2 2 2 2 2 5 5" xfId="21153" xr:uid="{00000000-0005-0000-0000-0000C1220000}"/>
    <cellStyle name="Normal 5 2 2 2 2 2 6" xfId="2663" xr:uid="{00000000-0005-0000-0000-0000C2220000}"/>
    <cellStyle name="Normal 5 2 2 2 2 2 6 2" xfId="7595" xr:uid="{00000000-0005-0000-0000-0000C3220000}"/>
    <cellStyle name="Normal 5 2 2 2 2 2 6 2 2" xfId="17455" xr:uid="{00000000-0005-0000-0000-0000C4220000}"/>
    <cellStyle name="Normal 5 2 2 2 2 2 6 2 2 2" xfId="37170" xr:uid="{00000000-0005-0000-0000-0000C5220000}"/>
    <cellStyle name="Normal 5 2 2 2 2 2 6 2 3" xfId="27313" xr:uid="{00000000-0005-0000-0000-0000C6220000}"/>
    <cellStyle name="Normal 5 2 2 2 2 2 6 3" xfId="12527" xr:uid="{00000000-0005-0000-0000-0000C7220000}"/>
    <cellStyle name="Normal 5 2 2 2 2 2 6 3 2" xfId="32242" xr:uid="{00000000-0005-0000-0000-0000C8220000}"/>
    <cellStyle name="Normal 5 2 2 2 2 2 6 4" xfId="22385" xr:uid="{00000000-0005-0000-0000-0000C9220000}"/>
    <cellStyle name="Normal 5 2 2 2 2 2 7" xfId="5131" xr:uid="{00000000-0005-0000-0000-0000CA220000}"/>
    <cellStyle name="Normal 5 2 2 2 2 2 7 2" xfId="14991" xr:uid="{00000000-0005-0000-0000-0000CB220000}"/>
    <cellStyle name="Normal 5 2 2 2 2 2 7 2 2" xfId="34706" xr:uid="{00000000-0005-0000-0000-0000CC220000}"/>
    <cellStyle name="Normal 5 2 2 2 2 2 7 3" xfId="24849" xr:uid="{00000000-0005-0000-0000-0000CD220000}"/>
    <cellStyle name="Normal 5 2 2 2 2 2 8" xfId="10063" xr:uid="{00000000-0005-0000-0000-0000CE220000}"/>
    <cellStyle name="Normal 5 2 2 2 2 2 8 2" xfId="29778" xr:uid="{00000000-0005-0000-0000-0000CF220000}"/>
    <cellStyle name="Normal 5 2 2 2 2 2 9" xfId="19921" xr:uid="{00000000-0005-0000-0000-0000D0220000}"/>
    <cellStyle name="Normal 5 2 2 2 2 3" xfId="257" xr:uid="{00000000-0005-0000-0000-0000D1220000}"/>
    <cellStyle name="Normal 5 2 2 2 2 3 2" xfId="571" xr:uid="{00000000-0005-0000-0000-0000D2220000}"/>
    <cellStyle name="Normal 5 2 2 2 2 3 2 2" xfId="1191" xr:uid="{00000000-0005-0000-0000-0000D3220000}"/>
    <cellStyle name="Normal 5 2 2 2 2 3 2 2 2" xfId="2426" xr:uid="{00000000-0005-0000-0000-0000D4220000}"/>
    <cellStyle name="Normal 5 2 2 2 2 3 2 2 2 2" xfId="4893" xr:uid="{00000000-0005-0000-0000-0000D5220000}"/>
    <cellStyle name="Normal 5 2 2 2 2 3 2 2 2 2 2" xfId="9825" xr:uid="{00000000-0005-0000-0000-0000D6220000}"/>
    <cellStyle name="Normal 5 2 2 2 2 3 2 2 2 2 2 2" xfId="19685" xr:uid="{00000000-0005-0000-0000-0000D7220000}"/>
    <cellStyle name="Normal 5 2 2 2 2 3 2 2 2 2 2 2 2" xfId="39400" xr:uid="{00000000-0005-0000-0000-0000D8220000}"/>
    <cellStyle name="Normal 5 2 2 2 2 3 2 2 2 2 2 3" xfId="29543" xr:uid="{00000000-0005-0000-0000-0000D9220000}"/>
    <cellStyle name="Normal 5 2 2 2 2 3 2 2 2 2 3" xfId="14757" xr:uid="{00000000-0005-0000-0000-0000DA220000}"/>
    <cellStyle name="Normal 5 2 2 2 2 3 2 2 2 2 3 2" xfId="34472" xr:uid="{00000000-0005-0000-0000-0000DB220000}"/>
    <cellStyle name="Normal 5 2 2 2 2 3 2 2 2 2 4" xfId="24615" xr:uid="{00000000-0005-0000-0000-0000DC220000}"/>
    <cellStyle name="Normal 5 2 2 2 2 3 2 2 2 3" xfId="7361" xr:uid="{00000000-0005-0000-0000-0000DD220000}"/>
    <cellStyle name="Normal 5 2 2 2 2 3 2 2 2 3 2" xfId="17221" xr:uid="{00000000-0005-0000-0000-0000DE220000}"/>
    <cellStyle name="Normal 5 2 2 2 2 3 2 2 2 3 2 2" xfId="36936" xr:uid="{00000000-0005-0000-0000-0000DF220000}"/>
    <cellStyle name="Normal 5 2 2 2 2 3 2 2 2 3 3" xfId="27079" xr:uid="{00000000-0005-0000-0000-0000E0220000}"/>
    <cellStyle name="Normal 5 2 2 2 2 3 2 2 2 4" xfId="12293" xr:uid="{00000000-0005-0000-0000-0000E1220000}"/>
    <cellStyle name="Normal 5 2 2 2 2 3 2 2 2 4 2" xfId="32008" xr:uid="{00000000-0005-0000-0000-0000E2220000}"/>
    <cellStyle name="Normal 5 2 2 2 2 3 2 2 2 5" xfId="22151" xr:uid="{00000000-0005-0000-0000-0000E3220000}"/>
    <cellStyle name="Normal 5 2 2 2 2 3 2 2 3" xfId="3661" xr:uid="{00000000-0005-0000-0000-0000E4220000}"/>
    <cellStyle name="Normal 5 2 2 2 2 3 2 2 3 2" xfId="8593" xr:uid="{00000000-0005-0000-0000-0000E5220000}"/>
    <cellStyle name="Normal 5 2 2 2 2 3 2 2 3 2 2" xfId="18453" xr:uid="{00000000-0005-0000-0000-0000E6220000}"/>
    <cellStyle name="Normal 5 2 2 2 2 3 2 2 3 2 2 2" xfId="38168" xr:uid="{00000000-0005-0000-0000-0000E7220000}"/>
    <cellStyle name="Normal 5 2 2 2 2 3 2 2 3 2 3" xfId="28311" xr:uid="{00000000-0005-0000-0000-0000E8220000}"/>
    <cellStyle name="Normal 5 2 2 2 2 3 2 2 3 3" xfId="13525" xr:uid="{00000000-0005-0000-0000-0000E9220000}"/>
    <cellStyle name="Normal 5 2 2 2 2 3 2 2 3 3 2" xfId="33240" xr:uid="{00000000-0005-0000-0000-0000EA220000}"/>
    <cellStyle name="Normal 5 2 2 2 2 3 2 2 3 4" xfId="23383" xr:uid="{00000000-0005-0000-0000-0000EB220000}"/>
    <cellStyle name="Normal 5 2 2 2 2 3 2 2 4" xfId="6129" xr:uid="{00000000-0005-0000-0000-0000EC220000}"/>
    <cellStyle name="Normal 5 2 2 2 2 3 2 2 4 2" xfId="15989" xr:uid="{00000000-0005-0000-0000-0000ED220000}"/>
    <cellStyle name="Normal 5 2 2 2 2 3 2 2 4 2 2" xfId="35704" xr:uid="{00000000-0005-0000-0000-0000EE220000}"/>
    <cellStyle name="Normal 5 2 2 2 2 3 2 2 4 3" xfId="25847" xr:uid="{00000000-0005-0000-0000-0000EF220000}"/>
    <cellStyle name="Normal 5 2 2 2 2 3 2 2 5" xfId="11061" xr:uid="{00000000-0005-0000-0000-0000F0220000}"/>
    <cellStyle name="Normal 5 2 2 2 2 3 2 2 5 2" xfId="30776" xr:uid="{00000000-0005-0000-0000-0000F1220000}"/>
    <cellStyle name="Normal 5 2 2 2 2 3 2 2 6" xfId="20919" xr:uid="{00000000-0005-0000-0000-0000F2220000}"/>
    <cellStyle name="Normal 5 2 2 2 2 3 2 3" xfId="1810" xr:uid="{00000000-0005-0000-0000-0000F3220000}"/>
    <cellStyle name="Normal 5 2 2 2 2 3 2 3 2" xfId="4277" xr:uid="{00000000-0005-0000-0000-0000F4220000}"/>
    <cellStyle name="Normal 5 2 2 2 2 3 2 3 2 2" xfId="9209" xr:uid="{00000000-0005-0000-0000-0000F5220000}"/>
    <cellStyle name="Normal 5 2 2 2 2 3 2 3 2 2 2" xfId="19069" xr:uid="{00000000-0005-0000-0000-0000F6220000}"/>
    <cellStyle name="Normal 5 2 2 2 2 3 2 3 2 2 2 2" xfId="38784" xr:uid="{00000000-0005-0000-0000-0000F7220000}"/>
    <cellStyle name="Normal 5 2 2 2 2 3 2 3 2 2 3" xfId="28927" xr:uid="{00000000-0005-0000-0000-0000F8220000}"/>
    <cellStyle name="Normal 5 2 2 2 2 3 2 3 2 3" xfId="14141" xr:uid="{00000000-0005-0000-0000-0000F9220000}"/>
    <cellStyle name="Normal 5 2 2 2 2 3 2 3 2 3 2" xfId="33856" xr:uid="{00000000-0005-0000-0000-0000FA220000}"/>
    <cellStyle name="Normal 5 2 2 2 2 3 2 3 2 4" xfId="23999" xr:uid="{00000000-0005-0000-0000-0000FB220000}"/>
    <cellStyle name="Normal 5 2 2 2 2 3 2 3 3" xfId="6745" xr:uid="{00000000-0005-0000-0000-0000FC220000}"/>
    <cellStyle name="Normal 5 2 2 2 2 3 2 3 3 2" xfId="16605" xr:uid="{00000000-0005-0000-0000-0000FD220000}"/>
    <cellStyle name="Normal 5 2 2 2 2 3 2 3 3 2 2" xfId="36320" xr:uid="{00000000-0005-0000-0000-0000FE220000}"/>
    <cellStyle name="Normal 5 2 2 2 2 3 2 3 3 3" xfId="26463" xr:uid="{00000000-0005-0000-0000-0000FF220000}"/>
    <cellStyle name="Normal 5 2 2 2 2 3 2 3 4" xfId="11677" xr:uid="{00000000-0005-0000-0000-000000230000}"/>
    <cellStyle name="Normal 5 2 2 2 2 3 2 3 4 2" xfId="31392" xr:uid="{00000000-0005-0000-0000-000001230000}"/>
    <cellStyle name="Normal 5 2 2 2 2 3 2 3 5" xfId="21535" xr:uid="{00000000-0005-0000-0000-000002230000}"/>
    <cellStyle name="Normal 5 2 2 2 2 3 2 4" xfId="3045" xr:uid="{00000000-0005-0000-0000-000003230000}"/>
    <cellStyle name="Normal 5 2 2 2 2 3 2 4 2" xfId="7977" xr:uid="{00000000-0005-0000-0000-000004230000}"/>
    <cellStyle name="Normal 5 2 2 2 2 3 2 4 2 2" xfId="17837" xr:uid="{00000000-0005-0000-0000-000005230000}"/>
    <cellStyle name="Normal 5 2 2 2 2 3 2 4 2 2 2" xfId="37552" xr:uid="{00000000-0005-0000-0000-000006230000}"/>
    <cellStyle name="Normal 5 2 2 2 2 3 2 4 2 3" xfId="27695" xr:uid="{00000000-0005-0000-0000-000007230000}"/>
    <cellStyle name="Normal 5 2 2 2 2 3 2 4 3" xfId="12909" xr:uid="{00000000-0005-0000-0000-000008230000}"/>
    <cellStyle name="Normal 5 2 2 2 2 3 2 4 3 2" xfId="32624" xr:uid="{00000000-0005-0000-0000-000009230000}"/>
    <cellStyle name="Normal 5 2 2 2 2 3 2 4 4" xfId="22767" xr:uid="{00000000-0005-0000-0000-00000A230000}"/>
    <cellStyle name="Normal 5 2 2 2 2 3 2 5" xfId="5513" xr:uid="{00000000-0005-0000-0000-00000B230000}"/>
    <cellStyle name="Normal 5 2 2 2 2 3 2 5 2" xfId="15373" xr:uid="{00000000-0005-0000-0000-00000C230000}"/>
    <cellStyle name="Normal 5 2 2 2 2 3 2 5 2 2" xfId="35088" xr:uid="{00000000-0005-0000-0000-00000D230000}"/>
    <cellStyle name="Normal 5 2 2 2 2 3 2 5 3" xfId="25231" xr:uid="{00000000-0005-0000-0000-00000E230000}"/>
    <cellStyle name="Normal 5 2 2 2 2 3 2 6" xfId="10445" xr:uid="{00000000-0005-0000-0000-00000F230000}"/>
    <cellStyle name="Normal 5 2 2 2 2 3 2 6 2" xfId="30160" xr:uid="{00000000-0005-0000-0000-000010230000}"/>
    <cellStyle name="Normal 5 2 2 2 2 3 2 7" xfId="20303" xr:uid="{00000000-0005-0000-0000-000011230000}"/>
    <cellStyle name="Normal 5 2 2 2 2 3 3" xfId="884" xr:uid="{00000000-0005-0000-0000-000012230000}"/>
    <cellStyle name="Normal 5 2 2 2 2 3 3 2" xfId="2120" xr:uid="{00000000-0005-0000-0000-000013230000}"/>
    <cellStyle name="Normal 5 2 2 2 2 3 3 2 2" xfId="4587" xr:uid="{00000000-0005-0000-0000-000014230000}"/>
    <cellStyle name="Normal 5 2 2 2 2 3 3 2 2 2" xfId="9519" xr:uid="{00000000-0005-0000-0000-000015230000}"/>
    <cellStyle name="Normal 5 2 2 2 2 3 3 2 2 2 2" xfId="19379" xr:uid="{00000000-0005-0000-0000-000016230000}"/>
    <cellStyle name="Normal 5 2 2 2 2 3 3 2 2 2 2 2" xfId="39094" xr:uid="{00000000-0005-0000-0000-000017230000}"/>
    <cellStyle name="Normal 5 2 2 2 2 3 3 2 2 2 3" xfId="29237" xr:uid="{00000000-0005-0000-0000-000018230000}"/>
    <cellStyle name="Normal 5 2 2 2 2 3 3 2 2 3" xfId="14451" xr:uid="{00000000-0005-0000-0000-000019230000}"/>
    <cellStyle name="Normal 5 2 2 2 2 3 3 2 2 3 2" xfId="34166" xr:uid="{00000000-0005-0000-0000-00001A230000}"/>
    <cellStyle name="Normal 5 2 2 2 2 3 3 2 2 4" xfId="24309" xr:uid="{00000000-0005-0000-0000-00001B230000}"/>
    <cellStyle name="Normal 5 2 2 2 2 3 3 2 3" xfId="7055" xr:uid="{00000000-0005-0000-0000-00001C230000}"/>
    <cellStyle name="Normal 5 2 2 2 2 3 3 2 3 2" xfId="16915" xr:uid="{00000000-0005-0000-0000-00001D230000}"/>
    <cellStyle name="Normal 5 2 2 2 2 3 3 2 3 2 2" xfId="36630" xr:uid="{00000000-0005-0000-0000-00001E230000}"/>
    <cellStyle name="Normal 5 2 2 2 2 3 3 2 3 3" xfId="26773" xr:uid="{00000000-0005-0000-0000-00001F230000}"/>
    <cellStyle name="Normal 5 2 2 2 2 3 3 2 4" xfId="11987" xr:uid="{00000000-0005-0000-0000-000020230000}"/>
    <cellStyle name="Normal 5 2 2 2 2 3 3 2 4 2" xfId="31702" xr:uid="{00000000-0005-0000-0000-000021230000}"/>
    <cellStyle name="Normal 5 2 2 2 2 3 3 2 5" xfId="21845" xr:uid="{00000000-0005-0000-0000-000022230000}"/>
    <cellStyle name="Normal 5 2 2 2 2 3 3 3" xfId="3355" xr:uid="{00000000-0005-0000-0000-000023230000}"/>
    <cellStyle name="Normal 5 2 2 2 2 3 3 3 2" xfId="8287" xr:uid="{00000000-0005-0000-0000-000024230000}"/>
    <cellStyle name="Normal 5 2 2 2 2 3 3 3 2 2" xfId="18147" xr:uid="{00000000-0005-0000-0000-000025230000}"/>
    <cellStyle name="Normal 5 2 2 2 2 3 3 3 2 2 2" xfId="37862" xr:uid="{00000000-0005-0000-0000-000026230000}"/>
    <cellStyle name="Normal 5 2 2 2 2 3 3 3 2 3" xfId="28005" xr:uid="{00000000-0005-0000-0000-000027230000}"/>
    <cellStyle name="Normal 5 2 2 2 2 3 3 3 3" xfId="13219" xr:uid="{00000000-0005-0000-0000-000028230000}"/>
    <cellStyle name="Normal 5 2 2 2 2 3 3 3 3 2" xfId="32934" xr:uid="{00000000-0005-0000-0000-000029230000}"/>
    <cellStyle name="Normal 5 2 2 2 2 3 3 3 4" xfId="23077" xr:uid="{00000000-0005-0000-0000-00002A230000}"/>
    <cellStyle name="Normal 5 2 2 2 2 3 3 4" xfId="5823" xr:uid="{00000000-0005-0000-0000-00002B230000}"/>
    <cellStyle name="Normal 5 2 2 2 2 3 3 4 2" xfId="15683" xr:uid="{00000000-0005-0000-0000-00002C230000}"/>
    <cellStyle name="Normal 5 2 2 2 2 3 3 4 2 2" xfId="35398" xr:uid="{00000000-0005-0000-0000-00002D230000}"/>
    <cellStyle name="Normal 5 2 2 2 2 3 3 4 3" xfId="25541" xr:uid="{00000000-0005-0000-0000-00002E230000}"/>
    <cellStyle name="Normal 5 2 2 2 2 3 3 5" xfId="10755" xr:uid="{00000000-0005-0000-0000-00002F230000}"/>
    <cellStyle name="Normal 5 2 2 2 2 3 3 5 2" xfId="30470" xr:uid="{00000000-0005-0000-0000-000030230000}"/>
    <cellStyle name="Normal 5 2 2 2 2 3 3 6" xfId="20613" xr:uid="{00000000-0005-0000-0000-000031230000}"/>
    <cellStyle name="Normal 5 2 2 2 2 3 4" xfId="1504" xr:uid="{00000000-0005-0000-0000-000032230000}"/>
    <cellStyle name="Normal 5 2 2 2 2 3 4 2" xfId="3971" xr:uid="{00000000-0005-0000-0000-000033230000}"/>
    <cellStyle name="Normal 5 2 2 2 2 3 4 2 2" xfId="8903" xr:uid="{00000000-0005-0000-0000-000034230000}"/>
    <cellStyle name="Normal 5 2 2 2 2 3 4 2 2 2" xfId="18763" xr:uid="{00000000-0005-0000-0000-000035230000}"/>
    <cellStyle name="Normal 5 2 2 2 2 3 4 2 2 2 2" xfId="38478" xr:uid="{00000000-0005-0000-0000-000036230000}"/>
    <cellStyle name="Normal 5 2 2 2 2 3 4 2 2 3" xfId="28621" xr:uid="{00000000-0005-0000-0000-000037230000}"/>
    <cellStyle name="Normal 5 2 2 2 2 3 4 2 3" xfId="13835" xr:uid="{00000000-0005-0000-0000-000038230000}"/>
    <cellStyle name="Normal 5 2 2 2 2 3 4 2 3 2" xfId="33550" xr:uid="{00000000-0005-0000-0000-000039230000}"/>
    <cellStyle name="Normal 5 2 2 2 2 3 4 2 4" xfId="23693" xr:uid="{00000000-0005-0000-0000-00003A230000}"/>
    <cellStyle name="Normal 5 2 2 2 2 3 4 3" xfId="6439" xr:uid="{00000000-0005-0000-0000-00003B230000}"/>
    <cellStyle name="Normal 5 2 2 2 2 3 4 3 2" xfId="16299" xr:uid="{00000000-0005-0000-0000-00003C230000}"/>
    <cellStyle name="Normal 5 2 2 2 2 3 4 3 2 2" xfId="36014" xr:uid="{00000000-0005-0000-0000-00003D230000}"/>
    <cellStyle name="Normal 5 2 2 2 2 3 4 3 3" xfId="26157" xr:uid="{00000000-0005-0000-0000-00003E230000}"/>
    <cellStyle name="Normal 5 2 2 2 2 3 4 4" xfId="11371" xr:uid="{00000000-0005-0000-0000-00003F230000}"/>
    <cellStyle name="Normal 5 2 2 2 2 3 4 4 2" xfId="31086" xr:uid="{00000000-0005-0000-0000-000040230000}"/>
    <cellStyle name="Normal 5 2 2 2 2 3 4 5" xfId="21229" xr:uid="{00000000-0005-0000-0000-000041230000}"/>
    <cellStyle name="Normal 5 2 2 2 2 3 5" xfId="2739" xr:uid="{00000000-0005-0000-0000-000042230000}"/>
    <cellStyle name="Normal 5 2 2 2 2 3 5 2" xfId="7671" xr:uid="{00000000-0005-0000-0000-000043230000}"/>
    <cellStyle name="Normal 5 2 2 2 2 3 5 2 2" xfId="17531" xr:uid="{00000000-0005-0000-0000-000044230000}"/>
    <cellStyle name="Normal 5 2 2 2 2 3 5 2 2 2" xfId="37246" xr:uid="{00000000-0005-0000-0000-000045230000}"/>
    <cellStyle name="Normal 5 2 2 2 2 3 5 2 3" xfId="27389" xr:uid="{00000000-0005-0000-0000-000046230000}"/>
    <cellStyle name="Normal 5 2 2 2 2 3 5 3" xfId="12603" xr:uid="{00000000-0005-0000-0000-000047230000}"/>
    <cellStyle name="Normal 5 2 2 2 2 3 5 3 2" xfId="32318" xr:uid="{00000000-0005-0000-0000-000048230000}"/>
    <cellStyle name="Normal 5 2 2 2 2 3 5 4" xfId="22461" xr:uid="{00000000-0005-0000-0000-000049230000}"/>
    <cellStyle name="Normal 5 2 2 2 2 3 6" xfId="5207" xr:uid="{00000000-0005-0000-0000-00004A230000}"/>
    <cellStyle name="Normal 5 2 2 2 2 3 6 2" xfId="15067" xr:uid="{00000000-0005-0000-0000-00004B230000}"/>
    <cellStyle name="Normal 5 2 2 2 2 3 6 2 2" xfId="34782" xr:uid="{00000000-0005-0000-0000-00004C230000}"/>
    <cellStyle name="Normal 5 2 2 2 2 3 6 3" xfId="24925" xr:uid="{00000000-0005-0000-0000-00004D230000}"/>
    <cellStyle name="Normal 5 2 2 2 2 3 7" xfId="10139" xr:uid="{00000000-0005-0000-0000-00004E230000}"/>
    <cellStyle name="Normal 5 2 2 2 2 3 7 2" xfId="29854" xr:uid="{00000000-0005-0000-0000-00004F230000}"/>
    <cellStyle name="Normal 5 2 2 2 2 3 8" xfId="19997" xr:uid="{00000000-0005-0000-0000-000050230000}"/>
    <cellStyle name="Normal 5 2 2 2 2 4" xfId="419" xr:uid="{00000000-0005-0000-0000-000051230000}"/>
    <cellStyle name="Normal 5 2 2 2 2 4 2" xfId="1039" xr:uid="{00000000-0005-0000-0000-000052230000}"/>
    <cellStyle name="Normal 5 2 2 2 2 4 2 2" xfId="2274" xr:uid="{00000000-0005-0000-0000-000053230000}"/>
    <cellStyle name="Normal 5 2 2 2 2 4 2 2 2" xfId="4741" xr:uid="{00000000-0005-0000-0000-000054230000}"/>
    <cellStyle name="Normal 5 2 2 2 2 4 2 2 2 2" xfId="9673" xr:uid="{00000000-0005-0000-0000-000055230000}"/>
    <cellStyle name="Normal 5 2 2 2 2 4 2 2 2 2 2" xfId="19533" xr:uid="{00000000-0005-0000-0000-000056230000}"/>
    <cellStyle name="Normal 5 2 2 2 2 4 2 2 2 2 2 2" xfId="39248" xr:uid="{00000000-0005-0000-0000-000057230000}"/>
    <cellStyle name="Normal 5 2 2 2 2 4 2 2 2 2 3" xfId="29391" xr:uid="{00000000-0005-0000-0000-000058230000}"/>
    <cellStyle name="Normal 5 2 2 2 2 4 2 2 2 3" xfId="14605" xr:uid="{00000000-0005-0000-0000-000059230000}"/>
    <cellStyle name="Normal 5 2 2 2 2 4 2 2 2 3 2" xfId="34320" xr:uid="{00000000-0005-0000-0000-00005A230000}"/>
    <cellStyle name="Normal 5 2 2 2 2 4 2 2 2 4" xfId="24463" xr:uid="{00000000-0005-0000-0000-00005B230000}"/>
    <cellStyle name="Normal 5 2 2 2 2 4 2 2 3" xfId="7209" xr:uid="{00000000-0005-0000-0000-00005C230000}"/>
    <cellStyle name="Normal 5 2 2 2 2 4 2 2 3 2" xfId="17069" xr:uid="{00000000-0005-0000-0000-00005D230000}"/>
    <cellStyle name="Normal 5 2 2 2 2 4 2 2 3 2 2" xfId="36784" xr:uid="{00000000-0005-0000-0000-00005E230000}"/>
    <cellStyle name="Normal 5 2 2 2 2 4 2 2 3 3" xfId="26927" xr:uid="{00000000-0005-0000-0000-00005F230000}"/>
    <cellStyle name="Normal 5 2 2 2 2 4 2 2 4" xfId="12141" xr:uid="{00000000-0005-0000-0000-000060230000}"/>
    <cellStyle name="Normal 5 2 2 2 2 4 2 2 4 2" xfId="31856" xr:uid="{00000000-0005-0000-0000-000061230000}"/>
    <cellStyle name="Normal 5 2 2 2 2 4 2 2 5" xfId="21999" xr:uid="{00000000-0005-0000-0000-000062230000}"/>
    <cellStyle name="Normal 5 2 2 2 2 4 2 3" xfId="3509" xr:uid="{00000000-0005-0000-0000-000063230000}"/>
    <cellStyle name="Normal 5 2 2 2 2 4 2 3 2" xfId="8441" xr:uid="{00000000-0005-0000-0000-000064230000}"/>
    <cellStyle name="Normal 5 2 2 2 2 4 2 3 2 2" xfId="18301" xr:uid="{00000000-0005-0000-0000-000065230000}"/>
    <cellStyle name="Normal 5 2 2 2 2 4 2 3 2 2 2" xfId="38016" xr:uid="{00000000-0005-0000-0000-000066230000}"/>
    <cellStyle name="Normal 5 2 2 2 2 4 2 3 2 3" xfId="28159" xr:uid="{00000000-0005-0000-0000-000067230000}"/>
    <cellStyle name="Normal 5 2 2 2 2 4 2 3 3" xfId="13373" xr:uid="{00000000-0005-0000-0000-000068230000}"/>
    <cellStyle name="Normal 5 2 2 2 2 4 2 3 3 2" xfId="33088" xr:uid="{00000000-0005-0000-0000-000069230000}"/>
    <cellStyle name="Normal 5 2 2 2 2 4 2 3 4" xfId="23231" xr:uid="{00000000-0005-0000-0000-00006A230000}"/>
    <cellStyle name="Normal 5 2 2 2 2 4 2 4" xfId="5977" xr:uid="{00000000-0005-0000-0000-00006B230000}"/>
    <cellStyle name="Normal 5 2 2 2 2 4 2 4 2" xfId="15837" xr:uid="{00000000-0005-0000-0000-00006C230000}"/>
    <cellStyle name="Normal 5 2 2 2 2 4 2 4 2 2" xfId="35552" xr:uid="{00000000-0005-0000-0000-00006D230000}"/>
    <cellStyle name="Normal 5 2 2 2 2 4 2 4 3" xfId="25695" xr:uid="{00000000-0005-0000-0000-00006E230000}"/>
    <cellStyle name="Normal 5 2 2 2 2 4 2 5" xfId="10909" xr:uid="{00000000-0005-0000-0000-00006F230000}"/>
    <cellStyle name="Normal 5 2 2 2 2 4 2 5 2" xfId="30624" xr:uid="{00000000-0005-0000-0000-000070230000}"/>
    <cellStyle name="Normal 5 2 2 2 2 4 2 6" xfId="20767" xr:uid="{00000000-0005-0000-0000-000071230000}"/>
    <cellStyle name="Normal 5 2 2 2 2 4 3" xfId="1658" xr:uid="{00000000-0005-0000-0000-000072230000}"/>
    <cellStyle name="Normal 5 2 2 2 2 4 3 2" xfId="4125" xr:uid="{00000000-0005-0000-0000-000073230000}"/>
    <cellStyle name="Normal 5 2 2 2 2 4 3 2 2" xfId="9057" xr:uid="{00000000-0005-0000-0000-000074230000}"/>
    <cellStyle name="Normal 5 2 2 2 2 4 3 2 2 2" xfId="18917" xr:uid="{00000000-0005-0000-0000-000075230000}"/>
    <cellStyle name="Normal 5 2 2 2 2 4 3 2 2 2 2" xfId="38632" xr:uid="{00000000-0005-0000-0000-000076230000}"/>
    <cellStyle name="Normal 5 2 2 2 2 4 3 2 2 3" xfId="28775" xr:uid="{00000000-0005-0000-0000-000077230000}"/>
    <cellStyle name="Normal 5 2 2 2 2 4 3 2 3" xfId="13989" xr:uid="{00000000-0005-0000-0000-000078230000}"/>
    <cellStyle name="Normal 5 2 2 2 2 4 3 2 3 2" xfId="33704" xr:uid="{00000000-0005-0000-0000-000079230000}"/>
    <cellStyle name="Normal 5 2 2 2 2 4 3 2 4" xfId="23847" xr:uid="{00000000-0005-0000-0000-00007A230000}"/>
    <cellStyle name="Normal 5 2 2 2 2 4 3 3" xfId="6593" xr:uid="{00000000-0005-0000-0000-00007B230000}"/>
    <cellStyle name="Normal 5 2 2 2 2 4 3 3 2" xfId="16453" xr:uid="{00000000-0005-0000-0000-00007C230000}"/>
    <cellStyle name="Normal 5 2 2 2 2 4 3 3 2 2" xfId="36168" xr:uid="{00000000-0005-0000-0000-00007D230000}"/>
    <cellStyle name="Normal 5 2 2 2 2 4 3 3 3" xfId="26311" xr:uid="{00000000-0005-0000-0000-00007E230000}"/>
    <cellStyle name="Normal 5 2 2 2 2 4 3 4" xfId="11525" xr:uid="{00000000-0005-0000-0000-00007F230000}"/>
    <cellStyle name="Normal 5 2 2 2 2 4 3 4 2" xfId="31240" xr:uid="{00000000-0005-0000-0000-000080230000}"/>
    <cellStyle name="Normal 5 2 2 2 2 4 3 5" xfId="21383" xr:uid="{00000000-0005-0000-0000-000081230000}"/>
    <cellStyle name="Normal 5 2 2 2 2 4 4" xfId="2893" xr:uid="{00000000-0005-0000-0000-000082230000}"/>
    <cellStyle name="Normal 5 2 2 2 2 4 4 2" xfId="7825" xr:uid="{00000000-0005-0000-0000-000083230000}"/>
    <cellStyle name="Normal 5 2 2 2 2 4 4 2 2" xfId="17685" xr:uid="{00000000-0005-0000-0000-000084230000}"/>
    <cellStyle name="Normal 5 2 2 2 2 4 4 2 2 2" xfId="37400" xr:uid="{00000000-0005-0000-0000-000085230000}"/>
    <cellStyle name="Normal 5 2 2 2 2 4 4 2 3" xfId="27543" xr:uid="{00000000-0005-0000-0000-000086230000}"/>
    <cellStyle name="Normal 5 2 2 2 2 4 4 3" xfId="12757" xr:uid="{00000000-0005-0000-0000-000087230000}"/>
    <cellStyle name="Normal 5 2 2 2 2 4 4 3 2" xfId="32472" xr:uid="{00000000-0005-0000-0000-000088230000}"/>
    <cellStyle name="Normal 5 2 2 2 2 4 4 4" xfId="22615" xr:uid="{00000000-0005-0000-0000-000089230000}"/>
    <cellStyle name="Normal 5 2 2 2 2 4 5" xfId="5361" xr:uid="{00000000-0005-0000-0000-00008A230000}"/>
    <cellStyle name="Normal 5 2 2 2 2 4 5 2" xfId="15221" xr:uid="{00000000-0005-0000-0000-00008B230000}"/>
    <cellStyle name="Normal 5 2 2 2 2 4 5 2 2" xfId="34936" xr:uid="{00000000-0005-0000-0000-00008C230000}"/>
    <cellStyle name="Normal 5 2 2 2 2 4 5 3" xfId="25079" xr:uid="{00000000-0005-0000-0000-00008D230000}"/>
    <cellStyle name="Normal 5 2 2 2 2 4 6" xfId="10293" xr:uid="{00000000-0005-0000-0000-00008E230000}"/>
    <cellStyle name="Normal 5 2 2 2 2 4 6 2" xfId="30008" xr:uid="{00000000-0005-0000-0000-00008F230000}"/>
    <cellStyle name="Normal 5 2 2 2 2 4 7" xfId="20151" xr:uid="{00000000-0005-0000-0000-000090230000}"/>
    <cellStyle name="Normal 5 2 2 2 2 5" xfId="732" xr:uid="{00000000-0005-0000-0000-000091230000}"/>
    <cellStyle name="Normal 5 2 2 2 2 5 2" xfId="1968" xr:uid="{00000000-0005-0000-0000-000092230000}"/>
    <cellStyle name="Normal 5 2 2 2 2 5 2 2" xfId="4435" xr:uid="{00000000-0005-0000-0000-000093230000}"/>
    <cellStyle name="Normal 5 2 2 2 2 5 2 2 2" xfId="9367" xr:uid="{00000000-0005-0000-0000-000094230000}"/>
    <cellStyle name="Normal 5 2 2 2 2 5 2 2 2 2" xfId="19227" xr:uid="{00000000-0005-0000-0000-000095230000}"/>
    <cellStyle name="Normal 5 2 2 2 2 5 2 2 2 2 2" xfId="38942" xr:uid="{00000000-0005-0000-0000-000096230000}"/>
    <cellStyle name="Normal 5 2 2 2 2 5 2 2 2 3" xfId="29085" xr:uid="{00000000-0005-0000-0000-000097230000}"/>
    <cellStyle name="Normal 5 2 2 2 2 5 2 2 3" xfId="14299" xr:uid="{00000000-0005-0000-0000-000098230000}"/>
    <cellStyle name="Normal 5 2 2 2 2 5 2 2 3 2" xfId="34014" xr:uid="{00000000-0005-0000-0000-000099230000}"/>
    <cellStyle name="Normal 5 2 2 2 2 5 2 2 4" xfId="24157" xr:uid="{00000000-0005-0000-0000-00009A230000}"/>
    <cellStyle name="Normal 5 2 2 2 2 5 2 3" xfId="6903" xr:uid="{00000000-0005-0000-0000-00009B230000}"/>
    <cellStyle name="Normal 5 2 2 2 2 5 2 3 2" xfId="16763" xr:uid="{00000000-0005-0000-0000-00009C230000}"/>
    <cellStyle name="Normal 5 2 2 2 2 5 2 3 2 2" xfId="36478" xr:uid="{00000000-0005-0000-0000-00009D230000}"/>
    <cellStyle name="Normal 5 2 2 2 2 5 2 3 3" xfId="26621" xr:uid="{00000000-0005-0000-0000-00009E230000}"/>
    <cellStyle name="Normal 5 2 2 2 2 5 2 4" xfId="11835" xr:uid="{00000000-0005-0000-0000-00009F230000}"/>
    <cellStyle name="Normal 5 2 2 2 2 5 2 4 2" xfId="31550" xr:uid="{00000000-0005-0000-0000-0000A0230000}"/>
    <cellStyle name="Normal 5 2 2 2 2 5 2 5" xfId="21693" xr:uid="{00000000-0005-0000-0000-0000A1230000}"/>
    <cellStyle name="Normal 5 2 2 2 2 5 3" xfId="3203" xr:uid="{00000000-0005-0000-0000-0000A2230000}"/>
    <cellStyle name="Normal 5 2 2 2 2 5 3 2" xfId="8135" xr:uid="{00000000-0005-0000-0000-0000A3230000}"/>
    <cellStyle name="Normal 5 2 2 2 2 5 3 2 2" xfId="17995" xr:uid="{00000000-0005-0000-0000-0000A4230000}"/>
    <cellStyle name="Normal 5 2 2 2 2 5 3 2 2 2" xfId="37710" xr:uid="{00000000-0005-0000-0000-0000A5230000}"/>
    <cellStyle name="Normal 5 2 2 2 2 5 3 2 3" xfId="27853" xr:uid="{00000000-0005-0000-0000-0000A6230000}"/>
    <cellStyle name="Normal 5 2 2 2 2 5 3 3" xfId="13067" xr:uid="{00000000-0005-0000-0000-0000A7230000}"/>
    <cellStyle name="Normal 5 2 2 2 2 5 3 3 2" xfId="32782" xr:uid="{00000000-0005-0000-0000-0000A8230000}"/>
    <cellStyle name="Normal 5 2 2 2 2 5 3 4" xfId="22925" xr:uid="{00000000-0005-0000-0000-0000A9230000}"/>
    <cellStyle name="Normal 5 2 2 2 2 5 4" xfId="5671" xr:uid="{00000000-0005-0000-0000-0000AA230000}"/>
    <cellStyle name="Normal 5 2 2 2 2 5 4 2" xfId="15531" xr:uid="{00000000-0005-0000-0000-0000AB230000}"/>
    <cellStyle name="Normal 5 2 2 2 2 5 4 2 2" xfId="35246" xr:uid="{00000000-0005-0000-0000-0000AC230000}"/>
    <cellStyle name="Normal 5 2 2 2 2 5 4 3" xfId="25389" xr:uid="{00000000-0005-0000-0000-0000AD230000}"/>
    <cellStyle name="Normal 5 2 2 2 2 5 5" xfId="10603" xr:uid="{00000000-0005-0000-0000-0000AE230000}"/>
    <cellStyle name="Normal 5 2 2 2 2 5 5 2" xfId="30318" xr:uid="{00000000-0005-0000-0000-0000AF230000}"/>
    <cellStyle name="Normal 5 2 2 2 2 5 6" xfId="20461" xr:uid="{00000000-0005-0000-0000-0000B0230000}"/>
    <cellStyle name="Normal 5 2 2 2 2 6" xfId="1352" xr:uid="{00000000-0005-0000-0000-0000B1230000}"/>
    <cellStyle name="Normal 5 2 2 2 2 6 2" xfId="3819" xr:uid="{00000000-0005-0000-0000-0000B2230000}"/>
    <cellStyle name="Normal 5 2 2 2 2 6 2 2" xfId="8751" xr:uid="{00000000-0005-0000-0000-0000B3230000}"/>
    <cellStyle name="Normal 5 2 2 2 2 6 2 2 2" xfId="18611" xr:uid="{00000000-0005-0000-0000-0000B4230000}"/>
    <cellStyle name="Normal 5 2 2 2 2 6 2 2 2 2" xfId="38326" xr:uid="{00000000-0005-0000-0000-0000B5230000}"/>
    <cellStyle name="Normal 5 2 2 2 2 6 2 2 3" xfId="28469" xr:uid="{00000000-0005-0000-0000-0000B6230000}"/>
    <cellStyle name="Normal 5 2 2 2 2 6 2 3" xfId="13683" xr:uid="{00000000-0005-0000-0000-0000B7230000}"/>
    <cellStyle name="Normal 5 2 2 2 2 6 2 3 2" xfId="33398" xr:uid="{00000000-0005-0000-0000-0000B8230000}"/>
    <cellStyle name="Normal 5 2 2 2 2 6 2 4" xfId="23541" xr:uid="{00000000-0005-0000-0000-0000B9230000}"/>
    <cellStyle name="Normal 5 2 2 2 2 6 3" xfId="6287" xr:uid="{00000000-0005-0000-0000-0000BA230000}"/>
    <cellStyle name="Normal 5 2 2 2 2 6 3 2" xfId="16147" xr:uid="{00000000-0005-0000-0000-0000BB230000}"/>
    <cellStyle name="Normal 5 2 2 2 2 6 3 2 2" xfId="35862" xr:uid="{00000000-0005-0000-0000-0000BC230000}"/>
    <cellStyle name="Normal 5 2 2 2 2 6 3 3" xfId="26005" xr:uid="{00000000-0005-0000-0000-0000BD230000}"/>
    <cellStyle name="Normal 5 2 2 2 2 6 4" xfId="11219" xr:uid="{00000000-0005-0000-0000-0000BE230000}"/>
    <cellStyle name="Normal 5 2 2 2 2 6 4 2" xfId="30934" xr:uid="{00000000-0005-0000-0000-0000BF230000}"/>
    <cellStyle name="Normal 5 2 2 2 2 6 5" xfId="21077" xr:uid="{00000000-0005-0000-0000-0000C0230000}"/>
    <cellStyle name="Normal 5 2 2 2 2 7" xfId="2587" xr:uid="{00000000-0005-0000-0000-0000C1230000}"/>
    <cellStyle name="Normal 5 2 2 2 2 7 2" xfId="7519" xr:uid="{00000000-0005-0000-0000-0000C2230000}"/>
    <cellStyle name="Normal 5 2 2 2 2 7 2 2" xfId="17379" xr:uid="{00000000-0005-0000-0000-0000C3230000}"/>
    <cellStyle name="Normal 5 2 2 2 2 7 2 2 2" xfId="37094" xr:uid="{00000000-0005-0000-0000-0000C4230000}"/>
    <cellStyle name="Normal 5 2 2 2 2 7 2 3" xfId="27237" xr:uid="{00000000-0005-0000-0000-0000C5230000}"/>
    <cellStyle name="Normal 5 2 2 2 2 7 3" xfId="12451" xr:uid="{00000000-0005-0000-0000-0000C6230000}"/>
    <cellStyle name="Normal 5 2 2 2 2 7 3 2" xfId="32166" xr:uid="{00000000-0005-0000-0000-0000C7230000}"/>
    <cellStyle name="Normal 5 2 2 2 2 7 4" xfId="22309" xr:uid="{00000000-0005-0000-0000-0000C8230000}"/>
    <cellStyle name="Normal 5 2 2 2 2 8" xfId="5055" xr:uid="{00000000-0005-0000-0000-0000C9230000}"/>
    <cellStyle name="Normal 5 2 2 2 2 8 2" xfId="14915" xr:uid="{00000000-0005-0000-0000-0000CA230000}"/>
    <cellStyle name="Normal 5 2 2 2 2 8 2 2" xfId="34630" xr:uid="{00000000-0005-0000-0000-0000CB230000}"/>
    <cellStyle name="Normal 5 2 2 2 2 8 3" xfId="24773" xr:uid="{00000000-0005-0000-0000-0000CC230000}"/>
    <cellStyle name="Normal 5 2 2 2 2 9" xfId="9987" xr:uid="{00000000-0005-0000-0000-0000CD230000}"/>
    <cellStyle name="Normal 5 2 2 2 2 9 2" xfId="29702" xr:uid="{00000000-0005-0000-0000-0000CE230000}"/>
    <cellStyle name="Normal 5 2 2 2 3" xfId="138" xr:uid="{00000000-0005-0000-0000-0000CF230000}"/>
    <cellStyle name="Normal 5 2 2 2 3 2" xfId="295" xr:uid="{00000000-0005-0000-0000-0000D0230000}"/>
    <cellStyle name="Normal 5 2 2 2 3 2 2" xfId="609" xr:uid="{00000000-0005-0000-0000-0000D1230000}"/>
    <cellStyle name="Normal 5 2 2 2 3 2 2 2" xfId="1229" xr:uid="{00000000-0005-0000-0000-0000D2230000}"/>
    <cellStyle name="Normal 5 2 2 2 3 2 2 2 2" xfId="2464" xr:uid="{00000000-0005-0000-0000-0000D3230000}"/>
    <cellStyle name="Normal 5 2 2 2 3 2 2 2 2 2" xfId="4931" xr:uid="{00000000-0005-0000-0000-0000D4230000}"/>
    <cellStyle name="Normal 5 2 2 2 3 2 2 2 2 2 2" xfId="9863" xr:uid="{00000000-0005-0000-0000-0000D5230000}"/>
    <cellStyle name="Normal 5 2 2 2 3 2 2 2 2 2 2 2" xfId="19723" xr:uid="{00000000-0005-0000-0000-0000D6230000}"/>
    <cellStyle name="Normal 5 2 2 2 3 2 2 2 2 2 2 2 2" xfId="39438" xr:uid="{00000000-0005-0000-0000-0000D7230000}"/>
    <cellStyle name="Normal 5 2 2 2 3 2 2 2 2 2 2 3" xfId="29581" xr:uid="{00000000-0005-0000-0000-0000D8230000}"/>
    <cellStyle name="Normal 5 2 2 2 3 2 2 2 2 2 3" xfId="14795" xr:uid="{00000000-0005-0000-0000-0000D9230000}"/>
    <cellStyle name="Normal 5 2 2 2 3 2 2 2 2 2 3 2" xfId="34510" xr:uid="{00000000-0005-0000-0000-0000DA230000}"/>
    <cellStyle name="Normal 5 2 2 2 3 2 2 2 2 2 4" xfId="24653" xr:uid="{00000000-0005-0000-0000-0000DB230000}"/>
    <cellStyle name="Normal 5 2 2 2 3 2 2 2 2 3" xfId="7399" xr:uid="{00000000-0005-0000-0000-0000DC230000}"/>
    <cellStyle name="Normal 5 2 2 2 3 2 2 2 2 3 2" xfId="17259" xr:uid="{00000000-0005-0000-0000-0000DD230000}"/>
    <cellStyle name="Normal 5 2 2 2 3 2 2 2 2 3 2 2" xfId="36974" xr:uid="{00000000-0005-0000-0000-0000DE230000}"/>
    <cellStyle name="Normal 5 2 2 2 3 2 2 2 2 3 3" xfId="27117" xr:uid="{00000000-0005-0000-0000-0000DF230000}"/>
    <cellStyle name="Normal 5 2 2 2 3 2 2 2 2 4" xfId="12331" xr:uid="{00000000-0005-0000-0000-0000E0230000}"/>
    <cellStyle name="Normal 5 2 2 2 3 2 2 2 2 4 2" xfId="32046" xr:uid="{00000000-0005-0000-0000-0000E1230000}"/>
    <cellStyle name="Normal 5 2 2 2 3 2 2 2 2 5" xfId="22189" xr:uid="{00000000-0005-0000-0000-0000E2230000}"/>
    <cellStyle name="Normal 5 2 2 2 3 2 2 2 3" xfId="3699" xr:uid="{00000000-0005-0000-0000-0000E3230000}"/>
    <cellStyle name="Normal 5 2 2 2 3 2 2 2 3 2" xfId="8631" xr:uid="{00000000-0005-0000-0000-0000E4230000}"/>
    <cellStyle name="Normal 5 2 2 2 3 2 2 2 3 2 2" xfId="18491" xr:uid="{00000000-0005-0000-0000-0000E5230000}"/>
    <cellStyle name="Normal 5 2 2 2 3 2 2 2 3 2 2 2" xfId="38206" xr:uid="{00000000-0005-0000-0000-0000E6230000}"/>
    <cellStyle name="Normal 5 2 2 2 3 2 2 2 3 2 3" xfId="28349" xr:uid="{00000000-0005-0000-0000-0000E7230000}"/>
    <cellStyle name="Normal 5 2 2 2 3 2 2 2 3 3" xfId="13563" xr:uid="{00000000-0005-0000-0000-0000E8230000}"/>
    <cellStyle name="Normal 5 2 2 2 3 2 2 2 3 3 2" xfId="33278" xr:uid="{00000000-0005-0000-0000-0000E9230000}"/>
    <cellStyle name="Normal 5 2 2 2 3 2 2 2 3 4" xfId="23421" xr:uid="{00000000-0005-0000-0000-0000EA230000}"/>
    <cellStyle name="Normal 5 2 2 2 3 2 2 2 4" xfId="6167" xr:uid="{00000000-0005-0000-0000-0000EB230000}"/>
    <cellStyle name="Normal 5 2 2 2 3 2 2 2 4 2" xfId="16027" xr:uid="{00000000-0005-0000-0000-0000EC230000}"/>
    <cellStyle name="Normal 5 2 2 2 3 2 2 2 4 2 2" xfId="35742" xr:uid="{00000000-0005-0000-0000-0000ED230000}"/>
    <cellStyle name="Normal 5 2 2 2 3 2 2 2 4 3" xfId="25885" xr:uid="{00000000-0005-0000-0000-0000EE230000}"/>
    <cellStyle name="Normal 5 2 2 2 3 2 2 2 5" xfId="11099" xr:uid="{00000000-0005-0000-0000-0000EF230000}"/>
    <cellStyle name="Normal 5 2 2 2 3 2 2 2 5 2" xfId="30814" xr:uid="{00000000-0005-0000-0000-0000F0230000}"/>
    <cellStyle name="Normal 5 2 2 2 3 2 2 2 6" xfId="20957" xr:uid="{00000000-0005-0000-0000-0000F1230000}"/>
    <cellStyle name="Normal 5 2 2 2 3 2 2 3" xfId="1848" xr:uid="{00000000-0005-0000-0000-0000F2230000}"/>
    <cellStyle name="Normal 5 2 2 2 3 2 2 3 2" xfId="4315" xr:uid="{00000000-0005-0000-0000-0000F3230000}"/>
    <cellStyle name="Normal 5 2 2 2 3 2 2 3 2 2" xfId="9247" xr:uid="{00000000-0005-0000-0000-0000F4230000}"/>
    <cellStyle name="Normal 5 2 2 2 3 2 2 3 2 2 2" xfId="19107" xr:uid="{00000000-0005-0000-0000-0000F5230000}"/>
    <cellStyle name="Normal 5 2 2 2 3 2 2 3 2 2 2 2" xfId="38822" xr:uid="{00000000-0005-0000-0000-0000F6230000}"/>
    <cellStyle name="Normal 5 2 2 2 3 2 2 3 2 2 3" xfId="28965" xr:uid="{00000000-0005-0000-0000-0000F7230000}"/>
    <cellStyle name="Normal 5 2 2 2 3 2 2 3 2 3" xfId="14179" xr:uid="{00000000-0005-0000-0000-0000F8230000}"/>
    <cellStyle name="Normal 5 2 2 2 3 2 2 3 2 3 2" xfId="33894" xr:uid="{00000000-0005-0000-0000-0000F9230000}"/>
    <cellStyle name="Normal 5 2 2 2 3 2 2 3 2 4" xfId="24037" xr:uid="{00000000-0005-0000-0000-0000FA230000}"/>
    <cellStyle name="Normal 5 2 2 2 3 2 2 3 3" xfId="6783" xr:uid="{00000000-0005-0000-0000-0000FB230000}"/>
    <cellStyle name="Normal 5 2 2 2 3 2 2 3 3 2" xfId="16643" xr:uid="{00000000-0005-0000-0000-0000FC230000}"/>
    <cellStyle name="Normal 5 2 2 2 3 2 2 3 3 2 2" xfId="36358" xr:uid="{00000000-0005-0000-0000-0000FD230000}"/>
    <cellStyle name="Normal 5 2 2 2 3 2 2 3 3 3" xfId="26501" xr:uid="{00000000-0005-0000-0000-0000FE230000}"/>
    <cellStyle name="Normal 5 2 2 2 3 2 2 3 4" xfId="11715" xr:uid="{00000000-0005-0000-0000-0000FF230000}"/>
    <cellStyle name="Normal 5 2 2 2 3 2 2 3 4 2" xfId="31430" xr:uid="{00000000-0005-0000-0000-000000240000}"/>
    <cellStyle name="Normal 5 2 2 2 3 2 2 3 5" xfId="21573" xr:uid="{00000000-0005-0000-0000-000001240000}"/>
    <cellStyle name="Normal 5 2 2 2 3 2 2 4" xfId="3083" xr:uid="{00000000-0005-0000-0000-000002240000}"/>
    <cellStyle name="Normal 5 2 2 2 3 2 2 4 2" xfId="8015" xr:uid="{00000000-0005-0000-0000-000003240000}"/>
    <cellStyle name="Normal 5 2 2 2 3 2 2 4 2 2" xfId="17875" xr:uid="{00000000-0005-0000-0000-000004240000}"/>
    <cellStyle name="Normal 5 2 2 2 3 2 2 4 2 2 2" xfId="37590" xr:uid="{00000000-0005-0000-0000-000005240000}"/>
    <cellStyle name="Normal 5 2 2 2 3 2 2 4 2 3" xfId="27733" xr:uid="{00000000-0005-0000-0000-000006240000}"/>
    <cellStyle name="Normal 5 2 2 2 3 2 2 4 3" xfId="12947" xr:uid="{00000000-0005-0000-0000-000007240000}"/>
    <cellStyle name="Normal 5 2 2 2 3 2 2 4 3 2" xfId="32662" xr:uid="{00000000-0005-0000-0000-000008240000}"/>
    <cellStyle name="Normal 5 2 2 2 3 2 2 4 4" xfId="22805" xr:uid="{00000000-0005-0000-0000-000009240000}"/>
    <cellStyle name="Normal 5 2 2 2 3 2 2 5" xfId="5551" xr:uid="{00000000-0005-0000-0000-00000A240000}"/>
    <cellStyle name="Normal 5 2 2 2 3 2 2 5 2" xfId="15411" xr:uid="{00000000-0005-0000-0000-00000B240000}"/>
    <cellStyle name="Normal 5 2 2 2 3 2 2 5 2 2" xfId="35126" xr:uid="{00000000-0005-0000-0000-00000C240000}"/>
    <cellStyle name="Normal 5 2 2 2 3 2 2 5 3" xfId="25269" xr:uid="{00000000-0005-0000-0000-00000D240000}"/>
    <cellStyle name="Normal 5 2 2 2 3 2 2 6" xfId="10483" xr:uid="{00000000-0005-0000-0000-00000E240000}"/>
    <cellStyle name="Normal 5 2 2 2 3 2 2 6 2" xfId="30198" xr:uid="{00000000-0005-0000-0000-00000F240000}"/>
    <cellStyle name="Normal 5 2 2 2 3 2 2 7" xfId="20341" xr:uid="{00000000-0005-0000-0000-000010240000}"/>
    <cellStyle name="Normal 5 2 2 2 3 2 3" xfId="922" xr:uid="{00000000-0005-0000-0000-000011240000}"/>
    <cellStyle name="Normal 5 2 2 2 3 2 3 2" xfId="2158" xr:uid="{00000000-0005-0000-0000-000012240000}"/>
    <cellStyle name="Normal 5 2 2 2 3 2 3 2 2" xfId="4625" xr:uid="{00000000-0005-0000-0000-000013240000}"/>
    <cellStyle name="Normal 5 2 2 2 3 2 3 2 2 2" xfId="9557" xr:uid="{00000000-0005-0000-0000-000014240000}"/>
    <cellStyle name="Normal 5 2 2 2 3 2 3 2 2 2 2" xfId="19417" xr:uid="{00000000-0005-0000-0000-000015240000}"/>
    <cellStyle name="Normal 5 2 2 2 3 2 3 2 2 2 2 2" xfId="39132" xr:uid="{00000000-0005-0000-0000-000016240000}"/>
    <cellStyle name="Normal 5 2 2 2 3 2 3 2 2 2 3" xfId="29275" xr:uid="{00000000-0005-0000-0000-000017240000}"/>
    <cellStyle name="Normal 5 2 2 2 3 2 3 2 2 3" xfId="14489" xr:uid="{00000000-0005-0000-0000-000018240000}"/>
    <cellStyle name="Normal 5 2 2 2 3 2 3 2 2 3 2" xfId="34204" xr:uid="{00000000-0005-0000-0000-000019240000}"/>
    <cellStyle name="Normal 5 2 2 2 3 2 3 2 2 4" xfId="24347" xr:uid="{00000000-0005-0000-0000-00001A240000}"/>
    <cellStyle name="Normal 5 2 2 2 3 2 3 2 3" xfId="7093" xr:uid="{00000000-0005-0000-0000-00001B240000}"/>
    <cellStyle name="Normal 5 2 2 2 3 2 3 2 3 2" xfId="16953" xr:uid="{00000000-0005-0000-0000-00001C240000}"/>
    <cellStyle name="Normal 5 2 2 2 3 2 3 2 3 2 2" xfId="36668" xr:uid="{00000000-0005-0000-0000-00001D240000}"/>
    <cellStyle name="Normal 5 2 2 2 3 2 3 2 3 3" xfId="26811" xr:uid="{00000000-0005-0000-0000-00001E240000}"/>
    <cellStyle name="Normal 5 2 2 2 3 2 3 2 4" xfId="12025" xr:uid="{00000000-0005-0000-0000-00001F240000}"/>
    <cellStyle name="Normal 5 2 2 2 3 2 3 2 4 2" xfId="31740" xr:uid="{00000000-0005-0000-0000-000020240000}"/>
    <cellStyle name="Normal 5 2 2 2 3 2 3 2 5" xfId="21883" xr:uid="{00000000-0005-0000-0000-000021240000}"/>
    <cellStyle name="Normal 5 2 2 2 3 2 3 3" xfId="3393" xr:uid="{00000000-0005-0000-0000-000022240000}"/>
    <cellStyle name="Normal 5 2 2 2 3 2 3 3 2" xfId="8325" xr:uid="{00000000-0005-0000-0000-000023240000}"/>
    <cellStyle name="Normal 5 2 2 2 3 2 3 3 2 2" xfId="18185" xr:uid="{00000000-0005-0000-0000-000024240000}"/>
    <cellStyle name="Normal 5 2 2 2 3 2 3 3 2 2 2" xfId="37900" xr:uid="{00000000-0005-0000-0000-000025240000}"/>
    <cellStyle name="Normal 5 2 2 2 3 2 3 3 2 3" xfId="28043" xr:uid="{00000000-0005-0000-0000-000026240000}"/>
    <cellStyle name="Normal 5 2 2 2 3 2 3 3 3" xfId="13257" xr:uid="{00000000-0005-0000-0000-000027240000}"/>
    <cellStyle name="Normal 5 2 2 2 3 2 3 3 3 2" xfId="32972" xr:uid="{00000000-0005-0000-0000-000028240000}"/>
    <cellStyle name="Normal 5 2 2 2 3 2 3 3 4" xfId="23115" xr:uid="{00000000-0005-0000-0000-000029240000}"/>
    <cellStyle name="Normal 5 2 2 2 3 2 3 4" xfId="5861" xr:uid="{00000000-0005-0000-0000-00002A240000}"/>
    <cellStyle name="Normal 5 2 2 2 3 2 3 4 2" xfId="15721" xr:uid="{00000000-0005-0000-0000-00002B240000}"/>
    <cellStyle name="Normal 5 2 2 2 3 2 3 4 2 2" xfId="35436" xr:uid="{00000000-0005-0000-0000-00002C240000}"/>
    <cellStyle name="Normal 5 2 2 2 3 2 3 4 3" xfId="25579" xr:uid="{00000000-0005-0000-0000-00002D240000}"/>
    <cellStyle name="Normal 5 2 2 2 3 2 3 5" xfId="10793" xr:uid="{00000000-0005-0000-0000-00002E240000}"/>
    <cellStyle name="Normal 5 2 2 2 3 2 3 5 2" xfId="30508" xr:uid="{00000000-0005-0000-0000-00002F240000}"/>
    <cellStyle name="Normal 5 2 2 2 3 2 3 6" xfId="20651" xr:uid="{00000000-0005-0000-0000-000030240000}"/>
    <cellStyle name="Normal 5 2 2 2 3 2 4" xfId="1542" xr:uid="{00000000-0005-0000-0000-000031240000}"/>
    <cellStyle name="Normal 5 2 2 2 3 2 4 2" xfId="4009" xr:uid="{00000000-0005-0000-0000-000032240000}"/>
    <cellStyle name="Normal 5 2 2 2 3 2 4 2 2" xfId="8941" xr:uid="{00000000-0005-0000-0000-000033240000}"/>
    <cellStyle name="Normal 5 2 2 2 3 2 4 2 2 2" xfId="18801" xr:uid="{00000000-0005-0000-0000-000034240000}"/>
    <cellStyle name="Normal 5 2 2 2 3 2 4 2 2 2 2" xfId="38516" xr:uid="{00000000-0005-0000-0000-000035240000}"/>
    <cellStyle name="Normal 5 2 2 2 3 2 4 2 2 3" xfId="28659" xr:uid="{00000000-0005-0000-0000-000036240000}"/>
    <cellStyle name="Normal 5 2 2 2 3 2 4 2 3" xfId="13873" xr:uid="{00000000-0005-0000-0000-000037240000}"/>
    <cellStyle name="Normal 5 2 2 2 3 2 4 2 3 2" xfId="33588" xr:uid="{00000000-0005-0000-0000-000038240000}"/>
    <cellStyle name="Normal 5 2 2 2 3 2 4 2 4" xfId="23731" xr:uid="{00000000-0005-0000-0000-000039240000}"/>
    <cellStyle name="Normal 5 2 2 2 3 2 4 3" xfId="6477" xr:uid="{00000000-0005-0000-0000-00003A240000}"/>
    <cellStyle name="Normal 5 2 2 2 3 2 4 3 2" xfId="16337" xr:uid="{00000000-0005-0000-0000-00003B240000}"/>
    <cellStyle name="Normal 5 2 2 2 3 2 4 3 2 2" xfId="36052" xr:uid="{00000000-0005-0000-0000-00003C240000}"/>
    <cellStyle name="Normal 5 2 2 2 3 2 4 3 3" xfId="26195" xr:uid="{00000000-0005-0000-0000-00003D240000}"/>
    <cellStyle name="Normal 5 2 2 2 3 2 4 4" xfId="11409" xr:uid="{00000000-0005-0000-0000-00003E240000}"/>
    <cellStyle name="Normal 5 2 2 2 3 2 4 4 2" xfId="31124" xr:uid="{00000000-0005-0000-0000-00003F240000}"/>
    <cellStyle name="Normal 5 2 2 2 3 2 4 5" xfId="21267" xr:uid="{00000000-0005-0000-0000-000040240000}"/>
    <cellStyle name="Normal 5 2 2 2 3 2 5" xfId="2777" xr:uid="{00000000-0005-0000-0000-000041240000}"/>
    <cellStyle name="Normal 5 2 2 2 3 2 5 2" xfId="7709" xr:uid="{00000000-0005-0000-0000-000042240000}"/>
    <cellStyle name="Normal 5 2 2 2 3 2 5 2 2" xfId="17569" xr:uid="{00000000-0005-0000-0000-000043240000}"/>
    <cellStyle name="Normal 5 2 2 2 3 2 5 2 2 2" xfId="37284" xr:uid="{00000000-0005-0000-0000-000044240000}"/>
    <cellStyle name="Normal 5 2 2 2 3 2 5 2 3" xfId="27427" xr:uid="{00000000-0005-0000-0000-000045240000}"/>
    <cellStyle name="Normal 5 2 2 2 3 2 5 3" xfId="12641" xr:uid="{00000000-0005-0000-0000-000046240000}"/>
    <cellStyle name="Normal 5 2 2 2 3 2 5 3 2" xfId="32356" xr:uid="{00000000-0005-0000-0000-000047240000}"/>
    <cellStyle name="Normal 5 2 2 2 3 2 5 4" xfId="22499" xr:uid="{00000000-0005-0000-0000-000048240000}"/>
    <cellStyle name="Normal 5 2 2 2 3 2 6" xfId="5245" xr:uid="{00000000-0005-0000-0000-000049240000}"/>
    <cellStyle name="Normal 5 2 2 2 3 2 6 2" xfId="15105" xr:uid="{00000000-0005-0000-0000-00004A240000}"/>
    <cellStyle name="Normal 5 2 2 2 3 2 6 2 2" xfId="34820" xr:uid="{00000000-0005-0000-0000-00004B240000}"/>
    <cellStyle name="Normal 5 2 2 2 3 2 6 3" xfId="24963" xr:uid="{00000000-0005-0000-0000-00004C240000}"/>
    <cellStyle name="Normal 5 2 2 2 3 2 7" xfId="10177" xr:uid="{00000000-0005-0000-0000-00004D240000}"/>
    <cellStyle name="Normal 5 2 2 2 3 2 7 2" xfId="29892" xr:uid="{00000000-0005-0000-0000-00004E240000}"/>
    <cellStyle name="Normal 5 2 2 2 3 2 8" xfId="20035" xr:uid="{00000000-0005-0000-0000-00004F240000}"/>
    <cellStyle name="Normal 5 2 2 2 3 3" xfId="457" xr:uid="{00000000-0005-0000-0000-000050240000}"/>
    <cellStyle name="Normal 5 2 2 2 3 3 2" xfId="1077" xr:uid="{00000000-0005-0000-0000-000051240000}"/>
    <cellStyle name="Normal 5 2 2 2 3 3 2 2" xfId="2312" xr:uid="{00000000-0005-0000-0000-000052240000}"/>
    <cellStyle name="Normal 5 2 2 2 3 3 2 2 2" xfId="4779" xr:uid="{00000000-0005-0000-0000-000053240000}"/>
    <cellStyle name="Normal 5 2 2 2 3 3 2 2 2 2" xfId="9711" xr:uid="{00000000-0005-0000-0000-000054240000}"/>
    <cellStyle name="Normal 5 2 2 2 3 3 2 2 2 2 2" xfId="19571" xr:uid="{00000000-0005-0000-0000-000055240000}"/>
    <cellStyle name="Normal 5 2 2 2 3 3 2 2 2 2 2 2" xfId="39286" xr:uid="{00000000-0005-0000-0000-000056240000}"/>
    <cellStyle name="Normal 5 2 2 2 3 3 2 2 2 2 3" xfId="29429" xr:uid="{00000000-0005-0000-0000-000057240000}"/>
    <cellStyle name="Normal 5 2 2 2 3 3 2 2 2 3" xfId="14643" xr:uid="{00000000-0005-0000-0000-000058240000}"/>
    <cellStyle name="Normal 5 2 2 2 3 3 2 2 2 3 2" xfId="34358" xr:uid="{00000000-0005-0000-0000-000059240000}"/>
    <cellStyle name="Normal 5 2 2 2 3 3 2 2 2 4" xfId="24501" xr:uid="{00000000-0005-0000-0000-00005A240000}"/>
    <cellStyle name="Normal 5 2 2 2 3 3 2 2 3" xfId="7247" xr:uid="{00000000-0005-0000-0000-00005B240000}"/>
    <cellStyle name="Normal 5 2 2 2 3 3 2 2 3 2" xfId="17107" xr:uid="{00000000-0005-0000-0000-00005C240000}"/>
    <cellStyle name="Normal 5 2 2 2 3 3 2 2 3 2 2" xfId="36822" xr:uid="{00000000-0005-0000-0000-00005D240000}"/>
    <cellStyle name="Normal 5 2 2 2 3 3 2 2 3 3" xfId="26965" xr:uid="{00000000-0005-0000-0000-00005E240000}"/>
    <cellStyle name="Normal 5 2 2 2 3 3 2 2 4" xfId="12179" xr:uid="{00000000-0005-0000-0000-00005F240000}"/>
    <cellStyle name="Normal 5 2 2 2 3 3 2 2 4 2" xfId="31894" xr:uid="{00000000-0005-0000-0000-000060240000}"/>
    <cellStyle name="Normal 5 2 2 2 3 3 2 2 5" xfId="22037" xr:uid="{00000000-0005-0000-0000-000061240000}"/>
    <cellStyle name="Normal 5 2 2 2 3 3 2 3" xfId="3547" xr:uid="{00000000-0005-0000-0000-000062240000}"/>
    <cellStyle name="Normal 5 2 2 2 3 3 2 3 2" xfId="8479" xr:uid="{00000000-0005-0000-0000-000063240000}"/>
    <cellStyle name="Normal 5 2 2 2 3 3 2 3 2 2" xfId="18339" xr:uid="{00000000-0005-0000-0000-000064240000}"/>
    <cellStyle name="Normal 5 2 2 2 3 3 2 3 2 2 2" xfId="38054" xr:uid="{00000000-0005-0000-0000-000065240000}"/>
    <cellStyle name="Normal 5 2 2 2 3 3 2 3 2 3" xfId="28197" xr:uid="{00000000-0005-0000-0000-000066240000}"/>
    <cellStyle name="Normal 5 2 2 2 3 3 2 3 3" xfId="13411" xr:uid="{00000000-0005-0000-0000-000067240000}"/>
    <cellStyle name="Normal 5 2 2 2 3 3 2 3 3 2" xfId="33126" xr:uid="{00000000-0005-0000-0000-000068240000}"/>
    <cellStyle name="Normal 5 2 2 2 3 3 2 3 4" xfId="23269" xr:uid="{00000000-0005-0000-0000-000069240000}"/>
    <cellStyle name="Normal 5 2 2 2 3 3 2 4" xfId="6015" xr:uid="{00000000-0005-0000-0000-00006A240000}"/>
    <cellStyle name="Normal 5 2 2 2 3 3 2 4 2" xfId="15875" xr:uid="{00000000-0005-0000-0000-00006B240000}"/>
    <cellStyle name="Normal 5 2 2 2 3 3 2 4 2 2" xfId="35590" xr:uid="{00000000-0005-0000-0000-00006C240000}"/>
    <cellStyle name="Normal 5 2 2 2 3 3 2 4 3" xfId="25733" xr:uid="{00000000-0005-0000-0000-00006D240000}"/>
    <cellStyle name="Normal 5 2 2 2 3 3 2 5" xfId="10947" xr:uid="{00000000-0005-0000-0000-00006E240000}"/>
    <cellStyle name="Normal 5 2 2 2 3 3 2 5 2" xfId="30662" xr:uid="{00000000-0005-0000-0000-00006F240000}"/>
    <cellStyle name="Normal 5 2 2 2 3 3 2 6" xfId="20805" xr:uid="{00000000-0005-0000-0000-000070240000}"/>
    <cellStyle name="Normal 5 2 2 2 3 3 3" xfId="1696" xr:uid="{00000000-0005-0000-0000-000071240000}"/>
    <cellStyle name="Normal 5 2 2 2 3 3 3 2" xfId="4163" xr:uid="{00000000-0005-0000-0000-000072240000}"/>
    <cellStyle name="Normal 5 2 2 2 3 3 3 2 2" xfId="9095" xr:uid="{00000000-0005-0000-0000-000073240000}"/>
    <cellStyle name="Normal 5 2 2 2 3 3 3 2 2 2" xfId="18955" xr:uid="{00000000-0005-0000-0000-000074240000}"/>
    <cellStyle name="Normal 5 2 2 2 3 3 3 2 2 2 2" xfId="38670" xr:uid="{00000000-0005-0000-0000-000075240000}"/>
    <cellStyle name="Normal 5 2 2 2 3 3 3 2 2 3" xfId="28813" xr:uid="{00000000-0005-0000-0000-000076240000}"/>
    <cellStyle name="Normal 5 2 2 2 3 3 3 2 3" xfId="14027" xr:uid="{00000000-0005-0000-0000-000077240000}"/>
    <cellStyle name="Normal 5 2 2 2 3 3 3 2 3 2" xfId="33742" xr:uid="{00000000-0005-0000-0000-000078240000}"/>
    <cellStyle name="Normal 5 2 2 2 3 3 3 2 4" xfId="23885" xr:uid="{00000000-0005-0000-0000-000079240000}"/>
    <cellStyle name="Normal 5 2 2 2 3 3 3 3" xfId="6631" xr:uid="{00000000-0005-0000-0000-00007A240000}"/>
    <cellStyle name="Normal 5 2 2 2 3 3 3 3 2" xfId="16491" xr:uid="{00000000-0005-0000-0000-00007B240000}"/>
    <cellStyle name="Normal 5 2 2 2 3 3 3 3 2 2" xfId="36206" xr:uid="{00000000-0005-0000-0000-00007C240000}"/>
    <cellStyle name="Normal 5 2 2 2 3 3 3 3 3" xfId="26349" xr:uid="{00000000-0005-0000-0000-00007D240000}"/>
    <cellStyle name="Normal 5 2 2 2 3 3 3 4" xfId="11563" xr:uid="{00000000-0005-0000-0000-00007E240000}"/>
    <cellStyle name="Normal 5 2 2 2 3 3 3 4 2" xfId="31278" xr:uid="{00000000-0005-0000-0000-00007F240000}"/>
    <cellStyle name="Normal 5 2 2 2 3 3 3 5" xfId="21421" xr:uid="{00000000-0005-0000-0000-000080240000}"/>
    <cellStyle name="Normal 5 2 2 2 3 3 4" xfId="2931" xr:uid="{00000000-0005-0000-0000-000081240000}"/>
    <cellStyle name="Normal 5 2 2 2 3 3 4 2" xfId="7863" xr:uid="{00000000-0005-0000-0000-000082240000}"/>
    <cellStyle name="Normal 5 2 2 2 3 3 4 2 2" xfId="17723" xr:uid="{00000000-0005-0000-0000-000083240000}"/>
    <cellStyle name="Normal 5 2 2 2 3 3 4 2 2 2" xfId="37438" xr:uid="{00000000-0005-0000-0000-000084240000}"/>
    <cellStyle name="Normal 5 2 2 2 3 3 4 2 3" xfId="27581" xr:uid="{00000000-0005-0000-0000-000085240000}"/>
    <cellStyle name="Normal 5 2 2 2 3 3 4 3" xfId="12795" xr:uid="{00000000-0005-0000-0000-000086240000}"/>
    <cellStyle name="Normal 5 2 2 2 3 3 4 3 2" xfId="32510" xr:uid="{00000000-0005-0000-0000-000087240000}"/>
    <cellStyle name="Normal 5 2 2 2 3 3 4 4" xfId="22653" xr:uid="{00000000-0005-0000-0000-000088240000}"/>
    <cellStyle name="Normal 5 2 2 2 3 3 5" xfId="5399" xr:uid="{00000000-0005-0000-0000-000089240000}"/>
    <cellStyle name="Normal 5 2 2 2 3 3 5 2" xfId="15259" xr:uid="{00000000-0005-0000-0000-00008A240000}"/>
    <cellStyle name="Normal 5 2 2 2 3 3 5 2 2" xfId="34974" xr:uid="{00000000-0005-0000-0000-00008B240000}"/>
    <cellStyle name="Normal 5 2 2 2 3 3 5 3" xfId="25117" xr:uid="{00000000-0005-0000-0000-00008C240000}"/>
    <cellStyle name="Normal 5 2 2 2 3 3 6" xfId="10331" xr:uid="{00000000-0005-0000-0000-00008D240000}"/>
    <cellStyle name="Normal 5 2 2 2 3 3 6 2" xfId="30046" xr:uid="{00000000-0005-0000-0000-00008E240000}"/>
    <cellStyle name="Normal 5 2 2 2 3 3 7" xfId="20189" xr:uid="{00000000-0005-0000-0000-00008F240000}"/>
    <cellStyle name="Normal 5 2 2 2 3 4" xfId="770" xr:uid="{00000000-0005-0000-0000-000090240000}"/>
    <cellStyle name="Normal 5 2 2 2 3 4 2" xfId="2006" xr:uid="{00000000-0005-0000-0000-000091240000}"/>
    <cellStyle name="Normal 5 2 2 2 3 4 2 2" xfId="4473" xr:uid="{00000000-0005-0000-0000-000092240000}"/>
    <cellStyle name="Normal 5 2 2 2 3 4 2 2 2" xfId="9405" xr:uid="{00000000-0005-0000-0000-000093240000}"/>
    <cellStyle name="Normal 5 2 2 2 3 4 2 2 2 2" xfId="19265" xr:uid="{00000000-0005-0000-0000-000094240000}"/>
    <cellStyle name="Normal 5 2 2 2 3 4 2 2 2 2 2" xfId="38980" xr:uid="{00000000-0005-0000-0000-000095240000}"/>
    <cellStyle name="Normal 5 2 2 2 3 4 2 2 2 3" xfId="29123" xr:uid="{00000000-0005-0000-0000-000096240000}"/>
    <cellStyle name="Normal 5 2 2 2 3 4 2 2 3" xfId="14337" xr:uid="{00000000-0005-0000-0000-000097240000}"/>
    <cellStyle name="Normal 5 2 2 2 3 4 2 2 3 2" xfId="34052" xr:uid="{00000000-0005-0000-0000-000098240000}"/>
    <cellStyle name="Normal 5 2 2 2 3 4 2 2 4" xfId="24195" xr:uid="{00000000-0005-0000-0000-000099240000}"/>
    <cellStyle name="Normal 5 2 2 2 3 4 2 3" xfId="6941" xr:uid="{00000000-0005-0000-0000-00009A240000}"/>
    <cellStyle name="Normal 5 2 2 2 3 4 2 3 2" xfId="16801" xr:uid="{00000000-0005-0000-0000-00009B240000}"/>
    <cellStyle name="Normal 5 2 2 2 3 4 2 3 2 2" xfId="36516" xr:uid="{00000000-0005-0000-0000-00009C240000}"/>
    <cellStyle name="Normal 5 2 2 2 3 4 2 3 3" xfId="26659" xr:uid="{00000000-0005-0000-0000-00009D240000}"/>
    <cellStyle name="Normal 5 2 2 2 3 4 2 4" xfId="11873" xr:uid="{00000000-0005-0000-0000-00009E240000}"/>
    <cellStyle name="Normal 5 2 2 2 3 4 2 4 2" xfId="31588" xr:uid="{00000000-0005-0000-0000-00009F240000}"/>
    <cellStyle name="Normal 5 2 2 2 3 4 2 5" xfId="21731" xr:uid="{00000000-0005-0000-0000-0000A0240000}"/>
    <cellStyle name="Normal 5 2 2 2 3 4 3" xfId="3241" xr:uid="{00000000-0005-0000-0000-0000A1240000}"/>
    <cellStyle name="Normal 5 2 2 2 3 4 3 2" xfId="8173" xr:uid="{00000000-0005-0000-0000-0000A2240000}"/>
    <cellStyle name="Normal 5 2 2 2 3 4 3 2 2" xfId="18033" xr:uid="{00000000-0005-0000-0000-0000A3240000}"/>
    <cellStyle name="Normal 5 2 2 2 3 4 3 2 2 2" xfId="37748" xr:uid="{00000000-0005-0000-0000-0000A4240000}"/>
    <cellStyle name="Normal 5 2 2 2 3 4 3 2 3" xfId="27891" xr:uid="{00000000-0005-0000-0000-0000A5240000}"/>
    <cellStyle name="Normal 5 2 2 2 3 4 3 3" xfId="13105" xr:uid="{00000000-0005-0000-0000-0000A6240000}"/>
    <cellStyle name="Normal 5 2 2 2 3 4 3 3 2" xfId="32820" xr:uid="{00000000-0005-0000-0000-0000A7240000}"/>
    <cellStyle name="Normal 5 2 2 2 3 4 3 4" xfId="22963" xr:uid="{00000000-0005-0000-0000-0000A8240000}"/>
    <cellStyle name="Normal 5 2 2 2 3 4 4" xfId="5709" xr:uid="{00000000-0005-0000-0000-0000A9240000}"/>
    <cellStyle name="Normal 5 2 2 2 3 4 4 2" xfId="15569" xr:uid="{00000000-0005-0000-0000-0000AA240000}"/>
    <cellStyle name="Normal 5 2 2 2 3 4 4 2 2" xfId="35284" xr:uid="{00000000-0005-0000-0000-0000AB240000}"/>
    <cellStyle name="Normal 5 2 2 2 3 4 4 3" xfId="25427" xr:uid="{00000000-0005-0000-0000-0000AC240000}"/>
    <cellStyle name="Normal 5 2 2 2 3 4 5" xfId="10641" xr:uid="{00000000-0005-0000-0000-0000AD240000}"/>
    <cellStyle name="Normal 5 2 2 2 3 4 5 2" xfId="30356" xr:uid="{00000000-0005-0000-0000-0000AE240000}"/>
    <cellStyle name="Normal 5 2 2 2 3 4 6" xfId="20499" xr:uid="{00000000-0005-0000-0000-0000AF240000}"/>
    <cellStyle name="Normal 5 2 2 2 3 5" xfId="1390" xr:uid="{00000000-0005-0000-0000-0000B0240000}"/>
    <cellStyle name="Normal 5 2 2 2 3 5 2" xfId="3857" xr:uid="{00000000-0005-0000-0000-0000B1240000}"/>
    <cellStyle name="Normal 5 2 2 2 3 5 2 2" xfId="8789" xr:uid="{00000000-0005-0000-0000-0000B2240000}"/>
    <cellStyle name="Normal 5 2 2 2 3 5 2 2 2" xfId="18649" xr:uid="{00000000-0005-0000-0000-0000B3240000}"/>
    <cellStyle name="Normal 5 2 2 2 3 5 2 2 2 2" xfId="38364" xr:uid="{00000000-0005-0000-0000-0000B4240000}"/>
    <cellStyle name="Normal 5 2 2 2 3 5 2 2 3" xfId="28507" xr:uid="{00000000-0005-0000-0000-0000B5240000}"/>
    <cellStyle name="Normal 5 2 2 2 3 5 2 3" xfId="13721" xr:uid="{00000000-0005-0000-0000-0000B6240000}"/>
    <cellStyle name="Normal 5 2 2 2 3 5 2 3 2" xfId="33436" xr:uid="{00000000-0005-0000-0000-0000B7240000}"/>
    <cellStyle name="Normal 5 2 2 2 3 5 2 4" xfId="23579" xr:uid="{00000000-0005-0000-0000-0000B8240000}"/>
    <cellStyle name="Normal 5 2 2 2 3 5 3" xfId="6325" xr:uid="{00000000-0005-0000-0000-0000B9240000}"/>
    <cellStyle name="Normal 5 2 2 2 3 5 3 2" xfId="16185" xr:uid="{00000000-0005-0000-0000-0000BA240000}"/>
    <cellStyle name="Normal 5 2 2 2 3 5 3 2 2" xfId="35900" xr:uid="{00000000-0005-0000-0000-0000BB240000}"/>
    <cellStyle name="Normal 5 2 2 2 3 5 3 3" xfId="26043" xr:uid="{00000000-0005-0000-0000-0000BC240000}"/>
    <cellStyle name="Normal 5 2 2 2 3 5 4" xfId="11257" xr:uid="{00000000-0005-0000-0000-0000BD240000}"/>
    <cellStyle name="Normal 5 2 2 2 3 5 4 2" xfId="30972" xr:uid="{00000000-0005-0000-0000-0000BE240000}"/>
    <cellStyle name="Normal 5 2 2 2 3 5 5" xfId="21115" xr:uid="{00000000-0005-0000-0000-0000BF240000}"/>
    <cellStyle name="Normal 5 2 2 2 3 6" xfId="2625" xr:uid="{00000000-0005-0000-0000-0000C0240000}"/>
    <cellStyle name="Normal 5 2 2 2 3 6 2" xfId="7557" xr:uid="{00000000-0005-0000-0000-0000C1240000}"/>
    <cellStyle name="Normal 5 2 2 2 3 6 2 2" xfId="17417" xr:uid="{00000000-0005-0000-0000-0000C2240000}"/>
    <cellStyle name="Normal 5 2 2 2 3 6 2 2 2" xfId="37132" xr:uid="{00000000-0005-0000-0000-0000C3240000}"/>
    <cellStyle name="Normal 5 2 2 2 3 6 2 3" xfId="27275" xr:uid="{00000000-0005-0000-0000-0000C4240000}"/>
    <cellStyle name="Normal 5 2 2 2 3 6 3" xfId="12489" xr:uid="{00000000-0005-0000-0000-0000C5240000}"/>
    <cellStyle name="Normal 5 2 2 2 3 6 3 2" xfId="32204" xr:uid="{00000000-0005-0000-0000-0000C6240000}"/>
    <cellStyle name="Normal 5 2 2 2 3 6 4" xfId="22347" xr:uid="{00000000-0005-0000-0000-0000C7240000}"/>
    <cellStyle name="Normal 5 2 2 2 3 7" xfId="5093" xr:uid="{00000000-0005-0000-0000-0000C8240000}"/>
    <cellStyle name="Normal 5 2 2 2 3 7 2" xfId="14953" xr:uid="{00000000-0005-0000-0000-0000C9240000}"/>
    <cellStyle name="Normal 5 2 2 2 3 7 2 2" xfId="34668" xr:uid="{00000000-0005-0000-0000-0000CA240000}"/>
    <cellStyle name="Normal 5 2 2 2 3 7 3" xfId="24811" xr:uid="{00000000-0005-0000-0000-0000CB240000}"/>
    <cellStyle name="Normal 5 2 2 2 3 8" xfId="10025" xr:uid="{00000000-0005-0000-0000-0000CC240000}"/>
    <cellStyle name="Normal 5 2 2 2 3 8 2" xfId="29740" xr:uid="{00000000-0005-0000-0000-0000CD240000}"/>
    <cellStyle name="Normal 5 2 2 2 3 9" xfId="19883" xr:uid="{00000000-0005-0000-0000-0000CE240000}"/>
    <cellStyle name="Normal 5 2 2 2 4" xfId="219" xr:uid="{00000000-0005-0000-0000-0000CF240000}"/>
    <cellStyle name="Normal 5 2 2 2 4 2" xfId="533" xr:uid="{00000000-0005-0000-0000-0000D0240000}"/>
    <cellStyle name="Normal 5 2 2 2 4 2 2" xfId="1153" xr:uid="{00000000-0005-0000-0000-0000D1240000}"/>
    <cellStyle name="Normal 5 2 2 2 4 2 2 2" xfId="2388" xr:uid="{00000000-0005-0000-0000-0000D2240000}"/>
    <cellStyle name="Normal 5 2 2 2 4 2 2 2 2" xfId="4855" xr:uid="{00000000-0005-0000-0000-0000D3240000}"/>
    <cellStyle name="Normal 5 2 2 2 4 2 2 2 2 2" xfId="9787" xr:uid="{00000000-0005-0000-0000-0000D4240000}"/>
    <cellStyle name="Normal 5 2 2 2 4 2 2 2 2 2 2" xfId="19647" xr:uid="{00000000-0005-0000-0000-0000D5240000}"/>
    <cellStyle name="Normal 5 2 2 2 4 2 2 2 2 2 2 2" xfId="39362" xr:uid="{00000000-0005-0000-0000-0000D6240000}"/>
    <cellStyle name="Normal 5 2 2 2 4 2 2 2 2 2 3" xfId="29505" xr:uid="{00000000-0005-0000-0000-0000D7240000}"/>
    <cellStyle name="Normal 5 2 2 2 4 2 2 2 2 3" xfId="14719" xr:uid="{00000000-0005-0000-0000-0000D8240000}"/>
    <cellStyle name="Normal 5 2 2 2 4 2 2 2 2 3 2" xfId="34434" xr:uid="{00000000-0005-0000-0000-0000D9240000}"/>
    <cellStyle name="Normal 5 2 2 2 4 2 2 2 2 4" xfId="24577" xr:uid="{00000000-0005-0000-0000-0000DA240000}"/>
    <cellStyle name="Normal 5 2 2 2 4 2 2 2 3" xfId="7323" xr:uid="{00000000-0005-0000-0000-0000DB240000}"/>
    <cellStyle name="Normal 5 2 2 2 4 2 2 2 3 2" xfId="17183" xr:uid="{00000000-0005-0000-0000-0000DC240000}"/>
    <cellStyle name="Normal 5 2 2 2 4 2 2 2 3 2 2" xfId="36898" xr:uid="{00000000-0005-0000-0000-0000DD240000}"/>
    <cellStyle name="Normal 5 2 2 2 4 2 2 2 3 3" xfId="27041" xr:uid="{00000000-0005-0000-0000-0000DE240000}"/>
    <cellStyle name="Normal 5 2 2 2 4 2 2 2 4" xfId="12255" xr:uid="{00000000-0005-0000-0000-0000DF240000}"/>
    <cellStyle name="Normal 5 2 2 2 4 2 2 2 4 2" xfId="31970" xr:uid="{00000000-0005-0000-0000-0000E0240000}"/>
    <cellStyle name="Normal 5 2 2 2 4 2 2 2 5" xfId="22113" xr:uid="{00000000-0005-0000-0000-0000E1240000}"/>
    <cellStyle name="Normal 5 2 2 2 4 2 2 3" xfId="3623" xr:uid="{00000000-0005-0000-0000-0000E2240000}"/>
    <cellStyle name="Normal 5 2 2 2 4 2 2 3 2" xfId="8555" xr:uid="{00000000-0005-0000-0000-0000E3240000}"/>
    <cellStyle name="Normal 5 2 2 2 4 2 2 3 2 2" xfId="18415" xr:uid="{00000000-0005-0000-0000-0000E4240000}"/>
    <cellStyle name="Normal 5 2 2 2 4 2 2 3 2 2 2" xfId="38130" xr:uid="{00000000-0005-0000-0000-0000E5240000}"/>
    <cellStyle name="Normal 5 2 2 2 4 2 2 3 2 3" xfId="28273" xr:uid="{00000000-0005-0000-0000-0000E6240000}"/>
    <cellStyle name="Normal 5 2 2 2 4 2 2 3 3" xfId="13487" xr:uid="{00000000-0005-0000-0000-0000E7240000}"/>
    <cellStyle name="Normal 5 2 2 2 4 2 2 3 3 2" xfId="33202" xr:uid="{00000000-0005-0000-0000-0000E8240000}"/>
    <cellStyle name="Normal 5 2 2 2 4 2 2 3 4" xfId="23345" xr:uid="{00000000-0005-0000-0000-0000E9240000}"/>
    <cellStyle name="Normal 5 2 2 2 4 2 2 4" xfId="6091" xr:uid="{00000000-0005-0000-0000-0000EA240000}"/>
    <cellStyle name="Normal 5 2 2 2 4 2 2 4 2" xfId="15951" xr:uid="{00000000-0005-0000-0000-0000EB240000}"/>
    <cellStyle name="Normal 5 2 2 2 4 2 2 4 2 2" xfId="35666" xr:uid="{00000000-0005-0000-0000-0000EC240000}"/>
    <cellStyle name="Normal 5 2 2 2 4 2 2 4 3" xfId="25809" xr:uid="{00000000-0005-0000-0000-0000ED240000}"/>
    <cellStyle name="Normal 5 2 2 2 4 2 2 5" xfId="11023" xr:uid="{00000000-0005-0000-0000-0000EE240000}"/>
    <cellStyle name="Normal 5 2 2 2 4 2 2 5 2" xfId="30738" xr:uid="{00000000-0005-0000-0000-0000EF240000}"/>
    <cellStyle name="Normal 5 2 2 2 4 2 2 6" xfId="20881" xr:uid="{00000000-0005-0000-0000-0000F0240000}"/>
    <cellStyle name="Normal 5 2 2 2 4 2 3" xfId="1772" xr:uid="{00000000-0005-0000-0000-0000F1240000}"/>
    <cellStyle name="Normal 5 2 2 2 4 2 3 2" xfId="4239" xr:uid="{00000000-0005-0000-0000-0000F2240000}"/>
    <cellStyle name="Normal 5 2 2 2 4 2 3 2 2" xfId="9171" xr:uid="{00000000-0005-0000-0000-0000F3240000}"/>
    <cellStyle name="Normal 5 2 2 2 4 2 3 2 2 2" xfId="19031" xr:uid="{00000000-0005-0000-0000-0000F4240000}"/>
    <cellStyle name="Normal 5 2 2 2 4 2 3 2 2 2 2" xfId="38746" xr:uid="{00000000-0005-0000-0000-0000F5240000}"/>
    <cellStyle name="Normal 5 2 2 2 4 2 3 2 2 3" xfId="28889" xr:uid="{00000000-0005-0000-0000-0000F6240000}"/>
    <cellStyle name="Normal 5 2 2 2 4 2 3 2 3" xfId="14103" xr:uid="{00000000-0005-0000-0000-0000F7240000}"/>
    <cellStyle name="Normal 5 2 2 2 4 2 3 2 3 2" xfId="33818" xr:uid="{00000000-0005-0000-0000-0000F8240000}"/>
    <cellStyle name="Normal 5 2 2 2 4 2 3 2 4" xfId="23961" xr:uid="{00000000-0005-0000-0000-0000F9240000}"/>
    <cellStyle name="Normal 5 2 2 2 4 2 3 3" xfId="6707" xr:uid="{00000000-0005-0000-0000-0000FA240000}"/>
    <cellStyle name="Normal 5 2 2 2 4 2 3 3 2" xfId="16567" xr:uid="{00000000-0005-0000-0000-0000FB240000}"/>
    <cellStyle name="Normal 5 2 2 2 4 2 3 3 2 2" xfId="36282" xr:uid="{00000000-0005-0000-0000-0000FC240000}"/>
    <cellStyle name="Normal 5 2 2 2 4 2 3 3 3" xfId="26425" xr:uid="{00000000-0005-0000-0000-0000FD240000}"/>
    <cellStyle name="Normal 5 2 2 2 4 2 3 4" xfId="11639" xr:uid="{00000000-0005-0000-0000-0000FE240000}"/>
    <cellStyle name="Normal 5 2 2 2 4 2 3 4 2" xfId="31354" xr:uid="{00000000-0005-0000-0000-0000FF240000}"/>
    <cellStyle name="Normal 5 2 2 2 4 2 3 5" xfId="21497" xr:uid="{00000000-0005-0000-0000-000000250000}"/>
    <cellStyle name="Normal 5 2 2 2 4 2 4" xfId="3007" xr:uid="{00000000-0005-0000-0000-000001250000}"/>
    <cellStyle name="Normal 5 2 2 2 4 2 4 2" xfId="7939" xr:uid="{00000000-0005-0000-0000-000002250000}"/>
    <cellStyle name="Normal 5 2 2 2 4 2 4 2 2" xfId="17799" xr:uid="{00000000-0005-0000-0000-000003250000}"/>
    <cellStyle name="Normal 5 2 2 2 4 2 4 2 2 2" xfId="37514" xr:uid="{00000000-0005-0000-0000-000004250000}"/>
    <cellStyle name="Normal 5 2 2 2 4 2 4 2 3" xfId="27657" xr:uid="{00000000-0005-0000-0000-000005250000}"/>
    <cellStyle name="Normal 5 2 2 2 4 2 4 3" xfId="12871" xr:uid="{00000000-0005-0000-0000-000006250000}"/>
    <cellStyle name="Normal 5 2 2 2 4 2 4 3 2" xfId="32586" xr:uid="{00000000-0005-0000-0000-000007250000}"/>
    <cellStyle name="Normal 5 2 2 2 4 2 4 4" xfId="22729" xr:uid="{00000000-0005-0000-0000-000008250000}"/>
    <cellStyle name="Normal 5 2 2 2 4 2 5" xfId="5475" xr:uid="{00000000-0005-0000-0000-000009250000}"/>
    <cellStyle name="Normal 5 2 2 2 4 2 5 2" xfId="15335" xr:uid="{00000000-0005-0000-0000-00000A250000}"/>
    <cellStyle name="Normal 5 2 2 2 4 2 5 2 2" xfId="35050" xr:uid="{00000000-0005-0000-0000-00000B250000}"/>
    <cellStyle name="Normal 5 2 2 2 4 2 5 3" xfId="25193" xr:uid="{00000000-0005-0000-0000-00000C250000}"/>
    <cellStyle name="Normal 5 2 2 2 4 2 6" xfId="10407" xr:uid="{00000000-0005-0000-0000-00000D250000}"/>
    <cellStyle name="Normal 5 2 2 2 4 2 6 2" xfId="30122" xr:uid="{00000000-0005-0000-0000-00000E250000}"/>
    <cellStyle name="Normal 5 2 2 2 4 2 7" xfId="20265" xr:uid="{00000000-0005-0000-0000-00000F250000}"/>
    <cellStyle name="Normal 5 2 2 2 4 3" xfId="846" xr:uid="{00000000-0005-0000-0000-000010250000}"/>
    <cellStyle name="Normal 5 2 2 2 4 3 2" xfId="2082" xr:uid="{00000000-0005-0000-0000-000011250000}"/>
    <cellStyle name="Normal 5 2 2 2 4 3 2 2" xfId="4549" xr:uid="{00000000-0005-0000-0000-000012250000}"/>
    <cellStyle name="Normal 5 2 2 2 4 3 2 2 2" xfId="9481" xr:uid="{00000000-0005-0000-0000-000013250000}"/>
    <cellStyle name="Normal 5 2 2 2 4 3 2 2 2 2" xfId="19341" xr:uid="{00000000-0005-0000-0000-000014250000}"/>
    <cellStyle name="Normal 5 2 2 2 4 3 2 2 2 2 2" xfId="39056" xr:uid="{00000000-0005-0000-0000-000015250000}"/>
    <cellStyle name="Normal 5 2 2 2 4 3 2 2 2 3" xfId="29199" xr:uid="{00000000-0005-0000-0000-000016250000}"/>
    <cellStyle name="Normal 5 2 2 2 4 3 2 2 3" xfId="14413" xr:uid="{00000000-0005-0000-0000-000017250000}"/>
    <cellStyle name="Normal 5 2 2 2 4 3 2 2 3 2" xfId="34128" xr:uid="{00000000-0005-0000-0000-000018250000}"/>
    <cellStyle name="Normal 5 2 2 2 4 3 2 2 4" xfId="24271" xr:uid="{00000000-0005-0000-0000-000019250000}"/>
    <cellStyle name="Normal 5 2 2 2 4 3 2 3" xfId="7017" xr:uid="{00000000-0005-0000-0000-00001A250000}"/>
    <cellStyle name="Normal 5 2 2 2 4 3 2 3 2" xfId="16877" xr:uid="{00000000-0005-0000-0000-00001B250000}"/>
    <cellStyle name="Normal 5 2 2 2 4 3 2 3 2 2" xfId="36592" xr:uid="{00000000-0005-0000-0000-00001C250000}"/>
    <cellStyle name="Normal 5 2 2 2 4 3 2 3 3" xfId="26735" xr:uid="{00000000-0005-0000-0000-00001D250000}"/>
    <cellStyle name="Normal 5 2 2 2 4 3 2 4" xfId="11949" xr:uid="{00000000-0005-0000-0000-00001E250000}"/>
    <cellStyle name="Normal 5 2 2 2 4 3 2 4 2" xfId="31664" xr:uid="{00000000-0005-0000-0000-00001F250000}"/>
    <cellStyle name="Normal 5 2 2 2 4 3 2 5" xfId="21807" xr:uid="{00000000-0005-0000-0000-000020250000}"/>
    <cellStyle name="Normal 5 2 2 2 4 3 3" xfId="3317" xr:uid="{00000000-0005-0000-0000-000021250000}"/>
    <cellStyle name="Normal 5 2 2 2 4 3 3 2" xfId="8249" xr:uid="{00000000-0005-0000-0000-000022250000}"/>
    <cellStyle name="Normal 5 2 2 2 4 3 3 2 2" xfId="18109" xr:uid="{00000000-0005-0000-0000-000023250000}"/>
    <cellStyle name="Normal 5 2 2 2 4 3 3 2 2 2" xfId="37824" xr:uid="{00000000-0005-0000-0000-000024250000}"/>
    <cellStyle name="Normal 5 2 2 2 4 3 3 2 3" xfId="27967" xr:uid="{00000000-0005-0000-0000-000025250000}"/>
    <cellStyle name="Normal 5 2 2 2 4 3 3 3" xfId="13181" xr:uid="{00000000-0005-0000-0000-000026250000}"/>
    <cellStyle name="Normal 5 2 2 2 4 3 3 3 2" xfId="32896" xr:uid="{00000000-0005-0000-0000-000027250000}"/>
    <cellStyle name="Normal 5 2 2 2 4 3 3 4" xfId="23039" xr:uid="{00000000-0005-0000-0000-000028250000}"/>
    <cellStyle name="Normal 5 2 2 2 4 3 4" xfId="5785" xr:uid="{00000000-0005-0000-0000-000029250000}"/>
    <cellStyle name="Normal 5 2 2 2 4 3 4 2" xfId="15645" xr:uid="{00000000-0005-0000-0000-00002A250000}"/>
    <cellStyle name="Normal 5 2 2 2 4 3 4 2 2" xfId="35360" xr:uid="{00000000-0005-0000-0000-00002B250000}"/>
    <cellStyle name="Normal 5 2 2 2 4 3 4 3" xfId="25503" xr:uid="{00000000-0005-0000-0000-00002C250000}"/>
    <cellStyle name="Normal 5 2 2 2 4 3 5" xfId="10717" xr:uid="{00000000-0005-0000-0000-00002D250000}"/>
    <cellStyle name="Normal 5 2 2 2 4 3 5 2" xfId="30432" xr:uid="{00000000-0005-0000-0000-00002E250000}"/>
    <cellStyle name="Normal 5 2 2 2 4 3 6" xfId="20575" xr:uid="{00000000-0005-0000-0000-00002F250000}"/>
    <cellStyle name="Normal 5 2 2 2 4 4" xfId="1466" xr:uid="{00000000-0005-0000-0000-000030250000}"/>
    <cellStyle name="Normal 5 2 2 2 4 4 2" xfId="3933" xr:uid="{00000000-0005-0000-0000-000031250000}"/>
    <cellStyle name="Normal 5 2 2 2 4 4 2 2" xfId="8865" xr:uid="{00000000-0005-0000-0000-000032250000}"/>
    <cellStyle name="Normal 5 2 2 2 4 4 2 2 2" xfId="18725" xr:uid="{00000000-0005-0000-0000-000033250000}"/>
    <cellStyle name="Normal 5 2 2 2 4 4 2 2 2 2" xfId="38440" xr:uid="{00000000-0005-0000-0000-000034250000}"/>
    <cellStyle name="Normal 5 2 2 2 4 4 2 2 3" xfId="28583" xr:uid="{00000000-0005-0000-0000-000035250000}"/>
    <cellStyle name="Normal 5 2 2 2 4 4 2 3" xfId="13797" xr:uid="{00000000-0005-0000-0000-000036250000}"/>
    <cellStyle name="Normal 5 2 2 2 4 4 2 3 2" xfId="33512" xr:uid="{00000000-0005-0000-0000-000037250000}"/>
    <cellStyle name="Normal 5 2 2 2 4 4 2 4" xfId="23655" xr:uid="{00000000-0005-0000-0000-000038250000}"/>
    <cellStyle name="Normal 5 2 2 2 4 4 3" xfId="6401" xr:uid="{00000000-0005-0000-0000-000039250000}"/>
    <cellStyle name="Normal 5 2 2 2 4 4 3 2" xfId="16261" xr:uid="{00000000-0005-0000-0000-00003A250000}"/>
    <cellStyle name="Normal 5 2 2 2 4 4 3 2 2" xfId="35976" xr:uid="{00000000-0005-0000-0000-00003B250000}"/>
    <cellStyle name="Normal 5 2 2 2 4 4 3 3" xfId="26119" xr:uid="{00000000-0005-0000-0000-00003C250000}"/>
    <cellStyle name="Normal 5 2 2 2 4 4 4" xfId="11333" xr:uid="{00000000-0005-0000-0000-00003D250000}"/>
    <cellStyle name="Normal 5 2 2 2 4 4 4 2" xfId="31048" xr:uid="{00000000-0005-0000-0000-00003E250000}"/>
    <cellStyle name="Normal 5 2 2 2 4 4 5" xfId="21191" xr:uid="{00000000-0005-0000-0000-00003F250000}"/>
    <cellStyle name="Normal 5 2 2 2 4 5" xfId="2701" xr:uid="{00000000-0005-0000-0000-000040250000}"/>
    <cellStyle name="Normal 5 2 2 2 4 5 2" xfId="7633" xr:uid="{00000000-0005-0000-0000-000041250000}"/>
    <cellStyle name="Normal 5 2 2 2 4 5 2 2" xfId="17493" xr:uid="{00000000-0005-0000-0000-000042250000}"/>
    <cellStyle name="Normal 5 2 2 2 4 5 2 2 2" xfId="37208" xr:uid="{00000000-0005-0000-0000-000043250000}"/>
    <cellStyle name="Normal 5 2 2 2 4 5 2 3" xfId="27351" xr:uid="{00000000-0005-0000-0000-000044250000}"/>
    <cellStyle name="Normal 5 2 2 2 4 5 3" xfId="12565" xr:uid="{00000000-0005-0000-0000-000045250000}"/>
    <cellStyle name="Normal 5 2 2 2 4 5 3 2" xfId="32280" xr:uid="{00000000-0005-0000-0000-000046250000}"/>
    <cellStyle name="Normal 5 2 2 2 4 5 4" xfId="22423" xr:uid="{00000000-0005-0000-0000-000047250000}"/>
    <cellStyle name="Normal 5 2 2 2 4 6" xfId="5169" xr:uid="{00000000-0005-0000-0000-000048250000}"/>
    <cellStyle name="Normal 5 2 2 2 4 6 2" xfId="15029" xr:uid="{00000000-0005-0000-0000-000049250000}"/>
    <cellStyle name="Normal 5 2 2 2 4 6 2 2" xfId="34744" xr:uid="{00000000-0005-0000-0000-00004A250000}"/>
    <cellStyle name="Normal 5 2 2 2 4 6 3" xfId="24887" xr:uid="{00000000-0005-0000-0000-00004B250000}"/>
    <cellStyle name="Normal 5 2 2 2 4 7" xfId="10101" xr:uid="{00000000-0005-0000-0000-00004C250000}"/>
    <cellStyle name="Normal 5 2 2 2 4 7 2" xfId="29816" xr:uid="{00000000-0005-0000-0000-00004D250000}"/>
    <cellStyle name="Normal 5 2 2 2 4 8" xfId="19959" xr:uid="{00000000-0005-0000-0000-00004E250000}"/>
    <cellStyle name="Normal 5 2 2 2 5" xfId="381" xr:uid="{00000000-0005-0000-0000-00004F250000}"/>
    <cellStyle name="Normal 5 2 2 2 5 2" xfId="1001" xr:uid="{00000000-0005-0000-0000-000050250000}"/>
    <cellStyle name="Normal 5 2 2 2 5 2 2" xfId="2236" xr:uid="{00000000-0005-0000-0000-000051250000}"/>
    <cellStyle name="Normal 5 2 2 2 5 2 2 2" xfId="4703" xr:uid="{00000000-0005-0000-0000-000052250000}"/>
    <cellStyle name="Normal 5 2 2 2 5 2 2 2 2" xfId="9635" xr:uid="{00000000-0005-0000-0000-000053250000}"/>
    <cellStyle name="Normal 5 2 2 2 5 2 2 2 2 2" xfId="19495" xr:uid="{00000000-0005-0000-0000-000054250000}"/>
    <cellStyle name="Normal 5 2 2 2 5 2 2 2 2 2 2" xfId="39210" xr:uid="{00000000-0005-0000-0000-000055250000}"/>
    <cellStyle name="Normal 5 2 2 2 5 2 2 2 2 3" xfId="29353" xr:uid="{00000000-0005-0000-0000-000056250000}"/>
    <cellStyle name="Normal 5 2 2 2 5 2 2 2 3" xfId="14567" xr:uid="{00000000-0005-0000-0000-000057250000}"/>
    <cellStyle name="Normal 5 2 2 2 5 2 2 2 3 2" xfId="34282" xr:uid="{00000000-0005-0000-0000-000058250000}"/>
    <cellStyle name="Normal 5 2 2 2 5 2 2 2 4" xfId="24425" xr:uid="{00000000-0005-0000-0000-000059250000}"/>
    <cellStyle name="Normal 5 2 2 2 5 2 2 3" xfId="7171" xr:uid="{00000000-0005-0000-0000-00005A250000}"/>
    <cellStyle name="Normal 5 2 2 2 5 2 2 3 2" xfId="17031" xr:uid="{00000000-0005-0000-0000-00005B250000}"/>
    <cellStyle name="Normal 5 2 2 2 5 2 2 3 2 2" xfId="36746" xr:uid="{00000000-0005-0000-0000-00005C250000}"/>
    <cellStyle name="Normal 5 2 2 2 5 2 2 3 3" xfId="26889" xr:uid="{00000000-0005-0000-0000-00005D250000}"/>
    <cellStyle name="Normal 5 2 2 2 5 2 2 4" xfId="12103" xr:uid="{00000000-0005-0000-0000-00005E250000}"/>
    <cellStyle name="Normal 5 2 2 2 5 2 2 4 2" xfId="31818" xr:uid="{00000000-0005-0000-0000-00005F250000}"/>
    <cellStyle name="Normal 5 2 2 2 5 2 2 5" xfId="21961" xr:uid="{00000000-0005-0000-0000-000060250000}"/>
    <cellStyle name="Normal 5 2 2 2 5 2 3" xfId="3471" xr:uid="{00000000-0005-0000-0000-000061250000}"/>
    <cellStyle name="Normal 5 2 2 2 5 2 3 2" xfId="8403" xr:uid="{00000000-0005-0000-0000-000062250000}"/>
    <cellStyle name="Normal 5 2 2 2 5 2 3 2 2" xfId="18263" xr:uid="{00000000-0005-0000-0000-000063250000}"/>
    <cellStyle name="Normal 5 2 2 2 5 2 3 2 2 2" xfId="37978" xr:uid="{00000000-0005-0000-0000-000064250000}"/>
    <cellStyle name="Normal 5 2 2 2 5 2 3 2 3" xfId="28121" xr:uid="{00000000-0005-0000-0000-000065250000}"/>
    <cellStyle name="Normal 5 2 2 2 5 2 3 3" xfId="13335" xr:uid="{00000000-0005-0000-0000-000066250000}"/>
    <cellStyle name="Normal 5 2 2 2 5 2 3 3 2" xfId="33050" xr:uid="{00000000-0005-0000-0000-000067250000}"/>
    <cellStyle name="Normal 5 2 2 2 5 2 3 4" xfId="23193" xr:uid="{00000000-0005-0000-0000-000068250000}"/>
    <cellStyle name="Normal 5 2 2 2 5 2 4" xfId="5939" xr:uid="{00000000-0005-0000-0000-000069250000}"/>
    <cellStyle name="Normal 5 2 2 2 5 2 4 2" xfId="15799" xr:uid="{00000000-0005-0000-0000-00006A250000}"/>
    <cellStyle name="Normal 5 2 2 2 5 2 4 2 2" xfId="35514" xr:uid="{00000000-0005-0000-0000-00006B250000}"/>
    <cellStyle name="Normal 5 2 2 2 5 2 4 3" xfId="25657" xr:uid="{00000000-0005-0000-0000-00006C250000}"/>
    <cellStyle name="Normal 5 2 2 2 5 2 5" xfId="10871" xr:uid="{00000000-0005-0000-0000-00006D250000}"/>
    <cellStyle name="Normal 5 2 2 2 5 2 5 2" xfId="30586" xr:uid="{00000000-0005-0000-0000-00006E250000}"/>
    <cellStyle name="Normal 5 2 2 2 5 2 6" xfId="20729" xr:uid="{00000000-0005-0000-0000-00006F250000}"/>
    <cellStyle name="Normal 5 2 2 2 5 3" xfId="1620" xr:uid="{00000000-0005-0000-0000-000070250000}"/>
    <cellStyle name="Normal 5 2 2 2 5 3 2" xfId="4087" xr:uid="{00000000-0005-0000-0000-000071250000}"/>
    <cellStyle name="Normal 5 2 2 2 5 3 2 2" xfId="9019" xr:uid="{00000000-0005-0000-0000-000072250000}"/>
    <cellStyle name="Normal 5 2 2 2 5 3 2 2 2" xfId="18879" xr:uid="{00000000-0005-0000-0000-000073250000}"/>
    <cellStyle name="Normal 5 2 2 2 5 3 2 2 2 2" xfId="38594" xr:uid="{00000000-0005-0000-0000-000074250000}"/>
    <cellStyle name="Normal 5 2 2 2 5 3 2 2 3" xfId="28737" xr:uid="{00000000-0005-0000-0000-000075250000}"/>
    <cellStyle name="Normal 5 2 2 2 5 3 2 3" xfId="13951" xr:uid="{00000000-0005-0000-0000-000076250000}"/>
    <cellStyle name="Normal 5 2 2 2 5 3 2 3 2" xfId="33666" xr:uid="{00000000-0005-0000-0000-000077250000}"/>
    <cellStyle name="Normal 5 2 2 2 5 3 2 4" xfId="23809" xr:uid="{00000000-0005-0000-0000-000078250000}"/>
    <cellStyle name="Normal 5 2 2 2 5 3 3" xfId="6555" xr:uid="{00000000-0005-0000-0000-000079250000}"/>
    <cellStyle name="Normal 5 2 2 2 5 3 3 2" xfId="16415" xr:uid="{00000000-0005-0000-0000-00007A250000}"/>
    <cellStyle name="Normal 5 2 2 2 5 3 3 2 2" xfId="36130" xr:uid="{00000000-0005-0000-0000-00007B250000}"/>
    <cellStyle name="Normal 5 2 2 2 5 3 3 3" xfId="26273" xr:uid="{00000000-0005-0000-0000-00007C250000}"/>
    <cellStyle name="Normal 5 2 2 2 5 3 4" xfId="11487" xr:uid="{00000000-0005-0000-0000-00007D250000}"/>
    <cellStyle name="Normal 5 2 2 2 5 3 4 2" xfId="31202" xr:uid="{00000000-0005-0000-0000-00007E250000}"/>
    <cellStyle name="Normal 5 2 2 2 5 3 5" xfId="21345" xr:uid="{00000000-0005-0000-0000-00007F250000}"/>
    <cellStyle name="Normal 5 2 2 2 5 4" xfId="2855" xr:uid="{00000000-0005-0000-0000-000080250000}"/>
    <cellStyle name="Normal 5 2 2 2 5 4 2" xfId="7787" xr:uid="{00000000-0005-0000-0000-000081250000}"/>
    <cellStyle name="Normal 5 2 2 2 5 4 2 2" xfId="17647" xr:uid="{00000000-0005-0000-0000-000082250000}"/>
    <cellStyle name="Normal 5 2 2 2 5 4 2 2 2" xfId="37362" xr:uid="{00000000-0005-0000-0000-000083250000}"/>
    <cellStyle name="Normal 5 2 2 2 5 4 2 3" xfId="27505" xr:uid="{00000000-0005-0000-0000-000084250000}"/>
    <cellStyle name="Normal 5 2 2 2 5 4 3" xfId="12719" xr:uid="{00000000-0005-0000-0000-000085250000}"/>
    <cellStyle name="Normal 5 2 2 2 5 4 3 2" xfId="32434" xr:uid="{00000000-0005-0000-0000-000086250000}"/>
    <cellStyle name="Normal 5 2 2 2 5 4 4" xfId="22577" xr:uid="{00000000-0005-0000-0000-000087250000}"/>
    <cellStyle name="Normal 5 2 2 2 5 5" xfId="5323" xr:uid="{00000000-0005-0000-0000-000088250000}"/>
    <cellStyle name="Normal 5 2 2 2 5 5 2" xfId="15183" xr:uid="{00000000-0005-0000-0000-000089250000}"/>
    <cellStyle name="Normal 5 2 2 2 5 5 2 2" xfId="34898" xr:uid="{00000000-0005-0000-0000-00008A250000}"/>
    <cellStyle name="Normal 5 2 2 2 5 5 3" xfId="25041" xr:uid="{00000000-0005-0000-0000-00008B250000}"/>
    <cellStyle name="Normal 5 2 2 2 5 6" xfId="10255" xr:uid="{00000000-0005-0000-0000-00008C250000}"/>
    <cellStyle name="Normal 5 2 2 2 5 6 2" xfId="29970" xr:uid="{00000000-0005-0000-0000-00008D250000}"/>
    <cellStyle name="Normal 5 2 2 2 5 7" xfId="20113" xr:uid="{00000000-0005-0000-0000-00008E250000}"/>
    <cellStyle name="Normal 5 2 2 2 6" xfId="694" xr:uid="{00000000-0005-0000-0000-00008F250000}"/>
    <cellStyle name="Normal 5 2 2 2 6 2" xfId="1930" xr:uid="{00000000-0005-0000-0000-000090250000}"/>
    <cellStyle name="Normal 5 2 2 2 6 2 2" xfId="4397" xr:uid="{00000000-0005-0000-0000-000091250000}"/>
    <cellStyle name="Normal 5 2 2 2 6 2 2 2" xfId="9329" xr:uid="{00000000-0005-0000-0000-000092250000}"/>
    <cellStyle name="Normal 5 2 2 2 6 2 2 2 2" xfId="19189" xr:uid="{00000000-0005-0000-0000-000093250000}"/>
    <cellStyle name="Normal 5 2 2 2 6 2 2 2 2 2" xfId="38904" xr:uid="{00000000-0005-0000-0000-000094250000}"/>
    <cellStyle name="Normal 5 2 2 2 6 2 2 2 3" xfId="29047" xr:uid="{00000000-0005-0000-0000-000095250000}"/>
    <cellStyle name="Normal 5 2 2 2 6 2 2 3" xfId="14261" xr:uid="{00000000-0005-0000-0000-000096250000}"/>
    <cellStyle name="Normal 5 2 2 2 6 2 2 3 2" xfId="33976" xr:uid="{00000000-0005-0000-0000-000097250000}"/>
    <cellStyle name="Normal 5 2 2 2 6 2 2 4" xfId="24119" xr:uid="{00000000-0005-0000-0000-000098250000}"/>
    <cellStyle name="Normal 5 2 2 2 6 2 3" xfId="6865" xr:uid="{00000000-0005-0000-0000-000099250000}"/>
    <cellStyle name="Normal 5 2 2 2 6 2 3 2" xfId="16725" xr:uid="{00000000-0005-0000-0000-00009A250000}"/>
    <cellStyle name="Normal 5 2 2 2 6 2 3 2 2" xfId="36440" xr:uid="{00000000-0005-0000-0000-00009B250000}"/>
    <cellStyle name="Normal 5 2 2 2 6 2 3 3" xfId="26583" xr:uid="{00000000-0005-0000-0000-00009C250000}"/>
    <cellStyle name="Normal 5 2 2 2 6 2 4" xfId="11797" xr:uid="{00000000-0005-0000-0000-00009D250000}"/>
    <cellStyle name="Normal 5 2 2 2 6 2 4 2" xfId="31512" xr:uid="{00000000-0005-0000-0000-00009E250000}"/>
    <cellStyle name="Normal 5 2 2 2 6 2 5" xfId="21655" xr:uid="{00000000-0005-0000-0000-00009F250000}"/>
    <cellStyle name="Normal 5 2 2 2 6 3" xfId="3165" xr:uid="{00000000-0005-0000-0000-0000A0250000}"/>
    <cellStyle name="Normal 5 2 2 2 6 3 2" xfId="8097" xr:uid="{00000000-0005-0000-0000-0000A1250000}"/>
    <cellStyle name="Normal 5 2 2 2 6 3 2 2" xfId="17957" xr:uid="{00000000-0005-0000-0000-0000A2250000}"/>
    <cellStyle name="Normal 5 2 2 2 6 3 2 2 2" xfId="37672" xr:uid="{00000000-0005-0000-0000-0000A3250000}"/>
    <cellStyle name="Normal 5 2 2 2 6 3 2 3" xfId="27815" xr:uid="{00000000-0005-0000-0000-0000A4250000}"/>
    <cellStyle name="Normal 5 2 2 2 6 3 3" xfId="13029" xr:uid="{00000000-0005-0000-0000-0000A5250000}"/>
    <cellStyle name="Normal 5 2 2 2 6 3 3 2" xfId="32744" xr:uid="{00000000-0005-0000-0000-0000A6250000}"/>
    <cellStyle name="Normal 5 2 2 2 6 3 4" xfId="22887" xr:uid="{00000000-0005-0000-0000-0000A7250000}"/>
    <cellStyle name="Normal 5 2 2 2 6 4" xfId="5633" xr:uid="{00000000-0005-0000-0000-0000A8250000}"/>
    <cellStyle name="Normal 5 2 2 2 6 4 2" xfId="15493" xr:uid="{00000000-0005-0000-0000-0000A9250000}"/>
    <cellStyle name="Normal 5 2 2 2 6 4 2 2" xfId="35208" xr:uid="{00000000-0005-0000-0000-0000AA250000}"/>
    <cellStyle name="Normal 5 2 2 2 6 4 3" xfId="25351" xr:uid="{00000000-0005-0000-0000-0000AB250000}"/>
    <cellStyle name="Normal 5 2 2 2 6 5" xfId="10565" xr:uid="{00000000-0005-0000-0000-0000AC250000}"/>
    <cellStyle name="Normal 5 2 2 2 6 5 2" xfId="30280" xr:uid="{00000000-0005-0000-0000-0000AD250000}"/>
    <cellStyle name="Normal 5 2 2 2 6 6" xfId="20423" xr:uid="{00000000-0005-0000-0000-0000AE250000}"/>
    <cellStyle name="Normal 5 2 2 2 7" xfId="1314" xr:uid="{00000000-0005-0000-0000-0000AF250000}"/>
    <cellStyle name="Normal 5 2 2 2 7 2" xfId="3781" xr:uid="{00000000-0005-0000-0000-0000B0250000}"/>
    <cellStyle name="Normal 5 2 2 2 7 2 2" xfId="8713" xr:uid="{00000000-0005-0000-0000-0000B1250000}"/>
    <cellStyle name="Normal 5 2 2 2 7 2 2 2" xfId="18573" xr:uid="{00000000-0005-0000-0000-0000B2250000}"/>
    <cellStyle name="Normal 5 2 2 2 7 2 2 2 2" xfId="38288" xr:uid="{00000000-0005-0000-0000-0000B3250000}"/>
    <cellStyle name="Normal 5 2 2 2 7 2 2 3" xfId="28431" xr:uid="{00000000-0005-0000-0000-0000B4250000}"/>
    <cellStyle name="Normal 5 2 2 2 7 2 3" xfId="13645" xr:uid="{00000000-0005-0000-0000-0000B5250000}"/>
    <cellStyle name="Normal 5 2 2 2 7 2 3 2" xfId="33360" xr:uid="{00000000-0005-0000-0000-0000B6250000}"/>
    <cellStyle name="Normal 5 2 2 2 7 2 4" xfId="23503" xr:uid="{00000000-0005-0000-0000-0000B7250000}"/>
    <cellStyle name="Normal 5 2 2 2 7 3" xfId="6249" xr:uid="{00000000-0005-0000-0000-0000B8250000}"/>
    <cellStyle name="Normal 5 2 2 2 7 3 2" xfId="16109" xr:uid="{00000000-0005-0000-0000-0000B9250000}"/>
    <cellStyle name="Normal 5 2 2 2 7 3 2 2" xfId="35824" xr:uid="{00000000-0005-0000-0000-0000BA250000}"/>
    <cellStyle name="Normal 5 2 2 2 7 3 3" xfId="25967" xr:uid="{00000000-0005-0000-0000-0000BB250000}"/>
    <cellStyle name="Normal 5 2 2 2 7 4" xfId="11181" xr:uid="{00000000-0005-0000-0000-0000BC250000}"/>
    <cellStyle name="Normal 5 2 2 2 7 4 2" xfId="30896" xr:uid="{00000000-0005-0000-0000-0000BD250000}"/>
    <cellStyle name="Normal 5 2 2 2 7 5" xfId="21039" xr:uid="{00000000-0005-0000-0000-0000BE250000}"/>
    <cellStyle name="Normal 5 2 2 2 8" xfId="2549" xr:uid="{00000000-0005-0000-0000-0000BF250000}"/>
    <cellStyle name="Normal 5 2 2 2 8 2" xfId="7481" xr:uid="{00000000-0005-0000-0000-0000C0250000}"/>
    <cellStyle name="Normal 5 2 2 2 8 2 2" xfId="17341" xr:uid="{00000000-0005-0000-0000-0000C1250000}"/>
    <cellStyle name="Normal 5 2 2 2 8 2 2 2" xfId="37056" xr:uid="{00000000-0005-0000-0000-0000C2250000}"/>
    <cellStyle name="Normal 5 2 2 2 8 2 3" xfId="27199" xr:uid="{00000000-0005-0000-0000-0000C3250000}"/>
    <cellStyle name="Normal 5 2 2 2 8 3" xfId="12413" xr:uid="{00000000-0005-0000-0000-0000C4250000}"/>
    <cellStyle name="Normal 5 2 2 2 8 3 2" xfId="32128" xr:uid="{00000000-0005-0000-0000-0000C5250000}"/>
    <cellStyle name="Normal 5 2 2 2 8 4" xfId="22271" xr:uid="{00000000-0005-0000-0000-0000C6250000}"/>
    <cellStyle name="Normal 5 2 2 2 9" xfId="5017" xr:uid="{00000000-0005-0000-0000-0000C7250000}"/>
    <cellStyle name="Normal 5 2 2 2 9 2" xfId="14877" xr:uid="{00000000-0005-0000-0000-0000C8250000}"/>
    <cellStyle name="Normal 5 2 2 2 9 2 2" xfId="34592" xr:uid="{00000000-0005-0000-0000-0000C9250000}"/>
    <cellStyle name="Normal 5 2 2 2 9 3" xfId="24735" xr:uid="{00000000-0005-0000-0000-0000CA250000}"/>
    <cellStyle name="Normal 5 2 2 3" xfId="76" xr:uid="{00000000-0005-0000-0000-0000CB250000}"/>
    <cellStyle name="Normal 5 2 2 3 10" xfId="19826" xr:uid="{00000000-0005-0000-0000-0000CC250000}"/>
    <cellStyle name="Normal 5 2 2 3 2" xfId="157" xr:uid="{00000000-0005-0000-0000-0000CD250000}"/>
    <cellStyle name="Normal 5 2 2 3 2 2" xfId="314" xr:uid="{00000000-0005-0000-0000-0000CE250000}"/>
    <cellStyle name="Normal 5 2 2 3 2 2 2" xfId="628" xr:uid="{00000000-0005-0000-0000-0000CF250000}"/>
    <cellStyle name="Normal 5 2 2 3 2 2 2 2" xfId="1248" xr:uid="{00000000-0005-0000-0000-0000D0250000}"/>
    <cellStyle name="Normal 5 2 2 3 2 2 2 2 2" xfId="2483" xr:uid="{00000000-0005-0000-0000-0000D1250000}"/>
    <cellStyle name="Normal 5 2 2 3 2 2 2 2 2 2" xfId="4950" xr:uid="{00000000-0005-0000-0000-0000D2250000}"/>
    <cellStyle name="Normal 5 2 2 3 2 2 2 2 2 2 2" xfId="9882" xr:uid="{00000000-0005-0000-0000-0000D3250000}"/>
    <cellStyle name="Normal 5 2 2 3 2 2 2 2 2 2 2 2" xfId="19742" xr:uid="{00000000-0005-0000-0000-0000D4250000}"/>
    <cellStyle name="Normal 5 2 2 3 2 2 2 2 2 2 2 2 2" xfId="39457" xr:uid="{00000000-0005-0000-0000-0000D5250000}"/>
    <cellStyle name="Normal 5 2 2 3 2 2 2 2 2 2 2 3" xfId="29600" xr:uid="{00000000-0005-0000-0000-0000D6250000}"/>
    <cellStyle name="Normal 5 2 2 3 2 2 2 2 2 2 3" xfId="14814" xr:uid="{00000000-0005-0000-0000-0000D7250000}"/>
    <cellStyle name="Normal 5 2 2 3 2 2 2 2 2 2 3 2" xfId="34529" xr:uid="{00000000-0005-0000-0000-0000D8250000}"/>
    <cellStyle name="Normal 5 2 2 3 2 2 2 2 2 2 4" xfId="24672" xr:uid="{00000000-0005-0000-0000-0000D9250000}"/>
    <cellStyle name="Normal 5 2 2 3 2 2 2 2 2 3" xfId="7418" xr:uid="{00000000-0005-0000-0000-0000DA250000}"/>
    <cellStyle name="Normal 5 2 2 3 2 2 2 2 2 3 2" xfId="17278" xr:uid="{00000000-0005-0000-0000-0000DB250000}"/>
    <cellStyle name="Normal 5 2 2 3 2 2 2 2 2 3 2 2" xfId="36993" xr:uid="{00000000-0005-0000-0000-0000DC250000}"/>
    <cellStyle name="Normal 5 2 2 3 2 2 2 2 2 3 3" xfId="27136" xr:uid="{00000000-0005-0000-0000-0000DD250000}"/>
    <cellStyle name="Normal 5 2 2 3 2 2 2 2 2 4" xfId="12350" xr:uid="{00000000-0005-0000-0000-0000DE250000}"/>
    <cellStyle name="Normal 5 2 2 3 2 2 2 2 2 4 2" xfId="32065" xr:uid="{00000000-0005-0000-0000-0000DF250000}"/>
    <cellStyle name="Normal 5 2 2 3 2 2 2 2 2 5" xfId="22208" xr:uid="{00000000-0005-0000-0000-0000E0250000}"/>
    <cellStyle name="Normal 5 2 2 3 2 2 2 2 3" xfId="3718" xr:uid="{00000000-0005-0000-0000-0000E1250000}"/>
    <cellStyle name="Normal 5 2 2 3 2 2 2 2 3 2" xfId="8650" xr:uid="{00000000-0005-0000-0000-0000E2250000}"/>
    <cellStyle name="Normal 5 2 2 3 2 2 2 2 3 2 2" xfId="18510" xr:uid="{00000000-0005-0000-0000-0000E3250000}"/>
    <cellStyle name="Normal 5 2 2 3 2 2 2 2 3 2 2 2" xfId="38225" xr:uid="{00000000-0005-0000-0000-0000E4250000}"/>
    <cellStyle name="Normal 5 2 2 3 2 2 2 2 3 2 3" xfId="28368" xr:uid="{00000000-0005-0000-0000-0000E5250000}"/>
    <cellStyle name="Normal 5 2 2 3 2 2 2 2 3 3" xfId="13582" xr:uid="{00000000-0005-0000-0000-0000E6250000}"/>
    <cellStyle name="Normal 5 2 2 3 2 2 2 2 3 3 2" xfId="33297" xr:uid="{00000000-0005-0000-0000-0000E7250000}"/>
    <cellStyle name="Normal 5 2 2 3 2 2 2 2 3 4" xfId="23440" xr:uid="{00000000-0005-0000-0000-0000E8250000}"/>
    <cellStyle name="Normal 5 2 2 3 2 2 2 2 4" xfId="6186" xr:uid="{00000000-0005-0000-0000-0000E9250000}"/>
    <cellStyle name="Normal 5 2 2 3 2 2 2 2 4 2" xfId="16046" xr:uid="{00000000-0005-0000-0000-0000EA250000}"/>
    <cellStyle name="Normal 5 2 2 3 2 2 2 2 4 2 2" xfId="35761" xr:uid="{00000000-0005-0000-0000-0000EB250000}"/>
    <cellStyle name="Normal 5 2 2 3 2 2 2 2 4 3" xfId="25904" xr:uid="{00000000-0005-0000-0000-0000EC250000}"/>
    <cellStyle name="Normal 5 2 2 3 2 2 2 2 5" xfId="11118" xr:uid="{00000000-0005-0000-0000-0000ED250000}"/>
    <cellStyle name="Normal 5 2 2 3 2 2 2 2 5 2" xfId="30833" xr:uid="{00000000-0005-0000-0000-0000EE250000}"/>
    <cellStyle name="Normal 5 2 2 3 2 2 2 2 6" xfId="20976" xr:uid="{00000000-0005-0000-0000-0000EF250000}"/>
    <cellStyle name="Normal 5 2 2 3 2 2 2 3" xfId="1867" xr:uid="{00000000-0005-0000-0000-0000F0250000}"/>
    <cellStyle name="Normal 5 2 2 3 2 2 2 3 2" xfId="4334" xr:uid="{00000000-0005-0000-0000-0000F1250000}"/>
    <cellStyle name="Normal 5 2 2 3 2 2 2 3 2 2" xfId="9266" xr:uid="{00000000-0005-0000-0000-0000F2250000}"/>
    <cellStyle name="Normal 5 2 2 3 2 2 2 3 2 2 2" xfId="19126" xr:uid="{00000000-0005-0000-0000-0000F3250000}"/>
    <cellStyle name="Normal 5 2 2 3 2 2 2 3 2 2 2 2" xfId="38841" xr:uid="{00000000-0005-0000-0000-0000F4250000}"/>
    <cellStyle name="Normal 5 2 2 3 2 2 2 3 2 2 3" xfId="28984" xr:uid="{00000000-0005-0000-0000-0000F5250000}"/>
    <cellStyle name="Normal 5 2 2 3 2 2 2 3 2 3" xfId="14198" xr:uid="{00000000-0005-0000-0000-0000F6250000}"/>
    <cellStyle name="Normal 5 2 2 3 2 2 2 3 2 3 2" xfId="33913" xr:uid="{00000000-0005-0000-0000-0000F7250000}"/>
    <cellStyle name="Normal 5 2 2 3 2 2 2 3 2 4" xfId="24056" xr:uid="{00000000-0005-0000-0000-0000F8250000}"/>
    <cellStyle name="Normal 5 2 2 3 2 2 2 3 3" xfId="6802" xr:uid="{00000000-0005-0000-0000-0000F9250000}"/>
    <cellStyle name="Normal 5 2 2 3 2 2 2 3 3 2" xfId="16662" xr:uid="{00000000-0005-0000-0000-0000FA250000}"/>
    <cellStyle name="Normal 5 2 2 3 2 2 2 3 3 2 2" xfId="36377" xr:uid="{00000000-0005-0000-0000-0000FB250000}"/>
    <cellStyle name="Normal 5 2 2 3 2 2 2 3 3 3" xfId="26520" xr:uid="{00000000-0005-0000-0000-0000FC250000}"/>
    <cellStyle name="Normal 5 2 2 3 2 2 2 3 4" xfId="11734" xr:uid="{00000000-0005-0000-0000-0000FD250000}"/>
    <cellStyle name="Normal 5 2 2 3 2 2 2 3 4 2" xfId="31449" xr:uid="{00000000-0005-0000-0000-0000FE250000}"/>
    <cellStyle name="Normal 5 2 2 3 2 2 2 3 5" xfId="21592" xr:uid="{00000000-0005-0000-0000-0000FF250000}"/>
    <cellStyle name="Normal 5 2 2 3 2 2 2 4" xfId="3102" xr:uid="{00000000-0005-0000-0000-000000260000}"/>
    <cellStyle name="Normal 5 2 2 3 2 2 2 4 2" xfId="8034" xr:uid="{00000000-0005-0000-0000-000001260000}"/>
    <cellStyle name="Normal 5 2 2 3 2 2 2 4 2 2" xfId="17894" xr:uid="{00000000-0005-0000-0000-000002260000}"/>
    <cellStyle name="Normal 5 2 2 3 2 2 2 4 2 2 2" xfId="37609" xr:uid="{00000000-0005-0000-0000-000003260000}"/>
    <cellStyle name="Normal 5 2 2 3 2 2 2 4 2 3" xfId="27752" xr:uid="{00000000-0005-0000-0000-000004260000}"/>
    <cellStyle name="Normal 5 2 2 3 2 2 2 4 3" xfId="12966" xr:uid="{00000000-0005-0000-0000-000005260000}"/>
    <cellStyle name="Normal 5 2 2 3 2 2 2 4 3 2" xfId="32681" xr:uid="{00000000-0005-0000-0000-000006260000}"/>
    <cellStyle name="Normal 5 2 2 3 2 2 2 4 4" xfId="22824" xr:uid="{00000000-0005-0000-0000-000007260000}"/>
    <cellStyle name="Normal 5 2 2 3 2 2 2 5" xfId="5570" xr:uid="{00000000-0005-0000-0000-000008260000}"/>
    <cellStyle name="Normal 5 2 2 3 2 2 2 5 2" xfId="15430" xr:uid="{00000000-0005-0000-0000-000009260000}"/>
    <cellStyle name="Normal 5 2 2 3 2 2 2 5 2 2" xfId="35145" xr:uid="{00000000-0005-0000-0000-00000A260000}"/>
    <cellStyle name="Normal 5 2 2 3 2 2 2 5 3" xfId="25288" xr:uid="{00000000-0005-0000-0000-00000B260000}"/>
    <cellStyle name="Normal 5 2 2 3 2 2 2 6" xfId="10502" xr:uid="{00000000-0005-0000-0000-00000C260000}"/>
    <cellStyle name="Normal 5 2 2 3 2 2 2 6 2" xfId="30217" xr:uid="{00000000-0005-0000-0000-00000D260000}"/>
    <cellStyle name="Normal 5 2 2 3 2 2 2 7" xfId="20360" xr:uid="{00000000-0005-0000-0000-00000E260000}"/>
    <cellStyle name="Normal 5 2 2 3 2 2 3" xfId="941" xr:uid="{00000000-0005-0000-0000-00000F260000}"/>
    <cellStyle name="Normal 5 2 2 3 2 2 3 2" xfId="2177" xr:uid="{00000000-0005-0000-0000-000010260000}"/>
    <cellStyle name="Normal 5 2 2 3 2 2 3 2 2" xfId="4644" xr:uid="{00000000-0005-0000-0000-000011260000}"/>
    <cellStyle name="Normal 5 2 2 3 2 2 3 2 2 2" xfId="9576" xr:uid="{00000000-0005-0000-0000-000012260000}"/>
    <cellStyle name="Normal 5 2 2 3 2 2 3 2 2 2 2" xfId="19436" xr:uid="{00000000-0005-0000-0000-000013260000}"/>
    <cellStyle name="Normal 5 2 2 3 2 2 3 2 2 2 2 2" xfId="39151" xr:uid="{00000000-0005-0000-0000-000014260000}"/>
    <cellStyle name="Normal 5 2 2 3 2 2 3 2 2 2 3" xfId="29294" xr:uid="{00000000-0005-0000-0000-000015260000}"/>
    <cellStyle name="Normal 5 2 2 3 2 2 3 2 2 3" xfId="14508" xr:uid="{00000000-0005-0000-0000-000016260000}"/>
    <cellStyle name="Normal 5 2 2 3 2 2 3 2 2 3 2" xfId="34223" xr:uid="{00000000-0005-0000-0000-000017260000}"/>
    <cellStyle name="Normal 5 2 2 3 2 2 3 2 2 4" xfId="24366" xr:uid="{00000000-0005-0000-0000-000018260000}"/>
    <cellStyle name="Normal 5 2 2 3 2 2 3 2 3" xfId="7112" xr:uid="{00000000-0005-0000-0000-000019260000}"/>
    <cellStyle name="Normal 5 2 2 3 2 2 3 2 3 2" xfId="16972" xr:uid="{00000000-0005-0000-0000-00001A260000}"/>
    <cellStyle name="Normal 5 2 2 3 2 2 3 2 3 2 2" xfId="36687" xr:uid="{00000000-0005-0000-0000-00001B260000}"/>
    <cellStyle name="Normal 5 2 2 3 2 2 3 2 3 3" xfId="26830" xr:uid="{00000000-0005-0000-0000-00001C260000}"/>
    <cellStyle name="Normal 5 2 2 3 2 2 3 2 4" xfId="12044" xr:uid="{00000000-0005-0000-0000-00001D260000}"/>
    <cellStyle name="Normal 5 2 2 3 2 2 3 2 4 2" xfId="31759" xr:uid="{00000000-0005-0000-0000-00001E260000}"/>
    <cellStyle name="Normal 5 2 2 3 2 2 3 2 5" xfId="21902" xr:uid="{00000000-0005-0000-0000-00001F260000}"/>
    <cellStyle name="Normal 5 2 2 3 2 2 3 3" xfId="3412" xr:uid="{00000000-0005-0000-0000-000020260000}"/>
    <cellStyle name="Normal 5 2 2 3 2 2 3 3 2" xfId="8344" xr:uid="{00000000-0005-0000-0000-000021260000}"/>
    <cellStyle name="Normal 5 2 2 3 2 2 3 3 2 2" xfId="18204" xr:uid="{00000000-0005-0000-0000-000022260000}"/>
    <cellStyle name="Normal 5 2 2 3 2 2 3 3 2 2 2" xfId="37919" xr:uid="{00000000-0005-0000-0000-000023260000}"/>
    <cellStyle name="Normal 5 2 2 3 2 2 3 3 2 3" xfId="28062" xr:uid="{00000000-0005-0000-0000-000024260000}"/>
    <cellStyle name="Normal 5 2 2 3 2 2 3 3 3" xfId="13276" xr:uid="{00000000-0005-0000-0000-000025260000}"/>
    <cellStyle name="Normal 5 2 2 3 2 2 3 3 3 2" xfId="32991" xr:uid="{00000000-0005-0000-0000-000026260000}"/>
    <cellStyle name="Normal 5 2 2 3 2 2 3 3 4" xfId="23134" xr:uid="{00000000-0005-0000-0000-000027260000}"/>
    <cellStyle name="Normal 5 2 2 3 2 2 3 4" xfId="5880" xr:uid="{00000000-0005-0000-0000-000028260000}"/>
    <cellStyle name="Normal 5 2 2 3 2 2 3 4 2" xfId="15740" xr:uid="{00000000-0005-0000-0000-000029260000}"/>
    <cellStyle name="Normal 5 2 2 3 2 2 3 4 2 2" xfId="35455" xr:uid="{00000000-0005-0000-0000-00002A260000}"/>
    <cellStyle name="Normal 5 2 2 3 2 2 3 4 3" xfId="25598" xr:uid="{00000000-0005-0000-0000-00002B260000}"/>
    <cellStyle name="Normal 5 2 2 3 2 2 3 5" xfId="10812" xr:uid="{00000000-0005-0000-0000-00002C260000}"/>
    <cellStyle name="Normal 5 2 2 3 2 2 3 5 2" xfId="30527" xr:uid="{00000000-0005-0000-0000-00002D260000}"/>
    <cellStyle name="Normal 5 2 2 3 2 2 3 6" xfId="20670" xr:uid="{00000000-0005-0000-0000-00002E260000}"/>
    <cellStyle name="Normal 5 2 2 3 2 2 4" xfId="1561" xr:uid="{00000000-0005-0000-0000-00002F260000}"/>
    <cellStyle name="Normal 5 2 2 3 2 2 4 2" xfId="4028" xr:uid="{00000000-0005-0000-0000-000030260000}"/>
    <cellStyle name="Normal 5 2 2 3 2 2 4 2 2" xfId="8960" xr:uid="{00000000-0005-0000-0000-000031260000}"/>
    <cellStyle name="Normal 5 2 2 3 2 2 4 2 2 2" xfId="18820" xr:uid="{00000000-0005-0000-0000-000032260000}"/>
    <cellStyle name="Normal 5 2 2 3 2 2 4 2 2 2 2" xfId="38535" xr:uid="{00000000-0005-0000-0000-000033260000}"/>
    <cellStyle name="Normal 5 2 2 3 2 2 4 2 2 3" xfId="28678" xr:uid="{00000000-0005-0000-0000-000034260000}"/>
    <cellStyle name="Normal 5 2 2 3 2 2 4 2 3" xfId="13892" xr:uid="{00000000-0005-0000-0000-000035260000}"/>
    <cellStyle name="Normal 5 2 2 3 2 2 4 2 3 2" xfId="33607" xr:uid="{00000000-0005-0000-0000-000036260000}"/>
    <cellStyle name="Normal 5 2 2 3 2 2 4 2 4" xfId="23750" xr:uid="{00000000-0005-0000-0000-000037260000}"/>
    <cellStyle name="Normal 5 2 2 3 2 2 4 3" xfId="6496" xr:uid="{00000000-0005-0000-0000-000038260000}"/>
    <cellStyle name="Normal 5 2 2 3 2 2 4 3 2" xfId="16356" xr:uid="{00000000-0005-0000-0000-000039260000}"/>
    <cellStyle name="Normal 5 2 2 3 2 2 4 3 2 2" xfId="36071" xr:uid="{00000000-0005-0000-0000-00003A260000}"/>
    <cellStyle name="Normal 5 2 2 3 2 2 4 3 3" xfId="26214" xr:uid="{00000000-0005-0000-0000-00003B260000}"/>
    <cellStyle name="Normal 5 2 2 3 2 2 4 4" xfId="11428" xr:uid="{00000000-0005-0000-0000-00003C260000}"/>
    <cellStyle name="Normal 5 2 2 3 2 2 4 4 2" xfId="31143" xr:uid="{00000000-0005-0000-0000-00003D260000}"/>
    <cellStyle name="Normal 5 2 2 3 2 2 4 5" xfId="21286" xr:uid="{00000000-0005-0000-0000-00003E260000}"/>
    <cellStyle name="Normal 5 2 2 3 2 2 5" xfId="2796" xr:uid="{00000000-0005-0000-0000-00003F260000}"/>
    <cellStyle name="Normal 5 2 2 3 2 2 5 2" xfId="7728" xr:uid="{00000000-0005-0000-0000-000040260000}"/>
    <cellStyle name="Normal 5 2 2 3 2 2 5 2 2" xfId="17588" xr:uid="{00000000-0005-0000-0000-000041260000}"/>
    <cellStyle name="Normal 5 2 2 3 2 2 5 2 2 2" xfId="37303" xr:uid="{00000000-0005-0000-0000-000042260000}"/>
    <cellStyle name="Normal 5 2 2 3 2 2 5 2 3" xfId="27446" xr:uid="{00000000-0005-0000-0000-000043260000}"/>
    <cellStyle name="Normal 5 2 2 3 2 2 5 3" xfId="12660" xr:uid="{00000000-0005-0000-0000-000044260000}"/>
    <cellStyle name="Normal 5 2 2 3 2 2 5 3 2" xfId="32375" xr:uid="{00000000-0005-0000-0000-000045260000}"/>
    <cellStyle name="Normal 5 2 2 3 2 2 5 4" xfId="22518" xr:uid="{00000000-0005-0000-0000-000046260000}"/>
    <cellStyle name="Normal 5 2 2 3 2 2 6" xfId="5264" xr:uid="{00000000-0005-0000-0000-000047260000}"/>
    <cellStyle name="Normal 5 2 2 3 2 2 6 2" xfId="15124" xr:uid="{00000000-0005-0000-0000-000048260000}"/>
    <cellStyle name="Normal 5 2 2 3 2 2 6 2 2" xfId="34839" xr:uid="{00000000-0005-0000-0000-000049260000}"/>
    <cellStyle name="Normal 5 2 2 3 2 2 6 3" xfId="24982" xr:uid="{00000000-0005-0000-0000-00004A260000}"/>
    <cellStyle name="Normal 5 2 2 3 2 2 7" xfId="10196" xr:uid="{00000000-0005-0000-0000-00004B260000}"/>
    <cellStyle name="Normal 5 2 2 3 2 2 7 2" xfId="29911" xr:uid="{00000000-0005-0000-0000-00004C260000}"/>
    <cellStyle name="Normal 5 2 2 3 2 2 8" xfId="20054" xr:uid="{00000000-0005-0000-0000-00004D260000}"/>
    <cellStyle name="Normal 5 2 2 3 2 3" xfId="476" xr:uid="{00000000-0005-0000-0000-00004E260000}"/>
    <cellStyle name="Normal 5 2 2 3 2 3 2" xfId="1096" xr:uid="{00000000-0005-0000-0000-00004F260000}"/>
    <cellStyle name="Normal 5 2 2 3 2 3 2 2" xfId="2331" xr:uid="{00000000-0005-0000-0000-000050260000}"/>
    <cellStyle name="Normal 5 2 2 3 2 3 2 2 2" xfId="4798" xr:uid="{00000000-0005-0000-0000-000051260000}"/>
    <cellStyle name="Normal 5 2 2 3 2 3 2 2 2 2" xfId="9730" xr:uid="{00000000-0005-0000-0000-000052260000}"/>
    <cellStyle name="Normal 5 2 2 3 2 3 2 2 2 2 2" xfId="19590" xr:uid="{00000000-0005-0000-0000-000053260000}"/>
    <cellStyle name="Normal 5 2 2 3 2 3 2 2 2 2 2 2" xfId="39305" xr:uid="{00000000-0005-0000-0000-000054260000}"/>
    <cellStyle name="Normal 5 2 2 3 2 3 2 2 2 2 3" xfId="29448" xr:uid="{00000000-0005-0000-0000-000055260000}"/>
    <cellStyle name="Normal 5 2 2 3 2 3 2 2 2 3" xfId="14662" xr:uid="{00000000-0005-0000-0000-000056260000}"/>
    <cellStyle name="Normal 5 2 2 3 2 3 2 2 2 3 2" xfId="34377" xr:uid="{00000000-0005-0000-0000-000057260000}"/>
    <cellStyle name="Normal 5 2 2 3 2 3 2 2 2 4" xfId="24520" xr:uid="{00000000-0005-0000-0000-000058260000}"/>
    <cellStyle name="Normal 5 2 2 3 2 3 2 2 3" xfId="7266" xr:uid="{00000000-0005-0000-0000-000059260000}"/>
    <cellStyle name="Normal 5 2 2 3 2 3 2 2 3 2" xfId="17126" xr:uid="{00000000-0005-0000-0000-00005A260000}"/>
    <cellStyle name="Normal 5 2 2 3 2 3 2 2 3 2 2" xfId="36841" xr:uid="{00000000-0005-0000-0000-00005B260000}"/>
    <cellStyle name="Normal 5 2 2 3 2 3 2 2 3 3" xfId="26984" xr:uid="{00000000-0005-0000-0000-00005C260000}"/>
    <cellStyle name="Normal 5 2 2 3 2 3 2 2 4" xfId="12198" xr:uid="{00000000-0005-0000-0000-00005D260000}"/>
    <cellStyle name="Normal 5 2 2 3 2 3 2 2 4 2" xfId="31913" xr:uid="{00000000-0005-0000-0000-00005E260000}"/>
    <cellStyle name="Normal 5 2 2 3 2 3 2 2 5" xfId="22056" xr:uid="{00000000-0005-0000-0000-00005F260000}"/>
    <cellStyle name="Normal 5 2 2 3 2 3 2 3" xfId="3566" xr:uid="{00000000-0005-0000-0000-000060260000}"/>
    <cellStyle name="Normal 5 2 2 3 2 3 2 3 2" xfId="8498" xr:uid="{00000000-0005-0000-0000-000061260000}"/>
    <cellStyle name="Normal 5 2 2 3 2 3 2 3 2 2" xfId="18358" xr:uid="{00000000-0005-0000-0000-000062260000}"/>
    <cellStyle name="Normal 5 2 2 3 2 3 2 3 2 2 2" xfId="38073" xr:uid="{00000000-0005-0000-0000-000063260000}"/>
    <cellStyle name="Normal 5 2 2 3 2 3 2 3 2 3" xfId="28216" xr:uid="{00000000-0005-0000-0000-000064260000}"/>
    <cellStyle name="Normal 5 2 2 3 2 3 2 3 3" xfId="13430" xr:uid="{00000000-0005-0000-0000-000065260000}"/>
    <cellStyle name="Normal 5 2 2 3 2 3 2 3 3 2" xfId="33145" xr:uid="{00000000-0005-0000-0000-000066260000}"/>
    <cellStyle name="Normal 5 2 2 3 2 3 2 3 4" xfId="23288" xr:uid="{00000000-0005-0000-0000-000067260000}"/>
    <cellStyle name="Normal 5 2 2 3 2 3 2 4" xfId="6034" xr:uid="{00000000-0005-0000-0000-000068260000}"/>
    <cellStyle name="Normal 5 2 2 3 2 3 2 4 2" xfId="15894" xr:uid="{00000000-0005-0000-0000-000069260000}"/>
    <cellStyle name="Normal 5 2 2 3 2 3 2 4 2 2" xfId="35609" xr:uid="{00000000-0005-0000-0000-00006A260000}"/>
    <cellStyle name="Normal 5 2 2 3 2 3 2 4 3" xfId="25752" xr:uid="{00000000-0005-0000-0000-00006B260000}"/>
    <cellStyle name="Normal 5 2 2 3 2 3 2 5" xfId="10966" xr:uid="{00000000-0005-0000-0000-00006C260000}"/>
    <cellStyle name="Normal 5 2 2 3 2 3 2 5 2" xfId="30681" xr:uid="{00000000-0005-0000-0000-00006D260000}"/>
    <cellStyle name="Normal 5 2 2 3 2 3 2 6" xfId="20824" xr:uid="{00000000-0005-0000-0000-00006E260000}"/>
    <cellStyle name="Normal 5 2 2 3 2 3 3" xfId="1715" xr:uid="{00000000-0005-0000-0000-00006F260000}"/>
    <cellStyle name="Normal 5 2 2 3 2 3 3 2" xfId="4182" xr:uid="{00000000-0005-0000-0000-000070260000}"/>
    <cellStyle name="Normal 5 2 2 3 2 3 3 2 2" xfId="9114" xr:uid="{00000000-0005-0000-0000-000071260000}"/>
    <cellStyle name="Normal 5 2 2 3 2 3 3 2 2 2" xfId="18974" xr:uid="{00000000-0005-0000-0000-000072260000}"/>
    <cellStyle name="Normal 5 2 2 3 2 3 3 2 2 2 2" xfId="38689" xr:uid="{00000000-0005-0000-0000-000073260000}"/>
    <cellStyle name="Normal 5 2 2 3 2 3 3 2 2 3" xfId="28832" xr:uid="{00000000-0005-0000-0000-000074260000}"/>
    <cellStyle name="Normal 5 2 2 3 2 3 3 2 3" xfId="14046" xr:uid="{00000000-0005-0000-0000-000075260000}"/>
    <cellStyle name="Normal 5 2 2 3 2 3 3 2 3 2" xfId="33761" xr:uid="{00000000-0005-0000-0000-000076260000}"/>
    <cellStyle name="Normal 5 2 2 3 2 3 3 2 4" xfId="23904" xr:uid="{00000000-0005-0000-0000-000077260000}"/>
    <cellStyle name="Normal 5 2 2 3 2 3 3 3" xfId="6650" xr:uid="{00000000-0005-0000-0000-000078260000}"/>
    <cellStyle name="Normal 5 2 2 3 2 3 3 3 2" xfId="16510" xr:uid="{00000000-0005-0000-0000-000079260000}"/>
    <cellStyle name="Normal 5 2 2 3 2 3 3 3 2 2" xfId="36225" xr:uid="{00000000-0005-0000-0000-00007A260000}"/>
    <cellStyle name="Normal 5 2 2 3 2 3 3 3 3" xfId="26368" xr:uid="{00000000-0005-0000-0000-00007B260000}"/>
    <cellStyle name="Normal 5 2 2 3 2 3 3 4" xfId="11582" xr:uid="{00000000-0005-0000-0000-00007C260000}"/>
    <cellStyle name="Normal 5 2 2 3 2 3 3 4 2" xfId="31297" xr:uid="{00000000-0005-0000-0000-00007D260000}"/>
    <cellStyle name="Normal 5 2 2 3 2 3 3 5" xfId="21440" xr:uid="{00000000-0005-0000-0000-00007E260000}"/>
    <cellStyle name="Normal 5 2 2 3 2 3 4" xfId="2950" xr:uid="{00000000-0005-0000-0000-00007F260000}"/>
    <cellStyle name="Normal 5 2 2 3 2 3 4 2" xfId="7882" xr:uid="{00000000-0005-0000-0000-000080260000}"/>
    <cellStyle name="Normal 5 2 2 3 2 3 4 2 2" xfId="17742" xr:uid="{00000000-0005-0000-0000-000081260000}"/>
    <cellStyle name="Normal 5 2 2 3 2 3 4 2 2 2" xfId="37457" xr:uid="{00000000-0005-0000-0000-000082260000}"/>
    <cellStyle name="Normal 5 2 2 3 2 3 4 2 3" xfId="27600" xr:uid="{00000000-0005-0000-0000-000083260000}"/>
    <cellStyle name="Normal 5 2 2 3 2 3 4 3" xfId="12814" xr:uid="{00000000-0005-0000-0000-000084260000}"/>
    <cellStyle name="Normal 5 2 2 3 2 3 4 3 2" xfId="32529" xr:uid="{00000000-0005-0000-0000-000085260000}"/>
    <cellStyle name="Normal 5 2 2 3 2 3 4 4" xfId="22672" xr:uid="{00000000-0005-0000-0000-000086260000}"/>
    <cellStyle name="Normal 5 2 2 3 2 3 5" xfId="5418" xr:uid="{00000000-0005-0000-0000-000087260000}"/>
    <cellStyle name="Normal 5 2 2 3 2 3 5 2" xfId="15278" xr:uid="{00000000-0005-0000-0000-000088260000}"/>
    <cellStyle name="Normal 5 2 2 3 2 3 5 2 2" xfId="34993" xr:uid="{00000000-0005-0000-0000-000089260000}"/>
    <cellStyle name="Normal 5 2 2 3 2 3 5 3" xfId="25136" xr:uid="{00000000-0005-0000-0000-00008A260000}"/>
    <cellStyle name="Normal 5 2 2 3 2 3 6" xfId="10350" xr:uid="{00000000-0005-0000-0000-00008B260000}"/>
    <cellStyle name="Normal 5 2 2 3 2 3 6 2" xfId="30065" xr:uid="{00000000-0005-0000-0000-00008C260000}"/>
    <cellStyle name="Normal 5 2 2 3 2 3 7" xfId="20208" xr:uid="{00000000-0005-0000-0000-00008D260000}"/>
    <cellStyle name="Normal 5 2 2 3 2 4" xfId="789" xr:uid="{00000000-0005-0000-0000-00008E260000}"/>
    <cellStyle name="Normal 5 2 2 3 2 4 2" xfId="2025" xr:uid="{00000000-0005-0000-0000-00008F260000}"/>
    <cellStyle name="Normal 5 2 2 3 2 4 2 2" xfId="4492" xr:uid="{00000000-0005-0000-0000-000090260000}"/>
    <cellStyle name="Normal 5 2 2 3 2 4 2 2 2" xfId="9424" xr:uid="{00000000-0005-0000-0000-000091260000}"/>
    <cellStyle name="Normal 5 2 2 3 2 4 2 2 2 2" xfId="19284" xr:uid="{00000000-0005-0000-0000-000092260000}"/>
    <cellStyle name="Normal 5 2 2 3 2 4 2 2 2 2 2" xfId="38999" xr:uid="{00000000-0005-0000-0000-000093260000}"/>
    <cellStyle name="Normal 5 2 2 3 2 4 2 2 2 3" xfId="29142" xr:uid="{00000000-0005-0000-0000-000094260000}"/>
    <cellStyle name="Normal 5 2 2 3 2 4 2 2 3" xfId="14356" xr:uid="{00000000-0005-0000-0000-000095260000}"/>
    <cellStyle name="Normal 5 2 2 3 2 4 2 2 3 2" xfId="34071" xr:uid="{00000000-0005-0000-0000-000096260000}"/>
    <cellStyle name="Normal 5 2 2 3 2 4 2 2 4" xfId="24214" xr:uid="{00000000-0005-0000-0000-000097260000}"/>
    <cellStyle name="Normal 5 2 2 3 2 4 2 3" xfId="6960" xr:uid="{00000000-0005-0000-0000-000098260000}"/>
    <cellStyle name="Normal 5 2 2 3 2 4 2 3 2" xfId="16820" xr:uid="{00000000-0005-0000-0000-000099260000}"/>
    <cellStyle name="Normal 5 2 2 3 2 4 2 3 2 2" xfId="36535" xr:uid="{00000000-0005-0000-0000-00009A260000}"/>
    <cellStyle name="Normal 5 2 2 3 2 4 2 3 3" xfId="26678" xr:uid="{00000000-0005-0000-0000-00009B260000}"/>
    <cellStyle name="Normal 5 2 2 3 2 4 2 4" xfId="11892" xr:uid="{00000000-0005-0000-0000-00009C260000}"/>
    <cellStyle name="Normal 5 2 2 3 2 4 2 4 2" xfId="31607" xr:uid="{00000000-0005-0000-0000-00009D260000}"/>
    <cellStyle name="Normal 5 2 2 3 2 4 2 5" xfId="21750" xr:uid="{00000000-0005-0000-0000-00009E260000}"/>
    <cellStyle name="Normal 5 2 2 3 2 4 3" xfId="3260" xr:uid="{00000000-0005-0000-0000-00009F260000}"/>
    <cellStyle name="Normal 5 2 2 3 2 4 3 2" xfId="8192" xr:uid="{00000000-0005-0000-0000-0000A0260000}"/>
    <cellStyle name="Normal 5 2 2 3 2 4 3 2 2" xfId="18052" xr:uid="{00000000-0005-0000-0000-0000A1260000}"/>
    <cellStyle name="Normal 5 2 2 3 2 4 3 2 2 2" xfId="37767" xr:uid="{00000000-0005-0000-0000-0000A2260000}"/>
    <cellStyle name="Normal 5 2 2 3 2 4 3 2 3" xfId="27910" xr:uid="{00000000-0005-0000-0000-0000A3260000}"/>
    <cellStyle name="Normal 5 2 2 3 2 4 3 3" xfId="13124" xr:uid="{00000000-0005-0000-0000-0000A4260000}"/>
    <cellStyle name="Normal 5 2 2 3 2 4 3 3 2" xfId="32839" xr:uid="{00000000-0005-0000-0000-0000A5260000}"/>
    <cellStyle name="Normal 5 2 2 3 2 4 3 4" xfId="22982" xr:uid="{00000000-0005-0000-0000-0000A6260000}"/>
    <cellStyle name="Normal 5 2 2 3 2 4 4" xfId="5728" xr:uid="{00000000-0005-0000-0000-0000A7260000}"/>
    <cellStyle name="Normal 5 2 2 3 2 4 4 2" xfId="15588" xr:uid="{00000000-0005-0000-0000-0000A8260000}"/>
    <cellStyle name="Normal 5 2 2 3 2 4 4 2 2" xfId="35303" xr:uid="{00000000-0005-0000-0000-0000A9260000}"/>
    <cellStyle name="Normal 5 2 2 3 2 4 4 3" xfId="25446" xr:uid="{00000000-0005-0000-0000-0000AA260000}"/>
    <cellStyle name="Normal 5 2 2 3 2 4 5" xfId="10660" xr:uid="{00000000-0005-0000-0000-0000AB260000}"/>
    <cellStyle name="Normal 5 2 2 3 2 4 5 2" xfId="30375" xr:uid="{00000000-0005-0000-0000-0000AC260000}"/>
    <cellStyle name="Normal 5 2 2 3 2 4 6" xfId="20518" xr:uid="{00000000-0005-0000-0000-0000AD260000}"/>
    <cellStyle name="Normal 5 2 2 3 2 5" xfId="1409" xr:uid="{00000000-0005-0000-0000-0000AE260000}"/>
    <cellStyle name="Normal 5 2 2 3 2 5 2" xfId="3876" xr:uid="{00000000-0005-0000-0000-0000AF260000}"/>
    <cellStyle name="Normal 5 2 2 3 2 5 2 2" xfId="8808" xr:uid="{00000000-0005-0000-0000-0000B0260000}"/>
    <cellStyle name="Normal 5 2 2 3 2 5 2 2 2" xfId="18668" xr:uid="{00000000-0005-0000-0000-0000B1260000}"/>
    <cellStyle name="Normal 5 2 2 3 2 5 2 2 2 2" xfId="38383" xr:uid="{00000000-0005-0000-0000-0000B2260000}"/>
    <cellStyle name="Normal 5 2 2 3 2 5 2 2 3" xfId="28526" xr:uid="{00000000-0005-0000-0000-0000B3260000}"/>
    <cellStyle name="Normal 5 2 2 3 2 5 2 3" xfId="13740" xr:uid="{00000000-0005-0000-0000-0000B4260000}"/>
    <cellStyle name="Normal 5 2 2 3 2 5 2 3 2" xfId="33455" xr:uid="{00000000-0005-0000-0000-0000B5260000}"/>
    <cellStyle name="Normal 5 2 2 3 2 5 2 4" xfId="23598" xr:uid="{00000000-0005-0000-0000-0000B6260000}"/>
    <cellStyle name="Normal 5 2 2 3 2 5 3" xfId="6344" xr:uid="{00000000-0005-0000-0000-0000B7260000}"/>
    <cellStyle name="Normal 5 2 2 3 2 5 3 2" xfId="16204" xr:uid="{00000000-0005-0000-0000-0000B8260000}"/>
    <cellStyle name="Normal 5 2 2 3 2 5 3 2 2" xfId="35919" xr:uid="{00000000-0005-0000-0000-0000B9260000}"/>
    <cellStyle name="Normal 5 2 2 3 2 5 3 3" xfId="26062" xr:uid="{00000000-0005-0000-0000-0000BA260000}"/>
    <cellStyle name="Normal 5 2 2 3 2 5 4" xfId="11276" xr:uid="{00000000-0005-0000-0000-0000BB260000}"/>
    <cellStyle name="Normal 5 2 2 3 2 5 4 2" xfId="30991" xr:uid="{00000000-0005-0000-0000-0000BC260000}"/>
    <cellStyle name="Normal 5 2 2 3 2 5 5" xfId="21134" xr:uid="{00000000-0005-0000-0000-0000BD260000}"/>
    <cellStyle name="Normal 5 2 2 3 2 6" xfId="2644" xr:uid="{00000000-0005-0000-0000-0000BE260000}"/>
    <cellStyle name="Normal 5 2 2 3 2 6 2" xfId="7576" xr:uid="{00000000-0005-0000-0000-0000BF260000}"/>
    <cellStyle name="Normal 5 2 2 3 2 6 2 2" xfId="17436" xr:uid="{00000000-0005-0000-0000-0000C0260000}"/>
    <cellStyle name="Normal 5 2 2 3 2 6 2 2 2" xfId="37151" xr:uid="{00000000-0005-0000-0000-0000C1260000}"/>
    <cellStyle name="Normal 5 2 2 3 2 6 2 3" xfId="27294" xr:uid="{00000000-0005-0000-0000-0000C2260000}"/>
    <cellStyle name="Normal 5 2 2 3 2 6 3" xfId="12508" xr:uid="{00000000-0005-0000-0000-0000C3260000}"/>
    <cellStyle name="Normal 5 2 2 3 2 6 3 2" xfId="32223" xr:uid="{00000000-0005-0000-0000-0000C4260000}"/>
    <cellStyle name="Normal 5 2 2 3 2 6 4" xfId="22366" xr:uid="{00000000-0005-0000-0000-0000C5260000}"/>
    <cellStyle name="Normal 5 2 2 3 2 7" xfId="5112" xr:uid="{00000000-0005-0000-0000-0000C6260000}"/>
    <cellStyle name="Normal 5 2 2 3 2 7 2" xfId="14972" xr:uid="{00000000-0005-0000-0000-0000C7260000}"/>
    <cellStyle name="Normal 5 2 2 3 2 7 2 2" xfId="34687" xr:uid="{00000000-0005-0000-0000-0000C8260000}"/>
    <cellStyle name="Normal 5 2 2 3 2 7 3" xfId="24830" xr:uid="{00000000-0005-0000-0000-0000C9260000}"/>
    <cellStyle name="Normal 5 2 2 3 2 8" xfId="10044" xr:uid="{00000000-0005-0000-0000-0000CA260000}"/>
    <cellStyle name="Normal 5 2 2 3 2 8 2" xfId="29759" xr:uid="{00000000-0005-0000-0000-0000CB260000}"/>
    <cellStyle name="Normal 5 2 2 3 2 9" xfId="19902" xr:uid="{00000000-0005-0000-0000-0000CC260000}"/>
    <cellStyle name="Normal 5 2 2 3 3" xfId="238" xr:uid="{00000000-0005-0000-0000-0000CD260000}"/>
    <cellStyle name="Normal 5 2 2 3 3 2" xfId="552" xr:uid="{00000000-0005-0000-0000-0000CE260000}"/>
    <cellStyle name="Normal 5 2 2 3 3 2 2" xfId="1172" xr:uid="{00000000-0005-0000-0000-0000CF260000}"/>
    <cellStyle name="Normal 5 2 2 3 3 2 2 2" xfId="2407" xr:uid="{00000000-0005-0000-0000-0000D0260000}"/>
    <cellStyle name="Normal 5 2 2 3 3 2 2 2 2" xfId="4874" xr:uid="{00000000-0005-0000-0000-0000D1260000}"/>
    <cellStyle name="Normal 5 2 2 3 3 2 2 2 2 2" xfId="9806" xr:uid="{00000000-0005-0000-0000-0000D2260000}"/>
    <cellStyle name="Normal 5 2 2 3 3 2 2 2 2 2 2" xfId="19666" xr:uid="{00000000-0005-0000-0000-0000D3260000}"/>
    <cellStyle name="Normal 5 2 2 3 3 2 2 2 2 2 2 2" xfId="39381" xr:uid="{00000000-0005-0000-0000-0000D4260000}"/>
    <cellStyle name="Normal 5 2 2 3 3 2 2 2 2 2 3" xfId="29524" xr:uid="{00000000-0005-0000-0000-0000D5260000}"/>
    <cellStyle name="Normal 5 2 2 3 3 2 2 2 2 3" xfId="14738" xr:uid="{00000000-0005-0000-0000-0000D6260000}"/>
    <cellStyle name="Normal 5 2 2 3 3 2 2 2 2 3 2" xfId="34453" xr:uid="{00000000-0005-0000-0000-0000D7260000}"/>
    <cellStyle name="Normal 5 2 2 3 3 2 2 2 2 4" xfId="24596" xr:uid="{00000000-0005-0000-0000-0000D8260000}"/>
    <cellStyle name="Normal 5 2 2 3 3 2 2 2 3" xfId="7342" xr:uid="{00000000-0005-0000-0000-0000D9260000}"/>
    <cellStyle name="Normal 5 2 2 3 3 2 2 2 3 2" xfId="17202" xr:uid="{00000000-0005-0000-0000-0000DA260000}"/>
    <cellStyle name="Normal 5 2 2 3 3 2 2 2 3 2 2" xfId="36917" xr:uid="{00000000-0005-0000-0000-0000DB260000}"/>
    <cellStyle name="Normal 5 2 2 3 3 2 2 2 3 3" xfId="27060" xr:uid="{00000000-0005-0000-0000-0000DC260000}"/>
    <cellStyle name="Normal 5 2 2 3 3 2 2 2 4" xfId="12274" xr:uid="{00000000-0005-0000-0000-0000DD260000}"/>
    <cellStyle name="Normal 5 2 2 3 3 2 2 2 4 2" xfId="31989" xr:uid="{00000000-0005-0000-0000-0000DE260000}"/>
    <cellStyle name="Normal 5 2 2 3 3 2 2 2 5" xfId="22132" xr:uid="{00000000-0005-0000-0000-0000DF260000}"/>
    <cellStyle name="Normal 5 2 2 3 3 2 2 3" xfId="3642" xr:uid="{00000000-0005-0000-0000-0000E0260000}"/>
    <cellStyle name="Normal 5 2 2 3 3 2 2 3 2" xfId="8574" xr:uid="{00000000-0005-0000-0000-0000E1260000}"/>
    <cellStyle name="Normal 5 2 2 3 3 2 2 3 2 2" xfId="18434" xr:uid="{00000000-0005-0000-0000-0000E2260000}"/>
    <cellStyle name="Normal 5 2 2 3 3 2 2 3 2 2 2" xfId="38149" xr:uid="{00000000-0005-0000-0000-0000E3260000}"/>
    <cellStyle name="Normal 5 2 2 3 3 2 2 3 2 3" xfId="28292" xr:uid="{00000000-0005-0000-0000-0000E4260000}"/>
    <cellStyle name="Normal 5 2 2 3 3 2 2 3 3" xfId="13506" xr:uid="{00000000-0005-0000-0000-0000E5260000}"/>
    <cellStyle name="Normal 5 2 2 3 3 2 2 3 3 2" xfId="33221" xr:uid="{00000000-0005-0000-0000-0000E6260000}"/>
    <cellStyle name="Normal 5 2 2 3 3 2 2 3 4" xfId="23364" xr:uid="{00000000-0005-0000-0000-0000E7260000}"/>
    <cellStyle name="Normal 5 2 2 3 3 2 2 4" xfId="6110" xr:uid="{00000000-0005-0000-0000-0000E8260000}"/>
    <cellStyle name="Normal 5 2 2 3 3 2 2 4 2" xfId="15970" xr:uid="{00000000-0005-0000-0000-0000E9260000}"/>
    <cellStyle name="Normal 5 2 2 3 3 2 2 4 2 2" xfId="35685" xr:uid="{00000000-0005-0000-0000-0000EA260000}"/>
    <cellStyle name="Normal 5 2 2 3 3 2 2 4 3" xfId="25828" xr:uid="{00000000-0005-0000-0000-0000EB260000}"/>
    <cellStyle name="Normal 5 2 2 3 3 2 2 5" xfId="11042" xr:uid="{00000000-0005-0000-0000-0000EC260000}"/>
    <cellStyle name="Normal 5 2 2 3 3 2 2 5 2" xfId="30757" xr:uid="{00000000-0005-0000-0000-0000ED260000}"/>
    <cellStyle name="Normal 5 2 2 3 3 2 2 6" xfId="20900" xr:uid="{00000000-0005-0000-0000-0000EE260000}"/>
    <cellStyle name="Normal 5 2 2 3 3 2 3" xfId="1791" xr:uid="{00000000-0005-0000-0000-0000EF260000}"/>
    <cellStyle name="Normal 5 2 2 3 3 2 3 2" xfId="4258" xr:uid="{00000000-0005-0000-0000-0000F0260000}"/>
    <cellStyle name="Normal 5 2 2 3 3 2 3 2 2" xfId="9190" xr:uid="{00000000-0005-0000-0000-0000F1260000}"/>
    <cellStyle name="Normal 5 2 2 3 3 2 3 2 2 2" xfId="19050" xr:uid="{00000000-0005-0000-0000-0000F2260000}"/>
    <cellStyle name="Normal 5 2 2 3 3 2 3 2 2 2 2" xfId="38765" xr:uid="{00000000-0005-0000-0000-0000F3260000}"/>
    <cellStyle name="Normal 5 2 2 3 3 2 3 2 2 3" xfId="28908" xr:uid="{00000000-0005-0000-0000-0000F4260000}"/>
    <cellStyle name="Normal 5 2 2 3 3 2 3 2 3" xfId="14122" xr:uid="{00000000-0005-0000-0000-0000F5260000}"/>
    <cellStyle name="Normal 5 2 2 3 3 2 3 2 3 2" xfId="33837" xr:uid="{00000000-0005-0000-0000-0000F6260000}"/>
    <cellStyle name="Normal 5 2 2 3 3 2 3 2 4" xfId="23980" xr:uid="{00000000-0005-0000-0000-0000F7260000}"/>
    <cellStyle name="Normal 5 2 2 3 3 2 3 3" xfId="6726" xr:uid="{00000000-0005-0000-0000-0000F8260000}"/>
    <cellStyle name="Normal 5 2 2 3 3 2 3 3 2" xfId="16586" xr:uid="{00000000-0005-0000-0000-0000F9260000}"/>
    <cellStyle name="Normal 5 2 2 3 3 2 3 3 2 2" xfId="36301" xr:uid="{00000000-0005-0000-0000-0000FA260000}"/>
    <cellStyle name="Normal 5 2 2 3 3 2 3 3 3" xfId="26444" xr:uid="{00000000-0005-0000-0000-0000FB260000}"/>
    <cellStyle name="Normal 5 2 2 3 3 2 3 4" xfId="11658" xr:uid="{00000000-0005-0000-0000-0000FC260000}"/>
    <cellStyle name="Normal 5 2 2 3 3 2 3 4 2" xfId="31373" xr:uid="{00000000-0005-0000-0000-0000FD260000}"/>
    <cellStyle name="Normal 5 2 2 3 3 2 3 5" xfId="21516" xr:uid="{00000000-0005-0000-0000-0000FE260000}"/>
    <cellStyle name="Normal 5 2 2 3 3 2 4" xfId="3026" xr:uid="{00000000-0005-0000-0000-0000FF260000}"/>
    <cellStyle name="Normal 5 2 2 3 3 2 4 2" xfId="7958" xr:uid="{00000000-0005-0000-0000-000000270000}"/>
    <cellStyle name="Normal 5 2 2 3 3 2 4 2 2" xfId="17818" xr:uid="{00000000-0005-0000-0000-000001270000}"/>
    <cellStyle name="Normal 5 2 2 3 3 2 4 2 2 2" xfId="37533" xr:uid="{00000000-0005-0000-0000-000002270000}"/>
    <cellStyle name="Normal 5 2 2 3 3 2 4 2 3" xfId="27676" xr:uid="{00000000-0005-0000-0000-000003270000}"/>
    <cellStyle name="Normal 5 2 2 3 3 2 4 3" xfId="12890" xr:uid="{00000000-0005-0000-0000-000004270000}"/>
    <cellStyle name="Normal 5 2 2 3 3 2 4 3 2" xfId="32605" xr:uid="{00000000-0005-0000-0000-000005270000}"/>
    <cellStyle name="Normal 5 2 2 3 3 2 4 4" xfId="22748" xr:uid="{00000000-0005-0000-0000-000006270000}"/>
    <cellStyle name="Normal 5 2 2 3 3 2 5" xfId="5494" xr:uid="{00000000-0005-0000-0000-000007270000}"/>
    <cellStyle name="Normal 5 2 2 3 3 2 5 2" xfId="15354" xr:uid="{00000000-0005-0000-0000-000008270000}"/>
    <cellStyle name="Normal 5 2 2 3 3 2 5 2 2" xfId="35069" xr:uid="{00000000-0005-0000-0000-000009270000}"/>
    <cellStyle name="Normal 5 2 2 3 3 2 5 3" xfId="25212" xr:uid="{00000000-0005-0000-0000-00000A270000}"/>
    <cellStyle name="Normal 5 2 2 3 3 2 6" xfId="10426" xr:uid="{00000000-0005-0000-0000-00000B270000}"/>
    <cellStyle name="Normal 5 2 2 3 3 2 6 2" xfId="30141" xr:uid="{00000000-0005-0000-0000-00000C270000}"/>
    <cellStyle name="Normal 5 2 2 3 3 2 7" xfId="20284" xr:uid="{00000000-0005-0000-0000-00000D270000}"/>
    <cellStyle name="Normal 5 2 2 3 3 3" xfId="865" xr:uid="{00000000-0005-0000-0000-00000E270000}"/>
    <cellStyle name="Normal 5 2 2 3 3 3 2" xfId="2101" xr:uid="{00000000-0005-0000-0000-00000F270000}"/>
    <cellStyle name="Normal 5 2 2 3 3 3 2 2" xfId="4568" xr:uid="{00000000-0005-0000-0000-000010270000}"/>
    <cellStyle name="Normal 5 2 2 3 3 3 2 2 2" xfId="9500" xr:uid="{00000000-0005-0000-0000-000011270000}"/>
    <cellStyle name="Normal 5 2 2 3 3 3 2 2 2 2" xfId="19360" xr:uid="{00000000-0005-0000-0000-000012270000}"/>
    <cellStyle name="Normal 5 2 2 3 3 3 2 2 2 2 2" xfId="39075" xr:uid="{00000000-0005-0000-0000-000013270000}"/>
    <cellStyle name="Normal 5 2 2 3 3 3 2 2 2 3" xfId="29218" xr:uid="{00000000-0005-0000-0000-000014270000}"/>
    <cellStyle name="Normal 5 2 2 3 3 3 2 2 3" xfId="14432" xr:uid="{00000000-0005-0000-0000-000015270000}"/>
    <cellStyle name="Normal 5 2 2 3 3 3 2 2 3 2" xfId="34147" xr:uid="{00000000-0005-0000-0000-000016270000}"/>
    <cellStyle name="Normal 5 2 2 3 3 3 2 2 4" xfId="24290" xr:uid="{00000000-0005-0000-0000-000017270000}"/>
    <cellStyle name="Normal 5 2 2 3 3 3 2 3" xfId="7036" xr:uid="{00000000-0005-0000-0000-000018270000}"/>
    <cellStyle name="Normal 5 2 2 3 3 3 2 3 2" xfId="16896" xr:uid="{00000000-0005-0000-0000-000019270000}"/>
    <cellStyle name="Normal 5 2 2 3 3 3 2 3 2 2" xfId="36611" xr:uid="{00000000-0005-0000-0000-00001A270000}"/>
    <cellStyle name="Normal 5 2 2 3 3 3 2 3 3" xfId="26754" xr:uid="{00000000-0005-0000-0000-00001B270000}"/>
    <cellStyle name="Normal 5 2 2 3 3 3 2 4" xfId="11968" xr:uid="{00000000-0005-0000-0000-00001C270000}"/>
    <cellStyle name="Normal 5 2 2 3 3 3 2 4 2" xfId="31683" xr:uid="{00000000-0005-0000-0000-00001D270000}"/>
    <cellStyle name="Normal 5 2 2 3 3 3 2 5" xfId="21826" xr:uid="{00000000-0005-0000-0000-00001E270000}"/>
    <cellStyle name="Normal 5 2 2 3 3 3 3" xfId="3336" xr:uid="{00000000-0005-0000-0000-00001F270000}"/>
    <cellStyle name="Normal 5 2 2 3 3 3 3 2" xfId="8268" xr:uid="{00000000-0005-0000-0000-000020270000}"/>
    <cellStyle name="Normal 5 2 2 3 3 3 3 2 2" xfId="18128" xr:uid="{00000000-0005-0000-0000-000021270000}"/>
    <cellStyle name="Normal 5 2 2 3 3 3 3 2 2 2" xfId="37843" xr:uid="{00000000-0005-0000-0000-000022270000}"/>
    <cellStyle name="Normal 5 2 2 3 3 3 3 2 3" xfId="27986" xr:uid="{00000000-0005-0000-0000-000023270000}"/>
    <cellStyle name="Normal 5 2 2 3 3 3 3 3" xfId="13200" xr:uid="{00000000-0005-0000-0000-000024270000}"/>
    <cellStyle name="Normal 5 2 2 3 3 3 3 3 2" xfId="32915" xr:uid="{00000000-0005-0000-0000-000025270000}"/>
    <cellStyle name="Normal 5 2 2 3 3 3 3 4" xfId="23058" xr:uid="{00000000-0005-0000-0000-000026270000}"/>
    <cellStyle name="Normal 5 2 2 3 3 3 4" xfId="5804" xr:uid="{00000000-0005-0000-0000-000027270000}"/>
    <cellStyle name="Normal 5 2 2 3 3 3 4 2" xfId="15664" xr:uid="{00000000-0005-0000-0000-000028270000}"/>
    <cellStyle name="Normal 5 2 2 3 3 3 4 2 2" xfId="35379" xr:uid="{00000000-0005-0000-0000-000029270000}"/>
    <cellStyle name="Normal 5 2 2 3 3 3 4 3" xfId="25522" xr:uid="{00000000-0005-0000-0000-00002A270000}"/>
    <cellStyle name="Normal 5 2 2 3 3 3 5" xfId="10736" xr:uid="{00000000-0005-0000-0000-00002B270000}"/>
    <cellStyle name="Normal 5 2 2 3 3 3 5 2" xfId="30451" xr:uid="{00000000-0005-0000-0000-00002C270000}"/>
    <cellStyle name="Normal 5 2 2 3 3 3 6" xfId="20594" xr:uid="{00000000-0005-0000-0000-00002D270000}"/>
    <cellStyle name="Normal 5 2 2 3 3 4" xfId="1485" xr:uid="{00000000-0005-0000-0000-00002E270000}"/>
    <cellStyle name="Normal 5 2 2 3 3 4 2" xfId="3952" xr:uid="{00000000-0005-0000-0000-00002F270000}"/>
    <cellStyle name="Normal 5 2 2 3 3 4 2 2" xfId="8884" xr:uid="{00000000-0005-0000-0000-000030270000}"/>
    <cellStyle name="Normal 5 2 2 3 3 4 2 2 2" xfId="18744" xr:uid="{00000000-0005-0000-0000-000031270000}"/>
    <cellStyle name="Normal 5 2 2 3 3 4 2 2 2 2" xfId="38459" xr:uid="{00000000-0005-0000-0000-000032270000}"/>
    <cellStyle name="Normal 5 2 2 3 3 4 2 2 3" xfId="28602" xr:uid="{00000000-0005-0000-0000-000033270000}"/>
    <cellStyle name="Normal 5 2 2 3 3 4 2 3" xfId="13816" xr:uid="{00000000-0005-0000-0000-000034270000}"/>
    <cellStyle name="Normal 5 2 2 3 3 4 2 3 2" xfId="33531" xr:uid="{00000000-0005-0000-0000-000035270000}"/>
    <cellStyle name="Normal 5 2 2 3 3 4 2 4" xfId="23674" xr:uid="{00000000-0005-0000-0000-000036270000}"/>
    <cellStyle name="Normal 5 2 2 3 3 4 3" xfId="6420" xr:uid="{00000000-0005-0000-0000-000037270000}"/>
    <cellStyle name="Normal 5 2 2 3 3 4 3 2" xfId="16280" xr:uid="{00000000-0005-0000-0000-000038270000}"/>
    <cellStyle name="Normal 5 2 2 3 3 4 3 2 2" xfId="35995" xr:uid="{00000000-0005-0000-0000-000039270000}"/>
    <cellStyle name="Normal 5 2 2 3 3 4 3 3" xfId="26138" xr:uid="{00000000-0005-0000-0000-00003A270000}"/>
    <cellStyle name="Normal 5 2 2 3 3 4 4" xfId="11352" xr:uid="{00000000-0005-0000-0000-00003B270000}"/>
    <cellStyle name="Normal 5 2 2 3 3 4 4 2" xfId="31067" xr:uid="{00000000-0005-0000-0000-00003C270000}"/>
    <cellStyle name="Normal 5 2 2 3 3 4 5" xfId="21210" xr:uid="{00000000-0005-0000-0000-00003D270000}"/>
    <cellStyle name="Normal 5 2 2 3 3 5" xfId="2720" xr:uid="{00000000-0005-0000-0000-00003E270000}"/>
    <cellStyle name="Normal 5 2 2 3 3 5 2" xfId="7652" xr:uid="{00000000-0005-0000-0000-00003F270000}"/>
    <cellStyle name="Normal 5 2 2 3 3 5 2 2" xfId="17512" xr:uid="{00000000-0005-0000-0000-000040270000}"/>
    <cellStyle name="Normal 5 2 2 3 3 5 2 2 2" xfId="37227" xr:uid="{00000000-0005-0000-0000-000041270000}"/>
    <cellStyle name="Normal 5 2 2 3 3 5 2 3" xfId="27370" xr:uid="{00000000-0005-0000-0000-000042270000}"/>
    <cellStyle name="Normal 5 2 2 3 3 5 3" xfId="12584" xr:uid="{00000000-0005-0000-0000-000043270000}"/>
    <cellStyle name="Normal 5 2 2 3 3 5 3 2" xfId="32299" xr:uid="{00000000-0005-0000-0000-000044270000}"/>
    <cellStyle name="Normal 5 2 2 3 3 5 4" xfId="22442" xr:uid="{00000000-0005-0000-0000-000045270000}"/>
    <cellStyle name="Normal 5 2 2 3 3 6" xfId="5188" xr:uid="{00000000-0005-0000-0000-000046270000}"/>
    <cellStyle name="Normal 5 2 2 3 3 6 2" xfId="15048" xr:uid="{00000000-0005-0000-0000-000047270000}"/>
    <cellStyle name="Normal 5 2 2 3 3 6 2 2" xfId="34763" xr:uid="{00000000-0005-0000-0000-000048270000}"/>
    <cellStyle name="Normal 5 2 2 3 3 6 3" xfId="24906" xr:uid="{00000000-0005-0000-0000-000049270000}"/>
    <cellStyle name="Normal 5 2 2 3 3 7" xfId="10120" xr:uid="{00000000-0005-0000-0000-00004A270000}"/>
    <cellStyle name="Normal 5 2 2 3 3 7 2" xfId="29835" xr:uid="{00000000-0005-0000-0000-00004B270000}"/>
    <cellStyle name="Normal 5 2 2 3 3 8" xfId="19978" xr:uid="{00000000-0005-0000-0000-00004C270000}"/>
    <cellStyle name="Normal 5 2 2 3 4" xfId="400" xr:uid="{00000000-0005-0000-0000-00004D270000}"/>
    <cellStyle name="Normal 5 2 2 3 4 2" xfId="1020" xr:uid="{00000000-0005-0000-0000-00004E270000}"/>
    <cellStyle name="Normal 5 2 2 3 4 2 2" xfId="2255" xr:uid="{00000000-0005-0000-0000-00004F270000}"/>
    <cellStyle name="Normal 5 2 2 3 4 2 2 2" xfId="4722" xr:uid="{00000000-0005-0000-0000-000050270000}"/>
    <cellStyle name="Normal 5 2 2 3 4 2 2 2 2" xfId="9654" xr:uid="{00000000-0005-0000-0000-000051270000}"/>
    <cellStyle name="Normal 5 2 2 3 4 2 2 2 2 2" xfId="19514" xr:uid="{00000000-0005-0000-0000-000052270000}"/>
    <cellStyle name="Normal 5 2 2 3 4 2 2 2 2 2 2" xfId="39229" xr:uid="{00000000-0005-0000-0000-000053270000}"/>
    <cellStyle name="Normal 5 2 2 3 4 2 2 2 2 3" xfId="29372" xr:uid="{00000000-0005-0000-0000-000054270000}"/>
    <cellStyle name="Normal 5 2 2 3 4 2 2 2 3" xfId="14586" xr:uid="{00000000-0005-0000-0000-000055270000}"/>
    <cellStyle name="Normal 5 2 2 3 4 2 2 2 3 2" xfId="34301" xr:uid="{00000000-0005-0000-0000-000056270000}"/>
    <cellStyle name="Normal 5 2 2 3 4 2 2 2 4" xfId="24444" xr:uid="{00000000-0005-0000-0000-000057270000}"/>
    <cellStyle name="Normal 5 2 2 3 4 2 2 3" xfId="7190" xr:uid="{00000000-0005-0000-0000-000058270000}"/>
    <cellStyle name="Normal 5 2 2 3 4 2 2 3 2" xfId="17050" xr:uid="{00000000-0005-0000-0000-000059270000}"/>
    <cellStyle name="Normal 5 2 2 3 4 2 2 3 2 2" xfId="36765" xr:uid="{00000000-0005-0000-0000-00005A270000}"/>
    <cellStyle name="Normal 5 2 2 3 4 2 2 3 3" xfId="26908" xr:uid="{00000000-0005-0000-0000-00005B270000}"/>
    <cellStyle name="Normal 5 2 2 3 4 2 2 4" xfId="12122" xr:uid="{00000000-0005-0000-0000-00005C270000}"/>
    <cellStyle name="Normal 5 2 2 3 4 2 2 4 2" xfId="31837" xr:uid="{00000000-0005-0000-0000-00005D270000}"/>
    <cellStyle name="Normal 5 2 2 3 4 2 2 5" xfId="21980" xr:uid="{00000000-0005-0000-0000-00005E270000}"/>
    <cellStyle name="Normal 5 2 2 3 4 2 3" xfId="3490" xr:uid="{00000000-0005-0000-0000-00005F270000}"/>
    <cellStyle name="Normal 5 2 2 3 4 2 3 2" xfId="8422" xr:uid="{00000000-0005-0000-0000-000060270000}"/>
    <cellStyle name="Normal 5 2 2 3 4 2 3 2 2" xfId="18282" xr:uid="{00000000-0005-0000-0000-000061270000}"/>
    <cellStyle name="Normal 5 2 2 3 4 2 3 2 2 2" xfId="37997" xr:uid="{00000000-0005-0000-0000-000062270000}"/>
    <cellStyle name="Normal 5 2 2 3 4 2 3 2 3" xfId="28140" xr:uid="{00000000-0005-0000-0000-000063270000}"/>
    <cellStyle name="Normal 5 2 2 3 4 2 3 3" xfId="13354" xr:uid="{00000000-0005-0000-0000-000064270000}"/>
    <cellStyle name="Normal 5 2 2 3 4 2 3 3 2" xfId="33069" xr:uid="{00000000-0005-0000-0000-000065270000}"/>
    <cellStyle name="Normal 5 2 2 3 4 2 3 4" xfId="23212" xr:uid="{00000000-0005-0000-0000-000066270000}"/>
    <cellStyle name="Normal 5 2 2 3 4 2 4" xfId="5958" xr:uid="{00000000-0005-0000-0000-000067270000}"/>
    <cellStyle name="Normal 5 2 2 3 4 2 4 2" xfId="15818" xr:uid="{00000000-0005-0000-0000-000068270000}"/>
    <cellStyle name="Normal 5 2 2 3 4 2 4 2 2" xfId="35533" xr:uid="{00000000-0005-0000-0000-000069270000}"/>
    <cellStyle name="Normal 5 2 2 3 4 2 4 3" xfId="25676" xr:uid="{00000000-0005-0000-0000-00006A270000}"/>
    <cellStyle name="Normal 5 2 2 3 4 2 5" xfId="10890" xr:uid="{00000000-0005-0000-0000-00006B270000}"/>
    <cellStyle name="Normal 5 2 2 3 4 2 5 2" xfId="30605" xr:uid="{00000000-0005-0000-0000-00006C270000}"/>
    <cellStyle name="Normal 5 2 2 3 4 2 6" xfId="20748" xr:uid="{00000000-0005-0000-0000-00006D270000}"/>
    <cellStyle name="Normal 5 2 2 3 4 3" xfId="1639" xr:uid="{00000000-0005-0000-0000-00006E270000}"/>
    <cellStyle name="Normal 5 2 2 3 4 3 2" xfId="4106" xr:uid="{00000000-0005-0000-0000-00006F270000}"/>
    <cellStyle name="Normal 5 2 2 3 4 3 2 2" xfId="9038" xr:uid="{00000000-0005-0000-0000-000070270000}"/>
    <cellStyle name="Normal 5 2 2 3 4 3 2 2 2" xfId="18898" xr:uid="{00000000-0005-0000-0000-000071270000}"/>
    <cellStyle name="Normal 5 2 2 3 4 3 2 2 2 2" xfId="38613" xr:uid="{00000000-0005-0000-0000-000072270000}"/>
    <cellStyle name="Normal 5 2 2 3 4 3 2 2 3" xfId="28756" xr:uid="{00000000-0005-0000-0000-000073270000}"/>
    <cellStyle name="Normal 5 2 2 3 4 3 2 3" xfId="13970" xr:uid="{00000000-0005-0000-0000-000074270000}"/>
    <cellStyle name="Normal 5 2 2 3 4 3 2 3 2" xfId="33685" xr:uid="{00000000-0005-0000-0000-000075270000}"/>
    <cellStyle name="Normal 5 2 2 3 4 3 2 4" xfId="23828" xr:uid="{00000000-0005-0000-0000-000076270000}"/>
    <cellStyle name="Normal 5 2 2 3 4 3 3" xfId="6574" xr:uid="{00000000-0005-0000-0000-000077270000}"/>
    <cellStyle name="Normal 5 2 2 3 4 3 3 2" xfId="16434" xr:uid="{00000000-0005-0000-0000-000078270000}"/>
    <cellStyle name="Normal 5 2 2 3 4 3 3 2 2" xfId="36149" xr:uid="{00000000-0005-0000-0000-000079270000}"/>
    <cellStyle name="Normal 5 2 2 3 4 3 3 3" xfId="26292" xr:uid="{00000000-0005-0000-0000-00007A270000}"/>
    <cellStyle name="Normal 5 2 2 3 4 3 4" xfId="11506" xr:uid="{00000000-0005-0000-0000-00007B270000}"/>
    <cellStyle name="Normal 5 2 2 3 4 3 4 2" xfId="31221" xr:uid="{00000000-0005-0000-0000-00007C270000}"/>
    <cellStyle name="Normal 5 2 2 3 4 3 5" xfId="21364" xr:uid="{00000000-0005-0000-0000-00007D270000}"/>
    <cellStyle name="Normal 5 2 2 3 4 4" xfId="2874" xr:uid="{00000000-0005-0000-0000-00007E270000}"/>
    <cellStyle name="Normal 5 2 2 3 4 4 2" xfId="7806" xr:uid="{00000000-0005-0000-0000-00007F270000}"/>
    <cellStyle name="Normal 5 2 2 3 4 4 2 2" xfId="17666" xr:uid="{00000000-0005-0000-0000-000080270000}"/>
    <cellStyle name="Normal 5 2 2 3 4 4 2 2 2" xfId="37381" xr:uid="{00000000-0005-0000-0000-000081270000}"/>
    <cellStyle name="Normal 5 2 2 3 4 4 2 3" xfId="27524" xr:uid="{00000000-0005-0000-0000-000082270000}"/>
    <cellStyle name="Normal 5 2 2 3 4 4 3" xfId="12738" xr:uid="{00000000-0005-0000-0000-000083270000}"/>
    <cellStyle name="Normal 5 2 2 3 4 4 3 2" xfId="32453" xr:uid="{00000000-0005-0000-0000-000084270000}"/>
    <cellStyle name="Normal 5 2 2 3 4 4 4" xfId="22596" xr:uid="{00000000-0005-0000-0000-000085270000}"/>
    <cellStyle name="Normal 5 2 2 3 4 5" xfId="5342" xr:uid="{00000000-0005-0000-0000-000086270000}"/>
    <cellStyle name="Normal 5 2 2 3 4 5 2" xfId="15202" xr:uid="{00000000-0005-0000-0000-000087270000}"/>
    <cellStyle name="Normal 5 2 2 3 4 5 2 2" xfId="34917" xr:uid="{00000000-0005-0000-0000-000088270000}"/>
    <cellStyle name="Normal 5 2 2 3 4 5 3" xfId="25060" xr:uid="{00000000-0005-0000-0000-000089270000}"/>
    <cellStyle name="Normal 5 2 2 3 4 6" xfId="10274" xr:uid="{00000000-0005-0000-0000-00008A270000}"/>
    <cellStyle name="Normal 5 2 2 3 4 6 2" xfId="29989" xr:uid="{00000000-0005-0000-0000-00008B270000}"/>
    <cellStyle name="Normal 5 2 2 3 4 7" xfId="20132" xr:uid="{00000000-0005-0000-0000-00008C270000}"/>
    <cellStyle name="Normal 5 2 2 3 5" xfId="713" xr:uid="{00000000-0005-0000-0000-00008D270000}"/>
    <cellStyle name="Normal 5 2 2 3 5 2" xfId="1949" xr:uid="{00000000-0005-0000-0000-00008E270000}"/>
    <cellStyle name="Normal 5 2 2 3 5 2 2" xfId="4416" xr:uid="{00000000-0005-0000-0000-00008F270000}"/>
    <cellStyle name="Normal 5 2 2 3 5 2 2 2" xfId="9348" xr:uid="{00000000-0005-0000-0000-000090270000}"/>
    <cellStyle name="Normal 5 2 2 3 5 2 2 2 2" xfId="19208" xr:uid="{00000000-0005-0000-0000-000091270000}"/>
    <cellStyle name="Normal 5 2 2 3 5 2 2 2 2 2" xfId="38923" xr:uid="{00000000-0005-0000-0000-000092270000}"/>
    <cellStyle name="Normal 5 2 2 3 5 2 2 2 3" xfId="29066" xr:uid="{00000000-0005-0000-0000-000093270000}"/>
    <cellStyle name="Normal 5 2 2 3 5 2 2 3" xfId="14280" xr:uid="{00000000-0005-0000-0000-000094270000}"/>
    <cellStyle name="Normal 5 2 2 3 5 2 2 3 2" xfId="33995" xr:uid="{00000000-0005-0000-0000-000095270000}"/>
    <cellStyle name="Normal 5 2 2 3 5 2 2 4" xfId="24138" xr:uid="{00000000-0005-0000-0000-000096270000}"/>
    <cellStyle name="Normal 5 2 2 3 5 2 3" xfId="6884" xr:uid="{00000000-0005-0000-0000-000097270000}"/>
    <cellStyle name="Normal 5 2 2 3 5 2 3 2" xfId="16744" xr:uid="{00000000-0005-0000-0000-000098270000}"/>
    <cellStyle name="Normal 5 2 2 3 5 2 3 2 2" xfId="36459" xr:uid="{00000000-0005-0000-0000-000099270000}"/>
    <cellStyle name="Normal 5 2 2 3 5 2 3 3" xfId="26602" xr:uid="{00000000-0005-0000-0000-00009A270000}"/>
    <cellStyle name="Normal 5 2 2 3 5 2 4" xfId="11816" xr:uid="{00000000-0005-0000-0000-00009B270000}"/>
    <cellStyle name="Normal 5 2 2 3 5 2 4 2" xfId="31531" xr:uid="{00000000-0005-0000-0000-00009C270000}"/>
    <cellStyle name="Normal 5 2 2 3 5 2 5" xfId="21674" xr:uid="{00000000-0005-0000-0000-00009D270000}"/>
    <cellStyle name="Normal 5 2 2 3 5 3" xfId="3184" xr:uid="{00000000-0005-0000-0000-00009E270000}"/>
    <cellStyle name="Normal 5 2 2 3 5 3 2" xfId="8116" xr:uid="{00000000-0005-0000-0000-00009F270000}"/>
    <cellStyle name="Normal 5 2 2 3 5 3 2 2" xfId="17976" xr:uid="{00000000-0005-0000-0000-0000A0270000}"/>
    <cellStyle name="Normal 5 2 2 3 5 3 2 2 2" xfId="37691" xr:uid="{00000000-0005-0000-0000-0000A1270000}"/>
    <cellStyle name="Normal 5 2 2 3 5 3 2 3" xfId="27834" xr:uid="{00000000-0005-0000-0000-0000A2270000}"/>
    <cellStyle name="Normal 5 2 2 3 5 3 3" xfId="13048" xr:uid="{00000000-0005-0000-0000-0000A3270000}"/>
    <cellStyle name="Normal 5 2 2 3 5 3 3 2" xfId="32763" xr:uid="{00000000-0005-0000-0000-0000A4270000}"/>
    <cellStyle name="Normal 5 2 2 3 5 3 4" xfId="22906" xr:uid="{00000000-0005-0000-0000-0000A5270000}"/>
    <cellStyle name="Normal 5 2 2 3 5 4" xfId="5652" xr:uid="{00000000-0005-0000-0000-0000A6270000}"/>
    <cellStyle name="Normal 5 2 2 3 5 4 2" xfId="15512" xr:uid="{00000000-0005-0000-0000-0000A7270000}"/>
    <cellStyle name="Normal 5 2 2 3 5 4 2 2" xfId="35227" xr:uid="{00000000-0005-0000-0000-0000A8270000}"/>
    <cellStyle name="Normal 5 2 2 3 5 4 3" xfId="25370" xr:uid="{00000000-0005-0000-0000-0000A9270000}"/>
    <cellStyle name="Normal 5 2 2 3 5 5" xfId="10584" xr:uid="{00000000-0005-0000-0000-0000AA270000}"/>
    <cellStyle name="Normal 5 2 2 3 5 5 2" xfId="30299" xr:uid="{00000000-0005-0000-0000-0000AB270000}"/>
    <cellStyle name="Normal 5 2 2 3 5 6" xfId="20442" xr:uid="{00000000-0005-0000-0000-0000AC270000}"/>
    <cellStyle name="Normal 5 2 2 3 6" xfId="1333" xr:uid="{00000000-0005-0000-0000-0000AD270000}"/>
    <cellStyle name="Normal 5 2 2 3 6 2" xfId="3800" xr:uid="{00000000-0005-0000-0000-0000AE270000}"/>
    <cellStyle name="Normal 5 2 2 3 6 2 2" xfId="8732" xr:uid="{00000000-0005-0000-0000-0000AF270000}"/>
    <cellStyle name="Normal 5 2 2 3 6 2 2 2" xfId="18592" xr:uid="{00000000-0005-0000-0000-0000B0270000}"/>
    <cellStyle name="Normal 5 2 2 3 6 2 2 2 2" xfId="38307" xr:uid="{00000000-0005-0000-0000-0000B1270000}"/>
    <cellStyle name="Normal 5 2 2 3 6 2 2 3" xfId="28450" xr:uid="{00000000-0005-0000-0000-0000B2270000}"/>
    <cellStyle name="Normal 5 2 2 3 6 2 3" xfId="13664" xr:uid="{00000000-0005-0000-0000-0000B3270000}"/>
    <cellStyle name="Normal 5 2 2 3 6 2 3 2" xfId="33379" xr:uid="{00000000-0005-0000-0000-0000B4270000}"/>
    <cellStyle name="Normal 5 2 2 3 6 2 4" xfId="23522" xr:uid="{00000000-0005-0000-0000-0000B5270000}"/>
    <cellStyle name="Normal 5 2 2 3 6 3" xfId="6268" xr:uid="{00000000-0005-0000-0000-0000B6270000}"/>
    <cellStyle name="Normal 5 2 2 3 6 3 2" xfId="16128" xr:uid="{00000000-0005-0000-0000-0000B7270000}"/>
    <cellStyle name="Normal 5 2 2 3 6 3 2 2" xfId="35843" xr:uid="{00000000-0005-0000-0000-0000B8270000}"/>
    <cellStyle name="Normal 5 2 2 3 6 3 3" xfId="25986" xr:uid="{00000000-0005-0000-0000-0000B9270000}"/>
    <cellStyle name="Normal 5 2 2 3 6 4" xfId="11200" xr:uid="{00000000-0005-0000-0000-0000BA270000}"/>
    <cellStyle name="Normal 5 2 2 3 6 4 2" xfId="30915" xr:uid="{00000000-0005-0000-0000-0000BB270000}"/>
    <cellStyle name="Normal 5 2 2 3 6 5" xfId="21058" xr:uid="{00000000-0005-0000-0000-0000BC270000}"/>
    <cellStyle name="Normal 5 2 2 3 7" xfId="2568" xr:uid="{00000000-0005-0000-0000-0000BD270000}"/>
    <cellStyle name="Normal 5 2 2 3 7 2" xfId="7500" xr:uid="{00000000-0005-0000-0000-0000BE270000}"/>
    <cellStyle name="Normal 5 2 2 3 7 2 2" xfId="17360" xr:uid="{00000000-0005-0000-0000-0000BF270000}"/>
    <cellStyle name="Normal 5 2 2 3 7 2 2 2" xfId="37075" xr:uid="{00000000-0005-0000-0000-0000C0270000}"/>
    <cellStyle name="Normal 5 2 2 3 7 2 3" xfId="27218" xr:uid="{00000000-0005-0000-0000-0000C1270000}"/>
    <cellStyle name="Normal 5 2 2 3 7 3" xfId="12432" xr:uid="{00000000-0005-0000-0000-0000C2270000}"/>
    <cellStyle name="Normal 5 2 2 3 7 3 2" xfId="32147" xr:uid="{00000000-0005-0000-0000-0000C3270000}"/>
    <cellStyle name="Normal 5 2 2 3 7 4" xfId="22290" xr:uid="{00000000-0005-0000-0000-0000C4270000}"/>
    <cellStyle name="Normal 5 2 2 3 8" xfId="5036" xr:uid="{00000000-0005-0000-0000-0000C5270000}"/>
    <cellStyle name="Normal 5 2 2 3 8 2" xfId="14896" xr:uid="{00000000-0005-0000-0000-0000C6270000}"/>
    <cellStyle name="Normal 5 2 2 3 8 2 2" xfId="34611" xr:uid="{00000000-0005-0000-0000-0000C7270000}"/>
    <cellStyle name="Normal 5 2 2 3 8 3" xfId="24754" xr:uid="{00000000-0005-0000-0000-0000C8270000}"/>
    <cellStyle name="Normal 5 2 2 3 9" xfId="9968" xr:uid="{00000000-0005-0000-0000-0000C9270000}"/>
    <cellStyle name="Normal 5 2 2 3 9 2" xfId="29683" xr:uid="{00000000-0005-0000-0000-0000CA270000}"/>
    <cellStyle name="Normal 5 2 2 4" xfId="119" xr:uid="{00000000-0005-0000-0000-0000CB270000}"/>
    <cellStyle name="Normal 5 2 2 4 2" xfId="276" xr:uid="{00000000-0005-0000-0000-0000CC270000}"/>
    <cellStyle name="Normal 5 2 2 4 2 2" xfId="590" xr:uid="{00000000-0005-0000-0000-0000CD270000}"/>
    <cellStyle name="Normal 5 2 2 4 2 2 2" xfId="1210" xr:uid="{00000000-0005-0000-0000-0000CE270000}"/>
    <cellStyle name="Normal 5 2 2 4 2 2 2 2" xfId="2445" xr:uid="{00000000-0005-0000-0000-0000CF270000}"/>
    <cellStyle name="Normal 5 2 2 4 2 2 2 2 2" xfId="4912" xr:uid="{00000000-0005-0000-0000-0000D0270000}"/>
    <cellStyle name="Normal 5 2 2 4 2 2 2 2 2 2" xfId="9844" xr:uid="{00000000-0005-0000-0000-0000D1270000}"/>
    <cellStyle name="Normal 5 2 2 4 2 2 2 2 2 2 2" xfId="19704" xr:uid="{00000000-0005-0000-0000-0000D2270000}"/>
    <cellStyle name="Normal 5 2 2 4 2 2 2 2 2 2 2 2" xfId="39419" xr:uid="{00000000-0005-0000-0000-0000D3270000}"/>
    <cellStyle name="Normal 5 2 2 4 2 2 2 2 2 2 3" xfId="29562" xr:uid="{00000000-0005-0000-0000-0000D4270000}"/>
    <cellStyle name="Normal 5 2 2 4 2 2 2 2 2 3" xfId="14776" xr:uid="{00000000-0005-0000-0000-0000D5270000}"/>
    <cellStyle name="Normal 5 2 2 4 2 2 2 2 2 3 2" xfId="34491" xr:uid="{00000000-0005-0000-0000-0000D6270000}"/>
    <cellStyle name="Normal 5 2 2 4 2 2 2 2 2 4" xfId="24634" xr:uid="{00000000-0005-0000-0000-0000D7270000}"/>
    <cellStyle name="Normal 5 2 2 4 2 2 2 2 3" xfId="7380" xr:uid="{00000000-0005-0000-0000-0000D8270000}"/>
    <cellStyle name="Normal 5 2 2 4 2 2 2 2 3 2" xfId="17240" xr:uid="{00000000-0005-0000-0000-0000D9270000}"/>
    <cellStyle name="Normal 5 2 2 4 2 2 2 2 3 2 2" xfId="36955" xr:uid="{00000000-0005-0000-0000-0000DA270000}"/>
    <cellStyle name="Normal 5 2 2 4 2 2 2 2 3 3" xfId="27098" xr:uid="{00000000-0005-0000-0000-0000DB270000}"/>
    <cellStyle name="Normal 5 2 2 4 2 2 2 2 4" xfId="12312" xr:uid="{00000000-0005-0000-0000-0000DC270000}"/>
    <cellStyle name="Normal 5 2 2 4 2 2 2 2 4 2" xfId="32027" xr:uid="{00000000-0005-0000-0000-0000DD270000}"/>
    <cellStyle name="Normal 5 2 2 4 2 2 2 2 5" xfId="22170" xr:uid="{00000000-0005-0000-0000-0000DE270000}"/>
    <cellStyle name="Normal 5 2 2 4 2 2 2 3" xfId="3680" xr:uid="{00000000-0005-0000-0000-0000DF270000}"/>
    <cellStyle name="Normal 5 2 2 4 2 2 2 3 2" xfId="8612" xr:uid="{00000000-0005-0000-0000-0000E0270000}"/>
    <cellStyle name="Normal 5 2 2 4 2 2 2 3 2 2" xfId="18472" xr:uid="{00000000-0005-0000-0000-0000E1270000}"/>
    <cellStyle name="Normal 5 2 2 4 2 2 2 3 2 2 2" xfId="38187" xr:uid="{00000000-0005-0000-0000-0000E2270000}"/>
    <cellStyle name="Normal 5 2 2 4 2 2 2 3 2 3" xfId="28330" xr:uid="{00000000-0005-0000-0000-0000E3270000}"/>
    <cellStyle name="Normal 5 2 2 4 2 2 2 3 3" xfId="13544" xr:uid="{00000000-0005-0000-0000-0000E4270000}"/>
    <cellStyle name="Normal 5 2 2 4 2 2 2 3 3 2" xfId="33259" xr:uid="{00000000-0005-0000-0000-0000E5270000}"/>
    <cellStyle name="Normal 5 2 2 4 2 2 2 3 4" xfId="23402" xr:uid="{00000000-0005-0000-0000-0000E6270000}"/>
    <cellStyle name="Normal 5 2 2 4 2 2 2 4" xfId="6148" xr:uid="{00000000-0005-0000-0000-0000E7270000}"/>
    <cellStyle name="Normal 5 2 2 4 2 2 2 4 2" xfId="16008" xr:uid="{00000000-0005-0000-0000-0000E8270000}"/>
    <cellStyle name="Normal 5 2 2 4 2 2 2 4 2 2" xfId="35723" xr:uid="{00000000-0005-0000-0000-0000E9270000}"/>
    <cellStyle name="Normal 5 2 2 4 2 2 2 4 3" xfId="25866" xr:uid="{00000000-0005-0000-0000-0000EA270000}"/>
    <cellStyle name="Normal 5 2 2 4 2 2 2 5" xfId="11080" xr:uid="{00000000-0005-0000-0000-0000EB270000}"/>
    <cellStyle name="Normal 5 2 2 4 2 2 2 5 2" xfId="30795" xr:uid="{00000000-0005-0000-0000-0000EC270000}"/>
    <cellStyle name="Normal 5 2 2 4 2 2 2 6" xfId="20938" xr:uid="{00000000-0005-0000-0000-0000ED270000}"/>
    <cellStyle name="Normal 5 2 2 4 2 2 3" xfId="1829" xr:uid="{00000000-0005-0000-0000-0000EE270000}"/>
    <cellStyle name="Normal 5 2 2 4 2 2 3 2" xfId="4296" xr:uid="{00000000-0005-0000-0000-0000EF270000}"/>
    <cellStyle name="Normal 5 2 2 4 2 2 3 2 2" xfId="9228" xr:uid="{00000000-0005-0000-0000-0000F0270000}"/>
    <cellStyle name="Normal 5 2 2 4 2 2 3 2 2 2" xfId="19088" xr:uid="{00000000-0005-0000-0000-0000F1270000}"/>
    <cellStyle name="Normal 5 2 2 4 2 2 3 2 2 2 2" xfId="38803" xr:uid="{00000000-0005-0000-0000-0000F2270000}"/>
    <cellStyle name="Normal 5 2 2 4 2 2 3 2 2 3" xfId="28946" xr:uid="{00000000-0005-0000-0000-0000F3270000}"/>
    <cellStyle name="Normal 5 2 2 4 2 2 3 2 3" xfId="14160" xr:uid="{00000000-0005-0000-0000-0000F4270000}"/>
    <cellStyle name="Normal 5 2 2 4 2 2 3 2 3 2" xfId="33875" xr:uid="{00000000-0005-0000-0000-0000F5270000}"/>
    <cellStyle name="Normal 5 2 2 4 2 2 3 2 4" xfId="24018" xr:uid="{00000000-0005-0000-0000-0000F6270000}"/>
    <cellStyle name="Normal 5 2 2 4 2 2 3 3" xfId="6764" xr:uid="{00000000-0005-0000-0000-0000F7270000}"/>
    <cellStyle name="Normal 5 2 2 4 2 2 3 3 2" xfId="16624" xr:uid="{00000000-0005-0000-0000-0000F8270000}"/>
    <cellStyle name="Normal 5 2 2 4 2 2 3 3 2 2" xfId="36339" xr:uid="{00000000-0005-0000-0000-0000F9270000}"/>
    <cellStyle name="Normal 5 2 2 4 2 2 3 3 3" xfId="26482" xr:uid="{00000000-0005-0000-0000-0000FA270000}"/>
    <cellStyle name="Normal 5 2 2 4 2 2 3 4" xfId="11696" xr:uid="{00000000-0005-0000-0000-0000FB270000}"/>
    <cellStyle name="Normal 5 2 2 4 2 2 3 4 2" xfId="31411" xr:uid="{00000000-0005-0000-0000-0000FC270000}"/>
    <cellStyle name="Normal 5 2 2 4 2 2 3 5" xfId="21554" xr:uid="{00000000-0005-0000-0000-0000FD270000}"/>
    <cellStyle name="Normal 5 2 2 4 2 2 4" xfId="3064" xr:uid="{00000000-0005-0000-0000-0000FE270000}"/>
    <cellStyle name="Normal 5 2 2 4 2 2 4 2" xfId="7996" xr:uid="{00000000-0005-0000-0000-0000FF270000}"/>
    <cellStyle name="Normal 5 2 2 4 2 2 4 2 2" xfId="17856" xr:uid="{00000000-0005-0000-0000-000000280000}"/>
    <cellStyle name="Normal 5 2 2 4 2 2 4 2 2 2" xfId="37571" xr:uid="{00000000-0005-0000-0000-000001280000}"/>
    <cellStyle name="Normal 5 2 2 4 2 2 4 2 3" xfId="27714" xr:uid="{00000000-0005-0000-0000-000002280000}"/>
    <cellStyle name="Normal 5 2 2 4 2 2 4 3" xfId="12928" xr:uid="{00000000-0005-0000-0000-000003280000}"/>
    <cellStyle name="Normal 5 2 2 4 2 2 4 3 2" xfId="32643" xr:uid="{00000000-0005-0000-0000-000004280000}"/>
    <cellStyle name="Normal 5 2 2 4 2 2 4 4" xfId="22786" xr:uid="{00000000-0005-0000-0000-000005280000}"/>
    <cellStyle name="Normal 5 2 2 4 2 2 5" xfId="5532" xr:uid="{00000000-0005-0000-0000-000006280000}"/>
    <cellStyle name="Normal 5 2 2 4 2 2 5 2" xfId="15392" xr:uid="{00000000-0005-0000-0000-000007280000}"/>
    <cellStyle name="Normal 5 2 2 4 2 2 5 2 2" xfId="35107" xr:uid="{00000000-0005-0000-0000-000008280000}"/>
    <cellStyle name="Normal 5 2 2 4 2 2 5 3" xfId="25250" xr:uid="{00000000-0005-0000-0000-000009280000}"/>
    <cellStyle name="Normal 5 2 2 4 2 2 6" xfId="10464" xr:uid="{00000000-0005-0000-0000-00000A280000}"/>
    <cellStyle name="Normal 5 2 2 4 2 2 6 2" xfId="30179" xr:uid="{00000000-0005-0000-0000-00000B280000}"/>
    <cellStyle name="Normal 5 2 2 4 2 2 7" xfId="20322" xr:uid="{00000000-0005-0000-0000-00000C280000}"/>
    <cellStyle name="Normal 5 2 2 4 2 3" xfId="903" xr:uid="{00000000-0005-0000-0000-00000D280000}"/>
    <cellStyle name="Normal 5 2 2 4 2 3 2" xfId="2139" xr:uid="{00000000-0005-0000-0000-00000E280000}"/>
    <cellStyle name="Normal 5 2 2 4 2 3 2 2" xfId="4606" xr:uid="{00000000-0005-0000-0000-00000F280000}"/>
    <cellStyle name="Normal 5 2 2 4 2 3 2 2 2" xfId="9538" xr:uid="{00000000-0005-0000-0000-000010280000}"/>
    <cellStyle name="Normal 5 2 2 4 2 3 2 2 2 2" xfId="19398" xr:uid="{00000000-0005-0000-0000-000011280000}"/>
    <cellStyle name="Normal 5 2 2 4 2 3 2 2 2 2 2" xfId="39113" xr:uid="{00000000-0005-0000-0000-000012280000}"/>
    <cellStyle name="Normal 5 2 2 4 2 3 2 2 2 3" xfId="29256" xr:uid="{00000000-0005-0000-0000-000013280000}"/>
    <cellStyle name="Normal 5 2 2 4 2 3 2 2 3" xfId="14470" xr:uid="{00000000-0005-0000-0000-000014280000}"/>
    <cellStyle name="Normal 5 2 2 4 2 3 2 2 3 2" xfId="34185" xr:uid="{00000000-0005-0000-0000-000015280000}"/>
    <cellStyle name="Normal 5 2 2 4 2 3 2 2 4" xfId="24328" xr:uid="{00000000-0005-0000-0000-000016280000}"/>
    <cellStyle name="Normal 5 2 2 4 2 3 2 3" xfId="7074" xr:uid="{00000000-0005-0000-0000-000017280000}"/>
    <cellStyle name="Normal 5 2 2 4 2 3 2 3 2" xfId="16934" xr:uid="{00000000-0005-0000-0000-000018280000}"/>
    <cellStyle name="Normal 5 2 2 4 2 3 2 3 2 2" xfId="36649" xr:uid="{00000000-0005-0000-0000-000019280000}"/>
    <cellStyle name="Normal 5 2 2 4 2 3 2 3 3" xfId="26792" xr:uid="{00000000-0005-0000-0000-00001A280000}"/>
    <cellStyle name="Normal 5 2 2 4 2 3 2 4" xfId="12006" xr:uid="{00000000-0005-0000-0000-00001B280000}"/>
    <cellStyle name="Normal 5 2 2 4 2 3 2 4 2" xfId="31721" xr:uid="{00000000-0005-0000-0000-00001C280000}"/>
    <cellStyle name="Normal 5 2 2 4 2 3 2 5" xfId="21864" xr:uid="{00000000-0005-0000-0000-00001D280000}"/>
    <cellStyle name="Normal 5 2 2 4 2 3 3" xfId="3374" xr:uid="{00000000-0005-0000-0000-00001E280000}"/>
    <cellStyle name="Normal 5 2 2 4 2 3 3 2" xfId="8306" xr:uid="{00000000-0005-0000-0000-00001F280000}"/>
    <cellStyle name="Normal 5 2 2 4 2 3 3 2 2" xfId="18166" xr:uid="{00000000-0005-0000-0000-000020280000}"/>
    <cellStyle name="Normal 5 2 2 4 2 3 3 2 2 2" xfId="37881" xr:uid="{00000000-0005-0000-0000-000021280000}"/>
    <cellStyle name="Normal 5 2 2 4 2 3 3 2 3" xfId="28024" xr:uid="{00000000-0005-0000-0000-000022280000}"/>
    <cellStyle name="Normal 5 2 2 4 2 3 3 3" xfId="13238" xr:uid="{00000000-0005-0000-0000-000023280000}"/>
    <cellStyle name="Normal 5 2 2 4 2 3 3 3 2" xfId="32953" xr:uid="{00000000-0005-0000-0000-000024280000}"/>
    <cellStyle name="Normal 5 2 2 4 2 3 3 4" xfId="23096" xr:uid="{00000000-0005-0000-0000-000025280000}"/>
    <cellStyle name="Normal 5 2 2 4 2 3 4" xfId="5842" xr:uid="{00000000-0005-0000-0000-000026280000}"/>
    <cellStyle name="Normal 5 2 2 4 2 3 4 2" xfId="15702" xr:uid="{00000000-0005-0000-0000-000027280000}"/>
    <cellStyle name="Normal 5 2 2 4 2 3 4 2 2" xfId="35417" xr:uid="{00000000-0005-0000-0000-000028280000}"/>
    <cellStyle name="Normal 5 2 2 4 2 3 4 3" xfId="25560" xr:uid="{00000000-0005-0000-0000-000029280000}"/>
    <cellStyle name="Normal 5 2 2 4 2 3 5" xfId="10774" xr:uid="{00000000-0005-0000-0000-00002A280000}"/>
    <cellStyle name="Normal 5 2 2 4 2 3 5 2" xfId="30489" xr:uid="{00000000-0005-0000-0000-00002B280000}"/>
    <cellStyle name="Normal 5 2 2 4 2 3 6" xfId="20632" xr:uid="{00000000-0005-0000-0000-00002C280000}"/>
    <cellStyle name="Normal 5 2 2 4 2 4" xfId="1523" xr:uid="{00000000-0005-0000-0000-00002D280000}"/>
    <cellStyle name="Normal 5 2 2 4 2 4 2" xfId="3990" xr:uid="{00000000-0005-0000-0000-00002E280000}"/>
    <cellStyle name="Normal 5 2 2 4 2 4 2 2" xfId="8922" xr:uid="{00000000-0005-0000-0000-00002F280000}"/>
    <cellStyle name="Normal 5 2 2 4 2 4 2 2 2" xfId="18782" xr:uid="{00000000-0005-0000-0000-000030280000}"/>
    <cellStyle name="Normal 5 2 2 4 2 4 2 2 2 2" xfId="38497" xr:uid="{00000000-0005-0000-0000-000031280000}"/>
    <cellStyle name="Normal 5 2 2 4 2 4 2 2 3" xfId="28640" xr:uid="{00000000-0005-0000-0000-000032280000}"/>
    <cellStyle name="Normal 5 2 2 4 2 4 2 3" xfId="13854" xr:uid="{00000000-0005-0000-0000-000033280000}"/>
    <cellStyle name="Normal 5 2 2 4 2 4 2 3 2" xfId="33569" xr:uid="{00000000-0005-0000-0000-000034280000}"/>
    <cellStyle name="Normal 5 2 2 4 2 4 2 4" xfId="23712" xr:uid="{00000000-0005-0000-0000-000035280000}"/>
    <cellStyle name="Normal 5 2 2 4 2 4 3" xfId="6458" xr:uid="{00000000-0005-0000-0000-000036280000}"/>
    <cellStyle name="Normal 5 2 2 4 2 4 3 2" xfId="16318" xr:uid="{00000000-0005-0000-0000-000037280000}"/>
    <cellStyle name="Normal 5 2 2 4 2 4 3 2 2" xfId="36033" xr:uid="{00000000-0005-0000-0000-000038280000}"/>
    <cellStyle name="Normal 5 2 2 4 2 4 3 3" xfId="26176" xr:uid="{00000000-0005-0000-0000-000039280000}"/>
    <cellStyle name="Normal 5 2 2 4 2 4 4" xfId="11390" xr:uid="{00000000-0005-0000-0000-00003A280000}"/>
    <cellStyle name="Normal 5 2 2 4 2 4 4 2" xfId="31105" xr:uid="{00000000-0005-0000-0000-00003B280000}"/>
    <cellStyle name="Normal 5 2 2 4 2 4 5" xfId="21248" xr:uid="{00000000-0005-0000-0000-00003C280000}"/>
    <cellStyle name="Normal 5 2 2 4 2 5" xfId="2758" xr:uid="{00000000-0005-0000-0000-00003D280000}"/>
    <cellStyle name="Normal 5 2 2 4 2 5 2" xfId="7690" xr:uid="{00000000-0005-0000-0000-00003E280000}"/>
    <cellStyle name="Normal 5 2 2 4 2 5 2 2" xfId="17550" xr:uid="{00000000-0005-0000-0000-00003F280000}"/>
    <cellStyle name="Normal 5 2 2 4 2 5 2 2 2" xfId="37265" xr:uid="{00000000-0005-0000-0000-000040280000}"/>
    <cellStyle name="Normal 5 2 2 4 2 5 2 3" xfId="27408" xr:uid="{00000000-0005-0000-0000-000041280000}"/>
    <cellStyle name="Normal 5 2 2 4 2 5 3" xfId="12622" xr:uid="{00000000-0005-0000-0000-000042280000}"/>
    <cellStyle name="Normal 5 2 2 4 2 5 3 2" xfId="32337" xr:uid="{00000000-0005-0000-0000-000043280000}"/>
    <cellStyle name="Normal 5 2 2 4 2 5 4" xfId="22480" xr:uid="{00000000-0005-0000-0000-000044280000}"/>
    <cellStyle name="Normal 5 2 2 4 2 6" xfId="5226" xr:uid="{00000000-0005-0000-0000-000045280000}"/>
    <cellStyle name="Normal 5 2 2 4 2 6 2" xfId="15086" xr:uid="{00000000-0005-0000-0000-000046280000}"/>
    <cellStyle name="Normal 5 2 2 4 2 6 2 2" xfId="34801" xr:uid="{00000000-0005-0000-0000-000047280000}"/>
    <cellStyle name="Normal 5 2 2 4 2 6 3" xfId="24944" xr:uid="{00000000-0005-0000-0000-000048280000}"/>
    <cellStyle name="Normal 5 2 2 4 2 7" xfId="10158" xr:uid="{00000000-0005-0000-0000-000049280000}"/>
    <cellStyle name="Normal 5 2 2 4 2 7 2" xfId="29873" xr:uid="{00000000-0005-0000-0000-00004A280000}"/>
    <cellStyle name="Normal 5 2 2 4 2 8" xfId="20016" xr:uid="{00000000-0005-0000-0000-00004B280000}"/>
    <cellStyle name="Normal 5 2 2 4 3" xfId="438" xr:uid="{00000000-0005-0000-0000-00004C280000}"/>
    <cellStyle name="Normal 5 2 2 4 3 2" xfId="1058" xr:uid="{00000000-0005-0000-0000-00004D280000}"/>
    <cellStyle name="Normal 5 2 2 4 3 2 2" xfId="2293" xr:uid="{00000000-0005-0000-0000-00004E280000}"/>
    <cellStyle name="Normal 5 2 2 4 3 2 2 2" xfId="4760" xr:uid="{00000000-0005-0000-0000-00004F280000}"/>
    <cellStyle name="Normal 5 2 2 4 3 2 2 2 2" xfId="9692" xr:uid="{00000000-0005-0000-0000-000050280000}"/>
    <cellStyle name="Normal 5 2 2 4 3 2 2 2 2 2" xfId="19552" xr:uid="{00000000-0005-0000-0000-000051280000}"/>
    <cellStyle name="Normal 5 2 2 4 3 2 2 2 2 2 2" xfId="39267" xr:uid="{00000000-0005-0000-0000-000052280000}"/>
    <cellStyle name="Normal 5 2 2 4 3 2 2 2 2 3" xfId="29410" xr:uid="{00000000-0005-0000-0000-000053280000}"/>
    <cellStyle name="Normal 5 2 2 4 3 2 2 2 3" xfId="14624" xr:uid="{00000000-0005-0000-0000-000054280000}"/>
    <cellStyle name="Normal 5 2 2 4 3 2 2 2 3 2" xfId="34339" xr:uid="{00000000-0005-0000-0000-000055280000}"/>
    <cellStyle name="Normal 5 2 2 4 3 2 2 2 4" xfId="24482" xr:uid="{00000000-0005-0000-0000-000056280000}"/>
    <cellStyle name="Normal 5 2 2 4 3 2 2 3" xfId="7228" xr:uid="{00000000-0005-0000-0000-000057280000}"/>
    <cellStyle name="Normal 5 2 2 4 3 2 2 3 2" xfId="17088" xr:uid="{00000000-0005-0000-0000-000058280000}"/>
    <cellStyle name="Normal 5 2 2 4 3 2 2 3 2 2" xfId="36803" xr:uid="{00000000-0005-0000-0000-000059280000}"/>
    <cellStyle name="Normal 5 2 2 4 3 2 2 3 3" xfId="26946" xr:uid="{00000000-0005-0000-0000-00005A280000}"/>
    <cellStyle name="Normal 5 2 2 4 3 2 2 4" xfId="12160" xr:uid="{00000000-0005-0000-0000-00005B280000}"/>
    <cellStyle name="Normal 5 2 2 4 3 2 2 4 2" xfId="31875" xr:uid="{00000000-0005-0000-0000-00005C280000}"/>
    <cellStyle name="Normal 5 2 2 4 3 2 2 5" xfId="22018" xr:uid="{00000000-0005-0000-0000-00005D280000}"/>
    <cellStyle name="Normal 5 2 2 4 3 2 3" xfId="3528" xr:uid="{00000000-0005-0000-0000-00005E280000}"/>
    <cellStyle name="Normal 5 2 2 4 3 2 3 2" xfId="8460" xr:uid="{00000000-0005-0000-0000-00005F280000}"/>
    <cellStyle name="Normal 5 2 2 4 3 2 3 2 2" xfId="18320" xr:uid="{00000000-0005-0000-0000-000060280000}"/>
    <cellStyle name="Normal 5 2 2 4 3 2 3 2 2 2" xfId="38035" xr:uid="{00000000-0005-0000-0000-000061280000}"/>
    <cellStyle name="Normal 5 2 2 4 3 2 3 2 3" xfId="28178" xr:uid="{00000000-0005-0000-0000-000062280000}"/>
    <cellStyle name="Normal 5 2 2 4 3 2 3 3" xfId="13392" xr:uid="{00000000-0005-0000-0000-000063280000}"/>
    <cellStyle name="Normal 5 2 2 4 3 2 3 3 2" xfId="33107" xr:uid="{00000000-0005-0000-0000-000064280000}"/>
    <cellStyle name="Normal 5 2 2 4 3 2 3 4" xfId="23250" xr:uid="{00000000-0005-0000-0000-000065280000}"/>
    <cellStyle name="Normal 5 2 2 4 3 2 4" xfId="5996" xr:uid="{00000000-0005-0000-0000-000066280000}"/>
    <cellStyle name="Normal 5 2 2 4 3 2 4 2" xfId="15856" xr:uid="{00000000-0005-0000-0000-000067280000}"/>
    <cellStyle name="Normal 5 2 2 4 3 2 4 2 2" xfId="35571" xr:uid="{00000000-0005-0000-0000-000068280000}"/>
    <cellStyle name="Normal 5 2 2 4 3 2 4 3" xfId="25714" xr:uid="{00000000-0005-0000-0000-000069280000}"/>
    <cellStyle name="Normal 5 2 2 4 3 2 5" xfId="10928" xr:uid="{00000000-0005-0000-0000-00006A280000}"/>
    <cellStyle name="Normal 5 2 2 4 3 2 5 2" xfId="30643" xr:uid="{00000000-0005-0000-0000-00006B280000}"/>
    <cellStyle name="Normal 5 2 2 4 3 2 6" xfId="20786" xr:uid="{00000000-0005-0000-0000-00006C280000}"/>
    <cellStyle name="Normal 5 2 2 4 3 3" xfId="1677" xr:uid="{00000000-0005-0000-0000-00006D280000}"/>
    <cellStyle name="Normal 5 2 2 4 3 3 2" xfId="4144" xr:uid="{00000000-0005-0000-0000-00006E280000}"/>
    <cellStyle name="Normal 5 2 2 4 3 3 2 2" xfId="9076" xr:uid="{00000000-0005-0000-0000-00006F280000}"/>
    <cellStyle name="Normal 5 2 2 4 3 3 2 2 2" xfId="18936" xr:uid="{00000000-0005-0000-0000-000070280000}"/>
    <cellStyle name="Normal 5 2 2 4 3 3 2 2 2 2" xfId="38651" xr:uid="{00000000-0005-0000-0000-000071280000}"/>
    <cellStyle name="Normal 5 2 2 4 3 3 2 2 3" xfId="28794" xr:uid="{00000000-0005-0000-0000-000072280000}"/>
    <cellStyle name="Normal 5 2 2 4 3 3 2 3" xfId="14008" xr:uid="{00000000-0005-0000-0000-000073280000}"/>
    <cellStyle name="Normal 5 2 2 4 3 3 2 3 2" xfId="33723" xr:uid="{00000000-0005-0000-0000-000074280000}"/>
    <cellStyle name="Normal 5 2 2 4 3 3 2 4" xfId="23866" xr:uid="{00000000-0005-0000-0000-000075280000}"/>
    <cellStyle name="Normal 5 2 2 4 3 3 3" xfId="6612" xr:uid="{00000000-0005-0000-0000-000076280000}"/>
    <cellStyle name="Normal 5 2 2 4 3 3 3 2" xfId="16472" xr:uid="{00000000-0005-0000-0000-000077280000}"/>
    <cellStyle name="Normal 5 2 2 4 3 3 3 2 2" xfId="36187" xr:uid="{00000000-0005-0000-0000-000078280000}"/>
    <cellStyle name="Normal 5 2 2 4 3 3 3 3" xfId="26330" xr:uid="{00000000-0005-0000-0000-000079280000}"/>
    <cellStyle name="Normal 5 2 2 4 3 3 4" xfId="11544" xr:uid="{00000000-0005-0000-0000-00007A280000}"/>
    <cellStyle name="Normal 5 2 2 4 3 3 4 2" xfId="31259" xr:uid="{00000000-0005-0000-0000-00007B280000}"/>
    <cellStyle name="Normal 5 2 2 4 3 3 5" xfId="21402" xr:uid="{00000000-0005-0000-0000-00007C280000}"/>
    <cellStyle name="Normal 5 2 2 4 3 4" xfId="2912" xr:uid="{00000000-0005-0000-0000-00007D280000}"/>
    <cellStyle name="Normal 5 2 2 4 3 4 2" xfId="7844" xr:uid="{00000000-0005-0000-0000-00007E280000}"/>
    <cellStyle name="Normal 5 2 2 4 3 4 2 2" xfId="17704" xr:uid="{00000000-0005-0000-0000-00007F280000}"/>
    <cellStyle name="Normal 5 2 2 4 3 4 2 2 2" xfId="37419" xr:uid="{00000000-0005-0000-0000-000080280000}"/>
    <cellStyle name="Normal 5 2 2 4 3 4 2 3" xfId="27562" xr:uid="{00000000-0005-0000-0000-000081280000}"/>
    <cellStyle name="Normal 5 2 2 4 3 4 3" xfId="12776" xr:uid="{00000000-0005-0000-0000-000082280000}"/>
    <cellStyle name="Normal 5 2 2 4 3 4 3 2" xfId="32491" xr:uid="{00000000-0005-0000-0000-000083280000}"/>
    <cellStyle name="Normal 5 2 2 4 3 4 4" xfId="22634" xr:uid="{00000000-0005-0000-0000-000084280000}"/>
    <cellStyle name="Normal 5 2 2 4 3 5" xfId="5380" xr:uid="{00000000-0005-0000-0000-000085280000}"/>
    <cellStyle name="Normal 5 2 2 4 3 5 2" xfId="15240" xr:uid="{00000000-0005-0000-0000-000086280000}"/>
    <cellStyle name="Normal 5 2 2 4 3 5 2 2" xfId="34955" xr:uid="{00000000-0005-0000-0000-000087280000}"/>
    <cellStyle name="Normal 5 2 2 4 3 5 3" xfId="25098" xr:uid="{00000000-0005-0000-0000-000088280000}"/>
    <cellStyle name="Normal 5 2 2 4 3 6" xfId="10312" xr:uid="{00000000-0005-0000-0000-000089280000}"/>
    <cellStyle name="Normal 5 2 2 4 3 6 2" xfId="30027" xr:uid="{00000000-0005-0000-0000-00008A280000}"/>
    <cellStyle name="Normal 5 2 2 4 3 7" xfId="20170" xr:uid="{00000000-0005-0000-0000-00008B280000}"/>
    <cellStyle name="Normal 5 2 2 4 4" xfId="751" xr:uid="{00000000-0005-0000-0000-00008C280000}"/>
    <cellStyle name="Normal 5 2 2 4 4 2" xfId="1987" xr:uid="{00000000-0005-0000-0000-00008D280000}"/>
    <cellStyle name="Normal 5 2 2 4 4 2 2" xfId="4454" xr:uid="{00000000-0005-0000-0000-00008E280000}"/>
    <cellStyle name="Normal 5 2 2 4 4 2 2 2" xfId="9386" xr:uid="{00000000-0005-0000-0000-00008F280000}"/>
    <cellStyle name="Normal 5 2 2 4 4 2 2 2 2" xfId="19246" xr:uid="{00000000-0005-0000-0000-000090280000}"/>
    <cellStyle name="Normal 5 2 2 4 4 2 2 2 2 2" xfId="38961" xr:uid="{00000000-0005-0000-0000-000091280000}"/>
    <cellStyle name="Normal 5 2 2 4 4 2 2 2 3" xfId="29104" xr:uid="{00000000-0005-0000-0000-000092280000}"/>
    <cellStyle name="Normal 5 2 2 4 4 2 2 3" xfId="14318" xr:uid="{00000000-0005-0000-0000-000093280000}"/>
    <cellStyle name="Normal 5 2 2 4 4 2 2 3 2" xfId="34033" xr:uid="{00000000-0005-0000-0000-000094280000}"/>
    <cellStyle name="Normal 5 2 2 4 4 2 2 4" xfId="24176" xr:uid="{00000000-0005-0000-0000-000095280000}"/>
    <cellStyle name="Normal 5 2 2 4 4 2 3" xfId="6922" xr:uid="{00000000-0005-0000-0000-000096280000}"/>
    <cellStyle name="Normal 5 2 2 4 4 2 3 2" xfId="16782" xr:uid="{00000000-0005-0000-0000-000097280000}"/>
    <cellStyle name="Normal 5 2 2 4 4 2 3 2 2" xfId="36497" xr:uid="{00000000-0005-0000-0000-000098280000}"/>
    <cellStyle name="Normal 5 2 2 4 4 2 3 3" xfId="26640" xr:uid="{00000000-0005-0000-0000-000099280000}"/>
    <cellStyle name="Normal 5 2 2 4 4 2 4" xfId="11854" xr:uid="{00000000-0005-0000-0000-00009A280000}"/>
    <cellStyle name="Normal 5 2 2 4 4 2 4 2" xfId="31569" xr:uid="{00000000-0005-0000-0000-00009B280000}"/>
    <cellStyle name="Normal 5 2 2 4 4 2 5" xfId="21712" xr:uid="{00000000-0005-0000-0000-00009C280000}"/>
    <cellStyle name="Normal 5 2 2 4 4 3" xfId="3222" xr:uid="{00000000-0005-0000-0000-00009D280000}"/>
    <cellStyle name="Normal 5 2 2 4 4 3 2" xfId="8154" xr:uid="{00000000-0005-0000-0000-00009E280000}"/>
    <cellStyle name="Normal 5 2 2 4 4 3 2 2" xfId="18014" xr:uid="{00000000-0005-0000-0000-00009F280000}"/>
    <cellStyle name="Normal 5 2 2 4 4 3 2 2 2" xfId="37729" xr:uid="{00000000-0005-0000-0000-0000A0280000}"/>
    <cellStyle name="Normal 5 2 2 4 4 3 2 3" xfId="27872" xr:uid="{00000000-0005-0000-0000-0000A1280000}"/>
    <cellStyle name="Normal 5 2 2 4 4 3 3" xfId="13086" xr:uid="{00000000-0005-0000-0000-0000A2280000}"/>
    <cellStyle name="Normal 5 2 2 4 4 3 3 2" xfId="32801" xr:uid="{00000000-0005-0000-0000-0000A3280000}"/>
    <cellStyle name="Normal 5 2 2 4 4 3 4" xfId="22944" xr:uid="{00000000-0005-0000-0000-0000A4280000}"/>
    <cellStyle name="Normal 5 2 2 4 4 4" xfId="5690" xr:uid="{00000000-0005-0000-0000-0000A5280000}"/>
    <cellStyle name="Normal 5 2 2 4 4 4 2" xfId="15550" xr:uid="{00000000-0005-0000-0000-0000A6280000}"/>
    <cellStyle name="Normal 5 2 2 4 4 4 2 2" xfId="35265" xr:uid="{00000000-0005-0000-0000-0000A7280000}"/>
    <cellStyle name="Normal 5 2 2 4 4 4 3" xfId="25408" xr:uid="{00000000-0005-0000-0000-0000A8280000}"/>
    <cellStyle name="Normal 5 2 2 4 4 5" xfId="10622" xr:uid="{00000000-0005-0000-0000-0000A9280000}"/>
    <cellStyle name="Normal 5 2 2 4 4 5 2" xfId="30337" xr:uid="{00000000-0005-0000-0000-0000AA280000}"/>
    <cellStyle name="Normal 5 2 2 4 4 6" xfId="20480" xr:uid="{00000000-0005-0000-0000-0000AB280000}"/>
    <cellStyle name="Normal 5 2 2 4 5" xfId="1371" xr:uid="{00000000-0005-0000-0000-0000AC280000}"/>
    <cellStyle name="Normal 5 2 2 4 5 2" xfId="3838" xr:uid="{00000000-0005-0000-0000-0000AD280000}"/>
    <cellStyle name="Normal 5 2 2 4 5 2 2" xfId="8770" xr:uid="{00000000-0005-0000-0000-0000AE280000}"/>
    <cellStyle name="Normal 5 2 2 4 5 2 2 2" xfId="18630" xr:uid="{00000000-0005-0000-0000-0000AF280000}"/>
    <cellStyle name="Normal 5 2 2 4 5 2 2 2 2" xfId="38345" xr:uid="{00000000-0005-0000-0000-0000B0280000}"/>
    <cellStyle name="Normal 5 2 2 4 5 2 2 3" xfId="28488" xr:uid="{00000000-0005-0000-0000-0000B1280000}"/>
    <cellStyle name="Normal 5 2 2 4 5 2 3" xfId="13702" xr:uid="{00000000-0005-0000-0000-0000B2280000}"/>
    <cellStyle name="Normal 5 2 2 4 5 2 3 2" xfId="33417" xr:uid="{00000000-0005-0000-0000-0000B3280000}"/>
    <cellStyle name="Normal 5 2 2 4 5 2 4" xfId="23560" xr:uid="{00000000-0005-0000-0000-0000B4280000}"/>
    <cellStyle name="Normal 5 2 2 4 5 3" xfId="6306" xr:uid="{00000000-0005-0000-0000-0000B5280000}"/>
    <cellStyle name="Normal 5 2 2 4 5 3 2" xfId="16166" xr:uid="{00000000-0005-0000-0000-0000B6280000}"/>
    <cellStyle name="Normal 5 2 2 4 5 3 2 2" xfId="35881" xr:uid="{00000000-0005-0000-0000-0000B7280000}"/>
    <cellStyle name="Normal 5 2 2 4 5 3 3" xfId="26024" xr:uid="{00000000-0005-0000-0000-0000B8280000}"/>
    <cellStyle name="Normal 5 2 2 4 5 4" xfId="11238" xr:uid="{00000000-0005-0000-0000-0000B9280000}"/>
    <cellStyle name="Normal 5 2 2 4 5 4 2" xfId="30953" xr:uid="{00000000-0005-0000-0000-0000BA280000}"/>
    <cellStyle name="Normal 5 2 2 4 5 5" xfId="21096" xr:uid="{00000000-0005-0000-0000-0000BB280000}"/>
    <cellStyle name="Normal 5 2 2 4 6" xfId="2606" xr:uid="{00000000-0005-0000-0000-0000BC280000}"/>
    <cellStyle name="Normal 5 2 2 4 6 2" xfId="7538" xr:uid="{00000000-0005-0000-0000-0000BD280000}"/>
    <cellStyle name="Normal 5 2 2 4 6 2 2" xfId="17398" xr:uid="{00000000-0005-0000-0000-0000BE280000}"/>
    <cellStyle name="Normal 5 2 2 4 6 2 2 2" xfId="37113" xr:uid="{00000000-0005-0000-0000-0000BF280000}"/>
    <cellStyle name="Normal 5 2 2 4 6 2 3" xfId="27256" xr:uid="{00000000-0005-0000-0000-0000C0280000}"/>
    <cellStyle name="Normal 5 2 2 4 6 3" xfId="12470" xr:uid="{00000000-0005-0000-0000-0000C1280000}"/>
    <cellStyle name="Normal 5 2 2 4 6 3 2" xfId="32185" xr:uid="{00000000-0005-0000-0000-0000C2280000}"/>
    <cellStyle name="Normal 5 2 2 4 6 4" xfId="22328" xr:uid="{00000000-0005-0000-0000-0000C3280000}"/>
    <cellStyle name="Normal 5 2 2 4 7" xfId="5074" xr:uid="{00000000-0005-0000-0000-0000C4280000}"/>
    <cellStyle name="Normal 5 2 2 4 7 2" xfId="14934" xr:uid="{00000000-0005-0000-0000-0000C5280000}"/>
    <cellStyle name="Normal 5 2 2 4 7 2 2" xfId="34649" xr:uid="{00000000-0005-0000-0000-0000C6280000}"/>
    <cellStyle name="Normal 5 2 2 4 7 3" xfId="24792" xr:uid="{00000000-0005-0000-0000-0000C7280000}"/>
    <cellStyle name="Normal 5 2 2 4 8" xfId="10006" xr:uid="{00000000-0005-0000-0000-0000C8280000}"/>
    <cellStyle name="Normal 5 2 2 4 8 2" xfId="29721" xr:uid="{00000000-0005-0000-0000-0000C9280000}"/>
    <cellStyle name="Normal 5 2 2 4 9" xfId="19864" xr:uid="{00000000-0005-0000-0000-0000CA280000}"/>
    <cellStyle name="Normal 5 2 2 5" xfId="200" xr:uid="{00000000-0005-0000-0000-0000CB280000}"/>
    <cellStyle name="Normal 5 2 2 5 2" xfId="514" xr:uid="{00000000-0005-0000-0000-0000CC280000}"/>
    <cellStyle name="Normal 5 2 2 5 2 2" xfId="1134" xr:uid="{00000000-0005-0000-0000-0000CD280000}"/>
    <cellStyle name="Normal 5 2 2 5 2 2 2" xfId="2369" xr:uid="{00000000-0005-0000-0000-0000CE280000}"/>
    <cellStyle name="Normal 5 2 2 5 2 2 2 2" xfId="4836" xr:uid="{00000000-0005-0000-0000-0000CF280000}"/>
    <cellStyle name="Normal 5 2 2 5 2 2 2 2 2" xfId="9768" xr:uid="{00000000-0005-0000-0000-0000D0280000}"/>
    <cellStyle name="Normal 5 2 2 5 2 2 2 2 2 2" xfId="19628" xr:uid="{00000000-0005-0000-0000-0000D1280000}"/>
    <cellStyle name="Normal 5 2 2 5 2 2 2 2 2 2 2" xfId="39343" xr:uid="{00000000-0005-0000-0000-0000D2280000}"/>
    <cellStyle name="Normal 5 2 2 5 2 2 2 2 2 3" xfId="29486" xr:uid="{00000000-0005-0000-0000-0000D3280000}"/>
    <cellStyle name="Normal 5 2 2 5 2 2 2 2 3" xfId="14700" xr:uid="{00000000-0005-0000-0000-0000D4280000}"/>
    <cellStyle name="Normal 5 2 2 5 2 2 2 2 3 2" xfId="34415" xr:uid="{00000000-0005-0000-0000-0000D5280000}"/>
    <cellStyle name="Normal 5 2 2 5 2 2 2 2 4" xfId="24558" xr:uid="{00000000-0005-0000-0000-0000D6280000}"/>
    <cellStyle name="Normal 5 2 2 5 2 2 2 3" xfId="7304" xr:uid="{00000000-0005-0000-0000-0000D7280000}"/>
    <cellStyle name="Normal 5 2 2 5 2 2 2 3 2" xfId="17164" xr:uid="{00000000-0005-0000-0000-0000D8280000}"/>
    <cellStyle name="Normal 5 2 2 5 2 2 2 3 2 2" xfId="36879" xr:uid="{00000000-0005-0000-0000-0000D9280000}"/>
    <cellStyle name="Normal 5 2 2 5 2 2 2 3 3" xfId="27022" xr:uid="{00000000-0005-0000-0000-0000DA280000}"/>
    <cellStyle name="Normal 5 2 2 5 2 2 2 4" xfId="12236" xr:uid="{00000000-0005-0000-0000-0000DB280000}"/>
    <cellStyle name="Normal 5 2 2 5 2 2 2 4 2" xfId="31951" xr:uid="{00000000-0005-0000-0000-0000DC280000}"/>
    <cellStyle name="Normal 5 2 2 5 2 2 2 5" xfId="22094" xr:uid="{00000000-0005-0000-0000-0000DD280000}"/>
    <cellStyle name="Normal 5 2 2 5 2 2 3" xfId="3604" xr:uid="{00000000-0005-0000-0000-0000DE280000}"/>
    <cellStyle name="Normal 5 2 2 5 2 2 3 2" xfId="8536" xr:uid="{00000000-0005-0000-0000-0000DF280000}"/>
    <cellStyle name="Normal 5 2 2 5 2 2 3 2 2" xfId="18396" xr:uid="{00000000-0005-0000-0000-0000E0280000}"/>
    <cellStyle name="Normal 5 2 2 5 2 2 3 2 2 2" xfId="38111" xr:uid="{00000000-0005-0000-0000-0000E1280000}"/>
    <cellStyle name="Normal 5 2 2 5 2 2 3 2 3" xfId="28254" xr:uid="{00000000-0005-0000-0000-0000E2280000}"/>
    <cellStyle name="Normal 5 2 2 5 2 2 3 3" xfId="13468" xr:uid="{00000000-0005-0000-0000-0000E3280000}"/>
    <cellStyle name="Normal 5 2 2 5 2 2 3 3 2" xfId="33183" xr:uid="{00000000-0005-0000-0000-0000E4280000}"/>
    <cellStyle name="Normal 5 2 2 5 2 2 3 4" xfId="23326" xr:uid="{00000000-0005-0000-0000-0000E5280000}"/>
    <cellStyle name="Normal 5 2 2 5 2 2 4" xfId="6072" xr:uid="{00000000-0005-0000-0000-0000E6280000}"/>
    <cellStyle name="Normal 5 2 2 5 2 2 4 2" xfId="15932" xr:uid="{00000000-0005-0000-0000-0000E7280000}"/>
    <cellStyle name="Normal 5 2 2 5 2 2 4 2 2" xfId="35647" xr:uid="{00000000-0005-0000-0000-0000E8280000}"/>
    <cellStyle name="Normal 5 2 2 5 2 2 4 3" xfId="25790" xr:uid="{00000000-0005-0000-0000-0000E9280000}"/>
    <cellStyle name="Normal 5 2 2 5 2 2 5" xfId="11004" xr:uid="{00000000-0005-0000-0000-0000EA280000}"/>
    <cellStyle name="Normal 5 2 2 5 2 2 5 2" xfId="30719" xr:uid="{00000000-0005-0000-0000-0000EB280000}"/>
    <cellStyle name="Normal 5 2 2 5 2 2 6" xfId="20862" xr:uid="{00000000-0005-0000-0000-0000EC280000}"/>
    <cellStyle name="Normal 5 2 2 5 2 3" xfId="1753" xr:uid="{00000000-0005-0000-0000-0000ED280000}"/>
    <cellStyle name="Normal 5 2 2 5 2 3 2" xfId="4220" xr:uid="{00000000-0005-0000-0000-0000EE280000}"/>
    <cellStyle name="Normal 5 2 2 5 2 3 2 2" xfId="9152" xr:uid="{00000000-0005-0000-0000-0000EF280000}"/>
    <cellStyle name="Normal 5 2 2 5 2 3 2 2 2" xfId="19012" xr:uid="{00000000-0005-0000-0000-0000F0280000}"/>
    <cellStyle name="Normal 5 2 2 5 2 3 2 2 2 2" xfId="38727" xr:uid="{00000000-0005-0000-0000-0000F1280000}"/>
    <cellStyle name="Normal 5 2 2 5 2 3 2 2 3" xfId="28870" xr:uid="{00000000-0005-0000-0000-0000F2280000}"/>
    <cellStyle name="Normal 5 2 2 5 2 3 2 3" xfId="14084" xr:uid="{00000000-0005-0000-0000-0000F3280000}"/>
    <cellStyle name="Normal 5 2 2 5 2 3 2 3 2" xfId="33799" xr:uid="{00000000-0005-0000-0000-0000F4280000}"/>
    <cellStyle name="Normal 5 2 2 5 2 3 2 4" xfId="23942" xr:uid="{00000000-0005-0000-0000-0000F5280000}"/>
    <cellStyle name="Normal 5 2 2 5 2 3 3" xfId="6688" xr:uid="{00000000-0005-0000-0000-0000F6280000}"/>
    <cellStyle name="Normal 5 2 2 5 2 3 3 2" xfId="16548" xr:uid="{00000000-0005-0000-0000-0000F7280000}"/>
    <cellStyle name="Normal 5 2 2 5 2 3 3 2 2" xfId="36263" xr:uid="{00000000-0005-0000-0000-0000F8280000}"/>
    <cellStyle name="Normal 5 2 2 5 2 3 3 3" xfId="26406" xr:uid="{00000000-0005-0000-0000-0000F9280000}"/>
    <cellStyle name="Normal 5 2 2 5 2 3 4" xfId="11620" xr:uid="{00000000-0005-0000-0000-0000FA280000}"/>
    <cellStyle name="Normal 5 2 2 5 2 3 4 2" xfId="31335" xr:uid="{00000000-0005-0000-0000-0000FB280000}"/>
    <cellStyle name="Normal 5 2 2 5 2 3 5" xfId="21478" xr:uid="{00000000-0005-0000-0000-0000FC280000}"/>
    <cellStyle name="Normal 5 2 2 5 2 4" xfId="2988" xr:uid="{00000000-0005-0000-0000-0000FD280000}"/>
    <cellStyle name="Normal 5 2 2 5 2 4 2" xfId="7920" xr:uid="{00000000-0005-0000-0000-0000FE280000}"/>
    <cellStyle name="Normal 5 2 2 5 2 4 2 2" xfId="17780" xr:uid="{00000000-0005-0000-0000-0000FF280000}"/>
    <cellStyle name="Normal 5 2 2 5 2 4 2 2 2" xfId="37495" xr:uid="{00000000-0005-0000-0000-000000290000}"/>
    <cellStyle name="Normal 5 2 2 5 2 4 2 3" xfId="27638" xr:uid="{00000000-0005-0000-0000-000001290000}"/>
    <cellStyle name="Normal 5 2 2 5 2 4 3" xfId="12852" xr:uid="{00000000-0005-0000-0000-000002290000}"/>
    <cellStyle name="Normal 5 2 2 5 2 4 3 2" xfId="32567" xr:uid="{00000000-0005-0000-0000-000003290000}"/>
    <cellStyle name="Normal 5 2 2 5 2 4 4" xfId="22710" xr:uid="{00000000-0005-0000-0000-000004290000}"/>
    <cellStyle name="Normal 5 2 2 5 2 5" xfId="5456" xr:uid="{00000000-0005-0000-0000-000005290000}"/>
    <cellStyle name="Normal 5 2 2 5 2 5 2" xfId="15316" xr:uid="{00000000-0005-0000-0000-000006290000}"/>
    <cellStyle name="Normal 5 2 2 5 2 5 2 2" xfId="35031" xr:uid="{00000000-0005-0000-0000-000007290000}"/>
    <cellStyle name="Normal 5 2 2 5 2 5 3" xfId="25174" xr:uid="{00000000-0005-0000-0000-000008290000}"/>
    <cellStyle name="Normal 5 2 2 5 2 6" xfId="10388" xr:uid="{00000000-0005-0000-0000-000009290000}"/>
    <cellStyle name="Normal 5 2 2 5 2 6 2" xfId="30103" xr:uid="{00000000-0005-0000-0000-00000A290000}"/>
    <cellStyle name="Normal 5 2 2 5 2 7" xfId="20246" xr:uid="{00000000-0005-0000-0000-00000B290000}"/>
    <cellStyle name="Normal 5 2 2 5 3" xfId="827" xr:uid="{00000000-0005-0000-0000-00000C290000}"/>
    <cellStyle name="Normal 5 2 2 5 3 2" xfId="2063" xr:uid="{00000000-0005-0000-0000-00000D290000}"/>
    <cellStyle name="Normal 5 2 2 5 3 2 2" xfId="4530" xr:uid="{00000000-0005-0000-0000-00000E290000}"/>
    <cellStyle name="Normal 5 2 2 5 3 2 2 2" xfId="9462" xr:uid="{00000000-0005-0000-0000-00000F290000}"/>
    <cellStyle name="Normal 5 2 2 5 3 2 2 2 2" xfId="19322" xr:uid="{00000000-0005-0000-0000-000010290000}"/>
    <cellStyle name="Normal 5 2 2 5 3 2 2 2 2 2" xfId="39037" xr:uid="{00000000-0005-0000-0000-000011290000}"/>
    <cellStyle name="Normal 5 2 2 5 3 2 2 2 3" xfId="29180" xr:uid="{00000000-0005-0000-0000-000012290000}"/>
    <cellStyle name="Normal 5 2 2 5 3 2 2 3" xfId="14394" xr:uid="{00000000-0005-0000-0000-000013290000}"/>
    <cellStyle name="Normal 5 2 2 5 3 2 2 3 2" xfId="34109" xr:uid="{00000000-0005-0000-0000-000014290000}"/>
    <cellStyle name="Normal 5 2 2 5 3 2 2 4" xfId="24252" xr:uid="{00000000-0005-0000-0000-000015290000}"/>
    <cellStyle name="Normal 5 2 2 5 3 2 3" xfId="6998" xr:uid="{00000000-0005-0000-0000-000016290000}"/>
    <cellStyle name="Normal 5 2 2 5 3 2 3 2" xfId="16858" xr:uid="{00000000-0005-0000-0000-000017290000}"/>
    <cellStyle name="Normal 5 2 2 5 3 2 3 2 2" xfId="36573" xr:uid="{00000000-0005-0000-0000-000018290000}"/>
    <cellStyle name="Normal 5 2 2 5 3 2 3 3" xfId="26716" xr:uid="{00000000-0005-0000-0000-000019290000}"/>
    <cellStyle name="Normal 5 2 2 5 3 2 4" xfId="11930" xr:uid="{00000000-0005-0000-0000-00001A290000}"/>
    <cellStyle name="Normal 5 2 2 5 3 2 4 2" xfId="31645" xr:uid="{00000000-0005-0000-0000-00001B290000}"/>
    <cellStyle name="Normal 5 2 2 5 3 2 5" xfId="21788" xr:uid="{00000000-0005-0000-0000-00001C290000}"/>
    <cellStyle name="Normal 5 2 2 5 3 3" xfId="3298" xr:uid="{00000000-0005-0000-0000-00001D290000}"/>
    <cellStyle name="Normal 5 2 2 5 3 3 2" xfId="8230" xr:uid="{00000000-0005-0000-0000-00001E290000}"/>
    <cellStyle name="Normal 5 2 2 5 3 3 2 2" xfId="18090" xr:uid="{00000000-0005-0000-0000-00001F290000}"/>
    <cellStyle name="Normal 5 2 2 5 3 3 2 2 2" xfId="37805" xr:uid="{00000000-0005-0000-0000-000020290000}"/>
    <cellStyle name="Normal 5 2 2 5 3 3 2 3" xfId="27948" xr:uid="{00000000-0005-0000-0000-000021290000}"/>
    <cellStyle name="Normal 5 2 2 5 3 3 3" xfId="13162" xr:uid="{00000000-0005-0000-0000-000022290000}"/>
    <cellStyle name="Normal 5 2 2 5 3 3 3 2" xfId="32877" xr:uid="{00000000-0005-0000-0000-000023290000}"/>
    <cellStyle name="Normal 5 2 2 5 3 3 4" xfId="23020" xr:uid="{00000000-0005-0000-0000-000024290000}"/>
    <cellStyle name="Normal 5 2 2 5 3 4" xfId="5766" xr:uid="{00000000-0005-0000-0000-000025290000}"/>
    <cellStyle name="Normal 5 2 2 5 3 4 2" xfId="15626" xr:uid="{00000000-0005-0000-0000-000026290000}"/>
    <cellStyle name="Normal 5 2 2 5 3 4 2 2" xfId="35341" xr:uid="{00000000-0005-0000-0000-000027290000}"/>
    <cellStyle name="Normal 5 2 2 5 3 4 3" xfId="25484" xr:uid="{00000000-0005-0000-0000-000028290000}"/>
    <cellStyle name="Normal 5 2 2 5 3 5" xfId="10698" xr:uid="{00000000-0005-0000-0000-000029290000}"/>
    <cellStyle name="Normal 5 2 2 5 3 5 2" xfId="30413" xr:uid="{00000000-0005-0000-0000-00002A290000}"/>
    <cellStyle name="Normal 5 2 2 5 3 6" xfId="20556" xr:uid="{00000000-0005-0000-0000-00002B290000}"/>
    <cellStyle name="Normal 5 2 2 5 4" xfId="1447" xr:uid="{00000000-0005-0000-0000-00002C290000}"/>
    <cellStyle name="Normal 5 2 2 5 4 2" xfId="3914" xr:uid="{00000000-0005-0000-0000-00002D290000}"/>
    <cellStyle name="Normal 5 2 2 5 4 2 2" xfId="8846" xr:uid="{00000000-0005-0000-0000-00002E290000}"/>
    <cellStyle name="Normal 5 2 2 5 4 2 2 2" xfId="18706" xr:uid="{00000000-0005-0000-0000-00002F290000}"/>
    <cellStyle name="Normal 5 2 2 5 4 2 2 2 2" xfId="38421" xr:uid="{00000000-0005-0000-0000-000030290000}"/>
    <cellStyle name="Normal 5 2 2 5 4 2 2 3" xfId="28564" xr:uid="{00000000-0005-0000-0000-000031290000}"/>
    <cellStyle name="Normal 5 2 2 5 4 2 3" xfId="13778" xr:uid="{00000000-0005-0000-0000-000032290000}"/>
    <cellStyle name="Normal 5 2 2 5 4 2 3 2" xfId="33493" xr:uid="{00000000-0005-0000-0000-000033290000}"/>
    <cellStyle name="Normal 5 2 2 5 4 2 4" xfId="23636" xr:uid="{00000000-0005-0000-0000-000034290000}"/>
    <cellStyle name="Normal 5 2 2 5 4 3" xfId="6382" xr:uid="{00000000-0005-0000-0000-000035290000}"/>
    <cellStyle name="Normal 5 2 2 5 4 3 2" xfId="16242" xr:uid="{00000000-0005-0000-0000-000036290000}"/>
    <cellStyle name="Normal 5 2 2 5 4 3 2 2" xfId="35957" xr:uid="{00000000-0005-0000-0000-000037290000}"/>
    <cellStyle name="Normal 5 2 2 5 4 3 3" xfId="26100" xr:uid="{00000000-0005-0000-0000-000038290000}"/>
    <cellStyle name="Normal 5 2 2 5 4 4" xfId="11314" xr:uid="{00000000-0005-0000-0000-000039290000}"/>
    <cellStyle name="Normal 5 2 2 5 4 4 2" xfId="31029" xr:uid="{00000000-0005-0000-0000-00003A290000}"/>
    <cellStyle name="Normal 5 2 2 5 4 5" xfId="21172" xr:uid="{00000000-0005-0000-0000-00003B290000}"/>
    <cellStyle name="Normal 5 2 2 5 5" xfId="2682" xr:uid="{00000000-0005-0000-0000-00003C290000}"/>
    <cellStyle name="Normal 5 2 2 5 5 2" xfId="7614" xr:uid="{00000000-0005-0000-0000-00003D290000}"/>
    <cellStyle name="Normal 5 2 2 5 5 2 2" xfId="17474" xr:uid="{00000000-0005-0000-0000-00003E290000}"/>
    <cellStyle name="Normal 5 2 2 5 5 2 2 2" xfId="37189" xr:uid="{00000000-0005-0000-0000-00003F290000}"/>
    <cellStyle name="Normal 5 2 2 5 5 2 3" xfId="27332" xr:uid="{00000000-0005-0000-0000-000040290000}"/>
    <cellStyle name="Normal 5 2 2 5 5 3" xfId="12546" xr:uid="{00000000-0005-0000-0000-000041290000}"/>
    <cellStyle name="Normal 5 2 2 5 5 3 2" xfId="32261" xr:uid="{00000000-0005-0000-0000-000042290000}"/>
    <cellStyle name="Normal 5 2 2 5 5 4" xfId="22404" xr:uid="{00000000-0005-0000-0000-000043290000}"/>
    <cellStyle name="Normal 5 2 2 5 6" xfId="5150" xr:uid="{00000000-0005-0000-0000-000044290000}"/>
    <cellStyle name="Normal 5 2 2 5 6 2" xfId="15010" xr:uid="{00000000-0005-0000-0000-000045290000}"/>
    <cellStyle name="Normal 5 2 2 5 6 2 2" xfId="34725" xr:uid="{00000000-0005-0000-0000-000046290000}"/>
    <cellStyle name="Normal 5 2 2 5 6 3" xfId="24868" xr:uid="{00000000-0005-0000-0000-000047290000}"/>
    <cellStyle name="Normal 5 2 2 5 7" xfId="10082" xr:uid="{00000000-0005-0000-0000-000048290000}"/>
    <cellStyle name="Normal 5 2 2 5 7 2" xfId="29797" xr:uid="{00000000-0005-0000-0000-000049290000}"/>
    <cellStyle name="Normal 5 2 2 5 8" xfId="19940" xr:uid="{00000000-0005-0000-0000-00004A290000}"/>
    <cellStyle name="Normal 5 2 2 6" xfId="362" xr:uid="{00000000-0005-0000-0000-00004B290000}"/>
    <cellStyle name="Normal 5 2 2 6 2" xfId="982" xr:uid="{00000000-0005-0000-0000-00004C290000}"/>
    <cellStyle name="Normal 5 2 2 6 2 2" xfId="2217" xr:uid="{00000000-0005-0000-0000-00004D290000}"/>
    <cellStyle name="Normal 5 2 2 6 2 2 2" xfId="4684" xr:uid="{00000000-0005-0000-0000-00004E290000}"/>
    <cellStyle name="Normal 5 2 2 6 2 2 2 2" xfId="9616" xr:uid="{00000000-0005-0000-0000-00004F290000}"/>
    <cellStyle name="Normal 5 2 2 6 2 2 2 2 2" xfId="19476" xr:uid="{00000000-0005-0000-0000-000050290000}"/>
    <cellStyle name="Normal 5 2 2 6 2 2 2 2 2 2" xfId="39191" xr:uid="{00000000-0005-0000-0000-000051290000}"/>
    <cellStyle name="Normal 5 2 2 6 2 2 2 2 3" xfId="29334" xr:uid="{00000000-0005-0000-0000-000052290000}"/>
    <cellStyle name="Normal 5 2 2 6 2 2 2 3" xfId="14548" xr:uid="{00000000-0005-0000-0000-000053290000}"/>
    <cellStyle name="Normal 5 2 2 6 2 2 2 3 2" xfId="34263" xr:uid="{00000000-0005-0000-0000-000054290000}"/>
    <cellStyle name="Normal 5 2 2 6 2 2 2 4" xfId="24406" xr:uid="{00000000-0005-0000-0000-000055290000}"/>
    <cellStyle name="Normal 5 2 2 6 2 2 3" xfId="7152" xr:uid="{00000000-0005-0000-0000-000056290000}"/>
    <cellStyle name="Normal 5 2 2 6 2 2 3 2" xfId="17012" xr:uid="{00000000-0005-0000-0000-000057290000}"/>
    <cellStyle name="Normal 5 2 2 6 2 2 3 2 2" xfId="36727" xr:uid="{00000000-0005-0000-0000-000058290000}"/>
    <cellStyle name="Normal 5 2 2 6 2 2 3 3" xfId="26870" xr:uid="{00000000-0005-0000-0000-000059290000}"/>
    <cellStyle name="Normal 5 2 2 6 2 2 4" xfId="12084" xr:uid="{00000000-0005-0000-0000-00005A290000}"/>
    <cellStyle name="Normal 5 2 2 6 2 2 4 2" xfId="31799" xr:uid="{00000000-0005-0000-0000-00005B290000}"/>
    <cellStyle name="Normal 5 2 2 6 2 2 5" xfId="21942" xr:uid="{00000000-0005-0000-0000-00005C290000}"/>
    <cellStyle name="Normal 5 2 2 6 2 3" xfId="3452" xr:uid="{00000000-0005-0000-0000-00005D290000}"/>
    <cellStyle name="Normal 5 2 2 6 2 3 2" xfId="8384" xr:uid="{00000000-0005-0000-0000-00005E290000}"/>
    <cellStyle name="Normal 5 2 2 6 2 3 2 2" xfId="18244" xr:uid="{00000000-0005-0000-0000-00005F290000}"/>
    <cellStyle name="Normal 5 2 2 6 2 3 2 2 2" xfId="37959" xr:uid="{00000000-0005-0000-0000-000060290000}"/>
    <cellStyle name="Normal 5 2 2 6 2 3 2 3" xfId="28102" xr:uid="{00000000-0005-0000-0000-000061290000}"/>
    <cellStyle name="Normal 5 2 2 6 2 3 3" xfId="13316" xr:uid="{00000000-0005-0000-0000-000062290000}"/>
    <cellStyle name="Normal 5 2 2 6 2 3 3 2" xfId="33031" xr:uid="{00000000-0005-0000-0000-000063290000}"/>
    <cellStyle name="Normal 5 2 2 6 2 3 4" xfId="23174" xr:uid="{00000000-0005-0000-0000-000064290000}"/>
    <cellStyle name="Normal 5 2 2 6 2 4" xfId="5920" xr:uid="{00000000-0005-0000-0000-000065290000}"/>
    <cellStyle name="Normal 5 2 2 6 2 4 2" xfId="15780" xr:uid="{00000000-0005-0000-0000-000066290000}"/>
    <cellStyle name="Normal 5 2 2 6 2 4 2 2" xfId="35495" xr:uid="{00000000-0005-0000-0000-000067290000}"/>
    <cellStyle name="Normal 5 2 2 6 2 4 3" xfId="25638" xr:uid="{00000000-0005-0000-0000-000068290000}"/>
    <cellStyle name="Normal 5 2 2 6 2 5" xfId="10852" xr:uid="{00000000-0005-0000-0000-000069290000}"/>
    <cellStyle name="Normal 5 2 2 6 2 5 2" xfId="30567" xr:uid="{00000000-0005-0000-0000-00006A290000}"/>
    <cellStyle name="Normal 5 2 2 6 2 6" xfId="20710" xr:uid="{00000000-0005-0000-0000-00006B290000}"/>
    <cellStyle name="Normal 5 2 2 6 3" xfId="1601" xr:uid="{00000000-0005-0000-0000-00006C290000}"/>
    <cellStyle name="Normal 5 2 2 6 3 2" xfId="4068" xr:uid="{00000000-0005-0000-0000-00006D290000}"/>
    <cellStyle name="Normal 5 2 2 6 3 2 2" xfId="9000" xr:uid="{00000000-0005-0000-0000-00006E290000}"/>
    <cellStyle name="Normal 5 2 2 6 3 2 2 2" xfId="18860" xr:uid="{00000000-0005-0000-0000-00006F290000}"/>
    <cellStyle name="Normal 5 2 2 6 3 2 2 2 2" xfId="38575" xr:uid="{00000000-0005-0000-0000-000070290000}"/>
    <cellStyle name="Normal 5 2 2 6 3 2 2 3" xfId="28718" xr:uid="{00000000-0005-0000-0000-000071290000}"/>
    <cellStyle name="Normal 5 2 2 6 3 2 3" xfId="13932" xr:uid="{00000000-0005-0000-0000-000072290000}"/>
    <cellStyle name="Normal 5 2 2 6 3 2 3 2" xfId="33647" xr:uid="{00000000-0005-0000-0000-000073290000}"/>
    <cellStyle name="Normal 5 2 2 6 3 2 4" xfId="23790" xr:uid="{00000000-0005-0000-0000-000074290000}"/>
    <cellStyle name="Normal 5 2 2 6 3 3" xfId="6536" xr:uid="{00000000-0005-0000-0000-000075290000}"/>
    <cellStyle name="Normal 5 2 2 6 3 3 2" xfId="16396" xr:uid="{00000000-0005-0000-0000-000076290000}"/>
    <cellStyle name="Normal 5 2 2 6 3 3 2 2" xfId="36111" xr:uid="{00000000-0005-0000-0000-000077290000}"/>
    <cellStyle name="Normal 5 2 2 6 3 3 3" xfId="26254" xr:uid="{00000000-0005-0000-0000-000078290000}"/>
    <cellStyle name="Normal 5 2 2 6 3 4" xfId="11468" xr:uid="{00000000-0005-0000-0000-000079290000}"/>
    <cellStyle name="Normal 5 2 2 6 3 4 2" xfId="31183" xr:uid="{00000000-0005-0000-0000-00007A290000}"/>
    <cellStyle name="Normal 5 2 2 6 3 5" xfId="21326" xr:uid="{00000000-0005-0000-0000-00007B290000}"/>
    <cellStyle name="Normal 5 2 2 6 4" xfId="2836" xr:uid="{00000000-0005-0000-0000-00007C290000}"/>
    <cellStyle name="Normal 5 2 2 6 4 2" xfId="7768" xr:uid="{00000000-0005-0000-0000-00007D290000}"/>
    <cellStyle name="Normal 5 2 2 6 4 2 2" xfId="17628" xr:uid="{00000000-0005-0000-0000-00007E290000}"/>
    <cellStyle name="Normal 5 2 2 6 4 2 2 2" xfId="37343" xr:uid="{00000000-0005-0000-0000-00007F290000}"/>
    <cellStyle name="Normal 5 2 2 6 4 2 3" xfId="27486" xr:uid="{00000000-0005-0000-0000-000080290000}"/>
    <cellStyle name="Normal 5 2 2 6 4 3" xfId="12700" xr:uid="{00000000-0005-0000-0000-000081290000}"/>
    <cellStyle name="Normal 5 2 2 6 4 3 2" xfId="32415" xr:uid="{00000000-0005-0000-0000-000082290000}"/>
    <cellStyle name="Normal 5 2 2 6 4 4" xfId="22558" xr:uid="{00000000-0005-0000-0000-000083290000}"/>
    <cellStyle name="Normal 5 2 2 6 5" xfId="5304" xr:uid="{00000000-0005-0000-0000-000084290000}"/>
    <cellStyle name="Normal 5 2 2 6 5 2" xfId="15164" xr:uid="{00000000-0005-0000-0000-000085290000}"/>
    <cellStyle name="Normal 5 2 2 6 5 2 2" xfId="34879" xr:uid="{00000000-0005-0000-0000-000086290000}"/>
    <cellStyle name="Normal 5 2 2 6 5 3" xfId="25022" xr:uid="{00000000-0005-0000-0000-000087290000}"/>
    <cellStyle name="Normal 5 2 2 6 6" xfId="10236" xr:uid="{00000000-0005-0000-0000-000088290000}"/>
    <cellStyle name="Normal 5 2 2 6 6 2" xfId="29951" xr:uid="{00000000-0005-0000-0000-000089290000}"/>
    <cellStyle name="Normal 5 2 2 6 7" xfId="20094" xr:uid="{00000000-0005-0000-0000-00008A290000}"/>
    <cellStyle name="Normal 5 2 2 7" xfId="675" xr:uid="{00000000-0005-0000-0000-00008B290000}"/>
    <cellStyle name="Normal 5 2 2 7 2" xfId="1911" xr:uid="{00000000-0005-0000-0000-00008C290000}"/>
    <cellStyle name="Normal 5 2 2 7 2 2" xfId="4378" xr:uid="{00000000-0005-0000-0000-00008D290000}"/>
    <cellStyle name="Normal 5 2 2 7 2 2 2" xfId="9310" xr:uid="{00000000-0005-0000-0000-00008E290000}"/>
    <cellStyle name="Normal 5 2 2 7 2 2 2 2" xfId="19170" xr:uid="{00000000-0005-0000-0000-00008F290000}"/>
    <cellStyle name="Normal 5 2 2 7 2 2 2 2 2" xfId="38885" xr:uid="{00000000-0005-0000-0000-000090290000}"/>
    <cellStyle name="Normal 5 2 2 7 2 2 2 3" xfId="29028" xr:uid="{00000000-0005-0000-0000-000091290000}"/>
    <cellStyle name="Normal 5 2 2 7 2 2 3" xfId="14242" xr:uid="{00000000-0005-0000-0000-000092290000}"/>
    <cellStyle name="Normal 5 2 2 7 2 2 3 2" xfId="33957" xr:uid="{00000000-0005-0000-0000-000093290000}"/>
    <cellStyle name="Normal 5 2 2 7 2 2 4" xfId="24100" xr:uid="{00000000-0005-0000-0000-000094290000}"/>
    <cellStyle name="Normal 5 2 2 7 2 3" xfId="6846" xr:uid="{00000000-0005-0000-0000-000095290000}"/>
    <cellStyle name="Normal 5 2 2 7 2 3 2" xfId="16706" xr:uid="{00000000-0005-0000-0000-000096290000}"/>
    <cellStyle name="Normal 5 2 2 7 2 3 2 2" xfId="36421" xr:uid="{00000000-0005-0000-0000-000097290000}"/>
    <cellStyle name="Normal 5 2 2 7 2 3 3" xfId="26564" xr:uid="{00000000-0005-0000-0000-000098290000}"/>
    <cellStyle name="Normal 5 2 2 7 2 4" xfId="11778" xr:uid="{00000000-0005-0000-0000-000099290000}"/>
    <cellStyle name="Normal 5 2 2 7 2 4 2" xfId="31493" xr:uid="{00000000-0005-0000-0000-00009A290000}"/>
    <cellStyle name="Normal 5 2 2 7 2 5" xfId="21636" xr:uid="{00000000-0005-0000-0000-00009B290000}"/>
    <cellStyle name="Normal 5 2 2 7 3" xfId="3146" xr:uid="{00000000-0005-0000-0000-00009C290000}"/>
    <cellStyle name="Normal 5 2 2 7 3 2" xfId="8078" xr:uid="{00000000-0005-0000-0000-00009D290000}"/>
    <cellStyle name="Normal 5 2 2 7 3 2 2" xfId="17938" xr:uid="{00000000-0005-0000-0000-00009E290000}"/>
    <cellStyle name="Normal 5 2 2 7 3 2 2 2" xfId="37653" xr:uid="{00000000-0005-0000-0000-00009F290000}"/>
    <cellStyle name="Normal 5 2 2 7 3 2 3" xfId="27796" xr:uid="{00000000-0005-0000-0000-0000A0290000}"/>
    <cellStyle name="Normal 5 2 2 7 3 3" xfId="13010" xr:uid="{00000000-0005-0000-0000-0000A1290000}"/>
    <cellStyle name="Normal 5 2 2 7 3 3 2" xfId="32725" xr:uid="{00000000-0005-0000-0000-0000A2290000}"/>
    <cellStyle name="Normal 5 2 2 7 3 4" xfId="22868" xr:uid="{00000000-0005-0000-0000-0000A3290000}"/>
    <cellStyle name="Normal 5 2 2 7 4" xfId="5614" xr:uid="{00000000-0005-0000-0000-0000A4290000}"/>
    <cellStyle name="Normal 5 2 2 7 4 2" xfId="15474" xr:uid="{00000000-0005-0000-0000-0000A5290000}"/>
    <cellStyle name="Normal 5 2 2 7 4 2 2" xfId="35189" xr:uid="{00000000-0005-0000-0000-0000A6290000}"/>
    <cellStyle name="Normal 5 2 2 7 4 3" xfId="25332" xr:uid="{00000000-0005-0000-0000-0000A7290000}"/>
    <cellStyle name="Normal 5 2 2 7 5" xfId="10546" xr:uid="{00000000-0005-0000-0000-0000A8290000}"/>
    <cellStyle name="Normal 5 2 2 7 5 2" xfId="30261" xr:uid="{00000000-0005-0000-0000-0000A9290000}"/>
    <cellStyle name="Normal 5 2 2 7 6" xfId="20404" xr:uid="{00000000-0005-0000-0000-0000AA290000}"/>
    <cellStyle name="Normal 5 2 2 8" xfId="1295" xr:uid="{00000000-0005-0000-0000-0000AB290000}"/>
    <cellStyle name="Normal 5 2 2 8 2" xfId="3762" xr:uid="{00000000-0005-0000-0000-0000AC290000}"/>
    <cellStyle name="Normal 5 2 2 8 2 2" xfId="8694" xr:uid="{00000000-0005-0000-0000-0000AD290000}"/>
    <cellStyle name="Normal 5 2 2 8 2 2 2" xfId="18554" xr:uid="{00000000-0005-0000-0000-0000AE290000}"/>
    <cellStyle name="Normal 5 2 2 8 2 2 2 2" xfId="38269" xr:uid="{00000000-0005-0000-0000-0000AF290000}"/>
    <cellStyle name="Normal 5 2 2 8 2 2 3" xfId="28412" xr:uid="{00000000-0005-0000-0000-0000B0290000}"/>
    <cellStyle name="Normal 5 2 2 8 2 3" xfId="13626" xr:uid="{00000000-0005-0000-0000-0000B1290000}"/>
    <cellStyle name="Normal 5 2 2 8 2 3 2" xfId="33341" xr:uid="{00000000-0005-0000-0000-0000B2290000}"/>
    <cellStyle name="Normal 5 2 2 8 2 4" xfId="23484" xr:uid="{00000000-0005-0000-0000-0000B3290000}"/>
    <cellStyle name="Normal 5 2 2 8 3" xfId="6230" xr:uid="{00000000-0005-0000-0000-0000B4290000}"/>
    <cellStyle name="Normal 5 2 2 8 3 2" xfId="16090" xr:uid="{00000000-0005-0000-0000-0000B5290000}"/>
    <cellStyle name="Normal 5 2 2 8 3 2 2" xfId="35805" xr:uid="{00000000-0005-0000-0000-0000B6290000}"/>
    <cellStyle name="Normal 5 2 2 8 3 3" xfId="25948" xr:uid="{00000000-0005-0000-0000-0000B7290000}"/>
    <cellStyle name="Normal 5 2 2 8 4" xfId="11162" xr:uid="{00000000-0005-0000-0000-0000B8290000}"/>
    <cellStyle name="Normal 5 2 2 8 4 2" xfId="30877" xr:uid="{00000000-0005-0000-0000-0000B9290000}"/>
    <cellStyle name="Normal 5 2 2 8 5" xfId="21020" xr:uid="{00000000-0005-0000-0000-0000BA290000}"/>
    <cellStyle name="Normal 5 2 2 9" xfId="2530" xr:uid="{00000000-0005-0000-0000-0000BB290000}"/>
    <cellStyle name="Normal 5 2 2 9 2" xfId="7462" xr:uid="{00000000-0005-0000-0000-0000BC290000}"/>
    <cellStyle name="Normal 5 2 2 9 2 2" xfId="17322" xr:uid="{00000000-0005-0000-0000-0000BD290000}"/>
    <cellStyle name="Normal 5 2 2 9 2 2 2" xfId="37037" xr:uid="{00000000-0005-0000-0000-0000BE290000}"/>
    <cellStyle name="Normal 5 2 2 9 2 3" xfId="27180" xr:uid="{00000000-0005-0000-0000-0000BF290000}"/>
    <cellStyle name="Normal 5 2 2 9 3" xfId="12394" xr:uid="{00000000-0005-0000-0000-0000C0290000}"/>
    <cellStyle name="Normal 5 2 2 9 3 2" xfId="32109" xr:uid="{00000000-0005-0000-0000-0000C1290000}"/>
    <cellStyle name="Normal 5 2 2 9 4" xfId="22252" xr:uid="{00000000-0005-0000-0000-0000C2290000}"/>
    <cellStyle name="Normal 5 2 3" xfId="42" xr:uid="{00000000-0005-0000-0000-0000C3290000}"/>
    <cellStyle name="Normal 5 2 3 10" xfId="9940" xr:uid="{00000000-0005-0000-0000-0000C4290000}"/>
    <cellStyle name="Normal 5 2 3 10 2" xfId="29655" xr:uid="{00000000-0005-0000-0000-0000C5290000}"/>
    <cellStyle name="Normal 5 2 3 11" xfId="19798" xr:uid="{00000000-0005-0000-0000-0000C6290000}"/>
    <cellStyle name="Normal 5 2 3 2" xfId="86" xr:uid="{00000000-0005-0000-0000-0000C7290000}"/>
    <cellStyle name="Normal 5 2 3 2 10" xfId="19836" xr:uid="{00000000-0005-0000-0000-0000C8290000}"/>
    <cellStyle name="Normal 5 2 3 2 2" xfId="167" xr:uid="{00000000-0005-0000-0000-0000C9290000}"/>
    <cellStyle name="Normal 5 2 3 2 2 2" xfId="324" xr:uid="{00000000-0005-0000-0000-0000CA290000}"/>
    <cellStyle name="Normal 5 2 3 2 2 2 2" xfId="638" xr:uid="{00000000-0005-0000-0000-0000CB290000}"/>
    <cellStyle name="Normal 5 2 3 2 2 2 2 2" xfId="1258" xr:uid="{00000000-0005-0000-0000-0000CC290000}"/>
    <cellStyle name="Normal 5 2 3 2 2 2 2 2 2" xfId="2493" xr:uid="{00000000-0005-0000-0000-0000CD290000}"/>
    <cellStyle name="Normal 5 2 3 2 2 2 2 2 2 2" xfId="4960" xr:uid="{00000000-0005-0000-0000-0000CE290000}"/>
    <cellStyle name="Normal 5 2 3 2 2 2 2 2 2 2 2" xfId="9892" xr:uid="{00000000-0005-0000-0000-0000CF290000}"/>
    <cellStyle name="Normal 5 2 3 2 2 2 2 2 2 2 2 2" xfId="19752" xr:uid="{00000000-0005-0000-0000-0000D0290000}"/>
    <cellStyle name="Normal 5 2 3 2 2 2 2 2 2 2 2 2 2" xfId="39467" xr:uid="{00000000-0005-0000-0000-0000D1290000}"/>
    <cellStyle name="Normal 5 2 3 2 2 2 2 2 2 2 2 3" xfId="29610" xr:uid="{00000000-0005-0000-0000-0000D2290000}"/>
    <cellStyle name="Normal 5 2 3 2 2 2 2 2 2 2 3" xfId="14824" xr:uid="{00000000-0005-0000-0000-0000D3290000}"/>
    <cellStyle name="Normal 5 2 3 2 2 2 2 2 2 2 3 2" xfId="34539" xr:uid="{00000000-0005-0000-0000-0000D4290000}"/>
    <cellStyle name="Normal 5 2 3 2 2 2 2 2 2 2 4" xfId="24682" xr:uid="{00000000-0005-0000-0000-0000D5290000}"/>
    <cellStyle name="Normal 5 2 3 2 2 2 2 2 2 3" xfId="7428" xr:uid="{00000000-0005-0000-0000-0000D6290000}"/>
    <cellStyle name="Normal 5 2 3 2 2 2 2 2 2 3 2" xfId="17288" xr:uid="{00000000-0005-0000-0000-0000D7290000}"/>
    <cellStyle name="Normal 5 2 3 2 2 2 2 2 2 3 2 2" xfId="37003" xr:uid="{00000000-0005-0000-0000-0000D8290000}"/>
    <cellStyle name="Normal 5 2 3 2 2 2 2 2 2 3 3" xfId="27146" xr:uid="{00000000-0005-0000-0000-0000D9290000}"/>
    <cellStyle name="Normal 5 2 3 2 2 2 2 2 2 4" xfId="12360" xr:uid="{00000000-0005-0000-0000-0000DA290000}"/>
    <cellStyle name="Normal 5 2 3 2 2 2 2 2 2 4 2" xfId="32075" xr:uid="{00000000-0005-0000-0000-0000DB290000}"/>
    <cellStyle name="Normal 5 2 3 2 2 2 2 2 2 5" xfId="22218" xr:uid="{00000000-0005-0000-0000-0000DC290000}"/>
    <cellStyle name="Normal 5 2 3 2 2 2 2 2 3" xfId="3728" xr:uid="{00000000-0005-0000-0000-0000DD290000}"/>
    <cellStyle name="Normal 5 2 3 2 2 2 2 2 3 2" xfId="8660" xr:uid="{00000000-0005-0000-0000-0000DE290000}"/>
    <cellStyle name="Normal 5 2 3 2 2 2 2 2 3 2 2" xfId="18520" xr:uid="{00000000-0005-0000-0000-0000DF290000}"/>
    <cellStyle name="Normal 5 2 3 2 2 2 2 2 3 2 2 2" xfId="38235" xr:uid="{00000000-0005-0000-0000-0000E0290000}"/>
    <cellStyle name="Normal 5 2 3 2 2 2 2 2 3 2 3" xfId="28378" xr:uid="{00000000-0005-0000-0000-0000E1290000}"/>
    <cellStyle name="Normal 5 2 3 2 2 2 2 2 3 3" xfId="13592" xr:uid="{00000000-0005-0000-0000-0000E2290000}"/>
    <cellStyle name="Normal 5 2 3 2 2 2 2 2 3 3 2" xfId="33307" xr:uid="{00000000-0005-0000-0000-0000E3290000}"/>
    <cellStyle name="Normal 5 2 3 2 2 2 2 2 3 4" xfId="23450" xr:uid="{00000000-0005-0000-0000-0000E4290000}"/>
    <cellStyle name="Normal 5 2 3 2 2 2 2 2 4" xfId="6196" xr:uid="{00000000-0005-0000-0000-0000E5290000}"/>
    <cellStyle name="Normal 5 2 3 2 2 2 2 2 4 2" xfId="16056" xr:uid="{00000000-0005-0000-0000-0000E6290000}"/>
    <cellStyle name="Normal 5 2 3 2 2 2 2 2 4 2 2" xfId="35771" xr:uid="{00000000-0005-0000-0000-0000E7290000}"/>
    <cellStyle name="Normal 5 2 3 2 2 2 2 2 4 3" xfId="25914" xr:uid="{00000000-0005-0000-0000-0000E8290000}"/>
    <cellStyle name="Normal 5 2 3 2 2 2 2 2 5" xfId="11128" xr:uid="{00000000-0005-0000-0000-0000E9290000}"/>
    <cellStyle name="Normal 5 2 3 2 2 2 2 2 5 2" xfId="30843" xr:uid="{00000000-0005-0000-0000-0000EA290000}"/>
    <cellStyle name="Normal 5 2 3 2 2 2 2 2 6" xfId="20986" xr:uid="{00000000-0005-0000-0000-0000EB290000}"/>
    <cellStyle name="Normal 5 2 3 2 2 2 2 3" xfId="1877" xr:uid="{00000000-0005-0000-0000-0000EC290000}"/>
    <cellStyle name="Normal 5 2 3 2 2 2 2 3 2" xfId="4344" xr:uid="{00000000-0005-0000-0000-0000ED290000}"/>
    <cellStyle name="Normal 5 2 3 2 2 2 2 3 2 2" xfId="9276" xr:uid="{00000000-0005-0000-0000-0000EE290000}"/>
    <cellStyle name="Normal 5 2 3 2 2 2 2 3 2 2 2" xfId="19136" xr:uid="{00000000-0005-0000-0000-0000EF290000}"/>
    <cellStyle name="Normal 5 2 3 2 2 2 2 3 2 2 2 2" xfId="38851" xr:uid="{00000000-0005-0000-0000-0000F0290000}"/>
    <cellStyle name="Normal 5 2 3 2 2 2 2 3 2 2 3" xfId="28994" xr:uid="{00000000-0005-0000-0000-0000F1290000}"/>
    <cellStyle name="Normal 5 2 3 2 2 2 2 3 2 3" xfId="14208" xr:uid="{00000000-0005-0000-0000-0000F2290000}"/>
    <cellStyle name="Normal 5 2 3 2 2 2 2 3 2 3 2" xfId="33923" xr:uid="{00000000-0005-0000-0000-0000F3290000}"/>
    <cellStyle name="Normal 5 2 3 2 2 2 2 3 2 4" xfId="24066" xr:uid="{00000000-0005-0000-0000-0000F4290000}"/>
    <cellStyle name="Normal 5 2 3 2 2 2 2 3 3" xfId="6812" xr:uid="{00000000-0005-0000-0000-0000F5290000}"/>
    <cellStyle name="Normal 5 2 3 2 2 2 2 3 3 2" xfId="16672" xr:uid="{00000000-0005-0000-0000-0000F6290000}"/>
    <cellStyle name="Normal 5 2 3 2 2 2 2 3 3 2 2" xfId="36387" xr:uid="{00000000-0005-0000-0000-0000F7290000}"/>
    <cellStyle name="Normal 5 2 3 2 2 2 2 3 3 3" xfId="26530" xr:uid="{00000000-0005-0000-0000-0000F8290000}"/>
    <cellStyle name="Normal 5 2 3 2 2 2 2 3 4" xfId="11744" xr:uid="{00000000-0005-0000-0000-0000F9290000}"/>
    <cellStyle name="Normal 5 2 3 2 2 2 2 3 4 2" xfId="31459" xr:uid="{00000000-0005-0000-0000-0000FA290000}"/>
    <cellStyle name="Normal 5 2 3 2 2 2 2 3 5" xfId="21602" xr:uid="{00000000-0005-0000-0000-0000FB290000}"/>
    <cellStyle name="Normal 5 2 3 2 2 2 2 4" xfId="3112" xr:uid="{00000000-0005-0000-0000-0000FC290000}"/>
    <cellStyle name="Normal 5 2 3 2 2 2 2 4 2" xfId="8044" xr:uid="{00000000-0005-0000-0000-0000FD290000}"/>
    <cellStyle name="Normal 5 2 3 2 2 2 2 4 2 2" xfId="17904" xr:uid="{00000000-0005-0000-0000-0000FE290000}"/>
    <cellStyle name="Normal 5 2 3 2 2 2 2 4 2 2 2" xfId="37619" xr:uid="{00000000-0005-0000-0000-0000FF290000}"/>
    <cellStyle name="Normal 5 2 3 2 2 2 2 4 2 3" xfId="27762" xr:uid="{00000000-0005-0000-0000-0000002A0000}"/>
    <cellStyle name="Normal 5 2 3 2 2 2 2 4 3" xfId="12976" xr:uid="{00000000-0005-0000-0000-0000012A0000}"/>
    <cellStyle name="Normal 5 2 3 2 2 2 2 4 3 2" xfId="32691" xr:uid="{00000000-0005-0000-0000-0000022A0000}"/>
    <cellStyle name="Normal 5 2 3 2 2 2 2 4 4" xfId="22834" xr:uid="{00000000-0005-0000-0000-0000032A0000}"/>
    <cellStyle name="Normal 5 2 3 2 2 2 2 5" xfId="5580" xr:uid="{00000000-0005-0000-0000-0000042A0000}"/>
    <cellStyle name="Normal 5 2 3 2 2 2 2 5 2" xfId="15440" xr:uid="{00000000-0005-0000-0000-0000052A0000}"/>
    <cellStyle name="Normal 5 2 3 2 2 2 2 5 2 2" xfId="35155" xr:uid="{00000000-0005-0000-0000-0000062A0000}"/>
    <cellStyle name="Normal 5 2 3 2 2 2 2 5 3" xfId="25298" xr:uid="{00000000-0005-0000-0000-0000072A0000}"/>
    <cellStyle name="Normal 5 2 3 2 2 2 2 6" xfId="10512" xr:uid="{00000000-0005-0000-0000-0000082A0000}"/>
    <cellStyle name="Normal 5 2 3 2 2 2 2 6 2" xfId="30227" xr:uid="{00000000-0005-0000-0000-0000092A0000}"/>
    <cellStyle name="Normal 5 2 3 2 2 2 2 7" xfId="20370" xr:uid="{00000000-0005-0000-0000-00000A2A0000}"/>
    <cellStyle name="Normal 5 2 3 2 2 2 3" xfId="951" xr:uid="{00000000-0005-0000-0000-00000B2A0000}"/>
    <cellStyle name="Normal 5 2 3 2 2 2 3 2" xfId="2187" xr:uid="{00000000-0005-0000-0000-00000C2A0000}"/>
    <cellStyle name="Normal 5 2 3 2 2 2 3 2 2" xfId="4654" xr:uid="{00000000-0005-0000-0000-00000D2A0000}"/>
    <cellStyle name="Normal 5 2 3 2 2 2 3 2 2 2" xfId="9586" xr:uid="{00000000-0005-0000-0000-00000E2A0000}"/>
    <cellStyle name="Normal 5 2 3 2 2 2 3 2 2 2 2" xfId="19446" xr:uid="{00000000-0005-0000-0000-00000F2A0000}"/>
    <cellStyle name="Normal 5 2 3 2 2 2 3 2 2 2 2 2" xfId="39161" xr:uid="{00000000-0005-0000-0000-0000102A0000}"/>
    <cellStyle name="Normal 5 2 3 2 2 2 3 2 2 2 3" xfId="29304" xr:uid="{00000000-0005-0000-0000-0000112A0000}"/>
    <cellStyle name="Normal 5 2 3 2 2 2 3 2 2 3" xfId="14518" xr:uid="{00000000-0005-0000-0000-0000122A0000}"/>
    <cellStyle name="Normal 5 2 3 2 2 2 3 2 2 3 2" xfId="34233" xr:uid="{00000000-0005-0000-0000-0000132A0000}"/>
    <cellStyle name="Normal 5 2 3 2 2 2 3 2 2 4" xfId="24376" xr:uid="{00000000-0005-0000-0000-0000142A0000}"/>
    <cellStyle name="Normal 5 2 3 2 2 2 3 2 3" xfId="7122" xr:uid="{00000000-0005-0000-0000-0000152A0000}"/>
    <cellStyle name="Normal 5 2 3 2 2 2 3 2 3 2" xfId="16982" xr:uid="{00000000-0005-0000-0000-0000162A0000}"/>
    <cellStyle name="Normal 5 2 3 2 2 2 3 2 3 2 2" xfId="36697" xr:uid="{00000000-0005-0000-0000-0000172A0000}"/>
    <cellStyle name="Normal 5 2 3 2 2 2 3 2 3 3" xfId="26840" xr:uid="{00000000-0005-0000-0000-0000182A0000}"/>
    <cellStyle name="Normal 5 2 3 2 2 2 3 2 4" xfId="12054" xr:uid="{00000000-0005-0000-0000-0000192A0000}"/>
    <cellStyle name="Normal 5 2 3 2 2 2 3 2 4 2" xfId="31769" xr:uid="{00000000-0005-0000-0000-00001A2A0000}"/>
    <cellStyle name="Normal 5 2 3 2 2 2 3 2 5" xfId="21912" xr:uid="{00000000-0005-0000-0000-00001B2A0000}"/>
    <cellStyle name="Normal 5 2 3 2 2 2 3 3" xfId="3422" xr:uid="{00000000-0005-0000-0000-00001C2A0000}"/>
    <cellStyle name="Normal 5 2 3 2 2 2 3 3 2" xfId="8354" xr:uid="{00000000-0005-0000-0000-00001D2A0000}"/>
    <cellStyle name="Normal 5 2 3 2 2 2 3 3 2 2" xfId="18214" xr:uid="{00000000-0005-0000-0000-00001E2A0000}"/>
    <cellStyle name="Normal 5 2 3 2 2 2 3 3 2 2 2" xfId="37929" xr:uid="{00000000-0005-0000-0000-00001F2A0000}"/>
    <cellStyle name="Normal 5 2 3 2 2 2 3 3 2 3" xfId="28072" xr:uid="{00000000-0005-0000-0000-0000202A0000}"/>
    <cellStyle name="Normal 5 2 3 2 2 2 3 3 3" xfId="13286" xr:uid="{00000000-0005-0000-0000-0000212A0000}"/>
    <cellStyle name="Normal 5 2 3 2 2 2 3 3 3 2" xfId="33001" xr:uid="{00000000-0005-0000-0000-0000222A0000}"/>
    <cellStyle name="Normal 5 2 3 2 2 2 3 3 4" xfId="23144" xr:uid="{00000000-0005-0000-0000-0000232A0000}"/>
    <cellStyle name="Normal 5 2 3 2 2 2 3 4" xfId="5890" xr:uid="{00000000-0005-0000-0000-0000242A0000}"/>
    <cellStyle name="Normal 5 2 3 2 2 2 3 4 2" xfId="15750" xr:uid="{00000000-0005-0000-0000-0000252A0000}"/>
    <cellStyle name="Normal 5 2 3 2 2 2 3 4 2 2" xfId="35465" xr:uid="{00000000-0005-0000-0000-0000262A0000}"/>
    <cellStyle name="Normal 5 2 3 2 2 2 3 4 3" xfId="25608" xr:uid="{00000000-0005-0000-0000-0000272A0000}"/>
    <cellStyle name="Normal 5 2 3 2 2 2 3 5" xfId="10822" xr:uid="{00000000-0005-0000-0000-0000282A0000}"/>
    <cellStyle name="Normal 5 2 3 2 2 2 3 5 2" xfId="30537" xr:uid="{00000000-0005-0000-0000-0000292A0000}"/>
    <cellStyle name="Normal 5 2 3 2 2 2 3 6" xfId="20680" xr:uid="{00000000-0005-0000-0000-00002A2A0000}"/>
    <cellStyle name="Normal 5 2 3 2 2 2 4" xfId="1571" xr:uid="{00000000-0005-0000-0000-00002B2A0000}"/>
    <cellStyle name="Normal 5 2 3 2 2 2 4 2" xfId="4038" xr:uid="{00000000-0005-0000-0000-00002C2A0000}"/>
    <cellStyle name="Normal 5 2 3 2 2 2 4 2 2" xfId="8970" xr:uid="{00000000-0005-0000-0000-00002D2A0000}"/>
    <cellStyle name="Normal 5 2 3 2 2 2 4 2 2 2" xfId="18830" xr:uid="{00000000-0005-0000-0000-00002E2A0000}"/>
    <cellStyle name="Normal 5 2 3 2 2 2 4 2 2 2 2" xfId="38545" xr:uid="{00000000-0005-0000-0000-00002F2A0000}"/>
    <cellStyle name="Normal 5 2 3 2 2 2 4 2 2 3" xfId="28688" xr:uid="{00000000-0005-0000-0000-0000302A0000}"/>
    <cellStyle name="Normal 5 2 3 2 2 2 4 2 3" xfId="13902" xr:uid="{00000000-0005-0000-0000-0000312A0000}"/>
    <cellStyle name="Normal 5 2 3 2 2 2 4 2 3 2" xfId="33617" xr:uid="{00000000-0005-0000-0000-0000322A0000}"/>
    <cellStyle name="Normal 5 2 3 2 2 2 4 2 4" xfId="23760" xr:uid="{00000000-0005-0000-0000-0000332A0000}"/>
    <cellStyle name="Normal 5 2 3 2 2 2 4 3" xfId="6506" xr:uid="{00000000-0005-0000-0000-0000342A0000}"/>
    <cellStyle name="Normal 5 2 3 2 2 2 4 3 2" xfId="16366" xr:uid="{00000000-0005-0000-0000-0000352A0000}"/>
    <cellStyle name="Normal 5 2 3 2 2 2 4 3 2 2" xfId="36081" xr:uid="{00000000-0005-0000-0000-0000362A0000}"/>
    <cellStyle name="Normal 5 2 3 2 2 2 4 3 3" xfId="26224" xr:uid="{00000000-0005-0000-0000-0000372A0000}"/>
    <cellStyle name="Normal 5 2 3 2 2 2 4 4" xfId="11438" xr:uid="{00000000-0005-0000-0000-0000382A0000}"/>
    <cellStyle name="Normal 5 2 3 2 2 2 4 4 2" xfId="31153" xr:uid="{00000000-0005-0000-0000-0000392A0000}"/>
    <cellStyle name="Normal 5 2 3 2 2 2 4 5" xfId="21296" xr:uid="{00000000-0005-0000-0000-00003A2A0000}"/>
    <cellStyle name="Normal 5 2 3 2 2 2 5" xfId="2806" xr:uid="{00000000-0005-0000-0000-00003B2A0000}"/>
    <cellStyle name="Normal 5 2 3 2 2 2 5 2" xfId="7738" xr:uid="{00000000-0005-0000-0000-00003C2A0000}"/>
    <cellStyle name="Normal 5 2 3 2 2 2 5 2 2" xfId="17598" xr:uid="{00000000-0005-0000-0000-00003D2A0000}"/>
    <cellStyle name="Normal 5 2 3 2 2 2 5 2 2 2" xfId="37313" xr:uid="{00000000-0005-0000-0000-00003E2A0000}"/>
    <cellStyle name="Normal 5 2 3 2 2 2 5 2 3" xfId="27456" xr:uid="{00000000-0005-0000-0000-00003F2A0000}"/>
    <cellStyle name="Normal 5 2 3 2 2 2 5 3" xfId="12670" xr:uid="{00000000-0005-0000-0000-0000402A0000}"/>
    <cellStyle name="Normal 5 2 3 2 2 2 5 3 2" xfId="32385" xr:uid="{00000000-0005-0000-0000-0000412A0000}"/>
    <cellStyle name="Normal 5 2 3 2 2 2 5 4" xfId="22528" xr:uid="{00000000-0005-0000-0000-0000422A0000}"/>
    <cellStyle name="Normal 5 2 3 2 2 2 6" xfId="5274" xr:uid="{00000000-0005-0000-0000-0000432A0000}"/>
    <cellStyle name="Normal 5 2 3 2 2 2 6 2" xfId="15134" xr:uid="{00000000-0005-0000-0000-0000442A0000}"/>
    <cellStyle name="Normal 5 2 3 2 2 2 6 2 2" xfId="34849" xr:uid="{00000000-0005-0000-0000-0000452A0000}"/>
    <cellStyle name="Normal 5 2 3 2 2 2 6 3" xfId="24992" xr:uid="{00000000-0005-0000-0000-0000462A0000}"/>
    <cellStyle name="Normal 5 2 3 2 2 2 7" xfId="10206" xr:uid="{00000000-0005-0000-0000-0000472A0000}"/>
    <cellStyle name="Normal 5 2 3 2 2 2 7 2" xfId="29921" xr:uid="{00000000-0005-0000-0000-0000482A0000}"/>
    <cellStyle name="Normal 5 2 3 2 2 2 8" xfId="20064" xr:uid="{00000000-0005-0000-0000-0000492A0000}"/>
    <cellStyle name="Normal 5 2 3 2 2 3" xfId="486" xr:uid="{00000000-0005-0000-0000-00004A2A0000}"/>
    <cellStyle name="Normal 5 2 3 2 2 3 2" xfId="1106" xr:uid="{00000000-0005-0000-0000-00004B2A0000}"/>
    <cellStyle name="Normal 5 2 3 2 2 3 2 2" xfId="2341" xr:uid="{00000000-0005-0000-0000-00004C2A0000}"/>
    <cellStyle name="Normal 5 2 3 2 2 3 2 2 2" xfId="4808" xr:uid="{00000000-0005-0000-0000-00004D2A0000}"/>
    <cellStyle name="Normal 5 2 3 2 2 3 2 2 2 2" xfId="9740" xr:uid="{00000000-0005-0000-0000-00004E2A0000}"/>
    <cellStyle name="Normal 5 2 3 2 2 3 2 2 2 2 2" xfId="19600" xr:uid="{00000000-0005-0000-0000-00004F2A0000}"/>
    <cellStyle name="Normal 5 2 3 2 2 3 2 2 2 2 2 2" xfId="39315" xr:uid="{00000000-0005-0000-0000-0000502A0000}"/>
    <cellStyle name="Normal 5 2 3 2 2 3 2 2 2 2 3" xfId="29458" xr:uid="{00000000-0005-0000-0000-0000512A0000}"/>
    <cellStyle name="Normal 5 2 3 2 2 3 2 2 2 3" xfId="14672" xr:uid="{00000000-0005-0000-0000-0000522A0000}"/>
    <cellStyle name="Normal 5 2 3 2 2 3 2 2 2 3 2" xfId="34387" xr:uid="{00000000-0005-0000-0000-0000532A0000}"/>
    <cellStyle name="Normal 5 2 3 2 2 3 2 2 2 4" xfId="24530" xr:uid="{00000000-0005-0000-0000-0000542A0000}"/>
    <cellStyle name="Normal 5 2 3 2 2 3 2 2 3" xfId="7276" xr:uid="{00000000-0005-0000-0000-0000552A0000}"/>
    <cellStyle name="Normal 5 2 3 2 2 3 2 2 3 2" xfId="17136" xr:uid="{00000000-0005-0000-0000-0000562A0000}"/>
    <cellStyle name="Normal 5 2 3 2 2 3 2 2 3 2 2" xfId="36851" xr:uid="{00000000-0005-0000-0000-0000572A0000}"/>
    <cellStyle name="Normal 5 2 3 2 2 3 2 2 3 3" xfId="26994" xr:uid="{00000000-0005-0000-0000-0000582A0000}"/>
    <cellStyle name="Normal 5 2 3 2 2 3 2 2 4" xfId="12208" xr:uid="{00000000-0005-0000-0000-0000592A0000}"/>
    <cellStyle name="Normal 5 2 3 2 2 3 2 2 4 2" xfId="31923" xr:uid="{00000000-0005-0000-0000-00005A2A0000}"/>
    <cellStyle name="Normal 5 2 3 2 2 3 2 2 5" xfId="22066" xr:uid="{00000000-0005-0000-0000-00005B2A0000}"/>
    <cellStyle name="Normal 5 2 3 2 2 3 2 3" xfId="3576" xr:uid="{00000000-0005-0000-0000-00005C2A0000}"/>
    <cellStyle name="Normal 5 2 3 2 2 3 2 3 2" xfId="8508" xr:uid="{00000000-0005-0000-0000-00005D2A0000}"/>
    <cellStyle name="Normal 5 2 3 2 2 3 2 3 2 2" xfId="18368" xr:uid="{00000000-0005-0000-0000-00005E2A0000}"/>
    <cellStyle name="Normal 5 2 3 2 2 3 2 3 2 2 2" xfId="38083" xr:uid="{00000000-0005-0000-0000-00005F2A0000}"/>
    <cellStyle name="Normal 5 2 3 2 2 3 2 3 2 3" xfId="28226" xr:uid="{00000000-0005-0000-0000-0000602A0000}"/>
    <cellStyle name="Normal 5 2 3 2 2 3 2 3 3" xfId="13440" xr:uid="{00000000-0005-0000-0000-0000612A0000}"/>
    <cellStyle name="Normal 5 2 3 2 2 3 2 3 3 2" xfId="33155" xr:uid="{00000000-0005-0000-0000-0000622A0000}"/>
    <cellStyle name="Normal 5 2 3 2 2 3 2 3 4" xfId="23298" xr:uid="{00000000-0005-0000-0000-0000632A0000}"/>
    <cellStyle name="Normal 5 2 3 2 2 3 2 4" xfId="6044" xr:uid="{00000000-0005-0000-0000-0000642A0000}"/>
    <cellStyle name="Normal 5 2 3 2 2 3 2 4 2" xfId="15904" xr:uid="{00000000-0005-0000-0000-0000652A0000}"/>
    <cellStyle name="Normal 5 2 3 2 2 3 2 4 2 2" xfId="35619" xr:uid="{00000000-0005-0000-0000-0000662A0000}"/>
    <cellStyle name="Normal 5 2 3 2 2 3 2 4 3" xfId="25762" xr:uid="{00000000-0005-0000-0000-0000672A0000}"/>
    <cellStyle name="Normal 5 2 3 2 2 3 2 5" xfId="10976" xr:uid="{00000000-0005-0000-0000-0000682A0000}"/>
    <cellStyle name="Normal 5 2 3 2 2 3 2 5 2" xfId="30691" xr:uid="{00000000-0005-0000-0000-0000692A0000}"/>
    <cellStyle name="Normal 5 2 3 2 2 3 2 6" xfId="20834" xr:uid="{00000000-0005-0000-0000-00006A2A0000}"/>
    <cellStyle name="Normal 5 2 3 2 2 3 3" xfId="1725" xr:uid="{00000000-0005-0000-0000-00006B2A0000}"/>
    <cellStyle name="Normal 5 2 3 2 2 3 3 2" xfId="4192" xr:uid="{00000000-0005-0000-0000-00006C2A0000}"/>
    <cellStyle name="Normal 5 2 3 2 2 3 3 2 2" xfId="9124" xr:uid="{00000000-0005-0000-0000-00006D2A0000}"/>
    <cellStyle name="Normal 5 2 3 2 2 3 3 2 2 2" xfId="18984" xr:uid="{00000000-0005-0000-0000-00006E2A0000}"/>
    <cellStyle name="Normal 5 2 3 2 2 3 3 2 2 2 2" xfId="38699" xr:uid="{00000000-0005-0000-0000-00006F2A0000}"/>
    <cellStyle name="Normal 5 2 3 2 2 3 3 2 2 3" xfId="28842" xr:uid="{00000000-0005-0000-0000-0000702A0000}"/>
    <cellStyle name="Normal 5 2 3 2 2 3 3 2 3" xfId="14056" xr:uid="{00000000-0005-0000-0000-0000712A0000}"/>
    <cellStyle name="Normal 5 2 3 2 2 3 3 2 3 2" xfId="33771" xr:uid="{00000000-0005-0000-0000-0000722A0000}"/>
    <cellStyle name="Normal 5 2 3 2 2 3 3 2 4" xfId="23914" xr:uid="{00000000-0005-0000-0000-0000732A0000}"/>
    <cellStyle name="Normal 5 2 3 2 2 3 3 3" xfId="6660" xr:uid="{00000000-0005-0000-0000-0000742A0000}"/>
    <cellStyle name="Normal 5 2 3 2 2 3 3 3 2" xfId="16520" xr:uid="{00000000-0005-0000-0000-0000752A0000}"/>
    <cellStyle name="Normal 5 2 3 2 2 3 3 3 2 2" xfId="36235" xr:uid="{00000000-0005-0000-0000-0000762A0000}"/>
    <cellStyle name="Normal 5 2 3 2 2 3 3 3 3" xfId="26378" xr:uid="{00000000-0005-0000-0000-0000772A0000}"/>
    <cellStyle name="Normal 5 2 3 2 2 3 3 4" xfId="11592" xr:uid="{00000000-0005-0000-0000-0000782A0000}"/>
    <cellStyle name="Normal 5 2 3 2 2 3 3 4 2" xfId="31307" xr:uid="{00000000-0005-0000-0000-0000792A0000}"/>
    <cellStyle name="Normal 5 2 3 2 2 3 3 5" xfId="21450" xr:uid="{00000000-0005-0000-0000-00007A2A0000}"/>
    <cellStyle name="Normal 5 2 3 2 2 3 4" xfId="2960" xr:uid="{00000000-0005-0000-0000-00007B2A0000}"/>
    <cellStyle name="Normal 5 2 3 2 2 3 4 2" xfId="7892" xr:uid="{00000000-0005-0000-0000-00007C2A0000}"/>
    <cellStyle name="Normal 5 2 3 2 2 3 4 2 2" xfId="17752" xr:uid="{00000000-0005-0000-0000-00007D2A0000}"/>
    <cellStyle name="Normal 5 2 3 2 2 3 4 2 2 2" xfId="37467" xr:uid="{00000000-0005-0000-0000-00007E2A0000}"/>
    <cellStyle name="Normal 5 2 3 2 2 3 4 2 3" xfId="27610" xr:uid="{00000000-0005-0000-0000-00007F2A0000}"/>
    <cellStyle name="Normal 5 2 3 2 2 3 4 3" xfId="12824" xr:uid="{00000000-0005-0000-0000-0000802A0000}"/>
    <cellStyle name="Normal 5 2 3 2 2 3 4 3 2" xfId="32539" xr:uid="{00000000-0005-0000-0000-0000812A0000}"/>
    <cellStyle name="Normal 5 2 3 2 2 3 4 4" xfId="22682" xr:uid="{00000000-0005-0000-0000-0000822A0000}"/>
    <cellStyle name="Normal 5 2 3 2 2 3 5" xfId="5428" xr:uid="{00000000-0005-0000-0000-0000832A0000}"/>
    <cellStyle name="Normal 5 2 3 2 2 3 5 2" xfId="15288" xr:uid="{00000000-0005-0000-0000-0000842A0000}"/>
    <cellStyle name="Normal 5 2 3 2 2 3 5 2 2" xfId="35003" xr:uid="{00000000-0005-0000-0000-0000852A0000}"/>
    <cellStyle name="Normal 5 2 3 2 2 3 5 3" xfId="25146" xr:uid="{00000000-0005-0000-0000-0000862A0000}"/>
    <cellStyle name="Normal 5 2 3 2 2 3 6" xfId="10360" xr:uid="{00000000-0005-0000-0000-0000872A0000}"/>
    <cellStyle name="Normal 5 2 3 2 2 3 6 2" xfId="30075" xr:uid="{00000000-0005-0000-0000-0000882A0000}"/>
    <cellStyle name="Normal 5 2 3 2 2 3 7" xfId="20218" xr:uid="{00000000-0005-0000-0000-0000892A0000}"/>
    <cellStyle name="Normal 5 2 3 2 2 4" xfId="799" xr:uid="{00000000-0005-0000-0000-00008A2A0000}"/>
    <cellStyle name="Normal 5 2 3 2 2 4 2" xfId="2035" xr:uid="{00000000-0005-0000-0000-00008B2A0000}"/>
    <cellStyle name="Normal 5 2 3 2 2 4 2 2" xfId="4502" xr:uid="{00000000-0005-0000-0000-00008C2A0000}"/>
    <cellStyle name="Normal 5 2 3 2 2 4 2 2 2" xfId="9434" xr:uid="{00000000-0005-0000-0000-00008D2A0000}"/>
    <cellStyle name="Normal 5 2 3 2 2 4 2 2 2 2" xfId="19294" xr:uid="{00000000-0005-0000-0000-00008E2A0000}"/>
    <cellStyle name="Normal 5 2 3 2 2 4 2 2 2 2 2" xfId="39009" xr:uid="{00000000-0005-0000-0000-00008F2A0000}"/>
    <cellStyle name="Normal 5 2 3 2 2 4 2 2 2 3" xfId="29152" xr:uid="{00000000-0005-0000-0000-0000902A0000}"/>
    <cellStyle name="Normal 5 2 3 2 2 4 2 2 3" xfId="14366" xr:uid="{00000000-0005-0000-0000-0000912A0000}"/>
    <cellStyle name="Normal 5 2 3 2 2 4 2 2 3 2" xfId="34081" xr:uid="{00000000-0005-0000-0000-0000922A0000}"/>
    <cellStyle name="Normal 5 2 3 2 2 4 2 2 4" xfId="24224" xr:uid="{00000000-0005-0000-0000-0000932A0000}"/>
    <cellStyle name="Normal 5 2 3 2 2 4 2 3" xfId="6970" xr:uid="{00000000-0005-0000-0000-0000942A0000}"/>
    <cellStyle name="Normal 5 2 3 2 2 4 2 3 2" xfId="16830" xr:uid="{00000000-0005-0000-0000-0000952A0000}"/>
    <cellStyle name="Normal 5 2 3 2 2 4 2 3 2 2" xfId="36545" xr:uid="{00000000-0005-0000-0000-0000962A0000}"/>
    <cellStyle name="Normal 5 2 3 2 2 4 2 3 3" xfId="26688" xr:uid="{00000000-0005-0000-0000-0000972A0000}"/>
    <cellStyle name="Normal 5 2 3 2 2 4 2 4" xfId="11902" xr:uid="{00000000-0005-0000-0000-0000982A0000}"/>
    <cellStyle name="Normal 5 2 3 2 2 4 2 4 2" xfId="31617" xr:uid="{00000000-0005-0000-0000-0000992A0000}"/>
    <cellStyle name="Normal 5 2 3 2 2 4 2 5" xfId="21760" xr:uid="{00000000-0005-0000-0000-00009A2A0000}"/>
    <cellStyle name="Normal 5 2 3 2 2 4 3" xfId="3270" xr:uid="{00000000-0005-0000-0000-00009B2A0000}"/>
    <cellStyle name="Normal 5 2 3 2 2 4 3 2" xfId="8202" xr:uid="{00000000-0005-0000-0000-00009C2A0000}"/>
    <cellStyle name="Normal 5 2 3 2 2 4 3 2 2" xfId="18062" xr:uid="{00000000-0005-0000-0000-00009D2A0000}"/>
    <cellStyle name="Normal 5 2 3 2 2 4 3 2 2 2" xfId="37777" xr:uid="{00000000-0005-0000-0000-00009E2A0000}"/>
    <cellStyle name="Normal 5 2 3 2 2 4 3 2 3" xfId="27920" xr:uid="{00000000-0005-0000-0000-00009F2A0000}"/>
    <cellStyle name="Normal 5 2 3 2 2 4 3 3" xfId="13134" xr:uid="{00000000-0005-0000-0000-0000A02A0000}"/>
    <cellStyle name="Normal 5 2 3 2 2 4 3 3 2" xfId="32849" xr:uid="{00000000-0005-0000-0000-0000A12A0000}"/>
    <cellStyle name="Normal 5 2 3 2 2 4 3 4" xfId="22992" xr:uid="{00000000-0005-0000-0000-0000A22A0000}"/>
    <cellStyle name="Normal 5 2 3 2 2 4 4" xfId="5738" xr:uid="{00000000-0005-0000-0000-0000A32A0000}"/>
    <cellStyle name="Normal 5 2 3 2 2 4 4 2" xfId="15598" xr:uid="{00000000-0005-0000-0000-0000A42A0000}"/>
    <cellStyle name="Normal 5 2 3 2 2 4 4 2 2" xfId="35313" xr:uid="{00000000-0005-0000-0000-0000A52A0000}"/>
    <cellStyle name="Normal 5 2 3 2 2 4 4 3" xfId="25456" xr:uid="{00000000-0005-0000-0000-0000A62A0000}"/>
    <cellStyle name="Normal 5 2 3 2 2 4 5" xfId="10670" xr:uid="{00000000-0005-0000-0000-0000A72A0000}"/>
    <cellStyle name="Normal 5 2 3 2 2 4 5 2" xfId="30385" xr:uid="{00000000-0005-0000-0000-0000A82A0000}"/>
    <cellStyle name="Normal 5 2 3 2 2 4 6" xfId="20528" xr:uid="{00000000-0005-0000-0000-0000A92A0000}"/>
    <cellStyle name="Normal 5 2 3 2 2 5" xfId="1419" xr:uid="{00000000-0005-0000-0000-0000AA2A0000}"/>
    <cellStyle name="Normal 5 2 3 2 2 5 2" xfId="3886" xr:uid="{00000000-0005-0000-0000-0000AB2A0000}"/>
    <cellStyle name="Normal 5 2 3 2 2 5 2 2" xfId="8818" xr:uid="{00000000-0005-0000-0000-0000AC2A0000}"/>
    <cellStyle name="Normal 5 2 3 2 2 5 2 2 2" xfId="18678" xr:uid="{00000000-0005-0000-0000-0000AD2A0000}"/>
    <cellStyle name="Normal 5 2 3 2 2 5 2 2 2 2" xfId="38393" xr:uid="{00000000-0005-0000-0000-0000AE2A0000}"/>
    <cellStyle name="Normal 5 2 3 2 2 5 2 2 3" xfId="28536" xr:uid="{00000000-0005-0000-0000-0000AF2A0000}"/>
    <cellStyle name="Normal 5 2 3 2 2 5 2 3" xfId="13750" xr:uid="{00000000-0005-0000-0000-0000B02A0000}"/>
    <cellStyle name="Normal 5 2 3 2 2 5 2 3 2" xfId="33465" xr:uid="{00000000-0005-0000-0000-0000B12A0000}"/>
    <cellStyle name="Normal 5 2 3 2 2 5 2 4" xfId="23608" xr:uid="{00000000-0005-0000-0000-0000B22A0000}"/>
    <cellStyle name="Normal 5 2 3 2 2 5 3" xfId="6354" xr:uid="{00000000-0005-0000-0000-0000B32A0000}"/>
    <cellStyle name="Normal 5 2 3 2 2 5 3 2" xfId="16214" xr:uid="{00000000-0005-0000-0000-0000B42A0000}"/>
    <cellStyle name="Normal 5 2 3 2 2 5 3 2 2" xfId="35929" xr:uid="{00000000-0005-0000-0000-0000B52A0000}"/>
    <cellStyle name="Normal 5 2 3 2 2 5 3 3" xfId="26072" xr:uid="{00000000-0005-0000-0000-0000B62A0000}"/>
    <cellStyle name="Normal 5 2 3 2 2 5 4" xfId="11286" xr:uid="{00000000-0005-0000-0000-0000B72A0000}"/>
    <cellStyle name="Normal 5 2 3 2 2 5 4 2" xfId="31001" xr:uid="{00000000-0005-0000-0000-0000B82A0000}"/>
    <cellStyle name="Normal 5 2 3 2 2 5 5" xfId="21144" xr:uid="{00000000-0005-0000-0000-0000B92A0000}"/>
    <cellStyle name="Normal 5 2 3 2 2 6" xfId="2654" xr:uid="{00000000-0005-0000-0000-0000BA2A0000}"/>
    <cellStyle name="Normal 5 2 3 2 2 6 2" xfId="7586" xr:uid="{00000000-0005-0000-0000-0000BB2A0000}"/>
    <cellStyle name="Normal 5 2 3 2 2 6 2 2" xfId="17446" xr:uid="{00000000-0005-0000-0000-0000BC2A0000}"/>
    <cellStyle name="Normal 5 2 3 2 2 6 2 2 2" xfId="37161" xr:uid="{00000000-0005-0000-0000-0000BD2A0000}"/>
    <cellStyle name="Normal 5 2 3 2 2 6 2 3" xfId="27304" xr:uid="{00000000-0005-0000-0000-0000BE2A0000}"/>
    <cellStyle name="Normal 5 2 3 2 2 6 3" xfId="12518" xr:uid="{00000000-0005-0000-0000-0000BF2A0000}"/>
    <cellStyle name="Normal 5 2 3 2 2 6 3 2" xfId="32233" xr:uid="{00000000-0005-0000-0000-0000C02A0000}"/>
    <cellStyle name="Normal 5 2 3 2 2 6 4" xfId="22376" xr:uid="{00000000-0005-0000-0000-0000C12A0000}"/>
    <cellStyle name="Normal 5 2 3 2 2 7" xfId="5122" xr:uid="{00000000-0005-0000-0000-0000C22A0000}"/>
    <cellStyle name="Normal 5 2 3 2 2 7 2" xfId="14982" xr:uid="{00000000-0005-0000-0000-0000C32A0000}"/>
    <cellStyle name="Normal 5 2 3 2 2 7 2 2" xfId="34697" xr:uid="{00000000-0005-0000-0000-0000C42A0000}"/>
    <cellStyle name="Normal 5 2 3 2 2 7 3" xfId="24840" xr:uid="{00000000-0005-0000-0000-0000C52A0000}"/>
    <cellStyle name="Normal 5 2 3 2 2 8" xfId="10054" xr:uid="{00000000-0005-0000-0000-0000C62A0000}"/>
    <cellStyle name="Normal 5 2 3 2 2 8 2" xfId="29769" xr:uid="{00000000-0005-0000-0000-0000C72A0000}"/>
    <cellStyle name="Normal 5 2 3 2 2 9" xfId="19912" xr:uid="{00000000-0005-0000-0000-0000C82A0000}"/>
    <cellStyle name="Normal 5 2 3 2 3" xfId="248" xr:uid="{00000000-0005-0000-0000-0000C92A0000}"/>
    <cellStyle name="Normal 5 2 3 2 3 2" xfId="562" xr:uid="{00000000-0005-0000-0000-0000CA2A0000}"/>
    <cellStyle name="Normal 5 2 3 2 3 2 2" xfId="1182" xr:uid="{00000000-0005-0000-0000-0000CB2A0000}"/>
    <cellStyle name="Normal 5 2 3 2 3 2 2 2" xfId="2417" xr:uid="{00000000-0005-0000-0000-0000CC2A0000}"/>
    <cellStyle name="Normal 5 2 3 2 3 2 2 2 2" xfId="4884" xr:uid="{00000000-0005-0000-0000-0000CD2A0000}"/>
    <cellStyle name="Normal 5 2 3 2 3 2 2 2 2 2" xfId="9816" xr:uid="{00000000-0005-0000-0000-0000CE2A0000}"/>
    <cellStyle name="Normal 5 2 3 2 3 2 2 2 2 2 2" xfId="19676" xr:uid="{00000000-0005-0000-0000-0000CF2A0000}"/>
    <cellStyle name="Normal 5 2 3 2 3 2 2 2 2 2 2 2" xfId="39391" xr:uid="{00000000-0005-0000-0000-0000D02A0000}"/>
    <cellStyle name="Normal 5 2 3 2 3 2 2 2 2 2 3" xfId="29534" xr:uid="{00000000-0005-0000-0000-0000D12A0000}"/>
    <cellStyle name="Normal 5 2 3 2 3 2 2 2 2 3" xfId="14748" xr:uid="{00000000-0005-0000-0000-0000D22A0000}"/>
    <cellStyle name="Normal 5 2 3 2 3 2 2 2 2 3 2" xfId="34463" xr:uid="{00000000-0005-0000-0000-0000D32A0000}"/>
    <cellStyle name="Normal 5 2 3 2 3 2 2 2 2 4" xfId="24606" xr:uid="{00000000-0005-0000-0000-0000D42A0000}"/>
    <cellStyle name="Normal 5 2 3 2 3 2 2 2 3" xfId="7352" xr:uid="{00000000-0005-0000-0000-0000D52A0000}"/>
    <cellStyle name="Normal 5 2 3 2 3 2 2 2 3 2" xfId="17212" xr:uid="{00000000-0005-0000-0000-0000D62A0000}"/>
    <cellStyle name="Normal 5 2 3 2 3 2 2 2 3 2 2" xfId="36927" xr:uid="{00000000-0005-0000-0000-0000D72A0000}"/>
    <cellStyle name="Normal 5 2 3 2 3 2 2 2 3 3" xfId="27070" xr:uid="{00000000-0005-0000-0000-0000D82A0000}"/>
    <cellStyle name="Normal 5 2 3 2 3 2 2 2 4" xfId="12284" xr:uid="{00000000-0005-0000-0000-0000D92A0000}"/>
    <cellStyle name="Normal 5 2 3 2 3 2 2 2 4 2" xfId="31999" xr:uid="{00000000-0005-0000-0000-0000DA2A0000}"/>
    <cellStyle name="Normal 5 2 3 2 3 2 2 2 5" xfId="22142" xr:uid="{00000000-0005-0000-0000-0000DB2A0000}"/>
    <cellStyle name="Normal 5 2 3 2 3 2 2 3" xfId="3652" xr:uid="{00000000-0005-0000-0000-0000DC2A0000}"/>
    <cellStyle name="Normal 5 2 3 2 3 2 2 3 2" xfId="8584" xr:uid="{00000000-0005-0000-0000-0000DD2A0000}"/>
    <cellStyle name="Normal 5 2 3 2 3 2 2 3 2 2" xfId="18444" xr:uid="{00000000-0005-0000-0000-0000DE2A0000}"/>
    <cellStyle name="Normal 5 2 3 2 3 2 2 3 2 2 2" xfId="38159" xr:uid="{00000000-0005-0000-0000-0000DF2A0000}"/>
    <cellStyle name="Normal 5 2 3 2 3 2 2 3 2 3" xfId="28302" xr:uid="{00000000-0005-0000-0000-0000E02A0000}"/>
    <cellStyle name="Normal 5 2 3 2 3 2 2 3 3" xfId="13516" xr:uid="{00000000-0005-0000-0000-0000E12A0000}"/>
    <cellStyle name="Normal 5 2 3 2 3 2 2 3 3 2" xfId="33231" xr:uid="{00000000-0005-0000-0000-0000E22A0000}"/>
    <cellStyle name="Normal 5 2 3 2 3 2 2 3 4" xfId="23374" xr:uid="{00000000-0005-0000-0000-0000E32A0000}"/>
    <cellStyle name="Normal 5 2 3 2 3 2 2 4" xfId="6120" xr:uid="{00000000-0005-0000-0000-0000E42A0000}"/>
    <cellStyle name="Normal 5 2 3 2 3 2 2 4 2" xfId="15980" xr:uid="{00000000-0005-0000-0000-0000E52A0000}"/>
    <cellStyle name="Normal 5 2 3 2 3 2 2 4 2 2" xfId="35695" xr:uid="{00000000-0005-0000-0000-0000E62A0000}"/>
    <cellStyle name="Normal 5 2 3 2 3 2 2 4 3" xfId="25838" xr:uid="{00000000-0005-0000-0000-0000E72A0000}"/>
    <cellStyle name="Normal 5 2 3 2 3 2 2 5" xfId="11052" xr:uid="{00000000-0005-0000-0000-0000E82A0000}"/>
    <cellStyle name="Normal 5 2 3 2 3 2 2 5 2" xfId="30767" xr:uid="{00000000-0005-0000-0000-0000E92A0000}"/>
    <cellStyle name="Normal 5 2 3 2 3 2 2 6" xfId="20910" xr:uid="{00000000-0005-0000-0000-0000EA2A0000}"/>
    <cellStyle name="Normal 5 2 3 2 3 2 3" xfId="1801" xr:uid="{00000000-0005-0000-0000-0000EB2A0000}"/>
    <cellStyle name="Normal 5 2 3 2 3 2 3 2" xfId="4268" xr:uid="{00000000-0005-0000-0000-0000EC2A0000}"/>
    <cellStyle name="Normal 5 2 3 2 3 2 3 2 2" xfId="9200" xr:uid="{00000000-0005-0000-0000-0000ED2A0000}"/>
    <cellStyle name="Normal 5 2 3 2 3 2 3 2 2 2" xfId="19060" xr:uid="{00000000-0005-0000-0000-0000EE2A0000}"/>
    <cellStyle name="Normal 5 2 3 2 3 2 3 2 2 2 2" xfId="38775" xr:uid="{00000000-0005-0000-0000-0000EF2A0000}"/>
    <cellStyle name="Normal 5 2 3 2 3 2 3 2 2 3" xfId="28918" xr:uid="{00000000-0005-0000-0000-0000F02A0000}"/>
    <cellStyle name="Normal 5 2 3 2 3 2 3 2 3" xfId="14132" xr:uid="{00000000-0005-0000-0000-0000F12A0000}"/>
    <cellStyle name="Normal 5 2 3 2 3 2 3 2 3 2" xfId="33847" xr:uid="{00000000-0005-0000-0000-0000F22A0000}"/>
    <cellStyle name="Normal 5 2 3 2 3 2 3 2 4" xfId="23990" xr:uid="{00000000-0005-0000-0000-0000F32A0000}"/>
    <cellStyle name="Normal 5 2 3 2 3 2 3 3" xfId="6736" xr:uid="{00000000-0005-0000-0000-0000F42A0000}"/>
    <cellStyle name="Normal 5 2 3 2 3 2 3 3 2" xfId="16596" xr:uid="{00000000-0005-0000-0000-0000F52A0000}"/>
    <cellStyle name="Normal 5 2 3 2 3 2 3 3 2 2" xfId="36311" xr:uid="{00000000-0005-0000-0000-0000F62A0000}"/>
    <cellStyle name="Normal 5 2 3 2 3 2 3 3 3" xfId="26454" xr:uid="{00000000-0005-0000-0000-0000F72A0000}"/>
    <cellStyle name="Normal 5 2 3 2 3 2 3 4" xfId="11668" xr:uid="{00000000-0005-0000-0000-0000F82A0000}"/>
    <cellStyle name="Normal 5 2 3 2 3 2 3 4 2" xfId="31383" xr:uid="{00000000-0005-0000-0000-0000F92A0000}"/>
    <cellStyle name="Normal 5 2 3 2 3 2 3 5" xfId="21526" xr:uid="{00000000-0005-0000-0000-0000FA2A0000}"/>
    <cellStyle name="Normal 5 2 3 2 3 2 4" xfId="3036" xr:uid="{00000000-0005-0000-0000-0000FB2A0000}"/>
    <cellStyle name="Normal 5 2 3 2 3 2 4 2" xfId="7968" xr:uid="{00000000-0005-0000-0000-0000FC2A0000}"/>
    <cellStyle name="Normal 5 2 3 2 3 2 4 2 2" xfId="17828" xr:uid="{00000000-0005-0000-0000-0000FD2A0000}"/>
    <cellStyle name="Normal 5 2 3 2 3 2 4 2 2 2" xfId="37543" xr:uid="{00000000-0005-0000-0000-0000FE2A0000}"/>
    <cellStyle name="Normal 5 2 3 2 3 2 4 2 3" xfId="27686" xr:uid="{00000000-0005-0000-0000-0000FF2A0000}"/>
    <cellStyle name="Normal 5 2 3 2 3 2 4 3" xfId="12900" xr:uid="{00000000-0005-0000-0000-0000002B0000}"/>
    <cellStyle name="Normal 5 2 3 2 3 2 4 3 2" xfId="32615" xr:uid="{00000000-0005-0000-0000-0000012B0000}"/>
    <cellStyle name="Normal 5 2 3 2 3 2 4 4" xfId="22758" xr:uid="{00000000-0005-0000-0000-0000022B0000}"/>
    <cellStyle name="Normal 5 2 3 2 3 2 5" xfId="5504" xr:uid="{00000000-0005-0000-0000-0000032B0000}"/>
    <cellStyle name="Normal 5 2 3 2 3 2 5 2" xfId="15364" xr:uid="{00000000-0005-0000-0000-0000042B0000}"/>
    <cellStyle name="Normal 5 2 3 2 3 2 5 2 2" xfId="35079" xr:uid="{00000000-0005-0000-0000-0000052B0000}"/>
    <cellStyle name="Normal 5 2 3 2 3 2 5 3" xfId="25222" xr:uid="{00000000-0005-0000-0000-0000062B0000}"/>
    <cellStyle name="Normal 5 2 3 2 3 2 6" xfId="10436" xr:uid="{00000000-0005-0000-0000-0000072B0000}"/>
    <cellStyle name="Normal 5 2 3 2 3 2 6 2" xfId="30151" xr:uid="{00000000-0005-0000-0000-0000082B0000}"/>
    <cellStyle name="Normal 5 2 3 2 3 2 7" xfId="20294" xr:uid="{00000000-0005-0000-0000-0000092B0000}"/>
    <cellStyle name="Normal 5 2 3 2 3 3" xfId="875" xr:uid="{00000000-0005-0000-0000-00000A2B0000}"/>
    <cellStyle name="Normal 5 2 3 2 3 3 2" xfId="2111" xr:uid="{00000000-0005-0000-0000-00000B2B0000}"/>
    <cellStyle name="Normal 5 2 3 2 3 3 2 2" xfId="4578" xr:uid="{00000000-0005-0000-0000-00000C2B0000}"/>
    <cellStyle name="Normal 5 2 3 2 3 3 2 2 2" xfId="9510" xr:uid="{00000000-0005-0000-0000-00000D2B0000}"/>
    <cellStyle name="Normal 5 2 3 2 3 3 2 2 2 2" xfId="19370" xr:uid="{00000000-0005-0000-0000-00000E2B0000}"/>
    <cellStyle name="Normal 5 2 3 2 3 3 2 2 2 2 2" xfId="39085" xr:uid="{00000000-0005-0000-0000-00000F2B0000}"/>
    <cellStyle name="Normal 5 2 3 2 3 3 2 2 2 3" xfId="29228" xr:uid="{00000000-0005-0000-0000-0000102B0000}"/>
    <cellStyle name="Normal 5 2 3 2 3 3 2 2 3" xfId="14442" xr:uid="{00000000-0005-0000-0000-0000112B0000}"/>
    <cellStyle name="Normal 5 2 3 2 3 3 2 2 3 2" xfId="34157" xr:uid="{00000000-0005-0000-0000-0000122B0000}"/>
    <cellStyle name="Normal 5 2 3 2 3 3 2 2 4" xfId="24300" xr:uid="{00000000-0005-0000-0000-0000132B0000}"/>
    <cellStyle name="Normal 5 2 3 2 3 3 2 3" xfId="7046" xr:uid="{00000000-0005-0000-0000-0000142B0000}"/>
    <cellStyle name="Normal 5 2 3 2 3 3 2 3 2" xfId="16906" xr:uid="{00000000-0005-0000-0000-0000152B0000}"/>
    <cellStyle name="Normal 5 2 3 2 3 3 2 3 2 2" xfId="36621" xr:uid="{00000000-0005-0000-0000-0000162B0000}"/>
    <cellStyle name="Normal 5 2 3 2 3 3 2 3 3" xfId="26764" xr:uid="{00000000-0005-0000-0000-0000172B0000}"/>
    <cellStyle name="Normal 5 2 3 2 3 3 2 4" xfId="11978" xr:uid="{00000000-0005-0000-0000-0000182B0000}"/>
    <cellStyle name="Normal 5 2 3 2 3 3 2 4 2" xfId="31693" xr:uid="{00000000-0005-0000-0000-0000192B0000}"/>
    <cellStyle name="Normal 5 2 3 2 3 3 2 5" xfId="21836" xr:uid="{00000000-0005-0000-0000-00001A2B0000}"/>
    <cellStyle name="Normal 5 2 3 2 3 3 3" xfId="3346" xr:uid="{00000000-0005-0000-0000-00001B2B0000}"/>
    <cellStyle name="Normal 5 2 3 2 3 3 3 2" xfId="8278" xr:uid="{00000000-0005-0000-0000-00001C2B0000}"/>
    <cellStyle name="Normal 5 2 3 2 3 3 3 2 2" xfId="18138" xr:uid="{00000000-0005-0000-0000-00001D2B0000}"/>
    <cellStyle name="Normal 5 2 3 2 3 3 3 2 2 2" xfId="37853" xr:uid="{00000000-0005-0000-0000-00001E2B0000}"/>
    <cellStyle name="Normal 5 2 3 2 3 3 3 2 3" xfId="27996" xr:uid="{00000000-0005-0000-0000-00001F2B0000}"/>
    <cellStyle name="Normal 5 2 3 2 3 3 3 3" xfId="13210" xr:uid="{00000000-0005-0000-0000-0000202B0000}"/>
    <cellStyle name="Normal 5 2 3 2 3 3 3 3 2" xfId="32925" xr:uid="{00000000-0005-0000-0000-0000212B0000}"/>
    <cellStyle name="Normal 5 2 3 2 3 3 3 4" xfId="23068" xr:uid="{00000000-0005-0000-0000-0000222B0000}"/>
    <cellStyle name="Normal 5 2 3 2 3 3 4" xfId="5814" xr:uid="{00000000-0005-0000-0000-0000232B0000}"/>
    <cellStyle name="Normal 5 2 3 2 3 3 4 2" xfId="15674" xr:uid="{00000000-0005-0000-0000-0000242B0000}"/>
    <cellStyle name="Normal 5 2 3 2 3 3 4 2 2" xfId="35389" xr:uid="{00000000-0005-0000-0000-0000252B0000}"/>
    <cellStyle name="Normal 5 2 3 2 3 3 4 3" xfId="25532" xr:uid="{00000000-0005-0000-0000-0000262B0000}"/>
    <cellStyle name="Normal 5 2 3 2 3 3 5" xfId="10746" xr:uid="{00000000-0005-0000-0000-0000272B0000}"/>
    <cellStyle name="Normal 5 2 3 2 3 3 5 2" xfId="30461" xr:uid="{00000000-0005-0000-0000-0000282B0000}"/>
    <cellStyle name="Normal 5 2 3 2 3 3 6" xfId="20604" xr:uid="{00000000-0005-0000-0000-0000292B0000}"/>
    <cellStyle name="Normal 5 2 3 2 3 4" xfId="1495" xr:uid="{00000000-0005-0000-0000-00002A2B0000}"/>
    <cellStyle name="Normal 5 2 3 2 3 4 2" xfId="3962" xr:uid="{00000000-0005-0000-0000-00002B2B0000}"/>
    <cellStyle name="Normal 5 2 3 2 3 4 2 2" xfId="8894" xr:uid="{00000000-0005-0000-0000-00002C2B0000}"/>
    <cellStyle name="Normal 5 2 3 2 3 4 2 2 2" xfId="18754" xr:uid="{00000000-0005-0000-0000-00002D2B0000}"/>
    <cellStyle name="Normal 5 2 3 2 3 4 2 2 2 2" xfId="38469" xr:uid="{00000000-0005-0000-0000-00002E2B0000}"/>
    <cellStyle name="Normal 5 2 3 2 3 4 2 2 3" xfId="28612" xr:uid="{00000000-0005-0000-0000-00002F2B0000}"/>
    <cellStyle name="Normal 5 2 3 2 3 4 2 3" xfId="13826" xr:uid="{00000000-0005-0000-0000-0000302B0000}"/>
    <cellStyle name="Normal 5 2 3 2 3 4 2 3 2" xfId="33541" xr:uid="{00000000-0005-0000-0000-0000312B0000}"/>
    <cellStyle name="Normal 5 2 3 2 3 4 2 4" xfId="23684" xr:uid="{00000000-0005-0000-0000-0000322B0000}"/>
    <cellStyle name="Normal 5 2 3 2 3 4 3" xfId="6430" xr:uid="{00000000-0005-0000-0000-0000332B0000}"/>
    <cellStyle name="Normal 5 2 3 2 3 4 3 2" xfId="16290" xr:uid="{00000000-0005-0000-0000-0000342B0000}"/>
    <cellStyle name="Normal 5 2 3 2 3 4 3 2 2" xfId="36005" xr:uid="{00000000-0005-0000-0000-0000352B0000}"/>
    <cellStyle name="Normal 5 2 3 2 3 4 3 3" xfId="26148" xr:uid="{00000000-0005-0000-0000-0000362B0000}"/>
    <cellStyle name="Normal 5 2 3 2 3 4 4" xfId="11362" xr:uid="{00000000-0005-0000-0000-0000372B0000}"/>
    <cellStyle name="Normal 5 2 3 2 3 4 4 2" xfId="31077" xr:uid="{00000000-0005-0000-0000-0000382B0000}"/>
    <cellStyle name="Normal 5 2 3 2 3 4 5" xfId="21220" xr:uid="{00000000-0005-0000-0000-0000392B0000}"/>
    <cellStyle name="Normal 5 2 3 2 3 5" xfId="2730" xr:uid="{00000000-0005-0000-0000-00003A2B0000}"/>
    <cellStyle name="Normal 5 2 3 2 3 5 2" xfId="7662" xr:uid="{00000000-0005-0000-0000-00003B2B0000}"/>
    <cellStyle name="Normal 5 2 3 2 3 5 2 2" xfId="17522" xr:uid="{00000000-0005-0000-0000-00003C2B0000}"/>
    <cellStyle name="Normal 5 2 3 2 3 5 2 2 2" xfId="37237" xr:uid="{00000000-0005-0000-0000-00003D2B0000}"/>
    <cellStyle name="Normal 5 2 3 2 3 5 2 3" xfId="27380" xr:uid="{00000000-0005-0000-0000-00003E2B0000}"/>
    <cellStyle name="Normal 5 2 3 2 3 5 3" xfId="12594" xr:uid="{00000000-0005-0000-0000-00003F2B0000}"/>
    <cellStyle name="Normal 5 2 3 2 3 5 3 2" xfId="32309" xr:uid="{00000000-0005-0000-0000-0000402B0000}"/>
    <cellStyle name="Normal 5 2 3 2 3 5 4" xfId="22452" xr:uid="{00000000-0005-0000-0000-0000412B0000}"/>
    <cellStyle name="Normal 5 2 3 2 3 6" xfId="5198" xr:uid="{00000000-0005-0000-0000-0000422B0000}"/>
    <cellStyle name="Normal 5 2 3 2 3 6 2" xfId="15058" xr:uid="{00000000-0005-0000-0000-0000432B0000}"/>
    <cellStyle name="Normal 5 2 3 2 3 6 2 2" xfId="34773" xr:uid="{00000000-0005-0000-0000-0000442B0000}"/>
    <cellStyle name="Normal 5 2 3 2 3 6 3" xfId="24916" xr:uid="{00000000-0005-0000-0000-0000452B0000}"/>
    <cellStyle name="Normal 5 2 3 2 3 7" xfId="10130" xr:uid="{00000000-0005-0000-0000-0000462B0000}"/>
    <cellStyle name="Normal 5 2 3 2 3 7 2" xfId="29845" xr:uid="{00000000-0005-0000-0000-0000472B0000}"/>
    <cellStyle name="Normal 5 2 3 2 3 8" xfId="19988" xr:uid="{00000000-0005-0000-0000-0000482B0000}"/>
    <cellStyle name="Normal 5 2 3 2 4" xfId="410" xr:uid="{00000000-0005-0000-0000-0000492B0000}"/>
    <cellStyle name="Normal 5 2 3 2 4 2" xfId="1030" xr:uid="{00000000-0005-0000-0000-00004A2B0000}"/>
    <cellStyle name="Normal 5 2 3 2 4 2 2" xfId="2265" xr:uid="{00000000-0005-0000-0000-00004B2B0000}"/>
    <cellStyle name="Normal 5 2 3 2 4 2 2 2" xfId="4732" xr:uid="{00000000-0005-0000-0000-00004C2B0000}"/>
    <cellStyle name="Normal 5 2 3 2 4 2 2 2 2" xfId="9664" xr:uid="{00000000-0005-0000-0000-00004D2B0000}"/>
    <cellStyle name="Normal 5 2 3 2 4 2 2 2 2 2" xfId="19524" xr:uid="{00000000-0005-0000-0000-00004E2B0000}"/>
    <cellStyle name="Normal 5 2 3 2 4 2 2 2 2 2 2" xfId="39239" xr:uid="{00000000-0005-0000-0000-00004F2B0000}"/>
    <cellStyle name="Normal 5 2 3 2 4 2 2 2 2 3" xfId="29382" xr:uid="{00000000-0005-0000-0000-0000502B0000}"/>
    <cellStyle name="Normal 5 2 3 2 4 2 2 2 3" xfId="14596" xr:uid="{00000000-0005-0000-0000-0000512B0000}"/>
    <cellStyle name="Normal 5 2 3 2 4 2 2 2 3 2" xfId="34311" xr:uid="{00000000-0005-0000-0000-0000522B0000}"/>
    <cellStyle name="Normal 5 2 3 2 4 2 2 2 4" xfId="24454" xr:uid="{00000000-0005-0000-0000-0000532B0000}"/>
    <cellStyle name="Normal 5 2 3 2 4 2 2 3" xfId="7200" xr:uid="{00000000-0005-0000-0000-0000542B0000}"/>
    <cellStyle name="Normal 5 2 3 2 4 2 2 3 2" xfId="17060" xr:uid="{00000000-0005-0000-0000-0000552B0000}"/>
    <cellStyle name="Normal 5 2 3 2 4 2 2 3 2 2" xfId="36775" xr:uid="{00000000-0005-0000-0000-0000562B0000}"/>
    <cellStyle name="Normal 5 2 3 2 4 2 2 3 3" xfId="26918" xr:uid="{00000000-0005-0000-0000-0000572B0000}"/>
    <cellStyle name="Normal 5 2 3 2 4 2 2 4" xfId="12132" xr:uid="{00000000-0005-0000-0000-0000582B0000}"/>
    <cellStyle name="Normal 5 2 3 2 4 2 2 4 2" xfId="31847" xr:uid="{00000000-0005-0000-0000-0000592B0000}"/>
    <cellStyle name="Normal 5 2 3 2 4 2 2 5" xfId="21990" xr:uid="{00000000-0005-0000-0000-00005A2B0000}"/>
    <cellStyle name="Normal 5 2 3 2 4 2 3" xfId="3500" xr:uid="{00000000-0005-0000-0000-00005B2B0000}"/>
    <cellStyle name="Normal 5 2 3 2 4 2 3 2" xfId="8432" xr:uid="{00000000-0005-0000-0000-00005C2B0000}"/>
    <cellStyle name="Normal 5 2 3 2 4 2 3 2 2" xfId="18292" xr:uid="{00000000-0005-0000-0000-00005D2B0000}"/>
    <cellStyle name="Normal 5 2 3 2 4 2 3 2 2 2" xfId="38007" xr:uid="{00000000-0005-0000-0000-00005E2B0000}"/>
    <cellStyle name="Normal 5 2 3 2 4 2 3 2 3" xfId="28150" xr:uid="{00000000-0005-0000-0000-00005F2B0000}"/>
    <cellStyle name="Normal 5 2 3 2 4 2 3 3" xfId="13364" xr:uid="{00000000-0005-0000-0000-0000602B0000}"/>
    <cellStyle name="Normal 5 2 3 2 4 2 3 3 2" xfId="33079" xr:uid="{00000000-0005-0000-0000-0000612B0000}"/>
    <cellStyle name="Normal 5 2 3 2 4 2 3 4" xfId="23222" xr:uid="{00000000-0005-0000-0000-0000622B0000}"/>
    <cellStyle name="Normal 5 2 3 2 4 2 4" xfId="5968" xr:uid="{00000000-0005-0000-0000-0000632B0000}"/>
    <cellStyle name="Normal 5 2 3 2 4 2 4 2" xfId="15828" xr:uid="{00000000-0005-0000-0000-0000642B0000}"/>
    <cellStyle name="Normal 5 2 3 2 4 2 4 2 2" xfId="35543" xr:uid="{00000000-0005-0000-0000-0000652B0000}"/>
    <cellStyle name="Normal 5 2 3 2 4 2 4 3" xfId="25686" xr:uid="{00000000-0005-0000-0000-0000662B0000}"/>
    <cellStyle name="Normal 5 2 3 2 4 2 5" xfId="10900" xr:uid="{00000000-0005-0000-0000-0000672B0000}"/>
    <cellStyle name="Normal 5 2 3 2 4 2 5 2" xfId="30615" xr:uid="{00000000-0005-0000-0000-0000682B0000}"/>
    <cellStyle name="Normal 5 2 3 2 4 2 6" xfId="20758" xr:uid="{00000000-0005-0000-0000-0000692B0000}"/>
    <cellStyle name="Normal 5 2 3 2 4 3" xfId="1649" xr:uid="{00000000-0005-0000-0000-00006A2B0000}"/>
    <cellStyle name="Normal 5 2 3 2 4 3 2" xfId="4116" xr:uid="{00000000-0005-0000-0000-00006B2B0000}"/>
    <cellStyle name="Normal 5 2 3 2 4 3 2 2" xfId="9048" xr:uid="{00000000-0005-0000-0000-00006C2B0000}"/>
    <cellStyle name="Normal 5 2 3 2 4 3 2 2 2" xfId="18908" xr:uid="{00000000-0005-0000-0000-00006D2B0000}"/>
    <cellStyle name="Normal 5 2 3 2 4 3 2 2 2 2" xfId="38623" xr:uid="{00000000-0005-0000-0000-00006E2B0000}"/>
    <cellStyle name="Normal 5 2 3 2 4 3 2 2 3" xfId="28766" xr:uid="{00000000-0005-0000-0000-00006F2B0000}"/>
    <cellStyle name="Normal 5 2 3 2 4 3 2 3" xfId="13980" xr:uid="{00000000-0005-0000-0000-0000702B0000}"/>
    <cellStyle name="Normal 5 2 3 2 4 3 2 3 2" xfId="33695" xr:uid="{00000000-0005-0000-0000-0000712B0000}"/>
    <cellStyle name="Normal 5 2 3 2 4 3 2 4" xfId="23838" xr:uid="{00000000-0005-0000-0000-0000722B0000}"/>
    <cellStyle name="Normal 5 2 3 2 4 3 3" xfId="6584" xr:uid="{00000000-0005-0000-0000-0000732B0000}"/>
    <cellStyle name="Normal 5 2 3 2 4 3 3 2" xfId="16444" xr:uid="{00000000-0005-0000-0000-0000742B0000}"/>
    <cellStyle name="Normal 5 2 3 2 4 3 3 2 2" xfId="36159" xr:uid="{00000000-0005-0000-0000-0000752B0000}"/>
    <cellStyle name="Normal 5 2 3 2 4 3 3 3" xfId="26302" xr:uid="{00000000-0005-0000-0000-0000762B0000}"/>
    <cellStyle name="Normal 5 2 3 2 4 3 4" xfId="11516" xr:uid="{00000000-0005-0000-0000-0000772B0000}"/>
    <cellStyle name="Normal 5 2 3 2 4 3 4 2" xfId="31231" xr:uid="{00000000-0005-0000-0000-0000782B0000}"/>
    <cellStyle name="Normal 5 2 3 2 4 3 5" xfId="21374" xr:uid="{00000000-0005-0000-0000-0000792B0000}"/>
    <cellStyle name="Normal 5 2 3 2 4 4" xfId="2884" xr:uid="{00000000-0005-0000-0000-00007A2B0000}"/>
    <cellStyle name="Normal 5 2 3 2 4 4 2" xfId="7816" xr:uid="{00000000-0005-0000-0000-00007B2B0000}"/>
    <cellStyle name="Normal 5 2 3 2 4 4 2 2" xfId="17676" xr:uid="{00000000-0005-0000-0000-00007C2B0000}"/>
    <cellStyle name="Normal 5 2 3 2 4 4 2 2 2" xfId="37391" xr:uid="{00000000-0005-0000-0000-00007D2B0000}"/>
    <cellStyle name="Normal 5 2 3 2 4 4 2 3" xfId="27534" xr:uid="{00000000-0005-0000-0000-00007E2B0000}"/>
    <cellStyle name="Normal 5 2 3 2 4 4 3" xfId="12748" xr:uid="{00000000-0005-0000-0000-00007F2B0000}"/>
    <cellStyle name="Normal 5 2 3 2 4 4 3 2" xfId="32463" xr:uid="{00000000-0005-0000-0000-0000802B0000}"/>
    <cellStyle name="Normal 5 2 3 2 4 4 4" xfId="22606" xr:uid="{00000000-0005-0000-0000-0000812B0000}"/>
    <cellStyle name="Normal 5 2 3 2 4 5" xfId="5352" xr:uid="{00000000-0005-0000-0000-0000822B0000}"/>
    <cellStyle name="Normal 5 2 3 2 4 5 2" xfId="15212" xr:uid="{00000000-0005-0000-0000-0000832B0000}"/>
    <cellStyle name="Normal 5 2 3 2 4 5 2 2" xfId="34927" xr:uid="{00000000-0005-0000-0000-0000842B0000}"/>
    <cellStyle name="Normal 5 2 3 2 4 5 3" xfId="25070" xr:uid="{00000000-0005-0000-0000-0000852B0000}"/>
    <cellStyle name="Normal 5 2 3 2 4 6" xfId="10284" xr:uid="{00000000-0005-0000-0000-0000862B0000}"/>
    <cellStyle name="Normal 5 2 3 2 4 6 2" xfId="29999" xr:uid="{00000000-0005-0000-0000-0000872B0000}"/>
    <cellStyle name="Normal 5 2 3 2 4 7" xfId="20142" xr:uid="{00000000-0005-0000-0000-0000882B0000}"/>
    <cellStyle name="Normal 5 2 3 2 5" xfId="723" xr:uid="{00000000-0005-0000-0000-0000892B0000}"/>
    <cellStyle name="Normal 5 2 3 2 5 2" xfId="1959" xr:uid="{00000000-0005-0000-0000-00008A2B0000}"/>
    <cellStyle name="Normal 5 2 3 2 5 2 2" xfId="4426" xr:uid="{00000000-0005-0000-0000-00008B2B0000}"/>
    <cellStyle name="Normal 5 2 3 2 5 2 2 2" xfId="9358" xr:uid="{00000000-0005-0000-0000-00008C2B0000}"/>
    <cellStyle name="Normal 5 2 3 2 5 2 2 2 2" xfId="19218" xr:uid="{00000000-0005-0000-0000-00008D2B0000}"/>
    <cellStyle name="Normal 5 2 3 2 5 2 2 2 2 2" xfId="38933" xr:uid="{00000000-0005-0000-0000-00008E2B0000}"/>
    <cellStyle name="Normal 5 2 3 2 5 2 2 2 3" xfId="29076" xr:uid="{00000000-0005-0000-0000-00008F2B0000}"/>
    <cellStyle name="Normal 5 2 3 2 5 2 2 3" xfId="14290" xr:uid="{00000000-0005-0000-0000-0000902B0000}"/>
    <cellStyle name="Normal 5 2 3 2 5 2 2 3 2" xfId="34005" xr:uid="{00000000-0005-0000-0000-0000912B0000}"/>
    <cellStyle name="Normal 5 2 3 2 5 2 2 4" xfId="24148" xr:uid="{00000000-0005-0000-0000-0000922B0000}"/>
    <cellStyle name="Normal 5 2 3 2 5 2 3" xfId="6894" xr:uid="{00000000-0005-0000-0000-0000932B0000}"/>
    <cellStyle name="Normal 5 2 3 2 5 2 3 2" xfId="16754" xr:uid="{00000000-0005-0000-0000-0000942B0000}"/>
    <cellStyle name="Normal 5 2 3 2 5 2 3 2 2" xfId="36469" xr:uid="{00000000-0005-0000-0000-0000952B0000}"/>
    <cellStyle name="Normal 5 2 3 2 5 2 3 3" xfId="26612" xr:uid="{00000000-0005-0000-0000-0000962B0000}"/>
    <cellStyle name="Normal 5 2 3 2 5 2 4" xfId="11826" xr:uid="{00000000-0005-0000-0000-0000972B0000}"/>
    <cellStyle name="Normal 5 2 3 2 5 2 4 2" xfId="31541" xr:uid="{00000000-0005-0000-0000-0000982B0000}"/>
    <cellStyle name="Normal 5 2 3 2 5 2 5" xfId="21684" xr:uid="{00000000-0005-0000-0000-0000992B0000}"/>
    <cellStyle name="Normal 5 2 3 2 5 3" xfId="3194" xr:uid="{00000000-0005-0000-0000-00009A2B0000}"/>
    <cellStyle name="Normal 5 2 3 2 5 3 2" xfId="8126" xr:uid="{00000000-0005-0000-0000-00009B2B0000}"/>
    <cellStyle name="Normal 5 2 3 2 5 3 2 2" xfId="17986" xr:uid="{00000000-0005-0000-0000-00009C2B0000}"/>
    <cellStyle name="Normal 5 2 3 2 5 3 2 2 2" xfId="37701" xr:uid="{00000000-0005-0000-0000-00009D2B0000}"/>
    <cellStyle name="Normal 5 2 3 2 5 3 2 3" xfId="27844" xr:uid="{00000000-0005-0000-0000-00009E2B0000}"/>
    <cellStyle name="Normal 5 2 3 2 5 3 3" xfId="13058" xr:uid="{00000000-0005-0000-0000-00009F2B0000}"/>
    <cellStyle name="Normal 5 2 3 2 5 3 3 2" xfId="32773" xr:uid="{00000000-0005-0000-0000-0000A02B0000}"/>
    <cellStyle name="Normal 5 2 3 2 5 3 4" xfId="22916" xr:uid="{00000000-0005-0000-0000-0000A12B0000}"/>
    <cellStyle name="Normal 5 2 3 2 5 4" xfId="5662" xr:uid="{00000000-0005-0000-0000-0000A22B0000}"/>
    <cellStyle name="Normal 5 2 3 2 5 4 2" xfId="15522" xr:uid="{00000000-0005-0000-0000-0000A32B0000}"/>
    <cellStyle name="Normal 5 2 3 2 5 4 2 2" xfId="35237" xr:uid="{00000000-0005-0000-0000-0000A42B0000}"/>
    <cellStyle name="Normal 5 2 3 2 5 4 3" xfId="25380" xr:uid="{00000000-0005-0000-0000-0000A52B0000}"/>
    <cellStyle name="Normal 5 2 3 2 5 5" xfId="10594" xr:uid="{00000000-0005-0000-0000-0000A62B0000}"/>
    <cellStyle name="Normal 5 2 3 2 5 5 2" xfId="30309" xr:uid="{00000000-0005-0000-0000-0000A72B0000}"/>
    <cellStyle name="Normal 5 2 3 2 5 6" xfId="20452" xr:uid="{00000000-0005-0000-0000-0000A82B0000}"/>
    <cellStyle name="Normal 5 2 3 2 6" xfId="1343" xr:uid="{00000000-0005-0000-0000-0000A92B0000}"/>
    <cellStyle name="Normal 5 2 3 2 6 2" xfId="3810" xr:uid="{00000000-0005-0000-0000-0000AA2B0000}"/>
    <cellStyle name="Normal 5 2 3 2 6 2 2" xfId="8742" xr:uid="{00000000-0005-0000-0000-0000AB2B0000}"/>
    <cellStyle name="Normal 5 2 3 2 6 2 2 2" xfId="18602" xr:uid="{00000000-0005-0000-0000-0000AC2B0000}"/>
    <cellStyle name="Normal 5 2 3 2 6 2 2 2 2" xfId="38317" xr:uid="{00000000-0005-0000-0000-0000AD2B0000}"/>
    <cellStyle name="Normal 5 2 3 2 6 2 2 3" xfId="28460" xr:uid="{00000000-0005-0000-0000-0000AE2B0000}"/>
    <cellStyle name="Normal 5 2 3 2 6 2 3" xfId="13674" xr:uid="{00000000-0005-0000-0000-0000AF2B0000}"/>
    <cellStyle name="Normal 5 2 3 2 6 2 3 2" xfId="33389" xr:uid="{00000000-0005-0000-0000-0000B02B0000}"/>
    <cellStyle name="Normal 5 2 3 2 6 2 4" xfId="23532" xr:uid="{00000000-0005-0000-0000-0000B12B0000}"/>
    <cellStyle name="Normal 5 2 3 2 6 3" xfId="6278" xr:uid="{00000000-0005-0000-0000-0000B22B0000}"/>
    <cellStyle name="Normal 5 2 3 2 6 3 2" xfId="16138" xr:uid="{00000000-0005-0000-0000-0000B32B0000}"/>
    <cellStyle name="Normal 5 2 3 2 6 3 2 2" xfId="35853" xr:uid="{00000000-0005-0000-0000-0000B42B0000}"/>
    <cellStyle name="Normal 5 2 3 2 6 3 3" xfId="25996" xr:uid="{00000000-0005-0000-0000-0000B52B0000}"/>
    <cellStyle name="Normal 5 2 3 2 6 4" xfId="11210" xr:uid="{00000000-0005-0000-0000-0000B62B0000}"/>
    <cellStyle name="Normal 5 2 3 2 6 4 2" xfId="30925" xr:uid="{00000000-0005-0000-0000-0000B72B0000}"/>
    <cellStyle name="Normal 5 2 3 2 6 5" xfId="21068" xr:uid="{00000000-0005-0000-0000-0000B82B0000}"/>
    <cellStyle name="Normal 5 2 3 2 7" xfId="2578" xr:uid="{00000000-0005-0000-0000-0000B92B0000}"/>
    <cellStyle name="Normal 5 2 3 2 7 2" xfId="7510" xr:uid="{00000000-0005-0000-0000-0000BA2B0000}"/>
    <cellStyle name="Normal 5 2 3 2 7 2 2" xfId="17370" xr:uid="{00000000-0005-0000-0000-0000BB2B0000}"/>
    <cellStyle name="Normal 5 2 3 2 7 2 2 2" xfId="37085" xr:uid="{00000000-0005-0000-0000-0000BC2B0000}"/>
    <cellStyle name="Normal 5 2 3 2 7 2 3" xfId="27228" xr:uid="{00000000-0005-0000-0000-0000BD2B0000}"/>
    <cellStyle name="Normal 5 2 3 2 7 3" xfId="12442" xr:uid="{00000000-0005-0000-0000-0000BE2B0000}"/>
    <cellStyle name="Normal 5 2 3 2 7 3 2" xfId="32157" xr:uid="{00000000-0005-0000-0000-0000BF2B0000}"/>
    <cellStyle name="Normal 5 2 3 2 7 4" xfId="22300" xr:uid="{00000000-0005-0000-0000-0000C02B0000}"/>
    <cellStyle name="Normal 5 2 3 2 8" xfId="5046" xr:uid="{00000000-0005-0000-0000-0000C12B0000}"/>
    <cellStyle name="Normal 5 2 3 2 8 2" xfId="14906" xr:uid="{00000000-0005-0000-0000-0000C22B0000}"/>
    <cellStyle name="Normal 5 2 3 2 8 2 2" xfId="34621" xr:uid="{00000000-0005-0000-0000-0000C32B0000}"/>
    <cellStyle name="Normal 5 2 3 2 8 3" xfId="24764" xr:uid="{00000000-0005-0000-0000-0000C42B0000}"/>
    <cellStyle name="Normal 5 2 3 2 9" xfId="9978" xr:uid="{00000000-0005-0000-0000-0000C52B0000}"/>
    <cellStyle name="Normal 5 2 3 2 9 2" xfId="29693" xr:uid="{00000000-0005-0000-0000-0000C62B0000}"/>
    <cellStyle name="Normal 5 2 3 3" xfId="129" xr:uid="{00000000-0005-0000-0000-0000C72B0000}"/>
    <cellStyle name="Normal 5 2 3 3 2" xfId="286" xr:uid="{00000000-0005-0000-0000-0000C82B0000}"/>
    <cellStyle name="Normal 5 2 3 3 2 2" xfId="600" xr:uid="{00000000-0005-0000-0000-0000C92B0000}"/>
    <cellStyle name="Normal 5 2 3 3 2 2 2" xfId="1220" xr:uid="{00000000-0005-0000-0000-0000CA2B0000}"/>
    <cellStyle name="Normal 5 2 3 3 2 2 2 2" xfId="2455" xr:uid="{00000000-0005-0000-0000-0000CB2B0000}"/>
    <cellStyle name="Normal 5 2 3 3 2 2 2 2 2" xfId="4922" xr:uid="{00000000-0005-0000-0000-0000CC2B0000}"/>
    <cellStyle name="Normal 5 2 3 3 2 2 2 2 2 2" xfId="9854" xr:uid="{00000000-0005-0000-0000-0000CD2B0000}"/>
    <cellStyle name="Normal 5 2 3 3 2 2 2 2 2 2 2" xfId="19714" xr:uid="{00000000-0005-0000-0000-0000CE2B0000}"/>
    <cellStyle name="Normal 5 2 3 3 2 2 2 2 2 2 2 2" xfId="39429" xr:uid="{00000000-0005-0000-0000-0000CF2B0000}"/>
    <cellStyle name="Normal 5 2 3 3 2 2 2 2 2 2 3" xfId="29572" xr:uid="{00000000-0005-0000-0000-0000D02B0000}"/>
    <cellStyle name="Normal 5 2 3 3 2 2 2 2 2 3" xfId="14786" xr:uid="{00000000-0005-0000-0000-0000D12B0000}"/>
    <cellStyle name="Normal 5 2 3 3 2 2 2 2 2 3 2" xfId="34501" xr:uid="{00000000-0005-0000-0000-0000D22B0000}"/>
    <cellStyle name="Normal 5 2 3 3 2 2 2 2 2 4" xfId="24644" xr:uid="{00000000-0005-0000-0000-0000D32B0000}"/>
    <cellStyle name="Normal 5 2 3 3 2 2 2 2 3" xfId="7390" xr:uid="{00000000-0005-0000-0000-0000D42B0000}"/>
    <cellStyle name="Normal 5 2 3 3 2 2 2 2 3 2" xfId="17250" xr:uid="{00000000-0005-0000-0000-0000D52B0000}"/>
    <cellStyle name="Normal 5 2 3 3 2 2 2 2 3 2 2" xfId="36965" xr:uid="{00000000-0005-0000-0000-0000D62B0000}"/>
    <cellStyle name="Normal 5 2 3 3 2 2 2 2 3 3" xfId="27108" xr:uid="{00000000-0005-0000-0000-0000D72B0000}"/>
    <cellStyle name="Normal 5 2 3 3 2 2 2 2 4" xfId="12322" xr:uid="{00000000-0005-0000-0000-0000D82B0000}"/>
    <cellStyle name="Normal 5 2 3 3 2 2 2 2 4 2" xfId="32037" xr:uid="{00000000-0005-0000-0000-0000D92B0000}"/>
    <cellStyle name="Normal 5 2 3 3 2 2 2 2 5" xfId="22180" xr:uid="{00000000-0005-0000-0000-0000DA2B0000}"/>
    <cellStyle name="Normal 5 2 3 3 2 2 2 3" xfId="3690" xr:uid="{00000000-0005-0000-0000-0000DB2B0000}"/>
    <cellStyle name="Normal 5 2 3 3 2 2 2 3 2" xfId="8622" xr:uid="{00000000-0005-0000-0000-0000DC2B0000}"/>
    <cellStyle name="Normal 5 2 3 3 2 2 2 3 2 2" xfId="18482" xr:uid="{00000000-0005-0000-0000-0000DD2B0000}"/>
    <cellStyle name="Normal 5 2 3 3 2 2 2 3 2 2 2" xfId="38197" xr:uid="{00000000-0005-0000-0000-0000DE2B0000}"/>
    <cellStyle name="Normal 5 2 3 3 2 2 2 3 2 3" xfId="28340" xr:uid="{00000000-0005-0000-0000-0000DF2B0000}"/>
    <cellStyle name="Normal 5 2 3 3 2 2 2 3 3" xfId="13554" xr:uid="{00000000-0005-0000-0000-0000E02B0000}"/>
    <cellStyle name="Normal 5 2 3 3 2 2 2 3 3 2" xfId="33269" xr:uid="{00000000-0005-0000-0000-0000E12B0000}"/>
    <cellStyle name="Normal 5 2 3 3 2 2 2 3 4" xfId="23412" xr:uid="{00000000-0005-0000-0000-0000E22B0000}"/>
    <cellStyle name="Normal 5 2 3 3 2 2 2 4" xfId="6158" xr:uid="{00000000-0005-0000-0000-0000E32B0000}"/>
    <cellStyle name="Normal 5 2 3 3 2 2 2 4 2" xfId="16018" xr:uid="{00000000-0005-0000-0000-0000E42B0000}"/>
    <cellStyle name="Normal 5 2 3 3 2 2 2 4 2 2" xfId="35733" xr:uid="{00000000-0005-0000-0000-0000E52B0000}"/>
    <cellStyle name="Normal 5 2 3 3 2 2 2 4 3" xfId="25876" xr:uid="{00000000-0005-0000-0000-0000E62B0000}"/>
    <cellStyle name="Normal 5 2 3 3 2 2 2 5" xfId="11090" xr:uid="{00000000-0005-0000-0000-0000E72B0000}"/>
    <cellStyle name="Normal 5 2 3 3 2 2 2 5 2" xfId="30805" xr:uid="{00000000-0005-0000-0000-0000E82B0000}"/>
    <cellStyle name="Normal 5 2 3 3 2 2 2 6" xfId="20948" xr:uid="{00000000-0005-0000-0000-0000E92B0000}"/>
    <cellStyle name="Normal 5 2 3 3 2 2 3" xfId="1839" xr:uid="{00000000-0005-0000-0000-0000EA2B0000}"/>
    <cellStyle name="Normal 5 2 3 3 2 2 3 2" xfId="4306" xr:uid="{00000000-0005-0000-0000-0000EB2B0000}"/>
    <cellStyle name="Normal 5 2 3 3 2 2 3 2 2" xfId="9238" xr:uid="{00000000-0005-0000-0000-0000EC2B0000}"/>
    <cellStyle name="Normal 5 2 3 3 2 2 3 2 2 2" xfId="19098" xr:uid="{00000000-0005-0000-0000-0000ED2B0000}"/>
    <cellStyle name="Normal 5 2 3 3 2 2 3 2 2 2 2" xfId="38813" xr:uid="{00000000-0005-0000-0000-0000EE2B0000}"/>
    <cellStyle name="Normal 5 2 3 3 2 2 3 2 2 3" xfId="28956" xr:uid="{00000000-0005-0000-0000-0000EF2B0000}"/>
    <cellStyle name="Normal 5 2 3 3 2 2 3 2 3" xfId="14170" xr:uid="{00000000-0005-0000-0000-0000F02B0000}"/>
    <cellStyle name="Normal 5 2 3 3 2 2 3 2 3 2" xfId="33885" xr:uid="{00000000-0005-0000-0000-0000F12B0000}"/>
    <cellStyle name="Normal 5 2 3 3 2 2 3 2 4" xfId="24028" xr:uid="{00000000-0005-0000-0000-0000F22B0000}"/>
    <cellStyle name="Normal 5 2 3 3 2 2 3 3" xfId="6774" xr:uid="{00000000-0005-0000-0000-0000F32B0000}"/>
    <cellStyle name="Normal 5 2 3 3 2 2 3 3 2" xfId="16634" xr:uid="{00000000-0005-0000-0000-0000F42B0000}"/>
    <cellStyle name="Normal 5 2 3 3 2 2 3 3 2 2" xfId="36349" xr:uid="{00000000-0005-0000-0000-0000F52B0000}"/>
    <cellStyle name="Normal 5 2 3 3 2 2 3 3 3" xfId="26492" xr:uid="{00000000-0005-0000-0000-0000F62B0000}"/>
    <cellStyle name="Normal 5 2 3 3 2 2 3 4" xfId="11706" xr:uid="{00000000-0005-0000-0000-0000F72B0000}"/>
    <cellStyle name="Normal 5 2 3 3 2 2 3 4 2" xfId="31421" xr:uid="{00000000-0005-0000-0000-0000F82B0000}"/>
    <cellStyle name="Normal 5 2 3 3 2 2 3 5" xfId="21564" xr:uid="{00000000-0005-0000-0000-0000F92B0000}"/>
    <cellStyle name="Normal 5 2 3 3 2 2 4" xfId="3074" xr:uid="{00000000-0005-0000-0000-0000FA2B0000}"/>
    <cellStyle name="Normal 5 2 3 3 2 2 4 2" xfId="8006" xr:uid="{00000000-0005-0000-0000-0000FB2B0000}"/>
    <cellStyle name="Normal 5 2 3 3 2 2 4 2 2" xfId="17866" xr:uid="{00000000-0005-0000-0000-0000FC2B0000}"/>
    <cellStyle name="Normal 5 2 3 3 2 2 4 2 2 2" xfId="37581" xr:uid="{00000000-0005-0000-0000-0000FD2B0000}"/>
    <cellStyle name="Normal 5 2 3 3 2 2 4 2 3" xfId="27724" xr:uid="{00000000-0005-0000-0000-0000FE2B0000}"/>
    <cellStyle name="Normal 5 2 3 3 2 2 4 3" xfId="12938" xr:uid="{00000000-0005-0000-0000-0000FF2B0000}"/>
    <cellStyle name="Normal 5 2 3 3 2 2 4 3 2" xfId="32653" xr:uid="{00000000-0005-0000-0000-0000002C0000}"/>
    <cellStyle name="Normal 5 2 3 3 2 2 4 4" xfId="22796" xr:uid="{00000000-0005-0000-0000-0000012C0000}"/>
    <cellStyle name="Normal 5 2 3 3 2 2 5" xfId="5542" xr:uid="{00000000-0005-0000-0000-0000022C0000}"/>
    <cellStyle name="Normal 5 2 3 3 2 2 5 2" xfId="15402" xr:uid="{00000000-0005-0000-0000-0000032C0000}"/>
    <cellStyle name="Normal 5 2 3 3 2 2 5 2 2" xfId="35117" xr:uid="{00000000-0005-0000-0000-0000042C0000}"/>
    <cellStyle name="Normal 5 2 3 3 2 2 5 3" xfId="25260" xr:uid="{00000000-0005-0000-0000-0000052C0000}"/>
    <cellStyle name="Normal 5 2 3 3 2 2 6" xfId="10474" xr:uid="{00000000-0005-0000-0000-0000062C0000}"/>
    <cellStyle name="Normal 5 2 3 3 2 2 6 2" xfId="30189" xr:uid="{00000000-0005-0000-0000-0000072C0000}"/>
    <cellStyle name="Normal 5 2 3 3 2 2 7" xfId="20332" xr:uid="{00000000-0005-0000-0000-0000082C0000}"/>
    <cellStyle name="Normal 5 2 3 3 2 3" xfId="913" xr:uid="{00000000-0005-0000-0000-0000092C0000}"/>
    <cellStyle name="Normal 5 2 3 3 2 3 2" xfId="2149" xr:uid="{00000000-0005-0000-0000-00000A2C0000}"/>
    <cellStyle name="Normal 5 2 3 3 2 3 2 2" xfId="4616" xr:uid="{00000000-0005-0000-0000-00000B2C0000}"/>
    <cellStyle name="Normal 5 2 3 3 2 3 2 2 2" xfId="9548" xr:uid="{00000000-0005-0000-0000-00000C2C0000}"/>
    <cellStyle name="Normal 5 2 3 3 2 3 2 2 2 2" xfId="19408" xr:uid="{00000000-0005-0000-0000-00000D2C0000}"/>
    <cellStyle name="Normal 5 2 3 3 2 3 2 2 2 2 2" xfId="39123" xr:uid="{00000000-0005-0000-0000-00000E2C0000}"/>
    <cellStyle name="Normal 5 2 3 3 2 3 2 2 2 3" xfId="29266" xr:uid="{00000000-0005-0000-0000-00000F2C0000}"/>
    <cellStyle name="Normal 5 2 3 3 2 3 2 2 3" xfId="14480" xr:uid="{00000000-0005-0000-0000-0000102C0000}"/>
    <cellStyle name="Normal 5 2 3 3 2 3 2 2 3 2" xfId="34195" xr:uid="{00000000-0005-0000-0000-0000112C0000}"/>
    <cellStyle name="Normal 5 2 3 3 2 3 2 2 4" xfId="24338" xr:uid="{00000000-0005-0000-0000-0000122C0000}"/>
    <cellStyle name="Normal 5 2 3 3 2 3 2 3" xfId="7084" xr:uid="{00000000-0005-0000-0000-0000132C0000}"/>
    <cellStyle name="Normal 5 2 3 3 2 3 2 3 2" xfId="16944" xr:uid="{00000000-0005-0000-0000-0000142C0000}"/>
    <cellStyle name="Normal 5 2 3 3 2 3 2 3 2 2" xfId="36659" xr:uid="{00000000-0005-0000-0000-0000152C0000}"/>
    <cellStyle name="Normal 5 2 3 3 2 3 2 3 3" xfId="26802" xr:uid="{00000000-0005-0000-0000-0000162C0000}"/>
    <cellStyle name="Normal 5 2 3 3 2 3 2 4" xfId="12016" xr:uid="{00000000-0005-0000-0000-0000172C0000}"/>
    <cellStyle name="Normal 5 2 3 3 2 3 2 4 2" xfId="31731" xr:uid="{00000000-0005-0000-0000-0000182C0000}"/>
    <cellStyle name="Normal 5 2 3 3 2 3 2 5" xfId="21874" xr:uid="{00000000-0005-0000-0000-0000192C0000}"/>
    <cellStyle name="Normal 5 2 3 3 2 3 3" xfId="3384" xr:uid="{00000000-0005-0000-0000-00001A2C0000}"/>
    <cellStyle name="Normal 5 2 3 3 2 3 3 2" xfId="8316" xr:uid="{00000000-0005-0000-0000-00001B2C0000}"/>
    <cellStyle name="Normal 5 2 3 3 2 3 3 2 2" xfId="18176" xr:uid="{00000000-0005-0000-0000-00001C2C0000}"/>
    <cellStyle name="Normal 5 2 3 3 2 3 3 2 2 2" xfId="37891" xr:uid="{00000000-0005-0000-0000-00001D2C0000}"/>
    <cellStyle name="Normal 5 2 3 3 2 3 3 2 3" xfId="28034" xr:uid="{00000000-0005-0000-0000-00001E2C0000}"/>
    <cellStyle name="Normal 5 2 3 3 2 3 3 3" xfId="13248" xr:uid="{00000000-0005-0000-0000-00001F2C0000}"/>
    <cellStyle name="Normal 5 2 3 3 2 3 3 3 2" xfId="32963" xr:uid="{00000000-0005-0000-0000-0000202C0000}"/>
    <cellStyle name="Normal 5 2 3 3 2 3 3 4" xfId="23106" xr:uid="{00000000-0005-0000-0000-0000212C0000}"/>
    <cellStyle name="Normal 5 2 3 3 2 3 4" xfId="5852" xr:uid="{00000000-0005-0000-0000-0000222C0000}"/>
    <cellStyle name="Normal 5 2 3 3 2 3 4 2" xfId="15712" xr:uid="{00000000-0005-0000-0000-0000232C0000}"/>
    <cellStyle name="Normal 5 2 3 3 2 3 4 2 2" xfId="35427" xr:uid="{00000000-0005-0000-0000-0000242C0000}"/>
    <cellStyle name="Normal 5 2 3 3 2 3 4 3" xfId="25570" xr:uid="{00000000-0005-0000-0000-0000252C0000}"/>
    <cellStyle name="Normal 5 2 3 3 2 3 5" xfId="10784" xr:uid="{00000000-0005-0000-0000-0000262C0000}"/>
    <cellStyle name="Normal 5 2 3 3 2 3 5 2" xfId="30499" xr:uid="{00000000-0005-0000-0000-0000272C0000}"/>
    <cellStyle name="Normal 5 2 3 3 2 3 6" xfId="20642" xr:uid="{00000000-0005-0000-0000-0000282C0000}"/>
    <cellStyle name="Normal 5 2 3 3 2 4" xfId="1533" xr:uid="{00000000-0005-0000-0000-0000292C0000}"/>
    <cellStyle name="Normal 5 2 3 3 2 4 2" xfId="4000" xr:uid="{00000000-0005-0000-0000-00002A2C0000}"/>
    <cellStyle name="Normal 5 2 3 3 2 4 2 2" xfId="8932" xr:uid="{00000000-0005-0000-0000-00002B2C0000}"/>
    <cellStyle name="Normal 5 2 3 3 2 4 2 2 2" xfId="18792" xr:uid="{00000000-0005-0000-0000-00002C2C0000}"/>
    <cellStyle name="Normal 5 2 3 3 2 4 2 2 2 2" xfId="38507" xr:uid="{00000000-0005-0000-0000-00002D2C0000}"/>
    <cellStyle name="Normal 5 2 3 3 2 4 2 2 3" xfId="28650" xr:uid="{00000000-0005-0000-0000-00002E2C0000}"/>
    <cellStyle name="Normal 5 2 3 3 2 4 2 3" xfId="13864" xr:uid="{00000000-0005-0000-0000-00002F2C0000}"/>
    <cellStyle name="Normal 5 2 3 3 2 4 2 3 2" xfId="33579" xr:uid="{00000000-0005-0000-0000-0000302C0000}"/>
    <cellStyle name="Normal 5 2 3 3 2 4 2 4" xfId="23722" xr:uid="{00000000-0005-0000-0000-0000312C0000}"/>
    <cellStyle name="Normal 5 2 3 3 2 4 3" xfId="6468" xr:uid="{00000000-0005-0000-0000-0000322C0000}"/>
    <cellStyle name="Normal 5 2 3 3 2 4 3 2" xfId="16328" xr:uid="{00000000-0005-0000-0000-0000332C0000}"/>
    <cellStyle name="Normal 5 2 3 3 2 4 3 2 2" xfId="36043" xr:uid="{00000000-0005-0000-0000-0000342C0000}"/>
    <cellStyle name="Normal 5 2 3 3 2 4 3 3" xfId="26186" xr:uid="{00000000-0005-0000-0000-0000352C0000}"/>
    <cellStyle name="Normal 5 2 3 3 2 4 4" xfId="11400" xr:uid="{00000000-0005-0000-0000-0000362C0000}"/>
    <cellStyle name="Normal 5 2 3 3 2 4 4 2" xfId="31115" xr:uid="{00000000-0005-0000-0000-0000372C0000}"/>
    <cellStyle name="Normal 5 2 3 3 2 4 5" xfId="21258" xr:uid="{00000000-0005-0000-0000-0000382C0000}"/>
    <cellStyle name="Normal 5 2 3 3 2 5" xfId="2768" xr:uid="{00000000-0005-0000-0000-0000392C0000}"/>
    <cellStyle name="Normal 5 2 3 3 2 5 2" xfId="7700" xr:uid="{00000000-0005-0000-0000-00003A2C0000}"/>
    <cellStyle name="Normal 5 2 3 3 2 5 2 2" xfId="17560" xr:uid="{00000000-0005-0000-0000-00003B2C0000}"/>
    <cellStyle name="Normal 5 2 3 3 2 5 2 2 2" xfId="37275" xr:uid="{00000000-0005-0000-0000-00003C2C0000}"/>
    <cellStyle name="Normal 5 2 3 3 2 5 2 3" xfId="27418" xr:uid="{00000000-0005-0000-0000-00003D2C0000}"/>
    <cellStyle name="Normal 5 2 3 3 2 5 3" xfId="12632" xr:uid="{00000000-0005-0000-0000-00003E2C0000}"/>
    <cellStyle name="Normal 5 2 3 3 2 5 3 2" xfId="32347" xr:uid="{00000000-0005-0000-0000-00003F2C0000}"/>
    <cellStyle name="Normal 5 2 3 3 2 5 4" xfId="22490" xr:uid="{00000000-0005-0000-0000-0000402C0000}"/>
    <cellStyle name="Normal 5 2 3 3 2 6" xfId="5236" xr:uid="{00000000-0005-0000-0000-0000412C0000}"/>
    <cellStyle name="Normal 5 2 3 3 2 6 2" xfId="15096" xr:uid="{00000000-0005-0000-0000-0000422C0000}"/>
    <cellStyle name="Normal 5 2 3 3 2 6 2 2" xfId="34811" xr:uid="{00000000-0005-0000-0000-0000432C0000}"/>
    <cellStyle name="Normal 5 2 3 3 2 6 3" xfId="24954" xr:uid="{00000000-0005-0000-0000-0000442C0000}"/>
    <cellStyle name="Normal 5 2 3 3 2 7" xfId="10168" xr:uid="{00000000-0005-0000-0000-0000452C0000}"/>
    <cellStyle name="Normal 5 2 3 3 2 7 2" xfId="29883" xr:uid="{00000000-0005-0000-0000-0000462C0000}"/>
    <cellStyle name="Normal 5 2 3 3 2 8" xfId="20026" xr:uid="{00000000-0005-0000-0000-0000472C0000}"/>
    <cellStyle name="Normal 5 2 3 3 3" xfId="448" xr:uid="{00000000-0005-0000-0000-0000482C0000}"/>
    <cellStyle name="Normal 5 2 3 3 3 2" xfId="1068" xr:uid="{00000000-0005-0000-0000-0000492C0000}"/>
    <cellStyle name="Normal 5 2 3 3 3 2 2" xfId="2303" xr:uid="{00000000-0005-0000-0000-00004A2C0000}"/>
    <cellStyle name="Normal 5 2 3 3 3 2 2 2" xfId="4770" xr:uid="{00000000-0005-0000-0000-00004B2C0000}"/>
    <cellStyle name="Normal 5 2 3 3 3 2 2 2 2" xfId="9702" xr:uid="{00000000-0005-0000-0000-00004C2C0000}"/>
    <cellStyle name="Normal 5 2 3 3 3 2 2 2 2 2" xfId="19562" xr:uid="{00000000-0005-0000-0000-00004D2C0000}"/>
    <cellStyle name="Normal 5 2 3 3 3 2 2 2 2 2 2" xfId="39277" xr:uid="{00000000-0005-0000-0000-00004E2C0000}"/>
    <cellStyle name="Normal 5 2 3 3 3 2 2 2 2 3" xfId="29420" xr:uid="{00000000-0005-0000-0000-00004F2C0000}"/>
    <cellStyle name="Normal 5 2 3 3 3 2 2 2 3" xfId="14634" xr:uid="{00000000-0005-0000-0000-0000502C0000}"/>
    <cellStyle name="Normal 5 2 3 3 3 2 2 2 3 2" xfId="34349" xr:uid="{00000000-0005-0000-0000-0000512C0000}"/>
    <cellStyle name="Normal 5 2 3 3 3 2 2 2 4" xfId="24492" xr:uid="{00000000-0005-0000-0000-0000522C0000}"/>
    <cellStyle name="Normal 5 2 3 3 3 2 2 3" xfId="7238" xr:uid="{00000000-0005-0000-0000-0000532C0000}"/>
    <cellStyle name="Normal 5 2 3 3 3 2 2 3 2" xfId="17098" xr:uid="{00000000-0005-0000-0000-0000542C0000}"/>
    <cellStyle name="Normal 5 2 3 3 3 2 2 3 2 2" xfId="36813" xr:uid="{00000000-0005-0000-0000-0000552C0000}"/>
    <cellStyle name="Normal 5 2 3 3 3 2 2 3 3" xfId="26956" xr:uid="{00000000-0005-0000-0000-0000562C0000}"/>
    <cellStyle name="Normal 5 2 3 3 3 2 2 4" xfId="12170" xr:uid="{00000000-0005-0000-0000-0000572C0000}"/>
    <cellStyle name="Normal 5 2 3 3 3 2 2 4 2" xfId="31885" xr:uid="{00000000-0005-0000-0000-0000582C0000}"/>
    <cellStyle name="Normal 5 2 3 3 3 2 2 5" xfId="22028" xr:uid="{00000000-0005-0000-0000-0000592C0000}"/>
    <cellStyle name="Normal 5 2 3 3 3 2 3" xfId="3538" xr:uid="{00000000-0005-0000-0000-00005A2C0000}"/>
    <cellStyle name="Normal 5 2 3 3 3 2 3 2" xfId="8470" xr:uid="{00000000-0005-0000-0000-00005B2C0000}"/>
    <cellStyle name="Normal 5 2 3 3 3 2 3 2 2" xfId="18330" xr:uid="{00000000-0005-0000-0000-00005C2C0000}"/>
    <cellStyle name="Normal 5 2 3 3 3 2 3 2 2 2" xfId="38045" xr:uid="{00000000-0005-0000-0000-00005D2C0000}"/>
    <cellStyle name="Normal 5 2 3 3 3 2 3 2 3" xfId="28188" xr:uid="{00000000-0005-0000-0000-00005E2C0000}"/>
    <cellStyle name="Normal 5 2 3 3 3 2 3 3" xfId="13402" xr:uid="{00000000-0005-0000-0000-00005F2C0000}"/>
    <cellStyle name="Normal 5 2 3 3 3 2 3 3 2" xfId="33117" xr:uid="{00000000-0005-0000-0000-0000602C0000}"/>
    <cellStyle name="Normal 5 2 3 3 3 2 3 4" xfId="23260" xr:uid="{00000000-0005-0000-0000-0000612C0000}"/>
    <cellStyle name="Normal 5 2 3 3 3 2 4" xfId="6006" xr:uid="{00000000-0005-0000-0000-0000622C0000}"/>
    <cellStyle name="Normal 5 2 3 3 3 2 4 2" xfId="15866" xr:uid="{00000000-0005-0000-0000-0000632C0000}"/>
    <cellStyle name="Normal 5 2 3 3 3 2 4 2 2" xfId="35581" xr:uid="{00000000-0005-0000-0000-0000642C0000}"/>
    <cellStyle name="Normal 5 2 3 3 3 2 4 3" xfId="25724" xr:uid="{00000000-0005-0000-0000-0000652C0000}"/>
    <cellStyle name="Normal 5 2 3 3 3 2 5" xfId="10938" xr:uid="{00000000-0005-0000-0000-0000662C0000}"/>
    <cellStyle name="Normal 5 2 3 3 3 2 5 2" xfId="30653" xr:uid="{00000000-0005-0000-0000-0000672C0000}"/>
    <cellStyle name="Normal 5 2 3 3 3 2 6" xfId="20796" xr:uid="{00000000-0005-0000-0000-0000682C0000}"/>
    <cellStyle name="Normal 5 2 3 3 3 3" xfId="1687" xr:uid="{00000000-0005-0000-0000-0000692C0000}"/>
    <cellStyle name="Normal 5 2 3 3 3 3 2" xfId="4154" xr:uid="{00000000-0005-0000-0000-00006A2C0000}"/>
    <cellStyle name="Normal 5 2 3 3 3 3 2 2" xfId="9086" xr:uid="{00000000-0005-0000-0000-00006B2C0000}"/>
    <cellStyle name="Normal 5 2 3 3 3 3 2 2 2" xfId="18946" xr:uid="{00000000-0005-0000-0000-00006C2C0000}"/>
    <cellStyle name="Normal 5 2 3 3 3 3 2 2 2 2" xfId="38661" xr:uid="{00000000-0005-0000-0000-00006D2C0000}"/>
    <cellStyle name="Normal 5 2 3 3 3 3 2 2 3" xfId="28804" xr:uid="{00000000-0005-0000-0000-00006E2C0000}"/>
    <cellStyle name="Normal 5 2 3 3 3 3 2 3" xfId="14018" xr:uid="{00000000-0005-0000-0000-00006F2C0000}"/>
    <cellStyle name="Normal 5 2 3 3 3 3 2 3 2" xfId="33733" xr:uid="{00000000-0005-0000-0000-0000702C0000}"/>
    <cellStyle name="Normal 5 2 3 3 3 3 2 4" xfId="23876" xr:uid="{00000000-0005-0000-0000-0000712C0000}"/>
    <cellStyle name="Normal 5 2 3 3 3 3 3" xfId="6622" xr:uid="{00000000-0005-0000-0000-0000722C0000}"/>
    <cellStyle name="Normal 5 2 3 3 3 3 3 2" xfId="16482" xr:uid="{00000000-0005-0000-0000-0000732C0000}"/>
    <cellStyle name="Normal 5 2 3 3 3 3 3 2 2" xfId="36197" xr:uid="{00000000-0005-0000-0000-0000742C0000}"/>
    <cellStyle name="Normal 5 2 3 3 3 3 3 3" xfId="26340" xr:uid="{00000000-0005-0000-0000-0000752C0000}"/>
    <cellStyle name="Normal 5 2 3 3 3 3 4" xfId="11554" xr:uid="{00000000-0005-0000-0000-0000762C0000}"/>
    <cellStyle name="Normal 5 2 3 3 3 3 4 2" xfId="31269" xr:uid="{00000000-0005-0000-0000-0000772C0000}"/>
    <cellStyle name="Normal 5 2 3 3 3 3 5" xfId="21412" xr:uid="{00000000-0005-0000-0000-0000782C0000}"/>
    <cellStyle name="Normal 5 2 3 3 3 4" xfId="2922" xr:uid="{00000000-0005-0000-0000-0000792C0000}"/>
    <cellStyle name="Normal 5 2 3 3 3 4 2" xfId="7854" xr:uid="{00000000-0005-0000-0000-00007A2C0000}"/>
    <cellStyle name="Normal 5 2 3 3 3 4 2 2" xfId="17714" xr:uid="{00000000-0005-0000-0000-00007B2C0000}"/>
    <cellStyle name="Normal 5 2 3 3 3 4 2 2 2" xfId="37429" xr:uid="{00000000-0005-0000-0000-00007C2C0000}"/>
    <cellStyle name="Normal 5 2 3 3 3 4 2 3" xfId="27572" xr:uid="{00000000-0005-0000-0000-00007D2C0000}"/>
    <cellStyle name="Normal 5 2 3 3 3 4 3" xfId="12786" xr:uid="{00000000-0005-0000-0000-00007E2C0000}"/>
    <cellStyle name="Normal 5 2 3 3 3 4 3 2" xfId="32501" xr:uid="{00000000-0005-0000-0000-00007F2C0000}"/>
    <cellStyle name="Normal 5 2 3 3 3 4 4" xfId="22644" xr:uid="{00000000-0005-0000-0000-0000802C0000}"/>
    <cellStyle name="Normal 5 2 3 3 3 5" xfId="5390" xr:uid="{00000000-0005-0000-0000-0000812C0000}"/>
    <cellStyle name="Normal 5 2 3 3 3 5 2" xfId="15250" xr:uid="{00000000-0005-0000-0000-0000822C0000}"/>
    <cellStyle name="Normal 5 2 3 3 3 5 2 2" xfId="34965" xr:uid="{00000000-0005-0000-0000-0000832C0000}"/>
    <cellStyle name="Normal 5 2 3 3 3 5 3" xfId="25108" xr:uid="{00000000-0005-0000-0000-0000842C0000}"/>
    <cellStyle name="Normal 5 2 3 3 3 6" xfId="10322" xr:uid="{00000000-0005-0000-0000-0000852C0000}"/>
    <cellStyle name="Normal 5 2 3 3 3 6 2" xfId="30037" xr:uid="{00000000-0005-0000-0000-0000862C0000}"/>
    <cellStyle name="Normal 5 2 3 3 3 7" xfId="20180" xr:uid="{00000000-0005-0000-0000-0000872C0000}"/>
    <cellStyle name="Normal 5 2 3 3 4" xfId="761" xr:uid="{00000000-0005-0000-0000-0000882C0000}"/>
    <cellStyle name="Normal 5 2 3 3 4 2" xfId="1997" xr:uid="{00000000-0005-0000-0000-0000892C0000}"/>
    <cellStyle name="Normal 5 2 3 3 4 2 2" xfId="4464" xr:uid="{00000000-0005-0000-0000-00008A2C0000}"/>
    <cellStyle name="Normal 5 2 3 3 4 2 2 2" xfId="9396" xr:uid="{00000000-0005-0000-0000-00008B2C0000}"/>
    <cellStyle name="Normal 5 2 3 3 4 2 2 2 2" xfId="19256" xr:uid="{00000000-0005-0000-0000-00008C2C0000}"/>
    <cellStyle name="Normal 5 2 3 3 4 2 2 2 2 2" xfId="38971" xr:uid="{00000000-0005-0000-0000-00008D2C0000}"/>
    <cellStyle name="Normal 5 2 3 3 4 2 2 2 3" xfId="29114" xr:uid="{00000000-0005-0000-0000-00008E2C0000}"/>
    <cellStyle name="Normal 5 2 3 3 4 2 2 3" xfId="14328" xr:uid="{00000000-0005-0000-0000-00008F2C0000}"/>
    <cellStyle name="Normal 5 2 3 3 4 2 2 3 2" xfId="34043" xr:uid="{00000000-0005-0000-0000-0000902C0000}"/>
    <cellStyle name="Normal 5 2 3 3 4 2 2 4" xfId="24186" xr:uid="{00000000-0005-0000-0000-0000912C0000}"/>
    <cellStyle name="Normal 5 2 3 3 4 2 3" xfId="6932" xr:uid="{00000000-0005-0000-0000-0000922C0000}"/>
    <cellStyle name="Normal 5 2 3 3 4 2 3 2" xfId="16792" xr:uid="{00000000-0005-0000-0000-0000932C0000}"/>
    <cellStyle name="Normal 5 2 3 3 4 2 3 2 2" xfId="36507" xr:uid="{00000000-0005-0000-0000-0000942C0000}"/>
    <cellStyle name="Normal 5 2 3 3 4 2 3 3" xfId="26650" xr:uid="{00000000-0005-0000-0000-0000952C0000}"/>
    <cellStyle name="Normal 5 2 3 3 4 2 4" xfId="11864" xr:uid="{00000000-0005-0000-0000-0000962C0000}"/>
    <cellStyle name="Normal 5 2 3 3 4 2 4 2" xfId="31579" xr:uid="{00000000-0005-0000-0000-0000972C0000}"/>
    <cellStyle name="Normal 5 2 3 3 4 2 5" xfId="21722" xr:uid="{00000000-0005-0000-0000-0000982C0000}"/>
    <cellStyle name="Normal 5 2 3 3 4 3" xfId="3232" xr:uid="{00000000-0005-0000-0000-0000992C0000}"/>
    <cellStyle name="Normal 5 2 3 3 4 3 2" xfId="8164" xr:uid="{00000000-0005-0000-0000-00009A2C0000}"/>
    <cellStyle name="Normal 5 2 3 3 4 3 2 2" xfId="18024" xr:uid="{00000000-0005-0000-0000-00009B2C0000}"/>
    <cellStyle name="Normal 5 2 3 3 4 3 2 2 2" xfId="37739" xr:uid="{00000000-0005-0000-0000-00009C2C0000}"/>
    <cellStyle name="Normal 5 2 3 3 4 3 2 3" xfId="27882" xr:uid="{00000000-0005-0000-0000-00009D2C0000}"/>
    <cellStyle name="Normal 5 2 3 3 4 3 3" xfId="13096" xr:uid="{00000000-0005-0000-0000-00009E2C0000}"/>
    <cellStyle name="Normal 5 2 3 3 4 3 3 2" xfId="32811" xr:uid="{00000000-0005-0000-0000-00009F2C0000}"/>
    <cellStyle name="Normal 5 2 3 3 4 3 4" xfId="22954" xr:uid="{00000000-0005-0000-0000-0000A02C0000}"/>
    <cellStyle name="Normal 5 2 3 3 4 4" xfId="5700" xr:uid="{00000000-0005-0000-0000-0000A12C0000}"/>
    <cellStyle name="Normal 5 2 3 3 4 4 2" xfId="15560" xr:uid="{00000000-0005-0000-0000-0000A22C0000}"/>
    <cellStyle name="Normal 5 2 3 3 4 4 2 2" xfId="35275" xr:uid="{00000000-0005-0000-0000-0000A32C0000}"/>
    <cellStyle name="Normal 5 2 3 3 4 4 3" xfId="25418" xr:uid="{00000000-0005-0000-0000-0000A42C0000}"/>
    <cellStyle name="Normal 5 2 3 3 4 5" xfId="10632" xr:uid="{00000000-0005-0000-0000-0000A52C0000}"/>
    <cellStyle name="Normal 5 2 3 3 4 5 2" xfId="30347" xr:uid="{00000000-0005-0000-0000-0000A62C0000}"/>
    <cellStyle name="Normal 5 2 3 3 4 6" xfId="20490" xr:uid="{00000000-0005-0000-0000-0000A72C0000}"/>
    <cellStyle name="Normal 5 2 3 3 5" xfId="1381" xr:uid="{00000000-0005-0000-0000-0000A82C0000}"/>
    <cellStyle name="Normal 5 2 3 3 5 2" xfId="3848" xr:uid="{00000000-0005-0000-0000-0000A92C0000}"/>
    <cellStyle name="Normal 5 2 3 3 5 2 2" xfId="8780" xr:uid="{00000000-0005-0000-0000-0000AA2C0000}"/>
    <cellStyle name="Normal 5 2 3 3 5 2 2 2" xfId="18640" xr:uid="{00000000-0005-0000-0000-0000AB2C0000}"/>
    <cellStyle name="Normal 5 2 3 3 5 2 2 2 2" xfId="38355" xr:uid="{00000000-0005-0000-0000-0000AC2C0000}"/>
    <cellStyle name="Normal 5 2 3 3 5 2 2 3" xfId="28498" xr:uid="{00000000-0005-0000-0000-0000AD2C0000}"/>
    <cellStyle name="Normal 5 2 3 3 5 2 3" xfId="13712" xr:uid="{00000000-0005-0000-0000-0000AE2C0000}"/>
    <cellStyle name="Normal 5 2 3 3 5 2 3 2" xfId="33427" xr:uid="{00000000-0005-0000-0000-0000AF2C0000}"/>
    <cellStyle name="Normal 5 2 3 3 5 2 4" xfId="23570" xr:uid="{00000000-0005-0000-0000-0000B02C0000}"/>
    <cellStyle name="Normal 5 2 3 3 5 3" xfId="6316" xr:uid="{00000000-0005-0000-0000-0000B12C0000}"/>
    <cellStyle name="Normal 5 2 3 3 5 3 2" xfId="16176" xr:uid="{00000000-0005-0000-0000-0000B22C0000}"/>
    <cellStyle name="Normal 5 2 3 3 5 3 2 2" xfId="35891" xr:uid="{00000000-0005-0000-0000-0000B32C0000}"/>
    <cellStyle name="Normal 5 2 3 3 5 3 3" xfId="26034" xr:uid="{00000000-0005-0000-0000-0000B42C0000}"/>
    <cellStyle name="Normal 5 2 3 3 5 4" xfId="11248" xr:uid="{00000000-0005-0000-0000-0000B52C0000}"/>
    <cellStyle name="Normal 5 2 3 3 5 4 2" xfId="30963" xr:uid="{00000000-0005-0000-0000-0000B62C0000}"/>
    <cellStyle name="Normal 5 2 3 3 5 5" xfId="21106" xr:uid="{00000000-0005-0000-0000-0000B72C0000}"/>
    <cellStyle name="Normal 5 2 3 3 6" xfId="2616" xr:uid="{00000000-0005-0000-0000-0000B82C0000}"/>
    <cellStyle name="Normal 5 2 3 3 6 2" xfId="7548" xr:uid="{00000000-0005-0000-0000-0000B92C0000}"/>
    <cellStyle name="Normal 5 2 3 3 6 2 2" xfId="17408" xr:uid="{00000000-0005-0000-0000-0000BA2C0000}"/>
    <cellStyle name="Normal 5 2 3 3 6 2 2 2" xfId="37123" xr:uid="{00000000-0005-0000-0000-0000BB2C0000}"/>
    <cellStyle name="Normal 5 2 3 3 6 2 3" xfId="27266" xr:uid="{00000000-0005-0000-0000-0000BC2C0000}"/>
    <cellStyle name="Normal 5 2 3 3 6 3" xfId="12480" xr:uid="{00000000-0005-0000-0000-0000BD2C0000}"/>
    <cellStyle name="Normal 5 2 3 3 6 3 2" xfId="32195" xr:uid="{00000000-0005-0000-0000-0000BE2C0000}"/>
    <cellStyle name="Normal 5 2 3 3 6 4" xfId="22338" xr:uid="{00000000-0005-0000-0000-0000BF2C0000}"/>
    <cellStyle name="Normal 5 2 3 3 7" xfId="5084" xr:uid="{00000000-0005-0000-0000-0000C02C0000}"/>
    <cellStyle name="Normal 5 2 3 3 7 2" xfId="14944" xr:uid="{00000000-0005-0000-0000-0000C12C0000}"/>
    <cellStyle name="Normal 5 2 3 3 7 2 2" xfId="34659" xr:uid="{00000000-0005-0000-0000-0000C22C0000}"/>
    <cellStyle name="Normal 5 2 3 3 7 3" xfId="24802" xr:uid="{00000000-0005-0000-0000-0000C32C0000}"/>
    <cellStyle name="Normal 5 2 3 3 8" xfId="10016" xr:uid="{00000000-0005-0000-0000-0000C42C0000}"/>
    <cellStyle name="Normal 5 2 3 3 8 2" xfId="29731" xr:uid="{00000000-0005-0000-0000-0000C52C0000}"/>
    <cellStyle name="Normal 5 2 3 3 9" xfId="19874" xr:uid="{00000000-0005-0000-0000-0000C62C0000}"/>
    <cellStyle name="Normal 5 2 3 4" xfId="210" xr:uid="{00000000-0005-0000-0000-0000C72C0000}"/>
    <cellStyle name="Normal 5 2 3 4 2" xfId="524" xr:uid="{00000000-0005-0000-0000-0000C82C0000}"/>
    <cellStyle name="Normal 5 2 3 4 2 2" xfId="1144" xr:uid="{00000000-0005-0000-0000-0000C92C0000}"/>
    <cellStyle name="Normal 5 2 3 4 2 2 2" xfId="2379" xr:uid="{00000000-0005-0000-0000-0000CA2C0000}"/>
    <cellStyle name="Normal 5 2 3 4 2 2 2 2" xfId="4846" xr:uid="{00000000-0005-0000-0000-0000CB2C0000}"/>
    <cellStyle name="Normal 5 2 3 4 2 2 2 2 2" xfId="9778" xr:uid="{00000000-0005-0000-0000-0000CC2C0000}"/>
    <cellStyle name="Normal 5 2 3 4 2 2 2 2 2 2" xfId="19638" xr:uid="{00000000-0005-0000-0000-0000CD2C0000}"/>
    <cellStyle name="Normal 5 2 3 4 2 2 2 2 2 2 2" xfId="39353" xr:uid="{00000000-0005-0000-0000-0000CE2C0000}"/>
    <cellStyle name="Normal 5 2 3 4 2 2 2 2 2 3" xfId="29496" xr:uid="{00000000-0005-0000-0000-0000CF2C0000}"/>
    <cellStyle name="Normal 5 2 3 4 2 2 2 2 3" xfId="14710" xr:uid="{00000000-0005-0000-0000-0000D02C0000}"/>
    <cellStyle name="Normal 5 2 3 4 2 2 2 2 3 2" xfId="34425" xr:uid="{00000000-0005-0000-0000-0000D12C0000}"/>
    <cellStyle name="Normal 5 2 3 4 2 2 2 2 4" xfId="24568" xr:uid="{00000000-0005-0000-0000-0000D22C0000}"/>
    <cellStyle name="Normal 5 2 3 4 2 2 2 3" xfId="7314" xr:uid="{00000000-0005-0000-0000-0000D32C0000}"/>
    <cellStyle name="Normal 5 2 3 4 2 2 2 3 2" xfId="17174" xr:uid="{00000000-0005-0000-0000-0000D42C0000}"/>
    <cellStyle name="Normal 5 2 3 4 2 2 2 3 2 2" xfId="36889" xr:uid="{00000000-0005-0000-0000-0000D52C0000}"/>
    <cellStyle name="Normal 5 2 3 4 2 2 2 3 3" xfId="27032" xr:uid="{00000000-0005-0000-0000-0000D62C0000}"/>
    <cellStyle name="Normal 5 2 3 4 2 2 2 4" xfId="12246" xr:uid="{00000000-0005-0000-0000-0000D72C0000}"/>
    <cellStyle name="Normal 5 2 3 4 2 2 2 4 2" xfId="31961" xr:uid="{00000000-0005-0000-0000-0000D82C0000}"/>
    <cellStyle name="Normal 5 2 3 4 2 2 2 5" xfId="22104" xr:uid="{00000000-0005-0000-0000-0000D92C0000}"/>
    <cellStyle name="Normal 5 2 3 4 2 2 3" xfId="3614" xr:uid="{00000000-0005-0000-0000-0000DA2C0000}"/>
    <cellStyle name="Normal 5 2 3 4 2 2 3 2" xfId="8546" xr:uid="{00000000-0005-0000-0000-0000DB2C0000}"/>
    <cellStyle name="Normal 5 2 3 4 2 2 3 2 2" xfId="18406" xr:uid="{00000000-0005-0000-0000-0000DC2C0000}"/>
    <cellStyle name="Normal 5 2 3 4 2 2 3 2 2 2" xfId="38121" xr:uid="{00000000-0005-0000-0000-0000DD2C0000}"/>
    <cellStyle name="Normal 5 2 3 4 2 2 3 2 3" xfId="28264" xr:uid="{00000000-0005-0000-0000-0000DE2C0000}"/>
    <cellStyle name="Normal 5 2 3 4 2 2 3 3" xfId="13478" xr:uid="{00000000-0005-0000-0000-0000DF2C0000}"/>
    <cellStyle name="Normal 5 2 3 4 2 2 3 3 2" xfId="33193" xr:uid="{00000000-0005-0000-0000-0000E02C0000}"/>
    <cellStyle name="Normal 5 2 3 4 2 2 3 4" xfId="23336" xr:uid="{00000000-0005-0000-0000-0000E12C0000}"/>
    <cellStyle name="Normal 5 2 3 4 2 2 4" xfId="6082" xr:uid="{00000000-0005-0000-0000-0000E22C0000}"/>
    <cellStyle name="Normal 5 2 3 4 2 2 4 2" xfId="15942" xr:uid="{00000000-0005-0000-0000-0000E32C0000}"/>
    <cellStyle name="Normal 5 2 3 4 2 2 4 2 2" xfId="35657" xr:uid="{00000000-0005-0000-0000-0000E42C0000}"/>
    <cellStyle name="Normal 5 2 3 4 2 2 4 3" xfId="25800" xr:uid="{00000000-0005-0000-0000-0000E52C0000}"/>
    <cellStyle name="Normal 5 2 3 4 2 2 5" xfId="11014" xr:uid="{00000000-0005-0000-0000-0000E62C0000}"/>
    <cellStyle name="Normal 5 2 3 4 2 2 5 2" xfId="30729" xr:uid="{00000000-0005-0000-0000-0000E72C0000}"/>
    <cellStyle name="Normal 5 2 3 4 2 2 6" xfId="20872" xr:uid="{00000000-0005-0000-0000-0000E82C0000}"/>
    <cellStyle name="Normal 5 2 3 4 2 3" xfId="1763" xr:uid="{00000000-0005-0000-0000-0000E92C0000}"/>
    <cellStyle name="Normal 5 2 3 4 2 3 2" xfId="4230" xr:uid="{00000000-0005-0000-0000-0000EA2C0000}"/>
    <cellStyle name="Normal 5 2 3 4 2 3 2 2" xfId="9162" xr:uid="{00000000-0005-0000-0000-0000EB2C0000}"/>
    <cellStyle name="Normal 5 2 3 4 2 3 2 2 2" xfId="19022" xr:uid="{00000000-0005-0000-0000-0000EC2C0000}"/>
    <cellStyle name="Normal 5 2 3 4 2 3 2 2 2 2" xfId="38737" xr:uid="{00000000-0005-0000-0000-0000ED2C0000}"/>
    <cellStyle name="Normal 5 2 3 4 2 3 2 2 3" xfId="28880" xr:uid="{00000000-0005-0000-0000-0000EE2C0000}"/>
    <cellStyle name="Normal 5 2 3 4 2 3 2 3" xfId="14094" xr:uid="{00000000-0005-0000-0000-0000EF2C0000}"/>
    <cellStyle name="Normal 5 2 3 4 2 3 2 3 2" xfId="33809" xr:uid="{00000000-0005-0000-0000-0000F02C0000}"/>
    <cellStyle name="Normal 5 2 3 4 2 3 2 4" xfId="23952" xr:uid="{00000000-0005-0000-0000-0000F12C0000}"/>
    <cellStyle name="Normal 5 2 3 4 2 3 3" xfId="6698" xr:uid="{00000000-0005-0000-0000-0000F22C0000}"/>
    <cellStyle name="Normal 5 2 3 4 2 3 3 2" xfId="16558" xr:uid="{00000000-0005-0000-0000-0000F32C0000}"/>
    <cellStyle name="Normal 5 2 3 4 2 3 3 2 2" xfId="36273" xr:uid="{00000000-0005-0000-0000-0000F42C0000}"/>
    <cellStyle name="Normal 5 2 3 4 2 3 3 3" xfId="26416" xr:uid="{00000000-0005-0000-0000-0000F52C0000}"/>
    <cellStyle name="Normal 5 2 3 4 2 3 4" xfId="11630" xr:uid="{00000000-0005-0000-0000-0000F62C0000}"/>
    <cellStyle name="Normal 5 2 3 4 2 3 4 2" xfId="31345" xr:uid="{00000000-0005-0000-0000-0000F72C0000}"/>
    <cellStyle name="Normal 5 2 3 4 2 3 5" xfId="21488" xr:uid="{00000000-0005-0000-0000-0000F82C0000}"/>
    <cellStyle name="Normal 5 2 3 4 2 4" xfId="2998" xr:uid="{00000000-0005-0000-0000-0000F92C0000}"/>
    <cellStyle name="Normal 5 2 3 4 2 4 2" xfId="7930" xr:uid="{00000000-0005-0000-0000-0000FA2C0000}"/>
    <cellStyle name="Normal 5 2 3 4 2 4 2 2" xfId="17790" xr:uid="{00000000-0005-0000-0000-0000FB2C0000}"/>
    <cellStyle name="Normal 5 2 3 4 2 4 2 2 2" xfId="37505" xr:uid="{00000000-0005-0000-0000-0000FC2C0000}"/>
    <cellStyle name="Normal 5 2 3 4 2 4 2 3" xfId="27648" xr:uid="{00000000-0005-0000-0000-0000FD2C0000}"/>
    <cellStyle name="Normal 5 2 3 4 2 4 3" xfId="12862" xr:uid="{00000000-0005-0000-0000-0000FE2C0000}"/>
    <cellStyle name="Normal 5 2 3 4 2 4 3 2" xfId="32577" xr:uid="{00000000-0005-0000-0000-0000FF2C0000}"/>
    <cellStyle name="Normal 5 2 3 4 2 4 4" xfId="22720" xr:uid="{00000000-0005-0000-0000-0000002D0000}"/>
    <cellStyle name="Normal 5 2 3 4 2 5" xfId="5466" xr:uid="{00000000-0005-0000-0000-0000012D0000}"/>
    <cellStyle name="Normal 5 2 3 4 2 5 2" xfId="15326" xr:uid="{00000000-0005-0000-0000-0000022D0000}"/>
    <cellStyle name="Normal 5 2 3 4 2 5 2 2" xfId="35041" xr:uid="{00000000-0005-0000-0000-0000032D0000}"/>
    <cellStyle name="Normal 5 2 3 4 2 5 3" xfId="25184" xr:uid="{00000000-0005-0000-0000-0000042D0000}"/>
    <cellStyle name="Normal 5 2 3 4 2 6" xfId="10398" xr:uid="{00000000-0005-0000-0000-0000052D0000}"/>
    <cellStyle name="Normal 5 2 3 4 2 6 2" xfId="30113" xr:uid="{00000000-0005-0000-0000-0000062D0000}"/>
    <cellStyle name="Normal 5 2 3 4 2 7" xfId="20256" xr:uid="{00000000-0005-0000-0000-0000072D0000}"/>
    <cellStyle name="Normal 5 2 3 4 3" xfId="837" xr:uid="{00000000-0005-0000-0000-0000082D0000}"/>
    <cellStyle name="Normal 5 2 3 4 3 2" xfId="2073" xr:uid="{00000000-0005-0000-0000-0000092D0000}"/>
    <cellStyle name="Normal 5 2 3 4 3 2 2" xfId="4540" xr:uid="{00000000-0005-0000-0000-00000A2D0000}"/>
    <cellStyle name="Normal 5 2 3 4 3 2 2 2" xfId="9472" xr:uid="{00000000-0005-0000-0000-00000B2D0000}"/>
    <cellStyle name="Normal 5 2 3 4 3 2 2 2 2" xfId="19332" xr:uid="{00000000-0005-0000-0000-00000C2D0000}"/>
    <cellStyle name="Normal 5 2 3 4 3 2 2 2 2 2" xfId="39047" xr:uid="{00000000-0005-0000-0000-00000D2D0000}"/>
    <cellStyle name="Normal 5 2 3 4 3 2 2 2 3" xfId="29190" xr:uid="{00000000-0005-0000-0000-00000E2D0000}"/>
    <cellStyle name="Normal 5 2 3 4 3 2 2 3" xfId="14404" xr:uid="{00000000-0005-0000-0000-00000F2D0000}"/>
    <cellStyle name="Normal 5 2 3 4 3 2 2 3 2" xfId="34119" xr:uid="{00000000-0005-0000-0000-0000102D0000}"/>
    <cellStyle name="Normal 5 2 3 4 3 2 2 4" xfId="24262" xr:uid="{00000000-0005-0000-0000-0000112D0000}"/>
    <cellStyle name="Normal 5 2 3 4 3 2 3" xfId="7008" xr:uid="{00000000-0005-0000-0000-0000122D0000}"/>
    <cellStyle name="Normal 5 2 3 4 3 2 3 2" xfId="16868" xr:uid="{00000000-0005-0000-0000-0000132D0000}"/>
    <cellStyle name="Normal 5 2 3 4 3 2 3 2 2" xfId="36583" xr:uid="{00000000-0005-0000-0000-0000142D0000}"/>
    <cellStyle name="Normal 5 2 3 4 3 2 3 3" xfId="26726" xr:uid="{00000000-0005-0000-0000-0000152D0000}"/>
    <cellStyle name="Normal 5 2 3 4 3 2 4" xfId="11940" xr:uid="{00000000-0005-0000-0000-0000162D0000}"/>
    <cellStyle name="Normal 5 2 3 4 3 2 4 2" xfId="31655" xr:uid="{00000000-0005-0000-0000-0000172D0000}"/>
    <cellStyle name="Normal 5 2 3 4 3 2 5" xfId="21798" xr:uid="{00000000-0005-0000-0000-0000182D0000}"/>
    <cellStyle name="Normal 5 2 3 4 3 3" xfId="3308" xr:uid="{00000000-0005-0000-0000-0000192D0000}"/>
    <cellStyle name="Normal 5 2 3 4 3 3 2" xfId="8240" xr:uid="{00000000-0005-0000-0000-00001A2D0000}"/>
    <cellStyle name="Normal 5 2 3 4 3 3 2 2" xfId="18100" xr:uid="{00000000-0005-0000-0000-00001B2D0000}"/>
    <cellStyle name="Normal 5 2 3 4 3 3 2 2 2" xfId="37815" xr:uid="{00000000-0005-0000-0000-00001C2D0000}"/>
    <cellStyle name="Normal 5 2 3 4 3 3 2 3" xfId="27958" xr:uid="{00000000-0005-0000-0000-00001D2D0000}"/>
    <cellStyle name="Normal 5 2 3 4 3 3 3" xfId="13172" xr:uid="{00000000-0005-0000-0000-00001E2D0000}"/>
    <cellStyle name="Normal 5 2 3 4 3 3 3 2" xfId="32887" xr:uid="{00000000-0005-0000-0000-00001F2D0000}"/>
    <cellStyle name="Normal 5 2 3 4 3 3 4" xfId="23030" xr:uid="{00000000-0005-0000-0000-0000202D0000}"/>
    <cellStyle name="Normal 5 2 3 4 3 4" xfId="5776" xr:uid="{00000000-0005-0000-0000-0000212D0000}"/>
    <cellStyle name="Normal 5 2 3 4 3 4 2" xfId="15636" xr:uid="{00000000-0005-0000-0000-0000222D0000}"/>
    <cellStyle name="Normal 5 2 3 4 3 4 2 2" xfId="35351" xr:uid="{00000000-0005-0000-0000-0000232D0000}"/>
    <cellStyle name="Normal 5 2 3 4 3 4 3" xfId="25494" xr:uid="{00000000-0005-0000-0000-0000242D0000}"/>
    <cellStyle name="Normal 5 2 3 4 3 5" xfId="10708" xr:uid="{00000000-0005-0000-0000-0000252D0000}"/>
    <cellStyle name="Normal 5 2 3 4 3 5 2" xfId="30423" xr:uid="{00000000-0005-0000-0000-0000262D0000}"/>
    <cellStyle name="Normal 5 2 3 4 3 6" xfId="20566" xr:uid="{00000000-0005-0000-0000-0000272D0000}"/>
    <cellStyle name="Normal 5 2 3 4 4" xfId="1457" xr:uid="{00000000-0005-0000-0000-0000282D0000}"/>
    <cellStyle name="Normal 5 2 3 4 4 2" xfId="3924" xr:uid="{00000000-0005-0000-0000-0000292D0000}"/>
    <cellStyle name="Normal 5 2 3 4 4 2 2" xfId="8856" xr:uid="{00000000-0005-0000-0000-00002A2D0000}"/>
    <cellStyle name="Normal 5 2 3 4 4 2 2 2" xfId="18716" xr:uid="{00000000-0005-0000-0000-00002B2D0000}"/>
    <cellStyle name="Normal 5 2 3 4 4 2 2 2 2" xfId="38431" xr:uid="{00000000-0005-0000-0000-00002C2D0000}"/>
    <cellStyle name="Normal 5 2 3 4 4 2 2 3" xfId="28574" xr:uid="{00000000-0005-0000-0000-00002D2D0000}"/>
    <cellStyle name="Normal 5 2 3 4 4 2 3" xfId="13788" xr:uid="{00000000-0005-0000-0000-00002E2D0000}"/>
    <cellStyle name="Normal 5 2 3 4 4 2 3 2" xfId="33503" xr:uid="{00000000-0005-0000-0000-00002F2D0000}"/>
    <cellStyle name="Normal 5 2 3 4 4 2 4" xfId="23646" xr:uid="{00000000-0005-0000-0000-0000302D0000}"/>
    <cellStyle name="Normal 5 2 3 4 4 3" xfId="6392" xr:uid="{00000000-0005-0000-0000-0000312D0000}"/>
    <cellStyle name="Normal 5 2 3 4 4 3 2" xfId="16252" xr:uid="{00000000-0005-0000-0000-0000322D0000}"/>
    <cellStyle name="Normal 5 2 3 4 4 3 2 2" xfId="35967" xr:uid="{00000000-0005-0000-0000-0000332D0000}"/>
    <cellStyle name="Normal 5 2 3 4 4 3 3" xfId="26110" xr:uid="{00000000-0005-0000-0000-0000342D0000}"/>
    <cellStyle name="Normal 5 2 3 4 4 4" xfId="11324" xr:uid="{00000000-0005-0000-0000-0000352D0000}"/>
    <cellStyle name="Normal 5 2 3 4 4 4 2" xfId="31039" xr:uid="{00000000-0005-0000-0000-0000362D0000}"/>
    <cellStyle name="Normal 5 2 3 4 4 5" xfId="21182" xr:uid="{00000000-0005-0000-0000-0000372D0000}"/>
    <cellStyle name="Normal 5 2 3 4 5" xfId="2692" xr:uid="{00000000-0005-0000-0000-0000382D0000}"/>
    <cellStyle name="Normal 5 2 3 4 5 2" xfId="7624" xr:uid="{00000000-0005-0000-0000-0000392D0000}"/>
    <cellStyle name="Normal 5 2 3 4 5 2 2" xfId="17484" xr:uid="{00000000-0005-0000-0000-00003A2D0000}"/>
    <cellStyle name="Normal 5 2 3 4 5 2 2 2" xfId="37199" xr:uid="{00000000-0005-0000-0000-00003B2D0000}"/>
    <cellStyle name="Normal 5 2 3 4 5 2 3" xfId="27342" xr:uid="{00000000-0005-0000-0000-00003C2D0000}"/>
    <cellStyle name="Normal 5 2 3 4 5 3" xfId="12556" xr:uid="{00000000-0005-0000-0000-00003D2D0000}"/>
    <cellStyle name="Normal 5 2 3 4 5 3 2" xfId="32271" xr:uid="{00000000-0005-0000-0000-00003E2D0000}"/>
    <cellStyle name="Normal 5 2 3 4 5 4" xfId="22414" xr:uid="{00000000-0005-0000-0000-00003F2D0000}"/>
    <cellStyle name="Normal 5 2 3 4 6" xfId="5160" xr:uid="{00000000-0005-0000-0000-0000402D0000}"/>
    <cellStyle name="Normal 5 2 3 4 6 2" xfId="15020" xr:uid="{00000000-0005-0000-0000-0000412D0000}"/>
    <cellStyle name="Normal 5 2 3 4 6 2 2" xfId="34735" xr:uid="{00000000-0005-0000-0000-0000422D0000}"/>
    <cellStyle name="Normal 5 2 3 4 6 3" xfId="24878" xr:uid="{00000000-0005-0000-0000-0000432D0000}"/>
    <cellStyle name="Normal 5 2 3 4 7" xfId="10092" xr:uid="{00000000-0005-0000-0000-0000442D0000}"/>
    <cellStyle name="Normal 5 2 3 4 7 2" xfId="29807" xr:uid="{00000000-0005-0000-0000-0000452D0000}"/>
    <cellStyle name="Normal 5 2 3 4 8" xfId="19950" xr:uid="{00000000-0005-0000-0000-0000462D0000}"/>
    <cellStyle name="Normal 5 2 3 5" xfId="372" xr:uid="{00000000-0005-0000-0000-0000472D0000}"/>
    <cellStyle name="Normal 5 2 3 5 2" xfId="992" xr:uid="{00000000-0005-0000-0000-0000482D0000}"/>
    <cellStyle name="Normal 5 2 3 5 2 2" xfId="2227" xr:uid="{00000000-0005-0000-0000-0000492D0000}"/>
    <cellStyle name="Normal 5 2 3 5 2 2 2" xfId="4694" xr:uid="{00000000-0005-0000-0000-00004A2D0000}"/>
    <cellStyle name="Normal 5 2 3 5 2 2 2 2" xfId="9626" xr:uid="{00000000-0005-0000-0000-00004B2D0000}"/>
    <cellStyle name="Normal 5 2 3 5 2 2 2 2 2" xfId="19486" xr:uid="{00000000-0005-0000-0000-00004C2D0000}"/>
    <cellStyle name="Normal 5 2 3 5 2 2 2 2 2 2" xfId="39201" xr:uid="{00000000-0005-0000-0000-00004D2D0000}"/>
    <cellStyle name="Normal 5 2 3 5 2 2 2 2 3" xfId="29344" xr:uid="{00000000-0005-0000-0000-00004E2D0000}"/>
    <cellStyle name="Normal 5 2 3 5 2 2 2 3" xfId="14558" xr:uid="{00000000-0005-0000-0000-00004F2D0000}"/>
    <cellStyle name="Normal 5 2 3 5 2 2 2 3 2" xfId="34273" xr:uid="{00000000-0005-0000-0000-0000502D0000}"/>
    <cellStyle name="Normal 5 2 3 5 2 2 2 4" xfId="24416" xr:uid="{00000000-0005-0000-0000-0000512D0000}"/>
    <cellStyle name="Normal 5 2 3 5 2 2 3" xfId="7162" xr:uid="{00000000-0005-0000-0000-0000522D0000}"/>
    <cellStyle name="Normal 5 2 3 5 2 2 3 2" xfId="17022" xr:uid="{00000000-0005-0000-0000-0000532D0000}"/>
    <cellStyle name="Normal 5 2 3 5 2 2 3 2 2" xfId="36737" xr:uid="{00000000-0005-0000-0000-0000542D0000}"/>
    <cellStyle name="Normal 5 2 3 5 2 2 3 3" xfId="26880" xr:uid="{00000000-0005-0000-0000-0000552D0000}"/>
    <cellStyle name="Normal 5 2 3 5 2 2 4" xfId="12094" xr:uid="{00000000-0005-0000-0000-0000562D0000}"/>
    <cellStyle name="Normal 5 2 3 5 2 2 4 2" xfId="31809" xr:uid="{00000000-0005-0000-0000-0000572D0000}"/>
    <cellStyle name="Normal 5 2 3 5 2 2 5" xfId="21952" xr:uid="{00000000-0005-0000-0000-0000582D0000}"/>
    <cellStyle name="Normal 5 2 3 5 2 3" xfId="3462" xr:uid="{00000000-0005-0000-0000-0000592D0000}"/>
    <cellStyle name="Normal 5 2 3 5 2 3 2" xfId="8394" xr:uid="{00000000-0005-0000-0000-00005A2D0000}"/>
    <cellStyle name="Normal 5 2 3 5 2 3 2 2" xfId="18254" xr:uid="{00000000-0005-0000-0000-00005B2D0000}"/>
    <cellStyle name="Normal 5 2 3 5 2 3 2 2 2" xfId="37969" xr:uid="{00000000-0005-0000-0000-00005C2D0000}"/>
    <cellStyle name="Normal 5 2 3 5 2 3 2 3" xfId="28112" xr:uid="{00000000-0005-0000-0000-00005D2D0000}"/>
    <cellStyle name="Normal 5 2 3 5 2 3 3" xfId="13326" xr:uid="{00000000-0005-0000-0000-00005E2D0000}"/>
    <cellStyle name="Normal 5 2 3 5 2 3 3 2" xfId="33041" xr:uid="{00000000-0005-0000-0000-00005F2D0000}"/>
    <cellStyle name="Normal 5 2 3 5 2 3 4" xfId="23184" xr:uid="{00000000-0005-0000-0000-0000602D0000}"/>
    <cellStyle name="Normal 5 2 3 5 2 4" xfId="5930" xr:uid="{00000000-0005-0000-0000-0000612D0000}"/>
    <cellStyle name="Normal 5 2 3 5 2 4 2" xfId="15790" xr:uid="{00000000-0005-0000-0000-0000622D0000}"/>
    <cellStyle name="Normal 5 2 3 5 2 4 2 2" xfId="35505" xr:uid="{00000000-0005-0000-0000-0000632D0000}"/>
    <cellStyle name="Normal 5 2 3 5 2 4 3" xfId="25648" xr:uid="{00000000-0005-0000-0000-0000642D0000}"/>
    <cellStyle name="Normal 5 2 3 5 2 5" xfId="10862" xr:uid="{00000000-0005-0000-0000-0000652D0000}"/>
    <cellStyle name="Normal 5 2 3 5 2 5 2" xfId="30577" xr:uid="{00000000-0005-0000-0000-0000662D0000}"/>
    <cellStyle name="Normal 5 2 3 5 2 6" xfId="20720" xr:uid="{00000000-0005-0000-0000-0000672D0000}"/>
    <cellStyle name="Normal 5 2 3 5 3" xfId="1611" xr:uid="{00000000-0005-0000-0000-0000682D0000}"/>
    <cellStyle name="Normal 5 2 3 5 3 2" xfId="4078" xr:uid="{00000000-0005-0000-0000-0000692D0000}"/>
    <cellStyle name="Normal 5 2 3 5 3 2 2" xfId="9010" xr:uid="{00000000-0005-0000-0000-00006A2D0000}"/>
    <cellStyle name="Normal 5 2 3 5 3 2 2 2" xfId="18870" xr:uid="{00000000-0005-0000-0000-00006B2D0000}"/>
    <cellStyle name="Normal 5 2 3 5 3 2 2 2 2" xfId="38585" xr:uid="{00000000-0005-0000-0000-00006C2D0000}"/>
    <cellStyle name="Normal 5 2 3 5 3 2 2 3" xfId="28728" xr:uid="{00000000-0005-0000-0000-00006D2D0000}"/>
    <cellStyle name="Normal 5 2 3 5 3 2 3" xfId="13942" xr:uid="{00000000-0005-0000-0000-00006E2D0000}"/>
    <cellStyle name="Normal 5 2 3 5 3 2 3 2" xfId="33657" xr:uid="{00000000-0005-0000-0000-00006F2D0000}"/>
    <cellStyle name="Normal 5 2 3 5 3 2 4" xfId="23800" xr:uid="{00000000-0005-0000-0000-0000702D0000}"/>
    <cellStyle name="Normal 5 2 3 5 3 3" xfId="6546" xr:uid="{00000000-0005-0000-0000-0000712D0000}"/>
    <cellStyle name="Normal 5 2 3 5 3 3 2" xfId="16406" xr:uid="{00000000-0005-0000-0000-0000722D0000}"/>
    <cellStyle name="Normal 5 2 3 5 3 3 2 2" xfId="36121" xr:uid="{00000000-0005-0000-0000-0000732D0000}"/>
    <cellStyle name="Normal 5 2 3 5 3 3 3" xfId="26264" xr:uid="{00000000-0005-0000-0000-0000742D0000}"/>
    <cellStyle name="Normal 5 2 3 5 3 4" xfId="11478" xr:uid="{00000000-0005-0000-0000-0000752D0000}"/>
    <cellStyle name="Normal 5 2 3 5 3 4 2" xfId="31193" xr:uid="{00000000-0005-0000-0000-0000762D0000}"/>
    <cellStyle name="Normal 5 2 3 5 3 5" xfId="21336" xr:uid="{00000000-0005-0000-0000-0000772D0000}"/>
    <cellStyle name="Normal 5 2 3 5 4" xfId="2846" xr:uid="{00000000-0005-0000-0000-0000782D0000}"/>
    <cellStyle name="Normal 5 2 3 5 4 2" xfId="7778" xr:uid="{00000000-0005-0000-0000-0000792D0000}"/>
    <cellStyle name="Normal 5 2 3 5 4 2 2" xfId="17638" xr:uid="{00000000-0005-0000-0000-00007A2D0000}"/>
    <cellStyle name="Normal 5 2 3 5 4 2 2 2" xfId="37353" xr:uid="{00000000-0005-0000-0000-00007B2D0000}"/>
    <cellStyle name="Normal 5 2 3 5 4 2 3" xfId="27496" xr:uid="{00000000-0005-0000-0000-00007C2D0000}"/>
    <cellStyle name="Normal 5 2 3 5 4 3" xfId="12710" xr:uid="{00000000-0005-0000-0000-00007D2D0000}"/>
    <cellStyle name="Normal 5 2 3 5 4 3 2" xfId="32425" xr:uid="{00000000-0005-0000-0000-00007E2D0000}"/>
    <cellStyle name="Normal 5 2 3 5 4 4" xfId="22568" xr:uid="{00000000-0005-0000-0000-00007F2D0000}"/>
    <cellStyle name="Normal 5 2 3 5 5" xfId="5314" xr:uid="{00000000-0005-0000-0000-0000802D0000}"/>
    <cellStyle name="Normal 5 2 3 5 5 2" xfId="15174" xr:uid="{00000000-0005-0000-0000-0000812D0000}"/>
    <cellStyle name="Normal 5 2 3 5 5 2 2" xfId="34889" xr:uid="{00000000-0005-0000-0000-0000822D0000}"/>
    <cellStyle name="Normal 5 2 3 5 5 3" xfId="25032" xr:uid="{00000000-0005-0000-0000-0000832D0000}"/>
    <cellStyle name="Normal 5 2 3 5 6" xfId="10246" xr:uid="{00000000-0005-0000-0000-0000842D0000}"/>
    <cellStyle name="Normal 5 2 3 5 6 2" xfId="29961" xr:uid="{00000000-0005-0000-0000-0000852D0000}"/>
    <cellStyle name="Normal 5 2 3 5 7" xfId="20104" xr:uid="{00000000-0005-0000-0000-0000862D0000}"/>
    <cellStyle name="Normal 5 2 3 6" xfId="685" xr:uid="{00000000-0005-0000-0000-0000872D0000}"/>
    <cellStyle name="Normal 5 2 3 6 2" xfId="1921" xr:uid="{00000000-0005-0000-0000-0000882D0000}"/>
    <cellStyle name="Normal 5 2 3 6 2 2" xfId="4388" xr:uid="{00000000-0005-0000-0000-0000892D0000}"/>
    <cellStyle name="Normal 5 2 3 6 2 2 2" xfId="9320" xr:uid="{00000000-0005-0000-0000-00008A2D0000}"/>
    <cellStyle name="Normal 5 2 3 6 2 2 2 2" xfId="19180" xr:uid="{00000000-0005-0000-0000-00008B2D0000}"/>
    <cellStyle name="Normal 5 2 3 6 2 2 2 2 2" xfId="38895" xr:uid="{00000000-0005-0000-0000-00008C2D0000}"/>
    <cellStyle name="Normal 5 2 3 6 2 2 2 3" xfId="29038" xr:uid="{00000000-0005-0000-0000-00008D2D0000}"/>
    <cellStyle name="Normal 5 2 3 6 2 2 3" xfId="14252" xr:uid="{00000000-0005-0000-0000-00008E2D0000}"/>
    <cellStyle name="Normal 5 2 3 6 2 2 3 2" xfId="33967" xr:uid="{00000000-0005-0000-0000-00008F2D0000}"/>
    <cellStyle name="Normal 5 2 3 6 2 2 4" xfId="24110" xr:uid="{00000000-0005-0000-0000-0000902D0000}"/>
    <cellStyle name="Normal 5 2 3 6 2 3" xfId="6856" xr:uid="{00000000-0005-0000-0000-0000912D0000}"/>
    <cellStyle name="Normal 5 2 3 6 2 3 2" xfId="16716" xr:uid="{00000000-0005-0000-0000-0000922D0000}"/>
    <cellStyle name="Normal 5 2 3 6 2 3 2 2" xfId="36431" xr:uid="{00000000-0005-0000-0000-0000932D0000}"/>
    <cellStyle name="Normal 5 2 3 6 2 3 3" xfId="26574" xr:uid="{00000000-0005-0000-0000-0000942D0000}"/>
    <cellStyle name="Normal 5 2 3 6 2 4" xfId="11788" xr:uid="{00000000-0005-0000-0000-0000952D0000}"/>
    <cellStyle name="Normal 5 2 3 6 2 4 2" xfId="31503" xr:uid="{00000000-0005-0000-0000-0000962D0000}"/>
    <cellStyle name="Normal 5 2 3 6 2 5" xfId="21646" xr:uid="{00000000-0005-0000-0000-0000972D0000}"/>
    <cellStyle name="Normal 5 2 3 6 3" xfId="3156" xr:uid="{00000000-0005-0000-0000-0000982D0000}"/>
    <cellStyle name="Normal 5 2 3 6 3 2" xfId="8088" xr:uid="{00000000-0005-0000-0000-0000992D0000}"/>
    <cellStyle name="Normal 5 2 3 6 3 2 2" xfId="17948" xr:uid="{00000000-0005-0000-0000-00009A2D0000}"/>
    <cellStyle name="Normal 5 2 3 6 3 2 2 2" xfId="37663" xr:uid="{00000000-0005-0000-0000-00009B2D0000}"/>
    <cellStyle name="Normal 5 2 3 6 3 2 3" xfId="27806" xr:uid="{00000000-0005-0000-0000-00009C2D0000}"/>
    <cellStyle name="Normal 5 2 3 6 3 3" xfId="13020" xr:uid="{00000000-0005-0000-0000-00009D2D0000}"/>
    <cellStyle name="Normal 5 2 3 6 3 3 2" xfId="32735" xr:uid="{00000000-0005-0000-0000-00009E2D0000}"/>
    <cellStyle name="Normal 5 2 3 6 3 4" xfId="22878" xr:uid="{00000000-0005-0000-0000-00009F2D0000}"/>
    <cellStyle name="Normal 5 2 3 6 4" xfId="5624" xr:uid="{00000000-0005-0000-0000-0000A02D0000}"/>
    <cellStyle name="Normal 5 2 3 6 4 2" xfId="15484" xr:uid="{00000000-0005-0000-0000-0000A12D0000}"/>
    <cellStyle name="Normal 5 2 3 6 4 2 2" xfId="35199" xr:uid="{00000000-0005-0000-0000-0000A22D0000}"/>
    <cellStyle name="Normal 5 2 3 6 4 3" xfId="25342" xr:uid="{00000000-0005-0000-0000-0000A32D0000}"/>
    <cellStyle name="Normal 5 2 3 6 5" xfId="10556" xr:uid="{00000000-0005-0000-0000-0000A42D0000}"/>
    <cellStyle name="Normal 5 2 3 6 5 2" xfId="30271" xr:uid="{00000000-0005-0000-0000-0000A52D0000}"/>
    <cellStyle name="Normal 5 2 3 6 6" xfId="20414" xr:uid="{00000000-0005-0000-0000-0000A62D0000}"/>
    <cellStyle name="Normal 5 2 3 7" xfId="1305" xr:uid="{00000000-0005-0000-0000-0000A72D0000}"/>
    <cellStyle name="Normal 5 2 3 7 2" xfId="3772" xr:uid="{00000000-0005-0000-0000-0000A82D0000}"/>
    <cellStyle name="Normal 5 2 3 7 2 2" xfId="8704" xr:uid="{00000000-0005-0000-0000-0000A92D0000}"/>
    <cellStyle name="Normal 5 2 3 7 2 2 2" xfId="18564" xr:uid="{00000000-0005-0000-0000-0000AA2D0000}"/>
    <cellStyle name="Normal 5 2 3 7 2 2 2 2" xfId="38279" xr:uid="{00000000-0005-0000-0000-0000AB2D0000}"/>
    <cellStyle name="Normal 5 2 3 7 2 2 3" xfId="28422" xr:uid="{00000000-0005-0000-0000-0000AC2D0000}"/>
    <cellStyle name="Normal 5 2 3 7 2 3" xfId="13636" xr:uid="{00000000-0005-0000-0000-0000AD2D0000}"/>
    <cellStyle name="Normal 5 2 3 7 2 3 2" xfId="33351" xr:uid="{00000000-0005-0000-0000-0000AE2D0000}"/>
    <cellStyle name="Normal 5 2 3 7 2 4" xfId="23494" xr:uid="{00000000-0005-0000-0000-0000AF2D0000}"/>
    <cellStyle name="Normal 5 2 3 7 3" xfId="6240" xr:uid="{00000000-0005-0000-0000-0000B02D0000}"/>
    <cellStyle name="Normal 5 2 3 7 3 2" xfId="16100" xr:uid="{00000000-0005-0000-0000-0000B12D0000}"/>
    <cellStyle name="Normal 5 2 3 7 3 2 2" xfId="35815" xr:uid="{00000000-0005-0000-0000-0000B22D0000}"/>
    <cellStyle name="Normal 5 2 3 7 3 3" xfId="25958" xr:uid="{00000000-0005-0000-0000-0000B32D0000}"/>
    <cellStyle name="Normal 5 2 3 7 4" xfId="11172" xr:uid="{00000000-0005-0000-0000-0000B42D0000}"/>
    <cellStyle name="Normal 5 2 3 7 4 2" xfId="30887" xr:uid="{00000000-0005-0000-0000-0000B52D0000}"/>
    <cellStyle name="Normal 5 2 3 7 5" xfId="21030" xr:uid="{00000000-0005-0000-0000-0000B62D0000}"/>
    <cellStyle name="Normal 5 2 3 8" xfId="2540" xr:uid="{00000000-0005-0000-0000-0000B72D0000}"/>
    <cellStyle name="Normal 5 2 3 8 2" xfId="7472" xr:uid="{00000000-0005-0000-0000-0000B82D0000}"/>
    <cellStyle name="Normal 5 2 3 8 2 2" xfId="17332" xr:uid="{00000000-0005-0000-0000-0000B92D0000}"/>
    <cellStyle name="Normal 5 2 3 8 2 2 2" xfId="37047" xr:uid="{00000000-0005-0000-0000-0000BA2D0000}"/>
    <cellStyle name="Normal 5 2 3 8 2 3" xfId="27190" xr:uid="{00000000-0005-0000-0000-0000BB2D0000}"/>
    <cellStyle name="Normal 5 2 3 8 3" xfId="12404" xr:uid="{00000000-0005-0000-0000-0000BC2D0000}"/>
    <cellStyle name="Normal 5 2 3 8 3 2" xfId="32119" xr:uid="{00000000-0005-0000-0000-0000BD2D0000}"/>
    <cellStyle name="Normal 5 2 3 8 4" xfId="22262" xr:uid="{00000000-0005-0000-0000-0000BE2D0000}"/>
    <cellStyle name="Normal 5 2 3 9" xfId="5008" xr:uid="{00000000-0005-0000-0000-0000BF2D0000}"/>
    <cellStyle name="Normal 5 2 3 9 2" xfId="14868" xr:uid="{00000000-0005-0000-0000-0000C02D0000}"/>
    <cellStyle name="Normal 5 2 3 9 2 2" xfId="34583" xr:uid="{00000000-0005-0000-0000-0000C12D0000}"/>
    <cellStyle name="Normal 5 2 3 9 3" xfId="24726" xr:uid="{00000000-0005-0000-0000-0000C22D0000}"/>
    <cellStyle name="Normal 5 2 4" xfId="66" xr:uid="{00000000-0005-0000-0000-0000C32D0000}"/>
    <cellStyle name="Normal 5 2 4 10" xfId="19817" xr:uid="{00000000-0005-0000-0000-0000C42D0000}"/>
    <cellStyle name="Normal 5 2 4 2" xfId="148" xr:uid="{00000000-0005-0000-0000-0000C52D0000}"/>
    <cellStyle name="Normal 5 2 4 2 2" xfId="305" xr:uid="{00000000-0005-0000-0000-0000C62D0000}"/>
    <cellStyle name="Normal 5 2 4 2 2 2" xfId="619" xr:uid="{00000000-0005-0000-0000-0000C72D0000}"/>
    <cellStyle name="Normal 5 2 4 2 2 2 2" xfId="1239" xr:uid="{00000000-0005-0000-0000-0000C82D0000}"/>
    <cellStyle name="Normal 5 2 4 2 2 2 2 2" xfId="2474" xr:uid="{00000000-0005-0000-0000-0000C92D0000}"/>
    <cellStyle name="Normal 5 2 4 2 2 2 2 2 2" xfId="4941" xr:uid="{00000000-0005-0000-0000-0000CA2D0000}"/>
    <cellStyle name="Normal 5 2 4 2 2 2 2 2 2 2" xfId="9873" xr:uid="{00000000-0005-0000-0000-0000CB2D0000}"/>
    <cellStyle name="Normal 5 2 4 2 2 2 2 2 2 2 2" xfId="19733" xr:uid="{00000000-0005-0000-0000-0000CC2D0000}"/>
    <cellStyle name="Normal 5 2 4 2 2 2 2 2 2 2 2 2" xfId="39448" xr:uid="{00000000-0005-0000-0000-0000CD2D0000}"/>
    <cellStyle name="Normal 5 2 4 2 2 2 2 2 2 2 3" xfId="29591" xr:uid="{00000000-0005-0000-0000-0000CE2D0000}"/>
    <cellStyle name="Normal 5 2 4 2 2 2 2 2 2 3" xfId="14805" xr:uid="{00000000-0005-0000-0000-0000CF2D0000}"/>
    <cellStyle name="Normal 5 2 4 2 2 2 2 2 2 3 2" xfId="34520" xr:uid="{00000000-0005-0000-0000-0000D02D0000}"/>
    <cellStyle name="Normal 5 2 4 2 2 2 2 2 2 4" xfId="24663" xr:uid="{00000000-0005-0000-0000-0000D12D0000}"/>
    <cellStyle name="Normal 5 2 4 2 2 2 2 2 3" xfId="7409" xr:uid="{00000000-0005-0000-0000-0000D22D0000}"/>
    <cellStyle name="Normal 5 2 4 2 2 2 2 2 3 2" xfId="17269" xr:uid="{00000000-0005-0000-0000-0000D32D0000}"/>
    <cellStyle name="Normal 5 2 4 2 2 2 2 2 3 2 2" xfId="36984" xr:uid="{00000000-0005-0000-0000-0000D42D0000}"/>
    <cellStyle name="Normal 5 2 4 2 2 2 2 2 3 3" xfId="27127" xr:uid="{00000000-0005-0000-0000-0000D52D0000}"/>
    <cellStyle name="Normal 5 2 4 2 2 2 2 2 4" xfId="12341" xr:uid="{00000000-0005-0000-0000-0000D62D0000}"/>
    <cellStyle name="Normal 5 2 4 2 2 2 2 2 4 2" xfId="32056" xr:uid="{00000000-0005-0000-0000-0000D72D0000}"/>
    <cellStyle name="Normal 5 2 4 2 2 2 2 2 5" xfId="22199" xr:uid="{00000000-0005-0000-0000-0000D82D0000}"/>
    <cellStyle name="Normal 5 2 4 2 2 2 2 3" xfId="3709" xr:uid="{00000000-0005-0000-0000-0000D92D0000}"/>
    <cellStyle name="Normal 5 2 4 2 2 2 2 3 2" xfId="8641" xr:uid="{00000000-0005-0000-0000-0000DA2D0000}"/>
    <cellStyle name="Normal 5 2 4 2 2 2 2 3 2 2" xfId="18501" xr:uid="{00000000-0005-0000-0000-0000DB2D0000}"/>
    <cellStyle name="Normal 5 2 4 2 2 2 2 3 2 2 2" xfId="38216" xr:uid="{00000000-0005-0000-0000-0000DC2D0000}"/>
    <cellStyle name="Normal 5 2 4 2 2 2 2 3 2 3" xfId="28359" xr:uid="{00000000-0005-0000-0000-0000DD2D0000}"/>
    <cellStyle name="Normal 5 2 4 2 2 2 2 3 3" xfId="13573" xr:uid="{00000000-0005-0000-0000-0000DE2D0000}"/>
    <cellStyle name="Normal 5 2 4 2 2 2 2 3 3 2" xfId="33288" xr:uid="{00000000-0005-0000-0000-0000DF2D0000}"/>
    <cellStyle name="Normal 5 2 4 2 2 2 2 3 4" xfId="23431" xr:uid="{00000000-0005-0000-0000-0000E02D0000}"/>
    <cellStyle name="Normal 5 2 4 2 2 2 2 4" xfId="6177" xr:uid="{00000000-0005-0000-0000-0000E12D0000}"/>
    <cellStyle name="Normal 5 2 4 2 2 2 2 4 2" xfId="16037" xr:uid="{00000000-0005-0000-0000-0000E22D0000}"/>
    <cellStyle name="Normal 5 2 4 2 2 2 2 4 2 2" xfId="35752" xr:uid="{00000000-0005-0000-0000-0000E32D0000}"/>
    <cellStyle name="Normal 5 2 4 2 2 2 2 4 3" xfId="25895" xr:uid="{00000000-0005-0000-0000-0000E42D0000}"/>
    <cellStyle name="Normal 5 2 4 2 2 2 2 5" xfId="11109" xr:uid="{00000000-0005-0000-0000-0000E52D0000}"/>
    <cellStyle name="Normal 5 2 4 2 2 2 2 5 2" xfId="30824" xr:uid="{00000000-0005-0000-0000-0000E62D0000}"/>
    <cellStyle name="Normal 5 2 4 2 2 2 2 6" xfId="20967" xr:uid="{00000000-0005-0000-0000-0000E72D0000}"/>
    <cellStyle name="Normal 5 2 4 2 2 2 3" xfId="1858" xr:uid="{00000000-0005-0000-0000-0000E82D0000}"/>
    <cellStyle name="Normal 5 2 4 2 2 2 3 2" xfId="4325" xr:uid="{00000000-0005-0000-0000-0000E92D0000}"/>
    <cellStyle name="Normal 5 2 4 2 2 2 3 2 2" xfId="9257" xr:uid="{00000000-0005-0000-0000-0000EA2D0000}"/>
    <cellStyle name="Normal 5 2 4 2 2 2 3 2 2 2" xfId="19117" xr:uid="{00000000-0005-0000-0000-0000EB2D0000}"/>
    <cellStyle name="Normal 5 2 4 2 2 2 3 2 2 2 2" xfId="38832" xr:uid="{00000000-0005-0000-0000-0000EC2D0000}"/>
    <cellStyle name="Normal 5 2 4 2 2 2 3 2 2 3" xfId="28975" xr:uid="{00000000-0005-0000-0000-0000ED2D0000}"/>
    <cellStyle name="Normal 5 2 4 2 2 2 3 2 3" xfId="14189" xr:uid="{00000000-0005-0000-0000-0000EE2D0000}"/>
    <cellStyle name="Normal 5 2 4 2 2 2 3 2 3 2" xfId="33904" xr:uid="{00000000-0005-0000-0000-0000EF2D0000}"/>
    <cellStyle name="Normal 5 2 4 2 2 2 3 2 4" xfId="24047" xr:uid="{00000000-0005-0000-0000-0000F02D0000}"/>
    <cellStyle name="Normal 5 2 4 2 2 2 3 3" xfId="6793" xr:uid="{00000000-0005-0000-0000-0000F12D0000}"/>
    <cellStyle name="Normal 5 2 4 2 2 2 3 3 2" xfId="16653" xr:uid="{00000000-0005-0000-0000-0000F22D0000}"/>
    <cellStyle name="Normal 5 2 4 2 2 2 3 3 2 2" xfId="36368" xr:uid="{00000000-0005-0000-0000-0000F32D0000}"/>
    <cellStyle name="Normal 5 2 4 2 2 2 3 3 3" xfId="26511" xr:uid="{00000000-0005-0000-0000-0000F42D0000}"/>
    <cellStyle name="Normal 5 2 4 2 2 2 3 4" xfId="11725" xr:uid="{00000000-0005-0000-0000-0000F52D0000}"/>
    <cellStyle name="Normal 5 2 4 2 2 2 3 4 2" xfId="31440" xr:uid="{00000000-0005-0000-0000-0000F62D0000}"/>
    <cellStyle name="Normal 5 2 4 2 2 2 3 5" xfId="21583" xr:uid="{00000000-0005-0000-0000-0000F72D0000}"/>
    <cellStyle name="Normal 5 2 4 2 2 2 4" xfId="3093" xr:uid="{00000000-0005-0000-0000-0000F82D0000}"/>
    <cellStyle name="Normal 5 2 4 2 2 2 4 2" xfId="8025" xr:uid="{00000000-0005-0000-0000-0000F92D0000}"/>
    <cellStyle name="Normal 5 2 4 2 2 2 4 2 2" xfId="17885" xr:uid="{00000000-0005-0000-0000-0000FA2D0000}"/>
    <cellStyle name="Normal 5 2 4 2 2 2 4 2 2 2" xfId="37600" xr:uid="{00000000-0005-0000-0000-0000FB2D0000}"/>
    <cellStyle name="Normal 5 2 4 2 2 2 4 2 3" xfId="27743" xr:uid="{00000000-0005-0000-0000-0000FC2D0000}"/>
    <cellStyle name="Normal 5 2 4 2 2 2 4 3" xfId="12957" xr:uid="{00000000-0005-0000-0000-0000FD2D0000}"/>
    <cellStyle name="Normal 5 2 4 2 2 2 4 3 2" xfId="32672" xr:uid="{00000000-0005-0000-0000-0000FE2D0000}"/>
    <cellStyle name="Normal 5 2 4 2 2 2 4 4" xfId="22815" xr:uid="{00000000-0005-0000-0000-0000FF2D0000}"/>
    <cellStyle name="Normal 5 2 4 2 2 2 5" xfId="5561" xr:uid="{00000000-0005-0000-0000-0000002E0000}"/>
    <cellStyle name="Normal 5 2 4 2 2 2 5 2" xfId="15421" xr:uid="{00000000-0005-0000-0000-0000012E0000}"/>
    <cellStyle name="Normal 5 2 4 2 2 2 5 2 2" xfId="35136" xr:uid="{00000000-0005-0000-0000-0000022E0000}"/>
    <cellStyle name="Normal 5 2 4 2 2 2 5 3" xfId="25279" xr:uid="{00000000-0005-0000-0000-0000032E0000}"/>
    <cellStyle name="Normal 5 2 4 2 2 2 6" xfId="10493" xr:uid="{00000000-0005-0000-0000-0000042E0000}"/>
    <cellStyle name="Normal 5 2 4 2 2 2 6 2" xfId="30208" xr:uid="{00000000-0005-0000-0000-0000052E0000}"/>
    <cellStyle name="Normal 5 2 4 2 2 2 7" xfId="20351" xr:uid="{00000000-0005-0000-0000-0000062E0000}"/>
    <cellStyle name="Normal 5 2 4 2 2 3" xfId="932" xr:uid="{00000000-0005-0000-0000-0000072E0000}"/>
    <cellStyle name="Normal 5 2 4 2 2 3 2" xfId="2168" xr:uid="{00000000-0005-0000-0000-0000082E0000}"/>
    <cellStyle name="Normal 5 2 4 2 2 3 2 2" xfId="4635" xr:uid="{00000000-0005-0000-0000-0000092E0000}"/>
    <cellStyle name="Normal 5 2 4 2 2 3 2 2 2" xfId="9567" xr:uid="{00000000-0005-0000-0000-00000A2E0000}"/>
    <cellStyle name="Normal 5 2 4 2 2 3 2 2 2 2" xfId="19427" xr:uid="{00000000-0005-0000-0000-00000B2E0000}"/>
    <cellStyle name="Normal 5 2 4 2 2 3 2 2 2 2 2" xfId="39142" xr:uid="{00000000-0005-0000-0000-00000C2E0000}"/>
    <cellStyle name="Normal 5 2 4 2 2 3 2 2 2 3" xfId="29285" xr:uid="{00000000-0005-0000-0000-00000D2E0000}"/>
    <cellStyle name="Normal 5 2 4 2 2 3 2 2 3" xfId="14499" xr:uid="{00000000-0005-0000-0000-00000E2E0000}"/>
    <cellStyle name="Normal 5 2 4 2 2 3 2 2 3 2" xfId="34214" xr:uid="{00000000-0005-0000-0000-00000F2E0000}"/>
    <cellStyle name="Normal 5 2 4 2 2 3 2 2 4" xfId="24357" xr:uid="{00000000-0005-0000-0000-0000102E0000}"/>
    <cellStyle name="Normal 5 2 4 2 2 3 2 3" xfId="7103" xr:uid="{00000000-0005-0000-0000-0000112E0000}"/>
    <cellStyle name="Normal 5 2 4 2 2 3 2 3 2" xfId="16963" xr:uid="{00000000-0005-0000-0000-0000122E0000}"/>
    <cellStyle name="Normal 5 2 4 2 2 3 2 3 2 2" xfId="36678" xr:uid="{00000000-0005-0000-0000-0000132E0000}"/>
    <cellStyle name="Normal 5 2 4 2 2 3 2 3 3" xfId="26821" xr:uid="{00000000-0005-0000-0000-0000142E0000}"/>
    <cellStyle name="Normal 5 2 4 2 2 3 2 4" xfId="12035" xr:uid="{00000000-0005-0000-0000-0000152E0000}"/>
    <cellStyle name="Normal 5 2 4 2 2 3 2 4 2" xfId="31750" xr:uid="{00000000-0005-0000-0000-0000162E0000}"/>
    <cellStyle name="Normal 5 2 4 2 2 3 2 5" xfId="21893" xr:uid="{00000000-0005-0000-0000-0000172E0000}"/>
    <cellStyle name="Normal 5 2 4 2 2 3 3" xfId="3403" xr:uid="{00000000-0005-0000-0000-0000182E0000}"/>
    <cellStyle name="Normal 5 2 4 2 2 3 3 2" xfId="8335" xr:uid="{00000000-0005-0000-0000-0000192E0000}"/>
    <cellStyle name="Normal 5 2 4 2 2 3 3 2 2" xfId="18195" xr:uid="{00000000-0005-0000-0000-00001A2E0000}"/>
    <cellStyle name="Normal 5 2 4 2 2 3 3 2 2 2" xfId="37910" xr:uid="{00000000-0005-0000-0000-00001B2E0000}"/>
    <cellStyle name="Normal 5 2 4 2 2 3 3 2 3" xfId="28053" xr:uid="{00000000-0005-0000-0000-00001C2E0000}"/>
    <cellStyle name="Normal 5 2 4 2 2 3 3 3" xfId="13267" xr:uid="{00000000-0005-0000-0000-00001D2E0000}"/>
    <cellStyle name="Normal 5 2 4 2 2 3 3 3 2" xfId="32982" xr:uid="{00000000-0005-0000-0000-00001E2E0000}"/>
    <cellStyle name="Normal 5 2 4 2 2 3 3 4" xfId="23125" xr:uid="{00000000-0005-0000-0000-00001F2E0000}"/>
    <cellStyle name="Normal 5 2 4 2 2 3 4" xfId="5871" xr:uid="{00000000-0005-0000-0000-0000202E0000}"/>
    <cellStyle name="Normal 5 2 4 2 2 3 4 2" xfId="15731" xr:uid="{00000000-0005-0000-0000-0000212E0000}"/>
    <cellStyle name="Normal 5 2 4 2 2 3 4 2 2" xfId="35446" xr:uid="{00000000-0005-0000-0000-0000222E0000}"/>
    <cellStyle name="Normal 5 2 4 2 2 3 4 3" xfId="25589" xr:uid="{00000000-0005-0000-0000-0000232E0000}"/>
    <cellStyle name="Normal 5 2 4 2 2 3 5" xfId="10803" xr:uid="{00000000-0005-0000-0000-0000242E0000}"/>
    <cellStyle name="Normal 5 2 4 2 2 3 5 2" xfId="30518" xr:uid="{00000000-0005-0000-0000-0000252E0000}"/>
    <cellStyle name="Normal 5 2 4 2 2 3 6" xfId="20661" xr:uid="{00000000-0005-0000-0000-0000262E0000}"/>
    <cellStyle name="Normal 5 2 4 2 2 4" xfId="1552" xr:uid="{00000000-0005-0000-0000-0000272E0000}"/>
    <cellStyle name="Normal 5 2 4 2 2 4 2" xfId="4019" xr:uid="{00000000-0005-0000-0000-0000282E0000}"/>
    <cellStyle name="Normal 5 2 4 2 2 4 2 2" xfId="8951" xr:uid="{00000000-0005-0000-0000-0000292E0000}"/>
    <cellStyle name="Normal 5 2 4 2 2 4 2 2 2" xfId="18811" xr:uid="{00000000-0005-0000-0000-00002A2E0000}"/>
    <cellStyle name="Normal 5 2 4 2 2 4 2 2 2 2" xfId="38526" xr:uid="{00000000-0005-0000-0000-00002B2E0000}"/>
    <cellStyle name="Normal 5 2 4 2 2 4 2 2 3" xfId="28669" xr:uid="{00000000-0005-0000-0000-00002C2E0000}"/>
    <cellStyle name="Normal 5 2 4 2 2 4 2 3" xfId="13883" xr:uid="{00000000-0005-0000-0000-00002D2E0000}"/>
    <cellStyle name="Normal 5 2 4 2 2 4 2 3 2" xfId="33598" xr:uid="{00000000-0005-0000-0000-00002E2E0000}"/>
    <cellStyle name="Normal 5 2 4 2 2 4 2 4" xfId="23741" xr:uid="{00000000-0005-0000-0000-00002F2E0000}"/>
    <cellStyle name="Normal 5 2 4 2 2 4 3" xfId="6487" xr:uid="{00000000-0005-0000-0000-0000302E0000}"/>
    <cellStyle name="Normal 5 2 4 2 2 4 3 2" xfId="16347" xr:uid="{00000000-0005-0000-0000-0000312E0000}"/>
    <cellStyle name="Normal 5 2 4 2 2 4 3 2 2" xfId="36062" xr:uid="{00000000-0005-0000-0000-0000322E0000}"/>
    <cellStyle name="Normal 5 2 4 2 2 4 3 3" xfId="26205" xr:uid="{00000000-0005-0000-0000-0000332E0000}"/>
    <cellStyle name="Normal 5 2 4 2 2 4 4" xfId="11419" xr:uid="{00000000-0005-0000-0000-0000342E0000}"/>
    <cellStyle name="Normal 5 2 4 2 2 4 4 2" xfId="31134" xr:uid="{00000000-0005-0000-0000-0000352E0000}"/>
    <cellStyle name="Normal 5 2 4 2 2 4 5" xfId="21277" xr:uid="{00000000-0005-0000-0000-0000362E0000}"/>
    <cellStyle name="Normal 5 2 4 2 2 5" xfId="2787" xr:uid="{00000000-0005-0000-0000-0000372E0000}"/>
    <cellStyle name="Normal 5 2 4 2 2 5 2" xfId="7719" xr:uid="{00000000-0005-0000-0000-0000382E0000}"/>
    <cellStyle name="Normal 5 2 4 2 2 5 2 2" xfId="17579" xr:uid="{00000000-0005-0000-0000-0000392E0000}"/>
    <cellStyle name="Normal 5 2 4 2 2 5 2 2 2" xfId="37294" xr:uid="{00000000-0005-0000-0000-00003A2E0000}"/>
    <cellStyle name="Normal 5 2 4 2 2 5 2 3" xfId="27437" xr:uid="{00000000-0005-0000-0000-00003B2E0000}"/>
    <cellStyle name="Normal 5 2 4 2 2 5 3" xfId="12651" xr:uid="{00000000-0005-0000-0000-00003C2E0000}"/>
    <cellStyle name="Normal 5 2 4 2 2 5 3 2" xfId="32366" xr:uid="{00000000-0005-0000-0000-00003D2E0000}"/>
    <cellStyle name="Normal 5 2 4 2 2 5 4" xfId="22509" xr:uid="{00000000-0005-0000-0000-00003E2E0000}"/>
    <cellStyle name="Normal 5 2 4 2 2 6" xfId="5255" xr:uid="{00000000-0005-0000-0000-00003F2E0000}"/>
    <cellStyle name="Normal 5 2 4 2 2 6 2" xfId="15115" xr:uid="{00000000-0005-0000-0000-0000402E0000}"/>
    <cellStyle name="Normal 5 2 4 2 2 6 2 2" xfId="34830" xr:uid="{00000000-0005-0000-0000-0000412E0000}"/>
    <cellStyle name="Normal 5 2 4 2 2 6 3" xfId="24973" xr:uid="{00000000-0005-0000-0000-0000422E0000}"/>
    <cellStyle name="Normal 5 2 4 2 2 7" xfId="10187" xr:uid="{00000000-0005-0000-0000-0000432E0000}"/>
    <cellStyle name="Normal 5 2 4 2 2 7 2" xfId="29902" xr:uid="{00000000-0005-0000-0000-0000442E0000}"/>
    <cellStyle name="Normal 5 2 4 2 2 8" xfId="20045" xr:uid="{00000000-0005-0000-0000-0000452E0000}"/>
    <cellStyle name="Normal 5 2 4 2 3" xfId="467" xr:uid="{00000000-0005-0000-0000-0000462E0000}"/>
    <cellStyle name="Normal 5 2 4 2 3 2" xfId="1087" xr:uid="{00000000-0005-0000-0000-0000472E0000}"/>
    <cellStyle name="Normal 5 2 4 2 3 2 2" xfId="2322" xr:uid="{00000000-0005-0000-0000-0000482E0000}"/>
    <cellStyle name="Normal 5 2 4 2 3 2 2 2" xfId="4789" xr:uid="{00000000-0005-0000-0000-0000492E0000}"/>
    <cellStyle name="Normal 5 2 4 2 3 2 2 2 2" xfId="9721" xr:uid="{00000000-0005-0000-0000-00004A2E0000}"/>
    <cellStyle name="Normal 5 2 4 2 3 2 2 2 2 2" xfId="19581" xr:uid="{00000000-0005-0000-0000-00004B2E0000}"/>
    <cellStyle name="Normal 5 2 4 2 3 2 2 2 2 2 2" xfId="39296" xr:uid="{00000000-0005-0000-0000-00004C2E0000}"/>
    <cellStyle name="Normal 5 2 4 2 3 2 2 2 2 3" xfId="29439" xr:uid="{00000000-0005-0000-0000-00004D2E0000}"/>
    <cellStyle name="Normal 5 2 4 2 3 2 2 2 3" xfId="14653" xr:uid="{00000000-0005-0000-0000-00004E2E0000}"/>
    <cellStyle name="Normal 5 2 4 2 3 2 2 2 3 2" xfId="34368" xr:uid="{00000000-0005-0000-0000-00004F2E0000}"/>
    <cellStyle name="Normal 5 2 4 2 3 2 2 2 4" xfId="24511" xr:uid="{00000000-0005-0000-0000-0000502E0000}"/>
    <cellStyle name="Normal 5 2 4 2 3 2 2 3" xfId="7257" xr:uid="{00000000-0005-0000-0000-0000512E0000}"/>
    <cellStyle name="Normal 5 2 4 2 3 2 2 3 2" xfId="17117" xr:uid="{00000000-0005-0000-0000-0000522E0000}"/>
    <cellStyle name="Normal 5 2 4 2 3 2 2 3 2 2" xfId="36832" xr:uid="{00000000-0005-0000-0000-0000532E0000}"/>
    <cellStyle name="Normal 5 2 4 2 3 2 2 3 3" xfId="26975" xr:uid="{00000000-0005-0000-0000-0000542E0000}"/>
    <cellStyle name="Normal 5 2 4 2 3 2 2 4" xfId="12189" xr:uid="{00000000-0005-0000-0000-0000552E0000}"/>
    <cellStyle name="Normal 5 2 4 2 3 2 2 4 2" xfId="31904" xr:uid="{00000000-0005-0000-0000-0000562E0000}"/>
    <cellStyle name="Normal 5 2 4 2 3 2 2 5" xfId="22047" xr:uid="{00000000-0005-0000-0000-0000572E0000}"/>
    <cellStyle name="Normal 5 2 4 2 3 2 3" xfId="3557" xr:uid="{00000000-0005-0000-0000-0000582E0000}"/>
    <cellStyle name="Normal 5 2 4 2 3 2 3 2" xfId="8489" xr:uid="{00000000-0005-0000-0000-0000592E0000}"/>
    <cellStyle name="Normal 5 2 4 2 3 2 3 2 2" xfId="18349" xr:uid="{00000000-0005-0000-0000-00005A2E0000}"/>
    <cellStyle name="Normal 5 2 4 2 3 2 3 2 2 2" xfId="38064" xr:uid="{00000000-0005-0000-0000-00005B2E0000}"/>
    <cellStyle name="Normal 5 2 4 2 3 2 3 2 3" xfId="28207" xr:uid="{00000000-0005-0000-0000-00005C2E0000}"/>
    <cellStyle name="Normal 5 2 4 2 3 2 3 3" xfId="13421" xr:uid="{00000000-0005-0000-0000-00005D2E0000}"/>
    <cellStyle name="Normal 5 2 4 2 3 2 3 3 2" xfId="33136" xr:uid="{00000000-0005-0000-0000-00005E2E0000}"/>
    <cellStyle name="Normal 5 2 4 2 3 2 3 4" xfId="23279" xr:uid="{00000000-0005-0000-0000-00005F2E0000}"/>
    <cellStyle name="Normal 5 2 4 2 3 2 4" xfId="6025" xr:uid="{00000000-0005-0000-0000-0000602E0000}"/>
    <cellStyle name="Normal 5 2 4 2 3 2 4 2" xfId="15885" xr:uid="{00000000-0005-0000-0000-0000612E0000}"/>
    <cellStyle name="Normal 5 2 4 2 3 2 4 2 2" xfId="35600" xr:uid="{00000000-0005-0000-0000-0000622E0000}"/>
    <cellStyle name="Normal 5 2 4 2 3 2 4 3" xfId="25743" xr:uid="{00000000-0005-0000-0000-0000632E0000}"/>
    <cellStyle name="Normal 5 2 4 2 3 2 5" xfId="10957" xr:uid="{00000000-0005-0000-0000-0000642E0000}"/>
    <cellStyle name="Normal 5 2 4 2 3 2 5 2" xfId="30672" xr:uid="{00000000-0005-0000-0000-0000652E0000}"/>
    <cellStyle name="Normal 5 2 4 2 3 2 6" xfId="20815" xr:uid="{00000000-0005-0000-0000-0000662E0000}"/>
    <cellStyle name="Normal 5 2 4 2 3 3" xfId="1706" xr:uid="{00000000-0005-0000-0000-0000672E0000}"/>
    <cellStyle name="Normal 5 2 4 2 3 3 2" xfId="4173" xr:uid="{00000000-0005-0000-0000-0000682E0000}"/>
    <cellStyle name="Normal 5 2 4 2 3 3 2 2" xfId="9105" xr:uid="{00000000-0005-0000-0000-0000692E0000}"/>
    <cellStyle name="Normal 5 2 4 2 3 3 2 2 2" xfId="18965" xr:uid="{00000000-0005-0000-0000-00006A2E0000}"/>
    <cellStyle name="Normal 5 2 4 2 3 3 2 2 2 2" xfId="38680" xr:uid="{00000000-0005-0000-0000-00006B2E0000}"/>
    <cellStyle name="Normal 5 2 4 2 3 3 2 2 3" xfId="28823" xr:uid="{00000000-0005-0000-0000-00006C2E0000}"/>
    <cellStyle name="Normal 5 2 4 2 3 3 2 3" xfId="14037" xr:uid="{00000000-0005-0000-0000-00006D2E0000}"/>
    <cellStyle name="Normal 5 2 4 2 3 3 2 3 2" xfId="33752" xr:uid="{00000000-0005-0000-0000-00006E2E0000}"/>
    <cellStyle name="Normal 5 2 4 2 3 3 2 4" xfId="23895" xr:uid="{00000000-0005-0000-0000-00006F2E0000}"/>
    <cellStyle name="Normal 5 2 4 2 3 3 3" xfId="6641" xr:uid="{00000000-0005-0000-0000-0000702E0000}"/>
    <cellStyle name="Normal 5 2 4 2 3 3 3 2" xfId="16501" xr:uid="{00000000-0005-0000-0000-0000712E0000}"/>
    <cellStyle name="Normal 5 2 4 2 3 3 3 2 2" xfId="36216" xr:uid="{00000000-0005-0000-0000-0000722E0000}"/>
    <cellStyle name="Normal 5 2 4 2 3 3 3 3" xfId="26359" xr:uid="{00000000-0005-0000-0000-0000732E0000}"/>
    <cellStyle name="Normal 5 2 4 2 3 3 4" xfId="11573" xr:uid="{00000000-0005-0000-0000-0000742E0000}"/>
    <cellStyle name="Normal 5 2 4 2 3 3 4 2" xfId="31288" xr:uid="{00000000-0005-0000-0000-0000752E0000}"/>
    <cellStyle name="Normal 5 2 4 2 3 3 5" xfId="21431" xr:uid="{00000000-0005-0000-0000-0000762E0000}"/>
    <cellStyle name="Normal 5 2 4 2 3 4" xfId="2941" xr:uid="{00000000-0005-0000-0000-0000772E0000}"/>
    <cellStyle name="Normal 5 2 4 2 3 4 2" xfId="7873" xr:uid="{00000000-0005-0000-0000-0000782E0000}"/>
    <cellStyle name="Normal 5 2 4 2 3 4 2 2" xfId="17733" xr:uid="{00000000-0005-0000-0000-0000792E0000}"/>
    <cellStyle name="Normal 5 2 4 2 3 4 2 2 2" xfId="37448" xr:uid="{00000000-0005-0000-0000-00007A2E0000}"/>
    <cellStyle name="Normal 5 2 4 2 3 4 2 3" xfId="27591" xr:uid="{00000000-0005-0000-0000-00007B2E0000}"/>
    <cellStyle name="Normal 5 2 4 2 3 4 3" xfId="12805" xr:uid="{00000000-0005-0000-0000-00007C2E0000}"/>
    <cellStyle name="Normal 5 2 4 2 3 4 3 2" xfId="32520" xr:uid="{00000000-0005-0000-0000-00007D2E0000}"/>
    <cellStyle name="Normal 5 2 4 2 3 4 4" xfId="22663" xr:uid="{00000000-0005-0000-0000-00007E2E0000}"/>
    <cellStyle name="Normal 5 2 4 2 3 5" xfId="5409" xr:uid="{00000000-0005-0000-0000-00007F2E0000}"/>
    <cellStyle name="Normal 5 2 4 2 3 5 2" xfId="15269" xr:uid="{00000000-0005-0000-0000-0000802E0000}"/>
    <cellStyle name="Normal 5 2 4 2 3 5 2 2" xfId="34984" xr:uid="{00000000-0005-0000-0000-0000812E0000}"/>
    <cellStyle name="Normal 5 2 4 2 3 5 3" xfId="25127" xr:uid="{00000000-0005-0000-0000-0000822E0000}"/>
    <cellStyle name="Normal 5 2 4 2 3 6" xfId="10341" xr:uid="{00000000-0005-0000-0000-0000832E0000}"/>
    <cellStyle name="Normal 5 2 4 2 3 6 2" xfId="30056" xr:uid="{00000000-0005-0000-0000-0000842E0000}"/>
    <cellStyle name="Normal 5 2 4 2 3 7" xfId="20199" xr:uid="{00000000-0005-0000-0000-0000852E0000}"/>
    <cellStyle name="Normal 5 2 4 2 4" xfId="780" xr:uid="{00000000-0005-0000-0000-0000862E0000}"/>
    <cellStyle name="Normal 5 2 4 2 4 2" xfId="2016" xr:uid="{00000000-0005-0000-0000-0000872E0000}"/>
    <cellStyle name="Normal 5 2 4 2 4 2 2" xfId="4483" xr:uid="{00000000-0005-0000-0000-0000882E0000}"/>
    <cellStyle name="Normal 5 2 4 2 4 2 2 2" xfId="9415" xr:uid="{00000000-0005-0000-0000-0000892E0000}"/>
    <cellStyle name="Normal 5 2 4 2 4 2 2 2 2" xfId="19275" xr:uid="{00000000-0005-0000-0000-00008A2E0000}"/>
    <cellStyle name="Normal 5 2 4 2 4 2 2 2 2 2" xfId="38990" xr:uid="{00000000-0005-0000-0000-00008B2E0000}"/>
    <cellStyle name="Normal 5 2 4 2 4 2 2 2 3" xfId="29133" xr:uid="{00000000-0005-0000-0000-00008C2E0000}"/>
    <cellStyle name="Normal 5 2 4 2 4 2 2 3" xfId="14347" xr:uid="{00000000-0005-0000-0000-00008D2E0000}"/>
    <cellStyle name="Normal 5 2 4 2 4 2 2 3 2" xfId="34062" xr:uid="{00000000-0005-0000-0000-00008E2E0000}"/>
    <cellStyle name="Normal 5 2 4 2 4 2 2 4" xfId="24205" xr:uid="{00000000-0005-0000-0000-00008F2E0000}"/>
    <cellStyle name="Normal 5 2 4 2 4 2 3" xfId="6951" xr:uid="{00000000-0005-0000-0000-0000902E0000}"/>
    <cellStyle name="Normal 5 2 4 2 4 2 3 2" xfId="16811" xr:uid="{00000000-0005-0000-0000-0000912E0000}"/>
    <cellStyle name="Normal 5 2 4 2 4 2 3 2 2" xfId="36526" xr:uid="{00000000-0005-0000-0000-0000922E0000}"/>
    <cellStyle name="Normal 5 2 4 2 4 2 3 3" xfId="26669" xr:uid="{00000000-0005-0000-0000-0000932E0000}"/>
    <cellStyle name="Normal 5 2 4 2 4 2 4" xfId="11883" xr:uid="{00000000-0005-0000-0000-0000942E0000}"/>
    <cellStyle name="Normal 5 2 4 2 4 2 4 2" xfId="31598" xr:uid="{00000000-0005-0000-0000-0000952E0000}"/>
    <cellStyle name="Normal 5 2 4 2 4 2 5" xfId="21741" xr:uid="{00000000-0005-0000-0000-0000962E0000}"/>
    <cellStyle name="Normal 5 2 4 2 4 3" xfId="3251" xr:uid="{00000000-0005-0000-0000-0000972E0000}"/>
    <cellStyle name="Normal 5 2 4 2 4 3 2" xfId="8183" xr:uid="{00000000-0005-0000-0000-0000982E0000}"/>
    <cellStyle name="Normal 5 2 4 2 4 3 2 2" xfId="18043" xr:uid="{00000000-0005-0000-0000-0000992E0000}"/>
    <cellStyle name="Normal 5 2 4 2 4 3 2 2 2" xfId="37758" xr:uid="{00000000-0005-0000-0000-00009A2E0000}"/>
    <cellStyle name="Normal 5 2 4 2 4 3 2 3" xfId="27901" xr:uid="{00000000-0005-0000-0000-00009B2E0000}"/>
    <cellStyle name="Normal 5 2 4 2 4 3 3" xfId="13115" xr:uid="{00000000-0005-0000-0000-00009C2E0000}"/>
    <cellStyle name="Normal 5 2 4 2 4 3 3 2" xfId="32830" xr:uid="{00000000-0005-0000-0000-00009D2E0000}"/>
    <cellStyle name="Normal 5 2 4 2 4 3 4" xfId="22973" xr:uid="{00000000-0005-0000-0000-00009E2E0000}"/>
    <cellStyle name="Normal 5 2 4 2 4 4" xfId="5719" xr:uid="{00000000-0005-0000-0000-00009F2E0000}"/>
    <cellStyle name="Normal 5 2 4 2 4 4 2" xfId="15579" xr:uid="{00000000-0005-0000-0000-0000A02E0000}"/>
    <cellStyle name="Normal 5 2 4 2 4 4 2 2" xfId="35294" xr:uid="{00000000-0005-0000-0000-0000A12E0000}"/>
    <cellStyle name="Normal 5 2 4 2 4 4 3" xfId="25437" xr:uid="{00000000-0005-0000-0000-0000A22E0000}"/>
    <cellStyle name="Normal 5 2 4 2 4 5" xfId="10651" xr:uid="{00000000-0005-0000-0000-0000A32E0000}"/>
    <cellStyle name="Normal 5 2 4 2 4 5 2" xfId="30366" xr:uid="{00000000-0005-0000-0000-0000A42E0000}"/>
    <cellStyle name="Normal 5 2 4 2 4 6" xfId="20509" xr:uid="{00000000-0005-0000-0000-0000A52E0000}"/>
    <cellStyle name="Normal 5 2 4 2 5" xfId="1400" xr:uid="{00000000-0005-0000-0000-0000A62E0000}"/>
    <cellStyle name="Normal 5 2 4 2 5 2" xfId="3867" xr:uid="{00000000-0005-0000-0000-0000A72E0000}"/>
    <cellStyle name="Normal 5 2 4 2 5 2 2" xfId="8799" xr:uid="{00000000-0005-0000-0000-0000A82E0000}"/>
    <cellStyle name="Normal 5 2 4 2 5 2 2 2" xfId="18659" xr:uid="{00000000-0005-0000-0000-0000A92E0000}"/>
    <cellStyle name="Normal 5 2 4 2 5 2 2 2 2" xfId="38374" xr:uid="{00000000-0005-0000-0000-0000AA2E0000}"/>
    <cellStyle name="Normal 5 2 4 2 5 2 2 3" xfId="28517" xr:uid="{00000000-0005-0000-0000-0000AB2E0000}"/>
    <cellStyle name="Normal 5 2 4 2 5 2 3" xfId="13731" xr:uid="{00000000-0005-0000-0000-0000AC2E0000}"/>
    <cellStyle name="Normal 5 2 4 2 5 2 3 2" xfId="33446" xr:uid="{00000000-0005-0000-0000-0000AD2E0000}"/>
    <cellStyle name="Normal 5 2 4 2 5 2 4" xfId="23589" xr:uid="{00000000-0005-0000-0000-0000AE2E0000}"/>
    <cellStyle name="Normal 5 2 4 2 5 3" xfId="6335" xr:uid="{00000000-0005-0000-0000-0000AF2E0000}"/>
    <cellStyle name="Normal 5 2 4 2 5 3 2" xfId="16195" xr:uid="{00000000-0005-0000-0000-0000B02E0000}"/>
    <cellStyle name="Normal 5 2 4 2 5 3 2 2" xfId="35910" xr:uid="{00000000-0005-0000-0000-0000B12E0000}"/>
    <cellStyle name="Normal 5 2 4 2 5 3 3" xfId="26053" xr:uid="{00000000-0005-0000-0000-0000B22E0000}"/>
    <cellStyle name="Normal 5 2 4 2 5 4" xfId="11267" xr:uid="{00000000-0005-0000-0000-0000B32E0000}"/>
    <cellStyle name="Normal 5 2 4 2 5 4 2" xfId="30982" xr:uid="{00000000-0005-0000-0000-0000B42E0000}"/>
    <cellStyle name="Normal 5 2 4 2 5 5" xfId="21125" xr:uid="{00000000-0005-0000-0000-0000B52E0000}"/>
    <cellStyle name="Normal 5 2 4 2 6" xfId="2635" xr:uid="{00000000-0005-0000-0000-0000B62E0000}"/>
    <cellStyle name="Normal 5 2 4 2 6 2" xfId="7567" xr:uid="{00000000-0005-0000-0000-0000B72E0000}"/>
    <cellStyle name="Normal 5 2 4 2 6 2 2" xfId="17427" xr:uid="{00000000-0005-0000-0000-0000B82E0000}"/>
    <cellStyle name="Normal 5 2 4 2 6 2 2 2" xfId="37142" xr:uid="{00000000-0005-0000-0000-0000B92E0000}"/>
    <cellStyle name="Normal 5 2 4 2 6 2 3" xfId="27285" xr:uid="{00000000-0005-0000-0000-0000BA2E0000}"/>
    <cellStyle name="Normal 5 2 4 2 6 3" xfId="12499" xr:uid="{00000000-0005-0000-0000-0000BB2E0000}"/>
    <cellStyle name="Normal 5 2 4 2 6 3 2" xfId="32214" xr:uid="{00000000-0005-0000-0000-0000BC2E0000}"/>
    <cellStyle name="Normal 5 2 4 2 6 4" xfId="22357" xr:uid="{00000000-0005-0000-0000-0000BD2E0000}"/>
    <cellStyle name="Normal 5 2 4 2 7" xfId="5103" xr:uid="{00000000-0005-0000-0000-0000BE2E0000}"/>
    <cellStyle name="Normal 5 2 4 2 7 2" xfId="14963" xr:uid="{00000000-0005-0000-0000-0000BF2E0000}"/>
    <cellStyle name="Normal 5 2 4 2 7 2 2" xfId="34678" xr:uid="{00000000-0005-0000-0000-0000C02E0000}"/>
    <cellStyle name="Normal 5 2 4 2 7 3" xfId="24821" xr:uid="{00000000-0005-0000-0000-0000C12E0000}"/>
    <cellStyle name="Normal 5 2 4 2 8" xfId="10035" xr:uid="{00000000-0005-0000-0000-0000C22E0000}"/>
    <cellStyle name="Normal 5 2 4 2 8 2" xfId="29750" xr:uid="{00000000-0005-0000-0000-0000C32E0000}"/>
    <cellStyle name="Normal 5 2 4 2 9" xfId="19893" xr:uid="{00000000-0005-0000-0000-0000C42E0000}"/>
    <cellStyle name="Normal 5 2 4 3" xfId="229" xr:uid="{00000000-0005-0000-0000-0000C52E0000}"/>
    <cellStyle name="Normal 5 2 4 3 2" xfId="543" xr:uid="{00000000-0005-0000-0000-0000C62E0000}"/>
    <cellStyle name="Normal 5 2 4 3 2 2" xfId="1163" xr:uid="{00000000-0005-0000-0000-0000C72E0000}"/>
    <cellStyle name="Normal 5 2 4 3 2 2 2" xfId="2398" xr:uid="{00000000-0005-0000-0000-0000C82E0000}"/>
    <cellStyle name="Normal 5 2 4 3 2 2 2 2" xfId="4865" xr:uid="{00000000-0005-0000-0000-0000C92E0000}"/>
    <cellStyle name="Normal 5 2 4 3 2 2 2 2 2" xfId="9797" xr:uid="{00000000-0005-0000-0000-0000CA2E0000}"/>
    <cellStyle name="Normal 5 2 4 3 2 2 2 2 2 2" xfId="19657" xr:uid="{00000000-0005-0000-0000-0000CB2E0000}"/>
    <cellStyle name="Normal 5 2 4 3 2 2 2 2 2 2 2" xfId="39372" xr:uid="{00000000-0005-0000-0000-0000CC2E0000}"/>
    <cellStyle name="Normal 5 2 4 3 2 2 2 2 2 3" xfId="29515" xr:uid="{00000000-0005-0000-0000-0000CD2E0000}"/>
    <cellStyle name="Normal 5 2 4 3 2 2 2 2 3" xfId="14729" xr:uid="{00000000-0005-0000-0000-0000CE2E0000}"/>
    <cellStyle name="Normal 5 2 4 3 2 2 2 2 3 2" xfId="34444" xr:uid="{00000000-0005-0000-0000-0000CF2E0000}"/>
    <cellStyle name="Normal 5 2 4 3 2 2 2 2 4" xfId="24587" xr:uid="{00000000-0005-0000-0000-0000D02E0000}"/>
    <cellStyle name="Normal 5 2 4 3 2 2 2 3" xfId="7333" xr:uid="{00000000-0005-0000-0000-0000D12E0000}"/>
    <cellStyle name="Normal 5 2 4 3 2 2 2 3 2" xfId="17193" xr:uid="{00000000-0005-0000-0000-0000D22E0000}"/>
    <cellStyle name="Normal 5 2 4 3 2 2 2 3 2 2" xfId="36908" xr:uid="{00000000-0005-0000-0000-0000D32E0000}"/>
    <cellStyle name="Normal 5 2 4 3 2 2 2 3 3" xfId="27051" xr:uid="{00000000-0005-0000-0000-0000D42E0000}"/>
    <cellStyle name="Normal 5 2 4 3 2 2 2 4" xfId="12265" xr:uid="{00000000-0005-0000-0000-0000D52E0000}"/>
    <cellStyle name="Normal 5 2 4 3 2 2 2 4 2" xfId="31980" xr:uid="{00000000-0005-0000-0000-0000D62E0000}"/>
    <cellStyle name="Normal 5 2 4 3 2 2 2 5" xfId="22123" xr:uid="{00000000-0005-0000-0000-0000D72E0000}"/>
    <cellStyle name="Normal 5 2 4 3 2 2 3" xfId="3633" xr:uid="{00000000-0005-0000-0000-0000D82E0000}"/>
    <cellStyle name="Normal 5 2 4 3 2 2 3 2" xfId="8565" xr:uid="{00000000-0005-0000-0000-0000D92E0000}"/>
    <cellStyle name="Normal 5 2 4 3 2 2 3 2 2" xfId="18425" xr:uid="{00000000-0005-0000-0000-0000DA2E0000}"/>
    <cellStyle name="Normal 5 2 4 3 2 2 3 2 2 2" xfId="38140" xr:uid="{00000000-0005-0000-0000-0000DB2E0000}"/>
    <cellStyle name="Normal 5 2 4 3 2 2 3 2 3" xfId="28283" xr:uid="{00000000-0005-0000-0000-0000DC2E0000}"/>
    <cellStyle name="Normal 5 2 4 3 2 2 3 3" xfId="13497" xr:uid="{00000000-0005-0000-0000-0000DD2E0000}"/>
    <cellStyle name="Normal 5 2 4 3 2 2 3 3 2" xfId="33212" xr:uid="{00000000-0005-0000-0000-0000DE2E0000}"/>
    <cellStyle name="Normal 5 2 4 3 2 2 3 4" xfId="23355" xr:uid="{00000000-0005-0000-0000-0000DF2E0000}"/>
    <cellStyle name="Normal 5 2 4 3 2 2 4" xfId="6101" xr:uid="{00000000-0005-0000-0000-0000E02E0000}"/>
    <cellStyle name="Normal 5 2 4 3 2 2 4 2" xfId="15961" xr:uid="{00000000-0005-0000-0000-0000E12E0000}"/>
    <cellStyle name="Normal 5 2 4 3 2 2 4 2 2" xfId="35676" xr:uid="{00000000-0005-0000-0000-0000E22E0000}"/>
    <cellStyle name="Normal 5 2 4 3 2 2 4 3" xfId="25819" xr:uid="{00000000-0005-0000-0000-0000E32E0000}"/>
    <cellStyle name="Normal 5 2 4 3 2 2 5" xfId="11033" xr:uid="{00000000-0005-0000-0000-0000E42E0000}"/>
    <cellStyle name="Normal 5 2 4 3 2 2 5 2" xfId="30748" xr:uid="{00000000-0005-0000-0000-0000E52E0000}"/>
    <cellStyle name="Normal 5 2 4 3 2 2 6" xfId="20891" xr:uid="{00000000-0005-0000-0000-0000E62E0000}"/>
    <cellStyle name="Normal 5 2 4 3 2 3" xfId="1782" xr:uid="{00000000-0005-0000-0000-0000E72E0000}"/>
    <cellStyle name="Normal 5 2 4 3 2 3 2" xfId="4249" xr:uid="{00000000-0005-0000-0000-0000E82E0000}"/>
    <cellStyle name="Normal 5 2 4 3 2 3 2 2" xfId="9181" xr:uid="{00000000-0005-0000-0000-0000E92E0000}"/>
    <cellStyle name="Normal 5 2 4 3 2 3 2 2 2" xfId="19041" xr:uid="{00000000-0005-0000-0000-0000EA2E0000}"/>
    <cellStyle name="Normal 5 2 4 3 2 3 2 2 2 2" xfId="38756" xr:uid="{00000000-0005-0000-0000-0000EB2E0000}"/>
    <cellStyle name="Normal 5 2 4 3 2 3 2 2 3" xfId="28899" xr:uid="{00000000-0005-0000-0000-0000EC2E0000}"/>
    <cellStyle name="Normal 5 2 4 3 2 3 2 3" xfId="14113" xr:uid="{00000000-0005-0000-0000-0000ED2E0000}"/>
    <cellStyle name="Normal 5 2 4 3 2 3 2 3 2" xfId="33828" xr:uid="{00000000-0005-0000-0000-0000EE2E0000}"/>
    <cellStyle name="Normal 5 2 4 3 2 3 2 4" xfId="23971" xr:uid="{00000000-0005-0000-0000-0000EF2E0000}"/>
    <cellStyle name="Normal 5 2 4 3 2 3 3" xfId="6717" xr:uid="{00000000-0005-0000-0000-0000F02E0000}"/>
    <cellStyle name="Normal 5 2 4 3 2 3 3 2" xfId="16577" xr:uid="{00000000-0005-0000-0000-0000F12E0000}"/>
    <cellStyle name="Normal 5 2 4 3 2 3 3 2 2" xfId="36292" xr:uid="{00000000-0005-0000-0000-0000F22E0000}"/>
    <cellStyle name="Normal 5 2 4 3 2 3 3 3" xfId="26435" xr:uid="{00000000-0005-0000-0000-0000F32E0000}"/>
    <cellStyle name="Normal 5 2 4 3 2 3 4" xfId="11649" xr:uid="{00000000-0005-0000-0000-0000F42E0000}"/>
    <cellStyle name="Normal 5 2 4 3 2 3 4 2" xfId="31364" xr:uid="{00000000-0005-0000-0000-0000F52E0000}"/>
    <cellStyle name="Normal 5 2 4 3 2 3 5" xfId="21507" xr:uid="{00000000-0005-0000-0000-0000F62E0000}"/>
    <cellStyle name="Normal 5 2 4 3 2 4" xfId="3017" xr:uid="{00000000-0005-0000-0000-0000F72E0000}"/>
    <cellStyle name="Normal 5 2 4 3 2 4 2" xfId="7949" xr:uid="{00000000-0005-0000-0000-0000F82E0000}"/>
    <cellStyle name="Normal 5 2 4 3 2 4 2 2" xfId="17809" xr:uid="{00000000-0005-0000-0000-0000F92E0000}"/>
    <cellStyle name="Normal 5 2 4 3 2 4 2 2 2" xfId="37524" xr:uid="{00000000-0005-0000-0000-0000FA2E0000}"/>
    <cellStyle name="Normal 5 2 4 3 2 4 2 3" xfId="27667" xr:uid="{00000000-0005-0000-0000-0000FB2E0000}"/>
    <cellStyle name="Normal 5 2 4 3 2 4 3" xfId="12881" xr:uid="{00000000-0005-0000-0000-0000FC2E0000}"/>
    <cellStyle name="Normal 5 2 4 3 2 4 3 2" xfId="32596" xr:uid="{00000000-0005-0000-0000-0000FD2E0000}"/>
    <cellStyle name="Normal 5 2 4 3 2 4 4" xfId="22739" xr:uid="{00000000-0005-0000-0000-0000FE2E0000}"/>
    <cellStyle name="Normal 5 2 4 3 2 5" xfId="5485" xr:uid="{00000000-0005-0000-0000-0000FF2E0000}"/>
    <cellStyle name="Normal 5 2 4 3 2 5 2" xfId="15345" xr:uid="{00000000-0005-0000-0000-0000002F0000}"/>
    <cellStyle name="Normal 5 2 4 3 2 5 2 2" xfId="35060" xr:uid="{00000000-0005-0000-0000-0000012F0000}"/>
    <cellStyle name="Normal 5 2 4 3 2 5 3" xfId="25203" xr:uid="{00000000-0005-0000-0000-0000022F0000}"/>
    <cellStyle name="Normal 5 2 4 3 2 6" xfId="10417" xr:uid="{00000000-0005-0000-0000-0000032F0000}"/>
    <cellStyle name="Normal 5 2 4 3 2 6 2" xfId="30132" xr:uid="{00000000-0005-0000-0000-0000042F0000}"/>
    <cellStyle name="Normal 5 2 4 3 2 7" xfId="20275" xr:uid="{00000000-0005-0000-0000-0000052F0000}"/>
    <cellStyle name="Normal 5 2 4 3 3" xfId="856" xr:uid="{00000000-0005-0000-0000-0000062F0000}"/>
    <cellStyle name="Normal 5 2 4 3 3 2" xfId="2092" xr:uid="{00000000-0005-0000-0000-0000072F0000}"/>
    <cellStyle name="Normal 5 2 4 3 3 2 2" xfId="4559" xr:uid="{00000000-0005-0000-0000-0000082F0000}"/>
    <cellStyle name="Normal 5 2 4 3 3 2 2 2" xfId="9491" xr:uid="{00000000-0005-0000-0000-0000092F0000}"/>
    <cellStyle name="Normal 5 2 4 3 3 2 2 2 2" xfId="19351" xr:uid="{00000000-0005-0000-0000-00000A2F0000}"/>
    <cellStyle name="Normal 5 2 4 3 3 2 2 2 2 2" xfId="39066" xr:uid="{00000000-0005-0000-0000-00000B2F0000}"/>
    <cellStyle name="Normal 5 2 4 3 3 2 2 2 3" xfId="29209" xr:uid="{00000000-0005-0000-0000-00000C2F0000}"/>
    <cellStyle name="Normal 5 2 4 3 3 2 2 3" xfId="14423" xr:uid="{00000000-0005-0000-0000-00000D2F0000}"/>
    <cellStyle name="Normal 5 2 4 3 3 2 2 3 2" xfId="34138" xr:uid="{00000000-0005-0000-0000-00000E2F0000}"/>
    <cellStyle name="Normal 5 2 4 3 3 2 2 4" xfId="24281" xr:uid="{00000000-0005-0000-0000-00000F2F0000}"/>
    <cellStyle name="Normal 5 2 4 3 3 2 3" xfId="7027" xr:uid="{00000000-0005-0000-0000-0000102F0000}"/>
    <cellStyle name="Normal 5 2 4 3 3 2 3 2" xfId="16887" xr:uid="{00000000-0005-0000-0000-0000112F0000}"/>
    <cellStyle name="Normal 5 2 4 3 3 2 3 2 2" xfId="36602" xr:uid="{00000000-0005-0000-0000-0000122F0000}"/>
    <cellStyle name="Normal 5 2 4 3 3 2 3 3" xfId="26745" xr:uid="{00000000-0005-0000-0000-0000132F0000}"/>
    <cellStyle name="Normal 5 2 4 3 3 2 4" xfId="11959" xr:uid="{00000000-0005-0000-0000-0000142F0000}"/>
    <cellStyle name="Normal 5 2 4 3 3 2 4 2" xfId="31674" xr:uid="{00000000-0005-0000-0000-0000152F0000}"/>
    <cellStyle name="Normal 5 2 4 3 3 2 5" xfId="21817" xr:uid="{00000000-0005-0000-0000-0000162F0000}"/>
    <cellStyle name="Normal 5 2 4 3 3 3" xfId="3327" xr:uid="{00000000-0005-0000-0000-0000172F0000}"/>
    <cellStyle name="Normal 5 2 4 3 3 3 2" xfId="8259" xr:uid="{00000000-0005-0000-0000-0000182F0000}"/>
    <cellStyle name="Normal 5 2 4 3 3 3 2 2" xfId="18119" xr:uid="{00000000-0005-0000-0000-0000192F0000}"/>
    <cellStyle name="Normal 5 2 4 3 3 3 2 2 2" xfId="37834" xr:uid="{00000000-0005-0000-0000-00001A2F0000}"/>
    <cellStyle name="Normal 5 2 4 3 3 3 2 3" xfId="27977" xr:uid="{00000000-0005-0000-0000-00001B2F0000}"/>
    <cellStyle name="Normal 5 2 4 3 3 3 3" xfId="13191" xr:uid="{00000000-0005-0000-0000-00001C2F0000}"/>
    <cellStyle name="Normal 5 2 4 3 3 3 3 2" xfId="32906" xr:uid="{00000000-0005-0000-0000-00001D2F0000}"/>
    <cellStyle name="Normal 5 2 4 3 3 3 4" xfId="23049" xr:uid="{00000000-0005-0000-0000-00001E2F0000}"/>
    <cellStyle name="Normal 5 2 4 3 3 4" xfId="5795" xr:uid="{00000000-0005-0000-0000-00001F2F0000}"/>
    <cellStyle name="Normal 5 2 4 3 3 4 2" xfId="15655" xr:uid="{00000000-0005-0000-0000-0000202F0000}"/>
    <cellStyle name="Normal 5 2 4 3 3 4 2 2" xfId="35370" xr:uid="{00000000-0005-0000-0000-0000212F0000}"/>
    <cellStyle name="Normal 5 2 4 3 3 4 3" xfId="25513" xr:uid="{00000000-0005-0000-0000-0000222F0000}"/>
    <cellStyle name="Normal 5 2 4 3 3 5" xfId="10727" xr:uid="{00000000-0005-0000-0000-0000232F0000}"/>
    <cellStyle name="Normal 5 2 4 3 3 5 2" xfId="30442" xr:uid="{00000000-0005-0000-0000-0000242F0000}"/>
    <cellStyle name="Normal 5 2 4 3 3 6" xfId="20585" xr:uid="{00000000-0005-0000-0000-0000252F0000}"/>
    <cellStyle name="Normal 5 2 4 3 4" xfId="1476" xr:uid="{00000000-0005-0000-0000-0000262F0000}"/>
    <cellStyle name="Normal 5 2 4 3 4 2" xfId="3943" xr:uid="{00000000-0005-0000-0000-0000272F0000}"/>
    <cellStyle name="Normal 5 2 4 3 4 2 2" xfId="8875" xr:uid="{00000000-0005-0000-0000-0000282F0000}"/>
    <cellStyle name="Normal 5 2 4 3 4 2 2 2" xfId="18735" xr:uid="{00000000-0005-0000-0000-0000292F0000}"/>
    <cellStyle name="Normal 5 2 4 3 4 2 2 2 2" xfId="38450" xr:uid="{00000000-0005-0000-0000-00002A2F0000}"/>
    <cellStyle name="Normal 5 2 4 3 4 2 2 3" xfId="28593" xr:uid="{00000000-0005-0000-0000-00002B2F0000}"/>
    <cellStyle name="Normal 5 2 4 3 4 2 3" xfId="13807" xr:uid="{00000000-0005-0000-0000-00002C2F0000}"/>
    <cellStyle name="Normal 5 2 4 3 4 2 3 2" xfId="33522" xr:uid="{00000000-0005-0000-0000-00002D2F0000}"/>
    <cellStyle name="Normal 5 2 4 3 4 2 4" xfId="23665" xr:uid="{00000000-0005-0000-0000-00002E2F0000}"/>
    <cellStyle name="Normal 5 2 4 3 4 3" xfId="6411" xr:uid="{00000000-0005-0000-0000-00002F2F0000}"/>
    <cellStyle name="Normal 5 2 4 3 4 3 2" xfId="16271" xr:uid="{00000000-0005-0000-0000-0000302F0000}"/>
    <cellStyle name="Normal 5 2 4 3 4 3 2 2" xfId="35986" xr:uid="{00000000-0005-0000-0000-0000312F0000}"/>
    <cellStyle name="Normal 5 2 4 3 4 3 3" xfId="26129" xr:uid="{00000000-0005-0000-0000-0000322F0000}"/>
    <cellStyle name="Normal 5 2 4 3 4 4" xfId="11343" xr:uid="{00000000-0005-0000-0000-0000332F0000}"/>
    <cellStyle name="Normal 5 2 4 3 4 4 2" xfId="31058" xr:uid="{00000000-0005-0000-0000-0000342F0000}"/>
    <cellStyle name="Normal 5 2 4 3 4 5" xfId="21201" xr:uid="{00000000-0005-0000-0000-0000352F0000}"/>
    <cellStyle name="Normal 5 2 4 3 5" xfId="2711" xr:uid="{00000000-0005-0000-0000-0000362F0000}"/>
    <cellStyle name="Normal 5 2 4 3 5 2" xfId="7643" xr:uid="{00000000-0005-0000-0000-0000372F0000}"/>
    <cellStyle name="Normal 5 2 4 3 5 2 2" xfId="17503" xr:uid="{00000000-0005-0000-0000-0000382F0000}"/>
    <cellStyle name="Normal 5 2 4 3 5 2 2 2" xfId="37218" xr:uid="{00000000-0005-0000-0000-0000392F0000}"/>
    <cellStyle name="Normal 5 2 4 3 5 2 3" xfId="27361" xr:uid="{00000000-0005-0000-0000-00003A2F0000}"/>
    <cellStyle name="Normal 5 2 4 3 5 3" xfId="12575" xr:uid="{00000000-0005-0000-0000-00003B2F0000}"/>
    <cellStyle name="Normal 5 2 4 3 5 3 2" xfId="32290" xr:uid="{00000000-0005-0000-0000-00003C2F0000}"/>
    <cellStyle name="Normal 5 2 4 3 5 4" xfId="22433" xr:uid="{00000000-0005-0000-0000-00003D2F0000}"/>
    <cellStyle name="Normal 5 2 4 3 6" xfId="5179" xr:uid="{00000000-0005-0000-0000-00003E2F0000}"/>
    <cellStyle name="Normal 5 2 4 3 6 2" xfId="15039" xr:uid="{00000000-0005-0000-0000-00003F2F0000}"/>
    <cellStyle name="Normal 5 2 4 3 6 2 2" xfId="34754" xr:uid="{00000000-0005-0000-0000-0000402F0000}"/>
    <cellStyle name="Normal 5 2 4 3 6 3" xfId="24897" xr:uid="{00000000-0005-0000-0000-0000412F0000}"/>
    <cellStyle name="Normal 5 2 4 3 7" xfId="10111" xr:uid="{00000000-0005-0000-0000-0000422F0000}"/>
    <cellStyle name="Normal 5 2 4 3 7 2" xfId="29826" xr:uid="{00000000-0005-0000-0000-0000432F0000}"/>
    <cellStyle name="Normal 5 2 4 3 8" xfId="19969" xr:uid="{00000000-0005-0000-0000-0000442F0000}"/>
    <cellStyle name="Normal 5 2 4 4" xfId="391" xr:uid="{00000000-0005-0000-0000-0000452F0000}"/>
    <cellStyle name="Normal 5 2 4 4 2" xfId="1011" xr:uid="{00000000-0005-0000-0000-0000462F0000}"/>
    <cellStyle name="Normal 5 2 4 4 2 2" xfId="2246" xr:uid="{00000000-0005-0000-0000-0000472F0000}"/>
    <cellStyle name="Normal 5 2 4 4 2 2 2" xfId="4713" xr:uid="{00000000-0005-0000-0000-0000482F0000}"/>
    <cellStyle name="Normal 5 2 4 4 2 2 2 2" xfId="9645" xr:uid="{00000000-0005-0000-0000-0000492F0000}"/>
    <cellStyle name="Normal 5 2 4 4 2 2 2 2 2" xfId="19505" xr:uid="{00000000-0005-0000-0000-00004A2F0000}"/>
    <cellStyle name="Normal 5 2 4 4 2 2 2 2 2 2" xfId="39220" xr:uid="{00000000-0005-0000-0000-00004B2F0000}"/>
    <cellStyle name="Normal 5 2 4 4 2 2 2 2 3" xfId="29363" xr:uid="{00000000-0005-0000-0000-00004C2F0000}"/>
    <cellStyle name="Normal 5 2 4 4 2 2 2 3" xfId="14577" xr:uid="{00000000-0005-0000-0000-00004D2F0000}"/>
    <cellStyle name="Normal 5 2 4 4 2 2 2 3 2" xfId="34292" xr:uid="{00000000-0005-0000-0000-00004E2F0000}"/>
    <cellStyle name="Normal 5 2 4 4 2 2 2 4" xfId="24435" xr:uid="{00000000-0005-0000-0000-00004F2F0000}"/>
    <cellStyle name="Normal 5 2 4 4 2 2 3" xfId="7181" xr:uid="{00000000-0005-0000-0000-0000502F0000}"/>
    <cellStyle name="Normal 5 2 4 4 2 2 3 2" xfId="17041" xr:uid="{00000000-0005-0000-0000-0000512F0000}"/>
    <cellStyle name="Normal 5 2 4 4 2 2 3 2 2" xfId="36756" xr:uid="{00000000-0005-0000-0000-0000522F0000}"/>
    <cellStyle name="Normal 5 2 4 4 2 2 3 3" xfId="26899" xr:uid="{00000000-0005-0000-0000-0000532F0000}"/>
    <cellStyle name="Normal 5 2 4 4 2 2 4" xfId="12113" xr:uid="{00000000-0005-0000-0000-0000542F0000}"/>
    <cellStyle name="Normal 5 2 4 4 2 2 4 2" xfId="31828" xr:uid="{00000000-0005-0000-0000-0000552F0000}"/>
    <cellStyle name="Normal 5 2 4 4 2 2 5" xfId="21971" xr:uid="{00000000-0005-0000-0000-0000562F0000}"/>
    <cellStyle name="Normal 5 2 4 4 2 3" xfId="3481" xr:uid="{00000000-0005-0000-0000-0000572F0000}"/>
    <cellStyle name="Normal 5 2 4 4 2 3 2" xfId="8413" xr:uid="{00000000-0005-0000-0000-0000582F0000}"/>
    <cellStyle name="Normal 5 2 4 4 2 3 2 2" xfId="18273" xr:uid="{00000000-0005-0000-0000-0000592F0000}"/>
    <cellStyle name="Normal 5 2 4 4 2 3 2 2 2" xfId="37988" xr:uid="{00000000-0005-0000-0000-00005A2F0000}"/>
    <cellStyle name="Normal 5 2 4 4 2 3 2 3" xfId="28131" xr:uid="{00000000-0005-0000-0000-00005B2F0000}"/>
    <cellStyle name="Normal 5 2 4 4 2 3 3" xfId="13345" xr:uid="{00000000-0005-0000-0000-00005C2F0000}"/>
    <cellStyle name="Normal 5 2 4 4 2 3 3 2" xfId="33060" xr:uid="{00000000-0005-0000-0000-00005D2F0000}"/>
    <cellStyle name="Normal 5 2 4 4 2 3 4" xfId="23203" xr:uid="{00000000-0005-0000-0000-00005E2F0000}"/>
    <cellStyle name="Normal 5 2 4 4 2 4" xfId="5949" xr:uid="{00000000-0005-0000-0000-00005F2F0000}"/>
    <cellStyle name="Normal 5 2 4 4 2 4 2" xfId="15809" xr:uid="{00000000-0005-0000-0000-0000602F0000}"/>
    <cellStyle name="Normal 5 2 4 4 2 4 2 2" xfId="35524" xr:uid="{00000000-0005-0000-0000-0000612F0000}"/>
    <cellStyle name="Normal 5 2 4 4 2 4 3" xfId="25667" xr:uid="{00000000-0005-0000-0000-0000622F0000}"/>
    <cellStyle name="Normal 5 2 4 4 2 5" xfId="10881" xr:uid="{00000000-0005-0000-0000-0000632F0000}"/>
    <cellStyle name="Normal 5 2 4 4 2 5 2" xfId="30596" xr:uid="{00000000-0005-0000-0000-0000642F0000}"/>
    <cellStyle name="Normal 5 2 4 4 2 6" xfId="20739" xr:uid="{00000000-0005-0000-0000-0000652F0000}"/>
    <cellStyle name="Normal 5 2 4 4 3" xfId="1630" xr:uid="{00000000-0005-0000-0000-0000662F0000}"/>
    <cellStyle name="Normal 5 2 4 4 3 2" xfId="4097" xr:uid="{00000000-0005-0000-0000-0000672F0000}"/>
    <cellStyle name="Normal 5 2 4 4 3 2 2" xfId="9029" xr:uid="{00000000-0005-0000-0000-0000682F0000}"/>
    <cellStyle name="Normal 5 2 4 4 3 2 2 2" xfId="18889" xr:uid="{00000000-0005-0000-0000-0000692F0000}"/>
    <cellStyle name="Normal 5 2 4 4 3 2 2 2 2" xfId="38604" xr:uid="{00000000-0005-0000-0000-00006A2F0000}"/>
    <cellStyle name="Normal 5 2 4 4 3 2 2 3" xfId="28747" xr:uid="{00000000-0005-0000-0000-00006B2F0000}"/>
    <cellStyle name="Normal 5 2 4 4 3 2 3" xfId="13961" xr:uid="{00000000-0005-0000-0000-00006C2F0000}"/>
    <cellStyle name="Normal 5 2 4 4 3 2 3 2" xfId="33676" xr:uid="{00000000-0005-0000-0000-00006D2F0000}"/>
    <cellStyle name="Normal 5 2 4 4 3 2 4" xfId="23819" xr:uid="{00000000-0005-0000-0000-00006E2F0000}"/>
    <cellStyle name="Normal 5 2 4 4 3 3" xfId="6565" xr:uid="{00000000-0005-0000-0000-00006F2F0000}"/>
    <cellStyle name="Normal 5 2 4 4 3 3 2" xfId="16425" xr:uid="{00000000-0005-0000-0000-0000702F0000}"/>
    <cellStyle name="Normal 5 2 4 4 3 3 2 2" xfId="36140" xr:uid="{00000000-0005-0000-0000-0000712F0000}"/>
    <cellStyle name="Normal 5 2 4 4 3 3 3" xfId="26283" xr:uid="{00000000-0005-0000-0000-0000722F0000}"/>
    <cellStyle name="Normal 5 2 4 4 3 4" xfId="11497" xr:uid="{00000000-0005-0000-0000-0000732F0000}"/>
    <cellStyle name="Normal 5 2 4 4 3 4 2" xfId="31212" xr:uid="{00000000-0005-0000-0000-0000742F0000}"/>
    <cellStyle name="Normal 5 2 4 4 3 5" xfId="21355" xr:uid="{00000000-0005-0000-0000-0000752F0000}"/>
    <cellStyle name="Normal 5 2 4 4 4" xfId="2865" xr:uid="{00000000-0005-0000-0000-0000762F0000}"/>
    <cellStyle name="Normal 5 2 4 4 4 2" xfId="7797" xr:uid="{00000000-0005-0000-0000-0000772F0000}"/>
    <cellStyle name="Normal 5 2 4 4 4 2 2" xfId="17657" xr:uid="{00000000-0005-0000-0000-0000782F0000}"/>
    <cellStyle name="Normal 5 2 4 4 4 2 2 2" xfId="37372" xr:uid="{00000000-0005-0000-0000-0000792F0000}"/>
    <cellStyle name="Normal 5 2 4 4 4 2 3" xfId="27515" xr:uid="{00000000-0005-0000-0000-00007A2F0000}"/>
    <cellStyle name="Normal 5 2 4 4 4 3" xfId="12729" xr:uid="{00000000-0005-0000-0000-00007B2F0000}"/>
    <cellStyle name="Normal 5 2 4 4 4 3 2" xfId="32444" xr:uid="{00000000-0005-0000-0000-00007C2F0000}"/>
    <cellStyle name="Normal 5 2 4 4 4 4" xfId="22587" xr:uid="{00000000-0005-0000-0000-00007D2F0000}"/>
    <cellStyle name="Normal 5 2 4 4 5" xfId="5333" xr:uid="{00000000-0005-0000-0000-00007E2F0000}"/>
    <cellStyle name="Normal 5 2 4 4 5 2" xfId="15193" xr:uid="{00000000-0005-0000-0000-00007F2F0000}"/>
    <cellStyle name="Normal 5 2 4 4 5 2 2" xfId="34908" xr:uid="{00000000-0005-0000-0000-0000802F0000}"/>
    <cellStyle name="Normal 5 2 4 4 5 3" xfId="25051" xr:uid="{00000000-0005-0000-0000-0000812F0000}"/>
    <cellStyle name="Normal 5 2 4 4 6" xfId="10265" xr:uid="{00000000-0005-0000-0000-0000822F0000}"/>
    <cellStyle name="Normal 5 2 4 4 6 2" xfId="29980" xr:uid="{00000000-0005-0000-0000-0000832F0000}"/>
    <cellStyle name="Normal 5 2 4 4 7" xfId="20123" xr:uid="{00000000-0005-0000-0000-0000842F0000}"/>
    <cellStyle name="Normal 5 2 4 5" xfId="704" xr:uid="{00000000-0005-0000-0000-0000852F0000}"/>
    <cellStyle name="Normal 5 2 4 5 2" xfId="1940" xr:uid="{00000000-0005-0000-0000-0000862F0000}"/>
    <cellStyle name="Normal 5 2 4 5 2 2" xfId="4407" xr:uid="{00000000-0005-0000-0000-0000872F0000}"/>
    <cellStyle name="Normal 5 2 4 5 2 2 2" xfId="9339" xr:uid="{00000000-0005-0000-0000-0000882F0000}"/>
    <cellStyle name="Normal 5 2 4 5 2 2 2 2" xfId="19199" xr:uid="{00000000-0005-0000-0000-0000892F0000}"/>
    <cellStyle name="Normal 5 2 4 5 2 2 2 2 2" xfId="38914" xr:uid="{00000000-0005-0000-0000-00008A2F0000}"/>
    <cellStyle name="Normal 5 2 4 5 2 2 2 3" xfId="29057" xr:uid="{00000000-0005-0000-0000-00008B2F0000}"/>
    <cellStyle name="Normal 5 2 4 5 2 2 3" xfId="14271" xr:uid="{00000000-0005-0000-0000-00008C2F0000}"/>
    <cellStyle name="Normal 5 2 4 5 2 2 3 2" xfId="33986" xr:uid="{00000000-0005-0000-0000-00008D2F0000}"/>
    <cellStyle name="Normal 5 2 4 5 2 2 4" xfId="24129" xr:uid="{00000000-0005-0000-0000-00008E2F0000}"/>
    <cellStyle name="Normal 5 2 4 5 2 3" xfId="6875" xr:uid="{00000000-0005-0000-0000-00008F2F0000}"/>
    <cellStyle name="Normal 5 2 4 5 2 3 2" xfId="16735" xr:uid="{00000000-0005-0000-0000-0000902F0000}"/>
    <cellStyle name="Normal 5 2 4 5 2 3 2 2" xfId="36450" xr:uid="{00000000-0005-0000-0000-0000912F0000}"/>
    <cellStyle name="Normal 5 2 4 5 2 3 3" xfId="26593" xr:uid="{00000000-0005-0000-0000-0000922F0000}"/>
    <cellStyle name="Normal 5 2 4 5 2 4" xfId="11807" xr:uid="{00000000-0005-0000-0000-0000932F0000}"/>
    <cellStyle name="Normal 5 2 4 5 2 4 2" xfId="31522" xr:uid="{00000000-0005-0000-0000-0000942F0000}"/>
    <cellStyle name="Normal 5 2 4 5 2 5" xfId="21665" xr:uid="{00000000-0005-0000-0000-0000952F0000}"/>
    <cellStyle name="Normal 5 2 4 5 3" xfId="3175" xr:uid="{00000000-0005-0000-0000-0000962F0000}"/>
    <cellStyle name="Normal 5 2 4 5 3 2" xfId="8107" xr:uid="{00000000-0005-0000-0000-0000972F0000}"/>
    <cellStyle name="Normal 5 2 4 5 3 2 2" xfId="17967" xr:uid="{00000000-0005-0000-0000-0000982F0000}"/>
    <cellStyle name="Normal 5 2 4 5 3 2 2 2" xfId="37682" xr:uid="{00000000-0005-0000-0000-0000992F0000}"/>
    <cellStyle name="Normal 5 2 4 5 3 2 3" xfId="27825" xr:uid="{00000000-0005-0000-0000-00009A2F0000}"/>
    <cellStyle name="Normal 5 2 4 5 3 3" xfId="13039" xr:uid="{00000000-0005-0000-0000-00009B2F0000}"/>
    <cellStyle name="Normal 5 2 4 5 3 3 2" xfId="32754" xr:uid="{00000000-0005-0000-0000-00009C2F0000}"/>
    <cellStyle name="Normal 5 2 4 5 3 4" xfId="22897" xr:uid="{00000000-0005-0000-0000-00009D2F0000}"/>
    <cellStyle name="Normal 5 2 4 5 4" xfId="5643" xr:uid="{00000000-0005-0000-0000-00009E2F0000}"/>
    <cellStyle name="Normal 5 2 4 5 4 2" xfId="15503" xr:uid="{00000000-0005-0000-0000-00009F2F0000}"/>
    <cellStyle name="Normal 5 2 4 5 4 2 2" xfId="35218" xr:uid="{00000000-0005-0000-0000-0000A02F0000}"/>
    <cellStyle name="Normal 5 2 4 5 4 3" xfId="25361" xr:uid="{00000000-0005-0000-0000-0000A12F0000}"/>
    <cellStyle name="Normal 5 2 4 5 5" xfId="10575" xr:uid="{00000000-0005-0000-0000-0000A22F0000}"/>
    <cellStyle name="Normal 5 2 4 5 5 2" xfId="30290" xr:uid="{00000000-0005-0000-0000-0000A32F0000}"/>
    <cellStyle name="Normal 5 2 4 5 6" xfId="20433" xr:uid="{00000000-0005-0000-0000-0000A42F0000}"/>
    <cellStyle name="Normal 5 2 4 6" xfId="1324" xr:uid="{00000000-0005-0000-0000-0000A52F0000}"/>
    <cellStyle name="Normal 5 2 4 6 2" xfId="3791" xr:uid="{00000000-0005-0000-0000-0000A62F0000}"/>
    <cellStyle name="Normal 5 2 4 6 2 2" xfId="8723" xr:uid="{00000000-0005-0000-0000-0000A72F0000}"/>
    <cellStyle name="Normal 5 2 4 6 2 2 2" xfId="18583" xr:uid="{00000000-0005-0000-0000-0000A82F0000}"/>
    <cellStyle name="Normal 5 2 4 6 2 2 2 2" xfId="38298" xr:uid="{00000000-0005-0000-0000-0000A92F0000}"/>
    <cellStyle name="Normal 5 2 4 6 2 2 3" xfId="28441" xr:uid="{00000000-0005-0000-0000-0000AA2F0000}"/>
    <cellStyle name="Normal 5 2 4 6 2 3" xfId="13655" xr:uid="{00000000-0005-0000-0000-0000AB2F0000}"/>
    <cellStyle name="Normal 5 2 4 6 2 3 2" xfId="33370" xr:uid="{00000000-0005-0000-0000-0000AC2F0000}"/>
    <cellStyle name="Normal 5 2 4 6 2 4" xfId="23513" xr:uid="{00000000-0005-0000-0000-0000AD2F0000}"/>
    <cellStyle name="Normal 5 2 4 6 3" xfId="6259" xr:uid="{00000000-0005-0000-0000-0000AE2F0000}"/>
    <cellStyle name="Normal 5 2 4 6 3 2" xfId="16119" xr:uid="{00000000-0005-0000-0000-0000AF2F0000}"/>
    <cellStyle name="Normal 5 2 4 6 3 2 2" xfId="35834" xr:uid="{00000000-0005-0000-0000-0000B02F0000}"/>
    <cellStyle name="Normal 5 2 4 6 3 3" xfId="25977" xr:uid="{00000000-0005-0000-0000-0000B12F0000}"/>
    <cellStyle name="Normal 5 2 4 6 4" xfId="11191" xr:uid="{00000000-0005-0000-0000-0000B22F0000}"/>
    <cellStyle name="Normal 5 2 4 6 4 2" xfId="30906" xr:uid="{00000000-0005-0000-0000-0000B32F0000}"/>
    <cellStyle name="Normal 5 2 4 6 5" xfId="21049" xr:uid="{00000000-0005-0000-0000-0000B42F0000}"/>
    <cellStyle name="Normal 5 2 4 7" xfId="2559" xr:uid="{00000000-0005-0000-0000-0000B52F0000}"/>
    <cellStyle name="Normal 5 2 4 7 2" xfId="7491" xr:uid="{00000000-0005-0000-0000-0000B62F0000}"/>
    <cellStyle name="Normal 5 2 4 7 2 2" xfId="17351" xr:uid="{00000000-0005-0000-0000-0000B72F0000}"/>
    <cellStyle name="Normal 5 2 4 7 2 2 2" xfId="37066" xr:uid="{00000000-0005-0000-0000-0000B82F0000}"/>
    <cellStyle name="Normal 5 2 4 7 2 3" xfId="27209" xr:uid="{00000000-0005-0000-0000-0000B92F0000}"/>
    <cellStyle name="Normal 5 2 4 7 3" xfId="12423" xr:uid="{00000000-0005-0000-0000-0000BA2F0000}"/>
    <cellStyle name="Normal 5 2 4 7 3 2" xfId="32138" xr:uid="{00000000-0005-0000-0000-0000BB2F0000}"/>
    <cellStyle name="Normal 5 2 4 7 4" xfId="22281" xr:uid="{00000000-0005-0000-0000-0000BC2F0000}"/>
    <cellStyle name="Normal 5 2 4 8" xfId="5027" xr:uid="{00000000-0005-0000-0000-0000BD2F0000}"/>
    <cellStyle name="Normal 5 2 4 8 2" xfId="14887" xr:uid="{00000000-0005-0000-0000-0000BE2F0000}"/>
    <cellStyle name="Normal 5 2 4 8 2 2" xfId="34602" xr:uid="{00000000-0005-0000-0000-0000BF2F0000}"/>
    <cellStyle name="Normal 5 2 4 8 3" xfId="24745" xr:uid="{00000000-0005-0000-0000-0000C02F0000}"/>
    <cellStyle name="Normal 5 2 4 9" xfId="9959" xr:uid="{00000000-0005-0000-0000-0000C12F0000}"/>
    <cellStyle name="Normal 5 2 4 9 2" xfId="29674" xr:uid="{00000000-0005-0000-0000-0000C22F0000}"/>
    <cellStyle name="Normal 5 2 5" xfId="109" xr:uid="{00000000-0005-0000-0000-0000C32F0000}"/>
    <cellStyle name="Normal 5 2 5 2" xfId="267" xr:uid="{00000000-0005-0000-0000-0000C42F0000}"/>
    <cellStyle name="Normal 5 2 5 2 2" xfId="581" xr:uid="{00000000-0005-0000-0000-0000C52F0000}"/>
    <cellStyle name="Normal 5 2 5 2 2 2" xfId="1201" xr:uid="{00000000-0005-0000-0000-0000C62F0000}"/>
    <cellStyle name="Normal 5 2 5 2 2 2 2" xfId="2436" xr:uid="{00000000-0005-0000-0000-0000C72F0000}"/>
    <cellStyle name="Normal 5 2 5 2 2 2 2 2" xfId="4903" xr:uid="{00000000-0005-0000-0000-0000C82F0000}"/>
    <cellStyle name="Normal 5 2 5 2 2 2 2 2 2" xfId="9835" xr:uid="{00000000-0005-0000-0000-0000C92F0000}"/>
    <cellStyle name="Normal 5 2 5 2 2 2 2 2 2 2" xfId="19695" xr:uid="{00000000-0005-0000-0000-0000CA2F0000}"/>
    <cellStyle name="Normal 5 2 5 2 2 2 2 2 2 2 2" xfId="39410" xr:uid="{00000000-0005-0000-0000-0000CB2F0000}"/>
    <cellStyle name="Normal 5 2 5 2 2 2 2 2 2 3" xfId="29553" xr:uid="{00000000-0005-0000-0000-0000CC2F0000}"/>
    <cellStyle name="Normal 5 2 5 2 2 2 2 2 3" xfId="14767" xr:uid="{00000000-0005-0000-0000-0000CD2F0000}"/>
    <cellStyle name="Normal 5 2 5 2 2 2 2 2 3 2" xfId="34482" xr:uid="{00000000-0005-0000-0000-0000CE2F0000}"/>
    <cellStyle name="Normal 5 2 5 2 2 2 2 2 4" xfId="24625" xr:uid="{00000000-0005-0000-0000-0000CF2F0000}"/>
    <cellStyle name="Normal 5 2 5 2 2 2 2 3" xfId="7371" xr:uid="{00000000-0005-0000-0000-0000D02F0000}"/>
    <cellStyle name="Normal 5 2 5 2 2 2 2 3 2" xfId="17231" xr:uid="{00000000-0005-0000-0000-0000D12F0000}"/>
    <cellStyle name="Normal 5 2 5 2 2 2 2 3 2 2" xfId="36946" xr:uid="{00000000-0005-0000-0000-0000D22F0000}"/>
    <cellStyle name="Normal 5 2 5 2 2 2 2 3 3" xfId="27089" xr:uid="{00000000-0005-0000-0000-0000D32F0000}"/>
    <cellStyle name="Normal 5 2 5 2 2 2 2 4" xfId="12303" xr:uid="{00000000-0005-0000-0000-0000D42F0000}"/>
    <cellStyle name="Normal 5 2 5 2 2 2 2 4 2" xfId="32018" xr:uid="{00000000-0005-0000-0000-0000D52F0000}"/>
    <cellStyle name="Normal 5 2 5 2 2 2 2 5" xfId="22161" xr:uid="{00000000-0005-0000-0000-0000D62F0000}"/>
    <cellStyle name="Normal 5 2 5 2 2 2 3" xfId="3671" xr:uid="{00000000-0005-0000-0000-0000D72F0000}"/>
    <cellStyle name="Normal 5 2 5 2 2 2 3 2" xfId="8603" xr:uid="{00000000-0005-0000-0000-0000D82F0000}"/>
    <cellStyle name="Normal 5 2 5 2 2 2 3 2 2" xfId="18463" xr:uid="{00000000-0005-0000-0000-0000D92F0000}"/>
    <cellStyle name="Normal 5 2 5 2 2 2 3 2 2 2" xfId="38178" xr:uid="{00000000-0005-0000-0000-0000DA2F0000}"/>
    <cellStyle name="Normal 5 2 5 2 2 2 3 2 3" xfId="28321" xr:uid="{00000000-0005-0000-0000-0000DB2F0000}"/>
    <cellStyle name="Normal 5 2 5 2 2 2 3 3" xfId="13535" xr:uid="{00000000-0005-0000-0000-0000DC2F0000}"/>
    <cellStyle name="Normal 5 2 5 2 2 2 3 3 2" xfId="33250" xr:uid="{00000000-0005-0000-0000-0000DD2F0000}"/>
    <cellStyle name="Normal 5 2 5 2 2 2 3 4" xfId="23393" xr:uid="{00000000-0005-0000-0000-0000DE2F0000}"/>
    <cellStyle name="Normal 5 2 5 2 2 2 4" xfId="6139" xr:uid="{00000000-0005-0000-0000-0000DF2F0000}"/>
    <cellStyle name="Normal 5 2 5 2 2 2 4 2" xfId="15999" xr:uid="{00000000-0005-0000-0000-0000E02F0000}"/>
    <cellStyle name="Normal 5 2 5 2 2 2 4 2 2" xfId="35714" xr:uid="{00000000-0005-0000-0000-0000E12F0000}"/>
    <cellStyle name="Normal 5 2 5 2 2 2 4 3" xfId="25857" xr:uid="{00000000-0005-0000-0000-0000E22F0000}"/>
    <cellStyle name="Normal 5 2 5 2 2 2 5" xfId="11071" xr:uid="{00000000-0005-0000-0000-0000E32F0000}"/>
    <cellStyle name="Normal 5 2 5 2 2 2 5 2" xfId="30786" xr:uid="{00000000-0005-0000-0000-0000E42F0000}"/>
    <cellStyle name="Normal 5 2 5 2 2 2 6" xfId="20929" xr:uid="{00000000-0005-0000-0000-0000E52F0000}"/>
    <cellStyle name="Normal 5 2 5 2 2 3" xfId="1820" xr:uid="{00000000-0005-0000-0000-0000E62F0000}"/>
    <cellStyle name="Normal 5 2 5 2 2 3 2" xfId="4287" xr:uid="{00000000-0005-0000-0000-0000E72F0000}"/>
    <cellStyle name="Normal 5 2 5 2 2 3 2 2" xfId="9219" xr:uid="{00000000-0005-0000-0000-0000E82F0000}"/>
    <cellStyle name="Normal 5 2 5 2 2 3 2 2 2" xfId="19079" xr:uid="{00000000-0005-0000-0000-0000E92F0000}"/>
    <cellStyle name="Normal 5 2 5 2 2 3 2 2 2 2" xfId="38794" xr:uid="{00000000-0005-0000-0000-0000EA2F0000}"/>
    <cellStyle name="Normal 5 2 5 2 2 3 2 2 3" xfId="28937" xr:uid="{00000000-0005-0000-0000-0000EB2F0000}"/>
    <cellStyle name="Normal 5 2 5 2 2 3 2 3" xfId="14151" xr:uid="{00000000-0005-0000-0000-0000EC2F0000}"/>
    <cellStyle name="Normal 5 2 5 2 2 3 2 3 2" xfId="33866" xr:uid="{00000000-0005-0000-0000-0000ED2F0000}"/>
    <cellStyle name="Normal 5 2 5 2 2 3 2 4" xfId="24009" xr:uid="{00000000-0005-0000-0000-0000EE2F0000}"/>
    <cellStyle name="Normal 5 2 5 2 2 3 3" xfId="6755" xr:uid="{00000000-0005-0000-0000-0000EF2F0000}"/>
    <cellStyle name="Normal 5 2 5 2 2 3 3 2" xfId="16615" xr:uid="{00000000-0005-0000-0000-0000F02F0000}"/>
    <cellStyle name="Normal 5 2 5 2 2 3 3 2 2" xfId="36330" xr:uid="{00000000-0005-0000-0000-0000F12F0000}"/>
    <cellStyle name="Normal 5 2 5 2 2 3 3 3" xfId="26473" xr:uid="{00000000-0005-0000-0000-0000F22F0000}"/>
    <cellStyle name="Normal 5 2 5 2 2 3 4" xfId="11687" xr:uid="{00000000-0005-0000-0000-0000F32F0000}"/>
    <cellStyle name="Normal 5 2 5 2 2 3 4 2" xfId="31402" xr:uid="{00000000-0005-0000-0000-0000F42F0000}"/>
    <cellStyle name="Normal 5 2 5 2 2 3 5" xfId="21545" xr:uid="{00000000-0005-0000-0000-0000F52F0000}"/>
    <cellStyle name="Normal 5 2 5 2 2 4" xfId="3055" xr:uid="{00000000-0005-0000-0000-0000F62F0000}"/>
    <cellStyle name="Normal 5 2 5 2 2 4 2" xfId="7987" xr:uid="{00000000-0005-0000-0000-0000F72F0000}"/>
    <cellStyle name="Normal 5 2 5 2 2 4 2 2" xfId="17847" xr:uid="{00000000-0005-0000-0000-0000F82F0000}"/>
    <cellStyle name="Normal 5 2 5 2 2 4 2 2 2" xfId="37562" xr:uid="{00000000-0005-0000-0000-0000F92F0000}"/>
    <cellStyle name="Normal 5 2 5 2 2 4 2 3" xfId="27705" xr:uid="{00000000-0005-0000-0000-0000FA2F0000}"/>
    <cellStyle name="Normal 5 2 5 2 2 4 3" xfId="12919" xr:uid="{00000000-0005-0000-0000-0000FB2F0000}"/>
    <cellStyle name="Normal 5 2 5 2 2 4 3 2" xfId="32634" xr:uid="{00000000-0005-0000-0000-0000FC2F0000}"/>
    <cellStyle name="Normal 5 2 5 2 2 4 4" xfId="22777" xr:uid="{00000000-0005-0000-0000-0000FD2F0000}"/>
    <cellStyle name="Normal 5 2 5 2 2 5" xfId="5523" xr:uid="{00000000-0005-0000-0000-0000FE2F0000}"/>
    <cellStyle name="Normal 5 2 5 2 2 5 2" xfId="15383" xr:uid="{00000000-0005-0000-0000-0000FF2F0000}"/>
    <cellStyle name="Normal 5 2 5 2 2 5 2 2" xfId="35098" xr:uid="{00000000-0005-0000-0000-000000300000}"/>
    <cellStyle name="Normal 5 2 5 2 2 5 3" xfId="25241" xr:uid="{00000000-0005-0000-0000-000001300000}"/>
    <cellStyle name="Normal 5 2 5 2 2 6" xfId="10455" xr:uid="{00000000-0005-0000-0000-000002300000}"/>
    <cellStyle name="Normal 5 2 5 2 2 6 2" xfId="30170" xr:uid="{00000000-0005-0000-0000-000003300000}"/>
    <cellStyle name="Normal 5 2 5 2 2 7" xfId="20313" xr:uid="{00000000-0005-0000-0000-000004300000}"/>
    <cellStyle name="Normal 5 2 5 2 3" xfId="894" xr:uid="{00000000-0005-0000-0000-000005300000}"/>
    <cellStyle name="Normal 5 2 5 2 3 2" xfId="2130" xr:uid="{00000000-0005-0000-0000-000006300000}"/>
    <cellStyle name="Normal 5 2 5 2 3 2 2" xfId="4597" xr:uid="{00000000-0005-0000-0000-000007300000}"/>
    <cellStyle name="Normal 5 2 5 2 3 2 2 2" xfId="9529" xr:uid="{00000000-0005-0000-0000-000008300000}"/>
    <cellStyle name="Normal 5 2 5 2 3 2 2 2 2" xfId="19389" xr:uid="{00000000-0005-0000-0000-000009300000}"/>
    <cellStyle name="Normal 5 2 5 2 3 2 2 2 2 2" xfId="39104" xr:uid="{00000000-0005-0000-0000-00000A300000}"/>
    <cellStyle name="Normal 5 2 5 2 3 2 2 2 3" xfId="29247" xr:uid="{00000000-0005-0000-0000-00000B300000}"/>
    <cellStyle name="Normal 5 2 5 2 3 2 2 3" xfId="14461" xr:uid="{00000000-0005-0000-0000-00000C300000}"/>
    <cellStyle name="Normal 5 2 5 2 3 2 2 3 2" xfId="34176" xr:uid="{00000000-0005-0000-0000-00000D300000}"/>
    <cellStyle name="Normal 5 2 5 2 3 2 2 4" xfId="24319" xr:uid="{00000000-0005-0000-0000-00000E300000}"/>
    <cellStyle name="Normal 5 2 5 2 3 2 3" xfId="7065" xr:uid="{00000000-0005-0000-0000-00000F300000}"/>
    <cellStyle name="Normal 5 2 5 2 3 2 3 2" xfId="16925" xr:uid="{00000000-0005-0000-0000-000010300000}"/>
    <cellStyle name="Normal 5 2 5 2 3 2 3 2 2" xfId="36640" xr:uid="{00000000-0005-0000-0000-000011300000}"/>
    <cellStyle name="Normal 5 2 5 2 3 2 3 3" xfId="26783" xr:uid="{00000000-0005-0000-0000-000012300000}"/>
    <cellStyle name="Normal 5 2 5 2 3 2 4" xfId="11997" xr:uid="{00000000-0005-0000-0000-000013300000}"/>
    <cellStyle name="Normal 5 2 5 2 3 2 4 2" xfId="31712" xr:uid="{00000000-0005-0000-0000-000014300000}"/>
    <cellStyle name="Normal 5 2 5 2 3 2 5" xfId="21855" xr:uid="{00000000-0005-0000-0000-000015300000}"/>
    <cellStyle name="Normal 5 2 5 2 3 3" xfId="3365" xr:uid="{00000000-0005-0000-0000-000016300000}"/>
    <cellStyle name="Normal 5 2 5 2 3 3 2" xfId="8297" xr:uid="{00000000-0005-0000-0000-000017300000}"/>
    <cellStyle name="Normal 5 2 5 2 3 3 2 2" xfId="18157" xr:uid="{00000000-0005-0000-0000-000018300000}"/>
    <cellStyle name="Normal 5 2 5 2 3 3 2 2 2" xfId="37872" xr:uid="{00000000-0005-0000-0000-000019300000}"/>
    <cellStyle name="Normal 5 2 5 2 3 3 2 3" xfId="28015" xr:uid="{00000000-0005-0000-0000-00001A300000}"/>
    <cellStyle name="Normal 5 2 5 2 3 3 3" xfId="13229" xr:uid="{00000000-0005-0000-0000-00001B300000}"/>
    <cellStyle name="Normal 5 2 5 2 3 3 3 2" xfId="32944" xr:uid="{00000000-0005-0000-0000-00001C300000}"/>
    <cellStyle name="Normal 5 2 5 2 3 3 4" xfId="23087" xr:uid="{00000000-0005-0000-0000-00001D300000}"/>
    <cellStyle name="Normal 5 2 5 2 3 4" xfId="5833" xr:uid="{00000000-0005-0000-0000-00001E300000}"/>
    <cellStyle name="Normal 5 2 5 2 3 4 2" xfId="15693" xr:uid="{00000000-0005-0000-0000-00001F300000}"/>
    <cellStyle name="Normal 5 2 5 2 3 4 2 2" xfId="35408" xr:uid="{00000000-0005-0000-0000-000020300000}"/>
    <cellStyle name="Normal 5 2 5 2 3 4 3" xfId="25551" xr:uid="{00000000-0005-0000-0000-000021300000}"/>
    <cellStyle name="Normal 5 2 5 2 3 5" xfId="10765" xr:uid="{00000000-0005-0000-0000-000022300000}"/>
    <cellStyle name="Normal 5 2 5 2 3 5 2" xfId="30480" xr:uid="{00000000-0005-0000-0000-000023300000}"/>
    <cellStyle name="Normal 5 2 5 2 3 6" xfId="20623" xr:uid="{00000000-0005-0000-0000-000024300000}"/>
    <cellStyle name="Normal 5 2 5 2 4" xfId="1514" xr:uid="{00000000-0005-0000-0000-000025300000}"/>
    <cellStyle name="Normal 5 2 5 2 4 2" xfId="3981" xr:uid="{00000000-0005-0000-0000-000026300000}"/>
    <cellStyle name="Normal 5 2 5 2 4 2 2" xfId="8913" xr:uid="{00000000-0005-0000-0000-000027300000}"/>
    <cellStyle name="Normal 5 2 5 2 4 2 2 2" xfId="18773" xr:uid="{00000000-0005-0000-0000-000028300000}"/>
    <cellStyle name="Normal 5 2 5 2 4 2 2 2 2" xfId="38488" xr:uid="{00000000-0005-0000-0000-000029300000}"/>
    <cellStyle name="Normal 5 2 5 2 4 2 2 3" xfId="28631" xr:uid="{00000000-0005-0000-0000-00002A300000}"/>
    <cellStyle name="Normal 5 2 5 2 4 2 3" xfId="13845" xr:uid="{00000000-0005-0000-0000-00002B300000}"/>
    <cellStyle name="Normal 5 2 5 2 4 2 3 2" xfId="33560" xr:uid="{00000000-0005-0000-0000-00002C300000}"/>
    <cellStyle name="Normal 5 2 5 2 4 2 4" xfId="23703" xr:uid="{00000000-0005-0000-0000-00002D300000}"/>
    <cellStyle name="Normal 5 2 5 2 4 3" xfId="6449" xr:uid="{00000000-0005-0000-0000-00002E300000}"/>
    <cellStyle name="Normal 5 2 5 2 4 3 2" xfId="16309" xr:uid="{00000000-0005-0000-0000-00002F300000}"/>
    <cellStyle name="Normal 5 2 5 2 4 3 2 2" xfId="36024" xr:uid="{00000000-0005-0000-0000-000030300000}"/>
    <cellStyle name="Normal 5 2 5 2 4 3 3" xfId="26167" xr:uid="{00000000-0005-0000-0000-000031300000}"/>
    <cellStyle name="Normal 5 2 5 2 4 4" xfId="11381" xr:uid="{00000000-0005-0000-0000-000032300000}"/>
    <cellStyle name="Normal 5 2 5 2 4 4 2" xfId="31096" xr:uid="{00000000-0005-0000-0000-000033300000}"/>
    <cellStyle name="Normal 5 2 5 2 4 5" xfId="21239" xr:uid="{00000000-0005-0000-0000-000034300000}"/>
    <cellStyle name="Normal 5 2 5 2 5" xfId="2749" xr:uid="{00000000-0005-0000-0000-000035300000}"/>
    <cellStyle name="Normal 5 2 5 2 5 2" xfId="7681" xr:uid="{00000000-0005-0000-0000-000036300000}"/>
    <cellStyle name="Normal 5 2 5 2 5 2 2" xfId="17541" xr:uid="{00000000-0005-0000-0000-000037300000}"/>
    <cellStyle name="Normal 5 2 5 2 5 2 2 2" xfId="37256" xr:uid="{00000000-0005-0000-0000-000038300000}"/>
    <cellStyle name="Normal 5 2 5 2 5 2 3" xfId="27399" xr:uid="{00000000-0005-0000-0000-000039300000}"/>
    <cellStyle name="Normal 5 2 5 2 5 3" xfId="12613" xr:uid="{00000000-0005-0000-0000-00003A300000}"/>
    <cellStyle name="Normal 5 2 5 2 5 3 2" xfId="32328" xr:uid="{00000000-0005-0000-0000-00003B300000}"/>
    <cellStyle name="Normal 5 2 5 2 5 4" xfId="22471" xr:uid="{00000000-0005-0000-0000-00003C300000}"/>
    <cellStyle name="Normal 5 2 5 2 6" xfId="5217" xr:uid="{00000000-0005-0000-0000-00003D300000}"/>
    <cellStyle name="Normal 5 2 5 2 6 2" xfId="15077" xr:uid="{00000000-0005-0000-0000-00003E300000}"/>
    <cellStyle name="Normal 5 2 5 2 6 2 2" xfId="34792" xr:uid="{00000000-0005-0000-0000-00003F300000}"/>
    <cellStyle name="Normal 5 2 5 2 6 3" xfId="24935" xr:uid="{00000000-0005-0000-0000-000040300000}"/>
    <cellStyle name="Normal 5 2 5 2 7" xfId="10149" xr:uid="{00000000-0005-0000-0000-000041300000}"/>
    <cellStyle name="Normal 5 2 5 2 7 2" xfId="29864" xr:uid="{00000000-0005-0000-0000-000042300000}"/>
    <cellStyle name="Normal 5 2 5 2 8" xfId="20007" xr:uid="{00000000-0005-0000-0000-000043300000}"/>
    <cellStyle name="Normal 5 2 5 3" xfId="429" xr:uid="{00000000-0005-0000-0000-000044300000}"/>
    <cellStyle name="Normal 5 2 5 3 2" xfId="1049" xr:uid="{00000000-0005-0000-0000-000045300000}"/>
    <cellStyle name="Normal 5 2 5 3 2 2" xfId="2284" xr:uid="{00000000-0005-0000-0000-000046300000}"/>
    <cellStyle name="Normal 5 2 5 3 2 2 2" xfId="4751" xr:uid="{00000000-0005-0000-0000-000047300000}"/>
    <cellStyle name="Normal 5 2 5 3 2 2 2 2" xfId="9683" xr:uid="{00000000-0005-0000-0000-000048300000}"/>
    <cellStyle name="Normal 5 2 5 3 2 2 2 2 2" xfId="19543" xr:uid="{00000000-0005-0000-0000-000049300000}"/>
    <cellStyle name="Normal 5 2 5 3 2 2 2 2 2 2" xfId="39258" xr:uid="{00000000-0005-0000-0000-00004A300000}"/>
    <cellStyle name="Normal 5 2 5 3 2 2 2 2 3" xfId="29401" xr:uid="{00000000-0005-0000-0000-00004B300000}"/>
    <cellStyle name="Normal 5 2 5 3 2 2 2 3" xfId="14615" xr:uid="{00000000-0005-0000-0000-00004C300000}"/>
    <cellStyle name="Normal 5 2 5 3 2 2 2 3 2" xfId="34330" xr:uid="{00000000-0005-0000-0000-00004D300000}"/>
    <cellStyle name="Normal 5 2 5 3 2 2 2 4" xfId="24473" xr:uid="{00000000-0005-0000-0000-00004E300000}"/>
    <cellStyle name="Normal 5 2 5 3 2 2 3" xfId="7219" xr:uid="{00000000-0005-0000-0000-00004F300000}"/>
    <cellStyle name="Normal 5 2 5 3 2 2 3 2" xfId="17079" xr:uid="{00000000-0005-0000-0000-000050300000}"/>
    <cellStyle name="Normal 5 2 5 3 2 2 3 2 2" xfId="36794" xr:uid="{00000000-0005-0000-0000-000051300000}"/>
    <cellStyle name="Normal 5 2 5 3 2 2 3 3" xfId="26937" xr:uid="{00000000-0005-0000-0000-000052300000}"/>
    <cellStyle name="Normal 5 2 5 3 2 2 4" xfId="12151" xr:uid="{00000000-0005-0000-0000-000053300000}"/>
    <cellStyle name="Normal 5 2 5 3 2 2 4 2" xfId="31866" xr:uid="{00000000-0005-0000-0000-000054300000}"/>
    <cellStyle name="Normal 5 2 5 3 2 2 5" xfId="22009" xr:uid="{00000000-0005-0000-0000-000055300000}"/>
    <cellStyle name="Normal 5 2 5 3 2 3" xfId="3519" xr:uid="{00000000-0005-0000-0000-000056300000}"/>
    <cellStyle name="Normal 5 2 5 3 2 3 2" xfId="8451" xr:uid="{00000000-0005-0000-0000-000057300000}"/>
    <cellStyle name="Normal 5 2 5 3 2 3 2 2" xfId="18311" xr:uid="{00000000-0005-0000-0000-000058300000}"/>
    <cellStyle name="Normal 5 2 5 3 2 3 2 2 2" xfId="38026" xr:uid="{00000000-0005-0000-0000-000059300000}"/>
    <cellStyle name="Normal 5 2 5 3 2 3 2 3" xfId="28169" xr:uid="{00000000-0005-0000-0000-00005A300000}"/>
    <cellStyle name="Normal 5 2 5 3 2 3 3" xfId="13383" xr:uid="{00000000-0005-0000-0000-00005B300000}"/>
    <cellStyle name="Normal 5 2 5 3 2 3 3 2" xfId="33098" xr:uid="{00000000-0005-0000-0000-00005C300000}"/>
    <cellStyle name="Normal 5 2 5 3 2 3 4" xfId="23241" xr:uid="{00000000-0005-0000-0000-00005D300000}"/>
    <cellStyle name="Normal 5 2 5 3 2 4" xfId="5987" xr:uid="{00000000-0005-0000-0000-00005E300000}"/>
    <cellStyle name="Normal 5 2 5 3 2 4 2" xfId="15847" xr:uid="{00000000-0005-0000-0000-00005F300000}"/>
    <cellStyle name="Normal 5 2 5 3 2 4 2 2" xfId="35562" xr:uid="{00000000-0005-0000-0000-000060300000}"/>
    <cellStyle name="Normal 5 2 5 3 2 4 3" xfId="25705" xr:uid="{00000000-0005-0000-0000-000061300000}"/>
    <cellStyle name="Normal 5 2 5 3 2 5" xfId="10919" xr:uid="{00000000-0005-0000-0000-000062300000}"/>
    <cellStyle name="Normal 5 2 5 3 2 5 2" xfId="30634" xr:uid="{00000000-0005-0000-0000-000063300000}"/>
    <cellStyle name="Normal 5 2 5 3 2 6" xfId="20777" xr:uid="{00000000-0005-0000-0000-000064300000}"/>
    <cellStyle name="Normal 5 2 5 3 3" xfId="1668" xr:uid="{00000000-0005-0000-0000-000065300000}"/>
    <cellStyle name="Normal 5 2 5 3 3 2" xfId="4135" xr:uid="{00000000-0005-0000-0000-000066300000}"/>
    <cellStyle name="Normal 5 2 5 3 3 2 2" xfId="9067" xr:uid="{00000000-0005-0000-0000-000067300000}"/>
    <cellStyle name="Normal 5 2 5 3 3 2 2 2" xfId="18927" xr:uid="{00000000-0005-0000-0000-000068300000}"/>
    <cellStyle name="Normal 5 2 5 3 3 2 2 2 2" xfId="38642" xr:uid="{00000000-0005-0000-0000-000069300000}"/>
    <cellStyle name="Normal 5 2 5 3 3 2 2 3" xfId="28785" xr:uid="{00000000-0005-0000-0000-00006A300000}"/>
    <cellStyle name="Normal 5 2 5 3 3 2 3" xfId="13999" xr:uid="{00000000-0005-0000-0000-00006B300000}"/>
    <cellStyle name="Normal 5 2 5 3 3 2 3 2" xfId="33714" xr:uid="{00000000-0005-0000-0000-00006C300000}"/>
    <cellStyle name="Normal 5 2 5 3 3 2 4" xfId="23857" xr:uid="{00000000-0005-0000-0000-00006D300000}"/>
    <cellStyle name="Normal 5 2 5 3 3 3" xfId="6603" xr:uid="{00000000-0005-0000-0000-00006E300000}"/>
    <cellStyle name="Normal 5 2 5 3 3 3 2" xfId="16463" xr:uid="{00000000-0005-0000-0000-00006F300000}"/>
    <cellStyle name="Normal 5 2 5 3 3 3 2 2" xfId="36178" xr:uid="{00000000-0005-0000-0000-000070300000}"/>
    <cellStyle name="Normal 5 2 5 3 3 3 3" xfId="26321" xr:uid="{00000000-0005-0000-0000-000071300000}"/>
    <cellStyle name="Normal 5 2 5 3 3 4" xfId="11535" xr:uid="{00000000-0005-0000-0000-000072300000}"/>
    <cellStyle name="Normal 5 2 5 3 3 4 2" xfId="31250" xr:uid="{00000000-0005-0000-0000-000073300000}"/>
    <cellStyle name="Normal 5 2 5 3 3 5" xfId="21393" xr:uid="{00000000-0005-0000-0000-000074300000}"/>
    <cellStyle name="Normal 5 2 5 3 4" xfId="2903" xr:uid="{00000000-0005-0000-0000-000075300000}"/>
    <cellStyle name="Normal 5 2 5 3 4 2" xfId="7835" xr:uid="{00000000-0005-0000-0000-000076300000}"/>
    <cellStyle name="Normal 5 2 5 3 4 2 2" xfId="17695" xr:uid="{00000000-0005-0000-0000-000077300000}"/>
    <cellStyle name="Normal 5 2 5 3 4 2 2 2" xfId="37410" xr:uid="{00000000-0005-0000-0000-000078300000}"/>
    <cellStyle name="Normal 5 2 5 3 4 2 3" xfId="27553" xr:uid="{00000000-0005-0000-0000-000079300000}"/>
    <cellStyle name="Normal 5 2 5 3 4 3" xfId="12767" xr:uid="{00000000-0005-0000-0000-00007A300000}"/>
    <cellStyle name="Normal 5 2 5 3 4 3 2" xfId="32482" xr:uid="{00000000-0005-0000-0000-00007B300000}"/>
    <cellStyle name="Normal 5 2 5 3 4 4" xfId="22625" xr:uid="{00000000-0005-0000-0000-00007C300000}"/>
    <cellStyle name="Normal 5 2 5 3 5" xfId="5371" xr:uid="{00000000-0005-0000-0000-00007D300000}"/>
    <cellStyle name="Normal 5 2 5 3 5 2" xfId="15231" xr:uid="{00000000-0005-0000-0000-00007E300000}"/>
    <cellStyle name="Normal 5 2 5 3 5 2 2" xfId="34946" xr:uid="{00000000-0005-0000-0000-00007F300000}"/>
    <cellStyle name="Normal 5 2 5 3 5 3" xfId="25089" xr:uid="{00000000-0005-0000-0000-000080300000}"/>
    <cellStyle name="Normal 5 2 5 3 6" xfId="10303" xr:uid="{00000000-0005-0000-0000-000081300000}"/>
    <cellStyle name="Normal 5 2 5 3 6 2" xfId="30018" xr:uid="{00000000-0005-0000-0000-000082300000}"/>
    <cellStyle name="Normal 5 2 5 3 7" xfId="20161" xr:uid="{00000000-0005-0000-0000-000083300000}"/>
    <cellStyle name="Normal 5 2 5 4" xfId="742" xr:uid="{00000000-0005-0000-0000-000084300000}"/>
    <cellStyle name="Normal 5 2 5 4 2" xfId="1978" xr:uid="{00000000-0005-0000-0000-000085300000}"/>
    <cellStyle name="Normal 5 2 5 4 2 2" xfId="4445" xr:uid="{00000000-0005-0000-0000-000086300000}"/>
    <cellStyle name="Normal 5 2 5 4 2 2 2" xfId="9377" xr:uid="{00000000-0005-0000-0000-000087300000}"/>
    <cellStyle name="Normal 5 2 5 4 2 2 2 2" xfId="19237" xr:uid="{00000000-0005-0000-0000-000088300000}"/>
    <cellStyle name="Normal 5 2 5 4 2 2 2 2 2" xfId="38952" xr:uid="{00000000-0005-0000-0000-000089300000}"/>
    <cellStyle name="Normal 5 2 5 4 2 2 2 3" xfId="29095" xr:uid="{00000000-0005-0000-0000-00008A300000}"/>
    <cellStyle name="Normal 5 2 5 4 2 2 3" xfId="14309" xr:uid="{00000000-0005-0000-0000-00008B300000}"/>
    <cellStyle name="Normal 5 2 5 4 2 2 3 2" xfId="34024" xr:uid="{00000000-0005-0000-0000-00008C300000}"/>
    <cellStyle name="Normal 5 2 5 4 2 2 4" xfId="24167" xr:uid="{00000000-0005-0000-0000-00008D300000}"/>
    <cellStyle name="Normal 5 2 5 4 2 3" xfId="6913" xr:uid="{00000000-0005-0000-0000-00008E300000}"/>
    <cellStyle name="Normal 5 2 5 4 2 3 2" xfId="16773" xr:uid="{00000000-0005-0000-0000-00008F300000}"/>
    <cellStyle name="Normal 5 2 5 4 2 3 2 2" xfId="36488" xr:uid="{00000000-0005-0000-0000-000090300000}"/>
    <cellStyle name="Normal 5 2 5 4 2 3 3" xfId="26631" xr:uid="{00000000-0005-0000-0000-000091300000}"/>
    <cellStyle name="Normal 5 2 5 4 2 4" xfId="11845" xr:uid="{00000000-0005-0000-0000-000092300000}"/>
    <cellStyle name="Normal 5 2 5 4 2 4 2" xfId="31560" xr:uid="{00000000-0005-0000-0000-000093300000}"/>
    <cellStyle name="Normal 5 2 5 4 2 5" xfId="21703" xr:uid="{00000000-0005-0000-0000-000094300000}"/>
    <cellStyle name="Normal 5 2 5 4 3" xfId="3213" xr:uid="{00000000-0005-0000-0000-000095300000}"/>
    <cellStyle name="Normal 5 2 5 4 3 2" xfId="8145" xr:uid="{00000000-0005-0000-0000-000096300000}"/>
    <cellStyle name="Normal 5 2 5 4 3 2 2" xfId="18005" xr:uid="{00000000-0005-0000-0000-000097300000}"/>
    <cellStyle name="Normal 5 2 5 4 3 2 2 2" xfId="37720" xr:uid="{00000000-0005-0000-0000-000098300000}"/>
    <cellStyle name="Normal 5 2 5 4 3 2 3" xfId="27863" xr:uid="{00000000-0005-0000-0000-000099300000}"/>
    <cellStyle name="Normal 5 2 5 4 3 3" xfId="13077" xr:uid="{00000000-0005-0000-0000-00009A300000}"/>
    <cellStyle name="Normal 5 2 5 4 3 3 2" xfId="32792" xr:uid="{00000000-0005-0000-0000-00009B300000}"/>
    <cellStyle name="Normal 5 2 5 4 3 4" xfId="22935" xr:uid="{00000000-0005-0000-0000-00009C300000}"/>
    <cellStyle name="Normal 5 2 5 4 4" xfId="5681" xr:uid="{00000000-0005-0000-0000-00009D300000}"/>
    <cellStyle name="Normal 5 2 5 4 4 2" xfId="15541" xr:uid="{00000000-0005-0000-0000-00009E300000}"/>
    <cellStyle name="Normal 5 2 5 4 4 2 2" xfId="35256" xr:uid="{00000000-0005-0000-0000-00009F300000}"/>
    <cellStyle name="Normal 5 2 5 4 4 3" xfId="25399" xr:uid="{00000000-0005-0000-0000-0000A0300000}"/>
    <cellStyle name="Normal 5 2 5 4 5" xfId="10613" xr:uid="{00000000-0005-0000-0000-0000A1300000}"/>
    <cellStyle name="Normal 5 2 5 4 5 2" xfId="30328" xr:uid="{00000000-0005-0000-0000-0000A2300000}"/>
    <cellStyle name="Normal 5 2 5 4 6" xfId="20471" xr:uid="{00000000-0005-0000-0000-0000A3300000}"/>
    <cellStyle name="Normal 5 2 5 5" xfId="1362" xr:uid="{00000000-0005-0000-0000-0000A4300000}"/>
    <cellStyle name="Normal 5 2 5 5 2" xfId="3829" xr:uid="{00000000-0005-0000-0000-0000A5300000}"/>
    <cellStyle name="Normal 5 2 5 5 2 2" xfId="8761" xr:uid="{00000000-0005-0000-0000-0000A6300000}"/>
    <cellStyle name="Normal 5 2 5 5 2 2 2" xfId="18621" xr:uid="{00000000-0005-0000-0000-0000A7300000}"/>
    <cellStyle name="Normal 5 2 5 5 2 2 2 2" xfId="38336" xr:uid="{00000000-0005-0000-0000-0000A8300000}"/>
    <cellStyle name="Normal 5 2 5 5 2 2 3" xfId="28479" xr:uid="{00000000-0005-0000-0000-0000A9300000}"/>
    <cellStyle name="Normal 5 2 5 5 2 3" xfId="13693" xr:uid="{00000000-0005-0000-0000-0000AA300000}"/>
    <cellStyle name="Normal 5 2 5 5 2 3 2" xfId="33408" xr:uid="{00000000-0005-0000-0000-0000AB300000}"/>
    <cellStyle name="Normal 5 2 5 5 2 4" xfId="23551" xr:uid="{00000000-0005-0000-0000-0000AC300000}"/>
    <cellStyle name="Normal 5 2 5 5 3" xfId="6297" xr:uid="{00000000-0005-0000-0000-0000AD300000}"/>
    <cellStyle name="Normal 5 2 5 5 3 2" xfId="16157" xr:uid="{00000000-0005-0000-0000-0000AE300000}"/>
    <cellStyle name="Normal 5 2 5 5 3 2 2" xfId="35872" xr:uid="{00000000-0005-0000-0000-0000AF300000}"/>
    <cellStyle name="Normal 5 2 5 5 3 3" xfId="26015" xr:uid="{00000000-0005-0000-0000-0000B0300000}"/>
    <cellStyle name="Normal 5 2 5 5 4" xfId="11229" xr:uid="{00000000-0005-0000-0000-0000B1300000}"/>
    <cellStyle name="Normal 5 2 5 5 4 2" xfId="30944" xr:uid="{00000000-0005-0000-0000-0000B2300000}"/>
    <cellStyle name="Normal 5 2 5 5 5" xfId="21087" xr:uid="{00000000-0005-0000-0000-0000B3300000}"/>
    <cellStyle name="Normal 5 2 5 6" xfId="2597" xr:uid="{00000000-0005-0000-0000-0000B4300000}"/>
    <cellStyle name="Normal 5 2 5 6 2" xfId="7529" xr:uid="{00000000-0005-0000-0000-0000B5300000}"/>
    <cellStyle name="Normal 5 2 5 6 2 2" xfId="17389" xr:uid="{00000000-0005-0000-0000-0000B6300000}"/>
    <cellStyle name="Normal 5 2 5 6 2 2 2" xfId="37104" xr:uid="{00000000-0005-0000-0000-0000B7300000}"/>
    <cellStyle name="Normal 5 2 5 6 2 3" xfId="27247" xr:uid="{00000000-0005-0000-0000-0000B8300000}"/>
    <cellStyle name="Normal 5 2 5 6 3" xfId="12461" xr:uid="{00000000-0005-0000-0000-0000B9300000}"/>
    <cellStyle name="Normal 5 2 5 6 3 2" xfId="32176" xr:uid="{00000000-0005-0000-0000-0000BA300000}"/>
    <cellStyle name="Normal 5 2 5 6 4" xfId="22319" xr:uid="{00000000-0005-0000-0000-0000BB300000}"/>
    <cellStyle name="Normal 5 2 5 7" xfId="5065" xr:uid="{00000000-0005-0000-0000-0000BC300000}"/>
    <cellStyle name="Normal 5 2 5 7 2" xfId="14925" xr:uid="{00000000-0005-0000-0000-0000BD300000}"/>
    <cellStyle name="Normal 5 2 5 7 2 2" xfId="34640" xr:uid="{00000000-0005-0000-0000-0000BE300000}"/>
    <cellStyle name="Normal 5 2 5 7 3" xfId="24783" xr:uid="{00000000-0005-0000-0000-0000BF300000}"/>
    <cellStyle name="Normal 5 2 5 8" xfId="9997" xr:uid="{00000000-0005-0000-0000-0000C0300000}"/>
    <cellStyle name="Normal 5 2 5 8 2" xfId="29712" xr:uid="{00000000-0005-0000-0000-0000C1300000}"/>
    <cellStyle name="Normal 5 2 5 9" xfId="19855" xr:uid="{00000000-0005-0000-0000-0000C2300000}"/>
    <cellStyle name="Normal 5 2 6" xfId="190" xr:uid="{00000000-0005-0000-0000-0000C3300000}"/>
    <cellStyle name="Normal 5 2 6 2" xfId="505" xr:uid="{00000000-0005-0000-0000-0000C4300000}"/>
    <cellStyle name="Normal 5 2 6 2 2" xfId="1125" xr:uid="{00000000-0005-0000-0000-0000C5300000}"/>
    <cellStyle name="Normal 5 2 6 2 2 2" xfId="2360" xr:uid="{00000000-0005-0000-0000-0000C6300000}"/>
    <cellStyle name="Normal 5 2 6 2 2 2 2" xfId="4827" xr:uid="{00000000-0005-0000-0000-0000C7300000}"/>
    <cellStyle name="Normal 5 2 6 2 2 2 2 2" xfId="9759" xr:uid="{00000000-0005-0000-0000-0000C8300000}"/>
    <cellStyle name="Normal 5 2 6 2 2 2 2 2 2" xfId="19619" xr:uid="{00000000-0005-0000-0000-0000C9300000}"/>
    <cellStyle name="Normal 5 2 6 2 2 2 2 2 2 2" xfId="39334" xr:uid="{00000000-0005-0000-0000-0000CA300000}"/>
    <cellStyle name="Normal 5 2 6 2 2 2 2 2 3" xfId="29477" xr:uid="{00000000-0005-0000-0000-0000CB300000}"/>
    <cellStyle name="Normal 5 2 6 2 2 2 2 3" xfId="14691" xr:uid="{00000000-0005-0000-0000-0000CC300000}"/>
    <cellStyle name="Normal 5 2 6 2 2 2 2 3 2" xfId="34406" xr:uid="{00000000-0005-0000-0000-0000CD300000}"/>
    <cellStyle name="Normal 5 2 6 2 2 2 2 4" xfId="24549" xr:uid="{00000000-0005-0000-0000-0000CE300000}"/>
    <cellStyle name="Normal 5 2 6 2 2 2 3" xfId="7295" xr:uid="{00000000-0005-0000-0000-0000CF300000}"/>
    <cellStyle name="Normal 5 2 6 2 2 2 3 2" xfId="17155" xr:uid="{00000000-0005-0000-0000-0000D0300000}"/>
    <cellStyle name="Normal 5 2 6 2 2 2 3 2 2" xfId="36870" xr:uid="{00000000-0005-0000-0000-0000D1300000}"/>
    <cellStyle name="Normal 5 2 6 2 2 2 3 3" xfId="27013" xr:uid="{00000000-0005-0000-0000-0000D2300000}"/>
    <cellStyle name="Normal 5 2 6 2 2 2 4" xfId="12227" xr:uid="{00000000-0005-0000-0000-0000D3300000}"/>
    <cellStyle name="Normal 5 2 6 2 2 2 4 2" xfId="31942" xr:uid="{00000000-0005-0000-0000-0000D4300000}"/>
    <cellStyle name="Normal 5 2 6 2 2 2 5" xfId="22085" xr:uid="{00000000-0005-0000-0000-0000D5300000}"/>
    <cellStyle name="Normal 5 2 6 2 2 3" xfId="3595" xr:uid="{00000000-0005-0000-0000-0000D6300000}"/>
    <cellStyle name="Normal 5 2 6 2 2 3 2" xfId="8527" xr:uid="{00000000-0005-0000-0000-0000D7300000}"/>
    <cellStyle name="Normal 5 2 6 2 2 3 2 2" xfId="18387" xr:uid="{00000000-0005-0000-0000-0000D8300000}"/>
    <cellStyle name="Normal 5 2 6 2 2 3 2 2 2" xfId="38102" xr:uid="{00000000-0005-0000-0000-0000D9300000}"/>
    <cellStyle name="Normal 5 2 6 2 2 3 2 3" xfId="28245" xr:uid="{00000000-0005-0000-0000-0000DA300000}"/>
    <cellStyle name="Normal 5 2 6 2 2 3 3" xfId="13459" xr:uid="{00000000-0005-0000-0000-0000DB300000}"/>
    <cellStyle name="Normal 5 2 6 2 2 3 3 2" xfId="33174" xr:uid="{00000000-0005-0000-0000-0000DC300000}"/>
    <cellStyle name="Normal 5 2 6 2 2 3 4" xfId="23317" xr:uid="{00000000-0005-0000-0000-0000DD300000}"/>
    <cellStyle name="Normal 5 2 6 2 2 4" xfId="6063" xr:uid="{00000000-0005-0000-0000-0000DE300000}"/>
    <cellStyle name="Normal 5 2 6 2 2 4 2" xfId="15923" xr:uid="{00000000-0005-0000-0000-0000DF300000}"/>
    <cellStyle name="Normal 5 2 6 2 2 4 2 2" xfId="35638" xr:uid="{00000000-0005-0000-0000-0000E0300000}"/>
    <cellStyle name="Normal 5 2 6 2 2 4 3" xfId="25781" xr:uid="{00000000-0005-0000-0000-0000E1300000}"/>
    <cellStyle name="Normal 5 2 6 2 2 5" xfId="10995" xr:uid="{00000000-0005-0000-0000-0000E2300000}"/>
    <cellStyle name="Normal 5 2 6 2 2 5 2" xfId="30710" xr:uid="{00000000-0005-0000-0000-0000E3300000}"/>
    <cellStyle name="Normal 5 2 6 2 2 6" xfId="20853" xr:uid="{00000000-0005-0000-0000-0000E4300000}"/>
    <cellStyle name="Normal 5 2 6 2 3" xfId="1744" xr:uid="{00000000-0005-0000-0000-0000E5300000}"/>
    <cellStyle name="Normal 5 2 6 2 3 2" xfId="4211" xr:uid="{00000000-0005-0000-0000-0000E6300000}"/>
    <cellStyle name="Normal 5 2 6 2 3 2 2" xfId="9143" xr:uid="{00000000-0005-0000-0000-0000E7300000}"/>
    <cellStyle name="Normal 5 2 6 2 3 2 2 2" xfId="19003" xr:uid="{00000000-0005-0000-0000-0000E8300000}"/>
    <cellStyle name="Normal 5 2 6 2 3 2 2 2 2" xfId="38718" xr:uid="{00000000-0005-0000-0000-0000E9300000}"/>
    <cellStyle name="Normal 5 2 6 2 3 2 2 3" xfId="28861" xr:uid="{00000000-0005-0000-0000-0000EA300000}"/>
    <cellStyle name="Normal 5 2 6 2 3 2 3" xfId="14075" xr:uid="{00000000-0005-0000-0000-0000EB300000}"/>
    <cellStyle name="Normal 5 2 6 2 3 2 3 2" xfId="33790" xr:uid="{00000000-0005-0000-0000-0000EC300000}"/>
    <cellStyle name="Normal 5 2 6 2 3 2 4" xfId="23933" xr:uid="{00000000-0005-0000-0000-0000ED300000}"/>
    <cellStyle name="Normal 5 2 6 2 3 3" xfId="6679" xr:uid="{00000000-0005-0000-0000-0000EE300000}"/>
    <cellStyle name="Normal 5 2 6 2 3 3 2" xfId="16539" xr:uid="{00000000-0005-0000-0000-0000EF300000}"/>
    <cellStyle name="Normal 5 2 6 2 3 3 2 2" xfId="36254" xr:uid="{00000000-0005-0000-0000-0000F0300000}"/>
    <cellStyle name="Normal 5 2 6 2 3 3 3" xfId="26397" xr:uid="{00000000-0005-0000-0000-0000F1300000}"/>
    <cellStyle name="Normal 5 2 6 2 3 4" xfId="11611" xr:uid="{00000000-0005-0000-0000-0000F2300000}"/>
    <cellStyle name="Normal 5 2 6 2 3 4 2" xfId="31326" xr:uid="{00000000-0005-0000-0000-0000F3300000}"/>
    <cellStyle name="Normal 5 2 6 2 3 5" xfId="21469" xr:uid="{00000000-0005-0000-0000-0000F4300000}"/>
    <cellStyle name="Normal 5 2 6 2 4" xfId="2979" xr:uid="{00000000-0005-0000-0000-0000F5300000}"/>
    <cellStyle name="Normal 5 2 6 2 4 2" xfId="7911" xr:uid="{00000000-0005-0000-0000-0000F6300000}"/>
    <cellStyle name="Normal 5 2 6 2 4 2 2" xfId="17771" xr:uid="{00000000-0005-0000-0000-0000F7300000}"/>
    <cellStyle name="Normal 5 2 6 2 4 2 2 2" xfId="37486" xr:uid="{00000000-0005-0000-0000-0000F8300000}"/>
    <cellStyle name="Normal 5 2 6 2 4 2 3" xfId="27629" xr:uid="{00000000-0005-0000-0000-0000F9300000}"/>
    <cellStyle name="Normal 5 2 6 2 4 3" xfId="12843" xr:uid="{00000000-0005-0000-0000-0000FA300000}"/>
    <cellStyle name="Normal 5 2 6 2 4 3 2" xfId="32558" xr:uid="{00000000-0005-0000-0000-0000FB300000}"/>
    <cellStyle name="Normal 5 2 6 2 4 4" xfId="22701" xr:uid="{00000000-0005-0000-0000-0000FC300000}"/>
    <cellStyle name="Normal 5 2 6 2 5" xfId="5447" xr:uid="{00000000-0005-0000-0000-0000FD300000}"/>
    <cellStyle name="Normal 5 2 6 2 5 2" xfId="15307" xr:uid="{00000000-0005-0000-0000-0000FE300000}"/>
    <cellStyle name="Normal 5 2 6 2 5 2 2" xfId="35022" xr:uid="{00000000-0005-0000-0000-0000FF300000}"/>
    <cellStyle name="Normal 5 2 6 2 5 3" xfId="25165" xr:uid="{00000000-0005-0000-0000-000000310000}"/>
    <cellStyle name="Normal 5 2 6 2 6" xfId="10379" xr:uid="{00000000-0005-0000-0000-000001310000}"/>
    <cellStyle name="Normal 5 2 6 2 6 2" xfId="30094" xr:uid="{00000000-0005-0000-0000-000002310000}"/>
    <cellStyle name="Normal 5 2 6 2 7" xfId="20237" xr:uid="{00000000-0005-0000-0000-000003310000}"/>
    <cellStyle name="Normal 5 2 6 3" xfId="818" xr:uid="{00000000-0005-0000-0000-000004310000}"/>
    <cellStyle name="Normal 5 2 6 3 2" xfId="2054" xr:uid="{00000000-0005-0000-0000-000005310000}"/>
    <cellStyle name="Normal 5 2 6 3 2 2" xfId="4521" xr:uid="{00000000-0005-0000-0000-000006310000}"/>
    <cellStyle name="Normal 5 2 6 3 2 2 2" xfId="9453" xr:uid="{00000000-0005-0000-0000-000007310000}"/>
    <cellStyle name="Normal 5 2 6 3 2 2 2 2" xfId="19313" xr:uid="{00000000-0005-0000-0000-000008310000}"/>
    <cellStyle name="Normal 5 2 6 3 2 2 2 2 2" xfId="39028" xr:uid="{00000000-0005-0000-0000-000009310000}"/>
    <cellStyle name="Normal 5 2 6 3 2 2 2 3" xfId="29171" xr:uid="{00000000-0005-0000-0000-00000A310000}"/>
    <cellStyle name="Normal 5 2 6 3 2 2 3" xfId="14385" xr:uid="{00000000-0005-0000-0000-00000B310000}"/>
    <cellStyle name="Normal 5 2 6 3 2 2 3 2" xfId="34100" xr:uid="{00000000-0005-0000-0000-00000C310000}"/>
    <cellStyle name="Normal 5 2 6 3 2 2 4" xfId="24243" xr:uid="{00000000-0005-0000-0000-00000D310000}"/>
    <cellStyle name="Normal 5 2 6 3 2 3" xfId="6989" xr:uid="{00000000-0005-0000-0000-00000E310000}"/>
    <cellStyle name="Normal 5 2 6 3 2 3 2" xfId="16849" xr:uid="{00000000-0005-0000-0000-00000F310000}"/>
    <cellStyle name="Normal 5 2 6 3 2 3 2 2" xfId="36564" xr:uid="{00000000-0005-0000-0000-000010310000}"/>
    <cellStyle name="Normal 5 2 6 3 2 3 3" xfId="26707" xr:uid="{00000000-0005-0000-0000-000011310000}"/>
    <cellStyle name="Normal 5 2 6 3 2 4" xfId="11921" xr:uid="{00000000-0005-0000-0000-000012310000}"/>
    <cellStyle name="Normal 5 2 6 3 2 4 2" xfId="31636" xr:uid="{00000000-0005-0000-0000-000013310000}"/>
    <cellStyle name="Normal 5 2 6 3 2 5" xfId="21779" xr:uid="{00000000-0005-0000-0000-000014310000}"/>
    <cellStyle name="Normal 5 2 6 3 3" xfId="3289" xr:uid="{00000000-0005-0000-0000-000015310000}"/>
    <cellStyle name="Normal 5 2 6 3 3 2" xfId="8221" xr:uid="{00000000-0005-0000-0000-000016310000}"/>
    <cellStyle name="Normal 5 2 6 3 3 2 2" xfId="18081" xr:uid="{00000000-0005-0000-0000-000017310000}"/>
    <cellStyle name="Normal 5 2 6 3 3 2 2 2" xfId="37796" xr:uid="{00000000-0005-0000-0000-000018310000}"/>
    <cellStyle name="Normal 5 2 6 3 3 2 3" xfId="27939" xr:uid="{00000000-0005-0000-0000-000019310000}"/>
    <cellStyle name="Normal 5 2 6 3 3 3" xfId="13153" xr:uid="{00000000-0005-0000-0000-00001A310000}"/>
    <cellStyle name="Normal 5 2 6 3 3 3 2" xfId="32868" xr:uid="{00000000-0005-0000-0000-00001B310000}"/>
    <cellStyle name="Normal 5 2 6 3 3 4" xfId="23011" xr:uid="{00000000-0005-0000-0000-00001C310000}"/>
    <cellStyle name="Normal 5 2 6 3 4" xfId="5757" xr:uid="{00000000-0005-0000-0000-00001D310000}"/>
    <cellStyle name="Normal 5 2 6 3 4 2" xfId="15617" xr:uid="{00000000-0005-0000-0000-00001E310000}"/>
    <cellStyle name="Normal 5 2 6 3 4 2 2" xfId="35332" xr:uid="{00000000-0005-0000-0000-00001F310000}"/>
    <cellStyle name="Normal 5 2 6 3 4 3" xfId="25475" xr:uid="{00000000-0005-0000-0000-000020310000}"/>
    <cellStyle name="Normal 5 2 6 3 5" xfId="10689" xr:uid="{00000000-0005-0000-0000-000021310000}"/>
    <cellStyle name="Normal 5 2 6 3 5 2" xfId="30404" xr:uid="{00000000-0005-0000-0000-000022310000}"/>
    <cellStyle name="Normal 5 2 6 3 6" xfId="20547" xr:uid="{00000000-0005-0000-0000-000023310000}"/>
    <cellStyle name="Normal 5 2 6 4" xfId="1438" xr:uid="{00000000-0005-0000-0000-000024310000}"/>
    <cellStyle name="Normal 5 2 6 4 2" xfId="3905" xr:uid="{00000000-0005-0000-0000-000025310000}"/>
    <cellStyle name="Normal 5 2 6 4 2 2" xfId="8837" xr:uid="{00000000-0005-0000-0000-000026310000}"/>
    <cellStyle name="Normal 5 2 6 4 2 2 2" xfId="18697" xr:uid="{00000000-0005-0000-0000-000027310000}"/>
    <cellStyle name="Normal 5 2 6 4 2 2 2 2" xfId="38412" xr:uid="{00000000-0005-0000-0000-000028310000}"/>
    <cellStyle name="Normal 5 2 6 4 2 2 3" xfId="28555" xr:uid="{00000000-0005-0000-0000-000029310000}"/>
    <cellStyle name="Normal 5 2 6 4 2 3" xfId="13769" xr:uid="{00000000-0005-0000-0000-00002A310000}"/>
    <cellStyle name="Normal 5 2 6 4 2 3 2" xfId="33484" xr:uid="{00000000-0005-0000-0000-00002B310000}"/>
    <cellStyle name="Normal 5 2 6 4 2 4" xfId="23627" xr:uid="{00000000-0005-0000-0000-00002C310000}"/>
    <cellStyle name="Normal 5 2 6 4 3" xfId="6373" xr:uid="{00000000-0005-0000-0000-00002D310000}"/>
    <cellStyle name="Normal 5 2 6 4 3 2" xfId="16233" xr:uid="{00000000-0005-0000-0000-00002E310000}"/>
    <cellStyle name="Normal 5 2 6 4 3 2 2" xfId="35948" xr:uid="{00000000-0005-0000-0000-00002F310000}"/>
    <cellStyle name="Normal 5 2 6 4 3 3" xfId="26091" xr:uid="{00000000-0005-0000-0000-000030310000}"/>
    <cellStyle name="Normal 5 2 6 4 4" xfId="11305" xr:uid="{00000000-0005-0000-0000-000031310000}"/>
    <cellStyle name="Normal 5 2 6 4 4 2" xfId="31020" xr:uid="{00000000-0005-0000-0000-000032310000}"/>
    <cellStyle name="Normal 5 2 6 4 5" xfId="21163" xr:uid="{00000000-0005-0000-0000-000033310000}"/>
    <cellStyle name="Normal 5 2 6 5" xfId="2673" xr:uid="{00000000-0005-0000-0000-000034310000}"/>
    <cellStyle name="Normal 5 2 6 5 2" xfId="7605" xr:uid="{00000000-0005-0000-0000-000035310000}"/>
    <cellStyle name="Normal 5 2 6 5 2 2" xfId="17465" xr:uid="{00000000-0005-0000-0000-000036310000}"/>
    <cellStyle name="Normal 5 2 6 5 2 2 2" xfId="37180" xr:uid="{00000000-0005-0000-0000-000037310000}"/>
    <cellStyle name="Normal 5 2 6 5 2 3" xfId="27323" xr:uid="{00000000-0005-0000-0000-000038310000}"/>
    <cellStyle name="Normal 5 2 6 5 3" xfId="12537" xr:uid="{00000000-0005-0000-0000-000039310000}"/>
    <cellStyle name="Normal 5 2 6 5 3 2" xfId="32252" xr:uid="{00000000-0005-0000-0000-00003A310000}"/>
    <cellStyle name="Normal 5 2 6 5 4" xfId="22395" xr:uid="{00000000-0005-0000-0000-00003B310000}"/>
    <cellStyle name="Normal 5 2 6 6" xfId="5141" xr:uid="{00000000-0005-0000-0000-00003C310000}"/>
    <cellStyle name="Normal 5 2 6 6 2" xfId="15001" xr:uid="{00000000-0005-0000-0000-00003D310000}"/>
    <cellStyle name="Normal 5 2 6 6 2 2" xfId="34716" xr:uid="{00000000-0005-0000-0000-00003E310000}"/>
    <cellStyle name="Normal 5 2 6 6 3" xfId="24859" xr:uid="{00000000-0005-0000-0000-00003F310000}"/>
    <cellStyle name="Normal 5 2 6 7" xfId="10073" xr:uid="{00000000-0005-0000-0000-000040310000}"/>
    <cellStyle name="Normal 5 2 6 7 2" xfId="29788" xr:uid="{00000000-0005-0000-0000-000041310000}"/>
    <cellStyle name="Normal 5 2 6 8" xfId="19931" xr:uid="{00000000-0005-0000-0000-000042310000}"/>
    <cellStyle name="Normal 5 2 7" xfId="352" xr:uid="{00000000-0005-0000-0000-000043310000}"/>
    <cellStyle name="Normal 5 2 7 2" xfId="973" xr:uid="{00000000-0005-0000-0000-000044310000}"/>
    <cellStyle name="Normal 5 2 7 2 2" xfId="2208" xr:uid="{00000000-0005-0000-0000-000045310000}"/>
    <cellStyle name="Normal 5 2 7 2 2 2" xfId="4675" xr:uid="{00000000-0005-0000-0000-000046310000}"/>
    <cellStyle name="Normal 5 2 7 2 2 2 2" xfId="9607" xr:uid="{00000000-0005-0000-0000-000047310000}"/>
    <cellStyle name="Normal 5 2 7 2 2 2 2 2" xfId="19467" xr:uid="{00000000-0005-0000-0000-000048310000}"/>
    <cellStyle name="Normal 5 2 7 2 2 2 2 2 2" xfId="39182" xr:uid="{00000000-0005-0000-0000-000049310000}"/>
    <cellStyle name="Normal 5 2 7 2 2 2 2 3" xfId="29325" xr:uid="{00000000-0005-0000-0000-00004A310000}"/>
    <cellStyle name="Normal 5 2 7 2 2 2 3" xfId="14539" xr:uid="{00000000-0005-0000-0000-00004B310000}"/>
    <cellStyle name="Normal 5 2 7 2 2 2 3 2" xfId="34254" xr:uid="{00000000-0005-0000-0000-00004C310000}"/>
    <cellStyle name="Normal 5 2 7 2 2 2 4" xfId="24397" xr:uid="{00000000-0005-0000-0000-00004D310000}"/>
    <cellStyle name="Normal 5 2 7 2 2 3" xfId="7143" xr:uid="{00000000-0005-0000-0000-00004E310000}"/>
    <cellStyle name="Normal 5 2 7 2 2 3 2" xfId="17003" xr:uid="{00000000-0005-0000-0000-00004F310000}"/>
    <cellStyle name="Normal 5 2 7 2 2 3 2 2" xfId="36718" xr:uid="{00000000-0005-0000-0000-000050310000}"/>
    <cellStyle name="Normal 5 2 7 2 2 3 3" xfId="26861" xr:uid="{00000000-0005-0000-0000-000051310000}"/>
    <cellStyle name="Normal 5 2 7 2 2 4" xfId="12075" xr:uid="{00000000-0005-0000-0000-000052310000}"/>
    <cellStyle name="Normal 5 2 7 2 2 4 2" xfId="31790" xr:uid="{00000000-0005-0000-0000-000053310000}"/>
    <cellStyle name="Normal 5 2 7 2 2 5" xfId="21933" xr:uid="{00000000-0005-0000-0000-000054310000}"/>
    <cellStyle name="Normal 5 2 7 2 3" xfId="3443" xr:uid="{00000000-0005-0000-0000-000055310000}"/>
    <cellStyle name="Normal 5 2 7 2 3 2" xfId="8375" xr:uid="{00000000-0005-0000-0000-000056310000}"/>
    <cellStyle name="Normal 5 2 7 2 3 2 2" xfId="18235" xr:uid="{00000000-0005-0000-0000-000057310000}"/>
    <cellStyle name="Normal 5 2 7 2 3 2 2 2" xfId="37950" xr:uid="{00000000-0005-0000-0000-000058310000}"/>
    <cellStyle name="Normal 5 2 7 2 3 2 3" xfId="28093" xr:uid="{00000000-0005-0000-0000-000059310000}"/>
    <cellStyle name="Normal 5 2 7 2 3 3" xfId="13307" xr:uid="{00000000-0005-0000-0000-00005A310000}"/>
    <cellStyle name="Normal 5 2 7 2 3 3 2" xfId="33022" xr:uid="{00000000-0005-0000-0000-00005B310000}"/>
    <cellStyle name="Normal 5 2 7 2 3 4" xfId="23165" xr:uid="{00000000-0005-0000-0000-00005C310000}"/>
    <cellStyle name="Normal 5 2 7 2 4" xfId="5911" xr:uid="{00000000-0005-0000-0000-00005D310000}"/>
    <cellStyle name="Normal 5 2 7 2 4 2" xfId="15771" xr:uid="{00000000-0005-0000-0000-00005E310000}"/>
    <cellStyle name="Normal 5 2 7 2 4 2 2" xfId="35486" xr:uid="{00000000-0005-0000-0000-00005F310000}"/>
    <cellStyle name="Normal 5 2 7 2 4 3" xfId="25629" xr:uid="{00000000-0005-0000-0000-000060310000}"/>
    <cellStyle name="Normal 5 2 7 2 5" xfId="10843" xr:uid="{00000000-0005-0000-0000-000061310000}"/>
    <cellStyle name="Normal 5 2 7 2 5 2" xfId="30558" xr:uid="{00000000-0005-0000-0000-000062310000}"/>
    <cellStyle name="Normal 5 2 7 2 6" xfId="20701" xr:uid="{00000000-0005-0000-0000-000063310000}"/>
    <cellStyle name="Normal 5 2 7 3" xfId="1592" xr:uid="{00000000-0005-0000-0000-000064310000}"/>
    <cellStyle name="Normal 5 2 7 3 2" xfId="4059" xr:uid="{00000000-0005-0000-0000-000065310000}"/>
    <cellStyle name="Normal 5 2 7 3 2 2" xfId="8991" xr:uid="{00000000-0005-0000-0000-000066310000}"/>
    <cellStyle name="Normal 5 2 7 3 2 2 2" xfId="18851" xr:uid="{00000000-0005-0000-0000-000067310000}"/>
    <cellStyle name="Normal 5 2 7 3 2 2 2 2" xfId="38566" xr:uid="{00000000-0005-0000-0000-000068310000}"/>
    <cellStyle name="Normal 5 2 7 3 2 2 3" xfId="28709" xr:uid="{00000000-0005-0000-0000-000069310000}"/>
    <cellStyle name="Normal 5 2 7 3 2 3" xfId="13923" xr:uid="{00000000-0005-0000-0000-00006A310000}"/>
    <cellStyle name="Normal 5 2 7 3 2 3 2" xfId="33638" xr:uid="{00000000-0005-0000-0000-00006B310000}"/>
    <cellStyle name="Normal 5 2 7 3 2 4" xfId="23781" xr:uid="{00000000-0005-0000-0000-00006C310000}"/>
    <cellStyle name="Normal 5 2 7 3 3" xfId="6527" xr:uid="{00000000-0005-0000-0000-00006D310000}"/>
    <cellStyle name="Normal 5 2 7 3 3 2" xfId="16387" xr:uid="{00000000-0005-0000-0000-00006E310000}"/>
    <cellStyle name="Normal 5 2 7 3 3 2 2" xfId="36102" xr:uid="{00000000-0005-0000-0000-00006F310000}"/>
    <cellStyle name="Normal 5 2 7 3 3 3" xfId="26245" xr:uid="{00000000-0005-0000-0000-000070310000}"/>
    <cellStyle name="Normal 5 2 7 3 4" xfId="11459" xr:uid="{00000000-0005-0000-0000-000071310000}"/>
    <cellStyle name="Normal 5 2 7 3 4 2" xfId="31174" xr:uid="{00000000-0005-0000-0000-000072310000}"/>
    <cellStyle name="Normal 5 2 7 3 5" xfId="21317" xr:uid="{00000000-0005-0000-0000-000073310000}"/>
    <cellStyle name="Normal 5 2 7 4" xfId="2827" xr:uid="{00000000-0005-0000-0000-000074310000}"/>
    <cellStyle name="Normal 5 2 7 4 2" xfId="7759" xr:uid="{00000000-0005-0000-0000-000075310000}"/>
    <cellStyle name="Normal 5 2 7 4 2 2" xfId="17619" xr:uid="{00000000-0005-0000-0000-000076310000}"/>
    <cellStyle name="Normal 5 2 7 4 2 2 2" xfId="37334" xr:uid="{00000000-0005-0000-0000-000077310000}"/>
    <cellStyle name="Normal 5 2 7 4 2 3" xfId="27477" xr:uid="{00000000-0005-0000-0000-000078310000}"/>
    <cellStyle name="Normal 5 2 7 4 3" xfId="12691" xr:uid="{00000000-0005-0000-0000-000079310000}"/>
    <cellStyle name="Normal 5 2 7 4 3 2" xfId="32406" xr:uid="{00000000-0005-0000-0000-00007A310000}"/>
    <cellStyle name="Normal 5 2 7 4 4" xfId="22549" xr:uid="{00000000-0005-0000-0000-00007B310000}"/>
    <cellStyle name="Normal 5 2 7 5" xfId="5295" xr:uid="{00000000-0005-0000-0000-00007C310000}"/>
    <cellStyle name="Normal 5 2 7 5 2" xfId="15155" xr:uid="{00000000-0005-0000-0000-00007D310000}"/>
    <cellStyle name="Normal 5 2 7 5 2 2" xfId="34870" xr:uid="{00000000-0005-0000-0000-00007E310000}"/>
    <cellStyle name="Normal 5 2 7 5 3" xfId="25013" xr:uid="{00000000-0005-0000-0000-00007F310000}"/>
    <cellStyle name="Normal 5 2 7 6" xfId="10227" xr:uid="{00000000-0005-0000-0000-000080310000}"/>
    <cellStyle name="Normal 5 2 7 6 2" xfId="29942" xr:uid="{00000000-0005-0000-0000-000081310000}"/>
    <cellStyle name="Normal 5 2 7 7" xfId="20085" xr:uid="{00000000-0005-0000-0000-000082310000}"/>
    <cellStyle name="Normal 5 2 8" xfId="665" xr:uid="{00000000-0005-0000-0000-000083310000}"/>
    <cellStyle name="Normal 5 2 8 2" xfId="1902" xr:uid="{00000000-0005-0000-0000-000084310000}"/>
    <cellStyle name="Normal 5 2 8 2 2" xfId="4369" xr:uid="{00000000-0005-0000-0000-000085310000}"/>
    <cellStyle name="Normal 5 2 8 2 2 2" xfId="9301" xr:uid="{00000000-0005-0000-0000-000086310000}"/>
    <cellStyle name="Normal 5 2 8 2 2 2 2" xfId="19161" xr:uid="{00000000-0005-0000-0000-000087310000}"/>
    <cellStyle name="Normal 5 2 8 2 2 2 2 2" xfId="38876" xr:uid="{00000000-0005-0000-0000-000088310000}"/>
    <cellStyle name="Normal 5 2 8 2 2 2 3" xfId="29019" xr:uid="{00000000-0005-0000-0000-000089310000}"/>
    <cellStyle name="Normal 5 2 8 2 2 3" xfId="14233" xr:uid="{00000000-0005-0000-0000-00008A310000}"/>
    <cellStyle name="Normal 5 2 8 2 2 3 2" xfId="33948" xr:uid="{00000000-0005-0000-0000-00008B310000}"/>
    <cellStyle name="Normal 5 2 8 2 2 4" xfId="24091" xr:uid="{00000000-0005-0000-0000-00008C310000}"/>
    <cellStyle name="Normal 5 2 8 2 3" xfId="6837" xr:uid="{00000000-0005-0000-0000-00008D310000}"/>
    <cellStyle name="Normal 5 2 8 2 3 2" xfId="16697" xr:uid="{00000000-0005-0000-0000-00008E310000}"/>
    <cellStyle name="Normal 5 2 8 2 3 2 2" xfId="36412" xr:uid="{00000000-0005-0000-0000-00008F310000}"/>
    <cellStyle name="Normal 5 2 8 2 3 3" xfId="26555" xr:uid="{00000000-0005-0000-0000-000090310000}"/>
    <cellStyle name="Normal 5 2 8 2 4" xfId="11769" xr:uid="{00000000-0005-0000-0000-000091310000}"/>
    <cellStyle name="Normal 5 2 8 2 4 2" xfId="31484" xr:uid="{00000000-0005-0000-0000-000092310000}"/>
    <cellStyle name="Normal 5 2 8 2 5" xfId="21627" xr:uid="{00000000-0005-0000-0000-000093310000}"/>
    <cellStyle name="Normal 5 2 8 3" xfId="3137" xr:uid="{00000000-0005-0000-0000-000094310000}"/>
    <cellStyle name="Normal 5 2 8 3 2" xfId="8069" xr:uid="{00000000-0005-0000-0000-000095310000}"/>
    <cellStyle name="Normal 5 2 8 3 2 2" xfId="17929" xr:uid="{00000000-0005-0000-0000-000096310000}"/>
    <cellStyle name="Normal 5 2 8 3 2 2 2" xfId="37644" xr:uid="{00000000-0005-0000-0000-000097310000}"/>
    <cellStyle name="Normal 5 2 8 3 2 3" xfId="27787" xr:uid="{00000000-0005-0000-0000-000098310000}"/>
    <cellStyle name="Normal 5 2 8 3 3" xfId="13001" xr:uid="{00000000-0005-0000-0000-000099310000}"/>
    <cellStyle name="Normal 5 2 8 3 3 2" xfId="32716" xr:uid="{00000000-0005-0000-0000-00009A310000}"/>
    <cellStyle name="Normal 5 2 8 3 4" xfId="22859" xr:uid="{00000000-0005-0000-0000-00009B310000}"/>
    <cellStyle name="Normal 5 2 8 4" xfId="5605" xr:uid="{00000000-0005-0000-0000-00009C310000}"/>
    <cellStyle name="Normal 5 2 8 4 2" xfId="15465" xr:uid="{00000000-0005-0000-0000-00009D310000}"/>
    <cellStyle name="Normal 5 2 8 4 2 2" xfId="35180" xr:uid="{00000000-0005-0000-0000-00009E310000}"/>
    <cellStyle name="Normal 5 2 8 4 3" xfId="25323" xr:uid="{00000000-0005-0000-0000-00009F310000}"/>
    <cellStyle name="Normal 5 2 8 5" xfId="10537" xr:uid="{00000000-0005-0000-0000-0000A0310000}"/>
    <cellStyle name="Normal 5 2 8 5 2" xfId="30252" xr:uid="{00000000-0005-0000-0000-0000A1310000}"/>
    <cellStyle name="Normal 5 2 8 6" xfId="20395" xr:uid="{00000000-0005-0000-0000-0000A2310000}"/>
    <cellStyle name="Normal 5 2 9" xfId="1285" xr:uid="{00000000-0005-0000-0000-0000A3310000}"/>
    <cellStyle name="Normal 5 2 9 2" xfId="3753" xr:uid="{00000000-0005-0000-0000-0000A4310000}"/>
    <cellStyle name="Normal 5 2 9 2 2" xfId="8685" xr:uid="{00000000-0005-0000-0000-0000A5310000}"/>
    <cellStyle name="Normal 5 2 9 2 2 2" xfId="18545" xr:uid="{00000000-0005-0000-0000-0000A6310000}"/>
    <cellStyle name="Normal 5 2 9 2 2 2 2" xfId="38260" xr:uid="{00000000-0005-0000-0000-0000A7310000}"/>
    <cellStyle name="Normal 5 2 9 2 2 3" xfId="28403" xr:uid="{00000000-0005-0000-0000-0000A8310000}"/>
    <cellStyle name="Normal 5 2 9 2 3" xfId="13617" xr:uid="{00000000-0005-0000-0000-0000A9310000}"/>
    <cellStyle name="Normal 5 2 9 2 3 2" xfId="33332" xr:uid="{00000000-0005-0000-0000-0000AA310000}"/>
    <cellStyle name="Normal 5 2 9 2 4" xfId="23475" xr:uid="{00000000-0005-0000-0000-0000AB310000}"/>
    <cellStyle name="Normal 5 2 9 3" xfId="6221" xr:uid="{00000000-0005-0000-0000-0000AC310000}"/>
    <cellStyle name="Normal 5 2 9 3 2" xfId="16081" xr:uid="{00000000-0005-0000-0000-0000AD310000}"/>
    <cellStyle name="Normal 5 2 9 3 2 2" xfId="35796" xr:uid="{00000000-0005-0000-0000-0000AE310000}"/>
    <cellStyle name="Normal 5 2 9 3 3" xfId="25939" xr:uid="{00000000-0005-0000-0000-0000AF310000}"/>
    <cellStyle name="Normal 5 2 9 4" xfId="11153" xr:uid="{00000000-0005-0000-0000-0000B0310000}"/>
    <cellStyle name="Normal 5 2 9 4 2" xfId="30868" xr:uid="{00000000-0005-0000-0000-0000B1310000}"/>
    <cellStyle name="Normal 5 2 9 5" xfId="21011" xr:uid="{00000000-0005-0000-0000-0000B2310000}"/>
    <cellStyle name="Normal 5 3" xfId="24" xr:uid="{00000000-0005-0000-0000-0000B3310000}"/>
    <cellStyle name="Normal 5 3 10" xfId="4995" xr:uid="{00000000-0005-0000-0000-0000B4310000}"/>
    <cellStyle name="Normal 5 3 10 2" xfId="14855" xr:uid="{00000000-0005-0000-0000-0000B5310000}"/>
    <cellStyle name="Normal 5 3 10 2 2" xfId="34570" xr:uid="{00000000-0005-0000-0000-0000B6310000}"/>
    <cellStyle name="Normal 5 3 10 3" xfId="24713" xr:uid="{00000000-0005-0000-0000-0000B7310000}"/>
    <cellStyle name="Normal 5 3 11" xfId="9927" xr:uid="{00000000-0005-0000-0000-0000B8310000}"/>
    <cellStyle name="Normal 5 3 11 2" xfId="29642" xr:uid="{00000000-0005-0000-0000-0000B9310000}"/>
    <cellStyle name="Normal 5 3 12" xfId="19785" xr:uid="{00000000-0005-0000-0000-0000BA310000}"/>
    <cellStyle name="Normal 5 3 2" xfId="49" xr:uid="{00000000-0005-0000-0000-0000BB310000}"/>
    <cellStyle name="Normal 5 3 2 10" xfId="9946" xr:uid="{00000000-0005-0000-0000-0000BC310000}"/>
    <cellStyle name="Normal 5 3 2 10 2" xfId="29661" xr:uid="{00000000-0005-0000-0000-0000BD310000}"/>
    <cellStyle name="Normal 5 3 2 11" xfId="19804" xr:uid="{00000000-0005-0000-0000-0000BE310000}"/>
    <cellStyle name="Normal 5 3 2 2" xfId="92" xr:uid="{00000000-0005-0000-0000-0000BF310000}"/>
    <cellStyle name="Normal 5 3 2 2 10" xfId="19842" xr:uid="{00000000-0005-0000-0000-0000C0310000}"/>
    <cellStyle name="Normal 5 3 2 2 2" xfId="173" xr:uid="{00000000-0005-0000-0000-0000C1310000}"/>
    <cellStyle name="Normal 5 3 2 2 2 2" xfId="330" xr:uid="{00000000-0005-0000-0000-0000C2310000}"/>
    <cellStyle name="Normal 5 3 2 2 2 2 2" xfId="644" xr:uid="{00000000-0005-0000-0000-0000C3310000}"/>
    <cellStyle name="Normal 5 3 2 2 2 2 2 2" xfId="1264" xr:uid="{00000000-0005-0000-0000-0000C4310000}"/>
    <cellStyle name="Normal 5 3 2 2 2 2 2 2 2" xfId="2499" xr:uid="{00000000-0005-0000-0000-0000C5310000}"/>
    <cellStyle name="Normal 5 3 2 2 2 2 2 2 2 2" xfId="4966" xr:uid="{00000000-0005-0000-0000-0000C6310000}"/>
    <cellStyle name="Normal 5 3 2 2 2 2 2 2 2 2 2" xfId="9898" xr:uid="{00000000-0005-0000-0000-0000C7310000}"/>
    <cellStyle name="Normal 5 3 2 2 2 2 2 2 2 2 2 2" xfId="19758" xr:uid="{00000000-0005-0000-0000-0000C8310000}"/>
    <cellStyle name="Normal 5 3 2 2 2 2 2 2 2 2 2 2 2" xfId="39473" xr:uid="{00000000-0005-0000-0000-0000C9310000}"/>
    <cellStyle name="Normal 5 3 2 2 2 2 2 2 2 2 2 3" xfId="29616" xr:uid="{00000000-0005-0000-0000-0000CA310000}"/>
    <cellStyle name="Normal 5 3 2 2 2 2 2 2 2 2 3" xfId="14830" xr:uid="{00000000-0005-0000-0000-0000CB310000}"/>
    <cellStyle name="Normal 5 3 2 2 2 2 2 2 2 2 3 2" xfId="34545" xr:uid="{00000000-0005-0000-0000-0000CC310000}"/>
    <cellStyle name="Normal 5 3 2 2 2 2 2 2 2 2 4" xfId="24688" xr:uid="{00000000-0005-0000-0000-0000CD310000}"/>
    <cellStyle name="Normal 5 3 2 2 2 2 2 2 2 3" xfId="7434" xr:uid="{00000000-0005-0000-0000-0000CE310000}"/>
    <cellStyle name="Normal 5 3 2 2 2 2 2 2 2 3 2" xfId="17294" xr:uid="{00000000-0005-0000-0000-0000CF310000}"/>
    <cellStyle name="Normal 5 3 2 2 2 2 2 2 2 3 2 2" xfId="37009" xr:uid="{00000000-0005-0000-0000-0000D0310000}"/>
    <cellStyle name="Normal 5 3 2 2 2 2 2 2 2 3 3" xfId="27152" xr:uid="{00000000-0005-0000-0000-0000D1310000}"/>
    <cellStyle name="Normal 5 3 2 2 2 2 2 2 2 4" xfId="12366" xr:uid="{00000000-0005-0000-0000-0000D2310000}"/>
    <cellStyle name="Normal 5 3 2 2 2 2 2 2 2 4 2" xfId="32081" xr:uid="{00000000-0005-0000-0000-0000D3310000}"/>
    <cellStyle name="Normal 5 3 2 2 2 2 2 2 2 5" xfId="22224" xr:uid="{00000000-0005-0000-0000-0000D4310000}"/>
    <cellStyle name="Normal 5 3 2 2 2 2 2 2 3" xfId="3734" xr:uid="{00000000-0005-0000-0000-0000D5310000}"/>
    <cellStyle name="Normal 5 3 2 2 2 2 2 2 3 2" xfId="8666" xr:uid="{00000000-0005-0000-0000-0000D6310000}"/>
    <cellStyle name="Normal 5 3 2 2 2 2 2 2 3 2 2" xfId="18526" xr:uid="{00000000-0005-0000-0000-0000D7310000}"/>
    <cellStyle name="Normal 5 3 2 2 2 2 2 2 3 2 2 2" xfId="38241" xr:uid="{00000000-0005-0000-0000-0000D8310000}"/>
    <cellStyle name="Normal 5 3 2 2 2 2 2 2 3 2 3" xfId="28384" xr:uid="{00000000-0005-0000-0000-0000D9310000}"/>
    <cellStyle name="Normal 5 3 2 2 2 2 2 2 3 3" xfId="13598" xr:uid="{00000000-0005-0000-0000-0000DA310000}"/>
    <cellStyle name="Normal 5 3 2 2 2 2 2 2 3 3 2" xfId="33313" xr:uid="{00000000-0005-0000-0000-0000DB310000}"/>
    <cellStyle name="Normal 5 3 2 2 2 2 2 2 3 4" xfId="23456" xr:uid="{00000000-0005-0000-0000-0000DC310000}"/>
    <cellStyle name="Normal 5 3 2 2 2 2 2 2 4" xfId="6202" xr:uid="{00000000-0005-0000-0000-0000DD310000}"/>
    <cellStyle name="Normal 5 3 2 2 2 2 2 2 4 2" xfId="16062" xr:uid="{00000000-0005-0000-0000-0000DE310000}"/>
    <cellStyle name="Normal 5 3 2 2 2 2 2 2 4 2 2" xfId="35777" xr:uid="{00000000-0005-0000-0000-0000DF310000}"/>
    <cellStyle name="Normal 5 3 2 2 2 2 2 2 4 3" xfId="25920" xr:uid="{00000000-0005-0000-0000-0000E0310000}"/>
    <cellStyle name="Normal 5 3 2 2 2 2 2 2 5" xfId="11134" xr:uid="{00000000-0005-0000-0000-0000E1310000}"/>
    <cellStyle name="Normal 5 3 2 2 2 2 2 2 5 2" xfId="30849" xr:uid="{00000000-0005-0000-0000-0000E2310000}"/>
    <cellStyle name="Normal 5 3 2 2 2 2 2 2 6" xfId="20992" xr:uid="{00000000-0005-0000-0000-0000E3310000}"/>
    <cellStyle name="Normal 5 3 2 2 2 2 2 3" xfId="1883" xr:uid="{00000000-0005-0000-0000-0000E4310000}"/>
    <cellStyle name="Normal 5 3 2 2 2 2 2 3 2" xfId="4350" xr:uid="{00000000-0005-0000-0000-0000E5310000}"/>
    <cellStyle name="Normal 5 3 2 2 2 2 2 3 2 2" xfId="9282" xr:uid="{00000000-0005-0000-0000-0000E6310000}"/>
    <cellStyle name="Normal 5 3 2 2 2 2 2 3 2 2 2" xfId="19142" xr:uid="{00000000-0005-0000-0000-0000E7310000}"/>
    <cellStyle name="Normal 5 3 2 2 2 2 2 3 2 2 2 2" xfId="38857" xr:uid="{00000000-0005-0000-0000-0000E8310000}"/>
    <cellStyle name="Normal 5 3 2 2 2 2 2 3 2 2 3" xfId="29000" xr:uid="{00000000-0005-0000-0000-0000E9310000}"/>
    <cellStyle name="Normal 5 3 2 2 2 2 2 3 2 3" xfId="14214" xr:uid="{00000000-0005-0000-0000-0000EA310000}"/>
    <cellStyle name="Normal 5 3 2 2 2 2 2 3 2 3 2" xfId="33929" xr:uid="{00000000-0005-0000-0000-0000EB310000}"/>
    <cellStyle name="Normal 5 3 2 2 2 2 2 3 2 4" xfId="24072" xr:uid="{00000000-0005-0000-0000-0000EC310000}"/>
    <cellStyle name="Normal 5 3 2 2 2 2 2 3 3" xfId="6818" xr:uid="{00000000-0005-0000-0000-0000ED310000}"/>
    <cellStyle name="Normal 5 3 2 2 2 2 2 3 3 2" xfId="16678" xr:uid="{00000000-0005-0000-0000-0000EE310000}"/>
    <cellStyle name="Normal 5 3 2 2 2 2 2 3 3 2 2" xfId="36393" xr:uid="{00000000-0005-0000-0000-0000EF310000}"/>
    <cellStyle name="Normal 5 3 2 2 2 2 2 3 3 3" xfId="26536" xr:uid="{00000000-0005-0000-0000-0000F0310000}"/>
    <cellStyle name="Normal 5 3 2 2 2 2 2 3 4" xfId="11750" xr:uid="{00000000-0005-0000-0000-0000F1310000}"/>
    <cellStyle name="Normal 5 3 2 2 2 2 2 3 4 2" xfId="31465" xr:uid="{00000000-0005-0000-0000-0000F2310000}"/>
    <cellStyle name="Normal 5 3 2 2 2 2 2 3 5" xfId="21608" xr:uid="{00000000-0005-0000-0000-0000F3310000}"/>
    <cellStyle name="Normal 5 3 2 2 2 2 2 4" xfId="3118" xr:uid="{00000000-0005-0000-0000-0000F4310000}"/>
    <cellStyle name="Normal 5 3 2 2 2 2 2 4 2" xfId="8050" xr:uid="{00000000-0005-0000-0000-0000F5310000}"/>
    <cellStyle name="Normal 5 3 2 2 2 2 2 4 2 2" xfId="17910" xr:uid="{00000000-0005-0000-0000-0000F6310000}"/>
    <cellStyle name="Normal 5 3 2 2 2 2 2 4 2 2 2" xfId="37625" xr:uid="{00000000-0005-0000-0000-0000F7310000}"/>
    <cellStyle name="Normal 5 3 2 2 2 2 2 4 2 3" xfId="27768" xr:uid="{00000000-0005-0000-0000-0000F8310000}"/>
    <cellStyle name="Normal 5 3 2 2 2 2 2 4 3" xfId="12982" xr:uid="{00000000-0005-0000-0000-0000F9310000}"/>
    <cellStyle name="Normal 5 3 2 2 2 2 2 4 3 2" xfId="32697" xr:uid="{00000000-0005-0000-0000-0000FA310000}"/>
    <cellStyle name="Normal 5 3 2 2 2 2 2 4 4" xfId="22840" xr:uid="{00000000-0005-0000-0000-0000FB310000}"/>
    <cellStyle name="Normal 5 3 2 2 2 2 2 5" xfId="5586" xr:uid="{00000000-0005-0000-0000-0000FC310000}"/>
    <cellStyle name="Normal 5 3 2 2 2 2 2 5 2" xfId="15446" xr:uid="{00000000-0005-0000-0000-0000FD310000}"/>
    <cellStyle name="Normal 5 3 2 2 2 2 2 5 2 2" xfId="35161" xr:uid="{00000000-0005-0000-0000-0000FE310000}"/>
    <cellStyle name="Normal 5 3 2 2 2 2 2 5 3" xfId="25304" xr:uid="{00000000-0005-0000-0000-0000FF310000}"/>
    <cellStyle name="Normal 5 3 2 2 2 2 2 6" xfId="10518" xr:uid="{00000000-0005-0000-0000-000000320000}"/>
    <cellStyle name="Normal 5 3 2 2 2 2 2 6 2" xfId="30233" xr:uid="{00000000-0005-0000-0000-000001320000}"/>
    <cellStyle name="Normal 5 3 2 2 2 2 2 7" xfId="20376" xr:uid="{00000000-0005-0000-0000-000002320000}"/>
    <cellStyle name="Normal 5 3 2 2 2 2 3" xfId="957" xr:uid="{00000000-0005-0000-0000-000003320000}"/>
    <cellStyle name="Normal 5 3 2 2 2 2 3 2" xfId="2193" xr:uid="{00000000-0005-0000-0000-000004320000}"/>
    <cellStyle name="Normal 5 3 2 2 2 2 3 2 2" xfId="4660" xr:uid="{00000000-0005-0000-0000-000005320000}"/>
    <cellStyle name="Normal 5 3 2 2 2 2 3 2 2 2" xfId="9592" xr:uid="{00000000-0005-0000-0000-000006320000}"/>
    <cellStyle name="Normal 5 3 2 2 2 2 3 2 2 2 2" xfId="19452" xr:uid="{00000000-0005-0000-0000-000007320000}"/>
    <cellStyle name="Normal 5 3 2 2 2 2 3 2 2 2 2 2" xfId="39167" xr:uid="{00000000-0005-0000-0000-000008320000}"/>
    <cellStyle name="Normal 5 3 2 2 2 2 3 2 2 2 3" xfId="29310" xr:uid="{00000000-0005-0000-0000-000009320000}"/>
    <cellStyle name="Normal 5 3 2 2 2 2 3 2 2 3" xfId="14524" xr:uid="{00000000-0005-0000-0000-00000A320000}"/>
    <cellStyle name="Normal 5 3 2 2 2 2 3 2 2 3 2" xfId="34239" xr:uid="{00000000-0005-0000-0000-00000B320000}"/>
    <cellStyle name="Normal 5 3 2 2 2 2 3 2 2 4" xfId="24382" xr:uid="{00000000-0005-0000-0000-00000C320000}"/>
    <cellStyle name="Normal 5 3 2 2 2 2 3 2 3" xfId="7128" xr:uid="{00000000-0005-0000-0000-00000D320000}"/>
    <cellStyle name="Normal 5 3 2 2 2 2 3 2 3 2" xfId="16988" xr:uid="{00000000-0005-0000-0000-00000E320000}"/>
    <cellStyle name="Normal 5 3 2 2 2 2 3 2 3 2 2" xfId="36703" xr:uid="{00000000-0005-0000-0000-00000F320000}"/>
    <cellStyle name="Normal 5 3 2 2 2 2 3 2 3 3" xfId="26846" xr:uid="{00000000-0005-0000-0000-000010320000}"/>
    <cellStyle name="Normal 5 3 2 2 2 2 3 2 4" xfId="12060" xr:uid="{00000000-0005-0000-0000-000011320000}"/>
    <cellStyle name="Normal 5 3 2 2 2 2 3 2 4 2" xfId="31775" xr:uid="{00000000-0005-0000-0000-000012320000}"/>
    <cellStyle name="Normal 5 3 2 2 2 2 3 2 5" xfId="21918" xr:uid="{00000000-0005-0000-0000-000013320000}"/>
    <cellStyle name="Normal 5 3 2 2 2 2 3 3" xfId="3428" xr:uid="{00000000-0005-0000-0000-000014320000}"/>
    <cellStyle name="Normal 5 3 2 2 2 2 3 3 2" xfId="8360" xr:uid="{00000000-0005-0000-0000-000015320000}"/>
    <cellStyle name="Normal 5 3 2 2 2 2 3 3 2 2" xfId="18220" xr:uid="{00000000-0005-0000-0000-000016320000}"/>
    <cellStyle name="Normal 5 3 2 2 2 2 3 3 2 2 2" xfId="37935" xr:uid="{00000000-0005-0000-0000-000017320000}"/>
    <cellStyle name="Normal 5 3 2 2 2 2 3 3 2 3" xfId="28078" xr:uid="{00000000-0005-0000-0000-000018320000}"/>
    <cellStyle name="Normal 5 3 2 2 2 2 3 3 3" xfId="13292" xr:uid="{00000000-0005-0000-0000-000019320000}"/>
    <cellStyle name="Normal 5 3 2 2 2 2 3 3 3 2" xfId="33007" xr:uid="{00000000-0005-0000-0000-00001A320000}"/>
    <cellStyle name="Normal 5 3 2 2 2 2 3 3 4" xfId="23150" xr:uid="{00000000-0005-0000-0000-00001B320000}"/>
    <cellStyle name="Normal 5 3 2 2 2 2 3 4" xfId="5896" xr:uid="{00000000-0005-0000-0000-00001C320000}"/>
    <cellStyle name="Normal 5 3 2 2 2 2 3 4 2" xfId="15756" xr:uid="{00000000-0005-0000-0000-00001D320000}"/>
    <cellStyle name="Normal 5 3 2 2 2 2 3 4 2 2" xfId="35471" xr:uid="{00000000-0005-0000-0000-00001E320000}"/>
    <cellStyle name="Normal 5 3 2 2 2 2 3 4 3" xfId="25614" xr:uid="{00000000-0005-0000-0000-00001F320000}"/>
    <cellStyle name="Normal 5 3 2 2 2 2 3 5" xfId="10828" xr:uid="{00000000-0005-0000-0000-000020320000}"/>
    <cellStyle name="Normal 5 3 2 2 2 2 3 5 2" xfId="30543" xr:uid="{00000000-0005-0000-0000-000021320000}"/>
    <cellStyle name="Normal 5 3 2 2 2 2 3 6" xfId="20686" xr:uid="{00000000-0005-0000-0000-000022320000}"/>
    <cellStyle name="Normal 5 3 2 2 2 2 4" xfId="1577" xr:uid="{00000000-0005-0000-0000-000023320000}"/>
    <cellStyle name="Normal 5 3 2 2 2 2 4 2" xfId="4044" xr:uid="{00000000-0005-0000-0000-000024320000}"/>
    <cellStyle name="Normal 5 3 2 2 2 2 4 2 2" xfId="8976" xr:uid="{00000000-0005-0000-0000-000025320000}"/>
    <cellStyle name="Normal 5 3 2 2 2 2 4 2 2 2" xfId="18836" xr:uid="{00000000-0005-0000-0000-000026320000}"/>
    <cellStyle name="Normal 5 3 2 2 2 2 4 2 2 2 2" xfId="38551" xr:uid="{00000000-0005-0000-0000-000027320000}"/>
    <cellStyle name="Normal 5 3 2 2 2 2 4 2 2 3" xfId="28694" xr:uid="{00000000-0005-0000-0000-000028320000}"/>
    <cellStyle name="Normal 5 3 2 2 2 2 4 2 3" xfId="13908" xr:uid="{00000000-0005-0000-0000-000029320000}"/>
    <cellStyle name="Normal 5 3 2 2 2 2 4 2 3 2" xfId="33623" xr:uid="{00000000-0005-0000-0000-00002A320000}"/>
    <cellStyle name="Normal 5 3 2 2 2 2 4 2 4" xfId="23766" xr:uid="{00000000-0005-0000-0000-00002B320000}"/>
    <cellStyle name="Normal 5 3 2 2 2 2 4 3" xfId="6512" xr:uid="{00000000-0005-0000-0000-00002C320000}"/>
    <cellStyle name="Normal 5 3 2 2 2 2 4 3 2" xfId="16372" xr:uid="{00000000-0005-0000-0000-00002D320000}"/>
    <cellStyle name="Normal 5 3 2 2 2 2 4 3 2 2" xfId="36087" xr:uid="{00000000-0005-0000-0000-00002E320000}"/>
    <cellStyle name="Normal 5 3 2 2 2 2 4 3 3" xfId="26230" xr:uid="{00000000-0005-0000-0000-00002F320000}"/>
    <cellStyle name="Normal 5 3 2 2 2 2 4 4" xfId="11444" xr:uid="{00000000-0005-0000-0000-000030320000}"/>
    <cellStyle name="Normal 5 3 2 2 2 2 4 4 2" xfId="31159" xr:uid="{00000000-0005-0000-0000-000031320000}"/>
    <cellStyle name="Normal 5 3 2 2 2 2 4 5" xfId="21302" xr:uid="{00000000-0005-0000-0000-000032320000}"/>
    <cellStyle name="Normal 5 3 2 2 2 2 5" xfId="2812" xr:uid="{00000000-0005-0000-0000-000033320000}"/>
    <cellStyle name="Normal 5 3 2 2 2 2 5 2" xfId="7744" xr:uid="{00000000-0005-0000-0000-000034320000}"/>
    <cellStyle name="Normal 5 3 2 2 2 2 5 2 2" xfId="17604" xr:uid="{00000000-0005-0000-0000-000035320000}"/>
    <cellStyle name="Normal 5 3 2 2 2 2 5 2 2 2" xfId="37319" xr:uid="{00000000-0005-0000-0000-000036320000}"/>
    <cellStyle name="Normal 5 3 2 2 2 2 5 2 3" xfId="27462" xr:uid="{00000000-0005-0000-0000-000037320000}"/>
    <cellStyle name="Normal 5 3 2 2 2 2 5 3" xfId="12676" xr:uid="{00000000-0005-0000-0000-000038320000}"/>
    <cellStyle name="Normal 5 3 2 2 2 2 5 3 2" xfId="32391" xr:uid="{00000000-0005-0000-0000-000039320000}"/>
    <cellStyle name="Normal 5 3 2 2 2 2 5 4" xfId="22534" xr:uid="{00000000-0005-0000-0000-00003A320000}"/>
    <cellStyle name="Normal 5 3 2 2 2 2 6" xfId="5280" xr:uid="{00000000-0005-0000-0000-00003B320000}"/>
    <cellStyle name="Normal 5 3 2 2 2 2 6 2" xfId="15140" xr:uid="{00000000-0005-0000-0000-00003C320000}"/>
    <cellStyle name="Normal 5 3 2 2 2 2 6 2 2" xfId="34855" xr:uid="{00000000-0005-0000-0000-00003D320000}"/>
    <cellStyle name="Normal 5 3 2 2 2 2 6 3" xfId="24998" xr:uid="{00000000-0005-0000-0000-00003E320000}"/>
    <cellStyle name="Normal 5 3 2 2 2 2 7" xfId="10212" xr:uid="{00000000-0005-0000-0000-00003F320000}"/>
    <cellStyle name="Normal 5 3 2 2 2 2 7 2" xfId="29927" xr:uid="{00000000-0005-0000-0000-000040320000}"/>
    <cellStyle name="Normal 5 3 2 2 2 2 8" xfId="20070" xr:uid="{00000000-0005-0000-0000-000041320000}"/>
    <cellStyle name="Normal 5 3 2 2 2 3" xfId="492" xr:uid="{00000000-0005-0000-0000-000042320000}"/>
    <cellStyle name="Normal 5 3 2 2 2 3 2" xfId="1112" xr:uid="{00000000-0005-0000-0000-000043320000}"/>
    <cellStyle name="Normal 5 3 2 2 2 3 2 2" xfId="2347" xr:uid="{00000000-0005-0000-0000-000044320000}"/>
    <cellStyle name="Normal 5 3 2 2 2 3 2 2 2" xfId="4814" xr:uid="{00000000-0005-0000-0000-000045320000}"/>
    <cellStyle name="Normal 5 3 2 2 2 3 2 2 2 2" xfId="9746" xr:uid="{00000000-0005-0000-0000-000046320000}"/>
    <cellStyle name="Normal 5 3 2 2 2 3 2 2 2 2 2" xfId="19606" xr:uid="{00000000-0005-0000-0000-000047320000}"/>
    <cellStyle name="Normal 5 3 2 2 2 3 2 2 2 2 2 2" xfId="39321" xr:uid="{00000000-0005-0000-0000-000048320000}"/>
    <cellStyle name="Normal 5 3 2 2 2 3 2 2 2 2 3" xfId="29464" xr:uid="{00000000-0005-0000-0000-000049320000}"/>
    <cellStyle name="Normal 5 3 2 2 2 3 2 2 2 3" xfId="14678" xr:uid="{00000000-0005-0000-0000-00004A320000}"/>
    <cellStyle name="Normal 5 3 2 2 2 3 2 2 2 3 2" xfId="34393" xr:uid="{00000000-0005-0000-0000-00004B320000}"/>
    <cellStyle name="Normal 5 3 2 2 2 3 2 2 2 4" xfId="24536" xr:uid="{00000000-0005-0000-0000-00004C320000}"/>
    <cellStyle name="Normal 5 3 2 2 2 3 2 2 3" xfId="7282" xr:uid="{00000000-0005-0000-0000-00004D320000}"/>
    <cellStyle name="Normal 5 3 2 2 2 3 2 2 3 2" xfId="17142" xr:uid="{00000000-0005-0000-0000-00004E320000}"/>
    <cellStyle name="Normal 5 3 2 2 2 3 2 2 3 2 2" xfId="36857" xr:uid="{00000000-0005-0000-0000-00004F320000}"/>
    <cellStyle name="Normal 5 3 2 2 2 3 2 2 3 3" xfId="27000" xr:uid="{00000000-0005-0000-0000-000050320000}"/>
    <cellStyle name="Normal 5 3 2 2 2 3 2 2 4" xfId="12214" xr:uid="{00000000-0005-0000-0000-000051320000}"/>
    <cellStyle name="Normal 5 3 2 2 2 3 2 2 4 2" xfId="31929" xr:uid="{00000000-0005-0000-0000-000052320000}"/>
    <cellStyle name="Normal 5 3 2 2 2 3 2 2 5" xfId="22072" xr:uid="{00000000-0005-0000-0000-000053320000}"/>
    <cellStyle name="Normal 5 3 2 2 2 3 2 3" xfId="3582" xr:uid="{00000000-0005-0000-0000-000054320000}"/>
    <cellStyle name="Normal 5 3 2 2 2 3 2 3 2" xfId="8514" xr:uid="{00000000-0005-0000-0000-000055320000}"/>
    <cellStyle name="Normal 5 3 2 2 2 3 2 3 2 2" xfId="18374" xr:uid="{00000000-0005-0000-0000-000056320000}"/>
    <cellStyle name="Normal 5 3 2 2 2 3 2 3 2 2 2" xfId="38089" xr:uid="{00000000-0005-0000-0000-000057320000}"/>
    <cellStyle name="Normal 5 3 2 2 2 3 2 3 2 3" xfId="28232" xr:uid="{00000000-0005-0000-0000-000058320000}"/>
    <cellStyle name="Normal 5 3 2 2 2 3 2 3 3" xfId="13446" xr:uid="{00000000-0005-0000-0000-000059320000}"/>
    <cellStyle name="Normal 5 3 2 2 2 3 2 3 3 2" xfId="33161" xr:uid="{00000000-0005-0000-0000-00005A320000}"/>
    <cellStyle name="Normal 5 3 2 2 2 3 2 3 4" xfId="23304" xr:uid="{00000000-0005-0000-0000-00005B320000}"/>
    <cellStyle name="Normal 5 3 2 2 2 3 2 4" xfId="6050" xr:uid="{00000000-0005-0000-0000-00005C320000}"/>
    <cellStyle name="Normal 5 3 2 2 2 3 2 4 2" xfId="15910" xr:uid="{00000000-0005-0000-0000-00005D320000}"/>
    <cellStyle name="Normal 5 3 2 2 2 3 2 4 2 2" xfId="35625" xr:uid="{00000000-0005-0000-0000-00005E320000}"/>
    <cellStyle name="Normal 5 3 2 2 2 3 2 4 3" xfId="25768" xr:uid="{00000000-0005-0000-0000-00005F320000}"/>
    <cellStyle name="Normal 5 3 2 2 2 3 2 5" xfId="10982" xr:uid="{00000000-0005-0000-0000-000060320000}"/>
    <cellStyle name="Normal 5 3 2 2 2 3 2 5 2" xfId="30697" xr:uid="{00000000-0005-0000-0000-000061320000}"/>
    <cellStyle name="Normal 5 3 2 2 2 3 2 6" xfId="20840" xr:uid="{00000000-0005-0000-0000-000062320000}"/>
    <cellStyle name="Normal 5 3 2 2 2 3 3" xfId="1731" xr:uid="{00000000-0005-0000-0000-000063320000}"/>
    <cellStyle name="Normal 5 3 2 2 2 3 3 2" xfId="4198" xr:uid="{00000000-0005-0000-0000-000064320000}"/>
    <cellStyle name="Normal 5 3 2 2 2 3 3 2 2" xfId="9130" xr:uid="{00000000-0005-0000-0000-000065320000}"/>
    <cellStyle name="Normal 5 3 2 2 2 3 3 2 2 2" xfId="18990" xr:uid="{00000000-0005-0000-0000-000066320000}"/>
    <cellStyle name="Normal 5 3 2 2 2 3 3 2 2 2 2" xfId="38705" xr:uid="{00000000-0005-0000-0000-000067320000}"/>
    <cellStyle name="Normal 5 3 2 2 2 3 3 2 2 3" xfId="28848" xr:uid="{00000000-0005-0000-0000-000068320000}"/>
    <cellStyle name="Normal 5 3 2 2 2 3 3 2 3" xfId="14062" xr:uid="{00000000-0005-0000-0000-000069320000}"/>
    <cellStyle name="Normal 5 3 2 2 2 3 3 2 3 2" xfId="33777" xr:uid="{00000000-0005-0000-0000-00006A320000}"/>
    <cellStyle name="Normal 5 3 2 2 2 3 3 2 4" xfId="23920" xr:uid="{00000000-0005-0000-0000-00006B320000}"/>
    <cellStyle name="Normal 5 3 2 2 2 3 3 3" xfId="6666" xr:uid="{00000000-0005-0000-0000-00006C320000}"/>
    <cellStyle name="Normal 5 3 2 2 2 3 3 3 2" xfId="16526" xr:uid="{00000000-0005-0000-0000-00006D320000}"/>
    <cellStyle name="Normal 5 3 2 2 2 3 3 3 2 2" xfId="36241" xr:uid="{00000000-0005-0000-0000-00006E320000}"/>
    <cellStyle name="Normal 5 3 2 2 2 3 3 3 3" xfId="26384" xr:uid="{00000000-0005-0000-0000-00006F320000}"/>
    <cellStyle name="Normal 5 3 2 2 2 3 3 4" xfId="11598" xr:uid="{00000000-0005-0000-0000-000070320000}"/>
    <cellStyle name="Normal 5 3 2 2 2 3 3 4 2" xfId="31313" xr:uid="{00000000-0005-0000-0000-000071320000}"/>
    <cellStyle name="Normal 5 3 2 2 2 3 3 5" xfId="21456" xr:uid="{00000000-0005-0000-0000-000072320000}"/>
    <cellStyle name="Normal 5 3 2 2 2 3 4" xfId="2966" xr:uid="{00000000-0005-0000-0000-000073320000}"/>
    <cellStyle name="Normal 5 3 2 2 2 3 4 2" xfId="7898" xr:uid="{00000000-0005-0000-0000-000074320000}"/>
    <cellStyle name="Normal 5 3 2 2 2 3 4 2 2" xfId="17758" xr:uid="{00000000-0005-0000-0000-000075320000}"/>
    <cellStyle name="Normal 5 3 2 2 2 3 4 2 2 2" xfId="37473" xr:uid="{00000000-0005-0000-0000-000076320000}"/>
    <cellStyle name="Normal 5 3 2 2 2 3 4 2 3" xfId="27616" xr:uid="{00000000-0005-0000-0000-000077320000}"/>
    <cellStyle name="Normal 5 3 2 2 2 3 4 3" xfId="12830" xr:uid="{00000000-0005-0000-0000-000078320000}"/>
    <cellStyle name="Normal 5 3 2 2 2 3 4 3 2" xfId="32545" xr:uid="{00000000-0005-0000-0000-000079320000}"/>
    <cellStyle name="Normal 5 3 2 2 2 3 4 4" xfId="22688" xr:uid="{00000000-0005-0000-0000-00007A320000}"/>
    <cellStyle name="Normal 5 3 2 2 2 3 5" xfId="5434" xr:uid="{00000000-0005-0000-0000-00007B320000}"/>
    <cellStyle name="Normal 5 3 2 2 2 3 5 2" xfId="15294" xr:uid="{00000000-0005-0000-0000-00007C320000}"/>
    <cellStyle name="Normal 5 3 2 2 2 3 5 2 2" xfId="35009" xr:uid="{00000000-0005-0000-0000-00007D320000}"/>
    <cellStyle name="Normal 5 3 2 2 2 3 5 3" xfId="25152" xr:uid="{00000000-0005-0000-0000-00007E320000}"/>
    <cellStyle name="Normal 5 3 2 2 2 3 6" xfId="10366" xr:uid="{00000000-0005-0000-0000-00007F320000}"/>
    <cellStyle name="Normal 5 3 2 2 2 3 6 2" xfId="30081" xr:uid="{00000000-0005-0000-0000-000080320000}"/>
    <cellStyle name="Normal 5 3 2 2 2 3 7" xfId="20224" xr:uid="{00000000-0005-0000-0000-000081320000}"/>
    <cellStyle name="Normal 5 3 2 2 2 4" xfId="805" xr:uid="{00000000-0005-0000-0000-000082320000}"/>
    <cellStyle name="Normal 5 3 2 2 2 4 2" xfId="2041" xr:uid="{00000000-0005-0000-0000-000083320000}"/>
    <cellStyle name="Normal 5 3 2 2 2 4 2 2" xfId="4508" xr:uid="{00000000-0005-0000-0000-000084320000}"/>
    <cellStyle name="Normal 5 3 2 2 2 4 2 2 2" xfId="9440" xr:uid="{00000000-0005-0000-0000-000085320000}"/>
    <cellStyle name="Normal 5 3 2 2 2 4 2 2 2 2" xfId="19300" xr:uid="{00000000-0005-0000-0000-000086320000}"/>
    <cellStyle name="Normal 5 3 2 2 2 4 2 2 2 2 2" xfId="39015" xr:uid="{00000000-0005-0000-0000-000087320000}"/>
    <cellStyle name="Normal 5 3 2 2 2 4 2 2 2 3" xfId="29158" xr:uid="{00000000-0005-0000-0000-000088320000}"/>
    <cellStyle name="Normal 5 3 2 2 2 4 2 2 3" xfId="14372" xr:uid="{00000000-0005-0000-0000-000089320000}"/>
    <cellStyle name="Normal 5 3 2 2 2 4 2 2 3 2" xfId="34087" xr:uid="{00000000-0005-0000-0000-00008A320000}"/>
    <cellStyle name="Normal 5 3 2 2 2 4 2 2 4" xfId="24230" xr:uid="{00000000-0005-0000-0000-00008B320000}"/>
    <cellStyle name="Normal 5 3 2 2 2 4 2 3" xfId="6976" xr:uid="{00000000-0005-0000-0000-00008C320000}"/>
    <cellStyle name="Normal 5 3 2 2 2 4 2 3 2" xfId="16836" xr:uid="{00000000-0005-0000-0000-00008D320000}"/>
    <cellStyle name="Normal 5 3 2 2 2 4 2 3 2 2" xfId="36551" xr:uid="{00000000-0005-0000-0000-00008E320000}"/>
    <cellStyle name="Normal 5 3 2 2 2 4 2 3 3" xfId="26694" xr:uid="{00000000-0005-0000-0000-00008F320000}"/>
    <cellStyle name="Normal 5 3 2 2 2 4 2 4" xfId="11908" xr:uid="{00000000-0005-0000-0000-000090320000}"/>
    <cellStyle name="Normal 5 3 2 2 2 4 2 4 2" xfId="31623" xr:uid="{00000000-0005-0000-0000-000091320000}"/>
    <cellStyle name="Normal 5 3 2 2 2 4 2 5" xfId="21766" xr:uid="{00000000-0005-0000-0000-000092320000}"/>
    <cellStyle name="Normal 5 3 2 2 2 4 3" xfId="3276" xr:uid="{00000000-0005-0000-0000-000093320000}"/>
    <cellStyle name="Normal 5 3 2 2 2 4 3 2" xfId="8208" xr:uid="{00000000-0005-0000-0000-000094320000}"/>
    <cellStyle name="Normal 5 3 2 2 2 4 3 2 2" xfId="18068" xr:uid="{00000000-0005-0000-0000-000095320000}"/>
    <cellStyle name="Normal 5 3 2 2 2 4 3 2 2 2" xfId="37783" xr:uid="{00000000-0005-0000-0000-000096320000}"/>
    <cellStyle name="Normal 5 3 2 2 2 4 3 2 3" xfId="27926" xr:uid="{00000000-0005-0000-0000-000097320000}"/>
    <cellStyle name="Normal 5 3 2 2 2 4 3 3" xfId="13140" xr:uid="{00000000-0005-0000-0000-000098320000}"/>
    <cellStyle name="Normal 5 3 2 2 2 4 3 3 2" xfId="32855" xr:uid="{00000000-0005-0000-0000-000099320000}"/>
    <cellStyle name="Normal 5 3 2 2 2 4 3 4" xfId="22998" xr:uid="{00000000-0005-0000-0000-00009A320000}"/>
    <cellStyle name="Normal 5 3 2 2 2 4 4" xfId="5744" xr:uid="{00000000-0005-0000-0000-00009B320000}"/>
    <cellStyle name="Normal 5 3 2 2 2 4 4 2" xfId="15604" xr:uid="{00000000-0005-0000-0000-00009C320000}"/>
    <cellStyle name="Normal 5 3 2 2 2 4 4 2 2" xfId="35319" xr:uid="{00000000-0005-0000-0000-00009D320000}"/>
    <cellStyle name="Normal 5 3 2 2 2 4 4 3" xfId="25462" xr:uid="{00000000-0005-0000-0000-00009E320000}"/>
    <cellStyle name="Normal 5 3 2 2 2 4 5" xfId="10676" xr:uid="{00000000-0005-0000-0000-00009F320000}"/>
    <cellStyle name="Normal 5 3 2 2 2 4 5 2" xfId="30391" xr:uid="{00000000-0005-0000-0000-0000A0320000}"/>
    <cellStyle name="Normal 5 3 2 2 2 4 6" xfId="20534" xr:uid="{00000000-0005-0000-0000-0000A1320000}"/>
    <cellStyle name="Normal 5 3 2 2 2 5" xfId="1425" xr:uid="{00000000-0005-0000-0000-0000A2320000}"/>
    <cellStyle name="Normal 5 3 2 2 2 5 2" xfId="3892" xr:uid="{00000000-0005-0000-0000-0000A3320000}"/>
    <cellStyle name="Normal 5 3 2 2 2 5 2 2" xfId="8824" xr:uid="{00000000-0005-0000-0000-0000A4320000}"/>
    <cellStyle name="Normal 5 3 2 2 2 5 2 2 2" xfId="18684" xr:uid="{00000000-0005-0000-0000-0000A5320000}"/>
    <cellStyle name="Normal 5 3 2 2 2 5 2 2 2 2" xfId="38399" xr:uid="{00000000-0005-0000-0000-0000A6320000}"/>
    <cellStyle name="Normal 5 3 2 2 2 5 2 2 3" xfId="28542" xr:uid="{00000000-0005-0000-0000-0000A7320000}"/>
    <cellStyle name="Normal 5 3 2 2 2 5 2 3" xfId="13756" xr:uid="{00000000-0005-0000-0000-0000A8320000}"/>
    <cellStyle name="Normal 5 3 2 2 2 5 2 3 2" xfId="33471" xr:uid="{00000000-0005-0000-0000-0000A9320000}"/>
    <cellStyle name="Normal 5 3 2 2 2 5 2 4" xfId="23614" xr:uid="{00000000-0005-0000-0000-0000AA320000}"/>
    <cellStyle name="Normal 5 3 2 2 2 5 3" xfId="6360" xr:uid="{00000000-0005-0000-0000-0000AB320000}"/>
    <cellStyle name="Normal 5 3 2 2 2 5 3 2" xfId="16220" xr:uid="{00000000-0005-0000-0000-0000AC320000}"/>
    <cellStyle name="Normal 5 3 2 2 2 5 3 2 2" xfId="35935" xr:uid="{00000000-0005-0000-0000-0000AD320000}"/>
    <cellStyle name="Normal 5 3 2 2 2 5 3 3" xfId="26078" xr:uid="{00000000-0005-0000-0000-0000AE320000}"/>
    <cellStyle name="Normal 5 3 2 2 2 5 4" xfId="11292" xr:uid="{00000000-0005-0000-0000-0000AF320000}"/>
    <cellStyle name="Normal 5 3 2 2 2 5 4 2" xfId="31007" xr:uid="{00000000-0005-0000-0000-0000B0320000}"/>
    <cellStyle name="Normal 5 3 2 2 2 5 5" xfId="21150" xr:uid="{00000000-0005-0000-0000-0000B1320000}"/>
    <cellStyle name="Normal 5 3 2 2 2 6" xfId="2660" xr:uid="{00000000-0005-0000-0000-0000B2320000}"/>
    <cellStyle name="Normal 5 3 2 2 2 6 2" xfId="7592" xr:uid="{00000000-0005-0000-0000-0000B3320000}"/>
    <cellStyle name="Normal 5 3 2 2 2 6 2 2" xfId="17452" xr:uid="{00000000-0005-0000-0000-0000B4320000}"/>
    <cellStyle name="Normal 5 3 2 2 2 6 2 2 2" xfId="37167" xr:uid="{00000000-0005-0000-0000-0000B5320000}"/>
    <cellStyle name="Normal 5 3 2 2 2 6 2 3" xfId="27310" xr:uid="{00000000-0005-0000-0000-0000B6320000}"/>
    <cellStyle name="Normal 5 3 2 2 2 6 3" xfId="12524" xr:uid="{00000000-0005-0000-0000-0000B7320000}"/>
    <cellStyle name="Normal 5 3 2 2 2 6 3 2" xfId="32239" xr:uid="{00000000-0005-0000-0000-0000B8320000}"/>
    <cellStyle name="Normal 5 3 2 2 2 6 4" xfId="22382" xr:uid="{00000000-0005-0000-0000-0000B9320000}"/>
    <cellStyle name="Normal 5 3 2 2 2 7" xfId="5128" xr:uid="{00000000-0005-0000-0000-0000BA320000}"/>
    <cellStyle name="Normal 5 3 2 2 2 7 2" xfId="14988" xr:uid="{00000000-0005-0000-0000-0000BB320000}"/>
    <cellStyle name="Normal 5 3 2 2 2 7 2 2" xfId="34703" xr:uid="{00000000-0005-0000-0000-0000BC320000}"/>
    <cellStyle name="Normal 5 3 2 2 2 7 3" xfId="24846" xr:uid="{00000000-0005-0000-0000-0000BD320000}"/>
    <cellStyle name="Normal 5 3 2 2 2 8" xfId="10060" xr:uid="{00000000-0005-0000-0000-0000BE320000}"/>
    <cellStyle name="Normal 5 3 2 2 2 8 2" xfId="29775" xr:uid="{00000000-0005-0000-0000-0000BF320000}"/>
    <cellStyle name="Normal 5 3 2 2 2 9" xfId="19918" xr:uid="{00000000-0005-0000-0000-0000C0320000}"/>
    <cellStyle name="Normal 5 3 2 2 3" xfId="254" xr:uid="{00000000-0005-0000-0000-0000C1320000}"/>
    <cellStyle name="Normal 5 3 2 2 3 2" xfId="568" xr:uid="{00000000-0005-0000-0000-0000C2320000}"/>
    <cellStyle name="Normal 5 3 2 2 3 2 2" xfId="1188" xr:uid="{00000000-0005-0000-0000-0000C3320000}"/>
    <cellStyle name="Normal 5 3 2 2 3 2 2 2" xfId="2423" xr:uid="{00000000-0005-0000-0000-0000C4320000}"/>
    <cellStyle name="Normal 5 3 2 2 3 2 2 2 2" xfId="4890" xr:uid="{00000000-0005-0000-0000-0000C5320000}"/>
    <cellStyle name="Normal 5 3 2 2 3 2 2 2 2 2" xfId="9822" xr:uid="{00000000-0005-0000-0000-0000C6320000}"/>
    <cellStyle name="Normal 5 3 2 2 3 2 2 2 2 2 2" xfId="19682" xr:uid="{00000000-0005-0000-0000-0000C7320000}"/>
    <cellStyle name="Normal 5 3 2 2 3 2 2 2 2 2 2 2" xfId="39397" xr:uid="{00000000-0005-0000-0000-0000C8320000}"/>
    <cellStyle name="Normal 5 3 2 2 3 2 2 2 2 2 3" xfId="29540" xr:uid="{00000000-0005-0000-0000-0000C9320000}"/>
    <cellStyle name="Normal 5 3 2 2 3 2 2 2 2 3" xfId="14754" xr:uid="{00000000-0005-0000-0000-0000CA320000}"/>
    <cellStyle name="Normal 5 3 2 2 3 2 2 2 2 3 2" xfId="34469" xr:uid="{00000000-0005-0000-0000-0000CB320000}"/>
    <cellStyle name="Normal 5 3 2 2 3 2 2 2 2 4" xfId="24612" xr:uid="{00000000-0005-0000-0000-0000CC320000}"/>
    <cellStyle name="Normal 5 3 2 2 3 2 2 2 3" xfId="7358" xr:uid="{00000000-0005-0000-0000-0000CD320000}"/>
    <cellStyle name="Normal 5 3 2 2 3 2 2 2 3 2" xfId="17218" xr:uid="{00000000-0005-0000-0000-0000CE320000}"/>
    <cellStyle name="Normal 5 3 2 2 3 2 2 2 3 2 2" xfId="36933" xr:uid="{00000000-0005-0000-0000-0000CF320000}"/>
    <cellStyle name="Normal 5 3 2 2 3 2 2 2 3 3" xfId="27076" xr:uid="{00000000-0005-0000-0000-0000D0320000}"/>
    <cellStyle name="Normal 5 3 2 2 3 2 2 2 4" xfId="12290" xr:uid="{00000000-0005-0000-0000-0000D1320000}"/>
    <cellStyle name="Normal 5 3 2 2 3 2 2 2 4 2" xfId="32005" xr:uid="{00000000-0005-0000-0000-0000D2320000}"/>
    <cellStyle name="Normal 5 3 2 2 3 2 2 2 5" xfId="22148" xr:uid="{00000000-0005-0000-0000-0000D3320000}"/>
    <cellStyle name="Normal 5 3 2 2 3 2 2 3" xfId="3658" xr:uid="{00000000-0005-0000-0000-0000D4320000}"/>
    <cellStyle name="Normal 5 3 2 2 3 2 2 3 2" xfId="8590" xr:uid="{00000000-0005-0000-0000-0000D5320000}"/>
    <cellStyle name="Normal 5 3 2 2 3 2 2 3 2 2" xfId="18450" xr:uid="{00000000-0005-0000-0000-0000D6320000}"/>
    <cellStyle name="Normal 5 3 2 2 3 2 2 3 2 2 2" xfId="38165" xr:uid="{00000000-0005-0000-0000-0000D7320000}"/>
    <cellStyle name="Normal 5 3 2 2 3 2 2 3 2 3" xfId="28308" xr:uid="{00000000-0005-0000-0000-0000D8320000}"/>
    <cellStyle name="Normal 5 3 2 2 3 2 2 3 3" xfId="13522" xr:uid="{00000000-0005-0000-0000-0000D9320000}"/>
    <cellStyle name="Normal 5 3 2 2 3 2 2 3 3 2" xfId="33237" xr:uid="{00000000-0005-0000-0000-0000DA320000}"/>
    <cellStyle name="Normal 5 3 2 2 3 2 2 3 4" xfId="23380" xr:uid="{00000000-0005-0000-0000-0000DB320000}"/>
    <cellStyle name="Normal 5 3 2 2 3 2 2 4" xfId="6126" xr:uid="{00000000-0005-0000-0000-0000DC320000}"/>
    <cellStyle name="Normal 5 3 2 2 3 2 2 4 2" xfId="15986" xr:uid="{00000000-0005-0000-0000-0000DD320000}"/>
    <cellStyle name="Normal 5 3 2 2 3 2 2 4 2 2" xfId="35701" xr:uid="{00000000-0005-0000-0000-0000DE320000}"/>
    <cellStyle name="Normal 5 3 2 2 3 2 2 4 3" xfId="25844" xr:uid="{00000000-0005-0000-0000-0000DF320000}"/>
    <cellStyle name="Normal 5 3 2 2 3 2 2 5" xfId="11058" xr:uid="{00000000-0005-0000-0000-0000E0320000}"/>
    <cellStyle name="Normal 5 3 2 2 3 2 2 5 2" xfId="30773" xr:uid="{00000000-0005-0000-0000-0000E1320000}"/>
    <cellStyle name="Normal 5 3 2 2 3 2 2 6" xfId="20916" xr:uid="{00000000-0005-0000-0000-0000E2320000}"/>
    <cellStyle name="Normal 5 3 2 2 3 2 3" xfId="1807" xr:uid="{00000000-0005-0000-0000-0000E3320000}"/>
    <cellStyle name="Normal 5 3 2 2 3 2 3 2" xfId="4274" xr:uid="{00000000-0005-0000-0000-0000E4320000}"/>
    <cellStyle name="Normal 5 3 2 2 3 2 3 2 2" xfId="9206" xr:uid="{00000000-0005-0000-0000-0000E5320000}"/>
    <cellStyle name="Normal 5 3 2 2 3 2 3 2 2 2" xfId="19066" xr:uid="{00000000-0005-0000-0000-0000E6320000}"/>
    <cellStyle name="Normal 5 3 2 2 3 2 3 2 2 2 2" xfId="38781" xr:uid="{00000000-0005-0000-0000-0000E7320000}"/>
    <cellStyle name="Normal 5 3 2 2 3 2 3 2 2 3" xfId="28924" xr:uid="{00000000-0005-0000-0000-0000E8320000}"/>
    <cellStyle name="Normal 5 3 2 2 3 2 3 2 3" xfId="14138" xr:uid="{00000000-0005-0000-0000-0000E9320000}"/>
    <cellStyle name="Normal 5 3 2 2 3 2 3 2 3 2" xfId="33853" xr:uid="{00000000-0005-0000-0000-0000EA320000}"/>
    <cellStyle name="Normal 5 3 2 2 3 2 3 2 4" xfId="23996" xr:uid="{00000000-0005-0000-0000-0000EB320000}"/>
    <cellStyle name="Normal 5 3 2 2 3 2 3 3" xfId="6742" xr:uid="{00000000-0005-0000-0000-0000EC320000}"/>
    <cellStyle name="Normal 5 3 2 2 3 2 3 3 2" xfId="16602" xr:uid="{00000000-0005-0000-0000-0000ED320000}"/>
    <cellStyle name="Normal 5 3 2 2 3 2 3 3 2 2" xfId="36317" xr:uid="{00000000-0005-0000-0000-0000EE320000}"/>
    <cellStyle name="Normal 5 3 2 2 3 2 3 3 3" xfId="26460" xr:uid="{00000000-0005-0000-0000-0000EF320000}"/>
    <cellStyle name="Normal 5 3 2 2 3 2 3 4" xfId="11674" xr:uid="{00000000-0005-0000-0000-0000F0320000}"/>
    <cellStyle name="Normal 5 3 2 2 3 2 3 4 2" xfId="31389" xr:uid="{00000000-0005-0000-0000-0000F1320000}"/>
    <cellStyle name="Normal 5 3 2 2 3 2 3 5" xfId="21532" xr:uid="{00000000-0005-0000-0000-0000F2320000}"/>
    <cellStyle name="Normal 5 3 2 2 3 2 4" xfId="3042" xr:uid="{00000000-0005-0000-0000-0000F3320000}"/>
    <cellStyle name="Normal 5 3 2 2 3 2 4 2" xfId="7974" xr:uid="{00000000-0005-0000-0000-0000F4320000}"/>
    <cellStyle name="Normal 5 3 2 2 3 2 4 2 2" xfId="17834" xr:uid="{00000000-0005-0000-0000-0000F5320000}"/>
    <cellStyle name="Normal 5 3 2 2 3 2 4 2 2 2" xfId="37549" xr:uid="{00000000-0005-0000-0000-0000F6320000}"/>
    <cellStyle name="Normal 5 3 2 2 3 2 4 2 3" xfId="27692" xr:uid="{00000000-0005-0000-0000-0000F7320000}"/>
    <cellStyle name="Normal 5 3 2 2 3 2 4 3" xfId="12906" xr:uid="{00000000-0005-0000-0000-0000F8320000}"/>
    <cellStyle name="Normal 5 3 2 2 3 2 4 3 2" xfId="32621" xr:uid="{00000000-0005-0000-0000-0000F9320000}"/>
    <cellStyle name="Normal 5 3 2 2 3 2 4 4" xfId="22764" xr:uid="{00000000-0005-0000-0000-0000FA320000}"/>
    <cellStyle name="Normal 5 3 2 2 3 2 5" xfId="5510" xr:uid="{00000000-0005-0000-0000-0000FB320000}"/>
    <cellStyle name="Normal 5 3 2 2 3 2 5 2" xfId="15370" xr:uid="{00000000-0005-0000-0000-0000FC320000}"/>
    <cellStyle name="Normal 5 3 2 2 3 2 5 2 2" xfId="35085" xr:uid="{00000000-0005-0000-0000-0000FD320000}"/>
    <cellStyle name="Normal 5 3 2 2 3 2 5 3" xfId="25228" xr:uid="{00000000-0005-0000-0000-0000FE320000}"/>
    <cellStyle name="Normal 5 3 2 2 3 2 6" xfId="10442" xr:uid="{00000000-0005-0000-0000-0000FF320000}"/>
    <cellStyle name="Normal 5 3 2 2 3 2 6 2" xfId="30157" xr:uid="{00000000-0005-0000-0000-000000330000}"/>
    <cellStyle name="Normal 5 3 2 2 3 2 7" xfId="20300" xr:uid="{00000000-0005-0000-0000-000001330000}"/>
    <cellStyle name="Normal 5 3 2 2 3 3" xfId="881" xr:uid="{00000000-0005-0000-0000-000002330000}"/>
    <cellStyle name="Normal 5 3 2 2 3 3 2" xfId="2117" xr:uid="{00000000-0005-0000-0000-000003330000}"/>
    <cellStyle name="Normal 5 3 2 2 3 3 2 2" xfId="4584" xr:uid="{00000000-0005-0000-0000-000004330000}"/>
    <cellStyle name="Normal 5 3 2 2 3 3 2 2 2" xfId="9516" xr:uid="{00000000-0005-0000-0000-000005330000}"/>
    <cellStyle name="Normal 5 3 2 2 3 3 2 2 2 2" xfId="19376" xr:uid="{00000000-0005-0000-0000-000006330000}"/>
    <cellStyle name="Normal 5 3 2 2 3 3 2 2 2 2 2" xfId="39091" xr:uid="{00000000-0005-0000-0000-000007330000}"/>
    <cellStyle name="Normal 5 3 2 2 3 3 2 2 2 3" xfId="29234" xr:uid="{00000000-0005-0000-0000-000008330000}"/>
    <cellStyle name="Normal 5 3 2 2 3 3 2 2 3" xfId="14448" xr:uid="{00000000-0005-0000-0000-000009330000}"/>
    <cellStyle name="Normal 5 3 2 2 3 3 2 2 3 2" xfId="34163" xr:uid="{00000000-0005-0000-0000-00000A330000}"/>
    <cellStyle name="Normal 5 3 2 2 3 3 2 2 4" xfId="24306" xr:uid="{00000000-0005-0000-0000-00000B330000}"/>
    <cellStyle name="Normal 5 3 2 2 3 3 2 3" xfId="7052" xr:uid="{00000000-0005-0000-0000-00000C330000}"/>
    <cellStyle name="Normal 5 3 2 2 3 3 2 3 2" xfId="16912" xr:uid="{00000000-0005-0000-0000-00000D330000}"/>
    <cellStyle name="Normal 5 3 2 2 3 3 2 3 2 2" xfId="36627" xr:uid="{00000000-0005-0000-0000-00000E330000}"/>
    <cellStyle name="Normal 5 3 2 2 3 3 2 3 3" xfId="26770" xr:uid="{00000000-0005-0000-0000-00000F330000}"/>
    <cellStyle name="Normal 5 3 2 2 3 3 2 4" xfId="11984" xr:uid="{00000000-0005-0000-0000-000010330000}"/>
    <cellStyle name="Normal 5 3 2 2 3 3 2 4 2" xfId="31699" xr:uid="{00000000-0005-0000-0000-000011330000}"/>
    <cellStyle name="Normal 5 3 2 2 3 3 2 5" xfId="21842" xr:uid="{00000000-0005-0000-0000-000012330000}"/>
    <cellStyle name="Normal 5 3 2 2 3 3 3" xfId="3352" xr:uid="{00000000-0005-0000-0000-000013330000}"/>
    <cellStyle name="Normal 5 3 2 2 3 3 3 2" xfId="8284" xr:uid="{00000000-0005-0000-0000-000014330000}"/>
    <cellStyle name="Normal 5 3 2 2 3 3 3 2 2" xfId="18144" xr:uid="{00000000-0005-0000-0000-000015330000}"/>
    <cellStyle name="Normal 5 3 2 2 3 3 3 2 2 2" xfId="37859" xr:uid="{00000000-0005-0000-0000-000016330000}"/>
    <cellStyle name="Normal 5 3 2 2 3 3 3 2 3" xfId="28002" xr:uid="{00000000-0005-0000-0000-000017330000}"/>
    <cellStyle name="Normal 5 3 2 2 3 3 3 3" xfId="13216" xr:uid="{00000000-0005-0000-0000-000018330000}"/>
    <cellStyle name="Normal 5 3 2 2 3 3 3 3 2" xfId="32931" xr:uid="{00000000-0005-0000-0000-000019330000}"/>
    <cellStyle name="Normal 5 3 2 2 3 3 3 4" xfId="23074" xr:uid="{00000000-0005-0000-0000-00001A330000}"/>
    <cellStyle name="Normal 5 3 2 2 3 3 4" xfId="5820" xr:uid="{00000000-0005-0000-0000-00001B330000}"/>
    <cellStyle name="Normal 5 3 2 2 3 3 4 2" xfId="15680" xr:uid="{00000000-0005-0000-0000-00001C330000}"/>
    <cellStyle name="Normal 5 3 2 2 3 3 4 2 2" xfId="35395" xr:uid="{00000000-0005-0000-0000-00001D330000}"/>
    <cellStyle name="Normal 5 3 2 2 3 3 4 3" xfId="25538" xr:uid="{00000000-0005-0000-0000-00001E330000}"/>
    <cellStyle name="Normal 5 3 2 2 3 3 5" xfId="10752" xr:uid="{00000000-0005-0000-0000-00001F330000}"/>
    <cellStyle name="Normal 5 3 2 2 3 3 5 2" xfId="30467" xr:uid="{00000000-0005-0000-0000-000020330000}"/>
    <cellStyle name="Normal 5 3 2 2 3 3 6" xfId="20610" xr:uid="{00000000-0005-0000-0000-000021330000}"/>
    <cellStyle name="Normal 5 3 2 2 3 4" xfId="1501" xr:uid="{00000000-0005-0000-0000-000022330000}"/>
    <cellStyle name="Normal 5 3 2 2 3 4 2" xfId="3968" xr:uid="{00000000-0005-0000-0000-000023330000}"/>
    <cellStyle name="Normal 5 3 2 2 3 4 2 2" xfId="8900" xr:uid="{00000000-0005-0000-0000-000024330000}"/>
    <cellStyle name="Normal 5 3 2 2 3 4 2 2 2" xfId="18760" xr:uid="{00000000-0005-0000-0000-000025330000}"/>
    <cellStyle name="Normal 5 3 2 2 3 4 2 2 2 2" xfId="38475" xr:uid="{00000000-0005-0000-0000-000026330000}"/>
    <cellStyle name="Normal 5 3 2 2 3 4 2 2 3" xfId="28618" xr:uid="{00000000-0005-0000-0000-000027330000}"/>
    <cellStyle name="Normal 5 3 2 2 3 4 2 3" xfId="13832" xr:uid="{00000000-0005-0000-0000-000028330000}"/>
    <cellStyle name="Normal 5 3 2 2 3 4 2 3 2" xfId="33547" xr:uid="{00000000-0005-0000-0000-000029330000}"/>
    <cellStyle name="Normal 5 3 2 2 3 4 2 4" xfId="23690" xr:uid="{00000000-0005-0000-0000-00002A330000}"/>
    <cellStyle name="Normal 5 3 2 2 3 4 3" xfId="6436" xr:uid="{00000000-0005-0000-0000-00002B330000}"/>
    <cellStyle name="Normal 5 3 2 2 3 4 3 2" xfId="16296" xr:uid="{00000000-0005-0000-0000-00002C330000}"/>
    <cellStyle name="Normal 5 3 2 2 3 4 3 2 2" xfId="36011" xr:uid="{00000000-0005-0000-0000-00002D330000}"/>
    <cellStyle name="Normal 5 3 2 2 3 4 3 3" xfId="26154" xr:uid="{00000000-0005-0000-0000-00002E330000}"/>
    <cellStyle name="Normal 5 3 2 2 3 4 4" xfId="11368" xr:uid="{00000000-0005-0000-0000-00002F330000}"/>
    <cellStyle name="Normal 5 3 2 2 3 4 4 2" xfId="31083" xr:uid="{00000000-0005-0000-0000-000030330000}"/>
    <cellStyle name="Normal 5 3 2 2 3 4 5" xfId="21226" xr:uid="{00000000-0005-0000-0000-000031330000}"/>
    <cellStyle name="Normal 5 3 2 2 3 5" xfId="2736" xr:uid="{00000000-0005-0000-0000-000032330000}"/>
    <cellStyle name="Normal 5 3 2 2 3 5 2" xfId="7668" xr:uid="{00000000-0005-0000-0000-000033330000}"/>
    <cellStyle name="Normal 5 3 2 2 3 5 2 2" xfId="17528" xr:uid="{00000000-0005-0000-0000-000034330000}"/>
    <cellStyle name="Normal 5 3 2 2 3 5 2 2 2" xfId="37243" xr:uid="{00000000-0005-0000-0000-000035330000}"/>
    <cellStyle name="Normal 5 3 2 2 3 5 2 3" xfId="27386" xr:uid="{00000000-0005-0000-0000-000036330000}"/>
    <cellStyle name="Normal 5 3 2 2 3 5 3" xfId="12600" xr:uid="{00000000-0005-0000-0000-000037330000}"/>
    <cellStyle name="Normal 5 3 2 2 3 5 3 2" xfId="32315" xr:uid="{00000000-0005-0000-0000-000038330000}"/>
    <cellStyle name="Normal 5 3 2 2 3 5 4" xfId="22458" xr:uid="{00000000-0005-0000-0000-000039330000}"/>
    <cellStyle name="Normal 5 3 2 2 3 6" xfId="5204" xr:uid="{00000000-0005-0000-0000-00003A330000}"/>
    <cellStyle name="Normal 5 3 2 2 3 6 2" xfId="15064" xr:uid="{00000000-0005-0000-0000-00003B330000}"/>
    <cellStyle name="Normal 5 3 2 2 3 6 2 2" xfId="34779" xr:uid="{00000000-0005-0000-0000-00003C330000}"/>
    <cellStyle name="Normal 5 3 2 2 3 6 3" xfId="24922" xr:uid="{00000000-0005-0000-0000-00003D330000}"/>
    <cellStyle name="Normal 5 3 2 2 3 7" xfId="10136" xr:uid="{00000000-0005-0000-0000-00003E330000}"/>
    <cellStyle name="Normal 5 3 2 2 3 7 2" xfId="29851" xr:uid="{00000000-0005-0000-0000-00003F330000}"/>
    <cellStyle name="Normal 5 3 2 2 3 8" xfId="19994" xr:uid="{00000000-0005-0000-0000-000040330000}"/>
    <cellStyle name="Normal 5 3 2 2 4" xfId="416" xr:uid="{00000000-0005-0000-0000-000041330000}"/>
    <cellStyle name="Normal 5 3 2 2 4 2" xfId="1036" xr:uid="{00000000-0005-0000-0000-000042330000}"/>
    <cellStyle name="Normal 5 3 2 2 4 2 2" xfId="2271" xr:uid="{00000000-0005-0000-0000-000043330000}"/>
    <cellStyle name="Normal 5 3 2 2 4 2 2 2" xfId="4738" xr:uid="{00000000-0005-0000-0000-000044330000}"/>
    <cellStyle name="Normal 5 3 2 2 4 2 2 2 2" xfId="9670" xr:uid="{00000000-0005-0000-0000-000045330000}"/>
    <cellStyle name="Normal 5 3 2 2 4 2 2 2 2 2" xfId="19530" xr:uid="{00000000-0005-0000-0000-000046330000}"/>
    <cellStyle name="Normal 5 3 2 2 4 2 2 2 2 2 2" xfId="39245" xr:uid="{00000000-0005-0000-0000-000047330000}"/>
    <cellStyle name="Normal 5 3 2 2 4 2 2 2 2 3" xfId="29388" xr:uid="{00000000-0005-0000-0000-000048330000}"/>
    <cellStyle name="Normal 5 3 2 2 4 2 2 2 3" xfId="14602" xr:uid="{00000000-0005-0000-0000-000049330000}"/>
    <cellStyle name="Normal 5 3 2 2 4 2 2 2 3 2" xfId="34317" xr:uid="{00000000-0005-0000-0000-00004A330000}"/>
    <cellStyle name="Normal 5 3 2 2 4 2 2 2 4" xfId="24460" xr:uid="{00000000-0005-0000-0000-00004B330000}"/>
    <cellStyle name="Normal 5 3 2 2 4 2 2 3" xfId="7206" xr:uid="{00000000-0005-0000-0000-00004C330000}"/>
    <cellStyle name="Normal 5 3 2 2 4 2 2 3 2" xfId="17066" xr:uid="{00000000-0005-0000-0000-00004D330000}"/>
    <cellStyle name="Normal 5 3 2 2 4 2 2 3 2 2" xfId="36781" xr:uid="{00000000-0005-0000-0000-00004E330000}"/>
    <cellStyle name="Normal 5 3 2 2 4 2 2 3 3" xfId="26924" xr:uid="{00000000-0005-0000-0000-00004F330000}"/>
    <cellStyle name="Normal 5 3 2 2 4 2 2 4" xfId="12138" xr:uid="{00000000-0005-0000-0000-000050330000}"/>
    <cellStyle name="Normal 5 3 2 2 4 2 2 4 2" xfId="31853" xr:uid="{00000000-0005-0000-0000-000051330000}"/>
    <cellStyle name="Normal 5 3 2 2 4 2 2 5" xfId="21996" xr:uid="{00000000-0005-0000-0000-000052330000}"/>
    <cellStyle name="Normal 5 3 2 2 4 2 3" xfId="3506" xr:uid="{00000000-0005-0000-0000-000053330000}"/>
    <cellStyle name="Normal 5 3 2 2 4 2 3 2" xfId="8438" xr:uid="{00000000-0005-0000-0000-000054330000}"/>
    <cellStyle name="Normal 5 3 2 2 4 2 3 2 2" xfId="18298" xr:uid="{00000000-0005-0000-0000-000055330000}"/>
    <cellStyle name="Normal 5 3 2 2 4 2 3 2 2 2" xfId="38013" xr:uid="{00000000-0005-0000-0000-000056330000}"/>
    <cellStyle name="Normal 5 3 2 2 4 2 3 2 3" xfId="28156" xr:uid="{00000000-0005-0000-0000-000057330000}"/>
    <cellStyle name="Normal 5 3 2 2 4 2 3 3" xfId="13370" xr:uid="{00000000-0005-0000-0000-000058330000}"/>
    <cellStyle name="Normal 5 3 2 2 4 2 3 3 2" xfId="33085" xr:uid="{00000000-0005-0000-0000-000059330000}"/>
    <cellStyle name="Normal 5 3 2 2 4 2 3 4" xfId="23228" xr:uid="{00000000-0005-0000-0000-00005A330000}"/>
    <cellStyle name="Normal 5 3 2 2 4 2 4" xfId="5974" xr:uid="{00000000-0005-0000-0000-00005B330000}"/>
    <cellStyle name="Normal 5 3 2 2 4 2 4 2" xfId="15834" xr:uid="{00000000-0005-0000-0000-00005C330000}"/>
    <cellStyle name="Normal 5 3 2 2 4 2 4 2 2" xfId="35549" xr:uid="{00000000-0005-0000-0000-00005D330000}"/>
    <cellStyle name="Normal 5 3 2 2 4 2 4 3" xfId="25692" xr:uid="{00000000-0005-0000-0000-00005E330000}"/>
    <cellStyle name="Normal 5 3 2 2 4 2 5" xfId="10906" xr:uid="{00000000-0005-0000-0000-00005F330000}"/>
    <cellStyle name="Normal 5 3 2 2 4 2 5 2" xfId="30621" xr:uid="{00000000-0005-0000-0000-000060330000}"/>
    <cellStyle name="Normal 5 3 2 2 4 2 6" xfId="20764" xr:uid="{00000000-0005-0000-0000-000061330000}"/>
    <cellStyle name="Normal 5 3 2 2 4 3" xfId="1655" xr:uid="{00000000-0005-0000-0000-000062330000}"/>
    <cellStyle name="Normal 5 3 2 2 4 3 2" xfId="4122" xr:uid="{00000000-0005-0000-0000-000063330000}"/>
    <cellStyle name="Normal 5 3 2 2 4 3 2 2" xfId="9054" xr:uid="{00000000-0005-0000-0000-000064330000}"/>
    <cellStyle name="Normal 5 3 2 2 4 3 2 2 2" xfId="18914" xr:uid="{00000000-0005-0000-0000-000065330000}"/>
    <cellStyle name="Normal 5 3 2 2 4 3 2 2 2 2" xfId="38629" xr:uid="{00000000-0005-0000-0000-000066330000}"/>
    <cellStyle name="Normal 5 3 2 2 4 3 2 2 3" xfId="28772" xr:uid="{00000000-0005-0000-0000-000067330000}"/>
    <cellStyle name="Normal 5 3 2 2 4 3 2 3" xfId="13986" xr:uid="{00000000-0005-0000-0000-000068330000}"/>
    <cellStyle name="Normal 5 3 2 2 4 3 2 3 2" xfId="33701" xr:uid="{00000000-0005-0000-0000-000069330000}"/>
    <cellStyle name="Normal 5 3 2 2 4 3 2 4" xfId="23844" xr:uid="{00000000-0005-0000-0000-00006A330000}"/>
    <cellStyle name="Normal 5 3 2 2 4 3 3" xfId="6590" xr:uid="{00000000-0005-0000-0000-00006B330000}"/>
    <cellStyle name="Normal 5 3 2 2 4 3 3 2" xfId="16450" xr:uid="{00000000-0005-0000-0000-00006C330000}"/>
    <cellStyle name="Normal 5 3 2 2 4 3 3 2 2" xfId="36165" xr:uid="{00000000-0005-0000-0000-00006D330000}"/>
    <cellStyle name="Normal 5 3 2 2 4 3 3 3" xfId="26308" xr:uid="{00000000-0005-0000-0000-00006E330000}"/>
    <cellStyle name="Normal 5 3 2 2 4 3 4" xfId="11522" xr:uid="{00000000-0005-0000-0000-00006F330000}"/>
    <cellStyle name="Normal 5 3 2 2 4 3 4 2" xfId="31237" xr:uid="{00000000-0005-0000-0000-000070330000}"/>
    <cellStyle name="Normal 5 3 2 2 4 3 5" xfId="21380" xr:uid="{00000000-0005-0000-0000-000071330000}"/>
    <cellStyle name="Normal 5 3 2 2 4 4" xfId="2890" xr:uid="{00000000-0005-0000-0000-000072330000}"/>
    <cellStyle name="Normal 5 3 2 2 4 4 2" xfId="7822" xr:uid="{00000000-0005-0000-0000-000073330000}"/>
    <cellStyle name="Normal 5 3 2 2 4 4 2 2" xfId="17682" xr:uid="{00000000-0005-0000-0000-000074330000}"/>
    <cellStyle name="Normal 5 3 2 2 4 4 2 2 2" xfId="37397" xr:uid="{00000000-0005-0000-0000-000075330000}"/>
    <cellStyle name="Normal 5 3 2 2 4 4 2 3" xfId="27540" xr:uid="{00000000-0005-0000-0000-000076330000}"/>
    <cellStyle name="Normal 5 3 2 2 4 4 3" xfId="12754" xr:uid="{00000000-0005-0000-0000-000077330000}"/>
    <cellStyle name="Normal 5 3 2 2 4 4 3 2" xfId="32469" xr:uid="{00000000-0005-0000-0000-000078330000}"/>
    <cellStyle name="Normal 5 3 2 2 4 4 4" xfId="22612" xr:uid="{00000000-0005-0000-0000-000079330000}"/>
    <cellStyle name="Normal 5 3 2 2 4 5" xfId="5358" xr:uid="{00000000-0005-0000-0000-00007A330000}"/>
    <cellStyle name="Normal 5 3 2 2 4 5 2" xfId="15218" xr:uid="{00000000-0005-0000-0000-00007B330000}"/>
    <cellStyle name="Normal 5 3 2 2 4 5 2 2" xfId="34933" xr:uid="{00000000-0005-0000-0000-00007C330000}"/>
    <cellStyle name="Normal 5 3 2 2 4 5 3" xfId="25076" xr:uid="{00000000-0005-0000-0000-00007D330000}"/>
    <cellStyle name="Normal 5 3 2 2 4 6" xfId="10290" xr:uid="{00000000-0005-0000-0000-00007E330000}"/>
    <cellStyle name="Normal 5 3 2 2 4 6 2" xfId="30005" xr:uid="{00000000-0005-0000-0000-00007F330000}"/>
    <cellStyle name="Normal 5 3 2 2 4 7" xfId="20148" xr:uid="{00000000-0005-0000-0000-000080330000}"/>
    <cellStyle name="Normal 5 3 2 2 5" xfId="729" xr:uid="{00000000-0005-0000-0000-000081330000}"/>
    <cellStyle name="Normal 5 3 2 2 5 2" xfId="1965" xr:uid="{00000000-0005-0000-0000-000082330000}"/>
    <cellStyle name="Normal 5 3 2 2 5 2 2" xfId="4432" xr:uid="{00000000-0005-0000-0000-000083330000}"/>
    <cellStyle name="Normal 5 3 2 2 5 2 2 2" xfId="9364" xr:uid="{00000000-0005-0000-0000-000084330000}"/>
    <cellStyle name="Normal 5 3 2 2 5 2 2 2 2" xfId="19224" xr:uid="{00000000-0005-0000-0000-000085330000}"/>
    <cellStyle name="Normal 5 3 2 2 5 2 2 2 2 2" xfId="38939" xr:uid="{00000000-0005-0000-0000-000086330000}"/>
    <cellStyle name="Normal 5 3 2 2 5 2 2 2 3" xfId="29082" xr:uid="{00000000-0005-0000-0000-000087330000}"/>
    <cellStyle name="Normal 5 3 2 2 5 2 2 3" xfId="14296" xr:uid="{00000000-0005-0000-0000-000088330000}"/>
    <cellStyle name="Normal 5 3 2 2 5 2 2 3 2" xfId="34011" xr:uid="{00000000-0005-0000-0000-000089330000}"/>
    <cellStyle name="Normal 5 3 2 2 5 2 2 4" xfId="24154" xr:uid="{00000000-0005-0000-0000-00008A330000}"/>
    <cellStyle name="Normal 5 3 2 2 5 2 3" xfId="6900" xr:uid="{00000000-0005-0000-0000-00008B330000}"/>
    <cellStyle name="Normal 5 3 2 2 5 2 3 2" xfId="16760" xr:uid="{00000000-0005-0000-0000-00008C330000}"/>
    <cellStyle name="Normal 5 3 2 2 5 2 3 2 2" xfId="36475" xr:uid="{00000000-0005-0000-0000-00008D330000}"/>
    <cellStyle name="Normal 5 3 2 2 5 2 3 3" xfId="26618" xr:uid="{00000000-0005-0000-0000-00008E330000}"/>
    <cellStyle name="Normal 5 3 2 2 5 2 4" xfId="11832" xr:uid="{00000000-0005-0000-0000-00008F330000}"/>
    <cellStyle name="Normal 5 3 2 2 5 2 4 2" xfId="31547" xr:uid="{00000000-0005-0000-0000-000090330000}"/>
    <cellStyle name="Normal 5 3 2 2 5 2 5" xfId="21690" xr:uid="{00000000-0005-0000-0000-000091330000}"/>
    <cellStyle name="Normal 5 3 2 2 5 3" xfId="3200" xr:uid="{00000000-0005-0000-0000-000092330000}"/>
    <cellStyle name="Normal 5 3 2 2 5 3 2" xfId="8132" xr:uid="{00000000-0005-0000-0000-000093330000}"/>
    <cellStyle name="Normal 5 3 2 2 5 3 2 2" xfId="17992" xr:uid="{00000000-0005-0000-0000-000094330000}"/>
    <cellStyle name="Normal 5 3 2 2 5 3 2 2 2" xfId="37707" xr:uid="{00000000-0005-0000-0000-000095330000}"/>
    <cellStyle name="Normal 5 3 2 2 5 3 2 3" xfId="27850" xr:uid="{00000000-0005-0000-0000-000096330000}"/>
    <cellStyle name="Normal 5 3 2 2 5 3 3" xfId="13064" xr:uid="{00000000-0005-0000-0000-000097330000}"/>
    <cellStyle name="Normal 5 3 2 2 5 3 3 2" xfId="32779" xr:uid="{00000000-0005-0000-0000-000098330000}"/>
    <cellStyle name="Normal 5 3 2 2 5 3 4" xfId="22922" xr:uid="{00000000-0005-0000-0000-000099330000}"/>
    <cellStyle name="Normal 5 3 2 2 5 4" xfId="5668" xr:uid="{00000000-0005-0000-0000-00009A330000}"/>
    <cellStyle name="Normal 5 3 2 2 5 4 2" xfId="15528" xr:uid="{00000000-0005-0000-0000-00009B330000}"/>
    <cellStyle name="Normal 5 3 2 2 5 4 2 2" xfId="35243" xr:uid="{00000000-0005-0000-0000-00009C330000}"/>
    <cellStyle name="Normal 5 3 2 2 5 4 3" xfId="25386" xr:uid="{00000000-0005-0000-0000-00009D330000}"/>
    <cellStyle name="Normal 5 3 2 2 5 5" xfId="10600" xr:uid="{00000000-0005-0000-0000-00009E330000}"/>
    <cellStyle name="Normal 5 3 2 2 5 5 2" xfId="30315" xr:uid="{00000000-0005-0000-0000-00009F330000}"/>
    <cellStyle name="Normal 5 3 2 2 5 6" xfId="20458" xr:uid="{00000000-0005-0000-0000-0000A0330000}"/>
    <cellStyle name="Normal 5 3 2 2 6" xfId="1349" xr:uid="{00000000-0005-0000-0000-0000A1330000}"/>
    <cellStyle name="Normal 5 3 2 2 6 2" xfId="3816" xr:uid="{00000000-0005-0000-0000-0000A2330000}"/>
    <cellStyle name="Normal 5 3 2 2 6 2 2" xfId="8748" xr:uid="{00000000-0005-0000-0000-0000A3330000}"/>
    <cellStyle name="Normal 5 3 2 2 6 2 2 2" xfId="18608" xr:uid="{00000000-0005-0000-0000-0000A4330000}"/>
    <cellStyle name="Normal 5 3 2 2 6 2 2 2 2" xfId="38323" xr:uid="{00000000-0005-0000-0000-0000A5330000}"/>
    <cellStyle name="Normal 5 3 2 2 6 2 2 3" xfId="28466" xr:uid="{00000000-0005-0000-0000-0000A6330000}"/>
    <cellStyle name="Normal 5 3 2 2 6 2 3" xfId="13680" xr:uid="{00000000-0005-0000-0000-0000A7330000}"/>
    <cellStyle name="Normal 5 3 2 2 6 2 3 2" xfId="33395" xr:uid="{00000000-0005-0000-0000-0000A8330000}"/>
    <cellStyle name="Normal 5 3 2 2 6 2 4" xfId="23538" xr:uid="{00000000-0005-0000-0000-0000A9330000}"/>
    <cellStyle name="Normal 5 3 2 2 6 3" xfId="6284" xr:uid="{00000000-0005-0000-0000-0000AA330000}"/>
    <cellStyle name="Normal 5 3 2 2 6 3 2" xfId="16144" xr:uid="{00000000-0005-0000-0000-0000AB330000}"/>
    <cellStyle name="Normal 5 3 2 2 6 3 2 2" xfId="35859" xr:uid="{00000000-0005-0000-0000-0000AC330000}"/>
    <cellStyle name="Normal 5 3 2 2 6 3 3" xfId="26002" xr:uid="{00000000-0005-0000-0000-0000AD330000}"/>
    <cellStyle name="Normal 5 3 2 2 6 4" xfId="11216" xr:uid="{00000000-0005-0000-0000-0000AE330000}"/>
    <cellStyle name="Normal 5 3 2 2 6 4 2" xfId="30931" xr:uid="{00000000-0005-0000-0000-0000AF330000}"/>
    <cellStyle name="Normal 5 3 2 2 6 5" xfId="21074" xr:uid="{00000000-0005-0000-0000-0000B0330000}"/>
    <cellStyle name="Normal 5 3 2 2 7" xfId="2584" xr:uid="{00000000-0005-0000-0000-0000B1330000}"/>
    <cellStyle name="Normal 5 3 2 2 7 2" xfId="7516" xr:uid="{00000000-0005-0000-0000-0000B2330000}"/>
    <cellStyle name="Normal 5 3 2 2 7 2 2" xfId="17376" xr:uid="{00000000-0005-0000-0000-0000B3330000}"/>
    <cellStyle name="Normal 5 3 2 2 7 2 2 2" xfId="37091" xr:uid="{00000000-0005-0000-0000-0000B4330000}"/>
    <cellStyle name="Normal 5 3 2 2 7 2 3" xfId="27234" xr:uid="{00000000-0005-0000-0000-0000B5330000}"/>
    <cellStyle name="Normal 5 3 2 2 7 3" xfId="12448" xr:uid="{00000000-0005-0000-0000-0000B6330000}"/>
    <cellStyle name="Normal 5 3 2 2 7 3 2" xfId="32163" xr:uid="{00000000-0005-0000-0000-0000B7330000}"/>
    <cellStyle name="Normal 5 3 2 2 7 4" xfId="22306" xr:uid="{00000000-0005-0000-0000-0000B8330000}"/>
    <cellStyle name="Normal 5 3 2 2 8" xfId="5052" xr:uid="{00000000-0005-0000-0000-0000B9330000}"/>
    <cellStyle name="Normal 5 3 2 2 8 2" xfId="14912" xr:uid="{00000000-0005-0000-0000-0000BA330000}"/>
    <cellStyle name="Normal 5 3 2 2 8 2 2" xfId="34627" xr:uid="{00000000-0005-0000-0000-0000BB330000}"/>
    <cellStyle name="Normal 5 3 2 2 8 3" xfId="24770" xr:uid="{00000000-0005-0000-0000-0000BC330000}"/>
    <cellStyle name="Normal 5 3 2 2 9" xfId="9984" xr:uid="{00000000-0005-0000-0000-0000BD330000}"/>
    <cellStyle name="Normal 5 3 2 2 9 2" xfId="29699" xr:uid="{00000000-0005-0000-0000-0000BE330000}"/>
    <cellStyle name="Normal 5 3 2 3" xfId="135" xr:uid="{00000000-0005-0000-0000-0000BF330000}"/>
    <cellStyle name="Normal 5 3 2 3 2" xfId="292" xr:uid="{00000000-0005-0000-0000-0000C0330000}"/>
    <cellStyle name="Normal 5 3 2 3 2 2" xfId="606" xr:uid="{00000000-0005-0000-0000-0000C1330000}"/>
    <cellStyle name="Normal 5 3 2 3 2 2 2" xfId="1226" xr:uid="{00000000-0005-0000-0000-0000C2330000}"/>
    <cellStyle name="Normal 5 3 2 3 2 2 2 2" xfId="2461" xr:uid="{00000000-0005-0000-0000-0000C3330000}"/>
    <cellStyle name="Normal 5 3 2 3 2 2 2 2 2" xfId="4928" xr:uid="{00000000-0005-0000-0000-0000C4330000}"/>
    <cellStyle name="Normal 5 3 2 3 2 2 2 2 2 2" xfId="9860" xr:uid="{00000000-0005-0000-0000-0000C5330000}"/>
    <cellStyle name="Normal 5 3 2 3 2 2 2 2 2 2 2" xfId="19720" xr:uid="{00000000-0005-0000-0000-0000C6330000}"/>
    <cellStyle name="Normal 5 3 2 3 2 2 2 2 2 2 2 2" xfId="39435" xr:uid="{00000000-0005-0000-0000-0000C7330000}"/>
    <cellStyle name="Normal 5 3 2 3 2 2 2 2 2 2 3" xfId="29578" xr:uid="{00000000-0005-0000-0000-0000C8330000}"/>
    <cellStyle name="Normal 5 3 2 3 2 2 2 2 2 3" xfId="14792" xr:uid="{00000000-0005-0000-0000-0000C9330000}"/>
    <cellStyle name="Normal 5 3 2 3 2 2 2 2 2 3 2" xfId="34507" xr:uid="{00000000-0005-0000-0000-0000CA330000}"/>
    <cellStyle name="Normal 5 3 2 3 2 2 2 2 2 4" xfId="24650" xr:uid="{00000000-0005-0000-0000-0000CB330000}"/>
    <cellStyle name="Normal 5 3 2 3 2 2 2 2 3" xfId="7396" xr:uid="{00000000-0005-0000-0000-0000CC330000}"/>
    <cellStyle name="Normal 5 3 2 3 2 2 2 2 3 2" xfId="17256" xr:uid="{00000000-0005-0000-0000-0000CD330000}"/>
    <cellStyle name="Normal 5 3 2 3 2 2 2 2 3 2 2" xfId="36971" xr:uid="{00000000-0005-0000-0000-0000CE330000}"/>
    <cellStyle name="Normal 5 3 2 3 2 2 2 2 3 3" xfId="27114" xr:uid="{00000000-0005-0000-0000-0000CF330000}"/>
    <cellStyle name="Normal 5 3 2 3 2 2 2 2 4" xfId="12328" xr:uid="{00000000-0005-0000-0000-0000D0330000}"/>
    <cellStyle name="Normal 5 3 2 3 2 2 2 2 4 2" xfId="32043" xr:uid="{00000000-0005-0000-0000-0000D1330000}"/>
    <cellStyle name="Normal 5 3 2 3 2 2 2 2 5" xfId="22186" xr:uid="{00000000-0005-0000-0000-0000D2330000}"/>
    <cellStyle name="Normal 5 3 2 3 2 2 2 3" xfId="3696" xr:uid="{00000000-0005-0000-0000-0000D3330000}"/>
    <cellStyle name="Normal 5 3 2 3 2 2 2 3 2" xfId="8628" xr:uid="{00000000-0005-0000-0000-0000D4330000}"/>
    <cellStyle name="Normal 5 3 2 3 2 2 2 3 2 2" xfId="18488" xr:uid="{00000000-0005-0000-0000-0000D5330000}"/>
    <cellStyle name="Normal 5 3 2 3 2 2 2 3 2 2 2" xfId="38203" xr:uid="{00000000-0005-0000-0000-0000D6330000}"/>
    <cellStyle name="Normal 5 3 2 3 2 2 2 3 2 3" xfId="28346" xr:uid="{00000000-0005-0000-0000-0000D7330000}"/>
    <cellStyle name="Normal 5 3 2 3 2 2 2 3 3" xfId="13560" xr:uid="{00000000-0005-0000-0000-0000D8330000}"/>
    <cellStyle name="Normal 5 3 2 3 2 2 2 3 3 2" xfId="33275" xr:uid="{00000000-0005-0000-0000-0000D9330000}"/>
    <cellStyle name="Normal 5 3 2 3 2 2 2 3 4" xfId="23418" xr:uid="{00000000-0005-0000-0000-0000DA330000}"/>
    <cellStyle name="Normal 5 3 2 3 2 2 2 4" xfId="6164" xr:uid="{00000000-0005-0000-0000-0000DB330000}"/>
    <cellStyle name="Normal 5 3 2 3 2 2 2 4 2" xfId="16024" xr:uid="{00000000-0005-0000-0000-0000DC330000}"/>
    <cellStyle name="Normal 5 3 2 3 2 2 2 4 2 2" xfId="35739" xr:uid="{00000000-0005-0000-0000-0000DD330000}"/>
    <cellStyle name="Normal 5 3 2 3 2 2 2 4 3" xfId="25882" xr:uid="{00000000-0005-0000-0000-0000DE330000}"/>
    <cellStyle name="Normal 5 3 2 3 2 2 2 5" xfId="11096" xr:uid="{00000000-0005-0000-0000-0000DF330000}"/>
    <cellStyle name="Normal 5 3 2 3 2 2 2 5 2" xfId="30811" xr:uid="{00000000-0005-0000-0000-0000E0330000}"/>
    <cellStyle name="Normal 5 3 2 3 2 2 2 6" xfId="20954" xr:uid="{00000000-0005-0000-0000-0000E1330000}"/>
    <cellStyle name="Normal 5 3 2 3 2 2 3" xfId="1845" xr:uid="{00000000-0005-0000-0000-0000E2330000}"/>
    <cellStyle name="Normal 5 3 2 3 2 2 3 2" xfId="4312" xr:uid="{00000000-0005-0000-0000-0000E3330000}"/>
    <cellStyle name="Normal 5 3 2 3 2 2 3 2 2" xfId="9244" xr:uid="{00000000-0005-0000-0000-0000E4330000}"/>
    <cellStyle name="Normal 5 3 2 3 2 2 3 2 2 2" xfId="19104" xr:uid="{00000000-0005-0000-0000-0000E5330000}"/>
    <cellStyle name="Normal 5 3 2 3 2 2 3 2 2 2 2" xfId="38819" xr:uid="{00000000-0005-0000-0000-0000E6330000}"/>
    <cellStyle name="Normal 5 3 2 3 2 2 3 2 2 3" xfId="28962" xr:uid="{00000000-0005-0000-0000-0000E7330000}"/>
    <cellStyle name="Normal 5 3 2 3 2 2 3 2 3" xfId="14176" xr:uid="{00000000-0005-0000-0000-0000E8330000}"/>
    <cellStyle name="Normal 5 3 2 3 2 2 3 2 3 2" xfId="33891" xr:uid="{00000000-0005-0000-0000-0000E9330000}"/>
    <cellStyle name="Normal 5 3 2 3 2 2 3 2 4" xfId="24034" xr:uid="{00000000-0005-0000-0000-0000EA330000}"/>
    <cellStyle name="Normal 5 3 2 3 2 2 3 3" xfId="6780" xr:uid="{00000000-0005-0000-0000-0000EB330000}"/>
    <cellStyle name="Normal 5 3 2 3 2 2 3 3 2" xfId="16640" xr:uid="{00000000-0005-0000-0000-0000EC330000}"/>
    <cellStyle name="Normal 5 3 2 3 2 2 3 3 2 2" xfId="36355" xr:uid="{00000000-0005-0000-0000-0000ED330000}"/>
    <cellStyle name="Normal 5 3 2 3 2 2 3 3 3" xfId="26498" xr:uid="{00000000-0005-0000-0000-0000EE330000}"/>
    <cellStyle name="Normal 5 3 2 3 2 2 3 4" xfId="11712" xr:uid="{00000000-0005-0000-0000-0000EF330000}"/>
    <cellStyle name="Normal 5 3 2 3 2 2 3 4 2" xfId="31427" xr:uid="{00000000-0005-0000-0000-0000F0330000}"/>
    <cellStyle name="Normal 5 3 2 3 2 2 3 5" xfId="21570" xr:uid="{00000000-0005-0000-0000-0000F1330000}"/>
    <cellStyle name="Normal 5 3 2 3 2 2 4" xfId="3080" xr:uid="{00000000-0005-0000-0000-0000F2330000}"/>
    <cellStyle name="Normal 5 3 2 3 2 2 4 2" xfId="8012" xr:uid="{00000000-0005-0000-0000-0000F3330000}"/>
    <cellStyle name="Normal 5 3 2 3 2 2 4 2 2" xfId="17872" xr:uid="{00000000-0005-0000-0000-0000F4330000}"/>
    <cellStyle name="Normal 5 3 2 3 2 2 4 2 2 2" xfId="37587" xr:uid="{00000000-0005-0000-0000-0000F5330000}"/>
    <cellStyle name="Normal 5 3 2 3 2 2 4 2 3" xfId="27730" xr:uid="{00000000-0005-0000-0000-0000F6330000}"/>
    <cellStyle name="Normal 5 3 2 3 2 2 4 3" xfId="12944" xr:uid="{00000000-0005-0000-0000-0000F7330000}"/>
    <cellStyle name="Normal 5 3 2 3 2 2 4 3 2" xfId="32659" xr:uid="{00000000-0005-0000-0000-0000F8330000}"/>
    <cellStyle name="Normal 5 3 2 3 2 2 4 4" xfId="22802" xr:uid="{00000000-0005-0000-0000-0000F9330000}"/>
    <cellStyle name="Normal 5 3 2 3 2 2 5" xfId="5548" xr:uid="{00000000-0005-0000-0000-0000FA330000}"/>
    <cellStyle name="Normal 5 3 2 3 2 2 5 2" xfId="15408" xr:uid="{00000000-0005-0000-0000-0000FB330000}"/>
    <cellStyle name="Normal 5 3 2 3 2 2 5 2 2" xfId="35123" xr:uid="{00000000-0005-0000-0000-0000FC330000}"/>
    <cellStyle name="Normal 5 3 2 3 2 2 5 3" xfId="25266" xr:uid="{00000000-0005-0000-0000-0000FD330000}"/>
    <cellStyle name="Normal 5 3 2 3 2 2 6" xfId="10480" xr:uid="{00000000-0005-0000-0000-0000FE330000}"/>
    <cellStyle name="Normal 5 3 2 3 2 2 6 2" xfId="30195" xr:uid="{00000000-0005-0000-0000-0000FF330000}"/>
    <cellStyle name="Normal 5 3 2 3 2 2 7" xfId="20338" xr:uid="{00000000-0005-0000-0000-000000340000}"/>
    <cellStyle name="Normal 5 3 2 3 2 3" xfId="919" xr:uid="{00000000-0005-0000-0000-000001340000}"/>
    <cellStyle name="Normal 5 3 2 3 2 3 2" xfId="2155" xr:uid="{00000000-0005-0000-0000-000002340000}"/>
    <cellStyle name="Normal 5 3 2 3 2 3 2 2" xfId="4622" xr:uid="{00000000-0005-0000-0000-000003340000}"/>
    <cellStyle name="Normal 5 3 2 3 2 3 2 2 2" xfId="9554" xr:uid="{00000000-0005-0000-0000-000004340000}"/>
    <cellStyle name="Normal 5 3 2 3 2 3 2 2 2 2" xfId="19414" xr:uid="{00000000-0005-0000-0000-000005340000}"/>
    <cellStyle name="Normal 5 3 2 3 2 3 2 2 2 2 2" xfId="39129" xr:uid="{00000000-0005-0000-0000-000006340000}"/>
    <cellStyle name="Normal 5 3 2 3 2 3 2 2 2 3" xfId="29272" xr:uid="{00000000-0005-0000-0000-000007340000}"/>
    <cellStyle name="Normal 5 3 2 3 2 3 2 2 3" xfId="14486" xr:uid="{00000000-0005-0000-0000-000008340000}"/>
    <cellStyle name="Normal 5 3 2 3 2 3 2 2 3 2" xfId="34201" xr:uid="{00000000-0005-0000-0000-000009340000}"/>
    <cellStyle name="Normal 5 3 2 3 2 3 2 2 4" xfId="24344" xr:uid="{00000000-0005-0000-0000-00000A340000}"/>
    <cellStyle name="Normal 5 3 2 3 2 3 2 3" xfId="7090" xr:uid="{00000000-0005-0000-0000-00000B340000}"/>
    <cellStyle name="Normal 5 3 2 3 2 3 2 3 2" xfId="16950" xr:uid="{00000000-0005-0000-0000-00000C340000}"/>
    <cellStyle name="Normal 5 3 2 3 2 3 2 3 2 2" xfId="36665" xr:uid="{00000000-0005-0000-0000-00000D340000}"/>
    <cellStyle name="Normal 5 3 2 3 2 3 2 3 3" xfId="26808" xr:uid="{00000000-0005-0000-0000-00000E340000}"/>
    <cellStyle name="Normal 5 3 2 3 2 3 2 4" xfId="12022" xr:uid="{00000000-0005-0000-0000-00000F340000}"/>
    <cellStyle name="Normal 5 3 2 3 2 3 2 4 2" xfId="31737" xr:uid="{00000000-0005-0000-0000-000010340000}"/>
    <cellStyle name="Normal 5 3 2 3 2 3 2 5" xfId="21880" xr:uid="{00000000-0005-0000-0000-000011340000}"/>
    <cellStyle name="Normal 5 3 2 3 2 3 3" xfId="3390" xr:uid="{00000000-0005-0000-0000-000012340000}"/>
    <cellStyle name="Normal 5 3 2 3 2 3 3 2" xfId="8322" xr:uid="{00000000-0005-0000-0000-000013340000}"/>
    <cellStyle name="Normal 5 3 2 3 2 3 3 2 2" xfId="18182" xr:uid="{00000000-0005-0000-0000-000014340000}"/>
    <cellStyle name="Normal 5 3 2 3 2 3 3 2 2 2" xfId="37897" xr:uid="{00000000-0005-0000-0000-000015340000}"/>
    <cellStyle name="Normal 5 3 2 3 2 3 3 2 3" xfId="28040" xr:uid="{00000000-0005-0000-0000-000016340000}"/>
    <cellStyle name="Normal 5 3 2 3 2 3 3 3" xfId="13254" xr:uid="{00000000-0005-0000-0000-000017340000}"/>
    <cellStyle name="Normal 5 3 2 3 2 3 3 3 2" xfId="32969" xr:uid="{00000000-0005-0000-0000-000018340000}"/>
    <cellStyle name="Normal 5 3 2 3 2 3 3 4" xfId="23112" xr:uid="{00000000-0005-0000-0000-000019340000}"/>
    <cellStyle name="Normal 5 3 2 3 2 3 4" xfId="5858" xr:uid="{00000000-0005-0000-0000-00001A340000}"/>
    <cellStyle name="Normal 5 3 2 3 2 3 4 2" xfId="15718" xr:uid="{00000000-0005-0000-0000-00001B340000}"/>
    <cellStyle name="Normal 5 3 2 3 2 3 4 2 2" xfId="35433" xr:uid="{00000000-0005-0000-0000-00001C340000}"/>
    <cellStyle name="Normal 5 3 2 3 2 3 4 3" xfId="25576" xr:uid="{00000000-0005-0000-0000-00001D340000}"/>
    <cellStyle name="Normal 5 3 2 3 2 3 5" xfId="10790" xr:uid="{00000000-0005-0000-0000-00001E340000}"/>
    <cellStyle name="Normal 5 3 2 3 2 3 5 2" xfId="30505" xr:uid="{00000000-0005-0000-0000-00001F340000}"/>
    <cellStyle name="Normal 5 3 2 3 2 3 6" xfId="20648" xr:uid="{00000000-0005-0000-0000-000020340000}"/>
    <cellStyle name="Normal 5 3 2 3 2 4" xfId="1539" xr:uid="{00000000-0005-0000-0000-000021340000}"/>
    <cellStyle name="Normal 5 3 2 3 2 4 2" xfId="4006" xr:uid="{00000000-0005-0000-0000-000022340000}"/>
    <cellStyle name="Normal 5 3 2 3 2 4 2 2" xfId="8938" xr:uid="{00000000-0005-0000-0000-000023340000}"/>
    <cellStyle name="Normal 5 3 2 3 2 4 2 2 2" xfId="18798" xr:uid="{00000000-0005-0000-0000-000024340000}"/>
    <cellStyle name="Normal 5 3 2 3 2 4 2 2 2 2" xfId="38513" xr:uid="{00000000-0005-0000-0000-000025340000}"/>
    <cellStyle name="Normal 5 3 2 3 2 4 2 2 3" xfId="28656" xr:uid="{00000000-0005-0000-0000-000026340000}"/>
    <cellStyle name="Normal 5 3 2 3 2 4 2 3" xfId="13870" xr:uid="{00000000-0005-0000-0000-000027340000}"/>
    <cellStyle name="Normal 5 3 2 3 2 4 2 3 2" xfId="33585" xr:uid="{00000000-0005-0000-0000-000028340000}"/>
    <cellStyle name="Normal 5 3 2 3 2 4 2 4" xfId="23728" xr:uid="{00000000-0005-0000-0000-000029340000}"/>
    <cellStyle name="Normal 5 3 2 3 2 4 3" xfId="6474" xr:uid="{00000000-0005-0000-0000-00002A340000}"/>
    <cellStyle name="Normal 5 3 2 3 2 4 3 2" xfId="16334" xr:uid="{00000000-0005-0000-0000-00002B340000}"/>
    <cellStyle name="Normal 5 3 2 3 2 4 3 2 2" xfId="36049" xr:uid="{00000000-0005-0000-0000-00002C340000}"/>
    <cellStyle name="Normal 5 3 2 3 2 4 3 3" xfId="26192" xr:uid="{00000000-0005-0000-0000-00002D340000}"/>
    <cellStyle name="Normal 5 3 2 3 2 4 4" xfId="11406" xr:uid="{00000000-0005-0000-0000-00002E340000}"/>
    <cellStyle name="Normal 5 3 2 3 2 4 4 2" xfId="31121" xr:uid="{00000000-0005-0000-0000-00002F340000}"/>
    <cellStyle name="Normal 5 3 2 3 2 4 5" xfId="21264" xr:uid="{00000000-0005-0000-0000-000030340000}"/>
    <cellStyle name="Normal 5 3 2 3 2 5" xfId="2774" xr:uid="{00000000-0005-0000-0000-000031340000}"/>
    <cellStyle name="Normal 5 3 2 3 2 5 2" xfId="7706" xr:uid="{00000000-0005-0000-0000-000032340000}"/>
    <cellStyle name="Normal 5 3 2 3 2 5 2 2" xfId="17566" xr:uid="{00000000-0005-0000-0000-000033340000}"/>
    <cellStyle name="Normal 5 3 2 3 2 5 2 2 2" xfId="37281" xr:uid="{00000000-0005-0000-0000-000034340000}"/>
    <cellStyle name="Normal 5 3 2 3 2 5 2 3" xfId="27424" xr:uid="{00000000-0005-0000-0000-000035340000}"/>
    <cellStyle name="Normal 5 3 2 3 2 5 3" xfId="12638" xr:uid="{00000000-0005-0000-0000-000036340000}"/>
    <cellStyle name="Normal 5 3 2 3 2 5 3 2" xfId="32353" xr:uid="{00000000-0005-0000-0000-000037340000}"/>
    <cellStyle name="Normal 5 3 2 3 2 5 4" xfId="22496" xr:uid="{00000000-0005-0000-0000-000038340000}"/>
    <cellStyle name="Normal 5 3 2 3 2 6" xfId="5242" xr:uid="{00000000-0005-0000-0000-000039340000}"/>
    <cellStyle name="Normal 5 3 2 3 2 6 2" xfId="15102" xr:uid="{00000000-0005-0000-0000-00003A340000}"/>
    <cellStyle name="Normal 5 3 2 3 2 6 2 2" xfId="34817" xr:uid="{00000000-0005-0000-0000-00003B340000}"/>
    <cellStyle name="Normal 5 3 2 3 2 6 3" xfId="24960" xr:uid="{00000000-0005-0000-0000-00003C340000}"/>
    <cellStyle name="Normal 5 3 2 3 2 7" xfId="10174" xr:uid="{00000000-0005-0000-0000-00003D340000}"/>
    <cellStyle name="Normal 5 3 2 3 2 7 2" xfId="29889" xr:uid="{00000000-0005-0000-0000-00003E340000}"/>
    <cellStyle name="Normal 5 3 2 3 2 8" xfId="20032" xr:uid="{00000000-0005-0000-0000-00003F340000}"/>
    <cellStyle name="Normal 5 3 2 3 3" xfId="454" xr:uid="{00000000-0005-0000-0000-000040340000}"/>
    <cellStyle name="Normal 5 3 2 3 3 2" xfId="1074" xr:uid="{00000000-0005-0000-0000-000041340000}"/>
    <cellStyle name="Normal 5 3 2 3 3 2 2" xfId="2309" xr:uid="{00000000-0005-0000-0000-000042340000}"/>
    <cellStyle name="Normal 5 3 2 3 3 2 2 2" xfId="4776" xr:uid="{00000000-0005-0000-0000-000043340000}"/>
    <cellStyle name="Normal 5 3 2 3 3 2 2 2 2" xfId="9708" xr:uid="{00000000-0005-0000-0000-000044340000}"/>
    <cellStyle name="Normal 5 3 2 3 3 2 2 2 2 2" xfId="19568" xr:uid="{00000000-0005-0000-0000-000045340000}"/>
    <cellStyle name="Normal 5 3 2 3 3 2 2 2 2 2 2" xfId="39283" xr:uid="{00000000-0005-0000-0000-000046340000}"/>
    <cellStyle name="Normal 5 3 2 3 3 2 2 2 2 3" xfId="29426" xr:uid="{00000000-0005-0000-0000-000047340000}"/>
    <cellStyle name="Normal 5 3 2 3 3 2 2 2 3" xfId="14640" xr:uid="{00000000-0005-0000-0000-000048340000}"/>
    <cellStyle name="Normal 5 3 2 3 3 2 2 2 3 2" xfId="34355" xr:uid="{00000000-0005-0000-0000-000049340000}"/>
    <cellStyle name="Normal 5 3 2 3 3 2 2 2 4" xfId="24498" xr:uid="{00000000-0005-0000-0000-00004A340000}"/>
    <cellStyle name="Normal 5 3 2 3 3 2 2 3" xfId="7244" xr:uid="{00000000-0005-0000-0000-00004B340000}"/>
    <cellStyle name="Normal 5 3 2 3 3 2 2 3 2" xfId="17104" xr:uid="{00000000-0005-0000-0000-00004C340000}"/>
    <cellStyle name="Normal 5 3 2 3 3 2 2 3 2 2" xfId="36819" xr:uid="{00000000-0005-0000-0000-00004D340000}"/>
    <cellStyle name="Normal 5 3 2 3 3 2 2 3 3" xfId="26962" xr:uid="{00000000-0005-0000-0000-00004E340000}"/>
    <cellStyle name="Normal 5 3 2 3 3 2 2 4" xfId="12176" xr:uid="{00000000-0005-0000-0000-00004F340000}"/>
    <cellStyle name="Normal 5 3 2 3 3 2 2 4 2" xfId="31891" xr:uid="{00000000-0005-0000-0000-000050340000}"/>
    <cellStyle name="Normal 5 3 2 3 3 2 2 5" xfId="22034" xr:uid="{00000000-0005-0000-0000-000051340000}"/>
    <cellStyle name="Normal 5 3 2 3 3 2 3" xfId="3544" xr:uid="{00000000-0005-0000-0000-000052340000}"/>
    <cellStyle name="Normal 5 3 2 3 3 2 3 2" xfId="8476" xr:uid="{00000000-0005-0000-0000-000053340000}"/>
    <cellStyle name="Normal 5 3 2 3 3 2 3 2 2" xfId="18336" xr:uid="{00000000-0005-0000-0000-000054340000}"/>
    <cellStyle name="Normal 5 3 2 3 3 2 3 2 2 2" xfId="38051" xr:uid="{00000000-0005-0000-0000-000055340000}"/>
    <cellStyle name="Normal 5 3 2 3 3 2 3 2 3" xfId="28194" xr:uid="{00000000-0005-0000-0000-000056340000}"/>
    <cellStyle name="Normal 5 3 2 3 3 2 3 3" xfId="13408" xr:uid="{00000000-0005-0000-0000-000057340000}"/>
    <cellStyle name="Normal 5 3 2 3 3 2 3 3 2" xfId="33123" xr:uid="{00000000-0005-0000-0000-000058340000}"/>
    <cellStyle name="Normal 5 3 2 3 3 2 3 4" xfId="23266" xr:uid="{00000000-0005-0000-0000-000059340000}"/>
    <cellStyle name="Normal 5 3 2 3 3 2 4" xfId="6012" xr:uid="{00000000-0005-0000-0000-00005A340000}"/>
    <cellStyle name="Normal 5 3 2 3 3 2 4 2" xfId="15872" xr:uid="{00000000-0005-0000-0000-00005B340000}"/>
    <cellStyle name="Normal 5 3 2 3 3 2 4 2 2" xfId="35587" xr:uid="{00000000-0005-0000-0000-00005C340000}"/>
    <cellStyle name="Normal 5 3 2 3 3 2 4 3" xfId="25730" xr:uid="{00000000-0005-0000-0000-00005D340000}"/>
    <cellStyle name="Normal 5 3 2 3 3 2 5" xfId="10944" xr:uid="{00000000-0005-0000-0000-00005E340000}"/>
    <cellStyle name="Normal 5 3 2 3 3 2 5 2" xfId="30659" xr:uid="{00000000-0005-0000-0000-00005F340000}"/>
    <cellStyle name="Normal 5 3 2 3 3 2 6" xfId="20802" xr:uid="{00000000-0005-0000-0000-000060340000}"/>
    <cellStyle name="Normal 5 3 2 3 3 3" xfId="1693" xr:uid="{00000000-0005-0000-0000-000061340000}"/>
    <cellStyle name="Normal 5 3 2 3 3 3 2" xfId="4160" xr:uid="{00000000-0005-0000-0000-000062340000}"/>
    <cellStyle name="Normal 5 3 2 3 3 3 2 2" xfId="9092" xr:uid="{00000000-0005-0000-0000-000063340000}"/>
    <cellStyle name="Normal 5 3 2 3 3 3 2 2 2" xfId="18952" xr:uid="{00000000-0005-0000-0000-000064340000}"/>
    <cellStyle name="Normal 5 3 2 3 3 3 2 2 2 2" xfId="38667" xr:uid="{00000000-0005-0000-0000-000065340000}"/>
    <cellStyle name="Normal 5 3 2 3 3 3 2 2 3" xfId="28810" xr:uid="{00000000-0005-0000-0000-000066340000}"/>
    <cellStyle name="Normal 5 3 2 3 3 3 2 3" xfId="14024" xr:uid="{00000000-0005-0000-0000-000067340000}"/>
    <cellStyle name="Normal 5 3 2 3 3 3 2 3 2" xfId="33739" xr:uid="{00000000-0005-0000-0000-000068340000}"/>
    <cellStyle name="Normal 5 3 2 3 3 3 2 4" xfId="23882" xr:uid="{00000000-0005-0000-0000-000069340000}"/>
    <cellStyle name="Normal 5 3 2 3 3 3 3" xfId="6628" xr:uid="{00000000-0005-0000-0000-00006A340000}"/>
    <cellStyle name="Normal 5 3 2 3 3 3 3 2" xfId="16488" xr:uid="{00000000-0005-0000-0000-00006B340000}"/>
    <cellStyle name="Normal 5 3 2 3 3 3 3 2 2" xfId="36203" xr:uid="{00000000-0005-0000-0000-00006C340000}"/>
    <cellStyle name="Normal 5 3 2 3 3 3 3 3" xfId="26346" xr:uid="{00000000-0005-0000-0000-00006D340000}"/>
    <cellStyle name="Normal 5 3 2 3 3 3 4" xfId="11560" xr:uid="{00000000-0005-0000-0000-00006E340000}"/>
    <cellStyle name="Normal 5 3 2 3 3 3 4 2" xfId="31275" xr:uid="{00000000-0005-0000-0000-00006F340000}"/>
    <cellStyle name="Normal 5 3 2 3 3 3 5" xfId="21418" xr:uid="{00000000-0005-0000-0000-000070340000}"/>
    <cellStyle name="Normal 5 3 2 3 3 4" xfId="2928" xr:uid="{00000000-0005-0000-0000-000071340000}"/>
    <cellStyle name="Normal 5 3 2 3 3 4 2" xfId="7860" xr:uid="{00000000-0005-0000-0000-000072340000}"/>
    <cellStyle name="Normal 5 3 2 3 3 4 2 2" xfId="17720" xr:uid="{00000000-0005-0000-0000-000073340000}"/>
    <cellStyle name="Normal 5 3 2 3 3 4 2 2 2" xfId="37435" xr:uid="{00000000-0005-0000-0000-000074340000}"/>
    <cellStyle name="Normal 5 3 2 3 3 4 2 3" xfId="27578" xr:uid="{00000000-0005-0000-0000-000075340000}"/>
    <cellStyle name="Normal 5 3 2 3 3 4 3" xfId="12792" xr:uid="{00000000-0005-0000-0000-000076340000}"/>
    <cellStyle name="Normal 5 3 2 3 3 4 3 2" xfId="32507" xr:uid="{00000000-0005-0000-0000-000077340000}"/>
    <cellStyle name="Normal 5 3 2 3 3 4 4" xfId="22650" xr:uid="{00000000-0005-0000-0000-000078340000}"/>
    <cellStyle name="Normal 5 3 2 3 3 5" xfId="5396" xr:uid="{00000000-0005-0000-0000-000079340000}"/>
    <cellStyle name="Normal 5 3 2 3 3 5 2" xfId="15256" xr:uid="{00000000-0005-0000-0000-00007A340000}"/>
    <cellStyle name="Normal 5 3 2 3 3 5 2 2" xfId="34971" xr:uid="{00000000-0005-0000-0000-00007B340000}"/>
    <cellStyle name="Normal 5 3 2 3 3 5 3" xfId="25114" xr:uid="{00000000-0005-0000-0000-00007C340000}"/>
    <cellStyle name="Normal 5 3 2 3 3 6" xfId="10328" xr:uid="{00000000-0005-0000-0000-00007D340000}"/>
    <cellStyle name="Normal 5 3 2 3 3 6 2" xfId="30043" xr:uid="{00000000-0005-0000-0000-00007E340000}"/>
    <cellStyle name="Normal 5 3 2 3 3 7" xfId="20186" xr:uid="{00000000-0005-0000-0000-00007F340000}"/>
    <cellStyle name="Normal 5 3 2 3 4" xfId="767" xr:uid="{00000000-0005-0000-0000-000080340000}"/>
    <cellStyle name="Normal 5 3 2 3 4 2" xfId="2003" xr:uid="{00000000-0005-0000-0000-000081340000}"/>
    <cellStyle name="Normal 5 3 2 3 4 2 2" xfId="4470" xr:uid="{00000000-0005-0000-0000-000082340000}"/>
    <cellStyle name="Normal 5 3 2 3 4 2 2 2" xfId="9402" xr:uid="{00000000-0005-0000-0000-000083340000}"/>
    <cellStyle name="Normal 5 3 2 3 4 2 2 2 2" xfId="19262" xr:uid="{00000000-0005-0000-0000-000084340000}"/>
    <cellStyle name="Normal 5 3 2 3 4 2 2 2 2 2" xfId="38977" xr:uid="{00000000-0005-0000-0000-000085340000}"/>
    <cellStyle name="Normal 5 3 2 3 4 2 2 2 3" xfId="29120" xr:uid="{00000000-0005-0000-0000-000086340000}"/>
    <cellStyle name="Normal 5 3 2 3 4 2 2 3" xfId="14334" xr:uid="{00000000-0005-0000-0000-000087340000}"/>
    <cellStyle name="Normal 5 3 2 3 4 2 2 3 2" xfId="34049" xr:uid="{00000000-0005-0000-0000-000088340000}"/>
    <cellStyle name="Normal 5 3 2 3 4 2 2 4" xfId="24192" xr:uid="{00000000-0005-0000-0000-000089340000}"/>
    <cellStyle name="Normal 5 3 2 3 4 2 3" xfId="6938" xr:uid="{00000000-0005-0000-0000-00008A340000}"/>
    <cellStyle name="Normal 5 3 2 3 4 2 3 2" xfId="16798" xr:uid="{00000000-0005-0000-0000-00008B340000}"/>
    <cellStyle name="Normal 5 3 2 3 4 2 3 2 2" xfId="36513" xr:uid="{00000000-0005-0000-0000-00008C340000}"/>
    <cellStyle name="Normal 5 3 2 3 4 2 3 3" xfId="26656" xr:uid="{00000000-0005-0000-0000-00008D340000}"/>
    <cellStyle name="Normal 5 3 2 3 4 2 4" xfId="11870" xr:uid="{00000000-0005-0000-0000-00008E340000}"/>
    <cellStyle name="Normal 5 3 2 3 4 2 4 2" xfId="31585" xr:uid="{00000000-0005-0000-0000-00008F340000}"/>
    <cellStyle name="Normal 5 3 2 3 4 2 5" xfId="21728" xr:uid="{00000000-0005-0000-0000-000090340000}"/>
    <cellStyle name="Normal 5 3 2 3 4 3" xfId="3238" xr:uid="{00000000-0005-0000-0000-000091340000}"/>
    <cellStyle name="Normal 5 3 2 3 4 3 2" xfId="8170" xr:uid="{00000000-0005-0000-0000-000092340000}"/>
    <cellStyle name="Normal 5 3 2 3 4 3 2 2" xfId="18030" xr:uid="{00000000-0005-0000-0000-000093340000}"/>
    <cellStyle name="Normal 5 3 2 3 4 3 2 2 2" xfId="37745" xr:uid="{00000000-0005-0000-0000-000094340000}"/>
    <cellStyle name="Normal 5 3 2 3 4 3 2 3" xfId="27888" xr:uid="{00000000-0005-0000-0000-000095340000}"/>
    <cellStyle name="Normal 5 3 2 3 4 3 3" xfId="13102" xr:uid="{00000000-0005-0000-0000-000096340000}"/>
    <cellStyle name="Normal 5 3 2 3 4 3 3 2" xfId="32817" xr:uid="{00000000-0005-0000-0000-000097340000}"/>
    <cellStyle name="Normal 5 3 2 3 4 3 4" xfId="22960" xr:uid="{00000000-0005-0000-0000-000098340000}"/>
    <cellStyle name="Normal 5 3 2 3 4 4" xfId="5706" xr:uid="{00000000-0005-0000-0000-000099340000}"/>
    <cellStyle name="Normal 5 3 2 3 4 4 2" xfId="15566" xr:uid="{00000000-0005-0000-0000-00009A340000}"/>
    <cellStyle name="Normal 5 3 2 3 4 4 2 2" xfId="35281" xr:uid="{00000000-0005-0000-0000-00009B340000}"/>
    <cellStyle name="Normal 5 3 2 3 4 4 3" xfId="25424" xr:uid="{00000000-0005-0000-0000-00009C340000}"/>
    <cellStyle name="Normal 5 3 2 3 4 5" xfId="10638" xr:uid="{00000000-0005-0000-0000-00009D340000}"/>
    <cellStyle name="Normal 5 3 2 3 4 5 2" xfId="30353" xr:uid="{00000000-0005-0000-0000-00009E340000}"/>
    <cellStyle name="Normal 5 3 2 3 4 6" xfId="20496" xr:uid="{00000000-0005-0000-0000-00009F340000}"/>
    <cellStyle name="Normal 5 3 2 3 5" xfId="1387" xr:uid="{00000000-0005-0000-0000-0000A0340000}"/>
    <cellStyle name="Normal 5 3 2 3 5 2" xfId="3854" xr:uid="{00000000-0005-0000-0000-0000A1340000}"/>
    <cellStyle name="Normal 5 3 2 3 5 2 2" xfId="8786" xr:uid="{00000000-0005-0000-0000-0000A2340000}"/>
    <cellStyle name="Normal 5 3 2 3 5 2 2 2" xfId="18646" xr:uid="{00000000-0005-0000-0000-0000A3340000}"/>
    <cellStyle name="Normal 5 3 2 3 5 2 2 2 2" xfId="38361" xr:uid="{00000000-0005-0000-0000-0000A4340000}"/>
    <cellStyle name="Normal 5 3 2 3 5 2 2 3" xfId="28504" xr:uid="{00000000-0005-0000-0000-0000A5340000}"/>
    <cellStyle name="Normal 5 3 2 3 5 2 3" xfId="13718" xr:uid="{00000000-0005-0000-0000-0000A6340000}"/>
    <cellStyle name="Normal 5 3 2 3 5 2 3 2" xfId="33433" xr:uid="{00000000-0005-0000-0000-0000A7340000}"/>
    <cellStyle name="Normal 5 3 2 3 5 2 4" xfId="23576" xr:uid="{00000000-0005-0000-0000-0000A8340000}"/>
    <cellStyle name="Normal 5 3 2 3 5 3" xfId="6322" xr:uid="{00000000-0005-0000-0000-0000A9340000}"/>
    <cellStyle name="Normal 5 3 2 3 5 3 2" xfId="16182" xr:uid="{00000000-0005-0000-0000-0000AA340000}"/>
    <cellStyle name="Normal 5 3 2 3 5 3 2 2" xfId="35897" xr:uid="{00000000-0005-0000-0000-0000AB340000}"/>
    <cellStyle name="Normal 5 3 2 3 5 3 3" xfId="26040" xr:uid="{00000000-0005-0000-0000-0000AC340000}"/>
    <cellStyle name="Normal 5 3 2 3 5 4" xfId="11254" xr:uid="{00000000-0005-0000-0000-0000AD340000}"/>
    <cellStyle name="Normal 5 3 2 3 5 4 2" xfId="30969" xr:uid="{00000000-0005-0000-0000-0000AE340000}"/>
    <cellStyle name="Normal 5 3 2 3 5 5" xfId="21112" xr:uid="{00000000-0005-0000-0000-0000AF340000}"/>
    <cellStyle name="Normal 5 3 2 3 6" xfId="2622" xr:uid="{00000000-0005-0000-0000-0000B0340000}"/>
    <cellStyle name="Normal 5 3 2 3 6 2" xfId="7554" xr:uid="{00000000-0005-0000-0000-0000B1340000}"/>
    <cellStyle name="Normal 5 3 2 3 6 2 2" xfId="17414" xr:uid="{00000000-0005-0000-0000-0000B2340000}"/>
    <cellStyle name="Normal 5 3 2 3 6 2 2 2" xfId="37129" xr:uid="{00000000-0005-0000-0000-0000B3340000}"/>
    <cellStyle name="Normal 5 3 2 3 6 2 3" xfId="27272" xr:uid="{00000000-0005-0000-0000-0000B4340000}"/>
    <cellStyle name="Normal 5 3 2 3 6 3" xfId="12486" xr:uid="{00000000-0005-0000-0000-0000B5340000}"/>
    <cellStyle name="Normal 5 3 2 3 6 3 2" xfId="32201" xr:uid="{00000000-0005-0000-0000-0000B6340000}"/>
    <cellStyle name="Normal 5 3 2 3 6 4" xfId="22344" xr:uid="{00000000-0005-0000-0000-0000B7340000}"/>
    <cellStyle name="Normal 5 3 2 3 7" xfId="5090" xr:uid="{00000000-0005-0000-0000-0000B8340000}"/>
    <cellStyle name="Normal 5 3 2 3 7 2" xfId="14950" xr:uid="{00000000-0005-0000-0000-0000B9340000}"/>
    <cellStyle name="Normal 5 3 2 3 7 2 2" xfId="34665" xr:uid="{00000000-0005-0000-0000-0000BA340000}"/>
    <cellStyle name="Normal 5 3 2 3 7 3" xfId="24808" xr:uid="{00000000-0005-0000-0000-0000BB340000}"/>
    <cellStyle name="Normal 5 3 2 3 8" xfId="10022" xr:uid="{00000000-0005-0000-0000-0000BC340000}"/>
    <cellStyle name="Normal 5 3 2 3 8 2" xfId="29737" xr:uid="{00000000-0005-0000-0000-0000BD340000}"/>
    <cellStyle name="Normal 5 3 2 3 9" xfId="19880" xr:uid="{00000000-0005-0000-0000-0000BE340000}"/>
    <cellStyle name="Normal 5 3 2 4" xfId="216" xr:uid="{00000000-0005-0000-0000-0000BF340000}"/>
    <cellStyle name="Normal 5 3 2 4 2" xfId="530" xr:uid="{00000000-0005-0000-0000-0000C0340000}"/>
    <cellStyle name="Normal 5 3 2 4 2 2" xfId="1150" xr:uid="{00000000-0005-0000-0000-0000C1340000}"/>
    <cellStyle name="Normal 5 3 2 4 2 2 2" xfId="2385" xr:uid="{00000000-0005-0000-0000-0000C2340000}"/>
    <cellStyle name="Normal 5 3 2 4 2 2 2 2" xfId="4852" xr:uid="{00000000-0005-0000-0000-0000C3340000}"/>
    <cellStyle name="Normal 5 3 2 4 2 2 2 2 2" xfId="9784" xr:uid="{00000000-0005-0000-0000-0000C4340000}"/>
    <cellStyle name="Normal 5 3 2 4 2 2 2 2 2 2" xfId="19644" xr:uid="{00000000-0005-0000-0000-0000C5340000}"/>
    <cellStyle name="Normal 5 3 2 4 2 2 2 2 2 2 2" xfId="39359" xr:uid="{00000000-0005-0000-0000-0000C6340000}"/>
    <cellStyle name="Normal 5 3 2 4 2 2 2 2 2 3" xfId="29502" xr:uid="{00000000-0005-0000-0000-0000C7340000}"/>
    <cellStyle name="Normal 5 3 2 4 2 2 2 2 3" xfId="14716" xr:uid="{00000000-0005-0000-0000-0000C8340000}"/>
    <cellStyle name="Normal 5 3 2 4 2 2 2 2 3 2" xfId="34431" xr:uid="{00000000-0005-0000-0000-0000C9340000}"/>
    <cellStyle name="Normal 5 3 2 4 2 2 2 2 4" xfId="24574" xr:uid="{00000000-0005-0000-0000-0000CA340000}"/>
    <cellStyle name="Normal 5 3 2 4 2 2 2 3" xfId="7320" xr:uid="{00000000-0005-0000-0000-0000CB340000}"/>
    <cellStyle name="Normal 5 3 2 4 2 2 2 3 2" xfId="17180" xr:uid="{00000000-0005-0000-0000-0000CC340000}"/>
    <cellStyle name="Normal 5 3 2 4 2 2 2 3 2 2" xfId="36895" xr:uid="{00000000-0005-0000-0000-0000CD340000}"/>
    <cellStyle name="Normal 5 3 2 4 2 2 2 3 3" xfId="27038" xr:uid="{00000000-0005-0000-0000-0000CE340000}"/>
    <cellStyle name="Normal 5 3 2 4 2 2 2 4" xfId="12252" xr:uid="{00000000-0005-0000-0000-0000CF340000}"/>
    <cellStyle name="Normal 5 3 2 4 2 2 2 4 2" xfId="31967" xr:uid="{00000000-0005-0000-0000-0000D0340000}"/>
    <cellStyle name="Normal 5 3 2 4 2 2 2 5" xfId="22110" xr:uid="{00000000-0005-0000-0000-0000D1340000}"/>
    <cellStyle name="Normal 5 3 2 4 2 2 3" xfId="3620" xr:uid="{00000000-0005-0000-0000-0000D2340000}"/>
    <cellStyle name="Normal 5 3 2 4 2 2 3 2" xfId="8552" xr:uid="{00000000-0005-0000-0000-0000D3340000}"/>
    <cellStyle name="Normal 5 3 2 4 2 2 3 2 2" xfId="18412" xr:uid="{00000000-0005-0000-0000-0000D4340000}"/>
    <cellStyle name="Normal 5 3 2 4 2 2 3 2 2 2" xfId="38127" xr:uid="{00000000-0005-0000-0000-0000D5340000}"/>
    <cellStyle name="Normal 5 3 2 4 2 2 3 2 3" xfId="28270" xr:uid="{00000000-0005-0000-0000-0000D6340000}"/>
    <cellStyle name="Normal 5 3 2 4 2 2 3 3" xfId="13484" xr:uid="{00000000-0005-0000-0000-0000D7340000}"/>
    <cellStyle name="Normal 5 3 2 4 2 2 3 3 2" xfId="33199" xr:uid="{00000000-0005-0000-0000-0000D8340000}"/>
    <cellStyle name="Normal 5 3 2 4 2 2 3 4" xfId="23342" xr:uid="{00000000-0005-0000-0000-0000D9340000}"/>
    <cellStyle name="Normal 5 3 2 4 2 2 4" xfId="6088" xr:uid="{00000000-0005-0000-0000-0000DA340000}"/>
    <cellStyle name="Normal 5 3 2 4 2 2 4 2" xfId="15948" xr:uid="{00000000-0005-0000-0000-0000DB340000}"/>
    <cellStyle name="Normal 5 3 2 4 2 2 4 2 2" xfId="35663" xr:uid="{00000000-0005-0000-0000-0000DC340000}"/>
    <cellStyle name="Normal 5 3 2 4 2 2 4 3" xfId="25806" xr:uid="{00000000-0005-0000-0000-0000DD340000}"/>
    <cellStyle name="Normal 5 3 2 4 2 2 5" xfId="11020" xr:uid="{00000000-0005-0000-0000-0000DE340000}"/>
    <cellStyle name="Normal 5 3 2 4 2 2 5 2" xfId="30735" xr:uid="{00000000-0005-0000-0000-0000DF340000}"/>
    <cellStyle name="Normal 5 3 2 4 2 2 6" xfId="20878" xr:uid="{00000000-0005-0000-0000-0000E0340000}"/>
    <cellStyle name="Normal 5 3 2 4 2 3" xfId="1769" xr:uid="{00000000-0005-0000-0000-0000E1340000}"/>
    <cellStyle name="Normal 5 3 2 4 2 3 2" xfId="4236" xr:uid="{00000000-0005-0000-0000-0000E2340000}"/>
    <cellStyle name="Normal 5 3 2 4 2 3 2 2" xfId="9168" xr:uid="{00000000-0005-0000-0000-0000E3340000}"/>
    <cellStyle name="Normal 5 3 2 4 2 3 2 2 2" xfId="19028" xr:uid="{00000000-0005-0000-0000-0000E4340000}"/>
    <cellStyle name="Normal 5 3 2 4 2 3 2 2 2 2" xfId="38743" xr:uid="{00000000-0005-0000-0000-0000E5340000}"/>
    <cellStyle name="Normal 5 3 2 4 2 3 2 2 3" xfId="28886" xr:uid="{00000000-0005-0000-0000-0000E6340000}"/>
    <cellStyle name="Normal 5 3 2 4 2 3 2 3" xfId="14100" xr:uid="{00000000-0005-0000-0000-0000E7340000}"/>
    <cellStyle name="Normal 5 3 2 4 2 3 2 3 2" xfId="33815" xr:uid="{00000000-0005-0000-0000-0000E8340000}"/>
    <cellStyle name="Normal 5 3 2 4 2 3 2 4" xfId="23958" xr:uid="{00000000-0005-0000-0000-0000E9340000}"/>
    <cellStyle name="Normal 5 3 2 4 2 3 3" xfId="6704" xr:uid="{00000000-0005-0000-0000-0000EA340000}"/>
    <cellStyle name="Normal 5 3 2 4 2 3 3 2" xfId="16564" xr:uid="{00000000-0005-0000-0000-0000EB340000}"/>
    <cellStyle name="Normal 5 3 2 4 2 3 3 2 2" xfId="36279" xr:uid="{00000000-0005-0000-0000-0000EC340000}"/>
    <cellStyle name="Normal 5 3 2 4 2 3 3 3" xfId="26422" xr:uid="{00000000-0005-0000-0000-0000ED340000}"/>
    <cellStyle name="Normal 5 3 2 4 2 3 4" xfId="11636" xr:uid="{00000000-0005-0000-0000-0000EE340000}"/>
    <cellStyle name="Normal 5 3 2 4 2 3 4 2" xfId="31351" xr:uid="{00000000-0005-0000-0000-0000EF340000}"/>
    <cellStyle name="Normal 5 3 2 4 2 3 5" xfId="21494" xr:uid="{00000000-0005-0000-0000-0000F0340000}"/>
    <cellStyle name="Normal 5 3 2 4 2 4" xfId="3004" xr:uid="{00000000-0005-0000-0000-0000F1340000}"/>
    <cellStyle name="Normal 5 3 2 4 2 4 2" xfId="7936" xr:uid="{00000000-0005-0000-0000-0000F2340000}"/>
    <cellStyle name="Normal 5 3 2 4 2 4 2 2" xfId="17796" xr:uid="{00000000-0005-0000-0000-0000F3340000}"/>
    <cellStyle name="Normal 5 3 2 4 2 4 2 2 2" xfId="37511" xr:uid="{00000000-0005-0000-0000-0000F4340000}"/>
    <cellStyle name="Normal 5 3 2 4 2 4 2 3" xfId="27654" xr:uid="{00000000-0005-0000-0000-0000F5340000}"/>
    <cellStyle name="Normal 5 3 2 4 2 4 3" xfId="12868" xr:uid="{00000000-0005-0000-0000-0000F6340000}"/>
    <cellStyle name="Normal 5 3 2 4 2 4 3 2" xfId="32583" xr:uid="{00000000-0005-0000-0000-0000F7340000}"/>
    <cellStyle name="Normal 5 3 2 4 2 4 4" xfId="22726" xr:uid="{00000000-0005-0000-0000-0000F8340000}"/>
    <cellStyle name="Normal 5 3 2 4 2 5" xfId="5472" xr:uid="{00000000-0005-0000-0000-0000F9340000}"/>
    <cellStyle name="Normal 5 3 2 4 2 5 2" xfId="15332" xr:uid="{00000000-0005-0000-0000-0000FA340000}"/>
    <cellStyle name="Normal 5 3 2 4 2 5 2 2" xfId="35047" xr:uid="{00000000-0005-0000-0000-0000FB340000}"/>
    <cellStyle name="Normal 5 3 2 4 2 5 3" xfId="25190" xr:uid="{00000000-0005-0000-0000-0000FC340000}"/>
    <cellStyle name="Normal 5 3 2 4 2 6" xfId="10404" xr:uid="{00000000-0005-0000-0000-0000FD340000}"/>
    <cellStyle name="Normal 5 3 2 4 2 6 2" xfId="30119" xr:uid="{00000000-0005-0000-0000-0000FE340000}"/>
    <cellStyle name="Normal 5 3 2 4 2 7" xfId="20262" xr:uid="{00000000-0005-0000-0000-0000FF340000}"/>
    <cellStyle name="Normal 5 3 2 4 3" xfId="843" xr:uid="{00000000-0005-0000-0000-000000350000}"/>
    <cellStyle name="Normal 5 3 2 4 3 2" xfId="2079" xr:uid="{00000000-0005-0000-0000-000001350000}"/>
    <cellStyle name="Normal 5 3 2 4 3 2 2" xfId="4546" xr:uid="{00000000-0005-0000-0000-000002350000}"/>
    <cellStyle name="Normal 5 3 2 4 3 2 2 2" xfId="9478" xr:uid="{00000000-0005-0000-0000-000003350000}"/>
    <cellStyle name="Normal 5 3 2 4 3 2 2 2 2" xfId="19338" xr:uid="{00000000-0005-0000-0000-000004350000}"/>
    <cellStyle name="Normal 5 3 2 4 3 2 2 2 2 2" xfId="39053" xr:uid="{00000000-0005-0000-0000-000005350000}"/>
    <cellStyle name="Normal 5 3 2 4 3 2 2 2 3" xfId="29196" xr:uid="{00000000-0005-0000-0000-000006350000}"/>
    <cellStyle name="Normal 5 3 2 4 3 2 2 3" xfId="14410" xr:uid="{00000000-0005-0000-0000-000007350000}"/>
    <cellStyle name="Normal 5 3 2 4 3 2 2 3 2" xfId="34125" xr:uid="{00000000-0005-0000-0000-000008350000}"/>
    <cellStyle name="Normal 5 3 2 4 3 2 2 4" xfId="24268" xr:uid="{00000000-0005-0000-0000-000009350000}"/>
    <cellStyle name="Normal 5 3 2 4 3 2 3" xfId="7014" xr:uid="{00000000-0005-0000-0000-00000A350000}"/>
    <cellStyle name="Normal 5 3 2 4 3 2 3 2" xfId="16874" xr:uid="{00000000-0005-0000-0000-00000B350000}"/>
    <cellStyle name="Normal 5 3 2 4 3 2 3 2 2" xfId="36589" xr:uid="{00000000-0005-0000-0000-00000C350000}"/>
    <cellStyle name="Normal 5 3 2 4 3 2 3 3" xfId="26732" xr:uid="{00000000-0005-0000-0000-00000D350000}"/>
    <cellStyle name="Normal 5 3 2 4 3 2 4" xfId="11946" xr:uid="{00000000-0005-0000-0000-00000E350000}"/>
    <cellStyle name="Normal 5 3 2 4 3 2 4 2" xfId="31661" xr:uid="{00000000-0005-0000-0000-00000F350000}"/>
    <cellStyle name="Normal 5 3 2 4 3 2 5" xfId="21804" xr:uid="{00000000-0005-0000-0000-000010350000}"/>
    <cellStyle name="Normal 5 3 2 4 3 3" xfId="3314" xr:uid="{00000000-0005-0000-0000-000011350000}"/>
    <cellStyle name="Normal 5 3 2 4 3 3 2" xfId="8246" xr:uid="{00000000-0005-0000-0000-000012350000}"/>
    <cellStyle name="Normal 5 3 2 4 3 3 2 2" xfId="18106" xr:uid="{00000000-0005-0000-0000-000013350000}"/>
    <cellStyle name="Normal 5 3 2 4 3 3 2 2 2" xfId="37821" xr:uid="{00000000-0005-0000-0000-000014350000}"/>
    <cellStyle name="Normal 5 3 2 4 3 3 2 3" xfId="27964" xr:uid="{00000000-0005-0000-0000-000015350000}"/>
    <cellStyle name="Normal 5 3 2 4 3 3 3" xfId="13178" xr:uid="{00000000-0005-0000-0000-000016350000}"/>
    <cellStyle name="Normal 5 3 2 4 3 3 3 2" xfId="32893" xr:uid="{00000000-0005-0000-0000-000017350000}"/>
    <cellStyle name="Normal 5 3 2 4 3 3 4" xfId="23036" xr:uid="{00000000-0005-0000-0000-000018350000}"/>
    <cellStyle name="Normal 5 3 2 4 3 4" xfId="5782" xr:uid="{00000000-0005-0000-0000-000019350000}"/>
    <cellStyle name="Normal 5 3 2 4 3 4 2" xfId="15642" xr:uid="{00000000-0005-0000-0000-00001A350000}"/>
    <cellStyle name="Normal 5 3 2 4 3 4 2 2" xfId="35357" xr:uid="{00000000-0005-0000-0000-00001B350000}"/>
    <cellStyle name="Normal 5 3 2 4 3 4 3" xfId="25500" xr:uid="{00000000-0005-0000-0000-00001C350000}"/>
    <cellStyle name="Normal 5 3 2 4 3 5" xfId="10714" xr:uid="{00000000-0005-0000-0000-00001D350000}"/>
    <cellStyle name="Normal 5 3 2 4 3 5 2" xfId="30429" xr:uid="{00000000-0005-0000-0000-00001E350000}"/>
    <cellStyle name="Normal 5 3 2 4 3 6" xfId="20572" xr:uid="{00000000-0005-0000-0000-00001F350000}"/>
    <cellStyle name="Normal 5 3 2 4 4" xfId="1463" xr:uid="{00000000-0005-0000-0000-000020350000}"/>
    <cellStyle name="Normal 5 3 2 4 4 2" xfId="3930" xr:uid="{00000000-0005-0000-0000-000021350000}"/>
    <cellStyle name="Normal 5 3 2 4 4 2 2" xfId="8862" xr:uid="{00000000-0005-0000-0000-000022350000}"/>
    <cellStyle name="Normal 5 3 2 4 4 2 2 2" xfId="18722" xr:uid="{00000000-0005-0000-0000-000023350000}"/>
    <cellStyle name="Normal 5 3 2 4 4 2 2 2 2" xfId="38437" xr:uid="{00000000-0005-0000-0000-000024350000}"/>
    <cellStyle name="Normal 5 3 2 4 4 2 2 3" xfId="28580" xr:uid="{00000000-0005-0000-0000-000025350000}"/>
    <cellStyle name="Normal 5 3 2 4 4 2 3" xfId="13794" xr:uid="{00000000-0005-0000-0000-000026350000}"/>
    <cellStyle name="Normal 5 3 2 4 4 2 3 2" xfId="33509" xr:uid="{00000000-0005-0000-0000-000027350000}"/>
    <cellStyle name="Normal 5 3 2 4 4 2 4" xfId="23652" xr:uid="{00000000-0005-0000-0000-000028350000}"/>
    <cellStyle name="Normal 5 3 2 4 4 3" xfId="6398" xr:uid="{00000000-0005-0000-0000-000029350000}"/>
    <cellStyle name="Normal 5 3 2 4 4 3 2" xfId="16258" xr:uid="{00000000-0005-0000-0000-00002A350000}"/>
    <cellStyle name="Normal 5 3 2 4 4 3 2 2" xfId="35973" xr:uid="{00000000-0005-0000-0000-00002B350000}"/>
    <cellStyle name="Normal 5 3 2 4 4 3 3" xfId="26116" xr:uid="{00000000-0005-0000-0000-00002C350000}"/>
    <cellStyle name="Normal 5 3 2 4 4 4" xfId="11330" xr:uid="{00000000-0005-0000-0000-00002D350000}"/>
    <cellStyle name="Normal 5 3 2 4 4 4 2" xfId="31045" xr:uid="{00000000-0005-0000-0000-00002E350000}"/>
    <cellStyle name="Normal 5 3 2 4 4 5" xfId="21188" xr:uid="{00000000-0005-0000-0000-00002F350000}"/>
    <cellStyle name="Normal 5 3 2 4 5" xfId="2698" xr:uid="{00000000-0005-0000-0000-000030350000}"/>
    <cellStyle name="Normal 5 3 2 4 5 2" xfId="7630" xr:uid="{00000000-0005-0000-0000-000031350000}"/>
    <cellStyle name="Normal 5 3 2 4 5 2 2" xfId="17490" xr:uid="{00000000-0005-0000-0000-000032350000}"/>
    <cellStyle name="Normal 5 3 2 4 5 2 2 2" xfId="37205" xr:uid="{00000000-0005-0000-0000-000033350000}"/>
    <cellStyle name="Normal 5 3 2 4 5 2 3" xfId="27348" xr:uid="{00000000-0005-0000-0000-000034350000}"/>
    <cellStyle name="Normal 5 3 2 4 5 3" xfId="12562" xr:uid="{00000000-0005-0000-0000-000035350000}"/>
    <cellStyle name="Normal 5 3 2 4 5 3 2" xfId="32277" xr:uid="{00000000-0005-0000-0000-000036350000}"/>
    <cellStyle name="Normal 5 3 2 4 5 4" xfId="22420" xr:uid="{00000000-0005-0000-0000-000037350000}"/>
    <cellStyle name="Normal 5 3 2 4 6" xfId="5166" xr:uid="{00000000-0005-0000-0000-000038350000}"/>
    <cellStyle name="Normal 5 3 2 4 6 2" xfId="15026" xr:uid="{00000000-0005-0000-0000-000039350000}"/>
    <cellStyle name="Normal 5 3 2 4 6 2 2" xfId="34741" xr:uid="{00000000-0005-0000-0000-00003A350000}"/>
    <cellStyle name="Normal 5 3 2 4 6 3" xfId="24884" xr:uid="{00000000-0005-0000-0000-00003B350000}"/>
    <cellStyle name="Normal 5 3 2 4 7" xfId="10098" xr:uid="{00000000-0005-0000-0000-00003C350000}"/>
    <cellStyle name="Normal 5 3 2 4 7 2" xfId="29813" xr:uid="{00000000-0005-0000-0000-00003D350000}"/>
    <cellStyle name="Normal 5 3 2 4 8" xfId="19956" xr:uid="{00000000-0005-0000-0000-00003E350000}"/>
    <cellStyle name="Normal 5 3 2 5" xfId="378" xr:uid="{00000000-0005-0000-0000-00003F350000}"/>
    <cellStyle name="Normal 5 3 2 5 2" xfId="998" xr:uid="{00000000-0005-0000-0000-000040350000}"/>
    <cellStyle name="Normal 5 3 2 5 2 2" xfId="2233" xr:uid="{00000000-0005-0000-0000-000041350000}"/>
    <cellStyle name="Normal 5 3 2 5 2 2 2" xfId="4700" xr:uid="{00000000-0005-0000-0000-000042350000}"/>
    <cellStyle name="Normal 5 3 2 5 2 2 2 2" xfId="9632" xr:uid="{00000000-0005-0000-0000-000043350000}"/>
    <cellStyle name="Normal 5 3 2 5 2 2 2 2 2" xfId="19492" xr:uid="{00000000-0005-0000-0000-000044350000}"/>
    <cellStyle name="Normal 5 3 2 5 2 2 2 2 2 2" xfId="39207" xr:uid="{00000000-0005-0000-0000-000045350000}"/>
    <cellStyle name="Normal 5 3 2 5 2 2 2 2 3" xfId="29350" xr:uid="{00000000-0005-0000-0000-000046350000}"/>
    <cellStyle name="Normal 5 3 2 5 2 2 2 3" xfId="14564" xr:uid="{00000000-0005-0000-0000-000047350000}"/>
    <cellStyle name="Normal 5 3 2 5 2 2 2 3 2" xfId="34279" xr:uid="{00000000-0005-0000-0000-000048350000}"/>
    <cellStyle name="Normal 5 3 2 5 2 2 2 4" xfId="24422" xr:uid="{00000000-0005-0000-0000-000049350000}"/>
    <cellStyle name="Normal 5 3 2 5 2 2 3" xfId="7168" xr:uid="{00000000-0005-0000-0000-00004A350000}"/>
    <cellStyle name="Normal 5 3 2 5 2 2 3 2" xfId="17028" xr:uid="{00000000-0005-0000-0000-00004B350000}"/>
    <cellStyle name="Normal 5 3 2 5 2 2 3 2 2" xfId="36743" xr:uid="{00000000-0005-0000-0000-00004C350000}"/>
    <cellStyle name="Normal 5 3 2 5 2 2 3 3" xfId="26886" xr:uid="{00000000-0005-0000-0000-00004D350000}"/>
    <cellStyle name="Normal 5 3 2 5 2 2 4" xfId="12100" xr:uid="{00000000-0005-0000-0000-00004E350000}"/>
    <cellStyle name="Normal 5 3 2 5 2 2 4 2" xfId="31815" xr:uid="{00000000-0005-0000-0000-00004F350000}"/>
    <cellStyle name="Normal 5 3 2 5 2 2 5" xfId="21958" xr:uid="{00000000-0005-0000-0000-000050350000}"/>
    <cellStyle name="Normal 5 3 2 5 2 3" xfId="3468" xr:uid="{00000000-0005-0000-0000-000051350000}"/>
    <cellStyle name="Normal 5 3 2 5 2 3 2" xfId="8400" xr:uid="{00000000-0005-0000-0000-000052350000}"/>
    <cellStyle name="Normal 5 3 2 5 2 3 2 2" xfId="18260" xr:uid="{00000000-0005-0000-0000-000053350000}"/>
    <cellStyle name="Normal 5 3 2 5 2 3 2 2 2" xfId="37975" xr:uid="{00000000-0005-0000-0000-000054350000}"/>
    <cellStyle name="Normal 5 3 2 5 2 3 2 3" xfId="28118" xr:uid="{00000000-0005-0000-0000-000055350000}"/>
    <cellStyle name="Normal 5 3 2 5 2 3 3" xfId="13332" xr:uid="{00000000-0005-0000-0000-000056350000}"/>
    <cellStyle name="Normal 5 3 2 5 2 3 3 2" xfId="33047" xr:uid="{00000000-0005-0000-0000-000057350000}"/>
    <cellStyle name="Normal 5 3 2 5 2 3 4" xfId="23190" xr:uid="{00000000-0005-0000-0000-000058350000}"/>
    <cellStyle name="Normal 5 3 2 5 2 4" xfId="5936" xr:uid="{00000000-0005-0000-0000-000059350000}"/>
    <cellStyle name="Normal 5 3 2 5 2 4 2" xfId="15796" xr:uid="{00000000-0005-0000-0000-00005A350000}"/>
    <cellStyle name="Normal 5 3 2 5 2 4 2 2" xfId="35511" xr:uid="{00000000-0005-0000-0000-00005B350000}"/>
    <cellStyle name="Normal 5 3 2 5 2 4 3" xfId="25654" xr:uid="{00000000-0005-0000-0000-00005C350000}"/>
    <cellStyle name="Normal 5 3 2 5 2 5" xfId="10868" xr:uid="{00000000-0005-0000-0000-00005D350000}"/>
    <cellStyle name="Normal 5 3 2 5 2 5 2" xfId="30583" xr:uid="{00000000-0005-0000-0000-00005E350000}"/>
    <cellStyle name="Normal 5 3 2 5 2 6" xfId="20726" xr:uid="{00000000-0005-0000-0000-00005F350000}"/>
    <cellStyle name="Normal 5 3 2 5 3" xfId="1617" xr:uid="{00000000-0005-0000-0000-000060350000}"/>
    <cellStyle name="Normal 5 3 2 5 3 2" xfId="4084" xr:uid="{00000000-0005-0000-0000-000061350000}"/>
    <cellStyle name="Normal 5 3 2 5 3 2 2" xfId="9016" xr:uid="{00000000-0005-0000-0000-000062350000}"/>
    <cellStyle name="Normal 5 3 2 5 3 2 2 2" xfId="18876" xr:uid="{00000000-0005-0000-0000-000063350000}"/>
    <cellStyle name="Normal 5 3 2 5 3 2 2 2 2" xfId="38591" xr:uid="{00000000-0005-0000-0000-000064350000}"/>
    <cellStyle name="Normal 5 3 2 5 3 2 2 3" xfId="28734" xr:uid="{00000000-0005-0000-0000-000065350000}"/>
    <cellStyle name="Normal 5 3 2 5 3 2 3" xfId="13948" xr:uid="{00000000-0005-0000-0000-000066350000}"/>
    <cellStyle name="Normal 5 3 2 5 3 2 3 2" xfId="33663" xr:uid="{00000000-0005-0000-0000-000067350000}"/>
    <cellStyle name="Normal 5 3 2 5 3 2 4" xfId="23806" xr:uid="{00000000-0005-0000-0000-000068350000}"/>
    <cellStyle name="Normal 5 3 2 5 3 3" xfId="6552" xr:uid="{00000000-0005-0000-0000-000069350000}"/>
    <cellStyle name="Normal 5 3 2 5 3 3 2" xfId="16412" xr:uid="{00000000-0005-0000-0000-00006A350000}"/>
    <cellStyle name="Normal 5 3 2 5 3 3 2 2" xfId="36127" xr:uid="{00000000-0005-0000-0000-00006B350000}"/>
    <cellStyle name="Normal 5 3 2 5 3 3 3" xfId="26270" xr:uid="{00000000-0005-0000-0000-00006C350000}"/>
    <cellStyle name="Normal 5 3 2 5 3 4" xfId="11484" xr:uid="{00000000-0005-0000-0000-00006D350000}"/>
    <cellStyle name="Normal 5 3 2 5 3 4 2" xfId="31199" xr:uid="{00000000-0005-0000-0000-00006E350000}"/>
    <cellStyle name="Normal 5 3 2 5 3 5" xfId="21342" xr:uid="{00000000-0005-0000-0000-00006F350000}"/>
    <cellStyle name="Normal 5 3 2 5 4" xfId="2852" xr:uid="{00000000-0005-0000-0000-000070350000}"/>
    <cellStyle name="Normal 5 3 2 5 4 2" xfId="7784" xr:uid="{00000000-0005-0000-0000-000071350000}"/>
    <cellStyle name="Normal 5 3 2 5 4 2 2" xfId="17644" xr:uid="{00000000-0005-0000-0000-000072350000}"/>
    <cellStyle name="Normal 5 3 2 5 4 2 2 2" xfId="37359" xr:uid="{00000000-0005-0000-0000-000073350000}"/>
    <cellStyle name="Normal 5 3 2 5 4 2 3" xfId="27502" xr:uid="{00000000-0005-0000-0000-000074350000}"/>
    <cellStyle name="Normal 5 3 2 5 4 3" xfId="12716" xr:uid="{00000000-0005-0000-0000-000075350000}"/>
    <cellStyle name="Normal 5 3 2 5 4 3 2" xfId="32431" xr:uid="{00000000-0005-0000-0000-000076350000}"/>
    <cellStyle name="Normal 5 3 2 5 4 4" xfId="22574" xr:uid="{00000000-0005-0000-0000-000077350000}"/>
    <cellStyle name="Normal 5 3 2 5 5" xfId="5320" xr:uid="{00000000-0005-0000-0000-000078350000}"/>
    <cellStyle name="Normal 5 3 2 5 5 2" xfId="15180" xr:uid="{00000000-0005-0000-0000-000079350000}"/>
    <cellStyle name="Normal 5 3 2 5 5 2 2" xfId="34895" xr:uid="{00000000-0005-0000-0000-00007A350000}"/>
    <cellStyle name="Normal 5 3 2 5 5 3" xfId="25038" xr:uid="{00000000-0005-0000-0000-00007B350000}"/>
    <cellStyle name="Normal 5 3 2 5 6" xfId="10252" xr:uid="{00000000-0005-0000-0000-00007C350000}"/>
    <cellStyle name="Normal 5 3 2 5 6 2" xfId="29967" xr:uid="{00000000-0005-0000-0000-00007D350000}"/>
    <cellStyle name="Normal 5 3 2 5 7" xfId="20110" xr:uid="{00000000-0005-0000-0000-00007E350000}"/>
    <cellStyle name="Normal 5 3 2 6" xfId="691" xr:uid="{00000000-0005-0000-0000-00007F350000}"/>
    <cellStyle name="Normal 5 3 2 6 2" xfId="1927" xr:uid="{00000000-0005-0000-0000-000080350000}"/>
    <cellStyle name="Normal 5 3 2 6 2 2" xfId="4394" xr:uid="{00000000-0005-0000-0000-000081350000}"/>
    <cellStyle name="Normal 5 3 2 6 2 2 2" xfId="9326" xr:uid="{00000000-0005-0000-0000-000082350000}"/>
    <cellStyle name="Normal 5 3 2 6 2 2 2 2" xfId="19186" xr:uid="{00000000-0005-0000-0000-000083350000}"/>
    <cellStyle name="Normal 5 3 2 6 2 2 2 2 2" xfId="38901" xr:uid="{00000000-0005-0000-0000-000084350000}"/>
    <cellStyle name="Normal 5 3 2 6 2 2 2 3" xfId="29044" xr:uid="{00000000-0005-0000-0000-000085350000}"/>
    <cellStyle name="Normal 5 3 2 6 2 2 3" xfId="14258" xr:uid="{00000000-0005-0000-0000-000086350000}"/>
    <cellStyle name="Normal 5 3 2 6 2 2 3 2" xfId="33973" xr:uid="{00000000-0005-0000-0000-000087350000}"/>
    <cellStyle name="Normal 5 3 2 6 2 2 4" xfId="24116" xr:uid="{00000000-0005-0000-0000-000088350000}"/>
    <cellStyle name="Normal 5 3 2 6 2 3" xfId="6862" xr:uid="{00000000-0005-0000-0000-000089350000}"/>
    <cellStyle name="Normal 5 3 2 6 2 3 2" xfId="16722" xr:uid="{00000000-0005-0000-0000-00008A350000}"/>
    <cellStyle name="Normal 5 3 2 6 2 3 2 2" xfId="36437" xr:uid="{00000000-0005-0000-0000-00008B350000}"/>
    <cellStyle name="Normal 5 3 2 6 2 3 3" xfId="26580" xr:uid="{00000000-0005-0000-0000-00008C350000}"/>
    <cellStyle name="Normal 5 3 2 6 2 4" xfId="11794" xr:uid="{00000000-0005-0000-0000-00008D350000}"/>
    <cellStyle name="Normal 5 3 2 6 2 4 2" xfId="31509" xr:uid="{00000000-0005-0000-0000-00008E350000}"/>
    <cellStyle name="Normal 5 3 2 6 2 5" xfId="21652" xr:uid="{00000000-0005-0000-0000-00008F350000}"/>
    <cellStyle name="Normal 5 3 2 6 3" xfId="3162" xr:uid="{00000000-0005-0000-0000-000090350000}"/>
    <cellStyle name="Normal 5 3 2 6 3 2" xfId="8094" xr:uid="{00000000-0005-0000-0000-000091350000}"/>
    <cellStyle name="Normal 5 3 2 6 3 2 2" xfId="17954" xr:uid="{00000000-0005-0000-0000-000092350000}"/>
    <cellStyle name="Normal 5 3 2 6 3 2 2 2" xfId="37669" xr:uid="{00000000-0005-0000-0000-000093350000}"/>
    <cellStyle name="Normal 5 3 2 6 3 2 3" xfId="27812" xr:uid="{00000000-0005-0000-0000-000094350000}"/>
    <cellStyle name="Normal 5 3 2 6 3 3" xfId="13026" xr:uid="{00000000-0005-0000-0000-000095350000}"/>
    <cellStyle name="Normal 5 3 2 6 3 3 2" xfId="32741" xr:uid="{00000000-0005-0000-0000-000096350000}"/>
    <cellStyle name="Normal 5 3 2 6 3 4" xfId="22884" xr:uid="{00000000-0005-0000-0000-000097350000}"/>
    <cellStyle name="Normal 5 3 2 6 4" xfId="5630" xr:uid="{00000000-0005-0000-0000-000098350000}"/>
    <cellStyle name="Normal 5 3 2 6 4 2" xfId="15490" xr:uid="{00000000-0005-0000-0000-000099350000}"/>
    <cellStyle name="Normal 5 3 2 6 4 2 2" xfId="35205" xr:uid="{00000000-0005-0000-0000-00009A350000}"/>
    <cellStyle name="Normal 5 3 2 6 4 3" xfId="25348" xr:uid="{00000000-0005-0000-0000-00009B350000}"/>
    <cellStyle name="Normal 5 3 2 6 5" xfId="10562" xr:uid="{00000000-0005-0000-0000-00009C350000}"/>
    <cellStyle name="Normal 5 3 2 6 5 2" xfId="30277" xr:uid="{00000000-0005-0000-0000-00009D350000}"/>
    <cellStyle name="Normal 5 3 2 6 6" xfId="20420" xr:uid="{00000000-0005-0000-0000-00009E350000}"/>
    <cellStyle name="Normal 5 3 2 7" xfId="1311" xr:uid="{00000000-0005-0000-0000-00009F350000}"/>
    <cellStyle name="Normal 5 3 2 7 2" xfId="3778" xr:uid="{00000000-0005-0000-0000-0000A0350000}"/>
    <cellStyle name="Normal 5 3 2 7 2 2" xfId="8710" xr:uid="{00000000-0005-0000-0000-0000A1350000}"/>
    <cellStyle name="Normal 5 3 2 7 2 2 2" xfId="18570" xr:uid="{00000000-0005-0000-0000-0000A2350000}"/>
    <cellStyle name="Normal 5 3 2 7 2 2 2 2" xfId="38285" xr:uid="{00000000-0005-0000-0000-0000A3350000}"/>
    <cellStyle name="Normal 5 3 2 7 2 2 3" xfId="28428" xr:uid="{00000000-0005-0000-0000-0000A4350000}"/>
    <cellStyle name="Normal 5 3 2 7 2 3" xfId="13642" xr:uid="{00000000-0005-0000-0000-0000A5350000}"/>
    <cellStyle name="Normal 5 3 2 7 2 3 2" xfId="33357" xr:uid="{00000000-0005-0000-0000-0000A6350000}"/>
    <cellStyle name="Normal 5 3 2 7 2 4" xfId="23500" xr:uid="{00000000-0005-0000-0000-0000A7350000}"/>
    <cellStyle name="Normal 5 3 2 7 3" xfId="6246" xr:uid="{00000000-0005-0000-0000-0000A8350000}"/>
    <cellStyle name="Normal 5 3 2 7 3 2" xfId="16106" xr:uid="{00000000-0005-0000-0000-0000A9350000}"/>
    <cellStyle name="Normal 5 3 2 7 3 2 2" xfId="35821" xr:uid="{00000000-0005-0000-0000-0000AA350000}"/>
    <cellStyle name="Normal 5 3 2 7 3 3" xfId="25964" xr:uid="{00000000-0005-0000-0000-0000AB350000}"/>
    <cellStyle name="Normal 5 3 2 7 4" xfId="11178" xr:uid="{00000000-0005-0000-0000-0000AC350000}"/>
    <cellStyle name="Normal 5 3 2 7 4 2" xfId="30893" xr:uid="{00000000-0005-0000-0000-0000AD350000}"/>
    <cellStyle name="Normal 5 3 2 7 5" xfId="21036" xr:uid="{00000000-0005-0000-0000-0000AE350000}"/>
    <cellStyle name="Normal 5 3 2 8" xfId="2546" xr:uid="{00000000-0005-0000-0000-0000AF350000}"/>
    <cellStyle name="Normal 5 3 2 8 2" xfId="7478" xr:uid="{00000000-0005-0000-0000-0000B0350000}"/>
    <cellStyle name="Normal 5 3 2 8 2 2" xfId="17338" xr:uid="{00000000-0005-0000-0000-0000B1350000}"/>
    <cellStyle name="Normal 5 3 2 8 2 2 2" xfId="37053" xr:uid="{00000000-0005-0000-0000-0000B2350000}"/>
    <cellStyle name="Normal 5 3 2 8 2 3" xfId="27196" xr:uid="{00000000-0005-0000-0000-0000B3350000}"/>
    <cellStyle name="Normal 5 3 2 8 3" xfId="12410" xr:uid="{00000000-0005-0000-0000-0000B4350000}"/>
    <cellStyle name="Normal 5 3 2 8 3 2" xfId="32125" xr:uid="{00000000-0005-0000-0000-0000B5350000}"/>
    <cellStyle name="Normal 5 3 2 8 4" xfId="22268" xr:uid="{00000000-0005-0000-0000-0000B6350000}"/>
    <cellStyle name="Normal 5 3 2 9" xfId="5014" xr:uid="{00000000-0005-0000-0000-0000B7350000}"/>
    <cellStyle name="Normal 5 3 2 9 2" xfId="14874" xr:uid="{00000000-0005-0000-0000-0000B8350000}"/>
    <cellStyle name="Normal 5 3 2 9 2 2" xfId="34589" xr:uid="{00000000-0005-0000-0000-0000B9350000}"/>
    <cellStyle name="Normal 5 3 2 9 3" xfId="24732" xr:uid="{00000000-0005-0000-0000-0000BA350000}"/>
    <cellStyle name="Normal 5 3 3" xfId="73" xr:uid="{00000000-0005-0000-0000-0000BB350000}"/>
    <cellStyle name="Normal 5 3 3 10" xfId="19823" xr:uid="{00000000-0005-0000-0000-0000BC350000}"/>
    <cellStyle name="Normal 5 3 3 2" xfId="154" xr:uid="{00000000-0005-0000-0000-0000BD350000}"/>
    <cellStyle name="Normal 5 3 3 2 2" xfId="311" xr:uid="{00000000-0005-0000-0000-0000BE350000}"/>
    <cellStyle name="Normal 5 3 3 2 2 2" xfId="625" xr:uid="{00000000-0005-0000-0000-0000BF350000}"/>
    <cellStyle name="Normal 5 3 3 2 2 2 2" xfId="1245" xr:uid="{00000000-0005-0000-0000-0000C0350000}"/>
    <cellStyle name="Normal 5 3 3 2 2 2 2 2" xfId="2480" xr:uid="{00000000-0005-0000-0000-0000C1350000}"/>
    <cellStyle name="Normal 5 3 3 2 2 2 2 2 2" xfId="4947" xr:uid="{00000000-0005-0000-0000-0000C2350000}"/>
    <cellStyle name="Normal 5 3 3 2 2 2 2 2 2 2" xfId="9879" xr:uid="{00000000-0005-0000-0000-0000C3350000}"/>
    <cellStyle name="Normal 5 3 3 2 2 2 2 2 2 2 2" xfId="19739" xr:uid="{00000000-0005-0000-0000-0000C4350000}"/>
    <cellStyle name="Normal 5 3 3 2 2 2 2 2 2 2 2 2" xfId="39454" xr:uid="{00000000-0005-0000-0000-0000C5350000}"/>
    <cellStyle name="Normal 5 3 3 2 2 2 2 2 2 2 3" xfId="29597" xr:uid="{00000000-0005-0000-0000-0000C6350000}"/>
    <cellStyle name="Normal 5 3 3 2 2 2 2 2 2 3" xfId="14811" xr:uid="{00000000-0005-0000-0000-0000C7350000}"/>
    <cellStyle name="Normal 5 3 3 2 2 2 2 2 2 3 2" xfId="34526" xr:uid="{00000000-0005-0000-0000-0000C8350000}"/>
    <cellStyle name="Normal 5 3 3 2 2 2 2 2 2 4" xfId="24669" xr:uid="{00000000-0005-0000-0000-0000C9350000}"/>
    <cellStyle name="Normal 5 3 3 2 2 2 2 2 3" xfId="7415" xr:uid="{00000000-0005-0000-0000-0000CA350000}"/>
    <cellStyle name="Normal 5 3 3 2 2 2 2 2 3 2" xfId="17275" xr:uid="{00000000-0005-0000-0000-0000CB350000}"/>
    <cellStyle name="Normal 5 3 3 2 2 2 2 2 3 2 2" xfId="36990" xr:uid="{00000000-0005-0000-0000-0000CC350000}"/>
    <cellStyle name="Normal 5 3 3 2 2 2 2 2 3 3" xfId="27133" xr:uid="{00000000-0005-0000-0000-0000CD350000}"/>
    <cellStyle name="Normal 5 3 3 2 2 2 2 2 4" xfId="12347" xr:uid="{00000000-0005-0000-0000-0000CE350000}"/>
    <cellStyle name="Normal 5 3 3 2 2 2 2 2 4 2" xfId="32062" xr:uid="{00000000-0005-0000-0000-0000CF350000}"/>
    <cellStyle name="Normal 5 3 3 2 2 2 2 2 5" xfId="22205" xr:uid="{00000000-0005-0000-0000-0000D0350000}"/>
    <cellStyle name="Normal 5 3 3 2 2 2 2 3" xfId="3715" xr:uid="{00000000-0005-0000-0000-0000D1350000}"/>
    <cellStyle name="Normal 5 3 3 2 2 2 2 3 2" xfId="8647" xr:uid="{00000000-0005-0000-0000-0000D2350000}"/>
    <cellStyle name="Normal 5 3 3 2 2 2 2 3 2 2" xfId="18507" xr:uid="{00000000-0005-0000-0000-0000D3350000}"/>
    <cellStyle name="Normal 5 3 3 2 2 2 2 3 2 2 2" xfId="38222" xr:uid="{00000000-0005-0000-0000-0000D4350000}"/>
    <cellStyle name="Normal 5 3 3 2 2 2 2 3 2 3" xfId="28365" xr:uid="{00000000-0005-0000-0000-0000D5350000}"/>
    <cellStyle name="Normal 5 3 3 2 2 2 2 3 3" xfId="13579" xr:uid="{00000000-0005-0000-0000-0000D6350000}"/>
    <cellStyle name="Normal 5 3 3 2 2 2 2 3 3 2" xfId="33294" xr:uid="{00000000-0005-0000-0000-0000D7350000}"/>
    <cellStyle name="Normal 5 3 3 2 2 2 2 3 4" xfId="23437" xr:uid="{00000000-0005-0000-0000-0000D8350000}"/>
    <cellStyle name="Normal 5 3 3 2 2 2 2 4" xfId="6183" xr:uid="{00000000-0005-0000-0000-0000D9350000}"/>
    <cellStyle name="Normal 5 3 3 2 2 2 2 4 2" xfId="16043" xr:uid="{00000000-0005-0000-0000-0000DA350000}"/>
    <cellStyle name="Normal 5 3 3 2 2 2 2 4 2 2" xfId="35758" xr:uid="{00000000-0005-0000-0000-0000DB350000}"/>
    <cellStyle name="Normal 5 3 3 2 2 2 2 4 3" xfId="25901" xr:uid="{00000000-0005-0000-0000-0000DC350000}"/>
    <cellStyle name="Normal 5 3 3 2 2 2 2 5" xfId="11115" xr:uid="{00000000-0005-0000-0000-0000DD350000}"/>
    <cellStyle name="Normal 5 3 3 2 2 2 2 5 2" xfId="30830" xr:uid="{00000000-0005-0000-0000-0000DE350000}"/>
    <cellStyle name="Normal 5 3 3 2 2 2 2 6" xfId="20973" xr:uid="{00000000-0005-0000-0000-0000DF350000}"/>
    <cellStyle name="Normal 5 3 3 2 2 2 3" xfId="1864" xr:uid="{00000000-0005-0000-0000-0000E0350000}"/>
    <cellStyle name="Normal 5 3 3 2 2 2 3 2" xfId="4331" xr:uid="{00000000-0005-0000-0000-0000E1350000}"/>
    <cellStyle name="Normal 5 3 3 2 2 2 3 2 2" xfId="9263" xr:uid="{00000000-0005-0000-0000-0000E2350000}"/>
    <cellStyle name="Normal 5 3 3 2 2 2 3 2 2 2" xfId="19123" xr:uid="{00000000-0005-0000-0000-0000E3350000}"/>
    <cellStyle name="Normal 5 3 3 2 2 2 3 2 2 2 2" xfId="38838" xr:uid="{00000000-0005-0000-0000-0000E4350000}"/>
    <cellStyle name="Normal 5 3 3 2 2 2 3 2 2 3" xfId="28981" xr:uid="{00000000-0005-0000-0000-0000E5350000}"/>
    <cellStyle name="Normal 5 3 3 2 2 2 3 2 3" xfId="14195" xr:uid="{00000000-0005-0000-0000-0000E6350000}"/>
    <cellStyle name="Normal 5 3 3 2 2 2 3 2 3 2" xfId="33910" xr:uid="{00000000-0005-0000-0000-0000E7350000}"/>
    <cellStyle name="Normal 5 3 3 2 2 2 3 2 4" xfId="24053" xr:uid="{00000000-0005-0000-0000-0000E8350000}"/>
    <cellStyle name="Normal 5 3 3 2 2 2 3 3" xfId="6799" xr:uid="{00000000-0005-0000-0000-0000E9350000}"/>
    <cellStyle name="Normal 5 3 3 2 2 2 3 3 2" xfId="16659" xr:uid="{00000000-0005-0000-0000-0000EA350000}"/>
    <cellStyle name="Normal 5 3 3 2 2 2 3 3 2 2" xfId="36374" xr:uid="{00000000-0005-0000-0000-0000EB350000}"/>
    <cellStyle name="Normal 5 3 3 2 2 2 3 3 3" xfId="26517" xr:uid="{00000000-0005-0000-0000-0000EC350000}"/>
    <cellStyle name="Normal 5 3 3 2 2 2 3 4" xfId="11731" xr:uid="{00000000-0005-0000-0000-0000ED350000}"/>
    <cellStyle name="Normal 5 3 3 2 2 2 3 4 2" xfId="31446" xr:uid="{00000000-0005-0000-0000-0000EE350000}"/>
    <cellStyle name="Normal 5 3 3 2 2 2 3 5" xfId="21589" xr:uid="{00000000-0005-0000-0000-0000EF350000}"/>
    <cellStyle name="Normal 5 3 3 2 2 2 4" xfId="3099" xr:uid="{00000000-0005-0000-0000-0000F0350000}"/>
    <cellStyle name="Normal 5 3 3 2 2 2 4 2" xfId="8031" xr:uid="{00000000-0005-0000-0000-0000F1350000}"/>
    <cellStyle name="Normal 5 3 3 2 2 2 4 2 2" xfId="17891" xr:uid="{00000000-0005-0000-0000-0000F2350000}"/>
    <cellStyle name="Normal 5 3 3 2 2 2 4 2 2 2" xfId="37606" xr:uid="{00000000-0005-0000-0000-0000F3350000}"/>
    <cellStyle name="Normal 5 3 3 2 2 2 4 2 3" xfId="27749" xr:uid="{00000000-0005-0000-0000-0000F4350000}"/>
    <cellStyle name="Normal 5 3 3 2 2 2 4 3" xfId="12963" xr:uid="{00000000-0005-0000-0000-0000F5350000}"/>
    <cellStyle name="Normal 5 3 3 2 2 2 4 3 2" xfId="32678" xr:uid="{00000000-0005-0000-0000-0000F6350000}"/>
    <cellStyle name="Normal 5 3 3 2 2 2 4 4" xfId="22821" xr:uid="{00000000-0005-0000-0000-0000F7350000}"/>
    <cellStyle name="Normal 5 3 3 2 2 2 5" xfId="5567" xr:uid="{00000000-0005-0000-0000-0000F8350000}"/>
    <cellStyle name="Normal 5 3 3 2 2 2 5 2" xfId="15427" xr:uid="{00000000-0005-0000-0000-0000F9350000}"/>
    <cellStyle name="Normal 5 3 3 2 2 2 5 2 2" xfId="35142" xr:uid="{00000000-0005-0000-0000-0000FA350000}"/>
    <cellStyle name="Normal 5 3 3 2 2 2 5 3" xfId="25285" xr:uid="{00000000-0005-0000-0000-0000FB350000}"/>
    <cellStyle name="Normal 5 3 3 2 2 2 6" xfId="10499" xr:uid="{00000000-0005-0000-0000-0000FC350000}"/>
    <cellStyle name="Normal 5 3 3 2 2 2 6 2" xfId="30214" xr:uid="{00000000-0005-0000-0000-0000FD350000}"/>
    <cellStyle name="Normal 5 3 3 2 2 2 7" xfId="20357" xr:uid="{00000000-0005-0000-0000-0000FE350000}"/>
    <cellStyle name="Normal 5 3 3 2 2 3" xfId="938" xr:uid="{00000000-0005-0000-0000-0000FF350000}"/>
    <cellStyle name="Normal 5 3 3 2 2 3 2" xfId="2174" xr:uid="{00000000-0005-0000-0000-000000360000}"/>
    <cellStyle name="Normal 5 3 3 2 2 3 2 2" xfId="4641" xr:uid="{00000000-0005-0000-0000-000001360000}"/>
    <cellStyle name="Normal 5 3 3 2 2 3 2 2 2" xfId="9573" xr:uid="{00000000-0005-0000-0000-000002360000}"/>
    <cellStyle name="Normal 5 3 3 2 2 3 2 2 2 2" xfId="19433" xr:uid="{00000000-0005-0000-0000-000003360000}"/>
    <cellStyle name="Normal 5 3 3 2 2 3 2 2 2 2 2" xfId="39148" xr:uid="{00000000-0005-0000-0000-000004360000}"/>
    <cellStyle name="Normal 5 3 3 2 2 3 2 2 2 3" xfId="29291" xr:uid="{00000000-0005-0000-0000-000005360000}"/>
    <cellStyle name="Normal 5 3 3 2 2 3 2 2 3" xfId="14505" xr:uid="{00000000-0005-0000-0000-000006360000}"/>
    <cellStyle name="Normal 5 3 3 2 2 3 2 2 3 2" xfId="34220" xr:uid="{00000000-0005-0000-0000-000007360000}"/>
    <cellStyle name="Normal 5 3 3 2 2 3 2 2 4" xfId="24363" xr:uid="{00000000-0005-0000-0000-000008360000}"/>
    <cellStyle name="Normal 5 3 3 2 2 3 2 3" xfId="7109" xr:uid="{00000000-0005-0000-0000-000009360000}"/>
    <cellStyle name="Normal 5 3 3 2 2 3 2 3 2" xfId="16969" xr:uid="{00000000-0005-0000-0000-00000A360000}"/>
    <cellStyle name="Normal 5 3 3 2 2 3 2 3 2 2" xfId="36684" xr:uid="{00000000-0005-0000-0000-00000B360000}"/>
    <cellStyle name="Normal 5 3 3 2 2 3 2 3 3" xfId="26827" xr:uid="{00000000-0005-0000-0000-00000C360000}"/>
    <cellStyle name="Normal 5 3 3 2 2 3 2 4" xfId="12041" xr:uid="{00000000-0005-0000-0000-00000D360000}"/>
    <cellStyle name="Normal 5 3 3 2 2 3 2 4 2" xfId="31756" xr:uid="{00000000-0005-0000-0000-00000E360000}"/>
    <cellStyle name="Normal 5 3 3 2 2 3 2 5" xfId="21899" xr:uid="{00000000-0005-0000-0000-00000F360000}"/>
    <cellStyle name="Normal 5 3 3 2 2 3 3" xfId="3409" xr:uid="{00000000-0005-0000-0000-000010360000}"/>
    <cellStyle name="Normal 5 3 3 2 2 3 3 2" xfId="8341" xr:uid="{00000000-0005-0000-0000-000011360000}"/>
    <cellStyle name="Normal 5 3 3 2 2 3 3 2 2" xfId="18201" xr:uid="{00000000-0005-0000-0000-000012360000}"/>
    <cellStyle name="Normal 5 3 3 2 2 3 3 2 2 2" xfId="37916" xr:uid="{00000000-0005-0000-0000-000013360000}"/>
    <cellStyle name="Normal 5 3 3 2 2 3 3 2 3" xfId="28059" xr:uid="{00000000-0005-0000-0000-000014360000}"/>
    <cellStyle name="Normal 5 3 3 2 2 3 3 3" xfId="13273" xr:uid="{00000000-0005-0000-0000-000015360000}"/>
    <cellStyle name="Normal 5 3 3 2 2 3 3 3 2" xfId="32988" xr:uid="{00000000-0005-0000-0000-000016360000}"/>
    <cellStyle name="Normal 5 3 3 2 2 3 3 4" xfId="23131" xr:uid="{00000000-0005-0000-0000-000017360000}"/>
    <cellStyle name="Normal 5 3 3 2 2 3 4" xfId="5877" xr:uid="{00000000-0005-0000-0000-000018360000}"/>
    <cellStyle name="Normal 5 3 3 2 2 3 4 2" xfId="15737" xr:uid="{00000000-0005-0000-0000-000019360000}"/>
    <cellStyle name="Normal 5 3 3 2 2 3 4 2 2" xfId="35452" xr:uid="{00000000-0005-0000-0000-00001A360000}"/>
    <cellStyle name="Normal 5 3 3 2 2 3 4 3" xfId="25595" xr:uid="{00000000-0005-0000-0000-00001B360000}"/>
    <cellStyle name="Normal 5 3 3 2 2 3 5" xfId="10809" xr:uid="{00000000-0005-0000-0000-00001C360000}"/>
    <cellStyle name="Normal 5 3 3 2 2 3 5 2" xfId="30524" xr:uid="{00000000-0005-0000-0000-00001D360000}"/>
    <cellStyle name="Normal 5 3 3 2 2 3 6" xfId="20667" xr:uid="{00000000-0005-0000-0000-00001E360000}"/>
    <cellStyle name="Normal 5 3 3 2 2 4" xfId="1558" xr:uid="{00000000-0005-0000-0000-00001F360000}"/>
    <cellStyle name="Normal 5 3 3 2 2 4 2" xfId="4025" xr:uid="{00000000-0005-0000-0000-000020360000}"/>
    <cellStyle name="Normal 5 3 3 2 2 4 2 2" xfId="8957" xr:uid="{00000000-0005-0000-0000-000021360000}"/>
    <cellStyle name="Normal 5 3 3 2 2 4 2 2 2" xfId="18817" xr:uid="{00000000-0005-0000-0000-000022360000}"/>
    <cellStyle name="Normal 5 3 3 2 2 4 2 2 2 2" xfId="38532" xr:uid="{00000000-0005-0000-0000-000023360000}"/>
    <cellStyle name="Normal 5 3 3 2 2 4 2 2 3" xfId="28675" xr:uid="{00000000-0005-0000-0000-000024360000}"/>
    <cellStyle name="Normal 5 3 3 2 2 4 2 3" xfId="13889" xr:uid="{00000000-0005-0000-0000-000025360000}"/>
    <cellStyle name="Normal 5 3 3 2 2 4 2 3 2" xfId="33604" xr:uid="{00000000-0005-0000-0000-000026360000}"/>
    <cellStyle name="Normal 5 3 3 2 2 4 2 4" xfId="23747" xr:uid="{00000000-0005-0000-0000-000027360000}"/>
    <cellStyle name="Normal 5 3 3 2 2 4 3" xfId="6493" xr:uid="{00000000-0005-0000-0000-000028360000}"/>
    <cellStyle name="Normal 5 3 3 2 2 4 3 2" xfId="16353" xr:uid="{00000000-0005-0000-0000-000029360000}"/>
    <cellStyle name="Normal 5 3 3 2 2 4 3 2 2" xfId="36068" xr:uid="{00000000-0005-0000-0000-00002A360000}"/>
    <cellStyle name="Normal 5 3 3 2 2 4 3 3" xfId="26211" xr:uid="{00000000-0005-0000-0000-00002B360000}"/>
    <cellStyle name="Normal 5 3 3 2 2 4 4" xfId="11425" xr:uid="{00000000-0005-0000-0000-00002C360000}"/>
    <cellStyle name="Normal 5 3 3 2 2 4 4 2" xfId="31140" xr:uid="{00000000-0005-0000-0000-00002D360000}"/>
    <cellStyle name="Normal 5 3 3 2 2 4 5" xfId="21283" xr:uid="{00000000-0005-0000-0000-00002E360000}"/>
    <cellStyle name="Normal 5 3 3 2 2 5" xfId="2793" xr:uid="{00000000-0005-0000-0000-00002F360000}"/>
    <cellStyle name="Normal 5 3 3 2 2 5 2" xfId="7725" xr:uid="{00000000-0005-0000-0000-000030360000}"/>
    <cellStyle name="Normal 5 3 3 2 2 5 2 2" xfId="17585" xr:uid="{00000000-0005-0000-0000-000031360000}"/>
    <cellStyle name="Normal 5 3 3 2 2 5 2 2 2" xfId="37300" xr:uid="{00000000-0005-0000-0000-000032360000}"/>
    <cellStyle name="Normal 5 3 3 2 2 5 2 3" xfId="27443" xr:uid="{00000000-0005-0000-0000-000033360000}"/>
    <cellStyle name="Normal 5 3 3 2 2 5 3" xfId="12657" xr:uid="{00000000-0005-0000-0000-000034360000}"/>
    <cellStyle name="Normal 5 3 3 2 2 5 3 2" xfId="32372" xr:uid="{00000000-0005-0000-0000-000035360000}"/>
    <cellStyle name="Normal 5 3 3 2 2 5 4" xfId="22515" xr:uid="{00000000-0005-0000-0000-000036360000}"/>
    <cellStyle name="Normal 5 3 3 2 2 6" xfId="5261" xr:uid="{00000000-0005-0000-0000-000037360000}"/>
    <cellStyle name="Normal 5 3 3 2 2 6 2" xfId="15121" xr:uid="{00000000-0005-0000-0000-000038360000}"/>
    <cellStyle name="Normal 5 3 3 2 2 6 2 2" xfId="34836" xr:uid="{00000000-0005-0000-0000-000039360000}"/>
    <cellStyle name="Normal 5 3 3 2 2 6 3" xfId="24979" xr:uid="{00000000-0005-0000-0000-00003A360000}"/>
    <cellStyle name="Normal 5 3 3 2 2 7" xfId="10193" xr:uid="{00000000-0005-0000-0000-00003B360000}"/>
    <cellStyle name="Normal 5 3 3 2 2 7 2" xfId="29908" xr:uid="{00000000-0005-0000-0000-00003C360000}"/>
    <cellStyle name="Normal 5 3 3 2 2 8" xfId="20051" xr:uid="{00000000-0005-0000-0000-00003D360000}"/>
    <cellStyle name="Normal 5 3 3 2 3" xfId="473" xr:uid="{00000000-0005-0000-0000-00003E360000}"/>
    <cellStyle name="Normal 5 3 3 2 3 2" xfId="1093" xr:uid="{00000000-0005-0000-0000-00003F360000}"/>
    <cellStyle name="Normal 5 3 3 2 3 2 2" xfId="2328" xr:uid="{00000000-0005-0000-0000-000040360000}"/>
    <cellStyle name="Normal 5 3 3 2 3 2 2 2" xfId="4795" xr:uid="{00000000-0005-0000-0000-000041360000}"/>
    <cellStyle name="Normal 5 3 3 2 3 2 2 2 2" xfId="9727" xr:uid="{00000000-0005-0000-0000-000042360000}"/>
    <cellStyle name="Normal 5 3 3 2 3 2 2 2 2 2" xfId="19587" xr:uid="{00000000-0005-0000-0000-000043360000}"/>
    <cellStyle name="Normal 5 3 3 2 3 2 2 2 2 2 2" xfId="39302" xr:uid="{00000000-0005-0000-0000-000044360000}"/>
    <cellStyle name="Normal 5 3 3 2 3 2 2 2 2 3" xfId="29445" xr:uid="{00000000-0005-0000-0000-000045360000}"/>
    <cellStyle name="Normal 5 3 3 2 3 2 2 2 3" xfId="14659" xr:uid="{00000000-0005-0000-0000-000046360000}"/>
    <cellStyle name="Normal 5 3 3 2 3 2 2 2 3 2" xfId="34374" xr:uid="{00000000-0005-0000-0000-000047360000}"/>
    <cellStyle name="Normal 5 3 3 2 3 2 2 2 4" xfId="24517" xr:uid="{00000000-0005-0000-0000-000048360000}"/>
    <cellStyle name="Normal 5 3 3 2 3 2 2 3" xfId="7263" xr:uid="{00000000-0005-0000-0000-000049360000}"/>
    <cellStyle name="Normal 5 3 3 2 3 2 2 3 2" xfId="17123" xr:uid="{00000000-0005-0000-0000-00004A360000}"/>
    <cellStyle name="Normal 5 3 3 2 3 2 2 3 2 2" xfId="36838" xr:uid="{00000000-0005-0000-0000-00004B360000}"/>
    <cellStyle name="Normal 5 3 3 2 3 2 2 3 3" xfId="26981" xr:uid="{00000000-0005-0000-0000-00004C360000}"/>
    <cellStyle name="Normal 5 3 3 2 3 2 2 4" xfId="12195" xr:uid="{00000000-0005-0000-0000-00004D360000}"/>
    <cellStyle name="Normal 5 3 3 2 3 2 2 4 2" xfId="31910" xr:uid="{00000000-0005-0000-0000-00004E360000}"/>
    <cellStyle name="Normal 5 3 3 2 3 2 2 5" xfId="22053" xr:uid="{00000000-0005-0000-0000-00004F360000}"/>
    <cellStyle name="Normal 5 3 3 2 3 2 3" xfId="3563" xr:uid="{00000000-0005-0000-0000-000050360000}"/>
    <cellStyle name="Normal 5 3 3 2 3 2 3 2" xfId="8495" xr:uid="{00000000-0005-0000-0000-000051360000}"/>
    <cellStyle name="Normal 5 3 3 2 3 2 3 2 2" xfId="18355" xr:uid="{00000000-0005-0000-0000-000052360000}"/>
    <cellStyle name="Normal 5 3 3 2 3 2 3 2 2 2" xfId="38070" xr:uid="{00000000-0005-0000-0000-000053360000}"/>
    <cellStyle name="Normal 5 3 3 2 3 2 3 2 3" xfId="28213" xr:uid="{00000000-0005-0000-0000-000054360000}"/>
    <cellStyle name="Normal 5 3 3 2 3 2 3 3" xfId="13427" xr:uid="{00000000-0005-0000-0000-000055360000}"/>
    <cellStyle name="Normal 5 3 3 2 3 2 3 3 2" xfId="33142" xr:uid="{00000000-0005-0000-0000-000056360000}"/>
    <cellStyle name="Normal 5 3 3 2 3 2 3 4" xfId="23285" xr:uid="{00000000-0005-0000-0000-000057360000}"/>
    <cellStyle name="Normal 5 3 3 2 3 2 4" xfId="6031" xr:uid="{00000000-0005-0000-0000-000058360000}"/>
    <cellStyle name="Normal 5 3 3 2 3 2 4 2" xfId="15891" xr:uid="{00000000-0005-0000-0000-000059360000}"/>
    <cellStyle name="Normal 5 3 3 2 3 2 4 2 2" xfId="35606" xr:uid="{00000000-0005-0000-0000-00005A360000}"/>
    <cellStyle name="Normal 5 3 3 2 3 2 4 3" xfId="25749" xr:uid="{00000000-0005-0000-0000-00005B360000}"/>
    <cellStyle name="Normal 5 3 3 2 3 2 5" xfId="10963" xr:uid="{00000000-0005-0000-0000-00005C360000}"/>
    <cellStyle name="Normal 5 3 3 2 3 2 5 2" xfId="30678" xr:uid="{00000000-0005-0000-0000-00005D360000}"/>
    <cellStyle name="Normal 5 3 3 2 3 2 6" xfId="20821" xr:uid="{00000000-0005-0000-0000-00005E360000}"/>
    <cellStyle name="Normal 5 3 3 2 3 3" xfId="1712" xr:uid="{00000000-0005-0000-0000-00005F360000}"/>
    <cellStyle name="Normal 5 3 3 2 3 3 2" xfId="4179" xr:uid="{00000000-0005-0000-0000-000060360000}"/>
    <cellStyle name="Normal 5 3 3 2 3 3 2 2" xfId="9111" xr:uid="{00000000-0005-0000-0000-000061360000}"/>
    <cellStyle name="Normal 5 3 3 2 3 3 2 2 2" xfId="18971" xr:uid="{00000000-0005-0000-0000-000062360000}"/>
    <cellStyle name="Normal 5 3 3 2 3 3 2 2 2 2" xfId="38686" xr:uid="{00000000-0005-0000-0000-000063360000}"/>
    <cellStyle name="Normal 5 3 3 2 3 3 2 2 3" xfId="28829" xr:uid="{00000000-0005-0000-0000-000064360000}"/>
    <cellStyle name="Normal 5 3 3 2 3 3 2 3" xfId="14043" xr:uid="{00000000-0005-0000-0000-000065360000}"/>
    <cellStyle name="Normal 5 3 3 2 3 3 2 3 2" xfId="33758" xr:uid="{00000000-0005-0000-0000-000066360000}"/>
    <cellStyle name="Normal 5 3 3 2 3 3 2 4" xfId="23901" xr:uid="{00000000-0005-0000-0000-000067360000}"/>
    <cellStyle name="Normal 5 3 3 2 3 3 3" xfId="6647" xr:uid="{00000000-0005-0000-0000-000068360000}"/>
    <cellStyle name="Normal 5 3 3 2 3 3 3 2" xfId="16507" xr:uid="{00000000-0005-0000-0000-000069360000}"/>
    <cellStyle name="Normal 5 3 3 2 3 3 3 2 2" xfId="36222" xr:uid="{00000000-0005-0000-0000-00006A360000}"/>
    <cellStyle name="Normal 5 3 3 2 3 3 3 3" xfId="26365" xr:uid="{00000000-0005-0000-0000-00006B360000}"/>
    <cellStyle name="Normal 5 3 3 2 3 3 4" xfId="11579" xr:uid="{00000000-0005-0000-0000-00006C360000}"/>
    <cellStyle name="Normal 5 3 3 2 3 3 4 2" xfId="31294" xr:uid="{00000000-0005-0000-0000-00006D360000}"/>
    <cellStyle name="Normal 5 3 3 2 3 3 5" xfId="21437" xr:uid="{00000000-0005-0000-0000-00006E360000}"/>
    <cellStyle name="Normal 5 3 3 2 3 4" xfId="2947" xr:uid="{00000000-0005-0000-0000-00006F360000}"/>
    <cellStyle name="Normal 5 3 3 2 3 4 2" xfId="7879" xr:uid="{00000000-0005-0000-0000-000070360000}"/>
    <cellStyle name="Normal 5 3 3 2 3 4 2 2" xfId="17739" xr:uid="{00000000-0005-0000-0000-000071360000}"/>
    <cellStyle name="Normal 5 3 3 2 3 4 2 2 2" xfId="37454" xr:uid="{00000000-0005-0000-0000-000072360000}"/>
    <cellStyle name="Normal 5 3 3 2 3 4 2 3" xfId="27597" xr:uid="{00000000-0005-0000-0000-000073360000}"/>
    <cellStyle name="Normal 5 3 3 2 3 4 3" xfId="12811" xr:uid="{00000000-0005-0000-0000-000074360000}"/>
    <cellStyle name="Normal 5 3 3 2 3 4 3 2" xfId="32526" xr:uid="{00000000-0005-0000-0000-000075360000}"/>
    <cellStyle name="Normal 5 3 3 2 3 4 4" xfId="22669" xr:uid="{00000000-0005-0000-0000-000076360000}"/>
    <cellStyle name="Normal 5 3 3 2 3 5" xfId="5415" xr:uid="{00000000-0005-0000-0000-000077360000}"/>
    <cellStyle name="Normal 5 3 3 2 3 5 2" xfId="15275" xr:uid="{00000000-0005-0000-0000-000078360000}"/>
    <cellStyle name="Normal 5 3 3 2 3 5 2 2" xfId="34990" xr:uid="{00000000-0005-0000-0000-000079360000}"/>
    <cellStyle name="Normal 5 3 3 2 3 5 3" xfId="25133" xr:uid="{00000000-0005-0000-0000-00007A360000}"/>
    <cellStyle name="Normal 5 3 3 2 3 6" xfId="10347" xr:uid="{00000000-0005-0000-0000-00007B360000}"/>
    <cellStyle name="Normal 5 3 3 2 3 6 2" xfId="30062" xr:uid="{00000000-0005-0000-0000-00007C360000}"/>
    <cellStyle name="Normal 5 3 3 2 3 7" xfId="20205" xr:uid="{00000000-0005-0000-0000-00007D360000}"/>
    <cellStyle name="Normal 5 3 3 2 4" xfId="786" xr:uid="{00000000-0005-0000-0000-00007E360000}"/>
    <cellStyle name="Normal 5 3 3 2 4 2" xfId="2022" xr:uid="{00000000-0005-0000-0000-00007F360000}"/>
    <cellStyle name="Normal 5 3 3 2 4 2 2" xfId="4489" xr:uid="{00000000-0005-0000-0000-000080360000}"/>
    <cellStyle name="Normal 5 3 3 2 4 2 2 2" xfId="9421" xr:uid="{00000000-0005-0000-0000-000081360000}"/>
    <cellStyle name="Normal 5 3 3 2 4 2 2 2 2" xfId="19281" xr:uid="{00000000-0005-0000-0000-000082360000}"/>
    <cellStyle name="Normal 5 3 3 2 4 2 2 2 2 2" xfId="38996" xr:uid="{00000000-0005-0000-0000-000083360000}"/>
    <cellStyle name="Normal 5 3 3 2 4 2 2 2 3" xfId="29139" xr:uid="{00000000-0005-0000-0000-000084360000}"/>
    <cellStyle name="Normal 5 3 3 2 4 2 2 3" xfId="14353" xr:uid="{00000000-0005-0000-0000-000085360000}"/>
    <cellStyle name="Normal 5 3 3 2 4 2 2 3 2" xfId="34068" xr:uid="{00000000-0005-0000-0000-000086360000}"/>
    <cellStyle name="Normal 5 3 3 2 4 2 2 4" xfId="24211" xr:uid="{00000000-0005-0000-0000-000087360000}"/>
    <cellStyle name="Normal 5 3 3 2 4 2 3" xfId="6957" xr:uid="{00000000-0005-0000-0000-000088360000}"/>
    <cellStyle name="Normal 5 3 3 2 4 2 3 2" xfId="16817" xr:uid="{00000000-0005-0000-0000-000089360000}"/>
    <cellStyle name="Normal 5 3 3 2 4 2 3 2 2" xfId="36532" xr:uid="{00000000-0005-0000-0000-00008A360000}"/>
    <cellStyle name="Normal 5 3 3 2 4 2 3 3" xfId="26675" xr:uid="{00000000-0005-0000-0000-00008B360000}"/>
    <cellStyle name="Normal 5 3 3 2 4 2 4" xfId="11889" xr:uid="{00000000-0005-0000-0000-00008C360000}"/>
    <cellStyle name="Normal 5 3 3 2 4 2 4 2" xfId="31604" xr:uid="{00000000-0005-0000-0000-00008D360000}"/>
    <cellStyle name="Normal 5 3 3 2 4 2 5" xfId="21747" xr:uid="{00000000-0005-0000-0000-00008E360000}"/>
    <cellStyle name="Normal 5 3 3 2 4 3" xfId="3257" xr:uid="{00000000-0005-0000-0000-00008F360000}"/>
    <cellStyle name="Normal 5 3 3 2 4 3 2" xfId="8189" xr:uid="{00000000-0005-0000-0000-000090360000}"/>
    <cellStyle name="Normal 5 3 3 2 4 3 2 2" xfId="18049" xr:uid="{00000000-0005-0000-0000-000091360000}"/>
    <cellStyle name="Normal 5 3 3 2 4 3 2 2 2" xfId="37764" xr:uid="{00000000-0005-0000-0000-000092360000}"/>
    <cellStyle name="Normal 5 3 3 2 4 3 2 3" xfId="27907" xr:uid="{00000000-0005-0000-0000-000093360000}"/>
    <cellStyle name="Normal 5 3 3 2 4 3 3" xfId="13121" xr:uid="{00000000-0005-0000-0000-000094360000}"/>
    <cellStyle name="Normal 5 3 3 2 4 3 3 2" xfId="32836" xr:uid="{00000000-0005-0000-0000-000095360000}"/>
    <cellStyle name="Normal 5 3 3 2 4 3 4" xfId="22979" xr:uid="{00000000-0005-0000-0000-000096360000}"/>
    <cellStyle name="Normal 5 3 3 2 4 4" xfId="5725" xr:uid="{00000000-0005-0000-0000-000097360000}"/>
    <cellStyle name="Normal 5 3 3 2 4 4 2" xfId="15585" xr:uid="{00000000-0005-0000-0000-000098360000}"/>
    <cellStyle name="Normal 5 3 3 2 4 4 2 2" xfId="35300" xr:uid="{00000000-0005-0000-0000-000099360000}"/>
    <cellStyle name="Normal 5 3 3 2 4 4 3" xfId="25443" xr:uid="{00000000-0005-0000-0000-00009A360000}"/>
    <cellStyle name="Normal 5 3 3 2 4 5" xfId="10657" xr:uid="{00000000-0005-0000-0000-00009B360000}"/>
    <cellStyle name="Normal 5 3 3 2 4 5 2" xfId="30372" xr:uid="{00000000-0005-0000-0000-00009C360000}"/>
    <cellStyle name="Normal 5 3 3 2 4 6" xfId="20515" xr:uid="{00000000-0005-0000-0000-00009D360000}"/>
    <cellStyle name="Normal 5 3 3 2 5" xfId="1406" xr:uid="{00000000-0005-0000-0000-00009E360000}"/>
    <cellStyle name="Normal 5 3 3 2 5 2" xfId="3873" xr:uid="{00000000-0005-0000-0000-00009F360000}"/>
    <cellStyle name="Normal 5 3 3 2 5 2 2" xfId="8805" xr:uid="{00000000-0005-0000-0000-0000A0360000}"/>
    <cellStyle name="Normal 5 3 3 2 5 2 2 2" xfId="18665" xr:uid="{00000000-0005-0000-0000-0000A1360000}"/>
    <cellStyle name="Normal 5 3 3 2 5 2 2 2 2" xfId="38380" xr:uid="{00000000-0005-0000-0000-0000A2360000}"/>
    <cellStyle name="Normal 5 3 3 2 5 2 2 3" xfId="28523" xr:uid="{00000000-0005-0000-0000-0000A3360000}"/>
    <cellStyle name="Normal 5 3 3 2 5 2 3" xfId="13737" xr:uid="{00000000-0005-0000-0000-0000A4360000}"/>
    <cellStyle name="Normal 5 3 3 2 5 2 3 2" xfId="33452" xr:uid="{00000000-0005-0000-0000-0000A5360000}"/>
    <cellStyle name="Normal 5 3 3 2 5 2 4" xfId="23595" xr:uid="{00000000-0005-0000-0000-0000A6360000}"/>
    <cellStyle name="Normal 5 3 3 2 5 3" xfId="6341" xr:uid="{00000000-0005-0000-0000-0000A7360000}"/>
    <cellStyle name="Normal 5 3 3 2 5 3 2" xfId="16201" xr:uid="{00000000-0005-0000-0000-0000A8360000}"/>
    <cellStyle name="Normal 5 3 3 2 5 3 2 2" xfId="35916" xr:uid="{00000000-0005-0000-0000-0000A9360000}"/>
    <cellStyle name="Normal 5 3 3 2 5 3 3" xfId="26059" xr:uid="{00000000-0005-0000-0000-0000AA360000}"/>
    <cellStyle name="Normal 5 3 3 2 5 4" xfId="11273" xr:uid="{00000000-0005-0000-0000-0000AB360000}"/>
    <cellStyle name="Normal 5 3 3 2 5 4 2" xfId="30988" xr:uid="{00000000-0005-0000-0000-0000AC360000}"/>
    <cellStyle name="Normal 5 3 3 2 5 5" xfId="21131" xr:uid="{00000000-0005-0000-0000-0000AD360000}"/>
    <cellStyle name="Normal 5 3 3 2 6" xfId="2641" xr:uid="{00000000-0005-0000-0000-0000AE360000}"/>
    <cellStyle name="Normal 5 3 3 2 6 2" xfId="7573" xr:uid="{00000000-0005-0000-0000-0000AF360000}"/>
    <cellStyle name="Normal 5 3 3 2 6 2 2" xfId="17433" xr:uid="{00000000-0005-0000-0000-0000B0360000}"/>
    <cellStyle name="Normal 5 3 3 2 6 2 2 2" xfId="37148" xr:uid="{00000000-0005-0000-0000-0000B1360000}"/>
    <cellStyle name="Normal 5 3 3 2 6 2 3" xfId="27291" xr:uid="{00000000-0005-0000-0000-0000B2360000}"/>
    <cellStyle name="Normal 5 3 3 2 6 3" xfId="12505" xr:uid="{00000000-0005-0000-0000-0000B3360000}"/>
    <cellStyle name="Normal 5 3 3 2 6 3 2" xfId="32220" xr:uid="{00000000-0005-0000-0000-0000B4360000}"/>
    <cellStyle name="Normal 5 3 3 2 6 4" xfId="22363" xr:uid="{00000000-0005-0000-0000-0000B5360000}"/>
    <cellStyle name="Normal 5 3 3 2 7" xfId="5109" xr:uid="{00000000-0005-0000-0000-0000B6360000}"/>
    <cellStyle name="Normal 5 3 3 2 7 2" xfId="14969" xr:uid="{00000000-0005-0000-0000-0000B7360000}"/>
    <cellStyle name="Normal 5 3 3 2 7 2 2" xfId="34684" xr:uid="{00000000-0005-0000-0000-0000B8360000}"/>
    <cellStyle name="Normal 5 3 3 2 7 3" xfId="24827" xr:uid="{00000000-0005-0000-0000-0000B9360000}"/>
    <cellStyle name="Normal 5 3 3 2 8" xfId="10041" xr:uid="{00000000-0005-0000-0000-0000BA360000}"/>
    <cellStyle name="Normal 5 3 3 2 8 2" xfId="29756" xr:uid="{00000000-0005-0000-0000-0000BB360000}"/>
    <cellStyle name="Normal 5 3 3 2 9" xfId="19899" xr:uid="{00000000-0005-0000-0000-0000BC360000}"/>
    <cellStyle name="Normal 5 3 3 3" xfId="235" xr:uid="{00000000-0005-0000-0000-0000BD360000}"/>
    <cellStyle name="Normal 5 3 3 3 2" xfId="549" xr:uid="{00000000-0005-0000-0000-0000BE360000}"/>
    <cellStyle name="Normal 5 3 3 3 2 2" xfId="1169" xr:uid="{00000000-0005-0000-0000-0000BF360000}"/>
    <cellStyle name="Normal 5 3 3 3 2 2 2" xfId="2404" xr:uid="{00000000-0005-0000-0000-0000C0360000}"/>
    <cellStyle name="Normal 5 3 3 3 2 2 2 2" xfId="4871" xr:uid="{00000000-0005-0000-0000-0000C1360000}"/>
    <cellStyle name="Normal 5 3 3 3 2 2 2 2 2" xfId="9803" xr:uid="{00000000-0005-0000-0000-0000C2360000}"/>
    <cellStyle name="Normal 5 3 3 3 2 2 2 2 2 2" xfId="19663" xr:uid="{00000000-0005-0000-0000-0000C3360000}"/>
    <cellStyle name="Normal 5 3 3 3 2 2 2 2 2 2 2" xfId="39378" xr:uid="{00000000-0005-0000-0000-0000C4360000}"/>
    <cellStyle name="Normal 5 3 3 3 2 2 2 2 2 3" xfId="29521" xr:uid="{00000000-0005-0000-0000-0000C5360000}"/>
    <cellStyle name="Normal 5 3 3 3 2 2 2 2 3" xfId="14735" xr:uid="{00000000-0005-0000-0000-0000C6360000}"/>
    <cellStyle name="Normal 5 3 3 3 2 2 2 2 3 2" xfId="34450" xr:uid="{00000000-0005-0000-0000-0000C7360000}"/>
    <cellStyle name="Normal 5 3 3 3 2 2 2 2 4" xfId="24593" xr:uid="{00000000-0005-0000-0000-0000C8360000}"/>
    <cellStyle name="Normal 5 3 3 3 2 2 2 3" xfId="7339" xr:uid="{00000000-0005-0000-0000-0000C9360000}"/>
    <cellStyle name="Normal 5 3 3 3 2 2 2 3 2" xfId="17199" xr:uid="{00000000-0005-0000-0000-0000CA360000}"/>
    <cellStyle name="Normal 5 3 3 3 2 2 2 3 2 2" xfId="36914" xr:uid="{00000000-0005-0000-0000-0000CB360000}"/>
    <cellStyle name="Normal 5 3 3 3 2 2 2 3 3" xfId="27057" xr:uid="{00000000-0005-0000-0000-0000CC360000}"/>
    <cellStyle name="Normal 5 3 3 3 2 2 2 4" xfId="12271" xr:uid="{00000000-0005-0000-0000-0000CD360000}"/>
    <cellStyle name="Normal 5 3 3 3 2 2 2 4 2" xfId="31986" xr:uid="{00000000-0005-0000-0000-0000CE360000}"/>
    <cellStyle name="Normal 5 3 3 3 2 2 2 5" xfId="22129" xr:uid="{00000000-0005-0000-0000-0000CF360000}"/>
    <cellStyle name="Normal 5 3 3 3 2 2 3" xfId="3639" xr:uid="{00000000-0005-0000-0000-0000D0360000}"/>
    <cellStyle name="Normal 5 3 3 3 2 2 3 2" xfId="8571" xr:uid="{00000000-0005-0000-0000-0000D1360000}"/>
    <cellStyle name="Normal 5 3 3 3 2 2 3 2 2" xfId="18431" xr:uid="{00000000-0005-0000-0000-0000D2360000}"/>
    <cellStyle name="Normal 5 3 3 3 2 2 3 2 2 2" xfId="38146" xr:uid="{00000000-0005-0000-0000-0000D3360000}"/>
    <cellStyle name="Normal 5 3 3 3 2 2 3 2 3" xfId="28289" xr:uid="{00000000-0005-0000-0000-0000D4360000}"/>
    <cellStyle name="Normal 5 3 3 3 2 2 3 3" xfId="13503" xr:uid="{00000000-0005-0000-0000-0000D5360000}"/>
    <cellStyle name="Normal 5 3 3 3 2 2 3 3 2" xfId="33218" xr:uid="{00000000-0005-0000-0000-0000D6360000}"/>
    <cellStyle name="Normal 5 3 3 3 2 2 3 4" xfId="23361" xr:uid="{00000000-0005-0000-0000-0000D7360000}"/>
    <cellStyle name="Normal 5 3 3 3 2 2 4" xfId="6107" xr:uid="{00000000-0005-0000-0000-0000D8360000}"/>
    <cellStyle name="Normal 5 3 3 3 2 2 4 2" xfId="15967" xr:uid="{00000000-0005-0000-0000-0000D9360000}"/>
    <cellStyle name="Normal 5 3 3 3 2 2 4 2 2" xfId="35682" xr:uid="{00000000-0005-0000-0000-0000DA360000}"/>
    <cellStyle name="Normal 5 3 3 3 2 2 4 3" xfId="25825" xr:uid="{00000000-0005-0000-0000-0000DB360000}"/>
    <cellStyle name="Normal 5 3 3 3 2 2 5" xfId="11039" xr:uid="{00000000-0005-0000-0000-0000DC360000}"/>
    <cellStyle name="Normal 5 3 3 3 2 2 5 2" xfId="30754" xr:uid="{00000000-0005-0000-0000-0000DD360000}"/>
    <cellStyle name="Normal 5 3 3 3 2 2 6" xfId="20897" xr:uid="{00000000-0005-0000-0000-0000DE360000}"/>
    <cellStyle name="Normal 5 3 3 3 2 3" xfId="1788" xr:uid="{00000000-0005-0000-0000-0000DF360000}"/>
    <cellStyle name="Normal 5 3 3 3 2 3 2" xfId="4255" xr:uid="{00000000-0005-0000-0000-0000E0360000}"/>
    <cellStyle name="Normal 5 3 3 3 2 3 2 2" xfId="9187" xr:uid="{00000000-0005-0000-0000-0000E1360000}"/>
    <cellStyle name="Normal 5 3 3 3 2 3 2 2 2" xfId="19047" xr:uid="{00000000-0005-0000-0000-0000E2360000}"/>
    <cellStyle name="Normal 5 3 3 3 2 3 2 2 2 2" xfId="38762" xr:uid="{00000000-0005-0000-0000-0000E3360000}"/>
    <cellStyle name="Normal 5 3 3 3 2 3 2 2 3" xfId="28905" xr:uid="{00000000-0005-0000-0000-0000E4360000}"/>
    <cellStyle name="Normal 5 3 3 3 2 3 2 3" xfId="14119" xr:uid="{00000000-0005-0000-0000-0000E5360000}"/>
    <cellStyle name="Normal 5 3 3 3 2 3 2 3 2" xfId="33834" xr:uid="{00000000-0005-0000-0000-0000E6360000}"/>
    <cellStyle name="Normal 5 3 3 3 2 3 2 4" xfId="23977" xr:uid="{00000000-0005-0000-0000-0000E7360000}"/>
    <cellStyle name="Normal 5 3 3 3 2 3 3" xfId="6723" xr:uid="{00000000-0005-0000-0000-0000E8360000}"/>
    <cellStyle name="Normal 5 3 3 3 2 3 3 2" xfId="16583" xr:uid="{00000000-0005-0000-0000-0000E9360000}"/>
    <cellStyle name="Normal 5 3 3 3 2 3 3 2 2" xfId="36298" xr:uid="{00000000-0005-0000-0000-0000EA360000}"/>
    <cellStyle name="Normal 5 3 3 3 2 3 3 3" xfId="26441" xr:uid="{00000000-0005-0000-0000-0000EB360000}"/>
    <cellStyle name="Normal 5 3 3 3 2 3 4" xfId="11655" xr:uid="{00000000-0005-0000-0000-0000EC360000}"/>
    <cellStyle name="Normal 5 3 3 3 2 3 4 2" xfId="31370" xr:uid="{00000000-0005-0000-0000-0000ED360000}"/>
    <cellStyle name="Normal 5 3 3 3 2 3 5" xfId="21513" xr:uid="{00000000-0005-0000-0000-0000EE360000}"/>
    <cellStyle name="Normal 5 3 3 3 2 4" xfId="3023" xr:uid="{00000000-0005-0000-0000-0000EF360000}"/>
    <cellStyle name="Normal 5 3 3 3 2 4 2" xfId="7955" xr:uid="{00000000-0005-0000-0000-0000F0360000}"/>
    <cellStyle name="Normal 5 3 3 3 2 4 2 2" xfId="17815" xr:uid="{00000000-0005-0000-0000-0000F1360000}"/>
    <cellStyle name="Normal 5 3 3 3 2 4 2 2 2" xfId="37530" xr:uid="{00000000-0005-0000-0000-0000F2360000}"/>
    <cellStyle name="Normal 5 3 3 3 2 4 2 3" xfId="27673" xr:uid="{00000000-0005-0000-0000-0000F3360000}"/>
    <cellStyle name="Normal 5 3 3 3 2 4 3" xfId="12887" xr:uid="{00000000-0005-0000-0000-0000F4360000}"/>
    <cellStyle name="Normal 5 3 3 3 2 4 3 2" xfId="32602" xr:uid="{00000000-0005-0000-0000-0000F5360000}"/>
    <cellStyle name="Normal 5 3 3 3 2 4 4" xfId="22745" xr:uid="{00000000-0005-0000-0000-0000F6360000}"/>
    <cellStyle name="Normal 5 3 3 3 2 5" xfId="5491" xr:uid="{00000000-0005-0000-0000-0000F7360000}"/>
    <cellStyle name="Normal 5 3 3 3 2 5 2" xfId="15351" xr:uid="{00000000-0005-0000-0000-0000F8360000}"/>
    <cellStyle name="Normal 5 3 3 3 2 5 2 2" xfId="35066" xr:uid="{00000000-0005-0000-0000-0000F9360000}"/>
    <cellStyle name="Normal 5 3 3 3 2 5 3" xfId="25209" xr:uid="{00000000-0005-0000-0000-0000FA360000}"/>
    <cellStyle name="Normal 5 3 3 3 2 6" xfId="10423" xr:uid="{00000000-0005-0000-0000-0000FB360000}"/>
    <cellStyle name="Normal 5 3 3 3 2 6 2" xfId="30138" xr:uid="{00000000-0005-0000-0000-0000FC360000}"/>
    <cellStyle name="Normal 5 3 3 3 2 7" xfId="20281" xr:uid="{00000000-0005-0000-0000-0000FD360000}"/>
    <cellStyle name="Normal 5 3 3 3 3" xfId="862" xr:uid="{00000000-0005-0000-0000-0000FE360000}"/>
    <cellStyle name="Normal 5 3 3 3 3 2" xfId="2098" xr:uid="{00000000-0005-0000-0000-0000FF360000}"/>
    <cellStyle name="Normal 5 3 3 3 3 2 2" xfId="4565" xr:uid="{00000000-0005-0000-0000-000000370000}"/>
    <cellStyle name="Normal 5 3 3 3 3 2 2 2" xfId="9497" xr:uid="{00000000-0005-0000-0000-000001370000}"/>
    <cellStyle name="Normal 5 3 3 3 3 2 2 2 2" xfId="19357" xr:uid="{00000000-0005-0000-0000-000002370000}"/>
    <cellStyle name="Normal 5 3 3 3 3 2 2 2 2 2" xfId="39072" xr:uid="{00000000-0005-0000-0000-000003370000}"/>
    <cellStyle name="Normal 5 3 3 3 3 2 2 2 3" xfId="29215" xr:uid="{00000000-0005-0000-0000-000004370000}"/>
    <cellStyle name="Normal 5 3 3 3 3 2 2 3" xfId="14429" xr:uid="{00000000-0005-0000-0000-000005370000}"/>
    <cellStyle name="Normal 5 3 3 3 3 2 2 3 2" xfId="34144" xr:uid="{00000000-0005-0000-0000-000006370000}"/>
    <cellStyle name="Normal 5 3 3 3 3 2 2 4" xfId="24287" xr:uid="{00000000-0005-0000-0000-000007370000}"/>
    <cellStyle name="Normal 5 3 3 3 3 2 3" xfId="7033" xr:uid="{00000000-0005-0000-0000-000008370000}"/>
    <cellStyle name="Normal 5 3 3 3 3 2 3 2" xfId="16893" xr:uid="{00000000-0005-0000-0000-000009370000}"/>
    <cellStyle name="Normal 5 3 3 3 3 2 3 2 2" xfId="36608" xr:uid="{00000000-0005-0000-0000-00000A370000}"/>
    <cellStyle name="Normal 5 3 3 3 3 2 3 3" xfId="26751" xr:uid="{00000000-0005-0000-0000-00000B370000}"/>
    <cellStyle name="Normal 5 3 3 3 3 2 4" xfId="11965" xr:uid="{00000000-0005-0000-0000-00000C370000}"/>
    <cellStyle name="Normal 5 3 3 3 3 2 4 2" xfId="31680" xr:uid="{00000000-0005-0000-0000-00000D370000}"/>
    <cellStyle name="Normal 5 3 3 3 3 2 5" xfId="21823" xr:uid="{00000000-0005-0000-0000-00000E370000}"/>
    <cellStyle name="Normal 5 3 3 3 3 3" xfId="3333" xr:uid="{00000000-0005-0000-0000-00000F370000}"/>
    <cellStyle name="Normal 5 3 3 3 3 3 2" xfId="8265" xr:uid="{00000000-0005-0000-0000-000010370000}"/>
    <cellStyle name="Normal 5 3 3 3 3 3 2 2" xfId="18125" xr:uid="{00000000-0005-0000-0000-000011370000}"/>
    <cellStyle name="Normal 5 3 3 3 3 3 2 2 2" xfId="37840" xr:uid="{00000000-0005-0000-0000-000012370000}"/>
    <cellStyle name="Normal 5 3 3 3 3 3 2 3" xfId="27983" xr:uid="{00000000-0005-0000-0000-000013370000}"/>
    <cellStyle name="Normal 5 3 3 3 3 3 3" xfId="13197" xr:uid="{00000000-0005-0000-0000-000014370000}"/>
    <cellStyle name="Normal 5 3 3 3 3 3 3 2" xfId="32912" xr:uid="{00000000-0005-0000-0000-000015370000}"/>
    <cellStyle name="Normal 5 3 3 3 3 3 4" xfId="23055" xr:uid="{00000000-0005-0000-0000-000016370000}"/>
    <cellStyle name="Normal 5 3 3 3 3 4" xfId="5801" xr:uid="{00000000-0005-0000-0000-000017370000}"/>
    <cellStyle name="Normal 5 3 3 3 3 4 2" xfId="15661" xr:uid="{00000000-0005-0000-0000-000018370000}"/>
    <cellStyle name="Normal 5 3 3 3 3 4 2 2" xfId="35376" xr:uid="{00000000-0005-0000-0000-000019370000}"/>
    <cellStyle name="Normal 5 3 3 3 3 4 3" xfId="25519" xr:uid="{00000000-0005-0000-0000-00001A370000}"/>
    <cellStyle name="Normal 5 3 3 3 3 5" xfId="10733" xr:uid="{00000000-0005-0000-0000-00001B370000}"/>
    <cellStyle name="Normal 5 3 3 3 3 5 2" xfId="30448" xr:uid="{00000000-0005-0000-0000-00001C370000}"/>
    <cellStyle name="Normal 5 3 3 3 3 6" xfId="20591" xr:uid="{00000000-0005-0000-0000-00001D370000}"/>
    <cellStyle name="Normal 5 3 3 3 4" xfId="1482" xr:uid="{00000000-0005-0000-0000-00001E370000}"/>
    <cellStyle name="Normal 5 3 3 3 4 2" xfId="3949" xr:uid="{00000000-0005-0000-0000-00001F370000}"/>
    <cellStyle name="Normal 5 3 3 3 4 2 2" xfId="8881" xr:uid="{00000000-0005-0000-0000-000020370000}"/>
    <cellStyle name="Normal 5 3 3 3 4 2 2 2" xfId="18741" xr:uid="{00000000-0005-0000-0000-000021370000}"/>
    <cellStyle name="Normal 5 3 3 3 4 2 2 2 2" xfId="38456" xr:uid="{00000000-0005-0000-0000-000022370000}"/>
    <cellStyle name="Normal 5 3 3 3 4 2 2 3" xfId="28599" xr:uid="{00000000-0005-0000-0000-000023370000}"/>
    <cellStyle name="Normal 5 3 3 3 4 2 3" xfId="13813" xr:uid="{00000000-0005-0000-0000-000024370000}"/>
    <cellStyle name="Normal 5 3 3 3 4 2 3 2" xfId="33528" xr:uid="{00000000-0005-0000-0000-000025370000}"/>
    <cellStyle name="Normal 5 3 3 3 4 2 4" xfId="23671" xr:uid="{00000000-0005-0000-0000-000026370000}"/>
    <cellStyle name="Normal 5 3 3 3 4 3" xfId="6417" xr:uid="{00000000-0005-0000-0000-000027370000}"/>
    <cellStyle name="Normal 5 3 3 3 4 3 2" xfId="16277" xr:uid="{00000000-0005-0000-0000-000028370000}"/>
    <cellStyle name="Normal 5 3 3 3 4 3 2 2" xfId="35992" xr:uid="{00000000-0005-0000-0000-000029370000}"/>
    <cellStyle name="Normal 5 3 3 3 4 3 3" xfId="26135" xr:uid="{00000000-0005-0000-0000-00002A370000}"/>
    <cellStyle name="Normal 5 3 3 3 4 4" xfId="11349" xr:uid="{00000000-0005-0000-0000-00002B370000}"/>
    <cellStyle name="Normal 5 3 3 3 4 4 2" xfId="31064" xr:uid="{00000000-0005-0000-0000-00002C370000}"/>
    <cellStyle name="Normal 5 3 3 3 4 5" xfId="21207" xr:uid="{00000000-0005-0000-0000-00002D370000}"/>
    <cellStyle name="Normal 5 3 3 3 5" xfId="2717" xr:uid="{00000000-0005-0000-0000-00002E370000}"/>
    <cellStyle name="Normal 5 3 3 3 5 2" xfId="7649" xr:uid="{00000000-0005-0000-0000-00002F370000}"/>
    <cellStyle name="Normal 5 3 3 3 5 2 2" xfId="17509" xr:uid="{00000000-0005-0000-0000-000030370000}"/>
    <cellStyle name="Normal 5 3 3 3 5 2 2 2" xfId="37224" xr:uid="{00000000-0005-0000-0000-000031370000}"/>
    <cellStyle name="Normal 5 3 3 3 5 2 3" xfId="27367" xr:uid="{00000000-0005-0000-0000-000032370000}"/>
    <cellStyle name="Normal 5 3 3 3 5 3" xfId="12581" xr:uid="{00000000-0005-0000-0000-000033370000}"/>
    <cellStyle name="Normal 5 3 3 3 5 3 2" xfId="32296" xr:uid="{00000000-0005-0000-0000-000034370000}"/>
    <cellStyle name="Normal 5 3 3 3 5 4" xfId="22439" xr:uid="{00000000-0005-0000-0000-000035370000}"/>
    <cellStyle name="Normal 5 3 3 3 6" xfId="5185" xr:uid="{00000000-0005-0000-0000-000036370000}"/>
    <cellStyle name="Normal 5 3 3 3 6 2" xfId="15045" xr:uid="{00000000-0005-0000-0000-000037370000}"/>
    <cellStyle name="Normal 5 3 3 3 6 2 2" xfId="34760" xr:uid="{00000000-0005-0000-0000-000038370000}"/>
    <cellStyle name="Normal 5 3 3 3 6 3" xfId="24903" xr:uid="{00000000-0005-0000-0000-000039370000}"/>
    <cellStyle name="Normal 5 3 3 3 7" xfId="10117" xr:uid="{00000000-0005-0000-0000-00003A370000}"/>
    <cellStyle name="Normal 5 3 3 3 7 2" xfId="29832" xr:uid="{00000000-0005-0000-0000-00003B370000}"/>
    <cellStyle name="Normal 5 3 3 3 8" xfId="19975" xr:uid="{00000000-0005-0000-0000-00003C370000}"/>
    <cellStyle name="Normal 5 3 3 4" xfId="397" xr:uid="{00000000-0005-0000-0000-00003D370000}"/>
    <cellStyle name="Normal 5 3 3 4 2" xfId="1017" xr:uid="{00000000-0005-0000-0000-00003E370000}"/>
    <cellStyle name="Normal 5 3 3 4 2 2" xfId="2252" xr:uid="{00000000-0005-0000-0000-00003F370000}"/>
    <cellStyle name="Normal 5 3 3 4 2 2 2" xfId="4719" xr:uid="{00000000-0005-0000-0000-000040370000}"/>
    <cellStyle name="Normal 5 3 3 4 2 2 2 2" xfId="9651" xr:uid="{00000000-0005-0000-0000-000041370000}"/>
    <cellStyle name="Normal 5 3 3 4 2 2 2 2 2" xfId="19511" xr:uid="{00000000-0005-0000-0000-000042370000}"/>
    <cellStyle name="Normal 5 3 3 4 2 2 2 2 2 2" xfId="39226" xr:uid="{00000000-0005-0000-0000-000043370000}"/>
    <cellStyle name="Normal 5 3 3 4 2 2 2 2 3" xfId="29369" xr:uid="{00000000-0005-0000-0000-000044370000}"/>
    <cellStyle name="Normal 5 3 3 4 2 2 2 3" xfId="14583" xr:uid="{00000000-0005-0000-0000-000045370000}"/>
    <cellStyle name="Normal 5 3 3 4 2 2 2 3 2" xfId="34298" xr:uid="{00000000-0005-0000-0000-000046370000}"/>
    <cellStyle name="Normal 5 3 3 4 2 2 2 4" xfId="24441" xr:uid="{00000000-0005-0000-0000-000047370000}"/>
    <cellStyle name="Normal 5 3 3 4 2 2 3" xfId="7187" xr:uid="{00000000-0005-0000-0000-000048370000}"/>
    <cellStyle name="Normal 5 3 3 4 2 2 3 2" xfId="17047" xr:uid="{00000000-0005-0000-0000-000049370000}"/>
    <cellStyle name="Normal 5 3 3 4 2 2 3 2 2" xfId="36762" xr:uid="{00000000-0005-0000-0000-00004A370000}"/>
    <cellStyle name="Normal 5 3 3 4 2 2 3 3" xfId="26905" xr:uid="{00000000-0005-0000-0000-00004B370000}"/>
    <cellStyle name="Normal 5 3 3 4 2 2 4" xfId="12119" xr:uid="{00000000-0005-0000-0000-00004C370000}"/>
    <cellStyle name="Normal 5 3 3 4 2 2 4 2" xfId="31834" xr:uid="{00000000-0005-0000-0000-00004D370000}"/>
    <cellStyle name="Normal 5 3 3 4 2 2 5" xfId="21977" xr:uid="{00000000-0005-0000-0000-00004E370000}"/>
    <cellStyle name="Normal 5 3 3 4 2 3" xfId="3487" xr:uid="{00000000-0005-0000-0000-00004F370000}"/>
    <cellStyle name="Normal 5 3 3 4 2 3 2" xfId="8419" xr:uid="{00000000-0005-0000-0000-000050370000}"/>
    <cellStyle name="Normal 5 3 3 4 2 3 2 2" xfId="18279" xr:uid="{00000000-0005-0000-0000-000051370000}"/>
    <cellStyle name="Normal 5 3 3 4 2 3 2 2 2" xfId="37994" xr:uid="{00000000-0005-0000-0000-000052370000}"/>
    <cellStyle name="Normal 5 3 3 4 2 3 2 3" xfId="28137" xr:uid="{00000000-0005-0000-0000-000053370000}"/>
    <cellStyle name="Normal 5 3 3 4 2 3 3" xfId="13351" xr:uid="{00000000-0005-0000-0000-000054370000}"/>
    <cellStyle name="Normal 5 3 3 4 2 3 3 2" xfId="33066" xr:uid="{00000000-0005-0000-0000-000055370000}"/>
    <cellStyle name="Normal 5 3 3 4 2 3 4" xfId="23209" xr:uid="{00000000-0005-0000-0000-000056370000}"/>
    <cellStyle name="Normal 5 3 3 4 2 4" xfId="5955" xr:uid="{00000000-0005-0000-0000-000057370000}"/>
    <cellStyle name="Normal 5 3 3 4 2 4 2" xfId="15815" xr:uid="{00000000-0005-0000-0000-000058370000}"/>
    <cellStyle name="Normal 5 3 3 4 2 4 2 2" xfId="35530" xr:uid="{00000000-0005-0000-0000-000059370000}"/>
    <cellStyle name="Normal 5 3 3 4 2 4 3" xfId="25673" xr:uid="{00000000-0005-0000-0000-00005A370000}"/>
    <cellStyle name="Normal 5 3 3 4 2 5" xfId="10887" xr:uid="{00000000-0005-0000-0000-00005B370000}"/>
    <cellStyle name="Normal 5 3 3 4 2 5 2" xfId="30602" xr:uid="{00000000-0005-0000-0000-00005C370000}"/>
    <cellStyle name="Normal 5 3 3 4 2 6" xfId="20745" xr:uid="{00000000-0005-0000-0000-00005D370000}"/>
    <cellStyle name="Normal 5 3 3 4 3" xfId="1636" xr:uid="{00000000-0005-0000-0000-00005E370000}"/>
    <cellStyle name="Normal 5 3 3 4 3 2" xfId="4103" xr:uid="{00000000-0005-0000-0000-00005F370000}"/>
    <cellStyle name="Normal 5 3 3 4 3 2 2" xfId="9035" xr:uid="{00000000-0005-0000-0000-000060370000}"/>
    <cellStyle name="Normal 5 3 3 4 3 2 2 2" xfId="18895" xr:uid="{00000000-0005-0000-0000-000061370000}"/>
    <cellStyle name="Normal 5 3 3 4 3 2 2 2 2" xfId="38610" xr:uid="{00000000-0005-0000-0000-000062370000}"/>
    <cellStyle name="Normal 5 3 3 4 3 2 2 3" xfId="28753" xr:uid="{00000000-0005-0000-0000-000063370000}"/>
    <cellStyle name="Normal 5 3 3 4 3 2 3" xfId="13967" xr:uid="{00000000-0005-0000-0000-000064370000}"/>
    <cellStyle name="Normal 5 3 3 4 3 2 3 2" xfId="33682" xr:uid="{00000000-0005-0000-0000-000065370000}"/>
    <cellStyle name="Normal 5 3 3 4 3 2 4" xfId="23825" xr:uid="{00000000-0005-0000-0000-000066370000}"/>
    <cellStyle name="Normal 5 3 3 4 3 3" xfId="6571" xr:uid="{00000000-0005-0000-0000-000067370000}"/>
    <cellStyle name="Normal 5 3 3 4 3 3 2" xfId="16431" xr:uid="{00000000-0005-0000-0000-000068370000}"/>
    <cellStyle name="Normal 5 3 3 4 3 3 2 2" xfId="36146" xr:uid="{00000000-0005-0000-0000-000069370000}"/>
    <cellStyle name="Normal 5 3 3 4 3 3 3" xfId="26289" xr:uid="{00000000-0005-0000-0000-00006A370000}"/>
    <cellStyle name="Normal 5 3 3 4 3 4" xfId="11503" xr:uid="{00000000-0005-0000-0000-00006B370000}"/>
    <cellStyle name="Normal 5 3 3 4 3 4 2" xfId="31218" xr:uid="{00000000-0005-0000-0000-00006C370000}"/>
    <cellStyle name="Normal 5 3 3 4 3 5" xfId="21361" xr:uid="{00000000-0005-0000-0000-00006D370000}"/>
    <cellStyle name="Normal 5 3 3 4 4" xfId="2871" xr:uid="{00000000-0005-0000-0000-00006E370000}"/>
    <cellStyle name="Normal 5 3 3 4 4 2" xfId="7803" xr:uid="{00000000-0005-0000-0000-00006F370000}"/>
    <cellStyle name="Normal 5 3 3 4 4 2 2" xfId="17663" xr:uid="{00000000-0005-0000-0000-000070370000}"/>
    <cellStyle name="Normal 5 3 3 4 4 2 2 2" xfId="37378" xr:uid="{00000000-0005-0000-0000-000071370000}"/>
    <cellStyle name="Normal 5 3 3 4 4 2 3" xfId="27521" xr:uid="{00000000-0005-0000-0000-000072370000}"/>
    <cellStyle name="Normal 5 3 3 4 4 3" xfId="12735" xr:uid="{00000000-0005-0000-0000-000073370000}"/>
    <cellStyle name="Normal 5 3 3 4 4 3 2" xfId="32450" xr:uid="{00000000-0005-0000-0000-000074370000}"/>
    <cellStyle name="Normal 5 3 3 4 4 4" xfId="22593" xr:uid="{00000000-0005-0000-0000-000075370000}"/>
    <cellStyle name="Normal 5 3 3 4 5" xfId="5339" xr:uid="{00000000-0005-0000-0000-000076370000}"/>
    <cellStyle name="Normal 5 3 3 4 5 2" xfId="15199" xr:uid="{00000000-0005-0000-0000-000077370000}"/>
    <cellStyle name="Normal 5 3 3 4 5 2 2" xfId="34914" xr:uid="{00000000-0005-0000-0000-000078370000}"/>
    <cellStyle name="Normal 5 3 3 4 5 3" xfId="25057" xr:uid="{00000000-0005-0000-0000-000079370000}"/>
    <cellStyle name="Normal 5 3 3 4 6" xfId="10271" xr:uid="{00000000-0005-0000-0000-00007A370000}"/>
    <cellStyle name="Normal 5 3 3 4 6 2" xfId="29986" xr:uid="{00000000-0005-0000-0000-00007B370000}"/>
    <cellStyle name="Normal 5 3 3 4 7" xfId="20129" xr:uid="{00000000-0005-0000-0000-00007C370000}"/>
    <cellStyle name="Normal 5 3 3 5" xfId="710" xr:uid="{00000000-0005-0000-0000-00007D370000}"/>
    <cellStyle name="Normal 5 3 3 5 2" xfId="1946" xr:uid="{00000000-0005-0000-0000-00007E370000}"/>
    <cellStyle name="Normal 5 3 3 5 2 2" xfId="4413" xr:uid="{00000000-0005-0000-0000-00007F370000}"/>
    <cellStyle name="Normal 5 3 3 5 2 2 2" xfId="9345" xr:uid="{00000000-0005-0000-0000-000080370000}"/>
    <cellStyle name="Normal 5 3 3 5 2 2 2 2" xfId="19205" xr:uid="{00000000-0005-0000-0000-000081370000}"/>
    <cellStyle name="Normal 5 3 3 5 2 2 2 2 2" xfId="38920" xr:uid="{00000000-0005-0000-0000-000082370000}"/>
    <cellStyle name="Normal 5 3 3 5 2 2 2 3" xfId="29063" xr:uid="{00000000-0005-0000-0000-000083370000}"/>
    <cellStyle name="Normal 5 3 3 5 2 2 3" xfId="14277" xr:uid="{00000000-0005-0000-0000-000084370000}"/>
    <cellStyle name="Normal 5 3 3 5 2 2 3 2" xfId="33992" xr:uid="{00000000-0005-0000-0000-000085370000}"/>
    <cellStyle name="Normal 5 3 3 5 2 2 4" xfId="24135" xr:uid="{00000000-0005-0000-0000-000086370000}"/>
    <cellStyle name="Normal 5 3 3 5 2 3" xfId="6881" xr:uid="{00000000-0005-0000-0000-000087370000}"/>
    <cellStyle name="Normal 5 3 3 5 2 3 2" xfId="16741" xr:uid="{00000000-0005-0000-0000-000088370000}"/>
    <cellStyle name="Normal 5 3 3 5 2 3 2 2" xfId="36456" xr:uid="{00000000-0005-0000-0000-000089370000}"/>
    <cellStyle name="Normal 5 3 3 5 2 3 3" xfId="26599" xr:uid="{00000000-0005-0000-0000-00008A370000}"/>
    <cellStyle name="Normal 5 3 3 5 2 4" xfId="11813" xr:uid="{00000000-0005-0000-0000-00008B370000}"/>
    <cellStyle name="Normal 5 3 3 5 2 4 2" xfId="31528" xr:uid="{00000000-0005-0000-0000-00008C370000}"/>
    <cellStyle name="Normal 5 3 3 5 2 5" xfId="21671" xr:uid="{00000000-0005-0000-0000-00008D370000}"/>
    <cellStyle name="Normal 5 3 3 5 3" xfId="3181" xr:uid="{00000000-0005-0000-0000-00008E370000}"/>
    <cellStyle name="Normal 5 3 3 5 3 2" xfId="8113" xr:uid="{00000000-0005-0000-0000-00008F370000}"/>
    <cellStyle name="Normal 5 3 3 5 3 2 2" xfId="17973" xr:uid="{00000000-0005-0000-0000-000090370000}"/>
    <cellStyle name="Normal 5 3 3 5 3 2 2 2" xfId="37688" xr:uid="{00000000-0005-0000-0000-000091370000}"/>
    <cellStyle name="Normal 5 3 3 5 3 2 3" xfId="27831" xr:uid="{00000000-0005-0000-0000-000092370000}"/>
    <cellStyle name="Normal 5 3 3 5 3 3" xfId="13045" xr:uid="{00000000-0005-0000-0000-000093370000}"/>
    <cellStyle name="Normal 5 3 3 5 3 3 2" xfId="32760" xr:uid="{00000000-0005-0000-0000-000094370000}"/>
    <cellStyle name="Normal 5 3 3 5 3 4" xfId="22903" xr:uid="{00000000-0005-0000-0000-000095370000}"/>
    <cellStyle name="Normal 5 3 3 5 4" xfId="5649" xr:uid="{00000000-0005-0000-0000-000096370000}"/>
    <cellStyle name="Normal 5 3 3 5 4 2" xfId="15509" xr:uid="{00000000-0005-0000-0000-000097370000}"/>
    <cellStyle name="Normal 5 3 3 5 4 2 2" xfId="35224" xr:uid="{00000000-0005-0000-0000-000098370000}"/>
    <cellStyle name="Normal 5 3 3 5 4 3" xfId="25367" xr:uid="{00000000-0005-0000-0000-000099370000}"/>
    <cellStyle name="Normal 5 3 3 5 5" xfId="10581" xr:uid="{00000000-0005-0000-0000-00009A370000}"/>
    <cellStyle name="Normal 5 3 3 5 5 2" xfId="30296" xr:uid="{00000000-0005-0000-0000-00009B370000}"/>
    <cellStyle name="Normal 5 3 3 5 6" xfId="20439" xr:uid="{00000000-0005-0000-0000-00009C370000}"/>
    <cellStyle name="Normal 5 3 3 6" xfId="1330" xr:uid="{00000000-0005-0000-0000-00009D370000}"/>
    <cellStyle name="Normal 5 3 3 6 2" xfId="3797" xr:uid="{00000000-0005-0000-0000-00009E370000}"/>
    <cellStyle name="Normal 5 3 3 6 2 2" xfId="8729" xr:uid="{00000000-0005-0000-0000-00009F370000}"/>
    <cellStyle name="Normal 5 3 3 6 2 2 2" xfId="18589" xr:uid="{00000000-0005-0000-0000-0000A0370000}"/>
    <cellStyle name="Normal 5 3 3 6 2 2 2 2" xfId="38304" xr:uid="{00000000-0005-0000-0000-0000A1370000}"/>
    <cellStyle name="Normal 5 3 3 6 2 2 3" xfId="28447" xr:uid="{00000000-0005-0000-0000-0000A2370000}"/>
    <cellStyle name="Normal 5 3 3 6 2 3" xfId="13661" xr:uid="{00000000-0005-0000-0000-0000A3370000}"/>
    <cellStyle name="Normal 5 3 3 6 2 3 2" xfId="33376" xr:uid="{00000000-0005-0000-0000-0000A4370000}"/>
    <cellStyle name="Normal 5 3 3 6 2 4" xfId="23519" xr:uid="{00000000-0005-0000-0000-0000A5370000}"/>
    <cellStyle name="Normal 5 3 3 6 3" xfId="6265" xr:uid="{00000000-0005-0000-0000-0000A6370000}"/>
    <cellStyle name="Normal 5 3 3 6 3 2" xfId="16125" xr:uid="{00000000-0005-0000-0000-0000A7370000}"/>
    <cellStyle name="Normal 5 3 3 6 3 2 2" xfId="35840" xr:uid="{00000000-0005-0000-0000-0000A8370000}"/>
    <cellStyle name="Normal 5 3 3 6 3 3" xfId="25983" xr:uid="{00000000-0005-0000-0000-0000A9370000}"/>
    <cellStyle name="Normal 5 3 3 6 4" xfId="11197" xr:uid="{00000000-0005-0000-0000-0000AA370000}"/>
    <cellStyle name="Normal 5 3 3 6 4 2" xfId="30912" xr:uid="{00000000-0005-0000-0000-0000AB370000}"/>
    <cellStyle name="Normal 5 3 3 6 5" xfId="21055" xr:uid="{00000000-0005-0000-0000-0000AC370000}"/>
    <cellStyle name="Normal 5 3 3 7" xfId="2565" xr:uid="{00000000-0005-0000-0000-0000AD370000}"/>
    <cellStyle name="Normal 5 3 3 7 2" xfId="7497" xr:uid="{00000000-0005-0000-0000-0000AE370000}"/>
    <cellStyle name="Normal 5 3 3 7 2 2" xfId="17357" xr:uid="{00000000-0005-0000-0000-0000AF370000}"/>
    <cellStyle name="Normal 5 3 3 7 2 2 2" xfId="37072" xr:uid="{00000000-0005-0000-0000-0000B0370000}"/>
    <cellStyle name="Normal 5 3 3 7 2 3" xfId="27215" xr:uid="{00000000-0005-0000-0000-0000B1370000}"/>
    <cellStyle name="Normal 5 3 3 7 3" xfId="12429" xr:uid="{00000000-0005-0000-0000-0000B2370000}"/>
    <cellStyle name="Normal 5 3 3 7 3 2" xfId="32144" xr:uid="{00000000-0005-0000-0000-0000B3370000}"/>
    <cellStyle name="Normal 5 3 3 7 4" xfId="22287" xr:uid="{00000000-0005-0000-0000-0000B4370000}"/>
    <cellStyle name="Normal 5 3 3 8" xfId="5033" xr:uid="{00000000-0005-0000-0000-0000B5370000}"/>
    <cellStyle name="Normal 5 3 3 8 2" xfId="14893" xr:uid="{00000000-0005-0000-0000-0000B6370000}"/>
    <cellStyle name="Normal 5 3 3 8 2 2" xfId="34608" xr:uid="{00000000-0005-0000-0000-0000B7370000}"/>
    <cellStyle name="Normal 5 3 3 8 3" xfId="24751" xr:uid="{00000000-0005-0000-0000-0000B8370000}"/>
    <cellStyle name="Normal 5 3 3 9" xfId="9965" xr:uid="{00000000-0005-0000-0000-0000B9370000}"/>
    <cellStyle name="Normal 5 3 3 9 2" xfId="29680" xr:uid="{00000000-0005-0000-0000-0000BA370000}"/>
    <cellStyle name="Normal 5 3 4" xfId="116" xr:uid="{00000000-0005-0000-0000-0000BB370000}"/>
    <cellStyle name="Normal 5 3 4 2" xfId="273" xr:uid="{00000000-0005-0000-0000-0000BC370000}"/>
    <cellStyle name="Normal 5 3 4 2 2" xfId="587" xr:uid="{00000000-0005-0000-0000-0000BD370000}"/>
    <cellStyle name="Normal 5 3 4 2 2 2" xfId="1207" xr:uid="{00000000-0005-0000-0000-0000BE370000}"/>
    <cellStyle name="Normal 5 3 4 2 2 2 2" xfId="2442" xr:uid="{00000000-0005-0000-0000-0000BF370000}"/>
    <cellStyle name="Normal 5 3 4 2 2 2 2 2" xfId="4909" xr:uid="{00000000-0005-0000-0000-0000C0370000}"/>
    <cellStyle name="Normal 5 3 4 2 2 2 2 2 2" xfId="9841" xr:uid="{00000000-0005-0000-0000-0000C1370000}"/>
    <cellStyle name="Normal 5 3 4 2 2 2 2 2 2 2" xfId="19701" xr:uid="{00000000-0005-0000-0000-0000C2370000}"/>
    <cellStyle name="Normal 5 3 4 2 2 2 2 2 2 2 2" xfId="39416" xr:uid="{00000000-0005-0000-0000-0000C3370000}"/>
    <cellStyle name="Normal 5 3 4 2 2 2 2 2 2 3" xfId="29559" xr:uid="{00000000-0005-0000-0000-0000C4370000}"/>
    <cellStyle name="Normal 5 3 4 2 2 2 2 2 3" xfId="14773" xr:uid="{00000000-0005-0000-0000-0000C5370000}"/>
    <cellStyle name="Normal 5 3 4 2 2 2 2 2 3 2" xfId="34488" xr:uid="{00000000-0005-0000-0000-0000C6370000}"/>
    <cellStyle name="Normal 5 3 4 2 2 2 2 2 4" xfId="24631" xr:uid="{00000000-0005-0000-0000-0000C7370000}"/>
    <cellStyle name="Normal 5 3 4 2 2 2 2 3" xfId="7377" xr:uid="{00000000-0005-0000-0000-0000C8370000}"/>
    <cellStyle name="Normal 5 3 4 2 2 2 2 3 2" xfId="17237" xr:uid="{00000000-0005-0000-0000-0000C9370000}"/>
    <cellStyle name="Normal 5 3 4 2 2 2 2 3 2 2" xfId="36952" xr:uid="{00000000-0005-0000-0000-0000CA370000}"/>
    <cellStyle name="Normal 5 3 4 2 2 2 2 3 3" xfId="27095" xr:uid="{00000000-0005-0000-0000-0000CB370000}"/>
    <cellStyle name="Normal 5 3 4 2 2 2 2 4" xfId="12309" xr:uid="{00000000-0005-0000-0000-0000CC370000}"/>
    <cellStyle name="Normal 5 3 4 2 2 2 2 4 2" xfId="32024" xr:uid="{00000000-0005-0000-0000-0000CD370000}"/>
    <cellStyle name="Normal 5 3 4 2 2 2 2 5" xfId="22167" xr:uid="{00000000-0005-0000-0000-0000CE370000}"/>
    <cellStyle name="Normal 5 3 4 2 2 2 3" xfId="3677" xr:uid="{00000000-0005-0000-0000-0000CF370000}"/>
    <cellStyle name="Normal 5 3 4 2 2 2 3 2" xfId="8609" xr:uid="{00000000-0005-0000-0000-0000D0370000}"/>
    <cellStyle name="Normal 5 3 4 2 2 2 3 2 2" xfId="18469" xr:uid="{00000000-0005-0000-0000-0000D1370000}"/>
    <cellStyle name="Normal 5 3 4 2 2 2 3 2 2 2" xfId="38184" xr:uid="{00000000-0005-0000-0000-0000D2370000}"/>
    <cellStyle name="Normal 5 3 4 2 2 2 3 2 3" xfId="28327" xr:uid="{00000000-0005-0000-0000-0000D3370000}"/>
    <cellStyle name="Normal 5 3 4 2 2 2 3 3" xfId="13541" xr:uid="{00000000-0005-0000-0000-0000D4370000}"/>
    <cellStyle name="Normal 5 3 4 2 2 2 3 3 2" xfId="33256" xr:uid="{00000000-0005-0000-0000-0000D5370000}"/>
    <cellStyle name="Normal 5 3 4 2 2 2 3 4" xfId="23399" xr:uid="{00000000-0005-0000-0000-0000D6370000}"/>
    <cellStyle name="Normal 5 3 4 2 2 2 4" xfId="6145" xr:uid="{00000000-0005-0000-0000-0000D7370000}"/>
    <cellStyle name="Normal 5 3 4 2 2 2 4 2" xfId="16005" xr:uid="{00000000-0005-0000-0000-0000D8370000}"/>
    <cellStyle name="Normal 5 3 4 2 2 2 4 2 2" xfId="35720" xr:uid="{00000000-0005-0000-0000-0000D9370000}"/>
    <cellStyle name="Normal 5 3 4 2 2 2 4 3" xfId="25863" xr:uid="{00000000-0005-0000-0000-0000DA370000}"/>
    <cellStyle name="Normal 5 3 4 2 2 2 5" xfId="11077" xr:uid="{00000000-0005-0000-0000-0000DB370000}"/>
    <cellStyle name="Normal 5 3 4 2 2 2 5 2" xfId="30792" xr:uid="{00000000-0005-0000-0000-0000DC370000}"/>
    <cellStyle name="Normal 5 3 4 2 2 2 6" xfId="20935" xr:uid="{00000000-0005-0000-0000-0000DD370000}"/>
    <cellStyle name="Normal 5 3 4 2 2 3" xfId="1826" xr:uid="{00000000-0005-0000-0000-0000DE370000}"/>
    <cellStyle name="Normal 5 3 4 2 2 3 2" xfId="4293" xr:uid="{00000000-0005-0000-0000-0000DF370000}"/>
    <cellStyle name="Normal 5 3 4 2 2 3 2 2" xfId="9225" xr:uid="{00000000-0005-0000-0000-0000E0370000}"/>
    <cellStyle name="Normal 5 3 4 2 2 3 2 2 2" xfId="19085" xr:uid="{00000000-0005-0000-0000-0000E1370000}"/>
    <cellStyle name="Normal 5 3 4 2 2 3 2 2 2 2" xfId="38800" xr:uid="{00000000-0005-0000-0000-0000E2370000}"/>
    <cellStyle name="Normal 5 3 4 2 2 3 2 2 3" xfId="28943" xr:uid="{00000000-0005-0000-0000-0000E3370000}"/>
    <cellStyle name="Normal 5 3 4 2 2 3 2 3" xfId="14157" xr:uid="{00000000-0005-0000-0000-0000E4370000}"/>
    <cellStyle name="Normal 5 3 4 2 2 3 2 3 2" xfId="33872" xr:uid="{00000000-0005-0000-0000-0000E5370000}"/>
    <cellStyle name="Normal 5 3 4 2 2 3 2 4" xfId="24015" xr:uid="{00000000-0005-0000-0000-0000E6370000}"/>
    <cellStyle name="Normal 5 3 4 2 2 3 3" xfId="6761" xr:uid="{00000000-0005-0000-0000-0000E7370000}"/>
    <cellStyle name="Normal 5 3 4 2 2 3 3 2" xfId="16621" xr:uid="{00000000-0005-0000-0000-0000E8370000}"/>
    <cellStyle name="Normal 5 3 4 2 2 3 3 2 2" xfId="36336" xr:uid="{00000000-0005-0000-0000-0000E9370000}"/>
    <cellStyle name="Normal 5 3 4 2 2 3 3 3" xfId="26479" xr:uid="{00000000-0005-0000-0000-0000EA370000}"/>
    <cellStyle name="Normal 5 3 4 2 2 3 4" xfId="11693" xr:uid="{00000000-0005-0000-0000-0000EB370000}"/>
    <cellStyle name="Normal 5 3 4 2 2 3 4 2" xfId="31408" xr:uid="{00000000-0005-0000-0000-0000EC370000}"/>
    <cellStyle name="Normal 5 3 4 2 2 3 5" xfId="21551" xr:uid="{00000000-0005-0000-0000-0000ED370000}"/>
    <cellStyle name="Normal 5 3 4 2 2 4" xfId="3061" xr:uid="{00000000-0005-0000-0000-0000EE370000}"/>
    <cellStyle name="Normal 5 3 4 2 2 4 2" xfId="7993" xr:uid="{00000000-0005-0000-0000-0000EF370000}"/>
    <cellStyle name="Normal 5 3 4 2 2 4 2 2" xfId="17853" xr:uid="{00000000-0005-0000-0000-0000F0370000}"/>
    <cellStyle name="Normal 5 3 4 2 2 4 2 2 2" xfId="37568" xr:uid="{00000000-0005-0000-0000-0000F1370000}"/>
    <cellStyle name="Normal 5 3 4 2 2 4 2 3" xfId="27711" xr:uid="{00000000-0005-0000-0000-0000F2370000}"/>
    <cellStyle name="Normal 5 3 4 2 2 4 3" xfId="12925" xr:uid="{00000000-0005-0000-0000-0000F3370000}"/>
    <cellStyle name="Normal 5 3 4 2 2 4 3 2" xfId="32640" xr:uid="{00000000-0005-0000-0000-0000F4370000}"/>
    <cellStyle name="Normal 5 3 4 2 2 4 4" xfId="22783" xr:uid="{00000000-0005-0000-0000-0000F5370000}"/>
    <cellStyle name="Normal 5 3 4 2 2 5" xfId="5529" xr:uid="{00000000-0005-0000-0000-0000F6370000}"/>
    <cellStyle name="Normal 5 3 4 2 2 5 2" xfId="15389" xr:uid="{00000000-0005-0000-0000-0000F7370000}"/>
    <cellStyle name="Normal 5 3 4 2 2 5 2 2" xfId="35104" xr:uid="{00000000-0005-0000-0000-0000F8370000}"/>
    <cellStyle name="Normal 5 3 4 2 2 5 3" xfId="25247" xr:uid="{00000000-0005-0000-0000-0000F9370000}"/>
    <cellStyle name="Normal 5 3 4 2 2 6" xfId="10461" xr:uid="{00000000-0005-0000-0000-0000FA370000}"/>
    <cellStyle name="Normal 5 3 4 2 2 6 2" xfId="30176" xr:uid="{00000000-0005-0000-0000-0000FB370000}"/>
    <cellStyle name="Normal 5 3 4 2 2 7" xfId="20319" xr:uid="{00000000-0005-0000-0000-0000FC370000}"/>
    <cellStyle name="Normal 5 3 4 2 3" xfId="900" xr:uid="{00000000-0005-0000-0000-0000FD370000}"/>
    <cellStyle name="Normal 5 3 4 2 3 2" xfId="2136" xr:uid="{00000000-0005-0000-0000-0000FE370000}"/>
    <cellStyle name="Normal 5 3 4 2 3 2 2" xfId="4603" xr:uid="{00000000-0005-0000-0000-0000FF370000}"/>
    <cellStyle name="Normal 5 3 4 2 3 2 2 2" xfId="9535" xr:uid="{00000000-0005-0000-0000-000000380000}"/>
    <cellStyle name="Normal 5 3 4 2 3 2 2 2 2" xfId="19395" xr:uid="{00000000-0005-0000-0000-000001380000}"/>
    <cellStyle name="Normal 5 3 4 2 3 2 2 2 2 2" xfId="39110" xr:uid="{00000000-0005-0000-0000-000002380000}"/>
    <cellStyle name="Normal 5 3 4 2 3 2 2 2 3" xfId="29253" xr:uid="{00000000-0005-0000-0000-000003380000}"/>
    <cellStyle name="Normal 5 3 4 2 3 2 2 3" xfId="14467" xr:uid="{00000000-0005-0000-0000-000004380000}"/>
    <cellStyle name="Normal 5 3 4 2 3 2 2 3 2" xfId="34182" xr:uid="{00000000-0005-0000-0000-000005380000}"/>
    <cellStyle name="Normal 5 3 4 2 3 2 2 4" xfId="24325" xr:uid="{00000000-0005-0000-0000-000006380000}"/>
    <cellStyle name="Normal 5 3 4 2 3 2 3" xfId="7071" xr:uid="{00000000-0005-0000-0000-000007380000}"/>
    <cellStyle name="Normal 5 3 4 2 3 2 3 2" xfId="16931" xr:uid="{00000000-0005-0000-0000-000008380000}"/>
    <cellStyle name="Normal 5 3 4 2 3 2 3 2 2" xfId="36646" xr:uid="{00000000-0005-0000-0000-000009380000}"/>
    <cellStyle name="Normal 5 3 4 2 3 2 3 3" xfId="26789" xr:uid="{00000000-0005-0000-0000-00000A380000}"/>
    <cellStyle name="Normal 5 3 4 2 3 2 4" xfId="12003" xr:uid="{00000000-0005-0000-0000-00000B380000}"/>
    <cellStyle name="Normal 5 3 4 2 3 2 4 2" xfId="31718" xr:uid="{00000000-0005-0000-0000-00000C380000}"/>
    <cellStyle name="Normal 5 3 4 2 3 2 5" xfId="21861" xr:uid="{00000000-0005-0000-0000-00000D380000}"/>
    <cellStyle name="Normal 5 3 4 2 3 3" xfId="3371" xr:uid="{00000000-0005-0000-0000-00000E380000}"/>
    <cellStyle name="Normal 5 3 4 2 3 3 2" xfId="8303" xr:uid="{00000000-0005-0000-0000-00000F380000}"/>
    <cellStyle name="Normal 5 3 4 2 3 3 2 2" xfId="18163" xr:uid="{00000000-0005-0000-0000-000010380000}"/>
    <cellStyle name="Normal 5 3 4 2 3 3 2 2 2" xfId="37878" xr:uid="{00000000-0005-0000-0000-000011380000}"/>
    <cellStyle name="Normal 5 3 4 2 3 3 2 3" xfId="28021" xr:uid="{00000000-0005-0000-0000-000012380000}"/>
    <cellStyle name="Normal 5 3 4 2 3 3 3" xfId="13235" xr:uid="{00000000-0005-0000-0000-000013380000}"/>
    <cellStyle name="Normal 5 3 4 2 3 3 3 2" xfId="32950" xr:uid="{00000000-0005-0000-0000-000014380000}"/>
    <cellStyle name="Normal 5 3 4 2 3 3 4" xfId="23093" xr:uid="{00000000-0005-0000-0000-000015380000}"/>
    <cellStyle name="Normal 5 3 4 2 3 4" xfId="5839" xr:uid="{00000000-0005-0000-0000-000016380000}"/>
    <cellStyle name="Normal 5 3 4 2 3 4 2" xfId="15699" xr:uid="{00000000-0005-0000-0000-000017380000}"/>
    <cellStyle name="Normal 5 3 4 2 3 4 2 2" xfId="35414" xr:uid="{00000000-0005-0000-0000-000018380000}"/>
    <cellStyle name="Normal 5 3 4 2 3 4 3" xfId="25557" xr:uid="{00000000-0005-0000-0000-000019380000}"/>
    <cellStyle name="Normal 5 3 4 2 3 5" xfId="10771" xr:uid="{00000000-0005-0000-0000-00001A380000}"/>
    <cellStyle name="Normal 5 3 4 2 3 5 2" xfId="30486" xr:uid="{00000000-0005-0000-0000-00001B380000}"/>
    <cellStyle name="Normal 5 3 4 2 3 6" xfId="20629" xr:uid="{00000000-0005-0000-0000-00001C380000}"/>
    <cellStyle name="Normal 5 3 4 2 4" xfId="1520" xr:uid="{00000000-0005-0000-0000-00001D380000}"/>
    <cellStyle name="Normal 5 3 4 2 4 2" xfId="3987" xr:uid="{00000000-0005-0000-0000-00001E380000}"/>
    <cellStyle name="Normal 5 3 4 2 4 2 2" xfId="8919" xr:uid="{00000000-0005-0000-0000-00001F380000}"/>
    <cellStyle name="Normal 5 3 4 2 4 2 2 2" xfId="18779" xr:uid="{00000000-0005-0000-0000-000020380000}"/>
    <cellStyle name="Normal 5 3 4 2 4 2 2 2 2" xfId="38494" xr:uid="{00000000-0005-0000-0000-000021380000}"/>
    <cellStyle name="Normal 5 3 4 2 4 2 2 3" xfId="28637" xr:uid="{00000000-0005-0000-0000-000022380000}"/>
    <cellStyle name="Normal 5 3 4 2 4 2 3" xfId="13851" xr:uid="{00000000-0005-0000-0000-000023380000}"/>
    <cellStyle name="Normal 5 3 4 2 4 2 3 2" xfId="33566" xr:uid="{00000000-0005-0000-0000-000024380000}"/>
    <cellStyle name="Normal 5 3 4 2 4 2 4" xfId="23709" xr:uid="{00000000-0005-0000-0000-000025380000}"/>
    <cellStyle name="Normal 5 3 4 2 4 3" xfId="6455" xr:uid="{00000000-0005-0000-0000-000026380000}"/>
    <cellStyle name="Normal 5 3 4 2 4 3 2" xfId="16315" xr:uid="{00000000-0005-0000-0000-000027380000}"/>
    <cellStyle name="Normal 5 3 4 2 4 3 2 2" xfId="36030" xr:uid="{00000000-0005-0000-0000-000028380000}"/>
    <cellStyle name="Normal 5 3 4 2 4 3 3" xfId="26173" xr:uid="{00000000-0005-0000-0000-000029380000}"/>
    <cellStyle name="Normal 5 3 4 2 4 4" xfId="11387" xr:uid="{00000000-0005-0000-0000-00002A380000}"/>
    <cellStyle name="Normal 5 3 4 2 4 4 2" xfId="31102" xr:uid="{00000000-0005-0000-0000-00002B380000}"/>
    <cellStyle name="Normal 5 3 4 2 4 5" xfId="21245" xr:uid="{00000000-0005-0000-0000-00002C380000}"/>
    <cellStyle name="Normal 5 3 4 2 5" xfId="2755" xr:uid="{00000000-0005-0000-0000-00002D380000}"/>
    <cellStyle name="Normal 5 3 4 2 5 2" xfId="7687" xr:uid="{00000000-0005-0000-0000-00002E380000}"/>
    <cellStyle name="Normal 5 3 4 2 5 2 2" xfId="17547" xr:uid="{00000000-0005-0000-0000-00002F380000}"/>
    <cellStyle name="Normal 5 3 4 2 5 2 2 2" xfId="37262" xr:uid="{00000000-0005-0000-0000-000030380000}"/>
    <cellStyle name="Normal 5 3 4 2 5 2 3" xfId="27405" xr:uid="{00000000-0005-0000-0000-000031380000}"/>
    <cellStyle name="Normal 5 3 4 2 5 3" xfId="12619" xr:uid="{00000000-0005-0000-0000-000032380000}"/>
    <cellStyle name="Normal 5 3 4 2 5 3 2" xfId="32334" xr:uid="{00000000-0005-0000-0000-000033380000}"/>
    <cellStyle name="Normal 5 3 4 2 5 4" xfId="22477" xr:uid="{00000000-0005-0000-0000-000034380000}"/>
    <cellStyle name="Normal 5 3 4 2 6" xfId="5223" xr:uid="{00000000-0005-0000-0000-000035380000}"/>
    <cellStyle name="Normal 5 3 4 2 6 2" xfId="15083" xr:uid="{00000000-0005-0000-0000-000036380000}"/>
    <cellStyle name="Normal 5 3 4 2 6 2 2" xfId="34798" xr:uid="{00000000-0005-0000-0000-000037380000}"/>
    <cellStyle name="Normal 5 3 4 2 6 3" xfId="24941" xr:uid="{00000000-0005-0000-0000-000038380000}"/>
    <cellStyle name="Normal 5 3 4 2 7" xfId="10155" xr:uid="{00000000-0005-0000-0000-000039380000}"/>
    <cellStyle name="Normal 5 3 4 2 7 2" xfId="29870" xr:uid="{00000000-0005-0000-0000-00003A380000}"/>
    <cellStyle name="Normal 5 3 4 2 8" xfId="20013" xr:uid="{00000000-0005-0000-0000-00003B380000}"/>
    <cellStyle name="Normal 5 3 4 3" xfId="435" xr:uid="{00000000-0005-0000-0000-00003C380000}"/>
    <cellStyle name="Normal 5 3 4 3 2" xfId="1055" xr:uid="{00000000-0005-0000-0000-00003D380000}"/>
    <cellStyle name="Normal 5 3 4 3 2 2" xfId="2290" xr:uid="{00000000-0005-0000-0000-00003E380000}"/>
    <cellStyle name="Normal 5 3 4 3 2 2 2" xfId="4757" xr:uid="{00000000-0005-0000-0000-00003F380000}"/>
    <cellStyle name="Normal 5 3 4 3 2 2 2 2" xfId="9689" xr:uid="{00000000-0005-0000-0000-000040380000}"/>
    <cellStyle name="Normal 5 3 4 3 2 2 2 2 2" xfId="19549" xr:uid="{00000000-0005-0000-0000-000041380000}"/>
    <cellStyle name="Normal 5 3 4 3 2 2 2 2 2 2" xfId="39264" xr:uid="{00000000-0005-0000-0000-000042380000}"/>
    <cellStyle name="Normal 5 3 4 3 2 2 2 2 3" xfId="29407" xr:uid="{00000000-0005-0000-0000-000043380000}"/>
    <cellStyle name="Normal 5 3 4 3 2 2 2 3" xfId="14621" xr:uid="{00000000-0005-0000-0000-000044380000}"/>
    <cellStyle name="Normal 5 3 4 3 2 2 2 3 2" xfId="34336" xr:uid="{00000000-0005-0000-0000-000045380000}"/>
    <cellStyle name="Normal 5 3 4 3 2 2 2 4" xfId="24479" xr:uid="{00000000-0005-0000-0000-000046380000}"/>
    <cellStyle name="Normal 5 3 4 3 2 2 3" xfId="7225" xr:uid="{00000000-0005-0000-0000-000047380000}"/>
    <cellStyle name="Normal 5 3 4 3 2 2 3 2" xfId="17085" xr:uid="{00000000-0005-0000-0000-000048380000}"/>
    <cellStyle name="Normal 5 3 4 3 2 2 3 2 2" xfId="36800" xr:uid="{00000000-0005-0000-0000-000049380000}"/>
    <cellStyle name="Normal 5 3 4 3 2 2 3 3" xfId="26943" xr:uid="{00000000-0005-0000-0000-00004A380000}"/>
    <cellStyle name="Normal 5 3 4 3 2 2 4" xfId="12157" xr:uid="{00000000-0005-0000-0000-00004B380000}"/>
    <cellStyle name="Normal 5 3 4 3 2 2 4 2" xfId="31872" xr:uid="{00000000-0005-0000-0000-00004C380000}"/>
    <cellStyle name="Normal 5 3 4 3 2 2 5" xfId="22015" xr:uid="{00000000-0005-0000-0000-00004D380000}"/>
    <cellStyle name="Normal 5 3 4 3 2 3" xfId="3525" xr:uid="{00000000-0005-0000-0000-00004E380000}"/>
    <cellStyle name="Normal 5 3 4 3 2 3 2" xfId="8457" xr:uid="{00000000-0005-0000-0000-00004F380000}"/>
    <cellStyle name="Normal 5 3 4 3 2 3 2 2" xfId="18317" xr:uid="{00000000-0005-0000-0000-000050380000}"/>
    <cellStyle name="Normal 5 3 4 3 2 3 2 2 2" xfId="38032" xr:uid="{00000000-0005-0000-0000-000051380000}"/>
    <cellStyle name="Normal 5 3 4 3 2 3 2 3" xfId="28175" xr:uid="{00000000-0005-0000-0000-000052380000}"/>
    <cellStyle name="Normal 5 3 4 3 2 3 3" xfId="13389" xr:uid="{00000000-0005-0000-0000-000053380000}"/>
    <cellStyle name="Normal 5 3 4 3 2 3 3 2" xfId="33104" xr:uid="{00000000-0005-0000-0000-000054380000}"/>
    <cellStyle name="Normal 5 3 4 3 2 3 4" xfId="23247" xr:uid="{00000000-0005-0000-0000-000055380000}"/>
    <cellStyle name="Normal 5 3 4 3 2 4" xfId="5993" xr:uid="{00000000-0005-0000-0000-000056380000}"/>
    <cellStyle name="Normal 5 3 4 3 2 4 2" xfId="15853" xr:uid="{00000000-0005-0000-0000-000057380000}"/>
    <cellStyle name="Normal 5 3 4 3 2 4 2 2" xfId="35568" xr:uid="{00000000-0005-0000-0000-000058380000}"/>
    <cellStyle name="Normal 5 3 4 3 2 4 3" xfId="25711" xr:uid="{00000000-0005-0000-0000-000059380000}"/>
    <cellStyle name="Normal 5 3 4 3 2 5" xfId="10925" xr:uid="{00000000-0005-0000-0000-00005A380000}"/>
    <cellStyle name="Normal 5 3 4 3 2 5 2" xfId="30640" xr:uid="{00000000-0005-0000-0000-00005B380000}"/>
    <cellStyle name="Normal 5 3 4 3 2 6" xfId="20783" xr:uid="{00000000-0005-0000-0000-00005C380000}"/>
    <cellStyle name="Normal 5 3 4 3 3" xfId="1674" xr:uid="{00000000-0005-0000-0000-00005D380000}"/>
    <cellStyle name="Normal 5 3 4 3 3 2" xfId="4141" xr:uid="{00000000-0005-0000-0000-00005E380000}"/>
    <cellStyle name="Normal 5 3 4 3 3 2 2" xfId="9073" xr:uid="{00000000-0005-0000-0000-00005F380000}"/>
    <cellStyle name="Normal 5 3 4 3 3 2 2 2" xfId="18933" xr:uid="{00000000-0005-0000-0000-000060380000}"/>
    <cellStyle name="Normal 5 3 4 3 3 2 2 2 2" xfId="38648" xr:uid="{00000000-0005-0000-0000-000061380000}"/>
    <cellStyle name="Normal 5 3 4 3 3 2 2 3" xfId="28791" xr:uid="{00000000-0005-0000-0000-000062380000}"/>
    <cellStyle name="Normal 5 3 4 3 3 2 3" xfId="14005" xr:uid="{00000000-0005-0000-0000-000063380000}"/>
    <cellStyle name="Normal 5 3 4 3 3 2 3 2" xfId="33720" xr:uid="{00000000-0005-0000-0000-000064380000}"/>
    <cellStyle name="Normal 5 3 4 3 3 2 4" xfId="23863" xr:uid="{00000000-0005-0000-0000-000065380000}"/>
    <cellStyle name="Normal 5 3 4 3 3 3" xfId="6609" xr:uid="{00000000-0005-0000-0000-000066380000}"/>
    <cellStyle name="Normal 5 3 4 3 3 3 2" xfId="16469" xr:uid="{00000000-0005-0000-0000-000067380000}"/>
    <cellStyle name="Normal 5 3 4 3 3 3 2 2" xfId="36184" xr:uid="{00000000-0005-0000-0000-000068380000}"/>
    <cellStyle name="Normal 5 3 4 3 3 3 3" xfId="26327" xr:uid="{00000000-0005-0000-0000-000069380000}"/>
    <cellStyle name="Normal 5 3 4 3 3 4" xfId="11541" xr:uid="{00000000-0005-0000-0000-00006A380000}"/>
    <cellStyle name="Normal 5 3 4 3 3 4 2" xfId="31256" xr:uid="{00000000-0005-0000-0000-00006B380000}"/>
    <cellStyle name="Normal 5 3 4 3 3 5" xfId="21399" xr:uid="{00000000-0005-0000-0000-00006C380000}"/>
    <cellStyle name="Normal 5 3 4 3 4" xfId="2909" xr:uid="{00000000-0005-0000-0000-00006D380000}"/>
    <cellStyle name="Normal 5 3 4 3 4 2" xfId="7841" xr:uid="{00000000-0005-0000-0000-00006E380000}"/>
    <cellStyle name="Normal 5 3 4 3 4 2 2" xfId="17701" xr:uid="{00000000-0005-0000-0000-00006F380000}"/>
    <cellStyle name="Normal 5 3 4 3 4 2 2 2" xfId="37416" xr:uid="{00000000-0005-0000-0000-000070380000}"/>
    <cellStyle name="Normal 5 3 4 3 4 2 3" xfId="27559" xr:uid="{00000000-0005-0000-0000-000071380000}"/>
    <cellStyle name="Normal 5 3 4 3 4 3" xfId="12773" xr:uid="{00000000-0005-0000-0000-000072380000}"/>
    <cellStyle name="Normal 5 3 4 3 4 3 2" xfId="32488" xr:uid="{00000000-0005-0000-0000-000073380000}"/>
    <cellStyle name="Normal 5 3 4 3 4 4" xfId="22631" xr:uid="{00000000-0005-0000-0000-000074380000}"/>
    <cellStyle name="Normal 5 3 4 3 5" xfId="5377" xr:uid="{00000000-0005-0000-0000-000075380000}"/>
    <cellStyle name="Normal 5 3 4 3 5 2" xfId="15237" xr:uid="{00000000-0005-0000-0000-000076380000}"/>
    <cellStyle name="Normal 5 3 4 3 5 2 2" xfId="34952" xr:uid="{00000000-0005-0000-0000-000077380000}"/>
    <cellStyle name="Normal 5 3 4 3 5 3" xfId="25095" xr:uid="{00000000-0005-0000-0000-000078380000}"/>
    <cellStyle name="Normal 5 3 4 3 6" xfId="10309" xr:uid="{00000000-0005-0000-0000-000079380000}"/>
    <cellStyle name="Normal 5 3 4 3 6 2" xfId="30024" xr:uid="{00000000-0005-0000-0000-00007A380000}"/>
    <cellStyle name="Normal 5 3 4 3 7" xfId="20167" xr:uid="{00000000-0005-0000-0000-00007B380000}"/>
    <cellStyle name="Normal 5 3 4 4" xfId="748" xr:uid="{00000000-0005-0000-0000-00007C380000}"/>
    <cellStyle name="Normal 5 3 4 4 2" xfId="1984" xr:uid="{00000000-0005-0000-0000-00007D380000}"/>
    <cellStyle name="Normal 5 3 4 4 2 2" xfId="4451" xr:uid="{00000000-0005-0000-0000-00007E380000}"/>
    <cellStyle name="Normal 5 3 4 4 2 2 2" xfId="9383" xr:uid="{00000000-0005-0000-0000-00007F380000}"/>
    <cellStyle name="Normal 5 3 4 4 2 2 2 2" xfId="19243" xr:uid="{00000000-0005-0000-0000-000080380000}"/>
    <cellStyle name="Normal 5 3 4 4 2 2 2 2 2" xfId="38958" xr:uid="{00000000-0005-0000-0000-000081380000}"/>
    <cellStyle name="Normal 5 3 4 4 2 2 2 3" xfId="29101" xr:uid="{00000000-0005-0000-0000-000082380000}"/>
    <cellStyle name="Normal 5 3 4 4 2 2 3" xfId="14315" xr:uid="{00000000-0005-0000-0000-000083380000}"/>
    <cellStyle name="Normal 5 3 4 4 2 2 3 2" xfId="34030" xr:uid="{00000000-0005-0000-0000-000084380000}"/>
    <cellStyle name="Normal 5 3 4 4 2 2 4" xfId="24173" xr:uid="{00000000-0005-0000-0000-000085380000}"/>
    <cellStyle name="Normal 5 3 4 4 2 3" xfId="6919" xr:uid="{00000000-0005-0000-0000-000086380000}"/>
    <cellStyle name="Normal 5 3 4 4 2 3 2" xfId="16779" xr:uid="{00000000-0005-0000-0000-000087380000}"/>
    <cellStyle name="Normal 5 3 4 4 2 3 2 2" xfId="36494" xr:uid="{00000000-0005-0000-0000-000088380000}"/>
    <cellStyle name="Normal 5 3 4 4 2 3 3" xfId="26637" xr:uid="{00000000-0005-0000-0000-000089380000}"/>
    <cellStyle name="Normal 5 3 4 4 2 4" xfId="11851" xr:uid="{00000000-0005-0000-0000-00008A380000}"/>
    <cellStyle name="Normal 5 3 4 4 2 4 2" xfId="31566" xr:uid="{00000000-0005-0000-0000-00008B380000}"/>
    <cellStyle name="Normal 5 3 4 4 2 5" xfId="21709" xr:uid="{00000000-0005-0000-0000-00008C380000}"/>
    <cellStyle name="Normal 5 3 4 4 3" xfId="3219" xr:uid="{00000000-0005-0000-0000-00008D380000}"/>
    <cellStyle name="Normal 5 3 4 4 3 2" xfId="8151" xr:uid="{00000000-0005-0000-0000-00008E380000}"/>
    <cellStyle name="Normal 5 3 4 4 3 2 2" xfId="18011" xr:uid="{00000000-0005-0000-0000-00008F380000}"/>
    <cellStyle name="Normal 5 3 4 4 3 2 2 2" xfId="37726" xr:uid="{00000000-0005-0000-0000-000090380000}"/>
    <cellStyle name="Normal 5 3 4 4 3 2 3" xfId="27869" xr:uid="{00000000-0005-0000-0000-000091380000}"/>
    <cellStyle name="Normal 5 3 4 4 3 3" xfId="13083" xr:uid="{00000000-0005-0000-0000-000092380000}"/>
    <cellStyle name="Normal 5 3 4 4 3 3 2" xfId="32798" xr:uid="{00000000-0005-0000-0000-000093380000}"/>
    <cellStyle name="Normal 5 3 4 4 3 4" xfId="22941" xr:uid="{00000000-0005-0000-0000-000094380000}"/>
    <cellStyle name="Normal 5 3 4 4 4" xfId="5687" xr:uid="{00000000-0005-0000-0000-000095380000}"/>
    <cellStyle name="Normal 5 3 4 4 4 2" xfId="15547" xr:uid="{00000000-0005-0000-0000-000096380000}"/>
    <cellStyle name="Normal 5 3 4 4 4 2 2" xfId="35262" xr:uid="{00000000-0005-0000-0000-000097380000}"/>
    <cellStyle name="Normal 5 3 4 4 4 3" xfId="25405" xr:uid="{00000000-0005-0000-0000-000098380000}"/>
    <cellStyle name="Normal 5 3 4 4 5" xfId="10619" xr:uid="{00000000-0005-0000-0000-000099380000}"/>
    <cellStyle name="Normal 5 3 4 4 5 2" xfId="30334" xr:uid="{00000000-0005-0000-0000-00009A380000}"/>
    <cellStyle name="Normal 5 3 4 4 6" xfId="20477" xr:uid="{00000000-0005-0000-0000-00009B380000}"/>
    <cellStyle name="Normal 5 3 4 5" xfId="1368" xr:uid="{00000000-0005-0000-0000-00009C380000}"/>
    <cellStyle name="Normal 5 3 4 5 2" xfId="3835" xr:uid="{00000000-0005-0000-0000-00009D380000}"/>
    <cellStyle name="Normal 5 3 4 5 2 2" xfId="8767" xr:uid="{00000000-0005-0000-0000-00009E380000}"/>
    <cellStyle name="Normal 5 3 4 5 2 2 2" xfId="18627" xr:uid="{00000000-0005-0000-0000-00009F380000}"/>
    <cellStyle name="Normal 5 3 4 5 2 2 2 2" xfId="38342" xr:uid="{00000000-0005-0000-0000-0000A0380000}"/>
    <cellStyle name="Normal 5 3 4 5 2 2 3" xfId="28485" xr:uid="{00000000-0005-0000-0000-0000A1380000}"/>
    <cellStyle name="Normal 5 3 4 5 2 3" xfId="13699" xr:uid="{00000000-0005-0000-0000-0000A2380000}"/>
    <cellStyle name="Normal 5 3 4 5 2 3 2" xfId="33414" xr:uid="{00000000-0005-0000-0000-0000A3380000}"/>
    <cellStyle name="Normal 5 3 4 5 2 4" xfId="23557" xr:uid="{00000000-0005-0000-0000-0000A4380000}"/>
    <cellStyle name="Normal 5 3 4 5 3" xfId="6303" xr:uid="{00000000-0005-0000-0000-0000A5380000}"/>
    <cellStyle name="Normal 5 3 4 5 3 2" xfId="16163" xr:uid="{00000000-0005-0000-0000-0000A6380000}"/>
    <cellStyle name="Normal 5 3 4 5 3 2 2" xfId="35878" xr:uid="{00000000-0005-0000-0000-0000A7380000}"/>
    <cellStyle name="Normal 5 3 4 5 3 3" xfId="26021" xr:uid="{00000000-0005-0000-0000-0000A8380000}"/>
    <cellStyle name="Normal 5 3 4 5 4" xfId="11235" xr:uid="{00000000-0005-0000-0000-0000A9380000}"/>
    <cellStyle name="Normal 5 3 4 5 4 2" xfId="30950" xr:uid="{00000000-0005-0000-0000-0000AA380000}"/>
    <cellStyle name="Normal 5 3 4 5 5" xfId="21093" xr:uid="{00000000-0005-0000-0000-0000AB380000}"/>
    <cellStyle name="Normal 5 3 4 6" xfId="2603" xr:uid="{00000000-0005-0000-0000-0000AC380000}"/>
    <cellStyle name="Normal 5 3 4 6 2" xfId="7535" xr:uid="{00000000-0005-0000-0000-0000AD380000}"/>
    <cellStyle name="Normal 5 3 4 6 2 2" xfId="17395" xr:uid="{00000000-0005-0000-0000-0000AE380000}"/>
    <cellStyle name="Normal 5 3 4 6 2 2 2" xfId="37110" xr:uid="{00000000-0005-0000-0000-0000AF380000}"/>
    <cellStyle name="Normal 5 3 4 6 2 3" xfId="27253" xr:uid="{00000000-0005-0000-0000-0000B0380000}"/>
    <cellStyle name="Normal 5 3 4 6 3" xfId="12467" xr:uid="{00000000-0005-0000-0000-0000B1380000}"/>
    <cellStyle name="Normal 5 3 4 6 3 2" xfId="32182" xr:uid="{00000000-0005-0000-0000-0000B2380000}"/>
    <cellStyle name="Normal 5 3 4 6 4" xfId="22325" xr:uid="{00000000-0005-0000-0000-0000B3380000}"/>
    <cellStyle name="Normal 5 3 4 7" xfId="5071" xr:uid="{00000000-0005-0000-0000-0000B4380000}"/>
    <cellStyle name="Normal 5 3 4 7 2" xfId="14931" xr:uid="{00000000-0005-0000-0000-0000B5380000}"/>
    <cellStyle name="Normal 5 3 4 7 2 2" xfId="34646" xr:uid="{00000000-0005-0000-0000-0000B6380000}"/>
    <cellStyle name="Normal 5 3 4 7 3" xfId="24789" xr:uid="{00000000-0005-0000-0000-0000B7380000}"/>
    <cellStyle name="Normal 5 3 4 8" xfId="10003" xr:uid="{00000000-0005-0000-0000-0000B8380000}"/>
    <cellStyle name="Normal 5 3 4 8 2" xfId="29718" xr:uid="{00000000-0005-0000-0000-0000B9380000}"/>
    <cellStyle name="Normal 5 3 4 9" xfId="19861" xr:uid="{00000000-0005-0000-0000-0000BA380000}"/>
    <cellStyle name="Normal 5 3 5" xfId="197" xr:uid="{00000000-0005-0000-0000-0000BB380000}"/>
    <cellStyle name="Normal 5 3 5 2" xfId="511" xr:uid="{00000000-0005-0000-0000-0000BC380000}"/>
    <cellStyle name="Normal 5 3 5 2 2" xfId="1131" xr:uid="{00000000-0005-0000-0000-0000BD380000}"/>
    <cellStyle name="Normal 5 3 5 2 2 2" xfId="2366" xr:uid="{00000000-0005-0000-0000-0000BE380000}"/>
    <cellStyle name="Normal 5 3 5 2 2 2 2" xfId="4833" xr:uid="{00000000-0005-0000-0000-0000BF380000}"/>
    <cellStyle name="Normal 5 3 5 2 2 2 2 2" xfId="9765" xr:uid="{00000000-0005-0000-0000-0000C0380000}"/>
    <cellStyle name="Normal 5 3 5 2 2 2 2 2 2" xfId="19625" xr:uid="{00000000-0005-0000-0000-0000C1380000}"/>
    <cellStyle name="Normal 5 3 5 2 2 2 2 2 2 2" xfId="39340" xr:uid="{00000000-0005-0000-0000-0000C2380000}"/>
    <cellStyle name="Normal 5 3 5 2 2 2 2 2 3" xfId="29483" xr:uid="{00000000-0005-0000-0000-0000C3380000}"/>
    <cellStyle name="Normal 5 3 5 2 2 2 2 3" xfId="14697" xr:uid="{00000000-0005-0000-0000-0000C4380000}"/>
    <cellStyle name="Normal 5 3 5 2 2 2 2 3 2" xfId="34412" xr:uid="{00000000-0005-0000-0000-0000C5380000}"/>
    <cellStyle name="Normal 5 3 5 2 2 2 2 4" xfId="24555" xr:uid="{00000000-0005-0000-0000-0000C6380000}"/>
    <cellStyle name="Normal 5 3 5 2 2 2 3" xfId="7301" xr:uid="{00000000-0005-0000-0000-0000C7380000}"/>
    <cellStyle name="Normal 5 3 5 2 2 2 3 2" xfId="17161" xr:uid="{00000000-0005-0000-0000-0000C8380000}"/>
    <cellStyle name="Normal 5 3 5 2 2 2 3 2 2" xfId="36876" xr:uid="{00000000-0005-0000-0000-0000C9380000}"/>
    <cellStyle name="Normal 5 3 5 2 2 2 3 3" xfId="27019" xr:uid="{00000000-0005-0000-0000-0000CA380000}"/>
    <cellStyle name="Normal 5 3 5 2 2 2 4" xfId="12233" xr:uid="{00000000-0005-0000-0000-0000CB380000}"/>
    <cellStyle name="Normal 5 3 5 2 2 2 4 2" xfId="31948" xr:uid="{00000000-0005-0000-0000-0000CC380000}"/>
    <cellStyle name="Normal 5 3 5 2 2 2 5" xfId="22091" xr:uid="{00000000-0005-0000-0000-0000CD380000}"/>
    <cellStyle name="Normal 5 3 5 2 2 3" xfId="3601" xr:uid="{00000000-0005-0000-0000-0000CE380000}"/>
    <cellStyle name="Normal 5 3 5 2 2 3 2" xfId="8533" xr:uid="{00000000-0005-0000-0000-0000CF380000}"/>
    <cellStyle name="Normal 5 3 5 2 2 3 2 2" xfId="18393" xr:uid="{00000000-0005-0000-0000-0000D0380000}"/>
    <cellStyle name="Normal 5 3 5 2 2 3 2 2 2" xfId="38108" xr:uid="{00000000-0005-0000-0000-0000D1380000}"/>
    <cellStyle name="Normal 5 3 5 2 2 3 2 3" xfId="28251" xr:uid="{00000000-0005-0000-0000-0000D2380000}"/>
    <cellStyle name="Normal 5 3 5 2 2 3 3" xfId="13465" xr:uid="{00000000-0005-0000-0000-0000D3380000}"/>
    <cellStyle name="Normal 5 3 5 2 2 3 3 2" xfId="33180" xr:uid="{00000000-0005-0000-0000-0000D4380000}"/>
    <cellStyle name="Normal 5 3 5 2 2 3 4" xfId="23323" xr:uid="{00000000-0005-0000-0000-0000D5380000}"/>
    <cellStyle name="Normal 5 3 5 2 2 4" xfId="6069" xr:uid="{00000000-0005-0000-0000-0000D6380000}"/>
    <cellStyle name="Normal 5 3 5 2 2 4 2" xfId="15929" xr:uid="{00000000-0005-0000-0000-0000D7380000}"/>
    <cellStyle name="Normal 5 3 5 2 2 4 2 2" xfId="35644" xr:uid="{00000000-0005-0000-0000-0000D8380000}"/>
    <cellStyle name="Normal 5 3 5 2 2 4 3" xfId="25787" xr:uid="{00000000-0005-0000-0000-0000D9380000}"/>
    <cellStyle name="Normal 5 3 5 2 2 5" xfId="11001" xr:uid="{00000000-0005-0000-0000-0000DA380000}"/>
    <cellStyle name="Normal 5 3 5 2 2 5 2" xfId="30716" xr:uid="{00000000-0005-0000-0000-0000DB380000}"/>
    <cellStyle name="Normal 5 3 5 2 2 6" xfId="20859" xr:uid="{00000000-0005-0000-0000-0000DC380000}"/>
    <cellStyle name="Normal 5 3 5 2 3" xfId="1750" xr:uid="{00000000-0005-0000-0000-0000DD380000}"/>
    <cellStyle name="Normal 5 3 5 2 3 2" xfId="4217" xr:uid="{00000000-0005-0000-0000-0000DE380000}"/>
    <cellStyle name="Normal 5 3 5 2 3 2 2" xfId="9149" xr:uid="{00000000-0005-0000-0000-0000DF380000}"/>
    <cellStyle name="Normal 5 3 5 2 3 2 2 2" xfId="19009" xr:uid="{00000000-0005-0000-0000-0000E0380000}"/>
    <cellStyle name="Normal 5 3 5 2 3 2 2 2 2" xfId="38724" xr:uid="{00000000-0005-0000-0000-0000E1380000}"/>
    <cellStyle name="Normal 5 3 5 2 3 2 2 3" xfId="28867" xr:uid="{00000000-0005-0000-0000-0000E2380000}"/>
    <cellStyle name="Normal 5 3 5 2 3 2 3" xfId="14081" xr:uid="{00000000-0005-0000-0000-0000E3380000}"/>
    <cellStyle name="Normal 5 3 5 2 3 2 3 2" xfId="33796" xr:uid="{00000000-0005-0000-0000-0000E4380000}"/>
    <cellStyle name="Normal 5 3 5 2 3 2 4" xfId="23939" xr:uid="{00000000-0005-0000-0000-0000E5380000}"/>
    <cellStyle name="Normal 5 3 5 2 3 3" xfId="6685" xr:uid="{00000000-0005-0000-0000-0000E6380000}"/>
    <cellStyle name="Normal 5 3 5 2 3 3 2" xfId="16545" xr:uid="{00000000-0005-0000-0000-0000E7380000}"/>
    <cellStyle name="Normal 5 3 5 2 3 3 2 2" xfId="36260" xr:uid="{00000000-0005-0000-0000-0000E8380000}"/>
    <cellStyle name="Normal 5 3 5 2 3 3 3" xfId="26403" xr:uid="{00000000-0005-0000-0000-0000E9380000}"/>
    <cellStyle name="Normal 5 3 5 2 3 4" xfId="11617" xr:uid="{00000000-0005-0000-0000-0000EA380000}"/>
    <cellStyle name="Normal 5 3 5 2 3 4 2" xfId="31332" xr:uid="{00000000-0005-0000-0000-0000EB380000}"/>
    <cellStyle name="Normal 5 3 5 2 3 5" xfId="21475" xr:uid="{00000000-0005-0000-0000-0000EC380000}"/>
    <cellStyle name="Normal 5 3 5 2 4" xfId="2985" xr:uid="{00000000-0005-0000-0000-0000ED380000}"/>
    <cellStyle name="Normal 5 3 5 2 4 2" xfId="7917" xr:uid="{00000000-0005-0000-0000-0000EE380000}"/>
    <cellStyle name="Normal 5 3 5 2 4 2 2" xfId="17777" xr:uid="{00000000-0005-0000-0000-0000EF380000}"/>
    <cellStyle name="Normal 5 3 5 2 4 2 2 2" xfId="37492" xr:uid="{00000000-0005-0000-0000-0000F0380000}"/>
    <cellStyle name="Normal 5 3 5 2 4 2 3" xfId="27635" xr:uid="{00000000-0005-0000-0000-0000F1380000}"/>
    <cellStyle name="Normal 5 3 5 2 4 3" xfId="12849" xr:uid="{00000000-0005-0000-0000-0000F2380000}"/>
    <cellStyle name="Normal 5 3 5 2 4 3 2" xfId="32564" xr:uid="{00000000-0005-0000-0000-0000F3380000}"/>
    <cellStyle name="Normal 5 3 5 2 4 4" xfId="22707" xr:uid="{00000000-0005-0000-0000-0000F4380000}"/>
    <cellStyle name="Normal 5 3 5 2 5" xfId="5453" xr:uid="{00000000-0005-0000-0000-0000F5380000}"/>
    <cellStyle name="Normal 5 3 5 2 5 2" xfId="15313" xr:uid="{00000000-0005-0000-0000-0000F6380000}"/>
    <cellStyle name="Normal 5 3 5 2 5 2 2" xfId="35028" xr:uid="{00000000-0005-0000-0000-0000F7380000}"/>
    <cellStyle name="Normal 5 3 5 2 5 3" xfId="25171" xr:uid="{00000000-0005-0000-0000-0000F8380000}"/>
    <cellStyle name="Normal 5 3 5 2 6" xfId="10385" xr:uid="{00000000-0005-0000-0000-0000F9380000}"/>
    <cellStyle name="Normal 5 3 5 2 6 2" xfId="30100" xr:uid="{00000000-0005-0000-0000-0000FA380000}"/>
    <cellStyle name="Normal 5 3 5 2 7" xfId="20243" xr:uid="{00000000-0005-0000-0000-0000FB380000}"/>
    <cellStyle name="Normal 5 3 5 3" xfId="824" xr:uid="{00000000-0005-0000-0000-0000FC380000}"/>
    <cellStyle name="Normal 5 3 5 3 2" xfId="2060" xr:uid="{00000000-0005-0000-0000-0000FD380000}"/>
    <cellStyle name="Normal 5 3 5 3 2 2" xfId="4527" xr:uid="{00000000-0005-0000-0000-0000FE380000}"/>
    <cellStyle name="Normal 5 3 5 3 2 2 2" xfId="9459" xr:uid="{00000000-0005-0000-0000-0000FF380000}"/>
    <cellStyle name="Normal 5 3 5 3 2 2 2 2" xfId="19319" xr:uid="{00000000-0005-0000-0000-000000390000}"/>
    <cellStyle name="Normal 5 3 5 3 2 2 2 2 2" xfId="39034" xr:uid="{00000000-0005-0000-0000-000001390000}"/>
    <cellStyle name="Normal 5 3 5 3 2 2 2 3" xfId="29177" xr:uid="{00000000-0005-0000-0000-000002390000}"/>
    <cellStyle name="Normal 5 3 5 3 2 2 3" xfId="14391" xr:uid="{00000000-0005-0000-0000-000003390000}"/>
    <cellStyle name="Normal 5 3 5 3 2 2 3 2" xfId="34106" xr:uid="{00000000-0005-0000-0000-000004390000}"/>
    <cellStyle name="Normal 5 3 5 3 2 2 4" xfId="24249" xr:uid="{00000000-0005-0000-0000-000005390000}"/>
    <cellStyle name="Normal 5 3 5 3 2 3" xfId="6995" xr:uid="{00000000-0005-0000-0000-000006390000}"/>
    <cellStyle name="Normal 5 3 5 3 2 3 2" xfId="16855" xr:uid="{00000000-0005-0000-0000-000007390000}"/>
    <cellStyle name="Normal 5 3 5 3 2 3 2 2" xfId="36570" xr:uid="{00000000-0005-0000-0000-000008390000}"/>
    <cellStyle name="Normal 5 3 5 3 2 3 3" xfId="26713" xr:uid="{00000000-0005-0000-0000-000009390000}"/>
    <cellStyle name="Normal 5 3 5 3 2 4" xfId="11927" xr:uid="{00000000-0005-0000-0000-00000A390000}"/>
    <cellStyle name="Normal 5 3 5 3 2 4 2" xfId="31642" xr:uid="{00000000-0005-0000-0000-00000B390000}"/>
    <cellStyle name="Normal 5 3 5 3 2 5" xfId="21785" xr:uid="{00000000-0005-0000-0000-00000C390000}"/>
    <cellStyle name="Normal 5 3 5 3 3" xfId="3295" xr:uid="{00000000-0005-0000-0000-00000D390000}"/>
    <cellStyle name="Normal 5 3 5 3 3 2" xfId="8227" xr:uid="{00000000-0005-0000-0000-00000E390000}"/>
    <cellStyle name="Normal 5 3 5 3 3 2 2" xfId="18087" xr:uid="{00000000-0005-0000-0000-00000F390000}"/>
    <cellStyle name="Normal 5 3 5 3 3 2 2 2" xfId="37802" xr:uid="{00000000-0005-0000-0000-000010390000}"/>
    <cellStyle name="Normal 5 3 5 3 3 2 3" xfId="27945" xr:uid="{00000000-0005-0000-0000-000011390000}"/>
    <cellStyle name="Normal 5 3 5 3 3 3" xfId="13159" xr:uid="{00000000-0005-0000-0000-000012390000}"/>
    <cellStyle name="Normal 5 3 5 3 3 3 2" xfId="32874" xr:uid="{00000000-0005-0000-0000-000013390000}"/>
    <cellStyle name="Normal 5 3 5 3 3 4" xfId="23017" xr:uid="{00000000-0005-0000-0000-000014390000}"/>
    <cellStyle name="Normal 5 3 5 3 4" xfId="5763" xr:uid="{00000000-0005-0000-0000-000015390000}"/>
    <cellStyle name="Normal 5 3 5 3 4 2" xfId="15623" xr:uid="{00000000-0005-0000-0000-000016390000}"/>
    <cellStyle name="Normal 5 3 5 3 4 2 2" xfId="35338" xr:uid="{00000000-0005-0000-0000-000017390000}"/>
    <cellStyle name="Normal 5 3 5 3 4 3" xfId="25481" xr:uid="{00000000-0005-0000-0000-000018390000}"/>
    <cellStyle name="Normal 5 3 5 3 5" xfId="10695" xr:uid="{00000000-0005-0000-0000-000019390000}"/>
    <cellStyle name="Normal 5 3 5 3 5 2" xfId="30410" xr:uid="{00000000-0005-0000-0000-00001A390000}"/>
    <cellStyle name="Normal 5 3 5 3 6" xfId="20553" xr:uid="{00000000-0005-0000-0000-00001B390000}"/>
    <cellStyle name="Normal 5 3 5 4" xfId="1444" xr:uid="{00000000-0005-0000-0000-00001C390000}"/>
    <cellStyle name="Normal 5 3 5 4 2" xfId="3911" xr:uid="{00000000-0005-0000-0000-00001D390000}"/>
    <cellStyle name="Normal 5 3 5 4 2 2" xfId="8843" xr:uid="{00000000-0005-0000-0000-00001E390000}"/>
    <cellStyle name="Normal 5 3 5 4 2 2 2" xfId="18703" xr:uid="{00000000-0005-0000-0000-00001F390000}"/>
    <cellStyle name="Normal 5 3 5 4 2 2 2 2" xfId="38418" xr:uid="{00000000-0005-0000-0000-000020390000}"/>
    <cellStyle name="Normal 5 3 5 4 2 2 3" xfId="28561" xr:uid="{00000000-0005-0000-0000-000021390000}"/>
    <cellStyle name="Normal 5 3 5 4 2 3" xfId="13775" xr:uid="{00000000-0005-0000-0000-000022390000}"/>
    <cellStyle name="Normal 5 3 5 4 2 3 2" xfId="33490" xr:uid="{00000000-0005-0000-0000-000023390000}"/>
    <cellStyle name="Normal 5 3 5 4 2 4" xfId="23633" xr:uid="{00000000-0005-0000-0000-000024390000}"/>
    <cellStyle name="Normal 5 3 5 4 3" xfId="6379" xr:uid="{00000000-0005-0000-0000-000025390000}"/>
    <cellStyle name="Normal 5 3 5 4 3 2" xfId="16239" xr:uid="{00000000-0005-0000-0000-000026390000}"/>
    <cellStyle name="Normal 5 3 5 4 3 2 2" xfId="35954" xr:uid="{00000000-0005-0000-0000-000027390000}"/>
    <cellStyle name="Normal 5 3 5 4 3 3" xfId="26097" xr:uid="{00000000-0005-0000-0000-000028390000}"/>
    <cellStyle name="Normal 5 3 5 4 4" xfId="11311" xr:uid="{00000000-0005-0000-0000-000029390000}"/>
    <cellStyle name="Normal 5 3 5 4 4 2" xfId="31026" xr:uid="{00000000-0005-0000-0000-00002A390000}"/>
    <cellStyle name="Normal 5 3 5 4 5" xfId="21169" xr:uid="{00000000-0005-0000-0000-00002B390000}"/>
    <cellStyle name="Normal 5 3 5 5" xfId="2679" xr:uid="{00000000-0005-0000-0000-00002C390000}"/>
    <cellStyle name="Normal 5 3 5 5 2" xfId="7611" xr:uid="{00000000-0005-0000-0000-00002D390000}"/>
    <cellStyle name="Normal 5 3 5 5 2 2" xfId="17471" xr:uid="{00000000-0005-0000-0000-00002E390000}"/>
    <cellStyle name="Normal 5 3 5 5 2 2 2" xfId="37186" xr:uid="{00000000-0005-0000-0000-00002F390000}"/>
    <cellStyle name="Normal 5 3 5 5 2 3" xfId="27329" xr:uid="{00000000-0005-0000-0000-000030390000}"/>
    <cellStyle name="Normal 5 3 5 5 3" xfId="12543" xr:uid="{00000000-0005-0000-0000-000031390000}"/>
    <cellStyle name="Normal 5 3 5 5 3 2" xfId="32258" xr:uid="{00000000-0005-0000-0000-000032390000}"/>
    <cellStyle name="Normal 5 3 5 5 4" xfId="22401" xr:uid="{00000000-0005-0000-0000-000033390000}"/>
    <cellStyle name="Normal 5 3 5 6" xfId="5147" xr:uid="{00000000-0005-0000-0000-000034390000}"/>
    <cellStyle name="Normal 5 3 5 6 2" xfId="15007" xr:uid="{00000000-0005-0000-0000-000035390000}"/>
    <cellStyle name="Normal 5 3 5 6 2 2" xfId="34722" xr:uid="{00000000-0005-0000-0000-000036390000}"/>
    <cellStyle name="Normal 5 3 5 6 3" xfId="24865" xr:uid="{00000000-0005-0000-0000-000037390000}"/>
    <cellStyle name="Normal 5 3 5 7" xfId="10079" xr:uid="{00000000-0005-0000-0000-000038390000}"/>
    <cellStyle name="Normal 5 3 5 7 2" xfId="29794" xr:uid="{00000000-0005-0000-0000-000039390000}"/>
    <cellStyle name="Normal 5 3 5 8" xfId="19937" xr:uid="{00000000-0005-0000-0000-00003A390000}"/>
    <cellStyle name="Normal 5 3 6" xfId="359" xr:uid="{00000000-0005-0000-0000-00003B390000}"/>
    <cellStyle name="Normal 5 3 6 2" xfId="979" xr:uid="{00000000-0005-0000-0000-00003C390000}"/>
    <cellStyle name="Normal 5 3 6 2 2" xfId="2214" xr:uid="{00000000-0005-0000-0000-00003D390000}"/>
    <cellStyle name="Normal 5 3 6 2 2 2" xfId="4681" xr:uid="{00000000-0005-0000-0000-00003E390000}"/>
    <cellStyle name="Normal 5 3 6 2 2 2 2" xfId="9613" xr:uid="{00000000-0005-0000-0000-00003F390000}"/>
    <cellStyle name="Normal 5 3 6 2 2 2 2 2" xfId="19473" xr:uid="{00000000-0005-0000-0000-000040390000}"/>
    <cellStyle name="Normal 5 3 6 2 2 2 2 2 2" xfId="39188" xr:uid="{00000000-0005-0000-0000-000041390000}"/>
    <cellStyle name="Normal 5 3 6 2 2 2 2 3" xfId="29331" xr:uid="{00000000-0005-0000-0000-000042390000}"/>
    <cellStyle name="Normal 5 3 6 2 2 2 3" xfId="14545" xr:uid="{00000000-0005-0000-0000-000043390000}"/>
    <cellStyle name="Normal 5 3 6 2 2 2 3 2" xfId="34260" xr:uid="{00000000-0005-0000-0000-000044390000}"/>
    <cellStyle name="Normal 5 3 6 2 2 2 4" xfId="24403" xr:uid="{00000000-0005-0000-0000-000045390000}"/>
    <cellStyle name="Normal 5 3 6 2 2 3" xfId="7149" xr:uid="{00000000-0005-0000-0000-000046390000}"/>
    <cellStyle name="Normal 5 3 6 2 2 3 2" xfId="17009" xr:uid="{00000000-0005-0000-0000-000047390000}"/>
    <cellStyle name="Normal 5 3 6 2 2 3 2 2" xfId="36724" xr:uid="{00000000-0005-0000-0000-000048390000}"/>
    <cellStyle name="Normal 5 3 6 2 2 3 3" xfId="26867" xr:uid="{00000000-0005-0000-0000-000049390000}"/>
    <cellStyle name="Normal 5 3 6 2 2 4" xfId="12081" xr:uid="{00000000-0005-0000-0000-00004A390000}"/>
    <cellStyle name="Normal 5 3 6 2 2 4 2" xfId="31796" xr:uid="{00000000-0005-0000-0000-00004B390000}"/>
    <cellStyle name="Normal 5 3 6 2 2 5" xfId="21939" xr:uid="{00000000-0005-0000-0000-00004C390000}"/>
    <cellStyle name="Normal 5 3 6 2 3" xfId="3449" xr:uid="{00000000-0005-0000-0000-00004D390000}"/>
    <cellStyle name="Normal 5 3 6 2 3 2" xfId="8381" xr:uid="{00000000-0005-0000-0000-00004E390000}"/>
    <cellStyle name="Normal 5 3 6 2 3 2 2" xfId="18241" xr:uid="{00000000-0005-0000-0000-00004F390000}"/>
    <cellStyle name="Normal 5 3 6 2 3 2 2 2" xfId="37956" xr:uid="{00000000-0005-0000-0000-000050390000}"/>
    <cellStyle name="Normal 5 3 6 2 3 2 3" xfId="28099" xr:uid="{00000000-0005-0000-0000-000051390000}"/>
    <cellStyle name="Normal 5 3 6 2 3 3" xfId="13313" xr:uid="{00000000-0005-0000-0000-000052390000}"/>
    <cellStyle name="Normal 5 3 6 2 3 3 2" xfId="33028" xr:uid="{00000000-0005-0000-0000-000053390000}"/>
    <cellStyle name="Normal 5 3 6 2 3 4" xfId="23171" xr:uid="{00000000-0005-0000-0000-000054390000}"/>
    <cellStyle name="Normal 5 3 6 2 4" xfId="5917" xr:uid="{00000000-0005-0000-0000-000055390000}"/>
    <cellStyle name="Normal 5 3 6 2 4 2" xfId="15777" xr:uid="{00000000-0005-0000-0000-000056390000}"/>
    <cellStyle name="Normal 5 3 6 2 4 2 2" xfId="35492" xr:uid="{00000000-0005-0000-0000-000057390000}"/>
    <cellStyle name="Normal 5 3 6 2 4 3" xfId="25635" xr:uid="{00000000-0005-0000-0000-000058390000}"/>
    <cellStyle name="Normal 5 3 6 2 5" xfId="10849" xr:uid="{00000000-0005-0000-0000-000059390000}"/>
    <cellStyle name="Normal 5 3 6 2 5 2" xfId="30564" xr:uid="{00000000-0005-0000-0000-00005A390000}"/>
    <cellStyle name="Normal 5 3 6 2 6" xfId="20707" xr:uid="{00000000-0005-0000-0000-00005B390000}"/>
    <cellStyle name="Normal 5 3 6 3" xfId="1598" xr:uid="{00000000-0005-0000-0000-00005C390000}"/>
    <cellStyle name="Normal 5 3 6 3 2" xfId="4065" xr:uid="{00000000-0005-0000-0000-00005D390000}"/>
    <cellStyle name="Normal 5 3 6 3 2 2" xfId="8997" xr:uid="{00000000-0005-0000-0000-00005E390000}"/>
    <cellStyle name="Normal 5 3 6 3 2 2 2" xfId="18857" xr:uid="{00000000-0005-0000-0000-00005F390000}"/>
    <cellStyle name="Normal 5 3 6 3 2 2 2 2" xfId="38572" xr:uid="{00000000-0005-0000-0000-000060390000}"/>
    <cellStyle name="Normal 5 3 6 3 2 2 3" xfId="28715" xr:uid="{00000000-0005-0000-0000-000061390000}"/>
    <cellStyle name="Normal 5 3 6 3 2 3" xfId="13929" xr:uid="{00000000-0005-0000-0000-000062390000}"/>
    <cellStyle name="Normal 5 3 6 3 2 3 2" xfId="33644" xr:uid="{00000000-0005-0000-0000-000063390000}"/>
    <cellStyle name="Normal 5 3 6 3 2 4" xfId="23787" xr:uid="{00000000-0005-0000-0000-000064390000}"/>
    <cellStyle name="Normal 5 3 6 3 3" xfId="6533" xr:uid="{00000000-0005-0000-0000-000065390000}"/>
    <cellStyle name="Normal 5 3 6 3 3 2" xfId="16393" xr:uid="{00000000-0005-0000-0000-000066390000}"/>
    <cellStyle name="Normal 5 3 6 3 3 2 2" xfId="36108" xr:uid="{00000000-0005-0000-0000-000067390000}"/>
    <cellStyle name="Normal 5 3 6 3 3 3" xfId="26251" xr:uid="{00000000-0005-0000-0000-000068390000}"/>
    <cellStyle name="Normal 5 3 6 3 4" xfId="11465" xr:uid="{00000000-0005-0000-0000-000069390000}"/>
    <cellStyle name="Normal 5 3 6 3 4 2" xfId="31180" xr:uid="{00000000-0005-0000-0000-00006A390000}"/>
    <cellStyle name="Normal 5 3 6 3 5" xfId="21323" xr:uid="{00000000-0005-0000-0000-00006B390000}"/>
    <cellStyle name="Normal 5 3 6 4" xfId="2833" xr:uid="{00000000-0005-0000-0000-00006C390000}"/>
    <cellStyle name="Normal 5 3 6 4 2" xfId="7765" xr:uid="{00000000-0005-0000-0000-00006D390000}"/>
    <cellStyle name="Normal 5 3 6 4 2 2" xfId="17625" xr:uid="{00000000-0005-0000-0000-00006E390000}"/>
    <cellStyle name="Normal 5 3 6 4 2 2 2" xfId="37340" xr:uid="{00000000-0005-0000-0000-00006F390000}"/>
    <cellStyle name="Normal 5 3 6 4 2 3" xfId="27483" xr:uid="{00000000-0005-0000-0000-000070390000}"/>
    <cellStyle name="Normal 5 3 6 4 3" xfId="12697" xr:uid="{00000000-0005-0000-0000-000071390000}"/>
    <cellStyle name="Normal 5 3 6 4 3 2" xfId="32412" xr:uid="{00000000-0005-0000-0000-000072390000}"/>
    <cellStyle name="Normal 5 3 6 4 4" xfId="22555" xr:uid="{00000000-0005-0000-0000-000073390000}"/>
    <cellStyle name="Normal 5 3 6 5" xfId="5301" xr:uid="{00000000-0005-0000-0000-000074390000}"/>
    <cellStyle name="Normal 5 3 6 5 2" xfId="15161" xr:uid="{00000000-0005-0000-0000-000075390000}"/>
    <cellStyle name="Normal 5 3 6 5 2 2" xfId="34876" xr:uid="{00000000-0005-0000-0000-000076390000}"/>
    <cellStyle name="Normal 5 3 6 5 3" xfId="25019" xr:uid="{00000000-0005-0000-0000-000077390000}"/>
    <cellStyle name="Normal 5 3 6 6" xfId="10233" xr:uid="{00000000-0005-0000-0000-000078390000}"/>
    <cellStyle name="Normal 5 3 6 6 2" xfId="29948" xr:uid="{00000000-0005-0000-0000-000079390000}"/>
    <cellStyle name="Normal 5 3 6 7" xfId="20091" xr:uid="{00000000-0005-0000-0000-00007A390000}"/>
    <cellStyle name="Normal 5 3 7" xfId="672" xr:uid="{00000000-0005-0000-0000-00007B390000}"/>
    <cellStyle name="Normal 5 3 7 2" xfId="1908" xr:uid="{00000000-0005-0000-0000-00007C390000}"/>
    <cellStyle name="Normal 5 3 7 2 2" xfId="4375" xr:uid="{00000000-0005-0000-0000-00007D390000}"/>
    <cellStyle name="Normal 5 3 7 2 2 2" xfId="9307" xr:uid="{00000000-0005-0000-0000-00007E390000}"/>
    <cellStyle name="Normal 5 3 7 2 2 2 2" xfId="19167" xr:uid="{00000000-0005-0000-0000-00007F390000}"/>
    <cellStyle name="Normal 5 3 7 2 2 2 2 2" xfId="38882" xr:uid="{00000000-0005-0000-0000-000080390000}"/>
    <cellStyle name="Normal 5 3 7 2 2 2 3" xfId="29025" xr:uid="{00000000-0005-0000-0000-000081390000}"/>
    <cellStyle name="Normal 5 3 7 2 2 3" xfId="14239" xr:uid="{00000000-0005-0000-0000-000082390000}"/>
    <cellStyle name="Normal 5 3 7 2 2 3 2" xfId="33954" xr:uid="{00000000-0005-0000-0000-000083390000}"/>
    <cellStyle name="Normal 5 3 7 2 2 4" xfId="24097" xr:uid="{00000000-0005-0000-0000-000084390000}"/>
    <cellStyle name="Normal 5 3 7 2 3" xfId="6843" xr:uid="{00000000-0005-0000-0000-000085390000}"/>
    <cellStyle name="Normal 5 3 7 2 3 2" xfId="16703" xr:uid="{00000000-0005-0000-0000-000086390000}"/>
    <cellStyle name="Normal 5 3 7 2 3 2 2" xfId="36418" xr:uid="{00000000-0005-0000-0000-000087390000}"/>
    <cellStyle name="Normal 5 3 7 2 3 3" xfId="26561" xr:uid="{00000000-0005-0000-0000-000088390000}"/>
    <cellStyle name="Normal 5 3 7 2 4" xfId="11775" xr:uid="{00000000-0005-0000-0000-000089390000}"/>
    <cellStyle name="Normal 5 3 7 2 4 2" xfId="31490" xr:uid="{00000000-0005-0000-0000-00008A390000}"/>
    <cellStyle name="Normal 5 3 7 2 5" xfId="21633" xr:uid="{00000000-0005-0000-0000-00008B390000}"/>
    <cellStyle name="Normal 5 3 7 3" xfId="3143" xr:uid="{00000000-0005-0000-0000-00008C390000}"/>
    <cellStyle name="Normal 5 3 7 3 2" xfId="8075" xr:uid="{00000000-0005-0000-0000-00008D390000}"/>
    <cellStyle name="Normal 5 3 7 3 2 2" xfId="17935" xr:uid="{00000000-0005-0000-0000-00008E390000}"/>
    <cellStyle name="Normal 5 3 7 3 2 2 2" xfId="37650" xr:uid="{00000000-0005-0000-0000-00008F390000}"/>
    <cellStyle name="Normal 5 3 7 3 2 3" xfId="27793" xr:uid="{00000000-0005-0000-0000-000090390000}"/>
    <cellStyle name="Normal 5 3 7 3 3" xfId="13007" xr:uid="{00000000-0005-0000-0000-000091390000}"/>
    <cellStyle name="Normal 5 3 7 3 3 2" xfId="32722" xr:uid="{00000000-0005-0000-0000-000092390000}"/>
    <cellStyle name="Normal 5 3 7 3 4" xfId="22865" xr:uid="{00000000-0005-0000-0000-000093390000}"/>
    <cellStyle name="Normal 5 3 7 4" xfId="5611" xr:uid="{00000000-0005-0000-0000-000094390000}"/>
    <cellStyle name="Normal 5 3 7 4 2" xfId="15471" xr:uid="{00000000-0005-0000-0000-000095390000}"/>
    <cellStyle name="Normal 5 3 7 4 2 2" xfId="35186" xr:uid="{00000000-0005-0000-0000-000096390000}"/>
    <cellStyle name="Normal 5 3 7 4 3" xfId="25329" xr:uid="{00000000-0005-0000-0000-000097390000}"/>
    <cellStyle name="Normal 5 3 7 5" xfId="10543" xr:uid="{00000000-0005-0000-0000-000098390000}"/>
    <cellStyle name="Normal 5 3 7 5 2" xfId="30258" xr:uid="{00000000-0005-0000-0000-000099390000}"/>
    <cellStyle name="Normal 5 3 7 6" xfId="20401" xr:uid="{00000000-0005-0000-0000-00009A390000}"/>
    <cellStyle name="Normal 5 3 8" xfId="1292" xr:uid="{00000000-0005-0000-0000-00009B390000}"/>
    <cellStyle name="Normal 5 3 8 2" xfId="3759" xr:uid="{00000000-0005-0000-0000-00009C390000}"/>
    <cellStyle name="Normal 5 3 8 2 2" xfId="8691" xr:uid="{00000000-0005-0000-0000-00009D390000}"/>
    <cellStyle name="Normal 5 3 8 2 2 2" xfId="18551" xr:uid="{00000000-0005-0000-0000-00009E390000}"/>
    <cellStyle name="Normal 5 3 8 2 2 2 2" xfId="38266" xr:uid="{00000000-0005-0000-0000-00009F390000}"/>
    <cellStyle name="Normal 5 3 8 2 2 3" xfId="28409" xr:uid="{00000000-0005-0000-0000-0000A0390000}"/>
    <cellStyle name="Normal 5 3 8 2 3" xfId="13623" xr:uid="{00000000-0005-0000-0000-0000A1390000}"/>
    <cellStyle name="Normal 5 3 8 2 3 2" xfId="33338" xr:uid="{00000000-0005-0000-0000-0000A2390000}"/>
    <cellStyle name="Normal 5 3 8 2 4" xfId="23481" xr:uid="{00000000-0005-0000-0000-0000A3390000}"/>
    <cellStyle name="Normal 5 3 8 3" xfId="6227" xr:uid="{00000000-0005-0000-0000-0000A4390000}"/>
    <cellStyle name="Normal 5 3 8 3 2" xfId="16087" xr:uid="{00000000-0005-0000-0000-0000A5390000}"/>
    <cellStyle name="Normal 5 3 8 3 2 2" xfId="35802" xr:uid="{00000000-0005-0000-0000-0000A6390000}"/>
    <cellStyle name="Normal 5 3 8 3 3" xfId="25945" xr:uid="{00000000-0005-0000-0000-0000A7390000}"/>
    <cellStyle name="Normal 5 3 8 4" xfId="11159" xr:uid="{00000000-0005-0000-0000-0000A8390000}"/>
    <cellStyle name="Normal 5 3 8 4 2" xfId="30874" xr:uid="{00000000-0005-0000-0000-0000A9390000}"/>
    <cellStyle name="Normal 5 3 8 5" xfId="21017" xr:uid="{00000000-0005-0000-0000-0000AA390000}"/>
    <cellStyle name="Normal 5 3 9" xfId="2527" xr:uid="{00000000-0005-0000-0000-0000AB390000}"/>
    <cellStyle name="Normal 5 3 9 2" xfId="7459" xr:uid="{00000000-0005-0000-0000-0000AC390000}"/>
    <cellStyle name="Normal 5 3 9 2 2" xfId="17319" xr:uid="{00000000-0005-0000-0000-0000AD390000}"/>
    <cellStyle name="Normal 5 3 9 2 2 2" xfId="37034" xr:uid="{00000000-0005-0000-0000-0000AE390000}"/>
    <cellStyle name="Normal 5 3 9 2 3" xfId="27177" xr:uid="{00000000-0005-0000-0000-0000AF390000}"/>
    <cellStyle name="Normal 5 3 9 3" xfId="12391" xr:uid="{00000000-0005-0000-0000-0000B0390000}"/>
    <cellStyle name="Normal 5 3 9 3 2" xfId="32106" xr:uid="{00000000-0005-0000-0000-0000B1390000}"/>
    <cellStyle name="Normal 5 3 9 4" xfId="22249" xr:uid="{00000000-0005-0000-0000-0000B2390000}"/>
    <cellStyle name="Normal 5 4" xfId="39" xr:uid="{00000000-0005-0000-0000-0000B3390000}"/>
    <cellStyle name="Normal 5 4 10" xfId="9937" xr:uid="{00000000-0005-0000-0000-0000B4390000}"/>
    <cellStyle name="Normal 5 4 10 2" xfId="29652" xr:uid="{00000000-0005-0000-0000-0000B5390000}"/>
    <cellStyle name="Normal 5 4 11" xfId="19795" xr:uid="{00000000-0005-0000-0000-0000B6390000}"/>
    <cellStyle name="Normal 5 4 2" xfId="83" xr:uid="{00000000-0005-0000-0000-0000B7390000}"/>
    <cellStyle name="Normal 5 4 2 10" xfId="19833" xr:uid="{00000000-0005-0000-0000-0000B8390000}"/>
    <cellStyle name="Normal 5 4 2 2" xfId="164" xr:uid="{00000000-0005-0000-0000-0000B9390000}"/>
    <cellStyle name="Normal 5 4 2 2 2" xfId="321" xr:uid="{00000000-0005-0000-0000-0000BA390000}"/>
    <cellStyle name="Normal 5 4 2 2 2 2" xfId="635" xr:uid="{00000000-0005-0000-0000-0000BB390000}"/>
    <cellStyle name="Normal 5 4 2 2 2 2 2" xfId="1255" xr:uid="{00000000-0005-0000-0000-0000BC390000}"/>
    <cellStyle name="Normal 5 4 2 2 2 2 2 2" xfId="2490" xr:uid="{00000000-0005-0000-0000-0000BD390000}"/>
    <cellStyle name="Normal 5 4 2 2 2 2 2 2 2" xfId="4957" xr:uid="{00000000-0005-0000-0000-0000BE390000}"/>
    <cellStyle name="Normal 5 4 2 2 2 2 2 2 2 2" xfId="9889" xr:uid="{00000000-0005-0000-0000-0000BF390000}"/>
    <cellStyle name="Normal 5 4 2 2 2 2 2 2 2 2 2" xfId="19749" xr:uid="{00000000-0005-0000-0000-0000C0390000}"/>
    <cellStyle name="Normal 5 4 2 2 2 2 2 2 2 2 2 2" xfId="39464" xr:uid="{00000000-0005-0000-0000-0000C1390000}"/>
    <cellStyle name="Normal 5 4 2 2 2 2 2 2 2 2 3" xfId="29607" xr:uid="{00000000-0005-0000-0000-0000C2390000}"/>
    <cellStyle name="Normal 5 4 2 2 2 2 2 2 2 3" xfId="14821" xr:uid="{00000000-0005-0000-0000-0000C3390000}"/>
    <cellStyle name="Normal 5 4 2 2 2 2 2 2 2 3 2" xfId="34536" xr:uid="{00000000-0005-0000-0000-0000C4390000}"/>
    <cellStyle name="Normal 5 4 2 2 2 2 2 2 2 4" xfId="24679" xr:uid="{00000000-0005-0000-0000-0000C5390000}"/>
    <cellStyle name="Normal 5 4 2 2 2 2 2 2 3" xfId="7425" xr:uid="{00000000-0005-0000-0000-0000C6390000}"/>
    <cellStyle name="Normal 5 4 2 2 2 2 2 2 3 2" xfId="17285" xr:uid="{00000000-0005-0000-0000-0000C7390000}"/>
    <cellStyle name="Normal 5 4 2 2 2 2 2 2 3 2 2" xfId="37000" xr:uid="{00000000-0005-0000-0000-0000C8390000}"/>
    <cellStyle name="Normal 5 4 2 2 2 2 2 2 3 3" xfId="27143" xr:uid="{00000000-0005-0000-0000-0000C9390000}"/>
    <cellStyle name="Normal 5 4 2 2 2 2 2 2 4" xfId="12357" xr:uid="{00000000-0005-0000-0000-0000CA390000}"/>
    <cellStyle name="Normal 5 4 2 2 2 2 2 2 4 2" xfId="32072" xr:uid="{00000000-0005-0000-0000-0000CB390000}"/>
    <cellStyle name="Normal 5 4 2 2 2 2 2 2 5" xfId="22215" xr:uid="{00000000-0005-0000-0000-0000CC390000}"/>
    <cellStyle name="Normal 5 4 2 2 2 2 2 3" xfId="3725" xr:uid="{00000000-0005-0000-0000-0000CD390000}"/>
    <cellStyle name="Normal 5 4 2 2 2 2 2 3 2" xfId="8657" xr:uid="{00000000-0005-0000-0000-0000CE390000}"/>
    <cellStyle name="Normal 5 4 2 2 2 2 2 3 2 2" xfId="18517" xr:uid="{00000000-0005-0000-0000-0000CF390000}"/>
    <cellStyle name="Normal 5 4 2 2 2 2 2 3 2 2 2" xfId="38232" xr:uid="{00000000-0005-0000-0000-0000D0390000}"/>
    <cellStyle name="Normal 5 4 2 2 2 2 2 3 2 3" xfId="28375" xr:uid="{00000000-0005-0000-0000-0000D1390000}"/>
    <cellStyle name="Normal 5 4 2 2 2 2 2 3 3" xfId="13589" xr:uid="{00000000-0005-0000-0000-0000D2390000}"/>
    <cellStyle name="Normal 5 4 2 2 2 2 2 3 3 2" xfId="33304" xr:uid="{00000000-0005-0000-0000-0000D3390000}"/>
    <cellStyle name="Normal 5 4 2 2 2 2 2 3 4" xfId="23447" xr:uid="{00000000-0005-0000-0000-0000D4390000}"/>
    <cellStyle name="Normal 5 4 2 2 2 2 2 4" xfId="6193" xr:uid="{00000000-0005-0000-0000-0000D5390000}"/>
    <cellStyle name="Normal 5 4 2 2 2 2 2 4 2" xfId="16053" xr:uid="{00000000-0005-0000-0000-0000D6390000}"/>
    <cellStyle name="Normal 5 4 2 2 2 2 2 4 2 2" xfId="35768" xr:uid="{00000000-0005-0000-0000-0000D7390000}"/>
    <cellStyle name="Normal 5 4 2 2 2 2 2 4 3" xfId="25911" xr:uid="{00000000-0005-0000-0000-0000D8390000}"/>
    <cellStyle name="Normal 5 4 2 2 2 2 2 5" xfId="11125" xr:uid="{00000000-0005-0000-0000-0000D9390000}"/>
    <cellStyle name="Normal 5 4 2 2 2 2 2 5 2" xfId="30840" xr:uid="{00000000-0005-0000-0000-0000DA390000}"/>
    <cellStyle name="Normal 5 4 2 2 2 2 2 6" xfId="20983" xr:uid="{00000000-0005-0000-0000-0000DB390000}"/>
    <cellStyle name="Normal 5 4 2 2 2 2 3" xfId="1874" xr:uid="{00000000-0005-0000-0000-0000DC390000}"/>
    <cellStyle name="Normal 5 4 2 2 2 2 3 2" xfId="4341" xr:uid="{00000000-0005-0000-0000-0000DD390000}"/>
    <cellStyle name="Normal 5 4 2 2 2 2 3 2 2" xfId="9273" xr:uid="{00000000-0005-0000-0000-0000DE390000}"/>
    <cellStyle name="Normal 5 4 2 2 2 2 3 2 2 2" xfId="19133" xr:uid="{00000000-0005-0000-0000-0000DF390000}"/>
    <cellStyle name="Normal 5 4 2 2 2 2 3 2 2 2 2" xfId="38848" xr:uid="{00000000-0005-0000-0000-0000E0390000}"/>
    <cellStyle name="Normal 5 4 2 2 2 2 3 2 2 3" xfId="28991" xr:uid="{00000000-0005-0000-0000-0000E1390000}"/>
    <cellStyle name="Normal 5 4 2 2 2 2 3 2 3" xfId="14205" xr:uid="{00000000-0005-0000-0000-0000E2390000}"/>
    <cellStyle name="Normal 5 4 2 2 2 2 3 2 3 2" xfId="33920" xr:uid="{00000000-0005-0000-0000-0000E3390000}"/>
    <cellStyle name="Normal 5 4 2 2 2 2 3 2 4" xfId="24063" xr:uid="{00000000-0005-0000-0000-0000E4390000}"/>
    <cellStyle name="Normal 5 4 2 2 2 2 3 3" xfId="6809" xr:uid="{00000000-0005-0000-0000-0000E5390000}"/>
    <cellStyle name="Normal 5 4 2 2 2 2 3 3 2" xfId="16669" xr:uid="{00000000-0005-0000-0000-0000E6390000}"/>
    <cellStyle name="Normal 5 4 2 2 2 2 3 3 2 2" xfId="36384" xr:uid="{00000000-0005-0000-0000-0000E7390000}"/>
    <cellStyle name="Normal 5 4 2 2 2 2 3 3 3" xfId="26527" xr:uid="{00000000-0005-0000-0000-0000E8390000}"/>
    <cellStyle name="Normal 5 4 2 2 2 2 3 4" xfId="11741" xr:uid="{00000000-0005-0000-0000-0000E9390000}"/>
    <cellStyle name="Normal 5 4 2 2 2 2 3 4 2" xfId="31456" xr:uid="{00000000-0005-0000-0000-0000EA390000}"/>
    <cellStyle name="Normal 5 4 2 2 2 2 3 5" xfId="21599" xr:uid="{00000000-0005-0000-0000-0000EB390000}"/>
    <cellStyle name="Normal 5 4 2 2 2 2 4" xfId="3109" xr:uid="{00000000-0005-0000-0000-0000EC390000}"/>
    <cellStyle name="Normal 5 4 2 2 2 2 4 2" xfId="8041" xr:uid="{00000000-0005-0000-0000-0000ED390000}"/>
    <cellStyle name="Normal 5 4 2 2 2 2 4 2 2" xfId="17901" xr:uid="{00000000-0005-0000-0000-0000EE390000}"/>
    <cellStyle name="Normal 5 4 2 2 2 2 4 2 2 2" xfId="37616" xr:uid="{00000000-0005-0000-0000-0000EF390000}"/>
    <cellStyle name="Normal 5 4 2 2 2 2 4 2 3" xfId="27759" xr:uid="{00000000-0005-0000-0000-0000F0390000}"/>
    <cellStyle name="Normal 5 4 2 2 2 2 4 3" xfId="12973" xr:uid="{00000000-0005-0000-0000-0000F1390000}"/>
    <cellStyle name="Normal 5 4 2 2 2 2 4 3 2" xfId="32688" xr:uid="{00000000-0005-0000-0000-0000F2390000}"/>
    <cellStyle name="Normal 5 4 2 2 2 2 4 4" xfId="22831" xr:uid="{00000000-0005-0000-0000-0000F3390000}"/>
    <cellStyle name="Normal 5 4 2 2 2 2 5" xfId="5577" xr:uid="{00000000-0005-0000-0000-0000F4390000}"/>
    <cellStyle name="Normal 5 4 2 2 2 2 5 2" xfId="15437" xr:uid="{00000000-0005-0000-0000-0000F5390000}"/>
    <cellStyle name="Normal 5 4 2 2 2 2 5 2 2" xfId="35152" xr:uid="{00000000-0005-0000-0000-0000F6390000}"/>
    <cellStyle name="Normal 5 4 2 2 2 2 5 3" xfId="25295" xr:uid="{00000000-0005-0000-0000-0000F7390000}"/>
    <cellStyle name="Normal 5 4 2 2 2 2 6" xfId="10509" xr:uid="{00000000-0005-0000-0000-0000F8390000}"/>
    <cellStyle name="Normal 5 4 2 2 2 2 6 2" xfId="30224" xr:uid="{00000000-0005-0000-0000-0000F9390000}"/>
    <cellStyle name="Normal 5 4 2 2 2 2 7" xfId="20367" xr:uid="{00000000-0005-0000-0000-0000FA390000}"/>
    <cellStyle name="Normal 5 4 2 2 2 3" xfId="948" xr:uid="{00000000-0005-0000-0000-0000FB390000}"/>
    <cellStyle name="Normal 5 4 2 2 2 3 2" xfId="2184" xr:uid="{00000000-0005-0000-0000-0000FC390000}"/>
    <cellStyle name="Normal 5 4 2 2 2 3 2 2" xfId="4651" xr:uid="{00000000-0005-0000-0000-0000FD390000}"/>
    <cellStyle name="Normal 5 4 2 2 2 3 2 2 2" xfId="9583" xr:uid="{00000000-0005-0000-0000-0000FE390000}"/>
    <cellStyle name="Normal 5 4 2 2 2 3 2 2 2 2" xfId="19443" xr:uid="{00000000-0005-0000-0000-0000FF390000}"/>
    <cellStyle name="Normal 5 4 2 2 2 3 2 2 2 2 2" xfId="39158" xr:uid="{00000000-0005-0000-0000-0000003A0000}"/>
    <cellStyle name="Normal 5 4 2 2 2 3 2 2 2 3" xfId="29301" xr:uid="{00000000-0005-0000-0000-0000013A0000}"/>
    <cellStyle name="Normal 5 4 2 2 2 3 2 2 3" xfId="14515" xr:uid="{00000000-0005-0000-0000-0000023A0000}"/>
    <cellStyle name="Normal 5 4 2 2 2 3 2 2 3 2" xfId="34230" xr:uid="{00000000-0005-0000-0000-0000033A0000}"/>
    <cellStyle name="Normal 5 4 2 2 2 3 2 2 4" xfId="24373" xr:uid="{00000000-0005-0000-0000-0000043A0000}"/>
    <cellStyle name="Normal 5 4 2 2 2 3 2 3" xfId="7119" xr:uid="{00000000-0005-0000-0000-0000053A0000}"/>
    <cellStyle name="Normal 5 4 2 2 2 3 2 3 2" xfId="16979" xr:uid="{00000000-0005-0000-0000-0000063A0000}"/>
    <cellStyle name="Normal 5 4 2 2 2 3 2 3 2 2" xfId="36694" xr:uid="{00000000-0005-0000-0000-0000073A0000}"/>
    <cellStyle name="Normal 5 4 2 2 2 3 2 3 3" xfId="26837" xr:uid="{00000000-0005-0000-0000-0000083A0000}"/>
    <cellStyle name="Normal 5 4 2 2 2 3 2 4" xfId="12051" xr:uid="{00000000-0005-0000-0000-0000093A0000}"/>
    <cellStyle name="Normal 5 4 2 2 2 3 2 4 2" xfId="31766" xr:uid="{00000000-0005-0000-0000-00000A3A0000}"/>
    <cellStyle name="Normal 5 4 2 2 2 3 2 5" xfId="21909" xr:uid="{00000000-0005-0000-0000-00000B3A0000}"/>
    <cellStyle name="Normal 5 4 2 2 2 3 3" xfId="3419" xr:uid="{00000000-0005-0000-0000-00000C3A0000}"/>
    <cellStyle name="Normal 5 4 2 2 2 3 3 2" xfId="8351" xr:uid="{00000000-0005-0000-0000-00000D3A0000}"/>
    <cellStyle name="Normal 5 4 2 2 2 3 3 2 2" xfId="18211" xr:uid="{00000000-0005-0000-0000-00000E3A0000}"/>
    <cellStyle name="Normal 5 4 2 2 2 3 3 2 2 2" xfId="37926" xr:uid="{00000000-0005-0000-0000-00000F3A0000}"/>
    <cellStyle name="Normal 5 4 2 2 2 3 3 2 3" xfId="28069" xr:uid="{00000000-0005-0000-0000-0000103A0000}"/>
    <cellStyle name="Normal 5 4 2 2 2 3 3 3" xfId="13283" xr:uid="{00000000-0005-0000-0000-0000113A0000}"/>
    <cellStyle name="Normal 5 4 2 2 2 3 3 3 2" xfId="32998" xr:uid="{00000000-0005-0000-0000-0000123A0000}"/>
    <cellStyle name="Normal 5 4 2 2 2 3 3 4" xfId="23141" xr:uid="{00000000-0005-0000-0000-0000133A0000}"/>
    <cellStyle name="Normal 5 4 2 2 2 3 4" xfId="5887" xr:uid="{00000000-0005-0000-0000-0000143A0000}"/>
    <cellStyle name="Normal 5 4 2 2 2 3 4 2" xfId="15747" xr:uid="{00000000-0005-0000-0000-0000153A0000}"/>
    <cellStyle name="Normal 5 4 2 2 2 3 4 2 2" xfId="35462" xr:uid="{00000000-0005-0000-0000-0000163A0000}"/>
    <cellStyle name="Normal 5 4 2 2 2 3 4 3" xfId="25605" xr:uid="{00000000-0005-0000-0000-0000173A0000}"/>
    <cellStyle name="Normal 5 4 2 2 2 3 5" xfId="10819" xr:uid="{00000000-0005-0000-0000-0000183A0000}"/>
    <cellStyle name="Normal 5 4 2 2 2 3 5 2" xfId="30534" xr:uid="{00000000-0005-0000-0000-0000193A0000}"/>
    <cellStyle name="Normal 5 4 2 2 2 3 6" xfId="20677" xr:uid="{00000000-0005-0000-0000-00001A3A0000}"/>
    <cellStyle name="Normal 5 4 2 2 2 4" xfId="1568" xr:uid="{00000000-0005-0000-0000-00001B3A0000}"/>
    <cellStyle name="Normal 5 4 2 2 2 4 2" xfId="4035" xr:uid="{00000000-0005-0000-0000-00001C3A0000}"/>
    <cellStyle name="Normal 5 4 2 2 2 4 2 2" xfId="8967" xr:uid="{00000000-0005-0000-0000-00001D3A0000}"/>
    <cellStyle name="Normal 5 4 2 2 2 4 2 2 2" xfId="18827" xr:uid="{00000000-0005-0000-0000-00001E3A0000}"/>
    <cellStyle name="Normal 5 4 2 2 2 4 2 2 2 2" xfId="38542" xr:uid="{00000000-0005-0000-0000-00001F3A0000}"/>
    <cellStyle name="Normal 5 4 2 2 2 4 2 2 3" xfId="28685" xr:uid="{00000000-0005-0000-0000-0000203A0000}"/>
    <cellStyle name="Normal 5 4 2 2 2 4 2 3" xfId="13899" xr:uid="{00000000-0005-0000-0000-0000213A0000}"/>
    <cellStyle name="Normal 5 4 2 2 2 4 2 3 2" xfId="33614" xr:uid="{00000000-0005-0000-0000-0000223A0000}"/>
    <cellStyle name="Normal 5 4 2 2 2 4 2 4" xfId="23757" xr:uid="{00000000-0005-0000-0000-0000233A0000}"/>
    <cellStyle name="Normal 5 4 2 2 2 4 3" xfId="6503" xr:uid="{00000000-0005-0000-0000-0000243A0000}"/>
    <cellStyle name="Normal 5 4 2 2 2 4 3 2" xfId="16363" xr:uid="{00000000-0005-0000-0000-0000253A0000}"/>
    <cellStyle name="Normal 5 4 2 2 2 4 3 2 2" xfId="36078" xr:uid="{00000000-0005-0000-0000-0000263A0000}"/>
    <cellStyle name="Normal 5 4 2 2 2 4 3 3" xfId="26221" xr:uid="{00000000-0005-0000-0000-0000273A0000}"/>
    <cellStyle name="Normal 5 4 2 2 2 4 4" xfId="11435" xr:uid="{00000000-0005-0000-0000-0000283A0000}"/>
    <cellStyle name="Normal 5 4 2 2 2 4 4 2" xfId="31150" xr:uid="{00000000-0005-0000-0000-0000293A0000}"/>
    <cellStyle name="Normal 5 4 2 2 2 4 5" xfId="21293" xr:uid="{00000000-0005-0000-0000-00002A3A0000}"/>
    <cellStyle name="Normal 5 4 2 2 2 5" xfId="2803" xr:uid="{00000000-0005-0000-0000-00002B3A0000}"/>
    <cellStyle name="Normal 5 4 2 2 2 5 2" xfId="7735" xr:uid="{00000000-0005-0000-0000-00002C3A0000}"/>
    <cellStyle name="Normal 5 4 2 2 2 5 2 2" xfId="17595" xr:uid="{00000000-0005-0000-0000-00002D3A0000}"/>
    <cellStyle name="Normal 5 4 2 2 2 5 2 2 2" xfId="37310" xr:uid="{00000000-0005-0000-0000-00002E3A0000}"/>
    <cellStyle name="Normal 5 4 2 2 2 5 2 3" xfId="27453" xr:uid="{00000000-0005-0000-0000-00002F3A0000}"/>
    <cellStyle name="Normal 5 4 2 2 2 5 3" xfId="12667" xr:uid="{00000000-0005-0000-0000-0000303A0000}"/>
    <cellStyle name="Normal 5 4 2 2 2 5 3 2" xfId="32382" xr:uid="{00000000-0005-0000-0000-0000313A0000}"/>
    <cellStyle name="Normal 5 4 2 2 2 5 4" xfId="22525" xr:uid="{00000000-0005-0000-0000-0000323A0000}"/>
    <cellStyle name="Normal 5 4 2 2 2 6" xfId="5271" xr:uid="{00000000-0005-0000-0000-0000333A0000}"/>
    <cellStyle name="Normal 5 4 2 2 2 6 2" xfId="15131" xr:uid="{00000000-0005-0000-0000-0000343A0000}"/>
    <cellStyle name="Normal 5 4 2 2 2 6 2 2" xfId="34846" xr:uid="{00000000-0005-0000-0000-0000353A0000}"/>
    <cellStyle name="Normal 5 4 2 2 2 6 3" xfId="24989" xr:uid="{00000000-0005-0000-0000-0000363A0000}"/>
    <cellStyle name="Normal 5 4 2 2 2 7" xfId="10203" xr:uid="{00000000-0005-0000-0000-0000373A0000}"/>
    <cellStyle name="Normal 5 4 2 2 2 7 2" xfId="29918" xr:uid="{00000000-0005-0000-0000-0000383A0000}"/>
    <cellStyle name="Normal 5 4 2 2 2 8" xfId="20061" xr:uid="{00000000-0005-0000-0000-0000393A0000}"/>
    <cellStyle name="Normal 5 4 2 2 3" xfId="483" xr:uid="{00000000-0005-0000-0000-00003A3A0000}"/>
    <cellStyle name="Normal 5 4 2 2 3 2" xfId="1103" xr:uid="{00000000-0005-0000-0000-00003B3A0000}"/>
    <cellStyle name="Normal 5 4 2 2 3 2 2" xfId="2338" xr:uid="{00000000-0005-0000-0000-00003C3A0000}"/>
    <cellStyle name="Normal 5 4 2 2 3 2 2 2" xfId="4805" xr:uid="{00000000-0005-0000-0000-00003D3A0000}"/>
    <cellStyle name="Normal 5 4 2 2 3 2 2 2 2" xfId="9737" xr:uid="{00000000-0005-0000-0000-00003E3A0000}"/>
    <cellStyle name="Normal 5 4 2 2 3 2 2 2 2 2" xfId="19597" xr:uid="{00000000-0005-0000-0000-00003F3A0000}"/>
    <cellStyle name="Normal 5 4 2 2 3 2 2 2 2 2 2" xfId="39312" xr:uid="{00000000-0005-0000-0000-0000403A0000}"/>
    <cellStyle name="Normal 5 4 2 2 3 2 2 2 2 3" xfId="29455" xr:uid="{00000000-0005-0000-0000-0000413A0000}"/>
    <cellStyle name="Normal 5 4 2 2 3 2 2 2 3" xfId="14669" xr:uid="{00000000-0005-0000-0000-0000423A0000}"/>
    <cellStyle name="Normal 5 4 2 2 3 2 2 2 3 2" xfId="34384" xr:uid="{00000000-0005-0000-0000-0000433A0000}"/>
    <cellStyle name="Normal 5 4 2 2 3 2 2 2 4" xfId="24527" xr:uid="{00000000-0005-0000-0000-0000443A0000}"/>
    <cellStyle name="Normal 5 4 2 2 3 2 2 3" xfId="7273" xr:uid="{00000000-0005-0000-0000-0000453A0000}"/>
    <cellStyle name="Normal 5 4 2 2 3 2 2 3 2" xfId="17133" xr:uid="{00000000-0005-0000-0000-0000463A0000}"/>
    <cellStyle name="Normal 5 4 2 2 3 2 2 3 2 2" xfId="36848" xr:uid="{00000000-0005-0000-0000-0000473A0000}"/>
    <cellStyle name="Normal 5 4 2 2 3 2 2 3 3" xfId="26991" xr:uid="{00000000-0005-0000-0000-0000483A0000}"/>
    <cellStyle name="Normal 5 4 2 2 3 2 2 4" xfId="12205" xr:uid="{00000000-0005-0000-0000-0000493A0000}"/>
    <cellStyle name="Normal 5 4 2 2 3 2 2 4 2" xfId="31920" xr:uid="{00000000-0005-0000-0000-00004A3A0000}"/>
    <cellStyle name="Normal 5 4 2 2 3 2 2 5" xfId="22063" xr:uid="{00000000-0005-0000-0000-00004B3A0000}"/>
    <cellStyle name="Normal 5 4 2 2 3 2 3" xfId="3573" xr:uid="{00000000-0005-0000-0000-00004C3A0000}"/>
    <cellStyle name="Normal 5 4 2 2 3 2 3 2" xfId="8505" xr:uid="{00000000-0005-0000-0000-00004D3A0000}"/>
    <cellStyle name="Normal 5 4 2 2 3 2 3 2 2" xfId="18365" xr:uid="{00000000-0005-0000-0000-00004E3A0000}"/>
    <cellStyle name="Normal 5 4 2 2 3 2 3 2 2 2" xfId="38080" xr:uid="{00000000-0005-0000-0000-00004F3A0000}"/>
    <cellStyle name="Normal 5 4 2 2 3 2 3 2 3" xfId="28223" xr:uid="{00000000-0005-0000-0000-0000503A0000}"/>
    <cellStyle name="Normal 5 4 2 2 3 2 3 3" xfId="13437" xr:uid="{00000000-0005-0000-0000-0000513A0000}"/>
    <cellStyle name="Normal 5 4 2 2 3 2 3 3 2" xfId="33152" xr:uid="{00000000-0005-0000-0000-0000523A0000}"/>
    <cellStyle name="Normal 5 4 2 2 3 2 3 4" xfId="23295" xr:uid="{00000000-0005-0000-0000-0000533A0000}"/>
    <cellStyle name="Normal 5 4 2 2 3 2 4" xfId="6041" xr:uid="{00000000-0005-0000-0000-0000543A0000}"/>
    <cellStyle name="Normal 5 4 2 2 3 2 4 2" xfId="15901" xr:uid="{00000000-0005-0000-0000-0000553A0000}"/>
    <cellStyle name="Normal 5 4 2 2 3 2 4 2 2" xfId="35616" xr:uid="{00000000-0005-0000-0000-0000563A0000}"/>
    <cellStyle name="Normal 5 4 2 2 3 2 4 3" xfId="25759" xr:uid="{00000000-0005-0000-0000-0000573A0000}"/>
    <cellStyle name="Normal 5 4 2 2 3 2 5" xfId="10973" xr:uid="{00000000-0005-0000-0000-0000583A0000}"/>
    <cellStyle name="Normal 5 4 2 2 3 2 5 2" xfId="30688" xr:uid="{00000000-0005-0000-0000-0000593A0000}"/>
    <cellStyle name="Normal 5 4 2 2 3 2 6" xfId="20831" xr:uid="{00000000-0005-0000-0000-00005A3A0000}"/>
    <cellStyle name="Normal 5 4 2 2 3 3" xfId="1722" xr:uid="{00000000-0005-0000-0000-00005B3A0000}"/>
    <cellStyle name="Normal 5 4 2 2 3 3 2" xfId="4189" xr:uid="{00000000-0005-0000-0000-00005C3A0000}"/>
    <cellStyle name="Normal 5 4 2 2 3 3 2 2" xfId="9121" xr:uid="{00000000-0005-0000-0000-00005D3A0000}"/>
    <cellStyle name="Normal 5 4 2 2 3 3 2 2 2" xfId="18981" xr:uid="{00000000-0005-0000-0000-00005E3A0000}"/>
    <cellStyle name="Normal 5 4 2 2 3 3 2 2 2 2" xfId="38696" xr:uid="{00000000-0005-0000-0000-00005F3A0000}"/>
    <cellStyle name="Normal 5 4 2 2 3 3 2 2 3" xfId="28839" xr:uid="{00000000-0005-0000-0000-0000603A0000}"/>
    <cellStyle name="Normal 5 4 2 2 3 3 2 3" xfId="14053" xr:uid="{00000000-0005-0000-0000-0000613A0000}"/>
    <cellStyle name="Normal 5 4 2 2 3 3 2 3 2" xfId="33768" xr:uid="{00000000-0005-0000-0000-0000623A0000}"/>
    <cellStyle name="Normal 5 4 2 2 3 3 2 4" xfId="23911" xr:uid="{00000000-0005-0000-0000-0000633A0000}"/>
    <cellStyle name="Normal 5 4 2 2 3 3 3" xfId="6657" xr:uid="{00000000-0005-0000-0000-0000643A0000}"/>
    <cellStyle name="Normal 5 4 2 2 3 3 3 2" xfId="16517" xr:uid="{00000000-0005-0000-0000-0000653A0000}"/>
    <cellStyle name="Normal 5 4 2 2 3 3 3 2 2" xfId="36232" xr:uid="{00000000-0005-0000-0000-0000663A0000}"/>
    <cellStyle name="Normal 5 4 2 2 3 3 3 3" xfId="26375" xr:uid="{00000000-0005-0000-0000-0000673A0000}"/>
    <cellStyle name="Normal 5 4 2 2 3 3 4" xfId="11589" xr:uid="{00000000-0005-0000-0000-0000683A0000}"/>
    <cellStyle name="Normal 5 4 2 2 3 3 4 2" xfId="31304" xr:uid="{00000000-0005-0000-0000-0000693A0000}"/>
    <cellStyle name="Normal 5 4 2 2 3 3 5" xfId="21447" xr:uid="{00000000-0005-0000-0000-00006A3A0000}"/>
    <cellStyle name="Normal 5 4 2 2 3 4" xfId="2957" xr:uid="{00000000-0005-0000-0000-00006B3A0000}"/>
    <cellStyle name="Normal 5 4 2 2 3 4 2" xfId="7889" xr:uid="{00000000-0005-0000-0000-00006C3A0000}"/>
    <cellStyle name="Normal 5 4 2 2 3 4 2 2" xfId="17749" xr:uid="{00000000-0005-0000-0000-00006D3A0000}"/>
    <cellStyle name="Normal 5 4 2 2 3 4 2 2 2" xfId="37464" xr:uid="{00000000-0005-0000-0000-00006E3A0000}"/>
    <cellStyle name="Normal 5 4 2 2 3 4 2 3" xfId="27607" xr:uid="{00000000-0005-0000-0000-00006F3A0000}"/>
    <cellStyle name="Normal 5 4 2 2 3 4 3" xfId="12821" xr:uid="{00000000-0005-0000-0000-0000703A0000}"/>
    <cellStyle name="Normal 5 4 2 2 3 4 3 2" xfId="32536" xr:uid="{00000000-0005-0000-0000-0000713A0000}"/>
    <cellStyle name="Normal 5 4 2 2 3 4 4" xfId="22679" xr:uid="{00000000-0005-0000-0000-0000723A0000}"/>
    <cellStyle name="Normal 5 4 2 2 3 5" xfId="5425" xr:uid="{00000000-0005-0000-0000-0000733A0000}"/>
    <cellStyle name="Normal 5 4 2 2 3 5 2" xfId="15285" xr:uid="{00000000-0005-0000-0000-0000743A0000}"/>
    <cellStyle name="Normal 5 4 2 2 3 5 2 2" xfId="35000" xr:uid="{00000000-0005-0000-0000-0000753A0000}"/>
    <cellStyle name="Normal 5 4 2 2 3 5 3" xfId="25143" xr:uid="{00000000-0005-0000-0000-0000763A0000}"/>
    <cellStyle name="Normal 5 4 2 2 3 6" xfId="10357" xr:uid="{00000000-0005-0000-0000-0000773A0000}"/>
    <cellStyle name="Normal 5 4 2 2 3 6 2" xfId="30072" xr:uid="{00000000-0005-0000-0000-0000783A0000}"/>
    <cellStyle name="Normal 5 4 2 2 3 7" xfId="20215" xr:uid="{00000000-0005-0000-0000-0000793A0000}"/>
    <cellStyle name="Normal 5 4 2 2 4" xfId="796" xr:uid="{00000000-0005-0000-0000-00007A3A0000}"/>
    <cellStyle name="Normal 5 4 2 2 4 2" xfId="2032" xr:uid="{00000000-0005-0000-0000-00007B3A0000}"/>
    <cellStyle name="Normal 5 4 2 2 4 2 2" xfId="4499" xr:uid="{00000000-0005-0000-0000-00007C3A0000}"/>
    <cellStyle name="Normal 5 4 2 2 4 2 2 2" xfId="9431" xr:uid="{00000000-0005-0000-0000-00007D3A0000}"/>
    <cellStyle name="Normal 5 4 2 2 4 2 2 2 2" xfId="19291" xr:uid="{00000000-0005-0000-0000-00007E3A0000}"/>
    <cellStyle name="Normal 5 4 2 2 4 2 2 2 2 2" xfId="39006" xr:uid="{00000000-0005-0000-0000-00007F3A0000}"/>
    <cellStyle name="Normal 5 4 2 2 4 2 2 2 3" xfId="29149" xr:uid="{00000000-0005-0000-0000-0000803A0000}"/>
    <cellStyle name="Normal 5 4 2 2 4 2 2 3" xfId="14363" xr:uid="{00000000-0005-0000-0000-0000813A0000}"/>
    <cellStyle name="Normal 5 4 2 2 4 2 2 3 2" xfId="34078" xr:uid="{00000000-0005-0000-0000-0000823A0000}"/>
    <cellStyle name="Normal 5 4 2 2 4 2 2 4" xfId="24221" xr:uid="{00000000-0005-0000-0000-0000833A0000}"/>
    <cellStyle name="Normal 5 4 2 2 4 2 3" xfId="6967" xr:uid="{00000000-0005-0000-0000-0000843A0000}"/>
    <cellStyle name="Normal 5 4 2 2 4 2 3 2" xfId="16827" xr:uid="{00000000-0005-0000-0000-0000853A0000}"/>
    <cellStyle name="Normal 5 4 2 2 4 2 3 2 2" xfId="36542" xr:uid="{00000000-0005-0000-0000-0000863A0000}"/>
    <cellStyle name="Normal 5 4 2 2 4 2 3 3" xfId="26685" xr:uid="{00000000-0005-0000-0000-0000873A0000}"/>
    <cellStyle name="Normal 5 4 2 2 4 2 4" xfId="11899" xr:uid="{00000000-0005-0000-0000-0000883A0000}"/>
    <cellStyle name="Normal 5 4 2 2 4 2 4 2" xfId="31614" xr:uid="{00000000-0005-0000-0000-0000893A0000}"/>
    <cellStyle name="Normal 5 4 2 2 4 2 5" xfId="21757" xr:uid="{00000000-0005-0000-0000-00008A3A0000}"/>
    <cellStyle name="Normal 5 4 2 2 4 3" xfId="3267" xr:uid="{00000000-0005-0000-0000-00008B3A0000}"/>
    <cellStyle name="Normal 5 4 2 2 4 3 2" xfId="8199" xr:uid="{00000000-0005-0000-0000-00008C3A0000}"/>
    <cellStyle name="Normal 5 4 2 2 4 3 2 2" xfId="18059" xr:uid="{00000000-0005-0000-0000-00008D3A0000}"/>
    <cellStyle name="Normal 5 4 2 2 4 3 2 2 2" xfId="37774" xr:uid="{00000000-0005-0000-0000-00008E3A0000}"/>
    <cellStyle name="Normal 5 4 2 2 4 3 2 3" xfId="27917" xr:uid="{00000000-0005-0000-0000-00008F3A0000}"/>
    <cellStyle name="Normal 5 4 2 2 4 3 3" xfId="13131" xr:uid="{00000000-0005-0000-0000-0000903A0000}"/>
    <cellStyle name="Normal 5 4 2 2 4 3 3 2" xfId="32846" xr:uid="{00000000-0005-0000-0000-0000913A0000}"/>
    <cellStyle name="Normal 5 4 2 2 4 3 4" xfId="22989" xr:uid="{00000000-0005-0000-0000-0000923A0000}"/>
    <cellStyle name="Normal 5 4 2 2 4 4" xfId="5735" xr:uid="{00000000-0005-0000-0000-0000933A0000}"/>
    <cellStyle name="Normal 5 4 2 2 4 4 2" xfId="15595" xr:uid="{00000000-0005-0000-0000-0000943A0000}"/>
    <cellStyle name="Normal 5 4 2 2 4 4 2 2" xfId="35310" xr:uid="{00000000-0005-0000-0000-0000953A0000}"/>
    <cellStyle name="Normal 5 4 2 2 4 4 3" xfId="25453" xr:uid="{00000000-0005-0000-0000-0000963A0000}"/>
    <cellStyle name="Normal 5 4 2 2 4 5" xfId="10667" xr:uid="{00000000-0005-0000-0000-0000973A0000}"/>
    <cellStyle name="Normal 5 4 2 2 4 5 2" xfId="30382" xr:uid="{00000000-0005-0000-0000-0000983A0000}"/>
    <cellStyle name="Normal 5 4 2 2 4 6" xfId="20525" xr:uid="{00000000-0005-0000-0000-0000993A0000}"/>
    <cellStyle name="Normal 5 4 2 2 5" xfId="1416" xr:uid="{00000000-0005-0000-0000-00009A3A0000}"/>
    <cellStyle name="Normal 5 4 2 2 5 2" xfId="3883" xr:uid="{00000000-0005-0000-0000-00009B3A0000}"/>
    <cellStyle name="Normal 5 4 2 2 5 2 2" xfId="8815" xr:uid="{00000000-0005-0000-0000-00009C3A0000}"/>
    <cellStyle name="Normal 5 4 2 2 5 2 2 2" xfId="18675" xr:uid="{00000000-0005-0000-0000-00009D3A0000}"/>
    <cellStyle name="Normal 5 4 2 2 5 2 2 2 2" xfId="38390" xr:uid="{00000000-0005-0000-0000-00009E3A0000}"/>
    <cellStyle name="Normal 5 4 2 2 5 2 2 3" xfId="28533" xr:uid="{00000000-0005-0000-0000-00009F3A0000}"/>
    <cellStyle name="Normal 5 4 2 2 5 2 3" xfId="13747" xr:uid="{00000000-0005-0000-0000-0000A03A0000}"/>
    <cellStyle name="Normal 5 4 2 2 5 2 3 2" xfId="33462" xr:uid="{00000000-0005-0000-0000-0000A13A0000}"/>
    <cellStyle name="Normal 5 4 2 2 5 2 4" xfId="23605" xr:uid="{00000000-0005-0000-0000-0000A23A0000}"/>
    <cellStyle name="Normal 5 4 2 2 5 3" xfId="6351" xr:uid="{00000000-0005-0000-0000-0000A33A0000}"/>
    <cellStyle name="Normal 5 4 2 2 5 3 2" xfId="16211" xr:uid="{00000000-0005-0000-0000-0000A43A0000}"/>
    <cellStyle name="Normal 5 4 2 2 5 3 2 2" xfId="35926" xr:uid="{00000000-0005-0000-0000-0000A53A0000}"/>
    <cellStyle name="Normal 5 4 2 2 5 3 3" xfId="26069" xr:uid="{00000000-0005-0000-0000-0000A63A0000}"/>
    <cellStyle name="Normal 5 4 2 2 5 4" xfId="11283" xr:uid="{00000000-0005-0000-0000-0000A73A0000}"/>
    <cellStyle name="Normal 5 4 2 2 5 4 2" xfId="30998" xr:uid="{00000000-0005-0000-0000-0000A83A0000}"/>
    <cellStyle name="Normal 5 4 2 2 5 5" xfId="21141" xr:uid="{00000000-0005-0000-0000-0000A93A0000}"/>
    <cellStyle name="Normal 5 4 2 2 6" xfId="2651" xr:uid="{00000000-0005-0000-0000-0000AA3A0000}"/>
    <cellStyle name="Normal 5 4 2 2 6 2" xfId="7583" xr:uid="{00000000-0005-0000-0000-0000AB3A0000}"/>
    <cellStyle name="Normal 5 4 2 2 6 2 2" xfId="17443" xr:uid="{00000000-0005-0000-0000-0000AC3A0000}"/>
    <cellStyle name="Normal 5 4 2 2 6 2 2 2" xfId="37158" xr:uid="{00000000-0005-0000-0000-0000AD3A0000}"/>
    <cellStyle name="Normal 5 4 2 2 6 2 3" xfId="27301" xr:uid="{00000000-0005-0000-0000-0000AE3A0000}"/>
    <cellStyle name="Normal 5 4 2 2 6 3" xfId="12515" xr:uid="{00000000-0005-0000-0000-0000AF3A0000}"/>
    <cellStyle name="Normal 5 4 2 2 6 3 2" xfId="32230" xr:uid="{00000000-0005-0000-0000-0000B03A0000}"/>
    <cellStyle name="Normal 5 4 2 2 6 4" xfId="22373" xr:uid="{00000000-0005-0000-0000-0000B13A0000}"/>
    <cellStyle name="Normal 5 4 2 2 7" xfId="5119" xr:uid="{00000000-0005-0000-0000-0000B23A0000}"/>
    <cellStyle name="Normal 5 4 2 2 7 2" xfId="14979" xr:uid="{00000000-0005-0000-0000-0000B33A0000}"/>
    <cellStyle name="Normal 5 4 2 2 7 2 2" xfId="34694" xr:uid="{00000000-0005-0000-0000-0000B43A0000}"/>
    <cellStyle name="Normal 5 4 2 2 7 3" xfId="24837" xr:uid="{00000000-0005-0000-0000-0000B53A0000}"/>
    <cellStyle name="Normal 5 4 2 2 8" xfId="10051" xr:uid="{00000000-0005-0000-0000-0000B63A0000}"/>
    <cellStyle name="Normal 5 4 2 2 8 2" xfId="29766" xr:uid="{00000000-0005-0000-0000-0000B73A0000}"/>
    <cellStyle name="Normal 5 4 2 2 9" xfId="19909" xr:uid="{00000000-0005-0000-0000-0000B83A0000}"/>
    <cellStyle name="Normal 5 4 2 3" xfId="245" xr:uid="{00000000-0005-0000-0000-0000B93A0000}"/>
    <cellStyle name="Normal 5 4 2 3 2" xfId="559" xr:uid="{00000000-0005-0000-0000-0000BA3A0000}"/>
    <cellStyle name="Normal 5 4 2 3 2 2" xfId="1179" xr:uid="{00000000-0005-0000-0000-0000BB3A0000}"/>
    <cellStyle name="Normal 5 4 2 3 2 2 2" xfId="2414" xr:uid="{00000000-0005-0000-0000-0000BC3A0000}"/>
    <cellStyle name="Normal 5 4 2 3 2 2 2 2" xfId="4881" xr:uid="{00000000-0005-0000-0000-0000BD3A0000}"/>
    <cellStyle name="Normal 5 4 2 3 2 2 2 2 2" xfId="9813" xr:uid="{00000000-0005-0000-0000-0000BE3A0000}"/>
    <cellStyle name="Normal 5 4 2 3 2 2 2 2 2 2" xfId="19673" xr:uid="{00000000-0005-0000-0000-0000BF3A0000}"/>
    <cellStyle name="Normal 5 4 2 3 2 2 2 2 2 2 2" xfId="39388" xr:uid="{00000000-0005-0000-0000-0000C03A0000}"/>
    <cellStyle name="Normal 5 4 2 3 2 2 2 2 2 3" xfId="29531" xr:uid="{00000000-0005-0000-0000-0000C13A0000}"/>
    <cellStyle name="Normal 5 4 2 3 2 2 2 2 3" xfId="14745" xr:uid="{00000000-0005-0000-0000-0000C23A0000}"/>
    <cellStyle name="Normal 5 4 2 3 2 2 2 2 3 2" xfId="34460" xr:uid="{00000000-0005-0000-0000-0000C33A0000}"/>
    <cellStyle name="Normal 5 4 2 3 2 2 2 2 4" xfId="24603" xr:uid="{00000000-0005-0000-0000-0000C43A0000}"/>
    <cellStyle name="Normal 5 4 2 3 2 2 2 3" xfId="7349" xr:uid="{00000000-0005-0000-0000-0000C53A0000}"/>
    <cellStyle name="Normal 5 4 2 3 2 2 2 3 2" xfId="17209" xr:uid="{00000000-0005-0000-0000-0000C63A0000}"/>
    <cellStyle name="Normal 5 4 2 3 2 2 2 3 2 2" xfId="36924" xr:uid="{00000000-0005-0000-0000-0000C73A0000}"/>
    <cellStyle name="Normal 5 4 2 3 2 2 2 3 3" xfId="27067" xr:uid="{00000000-0005-0000-0000-0000C83A0000}"/>
    <cellStyle name="Normal 5 4 2 3 2 2 2 4" xfId="12281" xr:uid="{00000000-0005-0000-0000-0000C93A0000}"/>
    <cellStyle name="Normal 5 4 2 3 2 2 2 4 2" xfId="31996" xr:uid="{00000000-0005-0000-0000-0000CA3A0000}"/>
    <cellStyle name="Normal 5 4 2 3 2 2 2 5" xfId="22139" xr:uid="{00000000-0005-0000-0000-0000CB3A0000}"/>
    <cellStyle name="Normal 5 4 2 3 2 2 3" xfId="3649" xr:uid="{00000000-0005-0000-0000-0000CC3A0000}"/>
    <cellStyle name="Normal 5 4 2 3 2 2 3 2" xfId="8581" xr:uid="{00000000-0005-0000-0000-0000CD3A0000}"/>
    <cellStyle name="Normal 5 4 2 3 2 2 3 2 2" xfId="18441" xr:uid="{00000000-0005-0000-0000-0000CE3A0000}"/>
    <cellStyle name="Normal 5 4 2 3 2 2 3 2 2 2" xfId="38156" xr:uid="{00000000-0005-0000-0000-0000CF3A0000}"/>
    <cellStyle name="Normal 5 4 2 3 2 2 3 2 3" xfId="28299" xr:uid="{00000000-0005-0000-0000-0000D03A0000}"/>
    <cellStyle name="Normal 5 4 2 3 2 2 3 3" xfId="13513" xr:uid="{00000000-0005-0000-0000-0000D13A0000}"/>
    <cellStyle name="Normal 5 4 2 3 2 2 3 3 2" xfId="33228" xr:uid="{00000000-0005-0000-0000-0000D23A0000}"/>
    <cellStyle name="Normal 5 4 2 3 2 2 3 4" xfId="23371" xr:uid="{00000000-0005-0000-0000-0000D33A0000}"/>
    <cellStyle name="Normal 5 4 2 3 2 2 4" xfId="6117" xr:uid="{00000000-0005-0000-0000-0000D43A0000}"/>
    <cellStyle name="Normal 5 4 2 3 2 2 4 2" xfId="15977" xr:uid="{00000000-0005-0000-0000-0000D53A0000}"/>
    <cellStyle name="Normal 5 4 2 3 2 2 4 2 2" xfId="35692" xr:uid="{00000000-0005-0000-0000-0000D63A0000}"/>
    <cellStyle name="Normal 5 4 2 3 2 2 4 3" xfId="25835" xr:uid="{00000000-0005-0000-0000-0000D73A0000}"/>
    <cellStyle name="Normal 5 4 2 3 2 2 5" xfId="11049" xr:uid="{00000000-0005-0000-0000-0000D83A0000}"/>
    <cellStyle name="Normal 5 4 2 3 2 2 5 2" xfId="30764" xr:uid="{00000000-0005-0000-0000-0000D93A0000}"/>
    <cellStyle name="Normal 5 4 2 3 2 2 6" xfId="20907" xr:uid="{00000000-0005-0000-0000-0000DA3A0000}"/>
    <cellStyle name="Normal 5 4 2 3 2 3" xfId="1798" xr:uid="{00000000-0005-0000-0000-0000DB3A0000}"/>
    <cellStyle name="Normal 5 4 2 3 2 3 2" xfId="4265" xr:uid="{00000000-0005-0000-0000-0000DC3A0000}"/>
    <cellStyle name="Normal 5 4 2 3 2 3 2 2" xfId="9197" xr:uid="{00000000-0005-0000-0000-0000DD3A0000}"/>
    <cellStyle name="Normal 5 4 2 3 2 3 2 2 2" xfId="19057" xr:uid="{00000000-0005-0000-0000-0000DE3A0000}"/>
    <cellStyle name="Normal 5 4 2 3 2 3 2 2 2 2" xfId="38772" xr:uid="{00000000-0005-0000-0000-0000DF3A0000}"/>
    <cellStyle name="Normal 5 4 2 3 2 3 2 2 3" xfId="28915" xr:uid="{00000000-0005-0000-0000-0000E03A0000}"/>
    <cellStyle name="Normal 5 4 2 3 2 3 2 3" xfId="14129" xr:uid="{00000000-0005-0000-0000-0000E13A0000}"/>
    <cellStyle name="Normal 5 4 2 3 2 3 2 3 2" xfId="33844" xr:uid="{00000000-0005-0000-0000-0000E23A0000}"/>
    <cellStyle name="Normal 5 4 2 3 2 3 2 4" xfId="23987" xr:uid="{00000000-0005-0000-0000-0000E33A0000}"/>
    <cellStyle name="Normal 5 4 2 3 2 3 3" xfId="6733" xr:uid="{00000000-0005-0000-0000-0000E43A0000}"/>
    <cellStyle name="Normal 5 4 2 3 2 3 3 2" xfId="16593" xr:uid="{00000000-0005-0000-0000-0000E53A0000}"/>
    <cellStyle name="Normal 5 4 2 3 2 3 3 2 2" xfId="36308" xr:uid="{00000000-0005-0000-0000-0000E63A0000}"/>
    <cellStyle name="Normal 5 4 2 3 2 3 3 3" xfId="26451" xr:uid="{00000000-0005-0000-0000-0000E73A0000}"/>
    <cellStyle name="Normal 5 4 2 3 2 3 4" xfId="11665" xr:uid="{00000000-0005-0000-0000-0000E83A0000}"/>
    <cellStyle name="Normal 5 4 2 3 2 3 4 2" xfId="31380" xr:uid="{00000000-0005-0000-0000-0000E93A0000}"/>
    <cellStyle name="Normal 5 4 2 3 2 3 5" xfId="21523" xr:uid="{00000000-0005-0000-0000-0000EA3A0000}"/>
    <cellStyle name="Normal 5 4 2 3 2 4" xfId="3033" xr:uid="{00000000-0005-0000-0000-0000EB3A0000}"/>
    <cellStyle name="Normal 5 4 2 3 2 4 2" xfId="7965" xr:uid="{00000000-0005-0000-0000-0000EC3A0000}"/>
    <cellStyle name="Normal 5 4 2 3 2 4 2 2" xfId="17825" xr:uid="{00000000-0005-0000-0000-0000ED3A0000}"/>
    <cellStyle name="Normal 5 4 2 3 2 4 2 2 2" xfId="37540" xr:uid="{00000000-0005-0000-0000-0000EE3A0000}"/>
    <cellStyle name="Normal 5 4 2 3 2 4 2 3" xfId="27683" xr:uid="{00000000-0005-0000-0000-0000EF3A0000}"/>
    <cellStyle name="Normal 5 4 2 3 2 4 3" xfId="12897" xr:uid="{00000000-0005-0000-0000-0000F03A0000}"/>
    <cellStyle name="Normal 5 4 2 3 2 4 3 2" xfId="32612" xr:uid="{00000000-0005-0000-0000-0000F13A0000}"/>
    <cellStyle name="Normal 5 4 2 3 2 4 4" xfId="22755" xr:uid="{00000000-0005-0000-0000-0000F23A0000}"/>
    <cellStyle name="Normal 5 4 2 3 2 5" xfId="5501" xr:uid="{00000000-0005-0000-0000-0000F33A0000}"/>
    <cellStyle name="Normal 5 4 2 3 2 5 2" xfId="15361" xr:uid="{00000000-0005-0000-0000-0000F43A0000}"/>
    <cellStyle name="Normal 5 4 2 3 2 5 2 2" xfId="35076" xr:uid="{00000000-0005-0000-0000-0000F53A0000}"/>
    <cellStyle name="Normal 5 4 2 3 2 5 3" xfId="25219" xr:uid="{00000000-0005-0000-0000-0000F63A0000}"/>
    <cellStyle name="Normal 5 4 2 3 2 6" xfId="10433" xr:uid="{00000000-0005-0000-0000-0000F73A0000}"/>
    <cellStyle name="Normal 5 4 2 3 2 6 2" xfId="30148" xr:uid="{00000000-0005-0000-0000-0000F83A0000}"/>
    <cellStyle name="Normal 5 4 2 3 2 7" xfId="20291" xr:uid="{00000000-0005-0000-0000-0000F93A0000}"/>
    <cellStyle name="Normal 5 4 2 3 3" xfId="872" xr:uid="{00000000-0005-0000-0000-0000FA3A0000}"/>
    <cellStyle name="Normal 5 4 2 3 3 2" xfId="2108" xr:uid="{00000000-0005-0000-0000-0000FB3A0000}"/>
    <cellStyle name="Normal 5 4 2 3 3 2 2" xfId="4575" xr:uid="{00000000-0005-0000-0000-0000FC3A0000}"/>
    <cellStyle name="Normal 5 4 2 3 3 2 2 2" xfId="9507" xr:uid="{00000000-0005-0000-0000-0000FD3A0000}"/>
    <cellStyle name="Normal 5 4 2 3 3 2 2 2 2" xfId="19367" xr:uid="{00000000-0005-0000-0000-0000FE3A0000}"/>
    <cellStyle name="Normal 5 4 2 3 3 2 2 2 2 2" xfId="39082" xr:uid="{00000000-0005-0000-0000-0000FF3A0000}"/>
    <cellStyle name="Normal 5 4 2 3 3 2 2 2 3" xfId="29225" xr:uid="{00000000-0005-0000-0000-0000003B0000}"/>
    <cellStyle name="Normal 5 4 2 3 3 2 2 3" xfId="14439" xr:uid="{00000000-0005-0000-0000-0000013B0000}"/>
    <cellStyle name="Normal 5 4 2 3 3 2 2 3 2" xfId="34154" xr:uid="{00000000-0005-0000-0000-0000023B0000}"/>
    <cellStyle name="Normal 5 4 2 3 3 2 2 4" xfId="24297" xr:uid="{00000000-0005-0000-0000-0000033B0000}"/>
    <cellStyle name="Normal 5 4 2 3 3 2 3" xfId="7043" xr:uid="{00000000-0005-0000-0000-0000043B0000}"/>
    <cellStyle name="Normal 5 4 2 3 3 2 3 2" xfId="16903" xr:uid="{00000000-0005-0000-0000-0000053B0000}"/>
    <cellStyle name="Normal 5 4 2 3 3 2 3 2 2" xfId="36618" xr:uid="{00000000-0005-0000-0000-0000063B0000}"/>
    <cellStyle name="Normal 5 4 2 3 3 2 3 3" xfId="26761" xr:uid="{00000000-0005-0000-0000-0000073B0000}"/>
    <cellStyle name="Normal 5 4 2 3 3 2 4" xfId="11975" xr:uid="{00000000-0005-0000-0000-0000083B0000}"/>
    <cellStyle name="Normal 5 4 2 3 3 2 4 2" xfId="31690" xr:uid="{00000000-0005-0000-0000-0000093B0000}"/>
    <cellStyle name="Normal 5 4 2 3 3 2 5" xfId="21833" xr:uid="{00000000-0005-0000-0000-00000A3B0000}"/>
    <cellStyle name="Normal 5 4 2 3 3 3" xfId="3343" xr:uid="{00000000-0005-0000-0000-00000B3B0000}"/>
    <cellStyle name="Normal 5 4 2 3 3 3 2" xfId="8275" xr:uid="{00000000-0005-0000-0000-00000C3B0000}"/>
    <cellStyle name="Normal 5 4 2 3 3 3 2 2" xfId="18135" xr:uid="{00000000-0005-0000-0000-00000D3B0000}"/>
    <cellStyle name="Normal 5 4 2 3 3 3 2 2 2" xfId="37850" xr:uid="{00000000-0005-0000-0000-00000E3B0000}"/>
    <cellStyle name="Normal 5 4 2 3 3 3 2 3" xfId="27993" xr:uid="{00000000-0005-0000-0000-00000F3B0000}"/>
    <cellStyle name="Normal 5 4 2 3 3 3 3" xfId="13207" xr:uid="{00000000-0005-0000-0000-0000103B0000}"/>
    <cellStyle name="Normal 5 4 2 3 3 3 3 2" xfId="32922" xr:uid="{00000000-0005-0000-0000-0000113B0000}"/>
    <cellStyle name="Normal 5 4 2 3 3 3 4" xfId="23065" xr:uid="{00000000-0005-0000-0000-0000123B0000}"/>
    <cellStyle name="Normal 5 4 2 3 3 4" xfId="5811" xr:uid="{00000000-0005-0000-0000-0000133B0000}"/>
    <cellStyle name="Normal 5 4 2 3 3 4 2" xfId="15671" xr:uid="{00000000-0005-0000-0000-0000143B0000}"/>
    <cellStyle name="Normal 5 4 2 3 3 4 2 2" xfId="35386" xr:uid="{00000000-0005-0000-0000-0000153B0000}"/>
    <cellStyle name="Normal 5 4 2 3 3 4 3" xfId="25529" xr:uid="{00000000-0005-0000-0000-0000163B0000}"/>
    <cellStyle name="Normal 5 4 2 3 3 5" xfId="10743" xr:uid="{00000000-0005-0000-0000-0000173B0000}"/>
    <cellStyle name="Normal 5 4 2 3 3 5 2" xfId="30458" xr:uid="{00000000-0005-0000-0000-0000183B0000}"/>
    <cellStyle name="Normal 5 4 2 3 3 6" xfId="20601" xr:uid="{00000000-0005-0000-0000-0000193B0000}"/>
    <cellStyle name="Normal 5 4 2 3 4" xfId="1492" xr:uid="{00000000-0005-0000-0000-00001A3B0000}"/>
    <cellStyle name="Normal 5 4 2 3 4 2" xfId="3959" xr:uid="{00000000-0005-0000-0000-00001B3B0000}"/>
    <cellStyle name="Normal 5 4 2 3 4 2 2" xfId="8891" xr:uid="{00000000-0005-0000-0000-00001C3B0000}"/>
    <cellStyle name="Normal 5 4 2 3 4 2 2 2" xfId="18751" xr:uid="{00000000-0005-0000-0000-00001D3B0000}"/>
    <cellStyle name="Normal 5 4 2 3 4 2 2 2 2" xfId="38466" xr:uid="{00000000-0005-0000-0000-00001E3B0000}"/>
    <cellStyle name="Normal 5 4 2 3 4 2 2 3" xfId="28609" xr:uid="{00000000-0005-0000-0000-00001F3B0000}"/>
    <cellStyle name="Normal 5 4 2 3 4 2 3" xfId="13823" xr:uid="{00000000-0005-0000-0000-0000203B0000}"/>
    <cellStyle name="Normal 5 4 2 3 4 2 3 2" xfId="33538" xr:uid="{00000000-0005-0000-0000-0000213B0000}"/>
    <cellStyle name="Normal 5 4 2 3 4 2 4" xfId="23681" xr:uid="{00000000-0005-0000-0000-0000223B0000}"/>
    <cellStyle name="Normal 5 4 2 3 4 3" xfId="6427" xr:uid="{00000000-0005-0000-0000-0000233B0000}"/>
    <cellStyle name="Normal 5 4 2 3 4 3 2" xfId="16287" xr:uid="{00000000-0005-0000-0000-0000243B0000}"/>
    <cellStyle name="Normal 5 4 2 3 4 3 2 2" xfId="36002" xr:uid="{00000000-0005-0000-0000-0000253B0000}"/>
    <cellStyle name="Normal 5 4 2 3 4 3 3" xfId="26145" xr:uid="{00000000-0005-0000-0000-0000263B0000}"/>
    <cellStyle name="Normal 5 4 2 3 4 4" xfId="11359" xr:uid="{00000000-0005-0000-0000-0000273B0000}"/>
    <cellStyle name="Normal 5 4 2 3 4 4 2" xfId="31074" xr:uid="{00000000-0005-0000-0000-0000283B0000}"/>
    <cellStyle name="Normal 5 4 2 3 4 5" xfId="21217" xr:uid="{00000000-0005-0000-0000-0000293B0000}"/>
    <cellStyle name="Normal 5 4 2 3 5" xfId="2727" xr:uid="{00000000-0005-0000-0000-00002A3B0000}"/>
    <cellStyle name="Normal 5 4 2 3 5 2" xfId="7659" xr:uid="{00000000-0005-0000-0000-00002B3B0000}"/>
    <cellStyle name="Normal 5 4 2 3 5 2 2" xfId="17519" xr:uid="{00000000-0005-0000-0000-00002C3B0000}"/>
    <cellStyle name="Normal 5 4 2 3 5 2 2 2" xfId="37234" xr:uid="{00000000-0005-0000-0000-00002D3B0000}"/>
    <cellStyle name="Normal 5 4 2 3 5 2 3" xfId="27377" xr:uid="{00000000-0005-0000-0000-00002E3B0000}"/>
    <cellStyle name="Normal 5 4 2 3 5 3" xfId="12591" xr:uid="{00000000-0005-0000-0000-00002F3B0000}"/>
    <cellStyle name="Normal 5 4 2 3 5 3 2" xfId="32306" xr:uid="{00000000-0005-0000-0000-0000303B0000}"/>
    <cellStyle name="Normal 5 4 2 3 5 4" xfId="22449" xr:uid="{00000000-0005-0000-0000-0000313B0000}"/>
    <cellStyle name="Normal 5 4 2 3 6" xfId="5195" xr:uid="{00000000-0005-0000-0000-0000323B0000}"/>
    <cellStyle name="Normal 5 4 2 3 6 2" xfId="15055" xr:uid="{00000000-0005-0000-0000-0000333B0000}"/>
    <cellStyle name="Normal 5 4 2 3 6 2 2" xfId="34770" xr:uid="{00000000-0005-0000-0000-0000343B0000}"/>
    <cellStyle name="Normal 5 4 2 3 6 3" xfId="24913" xr:uid="{00000000-0005-0000-0000-0000353B0000}"/>
    <cellStyle name="Normal 5 4 2 3 7" xfId="10127" xr:uid="{00000000-0005-0000-0000-0000363B0000}"/>
    <cellStyle name="Normal 5 4 2 3 7 2" xfId="29842" xr:uid="{00000000-0005-0000-0000-0000373B0000}"/>
    <cellStyle name="Normal 5 4 2 3 8" xfId="19985" xr:uid="{00000000-0005-0000-0000-0000383B0000}"/>
    <cellStyle name="Normal 5 4 2 4" xfId="407" xr:uid="{00000000-0005-0000-0000-0000393B0000}"/>
    <cellStyle name="Normal 5 4 2 4 2" xfId="1027" xr:uid="{00000000-0005-0000-0000-00003A3B0000}"/>
    <cellStyle name="Normal 5 4 2 4 2 2" xfId="2262" xr:uid="{00000000-0005-0000-0000-00003B3B0000}"/>
    <cellStyle name="Normal 5 4 2 4 2 2 2" xfId="4729" xr:uid="{00000000-0005-0000-0000-00003C3B0000}"/>
    <cellStyle name="Normal 5 4 2 4 2 2 2 2" xfId="9661" xr:uid="{00000000-0005-0000-0000-00003D3B0000}"/>
    <cellStyle name="Normal 5 4 2 4 2 2 2 2 2" xfId="19521" xr:uid="{00000000-0005-0000-0000-00003E3B0000}"/>
    <cellStyle name="Normal 5 4 2 4 2 2 2 2 2 2" xfId="39236" xr:uid="{00000000-0005-0000-0000-00003F3B0000}"/>
    <cellStyle name="Normal 5 4 2 4 2 2 2 2 3" xfId="29379" xr:uid="{00000000-0005-0000-0000-0000403B0000}"/>
    <cellStyle name="Normal 5 4 2 4 2 2 2 3" xfId="14593" xr:uid="{00000000-0005-0000-0000-0000413B0000}"/>
    <cellStyle name="Normal 5 4 2 4 2 2 2 3 2" xfId="34308" xr:uid="{00000000-0005-0000-0000-0000423B0000}"/>
    <cellStyle name="Normal 5 4 2 4 2 2 2 4" xfId="24451" xr:uid="{00000000-0005-0000-0000-0000433B0000}"/>
    <cellStyle name="Normal 5 4 2 4 2 2 3" xfId="7197" xr:uid="{00000000-0005-0000-0000-0000443B0000}"/>
    <cellStyle name="Normal 5 4 2 4 2 2 3 2" xfId="17057" xr:uid="{00000000-0005-0000-0000-0000453B0000}"/>
    <cellStyle name="Normal 5 4 2 4 2 2 3 2 2" xfId="36772" xr:uid="{00000000-0005-0000-0000-0000463B0000}"/>
    <cellStyle name="Normal 5 4 2 4 2 2 3 3" xfId="26915" xr:uid="{00000000-0005-0000-0000-0000473B0000}"/>
    <cellStyle name="Normal 5 4 2 4 2 2 4" xfId="12129" xr:uid="{00000000-0005-0000-0000-0000483B0000}"/>
    <cellStyle name="Normal 5 4 2 4 2 2 4 2" xfId="31844" xr:uid="{00000000-0005-0000-0000-0000493B0000}"/>
    <cellStyle name="Normal 5 4 2 4 2 2 5" xfId="21987" xr:uid="{00000000-0005-0000-0000-00004A3B0000}"/>
    <cellStyle name="Normal 5 4 2 4 2 3" xfId="3497" xr:uid="{00000000-0005-0000-0000-00004B3B0000}"/>
    <cellStyle name="Normal 5 4 2 4 2 3 2" xfId="8429" xr:uid="{00000000-0005-0000-0000-00004C3B0000}"/>
    <cellStyle name="Normal 5 4 2 4 2 3 2 2" xfId="18289" xr:uid="{00000000-0005-0000-0000-00004D3B0000}"/>
    <cellStyle name="Normal 5 4 2 4 2 3 2 2 2" xfId="38004" xr:uid="{00000000-0005-0000-0000-00004E3B0000}"/>
    <cellStyle name="Normal 5 4 2 4 2 3 2 3" xfId="28147" xr:uid="{00000000-0005-0000-0000-00004F3B0000}"/>
    <cellStyle name="Normal 5 4 2 4 2 3 3" xfId="13361" xr:uid="{00000000-0005-0000-0000-0000503B0000}"/>
    <cellStyle name="Normal 5 4 2 4 2 3 3 2" xfId="33076" xr:uid="{00000000-0005-0000-0000-0000513B0000}"/>
    <cellStyle name="Normal 5 4 2 4 2 3 4" xfId="23219" xr:uid="{00000000-0005-0000-0000-0000523B0000}"/>
    <cellStyle name="Normal 5 4 2 4 2 4" xfId="5965" xr:uid="{00000000-0005-0000-0000-0000533B0000}"/>
    <cellStyle name="Normal 5 4 2 4 2 4 2" xfId="15825" xr:uid="{00000000-0005-0000-0000-0000543B0000}"/>
    <cellStyle name="Normal 5 4 2 4 2 4 2 2" xfId="35540" xr:uid="{00000000-0005-0000-0000-0000553B0000}"/>
    <cellStyle name="Normal 5 4 2 4 2 4 3" xfId="25683" xr:uid="{00000000-0005-0000-0000-0000563B0000}"/>
    <cellStyle name="Normal 5 4 2 4 2 5" xfId="10897" xr:uid="{00000000-0005-0000-0000-0000573B0000}"/>
    <cellStyle name="Normal 5 4 2 4 2 5 2" xfId="30612" xr:uid="{00000000-0005-0000-0000-0000583B0000}"/>
    <cellStyle name="Normal 5 4 2 4 2 6" xfId="20755" xr:uid="{00000000-0005-0000-0000-0000593B0000}"/>
    <cellStyle name="Normal 5 4 2 4 3" xfId="1646" xr:uid="{00000000-0005-0000-0000-00005A3B0000}"/>
    <cellStyle name="Normal 5 4 2 4 3 2" xfId="4113" xr:uid="{00000000-0005-0000-0000-00005B3B0000}"/>
    <cellStyle name="Normal 5 4 2 4 3 2 2" xfId="9045" xr:uid="{00000000-0005-0000-0000-00005C3B0000}"/>
    <cellStyle name="Normal 5 4 2 4 3 2 2 2" xfId="18905" xr:uid="{00000000-0005-0000-0000-00005D3B0000}"/>
    <cellStyle name="Normal 5 4 2 4 3 2 2 2 2" xfId="38620" xr:uid="{00000000-0005-0000-0000-00005E3B0000}"/>
    <cellStyle name="Normal 5 4 2 4 3 2 2 3" xfId="28763" xr:uid="{00000000-0005-0000-0000-00005F3B0000}"/>
    <cellStyle name="Normal 5 4 2 4 3 2 3" xfId="13977" xr:uid="{00000000-0005-0000-0000-0000603B0000}"/>
    <cellStyle name="Normal 5 4 2 4 3 2 3 2" xfId="33692" xr:uid="{00000000-0005-0000-0000-0000613B0000}"/>
    <cellStyle name="Normal 5 4 2 4 3 2 4" xfId="23835" xr:uid="{00000000-0005-0000-0000-0000623B0000}"/>
    <cellStyle name="Normal 5 4 2 4 3 3" xfId="6581" xr:uid="{00000000-0005-0000-0000-0000633B0000}"/>
    <cellStyle name="Normal 5 4 2 4 3 3 2" xfId="16441" xr:uid="{00000000-0005-0000-0000-0000643B0000}"/>
    <cellStyle name="Normal 5 4 2 4 3 3 2 2" xfId="36156" xr:uid="{00000000-0005-0000-0000-0000653B0000}"/>
    <cellStyle name="Normal 5 4 2 4 3 3 3" xfId="26299" xr:uid="{00000000-0005-0000-0000-0000663B0000}"/>
    <cellStyle name="Normal 5 4 2 4 3 4" xfId="11513" xr:uid="{00000000-0005-0000-0000-0000673B0000}"/>
    <cellStyle name="Normal 5 4 2 4 3 4 2" xfId="31228" xr:uid="{00000000-0005-0000-0000-0000683B0000}"/>
    <cellStyle name="Normal 5 4 2 4 3 5" xfId="21371" xr:uid="{00000000-0005-0000-0000-0000693B0000}"/>
    <cellStyle name="Normal 5 4 2 4 4" xfId="2881" xr:uid="{00000000-0005-0000-0000-00006A3B0000}"/>
    <cellStyle name="Normal 5 4 2 4 4 2" xfId="7813" xr:uid="{00000000-0005-0000-0000-00006B3B0000}"/>
    <cellStyle name="Normal 5 4 2 4 4 2 2" xfId="17673" xr:uid="{00000000-0005-0000-0000-00006C3B0000}"/>
    <cellStyle name="Normal 5 4 2 4 4 2 2 2" xfId="37388" xr:uid="{00000000-0005-0000-0000-00006D3B0000}"/>
    <cellStyle name="Normal 5 4 2 4 4 2 3" xfId="27531" xr:uid="{00000000-0005-0000-0000-00006E3B0000}"/>
    <cellStyle name="Normal 5 4 2 4 4 3" xfId="12745" xr:uid="{00000000-0005-0000-0000-00006F3B0000}"/>
    <cellStyle name="Normal 5 4 2 4 4 3 2" xfId="32460" xr:uid="{00000000-0005-0000-0000-0000703B0000}"/>
    <cellStyle name="Normal 5 4 2 4 4 4" xfId="22603" xr:uid="{00000000-0005-0000-0000-0000713B0000}"/>
    <cellStyle name="Normal 5 4 2 4 5" xfId="5349" xr:uid="{00000000-0005-0000-0000-0000723B0000}"/>
    <cellStyle name="Normal 5 4 2 4 5 2" xfId="15209" xr:uid="{00000000-0005-0000-0000-0000733B0000}"/>
    <cellStyle name="Normal 5 4 2 4 5 2 2" xfId="34924" xr:uid="{00000000-0005-0000-0000-0000743B0000}"/>
    <cellStyle name="Normal 5 4 2 4 5 3" xfId="25067" xr:uid="{00000000-0005-0000-0000-0000753B0000}"/>
    <cellStyle name="Normal 5 4 2 4 6" xfId="10281" xr:uid="{00000000-0005-0000-0000-0000763B0000}"/>
    <cellStyle name="Normal 5 4 2 4 6 2" xfId="29996" xr:uid="{00000000-0005-0000-0000-0000773B0000}"/>
    <cellStyle name="Normal 5 4 2 4 7" xfId="20139" xr:uid="{00000000-0005-0000-0000-0000783B0000}"/>
    <cellStyle name="Normal 5 4 2 5" xfId="720" xr:uid="{00000000-0005-0000-0000-0000793B0000}"/>
    <cellStyle name="Normal 5 4 2 5 2" xfId="1956" xr:uid="{00000000-0005-0000-0000-00007A3B0000}"/>
    <cellStyle name="Normal 5 4 2 5 2 2" xfId="4423" xr:uid="{00000000-0005-0000-0000-00007B3B0000}"/>
    <cellStyle name="Normal 5 4 2 5 2 2 2" xfId="9355" xr:uid="{00000000-0005-0000-0000-00007C3B0000}"/>
    <cellStyle name="Normal 5 4 2 5 2 2 2 2" xfId="19215" xr:uid="{00000000-0005-0000-0000-00007D3B0000}"/>
    <cellStyle name="Normal 5 4 2 5 2 2 2 2 2" xfId="38930" xr:uid="{00000000-0005-0000-0000-00007E3B0000}"/>
    <cellStyle name="Normal 5 4 2 5 2 2 2 3" xfId="29073" xr:uid="{00000000-0005-0000-0000-00007F3B0000}"/>
    <cellStyle name="Normal 5 4 2 5 2 2 3" xfId="14287" xr:uid="{00000000-0005-0000-0000-0000803B0000}"/>
    <cellStyle name="Normal 5 4 2 5 2 2 3 2" xfId="34002" xr:uid="{00000000-0005-0000-0000-0000813B0000}"/>
    <cellStyle name="Normal 5 4 2 5 2 2 4" xfId="24145" xr:uid="{00000000-0005-0000-0000-0000823B0000}"/>
    <cellStyle name="Normal 5 4 2 5 2 3" xfId="6891" xr:uid="{00000000-0005-0000-0000-0000833B0000}"/>
    <cellStyle name="Normal 5 4 2 5 2 3 2" xfId="16751" xr:uid="{00000000-0005-0000-0000-0000843B0000}"/>
    <cellStyle name="Normal 5 4 2 5 2 3 2 2" xfId="36466" xr:uid="{00000000-0005-0000-0000-0000853B0000}"/>
    <cellStyle name="Normal 5 4 2 5 2 3 3" xfId="26609" xr:uid="{00000000-0005-0000-0000-0000863B0000}"/>
    <cellStyle name="Normal 5 4 2 5 2 4" xfId="11823" xr:uid="{00000000-0005-0000-0000-0000873B0000}"/>
    <cellStyle name="Normal 5 4 2 5 2 4 2" xfId="31538" xr:uid="{00000000-0005-0000-0000-0000883B0000}"/>
    <cellStyle name="Normal 5 4 2 5 2 5" xfId="21681" xr:uid="{00000000-0005-0000-0000-0000893B0000}"/>
    <cellStyle name="Normal 5 4 2 5 3" xfId="3191" xr:uid="{00000000-0005-0000-0000-00008A3B0000}"/>
    <cellStyle name="Normal 5 4 2 5 3 2" xfId="8123" xr:uid="{00000000-0005-0000-0000-00008B3B0000}"/>
    <cellStyle name="Normal 5 4 2 5 3 2 2" xfId="17983" xr:uid="{00000000-0005-0000-0000-00008C3B0000}"/>
    <cellStyle name="Normal 5 4 2 5 3 2 2 2" xfId="37698" xr:uid="{00000000-0005-0000-0000-00008D3B0000}"/>
    <cellStyle name="Normal 5 4 2 5 3 2 3" xfId="27841" xr:uid="{00000000-0005-0000-0000-00008E3B0000}"/>
    <cellStyle name="Normal 5 4 2 5 3 3" xfId="13055" xr:uid="{00000000-0005-0000-0000-00008F3B0000}"/>
    <cellStyle name="Normal 5 4 2 5 3 3 2" xfId="32770" xr:uid="{00000000-0005-0000-0000-0000903B0000}"/>
    <cellStyle name="Normal 5 4 2 5 3 4" xfId="22913" xr:uid="{00000000-0005-0000-0000-0000913B0000}"/>
    <cellStyle name="Normal 5 4 2 5 4" xfId="5659" xr:uid="{00000000-0005-0000-0000-0000923B0000}"/>
    <cellStyle name="Normal 5 4 2 5 4 2" xfId="15519" xr:uid="{00000000-0005-0000-0000-0000933B0000}"/>
    <cellStyle name="Normal 5 4 2 5 4 2 2" xfId="35234" xr:uid="{00000000-0005-0000-0000-0000943B0000}"/>
    <cellStyle name="Normal 5 4 2 5 4 3" xfId="25377" xr:uid="{00000000-0005-0000-0000-0000953B0000}"/>
    <cellStyle name="Normal 5 4 2 5 5" xfId="10591" xr:uid="{00000000-0005-0000-0000-0000963B0000}"/>
    <cellStyle name="Normal 5 4 2 5 5 2" xfId="30306" xr:uid="{00000000-0005-0000-0000-0000973B0000}"/>
    <cellStyle name="Normal 5 4 2 5 6" xfId="20449" xr:uid="{00000000-0005-0000-0000-0000983B0000}"/>
    <cellStyle name="Normal 5 4 2 6" xfId="1340" xr:uid="{00000000-0005-0000-0000-0000993B0000}"/>
    <cellStyle name="Normal 5 4 2 6 2" xfId="3807" xr:uid="{00000000-0005-0000-0000-00009A3B0000}"/>
    <cellStyle name="Normal 5 4 2 6 2 2" xfId="8739" xr:uid="{00000000-0005-0000-0000-00009B3B0000}"/>
    <cellStyle name="Normal 5 4 2 6 2 2 2" xfId="18599" xr:uid="{00000000-0005-0000-0000-00009C3B0000}"/>
    <cellStyle name="Normal 5 4 2 6 2 2 2 2" xfId="38314" xr:uid="{00000000-0005-0000-0000-00009D3B0000}"/>
    <cellStyle name="Normal 5 4 2 6 2 2 3" xfId="28457" xr:uid="{00000000-0005-0000-0000-00009E3B0000}"/>
    <cellStyle name="Normal 5 4 2 6 2 3" xfId="13671" xr:uid="{00000000-0005-0000-0000-00009F3B0000}"/>
    <cellStyle name="Normal 5 4 2 6 2 3 2" xfId="33386" xr:uid="{00000000-0005-0000-0000-0000A03B0000}"/>
    <cellStyle name="Normal 5 4 2 6 2 4" xfId="23529" xr:uid="{00000000-0005-0000-0000-0000A13B0000}"/>
    <cellStyle name="Normal 5 4 2 6 3" xfId="6275" xr:uid="{00000000-0005-0000-0000-0000A23B0000}"/>
    <cellStyle name="Normal 5 4 2 6 3 2" xfId="16135" xr:uid="{00000000-0005-0000-0000-0000A33B0000}"/>
    <cellStyle name="Normal 5 4 2 6 3 2 2" xfId="35850" xr:uid="{00000000-0005-0000-0000-0000A43B0000}"/>
    <cellStyle name="Normal 5 4 2 6 3 3" xfId="25993" xr:uid="{00000000-0005-0000-0000-0000A53B0000}"/>
    <cellStyle name="Normal 5 4 2 6 4" xfId="11207" xr:uid="{00000000-0005-0000-0000-0000A63B0000}"/>
    <cellStyle name="Normal 5 4 2 6 4 2" xfId="30922" xr:uid="{00000000-0005-0000-0000-0000A73B0000}"/>
    <cellStyle name="Normal 5 4 2 6 5" xfId="21065" xr:uid="{00000000-0005-0000-0000-0000A83B0000}"/>
    <cellStyle name="Normal 5 4 2 7" xfId="2575" xr:uid="{00000000-0005-0000-0000-0000A93B0000}"/>
    <cellStyle name="Normal 5 4 2 7 2" xfId="7507" xr:uid="{00000000-0005-0000-0000-0000AA3B0000}"/>
    <cellStyle name="Normal 5 4 2 7 2 2" xfId="17367" xr:uid="{00000000-0005-0000-0000-0000AB3B0000}"/>
    <cellStyle name="Normal 5 4 2 7 2 2 2" xfId="37082" xr:uid="{00000000-0005-0000-0000-0000AC3B0000}"/>
    <cellStyle name="Normal 5 4 2 7 2 3" xfId="27225" xr:uid="{00000000-0005-0000-0000-0000AD3B0000}"/>
    <cellStyle name="Normal 5 4 2 7 3" xfId="12439" xr:uid="{00000000-0005-0000-0000-0000AE3B0000}"/>
    <cellStyle name="Normal 5 4 2 7 3 2" xfId="32154" xr:uid="{00000000-0005-0000-0000-0000AF3B0000}"/>
    <cellStyle name="Normal 5 4 2 7 4" xfId="22297" xr:uid="{00000000-0005-0000-0000-0000B03B0000}"/>
    <cellStyle name="Normal 5 4 2 8" xfId="5043" xr:uid="{00000000-0005-0000-0000-0000B13B0000}"/>
    <cellStyle name="Normal 5 4 2 8 2" xfId="14903" xr:uid="{00000000-0005-0000-0000-0000B23B0000}"/>
    <cellStyle name="Normal 5 4 2 8 2 2" xfId="34618" xr:uid="{00000000-0005-0000-0000-0000B33B0000}"/>
    <cellStyle name="Normal 5 4 2 8 3" xfId="24761" xr:uid="{00000000-0005-0000-0000-0000B43B0000}"/>
    <cellStyle name="Normal 5 4 2 9" xfId="9975" xr:uid="{00000000-0005-0000-0000-0000B53B0000}"/>
    <cellStyle name="Normal 5 4 2 9 2" xfId="29690" xr:uid="{00000000-0005-0000-0000-0000B63B0000}"/>
    <cellStyle name="Normal 5 4 3" xfId="126" xr:uid="{00000000-0005-0000-0000-0000B73B0000}"/>
    <cellStyle name="Normal 5 4 3 2" xfId="283" xr:uid="{00000000-0005-0000-0000-0000B83B0000}"/>
    <cellStyle name="Normal 5 4 3 2 2" xfId="597" xr:uid="{00000000-0005-0000-0000-0000B93B0000}"/>
    <cellStyle name="Normal 5 4 3 2 2 2" xfId="1217" xr:uid="{00000000-0005-0000-0000-0000BA3B0000}"/>
    <cellStyle name="Normal 5 4 3 2 2 2 2" xfId="2452" xr:uid="{00000000-0005-0000-0000-0000BB3B0000}"/>
    <cellStyle name="Normal 5 4 3 2 2 2 2 2" xfId="4919" xr:uid="{00000000-0005-0000-0000-0000BC3B0000}"/>
    <cellStyle name="Normal 5 4 3 2 2 2 2 2 2" xfId="9851" xr:uid="{00000000-0005-0000-0000-0000BD3B0000}"/>
    <cellStyle name="Normal 5 4 3 2 2 2 2 2 2 2" xfId="19711" xr:uid="{00000000-0005-0000-0000-0000BE3B0000}"/>
    <cellStyle name="Normal 5 4 3 2 2 2 2 2 2 2 2" xfId="39426" xr:uid="{00000000-0005-0000-0000-0000BF3B0000}"/>
    <cellStyle name="Normal 5 4 3 2 2 2 2 2 2 3" xfId="29569" xr:uid="{00000000-0005-0000-0000-0000C03B0000}"/>
    <cellStyle name="Normal 5 4 3 2 2 2 2 2 3" xfId="14783" xr:uid="{00000000-0005-0000-0000-0000C13B0000}"/>
    <cellStyle name="Normal 5 4 3 2 2 2 2 2 3 2" xfId="34498" xr:uid="{00000000-0005-0000-0000-0000C23B0000}"/>
    <cellStyle name="Normal 5 4 3 2 2 2 2 2 4" xfId="24641" xr:uid="{00000000-0005-0000-0000-0000C33B0000}"/>
    <cellStyle name="Normal 5 4 3 2 2 2 2 3" xfId="7387" xr:uid="{00000000-0005-0000-0000-0000C43B0000}"/>
    <cellStyle name="Normal 5 4 3 2 2 2 2 3 2" xfId="17247" xr:uid="{00000000-0005-0000-0000-0000C53B0000}"/>
    <cellStyle name="Normal 5 4 3 2 2 2 2 3 2 2" xfId="36962" xr:uid="{00000000-0005-0000-0000-0000C63B0000}"/>
    <cellStyle name="Normal 5 4 3 2 2 2 2 3 3" xfId="27105" xr:uid="{00000000-0005-0000-0000-0000C73B0000}"/>
    <cellStyle name="Normal 5 4 3 2 2 2 2 4" xfId="12319" xr:uid="{00000000-0005-0000-0000-0000C83B0000}"/>
    <cellStyle name="Normal 5 4 3 2 2 2 2 4 2" xfId="32034" xr:uid="{00000000-0005-0000-0000-0000C93B0000}"/>
    <cellStyle name="Normal 5 4 3 2 2 2 2 5" xfId="22177" xr:uid="{00000000-0005-0000-0000-0000CA3B0000}"/>
    <cellStyle name="Normal 5 4 3 2 2 2 3" xfId="3687" xr:uid="{00000000-0005-0000-0000-0000CB3B0000}"/>
    <cellStyle name="Normal 5 4 3 2 2 2 3 2" xfId="8619" xr:uid="{00000000-0005-0000-0000-0000CC3B0000}"/>
    <cellStyle name="Normal 5 4 3 2 2 2 3 2 2" xfId="18479" xr:uid="{00000000-0005-0000-0000-0000CD3B0000}"/>
    <cellStyle name="Normal 5 4 3 2 2 2 3 2 2 2" xfId="38194" xr:uid="{00000000-0005-0000-0000-0000CE3B0000}"/>
    <cellStyle name="Normal 5 4 3 2 2 2 3 2 3" xfId="28337" xr:uid="{00000000-0005-0000-0000-0000CF3B0000}"/>
    <cellStyle name="Normal 5 4 3 2 2 2 3 3" xfId="13551" xr:uid="{00000000-0005-0000-0000-0000D03B0000}"/>
    <cellStyle name="Normal 5 4 3 2 2 2 3 3 2" xfId="33266" xr:uid="{00000000-0005-0000-0000-0000D13B0000}"/>
    <cellStyle name="Normal 5 4 3 2 2 2 3 4" xfId="23409" xr:uid="{00000000-0005-0000-0000-0000D23B0000}"/>
    <cellStyle name="Normal 5 4 3 2 2 2 4" xfId="6155" xr:uid="{00000000-0005-0000-0000-0000D33B0000}"/>
    <cellStyle name="Normal 5 4 3 2 2 2 4 2" xfId="16015" xr:uid="{00000000-0005-0000-0000-0000D43B0000}"/>
    <cellStyle name="Normal 5 4 3 2 2 2 4 2 2" xfId="35730" xr:uid="{00000000-0005-0000-0000-0000D53B0000}"/>
    <cellStyle name="Normal 5 4 3 2 2 2 4 3" xfId="25873" xr:uid="{00000000-0005-0000-0000-0000D63B0000}"/>
    <cellStyle name="Normal 5 4 3 2 2 2 5" xfId="11087" xr:uid="{00000000-0005-0000-0000-0000D73B0000}"/>
    <cellStyle name="Normal 5 4 3 2 2 2 5 2" xfId="30802" xr:uid="{00000000-0005-0000-0000-0000D83B0000}"/>
    <cellStyle name="Normal 5 4 3 2 2 2 6" xfId="20945" xr:uid="{00000000-0005-0000-0000-0000D93B0000}"/>
    <cellStyle name="Normal 5 4 3 2 2 3" xfId="1836" xr:uid="{00000000-0005-0000-0000-0000DA3B0000}"/>
    <cellStyle name="Normal 5 4 3 2 2 3 2" xfId="4303" xr:uid="{00000000-0005-0000-0000-0000DB3B0000}"/>
    <cellStyle name="Normal 5 4 3 2 2 3 2 2" xfId="9235" xr:uid="{00000000-0005-0000-0000-0000DC3B0000}"/>
    <cellStyle name="Normal 5 4 3 2 2 3 2 2 2" xfId="19095" xr:uid="{00000000-0005-0000-0000-0000DD3B0000}"/>
    <cellStyle name="Normal 5 4 3 2 2 3 2 2 2 2" xfId="38810" xr:uid="{00000000-0005-0000-0000-0000DE3B0000}"/>
    <cellStyle name="Normal 5 4 3 2 2 3 2 2 3" xfId="28953" xr:uid="{00000000-0005-0000-0000-0000DF3B0000}"/>
    <cellStyle name="Normal 5 4 3 2 2 3 2 3" xfId="14167" xr:uid="{00000000-0005-0000-0000-0000E03B0000}"/>
    <cellStyle name="Normal 5 4 3 2 2 3 2 3 2" xfId="33882" xr:uid="{00000000-0005-0000-0000-0000E13B0000}"/>
    <cellStyle name="Normal 5 4 3 2 2 3 2 4" xfId="24025" xr:uid="{00000000-0005-0000-0000-0000E23B0000}"/>
    <cellStyle name="Normal 5 4 3 2 2 3 3" xfId="6771" xr:uid="{00000000-0005-0000-0000-0000E33B0000}"/>
    <cellStyle name="Normal 5 4 3 2 2 3 3 2" xfId="16631" xr:uid="{00000000-0005-0000-0000-0000E43B0000}"/>
    <cellStyle name="Normal 5 4 3 2 2 3 3 2 2" xfId="36346" xr:uid="{00000000-0005-0000-0000-0000E53B0000}"/>
    <cellStyle name="Normal 5 4 3 2 2 3 3 3" xfId="26489" xr:uid="{00000000-0005-0000-0000-0000E63B0000}"/>
    <cellStyle name="Normal 5 4 3 2 2 3 4" xfId="11703" xr:uid="{00000000-0005-0000-0000-0000E73B0000}"/>
    <cellStyle name="Normal 5 4 3 2 2 3 4 2" xfId="31418" xr:uid="{00000000-0005-0000-0000-0000E83B0000}"/>
    <cellStyle name="Normal 5 4 3 2 2 3 5" xfId="21561" xr:uid="{00000000-0005-0000-0000-0000E93B0000}"/>
    <cellStyle name="Normal 5 4 3 2 2 4" xfId="3071" xr:uid="{00000000-0005-0000-0000-0000EA3B0000}"/>
    <cellStyle name="Normal 5 4 3 2 2 4 2" xfId="8003" xr:uid="{00000000-0005-0000-0000-0000EB3B0000}"/>
    <cellStyle name="Normal 5 4 3 2 2 4 2 2" xfId="17863" xr:uid="{00000000-0005-0000-0000-0000EC3B0000}"/>
    <cellStyle name="Normal 5 4 3 2 2 4 2 2 2" xfId="37578" xr:uid="{00000000-0005-0000-0000-0000ED3B0000}"/>
    <cellStyle name="Normal 5 4 3 2 2 4 2 3" xfId="27721" xr:uid="{00000000-0005-0000-0000-0000EE3B0000}"/>
    <cellStyle name="Normal 5 4 3 2 2 4 3" xfId="12935" xr:uid="{00000000-0005-0000-0000-0000EF3B0000}"/>
    <cellStyle name="Normal 5 4 3 2 2 4 3 2" xfId="32650" xr:uid="{00000000-0005-0000-0000-0000F03B0000}"/>
    <cellStyle name="Normal 5 4 3 2 2 4 4" xfId="22793" xr:uid="{00000000-0005-0000-0000-0000F13B0000}"/>
    <cellStyle name="Normal 5 4 3 2 2 5" xfId="5539" xr:uid="{00000000-0005-0000-0000-0000F23B0000}"/>
    <cellStyle name="Normal 5 4 3 2 2 5 2" xfId="15399" xr:uid="{00000000-0005-0000-0000-0000F33B0000}"/>
    <cellStyle name="Normal 5 4 3 2 2 5 2 2" xfId="35114" xr:uid="{00000000-0005-0000-0000-0000F43B0000}"/>
    <cellStyle name="Normal 5 4 3 2 2 5 3" xfId="25257" xr:uid="{00000000-0005-0000-0000-0000F53B0000}"/>
    <cellStyle name="Normal 5 4 3 2 2 6" xfId="10471" xr:uid="{00000000-0005-0000-0000-0000F63B0000}"/>
    <cellStyle name="Normal 5 4 3 2 2 6 2" xfId="30186" xr:uid="{00000000-0005-0000-0000-0000F73B0000}"/>
    <cellStyle name="Normal 5 4 3 2 2 7" xfId="20329" xr:uid="{00000000-0005-0000-0000-0000F83B0000}"/>
    <cellStyle name="Normal 5 4 3 2 3" xfId="910" xr:uid="{00000000-0005-0000-0000-0000F93B0000}"/>
    <cellStyle name="Normal 5 4 3 2 3 2" xfId="2146" xr:uid="{00000000-0005-0000-0000-0000FA3B0000}"/>
    <cellStyle name="Normal 5 4 3 2 3 2 2" xfId="4613" xr:uid="{00000000-0005-0000-0000-0000FB3B0000}"/>
    <cellStyle name="Normal 5 4 3 2 3 2 2 2" xfId="9545" xr:uid="{00000000-0005-0000-0000-0000FC3B0000}"/>
    <cellStyle name="Normal 5 4 3 2 3 2 2 2 2" xfId="19405" xr:uid="{00000000-0005-0000-0000-0000FD3B0000}"/>
    <cellStyle name="Normal 5 4 3 2 3 2 2 2 2 2" xfId="39120" xr:uid="{00000000-0005-0000-0000-0000FE3B0000}"/>
    <cellStyle name="Normal 5 4 3 2 3 2 2 2 3" xfId="29263" xr:uid="{00000000-0005-0000-0000-0000FF3B0000}"/>
    <cellStyle name="Normal 5 4 3 2 3 2 2 3" xfId="14477" xr:uid="{00000000-0005-0000-0000-0000003C0000}"/>
    <cellStyle name="Normal 5 4 3 2 3 2 2 3 2" xfId="34192" xr:uid="{00000000-0005-0000-0000-0000013C0000}"/>
    <cellStyle name="Normal 5 4 3 2 3 2 2 4" xfId="24335" xr:uid="{00000000-0005-0000-0000-0000023C0000}"/>
    <cellStyle name="Normal 5 4 3 2 3 2 3" xfId="7081" xr:uid="{00000000-0005-0000-0000-0000033C0000}"/>
    <cellStyle name="Normal 5 4 3 2 3 2 3 2" xfId="16941" xr:uid="{00000000-0005-0000-0000-0000043C0000}"/>
    <cellStyle name="Normal 5 4 3 2 3 2 3 2 2" xfId="36656" xr:uid="{00000000-0005-0000-0000-0000053C0000}"/>
    <cellStyle name="Normal 5 4 3 2 3 2 3 3" xfId="26799" xr:uid="{00000000-0005-0000-0000-0000063C0000}"/>
    <cellStyle name="Normal 5 4 3 2 3 2 4" xfId="12013" xr:uid="{00000000-0005-0000-0000-0000073C0000}"/>
    <cellStyle name="Normal 5 4 3 2 3 2 4 2" xfId="31728" xr:uid="{00000000-0005-0000-0000-0000083C0000}"/>
    <cellStyle name="Normal 5 4 3 2 3 2 5" xfId="21871" xr:uid="{00000000-0005-0000-0000-0000093C0000}"/>
    <cellStyle name="Normal 5 4 3 2 3 3" xfId="3381" xr:uid="{00000000-0005-0000-0000-00000A3C0000}"/>
    <cellStyle name="Normal 5 4 3 2 3 3 2" xfId="8313" xr:uid="{00000000-0005-0000-0000-00000B3C0000}"/>
    <cellStyle name="Normal 5 4 3 2 3 3 2 2" xfId="18173" xr:uid="{00000000-0005-0000-0000-00000C3C0000}"/>
    <cellStyle name="Normal 5 4 3 2 3 3 2 2 2" xfId="37888" xr:uid="{00000000-0005-0000-0000-00000D3C0000}"/>
    <cellStyle name="Normal 5 4 3 2 3 3 2 3" xfId="28031" xr:uid="{00000000-0005-0000-0000-00000E3C0000}"/>
    <cellStyle name="Normal 5 4 3 2 3 3 3" xfId="13245" xr:uid="{00000000-0005-0000-0000-00000F3C0000}"/>
    <cellStyle name="Normal 5 4 3 2 3 3 3 2" xfId="32960" xr:uid="{00000000-0005-0000-0000-0000103C0000}"/>
    <cellStyle name="Normal 5 4 3 2 3 3 4" xfId="23103" xr:uid="{00000000-0005-0000-0000-0000113C0000}"/>
    <cellStyle name="Normal 5 4 3 2 3 4" xfId="5849" xr:uid="{00000000-0005-0000-0000-0000123C0000}"/>
    <cellStyle name="Normal 5 4 3 2 3 4 2" xfId="15709" xr:uid="{00000000-0005-0000-0000-0000133C0000}"/>
    <cellStyle name="Normal 5 4 3 2 3 4 2 2" xfId="35424" xr:uid="{00000000-0005-0000-0000-0000143C0000}"/>
    <cellStyle name="Normal 5 4 3 2 3 4 3" xfId="25567" xr:uid="{00000000-0005-0000-0000-0000153C0000}"/>
    <cellStyle name="Normal 5 4 3 2 3 5" xfId="10781" xr:uid="{00000000-0005-0000-0000-0000163C0000}"/>
    <cellStyle name="Normal 5 4 3 2 3 5 2" xfId="30496" xr:uid="{00000000-0005-0000-0000-0000173C0000}"/>
    <cellStyle name="Normal 5 4 3 2 3 6" xfId="20639" xr:uid="{00000000-0005-0000-0000-0000183C0000}"/>
    <cellStyle name="Normal 5 4 3 2 4" xfId="1530" xr:uid="{00000000-0005-0000-0000-0000193C0000}"/>
    <cellStyle name="Normal 5 4 3 2 4 2" xfId="3997" xr:uid="{00000000-0005-0000-0000-00001A3C0000}"/>
    <cellStyle name="Normal 5 4 3 2 4 2 2" xfId="8929" xr:uid="{00000000-0005-0000-0000-00001B3C0000}"/>
    <cellStyle name="Normal 5 4 3 2 4 2 2 2" xfId="18789" xr:uid="{00000000-0005-0000-0000-00001C3C0000}"/>
    <cellStyle name="Normal 5 4 3 2 4 2 2 2 2" xfId="38504" xr:uid="{00000000-0005-0000-0000-00001D3C0000}"/>
    <cellStyle name="Normal 5 4 3 2 4 2 2 3" xfId="28647" xr:uid="{00000000-0005-0000-0000-00001E3C0000}"/>
    <cellStyle name="Normal 5 4 3 2 4 2 3" xfId="13861" xr:uid="{00000000-0005-0000-0000-00001F3C0000}"/>
    <cellStyle name="Normal 5 4 3 2 4 2 3 2" xfId="33576" xr:uid="{00000000-0005-0000-0000-0000203C0000}"/>
    <cellStyle name="Normal 5 4 3 2 4 2 4" xfId="23719" xr:uid="{00000000-0005-0000-0000-0000213C0000}"/>
    <cellStyle name="Normal 5 4 3 2 4 3" xfId="6465" xr:uid="{00000000-0005-0000-0000-0000223C0000}"/>
    <cellStyle name="Normal 5 4 3 2 4 3 2" xfId="16325" xr:uid="{00000000-0005-0000-0000-0000233C0000}"/>
    <cellStyle name="Normal 5 4 3 2 4 3 2 2" xfId="36040" xr:uid="{00000000-0005-0000-0000-0000243C0000}"/>
    <cellStyle name="Normal 5 4 3 2 4 3 3" xfId="26183" xr:uid="{00000000-0005-0000-0000-0000253C0000}"/>
    <cellStyle name="Normal 5 4 3 2 4 4" xfId="11397" xr:uid="{00000000-0005-0000-0000-0000263C0000}"/>
    <cellStyle name="Normal 5 4 3 2 4 4 2" xfId="31112" xr:uid="{00000000-0005-0000-0000-0000273C0000}"/>
    <cellStyle name="Normal 5 4 3 2 4 5" xfId="21255" xr:uid="{00000000-0005-0000-0000-0000283C0000}"/>
    <cellStyle name="Normal 5 4 3 2 5" xfId="2765" xr:uid="{00000000-0005-0000-0000-0000293C0000}"/>
    <cellStyle name="Normal 5 4 3 2 5 2" xfId="7697" xr:uid="{00000000-0005-0000-0000-00002A3C0000}"/>
    <cellStyle name="Normal 5 4 3 2 5 2 2" xfId="17557" xr:uid="{00000000-0005-0000-0000-00002B3C0000}"/>
    <cellStyle name="Normal 5 4 3 2 5 2 2 2" xfId="37272" xr:uid="{00000000-0005-0000-0000-00002C3C0000}"/>
    <cellStyle name="Normal 5 4 3 2 5 2 3" xfId="27415" xr:uid="{00000000-0005-0000-0000-00002D3C0000}"/>
    <cellStyle name="Normal 5 4 3 2 5 3" xfId="12629" xr:uid="{00000000-0005-0000-0000-00002E3C0000}"/>
    <cellStyle name="Normal 5 4 3 2 5 3 2" xfId="32344" xr:uid="{00000000-0005-0000-0000-00002F3C0000}"/>
    <cellStyle name="Normal 5 4 3 2 5 4" xfId="22487" xr:uid="{00000000-0005-0000-0000-0000303C0000}"/>
    <cellStyle name="Normal 5 4 3 2 6" xfId="5233" xr:uid="{00000000-0005-0000-0000-0000313C0000}"/>
    <cellStyle name="Normal 5 4 3 2 6 2" xfId="15093" xr:uid="{00000000-0005-0000-0000-0000323C0000}"/>
    <cellStyle name="Normal 5 4 3 2 6 2 2" xfId="34808" xr:uid="{00000000-0005-0000-0000-0000333C0000}"/>
    <cellStyle name="Normal 5 4 3 2 6 3" xfId="24951" xr:uid="{00000000-0005-0000-0000-0000343C0000}"/>
    <cellStyle name="Normal 5 4 3 2 7" xfId="10165" xr:uid="{00000000-0005-0000-0000-0000353C0000}"/>
    <cellStyle name="Normal 5 4 3 2 7 2" xfId="29880" xr:uid="{00000000-0005-0000-0000-0000363C0000}"/>
    <cellStyle name="Normal 5 4 3 2 8" xfId="20023" xr:uid="{00000000-0005-0000-0000-0000373C0000}"/>
    <cellStyle name="Normal 5 4 3 3" xfId="445" xr:uid="{00000000-0005-0000-0000-0000383C0000}"/>
    <cellStyle name="Normal 5 4 3 3 2" xfId="1065" xr:uid="{00000000-0005-0000-0000-0000393C0000}"/>
    <cellStyle name="Normal 5 4 3 3 2 2" xfId="2300" xr:uid="{00000000-0005-0000-0000-00003A3C0000}"/>
    <cellStyle name="Normal 5 4 3 3 2 2 2" xfId="4767" xr:uid="{00000000-0005-0000-0000-00003B3C0000}"/>
    <cellStyle name="Normal 5 4 3 3 2 2 2 2" xfId="9699" xr:uid="{00000000-0005-0000-0000-00003C3C0000}"/>
    <cellStyle name="Normal 5 4 3 3 2 2 2 2 2" xfId="19559" xr:uid="{00000000-0005-0000-0000-00003D3C0000}"/>
    <cellStyle name="Normal 5 4 3 3 2 2 2 2 2 2" xfId="39274" xr:uid="{00000000-0005-0000-0000-00003E3C0000}"/>
    <cellStyle name="Normal 5 4 3 3 2 2 2 2 3" xfId="29417" xr:uid="{00000000-0005-0000-0000-00003F3C0000}"/>
    <cellStyle name="Normal 5 4 3 3 2 2 2 3" xfId="14631" xr:uid="{00000000-0005-0000-0000-0000403C0000}"/>
    <cellStyle name="Normal 5 4 3 3 2 2 2 3 2" xfId="34346" xr:uid="{00000000-0005-0000-0000-0000413C0000}"/>
    <cellStyle name="Normal 5 4 3 3 2 2 2 4" xfId="24489" xr:uid="{00000000-0005-0000-0000-0000423C0000}"/>
    <cellStyle name="Normal 5 4 3 3 2 2 3" xfId="7235" xr:uid="{00000000-0005-0000-0000-0000433C0000}"/>
    <cellStyle name="Normal 5 4 3 3 2 2 3 2" xfId="17095" xr:uid="{00000000-0005-0000-0000-0000443C0000}"/>
    <cellStyle name="Normal 5 4 3 3 2 2 3 2 2" xfId="36810" xr:uid="{00000000-0005-0000-0000-0000453C0000}"/>
    <cellStyle name="Normal 5 4 3 3 2 2 3 3" xfId="26953" xr:uid="{00000000-0005-0000-0000-0000463C0000}"/>
    <cellStyle name="Normal 5 4 3 3 2 2 4" xfId="12167" xr:uid="{00000000-0005-0000-0000-0000473C0000}"/>
    <cellStyle name="Normal 5 4 3 3 2 2 4 2" xfId="31882" xr:uid="{00000000-0005-0000-0000-0000483C0000}"/>
    <cellStyle name="Normal 5 4 3 3 2 2 5" xfId="22025" xr:uid="{00000000-0005-0000-0000-0000493C0000}"/>
    <cellStyle name="Normal 5 4 3 3 2 3" xfId="3535" xr:uid="{00000000-0005-0000-0000-00004A3C0000}"/>
    <cellStyle name="Normal 5 4 3 3 2 3 2" xfId="8467" xr:uid="{00000000-0005-0000-0000-00004B3C0000}"/>
    <cellStyle name="Normal 5 4 3 3 2 3 2 2" xfId="18327" xr:uid="{00000000-0005-0000-0000-00004C3C0000}"/>
    <cellStyle name="Normal 5 4 3 3 2 3 2 2 2" xfId="38042" xr:uid="{00000000-0005-0000-0000-00004D3C0000}"/>
    <cellStyle name="Normal 5 4 3 3 2 3 2 3" xfId="28185" xr:uid="{00000000-0005-0000-0000-00004E3C0000}"/>
    <cellStyle name="Normal 5 4 3 3 2 3 3" xfId="13399" xr:uid="{00000000-0005-0000-0000-00004F3C0000}"/>
    <cellStyle name="Normal 5 4 3 3 2 3 3 2" xfId="33114" xr:uid="{00000000-0005-0000-0000-0000503C0000}"/>
    <cellStyle name="Normal 5 4 3 3 2 3 4" xfId="23257" xr:uid="{00000000-0005-0000-0000-0000513C0000}"/>
    <cellStyle name="Normal 5 4 3 3 2 4" xfId="6003" xr:uid="{00000000-0005-0000-0000-0000523C0000}"/>
    <cellStyle name="Normal 5 4 3 3 2 4 2" xfId="15863" xr:uid="{00000000-0005-0000-0000-0000533C0000}"/>
    <cellStyle name="Normal 5 4 3 3 2 4 2 2" xfId="35578" xr:uid="{00000000-0005-0000-0000-0000543C0000}"/>
    <cellStyle name="Normal 5 4 3 3 2 4 3" xfId="25721" xr:uid="{00000000-0005-0000-0000-0000553C0000}"/>
    <cellStyle name="Normal 5 4 3 3 2 5" xfId="10935" xr:uid="{00000000-0005-0000-0000-0000563C0000}"/>
    <cellStyle name="Normal 5 4 3 3 2 5 2" xfId="30650" xr:uid="{00000000-0005-0000-0000-0000573C0000}"/>
    <cellStyle name="Normal 5 4 3 3 2 6" xfId="20793" xr:uid="{00000000-0005-0000-0000-0000583C0000}"/>
    <cellStyle name="Normal 5 4 3 3 3" xfId="1684" xr:uid="{00000000-0005-0000-0000-0000593C0000}"/>
    <cellStyle name="Normal 5 4 3 3 3 2" xfId="4151" xr:uid="{00000000-0005-0000-0000-00005A3C0000}"/>
    <cellStyle name="Normal 5 4 3 3 3 2 2" xfId="9083" xr:uid="{00000000-0005-0000-0000-00005B3C0000}"/>
    <cellStyle name="Normal 5 4 3 3 3 2 2 2" xfId="18943" xr:uid="{00000000-0005-0000-0000-00005C3C0000}"/>
    <cellStyle name="Normal 5 4 3 3 3 2 2 2 2" xfId="38658" xr:uid="{00000000-0005-0000-0000-00005D3C0000}"/>
    <cellStyle name="Normal 5 4 3 3 3 2 2 3" xfId="28801" xr:uid="{00000000-0005-0000-0000-00005E3C0000}"/>
    <cellStyle name="Normal 5 4 3 3 3 2 3" xfId="14015" xr:uid="{00000000-0005-0000-0000-00005F3C0000}"/>
    <cellStyle name="Normal 5 4 3 3 3 2 3 2" xfId="33730" xr:uid="{00000000-0005-0000-0000-0000603C0000}"/>
    <cellStyle name="Normal 5 4 3 3 3 2 4" xfId="23873" xr:uid="{00000000-0005-0000-0000-0000613C0000}"/>
    <cellStyle name="Normal 5 4 3 3 3 3" xfId="6619" xr:uid="{00000000-0005-0000-0000-0000623C0000}"/>
    <cellStyle name="Normal 5 4 3 3 3 3 2" xfId="16479" xr:uid="{00000000-0005-0000-0000-0000633C0000}"/>
    <cellStyle name="Normal 5 4 3 3 3 3 2 2" xfId="36194" xr:uid="{00000000-0005-0000-0000-0000643C0000}"/>
    <cellStyle name="Normal 5 4 3 3 3 3 3" xfId="26337" xr:uid="{00000000-0005-0000-0000-0000653C0000}"/>
    <cellStyle name="Normal 5 4 3 3 3 4" xfId="11551" xr:uid="{00000000-0005-0000-0000-0000663C0000}"/>
    <cellStyle name="Normal 5 4 3 3 3 4 2" xfId="31266" xr:uid="{00000000-0005-0000-0000-0000673C0000}"/>
    <cellStyle name="Normal 5 4 3 3 3 5" xfId="21409" xr:uid="{00000000-0005-0000-0000-0000683C0000}"/>
    <cellStyle name="Normal 5 4 3 3 4" xfId="2919" xr:uid="{00000000-0005-0000-0000-0000693C0000}"/>
    <cellStyle name="Normal 5 4 3 3 4 2" xfId="7851" xr:uid="{00000000-0005-0000-0000-00006A3C0000}"/>
    <cellStyle name="Normal 5 4 3 3 4 2 2" xfId="17711" xr:uid="{00000000-0005-0000-0000-00006B3C0000}"/>
    <cellStyle name="Normal 5 4 3 3 4 2 2 2" xfId="37426" xr:uid="{00000000-0005-0000-0000-00006C3C0000}"/>
    <cellStyle name="Normal 5 4 3 3 4 2 3" xfId="27569" xr:uid="{00000000-0005-0000-0000-00006D3C0000}"/>
    <cellStyle name="Normal 5 4 3 3 4 3" xfId="12783" xr:uid="{00000000-0005-0000-0000-00006E3C0000}"/>
    <cellStyle name="Normal 5 4 3 3 4 3 2" xfId="32498" xr:uid="{00000000-0005-0000-0000-00006F3C0000}"/>
    <cellStyle name="Normal 5 4 3 3 4 4" xfId="22641" xr:uid="{00000000-0005-0000-0000-0000703C0000}"/>
    <cellStyle name="Normal 5 4 3 3 5" xfId="5387" xr:uid="{00000000-0005-0000-0000-0000713C0000}"/>
    <cellStyle name="Normal 5 4 3 3 5 2" xfId="15247" xr:uid="{00000000-0005-0000-0000-0000723C0000}"/>
    <cellStyle name="Normal 5 4 3 3 5 2 2" xfId="34962" xr:uid="{00000000-0005-0000-0000-0000733C0000}"/>
    <cellStyle name="Normal 5 4 3 3 5 3" xfId="25105" xr:uid="{00000000-0005-0000-0000-0000743C0000}"/>
    <cellStyle name="Normal 5 4 3 3 6" xfId="10319" xr:uid="{00000000-0005-0000-0000-0000753C0000}"/>
    <cellStyle name="Normal 5 4 3 3 6 2" xfId="30034" xr:uid="{00000000-0005-0000-0000-0000763C0000}"/>
    <cellStyle name="Normal 5 4 3 3 7" xfId="20177" xr:uid="{00000000-0005-0000-0000-0000773C0000}"/>
    <cellStyle name="Normal 5 4 3 4" xfId="758" xr:uid="{00000000-0005-0000-0000-0000783C0000}"/>
    <cellStyle name="Normal 5 4 3 4 2" xfId="1994" xr:uid="{00000000-0005-0000-0000-0000793C0000}"/>
    <cellStyle name="Normal 5 4 3 4 2 2" xfId="4461" xr:uid="{00000000-0005-0000-0000-00007A3C0000}"/>
    <cellStyle name="Normal 5 4 3 4 2 2 2" xfId="9393" xr:uid="{00000000-0005-0000-0000-00007B3C0000}"/>
    <cellStyle name="Normal 5 4 3 4 2 2 2 2" xfId="19253" xr:uid="{00000000-0005-0000-0000-00007C3C0000}"/>
    <cellStyle name="Normal 5 4 3 4 2 2 2 2 2" xfId="38968" xr:uid="{00000000-0005-0000-0000-00007D3C0000}"/>
    <cellStyle name="Normal 5 4 3 4 2 2 2 3" xfId="29111" xr:uid="{00000000-0005-0000-0000-00007E3C0000}"/>
    <cellStyle name="Normal 5 4 3 4 2 2 3" xfId="14325" xr:uid="{00000000-0005-0000-0000-00007F3C0000}"/>
    <cellStyle name="Normal 5 4 3 4 2 2 3 2" xfId="34040" xr:uid="{00000000-0005-0000-0000-0000803C0000}"/>
    <cellStyle name="Normal 5 4 3 4 2 2 4" xfId="24183" xr:uid="{00000000-0005-0000-0000-0000813C0000}"/>
    <cellStyle name="Normal 5 4 3 4 2 3" xfId="6929" xr:uid="{00000000-0005-0000-0000-0000823C0000}"/>
    <cellStyle name="Normal 5 4 3 4 2 3 2" xfId="16789" xr:uid="{00000000-0005-0000-0000-0000833C0000}"/>
    <cellStyle name="Normal 5 4 3 4 2 3 2 2" xfId="36504" xr:uid="{00000000-0005-0000-0000-0000843C0000}"/>
    <cellStyle name="Normal 5 4 3 4 2 3 3" xfId="26647" xr:uid="{00000000-0005-0000-0000-0000853C0000}"/>
    <cellStyle name="Normal 5 4 3 4 2 4" xfId="11861" xr:uid="{00000000-0005-0000-0000-0000863C0000}"/>
    <cellStyle name="Normal 5 4 3 4 2 4 2" xfId="31576" xr:uid="{00000000-0005-0000-0000-0000873C0000}"/>
    <cellStyle name="Normal 5 4 3 4 2 5" xfId="21719" xr:uid="{00000000-0005-0000-0000-0000883C0000}"/>
    <cellStyle name="Normal 5 4 3 4 3" xfId="3229" xr:uid="{00000000-0005-0000-0000-0000893C0000}"/>
    <cellStyle name="Normal 5 4 3 4 3 2" xfId="8161" xr:uid="{00000000-0005-0000-0000-00008A3C0000}"/>
    <cellStyle name="Normal 5 4 3 4 3 2 2" xfId="18021" xr:uid="{00000000-0005-0000-0000-00008B3C0000}"/>
    <cellStyle name="Normal 5 4 3 4 3 2 2 2" xfId="37736" xr:uid="{00000000-0005-0000-0000-00008C3C0000}"/>
    <cellStyle name="Normal 5 4 3 4 3 2 3" xfId="27879" xr:uid="{00000000-0005-0000-0000-00008D3C0000}"/>
    <cellStyle name="Normal 5 4 3 4 3 3" xfId="13093" xr:uid="{00000000-0005-0000-0000-00008E3C0000}"/>
    <cellStyle name="Normal 5 4 3 4 3 3 2" xfId="32808" xr:uid="{00000000-0005-0000-0000-00008F3C0000}"/>
    <cellStyle name="Normal 5 4 3 4 3 4" xfId="22951" xr:uid="{00000000-0005-0000-0000-0000903C0000}"/>
    <cellStyle name="Normal 5 4 3 4 4" xfId="5697" xr:uid="{00000000-0005-0000-0000-0000913C0000}"/>
    <cellStyle name="Normal 5 4 3 4 4 2" xfId="15557" xr:uid="{00000000-0005-0000-0000-0000923C0000}"/>
    <cellStyle name="Normal 5 4 3 4 4 2 2" xfId="35272" xr:uid="{00000000-0005-0000-0000-0000933C0000}"/>
    <cellStyle name="Normal 5 4 3 4 4 3" xfId="25415" xr:uid="{00000000-0005-0000-0000-0000943C0000}"/>
    <cellStyle name="Normal 5 4 3 4 5" xfId="10629" xr:uid="{00000000-0005-0000-0000-0000953C0000}"/>
    <cellStyle name="Normal 5 4 3 4 5 2" xfId="30344" xr:uid="{00000000-0005-0000-0000-0000963C0000}"/>
    <cellStyle name="Normal 5 4 3 4 6" xfId="20487" xr:uid="{00000000-0005-0000-0000-0000973C0000}"/>
    <cellStyle name="Normal 5 4 3 5" xfId="1378" xr:uid="{00000000-0005-0000-0000-0000983C0000}"/>
    <cellStyle name="Normal 5 4 3 5 2" xfId="3845" xr:uid="{00000000-0005-0000-0000-0000993C0000}"/>
    <cellStyle name="Normal 5 4 3 5 2 2" xfId="8777" xr:uid="{00000000-0005-0000-0000-00009A3C0000}"/>
    <cellStyle name="Normal 5 4 3 5 2 2 2" xfId="18637" xr:uid="{00000000-0005-0000-0000-00009B3C0000}"/>
    <cellStyle name="Normal 5 4 3 5 2 2 2 2" xfId="38352" xr:uid="{00000000-0005-0000-0000-00009C3C0000}"/>
    <cellStyle name="Normal 5 4 3 5 2 2 3" xfId="28495" xr:uid="{00000000-0005-0000-0000-00009D3C0000}"/>
    <cellStyle name="Normal 5 4 3 5 2 3" xfId="13709" xr:uid="{00000000-0005-0000-0000-00009E3C0000}"/>
    <cellStyle name="Normal 5 4 3 5 2 3 2" xfId="33424" xr:uid="{00000000-0005-0000-0000-00009F3C0000}"/>
    <cellStyle name="Normal 5 4 3 5 2 4" xfId="23567" xr:uid="{00000000-0005-0000-0000-0000A03C0000}"/>
    <cellStyle name="Normal 5 4 3 5 3" xfId="6313" xr:uid="{00000000-0005-0000-0000-0000A13C0000}"/>
    <cellStyle name="Normal 5 4 3 5 3 2" xfId="16173" xr:uid="{00000000-0005-0000-0000-0000A23C0000}"/>
    <cellStyle name="Normal 5 4 3 5 3 2 2" xfId="35888" xr:uid="{00000000-0005-0000-0000-0000A33C0000}"/>
    <cellStyle name="Normal 5 4 3 5 3 3" xfId="26031" xr:uid="{00000000-0005-0000-0000-0000A43C0000}"/>
    <cellStyle name="Normal 5 4 3 5 4" xfId="11245" xr:uid="{00000000-0005-0000-0000-0000A53C0000}"/>
    <cellStyle name="Normal 5 4 3 5 4 2" xfId="30960" xr:uid="{00000000-0005-0000-0000-0000A63C0000}"/>
    <cellStyle name="Normal 5 4 3 5 5" xfId="21103" xr:uid="{00000000-0005-0000-0000-0000A73C0000}"/>
    <cellStyle name="Normal 5 4 3 6" xfId="2613" xr:uid="{00000000-0005-0000-0000-0000A83C0000}"/>
    <cellStyle name="Normal 5 4 3 6 2" xfId="7545" xr:uid="{00000000-0005-0000-0000-0000A93C0000}"/>
    <cellStyle name="Normal 5 4 3 6 2 2" xfId="17405" xr:uid="{00000000-0005-0000-0000-0000AA3C0000}"/>
    <cellStyle name="Normal 5 4 3 6 2 2 2" xfId="37120" xr:uid="{00000000-0005-0000-0000-0000AB3C0000}"/>
    <cellStyle name="Normal 5 4 3 6 2 3" xfId="27263" xr:uid="{00000000-0005-0000-0000-0000AC3C0000}"/>
    <cellStyle name="Normal 5 4 3 6 3" xfId="12477" xr:uid="{00000000-0005-0000-0000-0000AD3C0000}"/>
    <cellStyle name="Normal 5 4 3 6 3 2" xfId="32192" xr:uid="{00000000-0005-0000-0000-0000AE3C0000}"/>
    <cellStyle name="Normal 5 4 3 6 4" xfId="22335" xr:uid="{00000000-0005-0000-0000-0000AF3C0000}"/>
    <cellStyle name="Normal 5 4 3 7" xfId="5081" xr:uid="{00000000-0005-0000-0000-0000B03C0000}"/>
    <cellStyle name="Normal 5 4 3 7 2" xfId="14941" xr:uid="{00000000-0005-0000-0000-0000B13C0000}"/>
    <cellStyle name="Normal 5 4 3 7 2 2" xfId="34656" xr:uid="{00000000-0005-0000-0000-0000B23C0000}"/>
    <cellStyle name="Normal 5 4 3 7 3" xfId="24799" xr:uid="{00000000-0005-0000-0000-0000B33C0000}"/>
    <cellStyle name="Normal 5 4 3 8" xfId="10013" xr:uid="{00000000-0005-0000-0000-0000B43C0000}"/>
    <cellStyle name="Normal 5 4 3 8 2" xfId="29728" xr:uid="{00000000-0005-0000-0000-0000B53C0000}"/>
    <cellStyle name="Normal 5 4 3 9" xfId="19871" xr:uid="{00000000-0005-0000-0000-0000B63C0000}"/>
    <cellStyle name="Normal 5 4 4" xfId="207" xr:uid="{00000000-0005-0000-0000-0000B73C0000}"/>
    <cellStyle name="Normal 5 4 4 2" xfId="521" xr:uid="{00000000-0005-0000-0000-0000B83C0000}"/>
    <cellStyle name="Normal 5 4 4 2 2" xfId="1141" xr:uid="{00000000-0005-0000-0000-0000B93C0000}"/>
    <cellStyle name="Normal 5 4 4 2 2 2" xfId="2376" xr:uid="{00000000-0005-0000-0000-0000BA3C0000}"/>
    <cellStyle name="Normal 5 4 4 2 2 2 2" xfId="4843" xr:uid="{00000000-0005-0000-0000-0000BB3C0000}"/>
    <cellStyle name="Normal 5 4 4 2 2 2 2 2" xfId="9775" xr:uid="{00000000-0005-0000-0000-0000BC3C0000}"/>
    <cellStyle name="Normal 5 4 4 2 2 2 2 2 2" xfId="19635" xr:uid="{00000000-0005-0000-0000-0000BD3C0000}"/>
    <cellStyle name="Normal 5 4 4 2 2 2 2 2 2 2" xfId="39350" xr:uid="{00000000-0005-0000-0000-0000BE3C0000}"/>
    <cellStyle name="Normal 5 4 4 2 2 2 2 2 3" xfId="29493" xr:uid="{00000000-0005-0000-0000-0000BF3C0000}"/>
    <cellStyle name="Normal 5 4 4 2 2 2 2 3" xfId="14707" xr:uid="{00000000-0005-0000-0000-0000C03C0000}"/>
    <cellStyle name="Normal 5 4 4 2 2 2 2 3 2" xfId="34422" xr:uid="{00000000-0005-0000-0000-0000C13C0000}"/>
    <cellStyle name="Normal 5 4 4 2 2 2 2 4" xfId="24565" xr:uid="{00000000-0005-0000-0000-0000C23C0000}"/>
    <cellStyle name="Normal 5 4 4 2 2 2 3" xfId="7311" xr:uid="{00000000-0005-0000-0000-0000C33C0000}"/>
    <cellStyle name="Normal 5 4 4 2 2 2 3 2" xfId="17171" xr:uid="{00000000-0005-0000-0000-0000C43C0000}"/>
    <cellStyle name="Normal 5 4 4 2 2 2 3 2 2" xfId="36886" xr:uid="{00000000-0005-0000-0000-0000C53C0000}"/>
    <cellStyle name="Normal 5 4 4 2 2 2 3 3" xfId="27029" xr:uid="{00000000-0005-0000-0000-0000C63C0000}"/>
    <cellStyle name="Normal 5 4 4 2 2 2 4" xfId="12243" xr:uid="{00000000-0005-0000-0000-0000C73C0000}"/>
    <cellStyle name="Normal 5 4 4 2 2 2 4 2" xfId="31958" xr:uid="{00000000-0005-0000-0000-0000C83C0000}"/>
    <cellStyle name="Normal 5 4 4 2 2 2 5" xfId="22101" xr:uid="{00000000-0005-0000-0000-0000C93C0000}"/>
    <cellStyle name="Normal 5 4 4 2 2 3" xfId="3611" xr:uid="{00000000-0005-0000-0000-0000CA3C0000}"/>
    <cellStyle name="Normal 5 4 4 2 2 3 2" xfId="8543" xr:uid="{00000000-0005-0000-0000-0000CB3C0000}"/>
    <cellStyle name="Normal 5 4 4 2 2 3 2 2" xfId="18403" xr:uid="{00000000-0005-0000-0000-0000CC3C0000}"/>
    <cellStyle name="Normal 5 4 4 2 2 3 2 2 2" xfId="38118" xr:uid="{00000000-0005-0000-0000-0000CD3C0000}"/>
    <cellStyle name="Normal 5 4 4 2 2 3 2 3" xfId="28261" xr:uid="{00000000-0005-0000-0000-0000CE3C0000}"/>
    <cellStyle name="Normal 5 4 4 2 2 3 3" xfId="13475" xr:uid="{00000000-0005-0000-0000-0000CF3C0000}"/>
    <cellStyle name="Normal 5 4 4 2 2 3 3 2" xfId="33190" xr:uid="{00000000-0005-0000-0000-0000D03C0000}"/>
    <cellStyle name="Normal 5 4 4 2 2 3 4" xfId="23333" xr:uid="{00000000-0005-0000-0000-0000D13C0000}"/>
    <cellStyle name="Normal 5 4 4 2 2 4" xfId="6079" xr:uid="{00000000-0005-0000-0000-0000D23C0000}"/>
    <cellStyle name="Normal 5 4 4 2 2 4 2" xfId="15939" xr:uid="{00000000-0005-0000-0000-0000D33C0000}"/>
    <cellStyle name="Normal 5 4 4 2 2 4 2 2" xfId="35654" xr:uid="{00000000-0005-0000-0000-0000D43C0000}"/>
    <cellStyle name="Normal 5 4 4 2 2 4 3" xfId="25797" xr:uid="{00000000-0005-0000-0000-0000D53C0000}"/>
    <cellStyle name="Normal 5 4 4 2 2 5" xfId="11011" xr:uid="{00000000-0005-0000-0000-0000D63C0000}"/>
    <cellStyle name="Normal 5 4 4 2 2 5 2" xfId="30726" xr:uid="{00000000-0005-0000-0000-0000D73C0000}"/>
    <cellStyle name="Normal 5 4 4 2 2 6" xfId="20869" xr:uid="{00000000-0005-0000-0000-0000D83C0000}"/>
    <cellStyle name="Normal 5 4 4 2 3" xfId="1760" xr:uid="{00000000-0005-0000-0000-0000D93C0000}"/>
    <cellStyle name="Normal 5 4 4 2 3 2" xfId="4227" xr:uid="{00000000-0005-0000-0000-0000DA3C0000}"/>
    <cellStyle name="Normal 5 4 4 2 3 2 2" xfId="9159" xr:uid="{00000000-0005-0000-0000-0000DB3C0000}"/>
    <cellStyle name="Normal 5 4 4 2 3 2 2 2" xfId="19019" xr:uid="{00000000-0005-0000-0000-0000DC3C0000}"/>
    <cellStyle name="Normal 5 4 4 2 3 2 2 2 2" xfId="38734" xr:uid="{00000000-0005-0000-0000-0000DD3C0000}"/>
    <cellStyle name="Normal 5 4 4 2 3 2 2 3" xfId="28877" xr:uid="{00000000-0005-0000-0000-0000DE3C0000}"/>
    <cellStyle name="Normal 5 4 4 2 3 2 3" xfId="14091" xr:uid="{00000000-0005-0000-0000-0000DF3C0000}"/>
    <cellStyle name="Normal 5 4 4 2 3 2 3 2" xfId="33806" xr:uid="{00000000-0005-0000-0000-0000E03C0000}"/>
    <cellStyle name="Normal 5 4 4 2 3 2 4" xfId="23949" xr:uid="{00000000-0005-0000-0000-0000E13C0000}"/>
    <cellStyle name="Normal 5 4 4 2 3 3" xfId="6695" xr:uid="{00000000-0005-0000-0000-0000E23C0000}"/>
    <cellStyle name="Normal 5 4 4 2 3 3 2" xfId="16555" xr:uid="{00000000-0005-0000-0000-0000E33C0000}"/>
    <cellStyle name="Normal 5 4 4 2 3 3 2 2" xfId="36270" xr:uid="{00000000-0005-0000-0000-0000E43C0000}"/>
    <cellStyle name="Normal 5 4 4 2 3 3 3" xfId="26413" xr:uid="{00000000-0005-0000-0000-0000E53C0000}"/>
    <cellStyle name="Normal 5 4 4 2 3 4" xfId="11627" xr:uid="{00000000-0005-0000-0000-0000E63C0000}"/>
    <cellStyle name="Normal 5 4 4 2 3 4 2" xfId="31342" xr:uid="{00000000-0005-0000-0000-0000E73C0000}"/>
    <cellStyle name="Normal 5 4 4 2 3 5" xfId="21485" xr:uid="{00000000-0005-0000-0000-0000E83C0000}"/>
    <cellStyle name="Normal 5 4 4 2 4" xfId="2995" xr:uid="{00000000-0005-0000-0000-0000E93C0000}"/>
    <cellStyle name="Normal 5 4 4 2 4 2" xfId="7927" xr:uid="{00000000-0005-0000-0000-0000EA3C0000}"/>
    <cellStyle name="Normal 5 4 4 2 4 2 2" xfId="17787" xr:uid="{00000000-0005-0000-0000-0000EB3C0000}"/>
    <cellStyle name="Normal 5 4 4 2 4 2 2 2" xfId="37502" xr:uid="{00000000-0005-0000-0000-0000EC3C0000}"/>
    <cellStyle name="Normal 5 4 4 2 4 2 3" xfId="27645" xr:uid="{00000000-0005-0000-0000-0000ED3C0000}"/>
    <cellStyle name="Normal 5 4 4 2 4 3" xfId="12859" xr:uid="{00000000-0005-0000-0000-0000EE3C0000}"/>
    <cellStyle name="Normal 5 4 4 2 4 3 2" xfId="32574" xr:uid="{00000000-0005-0000-0000-0000EF3C0000}"/>
    <cellStyle name="Normal 5 4 4 2 4 4" xfId="22717" xr:uid="{00000000-0005-0000-0000-0000F03C0000}"/>
    <cellStyle name="Normal 5 4 4 2 5" xfId="5463" xr:uid="{00000000-0005-0000-0000-0000F13C0000}"/>
    <cellStyle name="Normal 5 4 4 2 5 2" xfId="15323" xr:uid="{00000000-0005-0000-0000-0000F23C0000}"/>
    <cellStyle name="Normal 5 4 4 2 5 2 2" xfId="35038" xr:uid="{00000000-0005-0000-0000-0000F33C0000}"/>
    <cellStyle name="Normal 5 4 4 2 5 3" xfId="25181" xr:uid="{00000000-0005-0000-0000-0000F43C0000}"/>
    <cellStyle name="Normal 5 4 4 2 6" xfId="10395" xr:uid="{00000000-0005-0000-0000-0000F53C0000}"/>
    <cellStyle name="Normal 5 4 4 2 6 2" xfId="30110" xr:uid="{00000000-0005-0000-0000-0000F63C0000}"/>
    <cellStyle name="Normal 5 4 4 2 7" xfId="20253" xr:uid="{00000000-0005-0000-0000-0000F73C0000}"/>
    <cellStyle name="Normal 5 4 4 3" xfId="834" xr:uid="{00000000-0005-0000-0000-0000F83C0000}"/>
    <cellStyle name="Normal 5 4 4 3 2" xfId="2070" xr:uid="{00000000-0005-0000-0000-0000F93C0000}"/>
    <cellStyle name="Normal 5 4 4 3 2 2" xfId="4537" xr:uid="{00000000-0005-0000-0000-0000FA3C0000}"/>
    <cellStyle name="Normal 5 4 4 3 2 2 2" xfId="9469" xr:uid="{00000000-0005-0000-0000-0000FB3C0000}"/>
    <cellStyle name="Normal 5 4 4 3 2 2 2 2" xfId="19329" xr:uid="{00000000-0005-0000-0000-0000FC3C0000}"/>
    <cellStyle name="Normal 5 4 4 3 2 2 2 2 2" xfId="39044" xr:uid="{00000000-0005-0000-0000-0000FD3C0000}"/>
    <cellStyle name="Normal 5 4 4 3 2 2 2 3" xfId="29187" xr:uid="{00000000-0005-0000-0000-0000FE3C0000}"/>
    <cellStyle name="Normal 5 4 4 3 2 2 3" xfId="14401" xr:uid="{00000000-0005-0000-0000-0000FF3C0000}"/>
    <cellStyle name="Normal 5 4 4 3 2 2 3 2" xfId="34116" xr:uid="{00000000-0005-0000-0000-0000003D0000}"/>
    <cellStyle name="Normal 5 4 4 3 2 2 4" xfId="24259" xr:uid="{00000000-0005-0000-0000-0000013D0000}"/>
    <cellStyle name="Normal 5 4 4 3 2 3" xfId="7005" xr:uid="{00000000-0005-0000-0000-0000023D0000}"/>
    <cellStyle name="Normal 5 4 4 3 2 3 2" xfId="16865" xr:uid="{00000000-0005-0000-0000-0000033D0000}"/>
    <cellStyle name="Normal 5 4 4 3 2 3 2 2" xfId="36580" xr:uid="{00000000-0005-0000-0000-0000043D0000}"/>
    <cellStyle name="Normal 5 4 4 3 2 3 3" xfId="26723" xr:uid="{00000000-0005-0000-0000-0000053D0000}"/>
    <cellStyle name="Normal 5 4 4 3 2 4" xfId="11937" xr:uid="{00000000-0005-0000-0000-0000063D0000}"/>
    <cellStyle name="Normal 5 4 4 3 2 4 2" xfId="31652" xr:uid="{00000000-0005-0000-0000-0000073D0000}"/>
    <cellStyle name="Normal 5 4 4 3 2 5" xfId="21795" xr:uid="{00000000-0005-0000-0000-0000083D0000}"/>
    <cellStyle name="Normal 5 4 4 3 3" xfId="3305" xr:uid="{00000000-0005-0000-0000-0000093D0000}"/>
    <cellStyle name="Normal 5 4 4 3 3 2" xfId="8237" xr:uid="{00000000-0005-0000-0000-00000A3D0000}"/>
    <cellStyle name="Normal 5 4 4 3 3 2 2" xfId="18097" xr:uid="{00000000-0005-0000-0000-00000B3D0000}"/>
    <cellStyle name="Normal 5 4 4 3 3 2 2 2" xfId="37812" xr:uid="{00000000-0005-0000-0000-00000C3D0000}"/>
    <cellStyle name="Normal 5 4 4 3 3 2 3" xfId="27955" xr:uid="{00000000-0005-0000-0000-00000D3D0000}"/>
    <cellStyle name="Normal 5 4 4 3 3 3" xfId="13169" xr:uid="{00000000-0005-0000-0000-00000E3D0000}"/>
    <cellStyle name="Normal 5 4 4 3 3 3 2" xfId="32884" xr:uid="{00000000-0005-0000-0000-00000F3D0000}"/>
    <cellStyle name="Normal 5 4 4 3 3 4" xfId="23027" xr:uid="{00000000-0005-0000-0000-0000103D0000}"/>
    <cellStyle name="Normal 5 4 4 3 4" xfId="5773" xr:uid="{00000000-0005-0000-0000-0000113D0000}"/>
    <cellStyle name="Normal 5 4 4 3 4 2" xfId="15633" xr:uid="{00000000-0005-0000-0000-0000123D0000}"/>
    <cellStyle name="Normal 5 4 4 3 4 2 2" xfId="35348" xr:uid="{00000000-0005-0000-0000-0000133D0000}"/>
    <cellStyle name="Normal 5 4 4 3 4 3" xfId="25491" xr:uid="{00000000-0005-0000-0000-0000143D0000}"/>
    <cellStyle name="Normal 5 4 4 3 5" xfId="10705" xr:uid="{00000000-0005-0000-0000-0000153D0000}"/>
    <cellStyle name="Normal 5 4 4 3 5 2" xfId="30420" xr:uid="{00000000-0005-0000-0000-0000163D0000}"/>
    <cellStyle name="Normal 5 4 4 3 6" xfId="20563" xr:uid="{00000000-0005-0000-0000-0000173D0000}"/>
    <cellStyle name="Normal 5 4 4 4" xfId="1454" xr:uid="{00000000-0005-0000-0000-0000183D0000}"/>
    <cellStyle name="Normal 5 4 4 4 2" xfId="3921" xr:uid="{00000000-0005-0000-0000-0000193D0000}"/>
    <cellStyle name="Normal 5 4 4 4 2 2" xfId="8853" xr:uid="{00000000-0005-0000-0000-00001A3D0000}"/>
    <cellStyle name="Normal 5 4 4 4 2 2 2" xfId="18713" xr:uid="{00000000-0005-0000-0000-00001B3D0000}"/>
    <cellStyle name="Normal 5 4 4 4 2 2 2 2" xfId="38428" xr:uid="{00000000-0005-0000-0000-00001C3D0000}"/>
    <cellStyle name="Normal 5 4 4 4 2 2 3" xfId="28571" xr:uid="{00000000-0005-0000-0000-00001D3D0000}"/>
    <cellStyle name="Normal 5 4 4 4 2 3" xfId="13785" xr:uid="{00000000-0005-0000-0000-00001E3D0000}"/>
    <cellStyle name="Normal 5 4 4 4 2 3 2" xfId="33500" xr:uid="{00000000-0005-0000-0000-00001F3D0000}"/>
    <cellStyle name="Normal 5 4 4 4 2 4" xfId="23643" xr:uid="{00000000-0005-0000-0000-0000203D0000}"/>
    <cellStyle name="Normal 5 4 4 4 3" xfId="6389" xr:uid="{00000000-0005-0000-0000-0000213D0000}"/>
    <cellStyle name="Normal 5 4 4 4 3 2" xfId="16249" xr:uid="{00000000-0005-0000-0000-0000223D0000}"/>
    <cellStyle name="Normal 5 4 4 4 3 2 2" xfId="35964" xr:uid="{00000000-0005-0000-0000-0000233D0000}"/>
    <cellStyle name="Normal 5 4 4 4 3 3" xfId="26107" xr:uid="{00000000-0005-0000-0000-0000243D0000}"/>
    <cellStyle name="Normal 5 4 4 4 4" xfId="11321" xr:uid="{00000000-0005-0000-0000-0000253D0000}"/>
    <cellStyle name="Normal 5 4 4 4 4 2" xfId="31036" xr:uid="{00000000-0005-0000-0000-0000263D0000}"/>
    <cellStyle name="Normal 5 4 4 4 5" xfId="21179" xr:uid="{00000000-0005-0000-0000-0000273D0000}"/>
    <cellStyle name="Normal 5 4 4 5" xfId="2689" xr:uid="{00000000-0005-0000-0000-0000283D0000}"/>
    <cellStyle name="Normal 5 4 4 5 2" xfId="7621" xr:uid="{00000000-0005-0000-0000-0000293D0000}"/>
    <cellStyle name="Normal 5 4 4 5 2 2" xfId="17481" xr:uid="{00000000-0005-0000-0000-00002A3D0000}"/>
    <cellStyle name="Normal 5 4 4 5 2 2 2" xfId="37196" xr:uid="{00000000-0005-0000-0000-00002B3D0000}"/>
    <cellStyle name="Normal 5 4 4 5 2 3" xfId="27339" xr:uid="{00000000-0005-0000-0000-00002C3D0000}"/>
    <cellStyle name="Normal 5 4 4 5 3" xfId="12553" xr:uid="{00000000-0005-0000-0000-00002D3D0000}"/>
    <cellStyle name="Normal 5 4 4 5 3 2" xfId="32268" xr:uid="{00000000-0005-0000-0000-00002E3D0000}"/>
    <cellStyle name="Normal 5 4 4 5 4" xfId="22411" xr:uid="{00000000-0005-0000-0000-00002F3D0000}"/>
    <cellStyle name="Normal 5 4 4 6" xfId="5157" xr:uid="{00000000-0005-0000-0000-0000303D0000}"/>
    <cellStyle name="Normal 5 4 4 6 2" xfId="15017" xr:uid="{00000000-0005-0000-0000-0000313D0000}"/>
    <cellStyle name="Normal 5 4 4 6 2 2" xfId="34732" xr:uid="{00000000-0005-0000-0000-0000323D0000}"/>
    <cellStyle name="Normal 5 4 4 6 3" xfId="24875" xr:uid="{00000000-0005-0000-0000-0000333D0000}"/>
    <cellStyle name="Normal 5 4 4 7" xfId="10089" xr:uid="{00000000-0005-0000-0000-0000343D0000}"/>
    <cellStyle name="Normal 5 4 4 7 2" xfId="29804" xr:uid="{00000000-0005-0000-0000-0000353D0000}"/>
    <cellStyle name="Normal 5 4 4 8" xfId="19947" xr:uid="{00000000-0005-0000-0000-0000363D0000}"/>
    <cellStyle name="Normal 5 4 5" xfId="369" xr:uid="{00000000-0005-0000-0000-0000373D0000}"/>
    <cellStyle name="Normal 5 4 5 2" xfId="989" xr:uid="{00000000-0005-0000-0000-0000383D0000}"/>
    <cellStyle name="Normal 5 4 5 2 2" xfId="2224" xr:uid="{00000000-0005-0000-0000-0000393D0000}"/>
    <cellStyle name="Normal 5 4 5 2 2 2" xfId="4691" xr:uid="{00000000-0005-0000-0000-00003A3D0000}"/>
    <cellStyle name="Normal 5 4 5 2 2 2 2" xfId="9623" xr:uid="{00000000-0005-0000-0000-00003B3D0000}"/>
    <cellStyle name="Normal 5 4 5 2 2 2 2 2" xfId="19483" xr:uid="{00000000-0005-0000-0000-00003C3D0000}"/>
    <cellStyle name="Normal 5 4 5 2 2 2 2 2 2" xfId="39198" xr:uid="{00000000-0005-0000-0000-00003D3D0000}"/>
    <cellStyle name="Normal 5 4 5 2 2 2 2 3" xfId="29341" xr:uid="{00000000-0005-0000-0000-00003E3D0000}"/>
    <cellStyle name="Normal 5 4 5 2 2 2 3" xfId="14555" xr:uid="{00000000-0005-0000-0000-00003F3D0000}"/>
    <cellStyle name="Normal 5 4 5 2 2 2 3 2" xfId="34270" xr:uid="{00000000-0005-0000-0000-0000403D0000}"/>
    <cellStyle name="Normal 5 4 5 2 2 2 4" xfId="24413" xr:uid="{00000000-0005-0000-0000-0000413D0000}"/>
    <cellStyle name="Normal 5 4 5 2 2 3" xfId="7159" xr:uid="{00000000-0005-0000-0000-0000423D0000}"/>
    <cellStyle name="Normal 5 4 5 2 2 3 2" xfId="17019" xr:uid="{00000000-0005-0000-0000-0000433D0000}"/>
    <cellStyle name="Normal 5 4 5 2 2 3 2 2" xfId="36734" xr:uid="{00000000-0005-0000-0000-0000443D0000}"/>
    <cellStyle name="Normal 5 4 5 2 2 3 3" xfId="26877" xr:uid="{00000000-0005-0000-0000-0000453D0000}"/>
    <cellStyle name="Normal 5 4 5 2 2 4" xfId="12091" xr:uid="{00000000-0005-0000-0000-0000463D0000}"/>
    <cellStyle name="Normal 5 4 5 2 2 4 2" xfId="31806" xr:uid="{00000000-0005-0000-0000-0000473D0000}"/>
    <cellStyle name="Normal 5 4 5 2 2 5" xfId="21949" xr:uid="{00000000-0005-0000-0000-0000483D0000}"/>
    <cellStyle name="Normal 5 4 5 2 3" xfId="3459" xr:uid="{00000000-0005-0000-0000-0000493D0000}"/>
    <cellStyle name="Normal 5 4 5 2 3 2" xfId="8391" xr:uid="{00000000-0005-0000-0000-00004A3D0000}"/>
    <cellStyle name="Normal 5 4 5 2 3 2 2" xfId="18251" xr:uid="{00000000-0005-0000-0000-00004B3D0000}"/>
    <cellStyle name="Normal 5 4 5 2 3 2 2 2" xfId="37966" xr:uid="{00000000-0005-0000-0000-00004C3D0000}"/>
    <cellStyle name="Normal 5 4 5 2 3 2 3" xfId="28109" xr:uid="{00000000-0005-0000-0000-00004D3D0000}"/>
    <cellStyle name="Normal 5 4 5 2 3 3" xfId="13323" xr:uid="{00000000-0005-0000-0000-00004E3D0000}"/>
    <cellStyle name="Normal 5 4 5 2 3 3 2" xfId="33038" xr:uid="{00000000-0005-0000-0000-00004F3D0000}"/>
    <cellStyle name="Normal 5 4 5 2 3 4" xfId="23181" xr:uid="{00000000-0005-0000-0000-0000503D0000}"/>
    <cellStyle name="Normal 5 4 5 2 4" xfId="5927" xr:uid="{00000000-0005-0000-0000-0000513D0000}"/>
    <cellStyle name="Normal 5 4 5 2 4 2" xfId="15787" xr:uid="{00000000-0005-0000-0000-0000523D0000}"/>
    <cellStyle name="Normal 5 4 5 2 4 2 2" xfId="35502" xr:uid="{00000000-0005-0000-0000-0000533D0000}"/>
    <cellStyle name="Normal 5 4 5 2 4 3" xfId="25645" xr:uid="{00000000-0005-0000-0000-0000543D0000}"/>
    <cellStyle name="Normal 5 4 5 2 5" xfId="10859" xr:uid="{00000000-0005-0000-0000-0000553D0000}"/>
    <cellStyle name="Normal 5 4 5 2 5 2" xfId="30574" xr:uid="{00000000-0005-0000-0000-0000563D0000}"/>
    <cellStyle name="Normal 5 4 5 2 6" xfId="20717" xr:uid="{00000000-0005-0000-0000-0000573D0000}"/>
    <cellStyle name="Normal 5 4 5 3" xfId="1608" xr:uid="{00000000-0005-0000-0000-0000583D0000}"/>
    <cellStyle name="Normal 5 4 5 3 2" xfId="4075" xr:uid="{00000000-0005-0000-0000-0000593D0000}"/>
    <cellStyle name="Normal 5 4 5 3 2 2" xfId="9007" xr:uid="{00000000-0005-0000-0000-00005A3D0000}"/>
    <cellStyle name="Normal 5 4 5 3 2 2 2" xfId="18867" xr:uid="{00000000-0005-0000-0000-00005B3D0000}"/>
    <cellStyle name="Normal 5 4 5 3 2 2 2 2" xfId="38582" xr:uid="{00000000-0005-0000-0000-00005C3D0000}"/>
    <cellStyle name="Normal 5 4 5 3 2 2 3" xfId="28725" xr:uid="{00000000-0005-0000-0000-00005D3D0000}"/>
    <cellStyle name="Normal 5 4 5 3 2 3" xfId="13939" xr:uid="{00000000-0005-0000-0000-00005E3D0000}"/>
    <cellStyle name="Normal 5 4 5 3 2 3 2" xfId="33654" xr:uid="{00000000-0005-0000-0000-00005F3D0000}"/>
    <cellStyle name="Normal 5 4 5 3 2 4" xfId="23797" xr:uid="{00000000-0005-0000-0000-0000603D0000}"/>
    <cellStyle name="Normal 5 4 5 3 3" xfId="6543" xr:uid="{00000000-0005-0000-0000-0000613D0000}"/>
    <cellStyle name="Normal 5 4 5 3 3 2" xfId="16403" xr:uid="{00000000-0005-0000-0000-0000623D0000}"/>
    <cellStyle name="Normal 5 4 5 3 3 2 2" xfId="36118" xr:uid="{00000000-0005-0000-0000-0000633D0000}"/>
    <cellStyle name="Normal 5 4 5 3 3 3" xfId="26261" xr:uid="{00000000-0005-0000-0000-0000643D0000}"/>
    <cellStyle name="Normal 5 4 5 3 4" xfId="11475" xr:uid="{00000000-0005-0000-0000-0000653D0000}"/>
    <cellStyle name="Normal 5 4 5 3 4 2" xfId="31190" xr:uid="{00000000-0005-0000-0000-0000663D0000}"/>
    <cellStyle name="Normal 5 4 5 3 5" xfId="21333" xr:uid="{00000000-0005-0000-0000-0000673D0000}"/>
    <cellStyle name="Normal 5 4 5 4" xfId="2843" xr:uid="{00000000-0005-0000-0000-0000683D0000}"/>
    <cellStyle name="Normal 5 4 5 4 2" xfId="7775" xr:uid="{00000000-0005-0000-0000-0000693D0000}"/>
    <cellStyle name="Normal 5 4 5 4 2 2" xfId="17635" xr:uid="{00000000-0005-0000-0000-00006A3D0000}"/>
    <cellStyle name="Normal 5 4 5 4 2 2 2" xfId="37350" xr:uid="{00000000-0005-0000-0000-00006B3D0000}"/>
    <cellStyle name="Normal 5 4 5 4 2 3" xfId="27493" xr:uid="{00000000-0005-0000-0000-00006C3D0000}"/>
    <cellStyle name="Normal 5 4 5 4 3" xfId="12707" xr:uid="{00000000-0005-0000-0000-00006D3D0000}"/>
    <cellStyle name="Normal 5 4 5 4 3 2" xfId="32422" xr:uid="{00000000-0005-0000-0000-00006E3D0000}"/>
    <cellStyle name="Normal 5 4 5 4 4" xfId="22565" xr:uid="{00000000-0005-0000-0000-00006F3D0000}"/>
    <cellStyle name="Normal 5 4 5 5" xfId="5311" xr:uid="{00000000-0005-0000-0000-0000703D0000}"/>
    <cellStyle name="Normal 5 4 5 5 2" xfId="15171" xr:uid="{00000000-0005-0000-0000-0000713D0000}"/>
    <cellStyle name="Normal 5 4 5 5 2 2" xfId="34886" xr:uid="{00000000-0005-0000-0000-0000723D0000}"/>
    <cellStyle name="Normal 5 4 5 5 3" xfId="25029" xr:uid="{00000000-0005-0000-0000-0000733D0000}"/>
    <cellStyle name="Normal 5 4 5 6" xfId="10243" xr:uid="{00000000-0005-0000-0000-0000743D0000}"/>
    <cellStyle name="Normal 5 4 5 6 2" xfId="29958" xr:uid="{00000000-0005-0000-0000-0000753D0000}"/>
    <cellStyle name="Normal 5 4 5 7" xfId="20101" xr:uid="{00000000-0005-0000-0000-0000763D0000}"/>
    <cellStyle name="Normal 5 4 6" xfId="682" xr:uid="{00000000-0005-0000-0000-0000773D0000}"/>
    <cellStyle name="Normal 5 4 6 2" xfId="1918" xr:uid="{00000000-0005-0000-0000-0000783D0000}"/>
    <cellStyle name="Normal 5 4 6 2 2" xfId="4385" xr:uid="{00000000-0005-0000-0000-0000793D0000}"/>
    <cellStyle name="Normal 5 4 6 2 2 2" xfId="9317" xr:uid="{00000000-0005-0000-0000-00007A3D0000}"/>
    <cellStyle name="Normal 5 4 6 2 2 2 2" xfId="19177" xr:uid="{00000000-0005-0000-0000-00007B3D0000}"/>
    <cellStyle name="Normal 5 4 6 2 2 2 2 2" xfId="38892" xr:uid="{00000000-0005-0000-0000-00007C3D0000}"/>
    <cellStyle name="Normal 5 4 6 2 2 2 3" xfId="29035" xr:uid="{00000000-0005-0000-0000-00007D3D0000}"/>
    <cellStyle name="Normal 5 4 6 2 2 3" xfId="14249" xr:uid="{00000000-0005-0000-0000-00007E3D0000}"/>
    <cellStyle name="Normal 5 4 6 2 2 3 2" xfId="33964" xr:uid="{00000000-0005-0000-0000-00007F3D0000}"/>
    <cellStyle name="Normal 5 4 6 2 2 4" xfId="24107" xr:uid="{00000000-0005-0000-0000-0000803D0000}"/>
    <cellStyle name="Normal 5 4 6 2 3" xfId="6853" xr:uid="{00000000-0005-0000-0000-0000813D0000}"/>
    <cellStyle name="Normal 5 4 6 2 3 2" xfId="16713" xr:uid="{00000000-0005-0000-0000-0000823D0000}"/>
    <cellStyle name="Normal 5 4 6 2 3 2 2" xfId="36428" xr:uid="{00000000-0005-0000-0000-0000833D0000}"/>
    <cellStyle name="Normal 5 4 6 2 3 3" xfId="26571" xr:uid="{00000000-0005-0000-0000-0000843D0000}"/>
    <cellStyle name="Normal 5 4 6 2 4" xfId="11785" xr:uid="{00000000-0005-0000-0000-0000853D0000}"/>
    <cellStyle name="Normal 5 4 6 2 4 2" xfId="31500" xr:uid="{00000000-0005-0000-0000-0000863D0000}"/>
    <cellStyle name="Normal 5 4 6 2 5" xfId="21643" xr:uid="{00000000-0005-0000-0000-0000873D0000}"/>
    <cellStyle name="Normal 5 4 6 3" xfId="3153" xr:uid="{00000000-0005-0000-0000-0000883D0000}"/>
    <cellStyle name="Normal 5 4 6 3 2" xfId="8085" xr:uid="{00000000-0005-0000-0000-0000893D0000}"/>
    <cellStyle name="Normal 5 4 6 3 2 2" xfId="17945" xr:uid="{00000000-0005-0000-0000-00008A3D0000}"/>
    <cellStyle name="Normal 5 4 6 3 2 2 2" xfId="37660" xr:uid="{00000000-0005-0000-0000-00008B3D0000}"/>
    <cellStyle name="Normal 5 4 6 3 2 3" xfId="27803" xr:uid="{00000000-0005-0000-0000-00008C3D0000}"/>
    <cellStyle name="Normal 5 4 6 3 3" xfId="13017" xr:uid="{00000000-0005-0000-0000-00008D3D0000}"/>
    <cellStyle name="Normal 5 4 6 3 3 2" xfId="32732" xr:uid="{00000000-0005-0000-0000-00008E3D0000}"/>
    <cellStyle name="Normal 5 4 6 3 4" xfId="22875" xr:uid="{00000000-0005-0000-0000-00008F3D0000}"/>
    <cellStyle name="Normal 5 4 6 4" xfId="5621" xr:uid="{00000000-0005-0000-0000-0000903D0000}"/>
    <cellStyle name="Normal 5 4 6 4 2" xfId="15481" xr:uid="{00000000-0005-0000-0000-0000913D0000}"/>
    <cellStyle name="Normal 5 4 6 4 2 2" xfId="35196" xr:uid="{00000000-0005-0000-0000-0000923D0000}"/>
    <cellStyle name="Normal 5 4 6 4 3" xfId="25339" xr:uid="{00000000-0005-0000-0000-0000933D0000}"/>
    <cellStyle name="Normal 5 4 6 5" xfId="10553" xr:uid="{00000000-0005-0000-0000-0000943D0000}"/>
    <cellStyle name="Normal 5 4 6 5 2" xfId="30268" xr:uid="{00000000-0005-0000-0000-0000953D0000}"/>
    <cellStyle name="Normal 5 4 6 6" xfId="20411" xr:uid="{00000000-0005-0000-0000-0000963D0000}"/>
    <cellStyle name="Normal 5 4 7" xfId="1302" xr:uid="{00000000-0005-0000-0000-0000973D0000}"/>
    <cellStyle name="Normal 5 4 7 2" xfId="3769" xr:uid="{00000000-0005-0000-0000-0000983D0000}"/>
    <cellStyle name="Normal 5 4 7 2 2" xfId="8701" xr:uid="{00000000-0005-0000-0000-0000993D0000}"/>
    <cellStyle name="Normal 5 4 7 2 2 2" xfId="18561" xr:uid="{00000000-0005-0000-0000-00009A3D0000}"/>
    <cellStyle name="Normal 5 4 7 2 2 2 2" xfId="38276" xr:uid="{00000000-0005-0000-0000-00009B3D0000}"/>
    <cellStyle name="Normal 5 4 7 2 2 3" xfId="28419" xr:uid="{00000000-0005-0000-0000-00009C3D0000}"/>
    <cellStyle name="Normal 5 4 7 2 3" xfId="13633" xr:uid="{00000000-0005-0000-0000-00009D3D0000}"/>
    <cellStyle name="Normal 5 4 7 2 3 2" xfId="33348" xr:uid="{00000000-0005-0000-0000-00009E3D0000}"/>
    <cellStyle name="Normal 5 4 7 2 4" xfId="23491" xr:uid="{00000000-0005-0000-0000-00009F3D0000}"/>
    <cellStyle name="Normal 5 4 7 3" xfId="6237" xr:uid="{00000000-0005-0000-0000-0000A03D0000}"/>
    <cellStyle name="Normal 5 4 7 3 2" xfId="16097" xr:uid="{00000000-0005-0000-0000-0000A13D0000}"/>
    <cellStyle name="Normal 5 4 7 3 2 2" xfId="35812" xr:uid="{00000000-0005-0000-0000-0000A23D0000}"/>
    <cellStyle name="Normal 5 4 7 3 3" xfId="25955" xr:uid="{00000000-0005-0000-0000-0000A33D0000}"/>
    <cellStyle name="Normal 5 4 7 4" xfId="11169" xr:uid="{00000000-0005-0000-0000-0000A43D0000}"/>
    <cellStyle name="Normal 5 4 7 4 2" xfId="30884" xr:uid="{00000000-0005-0000-0000-0000A53D0000}"/>
    <cellStyle name="Normal 5 4 7 5" xfId="21027" xr:uid="{00000000-0005-0000-0000-0000A63D0000}"/>
    <cellStyle name="Normal 5 4 8" xfId="2537" xr:uid="{00000000-0005-0000-0000-0000A73D0000}"/>
    <cellStyle name="Normal 5 4 8 2" xfId="7469" xr:uid="{00000000-0005-0000-0000-0000A83D0000}"/>
    <cellStyle name="Normal 5 4 8 2 2" xfId="17329" xr:uid="{00000000-0005-0000-0000-0000A93D0000}"/>
    <cellStyle name="Normal 5 4 8 2 2 2" xfId="37044" xr:uid="{00000000-0005-0000-0000-0000AA3D0000}"/>
    <cellStyle name="Normal 5 4 8 2 3" xfId="27187" xr:uid="{00000000-0005-0000-0000-0000AB3D0000}"/>
    <cellStyle name="Normal 5 4 8 3" xfId="12401" xr:uid="{00000000-0005-0000-0000-0000AC3D0000}"/>
    <cellStyle name="Normal 5 4 8 3 2" xfId="32116" xr:uid="{00000000-0005-0000-0000-0000AD3D0000}"/>
    <cellStyle name="Normal 5 4 8 4" xfId="22259" xr:uid="{00000000-0005-0000-0000-0000AE3D0000}"/>
    <cellStyle name="Normal 5 4 9" xfId="5005" xr:uid="{00000000-0005-0000-0000-0000AF3D0000}"/>
    <cellStyle name="Normal 5 4 9 2" xfId="14865" xr:uid="{00000000-0005-0000-0000-0000B03D0000}"/>
    <cellStyle name="Normal 5 4 9 2 2" xfId="34580" xr:uid="{00000000-0005-0000-0000-0000B13D0000}"/>
    <cellStyle name="Normal 5 4 9 3" xfId="24723" xr:uid="{00000000-0005-0000-0000-0000B23D0000}"/>
    <cellStyle name="Normal 5 5" xfId="63" xr:uid="{00000000-0005-0000-0000-0000B33D0000}"/>
    <cellStyle name="Normal 5 5 10" xfId="19814" xr:uid="{00000000-0005-0000-0000-0000B43D0000}"/>
    <cellStyle name="Normal 5 5 2" xfId="145" xr:uid="{00000000-0005-0000-0000-0000B53D0000}"/>
    <cellStyle name="Normal 5 5 2 2" xfId="302" xr:uid="{00000000-0005-0000-0000-0000B63D0000}"/>
    <cellStyle name="Normal 5 5 2 2 2" xfId="616" xr:uid="{00000000-0005-0000-0000-0000B73D0000}"/>
    <cellStyle name="Normal 5 5 2 2 2 2" xfId="1236" xr:uid="{00000000-0005-0000-0000-0000B83D0000}"/>
    <cellStyle name="Normal 5 5 2 2 2 2 2" xfId="2471" xr:uid="{00000000-0005-0000-0000-0000B93D0000}"/>
    <cellStyle name="Normal 5 5 2 2 2 2 2 2" xfId="4938" xr:uid="{00000000-0005-0000-0000-0000BA3D0000}"/>
    <cellStyle name="Normal 5 5 2 2 2 2 2 2 2" xfId="9870" xr:uid="{00000000-0005-0000-0000-0000BB3D0000}"/>
    <cellStyle name="Normal 5 5 2 2 2 2 2 2 2 2" xfId="19730" xr:uid="{00000000-0005-0000-0000-0000BC3D0000}"/>
    <cellStyle name="Normal 5 5 2 2 2 2 2 2 2 2 2" xfId="39445" xr:uid="{00000000-0005-0000-0000-0000BD3D0000}"/>
    <cellStyle name="Normal 5 5 2 2 2 2 2 2 2 3" xfId="29588" xr:uid="{00000000-0005-0000-0000-0000BE3D0000}"/>
    <cellStyle name="Normal 5 5 2 2 2 2 2 2 3" xfId="14802" xr:uid="{00000000-0005-0000-0000-0000BF3D0000}"/>
    <cellStyle name="Normal 5 5 2 2 2 2 2 2 3 2" xfId="34517" xr:uid="{00000000-0005-0000-0000-0000C03D0000}"/>
    <cellStyle name="Normal 5 5 2 2 2 2 2 2 4" xfId="24660" xr:uid="{00000000-0005-0000-0000-0000C13D0000}"/>
    <cellStyle name="Normal 5 5 2 2 2 2 2 3" xfId="7406" xr:uid="{00000000-0005-0000-0000-0000C23D0000}"/>
    <cellStyle name="Normal 5 5 2 2 2 2 2 3 2" xfId="17266" xr:uid="{00000000-0005-0000-0000-0000C33D0000}"/>
    <cellStyle name="Normal 5 5 2 2 2 2 2 3 2 2" xfId="36981" xr:uid="{00000000-0005-0000-0000-0000C43D0000}"/>
    <cellStyle name="Normal 5 5 2 2 2 2 2 3 3" xfId="27124" xr:uid="{00000000-0005-0000-0000-0000C53D0000}"/>
    <cellStyle name="Normal 5 5 2 2 2 2 2 4" xfId="12338" xr:uid="{00000000-0005-0000-0000-0000C63D0000}"/>
    <cellStyle name="Normal 5 5 2 2 2 2 2 4 2" xfId="32053" xr:uid="{00000000-0005-0000-0000-0000C73D0000}"/>
    <cellStyle name="Normal 5 5 2 2 2 2 2 5" xfId="22196" xr:uid="{00000000-0005-0000-0000-0000C83D0000}"/>
    <cellStyle name="Normal 5 5 2 2 2 2 3" xfId="3706" xr:uid="{00000000-0005-0000-0000-0000C93D0000}"/>
    <cellStyle name="Normal 5 5 2 2 2 2 3 2" xfId="8638" xr:uid="{00000000-0005-0000-0000-0000CA3D0000}"/>
    <cellStyle name="Normal 5 5 2 2 2 2 3 2 2" xfId="18498" xr:uid="{00000000-0005-0000-0000-0000CB3D0000}"/>
    <cellStyle name="Normal 5 5 2 2 2 2 3 2 2 2" xfId="38213" xr:uid="{00000000-0005-0000-0000-0000CC3D0000}"/>
    <cellStyle name="Normal 5 5 2 2 2 2 3 2 3" xfId="28356" xr:uid="{00000000-0005-0000-0000-0000CD3D0000}"/>
    <cellStyle name="Normal 5 5 2 2 2 2 3 3" xfId="13570" xr:uid="{00000000-0005-0000-0000-0000CE3D0000}"/>
    <cellStyle name="Normal 5 5 2 2 2 2 3 3 2" xfId="33285" xr:uid="{00000000-0005-0000-0000-0000CF3D0000}"/>
    <cellStyle name="Normal 5 5 2 2 2 2 3 4" xfId="23428" xr:uid="{00000000-0005-0000-0000-0000D03D0000}"/>
    <cellStyle name="Normal 5 5 2 2 2 2 4" xfId="6174" xr:uid="{00000000-0005-0000-0000-0000D13D0000}"/>
    <cellStyle name="Normal 5 5 2 2 2 2 4 2" xfId="16034" xr:uid="{00000000-0005-0000-0000-0000D23D0000}"/>
    <cellStyle name="Normal 5 5 2 2 2 2 4 2 2" xfId="35749" xr:uid="{00000000-0005-0000-0000-0000D33D0000}"/>
    <cellStyle name="Normal 5 5 2 2 2 2 4 3" xfId="25892" xr:uid="{00000000-0005-0000-0000-0000D43D0000}"/>
    <cellStyle name="Normal 5 5 2 2 2 2 5" xfId="11106" xr:uid="{00000000-0005-0000-0000-0000D53D0000}"/>
    <cellStyle name="Normal 5 5 2 2 2 2 5 2" xfId="30821" xr:uid="{00000000-0005-0000-0000-0000D63D0000}"/>
    <cellStyle name="Normal 5 5 2 2 2 2 6" xfId="20964" xr:uid="{00000000-0005-0000-0000-0000D73D0000}"/>
    <cellStyle name="Normal 5 5 2 2 2 3" xfId="1855" xr:uid="{00000000-0005-0000-0000-0000D83D0000}"/>
    <cellStyle name="Normal 5 5 2 2 2 3 2" xfId="4322" xr:uid="{00000000-0005-0000-0000-0000D93D0000}"/>
    <cellStyle name="Normal 5 5 2 2 2 3 2 2" xfId="9254" xr:uid="{00000000-0005-0000-0000-0000DA3D0000}"/>
    <cellStyle name="Normal 5 5 2 2 2 3 2 2 2" xfId="19114" xr:uid="{00000000-0005-0000-0000-0000DB3D0000}"/>
    <cellStyle name="Normal 5 5 2 2 2 3 2 2 2 2" xfId="38829" xr:uid="{00000000-0005-0000-0000-0000DC3D0000}"/>
    <cellStyle name="Normal 5 5 2 2 2 3 2 2 3" xfId="28972" xr:uid="{00000000-0005-0000-0000-0000DD3D0000}"/>
    <cellStyle name="Normal 5 5 2 2 2 3 2 3" xfId="14186" xr:uid="{00000000-0005-0000-0000-0000DE3D0000}"/>
    <cellStyle name="Normal 5 5 2 2 2 3 2 3 2" xfId="33901" xr:uid="{00000000-0005-0000-0000-0000DF3D0000}"/>
    <cellStyle name="Normal 5 5 2 2 2 3 2 4" xfId="24044" xr:uid="{00000000-0005-0000-0000-0000E03D0000}"/>
    <cellStyle name="Normal 5 5 2 2 2 3 3" xfId="6790" xr:uid="{00000000-0005-0000-0000-0000E13D0000}"/>
    <cellStyle name="Normal 5 5 2 2 2 3 3 2" xfId="16650" xr:uid="{00000000-0005-0000-0000-0000E23D0000}"/>
    <cellStyle name="Normal 5 5 2 2 2 3 3 2 2" xfId="36365" xr:uid="{00000000-0005-0000-0000-0000E33D0000}"/>
    <cellStyle name="Normal 5 5 2 2 2 3 3 3" xfId="26508" xr:uid="{00000000-0005-0000-0000-0000E43D0000}"/>
    <cellStyle name="Normal 5 5 2 2 2 3 4" xfId="11722" xr:uid="{00000000-0005-0000-0000-0000E53D0000}"/>
    <cellStyle name="Normal 5 5 2 2 2 3 4 2" xfId="31437" xr:uid="{00000000-0005-0000-0000-0000E63D0000}"/>
    <cellStyle name="Normal 5 5 2 2 2 3 5" xfId="21580" xr:uid="{00000000-0005-0000-0000-0000E73D0000}"/>
    <cellStyle name="Normal 5 5 2 2 2 4" xfId="3090" xr:uid="{00000000-0005-0000-0000-0000E83D0000}"/>
    <cellStyle name="Normal 5 5 2 2 2 4 2" xfId="8022" xr:uid="{00000000-0005-0000-0000-0000E93D0000}"/>
    <cellStyle name="Normal 5 5 2 2 2 4 2 2" xfId="17882" xr:uid="{00000000-0005-0000-0000-0000EA3D0000}"/>
    <cellStyle name="Normal 5 5 2 2 2 4 2 2 2" xfId="37597" xr:uid="{00000000-0005-0000-0000-0000EB3D0000}"/>
    <cellStyle name="Normal 5 5 2 2 2 4 2 3" xfId="27740" xr:uid="{00000000-0005-0000-0000-0000EC3D0000}"/>
    <cellStyle name="Normal 5 5 2 2 2 4 3" xfId="12954" xr:uid="{00000000-0005-0000-0000-0000ED3D0000}"/>
    <cellStyle name="Normal 5 5 2 2 2 4 3 2" xfId="32669" xr:uid="{00000000-0005-0000-0000-0000EE3D0000}"/>
    <cellStyle name="Normal 5 5 2 2 2 4 4" xfId="22812" xr:uid="{00000000-0005-0000-0000-0000EF3D0000}"/>
    <cellStyle name="Normal 5 5 2 2 2 5" xfId="5558" xr:uid="{00000000-0005-0000-0000-0000F03D0000}"/>
    <cellStyle name="Normal 5 5 2 2 2 5 2" xfId="15418" xr:uid="{00000000-0005-0000-0000-0000F13D0000}"/>
    <cellStyle name="Normal 5 5 2 2 2 5 2 2" xfId="35133" xr:uid="{00000000-0005-0000-0000-0000F23D0000}"/>
    <cellStyle name="Normal 5 5 2 2 2 5 3" xfId="25276" xr:uid="{00000000-0005-0000-0000-0000F33D0000}"/>
    <cellStyle name="Normal 5 5 2 2 2 6" xfId="10490" xr:uid="{00000000-0005-0000-0000-0000F43D0000}"/>
    <cellStyle name="Normal 5 5 2 2 2 6 2" xfId="30205" xr:uid="{00000000-0005-0000-0000-0000F53D0000}"/>
    <cellStyle name="Normal 5 5 2 2 2 7" xfId="20348" xr:uid="{00000000-0005-0000-0000-0000F63D0000}"/>
    <cellStyle name="Normal 5 5 2 2 3" xfId="929" xr:uid="{00000000-0005-0000-0000-0000F73D0000}"/>
    <cellStyle name="Normal 5 5 2 2 3 2" xfId="2165" xr:uid="{00000000-0005-0000-0000-0000F83D0000}"/>
    <cellStyle name="Normal 5 5 2 2 3 2 2" xfId="4632" xr:uid="{00000000-0005-0000-0000-0000F93D0000}"/>
    <cellStyle name="Normal 5 5 2 2 3 2 2 2" xfId="9564" xr:uid="{00000000-0005-0000-0000-0000FA3D0000}"/>
    <cellStyle name="Normal 5 5 2 2 3 2 2 2 2" xfId="19424" xr:uid="{00000000-0005-0000-0000-0000FB3D0000}"/>
    <cellStyle name="Normal 5 5 2 2 3 2 2 2 2 2" xfId="39139" xr:uid="{00000000-0005-0000-0000-0000FC3D0000}"/>
    <cellStyle name="Normal 5 5 2 2 3 2 2 2 3" xfId="29282" xr:uid="{00000000-0005-0000-0000-0000FD3D0000}"/>
    <cellStyle name="Normal 5 5 2 2 3 2 2 3" xfId="14496" xr:uid="{00000000-0005-0000-0000-0000FE3D0000}"/>
    <cellStyle name="Normal 5 5 2 2 3 2 2 3 2" xfId="34211" xr:uid="{00000000-0005-0000-0000-0000FF3D0000}"/>
    <cellStyle name="Normal 5 5 2 2 3 2 2 4" xfId="24354" xr:uid="{00000000-0005-0000-0000-0000003E0000}"/>
    <cellStyle name="Normal 5 5 2 2 3 2 3" xfId="7100" xr:uid="{00000000-0005-0000-0000-0000013E0000}"/>
    <cellStyle name="Normal 5 5 2 2 3 2 3 2" xfId="16960" xr:uid="{00000000-0005-0000-0000-0000023E0000}"/>
    <cellStyle name="Normal 5 5 2 2 3 2 3 2 2" xfId="36675" xr:uid="{00000000-0005-0000-0000-0000033E0000}"/>
    <cellStyle name="Normal 5 5 2 2 3 2 3 3" xfId="26818" xr:uid="{00000000-0005-0000-0000-0000043E0000}"/>
    <cellStyle name="Normal 5 5 2 2 3 2 4" xfId="12032" xr:uid="{00000000-0005-0000-0000-0000053E0000}"/>
    <cellStyle name="Normal 5 5 2 2 3 2 4 2" xfId="31747" xr:uid="{00000000-0005-0000-0000-0000063E0000}"/>
    <cellStyle name="Normal 5 5 2 2 3 2 5" xfId="21890" xr:uid="{00000000-0005-0000-0000-0000073E0000}"/>
    <cellStyle name="Normal 5 5 2 2 3 3" xfId="3400" xr:uid="{00000000-0005-0000-0000-0000083E0000}"/>
    <cellStyle name="Normal 5 5 2 2 3 3 2" xfId="8332" xr:uid="{00000000-0005-0000-0000-0000093E0000}"/>
    <cellStyle name="Normal 5 5 2 2 3 3 2 2" xfId="18192" xr:uid="{00000000-0005-0000-0000-00000A3E0000}"/>
    <cellStyle name="Normal 5 5 2 2 3 3 2 2 2" xfId="37907" xr:uid="{00000000-0005-0000-0000-00000B3E0000}"/>
    <cellStyle name="Normal 5 5 2 2 3 3 2 3" xfId="28050" xr:uid="{00000000-0005-0000-0000-00000C3E0000}"/>
    <cellStyle name="Normal 5 5 2 2 3 3 3" xfId="13264" xr:uid="{00000000-0005-0000-0000-00000D3E0000}"/>
    <cellStyle name="Normal 5 5 2 2 3 3 3 2" xfId="32979" xr:uid="{00000000-0005-0000-0000-00000E3E0000}"/>
    <cellStyle name="Normal 5 5 2 2 3 3 4" xfId="23122" xr:uid="{00000000-0005-0000-0000-00000F3E0000}"/>
    <cellStyle name="Normal 5 5 2 2 3 4" xfId="5868" xr:uid="{00000000-0005-0000-0000-0000103E0000}"/>
    <cellStyle name="Normal 5 5 2 2 3 4 2" xfId="15728" xr:uid="{00000000-0005-0000-0000-0000113E0000}"/>
    <cellStyle name="Normal 5 5 2 2 3 4 2 2" xfId="35443" xr:uid="{00000000-0005-0000-0000-0000123E0000}"/>
    <cellStyle name="Normal 5 5 2 2 3 4 3" xfId="25586" xr:uid="{00000000-0005-0000-0000-0000133E0000}"/>
    <cellStyle name="Normal 5 5 2 2 3 5" xfId="10800" xr:uid="{00000000-0005-0000-0000-0000143E0000}"/>
    <cellStyle name="Normal 5 5 2 2 3 5 2" xfId="30515" xr:uid="{00000000-0005-0000-0000-0000153E0000}"/>
    <cellStyle name="Normal 5 5 2 2 3 6" xfId="20658" xr:uid="{00000000-0005-0000-0000-0000163E0000}"/>
    <cellStyle name="Normal 5 5 2 2 4" xfId="1549" xr:uid="{00000000-0005-0000-0000-0000173E0000}"/>
    <cellStyle name="Normal 5 5 2 2 4 2" xfId="4016" xr:uid="{00000000-0005-0000-0000-0000183E0000}"/>
    <cellStyle name="Normal 5 5 2 2 4 2 2" xfId="8948" xr:uid="{00000000-0005-0000-0000-0000193E0000}"/>
    <cellStyle name="Normal 5 5 2 2 4 2 2 2" xfId="18808" xr:uid="{00000000-0005-0000-0000-00001A3E0000}"/>
    <cellStyle name="Normal 5 5 2 2 4 2 2 2 2" xfId="38523" xr:uid="{00000000-0005-0000-0000-00001B3E0000}"/>
    <cellStyle name="Normal 5 5 2 2 4 2 2 3" xfId="28666" xr:uid="{00000000-0005-0000-0000-00001C3E0000}"/>
    <cellStyle name="Normal 5 5 2 2 4 2 3" xfId="13880" xr:uid="{00000000-0005-0000-0000-00001D3E0000}"/>
    <cellStyle name="Normal 5 5 2 2 4 2 3 2" xfId="33595" xr:uid="{00000000-0005-0000-0000-00001E3E0000}"/>
    <cellStyle name="Normal 5 5 2 2 4 2 4" xfId="23738" xr:uid="{00000000-0005-0000-0000-00001F3E0000}"/>
    <cellStyle name="Normal 5 5 2 2 4 3" xfId="6484" xr:uid="{00000000-0005-0000-0000-0000203E0000}"/>
    <cellStyle name="Normal 5 5 2 2 4 3 2" xfId="16344" xr:uid="{00000000-0005-0000-0000-0000213E0000}"/>
    <cellStyle name="Normal 5 5 2 2 4 3 2 2" xfId="36059" xr:uid="{00000000-0005-0000-0000-0000223E0000}"/>
    <cellStyle name="Normal 5 5 2 2 4 3 3" xfId="26202" xr:uid="{00000000-0005-0000-0000-0000233E0000}"/>
    <cellStyle name="Normal 5 5 2 2 4 4" xfId="11416" xr:uid="{00000000-0005-0000-0000-0000243E0000}"/>
    <cellStyle name="Normal 5 5 2 2 4 4 2" xfId="31131" xr:uid="{00000000-0005-0000-0000-0000253E0000}"/>
    <cellStyle name="Normal 5 5 2 2 4 5" xfId="21274" xr:uid="{00000000-0005-0000-0000-0000263E0000}"/>
    <cellStyle name="Normal 5 5 2 2 5" xfId="2784" xr:uid="{00000000-0005-0000-0000-0000273E0000}"/>
    <cellStyle name="Normal 5 5 2 2 5 2" xfId="7716" xr:uid="{00000000-0005-0000-0000-0000283E0000}"/>
    <cellStyle name="Normal 5 5 2 2 5 2 2" xfId="17576" xr:uid="{00000000-0005-0000-0000-0000293E0000}"/>
    <cellStyle name="Normal 5 5 2 2 5 2 2 2" xfId="37291" xr:uid="{00000000-0005-0000-0000-00002A3E0000}"/>
    <cellStyle name="Normal 5 5 2 2 5 2 3" xfId="27434" xr:uid="{00000000-0005-0000-0000-00002B3E0000}"/>
    <cellStyle name="Normal 5 5 2 2 5 3" xfId="12648" xr:uid="{00000000-0005-0000-0000-00002C3E0000}"/>
    <cellStyle name="Normal 5 5 2 2 5 3 2" xfId="32363" xr:uid="{00000000-0005-0000-0000-00002D3E0000}"/>
    <cellStyle name="Normal 5 5 2 2 5 4" xfId="22506" xr:uid="{00000000-0005-0000-0000-00002E3E0000}"/>
    <cellStyle name="Normal 5 5 2 2 6" xfId="5252" xr:uid="{00000000-0005-0000-0000-00002F3E0000}"/>
    <cellStyle name="Normal 5 5 2 2 6 2" xfId="15112" xr:uid="{00000000-0005-0000-0000-0000303E0000}"/>
    <cellStyle name="Normal 5 5 2 2 6 2 2" xfId="34827" xr:uid="{00000000-0005-0000-0000-0000313E0000}"/>
    <cellStyle name="Normal 5 5 2 2 6 3" xfId="24970" xr:uid="{00000000-0005-0000-0000-0000323E0000}"/>
    <cellStyle name="Normal 5 5 2 2 7" xfId="10184" xr:uid="{00000000-0005-0000-0000-0000333E0000}"/>
    <cellStyle name="Normal 5 5 2 2 7 2" xfId="29899" xr:uid="{00000000-0005-0000-0000-0000343E0000}"/>
    <cellStyle name="Normal 5 5 2 2 8" xfId="20042" xr:uid="{00000000-0005-0000-0000-0000353E0000}"/>
    <cellStyle name="Normal 5 5 2 3" xfId="464" xr:uid="{00000000-0005-0000-0000-0000363E0000}"/>
    <cellStyle name="Normal 5 5 2 3 2" xfId="1084" xr:uid="{00000000-0005-0000-0000-0000373E0000}"/>
    <cellStyle name="Normal 5 5 2 3 2 2" xfId="2319" xr:uid="{00000000-0005-0000-0000-0000383E0000}"/>
    <cellStyle name="Normal 5 5 2 3 2 2 2" xfId="4786" xr:uid="{00000000-0005-0000-0000-0000393E0000}"/>
    <cellStyle name="Normal 5 5 2 3 2 2 2 2" xfId="9718" xr:uid="{00000000-0005-0000-0000-00003A3E0000}"/>
    <cellStyle name="Normal 5 5 2 3 2 2 2 2 2" xfId="19578" xr:uid="{00000000-0005-0000-0000-00003B3E0000}"/>
    <cellStyle name="Normal 5 5 2 3 2 2 2 2 2 2" xfId="39293" xr:uid="{00000000-0005-0000-0000-00003C3E0000}"/>
    <cellStyle name="Normal 5 5 2 3 2 2 2 2 3" xfId="29436" xr:uid="{00000000-0005-0000-0000-00003D3E0000}"/>
    <cellStyle name="Normal 5 5 2 3 2 2 2 3" xfId="14650" xr:uid="{00000000-0005-0000-0000-00003E3E0000}"/>
    <cellStyle name="Normal 5 5 2 3 2 2 2 3 2" xfId="34365" xr:uid="{00000000-0005-0000-0000-00003F3E0000}"/>
    <cellStyle name="Normal 5 5 2 3 2 2 2 4" xfId="24508" xr:uid="{00000000-0005-0000-0000-0000403E0000}"/>
    <cellStyle name="Normal 5 5 2 3 2 2 3" xfId="7254" xr:uid="{00000000-0005-0000-0000-0000413E0000}"/>
    <cellStyle name="Normal 5 5 2 3 2 2 3 2" xfId="17114" xr:uid="{00000000-0005-0000-0000-0000423E0000}"/>
    <cellStyle name="Normal 5 5 2 3 2 2 3 2 2" xfId="36829" xr:uid="{00000000-0005-0000-0000-0000433E0000}"/>
    <cellStyle name="Normal 5 5 2 3 2 2 3 3" xfId="26972" xr:uid="{00000000-0005-0000-0000-0000443E0000}"/>
    <cellStyle name="Normal 5 5 2 3 2 2 4" xfId="12186" xr:uid="{00000000-0005-0000-0000-0000453E0000}"/>
    <cellStyle name="Normal 5 5 2 3 2 2 4 2" xfId="31901" xr:uid="{00000000-0005-0000-0000-0000463E0000}"/>
    <cellStyle name="Normal 5 5 2 3 2 2 5" xfId="22044" xr:uid="{00000000-0005-0000-0000-0000473E0000}"/>
    <cellStyle name="Normal 5 5 2 3 2 3" xfId="3554" xr:uid="{00000000-0005-0000-0000-0000483E0000}"/>
    <cellStyle name="Normal 5 5 2 3 2 3 2" xfId="8486" xr:uid="{00000000-0005-0000-0000-0000493E0000}"/>
    <cellStyle name="Normal 5 5 2 3 2 3 2 2" xfId="18346" xr:uid="{00000000-0005-0000-0000-00004A3E0000}"/>
    <cellStyle name="Normal 5 5 2 3 2 3 2 2 2" xfId="38061" xr:uid="{00000000-0005-0000-0000-00004B3E0000}"/>
    <cellStyle name="Normal 5 5 2 3 2 3 2 3" xfId="28204" xr:uid="{00000000-0005-0000-0000-00004C3E0000}"/>
    <cellStyle name="Normal 5 5 2 3 2 3 3" xfId="13418" xr:uid="{00000000-0005-0000-0000-00004D3E0000}"/>
    <cellStyle name="Normal 5 5 2 3 2 3 3 2" xfId="33133" xr:uid="{00000000-0005-0000-0000-00004E3E0000}"/>
    <cellStyle name="Normal 5 5 2 3 2 3 4" xfId="23276" xr:uid="{00000000-0005-0000-0000-00004F3E0000}"/>
    <cellStyle name="Normal 5 5 2 3 2 4" xfId="6022" xr:uid="{00000000-0005-0000-0000-0000503E0000}"/>
    <cellStyle name="Normal 5 5 2 3 2 4 2" xfId="15882" xr:uid="{00000000-0005-0000-0000-0000513E0000}"/>
    <cellStyle name="Normal 5 5 2 3 2 4 2 2" xfId="35597" xr:uid="{00000000-0005-0000-0000-0000523E0000}"/>
    <cellStyle name="Normal 5 5 2 3 2 4 3" xfId="25740" xr:uid="{00000000-0005-0000-0000-0000533E0000}"/>
    <cellStyle name="Normal 5 5 2 3 2 5" xfId="10954" xr:uid="{00000000-0005-0000-0000-0000543E0000}"/>
    <cellStyle name="Normal 5 5 2 3 2 5 2" xfId="30669" xr:uid="{00000000-0005-0000-0000-0000553E0000}"/>
    <cellStyle name="Normal 5 5 2 3 2 6" xfId="20812" xr:uid="{00000000-0005-0000-0000-0000563E0000}"/>
    <cellStyle name="Normal 5 5 2 3 3" xfId="1703" xr:uid="{00000000-0005-0000-0000-0000573E0000}"/>
    <cellStyle name="Normal 5 5 2 3 3 2" xfId="4170" xr:uid="{00000000-0005-0000-0000-0000583E0000}"/>
    <cellStyle name="Normal 5 5 2 3 3 2 2" xfId="9102" xr:uid="{00000000-0005-0000-0000-0000593E0000}"/>
    <cellStyle name="Normal 5 5 2 3 3 2 2 2" xfId="18962" xr:uid="{00000000-0005-0000-0000-00005A3E0000}"/>
    <cellStyle name="Normal 5 5 2 3 3 2 2 2 2" xfId="38677" xr:uid="{00000000-0005-0000-0000-00005B3E0000}"/>
    <cellStyle name="Normal 5 5 2 3 3 2 2 3" xfId="28820" xr:uid="{00000000-0005-0000-0000-00005C3E0000}"/>
    <cellStyle name="Normal 5 5 2 3 3 2 3" xfId="14034" xr:uid="{00000000-0005-0000-0000-00005D3E0000}"/>
    <cellStyle name="Normal 5 5 2 3 3 2 3 2" xfId="33749" xr:uid="{00000000-0005-0000-0000-00005E3E0000}"/>
    <cellStyle name="Normal 5 5 2 3 3 2 4" xfId="23892" xr:uid="{00000000-0005-0000-0000-00005F3E0000}"/>
    <cellStyle name="Normal 5 5 2 3 3 3" xfId="6638" xr:uid="{00000000-0005-0000-0000-0000603E0000}"/>
    <cellStyle name="Normal 5 5 2 3 3 3 2" xfId="16498" xr:uid="{00000000-0005-0000-0000-0000613E0000}"/>
    <cellStyle name="Normal 5 5 2 3 3 3 2 2" xfId="36213" xr:uid="{00000000-0005-0000-0000-0000623E0000}"/>
    <cellStyle name="Normal 5 5 2 3 3 3 3" xfId="26356" xr:uid="{00000000-0005-0000-0000-0000633E0000}"/>
    <cellStyle name="Normal 5 5 2 3 3 4" xfId="11570" xr:uid="{00000000-0005-0000-0000-0000643E0000}"/>
    <cellStyle name="Normal 5 5 2 3 3 4 2" xfId="31285" xr:uid="{00000000-0005-0000-0000-0000653E0000}"/>
    <cellStyle name="Normal 5 5 2 3 3 5" xfId="21428" xr:uid="{00000000-0005-0000-0000-0000663E0000}"/>
    <cellStyle name="Normal 5 5 2 3 4" xfId="2938" xr:uid="{00000000-0005-0000-0000-0000673E0000}"/>
    <cellStyle name="Normal 5 5 2 3 4 2" xfId="7870" xr:uid="{00000000-0005-0000-0000-0000683E0000}"/>
    <cellStyle name="Normal 5 5 2 3 4 2 2" xfId="17730" xr:uid="{00000000-0005-0000-0000-0000693E0000}"/>
    <cellStyle name="Normal 5 5 2 3 4 2 2 2" xfId="37445" xr:uid="{00000000-0005-0000-0000-00006A3E0000}"/>
    <cellStyle name="Normal 5 5 2 3 4 2 3" xfId="27588" xr:uid="{00000000-0005-0000-0000-00006B3E0000}"/>
    <cellStyle name="Normal 5 5 2 3 4 3" xfId="12802" xr:uid="{00000000-0005-0000-0000-00006C3E0000}"/>
    <cellStyle name="Normal 5 5 2 3 4 3 2" xfId="32517" xr:uid="{00000000-0005-0000-0000-00006D3E0000}"/>
    <cellStyle name="Normal 5 5 2 3 4 4" xfId="22660" xr:uid="{00000000-0005-0000-0000-00006E3E0000}"/>
    <cellStyle name="Normal 5 5 2 3 5" xfId="5406" xr:uid="{00000000-0005-0000-0000-00006F3E0000}"/>
    <cellStyle name="Normal 5 5 2 3 5 2" xfId="15266" xr:uid="{00000000-0005-0000-0000-0000703E0000}"/>
    <cellStyle name="Normal 5 5 2 3 5 2 2" xfId="34981" xr:uid="{00000000-0005-0000-0000-0000713E0000}"/>
    <cellStyle name="Normal 5 5 2 3 5 3" xfId="25124" xr:uid="{00000000-0005-0000-0000-0000723E0000}"/>
    <cellStyle name="Normal 5 5 2 3 6" xfId="10338" xr:uid="{00000000-0005-0000-0000-0000733E0000}"/>
    <cellStyle name="Normal 5 5 2 3 6 2" xfId="30053" xr:uid="{00000000-0005-0000-0000-0000743E0000}"/>
    <cellStyle name="Normal 5 5 2 3 7" xfId="20196" xr:uid="{00000000-0005-0000-0000-0000753E0000}"/>
    <cellStyle name="Normal 5 5 2 4" xfId="777" xr:uid="{00000000-0005-0000-0000-0000763E0000}"/>
    <cellStyle name="Normal 5 5 2 4 2" xfId="2013" xr:uid="{00000000-0005-0000-0000-0000773E0000}"/>
    <cellStyle name="Normal 5 5 2 4 2 2" xfId="4480" xr:uid="{00000000-0005-0000-0000-0000783E0000}"/>
    <cellStyle name="Normal 5 5 2 4 2 2 2" xfId="9412" xr:uid="{00000000-0005-0000-0000-0000793E0000}"/>
    <cellStyle name="Normal 5 5 2 4 2 2 2 2" xfId="19272" xr:uid="{00000000-0005-0000-0000-00007A3E0000}"/>
    <cellStyle name="Normal 5 5 2 4 2 2 2 2 2" xfId="38987" xr:uid="{00000000-0005-0000-0000-00007B3E0000}"/>
    <cellStyle name="Normal 5 5 2 4 2 2 2 3" xfId="29130" xr:uid="{00000000-0005-0000-0000-00007C3E0000}"/>
    <cellStyle name="Normal 5 5 2 4 2 2 3" xfId="14344" xr:uid="{00000000-0005-0000-0000-00007D3E0000}"/>
    <cellStyle name="Normal 5 5 2 4 2 2 3 2" xfId="34059" xr:uid="{00000000-0005-0000-0000-00007E3E0000}"/>
    <cellStyle name="Normal 5 5 2 4 2 2 4" xfId="24202" xr:uid="{00000000-0005-0000-0000-00007F3E0000}"/>
    <cellStyle name="Normal 5 5 2 4 2 3" xfId="6948" xr:uid="{00000000-0005-0000-0000-0000803E0000}"/>
    <cellStyle name="Normal 5 5 2 4 2 3 2" xfId="16808" xr:uid="{00000000-0005-0000-0000-0000813E0000}"/>
    <cellStyle name="Normal 5 5 2 4 2 3 2 2" xfId="36523" xr:uid="{00000000-0005-0000-0000-0000823E0000}"/>
    <cellStyle name="Normal 5 5 2 4 2 3 3" xfId="26666" xr:uid="{00000000-0005-0000-0000-0000833E0000}"/>
    <cellStyle name="Normal 5 5 2 4 2 4" xfId="11880" xr:uid="{00000000-0005-0000-0000-0000843E0000}"/>
    <cellStyle name="Normal 5 5 2 4 2 4 2" xfId="31595" xr:uid="{00000000-0005-0000-0000-0000853E0000}"/>
    <cellStyle name="Normal 5 5 2 4 2 5" xfId="21738" xr:uid="{00000000-0005-0000-0000-0000863E0000}"/>
    <cellStyle name="Normal 5 5 2 4 3" xfId="3248" xr:uid="{00000000-0005-0000-0000-0000873E0000}"/>
    <cellStyle name="Normal 5 5 2 4 3 2" xfId="8180" xr:uid="{00000000-0005-0000-0000-0000883E0000}"/>
    <cellStyle name="Normal 5 5 2 4 3 2 2" xfId="18040" xr:uid="{00000000-0005-0000-0000-0000893E0000}"/>
    <cellStyle name="Normal 5 5 2 4 3 2 2 2" xfId="37755" xr:uid="{00000000-0005-0000-0000-00008A3E0000}"/>
    <cellStyle name="Normal 5 5 2 4 3 2 3" xfId="27898" xr:uid="{00000000-0005-0000-0000-00008B3E0000}"/>
    <cellStyle name="Normal 5 5 2 4 3 3" xfId="13112" xr:uid="{00000000-0005-0000-0000-00008C3E0000}"/>
    <cellStyle name="Normal 5 5 2 4 3 3 2" xfId="32827" xr:uid="{00000000-0005-0000-0000-00008D3E0000}"/>
    <cellStyle name="Normal 5 5 2 4 3 4" xfId="22970" xr:uid="{00000000-0005-0000-0000-00008E3E0000}"/>
    <cellStyle name="Normal 5 5 2 4 4" xfId="5716" xr:uid="{00000000-0005-0000-0000-00008F3E0000}"/>
    <cellStyle name="Normal 5 5 2 4 4 2" xfId="15576" xr:uid="{00000000-0005-0000-0000-0000903E0000}"/>
    <cellStyle name="Normal 5 5 2 4 4 2 2" xfId="35291" xr:uid="{00000000-0005-0000-0000-0000913E0000}"/>
    <cellStyle name="Normal 5 5 2 4 4 3" xfId="25434" xr:uid="{00000000-0005-0000-0000-0000923E0000}"/>
    <cellStyle name="Normal 5 5 2 4 5" xfId="10648" xr:uid="{00000000-0005-0000-0000-0000933E0000}"/>
    <cellStyle name="Normal 5 5 2 4 5 2" xfId="30363" xr:uid="{00000000-0005-0000-0000-0000943E0000}"/>
    <cellStyle name="Normal 5 5 2 4 6" xfId="20506" xr:uid="{00000000-0005-0000-0000-0000953E0000}"/>
    <cellStyle name="Normal 5 5 2 5" xfId="1397" xr:uid="{00000000-0005-0000-0000-0000963E0000}"/>
    <cellStyle name="Normal 5 5 2 5 2" xfId="3864" xr:uid="{00000000-0005-0000-0000-0000973E0000}"/>
    <cellStyle name="Normal 5 5 2 5 2 2" xfId="8796" xr:uid="{00000000-0005-0000-0000-0000983E0000}"/>
    <cellStyle name="Normal 5 5 2 5 2 2 2" xfId="18656" xr:uid="{00000000-0005-0000-0000-0000993E0000}"/>
    <cellStyle name="Normal 5 5 2 5 2 2 2 2" xfId="38371" xr:uid="{00000000-0005-0000-0000-00009A3E0000}"/>
    <cellStyle name="Normal 5 5 2 5 2 2 3" xfId="28514" xr:uid="{00000000-0005-0000-0000-00009B3E0000}"/>
    <cellStyle name="Normal 5 5 2 5 2 3" xfId="13728" xr:uid="{00000000-0005-0000-0000-00009C3E0000}"/>
    <cellStyle name="Normal 5 5 2 5 2 3 2" xfId="33443" xr:uid="{00000000-0005-0000-0000-00009D3E0000}"/>
    <cellStyle name="Normal 5 5 2 5 2 4" xfId="23586" xr:uid="{00000000-0005-0000-0000-00009E3E0000}"/>
    <cellStyle name="Normal 5 5 2 5 3" xfId="6332" xr:uid="{00000000-0005-0000-0000-00009F3E0000}"/>
    <cellStyle name="Normal 5 5 2 5 3 2" xfId="16192" xr:uid="{00000000-0005-0000-0000-0000A03E0000}"/>
    <cellStyle name="Normal 5 5 2 5 3 2 2" xfId="35907" xr:uid="{00000000-0005-0000-0000-0000A13E0000}"/>
    <cellStyle name="Normal 5 5 2 5 3 3" xfId="26050" xr:uid="{00000000-0005-0000-0000-0000A23E0000}"/>
    <cellStyle name="Normal 5 5 2 5 4" xfId="11264" xr:uid="{00000000-0005-0000-0000-0000A33E0000}"/>
    <cellStyle name="Normal 5 5 2 5 4 2" xfId="30979" xr:uid="{00000000-0005-0000-0000-0000A43E0000}"/>
    <cellStyle name="Normal 5 5 2 5 5" xfId="21122" xr:uid="{00000000-0005-0000-0000-0000A53E0000}"/>
    <cellStyle name="Normal 5 5 2 6" xfId="2632" xr:uid="{00000000-0005-0000-0000-0000A63E0000}"/>
    <cellStyle name="Normal 5 5 2 6 2" xfId="7564" xr:uid="{00000000-0005-0000-0000-0000A73E0000}"/>
    <cellStyle name="Normal 5 5 2 6 2 2" xfId="17424" xr:uid="{00000000-0005-0000-0000-0000A83E0000}"/>
    <cellStyle name="Normal 5 5 2 6 2 2 2" xfId="37139" xr:uid="{00000000-0005-0000-0000-0000A93E0000}"/>
    <cellStyle name="Normal 5 5 2 6 2 3" xfId="27282" xr:uid="{00000000-0005-0000-0000-0000AA3E0000}"/>
    <cellStyle name="Normal 5 5 2 6 3" xfId="12496" xr:uid="{00000000-0005-0000-0000-0000AB3E0000}"/>
    <cellStyle name="Normal 5 5 2 6 3 2" xfId="32211" xr:uid="{00000000-0005-0000-0000-0000AC3E0000}"/>
    <cellStyle name="Normal 5 5 2 6 4" xfId="22354" xr:uid="{00000000-0005-0000-0000-0000AD3E0000}"/>
    <cellStyle name="Normal 5 5 2 7" xfId="5100" xr:uid="{00000000-0005-0000-0000-0000AE3E0000}"/>
    <cellStyle name="Normal 5 5 2 7 2" xfId="14960" xr:uid="{00000000-0005-0000-0000-0000AF3E0000}"/>
    <cellStyle name="Normal 5 5 2 7 2 2" xfId="34675" xr:uid="{00000000-0005-0000-0000-0000B03E0000}"/>
    <cellStyle name="Normal 5 5 2 7 3" xfId="24818" xr:uid="{00000000-0005-0000-0000-0000B13E0000}"/>
    <cellStyle name="Normal 5 5 2 8" xfId="10032" xr:uid="{00000000-0005-0000-0000-0000B23E0000}"/>
    <cellStyle name="Normal 5 5 2 8 2" xfId="29747" xr:uid="{00000000-0005-0000-0000-0000B33E0000}"/>
    <cellStyle name="Normal 5 5 2 9" xfId="19890" xr:uid="{00000000-0005-0000-0000-0000B43E0000}"/>
    <cellStyle name="Normal 5 5 3" xfId="226" xr:uid="{00000000-0005-0000-0000-0000B53E0000}"/>
    <cellStyle name="Normal 5 5 3 2" xfId="540" xr:uid="{00000000-0005-0000-0000-0000B63E0000}"/>
    <cellStyle name="Normal 5 5 3 2 2" xfId="1160" xr:uid="{00000000-0005-0000-0000-0000B73E0000}"/>
    <cellStyle name="Normal 5 5 3 2 2 2" xfId="2395" xr:uid="{00000000-0005-0000-0000-0000B83E0000}"/>
    <cellStyle name="Normal 5 5 3 2 2 2 2" xfId="4862" xr:uid="{00000000-0005-0000-0000-0000B93E0000}"/>
    <cellStyle name="Normal 5 5 3 2 2 2 2 2" xfId="9794" xr:uid="{00000000-0005-0000-0000-0000BA3E0000}"/>
    <cellStyle name="Normal 5 5 3 2 2 2 2 2 2" xfId="19654" xr:uid="{00000000-0005-0000-0000-0000BB3E0000}"/>
    <cellStyle name="Normal 5 5 3 2 2 2 2 2 2 2" xfId="39369" xr:uid="{00000000-0005-0000-0000-0000BC3E0000}"/>
    <cellStyle name="Normal 5 5 3 2 2 2 2 2 3" xfId="29512" xr:uid="{00000000-0005-0000-0000-0000BD3E0000}"/>
    <cellStyle name="Normal 5 5 3 2 2 2 2 3" xfId="14726" xr:uid="{00000000-0005-0000-0000-0000BE3E0000}"/>
    <cellStyle name="Normal 5 5 3 2 2 2 2 3 2" xfId="34441" xr:uid="{00000000-0005-0000-0000-0000BF3E0000}"/>
    <cellStyle name="Normal 5 5 3 2 2 2 2 4" xfId="24584" xr:uid="{00000000-0005-0000-0000-0000C03E0000}"/>
    <cellStyle name="Normal 5 5 3 2 2 2 3" xfId="7330" xr:uid="{00000000-0005-0000-0000-0000C13E0000}"/>
    <cellStyle name="Normal 5 5 3 2 2 2 3 2" xfId="17190" xr:uid="{00000000-0005-0000-0000-0000C23E0000}"/>
    <cellStyle name="Normal 5 5 3 2 2 2 3 2 2" xfId="36905" xr:uid="{00000000-0005-0000-0000-0000C33E0000}"/>
    <cellStyle name="Normal 5 5 3 2 2 2 3 3" xfId="27048" xr:uid="{00000000-0005-0000-0000-0000C43E0000}"/>
    <cellStyle name="Normal 5 5 3 2 2 2 4" xfId="12262" xr:uid="{00000000-0005-0000-0000-0000C53E0000}"/>
    <cellStyle name="Normal 5 5 3 2 2 2 4 2" xfId="31977" xr:uid="{00000000-0005-0000-0000-0000C63E0000}"/>
    <cellStyle name="Normal 5 5 3 2 2 2 5" xfId="22120" xr:uid="{00000000-0005-0000-0000-0000C73E0000}"/>
    <cellStyle name="Normal 5 5 3 2 2 3" xfId="3630" xr:uid="{00000000-0005-0000-0000-0000C83E0000}"/>
    <cellStyle name="Normal 5 5 3 2 2 3 2" xfId="8562" xr:uid="{00000000-0005-0000-0000-0000C93E0000}"/>
    <cellStyle name="Normal 5 5 3 2 2 3 2 2" xfId="18422" xr:uid="{00000000-0005-0000-0000-0000CA3E0000}"/>
    <cellStyle name="Normal 5 5 3 2 2 3 2 2 2" xfId="38137" xr:uid="{00000000-0005-0000-0000-0000CB3E0000}"/>
    <cellStyle name="Normal 5 5 3 2 2 3 2 3" xfId="28280" xr:uid="{00000000-0005-0000-0000-0000CC3E0000}"/>
    <cellStyle name="Normal 5 5 3 2 2 3 3" xfId="13494" xr:uid="{00000000-0005-0000-0000-0000CD3E0000}"/>
    <cellStyle name="Normal 5 5 3 2 2 3 3 2" xfId="33209" xr:uid="{00000000-0005-0000-0000-0000CE3E0000}"/>
    <cellStyle name="Normal 5 5 3 2 2 3 4" xfId="23352" xr:uid="{00000000-0005-0000-0000-0000CF3E0000}"/>
    <cellStyle name="Normal 5 5 3 2 2 4" xfId="6098" xr:uid="{00000000-0005-0000-0000-0000D03E0000}"/>
    <cellStyle name="Normal 5 5 3 2 2 4 2" xfId="15958" xr:uid="{00000000-0005-0000-0000-0000D13E0000}"/>
    <cellStyle name="Normal 5 5 3 2 2 4 2 2" xfId="35673" xr:uid="{00000000-0005-0000-0000-0000D23E0000}"/>
    <cellStyle name="Normal 5 5 3 2 2 4 3" xfId="25816" xr:uid="{00000000-0005-0000-0000-0000D33E0000}"/>
    <cellStyle name="Normal 5 5 3 2 2 5" xfId="11030" xr:uid="{00000000-0005-0000-0000-0000D43E0000}"/>
    <cellStyle name="Normal 5 5 3 2 2 5 2" xfId="30745" xr:uid="{00000000-0005-0000-0000-0000D53E0000}"/>
    <cellStyle name="Normal 5 5 3 2 2 6" xfId="20888" xr:uid="{00000000-0005-0000-0000-0000D63E0000}"/>
    <cellStyle name="Normal 5 5 3 2 3" xfId="1779" xr:uid="{00000000-0005-0000-0000-0000D73E0000}"/>
    <cellStyle name="Normal 5 5 3 2 3 2" xfId="4246" xr:uid="{00000000-0005-0000-0000-0000D83E0000}"/>
    <cellStyle name="Normal 5 5 3 2 3 2 2" xfId="9178" xr:uid="{00000000-0005-0000-0000-0000D93E0000}"/>
    <cellStyle name="Normal 5 5 3 2 3 2 2 2" xfId="19038" xr:uid="{00000000-0005-0000-0000-0000DA3E0000}"/>
    <cellStyle name="Normal 5 5 3 2 3 2 2 2 2" xfId="38753" xr:uid="{00000000-0005-0000-0000-0000DB3E0000}"/>
    <cellStyle name="Normal 5 5 3 2 3 2 2 3" xfId="28896" xr:uid="{00000000-0005-0000-0000-0000DC3E0000}"/>
    <cellStyle name="Normal 5 5 3 2 3 2 3" xfId="14110" xr:uid="{00000000-0005-0000-0000-0000DD3E0000}"/>
    <cellStyle name="Normal 5 5 3 2 3 2 3 2" xfId="33825" xr:uid="{00000000-0005-0000-0000-0000DE3E0000}"/>
    <cellStyle name="Normal 5 5 3 2 3 2 4" xfId="23968" xr:uid="{00000000-0005-0000-0000-0000DF3E0000}"/>
    <cellStyle name="Normal 5 5 3 2 3 3" xfId="6714" xr:uid="{00000000-0005-0000-0000-0000E03E0000}"/>
    <cellStyle name="Normal 5 5 3 2 3 3 2" xfId="16574" xr:uid="{00000000-0005-0000-0000-0000E13E0000}"/>
    <cellStyle name="Normal 5 5 3 2 3 3 2 2" xfId="36289" xr:uid="{00000000-0005-0000-0000-0000E23E0000}"/>
    <cellStyle name="Normal 5 5 3 2 3 3 3" xfId="26432" xr:uid="{00000000-0005-0000-0000-0000E33E0000}"/>
    <cellStyle name="Normal 5 5 3 2 3 4" xfId="11646" xr:uid="{00000000-0005-0000-0000-0000E43E0000}"/>
    <cellStyle name="Normal 5 5 3 2 3 4 2" xfId="31361" xr:uid="{00000000-0005-0000-0000-0000E53E0000}"/>
    <cellStyle name="Normal 5 5 3 2 3 5" xfId="21504" xr:uid="{00000000-0005-0000-0000-0000E63E0000}"/>
    <cellStyle name="Normal 5 5 3 2 4" xfId="3014" xr:uid="{00000000-0005-0000-0000-0000E73E0000}"/>
    <cellStyle name="Normal 5 5 3 2 4 2" xfId="7946" xr:uid="{00000000-0005-0000-0000-0000E83E0000}"/>
    <cellStyle name="Normal 5 5 3 2 4 2 2" xfId="17806" xr:uid="{00000000-0005-0000-0000-0000E93E0000}"/>
    <cellStyle name="Normal 5 5 3 2 4 2 2 2" xfId="37521" xr:uid="{00000000-0005-0000-0000-0000EA3E0000}"/>
    <cellStyle name="Normal 5 5 3 2 4 2 3" xfId="27664" xr:uid="{00000000-0005-0000-0000-0000EB3E0000}"/>
    <cellStyle name="Normal 5 5 3 2 4 3" xfId="12878" xr:uid="{00000000-0005-0000-0000-0000EC3E0000}"/>
    <cellStyle name="Normal 5 5 3 2 4 3 2" xfId="32593" xr:uid="{00000000-0005-0000-0000-0000ED3E0000}"/>
    <cellStyle name="Normal 5 5 3 2 4 4" xfId="22736" xr:uid="{00000000-0005-0000-0000-0000EE3E0000}"/>
    <cellStyle name="Normal 5 5 3 2 5" xfId="5482" xr:uid="{00000000-0005-0000-0000-0000EF3E0000}"/>
    <cellStyle name="Normal 5 5 3 2 5 2" xfId="15342" xr:uid="{00000000-0005-0000-0000-0000F03E0000}"/>
    <cellStyle name="Normal 5 5 3 2 5 2 2" xfId="35057" xr:uid="{00000000-0005-0000-0000-0000F13E0000}"/>
    <cellStyle name="Normal 5 5 3 2 5 3" xfId="25200" xr:uid="{00000000-0005-0000-0000-0000F23E0000}"/>
    <cellStyle name="Normal 5 5 3 2 6" xfId="10414" xr:uid="{00000000-0005-0000-0000-0000F33E0000}"/>
    <cellStyle name="Normal 5 5 3 2 6 2" xfId="30129" xr:uid="{00000000-0005-0000-0000-0000F43E0000}"/>
    <cellStyle name="Normal 5 5 3 2 7" xfId="20272" xr:uid="{00000000-0005-0000-0000-0000F53E0000}"/>
    <cellStyle name="Normal 5 5 3 3" xfId="853" xr:uid="{00000000-0005-0000-0000-0000F63E0000}"/>
    <cellStyle name="Normal 5 5 3 3 2" xfId="2089" xr:uid="{00000000-0005-0000-0000-0000F73E0000}"/>
    <cellStyle name="Normal 5 5 3 3 2 2" xfId="4556" xr:uid="{00000000-0005-0000-0000-0000F83E0000}"/>
    <cellStyle name="Normal 5 5 3 3 2 2 2" xfId="9488" xr:uid="{00000000-0005-0000-0000-0000F93E0000}"/>
    <cellStyle name="Normal 5 5 3 3 2 2 2 2" xfId="19348" xr:uid="{00000000-0005-0000-0000-0000FA3E0000}"/>
    <cellStyle name="Normal 5 5 3 3 2 2 2 2 2" xfId="39063" xr:uid="{00000000-0005-0000-0000-0000FB3E0000}"/>
    <cellStyle name="Normal 5 5 3 3 2 2 2 3" xfId="29206" xr:uid="{00000000-0005-0000-0000-0000FC3E0000}"/>
    <cellStyle name="Normal 5 5 3 3 2 2 3" xfId="14420" xr:uid="{00000000-0005-0000-0000-0000FD3E0000}"/>
    <cellStyle name="Normal 5 5 3 3 2 2 3 2" xfId="34135" xr:uid="{00000000-0005-0000-0000-0000FE3E0000}"/>
    <cellStyle name="Normal 5 5 3 3 2 2 4" xfId="24278" xr:uid="{00000000-0005-0000-0000-0000FF3E0000}"/>
    <cellStyle name="Normal 5 5 3 3 2 3" xfId="7024" xr:uid="{00000000-0005-0000-0000-0000003F0000}"/>
    <cellStyle name="Normal 5 5 3 3 2 3 2" xfId="16884" xr:uid="{00000000-0005-0000-0000-0000013F0000}"/>
    <cellStyle name="Normal 5 5 3 3 2 3 2 2" xfId="36599" xr:uid="{00000000-0005-0000-0000-0000023F0000}"/>
    <cellStyle name="Normal 5 5 3 3 2 3 3" xfId="26742" xr:uid="{00000000-0005-0000-0000-0000033F0000}"/>
    <cellStyle name="Normal 5 5 3 3 2 4" xfId="11956" xr:uid="{00000000-0005-0000-0000-0000043F0000}"/>
    <cellStyle name="Normal 5 5 3 3 2 4 2" xfId="31671" xr:uid="{00000000-0005-0000-0000-0000053F0000}"/>
    <cellStyle name="Normal 5 5 3 3 2 5" xfId="21814" xr:uid="{00000000-0005-0000-0000-0000063F0000}"/>
    <cellStyle name="Normal 5 5 3 3 3" xfId="3324" xr:uid="{00000000-0005-0000-0000-0000073F0000}"/>
    <cellStyle name="Normal 5 5 3 3 3 2" xfId="8256" xr:uid="{00000000-0005-0000-0000-0000083F0000}"/>
    <cellStyle name="Normal 5 5 3 3 3 2 2" xfId="18116" xr:uid="{00000000-0005-0000-0000-0000093F0000}"/>
    <cellStyle name="Normal 5 5 3 3 3 2 2 2" xfId="37831" xr:uid="{00000000-0005-0000-0000-00000A3F0000}"/>
    <cellStyle name="Normal 5 5 3 3 3 2 3" xfId="27974" xr:uid="{00000000-0005-0000-0000-00000B3F0000}"/>
    <cellStyle name="Normal 5 5 3 3 3 3" xfId="13188" xr:uid="{00000000-0005-0000-0000-00000C3F0000}"/>
    <cellStyle name="Normal 5 5 3 3 3 3 2" xfId="32903" xr:uid="{00000000-0005-0000-0000-00000D3F0000}"/>
    <cellStyle name="Normal 5 5 3 3 3 4" xfId="23046" xr:uid="{00000000-0005-0000-0000-00000E3F0000}"/>
    <cellStyle name="Normal 5 5 3 3 4" xfId="5792" xr:uid="{00000000-0005-0000-0000-00000F3F0000}"/>
    <cellStyle name="Normal 5 5 3 3 4 2" xfId="15652" xr:uid="{00000000-0005-0000-0000-0000103F0000}"/>
    <cellStyle name="Normal 5 5 3 3 4 2 2" xfId="35367" xr:uid="{00000000-0005-0000-0000-0000113F0000}"/>
    <cellStyle name="Normal 5 5 3 3 4 3" xfId="25510" xr:uid="{00000000-0005-0000-0000-0000123F0000}"/>
    <cellStyle name="Normal 5 5 3 3 5" xfId="10724" xr:uid="{00000000-0005-0000-0000-0000133F0000}"/>
    <cellStyle name="Normal 5 5 3 3 5 2" xfId="30439" xr:uid="{00000000-0005-0000-0000-0000143F0000}"/>
    <cellStyle name="Normal 5 5 3 3 6" xfId="20582" xr:uid="{00000000-0005-0000-0000-0000153F0000}"/>
    <cellStyle name="Normal 5 5 3 4" xfId="1473" xr:uid="{00000000-0005-0000-0000-0000163F0000}"/>
    <cellStyle name="Normal 5 5 3 4 2" xfId="3940" xr:uid="{00000000-0005-0000-0000-0000173F0000}"/>
    <cellStyle name="Normal 5 5 3 4 2 2" xfId="8872" xr:uid="{00000000-0005-0000-0000-0000183F0000}"/>
    <cellStyle name="Normal 5 5 3 4 2 2 2" xfId="18732" xr:uid="{00000000-0005-0000-0000-0000193F0000}"/>
    <cellStyle name="Normal 5 5 3 4 2 2 2 2" xfId="38447" xr:uid="{00000000-0005-0000-0000-00001A3F0000}"/>
    <cellStyle name="Normal 5 5 3 4 2 2 3" xfId="28590" xr:uid="{00000000-0005-0000-0000-00001B3F0000}"/>
    <cellStyle name="Normal 5 5 3 4 2 3" xfId="13804" xr:uid="{00000000-0005-0000-0000-00001C3F0000}"/>
    <cellStyle name="Normal 5 5 3 4 2 3 2" xfId="33519" xr:uid="{00000000-0005-0000-0000-00001D3F0000}"/>
    <cellStyle name="Normal 5 5 3 4 2 4" xfId="23662" xr:uid="{00000000-0005-0000-0000-00001E3F0000}"/>
    <cellStyle name="Normal 5 5 3 4 3" xfId="6408" xr:uid="{00000000-0005-0000-0000-00001F3F0000}"/>
    <cellStyle name="Normal 5 5 3 4 3 2" xfId="16268" xr:uid="{00000000-0005-0000-0000-0000203F0000}"/>
    <cellStyle name="Normal 5 5 3 4 3 2 2" xfId="35983" xr:uid="{00000000-0005-0000-0000-0000213F0000}"/>
    <cellStyle name="Normal 5 5 3 4 3 3" xfId="26126" xr:uid="{00000000-0005-0000-0000-0000223F0000}"/>
    <cellStyle name="Normal 5 5 3 4 4" xfId="11340" xr:uid="{00000000-0005-0000-0000-0000233F0000}"/>
    <cellStyle name="Normal 5 5 3 4 4 2" xfId="31055" xr:uid="{00000000-0005-0000-0000-0000243F0000}"/>
    <cellStyle name="Normal 5 5 3 4 5" xfId="21198" xr:uid="{00000000-0005-0000-0000-0000253F0000}"/>
    <cellStyle name="Normal 5 5 3 5" xfId="2708" xr:uid="{00000000-0005-0000-0000-0000263F0000}"/>
    <cellStyle name="Normal 5 5 3 5 2" xfId="7640" xr:uid="{00000000-0005-0000-0000-0000273F0000}"/>
    <cellStyle name="Normal 5 5 3 5 2 2" xfId="17500" xr:uid="{00000000-0005-0000-0000-0000283F0000}"/>
    <cellStyle name="Normal 5 5 3 5 2 2 2" xfId="37215" xr:uid="{00000000-0005-0000-0000-0000293F0000}"/>
    <cellStyle name="Normal 5 5 3 5 2 3" xfId="27358" xr:uid="{00000000-0005-0000-0000-00002A3F0000}"/>
    <cellStyle name="Normal 5 5 3 5 3" xfId="12572" xr:uid="{00000000-0005-0000-0000-00002B3F0000}"/>
    <cellStyle name="Normal 5 5 3 5 3 2" xfId="32287" xr:uid="{00000000-0005-0000-0000-00002C3F0000}"/>
    <cellStyle name="Normal 5 5 3 5 4" xfId="22430" xr:uid="{00000000-0005-0000-0000-00002D3F0000}"/>
    <cellStyle name="Normal 5 5 3 6" xfId="5176" xr:uid="{00000000-0005-0000-0000-00002E3F0000}"/>
    <cellStyle name="Normal 5 5 3 6 2" xfId="15036" xr:uid="{00000000-0005-0000-0000-00002F3F0000}"/>
    <cellStyle name="Normal 5 5 3 6 2 2" xfId="34751" xr:uid="{00000000-0005-0000-0000-0000303F0000}"/>
    <cellStyle name="Normal 5 5 3 6 3" xfId="24894" xr:uid="{00000000-0005-0000-0000-0000313F0000}"/>
    <cellStyle name="Normal 5 5 3 7" xfId="10108" xr:uid="{00000000-0005-0000-0000-0000323F0000}"/>
    <cellStyle name="Normal 5 5 3 7 2" xfId="29823" xr:uid="{00000000-0005-0000-0000-0000333F0000}"/>
    <cellStyle name="Normal 5 5 3 8" xfId="19966" xr:uid="{00000000-0005-0000-0000-0000343F0000}"/>
    <cellStyle name="Normal 5 5 4" xfId="388" xr:uid="{00000000-0005-0000-0000-0000353F0000}"/>
    <cellStyle name="Normal 5 5 4 2" xfId="1008" xr:uid="{00000000-0005-0000-0000-0000363F0000}"/>
    <cellStyle name="Normal 5 5 4 2 2" xfId="2243" xr:uid="{00000000-0005-0000-0000-0000373F0000}"/>
    <cellStyle name="Normal 5 5 4 2 2 2" xfId="4710" xr:uid="{00000000-0005-0000-0000-0000383F0000}"/>
    <cellStyle name="Normal 5 5 4 2 2 2 2" xfId="9642" xr:uid="{00000000-0005-0000-0000-0000393F0000}"/>
    <cellStyle name="Normal 5 5 4 2 2 2 2 2" xfId="19502" xr:uid="{00000000-0005-0000-0000-00003A3F0000}"/>
    <cellStyle name="Normal 5 5 4 2 2 2 2 2 2" xfId="39217" xr:uid="{00000000-0005-0000-0000-00003B3F0000}"/>
    <cellStyle name="Normal 5 5 4 2 2 2 2 3" xfId="29360" xr:uid="{00000000-0005-0000-0000-00003C3F0000}"/>
    <cellStyle name="Normal 5 5 4 2 2 2 3" xfId="14574" xr:uid="{00000000-0005-0000-0000-00003D3F0000}"/>
    <cellStyle name="Normal 5 5 4 2 2 2 3 2" xfId="34289" xr:uid="{00000000-0005-0000-0000-00003E3F0000}"/>
    <cellStyle name="Normal 5 5 4 2 2 2 4" xfId="24432" xr:uid="{00000000-0005-0000-0000-00003F3F0000}"/>
    <cellStyle name="Normal 5 5 4 2 2 3" xfId="7178" xr:uid="{00000000-0005-0000-0000-0000403F0000}"/>
    <cellStyle name="Normal 5 5 4 2 2 3 2" xfId="17038" xr:uid="{00000000-0005-0000-0000-0000413F0000}"/>
    <cellStyle name="Normal 5 5 4 2 2 3 2 2" xfId="36753" xr:uid="{00000000-0005-0000-0000-0000423F0000}"/>
    <cellStyle name="Normal 5 5 4 2 2 3 3" xfId="26896" xr:uid="{00000000-0005-0000-0000-0000433F0000}"/>
    <cellStyle name="Normal 5 5 4 2 2 4" xfId="12110" xr:uid="{00000000-0005-0000-0000-0000443F0000}"/>
    <cellStyle name="Normal 5 5 4 2 2 4 2" xfId="31825" xr:uid="{00000000-0005-0000-0000-0000453F0000}"/>
    <cellStyle name="Normal 5 5 4 2 2 5" xfId="21968" xr:uid="{00000000-0005-0000-0000-0000463F0000}"/>
    <cellStyle name="Normal 5 5 4 2 3" xfId="3478" xr:uid="{00000000-0005-0000-0000-0000473F0000}"/>
    <cellStyle name="Normal 5 5 4 2 3 2" xfId="8410" xr:uid="{00000000-0005-0000-0000-0000483F0000}"/>
    <cellStyle name="Normal 5 5 4 2 3 2 2" xfId="18270" xr:uid="{00000000-0005-0000-0000-0000493F0000}"/>
    <cellStyle name="Normal 5 5 4 2 3 2 2 2" xfId="37985" xr:uid="{00000000-0005-0000-0000-00004A3F0000}"/>
    <cellStyle name="Normal 5 5 4 2 3 2 3" xfId="28128" xr:uid="{00000000-0005-0000-0000-00004B3F0000}"/>
    <cellStyle name="Normal 5 5 4 2 3 3" xfId="13342" xr:uid="{00000000-0005-0000-0000-00004C3F0000}"/>
    <cellStyle name="Normal 5 5 4 2 3 3 2" xfId="33057" xr:uid="{00000000-0005-0000-0000-00004D3F0000}"/>
    <cellStyle name="Normal 5 5 4 2 3 4" xfId="23200" xr:uid="{00000000-0005-0000-0000-00004E3F0000}"/>
    <cellStyle name="Normal 5 5 4 2 4" xfId="5946" xr:uid="{00000000-0005-0000-0000-00004F3F0000}"/>
    <cellStyle name="Normal 5 5 4 2 4 2" xfId="15806" xr:uid="{00000000-0005-0000-0000-0000503F0000}"/>
    <cellStyle name="Normal 5 5 4 2 4 2 2" xfId="35521" xr:uid="{00000000-0005-0000-0000-0000513F0000}"/>
    <cellStyle name="Normal 5 5 4 2 4 3" xfId="25664" xr:uid="{00000000-0005-0000-0000-0000523F0000}"/>
    <cellStyle name="Normal 5 5 4 2 5" xfId="10878" xr:uid="{00000000-0005-0000-0000-0000533F0000}"/>
    <cellStyle name="Normal 5 5 4 2 5 2" xfId="30593" xr:uid="{00000000-0005-0000-0000-0000543F0000}"/>
    <cellStyle name="Normal 5 5 4 2 6" xfId="20736" xr:uid="{00000000-0005-0000-0000-0000553F0000}"/>
    <cellStyle name="Normal 5 5 4 3" xfId="1627" xr:uid="{00000000-0005-0000-0000-0000563F0000}"/>
    <cellStyle name="Normal 5 5 4 3 2" xfId="4094" xr:uid="{00000000-0005-0000-0000-0000573F0000}"/>
    <cellStyle name="Normal 5 5 4 3 2 2" xfId="9026" xr:uid="{00000000-0005-0000-0000-0000583F0000}"/>
    <cellStyle name="Normal 5 5 4 3 2 2 2" xfId="18886" xr:uid="{00000000-0005-0000-0000-0000593F0000}"/>
    <cellStyle name="Normal 5 5 4 3 2 2 2 2" xfId="38601" xr:uid="{00000000-0005-0000-0000-00005A3F0000}"/>
    <cellStyle name="Normal 5 5 4 3 2 2 3" xfId="28744" xr:uid="{00000000-0005-0000-0000-00005B3F0000}"/>
    <cellStyle name="Normal 5 5 4 3 2 3" xfId="13958" xr:uid="{00000000-0005-0000-0000-00005C3F0000}"/>
    <cellStyle name="Normal 5 5 4 3 2 3 2" xfId="33673" xr:uid="{00000000-0005-0000-0000-00005D3F0000}"/>
    <cellStyle name="Normal 5 5 4 3 2 4" xfId="23816" xr:uid="{00000000-0005-0000-0000-00005E3F0000}"/>
    <cellStyle name="Normal 5 5 4 3 3" xfId="6562" xr:uid="{00000000-0005-0000-0000-00005F3F0000}"/>
    <cellStyle name="Normal 5 5 4 3 3 2" xfId="16422" xr:uid="{00000000-0005-0000-0000-0000603F0000}"/>
    <cellStyle name="Normal 5 5 4 3 3 2 2" xfId="36137" xr:uid="{00000000-0005-0000-0000-0000613F0000}"/>
    <cellStyle name="Normal 5 5 4 3 3 3" xfId="26280" xr:uid="{00000000-0005-0000-0000-0000623F0000}"/>
    <cellStyle name="Normal 5 5 4 3 4" xfId="11494" xr:uid="{00000000-0005-0000-0000-0000633F0000}"/>
    <cellStyle name="Normal 5 5 4 3 4 2" xfId="31209" xr:uid="{00000000-0005-0000-0000-0000643F0000}"/>
    <cellStyle name="Normal 5 5 4 3 5" xfId="21352" xr:uid="{00000000-0005-0000-0000-0000653F0000}"/>
    <cellStyle name="Normal 5 5 4 4" xfId="2862" xr:uid="{00000000-0005-0000-0000-0000663F0000}"/>
    <cellStyle name="Normal 5 5 4 4 2" xfId="7794" xr:uid="{00000000-0005-0000-0000-0000673F0000}"/>
    <cellStyle name="Normal 5 5 4 4 2 2" xfId="17654" xr:uid="{00000000-0005-0000-0000-0000683F0000}"/>
    <cellStyle name="Normal 5 5 4 4 2 2 2" xfId="37369" xr:uid="{00000000-0005-0000-0000-0000693F0000}"/>
    <cellStyle name="Normal 5 5 4 4 2 3" xfId="27512" xr:uid="{00000000-0005-0000-0000-00006A3F0000}"/>
    <cellStyle name="Normal 5 5 4 4 3" xfId="12726" xr:uid="{00000000-0005-0000-0000-00006B3F0000}"/>
    <cellStyle name="Normal 5 5 4 4 3 2" xfId="32441" xr:uid="{00000000-0005-0000-0000-00006C3F0000}"/>
    <cellStyle name="Normal 5 5 4 4 4" xfId="22584" xr:uid="{00000000-0005-0000-0000-00006D3F0000}"/>
    <cellStyle name="Normal 5 5 4 5" xfId="5330" xr:uid="{00000000-0005-0000-0000-00006E3F0000}"/>
    <cellStyle name="Normal 5 5 4 5 2" xfId="15190" xr:uid="{00000000-0005-0000-0000-00006F3F0000}"/>
    <cellStyle name="Normal 5 5 4 5 2 2" xfId="34905" xr:uid="{00000000-0005-0000-0000-0000703F0000}"/>
    <cellStyle name="Normal 5 5 4 5 3" xfId="25048" xr:uid="{00000000-0005-0000-0000-0000713F0000}"/>
    <cellStyle name="Normal 5 5 4 6" xfId="10262" xr:uid="{00000000-0005-0000-0000-0000723F0000}"/>
    <cellStyle name="Normal 5 5 4 6 2" xfId="29977" xr:uid="{00000000-0005-0000-0000-0000733F0000}"/>
    <cellStyle name="Normal 5 5 4 7" xfId="20120" xr:uid="{00000000-0005-0000-0000-0000743F0000}"/>
    <cellStyle name="Normal 5 5 5" xfId="701" xr:uid="{00000000-0005-0000-0000-0000753F0000}"/>
    <cellStyle name="Normal 5 5 5 2" xfId="1937" xr:uid="{00000000-0005-0000-0000-0000763F0000}"/>
    <cellStyle name="Normal 5 5 5 2 2" xfId="4404" xr:uid="{00000000-0005-0000-0000-0000773F0000}"/>
    <cellStyle name="Normal 5 5 5 2 2 2" xfId="9336" xr:uid="{00000000-0005-0000-0000-0000783F0000}"/>
    <cellStyle name="Normal 5 5 5 2 2 2 2" xfId="19196" xr:uid="{00000000-0005-0000-0000-0000793F0000}"/>
    <cellStyle name="Normal 5 5 5 2 2 2 2 2" xfId="38911" xr:uid="{00000000-0005-0000-0000-00007A3F0000}"/>
    <cellStyle name="Normal 5 5 5 2 2 2 3" xfId="29054" xr:uid="{00000000-0005-0000-0000-00007B3F0000}"/>
    <cellStyle name="Normal 5 5 5 2 2 3" xfId="14268" xr:uid="{00000000-0005-0000-0000-00007C3F0000}"/>
    <cellStyle name="Normal 5 5 5 2 2 3 2" xfId="33983" xr:uid="{00000000-0005-0000-0000-00007D3F0000}"/>
    <cellStyle name="Normal 5 5 5 2 2 4" xfId="24126" xr:uid="{00000000-0005-0000-0000-00007E3F0000}"/>
    <cellStyle name="Normal 5 5 5 2 3" xfId="6872" xr:uid="{00000000-0005-0000-0000-00007F3F0000}"/>
    <cellStyle name="Normal 5 5 5 2 3 2" xfId="16732" xr:uid="{00000000-0005-0000-0000-0000803F0000}"/>
    <cellStyle name="Normal 5 5 5 2 3 2 2" xfId="36447" xr:uid="{00000000-0005-0000-0000-0000813F0000}"/>
    <cellStyle name="Normal 5 5 5 2 3 3" xfId="26590" xr:uid="{00000000-0005-0000-0000-0000823F0000}"/>
    <cellStyle name="Normal 5 5 5 2 4" xfId="11804" xr:uid="{00000000-0005-0000-0000-0000833F0000}"/>
    <cellStyle name="Normal 5 5 5 2 4 2" xfId="31519" xr:uid="{00000000-0005-0000-0000-0000843F0000}"/>
    <cellStyle name="Normal 5 5 5 2 5" xfId="21662" xr:uid="{00000000-0005-0000-0000-0000853F0000}"/>
    <cellStyle name="Normal 5 5 5 3" xfId="3172" xr:uid="{00000000-0005-0000-0000-0000863F0000}"/>
    <cellStyle name="Normal 5 5 5 3 2" xfId="8104" xr:uid="{00000000-0005-0000-0000-0000873F0000}"/>
    <cellStyle name="Normal 5 5 5 3 2 2" xfId="17964" xr:uid="{00000000-0005-0000-0000-0000883F0000}"/>
    <cellStyle name="Normal 5 5 5 3 2 2 2" xfId="37679" xr:uid="{00000000-0005-0000-0000-0000893F0000}"/>
    <cellStyle name="Normal 5 5 5 3 2 3" xfId="27822" xr:uid="{00000000-0005-0000-0000-00008A3F0000}"/>
    <cellStyle name="Normal 5 5 5 3 3" xfId="13036" xr:uid="{00000000-0005-0000-0000-00008B3F0000}"/>
    <cellStyle name="Normal 5 5 5 3 3 2" xfId="32751" xr:uid="{00000000-0005-0000-0000-00008C3F0000}"/>
    <cellStyle name="Normal 5 5 5 3 4" xfId="22894" xr:uid="{00000000-0005-0000-0000-00008D3F0000}"/>
    <cellStyle name="Normal 5 5 5 4" xfId="5640" xr:uid="{00000000-0005-0000-0000-00008E3F0000}"/>
    <cellStyle name="Normal 5 5 5 4 2" xfId="15500" xr:uid="{00000000-0005-0000-0000-00008F3F0000}"/>
    <cellStyle name="Normal 5 5 5 4 2 2" xfId="35215" xr:uid="{00000000-0005-0000-0000-0000903F0000}"/>
    <cellStyle name="Normal 5 5 5 4 3" xfId="25358" xr:uid="{00000000-0005-0000-0000-0000913F0000}"/>
    <cellStyle name="Normal 5 5 5 5" xfId="10572" xr:uid="{00000000-0005-0000-0000-0000923F0000}"/>
    <cellStyle name="Normal 5 5 5 5 2" xfId="30287" xr:uid="{00000000-0005-0000-0000-0000933F0000}"/>
    <cellStyle name="Normal 5 5 5 6" xfId="20430" xr:uid="{00000000-0005-0000-0000-0000943F0000}"/>
    <cellStyle name="Normal 5 5 6" xfId="1321" xr:uid="{00000000-0005-0000-0000-0000953F0000}"/>
    <cellStyle name="Normal 5 5 6 2" xfId="3788" xr:uid="{00000000-0005-0000-0000-0000963F0000}"/>
    <cellStyle name="Normal 5 5 6 2 2" xfId="8720" xr:uid="{00000000-0005-0000-0000-0000973F0000}"/>
    <cellStyle name="Normal 5 5 6 2 2 2" xfId="18580" xr:uid="{00000000-0005-0000-0000-0000983F0000}"/>
    <cellStyle name="Normal 5 5 6 2 2 2 2" xfId="38295" xr:uid="{00000000-0005-0000-0000-0000993F0000}"/>
    <cellStyle name="Normal 5 5 6 2 2 3" xfId="28438" xr:uid="{00000000-0005-0000-0000-00009A3F0000}"/>
    <cellStyle name="Normal 5 5 6 2 3" xfId="13652" xr:uid="{00000000-0005-0000-0000-00009B3F0000}"/>
    <cellStyle name="Normal 5 5 6 2 3 2" xfId="33367" xr:uid="{00000000-0005-0000-0000-00009C3F0000}"/>
    <cellStyle name="Normal 5 5 6 2 4" xfId="23510" xr:uid="{00000000-0005-0000-0000-00009D3F0000}"/>
    <cellStyle name="Normal 5 5 6 3" xfId="6256" xr:uid="{00000000-0005-0000-0000-00009E3F0000}"/>
    <cellStyle name="Normal 5 5 6 3 2" xfId="16116" xr:uid="{00000000-0005-0000-0000-00009F3F0000}"/>
    <cellStyle name="Normal 5 5 6 3 2 2" xfId="35831" xr:uid="{00000000-0005-0000-0000-0000A03F0000}"/>
    <cellStyle name="Normal 5 5 6 3 3" xfId="25974" xr:uid="{00000000-0005-0000-0000-0000A13F0000}"/>
    <cellStyle name="Normal 5 5 6 4" xfId="11188" xr:uid="{00000000-0005-0000-0000-0000A23F0000}"/>
    <cellStyle name="Normal 5 5 6 4 2" xfId="30903" xr:uid="{00000000-0005-0000-0000-0000A33F0000}"/>
    <cellStyle name="Normal 5 5 6 5" xfId="21046" xr:uid="{00000000-0005-0000-0000-0000A43F0000}"/>
    <cellStyle name="Normal 5 5 7" xfId="2556" xr:uid="{00000000-0005-0000-0000-0000A53F0000}"/>
    <cellStyle name="Normal 5 5 7 2" xfId="7488" xr:uid="{00000000-0005-0000-0000-0000A63F0000}"/>
    <cellStyle name="Normal 5 5 7 2 2" xfId="17348" xr:uid="{00000000-0005-0000-0000-0000A73F0000}"/>
    <cellStyle name="Normal 5 5 7 2 2 2" xfId="37063" xr:uid="{00000000-0005-0000-0000-0000A83F0000}"/>
    <cellStyle name="Normal 5 5 7 2 3" xfId="27206" xr:uid="{00000000-0005-0000-0000-0000A93F0000}"/>
    <cellStyle name="Normal 5 5 7 3" xfId="12420" xr:uid="{00000000-0005-0000-0000-0000AA3F0000}"/>
    <cellStyle name="Normal 5 5 7 3 2" xfId="32135" xr:uid="{00000000-0005-0000-0000-0000AB3F0000}"/>
    <cellStyle name="Normal 5 5 7 4" xfId="22278" xr:uid="{00000000-0005-0000-0000-0000AC3F0000}"/>
    <cellStyle name="Normal 5 5 8" xfId="5024" xr:uid="{00000000-0005-0000-0000-0000AD3F0000}"/>
    <cellStyle name="Normal 5 5 8 2" xfId="14884" xr:uid="{00000000-0005-0000-0000-0000AE3F0000}"/>
    <cellStyle name="Normal 5 5 8 2 2" xfId="34599" xr:uid="{00000000-0005-0000-0000-0000AF3F0000}"/>
    <cellStyle name="Normal 5 5 8 3" xfId="24742" xr:uid="{00000000-0005-0000-0000-0000B03F0000}"/>
    <cellStyle name="Normal 5 5 9" xfId="9956" xr:uid="{00000000-0005-0000-0000-0000B13F0000}"/>
    <cellStyle name="Normal 5 5 9 2" xfId="29671" xr:uid="{00000000-0005-0000-0000-0000B23F0000}"/>
    <cellStyle name="Normal 5 6" xfId="106" xr:uid="{00000000-0005-0000-0000-0000B33F0000}"/>
    <cellStyle name="Normal 5 6 2" xfId="264" xr:uid="{00000000-0005-0000-0000-0000B43F0000}"/>
    <cellStyle name="Normal 5 6 2 2" xfId="578" xr:uid="{00000000-0005-0000-0000-0000B53F0000}"/>
    <cellStyle name="Normal 5 6 2 2 2" xfId="1198" xr:uid="{00000000-0005-0000-0000-0000B63F0000}"/>
    <cellStyle name="Normal 5 6 2 2 2 2" xfId="2433" xr:uid="{00000000-0005-0000-0000-0000B73F0000}"/>
    <cellStyle name="Normal 5 6 2 2 2 2 2" xfId="4900" xr:uid="{00000000-0005-0000-0000-0000B83F0000}"/>
    <cellStyle name="Normal 5 6 2 2 2 2 2 2" xfId="9832" xr:uid="{00000000-0005-0000-0000-0000B93F0000}"/>
    <cellStyle name="Normal 5 6 2 2 2 2 2 2 2" xfId="19692" xr:uid="{00000000-0005-0000-0000-0000BA3F0000}"/>
    <cellStyle name="Normal 5 6 2 2 2 2 2 2 2 2" xfId="39407" xr:uid="{00000000-0005-0000-0000-0000BB3F0000}"/>
    <cellStyle name="Normal 5 6 2 2 2 2 2 2 3" xfId="29550" xr:uid="{00000000-0005-0000-0000-0000BC3F0000}"/>
    <cellStyle name="Normal 5 6 2 2 2 2 2 3" xfId="14764" xr:uid="{00000000-0005-0000-0000-0000BD3F0000}"/>
    <cellStyle name="Normal 5 6 2 2 2 2 2 3 2" xfId="34479" xr:uid="{00000000-0005-0000-0000-0000BE3F0000}"/>
    <cellStyle name="Normal 5 6 2 2 2 2 2 4" xfId="24622" xr:uid="{00000000-0005-0000-0000-0000BF3F0000}"/>
    <cellStyle name="Normal 5 6 2 2 2 2 3" xfId="7368" xr:uid="{00000000-0005-0000-0000-0000C03F0000}"/>
    <cellStyle name="Normal 5 6 2 2 2 2 3 2" xfId="17228" xr:uid="{00000000-0005-0000-0000-0000C13F0000}"/>
    <cellStyle name="Normal 5 6 2 2 2 2 3 2 2" xfId="36943" xr:uid="{00000000-0005-0000-0000-0000C23F0000}"/>
    <cellStyle name="Normal 5 6 2 2 2 2 3 3" xfId="27086" xr:uid="{00000000-0005-0000-0000-0000C33F0000}"/>
    <cellStyle name="Normal 5 6 2 2 2 2 4" xfId="12300" xr:uid="{00000000-0005-0000-0000-0000C43F0000}"/>
    <cellStyle name="Normal 5 6 2 2 2 2 4 2" xfId="32015" xr:uid="{00000000-0005-0000-0000-0000C53F0000}"/>
    <cellStyle name="Normal 5 6 2 2 2 2 5" xfId="22158" xr:uid="{00000000-0005-0000-0000-0000C63F0000}"/>
    <cellStyle name="Normal 5 6 2 2 2 3" xfId="3668" xr:uid="{00000000-0005-0000-0000-0000C73F0000}"/>
    <cellStyle name="Normal 5 6 2 2 2 3 2" xfId="8600" xr:uid="{00000000-0005-0000-0000-0000C83F0000}"/>
    <cellStyle name="Normal 5 6 2 2 2 3 2 2" xfId="18460" xr:uid="{00000000-0005-0000-0000-0000C93F0000}"/>
    <cellStyle name="Normal 5 6 2 2 2 3 2 2 2" xfId="38175" xr:uid="{00000000-0005-0000-0000-0000CA3F0000}"/>
    <cellStyle name="Normal 5 6 2 2 2 3 2 3" xfId="28318" xr:uid="{00000000-0005-0000-0000-0000CB3F0000}"/>
    <cellStyle name="Normal 5 6 2 2 2 3 3" xfId="13532" xr:uid="{00000000-0005-0000-0000-0000CC3F0000}"/>
    <cellStyle name="Normal 5 6 2 2 2 3 3 2" xfId="33247" xr:uid="{00000000-0005-0000-0000-0000CD3F0000}"/>
    <cellStyle name="Normal 5 6 2 2 2 3 4" xfId="23390" xr:uid="{00000000-0005-0000-0000-0000CE3F0000}"/>
    <cellStyle name="Normal 5 6 2 2 2 4" xfId="6136" xr:uid="{00000000-0005-0000-0000-0000CF3F0000}"/>
    <cellStyle name="Normal 5 6 2 2 2 4 2" xfId="15996" xr:uid="{00000000-0005-0000-0000-0000D03F0000}"/>
    <cellStyle name="Normal 5 6 2 2 2 4 2 2" xfId="35711" xr:uid="{00000000-0005-0000-0000-0000D13F0000}"/>
    <cellStyle name="Normal 5 6 2 2 2 4 3" xfId="25854" xr:uid="{00000000-0005-0000-0000-0000D23F0000}"/>
    <cellStyle name="Normal 5 6 2 2 2 5" xfId="11068" xr:uid="{00000000-0005-0000-0000-0000D33F0000}"/>
    <cellStyle name="Normal 5 6 2 2 2 5 2" xfId="30783" xr:uid="{00000000-0005-0000-0000-0000D43F0000}"/>
    <cellStyle name="Normal 5 6 2 2 2 6" xfId="20926" xr:uid="{00000000-0005-0000-0000-0000D53F0000}"/>
    <cellStyle name="Normal 5 6 2 2 3" xfId="1817" xr:uid="{00000000-0005-0000-0000-0000D63F0000}"/>
    <cellStyle name="Normal 5 6 2 2 3 2" xfId="4284" xr:uid="{00000000-0005-0000-0000-0000D73F0000}"/>
    <cellStyle name="Normal 5 6 2 2 3 2 2" xfId="9216" xr:uid="{00000000-0005-0000-0000-0000D83F0000}"/>
    <cellStyle name="Normal 5 6 2 2 3 2 2 2" xfId="19076" xr:uid="{00000000-0005-0000-0000-0000D93F0000}"/>
    <cellStyle name="Normal 5 6 2 2 3 2 2 2 2" xfId="38791" xr:uid="{00000000-0005-0000-0000-0000DA3F0000}"/>
    <cellStyle name="Normal 5 6 2 2 3 2 2 3" xfId="28934" xr:uid="{00000000-0005-0000-0000-0000DB3F0000}"/>
    <cellStyle name="Normal 5 6 2 2 3 2 3" xfId="14148" xr:uid="{00000000-0005-0000-0000-0000DC3F0000}"/>
    <cellStyle name="Normal 5 6 2 2 3 2 3 2" xfId="33863" xr:uid="{00000000-0005-0000-0000-0000DD3F0000}"/>
    <cellStyle name="Normal 5 6 2 2 3 2 4" xfId="24006" xr:uid="{00000000-0005-0000-0000-0000DE3F0000}"/>
    <cellStyle name="Normal 5 6 2 2 3 3" xfId="6752" xr:uid="{00000000-0005-0000-0000-0000DF3F0000}"/>
    <cellStyle name="Normal 5 6 2 2 3 3 2" xfId="16612" xr:uid="{00000000-0005-0000-0000-0000E03F0000}"/>
    <cellStyle name="Normal 5 6 2 2 3 3 2 2" xfId="36327" xr:uid="{00000000-0005-0000-0000-0000E13F0000}"/>
    <cellStyle name="Normal 5 6 2 2 3 3 3" xfId="26470" xr:uid="{00000000-0005-0000-0000-0000E23F0000}"/>
    <cellStyle name="Normal 5 6 2 2 3 4" xfId="11684" xr:uid="{00000000-0005-0000-0000-0000E33F0000}"/>
    <cellStyle name="Normal 5 6 2 2 3 4 2" xfId="31399" xr:uid="{00000000-0005-0000-0000-0000E43F0000}"/>
    <cellStyle name="Normal 5 6 2 2 3 5" xfId="21542" xr:uid="{00000000-0005-0000-0000-0000E53F0000}"/>
    <cellStyle name="Normal 5 6 2 2 4" xfId="3052" xr:uid="{00000000-0005-0000-0000-0000E63F0000}"/>
    <cellStyle name="Normal 5 6 2 2 4 2" xfId="7984" xr:uid="{00000000-0005-0000-0000-0000E73F0000}"/>
    <cellStyle name="Normal 5 6 2 2 4 2 2" xfId="17844" xr:uid="{00000000-0005-0000-0000-0000E83F0000}"/>
    <cellStyle name="Normal 5 6 2 2 4 2 2 2" xfId="37559" xr:uid="{00000000-0005-0000-0000-0000E93F0000}"/>
    <cellStyle name="Normal 5 6 2 2 4 2 3" xfId="27702" xr:uid="{00000000-0005-0000-0000-0000EA3F0000}"/>
    <cellStyle name="Normal 5 6 2 2 4 3" xfId="12916" xr:uid="{00000000-0005-0000-0000-0000EB3F0000}"/>
    <cellStyle name="Normal 5 6 2 2 4 3 2" xfId="32631" xr:uid="{00000000-0005-0000-0000-0000EC3F0000}"/>
    <cellStyle name="Normal 5 6 2 2 4 4" xfId="22774" xr:uid="{00000000-0005-0000-0000-0000ED3F0000}"/>
    <cellStyle name="Normal 5 6 2 2 5" xfId="5520" xr:uid="{00000000-0005-0000-0000-0000EE3F0000}"/>
    <cellStyle name="Normal 5 6 2 2 5 2" xfId="15380" xr:uid="{00000000-0005-0000-0000-0000EF3F0000}"/>
    <cellStyle name="Normal 5 6 2 2 5 2 2" xfId="35095" xr:uid="{00000000-0005-0000-0000-0000F03F0000}"/>
    <cellStyle name="Normal 5 6 2 2 5 3" xfId="25238" xr:uid="{00000000-0005-0000-0000-0000F13F0000}"/>
    <cellStyle name="Normal 5 6 2 2 6" xfId="10452" xr:uid="{00000000-0005-0000-0000-0000F23F0000}"/>
    <cellStyle name="Normal 5 6 2 2 6 2" xfId="30167" xr:uid="{00000000-0005-0000-0000-0000F33F0000}"/>
    <cellStyle name="Normal 5 6 2 2 7" xfId="20310" xr:uid="{00000000-0005-0000-0000-0000F43F0000}"/>
    <cellStyle name="Normal 5 6 2 3" xfId="891" xr:uid="{00000000-0005-0000-0000-0000F53F0000}"/>
    <cellStyle name="Normal 5 6 2 3 2" xfId="2127" xr:uid="{00000000-0005-0000-0000-0000F63F0000}"/>
    <cellStyle name="Normal 5 6 2 3 2 2" xfId="4594" xr:uid="{00000000-0005-0000-0000-0000F73F0000}"/>
    <cellStyle name="Normal 5 6 2 3 2 2 2" xfId="9526" xr:uid="{00000000-0005-0000-0000-0000F83F0000}"/>
    <cellStyle name="Normal 5 6 2 3 2 2 2 2" xfId="19386" xr:uid="{00000000-0005-0000-0000-0000F93F0000}"/>
    <cellStyle name="Normal 5 6 2 3 2 2 2 2 2" xfId="39101" xr:uid="{00000000-0005-0000-0000-0000FA3F0000}"/>
    <cellStyle name="Normal 5 6 2 3 2 2 2 3" xfId="29244" xr:uid="{00000000-0005-0000-0000-0000FB3F0000}"/>
    <cellStyle name="Normal 5 6 2 3 2 2 3" xfId="14458" xr:uid="{00000000-0005-0000-0000-0000FC3F0000}"/>
    <cellStyle name="Normal 5 6 2 3 2 2 3 2" xfId="34173" xr:uid="{00000000-0005-0000-0000-0000FD3F0000}"/>
    <cellStyle name="Normal 5 6 2 3 2 2 4" xfId="24316" xr:uid="{00000000-0005-0000-0000-0000FE3F0000}"/>
    <cellStyle name="Normal 5 6 2 3 2 3" xfId="7062" xr:uid="{00000000-0005-0000-0000-0000FF3F0000}"/>
    <cellStyle name="Normal 5 6 2 3 2 3 2" xfId="16922" xr:uid="{00000000-0005-0000-0000-000000400000}"/>
    <cellStyle name="Normal 5 6 2 3 2 3 2 2" xfId="36637" xr:uid="{00000000-0005-0000-0000-000001400000}"/>
    <cellStyle name="Normal 5 6 2 3 2 3 3" xfId="26780" xr:uid="{00000000-0005-0000-0000-000002400000}"/>
    <cellStyle name="Normal 5 6 2 3 2 4" xfId="11994" xr:uid="{00000000-0005-0000-0000-000003400000}"/>
    <cellStyle name="Normal 5 6 2 3 2 4 2" xfId="31709" xr:uid="{00000000-0005-0000-0000-000004400000}"/>
    <cellStyle name="Normal 5 6 2 3 2 5" xfId="21852" xr:uid="{00000000-0005-0000-0000-000005400000}"/>
    <cellStyle name="Normal 5 6 2 3 3" xfId="3362" xr:uid="{00000000-0005-0000-0000-000006400000}"/>
    <cellStyle name="Normal 5 6 2 3 3 2" xfId="8294" xr:uid="{00000000-0005-0000-0000-000007400000}"/>
    <cellStyle name="Normal 5 6 2 3 3 2 2" xfId="18154" xr:uid="{00000000-0005-0000-0000-000008400000}"/>
    <cellStyle name="Normal 5 6 2 3 3 2 2 2" xfId="37869" xr:uid="{00000000-0005-0000-0000-000009400000}"/>
    <cellStyle name="Normal 5 6 2 3 3 2 3" xfId="28012" xr:uid="{00000000-0005-0000-0000-00000A400000}"/>
    <cellStyle name="Normal 5 6 2 3 3 3" xfId="13226" xr:uid="{00000000-0005-0000-0000-00000B400000}"/>
    <cellStyle name="Normal 5 6 2 3 3 3 2" xfId="32941" xr:uid="{00000000-0005-0000-0000-00000C400000}"/>
    <cellStyle name="Normal 5 6 2 3 3 4" xfId="23084" xr:uid="{00000000-0005-0000-0000-00000D400000}"/>
    <cellStyle name="Normal 5 6 2 3 4" xfId="5830" xr:uid="{00000000-0005-0000-0000-00000E400000}"/>
    <cellStyle name="Normal 5 6 2 3 4 2" xfId="15690" xr:uid="{00000000-0005-0000-0000-00000F400000}"/>
    <cellStyle name="Normal 5 6 2 3 4 2 2" xfId="35405" xr:uid="{00000000-0005-0000-0000-000010400000}"/>
    <cellStyle name="Normal 5 6 2 3 4 3" xfId="25548" xr:uid="{00000000-0005-0000-0000-000011400000}"/>
    <cellStyle name="Normal 5 6 2 3 5" xfId="10762" xr:uid="{00000000-0005-0000-0000-000012400000}"/>
    <cellStyle name="Normal 5 6 2 3 5 2" xfId="30477" xr:uid="{00000000-0005-0000-0000-000013400000}"/>
    <cellStyle name="Normal 5 6 2 3 6" xfId="20620" xr:uid="{00000000-0005-0000-0000-000014400000}"/>
    <cellStyle name="Normal 5 6 2 4" xfId="1511" xr:uid="{00000000-0005-0000-0000-000015400000}"/>
    <cellStyle name="Normal 5 6 2 4 2" xfId="3978" xr:uid="{00000000-0005-0000-0000-000016400000}"/>
    <cellStyle name="Normal 5 6 2 4 2 2" xfId="8910" xr:uid="{00000000-0005-0000-0000-000017400000}"/>
    <cellStyle name="Normal 5 6 2 4 2 2 2" xfId="18770" xr:uid="{00000000-0005-0000-0000-000018400000}"/>
    <cellStyle name="Normal 5 6 2 4 2 2 2 2" xfId="38485" xr:uid="{00000000-0005-0000-0000-000019400000}"/>
    <cellStyle name="Normal 5 6 2 4 2 2 3" xfId="28628" xr:uid="{00000000-0005-0000-0000-00001A400000}"/>
    <cellStyle name="Normal 5 6 2 4 2 3" xfId="13842" xr:uid="{00000000-0005-0000-0000-00001B400000}"/>
    <cellStyle name="Normal 5 6 2 4 2 3 2" xfId="33557" xr:uid="{00000000-0005-0000-0000-00001C400000}"/>
    <cellStyle name="Normal 5 6 2 4 2 4" xfId="23700" xr:uid="{00000000-0005-0000-0000-00001D400000}"/>
    <cellStyle name="Normal 5 6 2 4 3" xfId="6446" xr:uid="{00000000-0005-0000-0000-00001E400000}"/>
    <cellStyle name="Normal 5 6 2 4 3 2" xfId="16306" xr:uid="{00000000-0005-0000-0000-00001F400000}"/>
    <cellStyle name="Normal 5 6 2 4 3 2 2" xfId="36021" xr:uid="{00000000-0005-0000-0000-000020400000}"/>
    <cellStyle name="Normal 5 6 2 4 3 3" xfId="26164" xr:uid="{00000000-0005-0000-0000-000021400000}"/>
    <cellStyle name="Normal 5 6 2 4 4" xfId="11378" xr:uid="{00000000-0005-0000-0000-000022400000}"/>
    <cellStyle name="Normal 5 6 2 4 4 2" xfId="31093" xr:uid="{00000000-0005-0000-0000-000023400000}"/>
    <cellStyle name="Normal 5 6 2 4 5" xfId="21236" xr:uid="{00000000-0005-0000-0000-000024400000}"/>
    <cellStyle name="Normal 5 6 2 5" xfId="2746" xr:uid="{00000000-0005-0000-0000-000025400000}"/>
    <cellStyle name="Normal 5 6 2 5 2" xfId="7678" xr:uid="{00000000-0005-0000-0000-000026400000}"/>
    <cellStyle name="Normal 5 6 2 5 2 2" xfId="17538" xr:uid="{00000000-0005-0000-0000-000027400000}"/>
    <cellStyle name="Normal 5 6 2 5 2 2 2" xfId="37253" xr:uid="{00000000-0005-0000-0000-000028400000}"/>
    <cellStyle name="Normal 5 6 2 5 2 3" xfId="27396" xr:uid="{00000000-0005-0000-0000-000029400000}"/>
    <cellStyle name="Normal 5 6 2 5 3" xfId="12610" xr:uid="{00000000-0005-0000-0000-00002A400000}"/>
    <cellStyle name="Normal 5 6 2 5 3 2" xfId="32325" xr:uid="{00000000-0005-0000-0000-00002B400000}"/>
    <cellStyle name="Normal 5 6 2 5 4" xfId="22468" xr:uid="{00000000-0005-0000-0000-00002C400000}"/>
    <cellStyle name="Normal 5 6 2 6" xfId="5214" xr:uid="{00000000-0005-0000-0000-00002D400000}"/>
    <cellStyle name="Normal 5 6 2 6 2" xfId="15074" xr:uid="{00000000-0005-0000-0000-00002E400000}"/>
    <cellStyle name="Normal 5 6 2 6 2 2" xfId="34789" xr:uid="{00000000-0005-0000-0000-00002F400000}"/>
    <cellStyle name="Normal 5 6 2 6 3" xfId="24932" xr:uid="{00000000-0005-0000-0000-000030400000}"/>
    <cellStyle name="Normal 5 6 2 7" xfId="10146" xr:uid="{00000000-0005-0000-0000-000031400000}"/>
    <cellStyle name="Normal 5 6 2 7 2" xfId="29861" xr:uid="{00000000-0005-0000-0000-000032400000}"/>
    <cellStyle name="Normal 5 6 2 8" xfId="20004" xr:uid="{00000000-0005-0000-0000-000033400000}"/>
    <cellStyle name="Normal 5 6 3" xfId="426" xr:uid="{00000000-0005-0000-0000-000034400000}"/>
    <cellStyle name="Normal 5 6 3 2" xfId="1046" xr:uid="{00000000-0005-0000-0000-000035400000}"/>
    <cellStyle name="Normal 5 6 3 2 2" xfId="2281" xr:uid="{00000000-0005-0000-0000-000036400000}"/>
    <cellStyle name="Normal 5 6 3 2 2 2" xfId="4748" xr:uid="{00000000-0005-0000-0000-000037400000}"/>
    <cellStyle name="Normal 5 6 3 2 2 2 2" xfId="9680" xr:uid="{00000000-0005-0000-0000-000038400000}"/>
    <cellStyle name="Normal 5 6 3 2 2 2 2 2" xfId="19540" xr:uid="{00000000-0005-0000-0000-000039400000}"/>
    <cellStyle name="Normal 5 6 3 2 2 2 2 2 2" xfId="39255" xr:uid="{00000000-0005-0000-0000-00003A400000}"/>
    <cellStyle name="Normal 5 6 3 2 2 2 2 3" xfId="29398" xr:uid="{00000000-0005-0000-0000-00003B400000}"/>
    <cellStyle name="Normal 5 6 3 2 2 2 3" xfId="14612" xr:uid="{00000000-0005-0000-0000-00003C400000}"/>
    <cellStyle name="Normal 5 6 3 2 2 2 3 2" xfId="34327" xr:uid="{00000000-0005-0000-0000-00003D400000}"/>
    <cellStyle name="Normal 5 6 3 2 2 2 4" xfId="24470" xr:uid="{00000000-0005-0000-0000-00003E400000}"/>
    <cellStyle name="Normal 5 6 3 2 2 3" xfId="7216" xr:uid="{00000000-0005-0000-0000-00003F400000}"/>
    <cellStyle name="Normal 5 6 3 2 2 3 2" xfId="17076" xr:uid="{00000000-0005-0000-0000-000040400000}"/>
    <cellStyle name="Normal 5 6 3 2 2 3 2 2" xfId="36791" xr:uid="{00000000-0005-0000-0000-000041400000}"/>
    <cellStyle name="Normal 5 6 3 2 2 3 3" xfId="26934" xr:uid="{00000000-0005-0000-0000-000042400000}"/>
    <cellStyle name="Normal 5 6 3 2 2 4" xfId="12148" xr:uid="{00000000-0005-0000-0000-000043400000}"/>
    <cellStyle name="Normal 5 6 3 2 2 4 2" xfId="31863" xr:uid="{00000000-0005-0000-0000-000044400000}"/>
    <cellStyle name="Normal 5 6 3 2 2 5" xfId="22006" xr:uid="{00000000-0005-0000-0000-000045400000}"/>
    <cellStyle name="Normal 5 6 3 2 3" xfId="3516" xr:uid="{00000000-0005-0000-0000-000046400000}"/>
    <cellStyle name="Normal 5 6 3 2 3 2" xfId="8448" xr:uid="{00000000-0005-0000-0000-000047400000}"/>
    <cellStyle name="Normal 5 6 3 2 3 2 2" xfId="18308" xr:uid="{00000000-0005-0000-0000-000048400000}"/>
    <cellStyle name="Normal 5 6 3 2 3 2 2 2" xfId="38023" xr:uid="{00000000-0005-0000-0000-000049400000}"/>
    <cellStyle name="Normal 5 6 3 2 3 2 3" xfId="28166" xr:uid="{00000000-0005-0000-0000-00004A400000}"/>
    <cellStyle name="Normal 5 6 3 2 3 3" xfId="13380" xr:uid="{00000000-0005-0000-0000-00004B400000}"/>
    <cellStyle name="Normal 5 6 3 2 3 3 2" xfId="33095" xr:uid="{00000000-0005-0000-0000-00004C400000}"/>
    <cellStyle name="Normal 5 6 3 2 3 4" xfId="23238" xr:uid="{00000000-0005-0000-0000-00004D400000}"/>
    <cellStyle name="Normal 5 6 3 2 4" xfId="5984" xr:uid="{00000000-0005-0000-0000-00004E400000}"/>
    <cellStyle name="Normal 5 6 3 2 4 2" xfId="15844" xr:uid="{00000000-0005-0000-0000-00004F400000}"/>
    <cellStyle name="Normal 5 6 3 2 4 2 2" xfId="35559" xr:uid="{00000000-0005-0000-0000-000050400000}"/>
    <cellStyle name="Normal 5 6 3 2 4 3" xfId="25702" xr:uid="{00000000-0005-0000-0000-000051400000}"/>
    <cellStyle name="Normal 5 6 3 2 5" xfId="10916" xr:uid="{00000000-0005-0000-0000-000052400000}"/>
    <cellStyle name="Normal 5 6 3 2 5 2" xfId="30631" xr:uid="{00000000-0005-0000-0000-000053400000}"/>
    <cellStyle name="Normal 5 6 3 2 6" xfId="20774" xr:uid="{00000000-0005-0000-0000-000054400000}"/>
    <cellStyle name="Normal 5 6 3 3" xfId="1665" xr:uid="{00000000-0005-0000-0000-000055400000}"/>
    <cellStyle name="Normal 5 6 3 3 2" xfId="4132" xr:uid="{00000000-0005-0000-0000-000056400000}"/>
    <cellStyle name="Normal 5 6 3 3 2 2" xfId="9064" xr:uid="{00000000-0005-0000-0000-000057400000}"/>
    <cellStyle name="Normal 5 6 3 3 2 2 2" xfId="18924" xr:uid="{00000000-0005-0000-0000-000058400000}"/>
    <cellStyle name="Normal 5 6 3 3 2 2 2 2" xfId="38639" xr:uid="{00000000-0005-0000-0000-000059400000}"/>
    <cellStyle name="Normal 5 6 3 3 2 2 3" xfId="28782" xr:uid="{00000000-0005-0000-0000-00005A400000}"/>
    <cellStyle name="Normal 5 6 3 3 2 3" xfId="13996" xr:uid="{00000000-0005-0000-0000-00005B400000}"/>
    <cellStyle name="Normal 5 6 3 3 2 3 2" xfId="33711" xr:uid="{00000000-0005-0000-0000-00005C400000}"/>
    <cellStyle name="Normal 5 6 3 3 2 4" xfId="23854" xr:uid="{00000000-0005-0000-0000-00005D400000}"/>
    <cellStyle name="Normal 5 6 3 3 3" xfId="6600" xr:uid="{00000000-0005-0000-0000-00005E400000}"/>
    <cellStyle name="Normal 5 6 3 3 3 2" xfId="16460" xr:uid="{00000000-0005-0000-0000-00005F400000}"/>
    <cellStyle name="Normal 5 6 3 3 3 2 2" xfId="36175" xr:uid="{00000000-0005-0000-0000-000060400000}"/>
    <cellStyle name="Normal 5 6 3 3 3 3" xfId="26318" xr:uid="{00000000-0005-0000-0000-000061400000}"/>
    <cellStyle name="Normal 5 6 3 3 4" xfId="11532" xr:uid="{00000000-0005-0000-0000-000062400000}"/>
    <cellStyle name="Normal 5 6 3 3 4 2" xfId="31247" xr:uid="{00000000-0005-0000-0000-000063400000}"/>
    <cellStyle name="Normal 5 6 3 3 5" xfId="21390" xr:uid="{00000000-0005-0000-0000-000064400000}"/>
    <cellStyle name="Normal 5 6 3 4" xfId="2900" xr:uid="{00000000-0005-0000-0000-000065400000}"/>
    <cellStyle name="Normal 5 6 3 4 2" xfId="7832" xr:uid="{00000000-0005-0000-0000-000066400000}"/>
    <cellStyle name="Normal 5 6 3 4 2 2" xfId="17692" xr:uid="{00000000-0005-0000-0000-000067400000}"/>
    <cellStyle name="Normal 5 6 3 4 2 2 2" xfId="37407" xr:uid="{00000000-0005-0000-0000-000068400000}"/>
    <cellStyle name="Normal 5 6 3 4 2 3" xfId="27550" xr:uid="{00000000-0005-0000-0000-000069400000}"/>
    <cellStyle name="Normal 5 6 3 4 3" xfId="12764" xr:uid="{00000000-0005-0000-0000-00006A400000}"/>
    <cellStyle name="Normal 5 6 3 4 3 2" xfId="32479" xr:uid="{00000000-0005-0000-0000-00006B400000}"/>
    <cellStyle name="Normal 5 6 3 4 4" xfId="22622" xr:uid="{00000000-0005-0000-0000-00006C400000}"/>
    <cellStyle name="Normal 5 6 3 5" xfId="5368" xr:uid="{00000000-0005-0000-0000-00006D400000}"/>
    <cellStyle name="Normal 5 6 3 5 2" xfId="15228" xr:uid="{00000000-0005-0000-0000-00006E400000}"/>
    <cellStyle name="Normal 5 6 3 5 2 2" xfId="34943" xr:uid="{00000000-0005-0000-0000-00006F400000}"/>
    <cellStyle name="Normal 5 6 3 5 3" xfId="25086" xr:uid="{00000000-0005-0000-0000-000070400000}"/>
    <cellStyle name="Normal 5 6 3 6" xfId="10300" xr:uid="{00000000-0005-0000-0000-000071400000}"/>
    <cellStyle name="Normal 5 6 3 6 2" xfId="30015" xr:uid="{00000000-0005-0000-0000-000072400000}"/>
    <cellStyle name="Normal 5 6 3 7" xfId="20158" xr:uid="{00000000-0005-0000-0000-000073400000}"/>
    <cellStyle name="Normal 5 6 4" xfId="739" xr:uid="{00000000-0005-0000-0000-000074400000}"/>
    <cellStyle name="Normal 5 6 4 2" xfId="1975" xr:uid="{00000000-0005-0000-0000-000075400000}"/>
    <cellStyle name="Normal 5 6 4 2 2" xfId="4442" xr:uid="{00000000-0005-0000-0000-000076400000}"/>
    <cellStyle name="Normal 5 6 4 2 2 2" xfId="9374" xr:uid="{00000000-0005-0000-0000-000077400000}"/>
    <cellStyle name="Normal 5 6 4 2 2 2 2" xfId="19234" xr:uid="{00000000-0005-0000-0000-000078400000}"/>
    <cellStyle name="Normal 5 6 4 2 2 2 2 2" xfId="38949" xr:uid="{00000000-0005-0000-0000-000079400000}"/>
    <cellStyle name="Normal 5 6 4 2 2 2 3" xfId="29092" xr:uid="{00000000-0005-0000-0000-00007A400000}"/>
    <cellStyle name="Normal 5 6 4 2 2 3" xfId="14306" xr:uid="{00000000-0005-0000-0000-00007B400000}"/>
    <cellStyle name="Normal 5 6 4 2 2 3 2" xfId="34021" xr:uid="{00000000-0005-0000-0000-00007C400000}"/>
    <cellStyle name="Normal 5 6 4 2 2 4" xfId="24164" xr:uid="{00000000-0005-0000-0000-00007D400000}"/>
    <cellStyle name="Normal 5 6 4 2 3" xfId="6910" xr:uid="{00000000-0005-0000-0000-00007E400000}"/>
    <cellStyle name="Normal 5 6 4 2 3 2" xfId="16770" xr:uid="{00000000-0005-0000-0000-00007F400000}"/>
    <cellStyle name="Normal 5 6 4 2 3 2 2" xfId="36485" xr:uid="{00000000-0005-0000-0000-000080400000}"/>
    <cellStyle name="Normal 5 6 4 2 3 3" xfId="26628" xr:uid="{00000000-0005-0000-0000-000081400000}"/>
    <cellStyle name="Normal 5 6 4 2 4" xfId="11842" xr:uid="{00000000-0005-0000-0000-000082400000}"/>
    <cellStyle name="Normal 5 6 4 2 4 2" xfId="31557" xr:uid="{00000000-0005-0000-0000-000083400000}"/>
    <cellStyle name="Normal 5 6 4 2 5" xfId="21700" xr:uid="{00000000-0005-0000-0000-000084400000}"/>
    <cellStyle name="Normal 5 6 4 3" xfId="3210" xr:uid="{00000000-0005-0000-0000-000085400000}"/>
    <cellStyle name="Normal 5 6 4 3 2" xfId="8142" xr:uid="{00000000-0005-0000-0000-000086400000}"/>
    <cellStyle name="Normal 5 6 4 3 2 2" xfId="18002" xr:uid="{00000000-0005-0000-0000-000087400000}"/>
    <cellStyle name="Normal 5 6 4 3 2 2 2" xfId="37717" xr:uid="{00000000-0005-0000-0000-000088400000}"/>
    <cellStyle name="Normal 5 6 4 3 2 3" xfId="27860" xr:uid="{00000000-0005-0000-0000-000089400000}"/>
    <cellStyle name="Normal 5 6 4 3 3" xfId="13074" xr:uid="{00000000-0005-0000-0000-00008A400000}"/>
    <cellStyle name="Normal 5 6 4 3 3 2" xfId="32789" xr:uid="{00000000-0005-0000-0000-00008B400000}"/>
    <cellStyle name="Normal 5 6 4 3 4" xfId="22932" xr:uid="{00000000-0005-0000-0000-00008C400000}"/>
    <cellStyle name="Normal 5 6 4 4" xfId="5678" xr:uid="{00000000-0005-0000-0000-00008D400000}"/>
    <cellStyle name="Normal 5 6 4 4 2" xfId="15538" xr:uid="{00000000-0005-0000-0000-00008E400000}"/>
    <cellStyle name="Normal 5 6 4 4 2 2" xfId="35253" xr:uid="{00000000-0005-0000-0000-00008F400000}"/>
    <cellStyle name="Normal 5 6 4 4 3" xfId="25396" xr:uid="{00000000-0005-0000-0000-000090400000}"/>
    <cellStyle name="Normal 5 6 4 5" xfId="10610" xr:uid="{00000000-0005-0000-0000-000091400000}"/>
    <cellStyle name="Normal 5 6 4 5 2" xfId="30325" xr:uid="{00000000-0005-0000-0000-000092400000}"/>
    <cellStyle name="Normal 5 6 4 6" xfId="20468" xr:uid="{00000000-0005-0000-0000-000093400000}"/>
    <cellStyle name="Normal 5 6 5" xfId="1359" xr:uid="{00000000-0005-0000-0000-000094400000}"/>
    <cellStyle name="Normal 5 6 5 2" xfId="3826" xr:uid="{00000000-0005-0000-0000-000095400000}"/>
    <cellStyle name="Normal 5 6 5 2 2" xfId="8758" xr:uid="{00000000-0005-0000-0000-000096400000}"/>
    <cellStyle name="Normal 5 6 5 2 2 2" xfId="18618" xr:uid="{00000000-0005-0000-0000-000097400000}"/>
    <cellStyle name="Normal 5 6 5 2 2 2 2" xfId="38333" xr:uid="{00000000-0005-0000-0000-000098400000}"/>
    <cellStyle name="Normal 5 6 5 2 2 3" xfId="28476" xr:uid="{00000000-0005-0000-0000-000099400000}"/>
    <cellStyle name="Normal 5 6 5 2 3" xfId="13690" xr:uid="{00000000-0005-0000-0000-00009A400000}"/>
    <cellStyle name="Normal 5 6 5 2 3 2" xfId="33405" xr:uid="{00000000-0005-0000-0000-00009B400000}"/>
    <cellStyle name="Normal 5 6 5 2 4" xfId="23548" xr:uid="{00000000-0005-0000-0000-00009C400000}"/>
    <cellStyle name="Normal 5 6 5 3" xfId="6294" xr:uid="{00000000-0005-0000-0000-00009D400000}"/>
    <cellStyle name="Normal 5 6 5 3 2" xfId="16154" xr:uid="{00000000-0005-0000-0000-00009E400000}"/>
    <cellStyle name="Normal 5 6 5 3 2 2" xfId="35869" xr:uid="{00000000-0005-0000-0000-00009F400000}"/>
    <cellStyle name="Normal 5 6 5 3 3" xfId="26012" xr:uid="{00000000-0005-0000-0000-0000A0400000}"/>
    <cellStyle name="Normal 5 6 5 4" xfId="11226" xr:uid="{00000000-0005-0000-0000-0000A1400000}"/>
    <cellStyle name="Normal 5 6 5 4 2" xfId="30941" xr:uid="{00000000-0005-0000-0000-0000A2400000}"/>
    <cellStyle name="Normal 5 6 5 5" xfId="21084" xr:uid="{00000000-0005-0000-0000-0000A3400000}"/>
    <cellStyle name="Normal 5 6 6" xfId="2594" xr:uid="{00000000-0005-0000-0000-0000A4400000}"/>
    <cellStyle name="Normal 5 6 6 2" xfId="7526" xr:uid="{00000000-0005-0000-0000-0000A5400000}"/>
    <cellStyle name="Normal 5 6 6 2 2" xfId="17386" xr:uid="{00000000-0005-0000-0000-0000A6400000}"/>
    <cellStyle name="Normal 5 6 6 2 2 2" xfId="37101" xr:uid="{00000000-0005-0000-0000-0000A7400000}"/>
    <cellStyle name="Normal 5 6 6 2 3" xfId="27244" xr:uid="{00000000-0005-0000-0000-0000A8400000}"/>
    <cellStyle name="Normal 5 6 6 3" xfId="12458" xr:uid="{00000000-0005-0000-0000-0000A9400000}"/>
    <cellStyle name="Normal 5 6 6 3 2" xfId="32173" xr:uid="{00000000-0005-0000-0000-0000AA400000}"/>
    <cellStyle name="Normal 5 6 6 4" xfId="22316" xr:uid="{00000000-0005-0000-0000-0000AB400000}"/>
    <cellStyle name="Normal 5 6 7" xfId="5062" xr:uid="{00000000-0005-0000-0000-0000AC400000}"/>
    <cellStyle name="Normal 5 6 7 2" xfId="14922" xr:uid="{00000000-0005-0000-0000-0000AD400000}"/>
    <cellStyle name="Normal 5 6 7 2 2" xfId="34637" xr:uid="{00000000-0005-0000-0000-0000AE400000}"/>
    <cellStyle name="Normal 5 6 7 3" xfId="24780" xr:uid="{00000000-0005-0000-0000-0000AF400000}"/>
    <cellStyle name="Normal 5 6 8" xfId="9994" xr:uid="{00000000-0005-0000-0000-0000B0400000}"/>
    <cellStyle name="Normal 5 6 8 2" xfId="29709" xr:uid="{00000000-0005-0000-0000-0000B1400000}"/>
    <cellStyle name="Normal 5 6 9" xfId="19852" xr:uid="{00000000-0005-0000-0000-0000B2400000}"/>
    <cellStyle name="Normal 5 7" xfId="187" xr:uid="{00000000-0005-0000-0000-0000B3400000}"/>
    <cellStyle name="Normal 5 7 2" xfId="502" xr:uid="{00000000-0005-0000-0000-0000B4400000}"/>
    <cellStyle name="Normal 5 7 2 2" xfId="1122" xr:uid="{00000000-0005-0000-0000-0000B5400000}"/>
    <cellStyle name="Normal 5 7 2 2 2" xfId="2357" xr:uid="{00000000-0005-0000-0000-0000B6400000}"/>
    <cellStyle name="Normal 5 7 2 2 2 2" xfId="4824" xr:uid="{00000000-0005-0000-0000-0000B7400000}"/>
    <cellStyle name="Normal 5 7 2 2 2 2 2" xfId="9756" xr:uid="{00000000-0005-0000-0000-0000B8400000}"/>
    <cellStyle name="Normal 5 7 2 2 2 2 2 2" xfId="19616" xr:uid="{00000000-0005-0000-0000-0000B9400000}"/>
    <cellStyle name="Normal 5 7 2 2 2 2 2 2 2" xfId="39331" xr:uid="{00000000-0005-0000-0000-0000BA400000}"/>
    <cellStyle name="Normal 5 7 2 2 2 2 2 3" xfId="29474" xr:uid="{00000000-0005-0000-0000-0000BB400000}"/>
    <cellStyle name="Normal 5 7 2 2 2 2 3" xfId="14688" xr:uid="{00000000-0005-0000-0000-0000BC400000}"/>
    <cellStyle name="Normal 5 7 2 2 2 2 3 2" xfId="34403" xr:uid="{00000000-0005-0000-0000-0000BD400000}"/>
    <cellStyle name="Normal 5 7 2 2 2 2 4" xfId="24546" xr:uid="{00000000-0005-0000-0000-0000BE400000}"/>
    <cellStyle name="Normal 5 7 2 2 2 3" xfId="7292" xr:uid="{00000000-0005-0000-0000-0000BF400000}"/>
    <cellStyle name="Normal 5 7 2 2 2 3 2" xfId="17152" xr:uid="{00000000-0005-0000-0000-0000C0400000}"/>
    <cellStyle name="Normal 5 7 2 2 2 3 2 2" xfId="36867" xr:uid="{00000000-0005-0000-0000-0000C1400000}"/>
    <cellStyle name="Normal 5 7 2 2 2 3 3" xfId="27010" xr:uid="{00000000-0005-0000-0000-0000C2400000}"/>
    <cellStyle name="Normal 5 7 2 2 2 4" xfId="12224" xr:uid="{00000000-0005-0000-0000-0000C3400000}"/>
    <cellStyle name="Normal 5 7 2 2 2 4 2" xfId="31939" xr:uid="{00000000-0005-0000-0000-0000C4400000}"/>
    <cellStyle name="Normal 5 7 2 2 2 5" xfId="22082" xr:uid="{00000000-0005-0000-0000-0000C5400000}"/>
    <cellStyle name="Normal 5 7 2 2 3" xfId="3592" xr:uid="{00000000-0005-0000-0000-0000C6400000}"/>
    <cellStyle name="Normal 5 7 2 2 3 2" xfId="8524" xr:uid="{00000000-0005-0000-0000-0000C7400000}"/>
    <cellStyle name="Normal 5 7 2 2 3 2 2" xfId="18384" xr:uid="{00000000-0005-0000-0000-0000C8400000}"/>
    <cellStyle name="Normal 5 7 2 2 3 2 2 2" xfId="38099" xr:uid="{00000000-0005-0000-0000-0000C9400000}"/>
    <cellStyle name="Normal 5 7 2 2 3 2 3" xfId="28242" xr:uid="{00000000-0005-0000-0000-0000CA400000}"/>
    <cellStyle name="Normal 5 7 2 2 3 3" xfId="13456" xr:uid="{00000000-0005-0000-0000-0000CB400000}"/>
    <cellStyle name="Normal 5 7 2 2 3 3 2" xfId="33171" xr:uid="{00000000-0005-0000-0000-0000CC400000}"/>
    <cellStyle name="Normal 5 7 2 2 3 4" xfId="23314" xr:uid="{00000000-0005-0000-0000-0000CD400000}"/>
    <cellStyle name="Normal 5 7 2 2 4" xfId="6060" xr:uid="{00000000-0005-0000-0000-0000CE400000}"/>
    <cellStyle name="Normal 5 7 2 2 4 2" xfId="15920" xr:uid="{00000000-0005-0000-0000-0000CF400000}"/>
    <cellStyle name="Normal 5 7 2 2 4 2 2" xfId="35635" xr:uid="{00000000-0005-0000-0000-0000D0400000}"/>
    <cellStyle name="Normal 5 7 2 2 4 3" xfId="25778" xr:uid="{00000000-0005-0000-0000-0000D1400000}"/>
    <cellStyle name="Normal 5 7 2 2 5" xfId="10992" xr:uid="{00000000-0005-0000-0000-0000D2400000}"/>
    <cellStyle name="Normal 5 7 2 2 5 2" xfId="30707" xr:uid="{00000000-0005-0000-0000-0000D3400000}"/>
    <cellStyle name="Normal 5 7 2 2 6" xfId="20850" xr:uid="{00000000-0005-0000-0000-0000D4400000}"/>
    <cellStyle name="Normal 5 7 2 3" xfId="1741" xr:uid="{00000000-0005-0000-0000-0000D5400000}"/>
    <cellStyle name="Normal 5 7 2 3 2" xfId="4208" xr:uid="{00000000-0005-0000-0000-0000D6400000}"/>
    <cellStyle name="Normal 5 7 2 3 2 2" xfId="9140" xr:uid="{00000000-0005-0000-0000-0000D7400000}"/>
    <cellStyle name="Normal 5 7 2 3 2 2 2" xfId="19000" xr:uid="{00000000-0005-0000-0000-0000D8400000}"/>
    <cellStyle name="Normal 5 7 2 3 2 2 2 2" xfId="38715" xr:uid="{00000000-0005-0000-0000-0000D9400000}"/>
    <cellStyle name="Normal 5 7 2 3 2 2 3" xfId="28858" xr:uid="{00000000-0005-0000-0000-0000DA400000}"/>
    <cellStyle name="Normal 5 7 2 3 2 3" xfId="14072" xr:uid="{00000000-0005-0000-0000-0000DB400000}"/>
    <cellStyle name="Normal 5 7 2 3 2 3 2" xfId="33787" xr:uid="{00000000-0005-0000-0000-0000DC400000}"/>
    <cellStyle name="Normal 5 7 2 3 2 4" xfId="23930" xr:uid="{00000000-0005-0000-0000-0000DD400000}"/>
    <cellStyle name="Normal 5 7 2 3 3" xfId="6676" xr:uid="{00000000-0005-0000-0000-0000DE400000}"/>
    <cellStyle name="Normal 5 7 2 3 3 2" xfId="16536" xr:uid="{00000000-0005-0000-0000-0000DF400000}"/>
    <cellStyle name="Normal 5 7 2 3 3 2 2" xfId="36251" xr:uid="{00000000-0005-0000-0000-0000E0400000}"/>
    <cellStyle name="Normal 5 7 2 3 3 3" xfId="26394" xr:uid="{00000000-0005-0000-0000-0000E1400000}"/>
    <cellStyle name="Normal 5 7 2 3 4" xfId="11608" xr:uid="{00000000-0005-0000-0000-0000E2400000}"/>
    <cellStyle name="Normal 5 7 2 3 4 2" xfId="31323" xr:uid="{00000000-0005-0000-0000-0000E3400000}"/>
    <cellStyle name="Normal 5 7 2 3 5" xfId="21466" xr:uid="{00000000-0005-0000-0000-0000E4400000}"/>
    <cellStyle name="Normal 5 7 2 4" xfId="2976" xr:uid="{00000000-0005-0000-0000-0000E5400000}"/>
    <cellStyle name="Normal 5 7 2 4 2" xfId="7908" xr:uid="{00000000-0005-0000-0000-0000E6400000}"/>
    <cellStyle name="Normal 5 7 2 4 2 2" xfId="17768" xr:uid="{00000000-0005-0000-0000-0000E7400000}"/>
    <cellStyle name="Normal 5 7 2 4 2 2 2" xfId="37483" xr:uid="{00000000-0005-0000-0000-0000E8400000}"/>
    <cellStyle name="Normal 5 7 2 4 2 3" xfId="27626" xr:uid="{00000000-0005-0000-0000-0000E9400000}"/>
    <cellStyle name="Normal 5 7 2 4 3" xfId="12840" xr:uid="{00000000-0005-0000-0000-0000EA400000}"/>
    <cellStyle name="Normal 5 7 2 4 3 2" xfId="32555" xr:uid="{00000000-0005-0000-0000-0000EB400000}"/>
    <cellStyle name="Normal 5 7 2 4 4" xfId="22698" xr:uid="{00000000-0005-0000-0000-0000EC400000}"/>
    <cellStyle name="Normal 5 7 2 5" xfId="5444" xr:uid="{00000000-0005-0000-0000-0000ED400000}"/>
    <cellStyle name="Normal 5 7 2 5 2" xfId="15304" xr:uid="{00000000-0005-0000-0000-0000EE400000}"/>
    <cellStyle name="Normal 5 7 2 5 2 2" xfId="35019" xr:uid="{00000000-0005-0000-0000-0000EF400000}"/>
    <cellStyle name="Normal 5 7 2 5 3" xfId="25162" xr:uid="{00000000-0005-0000-0000-0000F0400000}"/>
    <cellStyle name="Normal 5 7 2 6" xfId="10376" xr:uid="{00000000-0005-0000-0000-0000F1400000}"/>
    <cellStyle name="Normal 5 7 2 6 2" xfId="30091" xr:uid="{00000000-0005-0000-0000-0000F2400000}"/>
    <cellStyle name="Normal 5 7 2 7" xfId="20234" xr:uid="{00000000-0005-0000-0000-0000F3400000}"/>
    <cellStyle name="Normal 5 7 3" xfId="815" xr:uid="{00000000-0005-0000-0000-0000F4400000}"/>
    <cellStyle name="Normal 5 7 3 2" xfId="2051" xr:uid="{00000000-0005-0000-0000-0000F5400000}"/>
    <cellStyle name="Normal 5 7 3 2 2" xfId="4518" xr:uid="{00000000-0005-0000-0000-0000F6400000}"/>
    <cellStyle name="Normal 5 7 3 2 2 2" xfId="9450" xr:uid="{00000000-0005-0000-0000-0000F7400000}"/>
    <cellStyle name="Normal 5 7 3 2 2 2 2" xfId="19310" xr:uid="{00000000-0005-0000-0000-0000F8400000}"/>
    <cellStyle name="Normal 5 7 3 2 2 2 2 2" xfId="39025" xr:uid="{00000000-0005-0000-0000-0000F9400000}"/>
    <cellStyle name="Normal 5 7 3 2 2 2 3" xfId="29168" xr:uid="{00000000-0005-0000-0000-0000FA400000}"/>
    <cellStyle name="Normal 5 7 3 2 2 3" xfId="14382" xr:uid="{00000000-0005-0000-0000-0000FB400000}"/>
    <cellStyle name="Normal 5 7 3 2 2 3 2" xfId="34097" xr:uid="{00000000-0005-0000-0000-0000FC400000}"/>
    <cellStyle name="Normal 5 7 3 2 2 4" xfId="24240" xr:uid="{00000000-0005-0000-0000-0000FD400000}"/>
    <cellStyle name="Normal 5 7 3 2 3" xfId="6986" xr:uid="{00000000-0005-0000-0000-0000FE400000}"/>
    <cellStyle name="Normal 5 7 3 2 3 2" xfId="16846" xr:uid="{00000000-0005-0000-0000-0000FF400000}"/>
    <cellStyle name="Normal 5 7 3 2 3 2 2" xfId="36561" xr:uid="{00000000-0005-0000-0000-000000410000}"/>
    <cellStyle name="Normal 5 7 3 2 3 3" xfId="26704" xr:uid="{00000000-0005-0000-0000-000001410000}"/>
    <cellStyle name="Normal 5 7 3 2 4" xfId="11918" xr:uid="{00000000-0005-0000-0000-000002410000}"/>
    <cellStyle name="Normal 5 7 3 2 4 2" xfId="31633" xr:uid="{00000000-0005-0000-0000-000003410000}"/>
    <cellStyle name="Normal 5 7 3 2 5" xfId="21776" xr:uid="{00000000-0005-0000-0000-000004410000}"/>
    <cellStyle name="Normal 5 7 3 3" xfId="3286" xr:uid="{00000000-0005-0000-0000-000005410000}"/>
    <cellStyle name="Normal 5 7 3 3 2" xfId="8218" xr:uid="{00000000-0005-0000-0000-000006410000}"/>
    <cellStyle name="Normal 5 7 3 3 2 2" xfId="18078" xr:uid="{00000000-0005-0000-0000-000007410000}"/>
    <cellStyle name="Normal 5 7 3 3 2 2 2" xfId="37793" xr:uid="{00000000-0005-0000-0000-000008410000}"/>
    <cellStyle name="Normal 5 7 3 3 2 3" xfId="27936" xr:uid="{00000000-0005-0000-0000-000009410000}"/>
    <cellStyle name="Normal 5 7 3 3 3" xfId="13150" xr:uid="{00000000-0005-0000-0000-00000A410000}"/>
    <cellStyle name="Normal 5 7 3 3 3 2" xfId="32865" xr:uid="{00000000-0005-0000-0000-00000B410000}"/>
    <cellStyle name="Normal 5 7 3 3 4" xfId="23008" xr:uid="{00000000-0005-0000-0000-00000C410000}"/>
    <cellStyle name="Normal 5 7 3 4" xfId="5754" xr:uid="{00000000-0005-0000-0000-00000D410000}"/>
    <cellStyle name="Normal 5 7 3 4 2" xfId="15614" xr:uid="{00000000-0005-0000-0000-00000E410000}"/>
    <cellStyle name="Normal 5 7 3 4 2 2" xfId="35329" xr:uid="{00000000-0005-0000-0000-00000F410000}"/>
    <cellStyle name="Normal 5 7 3 4 3" xfId="25472" xr:uid="{00000000-0005-0000-0000-000010410000}"/>
    <cellStyle name="Normal 5 7 3 5" xfId="10686" xr:uid="{00000000-0005-0000-0000-000011410000}"/>
    <cellStyle name="Normal 5 7 3 5 2" xfId="30401" xr:uid="{00000000-0005-0000-0000-000012410000}"/>
    <cellStyle name="Normal 5 7 3 6" xfId="20544" xr:uid="{00000000-0005-0000-0000-000013410000}"/>
    <cellStyle name="Normal 5 7 4" xfId="1435" xr:uid="{00000000-0005-0000-0000-000014410000}"/>
    <cellStyle name="Normal 5 7 4 2" xfId="3902" xr:uid="{00000000-0005-0000-0000-000015410000}"/>
    <cellStyle name="Normal 5 7 4 2 2" xfId="8834" xr:uid="{00000000-0005-0000-0000-000016410000}"/>
    <cellStyle name="Normal 5 7 4 2 2 2" xfId="18694" xr:uid="{00000000-0005-0000-0000-000017410000}"/>
    <cellStyle name="Normal 5 7 4 2 2 2 2" xfId="38409" xr:uid="{00000000-0005-0000-0000-000018410000}"/>
    <cellStyle name="Normal 5 7 4 2 2 3" xfId="28552" xr:uid="{00000000-0005-0000-0000-000019410000}"/>
    <cellStyle name="Normal 5 7 4 2 3" xfId="13766" xr:uid="{00000000-0005-0000-0000-00001A410000}"/>
    <cellStyle name="Normal 5 7 4 2 3 2" xfId="33481" xr:uid="{00000000-0005-0000-0000-00001B410000}"/>
    <cellStyle name="Normal 5 7 4 2 4" xfId="23624" xr:uid="{00000000-0005-0000-0000-00001C410000}"/>
    <cellStyle name="Normal 5 7 4 3" xfId="6370" xr:uid="{00000000-0005-0000-0000-00001D410000}"/>
    <cellStyle name="Normal 5 7 4 3 2" xfId="16230" xr:uid="{00000000-0005-0000-0000-00001E410000}"/>
    <cellStyle name="Normal 5 7 4 3 2 2" xfId="35945" xr:uid="{00000000-0005-0000-0000-00001F410000}"/>
    <cellStyle name="Normal 5 7 4 3 3" xfId="26088" xr:uid="{00000000-0005-0000-0000-000020410000}"/>
    <cellStyle name="Normal 5 7 4 4" xfId="11302" xr:uid="{00000000-0005-0000-0000-000021410000}"/>
    <cellStyle name="Normal 5 7 4 4 2" xfId="31017" xr:uid="{00000000-0005-0000-0000-000022410000}"/>
    <cellStyle name="Normal 5 7 4 5" xfId="21160" xr:uid="{00000000-0005-0000-0000-000023410000}"/>
    <cellStyle name="Normal 5 7 5" xfId="2670" xr:uid="{00000000-0005-0000-0000-000024410000}"/>
    <cellStyle name="Normal 5 7 5 2" xfId="7602" xr:uid="{00000000-0005-0000-0000-000025410000}"/>
    <cellStyle name="Normal 5 7 5 2 2" xfId="17462" xr:uid="{00000000-0005-0000-0000-000026410000}"/>
    <cellStyle name="Normal 5 7 5 2 2 2" xfId="37177" xr:uid="{00000000-0005-0000-0000-000027410000}"/>
    <cellStyle name="Normal 5 7 5 2 3" xfId="27320" xr:uid="{00000000-0005-0000-0000-000028410000}"/>
    <cellStyle name="Normal 5 7 5 3" xfId="12534" xr:uid="{00000000-0005-0000-0000-000029410000}"/>
    <cellStyle name="Normal 5 7 5 3 2" xfId="32249" xr:uid="{00000000-0005-0000-0000-00002A410000}"/>
    <cellStyle name="Normal 5 7 5 4" xfId="22392" xr:uid="{00000000-0005-0000-0000-00002B410000}"/>
    <cellStyle name="Normal 5 7 6" xfId="5138" xr:uid="{00000000-0005-0000-0000-00002C410000}"/>
    <cellStyle name="Normal 5 7 6 2" xfId="14998" xr:uid="{00000000-0005-0000-0000-00002D410000}"/>
    <cellStyle name="Normal 5 7 6 2 2" xfId="34713" xr:uid="{00000000-0005-0000-0000-00002E410000}"/>
    <cellStyle name="Normal 5 7 6 3" xfId="24856" xr:uid="{00000000-0005-0000-0000-00002F410000}"/>
    <cellStyle name="Normal 5 7 7" xfId="10070" xr:uid="{00000000-0005-0000-0000-000030410000}"/>
    <cellStyle name="Normal 5 7 7 2" xfId="29785" xr:uid="{00000000-0005-0000-0000-000031410000}"/>
    <cellStyle name="Normal 5 7 8" xfId="19928" xr:uid="{00000000-0005-0000-0000-000032410000}"/>
    <cellStyle name="Normal 5 8" xfId="341" xr:uid="{00000000-0005-0000-0000-000033410000}"/>
    <cellStyle name="Normal 5 8 2" xfId="650" xr:uid="{00000000-0005-0000-0000-000034410000}"/>
    <cellStyle name="Normal 5 8 2 2" xfId="1270" xr:uid="{00000000-0005-0000-0000-000035410000}"/>
    <cellStyle name="Normal 5 8 2 2 2" xfId="2505" xr:uid="{00000000-0005-0000-0000-000036410000}"/>
    <cellStyle name="Normal 5 8 2 2 2 2" xfId="4972" xr:uid="{00000000-0005-0000-0000-000037410000}"/>
    <cellStyle name="Normal 5 8 2 2 2 2 2" xfId="9904" xr:uid="{00000000-0005-0000-0000-000038410000}"/>
    <cellStyle name="Normal 5 8 2 2 2 2 2 2" xfId="19764" xr:uid="{00000000-0005-0000-0000-000039410000}"/>
    <cellStyle name="Normal 5 8 2 2 2 2 2 2 2" xfId="39479" xr:uid="{00000000-0005-0000-0000-00003A410000}"/>
    <cellStyle name="Normal 5 8 2 2 2 2 2 3" xfId="29622" xr:uid="{00000000-0005-0000-0000-00003B410000}"/>
    <cellStyle name="Normal 5 8 2 2 2 2 3" xfId="14836" xr:uid="{00000000-0005-0000-0000-00003C410000}"/>
    <cellStyle name="Normal 5 8 2 2 2 2 3 2" xfId="34551" xr:uid="{00000000-0005-0000-0000-00003D410000}"/>
    <cellStyle name="Normal 5 8 2 2 2 2 4" xfId="24694" xr:uid="{00000000-0005-0000-0000-00003E410000}"/>
    <cellStyle name="Normal 5 8 2 2 2 3" xfId="7440" xr:uid="{00000000-0005-0000-0000-00003F410000}"/>
    <cellStyle name="Normal 5 8 2 2 2 3 2" xfId="17300" xr:uid="{00000000-0005-0000-0000-000040410000}"/>
    <cellStyle name="Normal 5 8 2 2 2 3 2 2" xfId="37015" xr:uid="{00000000-0005-0000-0000-000041410000}"/>
    <cellStyle name="Normal 5 8 2 2 2 3 3" xfId="27158" xr:uid="{00000000-0005-0000-0000-000042410000}"/>
    <cellStyle name="Normal 5 8 2 2 2 4" xfId="12372" xr:uid="{00000000-0005-0000-0000-000043410000}"/>
    <cellStyle name="Normal 5 8 2 2 2 4 2" xfId="32087" xr:uid="{00000000-0005-0000-0000-000044410000}"/>
    <cellStyle name="Normal 5 8 2 2 2 5" xfId="22230" xr:uid="{00000000-0005-0000-0000-000045410000}"/>
    <cellStyle name="Normal 5 8 2 2 3" xfId="3740" xr:uid="{00000000-0005-0000-0000-000046410000}"/>
    <cellStyle name="Normal 5 8 2 2 3 2" xfId="8672" xr:uid="{00000000-0005-0000-0000-000047410000}"/>
    <cellStyle name="Normal 5 8 2 2 3 2 2" xfId="18532" xr:uid="{00000000-0005-0000-0000-000048410000}"/>
    <cellStyle name="Normal 5 8 2 2 3 2 2 2" xfId="38247" xr:uid="{00000000-0005-0000-0000-000049410000}"/>
    <cellStyle name="Normal 5 8 2 2 3 2 3" xfId="28390" xr:uid="{00000000-0005-0000-0000-00004A410000}"/>
    <cellStyle name="Normal 5 8 2 2 3 3" xfId="13604" xr:uid="{00000000-0005-0000-0000-00004B410000}"/>
    <cellStyle name="Normal 5 8 2 2 3 3 2" xfId="33319" xr:uid="{00000000-0005-0000-0000-00004C410000}"/>
    <cellStyle name="Normal 5 8 2 2 3 4" xfId="23462" xr:uid="{00000000-0005-0000-0000-00004D410000}"/>
    <cellStyle name="Normal 5 8 2 2 4" xfId="6208" xr:uid="{00000000-0005-0000-0000-00004E410000}"/>
    <cellStyle name="Normal 5 8 2 2 4 2" xfId="16068" xr:uid="{00000000-0005-0000-0000-00004F410000}"/>
    <cellStyle name="Normal 5 8 2 2 4 2 2" xfId="35783" xr:uid="{00000000-0005-0000-0000-000050410000}"/>
    <cellStyle name="Normal 5 8 2 2 4 3" xfId="25926" xr:uid="{00000000-0005-0000-0000-000051410000}"/>
    <cellStyle name="Normal 5 8 2 2 5" xfId="11140" xr:uid="{00000000-0005-0000-0000-000052410000}"/>
    <cellStyle name="Normal 5 8 2 2 5 2" xfId="30855" xr:uid="{00000000-0005-0000-0000-000053410000}"/>
    <cellStyle name="Normal 5 8 2 2 6" xfId="20998" xr:uid="{00000000-0005-0000-0000-000054410000}"/>
    <cellStyle name="Normal 5 8 2 3" xfId="1889" xr:uid="{00000000-0005-0000-0000-000055410000}"/>
    <cellStyle name="Normal 5 8 2 3 2" xfId="4356" xr:uid="{00000000-0005-0000-0000-000056410000}"/>
    <cellStyle name="Normal 5 8 2 3 2 2" xfId="9288" xr:uid="{00000000-0005-0000-0000-000057410000}"/>
    <cellStyle name="Normal 5 8 2 3 2 2 2" xfId="19148" xr:uid="{00000000-0005-0000-0000-000058410000}"/>
    <cellStyle name="Normal 5 8 2 3 2 2 2 2" xfId="38863" xr:uid="{00000000-0005-0000-0000-000059410000}"/>
    <cellStyle name="Normal 5 8 2 3 2 2 3" xfId="29006" xr:uid="{00000000-0005-0000-0000-00005A410000}"/>
    <cellStyle name="Normal 5 8 2 3 2 3" xfId="14220" xr:uid="{00000000-0005-0000-0000-00005B410000}"/>
    <cellStyle name="Normal 5 8 2 3 2 3 2" xfId="33935" xr:uid="{00000000-0005-0000-0000-00005C410000}"/>
    <cellStyle name="Normal 5 8 2 3 2 4" xfId="24078" xr:uid="{00000000-0005-0000-0000-00005D410000}"/>
    <cellStyle name="Normal 5 8 2 3 3" xfId="6824" xr:uid="{00000000-0005-0000-0000-00005E410000}"/>
    <cellStyle name="Normal 5 8 2 3 3 2" xfId="16684" xr:uid="{00000000-0005-0000-0000-00005F410000}"/>
    <cellStyle name="Normal 5 8 2 3 3 2 2" xfId="36399" xr:uid="{00000000-0005-0000-0000-000060410000}"/>
    <cellStyle name="Normal 5 8 2 3 3 3" xfId="26542" xr:uid="{00000000-0005-0000-0000-000061410000}"/>
    <cellStyle name="Normal 5 8 2 3 4" xfId="11756" xr:uid="{00000000-0005-0000-0000-000062410000}"/>
    <cellStyle name="Normal 5 8 2 3 4 2" xfId="31471" xr:uid="{00000000-0005-0000-0000-000063410000}"/>
    <cellStyle name="Normal 5 8 2 3 5" xfId="21614" xr:uid="{00000000-0005-0000-0000-000064410000}"/>
    <cellStyle name="Normal 5 8 2 4" xfId="3124" xr:uid="{00000000-0005-0000-0000-000065410000}"/>
    <cellStyle name="Normal 5 8 2 4 2" xfId="8056" xr:uid="{00000000-0005-0000-0000-000066410000}"/>
    <cellStyle name="Normal 5 8 2 4 2 2" xfId="17916" xr:uid="{00000000-0005-0000-0000-000067410000}"/>
    <cellStyle name="Normal 5 8 2 4 2 2 2" xfId="37631" xr:uid="{00000000-0005-0000-0000-000068410000}"/>
    <cellStyle name="Normal 5 8 2 4 2 3" xfId="27774" xr:uid="{00000000-0005-0000-0000-000069410000}"/>
    <cellStyle name="Normal 5 8 2 4 3" xfId="12988" xr:uid="{00000000-0005-0000-0000-00006A410000}"/>
    <cellStyle name="Normal 5 8 2 4 3 2" xfId="32703" xr:uid="{00000000-0005-0000-0000-00006B410000}"/>
    <cellStyle name="Normal 5 8 2 4 4" xfId="22846" xr:uid="{00000000-0005-0000-0000-00006C410000}"/>
    <cellStyle name="Normal 5 8 2 5" xfId="5592" xr:uid="{00000000-0005-0000-0000-00006D410000}"/>
    <cellStyle name="Normal 5 8 2 5 2" xfId="15452" xr:uid="{00000000-0005-0000-0000-00006E410000}"/>
    <cellStyle name="Normal 5 8 2 5 2 2" xfId="35167" xr:uid="{00000000-0005-0000-0000-00006F410000}"/>
    <cellStyle name="Normal 5 8 2 5 3" xfId="25310" xr:uid="{00000000-0005-0000-0000-000070410000}"/>
    <cellStyle name="Normal 5 8 2 6" xfId="10524" xr:uid="{00000000-0005-0000-0000-000071410000}"/>
    <cellStyle name="Normal 5 8 2 6 2" xfId="30239" xr:uid="{00000000-0005-0000-0000-000072410000}"/>
    <cellStyle name="Normal 5 8 2 7" xfId="20382" xr:uid="{00000000-0005-0000-0000-000073410000}"/>
    <cellStyle name="Normal 5 8 3" xfId="963" xr:uid="{00000000-0005-0000-0000-000074410000}"/>
    <cellStyle name="Normal 5 8 3 2" xfId="2199" xr:uid="{00000000-0005-0000-0000-000075410000}"/>
    <cellStyle name="Normal 5 8 3 2 2" xfId="4666" xr:uid="{00000000-0005-0000-0000-000076410000}"/>
    <cellStyle name="Normal 5 8 3 2 2 2" xfId="9598" xr:uid="{00000000-0005-0000-0000-000077410000}"/>
    <cellStyle name="Normal 5 8 3 2 2 2 2" xfId="19458" xr:uid="{00000000-0005-0000-0000-000078410000}"/>
    <cellStyle name="Normal 5 8 3 2 2 2 2 2" xfId="39173" xr:uid="{00000000-0005-0000-0000-000079410000}"/>
    <cellStyle name="Normal 5 8 3 2 2 2 3" xfId="29316" xr:uid="{00000000-0005-0000-0000-00007A410000}"/>
    <cellStyle name="Normal 5 8 3 2 2 3" xfId="14530" xr:uid="{00000000-0005-0000-0000-00007B410000}"/>
    <cellStyle name="Normal 5 8 3 2 2 3 2" xfId="34245" xr:uid="{00000000-0005-0000-0000-00007C410000}"/>
    <cellStyle name="Normal 5 8 3 2 2 4" xfId="24388" xr:uid="{00000000-0005-0000-0000-00007D410000}"/>
    <cellStyle name="Normal 5 8 3 2 3" xfId="7134" xr:uid="{00000000-0005-0000-0000-00007E410000}"/>
    <cellStyle name="Normal 5 8 3 2 3 2" xfId="16994" xr:uid="{00000000-0005-0000-0000-00007F410000}"/>
    <cellStyle name="Normal 5 8 3 2 3 2 2" xfId="36709" xr:uid="{00000000-0005-0000-0000-000080410000}"/>
    <cellStyle name="Normal 5 8 3 2 3 3" xfId="26852" xr:uid="{00000000-0005-0000-0000-000081410000}"/>
    <cellStyle name="Normal 5 8 3 2 4" xfId="12066" xr:uid="{00000000-0005-0000-0000-000082410000}"/>
    <cellStyle name="Normal 5 8 3 2 4 2" xfId="31781" xr:uid="{00000000-0005-0000-0000-000083410000}"/>
    <cellStyle name="Normal 5 8 3 2 5" xfId="21924" xr:uid="{00000000-0005-0000-0000-000084410000}"/>
    <cellStyle name="Normal 5 8 3 3" xfId="3434" xr:uid="{00000000-0005-0000-0000-000085410000}"/>
    <cellStyle name="Normal 5 8 3 3 2" xfId="8366" xr:uid="{00000000-0005-0000-0000-000086410000}"/>
    <cellStyle name="Normal 5 8 3 3 2 2" xfId="18226" xr:uid="{00000000-0005-0000-0000-000087410000}"/>
    <cellStyle name="Normal 5 8 3 3 2 2 2" xfId="37941" xr:uid="{00000000-0005-0000-0000-000088410000}"/>
    <cellStyle name="Normal 5 8 3 3 2 3" xfId="28084" xr:uid="{00000000-0005-0000-0000-000089410000}"/>
    <cellStyle name="Normal 5 8 3 3 3" xfId="13298" xr:uid="{00000000-0005-0000-0000-00008A410000}"/>
    <cellStyle name="Normal 5 8 3 3 3 2" xfId="33013" xr:uid="{00000000-0005-0000-0000-00008B410000}"/>
    <cellStyle name="Normal 5 8 3 3 4" xfId="23156" xr:uid="{00000000-0005-0000-0000-00008C410000}"/>
    <cellStyle name="Normal 5 8 3 4" xfId="5902" xr:uid="{00000000-0005-0000-0000-00008D410000}"/>
    <cellStyle name="Normal 5 8 3 4 2" xfId="15762" xr:uid="{00000000-0005-0000-0000-00008E410000}"/>
    <cellStyle name="Normal 5 8 3 4 2 2" xfId="35477" xr:uid="{00000000-0005-0000-0000-00008F410000}"/>
    <cellStyle name="Normal 5 8 3 4 3" xfId="25620" xr:uid="{00000000-0005-0000-0000-000090410000}"/>
    <cellStyle name="Normal 5 8 3 5" xfId="10834" xr:uid="{00000000-0005-0000-0000-000091410000}"/>
    <cellStyle name="Normal 5 8 3 5 2" xfId="30549" xr:uid="{00000000-0005-0000-0000-000092410000}"/>
    <cellStyle name="Normal 5 8 3 6" xfId="20692" xr:uid="{00000000-0005-0000-0000-000093410000}"/>
    <cellStyle name="Normal 5 8 4" xfId="1583" xr:uid="{00000000-0005-0000-0000-000094410000}"/>
    <cellStyle name="Normal 5 8 4 2" xfId="4050" xr:uid="{00000000-0005-0000-0000-000095410000}"/>
    <cellStyle name="Normal 5 8 4 2 2" xfId="8982" xr:uid="{00000000-0005-0000-0000-000096410000}"/>
    <cellStyle name="Normal 5 8 4 2 2 2" xfId="18842" xr:uid="{00000000-0005-0000-0000-000097410000}"/>
    <cellStyle name="Normal 5 8 4 2 2 2 2" xfId="38557" xr:uid="{00000000-0005-0000-0000-000098410000}"/>
    <cellStyle name="Normal 5 8 4 2 2 3" xfId="28700" xr:uid="{00000000-0005-0000-0000-000099410000}"/>
    <cellStyle name="Normal 5 8 4 2 3" xfId="13914" xr:uid="{00000000-0005-0000-0000-00009A410000}"/>
    <cellStyle name="Normal 5 8 4 2 3 2" xfId="33629" xr:uid="{00000000-0005-0000-0000-00009B410000}"/>
    <cellStyle name="Normal 5 8 4 2 4" xfId="23772" xr:uid="{00000000-0005-0000-0000-00009C410000}"/>
    <cellStyle name="Normal 5 8 4 3" xfId="6518" xr:uid="{00000000-0005-0000-0000-00009D410000}"/>
    <cellStyle name="Normal 5 8 4 3 2" xfId="16378" xr:uid="{00000000-0005-0000-0000-00009E410000}"/>
    <cellStyle name="Normal 5 8 4 3 2 2" xfId="36093" xr:uid="{00000000-0005-0000-0000-00009F410000}"/>
    <cellStyle name="Normal 5 8 4 3 3" xfId="26236" xr:uid="{00000000-0005-0000-0000-0000A0410000}"/>
    <cellStyle name="Normal 5 8 4 4" xfId="11450" xr:uid="{00000000-0005-0000-0000-0000A1410000}"/>
    <cellStyle name="Normal 5 8 4 4 2" xfId="31165" xr:uid="{00000000-0005-0000-0000-0000A2410000}"/>
    <cellStyle name="Normal 5 8 4 5" xfId="21308" xr:uid="{00000000-0005-0000-0000-0000A3410000}"/>
    <cellStyle name="Normal 5 8 5" xfId="2818" xr:uid="{00000000-0005-0000-0000-0000A4410000}"/>
    <cellStyle name="Normal 5 8 5 2" xfId="7750" xr:uid="{00000000-0005-0000-0000-0000A5410000}"/>
    <cellStyle name="Normal 5 8 5 2 2" xfId="17610" xr:uid="{00000000-0005-0000-0000-0000A6410000}"/>
    <cellStyle name="Normal 5 8 5 2 2 2" xfId="37325" xr:uid="{00000000-0005-0000-0000-0000A7410000}"/>
    <cellStyle name="Normal 5 8 5 2 3" xfId="27468" xr:uid="{00000000-0005-0000-0000-0000A8410000}"/>
    <cellStyle name="Normal 5 8 5 3" xfId="12682" xr:uid="{00000000-0005-0000-0000-0000A9410000}"/>
    <cellStyle name="Normal 5 8 5 3 2" xfId="32397" xr:uid="{00000000-0005-0000-0000-0000AA410000}"/>
    <cellStyle name="Normal 5 8 5 4" xfId="22540" xr:uid="{00000000-0005-0000-0000-0000AB410000}"/>
    <cellStyle name="Normal 5 8 6" xfId="5286" xr:uid="{00000000-0005-0000-0000-0000AC410000}"/>
    <cellStyle name="Normal 5 8 6 2" xfId="15146" xr:uid="{00000000-0005-0000-0000-0000AD410000}"/>
    <cellStyle name="Normal 5 8 6 2 2" xfId="34861" xr:uid="{00000000-0005-0000-0000-0000AE410000}"/>
    <cellStyle name="Normal 5 8 6 3" xfId="25004" xr:uid="{00000000-0005-0000-0000-0000AF410000}"/>
    <cellStyle name="Normal 5 8 7" xfId="10218" xr:uid="{00000000-0005-0000-0000-0000B0410000}"/>
    <cellStyle name="Normal 5 8 7 2" xfId="29933" xr:uid="{00000000-0005-0000-0000-0000B1410000}"/>
    <cellStyle name="Normal 5 8 8" xfId="20076" xr:uid="{00000000-0005-0000-0000-0000B2410000}"/>
    <cellStyle name="Normal 5 9" xfId="349" xr:uid="{00000000-0005-0000-0000-0000B3410000}"/>
    <cellStyle name="Normal 5 9 2" xfId="970" xr:uid="{00000000-0005-0000-0000-0000B4410000}"/>
    <cellStyle name="Normal 5 9 2 2" xfId="2205" xr:uid="{00000000-0005-0000-0000-0000B5410000}"/>
    <cellStyle name="Normal 5 9 2 2 2" xfId="4672" xr:uid="{00000000-0005-0000-0000-0000B6410000}"/>
    <cellStyle name="Normal 5 9 2 2 2 2" xfId="9604" xr:uid="{00000000-0005-0000-0000-0000B7410000}"/>
    <cellStyle name="Normal 5 9 2 2 2 2 2" xfId="19464" xr:uid="{00000000-0005-0000-0000-0000B8410000}"/>
    <cellStyle name="Normal 5 9 2 2 2 2 2 2" xfId="39179" xr:uid="{00000000-0005-0000-0000-0000B9410000}"/>
    <cellStyle name="Normal 5 9 2 2 2 2 3" xfId="29322" xr:uid="{00000000-0005-0000-0000-0000BA410000}"/>
    <cellStyle name="Normal 5 9 2 2 2 3" xfId="14536" xr:uid="{00000000-0005-0000-0000-0000BB410000}"/>
    <cellStyle name="Normal 5 9 2 2 2 3 2" xfId="34251" xr:uid="{00000000-0005-0000-0000-0000BC410000}"/>
    <cellStyle name="Normal 5 9 2 2 2 4" xfId="24394" xr:uid="{00000000-0005-0000-0000-0000BD410000}"/>
    <cellStyle name="Normal 5 9 2 2 3" xfId="7140" xr:uid="{00000000-0005-0000-0000-0000BE410000}"/>
    <cellStyle name="Normal 5 9 2 2 3 2" xfId="17000" xr:uid="{00000000-0005-0000-0000-0000BF410000}"/>
    <cellStyle name="Normal 5 9 2 2 3 2 2" xfId="36715" xr:uid="{00000000-0005-0000-0000-0000C0410000}"/>
    <cellStyle name="Normal 5 9 2 2 3 3" xfId="26858" xr:uid="{00000000-0005-0000-0000-0000C1410000}"/>
    <cellStyle name="Normal 5 9 2 2 4" xfId="12072" xr:uid="{00000000-0005-0000-0000-0000C2410000}"/>
    <cellStyle name="Normal 5 9 2 2 4 2" xfId="31787" xr:uid="{00000000-0005-0000-0000-0000C3410000}"/>
    <cellStyle name="Normal 5 9 2 2 5" xfId="21930" xr:uid="{00000000-0005-0000-0000-0000C4410000}"/>
    <cellStyle name="Normal 5 9 2 3" xfId="3440" xr:uid="{00000000-0005-0000-0000-0000C5410000}"/>
    <cellStyle name="Normal 5 9 2 3 2" xfId="8372" xr:uid="{00000000-0005-0000-0000-0000C6410000}"/>
    <cellStyle name="Normal 5 9 2 3 2 2" xfId="18232" xr:uid="{00000000-0005-0000-0000-0000C7410000}"/>
    <cellStyle name="Normal 5 9 2 3 2 2 2" xfId="37947" xr:uid="{00000000-0005-0000-0000-0000C8410000}"/>
    <cellStyle name="Normal 5 9 2 3 2 3" xfId="28090" xr:uid="{00000000-0005-0000-0000-0000C9410000}"/>
    <cellStyle name="Normal 5 9 2 3 3" xfId="13304" xr:uid="{00000000-0005-0000-0000-0000CA410000}"/>
    <cellStyle name="Normal 5 9 2 3 3 2" xfId="33019" xr:uid="{00000000-0005-0000-0000-0000CB410000}"/>
    <cellStyle name="Normal 5 9 2 3 4" xfId="23162" xr:uid="{00000000-0005-0000-0000-0000CC410000}"/>
    <cellStyle name="Normal 5 9 2 4" xfId="5908" xr:uid="{00000000-0005-0000-0000-0000CD410000}"/>
    <cellStyle name="Normal 5 9 2 4 2" xfId="15768" xr:uid="{00000000-0005-0000-0000-0000CE410000}"/>
    <cellStyle name="Normal 5 9 2 4 2 2" xfId="35483" xr:uid="{00000000-0005-0000-0000-0000CF410000}"/>
    <cellStyle name="Normal 5 9 2 4 3" xfId="25626" xr:uid="{00000000-0005-0000-0000-0000D0410000}"/>
    <cellStyle name="Normal 5 9 2 5" xfId="10840" xr:uid="{00000000-0005-0000-0000-0000D1410000}"/>
    <cellStyle name="Normal 5 9 2 5 2" xfId="30555" xr:uid="{00000000-0005-0000-0000-0000D2410000}"/>
    <cellStyle name="Normal 5 9 2 6" xfId="20698" xr:uid="{00000000-0005-0000-0000-0000D3410000}"/>
    <cellStyle name="Normal 5 9 3" xfId="1589" xr:uid="{00000000-0005-0000-0000-0000D4410000}"/>
    <cellStyle name="Normal 5 9 3 2" xfId="4056" xr:uid="{00000000-0005-0000-0000-0000D5410000}"/>
    <cellStyle name="Normal 5 9 3 2 2" xfId="8988" xr:uid="{00000000-0005-0000-0000-0000D6410000}"/>
    <cellStyle name="Normal 5 9 3 2 2 2" xfId="18848" xr:uid="{00000000-0005-0000-0000-0000D7410000}"/>
    <cellStyle name="Normal 5 9 3 2 2 2 2" xfId="38563" xr:uid="{00000000-0005-0000-0000-0000D8410000}"/>
    <cellStyle name="Normal 5 9 3 2 2 3" xfId="28706" xr:uid="{00000000-0005-0000-0000-0000D9410000}"/>
    <cellStyle name="Normal 5 9 3 2 3" xfId="13920" xr:uid="{00000000-0005-0000-0000-0000DA410000}"/>
    <cellStyle name="Normal 5 9 3 2 3 2" xfId="33635" xr:uid="{00000000-0005-0000-0000-0000DB410000}"/>
    <cellStyle name="Normal 5 9 3 2 4" xfId="23778" xr:uid="{00000000-0005-0000-0000-0000DC410000}"/>
    <cellStyle name="Normal 5 9 3 3" xfId="6524" xr:uid="{00000000-0005-0000-0000-0000DD410000}"/>
    <cellStyle name="Normal 5 9 3 3 2" xfId="16384" xr:uid="{00000000-0005-0000-0000-0000DE410000}"/>
    <cellStyle name="Normal 5 9 3 3 2 2" xfId="36099" xr:uid="{00000000-0005-0000-0000-0000DF410000}"/>
    <cellStyle name="Normal 5 9 3 3 3" xfId="26242" xr:uid="{00000000-0005-0000-0000-0000E0410000}"/>
    <cellStyle name="Normal 5 9 3 4" xfId="11456" xr:uid="{00000000-0005-0000-0000-0000E1410000}"/>
    <cellStyle name="Normal 5 9 3 4 2" xfId="31171" xr:uid="{00000000-0005-0000-0000-0000E2410000}"/>
    <cellStyle name="Normal 5 9 3 5" xfId="21314" xr:uid="{00000000-0005-0000-0000-0000E3410000}"/>
    <cellStyle name="Normal 5 9 4" xfId="2824" xr:uid="{00000000-0005-0000-0000-0000E4410000}"/>
    <cellStyle name="Normal 5 9 4 2" xfId="7756" xr:uid="{00000000-0005-0000-0000-0000E5410000}"/>
    <cellStyle name="Normal 5 9 4 2 2" xfId="17616" xr:uid="{00000000-0005-0000-0000-0000E6410000}"/>
    <cellStyle name="Normal 5 9 4 2 2 2" xfId="37331" xr:uid="{00000000-0005-0000-0000-0000E7410000}"/>
    <cellStyle name="Normal 5 9 4 2 3" xfId="27474" xr:uid="{00000000-0005-0000-0000-0000E8410000}"/>
    <cellStyle name="Normal 5 9 4 3" xfId="12688" xr:uid="{00000000-0005-0000-0000-0000E9410000}"/>
    <cellStyle name="Normal 5 9 4 3 2" xfId="32403" xr:uid="{00000000-0005-0000-0000-0000EA410000}"/>
    <cellStyle name="Normal 5 9 4 4" xfId="22546" xr:uid="{00000000-0005-0000-0000-0000EB410000}"/>
    <cellStyle name="Normal 5 9 5" xfId="5292" xr:uid="{00000000-0005-0000-0000-0000EC410000}"/>
    <cellStyle name="Normal 5 9 5 2" xfId="15152" xr:uid="{00000000-0005-0000-0000-0000ED410000}"/>
    <cellStyle name="Normal 5 9 5 2 2" xfId="34867" xr:uid="{00000000-0005-0000-0000-0000EE410000}"/>
    <cellStyle name="Normal 5 9 5 3" xfId="25010" xr:uid="{00000000-0005-0000-0000-0000EF410000}"/>
    <cellStyle name="Normal 5 9 6" xfId="10224" xr:uid="{00000000-0005-0000-0000-0000F0410000}"/>
    <cellStyle name="Normal 5 9 6 2" xfId="29939" xr:uid="{00000000-0005-0000-0000-0000F1410000}"/>
    <cellStyle name="Normal 5 9 7" xfId="20082" xr:uid="{00000000-0005-0000-0000-0000F2410000}"/>
    <cellStyle name="Normal 6" xfId="12" xr:uid="{00000000-0005-0000-0000-0000F3410000}"/>
    <cellStyle name="Normal 6 10" xfId="2518" xr:uid="{00000000-0005-0000-0000-0000F4410000}"/>
    <cellStyle name="Normal 6 10 2" xfId="7451" xr:uid="{00000000-0005-0000-0000-0000F5410000}"/>
    <cellStyle name="Normal 6 10 2 2" xfId="17311" xr:uid="{00000000-0005-0000-0000-0000F6410000}"/>
    <cellStyle name="Normal 6 10 2 2 2" xfId="37026" xr:uid="{00000000-0005-0000-0000-0000F7410000}"/>
    <cellStyle name="Normal 6 10 2 3" xfId="27169" xr:uid="{00000000-0005-0000-0000-0000F8410000}"/>
    <cellStyle name="Normal 6 10 3" xfId="12383" xr:uid="{00000000-0005-0000-0000-0000F9410000}"/>
    <cellStyle name="Normal 6 10 3 2" xfId="32098" xr:uid="{00000000-0005-0000-0000-0000FA410000}"/>
    <cellStyle name="Normal 6 10 4" xfId="22241" xr:uid="{00000000-0005-0000-0000-0000FB410000}"/>
    <cellStyle name="Normal 6 11" xfId="4986" xr:uid="{00000000-0005-0000-0000-0000FC410000}"/>
    <cellStyle name="Normal 6 11 2" xfId="14847" xr:uid="{00000000-0005-0000-0000-0000FD410000}"/>
    <cellStyle name="Normal 6 11 2 2" xfId="34562" xr:uid="{00000000-0005-0000-0000-0000FE410000}"/>
    <cellStyle name="Normal 6 11 3" xfId="24705" xr:uid="{00000000-0005-0000-0000-0000FF410000}"/>
    <cellStyle name="Normal 6 12" xfId="9918" xr:uid="{00000000-0005-0000-0000-000000420000}"/>
    <cellStyle name="Normal 6 12 2" xfId="29634" xr:uid="{00000000-0005-0000-0000-000001420000}"/>
    <cellStyle name="Normal 6 13" xfId="19777" xr:uid="{00000000-0005-0000-0000-000002420000}"/>
    <cellStyle name="Normal 6 2" xfId="25" xr:uid="{00000000-0005-0000-0000-000003420000}"/>
    <cellStyle name="Normal 6 2 10" xfId="4996" xr:uid="{00000000-0005-0000-0000-000004420000}"/>
    <cellStyle name="Normal 6 2 10 2" xfId="14856" xr:uid="{00000000-0005-0000-0000-000005420000}"/>
    <cellStyle name="Normal 6 2 10 2 2" xfId="34571" xr:uid="{00000000-0005-0000-0000-000006420000}"/>
    <cellStyle name="Normal 6 2 10 3" xfId="24714" xr:uid="{00000000-0005-0000-0000-000007420000}"/>
    <cellStyle name="Normal 6 2 11" xfId="9928" xr:uid="{00000000-0005-0000-0000-000008420000}"/>
    <cellStyle name="Normal 6 2 11 2" xfId="29643" xr:uid="{00000000-0005-0000-0000-000009420000}"/>
    <cellStyle name="Normal 6 2 12" xfId="19786" xr:uid="{00000000-0005-0000-0000-00000A420000}"/>
    <cellStyle name="Normal 6 2 2" xfId="50" xr:uid="{00000000-0005-0000-0000-00000B420000}"/>
    <cellStyle name="Normal 6 2 2 10" xfId="9947" xr:uid="{00000000-0005-0000-0000-00000C420000}"/>
    <cellStyle name="Normal 6 2 2 10 2" xfId="29662" xr:uid="{00000000-0005-0000-0000-00000D420000}"/>
    <cellStyle name="Normal 6 2 2 11" xfId="19805" xr:uid="{00000000-0005-0000-0000-00000E420000}"/>
    <cellStyle name="Normal 6 2 2 2" xfId="93" xr:uid="{00000000-0005-0000-0000-00000F420000}"/>
    <cellStyle name="Normal 6 2 2 2 10" xfId="19843" xr:uid="{00000000-0005-0000-0000-000010420000}"/>
    <cellStyle name="Normal 6 2 2 2 2" xfId="174" xr:uid="{00000000-0005-0000-0000-000011420000}"/>
    <cellStyle name="Normal 6 2 2 2 2 2" xfId="331" xr:uid="{00000000-0005-0000-0000-000012420000}"/>
    <cellStyle name="Normal 6 2 2 2 2 2 2" xfId="645" xr:uid="{00000000-0005-0000-0000-000013420000}"/>
    <cellStyle name="Normal 6 2 2 2 2 2 2 2" xfId="1265" xr:uid="{00000000-0005-0000-0000-000014420000}"/>
    <cellStyle name="Normal 6 2 2 2 2 2 2 2 2" xfId="2500" xr:uid="{00000000-0005-0000-0000-000015420000}"/>
    <cellStyle name="Normal 6 2 2 2 2 2 2 2 2 2" xfId="4967" xr:uid="{00000000-0005-0000-0000-000016420000}"/>
    <cellStyle name="Normal 6 2 2 2 2 2 2 2 2 2 2" xfId="9899" xr:uid="{00000000-0005-0000-0000-000017420000}"/>
    <cellStyle name="Normal 6 2 2 2 2 2 2 2 2 2 2 2" xfId="19759" xr:uid="{00000000-0005-0000-0000-000018420000}"/>
    <cellStyle name="Normal 6 2 2 2 2 2 2 2 2 2 2 2 2" xfId="39474" xr:uid="{00000000-0005-0000-0000-000019420000}"/>
    <cellStyle name="Normal 6 2 2 2 2 2 2 2 2 2 2 3" xfId="29617" xr:uid="{00000000-0005-0000-0000-00001A420000}"/>
    <cellStyle name="Normal 6 2 2 2 2 2 2 2 2 2 3" xfId="14831" xr:uid="{00000000-0005-0000-0000-00001B420000}"/>
    <cellStyle name="Normal 6 2 2 2 2 2 2 2 2 2 3 2" xfId="34546" xr:uid="{00000000-0005-0000-0000-00001C420000}"/>
    <cellStyle name="Normal 6 2 2 2 2 2 2 2 2 2 4" xfId="24689" xr:uid="{00000000-0005-0000-0000-00001D420000}"/>
    <cellStyle name="Normal 6 2 2 2 2 2 2 2 2 3" xfId="7435" xr:uid="{00000000-0005-0000-0000-00001E420000}"/>
    <cellStyle name="Normal 6 2 2 2 2 2 2 2 2 3 2" xfId="17295" xr:uid="{00000000-0005-0000-0000-00001F420000}"/>
    <cellStyle name="Normal 6 2 2 2 2 2 2 2 2 3 2 2" xfId="37010" xr:uid="{00000000-0005-0000-0000-000020420000}"/>
    <cellStyle name="Normal 6 2 2 2 2 2 2 2 2 3 3" xfId="27153" xr:uid="{00000000-0005-0000-0000-000021420000}"/>
    <cellStyle name="Normal 6 2 2 2 2 2 2 2 2 4" xfId="12367" xr:uid="{00000000-0005-0000-0000-000022420000}"/>
    <cellStyle name="Normal 6 2 2 2 2 2 2 2 2 4 2" xfId="32082" xr:uid="{00000000-0005-0000-0000-000023420000}"/>
    <cellStyle name="Normal 6 2 2 2 2 2 2 2 2 5" xfId="22225" xr:uid="{00000000-0005-0000-0000-000024420000}"/>
    <cellStyle name="Normal 6 2 2 2 2 2 2 2 3" xfId="3735" xr:uid="{00000000-0005-0000-0000-000025420000}"/>
    <cellStyle name="Normal 6 2 2 2 2 2 2 2 3 2" xfId="8667" xr:uid="{00000000-0005-0000-0000-000026420000}"/>
    <cellStyle name="Normal 6 2 2 2 2 2 2 2 3 2 2" xfId="18527" xr:uid="{00000000-0005-0000-0000-000027420000}"/>
    <cellStyle name="Normal 6 2 2 2 2 2 2 2 3 2 2 2" xfId="38242" xr:uid="{00000000-0005-0000-0000-000028420000}"/>
    <cellStyle name="Normal 6 2 2 2 2 2 2 2 3 2 3" xfId="28385" xr:uid="{00000000-0005-0000-0000-000029420000}"/>
    <cellStyle name="Normal 6 2 2 2 2 2 2 2 3 3" xfId="13599" xr:uid="{00000000-0005-0000-0000-00002A420000}"/>
    <cellStyle name="Normal 6 2 2 2 2 2 2 2 3 3 2" xfId="33314" xr:uid="{00000000-0005-0000-0000-00002B420000}"/>
    <cellStyle name="Normal 6 2 2 2 2 2 2 2 3 4" xfId="23457" xr:uid="{00000000-0005-0000-0000-00002C420000}"/>
    <cellStyle name="Normal 6 2 2 2 2 2 2 2 4" xfId="6203" xr:uid="{00000000-0005-0000-0000-00002D420000}"/>
    <cellStyle name="Normal 6 2 2 2 2 2 2 2 4 2" xfId="16063" xr:uid="{00000000-0005-0000-0000-00002E420000}"/>
    <cellStyle name="Normal 6 2 2 2 2 2 2 2 4 2 2" xfId="35778" xr:uid="{00000000-0005-0000-0000-00002F420000}"/>
    <cellStyle name="Normal 6 2 2 2 2 2 2 2 4 3" xfId="25921" xr:uid="{00000000-0005-0000-0000-000030420000}"/>
    <cellStyle name="Normal 6 2 2 2 2 2 2 2 5" xfId="11135" xr:uid="{00000000-0005-0000-0000-000031420000}"/>
    <cellStyle name="Normal 6 2 2 2 2 2 2 2 5 2" xfId="30850" xr:uid="{00000000-0005-0000-0000-000032420000}"/>
    <cellStyle name="Normal 6 2 2 2 2 2 2 2 6" xfId="20993" xr:uid="{00000000-0005-0000-0000-000033420000}"/>
    <cellStyle name="Normal 6 2 2 2 2 2 2 3" xfId="1884" xr:uid="{00000000-0005-0000-0000-000034420000}"/>
    <cellStyle name="Normal 6 2 2 2 2 2 2 3 2" xfId="4351" xr:uid="{00000000-0005-0000-0000-000035420000}"/>
    <cellStyle name="Normal 6 2 2 2 2 2 2 3 2 2" xfId="9283" xr:uid="{00000000-0005-0000-0000-000036420000}"/>
    <cellStyle name="Normal 6 2 2 2 2 2 2 3 2 2 2" xfId="19143" xr:uid="{00000000-0005-0000-0000-000037420000}"/>
    <cellStyle name="Normal 6 2 2 2 2 2 2 3 2 2 2 2" xfId="38858" xr:uid="{00000000-0005-0000-0000-000038420000}"/>
    <cellStyle name="Normal 6 2 2 2 2 2 2 3 2 2 3" xfId="29001" xr:uid="{00000000-0005-0000-0000-000039420000}"/>
    <cellStyle name="Normal 6 2 2 2 2 2 2 3 2 3" xfId="14215" xr:uid="{00000000-0005-0000-0000-00003A420000}"/>
    <cellStyle name="Normal 6 2 2 2 2 2 2 3 2 3 2" xfId="33930" xr:uid="{00000000-0005-0000-0000-00003B420000}"/>
    <cellStyle name="Normal 6 2 2 2 2 2 2 3 2 4" xfId="24073" xr:uid="{00000000-0005-0000-0000-00003C420000}"/>
    <cellStyle name="Normal 6 2 2 2 2 2 2 3 3" xfId="6819" xr:uid="{00000000-0005-0000-0000-00003D420000}"/>
    <cellStyle name="Normal 6 2 2 2 2 2 2 3 3 2" xfId="16679" xr:uid="{00000000-0005-0000-0000-00003E420000}"/>
    <cellStyle name="Normal 6 2 2 2 2 2 2 3 3 2 2" xfId="36394" xr:uid="{00000000-0005-0000-0000-00003F420000}"/>
    <cellStyle name="Normal 6 2 2 2 2 2 2 3 3 3" xfId="26537" xr:uid="{00000000-0005-0000-0000-000040420000}"/>
    <cellStyle name="Normal 6 2 2 2 2 2 2 3 4" xfId="11751" xr:uid="{00000000-0005-0000-0000-000041420000}"/>
    <cellStyle name="Normal 6 2 2 2 2 2 2 3 4 2" xfId="31466" xr:uid="{00000000-0005-0000-0000-000042420000}"/>
    <cellStyle name="Normal 6 2 2 2 2 2 2 3 5" xfId="21609" xr:uid="{00000000-0005-0000-0000-000043420000}"/>
    <cellStyle name="Normal 6 2 2 2 2 2 2 4" xfId="3119" xr:uid="{00000000-0005-0000-0000-000044420000}"/>
    <cellStyle name="Normal 6 2 2 2 2 2 2 4 2" xfId="8051" xr:uid="{00000000-0005-0000-0000-000045420000}"/>
    <cellStyle name="Normal 6 2 2 2 2 2 2 4 2 2" xfId="17911" xr:uid="{00000000-0005-0000-0000-000046420000}"/>
    <cellStyle name="Normal 6 2 2 2 2 2 2 4 2 2 2" xfId="37626" xr:uid="{00000000-0005-0000-0000-000047420000}"/>
    <cellStyle name="Normal 6 2 2 2 2 2 2 4 2 3" xfId="27769" xr:uid="{00000000-0005-0000-0000-000048420000}"/>
    <cellStyle name="Normal 6 2 2 2 2 2 2 4 3" xfId="12983" xr:uid="{00000000-0005-0000-0000-000049420000}"/>
    <cellStyle name="Normal 6 2 2 2 2 2 2 4 3 2" xfId="32698" xr:uid="{00000000-0005-0000-0000-00004A420000}"/>
    <cellStyle name="Normal 6 2 2 2 2 2 2 4 4" xfId="22841" xr:uid="{00000000-0005-0000-0000-00004B420000}"/>
    <cellStyle name="Normal 6 2 2 2 2 2 2 5" xfId="5587" xr:uid="{00000000-0005-0000-0000-00004C420000}"/>
    <cellStyle name="Normal 6 2 2 2 2 2 2 5 2" xfId="15447" xr:uid="{00000000-0005-0000-0000-00004D420000}"/>
    <cellStyle name="Normal 6 2 2 2 2 2 2 5 2 2" xfId="35162" xr:uid="{00000000-0005-0000-0000-00004E420000}"/>
    <cellStyle name="Normal 6 2 2 2 2 2 2 5 3" xfId="25305" xr:uid="{00000000-0005-0000-0000-00004F420000}"/>
    <cellStyle name="Normal 6 2 2 2 2 2 2 6" xfId="10519" xr:uid="{00000000-0005-0000-0000-000050420000}"/>
    <cellStyle name="Normal 6 2 2 2 2 2 2 6 2" xfId="30234" xr:uid="{00000000-0005-0000-0000-000051420000}"/>
    <cellStyle name="Normal 6 2 2 2 2 2 2 7" xfId="20377" xr:uid="{00000000-0005-0000-0000-000052420000}"/>
    <cellStyle name="Normal 6 2 2 2 2 2 3" xfId="958" xr:uid="{00000000-0005-0000-0000-000053420000}"/>
    <cellStyle name="Normal 6 2 2 2 2 2 3 2" xfId="2194" xr:uid="{00000000-0005-0000-0000-000054420000}"/>
    <cellStyle name="Normal 6 2 2 2 2 2 3 2 2" xfId="4661" xr:uid="{00000000-0005-0000-0000-000055420000}"/>
    <cellStyle name="Normal 6 2 2 2 2 2 3 2 2 2" xfId="9593" xr:uid="{00000000-0005-0000-0000-000056420000}"/>
    <cellStyle name="Normal 6 2 2 2 2 2 3 2 2 2 2" xfId="19453" xr:uid="{00000000-0005-0000-0000-000057420000}"/>
    <cellStyle name="Normal 6 2 2 2 2 2 3 2 2 2 2 2" xfId="39168" xr:uid="{00000000-0005-0000-0000-000058420000}"/>
    <cellStyle name="Normal 6 2 2 2 2 2 3 2 2 2 3" xfId="29311" xr:uid="{00000000-0005-0000-0000-000059420000}"/>
    <cellStyle name="Normal 6 2 2 2 2 2 3 2 2 3" xfId="14525" xr:uid="{00000000-0005-0000-0000-00005A420000}"/>
    <cellStyle name="Normal 6 2 2 2 2 2 3 2 2 3 2" xfId="34240" xr:uid="{00000000-0005-0000-0000-00005B420000}"/>
    <cellStyle name="Normal 6 2 2 2 2 2 3 2 2 4" xfId="24383" xr:uid="{00000000-0005-0000-0000-00005C420000}"/>
    <cellStyle name="Normal 6 2 2 2 2 2 3 2 3" xfId="7129" xr:uid="{00000000-0005-0000-0000-00005D420000}"/>
    <cellStyle name="Normal 6 2 2 2 2 2 3 2 3 2" xfId="16989" xr:uid="{00000000-0005-0000-0000-00005E420000}"/>
    <cellStyle name="Normal 6 2 2 2 2 2 3 2 3 2 2" xfId="36704" xr:uid="{00000000-0005-0000-0000-00005F420000}"/>
    <cellStyle name="Normal 6 2 2 2 2 2 3 2 3 3" xfId="26847" xr:uid="{00000000-0005-0000-0000-000060420000}"/>
    <cellStyle name="Normal 6 2 2 2 2 2 3 2 4" xfId="12061" xr:uid="{00000000-0005-0000-0000-000061420000}"/>
    <cellStyle name="Normal 6 2 2 2 2 2 3 2 4 2" xfId="31776" xr:uid="{00000000-0005-0000-0000-000062420000}"/>
    <cellStyle name="Normal 6 2 2 2 2 2 3 2 5" xfId="21919" xr:uid="{00000000-0005-0000-0000-000063420000}"/>
    <cellStyle name="Normal 6 2 2 2 2 2 3 3" xfId="3429" xr:uid="{00000000-0005-0000-0000-000064420000}"/>
    <cellStyle name="Normal 6 2 2 2 2 2 3 3 2" xfId="8361" xr:uid="{00000000-0005-0000-0000-000065420000}"/>
    <cellStyle name="Normal 6 2 2 2 2 2 3 3 2 2" xfId="18221" xr:uid="{00000000-0005-0000-0000-000066420000}"/>
    <cellStyle name="Normal 6 2 2 2 2 2 3 3 2 2 2" xfId="37936" xr:uid="{00000000-0005-0000-0000-000067420000}"/>
    <cellStyle name="Normal 6 2 2 2 2 2 3 3 2 3" xfId="28079" xr:uid="{00000000-0005-0000-0000-000068420000}"/>
    <cellStyle name="Normal 6 2 2 2 2 2 3 3 3" xfId="13293" xr:uid="{00000000-0005-0000-0000-000069420000}"/>
    <cellStyle name="Normal 6 2 2 2 2 2 3 3 3 2" xfId="33008" xr:uid="{00000000-0005-0000-0000-00006A420000}"/>
    <cellStyle name="Normal 6 2 2 2 2 2 3 3 4" xfId="23151" xr:uid="{00000000-0005-0000-0000-00006B420000}"/>
    <cellStyle name="Normal 6 2 2 2 2 2 3 4" xfId="5897" xr:uid="{00000000-0005-0000-0000-00006C420000}"/>
    <cellStyle name="Normal 6 2 2 2 2 2 3 4 2" xfId="15757" xr:uid="{00000000-0005-0000-0000-00006D420000}"/>
    <cellStyle name="Normal 6 2 2 2 2 2 3 4 2 2" xfId="35472" xr:uid="{00000000-0005-0000-0000-00006E420000}"/>
    <cellStyle name="Normal 6 2 2 2 2 2 3 4 3" xfId="25615" xr:uid="{00000000-0005-0000-0000-00006F420000}"/>
    <cellStyle name="Normal 6 2 2 2 2 2 3 5" xfId="10829" xr:uid="{00000000-0005-0000-0000-000070420000}"/>
    <cellStyle name="Normal 6 2 2 2 2 2 3 5 2" xfId="30544" xr:uid="{00000000-0005-0000-0000-000071420000}"/>
    <cellStyle name="Normal 6 2 2 2 2 2 3 6" xfId="20687" xr:uid="{00000000-0005-0000-0000-000072420000}"/>
    <cellStyle name="Normal 6 2 2 2 2 2 4" xfId="1578" xr:uid="{00000000-0005-0000-0000-000073420000}"/>
    <cellStyle name="Normal 6 2 2 2 2 2 4 2" xfId="4045" xr:uid="{00000000-0005-0000-0000-000074420000}"/>
    <cellStyle name="Normal 6 2 2 2 2 2 4 2 2" xfId="8977" xr:uid="{00000000-0005-0000-0000-000075420000}"/>
    <cellStyle name="Normal 6 2 2 2 2 2 4 2 2 2" xfId="18837" xr:uid="{00000000-0005-0000-0000-000076420000}"/>
    <cellStyle name="Normal 6 2 2 2 2 2 4 2 2 2 2" xfId="38552" xr:uid="{00000000-0005-0000-0000-000077420000}"/>
    <cellStyle name="Normal 6 2 2 2 2 2 4 2 2 3" xfId="28695" xr:uid="{00000000-0005-0000-0000-000078420000}"/>
    <cellStyle name="Normal 6 2 2 2 2 2 4 2 3" xfId="13909" xr:uid="{00000000-0005-0000-0000-000079420000}"/>
    <cellStyle name="Normal 6 2 2 2 2 2 4 2 3 2" xfId="33624" xr:uid="{00000000-0005-0000-0000-00007A420000}"/>
    <cellStyle name="Normal 6 2 2 2 2 2 4 2 4" xfId="23767" xr:uid="{00000000-0005-0000-0000-00007B420000}"/>
    <cellStyle name="Normal 6 2 2 2 2 2 4 3" xfId="6513" xr:uid="{00000000-0005-0000-0000-00007C420000}"/>
    <cellStyle name="Normal 6 2 2 2 2 2 4 3 2" xfId="16373" xr:uid="{00000000-0005-0000-0000-00007D420000}"/>
    <cellStyle name="Normal 6 2 2 2 2 2 4 3 2 2" xfId="36088" xr:uid="{00000000-0005-0000-0000-00007E420000}"/>
    <cellStyle name="Normal 6 2 2 2 2 2 4 3 3" xfId="26231" xr:uid="{00000000-0005-0000-0000-00007F420000}"/>
    <cellStyle name="Normal 6 2 2 2 2 2 4 4" xfId="11445" xr:uid="{00000000-0005-0000-0000-000080420000}"/>
    <cellStyle name="Normal 6 2 2 2 2 2 4 4 2" xfId="31160" xr:uid="{00000000-0005-0000-0000-000081420000}"/>
    <cellStyle name="Normal 6 2 2 2 2 2 4 5" xfId="21303" xr:uid="{00000000-0005-0000-0000-000082420000}"/>
    <cellStyle name="Normal 6 2 2 2 2 2 5" xfId="2813" xr:uid="{00000000-0005-0000-0000-000083420000}"/>
    <cellStyle name="Normal 6 2 2 2 2 2 5 2" xfId="7745" xr:uid="{00000000-0005-0000-0000-000084420000}"/>
    <cellStyle name="Normal 6 2 2 2 2 2 5 2 2" xfId="17605" xr:uid="{00000000-0005-0000-0000-000085420000}"/>
    <cellStyle name="Normal 6 2 2 2 2 2 5 2 2 2" xfId="37320" xr:uid="{00000000-0005-0000-0000-000086420000}"/>
    <cellStyle name="Normal 6 2 2 2 2 2 5 2 3" xfId="27463" xr:uid="{00000000-0005-0000-0000-000087420000}"/>
    <cellStyle name="Normal 6 2 2 2 2 2 5 3" xfId="12677" xr:uid="{00000000-0005-0000-0000-000088420000}"/>
    <cellStyle name="Normal 6 2 2 2 2 2 5 3 2" xfId="32392" xr:uid="{00000000-0005-0000-0000-000089420000}"/>
    <cellStyle name="Normal 6 2 2 2 2 2 5 4" xfId="22535" xr:uid="{00000000-0005-0000-0000-00008A420000}"/>
    <cellStyle name="Normal 6 2 2 2 2 2 6" xfId="5281" xr:uid="{00000000-0005-0000-0000-00008B420000}"/>
    <cellStyle name="Normal 6 2 2 2 2 2 6 2" xfId="15141" xr:uid="{00000000-0005-0000-0000-00008C420000}"/>
    <cellStyle name="Normal 6 2 2 2 2 2 6 2 2" xfId="34856" xr:uid="{00000000-0005-0000-0000-00008D420000}"/>
    <cellStyle name="Normal 6 2 2 2 2 2 6 3" xfId="24999" xr:uid="{00000000-0005-0000-0000-00008E420000}"/>
    <cellStyle name="Normal 6 2 2 2 2 2 7" xfId="10213" xr:uid="{00000000-0005-0000-0000-00008F420000}"/>
    <cellStyle name="Normal 6 2 2 2 2 2 7 2" xfId="29928" xr:uid="{00000000-0005-0000-0000-000090420000}"/>
    <cellStyle name="Normal 6 2 2 2 2 2 8" xfId="20071" xr:uid="{00000000-0005-0000-0000-000091420000}"/>
    <cellStyle name="Normal 6 2 2 2 2 3" xfId="493" xr:uid="{00000000-0005-0000-0000-000092420000}"/>
    <cellStyle name="Normal 6 2 2 2 2 3 2" xfId="1113" xr:uid="{00000000-0005-0000-0000-000093420000}"/>
    <cellStyle name="Normal 6 2 2 2 2 3 2 2" xfId="2348" xr:uid="{00000000-0005-0000-0000-000094420000}"/>
    <cellStyle name="Normal 6 2 2 2 2 3 2 2 2" xfId="4815" xr:uid="{00000000-0005-0000-0000-000095420000}"/>
    <cellStyle name="Normal 6 2 2 2 2 3 2 2 2 2" xfId="9747" xr:uid="{00000000-0005-0000-0000-000096420000}"/>
    <cellStyle name="Normal 6 2 2 2 2 3 2 2 2 2 2" xfId="19607" xr:uid="{00000000-0005-0000-0000-000097420000}"/>
    <cellStyle name="Normal 6 2 2 2 2 3 2 2 2 2 2 2" xfId="39322" xr:uid="{00000000-0005-0000-0000-000098420000}"/>
    <cellStyle name="Normal 6 2 2 2 2 3 2 2 2 2 3" xfId="29465" xr:uid="{00000000-0005-0000-0000-000099420000}"/>
    <cellStyle name="Normal 6 2 2 2 2 3 2 2 2 3" xfId="14679" xr:uid="{00000000-0005-0000-0000-00009A420000}"/>
    <cellStyle name="Normal 6 2 2 2 2 3 2 2 2 3 2" xfId="34394" xr:uid="{00000000-0005-0000-0000-00009B420000}"/>
    <cellStyle name="Normal 6 2 2 2 2 3 2 2 2 4" xfId="24537" xr:uid="{00000000-0005-0000-0000-00009C420000}"/>
    <cellStyle name="Normal 6 2 2 2 2 3 2 2 3" xfId="7283" xr:uid="{00000000-0005-0000-0000-00009D420000}"/>
    <cellStyle name="Normal 6 2 2 2 2 3 2 2 3 2" xfId="17143" xr:uid="{00000000-0005-0000-0000-00009E420000}"/>
    <cellStyle name="Normal 6 2 2 2 2 3 2 2 3 2 2" xfId="36858" xr:uid="{00000000-0005-0000-0000-00009F420000}"/>
    <cellStyle name="Normal 6 2 2 2 2 3 2 2 3 3" xfId="27001" xr:uid="{00000000-0005-0000-0000-0000A0420000}"/>
    <cellStyle name="Normal 6 2 2 2 2 3 2 2 4" xfId="12215" xr:uid="{00000000-0005-0000-0000-0000A1420000}"/>
    <cellStyle name="Normal 6 2 2 2 2 3 2 2 4 2" xfId="31930" xr:uid="{00000000-0005-0000-0000-0000A2420000}"/>
    <cellStyle name="Normal 6 2 2 2 2 3 2 2 5" xfId="22073" xr:uid="{00000000-0005-0000-0000-0000A3420000}"/>
    <cellStyle name="Normal 6 2 2 2 2 3 2 3" xfId="3583" xr:uid="{00000000-0005-0000-0000-0000A4420000}"/>
    <cellStyle name="Normal 6 2 2 2 2 3 2 3 2" xfId="8515" xr:uid="{00000000-0005-0000-0000-0000A5420000}"/>
    <cellStyle name="Normal 6 2 2 2 2 3 2 3 2 2" xfId="18375" xr:uid="{00000000-0005-0000-0000-0000A6420000}"/>
    <cellStyle name="Normal 6 2 2 2 2 3 2 3 2 2 2" xfId="38090" xr:uid="{00000000-0005-0000-0000-0000A7420000}"/>
    <cellStyle name="Normal 6 2 2 2 2 3 2 3 2 3" xfId="28233" xr:uid="{00000000-0005-0000-0000-0000A8420000}"/>
    <cellStyle name="Normal 6 2 2 2 2 3 2 3 3" xfId="13447" xr:uid="{00000000-0005-0000-0000-0000A9420000}"/>
    <cellStyle name="Normal 6 2 2 2 2 3 2 3 3 2" xfId="33162" xr:uid="{00000000-0005-0000-0000-0000AA420000}"/>
    <cellStyle name="Normal 6 2 2 2 2 3 2 3 4" xfId="23305" xr:uid="{00000000-0005-0000-0000-0000AB420000}"/>
    <cellStyle name="Normal 6 2 2 2 2 3 2 4" xfId="6051" xr:uid="{00000000-0005-0000-0000-0000AC420000}"/>
    <cellStyle name="Normal 6 2 2 2 2 3 2 4 2" xfId="15911" xr:uid="{00000000-0005-0000-0000-0000AD420000}"/>
    <cellStyle name="Normal 6 2 2 2 2 3 2 4 2 2" xfId="35626" xr:uid="{00000000-0005-0000-0000-0000AE420000}"/>
    <cellStyle name="Normal 6 2 2 2 2 3 2 4 3" xfId="25769" xr:uid="{00000000-0005-0000-0000-0000AF420000}"/>
    <cellStyle name="Normal 6 2 2 2 2 3 2 5" xfId="10983" xr:uid="{00000000-0005-0000-0000-0000B0420000}"/>
    <cellStyle name="Normal 6 2 2 2 2 3 2 5 2" xfId="30698" xr:uid="{00000000-0005-0000-0000-0000B1420000}"/>
    <cellStyle name="Normal 6 2 2 2 2 3 2 6" xfId="20841" xr:uid="{00000000-0005-0000-0000-0000B2420000}"/>
    <cellStyle name="Normal 6 2 2 2 2 3 3" xfId="1732" xr:uid="{00000000-0005-0000-0000-0000B3420000}"/>
    <cellStyle name="Normal 6 2 2 2 2 3 3 2" xfId="4199" xr:uid="{00000000-0005-0000-0000-0000B4420000}"/>
    <cellStyle name="Normal 6 2 2 2 2 3 3 2 2" xfId="9131" xr:uid="{00000000-0005-0000-0000-0000B5420000}"/>
    <cellStyle name="Normal 6 2 2 2 2 3 3 2 2 2" xfId="18991" xr:uid="{00000000-0005-0000-0000-0000B6420000}"/>
    <cellStyle name="Normal 6 2 2 2 2 3 3 2 2 2 2" xfId="38706" xr:uid="{00000000-0005-0000-0000-0000B7420000}"/>
    <cellStyle name="Normal 6 2 2 2 2 3 3 2 2 3" xfId="28849" xr:uid="{00000000-0005-0000-0000-0000B8420000}"/>
    <cellStyle name="Normal 6 2 2 2 2 3 3 2 3" xfId="14063" xr:uid="{00000000-0005-0000-0000-0000B9420000}"/>
    <cellStyle name="Normal 6 2 2 2 2 3 3 2 3 2" xfId="33778" xr:uid="{00000000-0005-0000-0000-0000BA420000}"/>
    <cellStyle name="Normal 6 2 2 2 2 3 3 2 4" xfId="23921" xr:uid="{00000000-0005-0000-0000-0000BB420000}"/>
    <cellStyle name="Normal 6 2 2 2 2 3 3 3" xfId="6667" xr:uid="{00000000-0005-0000-0000-0000BC420000}"/>
    <cellStyle name="Normal 6 2 2 2 2 3 3 3 2" xfId="16527" xr:uid="{00000000-0005-0000-0000-0000BD420000}"/>
    <cellStyle name="Normal 6 2 2 2 2 3 3 3 2 2" xfId="36242" xr:uid="{00000000-0005-0000-0000-0000BE420000}"/>
    <cellStyle name="Normal 6 2 2 2 2 3 3 3 3" xfId="26385" xr:uid="{00000000-0005-0000-0000-0000BF420000}"/>
    <cellStyle name="Normal 6 2 2 2 2 3 3 4" xfId="11599" xr:uid="{00000000-0005-0000-0000-0000C0420000}"/>
    <cellStyle name="Normal 6 2 2 2 2 3 3 4 2" xfId="31314" xr:uid="{00000000-0005-0000-0000-0000C1420000}"/>
    <cellStyle name="Normal 6 2 2 2 2 3 3 5" xfId="21457" xr:uid="{00000000-0005-0000-0000-0000C2420000}"/>
    <cellStyle name="Normal 6 2 2 2 2 3 4" xfId="2967" xr:uid="{00000000-0005-0000-0000-0000C3420000}"/>
    <cellStyle name="Normal 6 2 2 2 2 3 4 2" xfId="7899" xr:uid="{00000000-0005-0000-0000-0000C4420000}"/>
    <cellStyle name="Normal 6 2 2 2 2 3 4 2 2" xfId="17759" xr:uid="{00000000-0005-0000-0000-0000C5420000}"/>
    <cellStyle name="Normal 6 2 2 2 2 3 4 2 2 2" xfId="37474" xr:uid="{00000000-0005-0000-0000-0000C6420000}"/>
    <cellStyle name="Normal 6 2 2 2 2 3 4 2 3" xfId="27617" xr:uid="{00000000-0005-0000-0000-0000C7420000}"/>
    <cellStyle name="Normal 6 2 2 2 2 3 4 3" xfId="12831" xr:uid="{00000000-0005-0000-0000-0000C8420000}"/>
    <cellStyle name="Normal 6 2 2 2 2 3 4 3 2" xfId="32546" xr:uid="{00000000-0005-0000-0000-0000C9420000}"/>
    <cellStyle name="Normal 6 2 2 2 2 3 4 4" xfId="22689" xr:uid="{00000000-0005-0000-0000-0000CA420000}"/>
    <cellStyle name="Normal 6 2 2 2 2 3 5" xfId="5435" xr:uid="{00000000-0005-0000-0000-0000CB420000}"/>
    <cellStyle name="Normal 6 2 2 2 2 3 5 2" xfId="15295" xr:uid="{00000000-0005-0000-0000-0000CC420000}"/>
    <cellStyle name="Normal 6 2 2 2 2 3 5 2 2" xfId="35010" xr:uid="{00000000-0005-0000-0000-0000CD420000}"/>
    <cellStyle name="Normal 6 2 2 2 2 3 5 3" xfId="25153" xr:uid="{00000000-0005-0000-0000-0000CE420000}"/>
    <cellStyle name="Normal 6 2 2 2 2 3 6" xfId="10367" xr:uid="{00000000-0005-0000-0000-0000CF420000}"/>
    <cellStyle name="Normal 6 2 2 2 2 3 6 2" xfId="30082" xr:uid="{00000000-0005-0000-0000-0000D0420000}"/>
    <cellStyle name="Normal 6 2 2 2 2 3 7" xfId="20225" xr:uid="{00000000-0005-0000-0000-0000D1420000}"/>
    <cellStyle name="Normal 6 2 2 2 2 4" xfId="806" xr:uid="{00000000-0005-0000-0000-0000D2420000}"/>
    <cellStyle name="Normal 6 2 2 2 2 4 2" xfId="2042" xr:uid="{00000000-0005-0000-0000-0000D3420000}"/>
    <cellStyle name="Normal 6 2 2 2 2 4 2 2" xfId="4509" xr:uid="{00000000-0005-0000-0000-0000D4420000}"/>
    <cellStyle name="Normal 6 2 2 2 2 4 2 2 2" xfId="9441" xr:uid="{00000000-0005-0000-0000-0000D5420000}"/>
    <cellStyle name="Normal 6 2 2 2 2 4 2 2 2 2" xfId="19301" xr:uid="{00000000-0005-0000-0000-0000D6420000}"/>
    <cellStyle name="Normal 6 2 2 2 2 4 2 2 2 2 2" xfId="39016" xr:uid="{00000000-0005-0000-0000-0000D7420000}"/>
    <cellStyle name="Normal 6 2 2 2 2 4 2 2 2 3" xfId="29159" xr:uid="{00000000-0005-0000-0000-0000D8420000}"/>
    <cellStyle name="Normal 6 2 2 2 2 4 2 2 3" xfId="14373" xr:uid="{00000000-0005-0000-0000-0000D9420000}"/>
    <cellStyle name="Normal 6 2 2 2 2 4 2 2 3 2" xfId="34088" xr:uid="{00000000-0005-0000-0000-0000DA420000}"/>
    <cellStyle name="Normal 6 2 2 2 2 4 2 2 4" xfId="24231" xr:uid="{00000000-0005-0000-0000-0000DB420000}"/>
    <cellStyle name="Normal 6 2 2 2 2 4 2 3" xfId="6977" xr:uid="{00000000-0005-0000-0000-0000DC420000}"/>
    <cellStyle name="Normal 6 2 2 2 2 4 2 3 2" xfId="16837" xr:uid="{00000000-0005-0000-0000-0000DD420000}"/>
    <cellStyle name="Normal 6 2 2 2 2 4 2 3 2 2" xfId="36552" xr:uid="{00000000-0005-0000-0000-0000DE420000}"/>
    <cellStyle name="Normal 6 2 2 2 2 4 2 3 3" xfId="26695" xr:uid="{00000000-0005-0000-0000-0000DF420000}"/>
    <cellStyle name="Normal 6 2 2 2 2 4 2 4" xfId="11909" xr:uid="{00000000-0005-0000-0000-0000E0420000}"/>
    <cellStyle name="Normal 6 2 2 2 2 4 2 4 2" xfId="31624" xr:uid="{00000000-0005-0000-0000-0000E1420000}"/>
    <cellStyle name="Normal 6 2 2 2 2 4 2 5" xfId="21767" xr:uid="{00000000-0005-0000-0000-0000E2420000}"/>
    <cellStyle name="Normal 6 2 2 2 2 4 3" xfId="3277" xr:uid="{00000000-0005-0000-0000-0000E3420000}"/>
    <cellStyle name="Normal 6 2 2 2 2 4 3 2" xfId="8209" xr:uid="{00000000-0005-0000-0000-0000E4420000}"/>
    <cellStyle name="Normal 6 2 2 2 2 4 3 2 2" xfId="18069" xr:uid="{00000000-0005-0000-0000-0000E5420000}"/>
    <cellStyle name="Normal 6 2 2 2 2 4 3 2 2 2" xfId="37784" xr:uid="{00000000-0005-0000-0000-0000E6420000}"/>
    <cellStyle name="Normal 6 2 2 2 2 4 3 2 3" xfId="27927" xr:uid="{00000000-0005-0000-0000-0000E7420000}"/>
    <cellStyle name="Normal 6 2 2 2 2 4 3 3" xfId="13141" xr:uid="{00000000-0005-0000-0000-0000E8420000}"/>
    <cellStyle name="Normal 6 2 2 2 2 4 3 3 2" xfId="32856" xr:uid="{00000000-0005-0000-0000-0000E9420000}"/>
    <cellStyle name="Normal 6 2 2 2 2 4 3 4" xfId="22999" xr:uid="{00000000-0005-0000-0000-0000EA420000}"/>
    <cellStyle name="Normal 6 2 2 2 2 4 4" xfId="5745" xr:uid="{00000000-0005-0000-0000-0000EB420000}"/>
    <cellStyle name="Normal 6 2 2 2 2 4 4 2" xfId="15605" xr:uid="{00000000-0005-0000-0000-0000EC420000}"/>
    <cellStyle name="Normal 6 2 2 2 2 4 4 2 2" xfId="35320" xr:uid="{00000000-0005-0000-0000-0000ED420000}"/>
    <cellStyle name="Normal 6 2 2 2 2 4 4 3" xfId="25463" xr:uid="{00000000-0005-0000-0000-0000EE420000}"/>
    <cellStyle name="Normal 6 2 2 2 2 4 5" xfId="10677" xr:uid="{00000000-0005-0000-0000-0000EF420000}"/>
    <cellStyle name="Normal 6 2 2 2 2 4 5 2" xfId="30392" xr:uid="{00000000-0005-0000-0000-0000F0420000}"/>
    <cellStyle name="Normal 6 2 2 2 2 4 6" xfId="20535" xr:uid="{00000000-0005-0000-0000-0000F1420000}"/>
    <cellStyle name="Normal 6 2 2 2 2 5" xfId="1426" xr:uid="{00000000-0005-0000-0000-0000F2420000}"/>
    <cellStyle name="Normal 6 2 2 2 2 5 2" xfId="3893" xr:uid="{00000000-0005-0000-0000-0000F3420000}"/>
    <cellStyle name="Normal 6 2 2 2 2 5 2 2" xfId="8825" xr:uid="{00000000-0005-0000-0000-0000F4420000}"/>
    <cellStyle name="Normal 6 2 2 2 2 5 2 2 2" xfId="18685" xr:uid="{00000000-0005-0000-0000-0000F5420000}"/>
    <cellStyle name="Normal 6 2 2 2 2 5 2 2 2 2" xfId="38400" xr:uid="{00000000-0005-0000-0000-0000F6420000}"/>
    <cellStyle name="Normal 6 2 2 2 2 5 2 2 3" xfId="28543" xr:uid="{00000000-0005-0000-0000-0000F7420000}"/>
    <cellStyle name="Normal 6 2 2 2 2 5 2 3" xfId="13757" xr:uid="{00000000-0005-0000-0000-0000F8420000}"/>
    <cellStyle name="Normal 6 2 2 2 2 5 2 3 2" xfId="33472" xr:uid="{00000000-0005-0000-0000-0000F9420000}"/>
    <cellStyle name="Normal 6 2 2 2 2 5 2 4" xfId="23615" xr:uid="{00000000-0005-0000-0000-0000FA420000}"/>
    <cellStyle name="Normal 6 2 2 2 2 5 3" xfId="6361" xr:uid="{00000000-0005-0000-0000-0000FB420000}"/>
    <cellStyle name="Normal 6 2 2 2 2 5 3 2" xfId="16221" xr:uid="{00000000-0005-0000-0000-0000FC420000}"/>
    <cellStyle name="Normal 6 2 2 2 2 5 3 2 2" xfId="35936" xr:uid="{00000000-0005-0000-0000-0000FD420000}"/>
    <cellStyle name="Normal 6 2 2 2 2 5 3 3" xfId="26079" xr:uid="{00000000-0005-0000-0000-0000FE420000}"/>
    <cellStyle name="Normal 6 2 2 2 2 5 4" xfId="11293" xr:uid="{00000000-0005-0000-0000-0000FF420000}"/>
    <cellStyle name="Normal 6 2 2 2 2 5 4 2" xfId="31008" xr:uid="{00000000-0005-0000-0000-000000430000}"/>
    <cellStyle name="Normal 6 2 2 2 2 5 5" xfId="21151" xr:uid="{00000000-0005-0000-0000-000001430000}"/>
    <cellStyle name="Normal 6 2 2 2 2 6" xfId="2661" xr:uid="{00000000-0005-0000-0000-000002430000}"/>
    <cellStyle name="Normal 6 2 2 2 2 6 2" xfId="7593" xr:uid="{00000000-0005-0000-0000-000003430000}"/>
    <cellStyle name="Normal 6 2 2 2 2 6 2 2" xfId="17453" xr:uid="{00000000-0005-0000-0000-000004430000}"/>
    <cellStyle name="Normal 6 2 2 2 2 6 2 2 2" xfId="37168" xr:uid="{00000000-0005-0000-0000-000005430000}"/>
    <cellStyle name="Normal 6 2 2 2 2 6 2 3" xfId="27311" xr:uid="{00000000-0005-0000-0000-000006430000}"/>
    <cellStyle name="Normal 6 2 2 2 2 6 3" xfId="12525" xr:uid="{00000000-0005-0000-0000-000007430000}"/>
    <cellStyle name="Normal 6 2 2 2 2 6 3 2" xfId="32240" xr:uid="{00000000-0005-0000-0000-000008430000}"/>
    <cellStyle name="Normal 6 2 2 2 2 6 4" xfId="22383" xr:uid="{00000000-0005-0000-0000-000009430000}"/>
    <cellStyle name="Normal 6 2 2 2 2 7" xfId="5129" xr:uid="{00000000-0005-0000-0000-00000A430000}"/>
    <cellStyle name="Normal 6 2 2 2 2 7 2" xfId="14989" xr:uid="{00000000-0005-0000-0000-00000B430000}"/>
    <cellStyle name="Normal 6 2 2 2 2 7 2 2" xfId="34704" xr:uid="{00000000-0005-0000-0000-00000C430000}"/>
    <cellStyle name="Normal 6 2 2 2 2 7 3" xfId="24847" xr:uid="{00000000-0005-0000-0000-00000D430000}"/>
    <cellStyle name="Normal 6 2 2 2 2 8" xfId="10061" xr:uid="{00000000-0005-0000-0000-00000E430000}"/>
    <cellStyle name="Normal 6 2 2 2 2 8 2" xfId="29776" xr:uid="{00000000-0005-0000-0000-00000F430000}"/>
    <cellStyle name="Normal 6 2 2 2 2 9" xfId="19919" xr:uid="{00000000-0005-0000-0000-000010430000}"/>
    <cellStyle name="Normal 6 2 2 2 3" xfId="255" xr:uid="{00000000-0005-0000-0000-000011430000}"/>
    <cellStyle name="Normal 6 2 2 2 3 2" xfId="569" xr:uid="{00000000-0005-0000-0000-000012430000}"/>
    <cellStyle name="Normal 6 2 2 2 3 2 2" xfId="1189" xr:uid="{00000000-0005-0000-0000-000013430000}"/>
    <cellStyle name="Normal 6 2 2 2 3 2 2 2" xfId="2424" xr:uid="{00000000-0005-0000-0000-000014430000}"/>
    <cellStyle name="Normal 6 2 2 2 3 2 2 2 2" xfId="4891" xr:uid="{00000000-0005-0000-0000-000015430000}"/>
    <cellStyle name="Normal 6 2 2 2 3 2 2 2 2 2" xfId="9823" xr:uid="{00000000-0005-0000-0000-000016430000}"/>
    <cellStyle name="Normal 6 2 2 2 3 2 2 2 2 2 2" xfId="19683" xr:uid="{00000000-0005-0000-0000-000017430000}"/>
    <cellStyle name="Normal 6 2 2 2 3 2 2 2 2 2 2 2" xfId="39398" xr:uid="{00000000-0005-0000-0000-000018430000}"/>
    <cellStyle name="Normal 6 2 2 2 3 2 2 2 2 2 3" xfId="29541" xr:uid="{00000000-0005-0000-0000-000019430000}"/>
    <cellStyle name="Normal 6 2 2 2 3 2 2 2 2 3" xfId="14755" xr:uid="{00000000-0005-0000-0000-00001A430000}"/>
    <cellStyle name="Normal 6 2 2 2 3 2 2 2 2 3 2" xfId="34470" xr:uid="{00000000-0005-0000-0000-00001B430000}"/>
    <cellStyle name="Normal 6 2 2 2 3 2 2 2 2 4" xfId="24613" xr:uid="{00000000-0005-0000-0000-00001C430000}"/>
    <cellStyle name="Normal 6 2 2 2 3 2 2 2 3" xfId="7359" xr:uid="{00000000-0005-0000-0000-00001D430000}"/>
    <cellStyle name="Normal 6 2 2 2 3 2 2 2 3 2" xfId="17219" xr:uid="{00000000-0005-0000-0000-00001E430000}"/>
    <cellStyle name="Normal 6 2 2 2 3 2 2 2 3 2 2" xfId="36934" xr:uid="{00000000-0005-0000-0000-00001F430000}"/>
    <cellStyle name="Normal 6 2 2 2 3 2 2 2 3 3" xfId="27077" xr:uid="{00000000-0005-0000-0000-000020430000}"/>
    <cellStyle name="Normal 6 2 2 2 3 2 2 2 4" xfId="12291" xr:uid="{00000000-0005-0000-0000-000021430000}"/>
    <cellStyle name="Normal 6 2 2 2 3 2 2 2 4 2" xfId="32006" xr:uid="{00000000-0005-0000-0000-000022430000}"/>
    <cellStyle name="Normal 6 2 2 2 3 2 2 2 5" xfId="22149" xr:uid="{00000000-0005-0000-0000-000023430000}"/>
    <cellStyle name="Normal 6 2 2 2 3 2 2 3" xfId="3659" xr:uid="{00000000-0005-0000-0000-000024430000}"/>
    <cellStyle name="Normal 6 2 2 2 3 2 2 3 2" xfId="8591" xr:uid="{00000000-0005-0000-0000-000025430000}"/>
    <cellStyle name="Normal 6 2 2 2 3 2 2 3 2 2" xfId="18451" xr:uid="{00000000-0005-0000-0000-000026430000}"/>
    <cellStyle name="Normal 6 2 2 2 3 2 2 3 2 2 2" xfId="38166" xr:uid="{00000000-0005-0000-0000-000027430000}"/>
    <cellStyle name="Normal 6 2 2 2 3 2 2 3 2 3" xfId="28309" xr:uid="{00000000-0005-0000-0000-000028430000}"/>
    <cellStyle name="Normal 6 2 2 2 3 2 2 3 3" xfId="13523" xr:uid="{00000000-0005-0000-0000-000029430000}"/>
    <cellStyle name="Normal 6 2 2 2 3 2 2 3 3 2" xfId="33238" xr:uid="{00000000-0005-0000-0000-00002A430000}"/>
    <cellStyle name="Normal 6 2 2 2 3 2 2 3 4" xfId="23381" xr:uid="{00000000-0005-0000-0000-00002B430000}"/>
    <cellStyle name="Normal 6 2 2 2 3 2 2 4" xfId="6127" xr:uid="{00000000-0005-0000-0000-00002C430000}"/>
    <cellStyle name="Normal 6 2 2 2 3 2 2 4 2" xfId="15987" xr:uid="{00000000-0005-0000-0000-00002D430000}"/>
    <cellStyle name="Normal 6 2 2 2 3 2 2 4 2 2" xfId="35702" xr:uid="{00000000-0005-0000-0000-00002E430000}"/>
    <cellStyle name="Normal 6 2 2 2 3 2 2 4 3" xfId="25845" xr:uid="{00000000-0005-0000-0000-00002F430000}"/>
    <cellStyle name="Normal 6 2 2 2 3 2 2 5" xfId="11059" xr:uid="{00000000-0005-0000-0000-000030430000}"/>
    <cellStyle name="Normal 6 2 2 2 3 2 2 5 2" xfId="30774" xr:uid="{00000000-0005-0000-0000-000031430000}"/>
    <cellStyle name="Normal 6 2 2 2 3 2 2 6" xfId="20917" xr:uid="{00000000-0005-0000-0000-000032430000}"/>
    <cellStyle name="Normal 6 2 2 2 3 2 3" xfId="1808" xr:uid="{00000000-0005-0000-0000-000033430000}"/>
    <cellStyle name="Normal 6 2 2 2 3 2 3 2" xfId="4275" xr:uid="{00000000-0005-0000-0000-000034430000}"/>
    <cellStyle name="Normal 6 2 2 2 3 2 3 2 2" xfId="9207" xr:uid="{00000000-0005-0000-0000-000035430000}"/>
    <cellStyle name="Normal 6 2 2 2 3 2 3 2 2 2" xfId="19067" xr:uid="{00000000-0005-0000-0000-000036430000}"/>
    <cellStyle name="Normal 6 2 2 2 3 2 3 2 2 2 2" xfId="38782" xr:uid="{00000000-0005-0000-0000-000037430000}"/>
    <cellStyle name="Normal 6 2 2 2 3 2 3 2 2 3" xfId="28925" xr:uid="{00000000-0005-0000-0000-000038430000}"/>
    <cellStyle name="Normal 6 2 2 2 3 2 3 2 3" xfId="14139" xr:uid="{00000000-0005-0000-0000-000039430000}"/>
    <cellStyle name="Normal 6 2 2 2 3 2 3 2 3 2" xfId="33854" xr:uid="{00000000-0005-0000-0000-00003A430000}"/>
    <cellStyle name="Normal 6 2 2 2 3 2 3 2 4" xfId="23997" xr:uid="{00000000-0005-0000-0000-00003B430000}"/>
    <cellStyle name="Normal 6 2 2 2 3 2 3 3" xfId="6743" xr:uid="{00000000-0005-0000-0000-00003C430000}"/>
    <cellStyle name="Normal 6 2 2 2 3 2 3 3 2" xfId="16603" xr:uid="{00000000-0005-0000-0000-00003D430000}"/>
    <cellStyle name="Normal 6 2 2 2 3 2 3 3 2 2" xfId="36318" xr:uid="{00000000-0005-0000-0000-00003E430000}"/>
    <cellStyle name="Normal 6 2 2 2 3 2 3 3 3" xfId="26461" xr:uid="{00000000-0005-0000-0000-00003F430000}"/>
    <cellStyle name="Normal 6 2 2 2 3 2 3 4" xfId="11675" xr:uid="{00000000-0005-0000-0000-000040430000}"/>
    <cellStyle name="Normal 6 2 2 2 3 2 3 4 2" xfId="31390" xr:uid="{00000000-0005-0000-0000-000041430000}"/>
    <cellStyle name="Normal 6 2 2 2 3 2 3 5" xfId="21533" xr:uid="{00000000-0005-0000-0000-000042430000}"/>
    <cellStyle name="Normal 6 2 2 2 3 2 4" xfId="3043" xr:uid="{00000000-0005-0000-0000-000043430000}"/>
    <cellStyle name="Normal 6 2 2 2 3 2 4 2" xfId="7975" xr:uid="{00000000-0005-0000-0000-000044430000}"/>
    <cellStyle name="Normal 6 2 2 2 3 2 4 2 2" xfId="17835" xr:uid="{00000000-0005-0000-0000-000045430000}"/>
    <cellStyle name="Normal 6 2 2 2 3 2 4 2 2 2" xfId="37550" xr:uid="{00000000-0005-0000-0000-000046430000}"/>
    <cellStyle name="Normal 6 2 2 2 3 2 4 2 3" xfId="27693" xr:uid="{00000000-0005-0000-0000-000047430000}"/>
    <cellStyle name="Normal 6 2 2 2 3 2 4 3" xfId="12907" xr:uid="{00000000-0005-0000-0000-000048430000}"/>
    <cellStyle name="Normal 6 2 2 2 3 2 4 3 2" xfId="32622" xr:uid="{00000000-0005-0000-0000-000049430000}"/>
    <cellStyle name="Normal 6 2 2 2 3 2 4 4" xfId="22765" xr:uid="{00000000-0005-0000-0000-00004A430000}"/>
    <cellStyle name="Normal 6 2 2 2 3 2 5" xfId="5511" xr:uid="{00000000-0005-0000-0000-00004B430000}"/>
    <cellStyle name="Normal 6 2 2 2 3 2 5 2" xfId="15371" xr:uid="{00000000-0005-0000-0000-00004C430000}"/>
    <cellStyle name="Normal 6 2 2 2 3 2 5 2 2" xfId="35086" xr:uid="{00000000-0005-0000-0000-00004D430000}"/>
    <cellStyle name="Normal 6 2 2 2 3 2 5 3" xfId="25229" xr:uid="{00000000-0005-0000-0000-00004E430000}"/>
    <cellStyle name="Normal 6 2 2 2 3 2 6" xfId="10443" xr:uid="{00000000-0005-0000-0000-00004F430000}"/>
    <cellStyle name="Normal 6 2 2 2 3 2 6 2" xfId="30158" xr:uid="{00000000-0005-0000-0000-000050430000}"/>
    <cellStyle name="Normal 6 2 2 2 3 2 7" xfId="20301" xr:uid="{00000000-0005-0000-0000-000051430000}"/>
    <cellStyle name="Normal 6 2 2 2 3 3" xfId="882" xr:uid="{00000000-0005-0000-0000-000052430000}"/>
    <cellStyle name="Normal 6 2 2 2 3 3 2" xfId="2118" xr:uid="{00000000-0005-0000-0000-000053430000}"/>
    <cellStyle name="Normal 6 2 2 2 3 3 2 2" xfId="4585" xr:uid="{00000000-0005-0000-0000-000054430000}"/>
    <cellStyle name="Normal 6 2 2 2 3 3 2 2 2" xfId="9517" xr:uid="{00000000-0005-0000-0000-000055430000}"/>
    <cellStyle name="Normal 6 2 2 2 3 3 2 2 2 2" xfId="19377" xr:uid="{00000000-0005-0000-0000-000056430000}"/>
    <cellStyle name="Normal 6 2 2 2 3 3 2 2 2 2 2" xfId="39092" xr:uid="{00000000-0005-0000-0000-000057430000}"/>
    <cellStyle name="Normal 6 2 2 2 3 3 2 2 2 3" xfId="29235" xr:uid="{00000000-0005-0000-0000-000058430000}"/>
    <cellStyle name="Normal 6 2 2 2 3 3 2 2 3" xfId="14449" xr:uid="{00000000-0005-0000-0000-000059430000}"/>
    <cellStyle name="Normal 6 2 2 2 3 3 2 2 3 2" xfId="34164" xr:uid="{00000000-0005-0000-0000-00005A430000}"/>
    <cellStyle name="Normal 6 2 2 2 3 3 2 2 4" xfId="24307" xr:uid="{00000000-0005-0000-0000-00005B430000}"/>
    <cellStyle name="Normal 6 2 2 2 3 3 2 3" xfId="7053" xr:uid="{00000000-0005-0000-0000-00005C430000}"/>
    <cellStyle name="Normal 6 2 2 2 3 3 2 3 2" xfId="16913" xr:uid="{00000000-0005-0000-0000-00005D430000}"/>
    <cellStyle name="Normal 6 2 2 2 3 3 2 3 2 2" xfId="36628" xr:uid="{00000000-0005-0000-0000-00005E430000}"/>
    <cellStyle name="Normal 6 2 2 2 3 3 2 3 3" xfId="26771" xr:uid="{00000000-0005-0000-0000-00005F430000}"/>
    <cellStyle name="Normal 6 2 2 2 3 3 2 4" xfId="11985" xr:uid="{00000000-0005-0000-0000-000060430000}"/>
    <cellStyle name="Normal 6 2 2 2 3 3 2 4 2" xfId="31700" xr:uid="{00000000-0005-0000-0000-000061430000}"/>
    <cellStyle name="Normal 6 2 2 2 3 3 2 5" xfId="21843" xr:uid="{00000000-0005-0000-0000-000062430000}"/>
    <cellStyle name="Normal 6 2 2 2 3 3 3" xfId="3353" xr:uid="{00000000-0005-0000-0000-000063430000}"/>
    <cellStyle name="Normal 6 2 2 2 3 3 3 2" xfId="8285" xr:uid="{00000000-0005-0000-0000-000064430000}"/>
    <cellStyle name="Normal 6 2 2 2 3 3 3 2 2" xfId="18145" xr:uid="{00000000-0005-0000-0000-000065430000}"/>
    <cellStyle name="Normal 6 2 2 2 3 3 3 2 2 2" xfId="37860" xr:uid="{00000000-0005-0000-0000-000066430000}"/>
    <cellStyle name="Normal 6 2 2 2 3 3 3 2 3" xfId="28003" xr:uid="{00000000-0005-0000-0000-000067430000}"/>
    <cellStyle name="Normal 6 2 2 2 3 3 3 3" xfId="13217" xr:uid="{00000000-0005-0000-0000-000068430000}"/>
    <cellStyle name="Normal 6 2 2 2 3 3 3 3 2" xfId="32932" xr:uid="{00000000-0005-0000-0000-000069430000}"/>
    <cellStyle name="Normal 6 2 2 2 3 3 3 4" xfId="23075" xr:uid="{00000000-0005-0000-0000-00006A430000}"/>
    <cellStyle name="Normal 6 2 2 2 3 3 4" xfId="5821" xr:uid="{00000000-0005-0000-0000-00006B430000}"/>
    <cellStyle name="Normal 6 2 2 2 3 3 4 2" xfId="15681" xr:uid="{00000000-0005-0000-0000-00006C430000}"/>
    <cellStyle name="Normal 6 2 2 2 3 3 4 2 2" xfId="35396" xr:uid="{00000000-0005-0000-0000-00006D430000}"/>
    <cellStyle name="Normal 6 2 2 2 3 3 4 3" xfId="25539" xr:uid="{00000000-0005-0000-0000-00006E430000}"/>
    <cellStyle name="Normal 6 2 2 2 3 3 5" xfId="10753" xr:uid="{00000000-0005-0000-0000-00006F430000}"/>
    <cellStyle name="Normal 6 2 2 2 3 3 5 2" xfId="30468" xr:uid="{00000000-0005-0000-0000-000070430000}"/>
    <cellStyle name="Normal 6 2 2 2 3 3 6" xfId="20611" xr:uid="{00000000-0005-0000-0000-000071430000}"/>
    <cellStyle name="Normal 6 2 2 2 3 4" xfId="1502" xr:uid="{00000000-0005-0000-0000-000072430000}"/>
    <cellStyle name="Normal 6 2 2 2 3 4 2" xfId="3969" xr:uid="{00000000-0005-0000-0000-000073430000}"/>
    <cellStyle name="Normal 6 2 2 2 3 4 2 2" xfId="8901" xr:uid="{00000000-0005-0000-0000-000074430000}"/>
    <cellStyle name="Normal 6 2 2 2 3 4 2 2 2" xfId="18761" xr:uid="{00000000-0005-0000-0000-000075430000}"/>
    <cellStyle name="Normal 6 2 2 2 3 4 2 2 2 2" xfId="38476" xr:uid="{00000000-0005-0000-0000-000076430000}"/>
    <cellStyle name="Normal 6 2 2 2 3 4 2 2 3" xfId="28619" xr:uid="{00000000-0005-0000-0000-000077430000}"/>
    <cellStyle name="Normal 6 2 2 2 3 4 2 3" xfId="13833" xr:uid="{00000000-0005-0000-0000-000078430000}"/>
    <cellStyle name="Normal 6 2 2 2 3 4 2 3 2" xfId="33548" xr:uid="{00000000-0005-0000-0000-000079430000}"/>
    <cellStyle name="Normal 6 2 2 2 3 4 2 4" xfId="23691" xr:uid="{00000000-0005-0000-0000-00007A430000}"/>
    <cellStyle name="Normal 6 2 2 2 3 4 3" xfId="6437" xr:uid="{00000000-0005-0000-0000-00007B430000}"/>
    <cellStyle name="Normal 6 2 2 2 3 4 3 2" xfId="16297" xr:uid="{00000000-0005-0000-0000-00007C430000}"/>
    <cellStyle name="Normal 6 2 2 2 3 4 3 2 2" xfId="36012" xr:uid="{00000000-0005-0000-0000-00007D430000}"/>
    <cellStyle name="Normal 6 2 2 2 3 4 3 3" xfId="26155" xr:uid="{00000000-0005-0000-0000-00007E430000}"/>
    <cellStyle name="Normal 6 2 2 2 3 4 4" xfId="11369" xr:uid="{00000000-0005-0000-0000-00007F430000}"/>
    <cellStyle name="Normal 6 2 2 2 3 4 4 2" xfId="31084" xr:uid="{00000000-0005-0000-0000-000080430000}"/>
    <cellStyle name="Normal 6 2 2 2 3 4 5" xfId="21227" xr:uid="{00000000-0005-0000-0000-000081430000}"/>
    <cellStyle name="Normal 6 2 2 2 3 5" xfId="2737" xr:uid="{00000000-0005-0000-0000-000082430000}"/>
    <cellStyle name="Normal 6 2 2 2 3 5 2" xfId="7669" xr:uid="{00000000-0005-0000-0000-000083430000}"/>
    <cellStyle name="Normal 6 2 2 2 3 5 2 2" xfId="17529" xr:uid="{00000000-0005-0000-0000-000084430000}"/>
    <cellStyle name="Normal 6 2 2 2 3 5 2 2 2" xfId="37244" xr:uid="{00000000-0005-0000-0000-000085430000}"/>
    <cellStyle name="Normal 6 2 2 2 3 5 2 3" xfId="27387" xr:uid="{00000000-0005-0000-0000-000086430000}"/>
    <cellStyle name="Normal 6 2 2 2 3 5 3" xfId="12601" xr:uid="{00000000-0005-0000-0000-000087430000}"/>
    <cellStyle name="Normal 6 2 2 2 3 5 3 2" xfId="32316" xr:uid="{00000000-0005-0000-0000-000088430000}"/>
    <cellStyle name="Normal 6 2 2 2 3 5 4" xfId="22459" xr:uid="{00000000-0005-0000-0000-000089430000}"/>
    <cellStyle name="Normal 6 2 2 2 3 6" xfId="5205" xr:uid="{00000000-0005-0000-0000-00008A430000}"/>
    <cellStyle name="Normal 6 2 2 2 3 6 2" xfId="15065" xr:uid="{00000000-0005-0000-0000-00008B430000}"/>
    <cellStyle name="Normal 6 2 2 2 3 6 2 2" xfId="34780" xr:uid="{00000000-0005-0000-0000-00008C430000}"/>
    <cellStyle name="Normal 6 2 2 2 3 6 3" xfId="24923" xr:uid="{00000000-0005-0000-0000-00008D430000}"/>
    <cellStyle name="Normal 6 2 2 2 3 7" xfId="10137" xr:uid="{00000000-0005-0000-0000-00008E430000}"/>
    <cellStyle name="Normal 6 2 2 2 3 7 2" xfId="29852" xr:uid="{00000000-0005-0000-0000-00008F430000}"/>
    <cellStyle name="Normal 6 2 2 2 3 8" xfId="19995" xr:uid="{00000000-0005-0000-0000-000090430000}"/>
    <cellStyle name="Normal 6 2 2 2 4" xfId="417" xr:uid="{00000000-0005-0000-0000-000091430000}"/>
    <cellStyle name="Normal 6 2 2 2 4 2" xfId="1037" xr:uid="{00000000-0005-0000-0000-000092430000}"/>
    <cellStyle name="Normal 6 2 2 2 4 2 2" xfId="2272" xr:uid="{00000000-0005-0000-0000-000093430000}"/>
    <cellStyle name="Normal 6 2 2 2 4 2 2 2" xfId="4739" xr:uid="{00000000-0005-0000-0000-000094430000}"/>
    <cellStyle name="Normal 6 2 2 2 4 2 2 2 2" xfId="9671" xr:uid="{00000000-0005-0000-0000-000095430000}"/>
    <cellStyle name="Normal 6 2 2 2 4 2 2 2 2 2" xfId="19531" xr:uid="{00000000-0005-0000-0000-000096430000}"/>
    <cellStyle name="Normal 6 2 2 2 4 2 2 2 2 2 2" xfId="39246" xr:uid="{00000000-0005-0000-0000-000097430000}"/>
    <cellStyle name="Normal 6 2 2 2 4 2 2 2 2 3" xfId="29389" xr:uid="{00000000-0005-0000-0000-000098430000}"/>
    <cellStyle name="Normal 6 2 2 2 4 2 2 2 3" xfId="14603" xr:uid="{00000000-0005-0000-0000-000099430000}"/>
    <cellStyle name="Normal 6 2 2 2 4 2 2 2 3 2" xfId="34318" xr:uid="{00000000-0005-0000-0000-00009A430000}"/>
    <cellStyle name="Normal 6 2 2 2 4 2 2 2 4" xfId="24461" xr:uid="{00000000-0005-0000-0000-00009B430000}"/>
    <cellStyle name="Normal 6 2 2 2 4 2 2 3" xfId="7207" xr:uid="{00000000-0005-0000-0000-00009C430000}"/>
    <cellStyle name="Normal 6 2 2 2 4 2 2 3 2" xfId="17067" xr:uid="{00000000-0005-0000-0000-00009D430000}"/>
    <cellStyle name="Normal 6 2 2 2 4 2 2 3 2 2" xfId="36782" xr:uid="{00000000-0005-0000-0000-00009E430000}"/>
    <cellStyle name="Normal 6 2 2 2 4 2 2 3 3" xfId="26925" xr:uid="{00000000-0005-0000-0000-00009F430000}"/>
    <cellStyle name="Normal 6 2 2 2 4 2 2 4" xfId="12139" xr:uid="{00000000-0005-0000-0000-0000A0430000}"/>
    <cellStyle name="Normal 6 2 2 2 4 2 2 4 2" xfId="31854" xr:uid="{00000000-0005-0000-0000-0000A1430000}"/>
    <cellStyle name="Normal 6 2 2 2 4 2 2 5" xfId="21997" xr:uid="{00000000-0005-0000-0000-0000A2430000}"/>
    <cellStyle name="Normal 6 2 2 2 4 2 3" xfId="3507" xr:uid="{00000000-0005-0000-0000-0000A3430000}"/>
    <cellStyle name="Normal 6 2 2 2 4 2 3 2" xfId="8439" xr:uid="{00000000-0005-0000-0000-0000A4430000}"/>
    <cellStyle name="Normal 6 2 2 2 4 2 3 2 2" xfId="18299" xr:uid="{00000000-0005-0000-0000-0000A5430000}"/>
    <cellStyle name="Normal 6 2 2 2 4 2 3 2 2 2" xfId="38014" xr:uid="{00000000-0005-0000-0000-0000A6430000}"/>
    <cellStyle name="Normal 6 2 2 2 4 2 3 2 3" xfId="28157" xr:uid="{00000000-0005-0000-0000-0000A7430000}"/>
    <cellStyle name="Normal 6 2 2 2 4 2 3 3" xfId="13371" xr:uid="{00000000-0005-0000-0000-0000A8430000}"/>
    <cellStyle name="Normal 6 2 2 2 4 2 3 3 2" xfId="33086" xr:uid="{00000000-0005-0000-0000-0000A9430000}"/>
    <cellStyle name="Normal 6 2 2 2 4 2 3 4" xfId="23229" xr:uid="{00000000-0005-0000-0000-0000AA430000}"/>
    <cellStyle name="Normal 6 2 2 2 4 2 4" xfId="5975" xr:uid="{00000000-0005-0000-0000-0000AB430000}"/>
    <cellStyle name="Normal 6 2 2 2 4 2 4 2" xfId="15835" xr:uid="{00000000-0005-0000-0000-0000AC430000}"/>
    <cellStyle name="Normal 6 2 2 2 4 2 4 2 2" xfId="35550" xr:uid="{00000000-0005-0000-0000-0000AD430000}"/>
    <cellStyle name="Normal 6 2 2 2 4 2 4 3" xfId="25693" xr:uid="{00000000-0005-0000-0000-0000AE430000}"/>
    <cellStyle name="Normal 6 2 2 2 4 2 5" xfId="10907" xr:uid="{00000000-0005-0000-0000-0000AF430000}"/>
    <cellStyle name="Normal 6 2 2 2 4 2 5 2" xfId="30622" xr:uid="{00000000-0005-0000-0000-0000B0430000}"/>
    <cellStyle name="Normal 6 2 2 2 4 2 6" xfId="20765" xr:uid="{00000000-0005-0000-0000-0000B1430000}"/>
    <cellStyle name="Normal 6 2 2 2 4 3" xfId="1656" xr:uid="{00000000-0005-0000-0000-0000B2430000}"/>
    <cellStyle name="Normal 6 2 2 2 4 3 2" xfId="4123" xr:uid="{00000000-0005-0000-0000-0000B3430000}"/>
    <cellStyle name="Normal 6 2 2 2 4 3 2 2" xfId="9055" xr:uid="{00000000-0005-0000-0000-0000B4430000}"/>
    <cellStyle name="Normal 6 2 2 2 4 3 2 2 2" xfId="18915" xr:uid="{00000000-0005-0000-0000-0000B5430000}"/>
    <cellStyle name="Normal 6 2 2 2 4 3 2 2 2 2" xfId="38630" xr:uid="{00000000-0005-0000-0000-0000B6430000}"/>
    <cellStyle name="Normal 6 2 2 2 4 3 2 2 3" xfId="28773" xr:uid="{00000000-0005-0000-0000-0000B7430000}"/>
    <cellStyle name="Normal 6 2 2 2 4 3 2 3" xfId="13987" xr:uid="{00000000-0005-0000-0000-0000B8430000}"/>
    <cellStyle name="Normal 6 2 2 2 4 3 2 3 2" xfId="33702" xr:uid="{00000000-0005-0000-0000-0000B9430000}"/>
    <cellStyle name="Normal 6 2 2 2 4 3 2 4" xfId="23845" xr:uid="{00000000-0005-0000-0000-0000BA430000}"/>
    <cellStyle name="Normal 6 2 2 2 4 3 3" xfId="6591" xr:uid="{00000000-0005-0000-0000-0000BB430000}"/>
    <cellStyle name="Normal 6 2 2 2 4 3 3 2" xfId="16451" xr:uid="{00000000-0005-0000-0000-0000BC430000}"/>
    <cellStyle name="Normal 6 2 2 2 4 3 3 2 2" xfId="36166" xr:uid="{00000000-0005-0000-0000-0000BD430000}"/>
    <cellStyle name="Normal 6 2 2 2 4 3 3 3" xfId="26309" xr:uid="{00000000-0005-0000-0000-0000BE430000}"/>
    <cellStyle name="Normal 6 2 2 2 4 3 4" xfId="11523" xr:uid="{00000000-0005-0000-0000-0000BF430000}"/>
    <cellStyle name="Normal 6 2 2 2 4 3 4 2" xfId="31238" xr:uid="{00000000-0005-0000-0000-0000C0430000}"/>
    <cellStyle name="Normal 6 2 2 2 4 3 5" xfId="21381" xr:uid="{00000000-0005-0000-0000-0000C1430000}"/>
    <cellStyle name="Normal 6 2 2 2 4 4" xfId="2891" xr:uid="{00000000-0005-0000-0000-0000C2430000}"/>
    <cellStyle name="Normal 6 2 2 2 4 4 2" xfId="7823" xr:uid="{00000000-0005-0000-0000-0000C3430000}"/>
    <cellStyle name="Normal 6 2 2 2 4 4 2 2" xfId="17683" xr:uid="{00000000-0005-0000-0000-0000C4430000}"/>
    <cellStyle name="Normal 6 2 2 2 4 4 2 2 2" xfId="37398" xr:uid="{00000000-0005-0000-0000-0000C5430000}"/>
    <cellStyle name="Normal 6 2 2 2 4 4 2 3" xfId="27541" xr:uid="{00000000-0005-0000-0000-0000C6430000}"/>
    <cellStyle name="Normal 6 2 2 2 4 4 3" xfId="12755" xr:uid="{00000000-0005-0000-0000-0000C7430000}"/>
    <cellStyle name="Normal 6 2 2 2 4 4 3 2" xfId="32470" xr:uid="{00000000-0005-0000-0000-0000C8430000}"/>
    <cellStyle name="Normal 6 2 2 2 4 4 4" xfId="22613" xr:uid="{00000000-0005-0000-0000-0000C9430000}"/>
    <cellStyle name="Normal 6 2 2 2 4 5" xfId="5359" xr:uid="{00000000-0005-0000-0000-0000CA430000}"/>
    <cellStyle name="Normal 6 2 2 2 4 5 2" xfId="15219" xr:uid="{00000000-0005-0000-0000-0000CB430000}"/>
    <cellStyle name="Normal 6 2 2 2 4 5 2 2" xfId="34934" xr:uid="{00000000-0005-0000-0000-0000CC430000}"/>
    <cellStyle name="Normal 6 2 2 2 4 5 3" xfId="25077" xr:uid="{00000000-0005-0000-0000-0000CD430000}"/>
    <cellStyle name="Normal 6 2 2 2 4 6" xfId="10291" xr:uid="{00000000-0005-0000-0000-0000CE430000}"/>
    <cellStyle name="Normal 6 2 2 2 4 6 2" xfId="30006" xr:uid="{00000000-0005-0000-0000-0000CF430000}"/>
    <cellStyle name="Normal 6 2 2 2 4 7" xfId="20149" xr:uid="{00000000-0005-0000-0000-0000D0430000}"/>
    <cellStyle name="Normal 6 2 2 2 5" xfId="730" xr:uid="{00000000-0005-0000-0000-0000D1430000}"/>
    <cellStyle name="Normal 6 2 2 2 5 2" xfId="1966" xr:uid="{00000000-0005-0000-0000-0000D2430000}"/>
    <cellStyle name="Normal 6 2 2 2 5 2 2" xfId="4433" xr:uid="{00000000-0005-0000-0000-0000D3430000}"/>
    <cellStyle name="Normal 6 2 2 2 5 2 2 2" xfId="9365" xr:uid="{00000000-0005-0000-0000-0000D4430000}"/>
    <cellStyle name="Normal 6 2 2 2 5 2 2 2 2" xfId="19225" xr:uid="{00000000-0005-0000-0000-0000D5430000}"/>
    <cellStyle name="Normal 6 2 2 2 5 2 2 2 2 2" xfId="38940" xr:uid="{00000000-0005-0000-0000-0000D6430000}"/>
    <cellStyle name="Normal 6 2 2 2 5 2 2 2 3" xfId="29083" xr:uid="{00000000-0005-0000-0000-0000D7430000}"/>
    <cellStyle name="Normal 6 2 2 2 5 2 2 3" xfId="14297" xr:uid="{00000000-0005-0000-0000-0000D8430000}"/>
    <cellStyle name="Normal 6 2 2 2 5 2 2 3 2" xfId="34012" xr:uid="{00000000-0005-0000-0000-0000D9430000}"/>
    <cellStyle name="Normal 6 2 2 2 5 2 2 4" xfId="24155" xr:uid="{00000000-0005-0000-0000-0000DA430000}"/>
    <cellStyle name="Normal 6 2 2 2 5 2 3" xfId="6901" xr:uid="{00000000-0005-0000-0000-0000DB430000}"/>
    <cellStyle name="Normal 6 2 2 2 5 2 3 2" xfId="16761" xr:uid="{00000000-0005-0000-0000-0000DC430000}"/>
    <cellStyle name="Normal 6 2 2 2 5 2 3 2 2" xfId="36476" xr:uid="{00000000-0005-0000-0000-0000DD430000}"/>
    <cellStyle name="Normal 6 2 2 2 5 2 3 3" xfId="26619" xr:uid="{00000000-0005-0000-0000-0000DE430000}"/>
    <cellStyle name="Normal 6 2 2 2 5 2 4" xfId="11833" xr:uid="{00000000-0005-0000-0000-0000DF430000}"/>
    <cellStyle name="Normal 6 2 2 2 5 2 4 2" xfId="31548" xr:uid="{00000000-0005-0000-0000-0000E0430000}"/>
    <cellStyle name="Normal 6 2 2 2 5 2 5" xfId="21691" xr:uid="{00000000-0005-0000-0000-0000E1430000}"/>
    <cellStyle name="Normal 6 2 2 2 5 3" xfId="3201" xr:uid="{00000000-0005-0000-0000-0000E2430000}"/>
    <cellStyle name="Normal 6 2 2 2 5 3 2" xfId="8133" xr:uid="{00000000-0005-0000-0000-0000E3430000}"/>
    <cellStyle name="Normal 6 2 2 2 5 3 2 2" xfId="17993" xr:uid="{00000000-0005-0000-0000-0000E4430000}"/>
    <cellStyle name="Normal 6 2 2 2 5 3 2 2 2" xfId="37708" xr:uid="{00000000-0005-0000-0000-0000E5430000}"/>
    <cellStyle name="Normal 6 2 2 2 5 3 2 3" xfId="27851" xr:uid="{00000000-0005-0000-0000-0000E6430000}"/>
    <cellStyle name="Normal 6 2 2 2 5 3 3" xfId="13065" xr:uid="{00000000-0005-0000-0000-0000E7430000}"/>
    <cellStyle name="Normal 6 2 2 2 5 3 3 2" xfId="32780" xr:uid="{00000000-0005-0000-0000-0000E8430000}"/>
    <cellStyle name="Normal 6 2 2 2 5 3 4" xfId="22923" xr:uid="{00000000-0005-0000-0000-0000E9430000}"/>
    <cellStyle name="Normal 6 2 2 2 5 4" xfId="5669" xr:uid="{00000000-0005-0000-0000-0000EA430000}"/>
    <cellStyle name="Normal 6 2 2 2 5 4 2" xfId="15529" xr:uid="{00000000-0005-0000-0000-0000EB430000}"/>
    <cellStyle name="Normal 6 2 2 2 5 4 2 2" xfId="35244" xr:uid="{00000000-0005-0000-0000-0000EC430000}"/>
    <cellStyle name="Normal 6 2 2 2 5 4 3" xfId="25387" xr:uid="{00000000-0005-0000-0000-0000ED430000}"/>
    <cellStyle name="Normal 6 2 2 2 5 5" xfId="10601" xr:uid="{00000000-0005-0000-0000-0000EE430000}"/>
    <cellStyle name="Normal 6 2 2 2 5 5 2" xfId="30316" xr:uid="{00000000-0005-0000-0000-0000EF430000}"/>
    <cellStyle name="Normal 6 2 2 2 5 6" xfId="20459" xr:uid="{00000000-0005-0000-0000-0000F0430000}"/>
    <cellStyle name="Normal 6 2 2 2 6" xfId="1350" xr:uid="{00000000-0005-0000-0000-0000F1430000}"/>
    <cellStyle name="Normal 6 2 2 2 6 2" xfId="3817" xr:uid="{00000000-0005-0000-0000-0000F2430000}"/>
    <cellStyle name="Normal 6 2 2 2 6 2 2" xfId="8749" xr:uid="{00000000-0005-0000-0000-0000F3430000}"/>
    <cellStyle name="Normal 6 2 2 2 6 2 2 2" xfId="18609" xr:uid="{00000000-0005-0000-0000-0000F4430000}"/>
    <cellStyle name="Normal 6 2 2 2 6 2 2 2 2" xfId="38324" xr:uid="{00000000-0005-0000-0000-0000F5430000}"/>
    <cellStyle name="Normal 6 2 2 2 6 2 2 3" xfId="28467" xr:uid="{00000000-0005-0000-0000-0000F6430000}"/>
    <cellStyle name="Normal 6 2 2 2 6 2 3" xfId="13681" xr:uid="{00000000-0005-0000-0000-0000F7430000}"/>
    <cellStyle name="Normal 6 2 2 2 6 2 3 2" xfId="33396" xr:uid="{00000000-0005-0000-0000-0000F8430000}"/>
    <cellStyle name="Normal 6 2 2 2 6 2 4" xfId="23539" xr:uid="{00000000-0005-0000-0000-0000F9430000}"/>
    <cellStyle name="Normal 6 2 2 2 6 3" xfId="6285" xr:uid="{00000000-0005-0000-0000-0000FA430000}"/>
    <cellStyle name="Normal 6 2 2 2 6 3 2" xfId="16145" xr:uid="{00000000-0005-0000-0000-0000FB430000}"/>
    <cellStyle name="Normal 6 2 2 2 6 3 2 2" xfId="35860" xr:uid="{00000000-0005-0000-0000-0000FC430000}"/>
    <cellStyle name="Normal 6 2 2 2 6 3 3" xfId="26003" xr:uid="{00000000-0005-0000-0000-0000FD430000}"/>
    <cellStyle name="Normal 6 2 2 2 6 4" xfId="11217" xr:uid="{00000000-0005-0000-0000-0000FE430000}"/>
    <cellStyle name="Normal 6 2 2 2 6 4 2" xfId="30932" xr:uid="{00000000-0005-0000-0000-0000FF430000}"/>
    <cellStyle name="Normal 6 2 2 2 6 5" xfId="21075" xr:uid="{00000000-0005-0000-0000-000000440000}"/>
    <cellStyle name="Normal 6 2 2 2 7" xfId="2585" xr:uid="{00000000-0005-0000-0000-000001440000}"/>
    <cellStyle name="Normal 6 2 2 2 7 2" xfId="7517" xr:uid="{00000000-0005-0000-0000-000002440000}"/>
    <cellStyle name="Normal 6 2 2 2 7 2 2" xfId="17377" xr:uid="{00000000-0005-0000-0000-000003440000}"/>
    <cellStyle name="Normal 6 2 2 2 7 2 2 2" xfId="37092" xr:uid="{00000000-0005-0000-0000-000004440000}"/>
    <cellStyle name="Normal 6 2 2 2 7 2 3" xfId="27235" xr:uid="{00000000-0005-0000-0000-000005440000}"/>
    <cellStyle name="Normal 6 2 2 2 7 3" xfId="12449" xr:uid="{00000000-0005-0000-0000-000006440000}"/>
    <cellStyle name="Normal 6 2 2 2 7 3 2" xfId="32164" xr:uid="{00000000-0005-0000-0000-000007440000}"/>
    <cellStyle name="Normal 6 2 2 2 7 4" xfId="22307" xr:uid="{00000000-0005-0000-0000-000008440000}"/>
    <cellStyle name="Normal 6 2 2 2 8" xfId="5053" xr:uid="{00000000-0005-0000-0000-000009440000}"/>
    <cellStyle name="Normal 6 2 2 2 8 2" xfId="14913" xr:uid="{00000000-0005-0000-0000-00000A440000}"/>
    <cellStyle name="Normal 6 2 2 2 8 2 2" xfId="34628" xr:uid="{00000000-0005-0000-0000-00000B440000}"/>
    <cellStyle name="Normal 6 2 2 2 8 3" xfId="24771" xr:uid="{00000000-0005-0000-0000-00000C440000}"/>
    <cellStyle name="Normal 6 2 2 2 9" xfId="9985" xr:uid="{00000000-0005-0000-0000-00000D440000}"/>
    <cellStyle name="Normal 6 2 2 2 9 2" xfId="29700" xr:uid="{00000000-0005-0000-0000-00000E440000}"/>
    <cellStyle name="Normal 6 2 2 3" xfId="136" xr:uid="{00000000-0005-0000-0000-00000F440000}"/>
    <cellStyle name="Normal 6 2 2 3 2" xfId="293" xr:uid="{00000000-0005-0000-0000-000010440000}"/>
    <cellStyle name="Normal 6 2 2 3 2 2" xfId="607" xr:uid="{00000000-0005-0000-0000-000011440000}"/>
    <cellStyle name="Normal 6 2 2 3 2 2 2" xfId="1227" xr:uid="{00000000-0005-0000-0000-000012440000}"/>
    <cellStyle name="Normal 6 2 2 3 2 2 2 2" xfId="2462" xr:uid="{00000000-0005-0000-0000-000013440000}"/>
    <cellStyle name="Normal 6 2 2 3 2 2 2 2 2" xfId="4929" xr:uid="{00000000-0005-0000-0000-000014440000}"/>
    <cellStyle name="Normal 6 2 2 3 2 2 2 2 2 2" xfId="9861" xr:uid="{00000000-0005-0000-0000-000015440000}"/>
    <cellStyle name="Normal 6 2 2 3 2 2 2 2 2 2 2" xfId="19721" xr:uid="{00000000-0005-0000-0000-000016440000}"/>
    <cellStyle name="Normal 6 2 2 3 2 2 2 2 2 2 2 2" xfId="39436" xr:uid="{00000000-0005-0000-0000-000017440000}"/>
    <cellStyle name="Normal 6 2 2 3 2 2 2 2 2 2 3" xfId="29579" xr:uid="{00000000-0005-0000-0000-000018440000}"/>
    <cellStyle name="Normal 6 2 2 3 2 2 2 2 2 3" xfId="14793" xr:uid="{00000000-0005-0000-0000-000019440000}"/>
    <cellStyle name="Normal 6 2 2 3 2 2 2 2 2 3 2" xfId="34508" xr:uid="{00000000-0005-0000-0000-00001A440000}"/>
    <cellStyle name="Normal 6 2 2 3 2 2 2 2 2 4" xfId="24651" xr:uid="{00000000-0005-0000-0000-00001B440000}"/>
    <cellStyle name="Normal 6 2 2 3 2 2 2 2 3" xfId="7397" xr:uid="{00000000-0005-0000-0000-00001C440000}"/>
    <cellStyle name="Normal 6 2 2 3 2 2 2 2 3 2" xfId="17257" xr:uid="{00000000-0005-0000-0000-00001D440000}"/>
    <cellStyle name="Normal 6 2 2 3 2 2 2 2 3 2 2" xfId="36972" xr:uid="{00000000-0005-0000-0000-00001E440000}"/>
    <cellStyle name="Normal 6 2 2 3 2 2 2 2 3 3" xfId="27115" xr:uid="{00000000-0005-0000-0000-00001F440000}"/>
    <cellStyle name="Normal 6 2 2 3 2 2 2 2 4" xfId="12329" xr:uid="{00000000-0005-0000-0000-000020440000}"/>
    <cellStyle name="Normal 6 2 2 3 2 2 2 2 4 2" xfId="32044" xr:uid="{00000000-0005-0000-0000-000021440000}"/>
    <cellStyle name="Normal 6 2 2 3 2 2 2 2 5" xfId="22187" xr:uid="{00000000-0005-0000-0000-000022440000}"/>
    <cellStyle name="Normal 6 2 2 3 2 2 2 3" xfId="3697" xr:uid="{00000000-0005-0000-0000-000023440000}"/>
    <cellStyle name="Normal 6 2 2 3 2 2 2 3 2" xfId="8629" xr:uid="{00000000-0005-0000-0000-000024440000}"/>
    <cellStyle name="Normal 6 2 2 3 2 2 2 3 2 2" xfId="18489" xr:uid="{00000000-0005-0000-0000-000025440000}"/>
    <cellStyle name="Normal 6 2 2 3 2 2 2 3 2 2 2" xfId="38204" xr:uid="{00000000-0005-0000-0000-000026440000}"/>
    <cellStyle name="Normal 6 2 2 3 2 2 2 3 2 3" xfId="28347" xr:uid="{00000000-0005-0000-0000-000027440000}"/>
    <cellStyle name="Normal 6 2 2 3 2 2 2 3 3" xfId="13561" xr:uid="{00000000-0005-0000-0000-000028440000}"/>
    <cellStyle name="Normal 6 2 2 3 2 2 2 3 3 2" xfId="33276" xr:uid="{00000000-0005-0000-0000-000029440000}"/>
    <cellStyle name="Normal 6 2 2 3 2 2 2 3 4" xfId="23419" xr:uid="{00000000-0005-0000-0000-00002A440000}"/>
    <cellStyle name="Normal 6 2 2 3 2 2 2 4" xfId="6165" xr:uid="{00000000-0005-0000-0000-00002B440000}"/>
    <cellStyle name="Normal 6 2 2 3 2 2 2 4 2" xfId="16025" xr:uid="{00000000-0005-0000-0000-00002C440000}"/>
    <cellStyle name="Normal 6 2 2 3 2 2 2 4 2 2" xfId="35740" xr:uid="{00000000-0005-0000-0000-00002D440000}"/>
    <cellStyle name="Normal 6 2 2 3 2 2 2 4 3" xfId="25883" xr:uid="{00000000-0005-0000-0000-00002E440000}"/>
    <cellStyle name="Normal 6 2 2 3 2 2 2 5" xfId="11097" xr:uid="{00000000-0005-0000-0000-00002F440000}"/>
    <cellStyle name="Normal 6 2 2 3 2 2 2 5 2" xfId="30812" xr:uid="{00000000-0005-0000-0000-000030440000}"/>
    <cellStyle name="Normal 6 2 2 3 2 2 2 6" xfId="20955" xr:uid="{00000000-0005-0000-0000-000031440000}"/>
    <cellStyle name="Normal 6 2 2 3 2 2 3" xfId="1846" xr:uid="{00000000-0005-0000-0000-000032440000}"/>
    <cellStyle name="Normal 6 2 2 3 2 2 3 2" xfId="4313" xr:uid="{00000000-0005-0000-0000-000033440000}"/>
    <cellStyle name="Normal 6 2 2 3 2 2 3 2 2" xfId="9245" xr:uid="{00000000-0005-0000-0000-000034440000}"/>
    <cellStyle name="Normal 6 2 2 3 2 2 3 2 2 2" xfId="19105" xr:uid="{00000000-0005-0000-0000-000035440000}"/>
    <cellStyle name="Normal 6 2 2 3 2 2 3 2 2 2 2" xfId="38820" xr:uid="{00000000-0005-0000-0000-000036440000}"/>
    <cellStyle name="Normal 6 2 2 3 2 2 3 2 2 3" xfId="28963" xr:uid="{00000000-0005-0000-0000-000037440000}"/>
    <cellStyle name="Normal 6 2 2 3 2 2 3 2 3" xfId="14177" xr:uid="{00000000-0005-0000-0000-000038440000}"/>
    <cellStyle name="Normal 6 2 2 3 2 2 3 2 3 2" xfId="33892" xr:uid="{00000000-0005-0000-0000-000039440000}"/>
    <cellStyle name="Normal 6 2 2 3 2 2 3 2 4" xfId="24035" xr:uid="{00000000-0005-0000-0000-00003A440000}"/>
    <cellStyle name="Normal 6 2 2 3 2 2 3 3" xfId="6781" xr:uid="{00000000-0005-0000-0000-00003B440000}"/>
    <cellStyle name="Normal 6 2 2 3 2 2 3 3 2" xfId="16641" xr:uid="{00000000-0005-0000-0000-00003C440000}"/>
    <cellStyle name="Normal 6 2 2 3 2 2 3 3 2 2" xfId="36356" xr:uid="{00000000-0005-0000-0000-00003D440000}"/>
    <cellStyle name="Normal 6 2 2 3 2 2 3 3 3" xfId="26499" xr:uid="{00000000-0005-0000-0000-00003E440000}"/>
    <cellStyle name="Normal 6 2 2 3 2 2 3 4" xfId="11713" xr:uid="{00000000-0005-0000-0000-00003F440000}"/>
    <cellStyle name="Normal 6 2 2 3 2 2 3 4 2" xfId="31428" xr:uid="{00000000-0005-0000-0000-000040440000}"/>
    <cellStyle name="Normal 6 2 2 3 2 2 3 5" xfId="21571" xr:uid="{00000000-0005-0000-0000-000041440000}"/>
    <cellStyle name="Normal 6 2 2 3 2 2 4" xfId="3081" xr:uid="{00000000-0005-0000-0000-000042440000}"/>
    <cellStyle name="Normal 6 2 2 3 2 2 4 2" xfId="8013" xr:uid="{00000000-0005-0000-0000-000043440000}"/>
    <cellStyle name="Normal 6 2 2 3 2 2 4 2 2" xfId="17873" xr:uid="{00000000-0005-0000-0000-000044440000}"/>
    <cellStyle name="Normal 6 2 2 3 2 2 4 2 2 2" xfId="37588" xr:uid="{00000000-0005-0000-0000-000045440000}"/>
    <cellStyle name="Normal 6 2 2 3 2 2 4 2 3" xfId="27731" xr:uid="{00000000-0005-0000-0000-000046440000}"/>
    <cellStyle name="Normal 6 2 2 3 2 2 4 3" xfId="12945" xr:uid="{00000000-0005-0000-0000-000047440000}"/>
    <cellStyle name="Normal 6 2 2 3 2 2 4 3 2" xfId="32660" xr:uid="{00000000-0005-0000-0000-000048440000}"/>
    <cellStyle name="Normal 6 2 2 3 2 2 4 4" xfId="22803" xr:uid="{00000000-0005-0000-0000-000049440000}"/>
    <cellStyle name="Normal 6 2 2 3 2 2 5" xfId="5549" xr:uid="{00000000-0005-0000-0000-00004A440000}"/>
    <cellStyle name="Normal 6 2 2 3 2 2 5 2" xfId="15409" xr:uid="{00000000-0005-0000-0000-00004B440000}"/>
    <cellStyle name="Normal 6 2 2 3 2 2 5 2 2" xfId="35124" xr:uid="{00000000-0005-0000-0000-00004C440000}"/>
    <cellStyle name="Normal 6 2 2 3 2 2 5 3" xfId="25267" xr:uid="{00000000-0005-0000-0000-00004D440000}"/>
    <cellStyle name="Normal 6 2 2 3 2 2 6" xfId="10481" xr:uid="{00000000-0005-0000-0000-00004E440000}"/>
    <cellStyle name="Normal 6 2 2 3 2 2 6 2" xfId="30196" xr:uid="{00000000-0005-0000-0000-00004F440000}"/>
    <cellStyle name="Normal 6 2 2 3 2 2 7" xfId="20339" xr:uid="{00000000-0005-0000-0000-000050440000}"/>
    <cellStyle name="Normal 6 2 2 3 2 3" xfId="920" xr:uid="{00000000-0005-0000-0000-000051440000}"/>
    <cellStyle name="Normal 6 2 2 3 2 3 2" xfId="2156" xr:uid="{00000000-0005-0000-0000-000052440000}"/>
    <cellStyle name="Normal 6 2 2 3 2 3 2 2" xfId="4623" xr:uid="{00000000-0005-0000-0000-000053440000}"/>
    <cellStyle name="Normal 6 2 2 3 2 3 2 2 2" xfId="9555" xr:uid="{00000000-0005-0000-0000-000054440000}"/>
    <cellStyle name="Normal 6 2 2 3 2 3 2 2 2 2" xfId="19415" xr:uid="{00000000-0005-0000-0000-000055440000}"/>
    <cellStyle name="Normal 6 2 2 3 2 3 2 2 2 2 2" xfId="39130" xr:uid="{00000000-0005-0000-0000-000056440000}"/>
    <cellStyle name="Normal 6 2 2 3 2 3 2 2 2 3" xfId="29273" xr:uid="{00000000-0005-0000-0000-000057440000}"/>
    <cellStyle name="Normal 6 2 2 3 2 3 2 2 3" xfId="14487" xr:uid="{00000000-0005-0000-0000-000058440000}"/>
    <cellStyle name="Normal 6 2 2 3 2 3 2 2 3 2" xfId="34202" xr:uid="{00000000-0005-0000-0000-000059440000}"/>
    <cellStyle name="Normal 6 2 2 3 2 3 2 2 4" xfId="24345" xr:uid="{00000000-0005-0000-0000-00005A440000}"/>
    <cellStyle name="Normal 6 2 2 3 2 3 2 3" xfId="7091" xr:uid="{00000000-0005-0000-0000-00005B440000}"/>
    <cellStyle name="Normal 6 2 2 3 2 3 2 3 2" xfId="16951" xr:uid="{00000000-0005-0000-0000-00005C440000}"/>
    <cellStyle name="Normal 6 2 2 3 2 3 2 3 2 2" xfId="36666" xr:uid="{00000000-0005-0000-0000-00005D440000}"/>
    <cellStyle name="Normal 6 2 2 3 2 3 2 3 3" xfId="26809" xr:uid="{00000000-0005-0000-0000-00005E440000}"/>
    <cellStyle name="Normal 6 2 2 3 2 3 2 4" xfId="12023" xr:uid="{00000000-0005-0000-0000-00005F440000}"/>
    <cellStyle name="Normal 6 2 2 3 2 3 2 4 2" xfId="31738" xr:uid="{00000000-0005-0000-0000-000060440000}"/>
    <cellStyle name="Normal 6 2 2 3 2 3 2 5" xfId="21881" xr:uid="{00000000-0005-0000-0000-000061440000}"/>
    <cellStyle name="Normal 6 2 2 3 2 3 3" xfId="3391" xr:uid="{00000000-0005-0000-0000-000062440000}"/>
    <cellStyle name="Normal 6 2 2 3 2 3 3 2" xfId="8323" xr:uid="{00000000-0005-0000-0000-000063440000}"/>
    <cellStyle name="Normal 6 2 2 3 2 3 3 2 2" xfId="18183" xr:uid="{00000000-0005-0000-0000-000064440000}"/>
    <cellStyle name="Normal 6 2 2 3 2 3 3 2 2 2" xfId="37898" xr:uid="{00000000-0005-0000-0000-000065440000}"/>
    <cellStyle name="Normal 6 2 2 3 2 3 3 2 3" xfId="28041" xr:uid="{00000000-0005-0000-0000-000066440000}"/>
    <cellStyle name="Normal 6 2 2 3 2 3 3 3" xfId="13255" xr:uid="{00000000-0005-0000-0000-000067440000}"/>
    <cellStyle name="Normal 6 2 2 3 2 3 3 3 2" xfId="32970" xr:uid="{00000000-0005-0000-0000-000068440000}"/>
    <cellStyle name="Normal 6 2 2 3 2 3 3 4" xfId="23113" xr:uid="{00000000-0005-0000-0000-000069440000}"/>
    <cellStyle name="Normal 6 2 2 3 2 3 4" xfId="5859" xr:uid="{00000000-0005-0000-0000-00006A440000}"/>
    <cellStyle name="Normal 6 2 2 3 2 3 4 2" xfId="15719" xr:uid="{00000000-0005-0000-0000-00006B440000}"/>
    <cellStyle name="Normal 6 2 2 3 2 3 4 2 2" xfId="35434" xr:uid="{00000000-0005-0000-0000-00006C440000}"/>
    <cellStyle name="Normal 6 2 2 3 2 3 4 3" xfId="25577" xr:uid="{00000000-0005-0000-0000-00006D440000}"/>
    <cellStyle name="Normal 6 2 2 3 2 3 5" xfId="10791" xr:uid="{00000000-0005-0000-0000-00006E440000}"/>
    <cellStyle name="Normal 6 2 2 3 2 3 5 2" xfId="30506" xr:uid="{00000000-0005-0000-0000-00006F440000}"/>
    <cellStyle name="Normal 6 2 2 3 2 3 6" xfId="20649" xr:uid="{00000000-0005-0000-0000-000070440000}"/>
    <cellStyle name="Normal 6 2 2 3 2 4" xfId="1540" xr:uid="{00000000-0005-0000-0000-000071440000}"/>
    <cellStyle name="Normal 6 2 2 3 2 4 2" xfId="4007" xr:uid="{00000000-0005-0000-0000-000072440000}"/>
    <cellStyle name="Normal 6 2 2 3 2 4 2 2" xfId="8939" xr:uid="{00000000-0005-0000-0000-000073440000}"/>
    <cellStyle name="Normal 6 2 2 3 2 4 2 2 2" xfId="18799" xr:uid="{00000000-0005-0000-0000-000074440000}"/>
    <cellStyle name="Normal 6 2 2 3 2 4 2 2 2 2" xfId="38514" xr:uid="{00000000-0005-0000-0000-000075440000}"/>
    <cellStyle name="Normal 6 2 2 3 2 4 2 2 3" xfId="28657" xr:uid="{00000000-0005-0000-0000-000076440000}"/>
    <cellStyle name="Normal 6 2 2 3 2 4 2 3" xfId="13871" xr:uid="{00000000-0005-0000-0000-000077440000}"/>
    <cellStyle name="Normal 6 2 2 3 2 4 2 3 2" xfId="33586" xr:uid="{00000000-0005-0000-0000-000078440000}"/>
    <cellStyle name="Normal 6 2 2 3 2 4 2 4" xfId="23729" xr:uid="{00000000-0005-0000-0000-000079440000}"/>
    <cellStyle name="Normal 6 2 2 3 2 4 3" xfId="6475" xr:uid="{00000000-0005-0000-0000-00007A440000}"/>
    <cellStyle name="Normal 6 2 2 3 2 4 3 2" xfId="16335" xr:uid="{00000000-0005-0000-0000-00007B440000}"/>
    <cellStyle name="Normal 6 2 2 3 2 4 3 2 2" xfId="36050" xr:uid="{00000000-0005-0000-0000-00007C440000}"/>
    <cellStyle name="Normal 6 2 2 3 2 4 3 3" xfId="26193" xr:uid="{00000000-0005-0000-0000-00007D440000}"/>
    <cellStyle name="Normal 6 2 2 3 2 4 4" xfId="11407" xr:uid="{00000000-0005-0000-0000-00007E440000}"/>
    <cellStyle name="Normal 6 2 2 3 2 4 4 2" xfId="31122" xr:uid="{00000000-0005-0000-0000-00007F440000}"/>
    <cellStyle name="Normal 6 2 2 3 2 4 5" xfId="21265" xr:uid="{00000000-0005-0000-0000-000080440000}"/>
    <cellStyle name="Normal 6 2 2 3 2 5" xfId="2775" xr:uid="{00000000-0005-0000-0000-000081440000}"/>
    <cellStyle name="Normal 6 2 2 3 2 5 2" xfId="7707" xr:uid="{00000000-0005-0000-0000-000082440000}"/>
    <cellStyle name="Normal 6 2 2 3 2 5 2 2" xfId="17567" xr:uid="{00000000-0005-0000-0000-000083440000}"/>
    <cellStyle name="Normal 6 2 2 3 2 5 2 2 2" xfId="37282" xr:uid="{00000000-0005-0000-0000-000084440000}"/>
    <cellStyle name="Normal 6 2 2 3 2 5 2 3" xfId="27425" xr:uid="{00000000-0005-0000-0000-000085440000}"/>
    <cellStyle name="Normal 6 2 2 3 2 5 3" xfId="12639" xr:uid="{00000000-0005-0000-0000-000086440000}"/>
    <cellStyle name="Normal 6 2 2 3 2 5 3 2" xfId="32354" xr:uid="{00000000-0005-0000-0000-000087440000}"/>
    <cellStyle name="Normal 6 2 2 3 2 5 4" xfId="22497" xr:uid="{00000000-0005-0000-0000-000088440000}"/>
    <cellStyle name="Normal 6 2 2 3 2 6" xfId="5243" xr:uid="{00000000-0005-0000-0000-000089440000}"/>
    <cellStyle name="Normal 6 2 2 3 2 6 2" xfId="15103" xr:uid="{00000000-0005-0000-0000-00008A440000}"/>
    <cellStyle name="Normal 6 2 2 3 2 6 2 2" xfId="34818" xr:uid="{00000000-0005-0000-0000-00008B440000}"/>
    <cellStyle name="Normal 6 2 2 3 2 6 3" xfId="24961" xr:uid="{00000000-0005-0000-0000-00008C440000}"/>
    <cellStyle name="Normal 6 2 2 3 2 7" xfId="10175" xr:uid="{00000000-0005-0000-0000-00008D440000}"/>
    <cellStyle name="Normal 6 2 2 3 2 7 2" xfId="29890" xr:uid="{00000000-0005-0000-0000-00008E440000}"/>
    <cellStyle name="Normal 6 2 2 3 2 8" xfId="20033" xr:uid="{00000000-0005-0000-0000-00008F440000}"/>
    <cellStyle name="Normal 6 2 2 3 3" xfId="455" xr:uid="{00000000-0005-0000-0000-000090440000}"/>
    <cellStyle name="Normal 6 2 2 3 3 2" xfId="1075" xr:uid="{00000000-0005-0000-0000-000091440000}"/>
    <cellStyle name="Normal 6 2 2 3 3 2 2" xfId="2310" xr:uid="{00000000-0005-0000-0000-000092440000}"/>
    <cellStyle name="Normal 6 2 2 3 3 2 2 2" xfId="4777" xr:uid="{00000000-0005-0000-0000-000093440000}"/>
    <cellStyle name="Normal 6 2 2 3 3 2 2 2 2" xfId="9709" xr:uid="{00000000-0005-0000-0000-000094440000}"/>
    <cellStyle name="Normal 6 2 2 3 3 2 2 2 2 2" xfId="19569" xr:uid="{00000000-0005-0000-0000-000095440000}"/>
    <cellStyle name="Normal 6 2 2 3 3 2 2 2 2 2 2" xfId="39284" xr:uid="{00000000-0005-0000-0000-000096440000}"/>
    <cellStyle name="Normal 6 2 2 3 3 2 2 2 2 3" xfId="29427" xr:uid="{00000000-0005-0000-0000-000097440000}"/>
    <cellStyle name="Normal 6 2 2 3 3 2 2 2 3" xfId="14641" xr:uid="{00000000-0005-0000-0000-000098440000}"/>
    <cellStyle name="Normal 6 2 2 3 3 2 2 2 3 2" xfId="34356" xr:uid="{00000000-0005-0000-0000-000099440000}"/>
    <cellStyle name="Normal 6 2 2 3 3 2 2 2 4" xfId="24499" xr:uid="{00000000-0005-0000-0000-00009A440000}"/>
    <cellStyle name="Normal 6 2 2 3 3 2 2 3" xfId="7245" xr:uid="{00000000-0005-0000-0000-00009B440000}"/>
    <cellStyle name="Normal 6 2 2 3 3 2 2 3 2" xfId="17105" xr:uid="{00000000-0005-0000-0000-00009C440000}"/>
    <cellStyle name="Normal 6 2 2 3 3 2 2 3 2 2" xfId="36820" xr:uid="{00000000-0005-0000-0000-00009D440000}"/>
    <cellStyle name="Normal 6 2 2 3 3 2 2 3 3" xfId="26963" xr:uid="{00000000-0005-0000-0000-00009E440000}"/>
    <cellStyle name="Normal 6 2 2 3 3 2 2 4" xfId="12177" xr:uid="{00000000-0005-0000-0000-00009F440000}"/>
    <cellStyle name="Normal 6 2 2 3 3 2 2 4 2" xfId="31892" xr:uid="{00000000-0005-0000-0000-0000A0440000}"/>
    <cellStyle name="Normal 6 2 2 3 3 2 2 5" xfId="22035" xr:uid="{00000000-0005-0000-0000-0000A1440000}"/>
    <cellStyle name="Normal 6 2 2 3 3 2 3" xfId="3545" xr:uid="{00000000-0005-0000-0000-0000A2440000}"/>
    <cellStyle name="Normal 6 2 2 3 3 2 3 2" xfId="8477" xr:uid="{00000000-0005-0000-0000-0000A3440000}"/>
    <cellStyle name="Normal 6 2 2 3 3 2 3 2 2" xfId="18337" xr:uid="{00000000-0005-0000-0000-0000A4440000}"/>
    <cellStyle name="Normal 6 2 2 3 3 2 3 2 2 2" xfId="38052" xr:uid="{00000000-0005-0000-0000-0000A5440000}"/>
    <cellStyle name="Normal 6 2 2 3 3 2 3 2 3" xfId="28195" xr:uid="{00000000-0005-0000-0000-0000A6440000}"/>
    <cellStyle name="Normal 6 2 2 3 3 2 3 3" xfId="13409" xr:uid="{00000000-0005-0000-0000-0000A7440000}"/>
    <cellStyle name="Normal 6 2 2 3 3 2 3 3 2" xfId="33124" xr:uid="{00000000-0005-0000-0000-0000A8440000}"/>
    <cellStyle name="Normal 6 2 2 3 3 2 3 4" xfId="23267" xr:uid="{00000000-0005-0000-0000-0000A9440000}"/>
    <cellStyle name="Normal 6 2 2 3 3 2 4" xfId="6013" xr:uid="{00000000-0005-0000-0000-0000AA440000}"/>
    <cellStyle name="Normal 6 2 2 3 3 2 4 2" xfId="15873" xr:uid="{00000000-0005-0000-0000-0000AB440000}"/>
    <cellStyle name="Normal 6 2 2 3 3 2 4 2 2" xfId="35588" xr:uid="{00000000-0005-0000-0000-0000AC440000}"/>
    <cellStyle name="Normal 6 2 2 3 3 2 4 3" xfId="25731" xr:uid="{00000000-0005-0000-0000-0000AD440000}"/>
    <cellStyle name="Normal 6 2 2 3 3 2 5" xfId="10945" xr:uid="{00000000-0005-0000-0000-0000AE440000}"/>
    <cellStyle name="Normal 6 2 2 3 3 2 5 2" xfId="30660" xr:uid="{00000000-0005-0000-0000-0000AF440000}"/>
    <cellStyle name="Normal 6 2 2 3 3 2 6" xfId="20803" xr:uid="{00000000-0005-0000-0000-0000B0440000}"/>
    <cellStyle name="Normal 6 2 2 3 3 3" xfId="1694" xr:uid="{00000000-0005-0000-0000-0000B1440000}"/>
    <cellStyle name="Normal 6 2 2 3 3 3 2" xfId="4161" xr:uid="{00000000-0005-0000-0000-0000B2440000}"/>
    <cellStyle name="Normal 6 2 2 3 3 3 2 2" xfId="9093" xr:uid="{00000000-0005-0000-0000-0000B3440000}"/>
    <cellStyle name="Normal 6 2 2 3 3 3 2 2 2" xfId="18953" xr:uid="{00000000-0005-0000-0000-0000B4440000}"/>
    <cellStyle name="Normal 6 2 2 3 3 3 2 2 2 2" xfId="38668" xr:uid="{00000000-0005-0000-0000-0000B5440000}"/>
    <cellStyle name="Normal 6 2 2 3 3 3 2 2 3" xfId="28811" xr:uid="{00000000-0005-0000-0000-0000B6440000}"/>
    <cellStyle name="Normal 6 2 2 3 3 3 2 3" xfId="14025" xr:uid="{00000000-0005-0000-0000-0000B7440000}"/>
    <cellStyle name="Normal 6 2 2 3 3 3 2 3 2" xfId="33740" xr:uid="{00000000-0005-0000-0000-0000B8440000}"/>
    <cellStyle name="Normal 6 2 2 3 3 3 2 4" xfId="23883" xr:uid="{00000000-0005-0000-0000-0000B9440000}"/>
    <cellStyle name="Normal 6 2 2 3 3 3 3" xfId="6629" xr:uid="{00000000-0005-0000-0000-0000BA440000}"/>
    <cellStyle name="Normal 6 2 2 3 3 3 3 2" xfId="16489" xr:uid="{00000000-0005-0000-0000-0000BB440000}"/>
    <cellStyle name="Normal 6 2 2 3 3 3 3 2 2" xfId="36204" xr:uid="{00000000-0005-0000-0000-0000BC440000}"/>
    <cellStyle name="Normal 6 2 2 3 3 3 3 3" xfId="26347" xr:uid="{00000000-0005-0000-0000-0000BD440000}"/>
    <cellStyle name="Normal 6 2 2 3 3 3 4" xfId="11561" xr:uid="{00000000-0005-0000-0000-0000BE440000}"/>
    <cellStyle name="Normal 6 2 2 3 3 3 4 2" xfId="31276" xr:uid="{00000000-0005-0000-0000-0000BF440000}"/>
    <cellStyle name="Normal 6 2 2 3 3 3 5" xfId="21419" xr:uid="{00000000-0005-0000-0000-0000C0440000}"/>
    <cellStyle name="Normal 6 2 2 3 3 4" xfId="2929" xr:uid="{00000000-0005-0000-0000-0000C1440000}"/>
    <cellStyle name="Normal 6 2 2 3 3 4 2" xfId="7861" xr:uid="{00000000-0005-0000-0000-0000C2440000}"/>
    <cellStyle name="Normal 6 2 2 3 3 4 2 2" xfId="17721" xr:uid="{00000000-0005-0000-0000-0000C3440000}"/>
    <cellStyle name="Normal 6 2 2 3 3 4 2 2 2" xfId="37436" xr:uid="{00000000-0005-0000-0000-0000C4440000}"/>
    <cellStyle name="Normal 6 2 2 3 3 4 2 3" xfId="27579" xr:uid="{00000000-0005-0000-0000-0000C5440000}"/>
    <cellStyle name="Normal 6 2 2 3 3 4 3" xfId="12793" xr:uid="{00000000-0005-0000-0000-0000C6440000}"/>
    <cellStyle name="Normal 6 2 2 3 3 4 3 2" xfId="32508" xr:uid="{00000000-0005-0000-0000-0000C7440000}"/>
    <cellStyle name="Normal 6 2 2 3 3 4 4" xfId="22651" xr:uid="{00000000-0005-0000-0000-0000C8440000}"/>
    <cellStyle name="Normal 6 2 2 3 3 5" xfId="5397" xr:uid="{00000000-0005-0000-0000-0000C9440000}"/>
    <cellStyle name="Normal 6 2 2 3 3 5 2" xfId="15257" xr:uid="{00000000-0005-0000-0000-0000CA440000}"/>
    <cellStyle name="Normal 6 2 2 3 3 5 2 2" xfId="34972" xr:uid="{00000000-0005-0000-0000-0000CB440000}"/>
    <cellStyle name="Normal 6 2 2 3 3 5 3" xfId="25115" xr:uid="{00000000-0005-0000-0000-0000CC440000}"/>
    <cellStyle name="Normal 6 2 2 3 3 6" xfId="10329" xr:uid="{00000000-0005-0000-0000-0000CD440000}"/>
    <cellStyle name="Normal 6 2 2 3 3 6 2" xfId="30044" xr:uid="{00000000-0005-0000-0000-0000CE440000}"/>
    <cellStyle name="Normal 6 2 2 3 3 7" xfId="20187" xr:uid="{00000000-0005-0000-0000-0000CF440000}"/>
    <cellStyle name="Normal 6 2 2 3 4" xfId="768" xr:uid="{00000000-0005-0000-0000-0000D0440000}"/>
    <cellStyle name="Normal 6 2 2 3 4 2" xfId="2004" xr:uid="{00000000-0005-0000-0000-0000D1440000}"/>
    <cellStyle name="Normal 6 2 2 3 4 2 2" xfId="4471" xr:uid="{00000000-0005-0000-0000-0000D2440000}"/>
    <cellStyle name="Normal 6 2 2 3 4 2 2 2" xfId="9403" xr:uid="{00000000-0005-0000-0000-0000D3440000}"/>
    <cellStyle name="Normal 6 2 2 3 4 2 2 2 2" xfId="19263" xr:uid="{00000000-0005-0000-0000-0000D4440000}"/>
    <cellStyle name="Normal 6 2 2 3 4 2 2 2 2 2" xfId="38978" xr:uid="{00000000-0005-0000-0000-0000D5440000}"/>
    <cellStyle name="Normal 6 2 2 3 4 2 2 2 3" xfId="29121" xr:uid="{00000000-0005-0000-0000-0000D6440000}"/>
    <cellStyle name="Normal 6 2 2 3 4 2 2 3" xfId="14335" xr:uid="{00000000-0005-0000-0000-0000D7440000}"/>
    <cellStyle name="Normal 6 2 2 3 4 2 2 3 2" xfId="34050" xr:uid="{00000000-0005-0000-0000-0000D8440000}"/>
    <cellStyle name="Normal 6 2 2 3 4 2 2 4" xfId="24193" xr:uid="{00000000-0005-0000-0000-0000D9440000}"/>
    <cellStyle name="Normal 6 2 2 3 4 2 3" xfId="6939" xr:uid="{00000000-0005-0000-0000-0000DA440000}"/>
    <cellStyle name="Normal 6 2 2 3 4 2 3 2" xfId="16799" xr:uid="{00000000-0005-0000-0000-0000DB440000}"/>
    <cellStyle name="Normal 6 2 2 3 4 2 3 2 2" xfId="36514" xr:uid="{00000000-0005-0000-0000-0000DC440000}"/>
    <cellStyle name="Normal 6 2 2 3 4 2 3 3" xfId="26657" xr:uid="{00000000-0005-0000-0000-0000DD440000}"/>
    <cellStyle name="Normal 6 2 2 3 4 2 4" xfId="11871" xr:uid="{00000000-0005-0000-0000-0000DE440000}"/>
    <cellStyle name="Normal 6 2 2 3 4 2 4 2" xfId="31586" xr:uid="{00000000-0005-0000-0000-0000DF440000}"/>
    <cellStyle name="Normal 6 2 2 3 4 2 5" xfId="21729" xr:uid="{00000000-0005-0000-0000-0000E0440000}"/>
    <cellStyle name="Normal 6 2 2 3 4 3" xfId="3239" xr:uid="{00000000-0005-0000-0000-0000E1440000}"/>
    <cellStyle name="Normal 6 2 2 3 4 3 2" xfId="8171" xr:uid="{00000000-0005-0000-0000-0000E2440000}"/>
    <cellStyle name="Normal 6 2 2 3 4 3 2 2" xfId="18031" xr:uid="{00000000-0005-0000-0000-0000E3440000}"/>
    <cellStyle name="Normal 6 2 2 3 4 3 2 2 2" xfId="37746" xr:uid="{00000000-0005-0000-0000-0000E4440000}"/>
    <cellStyle name="Normal 6 2 2 3 4 3 2 3" xfId="27889" xr:uid="{00000000-0005-0000-0000-0000E5440000}"/>
    <cellStyle name="Normal 6 2 2 3 4 3 3" xfId="13103" xr:uid="{00000000-0005-0000-0000-0000E6440000}"/>
    <cellStyle name="Normal 6 2 2 3 4 3 3 2" xfId="32818" xr:uid="{00000000-0005-0000-0000-0000E7440000}"/>
    <cellStyle name="Normal 6 2 2 3 4 3 4" xfId="22961" xr:uid="{00000000-0005-0000-0000-0000E8440000}"/>
    <cellStyle name="Normal 6 2 2 3 4 4" xfId="5707" xr:uid="{00000000-0005-0000-0000-0000E9440000}"/>
    <cellStyle name="Normal 6 2 2 3 4 4 2" xfId="15567" xr:uid="{00000000-0005-0000-0000-0000EA440000}"/>
    <cellStyle name="Normal 6 2 2 3 4 4 2 2" xfId="35282" xr:uid="{00000000-0005-0000-0000-0000EB440000}"/>
    <cellStyle name="Normal 6 2 2 3 4 4 3" xfId="25425" xr:uid="{00000000-0005-0000-0000-0000EC440000}"/>
    <cellStyle name="Normal 6 2 2 3 4 5" xfId="10639" xr:uid="{00000000-0005-0000-0000-0000ED440000}"/>
    <cellStyle name="Normal 6 2 2 3 4 5 2" xfId="30354" xr:uid="{00000000-0005-0000-0000-0000EE440000}"/>
    <cellStyle name="Normal 6 2 2 3 4 6" xfId="20497" xr:uid="{00000000-0005-0000-0000-0000EF440000}"/>
    <cellStyle name="Normal 6 2 2 3 5" xfId="1388" xr:uid="{00000000-0005-0000-0000-0000F0440000}"/>
    <cellStyle name="Normal 6 2 2 3 5 2" xfId="3855" xr:uid="{00000000-0005-0000-0000-0000F1440000}"/>
    <cellStyle name="Normal 6 2 2 3 5 2 2" xfId="8787" xr:uid="{00000000-0005-0000-0000-0000F2440000}"/>
    <cellStyle name="Normal 6 2 2 3 5 2 2 2" xfId="18647" xr:uid="{00000000-0005-0000-0000-0000F3440000}"/>
    <cellStyle name="Normal 6 2 2 3 5 2 2 2 2" xfId="38362" xr:uid="{00000000-0005-0000-0000-0000F4440000}"/>
    <cellStyle name="Normal 6 2 2 3 5 2 2 3" xfId="28505" xr:uid="{00000000-0005-0000-0000-0000F5440000}"/>
    <cellStyle name="Normal 6 2 2 3 5 2 3" xfId="13719" xr:uid="{00000000-0005-0000-0000-0000F6440000}"/>
    <cellStyle name="Normal 6 2 2 3 5 2 3 2" xfId="33434" xr:uid="{00000000-0005-0000-0000-0000F7440000}"/>
    <cellStyle name="Normal 6 2 2 3 5 2 4" xfId="23577" xr:uid="{00000000-0005-0000-0000-0000F8440000}"/>
    <cellStyle name="Normal 6 2 2 3 5 3" xfId="6323" xr:uid="{00000000-0005-0000-0000-0000F9440000}"/>
    <cellStyle name="Normal 6 2 2 3 5 3 2" xfId="16183" xr:uid="{00000000-0005-0000-0000-0000FA440000}"/>
    <cellStyle name="Normal 6 2 2 3 5 3 2 2" xfId="35898" xr:uid="{00000000-0005-0000-0000-0000FB440000}"/>
    <cellStyle name="Normal 6 2 2 3 5 3 3" xfId="26041" xr:uid="{00000000-0005-0000-0000-0000FC440000}"/>
    <cellStyle name="Normal 6 2 2 3 5 4" xfId="11255" xr:uid="{00000000-0005-0000-0000-0000FD440000}"/>
    <cellStyle name="Normal 6 2 2 3 5 4 2" xfId="30970" xr:uid="{00000000-0005-0000-0000-0000FE440000}"/>
    <cellStyle name="Normal 6 2 2 3 5 5" xfId="21113" xr:uid="{00000000-0005-0000-0000-0000FF440000}"/>
    <cellStyle name="Normal 6 2 2 3 6" xfId="2623" xr:uid="{00000000-0005-0000-0000-000000450000}"/>
    <cellStyle name="Normal 6 2 2 3 6 2" xfId="7555" xr:uid="{00000000-0005-0000-0000-000001450000}"/>
    <cellStyle name="Normal 6 2 2 3 6 2 2" xfId="17415" xr:uid="{00000000-0005-0000-0000-000002450000}"/>
    <cellStyle name="Normal 6 2 2 3 6 2 2 2" xfId="37130" xr:uid="{00000000-0005-0000-0000-000003450000}"/>
    <cellStyle name="Normal 6 2 2 3 6 2 3" xfId="27273" xr:uid="{00000000-0005-0000-0000-000004450000}"/>
    <cellStyle name="Normal 6 2 2 3 6 3" xfId="12487" xr:uid="{00000000-0005-0000-0000-000005450000}"/>
    <cellStyle name="Normal 6 2 2 3 6 3 2" xfId="32202" xr:uid="{00000000-0005-0000-0000-000006450000}"/>
    <cellStyle name="Normal 6 2 2 3 6 4" xfId="22345" xr:uid="{00000000-0005-0000-0000-000007450000}"/>
    <cellStyle name="Normal 6 2 2 3 7" xfId="5091" xr:uid="{00000000-0005-0000-0000-000008450000}"/>
    <cellStyle name="Normal 6 2 2 3 7 2" xfId="14951" xr:uid="{00000000-0005-0000-0000-000009450000}"/>
    <cellStyle name="Normal 6 2 2 3 7 2 2" xfId="34666" xr:uid="{00000000-0005-0000-0000-00000A450000}"/>
    <cellStyle name="Normal 6 2 2 3 7 3" xfId="24809" xr:uid="{00000000-0005-0000-0000-00000B450000}"/>
    <cellStyle name="Normal 6 2 2 3 8" xfId="10023" xr:uid="{00000000-0005-0000-0000-00000C450000}"/>
    <cellStyle name="Normal 6 2 2 3 8 2" xfId="29738" xr:uid="{00000000-0005-0000-0000-00000D450000}"/>
    <cellStyle name="Normal 6 2 2 3 9" xfId="19881" xr:uid="{00000000-0005-0000-0000-00000E450000}"/>
    <cellStyle name="Normal 6 2 2 4" xfId="217" xr:uid="{00000000-0005-0000-0000-00000F450000}"/>
    <cellStyle name="Normal 6 2 2 4 2" xfId="531" xr:uid="{00000000-0005-0000-0000-000010450000}"/>
    <cellStyle name="Normal 6 2 2 4 2 2" xfId="1151" xr:uid="{00000000-0005-0000-0000-000011450000}"/>
    <cellStyle name="Normal 6 2 2 4 2 2 2" xfId="2386" xr:uid="{00000000-0005-0000-0000-000012450000}"/>
    <cellStyle name="Normal 6 2 2 4 2 2 2 2" xfId="4853" xr:uid="{00000000-0005-0000-0000-000013450000}"/>
    <cellStyle name="Normal 6 2 2 4 2 2 2 2 2" xfId="9785" xr:uid="{00000000-0005-0000-0000-000014450000}"/>
    <cellStyle name="Normal 6 2 2 4 2 2 2 2 2 2" xfId="19645" xr:uid="{00000000-0005-0000-0000-000015450000}"/>
    <cellStyle name="Normal 6 2 2 4 2 2 2 2 2 2 2" xfId="39360" xr:uid="{00000000-0005-0000-0000-000016450000}"/>
    <cellStyle name="Normal 6 2 2 4 2 2 2 2 2 3" xfId="29503" xr:uid="{00000000-0005-0000-0000-000017450000}"/>
    <cellStyle name="Normal 6 2 2 4 2 2 2 2 3" xfId="14717" xr:uid="{00000000-0005-0000-0000-000018450000}"/>
    <cellStyle name="Normal 6 2 2 4 2 2 2 2 3 2" xfId="34432" xr:uid="{00000000-0005-0000-0000-000019450000}"/>
    <cellStyle name="Normal 6 2 2 4 2 2 2 2 4" xfId="24575" xr:uid="{00000000-0005-0000-0000-00001A450000}"/>
    <cellStyle name="Normal 6 2 2 4 2 2 2 3" xfId="7321" xr:uid="{00000000-0005-0000-0000-00001B450000}"/>
    <cellStyle name="Normal 6 2 2 4 2 2 2 3 2" xfId="17181" xr:uid="{00000000-0005-0000-0000-00001C450000}"/>
    <cellStyle name="Normal 6 2 2 4 2 2 2 3 2 2" xfId="36896" xr:uid="{00000000-0005-0000-0000-00001D450000}"/>
    <cellStyle name="Normal 6 2 2 4 2 2 2 3 3" xfId="27039" xr:uid="{00000000-0005-0000-0000-00001E450000}"/>
    <cellStyle name="Normal 6 2 2 4 2 2 2 4" xfId="12253" xr:uid="{00000000-0005-0000-0000-00001F450000}"/>
    <cellStyle name="Normal 6 2 2 4 2 2 2 4 2" xfId="31968" xr:uid="{00000000-0005-0000-0000-000020450000}"/>
    <cellStyle name="Normal 6 2 2 4 2 2 2 5" xfId="22111" xr:uid="{00000000-0005-0000-0000-000021450000}"/>
    <cellStyle name="Normal 6 2 2 4 2 2 3" xfId="3621" xr:uid="{00000000-0005-0000-0000-000022450000}"/>
    <cellStyle name="Normal 6 2 2 4 2 2 3 2" xfId="8553" xr:uid="{00000000-0005-0000-0000-000023450000}"/>
    <cellStyle name="Normal 6 2 2 4 2 2 3 2 2" xfId="18413" xr:uid="{00000000-0005-0000-0000-000024450000}"/>
    <cellStyle name="Normal 6 2 2 4 2 2 3 2 2 2" xfId="38128" xr:uid="{00000000-0005-0000-0000-000025450000}"/>
    <cellStyle name="Normal 6 2 2 4 2 2 3 2 3" xfId="28271" xr:uid="{00000000-0005-0000-0000-000026450000}"/>
    <cellStyle name="Normal 6 2 2 4 2 2 3 3" xfId="13485" xr:uid="{00000000-0005-0000-0000-000027450000}"/>
    <cellStyle name="Normal 6 2 2 4 2 2 3 3 2" xfId="33200" xr:uid="{00000000-0005-0000-0000-000028450000}"/>
    <cellStyle name="Normal 6 2 2 4 2 2 3 4" xfId="23343" xr:uid="{00000000-0005-0000-0000-000029450000}"/>
    <cellStyle name="Normal 6 2 2 4 2 2 4" xfId="6089" xr:uid="{00000000-0005-0000-0000-00002A450000}"/>
    <cellStyle name="Normal 6 2 2 4 2 2 4 2" xfId="15949" xr:uid="{00000000-0005-0000-0000-00002B450000}"/>
    <cellStyle name="Normal 6 2 2 4 2 2 4 2 2" xfId="35664" xr:uid="{00000000-0005-0000-0000-00002C450000}"/>
    <cellStyle name="Normal 6 2 2 4 2 2 4 3" xfId="25807" xr:uid="{00000000-0005-0000-0000-00002D450000}"/>
    <cellStyle name="Normal 6 2 2 4 2 2 5" xfId="11021" xr:uid="{00000000-0005-0000-0000-00002E450000}"/>
    <cellStyle name="Normal 6 2 2 4 2 2 5 2" xfId="30736" xr:uid="{00000000-0005-0000-0000-00002F450000}"/>
    <cellStyle name="Normal 6 2 2 4 2 2 6" xfId="20879" xr:uid="{00000000-0005-0000-0000-000030450000}"/>
    <cellStyle name="Normal 6 2 2 4 2 3" xfId="1770" xr:uid="{00000000-0005-0000-0000-000031450000}"/>
    <cellStyle name="Normal 6 2 2 4 2 3 2" xfId="4237" xr:uid="{00000000-0005-0000-0000-000032450000}"/>
    <cellStyle name="Normal 6 2 2 4 2 3 2 2" xfId="9169" xr:uid="{00000000-0005-0000-0000-000033450000}"/>
    <cellStyle name="Normal 6 2 2 4 2 3 2 2 2" xfId="19029" xr:uid="{00000000-0005-0000-0000-000034450000}"/>
    <cellStyle name="Normal 6 2 2 4 2 3 2 2 2 2" xfId="38744" xr:uid="{00000000-0005-0000-0000-000035450000}"/>
    <cellStyle name="Normal 6 2 2 4 2 3 2 2 3" xfId="28887" xr:uid="{00000000-0005-0000-0000-000036450000}"/>
    <cellStyle name="Normal 6 2 2 4 2 3 2 3" xfId="14101" xr:uid="{00000000-0005-0000-0000-000037450000}"/>
    <cellStyle name="Normal 6 2 2 4 2 3 2 3 2" xfId="33816" xr:uid="{00000000-0005-0000-0000-000038450000}"/>
    <cellStyle name="Normal 6 2 2 4 2 3 2 4" xfId="23959" xr:uid="{00000000-0005-0000-0000-000039450000}"/>
    <cellStyle name="Normal 6 2 2 4 2 3 3" xfId="6705" xr:uid="{00000000-0005-0000-0000-00003A450000}"/>
    <cellStyle name="Normal 6 2 2 4 2 3 3 2" xfId="16565" xr:uid="{00000000-0005-0000-0000-00003B450000}"/>
    <cellStyle name="Normal 6 2 2 4 2 3 3 2 2" xfId="36280" xr:uid="{00000000-0005-0000-0000-00003C450000}"/>
    <cellStyle name="Normal 6 2 2 4 2 3 3 3" xfId="26423" xr:uid="{00000000-0005-0000-0000-00003D450000}"/>
    <cellStyle name="Normal 6 2 2 4 2 3 4" xfId="11637" xr:uid="{00000000-0005-0000-0000-00003E450000}"/>
    <cellStyle name="Normal 6 2 2 4 2 3 4 2" xfId="31352" xr:uid="{00000000-0005-0000-0000-00003F450000}"/>
    <cellStyle name="Normal 6 2 2 4 2 3 5" xfId="21495" xr:uid="{00000000-0005-0000-0000-000040450000}"/>
    <cellStyle name="Normal 6 2 2 4 2 4" xfId="3005" xr:uid="{00000000-0005-0000-0000-000041450000}"/>
    <cellStyle name="Normal 6 2 2 4 2 4 2" xfId="7937" xr:uid="{00000000-0005-0000-0000-000042450000}"/>
    <cellStyle name="Normal 6 2 2 4 2 4 2 2" xfId="17797" xr:uid="{00000000-0005-0000-0000-000043450000}"/>
    <cellStyle name="Normal 6 2 2 4 2 4 2 2 2" xfId="37512" xr:uid="{00000000-0005-0000-0000-000044450000}"/>
    <cellStyle name="Normal 6 2 2 4 2 4 2 3" xfId="27655" xr:uid="{00000000-0005-0000-0000-000045450000}"/>
    <cellStyle name="Normal 6 2 2 4 2 4 3" xfId="12869" xr:uid="{00000000-0005-0000-0000-000046450000}"/>
    <cellStyle name="Normal 6 2 2 4 2 4 3 2" xfId="32584" xr:uid="{00000000-0005-0000-0000-000047450000}"/>
    <cellStyle name="Normal 6 2 2 4 2 4 4" xfId="22727" xr:uid="{00000000-0005-0000-0000-000048450000}"/>
    <cellStyle name="Normal 6 2 2 4 2 5" xfId="5473" xr:uid="{00000000-0005-0000-0000-000049450000}"/>
    <cellStyle name="Normal 6 2 2 4 2 5 2" xfId="15333" xr:uid="{00000000-0005-0000-0000-00004A450000}"/>
    <cellStyle name="Normal 6 2 2 4 2 5 2 2" xfId="35048" xr:uid="{00000000-0005-0000-0000-00004B450000}"/>
    <cellStyle name="Normal 6 2 2 4 2 5 3" xfId="25191" xr:uid="{00000000-0005-0000-0000-00004C450000}"/>
    <cellStyle name="Normal 6 2 2 4 2 6" xfId="10405" xr:uid="{00000000-0005-0000-0000-00004D450000}"/>
    <cellStyle name="Normal 6 2 2 4 2 6 2" xfId="30120" xr:uid="{00000000-0005-0000-0000-00004E450000}"/>
    <cellStyle name="Normal 6 2 2 4 2 7" xfId="20263" xr:uid="{00000000-0005-0000-0000-00004F450000}"/>
    <cellStyle name="Normal 6 2 2 4 3" xfId="844" xr:uid="{00000000-0005-0000-0000-000050450000}"/>
    <cellStyle name="Normal 6 2 2 4 3 2" xfId="2080" xr:uid="{00000000-0005-0000-0000-000051450000}"/>
    <cellStyle name="Normal 6 2 2 4 3 2 2" xfId="4547" xr:uid="{00000000-0005-0000-0000-000052450000}"/>
    <cellStyle name="Normal 6 2 2 4 3 2 2 2" xfId="9479" xr:uid="{00000000-0005-0000-0000-000053450000}"/>
    <cellStyle name="Normal 6 2 2 4 3 2 2 2 2" xfId="19339" xr:uid="{00000000-0005-0000-0000-000054450000}"/>
    <cellStyle name="Normal 6 2 2 4 3 2 2 2 2 2" xfId="39054" xr:uid="{00000000-0005-0000-0000-000055450000}"/>
    <cellStyle name="Normal 6 2 2 4 3 2 2 2 3" xfId="29197" xr:uid="{00000000-0005-0000-0000-000056450000}"/>
    <cellStyle name="Normal 6 2 2 4 3 2 2 3" xfId="14411" xr:uid="{00000000-0005-0000-0000-000057450000}"/>
    <cellStyle name="Normal 6 2 2 4 3 2 2 3 2" xfId="34126" xr:uid="{00000000-0005-0000-0000-000058450000}"/>
    <cellStyle name="Normal 6 2 2 4 3 2 2 4" xfId="24269" xr:uid="{00000000-0005-0000-0000-000059450000}"/>
    <cellStyle name="Normal 6 2 2 4 3 2 3" xfId="7015" xr:uid="{00000000-0005-0000-0000-00005A450000}"/>
    <cellStyle name="Normal 6 2 2 4 3 2 3 2" xfId="16875" xr:uid="{00000000-0005-0000-0000-00005B450000}"/>
    <cellStyle name="Normal 6 2 2 4 3 2 3 2 2" xfId="36590" xr:uid="{00000000-0005-0000-0000-00005C450000}"/>
    <cellStyle name="Normal 6 2 2 4 3 2 3 3" xfId="26733" xr:uid="{00000000-0005-0000-0000-00005D450000}"/>
    <cellStyle name="Normal 6 2 2 4 3 2 4" xfId="11947" xr:uid="{00000000-0005-0000-0000-00005E450000}"/>
    <cellStyle name="Normal 6 2 2 4 3 2 4 2" xfId="31662" xr:uid="{00000000-0005-0000-0000-00005F450000}"/>
    <cellStyle name="Normal 6 2 2 4 3 2 5" xfId="21805" xr:uid="{00000000-0005-0000-0000-000060450000}"/>
    <cellStyle name="Normal 6 2 2 4 3 3" xfId="3315" xr:uid="{00000000-0005-0000-0000-000061450000}"/>
    <cellStyle name="Normal 6 2 2 4 3 3 2" xfId="8247" xr:uid="{00000000-0005-0000-0000-000062450000}"/>
    <cellStyle name="Normal 6 2 2 4 3 3 2 2" xfId="18107" xr:uid="{00000000-0005-0000-0000-000063450000}"/>
    <cellStyle name="Normal 6 2 2 4 3 3 2 2 2" xfId="37822" xr:uid="{00000000-0005-0000-0000-000064450000}"/>
    <cellStyle name="Normal 6 2 2 4 3 3 2 3" xfId="27965" xr:uid="{00000000-0005-0000-0000-000065450000}"/>
    <cellStyle name="Normal 6 2 2 4 3 3 3" xfId="13179" xr:uid="{00000000-0005-0000-0000-000066450000}"/>
    <cellStyle name="Normal 6 2 2 4 3 3 3 2" xfId="32894" xr:uid="{00000000-0005-0000-0000-000067450000}"/>
    <cellStyle name="Normal 6 2 2 4 3 3 4" xfId="23037" xr:uid="{00000000-0005-0000-0000-000068450000}"/>
    <cellStyle name="Normal 6 2 2 4 3 4" xfId="5783" xr:uid="{00000000-0005-0000-0000-000069450000}"/>
    <cellStyle name="Normal 6 2 2 4 3 4 2" xfId="15643" xr:uid="{00000000-0005-0000-0000-00006A450000}"/>
    <cellStyle name="Normal 6 2 2 4 3 4 2 2" xfId="35358" xr:uid="{00000000-0005-0000-0000-00006B450000}"/>
    <cellStyle name="Normal 6 2 2 4 3 4 3" xfId="25501" xr:uid="{00000000-0005-0000-0000-00006C450000}"/>
    <cellStyle name="Normal 6 2 2 4 3 5" xfId="10715" xr:uid="{00000000-0005-0000-0000-00006D450000}"/>
    <cellStyle name="Normal 6 2 2 4 3 5 2" xfId="30430" xr:uid="{00000000-0005-0000-0000-00006E450000}"/>
    <cellStyle name="Normal 6 2 2 4 3 6" xfId="20573" xr:uid="{00000000-0005-0000-0000-00006F450000}"/>
    <cellStyle name="Normal 6 2 2 4 4" xfId="1464" xr:uid="{00000000-0005-0000-0000-000070450000}"/>
    <cellStyle name="Normal 6 2 2 4 4 2" xfId="3931" xr:uid="{00000000-0005-0000-0000-000071450000}"/>
    <cellStyle name="Normal 6 2 2 4 4 2 2" xfId="8863" xr:uid="{00000000-0005-0000-0000-000072450000}"/>
    <cellStyle name="Normal 6 2 2 4 4 2 2 2" xfId="18723" xr:uid="{00000000-0005-0000-0000-000073450000}"/>
    <cellStyle name="Normal 6 2 2 4 4 2 2 2 2" xfId="38438" xr:uid="{00000000-0005-0000-0000-000074450000}"/>
    <cellStyle name="Normal 6 2 2 4 4 2 2 3" xfId="28581" xr:uid="{00000000-0005-0000-0000-000075450000}"/>
    <cellStyle name="Normal 6 2 2 4 4 2 3" xfId="13795" xr:uid="{00000000-0005-0000-0000-000076450000}"/>
    <cellStyle name="Normal 6 2 2 4 4 2 3 2" xfId="33510" xr:uid="{00000000-0005-0000-0000-000077450000}"/>
    <cellStyle name="Normal 6 2 2 4 4 2 4" xfId="23653" xr:uid="{00000000-0005-0000-0000-000078450000}"/>
    <cellStyle name="Normal 6 2 2 4 4 3" xfId="6399" xr:uid="{00000000-0005-0000-0000-000079450000}"/>
    <cellStyle name="Normal 6 2 2 4 4 3 2" xfId="16259" xr:uid="{00000000-0005-0000-0000-00007A450000}"/>
    <cellStyle name="Normal 6 2 2 4 4 3 2 2" xfId="35974" xr:uid="{00000000-0005-0000-0000-00007B450000}"/>
    <cellStyle name="Normal 6 2 2 4 4 3 3" xfId="26117" xr:uid="{00000000-0005-0000-0000-00007C450000}"/>
    <cellStyle name="Normal 6 2 2 4 4 4" xfId="11331" xr:uid="{00000000-0005-0000-0000-00007D450000}"/>
    <cellStyle name="Normal 6 2 2 4 4 4 2" xfId="31046" xr:uid="{00000000-0005-0000-0000-00007E450000}"/>
    <cellStyle name="Normal 6 2 2 4 4 5" xfId="21189" xr:uid="{00000000-0005-0000-0000-00007F450000}"/>
    <cellStyle name="Normal 6 2 2 4 5" xfId="2699" xr:uid="{00000000-0005-0000-0000-000080450000}"/>
    <cellStyle name="Normal 6 2 2 4 5 2" xfId="7631" xr:uid="{00000000-0005-0000-0000-000081450000}"/>
    <cellStyle name="Normal 6 2 2 4 5 2 2" xfId="17491" xr:uid="{00000000-0005-0000-0000-000082450000}"/>
    <cellStyle name="Normal 6 2 2 4 5 2 2 2" xfId="37206" xr:uid="{00000000-0005-0000-0000-000083450000}"/>
    <cellStyle name="Normal 6 2 2 4 5 2 3" xfId="27349" xr:uid="{00000000-0005-0000-0000-000084450000}"/>
    <cellStyle name="Normal 6 2 2 4 5 3" xfId="12563" xr:uid="{00000000-0005-0000-0000-000085450000}"/>
    <cellStyle name="Normal 6 2 2 4 5 3 2" xfId="32278" xr:uid="{00000000-0005-0000-0000-000086450000}"/>
    <cellStyle name="Normal 6 2 2 4 5 4" xfId="22421" xr:uid="{00000000-0005-0000-0000-000087450000}"/>
    <cellStyle name="Normal 6 2 2 4 6" xfId="5167" xr:uid="{00000000-0005-0000-0000-000088450000}"/>
    <cellStyle name="Normal 6 2 2 4 6 2" xfId="15027" xr:uid="{00000000-0005-0000-0000-000089450000}"/>
    <cellStyle name="Normal 6 2 2 4 6 2 2" xfId="34742" xr:uid="{00000000-0005-0000-0000-00008A450000}"/>
    <cellStyle name="Normal 6 2 2 4 6 3" xfId="24885" xr:uid="{00000000-0005-0000-0000-00008B450000}"/>
    <cellStyle name="Normal 6 2 2 4 7" xfId="10099" xr:uid="{00000000-0005-0000-0000-00008C450000}"/>
    <cellStyle name="Normal 6 2 2 4 7 2" xfId="29814" xr:uid="{00000000-0005-0000-0000-00008D450000}"/>
    <cellStyle name="Normal 6 2 2 4 8" xfId="19957" xr:uid="{00000000-0005-0000-0000-00008E450000}"/>
    <cellStyle name="Normal 6 2 2 5" xfId="379" xr:uid="{00000000-0005-0000-0000-00008F450000}"/>
    <cellStyle name="Normal 6 2 2 5 2" xfId="999" xr:uid="{00000000-0005-0000-0000-000090450000}"/>
    <cellStyle name="Normal 6 2 2 5 2 2" xfId="2234" xr:uid="{00000000-0005-0000-0000-000091450000}"/>
    <cellStyle name="Normal 6 2 2 5 2 2 2" xfId="4701" xr:uid="{00000000-0005-0000-0000-000092450000}"/>
    <cellStyle name="Normal 6 2 2 5 2 2 2 2" xfId="9633" xr:uid="{00000000-0005-0000-0000-000093450000}"/>
    <cellStyle name="Normal 6 2 2 5 2 2 2 2 2" xfId="19493" xr:uid="{00000000-0005-0000-0000-000094450000}"/>
    <cellStyle name="Normal 6 2 2 5 2 2 2 2 2 2" xfId="39208" xr:uid="{00000000-0005-0000-0000-000095450000}"/>
    <cellStyle name="Normal 6 2 2 5 2 2 2 2 3" xfId="29351" xr:uid="{00000000-0005-0000-0000-000096450000}"/>
    <cellStyle name="Normal 6 2 2 5 2 2 2 3" xfId="14565" xr:uid="{00000000-0005-0000-0000-000097450000}"/>
    <cellStyle name="Normal 6 2 2 5 2 2 2 3 2" xfId="34280" xr:uid="{00000000-0005-0000-0000-000098450000}"/>
    <cellStyle name="Normal 6 2 2 5 2 2 2 4" xfId="24423" xr:uid="{00000000-0005-0000-0000-000099450000}"/>
    <cellStyle name="Normal 6 2 2 5 2 2 3" xfId="7169" xr:uid="{00000000-0005-0000-0000-00009A450000}"/>
    <cellStyle name="Normal 6 2 2 5 2 2 3 2" xfId="17029" xr:uid="{00000000-0005-0000-0000-00009B450000}"/>
    <cellStyle name="Normal 6 2 2 5 2 2 3 2 2" xfId="36744" xr:uid="{00000000-0005-0000-0000-00009C450000}"/>
    <cellStyle name="Normal 6 2 2 5 2 2 3 3" xfId="26887" xr:uid="{00000000-0005-0000-0000-00009D450000}"/>
    <cellStyle name="Normal 6 2 2 5 2 2 4" xfId="12101" xr:uid="{00000000-0005-0000-0000-00009E450000}"/>
    <cellStyle name="Normal 6 2 2 5 2 2 4 2" xfId="31816" xr:uid="{00000000-0005-0000-0000-00009F450000}"/>
    <cellStyle name="Normal 6 2 2 5 2 2 5" xfId="21959" xr:uid="{00000000-0005-0000-0000-0000A0450000}"/>
    <cellStyle name="Normal 6 2 2 5 2 3" xfId="3469" xr:uid="{00000000-0005-0000-0000-0000A1450000}"/>
    <cellStyle name="Normal 6 2 2 5 2 3 2" xfId="8401" xr:uid="{00000000-0005-0000-0000-0000A2450000}"/>
    <cellStyle name="Normal 6 2 2 5 2 3 2 2" xfId="18261" xr:uid="{00000000-0005-0000-0000-0000A3450000}"/>
    <cellStyle name="Normal 6 2 2 5 2 3 2 2 2" xfId="37976" xr:uid="{00000000-0005-0000-0000-0000A4450000}"/>
    <cellStyle name="Normal 6 2 2 5 2 3 2 3" xfId="28119" xr:uid="{00000000-0005-0000-0000-0000A5450000}"/>
    <cellStyle name="Normal 6 2 2 5 2 3 3" xfId="13333" xr:uid="{00000000-0005-0000-0000-0000A6450000}"/>
    <cellStyle name="Normal 6 2 2 5 2 3 3 2" xfId="33048" xr:uid="{00000000-0005-0000-0000-0000A7450000}"/>
    <cellStyle name="Normal 6 2 2 5 2 3 4" xfId="23191" xr:uid="{00000000-0005-0000-0000-0000A8450000}"/>
    <cellStyle name="Normal 6 2 2 5 2 4" xfId="5937" xr:uid="{00000000-0005-0000-0000-0000A9450000}"/>
    <cellStyle name="Normal 6 2 2 5 2 4 2" xfId="15797" xr:uid="{00000000-0005-0000-0000-0000AA450000}"/>
    <cellStyle name="Normal 6 2 2 5 2 4 2 2" xfId="35512" xr:uid="{00000000-0005-0000-0000-0000AB450000}"/>
    <cellStyle name="Normal 6 2 2 5 2 4 3" xfId="25655" xr:uid="{00000000-0005-0000-0000-0000AC450000}"/>
    <cellStyle name="Normal 6 2 2 5 2 5" xfId="10869" xr:uid="{00000000-0005-0000-0000-0000AD450000}"/>
    <cellStyle name="Normal 6 2 2 5 2 5 2" xfId="30584" xr:uid="{00000000-0005-0000-0000-0000AE450000}"/>
    <cellStyle name="Normal 6 2 2 5 2 6" xfId="20727" xr:uid="{00000000-0005-0000-0000-0000AF450000}"/>
    <cellStyle name="Normal 6 2 2 5 3" xfId="1618" xr:uid="{00000000-0005-0000-0000-0000B0450000}"/>
    <cellStyle name="Normal 6 2 2 5 3 2" xfId="4085" xr:uid="{00000000-0005-0000-0000-0000B1450000}"/>
    <cellStyle name="Normal 6 2 2 5 3 2 2" xfId="9017" xr:uid="{00000000-0005-0000-0000-0000B2450000}"/>
    <cellStyle name="Normal 6 2 2 5 3 2 2 2" xfId="18877" xr:uid="{00000000-0005-0000-0000-0000B3450000}"/>
    <cellStyle name="Normal 6 2 2 5 3 2 2 2 2" xfId="38592" xr:uid="{00000000-0005-0000-0000-0000B4450000}"/>
    <cellStyle name="Normal 6 2 2 5 3 2 2 3" xfId="28735" xr:uid="{00000000-0005-0000-0000-0000B5450000}"/>
    <cellStyle name="Normal 6 2 2 5 3 2 3" xfId="13949" xr:uid="{00000000-0005-0000-0000-0000B6450000}"/>
    <cellStyle name="Normal 6 2 2 5 3 2 3 2" xfId="33664" xr:uid="{00000000-0005-0000-0000-0000B7450000}"/>
    <cellStyle name="Normal 6 2 2 5 3 2 4" xfId="23807" xr:uid="{00000000-0005-0000-0000-0000B8450000}"/>
    <cellStyle name="Normal 6 2 2 5 3 3" xfId="6553" xr:uid="{00000000-0005-0000-0000-0000B9450000}"/>
    <cellStyle name="Normal 6 2 2 5 3 3 2" xfId="16413" xr:uid="{00000000-0005-0000-0000-0000BA450000}"/>
    <cellStyle name="Normal 6 2 2 5 3 3 2 2" xfId="36128" xr:uid="{00000000-0005-0000-0000-0000BB450000}"/>
    <cellStyle name="Normal 6 2 2 5 3 3 3" xfId="26271" xr:uid="{00000000-0005-0000-0000-0000BC450000}"/>
    <cellStyle name="Normal 6 2 2 5 3 4" xfId="11485" xr:uid="{00000000-0005-0000-0000-0000BD450000}"/>
    <cellStyle name="Normal 6 2 2 5 3 4 2" xfId="31200" xr:uid="{00000000-0005-0000-0000-0000BE450000}"/>
    <cellStyle name="Normal 6 2 2 5 3 5" xfId="21343" xr:uid="{00000000-0005-0000-0000-0000BF450000}"/>
    <cellStyle name="Normal 6 2 2 5 4" xfId="2853" xr:uid="{00000000-0005-0000-0000-0000C0450000}"/>
    <cellStyle name="Normal 6 2 2 5 4 2" xfId="7785" xr:uid="{00000000-0005-0000-0000-0000C1450000}"/>
    <cellStyle name="Normal 6 2 2 5 4 2 2" xfId="17645" xr:uid="{00000000-0005-0000-0000-0000C2450000}"/>
    <cellStyle name="Normal 6 2 2 5 4 2 2 2" xfId="37360" xr:uid="{00000000-0005-0000-0000-0000C3450000}"/>
    <cellStyle name="Normal 6 2 2 5 4 2 3" xfId="27503" xr:uid="{00000000-0005-0000-0000-0000C4450000}"/>
    <cellStyle name="Normal 6 2 2 5 4 3" xfId="12717" xr:uid="{00000000-0005-0000-0000-0000C5450000}"/>
    <cellStyle name="Normal 6 2 2 5 4 3 2" xfId="32432" xr:uid="{00000000-0005-0000-0000-0000C6450000}"/>
    <cellStyle name="Normal 6 2 2 5 4 4" xfId="22575" xr:uid="{00000000-0005-0000-0000-0000C7450000}"/>
    <cellStyle name="Normal 6 2 2 5 5" xfId="5321" xr:uid="{00000000-0005-0000-0000-0000C8450000}"/>
    <cellStyle name="Normal 6 2 2 5 5 2" xfId="15181" xr:uid="{00000000-0005-0000-0000-0000C9450000}"/>
    <cellStyle name="Normal 6 2 2 5 5 2 2" xfId="34896" xr:uid="{00000000-0005-0000-0000-0000CA450000}"/>
    <cellStyle name="Normal 6 2 2 5 5 3" xfId="25039" xr:uid="{00000000-0005-0000-0000-0000CB450000}"/>
    <cellStyle name="Normal 6 2 2 5 6" xfId="10253" xr:uid="{00000000-0005-0000-0000-0000CC450000}"/>
    <cellStyle name="Normal 6 2 2 5 6 2" xfId="29968" xr:uid="{00000000-0005-0000-0000-0000CD450000}"/>
    <cellStyle name="Normal 6 2 2 5 7" xfId="20111" xr:uid="{00000000-0005-0000-0000-0000CE450000}"/>
    <cellStyle name="Normal 6 2 2 6" xfId="692" xr:uid="{00000000-0005-0000-0000-0000CF450000}"/>
    <cellStyle name="Normal 6 2 2 6 2" xfId="1928" xr:uid="{00000000-0005-0000-0000-0000D0450000}"/>
    <cellStyle name="Normal 6 2 2 6 2 2" xfId="4395" xr:uid="{00000000-0005-0000-0000-0000D1450000}"/>
    <cellStyle name="Normal 6 2 2 6 2 2 2" xfId="9327" xr:uid="{00000000-0005-0000-0000-0000D2450000}"/>
    <cellStyle name="Normal 6 2 2 6 2 2 2 2" xfId="19187" xr:uid="{00000000-0005-0000-0000-0000D3450000}"/>
    <cellStyle name="Normal 6 2 2 6 2 2 2 2 2" xfId="38902" xr:uid="{00000000-0005-0000-0000-0000D4450000}"/>
    <cellStyle name="Normal 6 2 2 6 2 2 2 3" xfId="29045" xr:uid="{00000000-0005-0000-0000-0000D5450000}"/>
    <cellStyle name="Normal 6 2 2 6 2 2 3" xfId="14259" xr:uid="{00000000-0005-0000-0000-0000D6450000}"/>
    <cellStyle name="Normal 6 2 2 6 2 2 3 2" xfId="33974" xr:uid="{00000000-0005-0000-0000-0000D7450000}"/>
    <cellStyle name="Normal 6 2 2 6 2 2 4" xfId="24117" xr:uid="{00000000-0005-0000-0000-0000D8450000}"/>
    <cellStyle name="Normal 6 2 2 6 2 3" xfId="6863" xr:uid="{00000000-0005-0000-0000-0000D9450000}"/>
    <cellStyle name="Normal 6 2 2 6 2 3 2" xfId="16723" xr:uid="{00000000-0005-0000-0000-0000DA450000}"/>
    <cellStyle name="Normal 6 2 2 6 2 3 2 2" xfId="36438" xr:uid="{00000000-0005-0000-0000-0000DB450000}"/>
    <cellStyle name="Normal 6 2 2 6 2 3 3" xfId="26581" xr:uid="{00000000-0005-0000-0000-0000DC450000}"/>
    <cellStyle name="Normal 6 2 2 6 2 4" xfId="11795" xr:uid="{00000000-0005-0000-0000-0000DD450000}"/>
    <cellStyle name="Normal 6 2 2 6 2 4 2" xfId="31510" xr:uid="{00000000-0005-0000-0000-0000DE450000}"/>
    <cellStyle name="Normal 6 2 2 6 2 5" xfId="21653" xr:uid="{00000000-0005-0000-0000-0000DF450000}"/>
    <cellStyle name="Normal 6 2 2 6 3" xfId="3163" xr:uid="{00000000-0005-0000-0000-0000E0450000}"/>
    <cellStyle name="Normal 6 2 2 6 3 2" xfId="8095" xr:uid="{00000000-0005-0000-0000-0000E1450000}"/>
    <cellStyle name="Normal 6 2 2 6 3 2 2" xfId="17955" xr:uid="{00000000-0005-0000-0000-0000E2450000}"/>
    <cellStyle name="Normal 6 2 2 6 3 2 2 2" xfId="37670" xr:uid="{00000000-0005-0000-0000-0000E3450000}"/>
    <cellStyle name="Normal 6 2 2 6 3 2 3" xfId="27813" xr:uid="{00000000-0005-0000-0000-0000E4450000}"/>
    <cellStyle name="Normal 6 2 2 6 3 3" xfId="13027" xr:uid="{00000000-0005-0000-0000-0000E5450000}"/>
    <cellStyle name="Normal 6 2 2 6 3 3 2" xfId="32742" xr:uid="{00000000-0005-0000-0000-0000E6450000}"/>
    <cellStyle name="Normal 6 2 2 6 3 4" xfId="22885" xr:uid="{00000000-0005-0000-0000-0000E7450000}"/>
    <cellStyle name="Normal 6 2 2 6 4" xfId="5631" xr:uid="{00000000-0005-0000-0000-0000E8450000}"/>
    <cellStyle name="Normal 6 2 2 6 4 2" xfId="15491" xr:uid="{00000000-0005-0000-0000-0000E9450000}"/>
    <cellStyle name="Normal 6 2 2 6 4 2 2" xfId="35206" xr:uid="{00000000-0005-0000-0000-0000EA450000}"/>
    <cellStyle name="Normal 6 2 2 6 4 3" xfId="25349" xr:uid="{00000000-0005-0000-0000-0000EB450000}"/>
    <cellStyle name="Normal 6 2 2 6 5" xfId="10563" xr:uid="{00000000-0005-0000-0000-0000EC450000}"/>
    <cellStyle name="Normal 6 2 2 6 5 2" xfId="30278" xr:uid="{00000000-0005-0000-0000-0000ED450000}"/>
    <cellStyle name="Normal 6 2 2 6 6" xfId="20421" xr:uid="{00000000-0005-0000-0000-0000EE450000}"/>
    <cellStyle name="Normal 6 2 2 7" xfId="1312" xr:uid="{00000000-0005-0000-0000-0000EF450000}"/>
    <cellStyle name="Normal 6 2 2 7 2" xfId="3779" xr:uid="{00000000-0005-0000-0000-0000F0450000}"/>
    <cellStyle name="Normal 6 2 2 7 2 2" xfId="8711" xr:uid="{00000000-0005-0000-0000-0000F1450000}"/>
    <cellStyle name="Normal 6 2 2 7 2 2 2" xfId="18571" xr:uid="{00000000-0005-0000-0000-0000F2450000}"/>
    <cellStyle name="Normal 6 2 2 7 2 2 2 2" xfId="38286" xr:uid="{00000000-0005-0000-0000-0000F3450000}"/>
    <cellStyle name="Normal 6 2 2 7 2 2 3" xfId="28429" xr:uid="{00000000-0005-0000-0000-0000F4450000}"/>
    <cellStyle name="Normal 6 2 2 7 2 3" xfId="13643" xr:uid="{00000000-0005-0000-0000-0000F5450000}"/>
    <cellStyle name="Normal 6 2 2 7 2 3 2" xfId="33358" xr:uid="{00000000-0005-0000-0000-0000F6450000}"/>
    <cellStyle name="Normal 6 2 2 7 2 4" xfId="23501" xr:uid="{00000000-0005-0000-0000-0000F7450000}"/>
    <cellStyle name="Normal 6 2 2 7 3" xfId="6247" xr:uid="{00000000-0005-0000-0000-0000F8450000}"/>
    <cellStyle name="Normal 6 2 2 7 3 2" xfId="16107" xr:uid="{00000000-0005-0000-0000-0000F9450000}"/>
    <cellStyle name="Normal 6 2 2 7 3 2 2" xfId="35822" xr:uid="{00000000-0005-0000-0000-0000FA450000}"/>
    <cellStyle name="Normal 6 2 2 7 3 3" xfId="25965" xr:uid="{00000000-0005-0000-0000-0000FB450000}"/>
    <cellStyle name="Normal 6 2 2 7 4" xfId="11179" xr:uid="{00000000-0005-0000-0000-0000FC450000}"/>
    <cellStyle name="Normal 6 2 2 7 4 2" xfId="30894" xr:uid="{00000000-0005-0000-0000-0000FD450000}"/>
    <cellStyle name="Normal 6 2 2 7 5" xfId="21037" xr:uid="{00000000-0005-0000-0000-0000FE450000}"/>
    <cellStyle name="Normal 6 2 2 8" xfId="2547" xr:uid="{00000000-0005-0000-0000-0000FF450000}"/>
    <cellStyle name="Normal 6 2 2 8 2" xfId="7479" xr:uid="{00000000-0005-0000-0000-000000460000}"/>
    <cellStyle name="Normal 6 2 2 8 2 2" xfId="17339" xr:uid="{00000000-0005-0000-0000-000001460000}"/>
    <cellStyle name="Normal 6 2 2 8 2 2 2" xfId="37054" xr:uid="{00000000-0005-0000-0000-000002460000}"/>
    <cellStyle name="Normal 6 2 2 8 2 3" xfId="27197" xr:uid="{00000000-0005-0000-0000-000003460000}"/>
    <cellStyle name="Normal 6 2 2 8 3" xfId="12411" xr:uid="{00000000-0005-0000-0000-000004460000}"/>
    <cellStyle name="Normal 6 2 2 8 3 2" xfId="32126" xr:uid="{00000000-0005-0000-0000-000005460000}"/>
    <cellStyle name="Normal 6 2 2 8 4" xfId="22269" xr:uid="{00000000-0005-0000-0000-000006460000}"/>
    <cellStyle name="Normal 6 2 2 9" xfId="5015" xr:uid="{00000000-0005-0000-0000-000007460000}"/>
    <cellStyle name="Normal 6 2 2 9 2" xfId="14875" xr:uid="{00000000-0005-0000-0000-000008460000}"/>
    <cellStyle name="Normal 6 2 2 9 2 2" xfId="34590" xr:uid="{00000000-0005-0000-0000-000009460000}"/>
    <cellStyle name="Normal 6 2 2 9 3" xfId="24733" xr:uid="{00000000-0005-0000-0000-00000A460000}"/>
    <cellStyle name="Normal 6 2 3" xfId="74" xr:uid="{00000000-0005-0000-0000-00000B460000}"/>
    <cellStyle name="Normal 6 2 3 10" xfId="19824" xr:uid="{00000000-0005-0000-0000-00000C460000}"/>
    <cellStyle name="Normal 6 2 3 2" xfId="155" xr:uid="{00000000-0005-0000-0000-00000D460000}"/>
    <cellStyle name="Normal 6 2 3 2 2" xfId="312" xr:uid="{00000000-0005-0000-0000-00000E460000}"/>
    <cellStyle name="Normal 6 2 3 2 2 2" xfId="626" xr:uid="{00000000-0005-0000-0000-00000F460000}"/>
    <cellStyle name="Normal 6 2 3 2 2 2 2" xfId="1246" xr:uid="{00000000-0005-0000-0000-000010460000}"/>
    <cellStyle name="Normal 6 2 3 2 2 2 2 2" xfId="2481" xr:uid="{00000000-0005-0000-0000-000011460000}"/>
    <cellStyle name="Normal 6 2 3 2 2 2 2 2 2" xfId="4948" xr:uid="{00000000-0005-0000-0000-000012460000}"/>
    <cellStyle name="Normal 6 2 3 2 2 2 2 2 2 2" xfId="9880" xr:uid="{00000000-0005-0000-0000-000013460000}"/>
    <cellStyle name="Normal 6 2 3 2 2 2 2 2 2 2 2" xfId="19740" xr:uid="{00000000-0005-0000-0000-000014460000}"/>
    <cellStyle name="Normal 6 2 3 2 2 2 2 2 2 2 2 2" xfId="39455" xr:uid="{00000000-0005-0000-0000-000015460000}"/>
    <cellStyle name="Normal 6 2 3 2 2 2 2 2 2 2 3" xfId="29598" xr:uid="{00000000-0005-0000-0000-000016460000}"/>
    <cellStyle name="Normal 6 2 3 2 2 2 2 2 2 3" xfId="14812" xr:uid="{00000000-0005-0000-0000-000017460000}"/>
    <cellStyle name="Normal 6 2 3 2 2 2 2 2 2 3 2" xfId="34527" xr:uid="{00000000-0005-0000-0000-000018460000}"/>
    <cellStyle name="Normal 6 2 3 2 2 2 2 2 2 4" xfId="24670" xr:uid="{00000000-0005-0000-0000-000019460000}"/>
    <cellStyle name="Normal 6 2 3 2 2 2 2 2 3" xfId="7416" xr:uid="{00000000-0005-0000-0000-00001A460000}"/>
    <cellStyle name="Normal 6 2 3 2 2 2 2 2 3 2" xfId="17276" xr:uid="{00000000-0005-0000-0000-00001B460000}"/>
    <cellStyle name="Normal 6 2 3 2 2 2 2 2 3 2 2" xfId="36991" xr:uid="{00000000-0005-0000-0000-00001C460000}"/>
    <cellStyle name="Normal 6 2 3 2 2 2 2 2 3 3" xfId="27134" xr:uid="{00000000-0005-0000-0000-00001D460000}"/>
    <cellStyle name="Normal 6 2 3 2 2 2 2 2 4" xfId="12348" xr:uid="{00000000-0005-0000-0000-00001E460000}"/>
    <cellStyle name="Normal 6 2 3 2 2 2 2 2 4 2" xfId="32063" xr:uid="{00000000-0005-0000-0000-00001F460000}"/>
    <cellStyle name="Normal 6 2 3 2 2 2 2 2 5" xfId="22206" xr:uid="{00000000-0005-0000-0000-000020460000}"/>
    <cellStyle name="Normal 6 2 3 2 2 2 2 3" xfId="3716" xr:uid="{00000000-0005-0000-0000-000021460000}"/>
    <cellStyle name="Normal 6 2 3 2 2 2 2 3 2" xfId="8648" xr:uid="{00000000-0005-0000-0000-000022460000}"/>
    <cellStyle name="Normal 6 2 3 2 2 2 2 3 2 2" xfId="18508" xr:uid="{00000000-0005-0000-0000-000023460000}"/>
    <cellStyle name="Normal 6 2 3 2 2 2 2 3 2 2 2" xfId="38223" xr:uid="{00000000-0005-0000-0000-000024460000}"/>
    <cellStyle name="Normal 6 2 3 2 2 2 2 3 2 3" xfId="28366" xr:uid="{00000000-0005-0000-0000-000025460000}"/>
    <cellStyle name="Normal 6 2 3 2 2 2 2 3 3" xfId="13580" xr:uid="{00000000-0005-0000-0000-000026460000}"/>
    <cellStyle name="Normal 6 2 3 2 2 2 2 3 3 2" xfId="33295" xr:uid="{00000000-0005-0000-0000-000027460000}"/>
    <cellStyle name="Normal 6 2 3 2 2 2 2 3 4" xfId="23438" xr:uid="{00000000-0005-0000-0000-000028460000}"/>
    <cellStyle name="Normal 6 2 3 2 2 2 2 4" xfId="6184" xr:uid="{00000000-0005-0000-0000-000029460000}"/>
    <cellStyle name="Normal 6 2 3 2 2 2 2 4 2" xfId="16044" xr:uid="{00000000-0005-0000-0000-00002A460000}"/>
    <cellStyle name="Normal 6 2 3 2 2 2 2 4 2 2" xfId="35759" xr:uid="{00000000-0005-0000-0000-00002B460000}"/>
    <cellStyle name="Normal 6 2 3 2 2 2 2 4 3" xfId="25902" xr:uid="{00000000-0005-0000-0000-00002C460000}"/>
    <cellStyle name="Normal 6 2 3 2 2 2 2 5" xfId="11116" xr:uid="{00000000-0005-0000-0000-00002D460000}"/>
    <cellStyle name="Normal 6 2 3 2 2 2 2 5 2" xfId="30831" xr:uid="{00000000-0005-0000-0000-00002E460000}"/>
    <cellStyle name="Normal 6 2 3 2 2 2 2 6" xfId="20974" xr:uid="{00000000-0005-0000-0000-00002F460000}"/>
    <cellStyle name="Normal 6 2 3 2 2 2 3" xfId="1865" xr:uid="{00000000-0005-0000-0000-000030460000}"/>
    <cellStyle name="Normal 6 2 3 2 2 2 3 2" xfId="4332" xr:uid="{00000000-0005-0000-0000-000031460000}"/>
    <cellStyle name="Normal 6 2 3 2 2 2 3 2 2" xfId="9264" xr:uid="{00000000-0005-0000-0000-000032460000}"/>
    <cellStyle name="Normal 6 2 3 2 2 2 3 2 2 2" xfId="19124" xr:uid="{00000000-0005-0000-0000-000033460000}"/>
    <cellStyle name="Normal 6 2 3 2 2 2 3 2 2 2 2" xfId="38839" xr:uid="{00000000-0005-0000-0000-000034460000}"/>
    <cellStyle name="Normal 6 2 3 2 2 2 3 2 2 3" xfId="28982" xr:uid="{00000000-0005-0000-0000-000035460000}"/>
    <cellStyle name="Normal 6 2 3 2 2 2 3 2 3" xfId="14196" xr:uid="{00000000-0005-0000-0000-000036460000}"/>
    <cellStyle name="Normal 6 2 3 2 2 2 3 2 3 2" xfId="33911" xr:uid="{00000000-0005-0000-0000-000037460000}"/>
    <cellStyle name="Normal 6 2 3 2 2 2 3 2 4" xfId="24054" xr:uid="{00000000-0005-0000-0000-000038460000}"/>
    <cellStyle name="Normal 6 2 3 2 2 2 3 3" xfId="6800" xr:uid="{00000000-0005-0000-0000-000039460000}"/>
    <cellStyle name="Normal 6 2 3 2 2 2 3 3 2" xfId="16660" xr:uid="{00000000-0005-0000-0000-00003A460000}"/>
    <cellStyle name="Normal 6 2 3 2 2 2 3 3 2 2" xfId="36375" xr:uid="{00000000-0005-0000-0000-00003B460000}"/>
    <cellStyle name="Normal 6 2 3 2 2 2 3 3 3" xfId="26518" xr:uid="{00000000-0005-0000-0000-00003C460000}"/>
    <cellStyle name="Normal 6 2 3 2 2 2 3 4" xfId="11732" xr:uid="{00000000-0005-0000-0000-00003D460000}"/>
    <cellStyle name="Normal 6 2 3 2 2 2 3 4 2" xfId="31447" xr:uid="{00000000-0005-0000-0000-00003E460000}"/>
    <cellStyle name="Normal 6 2 3 2 2 2 3 5" xfId="21590" xr:uid="{00000000-0005-0000-0000-00003F460000}"/>
    <cellStyle name="Normal 6 2 3 2 2 2 4" xfId="3100" xr:uid="{00000000-0005-0000-0000-000040460000}"/>
    <cellStyle name="Normal 6 2 3 2 2 2 4 2" xfId="8032" xr:uid="{00000000-0005-0000-0000-000041460000}"/>
    <cellStyle name="Normal 6 2 3 2 2 2 4 2 2" xfId="17892" xr:uid="{00000000-0005-0000-0000-000042460000}"/>
    <cellStyle name="Normal 6 2 3 2 2 2 4 2 2 2" xfId="37607" xr:uid="{00000000-0005-0000-0000-000043460000}"/>
    <cellStyle name="Normal 6 2 3 2 2 2 4 2 3" xfId="27750" xr:uid="{00000000-0005-0000-0000-000044460000}"/>
    <cellStyle name="Normal 6 2 3 2 2 2 4 3" xfId="12964" xr:uid="{00000000-0005-0000-0000-000045460000}"/>
    <cellStyle name="Normal 6 2 3 2 2 2 4 3 2" xfId="32679" xr:uid="{00000000-0005-0000-0000-000046460000}"/>
    <cellStyle name="Normal 6 2 3 2 2 2 4 4" xfId="22822" xr:uid="{00000000-0005-0000-0000-000047460000}"/>
    <cellStyle name="Normal 6 2 3 2 2 2 5" xfId="5568" xr:uid="{00000000-0005-0000-0000-000048460000}"/>
    <cellStyle name="Normal 6 2 3 2 2 2 5 2" xfId="15428" xr:uid="{00000000-0005-0000-0000-000049460000}"/>
    <cellStyle name="Normal 6 2 3 2 2 2 5 2 2" xfId="35143" xr:uid="{00000000-0005-0000-0000-00004A460000}"/>
    <cellStyle name="Normal 6 2 3 2 2 2 5 3" xfId="25286" xr:uid="{00000000-0005-0000-0000-00004B460000}"/>
    <cellStyle name="Normal 6 2 3 2 2 2 6" xfId="10500" xr:uid="{00000000-0005-0000-0000-00004C460000}"/>
    <cellStyle name="Normal 6 2 3 2 2 2 6 2" xfId="30215" xr:uid="{00000000-0005-0000-0000-00004D460000}"/>
    <cellStyle name="Normal 6 2 3 2 2 2 7" xfId="20358" xr:uid="{00000000-0005-0000-0000-00004E460000}"/>
    <cellStyle name="Normal 6 2 3 2 2 3" xfId="939" xr:uid="{00000000-0005-0000-0000-00004F460000}"/>
    <cellStyle name="Normal 6 2 3 2 2 3 2" xfId="2175" xr:uid="{00000000-0005-0000-0000-000050460000}"/>
    <cellStyle name="Normal 6 2 3 2 2 3 2 2" xfId="4642" xr:uid="{00000000-0005-0000-0000-000051460000}"/>
    <cellStyle name="Normal 6 2 3 2 2 3 2 2 2" xfId="9574" xr:uid="{00000000-0005-0000-0000-000052460000}"/>
    <cellStyle name="Normal 6 2 3 2 2 3 2 2 2 2" xfId="19434" xr:uid="{00000000-0005-0000-0000-000053460000}"/>
    <cellStyle name="Normal 6 2 3 2 2 3 2 2 2 2 2" xfId="39149" xr:uid="{00000000-0005-0000-0000-000054460000}"/>
    <cellStyle name="Normal 6 2 3 2 2 3 2 2 2 3" xfId="29292" xr:uid="{00000000-0005-0000-0000-000055460000}"/>
    <cellStyle name="Normal 6 2 3 2 2 3 2 2 3" xfId="14506" xr:uid="{00000000-0005-0000-0000-000056460000}"/>
    <cellStyle name="Normal 6 2 3 2 2 3 2 2 3 2" xfId="34221" xr:uid="{00000000-0005-0000-0000-000057460000}"/>
    <cellStyle name="Normal 6 2 3 2 2 3 2 2 4" xfId="24364" xr:uid="{00000000-0005-0000-0000-000058460000}"/>
    <cellStyle name="Normal 6 2 3 2 2 3 2 3" xfId="7110" xr:uid="{00000000-0005-0000-0000-000059460000}"/>
    <cellStyle name="Normal 6 2 3 2 2 3 2 3 2" xfId="16970" xr:uid="{00000000-0005-0000-0000-00005A460000}"/>
    <cellStyle name="Normal 6 2 3 2 2 3 2 3 2 2" xfId="36685" xr:uid="{00000000-0005-0000-0000-00005B460000}"/>
    <cellStyle name="Normal 6 2 3 2 2 3 2 3 3" xfId="26828" xr:uid="{00000000-0005-0000-0000-00005C460000}"/>
    <cellStyle name="Normal 6 2 3 2 2 3 2 4" xfId="12042" xr:uid="{00000000-0005-0000-0000-00005D460000}"/>
    <cellStyle name="Normal 6 2 3 2 2 3 2 4 2" xfId="31757" xr:uid="{00000000-0005-0000-0000-00005E460000}"/>
    <cellStyle name="Normal 6 2 3 2 2 3 2 5" xfId="21900" xr:uid="{00000000-0005-0000-0000-00005F460000}"/>
    <cellStyle name="Normal 6 2 3 2 2 3 3" xfId="3410" xr:uid="{00000000-0005-0000-0000-000060460000}"/>
    <cellStyle name="Normal 6 2 3 2 2 3 3 2" xfId="8342" xr:uid="{00000000-0005-0000-0000-000061460000}"/>
    <cellStyle name="Normal 6 2 3 2 2 3 3 2 2" xfId="18202" xr:uid="{00000000-0005-0000-0000-000062460000}"/>
    <cellStyle name="Normal 6 2 3 2 2 3 3 2 2 2" xfId="37917" xr:uid="{00000000-0005-0000-0000-000063460000}"/>
    <cellStyle name="Normal 6 2 3 2 2 3 3 2 3" xfId="28060" xr:uid="{00000000-0005-0000-0000-000064460000}"/>
    <cellStyle name="Normal 6 2 3 2 2 3 3 3" xfId="13274" xr:uid="{00000000-0005-0000-0000-000065460000}"/>
    <cellStyle name="Normal 6 2 3 2 2 3 3 3 2" xfId="32989" xr:uid="{00000000-0005-0000-0000-000066460000}"/>
    <cellStyle name="Normal 6 2 3 2 2 3 3 4" xfId="23132" xr:uid="{00000000-0005-0000-0000-000067460000}"/>
    <cellStyle name="Normal 6 2 3 2 2 3 4" xfId="5878" xr:uid="{00000000-0005-0000-0000-000068460000}"/>
    <cellStyle name="Normal 6 2 3 2 2 3 4 2" xfId="15738" xr:uid="{00000000-0005-0000-0000-000069460000}"/>
    <cellStyle name="Normal 6 2 3 2 2 3 4 2 2" xfId="35453" xr:uid="{00000000-0005-0000-0000-00006A460000}"/>
    <cellStyle name="Normal 6 2 3 2 2 3 4 3" xfId="25596" xr:uid="{00000000-0005-0000-0000-00006B460000}"/>
    <cellStyle name="Normal 6 2 3 2 2 3 5" xfId="10810" xr:uid="{00000000-0005-0000-0000-00006C460000}"/>
    <cellStyle name="Normal 6 2 3 2 2 3 5 2" xfId="30525" xr:uid="{00000000-0005-0000-0000-00006D460000}"/>
    <cellStyle name="Normal 6 2 3 2 2 3 6" xfId="20668" xr:uid="{00000000-0005-0000-0000-00006E460000}"/>
    <cellStyle name="Normal 6 2 3 2 2 4" xfId="1559" xr:uid="{00000000-0005-0000-0000-00006F460000}"/>
    <cellStyle name="Normal 6 2 3 2 2 4 2" xfId="4026" xr:uid="{00000000-0005-0000-0000-000070460000}"/>
    <cellStyle name="Normal 6 2 3 2 2 4 2 2" xfId="8958" xr:uid="{00000000-0005-0000-0000-000071460000}"/>
    <cellStyle name="Normal 6 2 3 2 2 4 2 2 2" xfId="18818" xr:uid="{00000000-0005-0000-0000-000072460000}"/>
    <cellStyle name="Normal 6 2 3 2 2 4 2 2 2 2" xfId="38533" xr:uid="{00000000-0005-0000-0000-000073460000}"/>
    <cellStyle name="Normal 6 2 3 2 2 4 2 2 3" xfId="28676" xr:uid="{00000000-0005-0000-0000-000074460000}"/>
    <cellStyle name="Normal 6 2 3 2 2 4 2 3" xfId="13890" xr:uid="{00000000-0005-0000-0000-000075460000}"/>
    <cellStyle name="Normal 6 2 3 2 2 4 2 3 2" xfId="33605" xr:uid="{00000000-0005-0000-0000-000076460000}"/>
    <cellStyle name="Normal 6 2 3 2 2 4 2 4" xfId="23748" xr:uid="{00000000-0005-0000-0000-000077460000}"/>
    <cellStyle name="Normal 6 2 3 2 2 4 3" xfId="6494" xr:uid="{00000000-0005-0000-0000-000078460000}"/>
    <cellStyle name="Normal 6 2 3 2 2 4 3 2" xfId="16354" xr:uid="{00000000-0005-0000-0000-000079460000}"/>
    <cellStyle name="Normal 6 2 3 2 2 4 3 2 2" xfId="36069" xr:uid="{00000000-0005-0000-0000-00007A460000}"/>
    <cellStyle name="Normal 6 2 3 2 2 4 3 3" xfId="26212" xr:uid="{00000000-0005-0000-0000-00007B460000}"/>
    <cellStyle name="Normal 6 2 3 2 2 4 4" xfId="11426" xr:uid="{00000000-0005-0000-0000-00007C460000}"/>
    <cellStyle name="Normal 6 2 3 2 2 4 4 2" xfId="31141" xr:uid="{00000000-0005-0000-0000-00007D460000}"/>
    <cellStyle name="Normal 6 2 3 2 2 4 5" xfId="21284" xr:uid="{00000000-0005-0000-0000-00007E460000}"/>
    <cellStyle name="Normal 6 2 3 2 2 5" xfId="2794" xr:uid="{00000000-0005-0000-0000-00007F460000}"/>
    <cellStyle name="Normal 6 2 3 2 2 5 2" xfId="7726" xr:uid="{00000000-0005-0000-0000-000080460000}"/>
    <cellStyle name="Normal 6 2 3 2 2 5 2 2" xfId="17586" xr:uid="{00000000-0005-0000-0000-000081460000}"/>
    <cellStyle name="Normal 6 2 3 2 2 5 2 2 2" xfId="37301" xr:uid="{00000000-0005-0000-0000-000082460000}"/>
    <cellStyle name="Normal 6 2 3 2 2 5 2 3" xfId="27444" xr:uid="{00000000-0005-0000-0000-000083460000}"/>
    <cellStyle name="Normal 6 2 3 2 2 5 3" xfId="12658" xr:uid="{00000000-0005-0000-0000-000084460000}"/>
    <cellStyle name="Normal 6 2 3 2 2 5 3 2" xfId="32373" xr:uid="{00000000-0005-0000-0000-000085460000}"/>
    <cellStyle name="Normal 6 2 3 2 2 5 4" xfId="22516" xr:uid="{00000000-0005-0000-0000-000086460000}"/>
    <cellStyle name="Normal 6 2 3 2 2 6" xfId="5262" xr:uid="{00000000-0005-0000-0000-000087460000}"/>
    <cellStyle name="Normal 6 2 3 2 2 6 2" xfId="15122" xr:uid="{00000000-0005-0000-0000-000088460000}"/>
    <cellStyle name="Normal 6 2 3 2 2 6 2 2" xfId="34837" xr:uid="{00000000-0005-0000-0000-000089460000}"/>
    <cellStyle name="Normal 6 2 3 2 2 6 3" xfId="24980" xr:uid="{00000000-0005-0000-0000-00008A460000}"/>
    <cellStyle name="Normal 6 2 3 2 2 7" xfId="10194" xr:uid="{00000000-0005-0000-0000-00008B460000}"/>
    <cellStyle name="Normal 6 2 3 2 2 7 2" xfId="29909" xr:uid="{00000000-0005-0000-0000-00008C460000}"/>
    <cellStyle name="Normal 6 2 3 2 2 8" xfId="20052" xr:uid="{00000000-0005-0000-0000-00008D460000}"/>
    <cellStyle name="Normal 6 2 3 2 3" xfId="474" xr:uid="{00000000-0005-0000-0000-00008E460000}"/>
    <cellStyle name="Normal 6 2 3 2 3 2" xfId="1094" xr:uid="{00000000-0005-0000-0000-00008F460000}"/>
    <cellStyle name="Normal 6 2 3 2 3 2 2" xfId="2329" xr:uid="{00000000-0005-0000-0000-000090460000}"/>
    <cellStyle name="Normal 6 2 3 2 3 2 2 2" xfId="4796" xr:uid="{00000000-0005-0000-0000-000091460000}"/>
    <cellStyle name="Normal 6 2 3 2 3 2 2 2 2" xfId="9728" xr:uid="{00000000-0005-0000-0000-000092460000}"/>
    <cellStyle name="Normal 6 2 3 2 3 2 2 2 2 2" xfId="19588" xr:uid="{00000000-0005-0000-0000-000093460000}"/>
    <cellStyle name="Normal 6 2 3 2 3 2 2 2 2 2 2" xfId="39303" xr:uid="{00000000-0005-0000-0000-000094460000}"/>
    <cellStyle name="Normal 6 2 3 2 3 2 2 2 2 3" xfId="29446" xr:uid="{00000000-0005-0000-0000-000095460000}"/>
    <cellStyle name="Normal 6 2 3 2 3 2 2 2 3" xfId="14660" xr:uid="{00000000-0005-0000-0000-000096460000}"/>
    <cellStyle name="Normal 6 2 3 2 3 2 2 2 3 2" xfId="34375" xr:uid="{00000000-0005-0000-0000-000097460000}"/>
    <cellStyle name="Normal 6 2 3 2 3 2 2 2 4" xfId="24518" xr:uid="{00000000-0005-0000-0000-000098460000}"/>
    <cellStyle name="Normal 6 2 3 2 3 2 2 3" xfId="7264" xr:uid="{00000000-0005-0000-0000-000099460000}"/>
    <cellStyle name="Normal 6 2 3 2 3 2 2 3 2" xfId="17124" xr:uid="{00000000-0005-0000-0000-00009A460000}"/>
    <cellStyle name="Normal 6 2 3 2 3 2 2 3 2 2" xfId="36839" xr:uid="{00000000-0005-0000-0000-00009B460000}"/>
    <cellStyle name="Normal 6 2 3 2 3 2 2 3 3" xfId="26982" xr:uid="{00000000-0005-0000-0000-00009C460000}"/>
    <cellStyle name="Normal 6 2 3 2 3 2 2 4" xfId="12196" xr:uid="{00000000-0005-0000-0000-00009D460000}"/>
    <cellStyle name="Normal 6 2 3 2 3 2 2 4 2" xfId="31911" xr:uid="{00000000-0005-0000-0000-00009E460000}"/>
    <cellStyle name="Normal 6 2 3 2 3 2 2 5" xfId="22054" xr:uid="{00000000-0005-0000-0000-00009F460000}"/>
    <cellStyle name="Normal 6 2 3 2 3 2 3" xfId="3564" xr:uid="{00000000-0005-0000-0000-0000A0460000}"/>
    <cellStyle name="Normal 6 2 3 2 3 2 3 2" xfId="8496" xr:uid="{00000000-0005-0000-0000-0000A1460000}"/>
    <cellStyle name="Normal 6 2 3 2 3 2 3 2 2" xfId="18356" xr:uid="{00000000-0005-0000-0000-0000A2460000}"/>
    <cellStyle name="Normal 6 2 3 2 3 2 3 2 2 2" xfId="38071" xr:uid="{00000000-0005-0000-0000-0000A3460000}"/>
    <cellStyle name="Normal 6 2 3 2 3 2 3 2 3" xfId="28214" xr:uid="{00000000-0005-0000-0000-0000A4460000}"/>
    <cellStyle name="Normal 6 2 3 2 3 2 3 3" xfId="13428" xr:uid="{00000000-0005-0000-0000-0000A5460000}"/>
    <cellStyle name="Normal 6 2 3 2 3 2 3 3 2" xfId="33143" xr:uid="{00000000-0005-0000-0000-0000A6460000}"/>
    <cellStyle name="Normal 6 2 3 2 3 2 3 4" xfId="23286" xr:uid="{00000000-0005-0000-0000-0000A7460000}"/>
    <cellStyle name="Normal 6 2 3 2 3 2 4" xfId="6032" xr:uid="{00000000-0005-0000-0000-0000A8460000}"/>
    <cellStyle name="Normal 6 2 3 2 3 2 4 2" xfId="15892" xr:uid="{00000000-0005-0000-0000-0000A9460000}"/>
    <cellStyle name="Normal 6 2 3 2 3 2 4 2 2" xfId="35607" xr:uid="{00000000-0005-0000-0000-0000AA460000}"/>
    <cellStyle name="Normal 6 2 3 2 3 2 4 3" xfId="25750" xr:uid="{00000000-0005-0000-0000-0000AB460000}"/>
    <cellStyle name="Normal 6 2 3 2 3 2 5" xfId="10964" xr:uid="{00000000-0005-0000-0000-0000AC460000}"/>
    <cellStyle name="Normal 6 2 3 2 3 2 5 2" xfId="30679" xr:uid="{00000000-0005-0000-0000-0000AD460000}"/>
    <cellStyle name="Normal 6 2 3 2 3 2 6" xfId="20822" xr:uid="{00000000-0005-0000-0000-0000AE460000}"/>
    <cellStyle name="Normal 6 2 3 2 3 3" xfId="1713" xr:uid="{00000000-0005-0000-0000-0000AF460000}"/>
    <cellStyle name="Normal 6 2 3 2 3 3 2" xfId="4180" xr:uid="{00000000-0005-0000-0000-0000B0460000}"/>
    <cellStyle name="Normal 6 2 3 2 3 3 2 2" xfId="9112" xr:uid="{00000000-0005-0000-0000-0000B1460000}"/>
    <cellStyle name="Normal 6 2 3 2 3 3 2 2 2" xfId="18972" xr:uid="{00000000-0005-0000-0000-0000B2460000}"/>
    <cellStyle name="Normal 6 2 3 2 3 3 2 2 2 2" xfId="38687" xr:uid="{00000000-0005-0000-0000-0000B3460000}"/>
    <cellStyle name="Normal 6 2 3 2 3 3 2 2 3" xfId="28830" xr:uid="{00000000-0005-0000-0000-0000B4460000}"/>
    <cellStyle name="Normal 6 2 3 2 3 3 2 3" xfId="14044" xr:uid="{00000000-0005-0000-0000-0000B5460000}"/>
    <cellStyle name="Normal 6 2 3 2 3 3 2 3 2" xfId="33759" xr:uid="{00000000-0005-0000-0000-0000B6460000}"/>
    <cellStyle name="Normal 6 2 3 2 3 3 2 4" xfId="23902" xr:uid="{00000000-0005-0000-0000-0000B7460000}"/>
    <cellStyle name="Normal 6 2 3 2 3 3 3" xfId="6648" xr:uid="{00000000-0005-0000-0000-0000B8460000}"/>
    <cellStyle name="Normal 6 2 3 2 3 3 3 2" xfId="16508" xr:uid="{00000000-0005-0000-0000-0000B9460000}"/>
    <cellStyle name="Normal 6 2 3 2 3 3 3 2 2" xfId="36223" xr:uid="{00000000-0005-0000-0000-0000BA460000}"/>
    <cellStyle name="Normal 6 2 3 2 3 3 3 3" xfId="26366" xr:uid="{00000000-0005-0000-0000-0000BB460000}"/>
    <cellStyle name="Normal 6 2 3 2 3 3 4" xfId="11580" xr:uid="{00000000-0005-0000-0000-0000BC460000}"/>
    <cellStyle name="Normal 6 2 3 2 3 3 4 2" xfId="31295" xr:uid="{00000000-0005-0000-0000-0000BD460000}"/>
    <cellStyle name="Normal 6 2 3 2 3 3 5" xfId="21438" xr:uid="{00000000-0005-0000-0000-0000BE460000}"/>
    <cellStyle name="Normal 6 2 3 2 3 4" xfId="2948" xr:uid="{00000000-0005-0000-0000-0000BF460000}"/>
    <cellStyle name="Normal 6 2 3 2 3 4 2" xfId="7880" xr:uid="{00000000-0005-0000-0000-0000C0460000}"/>
    <cellStyle name="Normal 6 2 3 2 3 4 2 2" xfId="17740" xr:uid="{00000000-0005-0000-0000-0000C1460000}"/>
    <cellStyle name="Normal 6 2 3 2 3 4 2 2 2" xfId="37455" xr:uid="{00000000-0005-0000-0000-0000C2460000}"/>
    <cellStyle name="Normal 6 2 3 2 3 4 2 3" xfId="27598" xr:uid="{00000000-0005-0000-0000-0000C3460000}"/>
    <cellStyle name="Normal 6 2 3 2 3 4 3" xfId="12812" xr:uid="{00000000-0005-0000-0000-0000C4460000}"/>
    <cellStyle name="Normal 6 2 3 2 3 4 3 2" xfId="32527" xr:uid="{00000000-0005-0000-0000-0000C5460000}"/>
    <cellStyle name="Normal 6 2 3 2 3 4 4" xfId="22670" xr:uid="{00000000-0005-0000-0000-0000C6460000}"/>
    <cellStyle name="Normal 6 2 3 2 3 5" xfId="5416" xr:uid="{00000000-0005-0000-0000-0000C7460000}"/>
    <cellStyle name="Normal 6 2 3 2 3 5 2" xfId="15276" xr:uid="{00000000-0005-0000-0000-0000C8460000}"/>
    <cellStyle name="Normal 6 2 3 2 3 5 2 2" xfId="34991" xr:uid="{00000000-0005-0000-0000-0000C9460000}"/>
    <cellStyle name="Normal 6 2 3 2 3 5 3" xfId="25134" xr:uid="{00000000-0005-0000-0000-0000CA460000}"/>
    <cellStyle name="Normal 6 2 3 2 3 6" xfId="10348" xr:uid="{00000000-0005-0000-0000-0000CB460000}"/>
    <cellStyle name="Normal 6 2 3 2 3 6 2" xfId="30063" xr:uid="{00000000-0005-0000-0000-0000CC460000}"/>
    <cellStyle name="Normal 6 2 3 2 3 7" xfId="20206" xr:uid="{00000000-0005-0000-0000-0000CD460000}"/>
    <cellStyle name="Normal 6 2 3 2 4" xfId="787" xr:uid="{00000000-0005-0000-0000-0000CE460000}"/>
    <cellStyle name="Normal 6 2 3 2 4 2" xfId="2023" xr:uid="{00000000-0005-0000-0000-0000CF460000}"/>
    <cellStyle name="Normal 6 2 3 2 4 2 2" xfId="4490" xr:uid="{00000000-0005-0000-0000-0000D0460000}"/>
    <cellStyle name="Normal 6 2 3 2 4 2 2 2" xfId="9422" xr:uid="{00000000-0005-0000-0000-0000D1460000}"/>
    <cellStyle name="Normal 6 2 3 2 4 2 2 2 2" xfId="19282" xr:uid="{00000000-0005-0000-0000-0000D2460000}"/>
    <cellStyle name="Normal 6 2 3 2 4 2 2 2 2 2" xfId="38997" xr:uid="{00000000-0005-0000-0000-0000D3460000}"/>
    <cellStyle name="Normal 6 2 3 2 4 2 2 2 3" xfId="29140" xr:uid="{00000000-0005-0000-0000-0000D4460000}"/>
    <cellStyle name="Normal 6 2 3 2 4 2 2 3" xfId="14354" xr:uid="{00000000-0005-0000-0000-0000D5460000}"/>
    <cellStyle name="Normal 6 2 3 2 4 2 2 3 2" xfId="34069" xr:uid="{00000000-0005-0000-0000-0000D6460000}"/>
    <cellStyle name="Normal 6 2 3 2 4 2 2 4" xfId="24212" xr:uid="{00000000-0005-0000-0000-0000D7460000}"/>
    <cellStyle name="Normal 6 2 3 2 4 2 3" xfId="6958" xr:uid="{00000000-0005-0000-0000-0000D8460000}"/>
    <cellStyle name="Normal 6 2 3 2 4 2 3 2" xfId="16818" xr:uid="{00000000-0005-0000-0000-0000D9460000}"/>
    <cellStyle name="Normal 6 2 3 2 4 2 3 2 2" xfId="36533" xr:uid="{00000000-0005-0000-0000-0000DA460000}"/>
    <cellStyle name="Normal 6 2 3 2 4 2 3 3" xfId="26676" xr:uid="{00000000-0005-0000-0000-0000DB460000}"/>
    <cellStyle name="Normal 6 2 3 2 4 2 4" xfId="11890" xr:uid="{00000000-0005-0000-0000-0000DC460000}"/>
    <cellStyle name="Normal 6 2 3 2 4 2 4 2" xfId="31605" xr:uid="{00000000-0005-0000-0000-0000DD460000}"/>
    <cellStyle name="Normal 6 2 3 2 4 2 5" xfId="21748" xr:uid="{00000000-0005-0000-0000-0000DE460000}"/>
    <cellStyle name="Normal 6 2 3 2 4 3" xfId="3258" xr:uid="{00000000-0005-0000-0000-0000DF460000}"/>
    <cellStyle name="Normal 6 2 3 2 4 3 2" xfId="8190" xr:uid="{00000000-0005-0000-0000-0000E0460000}"/>
    <cellStyle name="Normal 6 2 3 2 4 3 2 2" xfId="18050" xr:uid="{00000000-0005-0000-0000-0000E1460000}"/>
    <cellStyle name="Normal 6 2 3 2 4 3 2 2 2" xfId="37765" xr:uid="{00000000-0005-0000-0000-0000E2460000}"/>
    <cellStyle name="Normal 6 2 3 2 4 3 2 3" xfId="27908" xr:uid="{00000000-0005-0000-0000-0000E3460000}"/>
    <cellStyle name="Normal 6 2 3 2 4 3 3" xfId="13122" xr:uid="{00000000-0005-0000-0000-0000E4460000}"/>
    <cellStyle name="Normal 6 2 3 2 4 3 3 2" xfId="32837" xr:uid="{00000000-0005-0000-0000-0000E5460000}"/>
    <cellStyle name="Normal 6 2 3 2 4 3 4" xfId="22980" xr:uid="{00000000-0005-0000-0000-0000E6460000}"/>
    <cellStyle name="Normal 6 2 3 2 4 4" xfId="5726" xr:uid="{00000000-0005-0000-0000-0000E7460000}"/>
    <cellStyle name="Normal 6 2 3 2 4 4 2" xfId="15586" xr:uid="{00000000-0005-0000-0000-0000E8460000}"/>
    <cellStyle name="Normal 6 2 3 2 4 4 2 2" xfId="35301" xr:uid="{00000000-0005-0000-0000-0000E9460000}"/>
    <cellStyle name="Normal 6 2 3 2 4 4 3" xfId="25444" xr:uid="{00000000-0005-0000-0000-0000EA460000}"/>
    <cellStyle name="Normal 6 2 3 2 4 5" xfId="10658" xr:uid="{00000000-0005-0000-0000-0000EB460000}"/>
    <cellStyle name="Normal 6 2 3 2 4 5 2" xfId="30373" xr:uid="{00000000-0005-0000-0000-0000EC460000}"/>
    <cellStyle name="Normal 6 2 3 2 4 6" xfId="20516" xr:uid="{00000000-0005-0000-0000-0000ED460000}"/>
    <cellStyle name="Normal 6 2 3 2 5" xfId="1407" xr:uid="{00000000-0005-0000-0000-0000EE460000}"/>
    <cellStyle name="Normal 6 2 3 2 5 2" xfId="3874" xr:uid="{00000000-0005-0000-0000-0000EF460000}"/>
    <cellStyle name="Normal 6 2 3 2 5 2 2" xfId="8806" xr:uid="{00000000-0005-0000-0000-0000F0460000}"/>
    <cellStyle name="Normal 6 2 3 2 5 2 2 2" xfId="18666" xr:uid="{00000000-0005-0000-0000-0000F1460000}"/>
    <cellStyle name="Normal 6 2 3 2 5 2 2 2 2" xfId="38381" xr:uid="{00000000-0005-0000-0000-0000F2460000}"/>
    <cellStyle name="Normal 6 2 3 2 5 2 2 3" xfId="28524" xr:uid="{00000000-0005-0000-0000-0000F3460000}"/>
    <cellStyle name="Normal 6 2 3 2 5 2 3" xfId="13738" xr:uid="{00000000-0005-0000-0000-0000F4460000}"/>
    <cellStyle name="Normal 6 2 3 2 5 2 3 2" xfId="33453" xr:uid="{00000000-0005-0000-0000-0000F5460000}"/>
    <cellStyle name="Normal 6 2 3 2 5 2 4" xfId="23596" xr:uid="{00000000-0005-0000-0000-0000F6460000}"/>
    <cellStyle name="Normal 6 2 3 2 5 3" xfId="6342" xr:uid="{00000000-0005-0000-0000-0000F7460000}"/>
    <cellStyle name="Normal 6 2 3 2 5 3 2" xfId="16202" xr:uid="{00000000-0005-0000-0000-0000F8460000}"/>
    <cellStyle name="Normal 6 2 3 2 5 3 2 2" xfId="35917" xr:uid="{00000000-0005-0000-0000-0000F9460000}"/>
    <cellStyle name="Normal 6 2 3 2 5 3 3" xfId="26060" xr:uid="{00000000-0005-0000-0000-0000FA460000}"/>
    <cellStyle name="Normal 6 2 3 2 5 4" xfId="11274" xr:uid="{00000000-0005-0000-0000-0000FB460000}"/>
    <cellStyle name="Normal 6 2 3 2 5 4 2" xfId="30989" xr:uid="{00000000-0005-0000-0000-0000FC460000}"/>
    <cellStyle name="Normal 6 2 3 2 5 5" xfId="21132" xr:uid="{00000000-0005-0000-0000-0000FD460000}"/>
    <cellStyle name="Normal 6 2 3 2 6" xfId="2642" xr:uid="{00000000-0005-0000-0000-0000FE460000}"/>
    <cellStyle name="Normal 6 2 3 2 6 2" xfId="7574" xr:uid="{00000000-0005-0000-0000-0000FF460000}"/>
    <cellStyle name="Normal 6 2 3 2 6 2 2" xfId="17434" xr:uid="{00000000-0005-0000-0000-000000470000}"/>
    <cellStyle name="Normal 6 2 3 2 6 2 2 2" xfId="37149" xr:uid="{00000000-0005-0000-0000-000001470000}"/>
    <cellStyle name="Normal 6 2 3 2 6 2 3" xfId="27292" xr:uid="{00000000-0005-0000-0000-000002470000}"/>
    <cellStyle name="Normal 6 2 3 2 6 3" xfId="12506" xr:uid="{00000000-0005-0000-0000-000003470000}"/>
    <cellStyle name="Normal 6 2 3 2 6 3 2" xfId="32221" xr:uid="{00000000-0005-0000-0000-000004470000}"/>
    <cellStyle name="Normal 6 2 3 2 6 4" xfId="22364" xr:uid="{00000000-0005-0000-0000-000005470000}"/>
    <cellStyle name="Normal 6 2 3 2 7" xfId="5110" xr:uid="{00000000-0005-0000-0000-000006470000}"/>
    <cellStyle name="Normal 6 2 3 2 7 2" xfId="14970" xr:uid="{00000000-0005-0000-0000-000007470000}"/>
    <cellStyle name="Normal 6 2 3 2 7 2 2" xfId="34685" xr:uid="{00000000-0005-0000-0000-000008470000}"/>
    <cellStyle name="Normal 6 2 3 2 7 3" xfId="24828" xr:uid="{00000000-0005-0000-0000-000009470000}"/>
    <cellStyle name="Normal 6 2 3 2 8" xfId="10042" xr:uid="{00000000-0005-0000-0000-00000A470000}"/>
    <cellStyle name="Normal 6 2 3 2 8 2" xfId="29757" xr:uid="{00000000-0005-0000-0000-00000B470000}"/>
    <cellStyle name="Normal 6 2 3 2 9" xfId="19900" xr:uid="{00000000-0005-0000-0000-00000C470000}"/>
    <cellStyle name="Normal 6 2 3 3" xfId="236" xr:uid="{00000000-0005-0000-0000-00000D470000}"/>
    <cellStyle name="Normal 6 2 3 3 2" xfId="550" xr:uid="{00000000-0005-0000-0000-00000E470000}"/>
    <cellStyle name="Normal 6 2 3 3 2 2" xfId="1170" xr:uid="{00000000-0005-0000-0000-00000F470000}"/>
    <cellStyle name="Normal 6 2 3 3 2 2 2" xfId="2405" xr:uid="{00000000-0005-0000-0000-000010470000}"/>
    <cellStyle name="Normal 6 2 3 3 2 2 2 2" xfId="4872" xr:uid="{00000000-0005-0000-0000-000011470000}"/>
    <cellStyle name="Normal 6 2 3 3 2 2 2 2 2" xfId="9804" xr:uid="{00000000-0005-0000-0000-000012470000}"/>
    <cellStyle name="Normal 6 2 3 3 2 2 2 2 2 2" xfId="19664" xr:uid="{00000000-0005-0000-0000-000013470000}"/>
    <cellStyle name="Normal 6 2 3 3 2 2 2 2 2 2 2" xfId="39379" xr:uid="{00000000-0005-0000-0000-000014470000}"/>
    <cellStyle name="Normal 6 2 3 3 2 2 2 2 2 3" xfId="29522" xr:uid="{00000000-0005-0000-0000-000015470000}"/>
    <cellStyle name="Normal 6 2 3 3 2 2 2 2 3" xfId="14736" xr:uid="{00000000-0005-0000-0000-000016470000}"/>
    <cellStyle name="Normal 6 2 3 3 2 2 2 2 3 2" xfId="34451" xr:uid="{00000000-0005-0000-0000-000017470000}"/>
    <cellStyle name="Normal 6 2 3 3 2 2 2 2 4" xfId="24594" xr:uid="{00000000-0005-0000-0000-000018470000}"/>
    <cellStyle name="Normal 6 2 3 3 2 2 2 3" xfId="7340" xr:uid="{00000000-0005-0000-0000-000019470000}"/>
    <cellStyle name="Normal 6 2 3 3 2 2 2 3 2" xfId="17200" xr:uid="{00000000-0005-0000-0000-00001A470000}"/>
    <cellStyle name="Normal 6 2 3 3 2 2 2 3 2 2" xfId="36915" xr:uid="{00000000-0005-0000-0000-00001B470000}"/>
    <cellStyle name="Normal 6 2 3 3 2 2 2 3 3" xfId="27058" xr:uid="{00000000-0005-0000-0000-00001C470000}"/>
    <cellStyle name="Normal 6 2 3 3 2 2 2 4" xfId="12272" xr:uid="{00000000-0005-0000-0000-00001D470000}"/>
    <cellStyle name="Normal 6 2 3 3 2 2 2 4 2" xfId="31987" xr:uid="{00000000-0005-0000-0000-00001E470000}"/>
    <cellStyle name="Normal 6 2 3 3 2 2 2 5" xfId="22130" xr:uid="{00000000-0005-0000-0000-00001F470000}"/>
    <cellStyle name="Normal 6 2 3 3 2 2 3" xfId="3640" xr:uid="{00000000-0005-0000-0000-000020470000}"/>
    <cellStyle name="Normal 6 2 3 3 2 2 3 2" xfId="8572" xr:uid="{00000000-0005-0000-0000-000021470000}"/>
    <cellStyle name="Normal 6 2 3 3 2 2 3 2 2" xfId="18432" xr:uid="{00000000-0005-0000-0000-000022470000}"/>
    <cellStyle name="Normal 6 2 3 3 2 2 3 2 2 2" xfId="38147" xr:uid="{00000000-0005-0000-0000-000023470000}"/>
    <cellStyle name="Normal 6 2 3 3 2 2 3 2 3" xfId="28290" xr:uid="{00000000-0005-0000-0000-000024470000}"/>
    <cellStyle name="Normal 6 2 3 3 2 2 3 3" xfId="13504" xr:uid="{00000000-0005-0000-0000-000025470000}"/>
    <cellStyle name="Normal 6 2 3 3 2 2 3 3 2" xfId="33219" xr:uid="{00000000-0005-0000-0000-000026470000}"/>
    <cellStyle name="Normal 6 2 3 3 2 2 3 4" xfId="23362" xr:uid="{00000000-0005-0000-0000-000027470000}"/>
    <cellStyle name="Normal 6 2 3 3 2 2 4" xfId="6108" xr:uid="{00000000-0005-0000-0000-000028470000}"/>
    <cellStyle name="Normal 6 2 3 3 2 2 4 2" xfId="15968" xr:uid="{00000000-0005-0000-0000-000029470000}"/>
    <cellStyle name="Normal 6 2 3 3 2 2 4 2 2" xfId="35683" xr:uid="{00000000-0005-0000-0000-00002A470000}"/>
    <cellStyle name="Normal 6 2 3 3 2 2 4 3" xfId="25826" xr:uid="{00000000-0005-0000-0000-00002B470000}"/>
    <cellStyle name="Normal 6 2 3 3 2 2 5" xfId="11040" xr:uid="{00000000-0005-0000-0000-00002C470000}"/>
    <cellStyle name="Normal 6 2 3 3 2 2 5 2" xfId="30755" xr:uid="{00000000-0005-0000-0000-00002D470000}"/>
    <cellStyle name="Normal 6 2 3 3 2 2 6" xfId="20898" xr:uid="{00000000-0005-0000-0000-00002E470000}"/>
    <cellStyle name="Normal 6 2 3 3 2 3" xfId="1789" xr:uid="{00000000-0005-0000-0000-00002F470000}"/>
    <cellStyle name="Normal 6 2 3 3 2 3 2" xfId="4256" xr:uid="{00000000-0005-0000-0000-000030470000}"/>
    <cellStyle name="Normal 6 2 3 3 2 3 2 2" xfId="9188" xr:uid="{00000000-0005-0000-0000-000031470000}"/>
    <cellStyle name="Normal 6 2 3 3 2 3 2 2 2" xfId="19048" xr:uid="{00000000-0005-0000-0000-000032470000}"/>
    <cellStyle name="Normal 6 2 3 3 2 3 2 2 2 2" xfId="38763" xr:uid="{00000000-0005-0000-0000-000033470000}"/>
    <cellStyle name="Normal 6 2 3 3 2 3 2 2 3" xfId="28906" xr:uid="{00000000-0005-0000-0000-000034470000}"/>
    <cellStyle name="Normal 6 2 3 3 2 3 2 3" xfId="14120" xr:uid="{00000000-0005-0000-0000-000035470000}"/>
    <cellStyle name="Normal 6 2 3 3 2 3 2 3 2" xfId="33835" xr:uid="{00000000-0005-0000-0000-000036470000}"/>
    <cellStyle name="Normal 6 2 3 3 2 3 2 4" xfId="23978" xr:uid="{00000000-0005-0000-0000-000037470000}"/>
    <cellStyle name="Normal 6 2 3 3 2 3 3" xfId="6724" xr:uid="{00000000-0005-0000-0000-000038470000}"/>
    <cellStyle name="Normal 6 2 3 3 2 3 3 2" xfId="16584" xr:uid="{00000000-0005-0000-0000-000039470000}"/>
    <cellStyle name="Normal 6 2 3 3 2 3 3 2 2" xfId="36299" xr:uid="{00000000-0005-0000-0000-00003A470000}"/>
    <cellStyle name="Normal 6 2 3 3 2 3 3 3" xfId="26442" xr:uid="{00000000-0005-0000-0000-00003B470000}"/>
    <cellStyle name="Normal 6 2 3 3 2 3 4" xfId="11656" xr:uid="{00000000-0005-0000-0000-00003C470000}"/>
    <cellStyle name="Normal 6 2 3 3 2 3 4 2" xfId="31371" xr:uid="{00000000-0005-0000-0000-00003D470000}"/>
    <cellStyle name="Normal 6 2 3 3 2 3 5" xfId="21514" xr:uid="{00000000-0005-0000-0000-00003E470000}"/>
    <cellStyle name="Normal 6 2 3 3 2 4" xfId="3024" xr:uid="{00000000-0005-0000-0000-00003F470000}"/>
    <cellStyle name="Normal 6 2 3 3 2 4 2" xfId="7956" xr:uid="{00000000-0005-0000-0000-000040470000}"/>
    <cellStyle name="Normal 6 2 3 3 2 4 2 2" xfId="17816" xr:uid="{00000000-0005-0000-0000-000041470000}"/>
    <cellStyle name="Normal 6 2 3 3 2 4 2 2 2" xfId="37531" xr:uid="{00000000-0005-0000-0000-000042470000}"/>
    <cellStyle name="Normal 6 2 3 3 2 4 2 3" xfId="27674" xr:uid="{00000000-0005-0000-0000-000043470000}"/>
    <cellStyle name="Normal 6 2 3 3 2 4 3" xfId="12888" xr:uid="{00000000-0005-0000-0000-000044470000}"/>
    <cellStyle name="Normal 6 2 3 3 2 4 3 2" xfId="32603" xr:uid="{00000000-0005-0000-0000-000045470000}"/>
    <cellStyle name="Normal 6 2 3 3 2 4 4" xfId="22746" xr:uid="{00000000-0005-0000-0000-000046470000}"/>
    <cellStyle name="Normal 6 2 3 3 2 5" xfId="5492" xr:uid="{00000000-0005-0000-0000-000047470000}"/>
    <cellStyle name="Normal 6 2 3 3 2 5 2" xfId="15352" xr:uid="{00000000-0005-0000-0000-000048470000}"/>
    <cellStyle name="Normal 6 2 3 3 2 5 2 2" xfId="35067" xr:uid="{00000000-0005-0000-0000-000049470000}"/>
    <cellStyle name="Normal 6 2 3 3 2 5 3" xfId="25210" xr:uid="{00000000-0005-0000-0000-00004A470000}"/>
    <cellStyle name="Normal 6 2 3 3 2 6" xfId="10424" xr:uid="{00000000-0005-0000-0000-00004B470000}"/>
    <cellStyle name="Normal 6 2 3 3 2 6 2" xfId="30139" xr:uid="{00000000-0005-0000-0000-00004C470000}"/>
    <cellStyle name="Normal 6 2 3 3 2 7" xfId="20282" xr:uid="{00000000-0005-0000-0000-00004D470000}"/>
    <cellStyle name="Normal 6 2 3 3 3" xfId="863" xr:uid="{00000000-0005-0000-0000-00004E470000}"/>
    <cellStyle name="Normal 6 2 3 3 3 2" xfId="2099" xr:uid="{00000000-0005-0000-0000-00004F470000}"/>
    <cellStyle name="Normal 6 2 3 3 3 2 2" xfId="4566" xr:uid="{00000000-0005-0000-0000-000050470000}"/>
    <cellStyle name="Normal 6 2 3 3 3 2 2 2" xfId="9498" xr:uid="{00000000-0005-0000-0000-000051470000}"/>
    <cellStyle name="Normal 6 2 3 3 3 2 2 2 2" xfId="19358" xr:uid="{00000000-0005-0000-0000-000052470000}"/>
    <cellStyle name="Normal 6 2 3 3 3 2 2 2 2 2" xfId="39073" xr:uid="{00000000-0005-0000-0000-000053470000}"/>
    <cellStyle name="Normal 6 2 3 3 3 2 2 2 3" xfId="29216" xr:uid="{00000000-0005-0000-0000-000054470000}"/>
    <cellStyle name="Normal 6 2 3 3 3 2 2 3" xfId="14430" xr:uid="{00000000-0005-0000-0000-000055470000}"/>
    <cellStyle name="Normal 6 2 3 3 3 2 2 3 2" xfId="34145" xr:uid="{00000000-0005-0000-0000-000056470000}"/>
    <cellStyle name="Normal 6 2 3 3 3 2 2 4" xfId="24288" xr:uid="{00000000-0005-0000-0000-000057470000}"/>
    <cellStyle name="Normal 6 2 3 3 3 2 3" xfId="7034" xr:uid="{00000000-0005-0000-0000-000058470000}"/>
    <cellStyle name="Normal 6 2 3 3 3 2 3 2" xfId="16894" xr:uid="{00000000-0005-0000-0000-000059470000}"/>
    <cellStyle name="Normal 6 2 3 3 3 2 3 2 2" xfId="36609" xr:uid="{00000000-0005-0000-0000-00005A470000}"/>
    <cellStyle name="Normal 6 2 3 3 3 2 3 3" xfId="26752" xr:uid="{00000000-0005-0000-0000-00005B470000}"/>
    <cellStyle name="Normal 6 2 3 3 3 2 4" xfId="11966" xr:uid="{00000000-0005-0000-0000-00005C470000}"/>
    <cellStyle name="Normal 6 2 3 3 3 2 4 2" xfId="31681" xr:uid="{00000000-0005-0000-0000-00005D470000}"/>
    <cellStyle name="Normal 6 2 3 3 3 2 5" xfId="21824" xr:uid="{00000000-0005-0000-0000-00005E470000}"/>
    <cellStyle name="Normal 6 2 3 3 3 3" xfId="3334" xr:uid="{00000000-0005-0000-0000-00005F470000}"/>
    <cellStyle name="Normal 6 2 3 3 3 3 2" xfId="8266" xr:uid="{00000000-0005-0000-0000-000060470000}"/>
    <cellStyle name="Normal 6 2 3 3 3 3 2 2" xfId="18126" xr:uid="{00000000-0005-0000-0000-000061470000}"/>
    <cellStyle name="Normal 6 2 3 3 3 3 2 2 2" xfId="37841" xr:uid="{00000000-0005-0000-0000-000062470000}"/>
    <cellStyle name="Normal 6 2 3 3 3 3 2 3" xfId="27984" xr:uid="{00000000-0005-0000-0000-000063470000}"/>
    <cellStyle name="Normal 6 2 3 3 3 3 3" xfId="13198" xr:uid="{00000000-0005-0000-0000-000064470000}"/>
    <cellStyle name="Normal 6 2 3 3 3 3 3 2" xfId="32913" xr:uid="{00000000-0005-0000-0000-000065470000}"/>
    <cellStyle name="Normal 6 2 3 3 3 3 4" xfId="23056" xr:uid="{00000000-0005-0000-0000-000066470000}"/>
    <cellStyle name="Normal 6 2 3 3 3 4" xfId="5802" xr:uid="{00000000-0005-0000-0000-000067470000}"/>
    <cellStyle name="Normal 6 2 3 3 3 4 2" xfId="15662" xr:uid="{00000000-0005-0000-0000-000068470000}"/>
    <cellStyle name="Normal 6 2 3 3 3 4 2 2" xfId="35377" xr:uid="{00000000-0005-0000-0000-000069470000}"/>
    <cellStyle name="Normal 6 2 3 3 3 4 3" xfId="25520" xr:uid="{00000000-0005-0000-0000-00006A470000}"/>
    <cellStyle name="Normal 6 2 3 3 3 5" xfId="10734" xr:uid="{00000000-0005-0000-0000-00006B470000}"/>
    <cellStyle name="Normal 6 2 3 3 3 5 2" xfId="30449" xr:uid="{00000000-0005-0000-0000-00006C470000}"/>
    <cellStyle name="Normal 6 2 3 3 3 6" xfId="20592" xr:uid="{00000000-0005-0000-0000-00006D470000}"/>
    <cellStyle name="Normal 6 2 3 3 4" xfId="1483" xr:uid="{00000000-0005-0000-0000-00006E470000}"/>
    <cellStyle name="Normal 6 2 3 3 4 2" xfId="3950" xr:uid="{00000000-0005-0000-0000-00006F470000}"/>
    <cellStyle name="Normal 6 2 3 3 4 2 2" xfId="8882" xr:uid="{00000000-0005-0000-0000-000070470000}"/>
    <cellStyle name="Normal 6 2 3 3 4 2 2 2" xfId="18742" xr:uid="{00000000-0005-0000-0000-000071470000}"/>
    <cellStyle name="Normal 6 2 3 3 4 2 2 2 2" xfId="38457" xr:uid="{00000000-0005-0000-0000-000072470000}"/>
    <cellStyle name="Normal 6 2 3 3 4 2 2 3" xfId="28600" xr:uid="{00000000-0005-0000-0000-000073470000}"/>
    <cellStyle name="Normal 6 2 3 3 4 2 3" xfId="13814" xr:uid="{00000000-0005-0000-0000-000074470000}"/>
    <cellStyle name="Normal 6 2 3 3 4 2 3 2" xfId="33529" xr:uid="{00000000-0005-0000-0000-000075470000}"/>
    <cellStyle name="Normal 6 2 3 3 4 2 4" xfId="23672" xr:uid="{00000000-0005-0000-0000-000076470000}"/>
    <cellStyle name="Normal 6 2 3 3 4 3" xfId="6418" xr:uid="{00000000-0005-0000-0000-000077470000}"/>
    <cellStyle name="Normal 6 2 3 3 4 3 2" xfId="16278" xr:uid="{00000000-0005-0000-0000-000078470000}"/>
    <cellStyle name="Normal 6 2 3 3 4 3 2 2" xfId="35993" xr:uid="{00000000-0005-0000-0000-000079470000}"/>
    <cellStyle name="Normal 6 2 3 3 4 3 3" xfId="26136" xr:uid="{00000000-0005-0000-0000-00007A470000}"/>
    <cellStyle name="Normal 6 2 3 3 4 4" xfId="11350" xr:uid="{00000000-0005-0000-0000-00007B470000}"/>
    <cellStyle name="Normal 6 2 3 3 4 4 2" xfId="31065" xr:uid="{00000000-0005-0000-0000-00007C470000}"/>
    <cellStyle name="Normal 6 2 3 3 4 5" xfId="21208" xr:uid="{00000000-0005-0000-0000-00007D470000}"/>
    <cellStyle name="Normal 6 2 3 3 5" xfId="2718" xr:uid="{00000000-0005-0000-0000-00007E470000}"/>
    <cellStyle name="Normal 6 2 3 3 5 2" xfId="7650" xr:uid="{00000000-0005-0000-0000-00007F470000}"/>
    <cellStyle name="Normal 6 2 3 3 5 2 2" xfId="17510" xr:uid="{00000000-0005-0000-0000-000080470000}"/>
    <cellStyle name="Normal 6 2 3 3 5 2 2 2" xfId="37225" xr:uid="{00000000-0005-0000-0000-000081470000}"/>
    <cellStyle name="Normal 6 2 3 3 5 2 3" xfId="27368" xr:uid="{00000000-0005-0000-0000-000082470000}"/>
    <cellStyle name="Normal 6 2 3 3 5 3" xfId="12582" xr:uid="{00000000-0005-0000-0000-000083470000}"/>
    <cellStyle name="Normal 6 2 3 3 5 3 2" xfId="32297" xr:uid="{00000000-0005-0000-0000-000084470000}"/>
    <cellStyle name="Normal 6 2 3 3 5 4" xfId="22440" xr:uid="{00000000-0005-0000-0000-000085470000}"/>
    <cellStyle name="Normal 6 2 3 3 6" xfId="5186" xr:uid="{00000000-0005-0000-0000-000086470000}"/>
    <cellStyle name="Normal 6 2 3 3 6 2" xfId="15046" xr:uid="{00000000-0005-0000-0000-000087470000}"/>
    <cellStyle name="Normal 6 2 3 3 6 2 2" xfId="34761" xr:uid="{00000000-0005-0000-0000-000088470000}"/>
    <cellStyle name="Normal 6 2 3 3 6 3" xfId="24904" xr:uid="{00000000-0005-0000-0000-000089470000}"/>
    <cellStyle name="Normal 6 2 3 3 7" xfId="10118" xr:uid="{00000000-0005-0000-0000-00008A470000}"/>
    <cellStyle name="Normal 6 2 3 3 7 2" xfId="29833" xr:uid="{00000000-0005-0000-0000-00008B470000}"/>
    <cellStyle name="Normal 6 2 3 3 8" xfId="19976" xr:uid="{00000000-0005-0000-0000-00008C470000}"/>
    <cellStyle name="Normal 6 2 3 4" xfId="398" xr:uid="{00000000-0005-0000-0000-00008D470000}"/>
    <cellStyle name="Normal 6 2 3 4 2" xfId="1018" xr:uid="{00000000-0005-0000-0000-00008E470000}"/>
    <cellStyle name="Normal 6 2 3 4 2 2" xfId="2253" xr:uid="{00000000-0005-0000-0000-00008F470000}"/>
    <cellStyle name="Normal 6 2 3 4 2 2 2" xfId="4720" xr:uid="{00000000-0005-0000-0000-000090470000}"/>
    <cellStyle name="Normal 6 2 3 4 2 2 2 2" xfId="9652" xr:uid="{00000000-0005-0000-0000-000091470000}"/>
    <cellStyle name="Normal 6 2 3 4 2 2 2 2 2" xfId="19512" xr:uid="{00000000-0005-0000-0000-000092470000}"/>
    <cellStyle name="Normal 6 2 3 4 2 2 2 2 2 2" xfId="39227" xr:uid="{00000000-0005-0000-0000-000093470000}"/>
    <cellStyle name="Normal 6 2 3 4 2 2 2 2 3" xfId="29370" xr:uid="{00000000-0005-0000-0000-000094470000}"/>
    <cellStyle name="Normal 6 2 3 4 2 2 2 3" xfId="14584" xr:uid="{00000000-0005-0000-0000-000095470000}"/>
    <cellStyle name="Normal 6 2 3 4 2 2 2 3 2" xfId="34299" xr:uid="{00000000-0005-0000-0000-000096470000}"/>
    <cellStyle name="Normal 6 2 3 4 2 2 2 4" xfId="24442" xr:uid="{00000000-0005-0000-0000-000097470000}"/>
    <cellStyle name="Normal 6 2 3 4 2 2 3" xfId="7188" xr:uid="{00000000-0005-0000-0000-000098470000}"/>
    <cellStyle name="Normal 6 2 3 4 2 2 3 2" xfId="17048" xr:uid="{00000000-0005-0000-0000-000099470000}"/>
    <cellStyle name="Normal 6 2 3 4 2 2 3 2 2" xfId="36763" xr:uid="{00000000-0005-0000-0000-00009A470000}"/>
    <cellStyle name="Normal 6 2 3 4 2 2 3 3" xfId="26906" xr:uid="{00000000-0005-0000-0000-00009B470000}"/>
    <cellStyle name="Normal 6 2 3 4 2 2 4" xfId="12120" xr:uid="{00000000-0005-0000-0000-00009C470000}"/>
    <cellStyle name="Normal 6 2 3 4 2 2 4 2" xfId="31835" xr:uid="{00000000-0005-0000-0000-00009D470000}"/>
    <cellStyle name="Normal 6 2 3 4 2 2 5" xfId="21978" xr:uid="{00000000-0005-0000-0000-00009E470000}"/>
    <cellStyle name="Normal 6 2 3 4 2 3" xfId="3488" xr:uid="{00000000-0005-0000-0000-00009F470000}"/>
    <cellStyle name="Normal 6 2 3 4 2 3 2" xfId="8420" xr:uid="{00000000-0005-0000-0000-0000A0470000}"/>
    <cellStyle name="Normal 6 2 3 4 2 3 2 2" xfId="18280" xr:uid="{00000000-0005-0000-0000-0000A1470000}"/>
    <cellStyle name="Normal 6 2 3 4 2 3 2 2 2" xfId="37995" xr:uid="{00000000-0005-0000-0000-0000A2470000}"/>
    <cellStyle name="Normal 6 2 3 4 2 3 2 3" xfId="28138" xr:uid="{00000000-0005-0000-0000-0000A3470000}"/>
    <cellStyle name="Normal 6 2 3 4 2 3 3" xfId="13352" xr:uid="{00000000-0005-0000-0000-0000A4470000}"/>
    <cellStyle name="Normal 6 2 3 4 2 3 3 2" xfId="33067" xr:uid="{00000000-0005-0000-0000-0000A5470000}"/>
    <cellStyle name="Normal 6 2 3 4 2 3 4" xfId="23210" xr:uid="{00000000-0005-0000-0000-0000A6470000}"/>
    <cellStyle name="Normal 6 2 3 4 2 4" xfId="5956" xr:uid="{00000000-0005-0000-0000-0000A7470000}"/>
    <cellStyle name="Normal 6 2 3 4 2 4 2" xfId="15816" xr:uid="{00000000-0005-0000-0000-0000A8470000}"/>
    <cellStyle name="Normal 6 2 3 4 2 4 2 2" xfId="35531" xr:uid="{00000000-0005-0000-0000-0000A9470000}"/>
    <cellStyle name="Normal 6 2 3 4 2 4 3" xfId="25674" xr:uid="{00000000-0005-0000-0000-0000AA470000}"/>
    <cellStyle name="Normal 6 2 3 4 2 5" xfId="10888" xr:uid="{00000000-0005-0000-0000-0000AB470000}"/>
    <cellStyle name="Normal 6 2 3 4 2 5 2" xfId="30603" xr:uid="{00000000-0005-0000-0000-0000AC470000}"/>
    <cellStyle name="Normal 6 2 3 4 2 6" xfId="20746" xr:uid="{00000000-0005-0000-0000-0000AD470000}"/>
    <cellStyle name="Normal 6 2 3 4 3" xfId="1637" xr:uid="{00000000-0005-0000-0000-0000AE470000}"/>
    <cellStyle name="Normal 6 2 3 4 3 2" xfId="4104" xr:uid="{00000000-0005-0000-0000-0000AF470000}"/>
    <cellStyle name="Normal 6 2 3 4 3 2 2" xfId="9036" xr:uid="{00000000-0005-0000-0000-0000B0470000}"/>
    <cellStyle name="Normal 6 2 3 4 3 2 2 2" xfId="18896" xr:uid="{00000000-0005-0000-0000-0000B1470000}"/>
    <cellStyle name="Normal 6 2 3 4 3 2 2 2 2" xfId="38611" xr:uid="{00000000-0005-0000-0000-0000B2470000}"/>
    <cellStyle name="Normal 6 2 3 4 3 2 2 3" xfId="28754" xr:uid="{00000000-0005-0000-0000-0000B3470000}"/>
    <cellStyle name="Normal 6 2 3 4 3 2 3" xfId="13968" xr:uid="{00000000-0005-0000-0000-0000B4470000}"/>
    <cellStyle name="Normal 6 2 3 4 3 2 3 2" xfId="33683" xr:uid="{00000000-0005-0000-0000-0000B5470000}"/>
    <cellStyle name="Normal 6 2 3 4 3 2 4" xfId="23826" xr:uid="{00000000-0005-0000-0000-0000B6470000}"/>
    <cellStyle name="Normal 6 2 3 4 3 3" xfId="6572" xr:uid="{00000000-0005-0000-0000-0000B7470000}"/>
    <cellStyle name="Normal 6 2 3 4 3 3 2" xfId="16432" xr:uid="{00000000-0005-0000-0000-0000B8470000}"/>
    <cellStyle name="Normal 6 2 3 4 3 3 2 2" xfId="36147" xr:uid="{00000000-0005-0000-0000-0000B9470000}"/>
    <cellStyle name="Normal 6 2 3 4 3 3 3" xfId="26290" xr:uid="{00000000-0005-0000-0000-0000BA470000}"/>
    <cellStyle name="Normal 6 2 3 4 3 4" xfId="11504" xr:uid="{00000000-0005-0000-0000-0000BB470000}"/>
    <cellStyle name="Normal 6 2 3 4 3 4 2" xfId="31219" xr:uid="{00000000-0005-0000-0000-0000BC470000}"/>
    <cellStyle name="Normal 6 2 3 4 3 5" xfId="21362" xr:uid="{00000000-0005-0000-0000-0000BD470000}"/>
    <cellStyle name="Normal 6 2 3 4 4" xfId="2872" xr:uid="{00000000-0005-0000-0000-0000BE470000}"/>
    <cellStyle name="Normal 6 2 3 4 4 2" xfId="7804" xr:uid="{00000000-0005-0000-0000-0000BF470000}"/>
    <cellStyle name="Normal 6 2 3 4 4 2 2" xfId="17664" xr:uid="{00000000-0005-0000-0000-0000C0470000}"/>
    <cellStyle name="Normal 6 2 3 4 4 2 2 2" xfId="37379" xr:uid="{00000000-0005-0000-0000-0000C1470000}"/>
    <cellStyle name="Normal 6 2 3 4 4 2 3" xfId="27522" xr:uid="{00000000-0005-0000-0000-0000C2470000}"/>
    <cellStyle name="Normal 6 2 3 4 4 3" xfId="12736" xr:uid="{00000000-0005-0000-0000-0000C3470000}"/>
    <cellStyle name="Normal 6 2 3 4 4 3 2" xfId="32451" xr:uid="{00000000-0005-0000-0000-0000C4470000}"/>
    <cellStyle name="Normal 6 2 3 4 4 4" xfId="22594" xr:uid="{00000000-0005-0000-0000-0000C5470000}"/>
    <cellStyle name="Normal 6 2 3 4 5" xfId="5340" xr:uid="{00000000-0005-0000-0000-0000C6470000}"/>
    <cellStyle name="Normal 6 2 3 4 5 2" xfId="15200" xr:uid="{00000000-0005-0000-0000-0000C7470000}"/>
    <cellStyle name="Normal 6 2 3 4 5 2 2" xfId="34915" xr:uid="{00000000-0005-0000-0000-0000C8470000}"/>
    <cellStyle name="Normal 6 2 3 4 5 3" xfId="25058" xr:uid="{00000000-0005-0000-0000-0000C9470000}"/>
    <cellStyle name="Normal 6 2 3 4 6" xfId="10272" xr:uid="{00000000-0005-0000-0000-0000CA470000}"/>
    <cellStyle name="Normal 6 2 3 4 6 2" xfId="29987" xr:uid="{00000000-0005-0000-0000-0000CB470000}"/>
    <cellStyle name="Normal 6 2 3 4 7" xfId="20130" xr:uid="{00000000-0005-0000-0000-0000CC470000}"/>
    <cellStyle name="Normal 6 2 3 5" xfId="711" xr:uid="{00000000-0005-0000-0000-0000CD470000}"/>
    <cellStyle name="Normal 6 2 3 5 2" xfId="1947" xr:uid="{00000000-0005-0000-0000-0000CE470000}"/>
    <cellStyle name="Normal 6 2 3 5 2 2" xfId="4414" xr:uid="{00000000-0005-0000-0000-0000CF470000}"/>
    <cellStyle name="Normal 6 2 3 5 2 2 2" xfId="9346" xr:uid="{00000000-0005-0000-0000-0000D0470000}"/>
    <cellStyle name="Normal 6 2 3 5 2 2 2 2" xfId="19206" xr:uid="{00000000-0005-0000-0000-0000D1470000}"/>
    <cellStyle name="Normal 6 2 3 5 2 2 2 2 2" xfId="38921" xr:uid="{00000000-0005-0000-0000-0000D2470000}"/>
    <cellStyle name="Normal 6 2 3 5 2 2 2 3" xfId="29064" xr:uid="{00000000-0005-0000-0000-0000D3470000}"/>
    <cellStyle name="Normal 6 2 3 5 2 2 3" xfId="14278" xr:uid="{00000000-0005-0000-0000-0000D4470000}"/>
    <cellStyle name="Normal 6 2 3 5 2 2 3 2" xfId="33993" xr:uid="{00000000-0005-0000-0000-0000D5470000}"/>
    <cellStyle name="Normal 6 2 3 5 2 2 4" xfId="24136" xr:uid="{00000000-0005-0000-0000-0000D6470000}"/>
    <cellStyle name="Normal 6 2 3 5 2 3" xfId="6882" xr:uid="{00000000-0005-0000-0000-0000D7470000}"/>
    <cellStyle name="Normal 6 2 3 5 2 3 2" xfId="16742" xr:uid="{00000000-0005-0000-0000-0000D8470000}"/>
    <cellStyle name="Normal 6 2 3 5 2 3 2 2" xfId="36457" xr:uid="{00000000-0005-0000-0000-0000D9470000}"/>
    <cellStyle name="Normal 6 2 3 5 2 3 3" xfId="26600" xr:uid="{00000000-0005-0000-0000-0000DA470000}"/>
    <cellStyle name="Normal 6 2 3 5 2 4" xfId="11814" xr:uid="{00000000-0005-0000-0000-0000DB470000}"/>
    <cellStyle name="Normal 6 2 3 5 2 4 2" xfId="31529" xr:uid="{00000000-0005-0000-0000-0000DC470000}"/>
    <cellStyle name="Normal 6 2 3 5 2 5" xfId="21672" xr:uid="{00000000-0005-0000-0000-0000DD470000}"/>
    <cellStyle name="Normal 6 2 3 5 3" xfId="3182" xr:uid="{00000000-0005-0000-0000-0000DE470000}"/>
    <cellStyle name="Normal 6 2 3 5 3 2" xfId="8114" xr:uid="{00000000-0005-0000-0000-0000DF470000}"/>
    <cellStyle name="Normal 6 2 3 5 3 2 2" xfId="17974" xr:uid="{00000000-0005-0000-0000-0000E0470000}"/>
    <cellStyle name="Normal 6 2 3 5 3 2 2 2" xfId="37689" xr:uid="{00000000-0005-0000-0000-0000E1470000}"/>
    <cellStyle name="Normal 6 2 3 5 3 2 3" xfId="27832" xr:uid="{00000000-0005-0000-0000-0000E2470000}"/>
    <cellStyle name="Normal 6 2 3 5 3 3" xfId="13046" xr:uid="{00000000-0005-0000-0000-0000E3470000}"/>
    <cellStyle name="Normal 6 2 3 5 3 3 2" xfId="32761" xr:uid="{00000000-0005-0000-0000-0000E4470000}"/>
    <cellStyle name="Normal 6 2 3 5 3 4" xfId="22904" xr:uid="{00000000-0005-0000-0000-0000E5470000}"/>
    <cellStyle name="Normal 6 2 3 5 4" xfId="5650" xr:uid="{00000000-0005-0000-0000-0000E6470000}"/>
    <cellStyle name="Normal 6 2 3 5 4 2" xfId="15510" xr:uid="{00000000-0005-0000-0000-0000E7470000}"/>
    <cellStyle name="Normal 6 2 3 5 4 2 2" xfId="35225" xr:uid="{00000000-0005-0000-0000-0000E8470000}"/>
    <cellStyle name="Normal 6 2 3 5 4 3" xfId="25368" xr:uid="{00000000-0005-0000-0000-0000E9470000}"/>
    <cellStyle name="Normal 6 2 3 5 5" xfId="10582" xr:uid="{00000000-0005-0000-0000-0000EA470000}"/>
    <cellStyle name="Normal 6 2 3 5 5 2" xfId="30297" xr:uid="{00000000-0005-0000-0000-0000EB470000}"/>
    <cellStyle name="Normal 6 2 3 5 6" xfId="20440" xr:uid="{00000000-0005-0000-0000-0000EC470000}"/>
    <cellStyle name="Normal 6 2 3 6" xfId="1331" xr:uid="{00000000-0005-0000-0000-0000ED470000}"/>
    <cellStyle name="Normal 6 2 3 6 2" xfId="3798" xr:uid="{00000000-0005-0000-0000-0000EE470000}"/>
    <cellStyle name="Normal 6 2 3 6 2 2" xfId="8730" xr:uid="{00000000-0005-0000-0000-0000EF470000}"/>
    <cellStyle name="Normal 6 2 3 6 2 2 2" xfId="18590" xr:uid="{00000000-0005-0000-0000-0000F0470000}"/>
    <cellStyle name="Normal 6 2 3 6 2 2 2 2" xfId="38305" xr:uid="{00000000-0005-0000-0000-0000F1470000}"/>
    <cellStyle name="Normal 6 2 3 6 2 2 3" xfId="28448" xr:uid="{00000000-0005-0000-0000-0000F2470000}"/>
    <cellStyle name="Normal 6 2 3 6 2 3" xfId="13662" xr:uid="{00000000-0005-0000-0000-0000F3470000}"/>
    <cellStyle name="Normal 6 2 3 6 2 3 2" xfId="33377" xr:uid="{00000000-0005-0000-0000-0000F4470000}"/>
    <cellStyle name="Normal 6 2 3 6 2 4" xfId="23520" xr:uid="{00000000-0005-0000-0000-0000F5470000}"/>
    <cellStyle name="Normal 6 2 3 6 3" xfId="6266" xr:uid="{00000000-0005-0000-0000-0000F6470000}"/>
    <cellStyle name="Normal 6 2 3 6 3 2" xfId="16126" xr:uid="{00000000-0005-0000-0000-0000F7470000}"/>
    <cellStyle name="Normal 6 2 3 6 3 2 2" xfId="35841" xr:uid="{00000000-0005-0000-0000-0000F8470000}"/>
    <cellStyle name="Normal 6 2 3 6 3 3" xfId="25984" xr:uid="{00000000-0005-0000-0000-0000F9470000}"/>
    <cellStyle name="Normal 6 2 3 6 4" xfId="11198" xr:uid="{00000000-0005-0000-0000-0000FA470000}"/>
    <cellStyle name="Normal 6 2 3 6 4 2" xfId="30913" xr:uid="{00000000-0005-0000-0000-0000FB470000}"/>
    <cellStyle name="Normal 6 2 3 6 5" xfId="21056" xr:uid="{00000000-0005-0000-0000-0000FC470000}"/>
    <cellStyle name="Normal 6 2 3 7" xfId="2566" xr:uid="{00000000-0005-0000-0000-0000FD470000}"/>
    <cellStyle name="Normal 6 2 3 7 2" xfId="7498" xr:uid="{00000000-0005-0000-0000-0000FE470000}"/>
    <cellStyle name="Normal 6 2 3 7 2 2" xfId="17358" xr:uid="{00000000-0005-0000-0000-0000FF470000}"/>
    <cellStyle name="Normal 6 2 3 7 2 2 2" xfId="37073" xr:uid="{00000000-0005-0000-0000-000000480000}"/>
    <cellStyle name="Normal 6 2 3 7 2 3" xfId="27216" xr:uid="{00000000-0005-0000-0000-000001480000}"/>
    <cellStyle name="Normal 6 2 3 7 3" xfId="12430" xr:uid="{00000000-0005-0000-0000-000002480000}"/>
    <cellStyle name="Normal 6 2 3 7 3 2" xfId="32145" xr:uid="{00000000-0005-0000-0000-000003480000}"/>
    <cellStyle name="Normal 6 2 3 7 4" xfId="22288" xr:uid="{00000000-0005-0000-0000-000004480000}"/>
    <cellStyle name="Normal 6 2 3 8" xfId="5034" xr:uid="{00000000-0005-0000-0000-000005480000}"/>
    <cellStyle name="Normal 6 2 3 8 2" xfId="14894" xr:uid="{00000000-0005-0000-0000-000006480000}"/>
    <cellStyle name="Normal 6 2 3 8 2 2" xfId="34609" xr:uid="{00000000-0005-0000-0000-000007480000}"/>
    <cellStyle name="Normal 6 2 3 8 3" xfId="24752" xr:uid="{00000000-0005-0000-0000-000008480000}"/>
    <cellStyle name="Normal 6 2 3 9" xfId="9966" xr:uid="{00000000-0005-0000-0000-000009480000}"/>
    <cellStyle name="Normal 6 2 3 9 2" xfId="29681" xr:uid="{00000000-0005-0000-0000-00000A480000}"/>
    <cellStyle name="Normal 6 2 4" xfId="117" xr:uid="{00000000-0005-0000-0000-00000B480000}"/>
    <cellStyle name="Normal 6 2 4 2" xfId="274" xr:uid="{00000000-0005-0000-0000-00000C480000}"/>
    <cellStyle name="Normal 6 2 4 2 2" xfId="588" xr:uid="{00000000-0005-0000-0000-00000D480000}"/>
    <cellStyle name="Normal 6 2 4 2 2 2" xfId="1208" xr:uid="{00000000-0005-0000-0000-00000E480000}"/>
    <cellStyle name="Normal 6 2 4 2 2 2 2" xfId="2443" xr:uid="{00000000-0005-0000-0000-00000F480000}"/>
    <cellStyle name="Normal 6 2 4 2 2 2 2 2" xfId="4910" xr:uid="{00000000-0005-0000-0000-000010480000}"/>
    <cellStyle name="Normal 6 2 4 2 2 2 2 2 2" xfId="9842" xr:uid="{00000000-0005-0000-0000-000011480000}"/>
    <cellStyle name="Normal 6 2 4 2 2 2 2 2 2 2" xfId="19702" xr:uid="{00000000-0005-0000-0000-000012480000}"/>
    <cellStyle name="Normal 6 2 4 2 2 2 2 2 2 2 2" xfId="39417" xr:uid="{00000000-0005-0000-0000-000013480000}"/>
    <cellStyle name="Normal 6 2 4 2 2 2 2 2 2 3" xfId="29560" xr:uid="{00000000-0005-0000-0000-000014480000}"/>
    <cellStyle name="Normal 6 2 4 2 2 2 2 2 3" xfId="14774" xr:uid="{00000000-0005-0000-0000-000015480000}"/>
    <cellStyle name="Normal 6 2 4 2 2 2 2 2 3 2" xfId="34489" xr:uid="{00000000-0005-0000-0000-000016480000}"/>
    <cellStyle name="Normal 6 2 4 2 2 2 2 2 4" xfId="24632" xr:uid="{00000000-0005-0000-0000-000017480000}"/>
    <cellStyle name="Normal 6 2 4 2 2 2 2 3" xfId="7378" xr:uid="{00000000-0005-0000-0000-000018480000}"/>
    <cellStyle name="Normal 6 2 4 2 2 2 2 3 2" xfId="17238" xr:uid="{00000000-0005-0000-0000-000019480000}"/>
    <cellStyle name="Normal 6 2 4 2 2 2 2 3 2 2" xfId="36953" xr:uid="{00000000-0005-0000-0000-00001A480000}"/>
    <cellStyle name="Normal 6 2 4 2 2 2 2 3 3" xfId="27096" xr:uid="{00000000-0005-0000-0000-00001B480000}"/>
    <cellStyle name="Normal 6 2 4 2 2 2 2 4" xfId="12310" xr:uid="{00000000-0005-0000-0000-00001C480000}"/>
    <cellStyle name="Normal 6 2 4 2 2 2 2 4 2" xfId="32025" xr:uid="{00000000-0005-0000-0000-00001D480000}"/>
    <cellStyle name="Normal 6 2 4 2 2 2 2 5" xfId="22168" xr:uid="{00000000-0005-0000-0000-00001E480000}"/>
    <cellStyle name="Normal 6 2 4 2 2 2 3" xfId="3678" xr:uid="{00000000-0005-0000-0000-00001F480000}"/>
    <cellStyle name="Normal 6 2 4 2 2 2 3 2" xfId="8610" xr:uid="{00000000-0005-0000-0000-000020480000}"/>
    <cellStyle name="Normal 6 2 4 2 2 2 3 2 2" xfId="18470" xr:uid="{00000000-0005-0000-0000-000021480000}"/>
    <cellStyle name="Normal 6 2 4 2 2 2 3 2 2 2" xfId="38185" xr:uid="{00000000-0005-0000-0000-000022480000}"/>
    <cellStyle name="Normal 6 2 4 2 2 2 3 2 3" xfId="28328" xr:uid="{00000000-0005-0000-0000-000023480000}"/>
    <cellStyle name="Normal 6 2 4 2 2 2 3 3" xfId="13542" xr:uid="{00000000-0005-0000-0000-000024480000}"/>
    <cellStyle name="Normal 6 2 4 2 2 2 3 3 2" xfId="33257" xr:uid="{00000000-0005-0000-0000-000025480000}"/>
    <cellStyle name="Normal 6 2 4 2 2 2 3 4" xfId="23400" xr:uid="{00000000-0005-0000-0000-000026480000}"/>
    <cellStyle name="Normal 6 2 4 2 2 2 4" xfId="6146" xr:uid="{00000000-0005-0000-0000-000027480000}"/>
    <cellStyle name="Normal 6 2 4 2 2 2 4 2" xfId="16006" xr:uid="{00000000-0005-0000-0000-000028480000}"/>
    <cellStyle name="Normal 6 2 4 2 2 2 4 2 2" xfId="35721" xr:uid="{00000000-0005-0000-0000-000029480000}"/>
    <cellStyle name="Normal 6 2 4 2 2 2 4 3" xfId="25864" xr:uid="{00000000-0005-0000-0000-00002A480000}"/>
    <cellStyle name="Normal 6 2 4 2 2 2 5" xfId="11078" xr:uid="{00000000-0005-0000-0000-00002B480000}"/>
    <cellStyle name="Normal 6 2 4 2 2 2 5 2" xfId="30793" xr:uid="{00000000-0005-0000-0000-00002C480000}"/>
    <cellStyle name="Normal 6 2 4 2 2 2 6" xfId="20936" xr:uid="{00000000-0005-0000-0000-00002D480000}"/>
    <cellStyle name="Normal 6 2 4 2 2 3" xfId="1827" xr:uid="{00000000-0005-0000-0000-00002E480000}"/>
    <cellStyle name="Normal 6 2 4 2 2 3 2" xfId="4294" xr:uid="{00000000-0005-0000-0000-00002F480000}"/>
    <cellStyle name="Normal 6 2 4 2 2 3 2 2" xfId="9226" xr:uid="{00000000-0005-0000-0000-000030480000}"/>
    <cellStyle name="Normal 6 2 4 2 2 3 2 2 2" xfId="19086" xr:uid="{00000000-0005-0000-0000-000031480000}"/>
    <cellStyle name="Normal 6 2 4 2 2 3 2 2 2 2" xfId="38801" xr:uid="{00000000-0005-0000-0000-000032480000}"/>
    <cellStyle name="Normal 6 2 4 2 2 3 2 2 3" xfId="28944" xr:uid="{00000000-0005-0000-0000-000033480000}"/>
    <cellStyle name="Normal 6 2 4 2 2 3 2 3" xfId="14158" xr:uid="{00000000-0005-0000-0000-000034480000}"/>
    <cellStyle name="Normal 6 2 4 2 2 3 2 3 2" xfId="33873" xr:uid="{00000000-0005-0000-0000-000035480000}"/>
    <cellStyle name="Normal 6 2 4 2 2 3 2 4" xfId="24016" xr:uid="{00000000-0005-0000-0000-000036480000}"/>
    <cellStyle name="Normal 6 2 4 2 2 3 3" xfId="6762" xr:uid="{00000000-0005-0000-0000-000037480000}"/>
    <cellStyle name="Normal 6 2 4 2 2 3 3 2" xfId="16622" xr:uid="{00000000-0005-0000-0000-000038480000}"/>
    <cellStyle name="Normal 6 2 4 2 2 3 3 2 2" xfId="36337" xr:uid="{00000000-0005-0000-0000-000039480000}"/>
    <cellStyle name="Normal 6 2 4 2 2 3 3 3" xfId="26480" xr:uid="{00000000-0005-0000-0000-00003A480000}"/>
    <cellStyle name="Normal 6 2 4 2 2 3 4" xfId="11694" xr:uid="{00000000-0005-0000-0000-00003B480000}"/>
    <cellStyle name="Normal 6 2 4 2 2 3 4 2" xfId="31409" xr:uid="{00000000-0005-0000-0000-00003C480000}"/>
    <cellStyle name="Normal 6 2 4 2 2 3 5" xfId="21552" xr:uid="{00000000-0005-0000-0000-00003D480000}"/>
    <cellStyle name="Normal 6 2 4 2 2 4" xfId="3062" xr:uid="{00000000-0005-0000-0000-00003E480000}"/>
    <cellStyle name="Normal 6 2 4 2 2 4 2" xfId="7994" xr:uid="{00000000-0005-0000-0000-00003F480000}"/>
    <cellStyle name="Normal 6 2 4 2 2 4 2 2" xfId="17854" xr:uid="{00000000-0005-0000-0000-000040480000}"/>
    <cellStyle name="Normal 6 2 4 2 2 4 2 2 2" xfId="37569" xr:uid="{00000000-0005-0000-0000-000041480000}"/>
    <cellStyle name="Normal 6 2 4 2 2 4 2 3" xfId="27712" xr:uid="{00000000-0005-0000-0000-000042480000}"/>
    <cellStyle name="Normal 6 2 4 2 2 4 3" xfId="12926" xr:uid="{00000000-0005-0000-0000-000043480000}"/>
    <cellStyle name="Normal 6 2 4 2 2 4 3 2" xfId="32641" xr:uid="{00000000-0005-0000-0000-000044480000}"/>
    <cellStyle name="Normal 6 2 4 2 2 4 4" xfId="22784" xr:uid="{00000000-0005-0000-0000-000045480000}"/>
    <cellStyle name="Normal 6 2 4 2 2 5" xfId="5530" xr:uid="{00000000-0005-0000-0000-000046480000}"/>
    <cellStyle name="Normal 6 2 4 2 2 5 2" xfId="15390" xr:uid="{00000000-0005-0000-0000-000047480000}"/>
    <cellStyle name="Normal 6 2 4 2 2 5 2 2" xfId="35105" xr:uid="{00000000-0005-0000-0000-000048480000}"/>
    <cellStyle name="Normal 6 2 4 2 2 5 3" xfId="25248" xr:uid="{00000000-0005-0000-0000-000049480000}"/>
    <cellStyle name="Normal 6 2 4 2 2 6" xfId="10462" xr:uid="{00000000-0005-0000-0000-00004A480000}"/>
    <cellStyle name="Normal 6 2 4 2 2 6 2" xfId="30177" xr:uid="{00000000-0005-0000-0000-00004B480000}"/>
    <cellStyle name="Normal 6 2 4 2 2 7" xfId="20320" xr:uid="{00000000-0005-0000-0000-00004C480000}"/>
    <cellStyle name="Normal 6 2 4 2 3" xfId="901" xr:uid="{00000000-0005-0000-0000-00004D480000}"/>
    <cellStyle name="Normal 6 2 4 2 3 2" xfId="2137" xr:uid="{00000000-0005-0000-0000-00004E480000}"/>
    <cellStyle name="Normal 6 2 4 2 3 2 2" xfId="4604" xr:uid="{00000000-0005-0000-0000-00004F480000}"/>
    <cellStyle name="Normal 6 2 4 2 3 2 2 2" xfId="9536" xr:uid="{00000000-0005-0000-0000-000050480000}"/>
    <cellStyle name="Normal 6 2 4 2 3 2 2 2 2" xfId="19396" xr:uid="{00000000-0005-0000-0000-000051480000}"/>
    <cellStyle name="Normal 6 2 4 2 3 2 2 2 2 2" xfId="39111" xr:uid="{00000000-0005-0000-0000-000052480000}"/>
    <cellStyle name="Normal 6 2 4 2 3 2 2 2 3" xfId="29254" xr:uid="{00000000-0005-0000-0000-000053480000}"/>
    <cellStyle name="Normal 6 2 4 2 3 2 2 3" xfId="14468" xr:uid="{00000000-0005-0000-0000-000054480000}"/>
    <cellStyle name="Normal 6 2 4 2 3 2 2 3 2" xfId="34183" xr:uid="{00000000-0005-0000-0000-000055480000}"/>
    <cellStyle name="Normal 6 2 4 2 3 2 2 4" xfId="24326" xr:uid="{00000000-0005-0000-0000-000056480000}"/>
    <cellStyle name="Normal 6 2 4 2 3 2 3" xfId="7072" xr:uid="{00000000-0005-0000-0000-000057480000}"/>
    <cellStyle name="Normal 6 2 4 2 3 2 3 2" xfId="16932" xr:uid="{00000000-0005-0000-0000-000058480000}"/>
    <cellStyle name="Normal 6 2 4 2 3 2 3 2 2" xfId="36647" xr:uid="{00000000-0005-0000-0000-000059480000}"/>
    <cellStyle name="Normal 6 2 4 2 3 2 3 3" xfId="26790" xr:uid="{00000000-0005-0000-0000-00005A480000}"/>
    <cellStyle name="Normal 6 2 4 2 3 2 4" xfId="12004" xr:uid="{00000000-0005-0000-0000-00005B480000}"/>
    <cellStyle name="Normal 6 2 4 2 3 2 4 2" xfId="31719" xr:uid="{00000000-0005-0000-0000-00005C480000}"/>
    <cellStyle name="Normal 6 2 4 2 3 2 5" xfId="21862" xr:uid="{00000000-0005-0000-0000-00005D480000}"/>
    <cellStyle name="Normal 6 2 4 2 3 3" xfId="3372" xr:uid="{00000000-0005-0000-0000-00005E480000}"/>
    <cellStyle name="Normal 6 2 4 2 3 3 2" xfId="8304" xr:uid="{00000000-0005-0000-0000-00005F480000}"/>
    <cellStyle name="Normal 6 2 4 2 3 3 2 2" xfId="18164" xr:uid="{00000000-0005-0000-0000-000060480000}"/>
    <cellStyle name="Normal 6 2 4 2 3 3 2 2 2" xfId="37879" xr:uid="{00000000-0005-0000-0000-000061480000}"/>
    <cellStyle name="Normal 6 2 4 2 3 3 2 3" xfId="28022" xr:uid="{00000000-0005-0000-0000-000062480000}"/>
    <cellStyle name="Normal 6 2 4 2 3 3 3" xfId="13236" xr:uid="{00000000-0005-0000-0000-000063480000}"/>
    <cellStyle name="Normal 6 2 4 2 3 3 3 2" xfId="32951" xr:uid="{00000000-0005-0000-0000-000064480000}"/>
    <cellStyle name="Normal 6 2 4 2 3 3 4" xfId="23094" xr:uid="{00000000-0005-0000-0000-000065480000}"/>
    <cellStyle name="Normal 6 2 4 2 3 4" xfId="5840" xr:uid="{00000000-0005-0000-0000-000066480000}"/>
    <cellStyle name="Normal 6 2 4 2 3 4 2" xfId="15700" xr:uid="{00000000-0005-0000-0000-000067480000}"/>
    <cellStyle name="Normal 6 2 4 2 3 4 2 2" xfId="35415" xr:uid="{00000000-0005-0000-0000-000068480000}"/>
    <cellStyle name="Normal 6 2 4 2 3 4 3" xfId="25558" xr:uid="{00000000-0005-0000-0000-000069480000}"/>
    <cellStyle name="Normal 6 2 4 2 3 5" xfId="10772" xr:uid="{00000000-0005-0000-0000-00006A480000}"/>
    <cellStyle name="Normal 6 2 4 2 3 5 2" xfId="30487" xr:uid="{00000000-0005-0000-0000-00006B480000}"/>
    <cellStyle name="Normal 6 2 4 2 3 6" xfId="20630" xr:uid="{00000000-0005-0000-0000-00006C480000}"/>
    <cellStyle name="Normal 6 2 4 2 4" xfId="1521" xr:uid="{00000000-0005-0000-0000-00006D480000}"/>
    <cellStyle name="Normal 6 2 4 2 4 2" xfId="3988" xr:uid="{00000000-0005-0000-0000-00006E480000}"/>
    <cellStyle name="Normal 6 2 4 2 4 2 2" xfId="8920" xr:uid="{00000000-0005-0000-0000-00006F480000}"/>
    <cellStyle name="Normal 6 2 4 2 4 2 2 2" xfId="18780" xr:uid="{00000000-0005-0000-0000-000070480000}"/>
    <cellStyle name="Normal 6 2 4 2 4 2 2 2 2" xfId="38495" xr:uid="{00000000-0005-0000-0000-000071480000}"/>
    <cellStyle name="Normal 6 2 4 2 4 2 2 3" xfId="28638" xr:uid="{00000000-0005-0000-0000-000072480000}"/>
    <cellStyle name="Normal 6 2 4 2 4 2 3" xfId="13852" xr:uid="{00000000-0005-0000-0000-000073480000}"/>
    <cellStyle name="Normal 6 2 4 2 4 2 3 2" xfId="33567" xr:uid="{00000000-0005-0000-0000-000074480000}"/>
    <cellStyle name="Normal 6 2 4 2 4 2 4" xfId="23710" xr:uid="{00000000-0005-0000-0000-000075480000}"/>
    <cellStyle name="Normal 6 2 4 2 4 3" xfId="6456" xr:uid="{00000000-0005-0000-0000-000076480000}"/>
    <cellStyle name="Normal 6 2 4 2 4 3 2" xfId="16316" xr:uid="{00000000-0005-0000-0000-000077480000}"/>
    <cellStyle name="Normal 6 2 4 2 4 3 2 2" xfId="36031" xr:uid="{00000000-0005-0000-0000-000078480000}"/>
    <cellStyle name="Normal 6 2 4 2 4 3 3" xfId="26174" xr:uid="{00000000-0005-0000-0000-000079480000}"/>
    <cellStyle name="Normal 6 2 4 2 4 4" xfId="11388" xr:uid="{00000000-0005-0000-0000-00007A480000}"/>
    <cellStyle name="Normal 6 2 4 2 4 4 2" xfId="31103" xr:uid="{00000000-0005-0000-0000-00007B480000}"/>
    <cellStyle name="Normal 6 2 4 2 4 5" xfId="21246" xr:uid="{00000000-0005-0000-0000-00007C480000}"/>
    <cellStyle name="Normal 6 2 4 2 5" xfId="2756" xr:uid="{00000000-0005-0000-0000-00007D480000}"/>
    <cellStyle name="Normal 6 2 4 2 5 2" xfId="7688" xr:uid="{00000000-0005-0000-0000-00007E480000}"/>
    <cellStyle name="Normal 6 2 4 2 5 2 2" xfId="17548" xr:uid="{00000000-0005-0000-0000-00007F480000}"/>
    <cellStyle name="Normal 6 2 4 2 5 2 2 2" xfId="37263" xr:uid="{00000000-0005-0000-0000-000080480000}"/>
    <cellStyle name="Normal 6 2 4 2 5 2 3" xfId="27406" xr:uid="{00000000-0005-0000-0000-000081480000}"/>
    <cellStyle name="Normal 6 2 4 2 5 3" xfId="12620" xr:uid="{00000000-0005-0000-0000-000082480000}"/>
    <cellStyle name="Normal 6 2 4 2 5 3 2" xfId="32335" xr:uid="{00000000-0005-0000-0000-000083480000}"/>
    <cellStyle name="Normal 6 2 4 2 5 4" xfId="22478" xr:uid="{00000000-0005-0000-0000-000084480000}"/>
    <cellStyle name="Normal 6 2 4 2 6" xfId="5224" xr:uid="{00000000-0005-0000-0000-000085480000}"/>
    <cellStyle name="Normal 6 2 4 2 6 2" xfId="15084" xr:uid="{00000000-0005-0000-0000-000086480000}"/>
    <cellStyle name="Normal 6 2 4 2 6 2 2" xfId="34799" xr:uid="{00000000-0005-0000-0000-000087480000}"/>
    <cellStyle name="Normal 6 2 4 2 6 3" xfId="24942" xr:uid="{00000000-0005-0000-0000-000088480000}"/>
    <cellStyle name="Normal 6 2 4 2 7" xfId="10156" xr:uid="{00000000-0005-0000-0000-000089480000}"/>
    <cellStyle name="Normal 6 2 4 2 7 2" xfId="29871" xr:uid="{00000000-0005-0000-0000-00008A480000}"/>
    <cellStyle name="Normal 6 2 4 2 8" xfId="20014" xr:uid="{00000000-0005-0000-0000-00008B480000}"/>
    <cellStyle name="Normal 6 2 4 3" xfId="436" xr:uid="{00000000-0005-0000-0000-00008C480000}"/>
    <cellStyle name="Normal 6 2 4 3 2" xfId="1056" xr:uid="{00000000-0005-0000-0000-00008D480000}"/>
    <cellStyle name="Normal 6 2 4 3 2 2" xfId="2291" xr:uid="{00000000-0005-0000-0000-00008E480000}"/>
    <cellStyle name="Normal 6 2 4 3 2 2 2" xfId="4758" xr:uid="{00000000-0005-0000-0000-00008F480000}"/>
    <cellStyle name="Normal 6 2 4 3 2 2 2 2" xfId="9690" xr:uid="{00000000-0005-0000-0000-000090480000}"/>
    <cellStyle name="Normal 6 2 4 3 2 2 2 2 2" xfId="19550" xr:uid="{00000000-0005-0000-0000-000091480000}"/>
    <cellStyle name="Normal 6 2 4 3 2 2 2 2 2 2" xfId="39265" xr:uid="{00000000-0005-0000-0000-000092480000}"/>
    <cellStyle name="Normal 6 2 4 3 2 2 2 2 3" xfId="29408" xr:uid="{00000000-0005-0000-0000-000093480000}"/>
    <cellStyle name="Normal 6 2 4 3 2 2 2 3" xfId="14622" xr:uid="{00000000-0005-0000-0000-000094480000}"/>
    <cellStyle name="Normal 6 2 4 3 2 2 2 3 2" xfId="34337" xr:uid="{00000000-0005-0000-0000-000095480000}"/>
    <cellStyle name="Normal 6 2 4 3 2 2 2 4" xfId="24480" xr:uid="{00000000-0005-0000-0000-000096480000}"/>
    <cellStyle name="Normal 6 2 4 3 2 2 3" xfId="7226" xr:uid="{00000000-0005-0000-0000-000097480000}"/>
    <cellStyle name="Normal 6 2 4 3 2 2 3 2" xfId="17086" xr:uid="{00000000-0005-0000-0000-000098480000}"/>
    <cellStyle name="Normal 6 2 4 3 2 2 3 2 2" xfId="36801" xr:uid="{00000000-0005-0000-0000-000099480000}"/>
    <cellStyle name="Normal 6 2 4 3 2 2 3 3" xfId="26944" xr:uid="{00000000-0005-0000-0000-00009A480000}"/>
    <cellStyle name="Normal 6 2 4 3 2 2 4" xfId="12158" xr:uid="{00000000-0005-0000-0000-00009B480000}"/>
    <cellStyle name="Normal 6 2 4 3 2 2 4 2" xfId="31873" xr:uid="{00000000-0005-0000-0000-00009C480000}"/>
    <cellStyle name="Normal 6 2 4 3 2 2 5" xfId="22016" xr:uid="{00000000-0005-0000-0000-00009D480000}"/>
    <cellStyle name="Normal 6 2 4 3 2 3" xfId="3526" xr:uid="{00000000-0005-0000-0000-00009E480000}"/>
    <cellStyle name="Normal 6 2 4 3 2 3 2" xfId="8458" xr:uid="{00000000-0005-0000-0000-00009F480000}"/>
    <cellStyle name="Normal 6 2 4 3 2 3 2 2" xfId="18318" xr:uid="{00000000-0005-0000-0000-0000A0480000}"/>
    <cellStyle name="Normal 6 2 4 3 2 3 2 2 2" xfId="38033" xr:uid="{00000000-0005-0000-0000-0000A1480000}"/>
    <cellStyle name="Normal 6 2 4 3 2 3 2 3" xfId="28176" xr:uid="{00000000-0005-0000-0000-0000A2480000}"/>
    <cellStyle name="Normal 6 2 4 3 2 3 3" xfId="13390" xr:uid="{00000000-0005-0000-0000-0000A3480000}"/>
    <cellStyle name="Normal 6 2 4 3 2 3 3 2" xfId="33105" xr:uid="{00000000-0005-0000-0000-0000A4480000}"/>
    <cellStyle name="Normal 6 2 4 3 2 3 4" xfId="23248" xr:uid="{00000000-0005-0000-0000-0000A5480000}"/>
    <cellStyle name="Normal 6 2 4 3 2 4" xfId="5994" xr:uid="{00000000-0005-0000-0000-0000A6480000}"/>
    <cellStyle name="Normal 6 2 4 3 2 4 2" xfId="15854" xr:uid="{00000000-0005-0000-0000-0000A7480000}"/>
    <cellStyle name="Normal 6 2 4 3 2 4 2 2" xfId="35569" xr:uid="{00000000-0005-0000-0000-0000A8480000}"/>
    <cellStyle name="Normal 6 2 4 3 2 4 3" xfId="25712" xr:uid="{00000000-0005-0000-0000-0000A9480000}"/>
    <cellStyle name="Normal 6 2 4 3 2 5" xfId="10926" xr:uid="{00000000-0005-0000-0000-0000AA480000}"/>
    <cellStyle name="Normal 6 2 4 3 2 5 2" xfId="30641" xr:uid="{00000000-0005-0000-0000-0000AB480000}"/>
    <cellStyle name="Normal 6 2 4 3 2 6" xfId="20784" xr:uid="{00000000-0005-0000-0000-0000AC480000}"/>
    <cellStyle name="Normal 6 2 4 3 3" xfId="1675" xr:uid="{00000000-0005-0000-0000-0000AD480000}"/>
    <cellStyle name="Normal 6 2 4 3 3 2" xfId="4142" xr:uid="{00000000-0005-0000-0000-0000AE480000}"/>
    <cellStyle name="Normal 6 2 4 3 3 2 2" xfId="9074" xr:uid="{00000000-0005-0000-0000-0000AF480000}"/>
    <cellStyle name="Normal 6 2 4 3 3 2 2 2" xfId="18934" xr:uid="{00000000-0005-0000-0000-0000B0480000}"/>
    <cellStyle name="Normal 6 2 4 3 3 2 2 2 2" xfId="38649" xr:uid="{00000000-0005-0000-0000-0000B1480000}"/>
    <cellStyle name="Normal 6 2 4 3 3 2 2 3" xfId="28792" xr:uid="{00000000-0005-0000-0000-0000B2480000}"/>
    <cellStyle name="Normal 6 2 4 3 3 2 3" xfId="14006" xr:uid="{00000000-0005-0000-0000-0000B3480000}"/>
    <cellStyle name="Normal 6 2 4 3 3 2 3 2" xfId="33721" xr:uid="{00000000-0005-0000-0000-0000B4480000}"/>
    <cellStyle name="Normal 6 2 4 3 3 2 4" xfId="23864" xr:uid="{00000000-0005-0000-0000-0000B5480000}"/>
    <cellStyle name="Normal 6 2 4 3 3 3" xfId="6610" xr:uid="{00000000-0005-0000-0000-0000B6480000}"/>
    <cellStyle name="Normal 6 2 4 3 3 3 2" xfId="16470" xr:uid="{00000000-0005-0000-0000-0000B7480000}"/>
    <cellStyle name="Normal 6 2 4 3 3 3 2 2" xfId="36185" xr:uid="{00000000-0005-0000-0000-0000B8480000}"/>
    <cellStyle name="Normal 6 2 4 3 3 3 3" xfId="26328" xr:uid="{00000000-0005-0000-0000-0000B9480000}"/>
    <cellStyle name="Normal 6 2 4 3 3 4" xfId="11542" xr:uid="{00000000-0005-0000-0000-0000BA480000}"/>
    <cellStyle name="Normal 6 2 4 3 3 4 2" xfId="31257" xr:uid="{00000000-0005-0000-0000-0000BB480000}"/>
    <cellStyle name="Normal 6 2 4 3 3 5" xfId="21400" xr:uid="{00000000-0005-0000-0000-0000BC480000}"/>
    <cellStyle name="Normal 6 2 4 3 4" xfId="2910" xr:uid="{00000000-0005-0000-0000-0000BD480000}"/>
    <cellStyle name="Normal 6 2 4 3 4 2" xfId="7842" xr:uid="{00000000-0005-0000-0000-0000BE480000}"/>
    <cellStyle name="Normal 6 2 4 3 4 2 2" xfId="17702" xr:uid="{00000000-0005-0000-0000-0000BF480000}"/>
    <cellStyle name="Normal 6 2 4 3 4 2 2 2" xfId="37417" xr:uid="{00000000-0005-0000-0000-0000C0480000}"/>
    <cellStyle name="Normal 6 2 4 3 4 2 3" xfId="27560" xr:uid="{00000000-0005-0000-0000-0000C1480000}"/>
    <cellStyle name="Normal 6 2 4 3 4 3" xfId="12774" xr:uid="{00000000-0005-0000-0000-0000C2480000}"/>
    <cellStyle name="Normal 6 2 4 3 4 3 2" xfId="32489" xr:uid="{00000000-0005-0000-0000-0000C3480000}"/>
    <cellStyle name="Normal 6 2 4 3 4 4" xfId="22632" xr:uid="{00000000-0005-0000-0000-0000C4480000}"/>
    <cellStyle name="Normal 6 2 4 3 5" xfId="5378" xr:uid="{00000000-0005-0000-0000-0000C5480000}"/>
    <cellStyle name="Normal 6 2 4 3 5 2" xfId="15238" xr:uid="{00000000-0005-0000-0000-0000C6480000}"/>
    <cellStyle name="Normal 6 2 4 3 5 2 2" xfId="34953" xr:uid="{00000000-0005-0000-0000-0000C7480000}"/>
    <cellStyle name="Normal 6 2 4 3 5 3" xfId="25096" xr:uid="{00000000-0005-0000-0000-0000C8480000}"/>
    <cellStyle name="Normal 6 2 4 3 6" xfId="10310" xr:uid="{00000000-0005-0000-0000-0000C9480000}"/>
    <cellStyle name="Normal 6 2 4 3 6 2" xfId="30025" xr:uid="{00000000-0005-0000-0000-0000CA480000}"/>
    <cellStyle name="Normal 6 2 4 3 7" xfId="20168" xr:uid="{00000000-0005-0000-0000-0000CB480000}"/>
    <cellStyle name="Normal 6 2 4 4" xfId="749" xr:uid="{00000000-0005-0000-0000-0000CC480000}"/>
    <cellStyle name="Normal 6 2 4 4 2" xfId="1985" xr:uid="{00000000-0005-0000-0000-0000CD480000}"/>
    <cellStyle name="Normal 6 2 4 4 2 2" xfId="4452" xr:uid="{00000000-0005-0000-0000-0000CE480000}"/>
    <cellStyle name="Normal 6 2 4 4 2 2 2" xfId="9384" xr:uid="{00000000-0005-0000-0000-0000CF480000}"/>
    <cellStyle name="Normal 6 2 4 4 2 2 2 2" xfId="19244" xr:uid="{00000000-0005-0000-0000-0000D0480000}"/>
    <cellStyle name="Normal 6 2 4 4 2 2 2 2 2" xfId="38959" xr:uid="{00000000-0005-0000-0000-0000D1480000}"/>
    <cellStyle name="Normal 6 2 4 4 2 2 2 3" xfId="29102" xr:uid="{00000000-0005-0000-0000-0000D2480000}"/>
    <cellStyle name="Normal 6 2 4 4 2 2 3" xfId="14316" xr:uid="{00000000-0005-0000-0000-0000D3480000}"/>
    <cellStyle name="Normal 6 2 4 4 2 2 3 2" xfId="34031" xr:uid="{00000000-0005-0000-0000-0000D4480000}"/>
    <cellStyle name="Normal 6 2 4 4 2 2 4" xfId="24174" xr:uid="{00000000-0005-0000-0000-0000D5480000}"/>
    <cellStyle name="Normal 6 2 4 4 2 3" xfId="6920" xr:uid="{00000000-0005-0000-0000-0000D6480000}"/>
    <cellStyle name="Normal 6 2 4 4 2 3 2" xfId="16780" xr:uid="{00000000-0005-0000-0000-0000D7480000}"/>
    <cellStyle name="Normal 6 2 4 4 2 3 2 2" xfId="36495" xr:uid="{00000000-0005-0000-0000-0000D8480000}"/>
    <cellStyle name="Normal 6 2 4 4 2 3 3" xfId="26638" xr:uid="{00000000-0005-0000-0000-0000D9480000}"/>
    <cellStyle name="Normal 6 2 4 4 2 4" xfId="11852" xr:uid="{00000000-0005-0000-0000-0000DA480000}"/>
    <cellStyle name="Normal 6 2 4 4 2 4 2" xfId="31567" xr:uid="{00000000-0005-0000-0000-0000DB480000}"/>
    <cellStyle name="Normal 6 2 4 4 2 5" xfId="21710" xr:uid="{00000000-0005-0000-0000-0000DC480000}"/>
    <cellStyle name="Normal 6 2 4 4 3" xfId="3220" xr:uid="{00000000-0005-0000-0000-0000DD480000}"/>
    <cellStyle name="Normal 6 2 4 4 3 2" xfId="8152" xr:uid="{00000000-0005-0000-0000-0000DE480000}"/>
    <cellStyle name="Normal 6 2 4 4 3 2 2" xfId="18012" xr:uid="{00000000-0005-0000-0000-0000DF480000}"/>
    <cellStyle name="Normal 6 2 4 4 3 2 2 2" xfId="37727" xr:uid="{00000000-0005-0000-0000-0000E0480000}"/>
    <cellStyle name="Normal 6 2 4 4 3 2 3" xfId="27870" xr:uid="{00000000-0005-0000-0000-0000E1480000}"/>
    <cellStyle name="Normal 6 2 4 4 3 3" xfId="13084" xr:uid="{00000000-0005-0000-0000-0000E2480000}"/>
    <cellStyle name="Normal 6 2 4 4 3 3 2" xfId="32799" xr:uid="{00000000-0005-0000-0000-0000E3480000}"/>
    <cellStyle name="Normal 6 2 4 4 3 4" xfId="22942" xr:uid="{00000000-0005-0000-0000-0000E4480000}"/>
    <cellStyle name="Normal 6 2 4 4 4" xfId="5688" xr:uid="{00000000-0005-0000-0000-0000E5480000}"/>
    <cellStyle name="Normal 6 2 4 4 4 2" xfId="15548" xr:uid="{00000000-0005-0000-0000-0000E6480000}"/>
    <cellStyle name="Normal 6 2 4 4 4 2 2" xfId="35263" xr:uid="{00000000-0005-0000-0000-0000E7480000}"/>
    <cellStyle name="Normal 6 2 4 4 4 3" xfId="25406" xr:uid="{00000000-0005-0000-0000-0000E8480000}"/>
    <cellStyle name="Normal 6 2 4 4 5" xfId="10620" xr:uid="{00000000-0005-0000-0000-0000E9480000}"/>
    <cellStyle name="Normal 6 2 4 4 5 2" xfId="30335" xr:uid="{00000000-0005-0000-0000-0000EA480000}"/>
    <cellStyle name="Normal 6 2 4 4 6" xfId="20478" xr:uid="{00000000-0005-0000-0000-0000EB480000}"/>
    <cellStyle name="Normal 6 2 4 5" xfId="1369" xr:uid="{00000000-0005-0000-0000-0000EC480000}"/>
    <cellStyle name="Normal 6 2 4 5 2" xfId="3836" xr:uid="{00000000-0005-0000-0000-0000ED480000}"/>
    <cellStyle name="Normal 6 2 4 5 2 2" xfId="8768" xr:uid="{00000000-0005-0000-0000-0000EE480000}"/>
    <cellStyle name="Normal 6 2 4 5 2 2 2" xfId="18628" xr:uid="{00000000-0005-0000-0000-0000EF480000}"/>
    <cellStyle name="Normal 6 2 4 5 2 2 2 2" xfId="38343" xr:uid="{00000000-0005-0000-0000-0000F0480000}"/>
    <cellStyle name="Normal 6 2 4 5 2 2 3" xfId="28486" xr:uid="{00000000-0005-0000-0000-0000F1480000}"/>
    <cellStyle name="Normal 6 2 4 5 2 3" xfId="13700" xr:uid="{00000000-0005-0000-0000-0000F2480000}"/>
    <cellStyle name="Normal 6 2 4 5 2 3 2" xfId="33415" xr:uid="{00000000-0005-0000-0000-0000F3480000}"/>
    <cellStyle name="Normal 6 2 4 5 2 4" xfId="23558" xr:uid="{00000000-0005-0000-0000-0000F4480000}"/>
    <cellStyle name="Normal 6 2 4 5 3" xfId="6304" xr:uid="{00000000-0005-0000-0000-0000F5480000}"/>
    <cellStyle name="Normal 6 2 4 5 3 2" xfId="16164" xr:uid="{00000000-0005-0000-0000-0000F6480000}"/>
    <cellStyle name="Normal 6 2 4 5 3 2 2" xfId="35879" xr:uid="{00000000-0005-0000-0000-0000F7480000}"/>
    <cellStyle name="Normal 6 2 4 5 3 3" xfId="26022" xr:uid="{00000000-0005-0000-0000-0000F8480000}"/>
    <cellStyle name="Normal 6 2 4 5 4" xfId="11236" xr:uid="{00000000-0005-0000-0000-0000F9480000}"/>
    <cellStyle name="Normal 6 2 4 5 4 2" xfId="30951" xr:uid="{00000000-0005-0000-0000-0000FA480000}"/>
    <cellStyle name="Normal 6 2 4 5 5" xfId="21094" xr:uid="{00000000-0005-0000-0000-0000FB480000}"/>
    <cellStyle name="Normal 6 2 4 6" xfId="2604" xr:uid="{00000000-0005-0000-0000-0000FC480000}"/>
    <cellStyle name="Normal 6 2 4 6 2" xfId="7536" xr:uid="{00000000-0005-0000-0000-0000FD480000}"/>
    <cellStyle name="Normal 6 2 4 6 2 2" xfId="17396" xr:uid="{00000000-0005-0000-0000-0000FE480000}"/>
    <cellStyle name="Normal 6 2 4 6 2 2 2" xfId="37111" xr:uid="{00000000-0005-0000-0000-0000FF480000}"/>
    <cellStyle name="Normal 6 2 4 6 2 3" xfId="27254" xr:uid="{00000000-0005-0000-0000-000000490000}"/>
    <cellStyle name="Normal 6 2 4 6 3" xfId="12468" xr:uid="{00000000-0005-0000-0000-000001490000}"/>
    <cellStyle name="Normal 6 2 4 6 3 2" xfId="32183" xr:uid="{00000000-0005-0000-0000-000002490000}"/>
    <cellStyle name="Normal 6 2 4 6 4" xfId="22326" xr:uid="{00000000-0005-0000-0000-000003490000}"/>
    <cellStyle name="Normal 6 2 4 7" xfId="5072" xr:uid="{00000000-0005-0000-0000-000004490000}"/>
    <cellStyle name="Normal 6 2 4 7 2" xfId="14932" xr:uid="{00000000-0005-0000-0000-000005490000}"/>
    <cellStyle name="Normal 6 2 4 7 2 2" xfId="34647" xr:uid="{00000000-0005-0000-0000-000006490000}"/>
    <cellStyle name="Normal 6 2 4 7 3" xfId="24790" xr:uid="{00000000-0005-0000-0000-000007490000}"/>
    <cellStyle name="Normal 6 2 4 8" xfId="10004" xr:uid="{00000000-0005-0000-0000-000008490000}"/>
    <cellStyle name="Normal 6 2 4 8 2" xfId="29719" xr:uid="{00000000-0005-0000-0000-000009490000}"/>
    <cellStyle name="Normal 6 2 4 9" xfId="19862" xr:uid="{00000000-0005-0000-0000-00000A490000}"/>
    <cellStyle name="Normal 6 2 5" xfId="198" xr:uid="{00000000-0005-0000-0000-00000B490000}"/>
    <cellStyle name="Normal 6 2 5 2" xfId="512" xr:uid="{00000000-0005-0000-0000-00000C490000}"/>
    <cellStyle name="Normal 6 2 5 2 2" xfId="1132" xr:uid="{00000000-0005-0000-0000-00000D490000}"/>
    <cellStyle name="Normal 6 2 5 2 2 2" xfId="2367" xr:uid="{00000000-0005-0000-0000-00000E490000}"/>
    <cellStyle name="Normal 6 2 5 2 2 2 2" xfId="4834" xr:uid="{00000000-0005-0000-0000-00000F490000}"/>
    <cellStyle name="Normal 6 2 5 2 2 2 2 2" xfId="9766" xr:uid="{00000000-0005-0000-0000-000010490000}"/>
    <cellStyle name="Normal 6 2 5 2 2 2 2 2 2" xfId="19626" xr:uid="{00000000-0005-0000-0000-000011490000}"/>
    <cellStyle name="Normal 6 2 5 2 2 2 2 2 2 2" xfId="39341" xr:uid="{00000000-0005-0000-0000-000012490000}"/>
    <cellStyle name="Normal 6 2 5 2 2 2 2 2 3" xfId="29484" xr:uid="{00000000-0005-0000-0000-000013490000}"/>
    <cellStyle name="Normal 6 2 5 2 2 2 2 3" xfId="14698" xr:uid="{00000000-0005-0000-0000-000014490000}"/>
    <cellStyle name="Normal 6 2 5 2 2 2 2 3 2" xfId="34413" xr:uid="{00000000-0005-0000-0000-000015490000}"/>
    <cellStyle name="Normal 6 2 5 2 2 2 2 4" xfId="24556" xr:uid="{00000000-0005-0000-0000-000016490000}"/>
    <cellStyle name="Normal 6 2 5 2 2 2 3" xfId="7302" xr:uid="{00000000-0005-0000-0000-000017490000}"/>
    <cellStyle name="Normal 6 2 5 2 2 2 3 2" xfId="17162" xr:uid="{00000000-0005-0000-0000-000018490000}"/>
    <cellStyle name="Normal 6 2 5 2 2 2 3 2 2" xfId="36877" xr:uid="{00000000-0005-0000-0000-000019490000}"/>
    <cellStyle name="Normal 6 2 5 2 2 2 3 3" xfId="27020" xr:uid="{00000000-0005-0000-0000-00001A490000}"/>
    <cellStyle name="Normal 6 2 5 2 2 2 4" xfId="12234" xr:uid="{00000000-0005-0000-0000-00001B490000}"/>
    <cellStyle name="Normal 6 2 5 2 2 2 4 2" xfId="31949" xr:uid="{00000000-0005-0000-0000-00001C490000}"/>
    <cellStyle name="Normal 6 2 5 2 2 2 5" xfId="22092" xr:uid="{00000000-0005-0000-0000-00001D490000}"/>
    <cellStyle name="Normal 6 2 5 2 2 3" xfId="3602" xr:uid="{00000000-0005-0000-0000-00001E490000}"/>
    <cellStyle name="Normal 6 2 5 2 2 3 2" xfId="8534" xr:uid="{00000000-0005-0000-0000-00001F490000}"/>
    <cellStyle name="Normal 6 2 5 2 2 3 2 2" xfId="18394" xr:uid="{00000000-0005-0000-0000-000020490000}"/>
    <cellStyle name="Normal 6 2 5 2 2 3 2 2 2" xfId="38109" xr:uid="{00000000-0005-0000-0000-000021490000}"/>
    <cellStyle name="Normal 6 2 5 2 2 3 2 3" xfId="28252" xr:uid="{00000000-0005-0000-0000-000022490000}"/>
    <cellStyle name="Normal 6 2 5 2 2 3 3" xfId="13466" xr:uid="{00000000-0005-0000-0000-000023490000}"/>
    <cellStyle name="Normal 6 2 5 2 2 3 3 2" xfId="33181" xr:uid="{00000000-0005-0000-0000-000024490000}"/>
    <cellStyle name="Normal 6 2 5 2 2 3 4" xfId="23324" xr:uid="{00000000-0005-0000-0000-000025490000}"/>
    <cellStyle name="Normal 6 2 5 2 2 4" xfId="6070" xr:uid="{00000000-0005-0000-0000-000026490000}"/>
    <cellStyle name="Normal 6 2 5 2 2 4 2" xfId="15930" xr:uid="{00000000-0005-0000-0000-000027490000}"/>
    <cellStyle name="Normal 6 2 5 2 2 4 2 2" xfId="35645" xr:uid="{00000000-0005-0000-0000-000028490000}"/>
    <cellStyle name="Normal 6 2 5 2 2 4 3" xfId="25788" xr:uid="{00000000-0005-0000-0000-000029490000}"/>
    <cellStyle name="Normal 6 2 5 2 2 5" xfId="11002" xr:uid="{00000000-0005-0000-0000-00002A490000}"/>
    <cellStyle name="Normal 6 2 5 2 2 5 2" xfId="30717" xr:uid="{00000000-0005-0000-0000-00002B490000}"/>
    <cellStyle name="Normal 6 2 5 2 2 6" xfId="20860" xr:uid="{00000000-0005-0000-0000-00002C490000}"/>
    <cellStyle name="Normal 6 2 5 2 3" xfId="1751" xr:uid="{00000000-0005-0000-0000-00002D490000}"/>
    <cellStyle name="Normal 6 2 5 2 3 2" xfId="4218" xr:uid="{00000000-0005-0000-0000-00002E490000}"/>
    <cellStyle name="Normal 6 2 5 2 3 2 2" xfId="9150" xr:uid="{00000000-0005-0000-0000-00002F490000}"/>
    <cellStyle name="Normal 6 2 5 2 3 2 2 2" xfId="19010" xr:uid="{00000000-0005-0000-0000-000030490000}"/>
    <cellStyle name="Normal 6 2 5 2 3 2 2 2 2" xfId="38725" xr:uid="{00000000-0005-0000-0000-000031490000}"/>
    <cellStyle name="Normal 6 2 5 2 3 2 2 3" xfId="28868" xr:uid="{00000000-0005-0000-0000-000032490000}"/>
    <cellStyle name="Normal 6 2 5 2 3 2 3" xfId="14082" xr:uid="{00000000-0005-0000-0000-000033490000}"/>
    <cellStyle name="Normal 6 2 5 2 3 2 3 2" xfId="33797" xr:uid="{00000000-0005-0000-0000-000034490000}"/>
    <cellStyle name="Normal 6 2 5 2 3 2 4" xfId="23940" xr:uid="{00000000-0005-0000-0000-000035490000}"/>
    <cellStyle name="Normal 6 2 5 2 3 3" xfId="6686" xr:uid="{00000000-0005-0000-0000-000036490000}"/>
    <cellStyle name="Normal 6 2 5 2 3 3 2" xfId="16546" xr:uid="{00000000-0005-0000-0000-000037490000}"/>
    <cellStyle name="Normal 6 2 5 2 3 3 2 2" xfId="36261" xr:uid="{00000000-0005-0000-0000-000038490000}"/>
    <cellStyle name="Normal 6 2 5 2 3 3 3" xfId="26404" xr:uid="{00000000-0005-0000-0000-000039490000}"/>
    <cellStyle name="Normal 6 2 5 2 3 4" xfId="11618" xr:uid="{00000000-0005-0000-0000-00003A490000}"/>
    <cellStyle name="Normal 6 2 5 2 3 4 2" xfId="31333" xr:uid="{00000000-0005-0000-0000-00003B490000}"/>
    <cellStyle name="Normal 6 2 5 2 3 5" xfId="21476" xr:uid="{00000000-0005-0000-0000-00003C490000}"/>
    <cellStyle name="Normal 6 2 5 2 4" xfId="2986" xr:uid="{00000000-0005-0000-0000-00003D490000}"/>
    <cellStyle name="Normal 6 2 5 2 4 2" xfId="7918" xr:uid="{00000000-0005-0000-0000-00003E490000}"/>
    <cellStyle name="Normal 6 2 5 2 4 2 2" xfId="17778" xr:uid="{00000000-0005-0000-0000-00003F490000}"/>
    <cellStyle name="Normal 6 2 5 2 4 2 2 2" xfId="37493" xr:uid="{00000000-0005-0000-0000-000040490000}"/>
    <cellStyle name="Normal 6 2 5 2 4 2 3" xfId="27636" xr:uid="{00000000-0005-0000-0000-000041490000}"/>
    <cellStyle name="Normal 6 2 5 2 4 3" xfId="12850" xr:uid="{00000000-0005-0000-0000-000042490000}"/>
    <cellStyle name="Normal 6 2 5 2 4 3 2" xfId="32565" xr:uid="{00000000-0005-0000-0000-000043490000}"/>
    <cellStyle name="Normal 6 2 5 2 4 4" xfId="22708" xr:uid="{00000000-0005-0000-0000-000044490000}"/>
    <cellStyle name="Normal 6 2 5 2 5" xfId="5454" xr:uid="{00000000-0005-0000-0000-000045490000}"/>
    <cellStyle name="Normal 6 2 5 2 5 2" xfId="15314" xr:uid="{00000000-0005-0000-0000-000046490000}"/>
    <cellStyle name="Normal 6 2 5 2 5 2 2" xfId="35029" xr:uid="{00000000-0005-0000-0000-000047490000}"/>
    <cellStyle name="Normal 6 2 5 2 5 3" xfId="25172" xr:uid="{00000000-0005-0000-0000-000048490000}"/>
    <cellStyle name="Normal 6 2 5 2 6" xfId="10386" xr:uid="{00000000-0005-0000-0000-000049490000}"/>
    <cellStyle name="Normal 6 2 5 2 6 2" xfId="30101" xr:uid="{00000000-0005-0000-0000-00004A490000}"/>
    <cellStyle name="Normal 6 2 5 2 7" xfId="20244" xr:uid="{00000000-0005-0000-0000-00004B490000}"/>
    <cellStyle name="Normal 6 2 5 3" xfId="825" xr:uid="{00000000-0005-0000-0000-00004C490000}"/>
    <cellStyle name="Normal 6 2 5 3 2" xfId="2061" xr:uid="{00000000-0005-0000-0000-00004D490000}"/>
    <cellStyle name="Normal 6 2 5 3 2 2" xfId="4528" xr:uid="{00000000-0005-0000-0000-00004E490000}"/>
    <cellStyle name="Normal 6 2 5 3 2 2 2" xfId="9460" xr:uid="{00000000-0005-0000-0000-00004F490000}"/>
    <cellStyle name="Normal 6 2 5 3 2 2 2 2" xfId="19320" xr:uid="{00000000-0005-0000-0000-000050490000}"/>
    <cellStyle name="Normal 6 2 5 3 2 2 2 2 2" xfId="39035" xr:uid="{00000000-0005-0000-0000-000051490000}"/>
    <cellStyle name="Normal 6 2 5 3 2 2 2 3" xfId="29178" xr:uid="{00000000-0005-0000-0000-000052490000}"/>
    <cellStyle name="Normal 6 2 5 3 2 2 3" xfId="14392" xr:uid="{00000000-0005-0000-0000-000053490000}"/>
    <cellStyle name="Normal 6 2 5 3 2 2 3 2" xfId="34107" xr:uid="{00000000-0005-0000-0000-000054490000}"/>
    <cellStyle name="Normal 6 2 5 3 2 2 4" xfId="24250" xr:uid="{00000000-0005-0000-0000-000055490000}"/>
    <cellStyle name="Normal 6 2 5 3 2 3" xfId="6996" xr:uid="{00000000-0005-0000-0000-000056490000}"/>
    <cellStyle name="Normal 6 2 5 3 2 3 2" xfId="16856" xr:uid="{00000000-0005-0000-0000-000057490000}"/>
    <cellStyle name="Normal 6 2 5 3 2 3 2 2" xfId="36571" xr:uid="{00000000-0005-0000-0000-000058490000}"/>
    <cellStyle name="Normal 6 2 5 3 2 3 3" xfId="26714" xr:uid="{00000000-0005-0000-0000-000059490000}"/>
    <cellStyle name="Normal 6 2 5 3 2 4" xfId="11928" xr:uid="{00000000-0005-0000-0000-00005A490000}"/>
    <cellStyle name="Normal 6 2 5 3 2 4 2" xfId="31643" xr:uid="{00000000-0005-0000-0000-00005B490000}"/>
    <cellStyle name="Normal 6 2 5 3 2 5" xfId="21786" xr:uid="{00000000-0005-0000-0000-00005C490000}"/>
    <cellStyle name="Normal 6 2 5 3 3" xfId="3296" xr:uid="{00000000-0005-0000-0000-00005D490000}"/>
    <cellStyle name="Normal 6 2 5 3 3 2" xfId="8228" xr:uid="{00000000-0005-0000-0000-00005E490000}"/>
    <cellStyle name="Normal 6 2 5 3 3 2 2" xfId="18088" xr:uid="{00000000-0005-0000-0000-00005F490000}"/>
    <cellStyle name="Normal 6 2 5 3 3 2 2 2" xfId="37803" xr:uid="{00000000-0005-0000-0000-000060490000}"/>
    <cellStyle name="Normal 6 2 5 3 3 2 3" xfId="27946" xr:uid="{00000000-0005-0000-0000-000061490000}"/>
    <cellStyle name="Normal 6 2 5 3 3 3" xfId="13160" xr:uid="{00000000-0005-0000-0000-000062490000}"/>
    <cellStyle name="Normal 6 2 5 3 3 3 2" xfId="32875" xr:uid="{00000000-0005-0000-0000-000063490000}"/>
    <cellStyle name="Normal 6 2 5 3 3 4" xfId="23018" xr:uid="{00000000-0005-0000-0000-000064490000}"/>
    <cellStyle name="Normal 6 2 5 3 4" xfId="5764" xr:uid="{00000000-0005-0000-0000-000065490000}"/>
    <cellStyle name="Normal 6 2 5 3 4 2" xfId="15624" xr:uid="{00000000-0005-0000-0000-000066490000}"/>
    <cellStyle name="Normal 6 2 5 3 4 2 2" xfId="35339" xr:uid="{00000000-0005-0000-0000-000067490000}"/>
    <cellStyle name="Normal 6 2 5 3 4 3" xfId="25482" xr:uid="{00000000-0005-0000-0000-000068490000}"/>
    <cellStyle name="Normal 6 2 5 3 5" xfId="10696" xr:uid="{00000000-0005-0000-0000-000069490000}"/>
    <cellStyle name="Normal 6 2 5 3 5 2" xfId="30411" xr:uid="{00000000-0005-0000-0000-00006A490000}"/>
    <cellStyle name="Normal 6 2 5 3 6" xfId="20554" xr:uid="{00000000-0005-0000-0000-00006B490000}"/>
    <cellStyle name="Normal 6 2 5 4" xfId="1445" xr:uid="{00000000-0005-0000-0000-00006C490000}"/>
    <cellStyle name="Normal 6 2 5 4 2" xfId="3912" xr:uid="{00000000-0005-0000-0000-00006D490000}"/>
    <cellStyle name="Normal 6 2 5 4 2 2" xfId="8844" xr:uid="{00000000-0005-0000-0000-00006E490000}"/>
    <cellStyle name="Normal 6 2 5 4 2 2 2" xfId="18704" xr:uid="{00000000-0005-0000-0000-00006F490000}"/>
    <cellStyle name="Normal 6 2 5 4 2 2 2 2" xfId="38419" xr:uid="{00000000-0005-0000-0000-000070490000}"/>
    <cellStyle name="Normal 6 2 5 4 2 2 3" xfId="28562" xr:uid="{00000000-0005-0000-0000-000071490000}"/>
    <cellStyle name="Normal 6 2 5 4 2 3" xfId="13776" xr:uid="{00000000-0005-0000-0000-000072490000}"/>
    <cellStyle name="Normal 6 2 5 4 2 3 2" xfId="33491" xr:uid="{00000000-0005-0000-0000-000073490000}"/>
    <cellStyle name="Normal 6 2 5 4 2 4" xfId="23634" xr:uid="{00000000-0005-0000-0000-000074490000}"/>
    <cellStyle name="Normal 6 2 5 4 3" xfId="6380" xr:uid="{00000000-0005-0000-0000-000075490000}"/>
    <cellStyle name="Normal 6 2 5 4 3 2" xfId="16240" xr:uid="{00000000-0005-0000-0000-000076490000}"/>
    <cellStyle name="Normal 6 2 5 4 3 2 2" xfId="35955" xr:uid="{00000000-0005-0000-0000-000077490000}"/>
    <cellStyle name="Normal 6 2 5 4 3 3" xfId="26098" xr:uid="{00000000-0005-0000-0000-000078490000}"/>
    <cellStyle name="Normal 6 2 5 4 4" xfId="11312" xr:uid="{00000000-0005-0000-0000-000079490000}"/>
    <cellStyle name="Normal 6 2 5 4 4 2" xfId="31027" xr:uid="{00000000-0005-0000-0000-00007A490000}"/>
    <cellStyle name="Normal 6 2 5 4 5" xfId="21170" xr:uid="{00000000-0005-0000-0000-00007B490000}"/>
    <cellStyle name="Normal 6 2 5 5" xfId="2680" xr:uid="{00000000-0005-0000-0000-00007C490000}"/>
    <cellStyle name="Normal 6 2 5 5 2" xfId="7612" xr:uid="{00000000-0005-0000-0000-00007D490000}"/>
    <cellStyle name="Normal 6 2 5 5 2 2" xfId="17472" xr:uid="{00000000-0005-0000-0000-00007E490000}"/>
    <cellStyle name="Normal 6 2 5 5 2 2 2" xfId="37187" xr:uid="{00000000-0005-0000-0000-00007F490000}"/>
    <cellStyle name="Normal 6 2 5 5 2 3" xfId="27330" xr:uid="{00000000-0005-0000-0000-000080490000}"/>
    <cellStyle name="Normal 6 2 5 5 3" xfId="12544" xr:uid="{00000000-0005-0000-0000-000081490000}"/>
    <cellStyle name="Normal 6 2 5 5 3 2" xfId="32259" xr:uid="{00000000-0005-0000-0000-000082490000}"/>
    <cellStyle name="Normal 6 2 5 5 4" xfId="22402" xr:uid="{00000000-0005-0000-0000-000083490000}"/>
    <cellStyle name="Normal 6 2 5 6" xfId="5148" xr:uid="{00000000-0005-0000-0000-000084490000}"/>
    <cellStyle name="Normal 6 2 5 6 2" xfId="15008" xr:uid="{00000000-0005-0000-0000-000085490000}"/>
    <cellStyle name="Normal 6 2 5 6 2 2" xfId="34723" xr:uid="{00000000-0005-0000-0000-000086490000}"/>
    <cellStyle name="Normal 6 2 5 6 3" xfId="24866" xr:uid="{00000000-0005-0000-0000-000087490000}"/>
    <cellStyle name="Normal 6 2 5 7" xfId="10080" xr:uid="{00000000-0005-0000-0000-000088490000}"/>
    <cellStyle name="Normal 6 2 5 7 2" xfId="29795" xr:uid="{00000000-0005-0000-0000-000089490000}"/>
    <cellStyle name="Normal 6 2 5 8" xfId="19938" xr:uid="{00000000-0005-0000-0000-00008A490000}"/>
    <cellStyle name="Normal 6 2 6" xfId="360" xr:uid="{00000000-0005-0000-0000-00008B490000}"/>
    <cellStyle name="Normal 6 2 6 2" xfId="980" xr:uid="{00000000-0005-0000-0000-00008C490000}"/>
    <cellStyle name="Normal 6 2 6 2 2" xfId="2215" xr:uid="{00000000-0005-0000-0000-00008D490000}"/>
    <cellStyle name="Normal 6 2 6 2 2 2" xfId="4682" xr:uid="{00000000-0005-0000-0000-00008E490000}"/>
    <cellStyle name="Normal 6 2 6 2 2 2 2" xfId="9614" xr:uid="{00000000-0005-0000-0000-00008F490000}"/>
    <cellStyle name="Normal 6 2 6 2 2 2 2 2" xfId="19474" xr:uid="{00000000-0005-0000-0000-000090490000}"/>
    <cellStyle name="Normal 6 2 6 2 2 2 2 2 2" xfId="39189" xr:uid="{00000000-0005-0000-0000-000091490000}"/>
    <cellStyle name="Normal 6 2 6 2 2 2 2 3" xfId="29332" xr:uid="{00000000-0005-0000-0000-000092490000}"/>
    <cellStyle name="Normal 6 2 6 2 2 2 3" xfId="14546" xr:uid="{00000000-0005-0000-0000-000093490000}"/>
    <cellStyle name="Normal 6 2 6 2 2 2 3 2" xfId="34261" xr:uid="{00000000-0005-0000-0000-000094490000}"/>
    <cellStyle name="Normal 6 2 6 2 2 2 4" xfId="24404" xr:uid="{00000000-0005-0000-0000-000095490000}"/>
    <cellStyle name="Normal 6 2 6 2 2 3" xfId="7150" xr:uid="{00000000-0005-0000-0000-000096490000}"/>
    <cellStyle name="Normal 6 2 6 2 2 3 2" xfId="17010" xr:uid="{00000000-0005-0000-0000-000097490000}"/>
    <cellStyle name="Normal 6 2 6 2 2 3 2 2" xfId="36725" xr:uid="{00000000-0005-0000-0000-000098490000}"/>
    <cellStyle name="Normal 6 2 6 2 2 3 3" xfId="26868" xr:uid="{00000000-0005-0000-0000-000099490000}"/>
    <cellStyle name="Normal 6 2 6 2 2 4" xfId="12082" xr:uid="{00000000-0005-0000-0000-00009A490000}"/>
    <cellStyle name="Normal 6 2 6 2 2 4 2" xfId="31797" xr:uid="{00000000-0005-0000-0000-00009B490000}"/>
    <cellStyle name="Normal 6 2 6 2 2 5" xfId="21940" xr:uid="{00000000-0005-0000-0000-00009C490000}"/>
    <cellStyle name="Normal 6 2 6 2 3" xfId="3450" xr:uid="{00000000-0005-0000-0000-00009D490000}"/>
    <cellStyle name="Normal 6 2 6 2 3 2" xfId="8382" xr:uid="{00000000-0005-0000-0000-00009E490000}"/>
    <cellStyle name="Normal 6 2 6 2 3 2 2" xfId="18242" xr:uid="{00000000-0005-0000-0000-00009F490000}"/>
    <cellStyle name="Normal 6 2 6 2 3 2 2 2" xfId="37957" xr:uid="{00000000-0005-0000-0000-0000A0490000}"/>
    <cellStyle name="Normal 6 2 6 2 3 2 3" xfId="28100" xr:uid="{00000000-0005-0000-0000-0000A1490000}"/>
    <cellStyle name="Normal 6 2 6 2 3 3" xfId="13314" xr:uid="{00000000-0005-0000-0000-0000A2490000}"/>
    <cellStyle name="Normal 6 2 6 2 3 3 2" xfId="33029" xr:uid="{00000000-0005-0000-0000-0000A3490000}"/>
    <cellStyle name="Normal 6 2 6 2 3 4" xfId="23172" xr:uid="{00000000-0005-0000-0000-0000A4490000}"/>
    <cellStyle name="Normal 6 2 6 2 4" xfId="5918" xr:uid="{00000000-0005-0000-0000-0000A5490000}"/>
    <cellStyle name="Normal 6 2 6 2 4 2" xfId="15778" xr:uid="{00000000-0005-0000-0000-0000A6490000}"/>
    <cellStyle name="Normal 6 2 6 2 4 2 2" xfId="35493" xr:uid="{00000000-0005-0000-0000-0000A7490000}"/>
    <cellStyle name="Normal 6 2 6 2 4 3" xfId="25636" xr:uid="{00000000-0005-0000-0000-0000A8490000}"/>
    <cellStyle name="Normal 6 2 6 2 5" xfId="10850" xr:uid="{00000000-0005-0000-0000-0000A9490000}"/>
    <cellStyle name="Normal 6 2 6 2 5 2" xfId="30565" xr:uid="{00000000-0005-0000-0000-0000AA490000}"/>
    <cellStyle name="Normal 6 2 6 2 6" xfId="20708" xr:uid="{00000000-0005-0000-0000-0000AB490000}"/>
    <cellStyle name="Normal 6 2 6 3" xfId="1599" xr:uid="{00000000-0005-0000-0000-0000AC490000}"/>
    <cellStyle name="Normal 6 2 6 3 2" xfId="4066" xr:uid="{00000000-0005-0000-0000-0000AD490000}"/>
    <cellStyle name="Normal 6 2 6 3 2 2" xfId="8998" xr:uid="{00000000-0005-0000-0000-0000AE490000}"/>
    <cellStyle name="Normal 6 2 6 3 2 2 2" xfId="18858" xr:uid="{00000000-0005-0000-0000-0000AF490000}"/>
    <cellStyle name="Normal 6 2 6 3 2 2 2 2" xfId="38573" xr:uid="{00000000-0005-0000-0000-0000B0490000}"/>
    <cellStyle name="Normal 6 2 6 3 2 2 3" xfId="28716" xr:uid="{00000000-0005-0000-0000-0000B1490000}"/>
    <cellStyle name="Normal 6 2 6 3 2 3" xfId="13930" xr:uid="{00000000-0005-0000-0000-0000B2490000}"/>
    <cellStyle name="Normal 6 2 6 3 2 3 2" xfId="33645" xr:uid="{00000000-0005-0000-0000-0000B3490000}"/>
    <cellStyle name="Normal 6 2 6 3 2 4" xfId="23788" xr:uid="{00000000-0005-0000-0000-0000B4490000}"/>
    <cellStyle name="Normal 6 2 6 3 3" xfId="6534" xr:uid="{00000000-0005-0000-0000-0000B5490000}"/>
    <cellStyle name="Normal 6 2 6 3 3 2" xfId="16394" xr:uid="{00000000-0005-0000-0000-0000B6490000}"/>
    <cellStyle name="Normal 6 2 6 3 3 2 2" xfId="36109" xr:uid="{00000000-0005-0000-0000-0000B7490000}"/>
    <cellStyle name="Normal 6 2 6 3 3 3" xfId="26252" xr:uid="{00000000-0005-0000-0000-0000B8490000}"/>
    <cellStyle name="Normal 6 2 6 3 4" xfId="11466" xr:uid="{00000000-0005-0000-0000-0000B9490000}"/>
    <cellStyle name="Normal 6 2 6 3 4 2" xfId="31181" xr:uid="{00000000-0005-0000-0000-0000BA490000}"/>
    <cellStyle name="Normal 6 2 6 3 5" xfId="21324" xr:uid="{00000000-0005-0000-0000-0000BB490000}"/>
    <cellStyle name="Normal 6 2 6 4" xfId="2834" xr:uid="{00000000-0005-0000-0000-0000BC490000}"/>
    <cellStyle name="Normal 6 2 6 4 2" xfId="7766" xr:uid="{00000000-0005-0000-0000-0000BD490000}"/>
    <cellStyle name="Normal 6 2 6 4 2 2" xfId="17626" xr:uid="{00000000-0005-0000-0000-0000BE490000}"/>
    <cellStyle name="Normal 6 2 6 4 2 2 2" xfId="37341" xr:uid="{00000000-0005-0000-0000-0000BF490000}"/>
    <cellStyle name="Normal 6 2 6 4 2 3" xfId="27484" xr:uid="{00000000-0005-0000-0000-0000C0490000}"/>
    <cellStyle name="Normal 6 2 6 4 3" xfId="12698" xr:uid="{00000000-0005-0000-0000-0000C1490000}"/>
    <cellStyle name="Normal 6 2 6 4 3 2" xfId="32413" xr:uid="{00000000-0005-0000-0000-0000C2490000}"/>
    <cellStyle name="Normal 6 2 6 4 4" xfId="22556" xr:uid="{00000000-0005-0000-0000-0000C3490000}"/>
    <cellStyle name="Normal 6 2 6 5" xfId="5302" xr:uid="{00000000-0005-0000-0000-0000C4490000}"/>
    <cellStyle name="Normal 6 2 6 5 2" xfId="15162" xr:uid="{00000000-0005-0000-0000-0000C5490000}"/>
    <cellStyle name="Normal 6 2 6 5 2 2" xfId="34877" xr:uid="{00000000-0005-0000-0000-0000C6490000}"/>
    <cellStyle name="Normal 6 2 6 5 3" xfId="25020" xr:uid="{00000000-0005-0000-0000-0000C7490000}"/>
    <cellStyle name="Normal 6 2 6 6" xfId="10234" xr:uid="{00000000-0005-0000-0000-0000C8490000}"/>
    <cellStyle name="Normal 6 2 6 6 2" xfId="29949" xr:uid="{00000000-0005-0000-0000-0000C9490000}"/>
    <cellStyle name="Normal 6 2 6 7" xfId="20092" xr:uid="{00000000-0005-0000-0000-0000CA490000}"/>
    <cellStyle name="Normal 6 2 7" xfId="673" xr:uid="{00000000-0005-0000-0000-0000CB490000}"/>
    <cellStyle name="Normal 6 2 7 2" xfId="1909" xr:uid="{00000000-0005-0000-0000-0000CC490000}"/>
    <cellStyle name="Normal 6 2 7 2 2" xfId="4376" xr:uid="{00000000-0005-0000-0000-0000CD490000}"/>
    <cellStyle name="Normal 6 2 7 2 2 2" xfId="9308" xr:uid="{00000000-0005-0000-0000-0000CE490000}"/>
    <cellStyle name="Normal 6 2 7 2 2 2 2" xfId="19168" xr:uid="{00000000-0005-0000-0000-0000CF490000}"/>
    <cellStyle name="Normal 6 2 7 2 2 2 2 2" xfId="38883" xr:uid="{00000000-0005-0000-0000-0000D0490000}"/>
    <cellStyle name="Normal 6 2 7 2 2 2 3" xfId="29026" xr:uid="{00000000-0005-0000-0000-0000D1490000}"/>
    <cellStyle name="Normal 6 2 7 2 2 3" xfId="14240" xr:uid="{00000000-0005-0000-0000-0000D2490000}"/>
    <cellStyle name="Normal 6 2 7 2 2 3 2" xfId="33955" xr:uid="{00000000-0005-0000-0000-0000D3490000}"/>
    <cellStyle name="Normal 6 2 7 2 2 4" xfId="24098" xr:uid="{00000000-0005-0000-0000-0000D4490000}"/>
    <cellStyle name="Normal 6 2 7 2 3" xfId="6844" xr:uid="{00000000-0005-0000-0000-0000D5490000}"/>
    <cellStyle name="Normal 6 2 7 2 3 2" xfId="16704" xr:uid="{00000000-0005-0000-0000-0000D6490000}"/>
    <cellStyle name="Normal 6 2 7 2 3 2 2" xfId="36419" xr:uid="{00000000-0005-0000-0000-0000D7490000}"/>
    <cellStyle name="Normal 6 2 7 2 3 3" xfId="26562" xr:uid="{00000000-0005-0000-0000-0000D8490000}"/>
    <cellStyle name="Normal 6 2 7 2 4" xfId="11776" xr:uid="{00000000-0005-0000-0000-0000D9490000}"/>
    <cellStyle name="Normal 6 2 7 2 4 2" xfId="31491" xr:uid="{00000000-0005-0000-0000-0000DA490000}"/>
    <cellStyle name="Normal 6 2 7 2 5" xfId="21634" xr:uid="{00000000-0005-0000-0000-0000DB490000}"/>
    <cellStyle name="Normal 6 2 7 3" xfId="3144" xr:uid="{00000000-0005-0000-0000-0000DC490000}"/>
    <cellStyle name="Normal 6 2 7 3 2" xfId="8076" xr:uid="{00000000-0005-0000-0000-0000DD490000}"/>
    <cellStyle name="Normal 6 2 7 3 2 2" xfId="17936" xr:uid="{00000000-0005-0000-0000-0000DE490000}"/>
    <cellStyle name="Normal 6 2 7 3 2 2 2" xfId="37651" xr:uid="{00000000-0005-0000-0000-0000DF490000}"/>
    <cellStyle name="Normal 6 2 7 3 2 3" xfId="27794" xr:uid="{00000000-0005-0000-0000-0000E0490000}"/>
    <cellStyle name="Normal 6 2 7 3 3" xfId="13008" xr:uid="{00000000-0005-0000-0000-0000E1490000}"/>
    <cellStyle name="Normal 6 2 7 3 3 2" xfId="32723" xr:uid="{00000000-0005-0000-0000-0000E2490000}"/>
    <cellStyle name="Normal 6 2 7 3 4" xfId="22866" xr:uid="{00000000-0005-0000-0000-0000E3490000}"/>
    <cellStyle name="Normal 6 2 7 4" xfId="5612" xr:uid="{00000000-0005-0000-0000-0000E4490000}"/>
    <cellStyle name="Normal 6 2 7 4 2" xfId="15472" xr:uid="{00000000-0005-0000-0000-0000E5490000}"/>
    <cellStyle name="Normal 6 2 7 4 2 2" xfId="35187" xr:uid="{00000000-0005-0000-0000-0000E6490000}"/>
    <cellStyle name="Normal 6 2 7 4 3" xfId="25330" xr:uid="{00000000-0005-0000-0000-0000E7490000}"/>
    <cellStyle name="Normal 6 2 7 5" xfId="10544" xr:uid="{00000000-0005-0000-0000-0000E8490000}"/>
    <cellStyle name="Normal 6 2 7 5 2" xfId="30259" xr:uid="{00000000-0005-0000-0000-0000E9490000}"/>
    <cellStyle name="Normal 6 2 7 6" xfId="20402" xr:uid="{00000000-0005-0000-0000-0000EA490000}"/>
    <cellStyle name="Normal 6 2 8" xfId="1293" xr:uid="{00000000-0005-0000-0000-0000EB490000}"/>
    <cellStyle name="Normal 6 2 8 2" xfId="3760" xr:uid="{00000000-0005-0000-0000-0000EC490000}"/>
    <cellStyle name="Normal 6 2 8 2 2" xfId="8692" xr:uid="{00000000-0005-0000-0000-0000ED490000}"/>
    <cellStyle name="Normal 6 2 8 2 2 2" xfId="18552" xr:uid="{00000000-0005-0000-0000-0000EE490000}"/>
    <cellStyle name="Normal 6 2 8 2 2 2 2" xfId="38267" xr:uid="{00000000-0005-0000-0000-0000EF490000}"/>
    <cellStyle name="Normal 6 2 8 2 2 3" xfId="28410" xr:uid="{00000000-0005-0000-0000-0000F0490000}"/>
    <cellStyle name="Normal 6 2 8 2 3" xfId="13624" xr:uid="{00000000-0005-0000-0000-0000F1490000}"/>
    <cellStyle name="Normal 6 2 8 2 3 2" xfId="33339" xr:uid="{00000000-0005-0000-0000-0000F2490000}"/>
    <cellStyle name="Normal 6 2 8 2 4" xfId="23482" xr:uid="{00000000-0005-0000-0000-0000F3490000}"/>
    <cellStyle name="Normal 6 2 8 3" xfId="6228" xr:uid="{00000000-0005-0000-0000-0000F4490000}"/>
    <cellStyle name="Normal 6 2 8 3 2" xfId="16088" xr:uid="{00000000-0005-0000-0000-0000F5490000}"/>
    <cellStyle name="Normal 6 2 8 3 2 2" xfId="35803" xr:uid="{00000000-0005-0000-0000-0000F6490000}"/>
    <cellStyle name="Normal 6 2 8 3 3" xfId="25946" xr:uid="{00000000-0005-0000-0000-0000F7490000}"/>
    <cellStyle name="Normal 6 2 8 4" xfId="11160" xr:uid="{00000000-0005-0000-0000-0000F8490000}"/>
    <cellStyle name="Normal 6 2 8 4 2" xfId="30875" xr:uid="{00000000-0005-0000-0000-0000F9490000}"/>
    <cellStyle name="Normal 6 2 8 5" xfId="21018" xr:uid="{00000000-0005-0000-0000-0000FA490000}"/>
    <cellStyle name="Normal 6 2 9" xfId="2528" xr:uid="{00000000-0005-0000-0000-0000FB490000}"/>
    <cellStyle name="Normal 6 2 9 2" xfId="7460" xr:uid="{00000000-0005-0000-0000-0000FC490000}"/>
    <cellStyle name="Normal 6 2 9 2 2" xfId="17320" xr:uid="{00000000-0005-0000-0000-0000FD490000}"/>
    <cellStyle name="Normal 6 2 9 2 2 2" xfId="37035" xr:uid="{00000000-0005-0000-0000-0000FE490000}"/>
    <cellStyle name="Normal 6 2 9 2 3" xfId="27178" xr:uid="{00000000-0005-0000-0000-0000FF490000}"/>
    <cellStyle name="Normal 6 2 9 3" xfId="12392" xr:uid="{00000000-0005-0000-0000-0000004A0000}"/>
    <cellStyle name="Normal 6 2 9 3 2" xfId="32107" xr:uid="{00000000-0005-0000-0000-0000014A0000}"/>
    <cellStyle name="Normal 6 2 9 4" xfId="22250" xr:uid="{00000000-0005-0000-0000-0000024A0000}"/>
    <cellStyle name="Normal 6 3" xfId="40" xr:uid="{00000000-0005-0000-0000-0000034A0000}"/>
    <cellStyle name="Normal 6 3 10" xfId="9938" xr:uid="{00000000-0005-0000-0000-0000044A0000}"/>
    <cellStyle name="Normal 6 3 10 2" xfId="29653" xr:uid="{00000000-0005-0000-0000-0000054A0000}"/>
    <cellStyle name="Normal 6 3 11" xfId="19796" xr:uid="{00000000-0005-0000-0000-0000064A0000}"/>
    <cellStyle name="Normal 6 3 2" xfId="84" xr:uid="{00000000-0005-0000-0000-0000074A0000}"/>
    <cellStyle name="Normal 6 3 2 10" xfId="19834" xr:uid="{00000000-0005-0000-0000-0000084A0000}"/>
    <cellStyle name="Normal 6 3 2 2" xfId="165" xr:uid="{00000000-0005-0000-0000-0000094A0000}"/>
    <cellStyle name="Normal 6 3 2 2 2" xfId="322" xr:uid="{00000000-0005-0000-0000-00000A4A0000}"/>
    <cellStyle name="Normal 6 3 2 2 2 2" xfId="636" xr:uid="{00000000-0005-0000-0000-00000B4A0000}"/>
    <cellStyle name="Normal 6 3 2 2 2 2 2" xfId="1256" xr:uid="{00000000-0005-0000-0000-00000C4A0000}"/>
    <cellStyle name="Normal 6 3 2 2 2 2 2 2" xfId="2491" xr:uid="{00000000-0005-0000-0000-00000D4A0000}"/>
    <cellStyle name="Normal 6 3 2 2 2 2 2 2 2" xfId="4958" xr:uid="{00000000-0005-0000-0000-00000E4A0000}"/>
    <cellStyle name="Normal 6 3 2 2 2 2 2 2 2 2" xfId="9890" xr:uid="{00000000-0005-0000-0000-00000F4A0000}"/>
    <cellStyle name="Normal 6 3 2 2 2 2 2 2 2 2 2" xfId="19750" xr:uid="{00000000-0005-0000-0000-0000104A0000}"/>
    <cellStyle name="Normal 6 3 2 2 2 2 2 2 2 2 2 2" xfId="39465" xr:uid="{00000000-0005-0000-0000-0000114A0000}"/>
    <cellStyle name="Normal 6 3 2 2 2 2 2 2 2 2 3" xfId="29608" xr:uid="{00000000-0005-0000-0000-0000124A0000}"/>
    <cellStyle name="Normal 6 3 2 2 2 2 2 2 2 3" xfId="14822" xr:uid="{00000000-0005-0000-0000-0000134A0000}"/>
    <cellStyle name="Normal 6 3 2 2 2 2 2 2 2 3 2" xfId="34537" xr:uid="{00000000-0005-0000-0000-0000144A0000}"/>
    <cellStyle name="Normal 6 3 2 2 2 2 2 2 2 4" xfId="24680" xr:uid="{00000000-0005-0000-0000-0000154A0000}"/>
    <cellStyle name="Normal 6 3 2 2 2 2 2 2 3" xfId="7426" xr:uid="{00000000-0005-0000-0000-0000164A0000}"/>
    <cellStyle name="Normal 6 3 2 2 2 2 2 2 3 2" xfId="17286" xr:uid="{00000000-0005-0000-0000-0000174A0000}"/>
    <cellStyle name="Normal 6 3 2 2 2 2 2 2 3 2 2" xfId="37001" xr:uid="{00000000-0005-0000-0000-0000184A0000}"/>
    <cellStyle name="Normal 6 3 2 2 2 2 2 2 3 3" xfId="27144" xr:uid="{00000000-0005-0000-0000-0000194A0000}"/>
    <cellStyle name="Normal 6 3 2 2 2 2 2 2 4" xfId="12358" xr:uid="{00000000-0005-0000-0000-00001A4A0000}"/>
    <cellStyle name="Normal 6 3 2 2 2 2 2 2 4 2" xfId="32073" xr:uid="{00000000-0005-0000-0000-00001B4A0000}"/>
    <cellStyle name="Normal 6 3 2 2 2 2 2 2 5" xfId="22216" xr:uid="{00000000-0005-0000-0000-00001C4A0000}"/>
    <cellStyle name="Normal 6 3 2 2 2 2 2 3" xfId="3726" xr:uid="{00000000-0005-0000-0000-00001D4A0000}"/>
    <cellStyle name="Normal 6 3 2 2 2 2 2 3 2" xfId="8658" xr:uid="{00000000-0005-0000-0000-00001E4A0000}"/>
    <cellStyle name="Normal 6 3 2 2 2 2 2 3 2 2" xfId="18518" xr:uid="{00000000-0005-0000-0000-00001F4A0000}"/>
    <cellStyle name="Normal 6 3 2 2 2 2 2 3 2 2 2" xfId="38233" xr:uid="{00000000-0005-0000-0000-0000204A0000}"/>
    <cellStyle name="Normal 6 3 2 2 2 2 2 3 2 3" xfId="28376" xr:uid="{00000000-0005-0000-0000-0000214A0000}"/>
    <cellStyle name="Normal 6 3 2 2 2 2 2 3 3" xfId="13590" xr:uid="{00000000-0005-0000-0000-0000224A0000}"/>
    <cellStyle name="Normal 6 3 2 2 2 2 2 3 3 2" xfId="33305" xr:uid="{00000000-0005-0000-0000-0000234A0000}"/>
    <cellStyle name="Normal 6 3 2 2 2 2 2 3 4" xfId="23448" xr:uid="{00000000-0005-0000-0000-0000244A0000}"/>
    <cellStyle name="Normal 6 3 2 2 2 2 2 4" xfId="6194" xr:uid="{00000000-0005-0000-0000-0000254A0000}"/>
    <cellStyle name="Normal 6 3 2 2 2 2 2 4 2" xfId="16054" xr:uid="{00000000-0005-0000-0000-0000264A0000}"/>
    <cellStyle name="Normal 6 3 2 2 2 2 2 4 2 2" xfId="35769" xr:uid="{00000000-0005-0000-0000-0000274A0000}"/>
    <cellStyle name="Normal 6 3 2 2 2 2 2 4 3" xfId="25912" xr:uid="{00000000-0005-0000-0000-0000284A0000}"/>
    <cellStyle name="Normal 6 3 2 2 2 2 2 5" xfId="11126" xr:uid="{00000000-0005-0000-0000-0000294A0000}"/>
    <cellStyle name="Normal 6 3 2 2 2 2 2 5 2" xfId="30841" xr:uid="{00000000-0005-0000-0000-00002A4A0000}"/>
    <cellStyle name="Normal 6 3 2 2 2 2 2 6" xfId="20984" xr:uid="{00000000-0005-0000-0000-00002B4A0000}"/>
    <cellStyle name="Normal 6 3 2 2 2 2 3" xfId="1875" xr:uid="{00000000-0005-0000-0000-00002C4A0000}"/>
    <cellStyle name="Normal 6 3 2 2 2 2 3 2" xfId="4342" xr:uid="{00000000-0005-0000-0000-00002D4A0000}"/>
    <cellStyle name="Normal 6 3 2 2 2 2 3 2 2" xfId="9274" xr:uid="{00000000-0005-0000-0000-00002E4A0000}"/>
    <cellStyle name="Normal 6 3 2 2 2 2 3 2 2 2" xfId="19134" xr:uid="{00000000-0005-0000-0000-00002F4A0000}"/>
    <cellStyle name="Normal 6 3 2 2 2 2 3 2 2 2 2" xfId="38849" xr:uid="{00000000-0005-0000-0000-0000304A0000}"/>
    <cellStyle name="Normal 6 3 2 2 2 2 3 2 2 3" xfId="28992" xr:uid="{00000000-0005-0000-0000-0000314A0000}"/>
    <cellStyle name="Normal 6 3 2 2 2 2 3 2 3" xfId="14206" xr:uid="{00000000-0005-0000-0000-0000324A0000}"/>
    <cellStyle name="Normal 6 3 2 2 2 2 3 2 3 2" xfId="33921" xr:uid="{00000000-0005-0000-0000-0000334A0000}"/>
    <cellStyle name="Normal 6 3 2 2 2 2 3 2 4" xfId="24064" xr:uid="{00000000-0005-0000-0000-0000344A0000}"/>
    <cellStyle name="Normal 6 3 2 2 2 2 3 3" xfId="6810" xr:uid="{00000000-0005-0000-0000-0000354A0000}"/>
    <cellStyle name="Normal 6 3 2 2 2 2 3 3 2" xfId="16670" xr:uid="{00000000-0005-0000-0000-0000364A0000}"/>
    <cellStyle name="Normal 6 3 2 2 2 2 3 3 2 2" xfId="36385" xr:uid="{00000000-0005-0000-0000-0000374A0000}"/>
    <cellStyle name="Normal 6 3 2 2 2 2 3 3 3" xfId="26528" xr:uid="{00000000-0005-0000-0000-0000384A0000}"/>
    <cellStyle name="Normal 6 3 2 2 2 2 3 4" xfId="11742" xr:uid="{00000000-0005-0000-0000-0000394A0000}"/>
    <cellStyle name="Normal 6 3 2 2 2 2 3 4 2" xfId="31457" xr:uid="{00000000-0005-0000-0000-00003A4A0000}"/>
    <cellStyle name="Normal 6 3 2 2 2 2 3 5" xfId="21600" xr:uid="{00000000-0005-0000-0000-00003B4A0000}"/>
    <cellStyle name="Normal 6 3 2 2 2 2 4" xfId="3110" xr:uid="{00000000-0005-0000-0000-00003C4A0000}"/>
    <cellStyle name="Normal 6 3 2 2 2 2 4 2" xfId="8042" xr:uid="{00000000-0005-0000-0000-00003D4A0000}"/>
    <cellStyle name="Normal 6 3 2 2 2 2 4 2 2" xfId="17902" xr:uid="{00000000-0005-0000-0000-00003E4A0000}"/>
    <cellStyle name="Normal 6 3 2 2 2 2 4 2 2 2" xfId="37617" xr:uid="{00000000-0005-0000-0000-00003F4A0000}"/>
    <cellStyle name="Normal 6 3 2 2 2 2 4 2 3" xfId="27760" xr:uid="{00000000-0005-0000-0000-0000404A0000}"/>
    <cellStyle name="Normal 6 3 2 2 2 2 4 3" xfId="12974" xr:uid="{00000000-0005-0000-0000-0000414A0000}"/>
    <cellStyle name="Normal 6 3 2 2 2 2 4 3 2" xfId="32689" xr:uid="{00000000-0005-0000-0000-0000424A0000}"/>
    <cellStyle name="Normal 6 3 2 2 2 2 4 4" xfId="22832" xr:uid="{00000000-0005-0000-0000-0000434A0000}"/>
    <cellStyle name="Normal 6 3 2 2 2 2 5" xfId="5578" xr:uid="{00000000-0005-0000-0000-0000444A0000}"/>
    <cellStyle name="Normal 6 3 2 2 2 2 5 2" xfId="15438" xr:uid="{00000000-0005-0000-0000-0000454A0000}"/>
    <cellStyle name="Normal 6 3 2 2 2 2 5 2 2" xfId="35153" xr:uid="{00000000-0005-0000-0000-0000464A0000}"/>
    <cellStyle name="Normal 6 3 2 2 2 2 5 3" xfId="25296" xr:uid="{00000000-0005-0000-0000-0000474A0000}"/>
    <cellStyle name="Normal 6 3 2 2 2 2 6" xfId="10510" xr:uid="{00000000-0005-0000-0000-0000484A0000}"/>
    <cellStyle name="Normal 6 3 2 2 2 2 6 2" xfId="30225" xr:uid="{00000000-0005-0000-0000-0000494A0000}"/>
    <cellStyle name="Normal 6 3 2 2 2 2 7" xfId="20368" xr:uid="{00000000-0005-0000-0000-00004A4A0000}"/>
    <cellStyle name="Normal 6 3 2 2 2 3" xfId="949" xr:uid="{00000000-0005-0000-0000-00004B4A0000}"/>
    <cellStyle name="Normal 6 3 2 2 2 3 2" xfId="2185" xr:uid="{00000000-0005-0000-0000-00004C4A0000}"/>
    <cellStyle name="Normal 6 3 2 2 2 3 2 2" xfId="4652" xr:uid="{00000000-0005-0000-0000-00004D4A0000}"/>
    <cellStyle name="Normal 6 3 2 2 2 3 2 2 2" xfId="9584" xr:uid="{00000000-0005-0000-0000-00004E4A0000}"/>
    <cellStyle name="Normal 6 3 2 2 2 3 2 2 2 2" xfId="19444" xr:uid="{00000000-0005-0000-0000-00004F4A0000}"/>
    <cellStyle name="Normal 6 3 2 2 2 3 2 2 2 2 2" xfId="39159" xr:uid="{00000000-0005-0000-0000-0000504A0000}"/>
    <cellStyle name="Normal 6 3 2 2 2 3 2 2 2 3" xfId="29302" xr:uid="{00000000-0005-0000-0000-0000514A0000}"/>
    <cellStyle name="Normal 6 3 2 2 2 3 2 2 3" xfId="14516" xr:uid="{00000000-0005-0000-0000-0000524A0000}"/>
    <cellStyle name="Normal 6 3 2 2 2 3 2 2 3 2" xfId="34231" xr:uid="{00000000-0005-0000-0000-0000534A0000}"/>
    <cellStyle name="Normal 6 3 2 2 2 3 2 2 4" xfId="24374" xr:uid="{00000000-0005-0000-0000-0000544A0000}"/>
    <cellStyle name="Normal 6 3 2 2 2 3 2 3" xfId="7120" xr:uid="{00000000-0005-0000-0000-0000554A0000}"/>
    <cellStyle name="Normal 6 3 2 2 2 3 2 3 2" xfId="16980" xr:uid="{00000000-0005-0000-0000-0000564A0000}"/>
    <cellStyle name="Normal 6 3 2 2 2 3 2 3 2 2" xfId="36695" xr:uid="{00000000-0005-0000-0000-0000574A0000}"/>
    <cellStyle name="Normal 6 3 2 2 2 3 2 3 3" xfId="26838" xr:uid="{00000000-0005-0000-0000-0000584A0000}"/>
    <cellStyle name="Normal 6 3 2 2 2 3 2 4" xfId="12052" xr:uid="{00000000-0005-0000-0000-0000594A0000}"/>
    <cellStyle name="Normal 6 3 2 2 2 3 2 4 2" xfId="31767" xr:uid="{00000000-0005-0000-0000-00005A4A0000}"/>
    <cellStyle name="Normal 6 3 2 2 2 3 2 5" xfId="21910" xr:uid="{00000000-0005-0000-0000-00005B4A0000}"/>
    <cellStyle name="Normal 6 3 2 2 2 3 3" xfId="3420" xr:uid="{00000000-0005-0000-0000-00005C4A0000}"/>
    <cellStyle name="Normal 6 3 2 2 2 3 3 2" xfId="8352" xr:uid="{00000000-0005-0000-0000-00005D4A0000}"/>
    <cellStyle name="Normal 6 3 2 2 2 3 3 2 2" xfId="18212" xr:uid="{00000000-0005-0000-0000-00005E4A0000}"/>
    <cellStyle name="Normal 6 3 2 2 2 3 3 2 2 2" xfId="37927" xr:uid="{00000000-0005-0000-0000-00005F4A0000}"/>
    <cellStyle name="Normal 6 3 2 2 2 3 3 2 3" xfId="28070" xr:uid="{00000000-0005-0000-0000-0000604A0000}"/>
    <cellStyle name="Normal 6 3 2 2 2 3 3 3" xfId="13284" xr:uid="{00000000-0005-0000-0000-0000614A0000}"/>
    <cellStyle name="Normal 6 3 2 2 2 3 3 3 2" xfId="32999" xr:uid="{00000000-0005-0000-0000-0000624A0000}"/>
    <cellStyle name="Normal 6 3 2 2 2 3 3 4" xfId="23142" xr:uid="{00000000-0005-0000-0000-0000634A0000}"/>
    <cellStyle name="Normal 6 3 2 2 2 3 4" xfId="5888" xr:uid="{00000000-0005-0000-0000-0000644A0000}"/>
    <cellStyle name="Normal 6 3 2 2 2 3 4 2" xfId="15748" xr:uid="{00000000-0005-0000-0000-0000654A0000}"/>
    <cellStyle name="Normal 6 3 2 2 2 3 4 2 2" xfId="35463" xr:uid="{00000000-0005-0000-0000-0000664A0000}"/>
    <cellStyle name="Normal 6 3 2 2 2 3 4 3" xfId="25606" xr:uid="{00000000-0005-0000-0000-0000674A0000}"/>
    <cellStyle name="Normal 6 3 2 2 2 3 5" xfId="10820" xr:uid="{00000000-0005-0000-0000-0000684A0000}"/>
    <cellStyle name="Normal 6 3 2 2 2 3 5 2" xfId="30535" xr:uid="{00000000-0005-0000-0000-0000694A0000}"/>
    <cellStyle name="Normal 6 3 2 2 2 3 6" xfId="20678" xr:uid="{00000000-0005-0000-0000-00006A4A0000}"/>
    <cellStyle name="Normal 6 3 2 2 2 4" xfId="1569" xr:uid="{00000000-0005-0000-0000-00006B4A0000}"/>
    <cellStyle name="Normal 6 3 2 2 2 4 2" xfId="4036" xr:uid="{00000000-0005-0000-0000-00006C4A0000}"/>
    <cellStyle name="Normal 6 3 2 2 2 4 2 2" xfId="8968" xr:uid="{00000000-0005-0000-0000-00006D4A0000}"/>
    <cellStyle name="Normal 6 3 2 2 2 4 2 2 2" xfId="18828" xr:uid="{00000000-0005-0000-0000-00006E4A0000}"/>
    <cellStyle name="Normal 6 3 2 2 2 4 2 2 2 2" xfId="38543" xr:uid="{00000000-0005-0000-0000-00006F4A0000}"/>
    <cellStyle name="Normal 6 3 2 2 2 4 2 2 3" xfId="28686" xr:uid="{00000000-0005-0000-0000-0000704A0000}"/>
    <cellStyle name="Normal 6 3 2 2 2 4 2 3" xfId="13900" xr:uid="{00000000-0005-0000-0000-0000714A0000}"/>
    <cellStyle name="Normal 6 3 2 2 2 4 2 3 2" xfId="33615" xr:uid="{00000000-0005-0000-0000-0000724A0000}"/>
    <cellStyle name="Normal 6 3 2 2 2 4 2 4" xfId="23758" xr:uid="{00000000-0005-0000-0000-0000734A0000}"/>
    <cellStyle name="Normal 6 3 2 2 2 4 3" xfId="6504" xr:uid="{00000000-0005-0000-0000-0000744A0000}"/>
    <cellStyle name="Normal 6 3 2 2 2 4 3 2" xfId="16364" xr:uid="{00000000-0005-0000-0000-0000754A0000}"/>
    <cellStyle name="Normal 6 3 2 2 2 4 3 2 2" xfId="36079" xr:uid="{00000000-0005-0000-0000-0000764A0000}"/>
    <cellStyle name="Normal 6 3 2 2 2 4 3 3" xfId="26222" xr:uid="{00000000-0005-0000-0000-0000774A0000}"/>
    <cellStyle name="Normal 6 3 2 2 2 4 4" xfId="11436" xr:uid="{00000000-0005-0000-0000-0000784A0000}"/>
    <cellStyle name="Normal 6 3 2 2 2 4 4 2" xfId="31151" xr:uid="{00000000-0005-0000-0000-0000794A0000}"/>
    <cellStyle name="Normal 6 3 2 2 2 4 5" xfId="21294" xr:uid="{00000000-0005-0000-0000-00007A4A0000}"/>
    <cellStyle name="Normal 6 3 2 2 2 5" xfId="2804" xr:uid="{00000000-0005-0000-0000-00007B4A0000}"/>
    <cellStyle name="Normal 6 3 2 2 2 5 2" xfId="7736" xr:uid="{00000000-0005-0000-0000-00007C4A0000}"/>
    <cellStyle name="Normal 6 3 2 2 2 5 2 2" xfId="17596" xr:uid="{00000000-0005-0000-0000-00007D4A0000}"/>
    <cellStyle name="Normal 6 3 2 2 2 5 2 2 2" xfId="37311" xr:uid="{00000000-0005-0000-0000-00007E4A0000}"/>
    <cellStyle name="Normal 6 3 2 2 2 5 2 3" xfId="27454" xr:uid="{00000000-0005-0000-0000-00007F4A0000}"/>
    <cellStyle name="Normal 6 3 2 2 2 5 3" xfId="12668" xr:uid="{00000000-0005-0000-0000-0000804A0000}"/>
    <cellStyle name="Normal 6 3 2 2 2 5 3 2" xfId="32383" xr:uid="{00000000-0005-0000-0000-0000814A0000}"/>
    <cellStyle name="Normal 6 3 2 2 2 5 4" xfId="22526" xr:uid="{00000000-0005-0000-0000-0000824A0000}"/>
    <cellStyle name="Normal 6 3 2 2 2 6" xfId="5272" xr:uid="{00000000-0005-0000-0000-0000834A0000}"/>
    <cellStyle name="Normal 6 3 2 2 2 6 2" xfId="15132" xr:uid="{00000000-0005-0000-0000-0000844A0000}"/>
    <cellStyle name="Normal 6 3 2 2 2 6 2 2" xfId="34847" xr:uid="{00000000-0005-0000-0000-0000854A0000}"/>
    <cellStyle name="Normal 6 3 2 2 2 6 3" xfId="24990" xr:uid="{00000000-0005-0000-0000-0000864A0000}"/>
    <cellStyle name="Normal 6 3 2 2 2 7" xfId="10204" xr:uid="{00000000-0005-0000-0000-0000874A0000}"/>
    <cellStyle name="Normal 6 3 2 2 2 7 2" xfId="29919" xr:uid="{00000000-0005-0000-0000-0000884A0000}"/>
    <cellStyle name="Normal 6 3 2 2 2 8" xfId="20062" xr:uid="{00000000-0005-0000-0000-0000894A0000}"/>
    <cellStyle name="Normal 6 3 2 2 3" xfId="484" xr:uid="{00000000-0005-0000-0000-00008A4A0000}"/>
    <cellStyle name="Normal 6 3 2 2 3 2" xfId="1104" xr:uid="{00000000-0005-0000-0000-00008B4A0000}"/>
    <cellStyle name="Normal 6 3 2 2 3 2 2" xfId="2339" xr:uid="{00000000-0005-0000-0000-00008C4A0000}"/>
    <cellStyle name="Normal 6 3 2 2 3 2 2 2" xfId="4806" xr:uid="{00000000-0005-0000-0000-00008D4A0000}"/>
    <cellStyle name="Normal 6 3 2 2 3 2 2 2 2" xfId="9738" xr:uid="{00000000-0005-0000-0000-00008E4A0000}"/>
    <cellStyle name="Normal 6 3 2 2 3 2 2 2 2 2" xfId="19598" xr:uid="{00000000-0005-0000-0000-00008F4A0000}"/>
    <cellStyle name="Normal 6 3 2 2 3 2 2 2 2 2 2" xfId="39313" xr:uid="{00000000-0005-0000-0000-0000904A0000}"/>
    <cellStyle name="Normal 6 3 2 2 3 2 2 2 2 3" xfId="29456" xr:uid="{00000000-0005-0000-0000-0000914A0000}"/>
    <cellStyle name="Normal 6 3 2 2 3 2 2 2 3" xfId="14670" xr:uid="{00000000-0005-0000-0000-0000924A0000}"/>
    <cellStyle name="Normal 6 3 2 2 3 2 2 2 3 2" xfId="34385" xr:uid="{00000000-0005-0000-0000-0000934A0000}"/>
    <cellStyle name="Normal 6 3 2 2 3 2 2 2 4" xfId="24528" xr:uid="{00000000-0005-0000-0000-0000944A0000}"/>
    <cellStyle name="Normal 6 3 2 2 3 2 2 3" xfId="7274" xr:uid="{00000000-0005-0000-0000-0000954A0000}"/>
    <cellStyle name="Normal 6 3 2 2 3 2 2 3 2" xfId="17134" xr:uid="{00000000-0005-0000-0000-0000964A0000}"/>
    <cellStyle name="Normal 6 3 2 2 3 2 2 3 2 2" xfId="36849" xr:uid="{00000000-0005-0000-0000-0000974A0000}"/>
    <cellStyle name="Normal 6 3 2 2 3 2 2 3 3" xfId="26992" xr:uid="{00000000-0005-0000-0000-0000984A0000}"/>
    <cellStyle name="Normal 6 3 2 2 3 2 2 4" xfId="12206" xr:uid="{00000000-0005-0000-0000-0000994A0000}"/>
    <cellStyle name="Normal 6 3 2 2 3 2 2 4 2" xfId="31921" xr:uid="{00000000-0005-0000-0000-00009A4A0000}"/>
    <cellStyle name="Normal 6 3 2 2 3 2 2 5" xfId="22064" xr:uid="{00000000-0005-0000-0000-00009B4A0000}"/>
    <cellStyle name="Normal 6 3 2 2 3 2 3" xfId="3574" xr:uid="{00000000-0005-0000-0000-00009C4A0000}"/>
    <cellStyle name="Normal 6 3 2 2 3 2 3 2" xfId="8506" xr:uid="{00000000-0005-0000-0000-00009D4A0000}"/>
    <cellStyle name="Normal 6 3 2 2 3 2 3 2 2" xfId="18366" xr:uid="{00000000-0005-0000-0000-00009E4A0000}"/>
    <cellStyle name="Normal 6 3 2 2 3 2 3 2 2 2" xfId="38081" xr:uid="{00000000-0005-0000-0000-00009F4A0000}"/>
    <cellStyle name="Normal 6 3 2 2 3 2 3 2 3" xfId="28224" xr:uid="{00000000-0005-0000-0000-0000A04A0000}"/>
    <cellStyle name="Normal 6 3 2 2 3 2 3 3" xfId="13438" xr:uid="{00000000-0005-0000-0000-0000A14A0000}"/>
    <cellStyle name="Normal 6 3 2 2 3 2 3 3 2" xfId="33153" xr:uid="{00000000-0005-0000-0000-0000A24A0000}"/>
    <cellStyle name="Normal 6 3 2 2 3 2 3 4" xfId="23296" xr:uid="{00000000-0005-0000-0000-0000A34A0000}"/>
    <cellStyle name="Normal 6 3 2 2 3 2 4" xfId="6042" xr:uid="{00000000-0005-0000-0000-0000A44A0000}"/>
    <cellStyle name="Normal 6 3 2 2 3 2 4 2" xfId="15902" xr:uid="{00000000-0005-0000-0000-0000A54A0000}"/>
    <cellStyle name="Normal 6 3 2 2 3 2 4 2 2" xfId="35617" xr:uid="{00000000-0005-0000-0000-0000A64A0000}"/>
    <cellStyle name="Normal 6 3 2 2 3 2 4 3" xfId="25760" xr:uid="{00000000-0005-0000-0000-0000A74A0000}"/>
    <cellStyle name="Normal 6 3 2 2 3 2 5" xfId="10974" xr:uid="{00000000-0005-0000-0000-0000A84A0000}"/>
    <cellStyle name="Normal 6 3 2 2 3 2 5 2" xfId="30689" xr:uid="{00000000-0005-0000-0000-0000A94A0000}"/>
    <cellStyle name="Normal 6 3 2 2 3 2 6" xfId="20832" xr:uid="{00000000-0005-0000-0000-0000AA4A0000}"/>
    <cellStyle name="Normal 6 3 2 2 3 3" xfId="1723" xr:uid="{00000000-0005-0000-0000-0000AB4A0000}"/>
    <cellStyle name="Normal 6 3 2 2 3 3 2" xfId="4190" xr:uid="{00000000-0005-0000-0000-0000AC4A0000}"/>
    <cellStyle name="Normal 6 3 2 2 3 3 2 2" xfId="9122" xr:uid="{00000000-0005-0000-0000-0000AD4A0000}"/>
    <cellStyle name="Normal 6 3 2 2 3 3 2 2 2" xfId="18982" xr:uid="{00000000-0005-0000-0000-0000AE4A0000}"/>
    <cellStyle name="Normal 6 3 2 2 3 3 2 2 2 2" xfId="38697" xr:uid="{00000000-0005-0000-0000-0000AF4A0000}"/>
    <cellStyle name="Normal 6 3 2 2 3 3 2 2 3" xfId="28840" xr:uid="{00000000-0005-0000-0000-0000B04A0000}"/>
    <cellStyle name="Normal 6 3 2 2 3 3 2 3" xfId="14054" xr:uid="{00000000-0005-0000-0000-0000B14A0000}"/>
    <cellStyle name="Normal 6 3 2 2 3 3 2 3 2" xfId="33769" xr:uid="{00000000-0005-0000-0000-0000B24A0000}"/>
    <cellStyle name="Normal 6 3 2 2 3 3 2 4" xfId="23912" xr:uid="{00000000-0005-0000-0000-0000B34A0000}"/>
    <cellStyle name="Normal 6 3 2 2 3 3 3" xfId="6658" xr:uid="{00000000-0005-0000-0000-0000B44A0000}"/>
    <cellStyle name="Normal 6 3 2 2 3 3 3 2" xfId="16518" xr:uid="{00000000-0005-0000-0000-0000B54A0000}"/>
    <cellStyle name="Normal 6 3 2 2 3 3 3 2 2" xfId="36233" xr:uid="{00000000-0005-0000-0000-0000B64A0000}"/>
    <cellStyle name="Normal 6 3 2 2 3 3 3 3" xfId="26376" xr:uid="{00000000-0005-0000-0000-0000B74A0000}"/>
    <cellStyle name="Normal 6 3 2 2 3 3 4" xfId="11590" xr:uid="{00000000-0005-0000-0000-0000B84A0000}"/>
    <cellStyle name="Normal 6 3 2 2 3 3 4 2" xfId="31305" xr:uid="{00000000-0005-0000-0000-0000B94A0000}"/>
    <cellStyle name="Normal 6 3 2 2 3 3 5" xfId="21448" xr:uid="{00000000-0005-0000-0000-0000BA4A0000}"/>
    <cellStyle name="Normal 6 3 2 2 3 4" xfId="2958" xr:uid="{00000000-0005-0000-0000-0000BB4A0000}"/>
    <cellStyle name="Normal 6 3 2 2 3 4 2" xfId="7890" xr:uid="{00000000-0005-0000-0000-0000BC4A0000}"/>
    <cellStyle name="Normal 6 3 2 2 3 4 2 2" xfId="17750" xr:uid="{00000000-0005-0000-0000-0000BD4A0000}"/>
    <cellStyle name="Normal 6 3 2 2 3 4 2 2 2" xfId="37465" xr:uid="{00000000-0005-0000-0000-0000BE4A0000}"/>
    <cellStyle name="Normal 6 3 2 2 3 4 2 3" xfId="27608" xr:uid="{00000000-0005-0000-0000-0000BF4A0000}"/>
    <cellStyle name="Normal 6 3 2 2 3 4 3" xfId="12822" xr:uid="{00000000-0005-0000-0000-0000C04A0000}"/>
    <cellStyle name="Normal 6 3 2 2 3 4 3 2" xfId="32537" xr:uid="{00000000-0005-0000-0000-0000C14A0000}"/>
    <cellStyle name="Normal 6 3 2 2 3 4 4" xfId="22680" xr:uid="{00000000-0005-0000-0000-0000C24A0000}"/>
    <cellStyle name="Normal 6 3 2 2 3 5" xfId="5426" xr:uid="{00000000-0005-0000-0000-0000C34A0000}"/>
    <cellStyle name="Normal 6 3 2 2 3 5 2" xfId="15286" xr:uid="{00000000-0005-0000-0000-0000C44A0000}"/>
    <cellStyle name="Normal 6 3 2 2 3 5 2 2" xfId="35001" xr:uid="{00000000-0005-0000-0000-0000C54A0000}"/>
    <cellStyle name="Normal 6 3 2 2 3 5 3" xfId="25144" xr:uid="{00000000-0005-0000-0000-0000C64A0000}"/>
    <cellStyle name="Normal 6 3 2 2 3 6" xfId="10358" xr:uid="{00000000-0005-0000-0000-0000C74A0000}"/>
    <cellStyle name="Normal 6 3 2 2 3 6 2" xfId="30073" xr:uid="{00000000-0005-0000-0000-0000C84A0000}"/>
    <cellStyle name="Normal 6 3 2 2 3 7" xfId="20216" xr:uid="{00000000-0005-0000-0000-0000C94A0000}"/>
    <cellStyle name="Normal 6 3 2 2 4" xfId="797" xr:uid="{00000000-0005-0000-0000-0000CA4A0000}"/>
    <cellStyle name="Normal 6 3 2 2 4 2" xfId="2033" xr:uid="{00000000-0005-0000-0000-0000CB4A0000}"/>
    <cellStyle name="Normal 6 3 2 2 4 2 2" xfId="4500" xr:uid="{00000000-0005-0000-0000-0000CC4A0000}"/>
    <cellStyle name="Normal 6 3 2 2 4 2 2 2" xfId="9432" xr:uid="{00000000-0005-0000-0000-0000CD4A0000}"/>
    <cellStyle name="Normal 6 3 2 2 4 2 2 2 2" xfId="19292" xr:uid="{00000000-0005-0000-0000-0000CE4A0000}"/>
    <cellStyle name="Normal 6 3 2 2 4 2 2 2 2 2" xfId="39007" xr:uid="{00000000-0005-0000-0000-0000CF4A0000}"/>
    <cellStyle name="Normal 6 3 2 2 4 2 2 2 3" xfId="29150" xr:uid="{00000000-0005-0000-0000-0000D04A0000}"/>
    <cellStyle name="Normal 6 3 2 2 4 2 2 3" xfId="14364" xr:uid="{00000000-0005-0000-0000-0000D14A0000}"/>
    <cellStyle name="Normal 6 3 2 2 4 2 2 3 2" xfId="34079" xr:uid="{00000000-0005-0000-0000-0000D24A0000}"/>
    <cellStyle name="Normal 6 3 2 2 4 2 2 4" xfId="24222" xr:uid="{00000000-0005-0000-0000-0000D34A0000}"/>
    <cellStyle name="Normal 6 3 2 2 4 2 3" xfId="6968" xr:uid="{00000000-0005-0000-0000-0000D44A0000}"/>
    <cellStyle name="Normal 6 3 2 2 4 2 3 2" xfId="16828" xr:uid="{00000000-0005-0000-0000-0000D54A0000}"/>
    <cellStyle name="Normal 6 3 2 2 4 2 3 2 2" xfId="36543" xr:uid="{00000000-0005-0000-0000-0000D64A0000}"/>
    <cellStyle name="Normal 6 3 2 2 4 2 3 3" xfId="26686" xr:uid="{00000000-0005-0000-0000-0000D74A0000}"/>
    <cellStyle name="Normal 6 3 2 2 4 2 4" xfId="11900" xr:uid="{00000000-0005-0000-0000-0000D84A0000}"/>
    <cellStyle name="Normal 6 3 2 2 4 2 4 2" xfId="31615" xr:uid="{00000000-0005-0000-0000-0000D94A0000}"/>
    <cellStyle name="Normal 6 3 2 2 4 2 5" xfId="21758" xr:uid="{00000000-0005-0000-0000-0000DA4A0000}"/>
    <cellStyle name="Normal 6 3 2 2 4 3" xfId="3268" xr:uid="{00000000-0005-0000-0000-0000DB4A0000}"/>
    <cellStyle name="Normal 6 3 2 2 4 3 2" xfId="8200" xr:uid="{00000000-0005-0000-0000-0000DC4A0000}"/>
    <cellStyle name="Normal 6 3 2 2 4 3 2 2" xfId="18060" xr:uid="{00000000-0005-0000-0000-0000DD4A0000}"/>
    <cellStyle name="Normal 6 3 2 2 4 3 2 2 2" xfId="37775" xr:uid="{00000000-0005-0000-0000-0000DE4A0000}"/>
    <cellStyle name="Normal 6 3 2 2 4 3 2 3" xfId="27918" xr:uid="{00000000-0005-0000-0000-0000DF4A0000}"/>
    <cellStyle name="Normal 6 3 2 2 4 3 3" xfId="13132" xr:uid="{00000000-0005-0000-0000-0000E04A0000}"/>
    <cellStyle name="Normal 6 3 2 2 4 3 3 2" xfId="32847" xr:uid="{00000000-0005-0000-0000-0000E14A0000}"/>
    <cellStyle name="Normal 6 3 2 2 4 3 4" xfId="22990" xr:uid="{00000000-0005-0000-0000-0000E24A0000}"/>
    <cellStyle name="Normal 6 3 2 2 4 4" xfId="5736" xr:uid="{00000000-0005-0000-0000-0000E34A0000}"/>
    <cellStyle name="Normal 6 3 2 2 4 4 2" xfId="15596" xr:uid="{00000000-0005-0000-0000-0000E44A0000}"/>
    <cellStyle name="Normal 6 3 2 2 4 4 2 2" xfId="35311" xr:uid="{00000000-0005-0000-0000-0000E54A0000}"/>
    <cellStyle name="Normal 6 3 2 2 4 4 3" xfId="25454" xr:uid="{00000000-0005-0000-0000-0000E64A0000}"/>
    <cellStyle name="Normal 6 3 2 2 4 5" xfId="10668" xr:uid="{00000000-0005-0000-0000-0000E74A0000}"/>
    <cellStyle name="Normal 6 3 2 2 4 5 2" xfId="30383" xr:uid="{00000000-0005-0000-0000-0000E84A0000}"/>
    <cellStyle name="Normal 6 3 2 2 4 6" xfId="20526" xr:uid="{00000000-0005-0000-0000-0000E94A0000}"/>
    <cellStyle name="Normal 6 3 2 2 5" xfId="1417" xr:uid="{00000000-0005-0000-0000-0000EA4A0000}"/>
    <cellStyle name="Normal 6 3 2 2 5 2" xfId="3884" xr:uid="{00000000-0005-0000-0000-0000EB4A0000}"/>
    <cellStyle name="Normal 6 3 2 2 5 2 2" xfId="8816" xr:uid="{00000000-0005-0000-0000-0000EC4A0000}"/>
    <cellStyle name="Normal 6 3 2 2 5 2 2 2" xfId="18676" xr:uid="{00000000-0005-0000-0000-0000ED4A0000}"/>
    <cellStyle name="Normal 6 3 2 2 5 2 2 2 2" xfId="38391" xr:uid="{00000000-0005-0000-0000-0000EE4A0000}"/>
    <cellStyle name="Normal 6 3 2 2 5 2 2 3" xfId="28534" xr:uid="{00000000-0005-0000-0000-0000EF4A0000}"/>
    <cellStyle name="Normal 6 3 2 2 5 2 3" xfId="13748" xr:uid="{00000000-0005-0000-0000-0000F04A0000}"/>
    <cellStyle name="Normal 6 3 2 2 5 2 3 2" xfId="33463" xr:uid="{00000000-0005-0000-0000-0000F14A0000}"/>
    <cellStyle name="Normal 6 3 2 2 5 2 4" xfId="23606" xr:uid="{00000000-0005-0000-0000-0000F24A0000}"/>
    <cellStyle name="Normal 6 3 2 2 5 3" xfId="6352" xr:uid="{00000000-0005-0000-0000-0000F34A0000}"/>
    <cellStyle name="Normal 6 3 2 2 5 3 2" xfId="16212" xr:uid="{00000000-0005-0000-0000-0000F44A0000}"/>
    <cellStyle name="Normal 6 3 2 2 5 3 2 2" xfId="35927" xr:uid="{00000000-0005-0000-0000-0000F54A0000}"/>
    <cellStyle name="Normal 6 3 2 2 5 3 3" xfId="26070" xr:uid="{00000000-0005-0000-0000-0000F64A0000}"/>
    <cellStyle name="Normal 6 3 2 2 5 4" xfId="11284" xr:uid="{00000000-0005-0000-0000-0000F74A0000}"/>
    <cellStyle name="Normal 6 3 2 2 5 4 2" xfId="30999" xr:uid="{00000000-0005-0000-0000-0000F84A0000}"/>
    <cellStyle name="Normal 6 3 2 2 5 5" xfId="21142" xr:uid="{00000000-0005-0000-0000-0000F94A0000}"/>
    <cellStyle name="Normal 6 3 2 2 6" xfId="2652" xr:uid="{00000000-0005-0000-0000-0000FA4A0000}"/>
    <cellStyle name="Normal 6 3 2 2 6 2" xfId="7584" xr:uid="{00000000-0005-0000-0000-0000FB4A0000}"/>
    <cellStyle name="Normal 6 3 2 2 6 2 2" xfId="17444" xr:uid="{00000000-0005-0000-0000-0000FC4A0000}"/>
    <cellStyle name="Normal 6 3 2 2 6 2 2 2" xfId="37159" xr:uid="{00000000-0005-0000-0000-0000FD4A0000}"/>
    <cellStyle name="Normal 6 3 2 2 6 2 3" xfId="27302" xr:uid="{00000000-0005-0000-0000-0000FE4A0000}"/>
    <cellStyle name="Normal 6 3 2 2 6 3" xfId="12516" xr:uid="{00000000-0005-0000-0000-0000FF4A0000}"/>
    <cellStyle name="Normal 6 3 2 2 6 3 2" xfId="32231" xr:uid="{00000000-0005-0000-0000-0000004B0000}"/>
    <cellStyle name="Normal 6 3 2 2 6 4" xfId="22374" xr:uid="{00000000-0005-0000-0000-0000014B0000}"/>
    <cellStyle name="Normal 6 3 2 2 7" xfId="5120" xr:uid="{00000000-0005-0000-0000-0000024B0000}"/>
    <cellStyle name="Normal 6 3 2 2 7 2" xfId="14980" xr:uid="{00000000-0005-0000-0000-0000034B0000}"/>
    <cellStyle name="Normal 6 3 2 2 7 2 2" xfId="34695" xr:uid="{00000000-0005-0000-0000-0000044B0000}"/>
    <cellStyle name="Normal 6 3 2 2 7 3" xfId="24838" xr:uid="{00000000-0005-0000-0000-0000054B0000}"/>
    <cellStyle name="Normal 6 3 2 2 8" xfId="10052" xr:uid="{00000000-0005-0000-0000-0000064B0000}"/>
    <cellStyle name="Normal 6 3 2 2 8 2" xfId="29767" xr:uid="{00000000-0005-0000-0000-0000074B0000}"/>
    <cellStyle name="Normal 6 3 2 2 9" xfId="19910" xr:uid="{00000000-0005-0000-0000-0000084B0000}"/>
    <cellStyle name="Normal 6 3 2 3" xfId="246" xr:uid="{00000000-0005-0000-0000-0000094B0000}"/>
    <cellStyle name="Normal 6 3 2 3 2" xfId="560" xr:uid="{00000000-0005-0000-0000-00000A4B0000}"/>
    <cellStyle name="Normal 6 3 2 3 2 2" xfId="1180" xr:uid="{00000000-0005-0000-0000-00000B4B0000}"/>
    <cellStyle name="Normal 6 3 2 3 2 2 2" xfId="2415" xr:uid="{00000000-0005-0000-0000-00000C4B0000}"/>
    <cellStyle name="Normal 6 3 2 3 2 2 2 2" xfId="4882" xr:uid="{00000000-0005-0000-0000-00000D4B0000}"/>
    <cellStyle name="Normal 6 3 2 3 2 2 2 2 2" xfId="9814" xr:uid="{00000000-0005-0000-0000-00000E4B0000}"/>
    <cellStyle name="Normal 6 3 2 3 2 2 2 2 2 2" xfId="19674" xr:uid="{00000000-0005-0000-0000-00000F4B0000}"/>
    <cellStyle name="Normal 6 3 2 3 2 2 2 2 2 2 2" xfId="39389" xr:uid="{00000000-0005-0000-0000-0000104B0000}"/>
    <cellStyle name="Normal 6 3 2 3 2 2 2 2 2 3" xfId="29532" xr:uid="{00000000-0005-0000-0000-0000114B0000}"/>
    <cellStyle name="Normal 6 3 2 3 2 2 2 2 3" xfId="14746" xr:uid="{00000000-0005-0000-0000-0000124B0000}"/>
    <cellStyle name="Normal 6 3 2 3 2 2 2 2 3 2" xfId="34461" xr:uid="{00000000-0005-0000-0000-0000134B0000}"/>
    <cellStyle name="Normal 6 3 2 3 2 2 2 2 4" xfId="24604" xr:uid="{00000000-0005-0000-0000-0000144B0000}"/>
    <cellStyle name="Normal 6 3 2 3 2 2 2 3" xfId="7350" xr:uid="{00000000-0005-0000-0000-0000154B0000}"/>
    <cellStyle name="Normal 6 3 2 3 2 2 2 3 2" xfId="17210" xr:uid="{00000000-0005-0000-0000-0000164B0000}"/>
    <cellStyle name="Normal 6 3 2 3 2 2 2 3 2 2" xfId="36925" xr:uid="{00000000-0005-0000-0000-0000174B0000}"/>
    <cellStyle name="Normal 6 3 2 3 2 2 2 3 3" xfId="27068" xr:uid="{00000000-0005-0000-0000-0000184B0000}"/>
    <cellStyle name="Normal 6 3 2 3 2 2 2 4" xfId="12282" xr:uid="{00000000-0005-0000-0000-0000194B0000}"/>
    <cellStyle name="Normal 6 3 2 3 2 2 2 4 2" xfId="31997" xr:uid="{00000000-0005-0000-0000-00001A4B0000}"/>
    <cellStyle name="Normal 6 3 2 3 2 2 2 5" xfId="22140" xr:uid="{00000000-0005-0000-0000-00001B4B0000}"/>
    <cellStyle name="Normal 6 3 2 3 2 2 3" xfId="3650" xr:uid="{00000000-0005-0000-0000-00001C4B0000}"/>
    <cellStyle name="Normal 6 3 2 3 2 2 3 2" xfId="8582" xr:uid="{00000000-0005-0000-0000-00001D4B0000}"/>
    <cellStyle name="Normal 6 3 2 3 2 2 3 2 2" xfId="18442" xr:uid="{00000000-0005-0000-0000-00001E4B0000}"/>
    <cellStyle name="Normal 6 3 2 3 2 2 3 2 2 2" xfId="38157" xr:uid="{00000000-0005-0000-0000-00001F4B0000}"/>
    <cellStyle name="Normal 6 3 2 3 2 2 3 2 3" xfId="28300" xr:uid="{00000000-0005-0000-0000-0000204B0000}"/>
    <cellStyle name="Normal 6 3 2 3 2 2 3 3" xfId="13514" xr:uid="{00000000-0005-0000-0000-0000214B0000}"/>
    <cellStyle name="Normal 6 3 2 3 2 2 3 3 2" xfId="33229" xr:uid="{00000000-0005-0000-0000-0000224B0000}"/>
    <cellStyle name="Normal 6 3 2 3 2 2 3 4" xfId="23372" xr:uid="{00000000-0005-0000-0000-0000234B0000}"/>
    <cellStyle name="Normal 6 3 2 3 2 2 4" xfId="6118" xr:uid="{00000000-0005-0000-0000-0000244B0000}"/>
    <cellStyle name="Normal 6 3 2 3 2 2 4 2" xfId="15978" xr:uid="{00000000-0005-0000-0000-0000254B0000}"/>
    <cellStyle name="Normal 6 3 2 3 2 2 4 2 2" xfId="35693" xr:uid="{00000000-0005-0000-0000-0000264B0000}"/>
    <cellStyle name="Normal 6 3 2 3 2 2 4 3" xfId="25836" xr:uid="{00000000-0005-0000-0000-0000274B0000}"/>
    <cellStyle name="Normal 6 3 2 3 2 2 5" xfId="11050" xr:uid="{00000000-0005-0000-0000-0000284B0000}"/>
    <cellStyle name="Normal 6 3 2 3 2 2 5 2" xfId="30765" xr:uid="{00000000-0005-0000-0000-0000294B0000}"/>
    <cellStyle name="Normal 6 3 2 3 2 2 6" xfId="20908" xr:uid="{00000000-0005-0000-0000-00002A4B0000}"/>
    <cellStyle name="Normal 6 3 2 3 2 3" xfId="1799" xr:uid="{00000000-0005-0000-0000-00002B4B0000}"/>
    <cellStyle name="Normal 6 3 2 3 2 3 2" xfId="4266" xr:uid="{00000000-0005-0000-0000-00002C4B0000}"/>
    <cellStyle name="Normal 6 3 2 3 2 3 2 2" xfId="9198" xr:uid="{00000000-0005-0000-0000-00002D4B0000}"/>
    <cellStyle name="Normal 6 3 2 3 2 3 2 2 2" xfId="19058" xr:uid="{00000000-0005-0000-0000-00002E4B0000}"/>
    <cellStyle name="Normal 6 3 2 3 2 3 2 2 2 2" xfId="38773" xr:uid="{00000000-0005-0000-0000-00002F4B0000}"/>
    <cellStyle name="Normal 6 3 2 3 2 3 2 2 3" xfId="28916" xr:uid="{00000000-0005-0000-0000-0000304B0000}"/>
    <cellStyle name="Normal 6 3 2 3 2 3 2 3" xfId="14130" xr:uid="{00000000-0005-0000-0000-0000314B0000}"/>
    <cellStyle name="Normal 6 3 2 3 2 3 2 3 2" xfId="33845" xr:uid="{00000000-0005-0000-0000-0000324B0000}"/>
    <cellStyle name="Normal 6 3 2 3 2 3 2 4" xfId="23988" xr:uid="{00000000-0005-0000-0000-0000334B0000}"/>
    <cellStyle name="Normal 6 3 2 3 2 3 3" xfId="6734" xr:uid="{00000000-0005-0000-0000-0000344B0000}"/>
    <cellStyle name="Normal 6 3 2 3 2 3 3 2" xfId="16594" xr:uid="{00000000-0005-0000-0000-0000354B0000}"/>
    <cellStyle name="Normal 6 3 2 3 2 3 3 2 2" xfId="36309" xr:uid="{00000000-0005-0000-0000-0000364B0000}"/>
    <cellStyle name="Normal 6 3 2 3 2 3 3 3" xfId="26452" xr:uid="{00000000-0005-0000-0000-0000374B0000}"/>
    <cellStyle name="Normal 6 3 2 3 2 3 4" xfId="11666" xr:uid="{00000000-0005-0000-0000-0000384B0000}"/>
    <cellStyle name="Normal 6 3 2 3 2 3 4 2" xfId="31381" xr:uid="{00000000-0005-0000-0000-0000394B0000}"/>
    <cellStyle name="Normal 6 3 2 3 2 3 5" xfId="21524" xr:uid="{00000000-0005-0000-0000-00003A4B0000}"/>
    <cellStyle name="Normal 6 3 2 3 2 4" xfId="3034" xr:uid="{00000000-0005-0000-0000-00003B4B0000}"/>
    <cellStyle name="Normal 6 3 2 3 2 4 2" xfId="7966" xr:uid="{00000000-0005-0000-0000-00003C4B0000}"/>
    <cellStyle name="Normal 6 3 2 3 2 4 2 2" xfId="17826" xr:uid="{00000000-0005-0000-0000-00003D4B0000}"/>
    <cellStyle name="Normal 6 3 2 3 2 4 2 2 2" xfId="37541" xr:uid="{00000000-0005-0000-0000-00003E4B0000}"/>
    <cellStyle name="Normal 6 3 2 3 2 4 2 3" xfId="27684" xr:uid="{00000000-0005-0000-0000-00003F4B0000}"/>
    <cellStyle name="Normal 6 3 2 3 2 4 3" xfId="12898" xr:uid="{00000000-0005-0000-0000-0000404B0000}"/>
    <cellStyle name="Normal 6 3 2 3 2 4 3 2" xfId="32613" xr:uid="{00000000-0005-0000-0000-0000414B0000}"/>
    <cellStyle name="Normal 6 3 2 3 2 4 4" xfId="22756" xr:uid="{00000000-0005-0000-0000-0000424B0000}"/>
    <cellStyle name="Normal 6 3 2 3 2 5" xfId="5502" xr:uid="{00000000-0005-0000-0000-0000434B0000}"/>
    <cellStyle name="Normal 6 3 2 3 2 5 2" xfId="15362" xr:uid="{00000000-0005-0000-0000-0000444B0000}"/>
    <cellStyle name="Normal 6 3 2 3 2 5 2 2" xfId="35077" xr:uid="{00000000-0005-0000-0000-0000454B0000}"/>
    <cellStyle name="Normal 6 3 2 3 2 5 3" xfId="25220" xr:uid="{00000000-0005-0000-0000-0000464B0000}"/>
    <cellStyle name="Normal 6 3 2 3 2 6" xfId="10434" xr:uid="{00000000-0005-0000-0000-0000474B0000}"/>
    <cellStyle name="Normal 6 3 2 3 2 6 2" xfId="30149" xr:uid="{00000000-0005-0000-0000-0000484B0000}"/>
    <cellStyle name="Normal 6 3 2 3 2 7" xfId="20292" xr:uid="{00000000-0005-0000-0000-0000494B0000}"/>
    <cellStyle name="Normal 6 3 2 3 3" xfId="873" xr:uid="{00000000-0005-0000-0000-00004A4B0000}"/>
    <cellStyle name="Normal 6 3 2 3 3 2" xfId="2109" xr:uid="{00000000-0005-0000-0000-00004B4B0000}"/>
    <cellStyle name="Normal 6 3 2 3 3 2 2" xfId="4576" xr:uid="{00000000-0005-0000-0000-00004C4B0000}"/>
    <cellStyle name="Normal 6 3 2 3 3 2 2 2" xfId="9508" xr:uid="{00000000-0005-0000-0000-00004D4B0000}"/>
    <cellStyle name="Normal 6 3 2 3 3 2 2 2 2" xfId="19368" xr:uid="{00000000-0005-0000-0000-00004E4B0000}"/>
    <cellStyle name="Normal 6 3 2 3 3 2 2 2 2 2" xfId="39083" xr:uid="{00000000-0005-0000-0000-00004F4B0000}"/>
    <cellStyle name="Normal 6 3 2 3 3 2 2 2 3" xfId="29226" xr:uid="{00000000-0005-0000-0000-0000504B0000}"/>
    <cellStyle name="Normal 6 3 2 3 3 2 2 3" xfId="14440" xr:uid="{00000000-0005-0000-0000-0000514B0000}"/>
    <cellStyle name="Normal 6 3 2 3 3 2 2 3 2" xfId="34155" xr:uid="{00000000-0005-0000-0000-0000524B0000}"/>
    <cellStyle name="Normal 6 3 2 3 3 2 2 4" xfId="24298" xr:uid="{00000000-0005-0000-0000-0000534B0000}"/>
    <cellStyle name="Normal 6 3 2 3 3 2 3" xfId="7044" xr:uid="{00000000-0005-0000-0000-0000544B0000}"/>
    <cellStyle name="Normal 6 3 2 3 3 2 3 2" xfId="16904" xr:uid="{00000000-0005-0000-0000-0000554B0000}"/>
    <cellStyle name="Normal 6 3 2 3 3 2 3 2 2" xfId="36619" xr:uid="{00000000-0005-0000-0000-0000564B0000}"/>
    <cellStyle name="Normal 6 3 2 3 3 2 3 3" xfId="26762" xr:uid="{00000000-0005-0000-0000-0000574B0000}"/>
    <cellStyle name="Normal 6 3 2 3 3 2 4" xfId="11976" xr:uid="{00000000-0005-0000-0000-0000584B0000}"/>
    <cellStyle name="Normal 6 3 2 3 3 2 4 2" xfId="31691" xr:uid="{00000000-0005-0000-0000-0000594B0000}"/>
    <cellStyle name="Normal 6 3 2 3 3 2 5" xfId="21834" xr:uid="{00000000-0005-0000-0000-00005A4B0000}"/>
    <cellStyle name="Normal 6 3 2 3 3 3" xfId="3344" xr:uid="{00000000-0005-0000-0000-00005B4B0000}"/>
    <cellStyle name="Normal 6 3 2 3 3 3 2" xfId="8276" xr:uid="{00000000-0005-0000-0000-00005C4B0000}"/>
    <cellStyle name="Normal 6 3 2 3 3 3 2 2" xfId="18136" xr:uid="{00000000-0005-0000-0000-00005D4B0000}"/>
    <cellStyle name="Normal 6 3 2 3 3 3 2 2 2" xfId="37851" xr:uid="{00000000-0005-0000-0000-00005E4B0000}"/>
    <cellStyle name="Normal 6 3 2 3 3 3 2 3" xfId="27994" xr:uid="{00000000-0005-0000-0000-00005F4B0000}"/>
    <cellStyle name="Normal 6 3 2 3 3 3 3" xfId="13208" xr:uid="{00000000-0005-0000-0000-0000604B0000}"/>
    <cellStyle name="Normal 6 3 2 3 3 3 3 2" xfId="32923" xr:uid="{00000000-0005-0000-0000-0000614B0000}"/>
    <cellStyle name="Normal 6 3 2 3 3 3 4" xfId="23066" xr:uid="{00000000-0005-0000-0000-0000624B0000}"/>
    <cellStyle name="Normal 6 3 2 3 3 4" xfId="5812" xr:uid="{00000000-0005-0000-0000-0000634B0000}"/>
    <cellStyle name="Normal 6 3 2 3 3 4 2" xfId="15672" xr:uid="{00000000-0005-0000-0000-0000644B0000}"/>
    <cellStyle name="Normal 6 3 2 3 3 4 2 2" xfId="35387" xr:uid="{00000000-0005-0000-0000-0000654B0000}"/>
    <cellStyle name="Normal 6 3 2 3 3 4 3" xfId="25530" xr:uid="{00000000-0005-0000-0000-0000664B0000}"/>
    <cellStyle name="Normal 6 3 2 3 3 5" xfId="10744" xr:uid="{00000000-0005-0000-0000-0000674B0000}"/>
    <cellStyle name="Normal 6 3 2 3 3 5 2" xfId="30459" xr:uid="{00000000-0005-0000-0000-0000684B0000}"/>
    <cellStyle name="Normal 6 3 2 3 3 6" xfId="20602" xr:uid="{00000000-0005-0000-0000-0000694B0000}"/>
    <cellStyle name="Normal 6 3 2 3 4" xfId="1493" xr:uid="{00000000-0005-0000-0000-00006A4B0000}"/>
    <cellStyle name="Normal 6 3 2 3 4 2" xfId="3960" xr:uid="{00000000-0005-0000-0000-00006B4B0000}"/>
    <cellStyle name="Normal 6 3 2 3 4 2 2" xfId="8892" xr:uid="{00000000-0005-0000-0000-00006C4B0000}"/>
    <cellStyle name="Normal 6 3 2 3 4 2 2 2" xfId="18752" xr:uid="{00000000-0005-0000-0000-00006D4B0000}"/>
    <cellStyle name="Normal 6 3 2 3 4 2 2 2 2" xfId="38467" xr:uid="{00000000-0005-0000-0000-00006E4B0000}"/>
    <cellStyle name="Normal 6 3 2 3 4 2 2 3" xfId="28610" xr:uid="{00000000-0005-0000-0000-00006F4B0000}"/>
    <cellStyle name="Normal 6 3 2 3 4 2 3" xfId="13824" xr:uid="{00000000-0005-0000-0000-0000704B0000}"/>
    <cellStyle name="Normal 6 3 2 3 4 2 3 2" xfId="33539" xr:uid="{00000000-0005-0000-0000-0000714B0000}"/>
    <cellStyle name="Normal 6 3 2 3 4 2 4" xfId="23682" xr:uid="{00000000-0005-0000-0000-0000724B0000}"/>
    <cellStyle name="Normal 6 3 2 3 4 3" xfId="6428" xr:uid="{00000000-0005-0000-0000-0000734B0000}"/>
    <cellStyle name="Normal 6 3 2 3 4 3 2" xfId="16288" xr:uid="{00000000-0005-0000-0000-0000744B0000}"/>
    <cellStyle name="Normal 6 3 2 3 4 3 2 2" xfId="36003" xr:uid="{00000000-0005-0000-0000-0000754B0000}"/>
    <cellStyle name="Normal 6 3 2 3 4 3 3" xfId="26146" xr:uid="{00000000-0005-0000-0000-0000764B0000}"/>
    <cellStyle name="Normal 6 3 2 3 4 4" xfId="11360" xr:uid="{00000000-0005-0000-0000-0000774B0000}"/>
    <cellStyle name="Normal 6 3 2 3 4 4 2" xfId="31075" xr:uid="{00000000-0005-0000-0000-0000784B0000}"/>
    <cellStyle name="Normal 6 3 2 3 4 5" xfId="21218" xr:uid="{00000000-0005-0000-0000-0000794B0000}"/>
    <cellStyle name="Normal 6 3 2 3 5" xfId="2728" xr:uid="{00000000-0005-0000-0000-00007A4B0000}"/>
    <cellStyle name="Normal 6 3 2 3 5 2" xfId="7660" xr:uid="{00000000-0005-0000-0000-00007B4B0000}"/>
    <cellStyle name="Normal 6 3 2 3 5 2 2" xfId="17520" xr:uid="{00000000-0005-0000-0000-00007C4B0000}"/>
    <cellStyle name="Normal 6 3 2 3 5 2 2 2" xfId="37235" xr:uid="{00000000-0005-0000-0000-00007D4B0000}"/>
    <cellStyle name="Normal 6 3 2 3 5 2 3" xfId="27378" xr:uid="{00000000-0005-0000-0000-00007E4B0000}"/>
    <cellStyle name="Normal 6 3 2 3 5 3" xfId="12592" xr:uid="{00000000-0005-0000-0000-00007F4B0000}"/>
    <cellStyle name="Normal 6 3 2 3 5 3 2" xfId="32307" xr:uid="{00000000-0005-0000-0000-0000804B0000}"/>
    <cellStyle name="Normal 6 3 2 3 5 4" xfId="22450" xr:uid="{00000000-0005-0000-0000-0000814B0000}"/>
    <cellStyle name="Normal 6 3 2 3 6" xfId="5196" xr:uid="{00000000-0005-0000-0000-0000824B0000}"/>
    <cellStyle name="Normal 6 3 2 3 6 2" xfId="15056" xr:uid="{00000000-0005-0000-0000-0000834B0000}"/>
    <cellStyle name="Normal 6 3 2 3 6 2 2" xfId="34771" xr:uid="{00000000-0005-0000-0000-0000844B0000}"/>
    <cellStyle name="Normal 6 3 2 3 6 3" xfId="24914" xr:uid="{00000000-0005-0000-0000-0000854B0000}"/>
    <cellStyle name="Normal 6 3 2 3 7" xfId="10128" xr:uid="{00000000-0005-0000-0000-0000864B0000}"/>
    <cellStyle name="Normal 6 3 2 3 7 2" xfId="29843" xr:uid="{00000000-0005-0000-0000-0000874B0000}"/>
    <cellStyle name="Normal 6 3 2 3 8" xfId="19986" xr:uid="{00000000-0005-0000-0000-0000884B0000}"/>
    <cellStyle name="Normal 6 3 2 4" xfId="408" xr:uid="{00000000-0005-0000-0000-0000894B0000}"/>
    <cellStyle name="Normal 6 3 2 4 2" xfId="1028" xr:uid="{00000000-0005-0000-0000-00008A4B0000}"/>
    <cellStyle name="Normal 6 3 2 4 2 2" xfId="2263" xr:uid="{00000000-0005-0000-0000-00008B4B0000}"/>
    <cellStyle name="Normal 6 3 2 4 2 2 2" xfId="4730" xr:uid="{00000000-0005-0000-0000-00008C4B0000}"/>
    <cellStyle name="Normal 6 3 2 4 2 2 2 2" xfId="9662" xr:uid="{00000000-0005-0000-0000-00008D4B0000}"/>
    <cellStyle name="Normal 6 3 2 4 2 2 2 2 2" xfId="19522" xr:uid="{00000000-0005-0000-0000-00008E4B0000}"/>
    <cellStyle name="Normal 6 3 2 4 2 2 2 2 2 2" xfId="39237" xr:uid="{00000000-0005-0000-0000-00008F4B0000}"/>
    <cellStyle name="Normal 6 3 2 4 2 2 2 2 3" xfId="29380" xr:uid="{00000000-0005-0000-0000-0000904B0000}"/>
    <cellStyle name="Normal 6 3 2 4 2 2 2 3" xfId="14594" xr:uid="{00000000-0005-0000-0000-0000914B0000}"/>
    <cellStyle name="Normal 6 3 2 4 2 2 2 3 2" xfId="34309" xr:uid="{00000000-0005-0000-0000-0000924B0000}"/>
    <cellStyle name="Normal 6 3 2 4 2 2 2 4" xfId="24452" xr:uid="{00000000-0005-0000-0000-0000934B0000}"/>
    <cellStyle name="Normal 6 3 2 4 2 2 3" xfId="7198" xr:uid="{00000000-0005-0000-0000-0000944B0000}"/>
    <cellStyle name="Normal 6 3 2 4 2 2 3 2" xfId="17058" xr:uid="{00000000-0005-0000-0000-0000954B0000}"/>
    <cellStyle name="Normal 6 3 2 4 2 2 3 2 2" xfId="36773" xr:uid="{00000000-0005-0000-0000-0000964B0000}"/>
    <cellStyle name="Normal 6 3 2 4 2 2 3 3" xfId="26916" xr:uid="{00000000-0005-0000-0000-0000974B0000}"/>
    <cellStyle name="Normal 6 3 2 4 2 2 4" xfId="12130" xr:uid="{00000000-0005-0000-0000-0000984B0000}"/>
    <cellStyle name="Normal 6 3 2 4 2 2 4 2" xfId="31845" xr:uid="{00000000-0005-0000-0000-0000994B0000}"/>
    <cellStyle name="Normal 6 3 2 4 2 2 5" xfId="21988" xr:uid="{00000000-0005-0000-0000-00009A4B0000}"/>
    <cellStyle name="Normal 6 3 2 4 2 3" xfId="3498" xr:uid="{00000000-0005-0000-0000-00009B4B0000}"/>
    <cellStyle name="Normal 6 3 2 4 2 3 2" xfId="8430" xr:uid="{00000000-0005-0000-0000-00009C4B0000}"/>
    <cellStyle name="Normal 6 3 2 4 2 3 2 2" xfId="18290" xr:uid="{00000000-0005-0000-0000-00009D4B0000}"/>
    <cellStyle name="Normal 6 3 2 4 2 3 2 2 2" xfId="38005" xr:uid="{00000000-0005-0000-0000-00009E4B0000}"/>
    <cellStyle name="Normal 6 3 2 4 2 3 2 3" xfId="28148" xr:uid="{00000000-0005-0000-0000-00009F4B0000}"/>
    <cellStyle name="Normal 6 3 2 4 2 3 3" xfId="13362" xr:uid="{00000000-0005-0000-0000-0000A04B0000}"/>
    <cellStyle name="Normal 6 3 2 4 2 3 3 2" xfId="33077" xr:uid="{00000000-0005-0000-0000-0000A14B0000}"/>
    <cellStyle name="Normal 6 3 2 4 2 3 4" xfId="23220" xr:uid="{00000000-0005-0000-0000-0000A24B0000}"/>
    <cellStyle name="Normal 6 3 2 4 2 4" xfId="5966" xr:uid="{00000000-0005-0000-0000-0000A34B0000}"/>
    <cellStyle name="Normal 6 3 2 4 2 4 2" xfId="15826" xr:uid="{00000000-0005-0000-0000-0000A44B0000}"/>
    <cellStyle name="Normal 6 3 2 4 2 4 2 2" xfId="35541" xr:uid="{00000000-0005-0000-0000-0000A54B0000}"/>
    <cellStyle name="Normal 6 3 2 4 2 4 3" xfId="25684" xr:uid="{00000000-0005-0000-0000-0000A64B0000}"/>
    <cellStyle name="Normal 6 3 2 4 2 5" xfId="10898" xr:uid="{00000000-0005-0000-0000-0000A74B0000}"/>
    <cellStyle name="Normal 6 3 2 4 2 5 2" xfId="30613" xr:uid="{00000000-0005-0000-0000-0000A84B0000}"/>
    <cellStyle name="Normal 6 3 2 4 2 6" xfId="20756" xr:uid="{00000000-0005-0000-0000-0000A94B0000}"/>
    <cellStyle name="Normal 6 3 2 4 3" xfId="1647" xr:uid="{00000000-0005-0000-0000-0000AA4B0000}"/>
    <cellStyle name="Normal 6 3 2 4 3 2" xfId="4114" xr:uid="{00000000-0005-0000-0000-0000AB4B0000}"/>
    <cellStyle name="Normal 6 3 2 4 3 2 2" xfId="9046" xr:uid="{00000000-0005-0000-0000-0000AC4B0000}"/>
    <cellStyle name="Normal 6 3 2 4 3 2 2 2" xfId="18906" xr:uid="{00000000-0005-0000-0000-0000AD4B0000}"/>
    <cellStyle name="Normal 6 3 2 4 3 2 2 2 2" xfId="38621" xr:uid="{00000000-0005-0000-0000-0000AE4B0000}"/>
    <cellStyle name="Normal 6 3 2 4 3 2 2 3" xfId="28764" xr:uid="{00000000-0005-0000-0000-0000AF4B0000}"/>
    <cellStyle name="Normal 6 3 2 4 3 2 3" xfId="13978" xr:uid="{00000000-0005-0000-0000-0000B04B0000}"/>
    <cellStyle name="Normal 6 3 2 4 3 2 3 2" xfId="33693" xr:uid="{00000000-0005-0000-0000-0000B14B0000}"/>
    <cellStyle name="Normal 6 3 2 4 3 2 4" xfId="23836" xr:uid="{00000000-0005-0000-0000-0000B24B0000}"/>
    <cellStyle name="Normal 6 3 2 4 3 3" xfId="6582" xr:uid="{00000000-0005-0000-0000-0000B34B0000}"/>
    <cellStyle name="Normal 6 3 2 4 3 3 2" xfId="16442" xr:uid="{00000000-0005-0000-0000-0000B44B0000}"/>
    <cellStyle name="Normal 6 3 2 4 3 3 2 2" xfId="36157" xr:uid="{00000000-0005-0000-0000-0000B54B0000}"/>
    <cellStyle name="Normal 6 3 2 4 3 3 3" xfId="26300" xr:uid="{00000000-0005-0000-0000-0000B64B0000}"/>
    <cellStyle name="Normal 6 3 2 4 3 4" xfId="11514" xr:uid="{00000000-0005-0000-0000-0000B74B0000}"/>
    <cellStyle name="Normal 6 3 2 4 3 4 2" xfId="31229" xr:uid="{00000000-0005-0000-0000-0000B84B0000}"/>
    <cellStyle name="Normal 6 3 2 4 3 5" xfId="21372" xr:uid="{00000000-0005-0000-0000-0000B94B0000}"/>
    <cellStyle name="Normal 6 3 2 4 4" xfId="2882" xr:uid="{00000000-0005-0000-0000-0000BA4B0000}"/>
    <cellStyle name="Normal 6 3 2 4 4 2" xfId="7814" xr:uid="{00000000-0005-0000-0000-0000BB4B0000}"/>
    <cellStyle name="Normal 6 3 2 4 4 2 2" xfId="17674" xr:uid="{00000000-0005-0000-0000-0000BC4B0000}"/>
    <cellStyle name="Normal 6 3 2 4 4 2 2 2" xfId="37389" xr:uid="{00000000-0005-0000-0000-0000BD4B0000}"/>
    <cellStyle name="Normal 6 3 2 4 4 2 3" xfId="27532" xr:uid="{00000000-0005-0000-0000-0000BE4B0000}"/>
    <cellStyle name="Normal 6 3 2 4 4 3" xfId="12746" xr:uid="{00000000-0005-0000-0000-0000BF4B0000}"/>
    <cellStyle name="Normal 6 3 2 4 4 3 2" xfId="32461" xr:uid="{00000000-0005-0000-0000-0000C04B0000}"/>
    <cellStyle name="Normal 6 3 2 4 4 4" xfId="22604" xr:uid="{00000000-0005-0000-0000-0000C14B0000}"/>
    <cellStyle name="Normal 6 3 2 4 5" xfId="5350" xr:uid="{00000000-0005-0000-0000-0000C24B0000}"/>
    <cellStyle name="Normal 6 3 2 4 5 2" xfId="15210" xr:uid="{00000000-0005-0000-0000-0000C34B0000}"/>
    <cellStyle name="Normal 6 3 2 4 5 2 2" xfId="34925" xr:uid="{00000000-0005-0000-0000-0000C44B0000}"/>
    <cellStyle name="Normal 6 3 2 4 5 3" xfId="25068" xr:uid="{00000000-0005-0000-0000-0000C54B0000}"/>
    <cellStyle name="Normal 6 3 2 4 6" xfId="10282" xr:uid="{00000000-0005-0000-0000-0000C64B0000}"/>
    <cellStyle name="Normal 6 3 2 4 6 2" xfId="29997" xr:uid="{00000000-0005-0000-0000-0000C74B0000}"/>
    <cellStyle name="Normal 6 3 2 4 7" xfId="20140" xr:uid="{00000000-0005-0000-0000-0000C84B0000}"/>
    <cellStyle name="Normal 6 3 2 5" xfId="721" xr:uid="{00000000-0005-0000-0000-0000C94B0000}"/>
    <cellStyle name="Normal 6 3 2 5 2" xfId="1957" xr:uid="{00000000-0005-0000-0000-0000CA4B0000}"/>
    <cellStyle name="Normal 6 3 2 5 2 2" xfId="4424" xr:uid="{00000000-0005-0000-0000-0000CB4B0000}"/>
    <cellStyle name="Normal 6 3 2 5 2 2 2" xfId="9356" xr:uid="{00000000-0005-0000-0000-0000CC4B0000}"/>
    <cellStyle name="Normal 6 3 2 5 2 2 2 2" xfId="19216" xr:uid="{00000000-0005-0000-0000-0000CD4B0000}"/>
    <cellStyle name="Normal 6 3 2 5 2 2 2 2 2" xfId="38931" xr:uid="{00000000-0005-0000-0000-0000CE4B0000}"/>
    <cellStyle name="Normal 6 3 2 5 2 2 2 3" xfId="29074" xr:uid="{00000000-0005-0000-0000-0000CF4B0000}"/>
    <cellStyle name="Normal 6 3 2 5 2 2 3" xfId="14288" xr:uid="{00000000-0005-0000-0000-0000D04B0000}"/>
    <cellStyle name="Normal 6 3 2 5 2 2 3 2" xfId="34003" xr:uid="{00000000-0005-0000-0000-0000D14B0000}"/>
    <cellStyle name="Normal 6 3 2 5 2 2 4" xfId="24146" xr:uid="{00000000-0005-0000-0000-0000D24B0000}"/>
    <cellStyle name="Normal 6 3 2 5 2 3" xfId="6892" xr:uid="{00000000-0005-0000-0000-0000D34B0000}"/>
    <cellStyle name="Normal 6 3 2 5 2 3 2" xfId="16752" xr:uid="{00000000-0005-0000-0000-0000D44B0000}"/>
    <cellStyle name="Normal 6 3 2 5 2 3 2 2" xfId="36467" xr:uid="{00000000-0005-0000-0000-0000D54B0000}"/>
    <cellStyle name="Normal 6 3 2 5 2 3 3" xfId="26610" xr:uid="{00000000-0005-0000-0000-0000D64B0000}"/>
    <cellStyle name="Normal 6 3 2 5 2 4" xfId="11824" xr:uid="{00000000-0005-0000-0000-0000D74B0000}"/>
    <cellStyle name="Normal 6 3 2 5 2 4 2" xfId="31539" xr:uid="{00000000-0005-0000-0000-0000D84B0000}"/>
    <cellStyle name="Normal 6 3 2 5 2 5" xfId="21682" xr:uid="{00000000-0005-0000-0000-0000D94B0000}"/>
    <cellStyle name="Normal 6 3 2 5 3" xfId="3192" xr:uid="{00000000-0005-0000-0000-0000DA4B0000}"/>
    <cellStyle name="Normal 6 3 2 5 3 2" xfId="8124" xr:uid="{00000000-0005-0000-0000-0000DB4B0000}"/>
    <cellStyle name="Normal 6 3 2 5 3 2 2" xfId="17984" xr:uid="{00000000-0005-0000-0000-0000DC4B0000}"/>
    <cellStyle name="Normal 6 3 2 5 3 2 2 2" xfId="37699" xr:uid="{00000000-0005-0000-0000-0000DD4B0000}"/>
    <cellStyle name="Normal 6 3 2 5 3 2 3" xfId="27842" xr:uid="{00000000-0005-0000-0000-0000DE4B0000}"/>
    <cellStyle name="Normal 6 3 2 5 3 3" xfId="13056" xr:uid="{00000000-0005-0000-0000-0000DF4B0000}"/>
    <cellStyle name="Normal 6 3 2 5 3 3 2" xfId="32771" xr:uid="{00000000-0005-0000-0000-0000E04B0000}"/>
    <cellStyle name="Normal 6 3 2 5 3 4" xfId="22914" xr:uid="{00000000-0005-0000-0000-0000E14B0000}"/>
    <cellStyle name="Normal 6 3 2 5 4" xfId="5660" xr:uid="{00000000-0005-0000-0000-0000E24B0000}"/>
    <cellStyle name="Normal 6 3 2 5 4 2" xfId="15520" xr:uid="{00000000-0005-0000-0000-0000E34B0000}"/>
    <cellStyle name="Normal 6 3 2 5 4 2 2" xfId="35235" xr:uid="{00000000-0005-0000-0000-0000E44B0000}"/>
    <cellStyle name="Normal 6 3 2 5 4 3" xfId="25378" xr:uid="{00000000-0005-0000-0000-0000E54B0000}"/>
    <cellStyle name="Normal 6 3 2 5 5" xfId="10592" xr:uid="{00000000-0005-0000-0000-0000E64B0000}"/>
    <cellStyle name="Normal 6 3 2 5 5 2" xfId="30307" xr:uid="{00000000-0005-0000-0000-0000E74B0000}"/>
    <cellStyle name="Normal 6 3 2 5 6" xfId="20450" xr:uid="{00000000-0005-0000-0000-0000E84B0000}"/>
    <cellStyle name="Normal 6 3 2 6" xfId="1341" xr:uid="{00000000-0005-0000-0000-0000E94B0000}"/>
    <cellStyle name="Normal 6 3 2 6 2" xfId="3808" xr:uid="{00000000-0005-0000-0000-0000EA4B0000}"/>
    <cellStyle name="Normal 6 3 2 6 2 2" xfId="8740" xr:uid="{00000000-0005-0000-0000-0000EB4B0000}"/>
    <cellStyle name="Normal 6 3 2 6 2 2 2" xfId="18600" xr:uid="{00000000-0005-0000-0000-0000EC4B0000}"/>
    <cellStyle name="Normal 6 3 2 6 2 2 2 2" xfId="38315" xr:uid="{00000000-0005-0000-0000-0000ED4B0000}"/>
    <cellStyle name="Normal 6 3 2 6 2 2 3" xfId="28458" xr:uid="{00000000-0005-0000-0000-0000EE4B0000}"/>
    <cellStyle name="Normal 6 3 2 6 2 3" xfId="13672" xr:uid="{00000000-0005-0000-0000-0000EF4B0000}"/>
    <cellStyle name="Normal 6 3 2 6 2 3 2" xfId="33387" xr:uid="{00000000-0005-0000-0000-0000F04B0000}"/>
    <cellStyle name="Normal 6 3 2 6 2 4" xfId="23530" xr:uid="{00000000-0005-0000-0000-0000F14B0000}"/>
    <cellStyle name="Normal 6 3 2 6 3" xfId="6276" xr:uid="{00000000-0005-0000-0000-0000F24B0000}"/>
    <cellStyle name="Normal 6 3 2 6 3 2" xfId="16136" xr:uid="{00000000-0005-0000-0000-0000F34B0000}"/>
    <cellStyle name="Normal 6 3 2 6 3 2 2" xfId="35851" xr:uid="{00000000-0005-0000-0000-0000F44B0000}"/>
    <cellStyle name="Normal 6 3 2 6 3 3" xfId="25994" xr:uid="{00000000-0005-0000-0000-0000F54B0000}"/>
    <cellStyle name="Normal 6 3 2 6 4" xfId="11208" xr:uid="{00000000-0005-0000-0000-0000F64B0000}"/>
    <cellStyle name="Normal 6 3 2 6 4 2" xfId="30923" xr:uid="{00000000-0005-0000-0000-0000F74B0000}"/>
    <cellStyle name="Normal 6 3 2 6 5" xfId="21066" xr:uid="{00000000-0005-0000-0000-0000F84B0000}"/>
    <cellStyle name="Normal 6 3 2 7" xfId="2576" xr:uid="{00000000-0005-0000-0000-0000F94B0000}"/>
    <cellStyle name="Normal 6 3 2 7 2" xfId="7508" xr:uid="{00000000-0005-0000-0000-0000FA4B0000}"/>
    <cellStyle name="Normal 6 3 2 7 2 2" xfId="17368" xr:uid="{00000000-0005-0000-0000-0000FB4B0000}"/>
    <cellStyle name="Normal 6 3 2 7 2 2 2" xfId="37083" xr:uid="{00000000-0005-0000-0000-0000FC4B0000}"/>
    <cellStyle name="Normal 6 3 2 7 2 3" xfId="27226" xr:uid="{00000000-0005-0000-0000-0000FD4B0000}"/>
    <cellStyle name="Normal 6 3 2 7 3" xfId="12440" xr:uid="{00000000-0005-0000-0000-0000FE4B0000}"/>
    <cellStyle name="Normal 6 3 2 7 3 2" xfId="32155" xr:uid="{00000000-0005-0000-0000-0000FF4B0000}"/>
    <cellStyle name="Normal 6 3 2 7 4" xfId="22298" xr:uid="{00000000-0005-0000-0000-0000004C0000}"/>
    <cellStyle name="Normal 6 3 2 8" xfId="5044" xr:uid="{00000000-0005-0000-0000-0000014C0000}"/>
    <cellStyle name="Normal 6 3 2 8 2" xfId="14904" xr:uid="{00000000-0005-0000-0000-0000024C0000}"/>
    <cellStyle name="Normal 6 3 2 8 2 2" xfId="34619" xr:uid="{00000000-0005-0000-0000-0000034C0000}"/>
    <cellStyle name="Normal 6 3 2 8 3" xfId="24762" xr:uid="{00000000-0005-0000-0000-0000044C0000}"/>
    <cellStyle name="Normal 6 3 2 9" xfId="9976" xr:uid="{00000000-0005-0000-0000-0000054C0000}"/>
    <cellStyle name="Normal 6 3 2 9 2" xfId="29691" xr:uid="{00000000-0005-0000-0000-0000064C0000}"/>
    <cellStyle name="Normal 6 3 3" xfId="127" xr:uid="{00000000-0005-0000-0000-0000074C0000}"/>
    <cellStyle name="Normal 6 3 3 2" xfId="284" xr:uid="{00000000-0005-0000-0000-0000084C0000}"/>
    <cellStyle name="Normal 6 3 3 2 2" xfId="598" xr:uid="{00000000-0005-0000-0000-0000094C0000}"/>
    <cellStyle name="Normal 6 3 3 2 2 2" xfId="1218" xr:uid="{00000000-0005-0000-0000-00000A4C0000}"/>
    <cellStyle name="Normal 6 3 3 2 2 2 2" xfId="2453" xr:uid="{00000000-0005-0000-0000-00000B4C0000}"/>
    <cellStyle name="Normal 6 3 3 2 2 2 2 2" xfId="4920" xr:uid="{00000000-0005-0000-0000-00000C4C0000}"/>
    <cellStyle name="Normal 6 3 3 2 2 2 2 2 2" xfId="9852" xr:uid="{00000000-0005-0000-0000-00000D4C0000}"/>
    <cellStyle name="Normal 6 3 3 2 2 2 2 2 2 2" xfId="19712" xr:uid="{00000000-0005-0000-0000-00000E4C0000}"/>
    <cellStyle name="Normal 6 3 3 2 2 2 2 2 2 2 2" xfId="39427" xr:uid="{00000000-0005-0000-0000-00000F4C0000}"/>
    <cellStyle name="Normal 6 3 3 2 2 2 2 2 2 3" xfId="29570" xr:uid="{00000000-0005-0000-0000-0000104C0000}"/>
    <cellStyle name="Normal 6 3 3 2 2 2 2 2 3" xfId="14784" xr:uid="{00000000-0005-0000-0000-0000114C0000}"/>
    <cellStyle name="Normal 6 3 3 2 2 2 2 2 3 2" xfId="34499" xr:uid="{00000000-0005-0000-0000-0000124C0000}"/>
    <cellStyle name="Normal 6 3 3 2 2 2 2 2 4" xfId="24642" xr:uid="{00000000-0005-0000-0000-0000134C0000}"/>
    <cellStyle name="Normal 6 3 3 2 2 2 2 3" xfId="7388" xr:uid="{00000000-0005-0000-0000-0000144C0000}"/>
    <cellStyle name="Normal 6 3 3 2 2 2 2 3 2" xfId="17248" xr:uid="{00000000-0005-0000-0000-0000154C0000}"/>
    <cellStyle name="Normal 6 3 3 2 2 2 2 3 2 2" xfId="36963" xr:uid="{00000000-0005-0000-0000-0000164C0000}"/>
    <cellStyle name="Normal 6 3 3 2 2 2 2 3 3" xfId="27106" xr:uid="{00000000-0005-0000-0000-0000174C0000}"/>
    <cellStyle name="Normal 6 3 3 2 2 2 2 4" xfId="12320" xr:uid="{00000000-0005-0000-0000-0000184C0000}"/>
    <cellStyle name="Normal 6 3 3 2 2 2 2 4 2" xfId="32035" xr:uid="{00000000-0005-0000-0000-0000194C0000}"/>
    <cellStyle name="Normal 6 3 3 2 2 2 2 5" xfId="22178" xr:uid="{00000000-0005-0000-0000-00001A4C0000}"/>
    <cellStyle name="Normal 6 3 3 2 2 2 3" xfId="3688" xr:uid="{00000000-0005-0000-0000-00001B4C0000}"/>
    <cellStyle name="Normal 6 3 3 2 2 2 3 2" xfId="8620" xr:uid="{00000000-0005-0000-0000-00001C4C0000}"/>
    <cellStyle name="Normal 6 3 3 2 2 2 3 2 2" xfId="18480" xr:uid="{00000000-0005-0000-0000-00001D4C0000}"/>
    <cellStyle name="Normal 6 3 3 2 2 2 3 2 2 2" xfId="38195" xr:uid="{00000000-0005-0000-0000-00001E4C0000}"/>
    <cellStyle name="Normal 6 3 3 2 2 2 3 2 3" xfId="28338" xr:uid="{00000000-0005-0000-0000-00001F4C0000}"/>
    <cellStyle name="Normal 6 3 3 2 2 2 3 3" xfId="13552" xr:uid="{00000000-0005-0000-0000-0000204C0000}"/>
    <cellStyle name="Normal 6 3 3 2 2 2 3 3 2" xfId="33267" xr:uid="{00000000-0005-0000-0000-0000214C0000}"/>
    <cellStyle name="Normal 6 3 3 2 2 2 3 4" xfId="23410" xr:uid="{00000000-0005-0000-0000-0000224C0000}"/>
    <cellStyle name="Normal 6 3 3 2 2 2 4" xfId="6156" xr:uid="{00000000-0005-0000-0000-0000234C0000}"/>
    <cellStyle name="Normal 6 3 3 2 2 2 4 2" xfId="16016" xr:uid="{00000000-0005-0000-0000-0000244C0000}"/>
    <cellStyle name="Normal 6 3 3 2 2 2 4 2 2" xfId="35731" xr:uid="{00000000-0005-0000-0000-0000254C0000}"/>
    <cellStyle name="Normal 6 3 3 2 2 2 4 3" xfId="25874" xr:uid="{00000000-0005-0000-0000-0000264C0000}"/>
    <cellStyle name="Normal 6 3 3 2 2 2 5" xfId="11088" xr:uid="{00000000-0005-0000-0000-0000274C0000}"/>
    <cellStyle name="Normal 6 3 3 2 2 2 5 2" xfId="30803" xr:uid="{00000000-0005-0000-0000-0000284C0000}"/>
    <cellStyle name="Normal 6 3 3 2 2 2 6" xfId="20946" xr:uid="{00000000-0005-0000-0000-0000294C0000}"/>
    <cellStyle name="Normal 6 3 3 2 2 3" xfId="1837" xr:uid="{00000000-0005-0000-0000-00002A4C0000}"/>
    <cellStyle name="Normal 6 3 3 2 2 3 2" xfId="4304" xr:uid="{00000000-0005-0000-0000-00002B4C0000}"/>
    <cellStyle name="Normal 6 3 3 2 2 3 2 2" xfId="9236" xr:uid="{00000000-0005-0000-0000-00002C4C0000}"/>
    <cellStyle name="Normal 6 3 3 2 2 3 2 2 2" xfId="19096" xr:uid="{00000000-0005-0000-0000-00002D4C0000}"/>
    <cellStyle name="Normal 6 3 3 2 2 3 2 2 2 2" xfId="38811" xr:uid="{00000000-0005-0000-0000-00002E4C0000}"/>
    <cellStyle name="Normal 6 3 3 2 2 3 2 2 3" xfId="28954" xr:uid="{00000000-0005-0000-0000-00002F4C0000}"/>
    <cellStyle name="Normal 6 3 3 2 2 3 2 3" xfId="14168" xr:uid="{00000000-0005-0000-0000-0000304C0000}"/>
    <cellStyle name="Normal 6 3 3 2 2 3 2 3 2" xfId="33883" xr:uid="{00000000-0005-0000-0000-0000314C0000}"/>
    <cellStyle name="Normal 6 3 3 2 2 3 2 4" xfId="24026" xr:uid="{00000000-0005-0000-0000-0000324C0000}"/>
    <cellStyle name="Normal 6 3 3 2 2 3 3" xfId="6772" xr:uid="{00000000-0005-0000-0000-0000334C0000}"/>
    <cellStyle name="Normal 6 3 3 2 2 3 3 2" xfId="16632" xr:uid="{00000000-0005-0000-0000-0000344C0000}"/>
    <cellStyle name="Normal 6 3 3 2 2 3 3 2 2" xfId="36347" xr:uid="{00000000-0005-0000-0000-0000354C0000}"/>
    <cellStyle name="Normal 6 3 3 2 2 3 3 3" xfId="26490" xr:uid="{00000000-0005-0000-0000-0000364C0000}"/>
    <cellStyle name="Normal 6 3 3 2 2 3 4" xfId="11704" xr:uid="{00000000-0005-0000-0000-0000374C0000}"/>
    <cellStyle name="Normal 6 3 3 2 2 3 4 2" xfId="31419" xr:uid="{00000000-0005-0000-0000-0000384C0000}"/>
    <cellStyle name="Normal 6 3 3 2 2 3 5" xfId="21562" xr:uid="{00000000-0005-0000-0000-0000394C0000}"/>
    <cellStyle name="Normal 6 3 3 2 2 4" xfId="3072" xr:uid="{00000000-0005-0000-0000-00003A4C0000}"/>
    <cellStyle name="Normal 6 3 3 2 2 4 2" xfId="8004" xr:uid="{00000000-0005-0000-0000-00003B4C0000}"/>
    <cellStyle name="Normal 6 3 3 2 2 4 2 2" xfId="17864" xr:uid="{00000000-0005-0000-0000-00003C4C0000}"/>
    <cellStyle name="Normal 6 3 3 2 2 4 2 2 2" xfId="37579" xr:uid="{00000000-0005-0000-0000-00003D4C0000}"/>
    <cellStyle name="Normal 6 3 3 2 2 4 2 3" xfId="27722" xr:uid="{00000000-0005-0000-0000-00003E4C0000}"/>
    <cellStyle name="Normal 6 3 3 2 2 4 3" xfId="12936" xr:uid="{00000000-0005-0000-0000-00003F4C0000}"/>
    <cellStyle name="Normal 6 3 3 2 2 4 3 2" xfId="32651" xr:uid="{00000000-0005-0000-0000-0000404C0000}"/>
    <cellStyle name="Normal 6 3 3 2 2 4 4" xfId="22794" xr:uid="{00000000-0005-0000-0000-0000414C0000}"/>
    <cellStyle name="Normal 6 3 3 2 2 5" xfId="5540" xr:uid="{00000000-0005-0000-0000-0000424C0000}"/>
    <cellStyle name="Normal 6 3 3 2 2 5 2" xfId="15400" xr:uid="{00000000-0005-0000-0000-0000434C0000}"/>
    <cellStyle name="Normal 6 3 3 2 2 5 2 2" xfId="35115" xr:uid="{00000000-0005-0000-0000-0000444C0000}"/>
    <cellStyle name="Normal 6 3 3 2 2 5 3" xfId="25258" xr:uid="{00000000-0005-0000-0000-0000454C0000}"/>
    <cellStyle name="Normal 6 3 3 2 2 6" xfId="10472" xr:uid="{00000000-0005-0000-0000-0000464C0000}"/>
    <cellStyle name="Normal 6 3 3 2 2 6 2" xfId="30187" xr:uid="{00000000-0005-0000-0000-0000474C0000}"/>
    <cellStyle name="Normal 6 3 3 2 2 7" xfId="20330" xr:uid="{00000000-0005-0000-0000-0000484C0000}"/>
    <cellStyle name="Normal 6 3 3 2 3" xfId="911" xr:uid="{00000000-0005-0000-0000-0000494C0000}"/>
    <cellStyle name="Normal 6 3 3 2 3 2" xfId="2147" xr:uid="{00000000-0005-0000-0000-00004A4C0000}"/>
    <cellStyle name="Normal 6 3 3 2 3 2 2" xfId="4614" xr:uid="{00000000-0005-0000-0000-00004B4C0000}"/>
    <cellStyle name="Normal 6 3 3 2 3 2 2 2" xfId="9546" xr:uid="{00000000-0005-0000-0000-00004C4C0000}"/>
    <cellStyle name="Normal 6 3 3 2 3 2 2 2 2" xfId="19406" xr:uid="{00000000-0005-0000-0000-00004D4C0000}"/>
    <cellStyle name="Normal 6 3 3 2 3 2 2 2 2 2" xfId="39121" xr:uid="{00000000-0005-0000-0000-00004E4C0000}"/>
    <cellStyle name="Normal 6 3 3 2 3 2 2 2 3" xfId="29264" xr:uid="{00000000-0005-0000-0000-00004F4C0000}"/>
    <cellStyle name="Normal 6 3 3 2 3 2 2 3" xfId="14478" xr:uid="{00000000-0005-0000-0000-0000504C0000}"/>
    <cellStyle name="Normal 6 3 3 2 3 2 2 3 2" xfId="34193" xr:uid="{00000000-0005-0000-0000-0000514C0000}"/>
    <cellStyle name="Normal 6 3 3 2 3 2 2 4" xfId="24336" xr:uid="{00000000-0005-0000-0000-0000524C0000}"/>
    <cellStyle name="Normal 6 3 3 2 3 2 3" xfId="7082" xr:uid="{00000000-0005-0000-0000-0000534C0000}"/>
    <cellStyle name="Normal 6 3 3 2 3 2 3 2" xfId="16942" xr:uid="{00000000-0005-0000-0000-0000544C0000}"/>
    <cellStyle name="Normal 6 3 3 2 3 2 3 2 2" xfId="36657" xr:uid="{00000000-0005-0000-0000-0000554C0000}"/>
    <cellStyle name="Normal 6 3 3 2 3 2 3 3" xfId="26800" xr:uid="{00000000-0005-0000-0000-0000564C0000}"/>
    <cellStyle name="Normal 6 3 3 2 3 2 4" xfId="12014" xr:uid="{00000000-0005-0000-0000-0000574C0000}"/>
    <cellStyle name="Normal 6 3 3 2 3 2 4 2" xfId="31729" xr:uid="{00000000-0005-0000-0000-0000584C0000}"/>
    <cellStyle name="Normal 6 3 3 2 3 2 5" xfId="21872" xr:uid="{00000000-0005-0000-0000-0000594C0000}"/>
    <cellStyle name="Normal 6 3 3 2 3 3" xfId="3382" xr:uid="{00000000-0005-0000-0000-00005A4C0000}"/>
    <cellStyle name="Normal 6 3 3 2 3 3 2" xfId="8314" xr:uid="{00000000-0005-0000-0000-00005B4C0000}"/>
    <cellStyle name="Normal 6 3 3 2 3 3 2 2" xfId="18174" xr:uid="{00000000-0005-0000-0000-00005C4C0000}"/>
    <cellStyle name="Normal 6 3 3 2 3 3 2 2 2" xfId="37889" xr:uid="{00000000-0005-0000-0000-00005D4C0000}"/>
    <cellStyle name="Normal 6 3 3 2 3 3 2 3" xfId="28032" xr:uid="{00000000-0005-0000-0000-00005E4C0000}"/>
    <cellStyle name="Normal 6 3 3 2 3 3 3" xfId="13246" xr:uid="{00000000-0005-0000-0000-00005F4C0000}"/>
    <cellStyle name="Normal 6 3 3 2 3 3 3 2" xfId="32961" xr:uid="{00000000-0005-0000-0000-0000604C0000}"/>
    <cellStyle name="Normal 6 3 3 2 3 3 4" xfId="23104" xr:uid="{00000000-0005-0000-0000-0000614C0000}"/>
    <cellStyle name="Normal 6 3 3 2 3 4" xfId="5850" xr:uid="{00000000-0005-0000-0000-0000624C0000}"/>
    <cellStyle name="Normal 6 3 3 2 3 4 2" xfId="15710" xr:uid="{00000000-0005-0000-0000-0000634C0000}"/>
    <cellStyle name="Normal 6 3 3 2 3 4 2 2" xfId="35425" xr:uid="{00000000-0005-0000-0000-0000644C0000}"/>
    <cellStyle name="Normal 6 3 3 2 3 4 3" xfId="25568" xr:uid="{00000000-0005-0000-0000-0000654C0000}"/>
    <cellStyle name="Normal 6 3 3 2 3 5" xfId="10782" xr:uid="{00000000-0005-0000-0000-0000664C0000}"/>
    <cellStyle name="Normal 6 3 3 2 3 5 2" xfId="30497" xr:uid="{00000000-0005-0000-0000-0000674C0000}"/>
    <cellStyle name="Normal 6 3 3 2 3 6" xfId="20640" xr:uid="{00000000-0005-0000-0000-0000684C0000}"/>
    <cellStyle name="Normal 6 3 3 2 4" xfId="1531" xr:uid="{00000000-0005-0000-0000-0000694C0000}"/>
    <cellStyle name="Normal 6 3 3 2 4 2" xfId="3998" xr:uid="{00000000-0005-0000-0000-00006A4C0000}"/>
    <cellStyle name="Normal 6 3 3 2 4 2 2" xfId="8930" xr:uid="{00000000-0005-0000-0000-00006B4C0000}"/>
    <cellStyle name="Normal 6 3 3 2 4 2 2 2" xfId="18790" xr:uid="{00000000-0005-0000-0000-00006C4C0000}"/>
    <cellStyle name="Normal 6 3 3 2 4 2 2 2 2" xfId="38505" xr:uid="{00000000-0005-0000-0000-00006D4C0000}"/>
    <cellStyle name="Normal 6 3 3 2 4 2 2 3" xfId="28648" xr:uid="{00000000-0005-0000-0000-00006E4C0000}"/>
    <cellStyle name="Normal 6 3 3 2 4 2 3" xfId="13862" xr:uid="{00000000-0005-0000-0000-00006F4C0000}"/>
    <cellStyle name="Normal 6 3 3 2 4 2 3 2" xfId="33577" xr:uid="{00000000-0005-0000-0000-0000704C0000}"/>
    <cellStyle name="Normal 6 3 3 2 4 2 4" xfId="23720" xr:uid="{00000000-0005-0000-0000-0000714C0000}"/>
    <cellStyle name="Normal 6 3 3 2 4 3" xfId="6466" xr:uid="{00000000-0005-0000-0000-0000724C0000}"/>
    <cellStyle name="Normal 6 3 3 2 4 3 2" xfId="16326" xr:uid="{00000000-0005-0000-0000-0000734C0000}"/>
    <cellStyle name="Normal 6 3 3 2 4 3 2 2" xfId="36041" xr:uid="{00000000-0005-0000-0000-0000744C0000}"/>
    <cellStyle name="Normal 6 3 3 2 4 3 3" xfId="26184" xr:uid="{00000000-0005-0000-0000-0000754C0000}"/>
    <cellStyle name="Normal 6 3 3 2 4 4" xfId="11398" xr:uid="{00000000-0005-0000-0000-0000764C0000}"/>
    <cellStyle name="Normal 6 3 3 2 4 4 2" xfId="31113" xr:uid="{00000000-0005-0000-0000-0000774C0000}"/>
    <cellStyle name="Normal 6 3 3 2 4 5" xfId="21256" xr:uid="{00000000-0005-0000-0000-0000784C0000}"/>
    <cellStyle name="Normal 6 3 3 2 5" xfId="2766" xr:uid="{00000000-0005-0000-0000-0000794C0000}"/>
    <cellStyle name="Normal 6 3 3 2 5 2" xfId="7698" xr:uid="{00000000-0005-0000-0000-00007A4C0000}"/>
    <cellStyle name="Normal 6 3 3 2 5 2 2" xfId="17558" xr:uid="{00000000-0005-0000-0000-00007B4C0000}"/>
    <cellStyle name="Normal 6 3 3 2 5 2 2 2" xfId="37273" xr:uid="{00000000-0005-0000-0000-00007C4C0000}"/>
    <cellStyle name="Normal 6 3 3 2 5 2 3" xfId="27416" xr:uid="{00000000-0005-0000-0000-00007D4C0000}"/>
    <cellStyle name="Normal 6 3 3 2 5 3" xfId="12630" xr:uid="{00000000-0005-0000-0000-00007E4C0000}"/>
    <cellStyle name="Normal 6 3 3 2 5 3 2" xfId="32345" xr:uid="{00000000-0005-0000-0000-00007F4C0000}"/>
    <cellStyle name="Normal 6 3 3 2 5 4" xfId="22488" xr:uid="{00000000-0005-0000-0000-0000804C0000}"/>
    <cellStyle name="Normal 6 3 3 2 6" xfId="5234" xr:uid="{00000000-0005-0000-0000-0000814C0000}"/>
    <cellStyle name="Normal 6 3 3 2 6 2" xfId="15094" xr:uid="{00000000-0005-0000-0000-0000824C0000}"/>
    <cellStyle name="Normal 6 3 3 2 6 2 2" xfId="34809" xr:uid="{00000000-0005-0000-0000-0000834C0000}"/>
    <cellStyle name="Normal 6 3 3 2 6 3" xfId="24952" xr:uid="{00000000-0005-0000-0000-0000844C0000}"/>
    <cellStyle name="Normal 6 3 3 2 7" xfId="10166" xr:uid="{00000000-0005-0000-0000-0000854C0000}"/>
    <cellStyle name="Normal 6 3 3 2 7 2" xfId="29881" xr:uid="{00000000-0005-0000-0000-0000864C0000}"/>
    <cellStyle name="Normal 6 3 3 2 8" xfId="20024" xr:uid="{00000000-0005-0000-0000-0000874C0000}"/>
    <cellStyle name="Normal 6 3 3 3" xfId="446" xr:uid="{00000000-0005-0000-0000-0000884C0000}"/>
    <cellStyle name="Normal 6 3 3 3 2" xfId="1066" xr:uid="{00000000-0005-0000-0000-0000894C0000}"/>
    <cellStyle name="Normal 6 3 3 3 2 2" xfId="2301" xr:uid="{00000000-0005-0000-0000-00008A4C0000}"/>
    <cellStyle name="Normal 6 3 3 3 2 2 2" xfId="4768" xr:uid="{00000000-0005-0000-0000-00008B4C0000}"/>
    <cellStyle name="Normal 6 3 3 3 2 2 2 2" xfId="9700" xr:uid="{00000000-0005-0000-0000-00008C4C0000}"/>
    <cellStyle name="Normal 6 3 3 3 2 2 2 2 2" xfId="19560" xr:uid="{00000000-0005-0000-0000-00008D4C0000}"/>
    <cellStyle name="Normal 6 3 3 3 2 2 2 2 2 2" xfId="39275" xr:uid="{00000000-0005-0000-0000-00008E4C0000}"/>
    <cellStyle name="Normal 6 3 3 3 2 2 2 2 3" xfId="29418" xr:uid="{00000000-0005-0000-0000-00008F4C0000}"/>
    <cellStyle name="Normal 6 3 3 3 2 2 2 3" xfId="14632" xr:uid="{00000000-0005-0000-0000-0000904C0000}"/>
    <cellStyle name="Normal 6 3 3 3 2 2 2 3 2" xfId="34347" xr:uid="{00000000-0005-0000-0000-0000914C0000}"/>
    <cellStyle name="Normal 6 3 3 3 2 2 2 4" xfId="24490" xr:uid="{00000000-0005-0000-0000-0000924C0000}"/>
    <cellStyle name="Normal 6 3 3 3 2 2 3" xfId="7236" xr:uid="{00000000-0005-0000-0000-0000934C0000}"/>
    <cellStyle name="Normal 6 3 3 3 2 2 3 2" xfId="17096" xr:uid="{00000000-0005-0000-0000-0000944C0000}"/>
    <cellStyle name="Normal 6 3 3 3 2 2 3 2 2" xfId="36811" xr:uid="{00000000-0005-0000-0000-0000954C0000}"/>
    <cellStyle name="Normal 6 3 3 3 2 2 3 3" xfId="26954" xr:uid="{00000000-0005-0000-0000-0000964C0000}"/>
    <cellStyle name="Normal 6 3 3 3 2 2 4" xfId="12168" xr:uid="{00000000-0005-0000-0000-0000974C0000}"/>
    <cellStyle name="Normal 6 3 3 3 2 2 4 2" xfId="31883" xr:uid="{00000000-0005-0000-0000-0000984C0000}"/>
    <cellStyle name="Normal 6 3 3 3 2 2 5" xfId="22026" xr:uid="{00000000-0005-0000-0000-0000994C0000}"/>
    <cellStyle name="Normal 6 3 3 3 2 3" xfId="3536" xr:uid="{00000000-0005-0000-0000-00009A4C0000}"/>
    <cellStyle name="Normal 6 3 3 3 2 3 2" xfId="8468" xr:uid="{00000000-0005-0000-0000-00009B4C0000}"/>
    <cellStyle name="Normal 6 3 3 3 2 3 2 2" xfId="18328" xr:uid="{00000000-0005-0000-0000-00009C4C0000}"/>
    <cellStyle name="Normal 6 3 3 3 2 3 2 2 2" xfId="38043" xr:uid="{00000000-0005-0000-0000-00009D4C0000}"/>
    <cellStyle name="Normal 6 3 3 3 2 3 2 3" xfId="28186" xr:uid="{00000000-0005-0000-0000-00009E4C0000}"/>
    <cellStyle name="Normal 6 3 3 3 2 3 3" xfId="13400" xr:uid="{00000000-0005-0000-0000-00009F4C0000}"/>
    <cellStyle name="Normal 6 3 3 3 2 3 3 2" xfId="33115" xr:uid="{00000000-0005-0000-0000-0000A04C0000}"/>
    <cellStyle name="Normal 6 3 3 3 2 3 4" xfId="23258" xr:uid="{00000000-0005-0000-0000-0000A14C0000}"/>
    <cellStyle name="Normal 6 3 3 3 2 4" xfId="6004" xr:uid="{00000000-0005-0000-0000-0000A24C0000}"/>
    <cellStyle name="Normal 6 3 3 3 2 4 2" xfId="15864" xr:uid="{00000000-0005-0000-0000-0000A34C0000}"/>
    <cellStyle name="Normal 6 3 3 3 2 4 2 2" xfId="35579" xr:uid="{00000000-0005-0000-0000-0000A44C0000}"/>
    <cellStyle name="Normal 6 3 3 3 2 4 3" xfId="25722" xr:uid="{00000000-0005-0000-0000-0000A54C0000}"/>
    <cellStyle name="Normal 6 3 3 3 2 5" xfId="10936" xr:uid="{00000000-0005-0000-0000-0000A64C0000}"/>
    <cellStyle name="Normal 6 3 3 3 2 5 2" xfId="30651" xr:uid="{00000000-0005-0000-0000-0000A74C0000}"/>
    <cellStyle name="Normal 6 3 3 3 2 6" xfId="20794" xr:uid="{00000000-0005-0000-0000-0000A84C0000}"/>
    <cellStyle name="Normal 6 3 3 3 3" xfId="1685" xr:uid="{00000000-0005-0000-0000-0000A94C0000}"/>
    <cellStyle name="Normal 6 3 3 3 3 2" xfId="4152" xr:uid="{00000000-0005-0000-0000-0000AA4C0000}"/>
    <cellStyle name="Normal 6 3 3 3 3 2 2" xfId="9084" xr:uid="{00000000-0005-0000-0000-0000AB4C0000}"/>
    <cellStyle name="Normal 6 3 3 3 3 2 2 2" xfId="18944" xr:uid="{00000000-0005-0000-0000-0000AC4C0000}"/>
    <cellStyle name="Normal 6 3 3 3 3 2 2 2 2" xfId="38659" xr:uid="{00000000-0005-0000-0000-0000AD4C0000}"/>
    <cellStyle name="Normal 6 3 3 3 3 2 2 3" xfId="28802" xr:uid="{00000000-0005-0000-0000-0000AE4C0000}"/>
    <cellStyle name="Normal 6 3 3 3 3 2 3" xfId="14016" xr:uid="{00000000-0005-0000-0000-0000AF4C0000}"/>
    <cellStyle name="Normal 6 3 3 3 3 2 3 2" xfId="33731" xr:uid="{00000000-0005-0000-0000-0000B04C0000}"/>
    <cellStyle name="Normal 6 3 3 3 3 2 4" xfId="23874" xr:uid="{00000000-0005-0000-0000-0000B14C0000}"/>
    <cellStyle name="Normal 6 3 3 3 3 3" xfId="6620" xr:uid="{00000000-0005-0000-0000-0000B24C0000}"/>
    <cellStyle name="Normal 6 3 3 3 3 3 2" xfId="16480" xr:uid="{00000000-0005-0000-0000-0000B34C0000}"/>
    <cellStyle name="Normal 6 3 3 3 3 3 2 2" xfId="36195" xr:uid="{00000000-0005-0000-0000-0000B44C0000}"/>
    <cellStyle name="Normal 6 3 3 3 3 3 3" xfId="26338" xr:uid="{00000000-0005-0000-0000-0000B54C0000}"/>
    <cellStyle name="Normal 6 3 3 3 3 4" xfId="11552" xr:uid="{00000000-0005-0000-0000-0000B64C0000}"/>
    <cellStyle name="Normal 6 3 3 3 3 4 2" xfId="31267" xr:uid="{00000000-0005-0000-0000-0000B74C0000}"/>
    <cellStyle name="Normal 6 3 3 3 3 5" xfId="21410" xr:uid="{00000000-0005-0000-0000-0000B84C0000}"/>
    <cellStyle name="Normal 6 3 3 3 4" xfId="2920" xr:uid="{00000000-0005-0000-0000-0000B94C0000}"/>
    <cellStyle name="Normal 6 3 3 3 4 2" xfId="7852" xr:uid="{00000000-0005-0000-0000-0000BA4C0000}"/>
    <cellStyle name="Normal 6 3 3 3 4 2 2" xfId="17712" xr:uid="{00000000-0005-0000-0000-0000BB4C0000}"/>
    <cellStyle name="Normal 6 3 3 3 4 2 2 2" xfId="37427" xr:uid="{00000000-0005-0000-0000-0000BC4C0000}"/>
    <cellStyle name="Normal 6 3 3 3 4 2 3" xfId="27570" xr:uid="{00000000-0005-0000-0000-0000BD4C0000}"/>
    <cellStyle name="Normal 6 3 3 3 4 3" xfId="12784" xr:uid="{00000000-0005-0000-0000-0000BE4C0000}"/>
    <cellStyle name="Normal 6 3 3 3 4 3 2" xfId="32499" xr:uid="{00000000-0005-0000-0000-0000BF4C0000}"/>
    <cellStyle name="Normal 6 3 3 3 4 4" xfId="22642" xr:uid="{00000000-0005-0000-0000-0000C04C0000}"/>
    <cellStyle name="Normal 6 3 3 3 5" xfId="5388" xr:uid="{00000000-0005-0000-0000-0000C14C0000}"/>
    <cellStyle name="Normal 6 3 3 3 5 2" xfId="15248" xr:uid="{00000000-0005-0000-0000-0000C24C0000}"/>
    <cellStyle name="Normal 6 3 3 3 5 2 2" xfId="34963" xr:uid="{00000000-0005-0000-0000-0000C34C0000}"/>
    <cellStyle name="Normal 6 3 3 3 5 3" xfId="25106" xr:uid="{00000000-0005-0000-0000-0000C44C0000}"/>
    <cellStyle name="Normal 6 3 3 3 6" xfId="10320" xr:uid="{00000000-0005-0000-0000-0000C54C0000}"/>
    <cellStyle name="Normal 6 3 3 3 6 2" xfId="30035" xr:uid="{00000000-0005-0000-0000-0000C64C0000}"/>
    <cellStyle name="Normal 6 3 3 3 7" xfId="20178" xr:uid="{00000000-0005-0000-0000-0000C74C0000}"/>
    <cellStyle name="Normal 6 3 3 4" xfId="759" xr:uid="{00000000-0005-0000-0000-0000C84C0000}"/>
    <cellStyle name="Normal 6 3 3 4 2" xfId="1995" xr:uid="{00000000-0005-0000-0000-0000C94C0000}"/>
    <cellStyle name="Normal 6 3 3 4 2 2" xfId="4462" xr:uid="{00000000-0005-0000-0000-0000CA4C0000}"/>
    <cellStyle name="Normal 6 3 3 4 2 2 2" xfId="9394" xr:uid="{00000000-0005-0000-0000-0000CB4C0000}"/>
    <cellStyle name="Normal 6 3 3 4 2 2 2 2" xfId="19254" xr:uid="{00000000-0005-0000-0000-0000CC4C0000}"/>
    <cellStyle name="Normal 6 3 3 4 2 2 2 2 2" xfId="38969" xr:uid="{00000000-0005-0000-0000-0000CD4C0000}"/>
    <cellStyle name="Normal 6 3 3 4 2 2 2 3" xfId="29112" xr:uid="{00000000-0005-0000-0000-0000CE4C0000}"/>
    <cellStyle name="Normal 6 3 3 4 2 2 3" xfId="14326" xr:uid="{00000000-0005-0000-0000-0000CF4C0000}"/>
    <cellStyle name="Normal 6 3 3 4 2 2 3 2" xfId="34041" xr:uid="{00000000-0005-0000-0000-0000D04C0000}"/>
    <cellStyle name="Normal 6 3 3 4 2 2 4" xfId="24184" xr:uid="{00000000-0005-0000-0000-0000D14C0000}"/>
    <cellStyle name="Normal 6 3 3 4 2 3" xfId="6930" xr:uid="{00000000-0005-0000-0000-0000D24C0000}"/>
    <cellStyle name="Normal 6 3 3 4 2 3 2" xfId="16790" xr:uid="{00000000-0005-0000-0000-0000D34C0000}"/>
    <cellStyle name="Normal 6 3 3 4 2 3 2 2" xfId="36505" xr:uid="{00000000-0005-0000-0000-0000D44C0000}"/>
    <cellStyle name="Normal 6 3 3 4 2 3 3" xfId="26648" xr:uid="{00000000-0005-0000-0000-0000D54C0000}"/>
    <cellStyle name="Normal 6 3 3 4 2 4" xfId="11862" xr:uid="{00000000-0005-0000-0000-0000D64C0000}"/>
    <cellStyle name="Normal 6 3 3 4 2 4 2" xfId="31577" xr:uid="{00000000-0005-0000-0000-0000D74C0000}"/>
    <cellStyle name="Normal 6 3 3 4 2 5" xfId="21720" xr:uid="{00000000-0005-0000-0000-0000D84C0000}"/>
    <cellStyle name="Normal 6 3 3 4 3" xfId="3230" xr:uid="{00000000-0005-0000-0000-0000D94C0000}"/>
    <cellStyle name="Normal 6 3 3 4 3 2" xfId="8162" xr:uid="{00000000-0005-0000-0000-0000DA4C0000}"/>
    <cellStyle name="Normal 6 3 3 4 3 2 2" xfId="18022" xr:uid="{00000000-0005-0000-0000-0000DB4C0000}"/>
    <cellStyle name="Normal 6 3 3 4 3 2 2 2" xfId="37737" xr:uid="{00000000-0005-0000-0000-0000DC4C0000}"/>
    <cellStyle name="Normal 6 3 3 4 3 2 3" xfId="27880" xr:uid="{00000000-0005-0000-0000-0000DD4C0000}"/>
    <cellStyle name="Normal 6 3 3 4 3 3" xfId="13094" xr:uid="{00000000-0005-0000-0000-0000DE4C0000}"/>
    <cellStyle name="Normal 6 3 3 4 3 3 2" xfId="32809" xr:uid="{00000000-0005-0000-0000-0000DF4C0000}"/>
    <cellStyle name="Normal 6 3 3 4 3 4" xfId="22952" xr:uid="{00000000-0005-0000-0000-0000E04C0000}"/>
    <cellStyle name="Normal 6 3 3 4 4" xfId="5698" xr:uid="{00000000-0005-0000-0000-0000E14C0000}"/>
    <cellStyle name="Normal 6 3 3 4 4 2" xfId="15558" xr:uid="{00000000-0005-0000-0000-0000E24C0000}"/>
    <cellStyle name="Normal 6 3 3 4 4 2 2" xfId="35273" xr:uid="{00000000-0005-0000-0000-0000E34C0000}"/>
    <cellStyle name="Normal 6 3 3 4 4 3" xfId="25416" xr:uid="{00000000-0005-0000-0000-0000E44C0000}"/>
    <cellStyle name="Normal 6 3 3 4 5" xfId="10630" xr:uid="{00000000-0005-0000-0000-0000E54C0000}"/>
    <cellStyle name="Normal 6 3 3 4 5 2" xfId="30345" xr:uid="{00000000-0005-0000-0000-0000E64C0000}"/>
    <cellStyle name="Normal 6 3 3 4 6" xfId="20488" xr:uid="{00000000-0005-0000-0000-0000E74C0000}"/>
    <cellStyle name="Normal 6 3 3 5" xfId="1379" xr:uid="{00000000-0005-0000-0000-0000E84C0000}"/>
    <cellStyle name="Normal 6 3 3 5 2" xfId="3846" xr:uid="{00000000-0005-0000-0000-0000E94C0000}"/>
    <cellStyle name="Normal 6 3 3 5 2 2" xfId="8778" xr:uid="{00000000-0005-0000-0000-0000EA4C0000}"/>
    <cellStyle name="Normal 6 3 3 5 2 2 2" xfId="18638" xr:uid="{00000000-0005-0000-0000-0000EB4C0000}"/>
    <cellStyle name="Normal 6 3 3 5 2 2 2 2" xfId="38353" xr:uid="{00000000-0005-0000-0000-0000EC4C0000}"/>
    <cellStyle name="Normal 6 3 3 5 2 2 3" xfId="28496" xr:uid="{00000000-0005-0000-0000-0000ED4C0000}"/>
    <cellStyle name="Normal 6 3 3 5 2 3" xfId="13710" xr:uid="{00000000-0005-0000-0000-0000EE4C0000}"/>
    <cellStyle name="Normal 6 3 3 5 2 3 2" xfId="33425" xr:uid="{00000000-0005-0000-0000-0000EF4C0000}"/>
    <cellStyle name="Normal 6 3 3 5 2 4" xfId="23568" xr:uid="{00000000-0005-0000-0000-0000F04C0000}"/>
    <cellStyle name="Normal 6 3 3 5 3" xfId="6314" xr:uid="{00000000-0005-0000-0000-0000F14C0000}"/>
    <cellStyle name="Normal 6 3 3 5 3 2" xfId="16174" xr:uid="{00000000-0005-0000-0000-0000F24C0000}"/>
    <cellStyle name="Normal 6 3 3 5 3 2 2" xfId="35889" xr:uid="{00000000-0005-0000-0000-0000F34C0000}"/>
    <cellStyle name="Normal 6 3 3 5 3 3" xfId="26032" xr:uid="{00000000-0005-0000-0000-0000F44C0000}"/>
    <cellStyle name="Normal 6 3 3 5 4" xfId="11246" xr:uid="{00000000-0005-0000-0000-0000F54C0000}"/>
    <cellStyle name="Normal 6 3 3 5 4 2" xfId="30961" xr:uid="{00000000-0005-0000-0000-0000F64C0000}"/>
    <cellStyle name="Normal 6 3 3 5 5" xfId="21104" xr:uid="{00000000-0005-0000-0000-0000F74C0000}"/>
    <cellStyle name="Normal 6 3 3 6" xfId="2614" xr:uid="{00000000-0005-0000-0000-0000F84C0000}"/>
    <cellStyle name="Normal 6 3 3 6 2" xfId="7546" xr:uid="{00000000-0005-0000-0000-0000F94C0000}"/>
    <cellStyle name="Normal 6 3 3 6 2 2" xfId="17406" xr:uid="{00000000-0005-0000-0000-0000FA4C0000}"/>
    <cellStyle name="Normal 6 3 3 6 2 2 2" xfId="37121" xr:uid="{00000000-0005-0000-0000-0000FB4C0000}"/>
    <cellStyle name="Normal 6 3 3 6 2 3" xfId="27264" xr:uid="{00000000-0005-0000-0000-0000FC4C0000}"/>
    <cellStyle name="Normal 6 3 3 6 3" xfId="12478" xr:uid="{00000000-0005-0000-0000-0000FD4C0000}"/>
    <cellStyle name="Normal 6 3 3 6 3 2" xfId="32193" xr:uid="{00000000-0005-0000-0000-0000FE4C0000}"/>
    <cellStyle name="Normal 6 3 3 6 4" xfId="22336" xr:uid="{00000000-0005-0000-0000-0000FF4C0000}"/>
    <cellStyle name="Normal 6 3 3 7" xfId="5082" xr:uid="{00000000-0005-0000-0000-0000004D0000}"/>
    <cellStyle name="Normal 6 3 3 7 2" xfId="14942" xr:uid="{00000000-0005-0000-0000-0000014D0000}"/>
    <cellStyle name="Normal 6 3 3 7 2 2" xfId="34657" xr:uid="{00000000-0005-0000-0000-0000024D0000}"/>
    <cellStyle name="Normal 6 3 3 7 3" xfId="24800" xr:uid="{00000000-0005-0000-0000-0000034D0000}"/>
    <cellStyle name="Normal 6 3 3 8" xfId="10014" xr:uid="{00000000-0005-0000-0000-0000044D0000}"/>
    <cellStyle name="Normal 6 3 3 8 2" xfId="29729" xr:uid="{00000000-0005-0000-0000-0000054D0000}"/>
    <cellStyle name="Normal 6 3 3 9" xfId="19872" xr:uid="{00000000-0005-0000-0000-0000064D0000}"/>
    <cellStyle name="Normal 6 3 4" xfId="208" xr:uid="{00000000-0005-0000-0000-0000074D0000}"/>
    <cellStyle name="Normal 6 3 4 2" xfId="522" xr:uid="{00000000-0005-0000-0000-0000084D0000}"/>
    <cellStyle name="Normal 6 3 4 2 2" xfId="1142" xr:uid="{00000000-0005-0000-0000-0000094D0000}"/>
    <cellStyle name="Normal 6 3 4 2 2 2" xfId="2377" xr:uid="{00000000-0005-0000-0000-00000A4D0000}"/>
    <cellStyle name="Normal 6 3 4 2 2 2 2" xfId="4844" xr:uid="{00000000-0005-0000-0000-00000B4D0000}"/>
    <cellStyle name="Normal 6 3 4 2 2 2 2 2" xfId="9776" xr:uid="{00000000-0005-0000-0000-00000C4D0000}"/>
    <cellStyle name="Normal 6 3 4 2 2 2 2 2 2" xfId="19636" xr:uid="{00000000-0005-0000-0000-00000D4D0000}"/>
    <cellStyle name="Normal 6 3 4 2 2 2 2 2 2 2" xfId="39351" xr:uid="{00000000-0005-0000-0000-00000E4D0000}"/>
    <cellStyle name="Normal 6 3 4 2 2 2 2 2 3" xfId="29494" xr:uid="{00000000-0005-0000-0000-00000F4D0000}"/>
    <cellStyle name="Normal 6 3 4 2 2 2 2 3" xfId="14708" xr:uid="{00000000-0005-0000-0000-0000104D0000}"/>
    <cellStyle name="Normal 6 3 4 2 2 2 2 3 2" xfId="34423" xr:uid="{00000000-0005-0000-0000-0000114D0000}"/>
    <cellStyle name="Normal 6 3 4 2 2 2 2 4" xfId="24566" xr:uid="{00000000-0005-0000-0000-0000124D0000}"/>
    <cellStyle name="Normal 6 3 4 2 2 2 3" xfId="7312" xr:uid="{00000000-0005-0000-0000-0000134D0000}"/>
    <cellStyle name="Normal 6 3 4 2 2 2 3 2" xfId="17172" xr:uid="{00000000-0005-0000-0000-0000144D0000}"/>
    <cellStyle name="Normal 6 3 4 2 2 2 3 2 2" xfId="36887" xr:uid="{00000000-0005-0000-0000-0000154D0000}"/>
    <cellStyle name="Normal 6 3 4 2 2 2 3 3" xfId="27030" xr:uid="{00000000-0005-0000-0000-0000164D0000}"/>
    <cellStyle name="Normal 6 3 4 2 2 2 4" xfId="12244" xr:uid="{00000000-0005-0000-0000-0000174D0000}"/>
    <cellStyle name="Normal 6 3 4 2 2 2 4 2" xfId="31959" xr:uid="{00000000-0005-0000-0000-0000184D0000}"/>
    <cellStyle name="Normal 6 3 4 2 2 2 5" xfId="22102" xr:uid="{00000000-0005-0000-0000-0000194D0000}"/>
    <cellStyle name="Normal 6 3 4 2 2 3" xfId="3612" xr:uid="{00000000-0005-0000-0000-00001A4D0000}"/>
    <cellStyle name="Normal 6 3 4 2 2 3 2" xfId="8544" xr:uid="{00000000-0005-0000-0000-00001B4D0000}"/>
    <cellStyle name="Normal 6 3 4 2 2 3 2 2" xfId="18404" xr:uid="{00000000-0005-0000-0000-00001C4D0000}"/>
    <cellStyle name="Normal 6 3 4 2 2 3 2 2 2" xfId="38119" xr:uid="{00000000-0005-0000-0000-00001D4D0000}"/>
    <cellStyle name="Normal 6 3 4 2 2 3 2 3" xfId="28262" xr:uid="{00000000-0005-0000-0000-00001E4D0000}"/>
    <cellStyle name="Normal 6 3 4 2 2 3 3" xfId="13476" xr:uid="{00000000-0005-0000-0000-00001F4D0000}"/>
    <cellStyle name="Normal 6 3 4 2 2 3 3 2" xfId="33191" xr:uid="{00000000-0005-0000-0000-0000204D0000}"/>
    <cellStyle name="Normal 6 3 4 2 2 3 4" xfId="23334" xr:uid="{00000000-0005-0000-0000-0000214D0000}"/>
    <cellStyle name="Normal 6 3 4 2 2 4" xfId="6080" xr:uid="{00000000-0005-0000-0000-0000224D0000}"/>
    <cellStyle name="Normal 6 3 4 2 2 4 2" xfId="15940" xr:uid="{00000000-0005-0000-0000-0000234D0000}"/>
    <cellStyle name="Normal 6 3 4 2 2 4 2 2" xfId="35655" xr:uid="{00000000-0005-0000-0000-0000244D0000}"/>
    <cellStyle name="Normal 6 3 4 2 2 4 3" xfId="25798" xr:uid="{00000000-0005-0000-0000-0000254D0000}"/>
    <cellStyle name="Normal 6 3 4 2 2 5" xfId="11012" xr:uid="{00000000-0005-0000-0000-0000264D0000}"/>
    <cellStyle name="Normal 6 3 4 2 2 5 2" xfId="30727" xr:uid="{00000000-0005-0000-0000-0000274D0000}"/>
    <cellStyle name="Normal 6 3 4 2 2 6" xfId="20870" xr:uid="{00000000-0005-0000-0000-0000284D0000}"/>
    <cellStyle name="Normal 6 3 4 2 3" xfId="1761" xr:uid="{00000000-0005-0000-0000-0000294D0000}"/>
    <cellStyle name="Normal 6 3 4 2 3 2" xfId="4228" xr:uid="{00000000-0005-0000-0000-00002A4D0000}"/>
    <cellStyle name="Normal 6 3 4 2 3 2 2" xfId="9160" xr:uid="{00000000-0005-0000-0000-00002B4D0000}"/>
    <cellStyle name="Normal 6 3 4 2 3 2 2 2" xfId="19020" xr:uid="{00000000-0005-0000-0000-00002C4D0000}"/>
    <cellStyle name="Normal 6 3 4 2 3 2 2 2 2" xfId="38735" xr:uid="{00000000-0005-0000-0000-00002D4D0000}"/>
    <cellStyle name="Normal 6 3 4 2 3 2 2 3" xfId="28878" xr:uid="{00000000-0005-0000-0000-00002E4D0000}"/>
    <cellStyle name="Normal 6 3 4 2 3 2 3" xfId="14092" xr:uid="{00000000-0005-0000-0000-00002F4D0000}"/>
    <cellStyle name="Normal 6 3 4 2 3 2 3 2" xfId="33807" xr:uid="{00000000-0005-0000-0000-0000304D0000}"/>
    <cellStyle name="Normal 6 3 4 2 3 2 4" xfId="23950" xr:uid="{00000000-0005-0000-0000-0000314D0000}"/>
    <cellStyle name="Normal 6 3 4 2 3 3" xfId="6696" xr:uid="{00000000-0005-0000-0000-0000324D0000}"/>
    <cellStyle name="Normal 6 3 4 2 3 3 2" xfId="16556" xr:uid="{00000000-0005-0000-0000-0000334D0000}"/>
    <cellStyle name="Normal 6 3 4 2 3 3 2 2" xfId="36271" xr:uid="{00000000-0005-0000-0000-0000344D0000}"/>
    <cellStyle name="Normal 6 3 4 2 3 3 3" xfId="26414" xr:uid="{00000000-0005-0000-0000-0000354D0000}"/>
    <cellStyle name="Normal 6 3 4 2 3 4" xfId="11628" xr:uid="{00000000-0005-0000-0000-0000364D0000}"/>
    <cellStyle name="Normal 6 3 4 2 3 4 2" xfId="31343" xr:uid="{00000000-0005-0000-0000-0000374D0000}"/>
    <cellStyle name="Normal 6 3 4 2 3 5" xfId="21486" xr:uid="{00000000-0005-0000-0000-0000384D0000}"/>
    <cellStyle name="Normal 6 3 4 2 4" xfId="2996" xr:uid="{00000000-0005-0000-0000-0000394D0000}"/>
    <cellStyle name="Normal 6 3 4 2 4 2" xfId="7928" xr:uid="{00000000-0005-0000-0000-00003A4D0000}"/>
    <cellStyle name="Normal 6 3 4 2 4 2 2" xfId="17788" xr:uid="{00000000-0005-0000-0000-00003B4D0000}"/>
    <cellStyle name="Normal 6 3 4 2 4 2 2 2" xfId="37503" xr:uid="{00000000-0005-0000-0000-00003C4D0000}"/>
    <cellStyle name="Normal 6 3 4 2 4 2 3" xfId="27646" xr:uid="{00000000-0005-0000-0000-00003D4D0000}"/>
    <cellStyle name="Normal 6 3 4 2 4 3" xfId="12860" xr:uid="{00000000-0005-0000-0000-00003E4D0000}"/>
    <cellStyle name="Normal 6 3 4 2 4 3 2" xfId="32575" xr:uid="{00000000-0005-0000-0000-00003F4D0000}"/>
    <cellStyle name="Normal 6 3 4 2 4 4" xfId="22718" xr:uid="{00000000-0005-0000-0000-0000404D0000}"/>
    <cellStyle name="Normal 6 3 4 2 5" xfId="5464" xr:uid="{00000000-0005-0000-0000-0000414D0000}"/>
    <cellStyle name="Normal 6 3 4 2 5 2" xfId="15324" xr:uid="{00000000-0005-0000-0000-0000424D0000}"/>
    <cellStyle name="Normal 6 3 4 2 5 2 2" xfId="35039" xr:uid="{00000000-0005-0000-0000-0000434D0000}"/>
    <cellStyle name="Normal 6 3 4 2 5 3" xfId="25182" xr:uid="{00000000-0005-0000-0000-0000444D0000}"/>
    <cellStyle name="Normal 6 3 4 2 6" xfId="10396" xr:uid="{00000000-0005-0000-0000-0000454D0000}"/>
    <cellStyle name="Normal 6 3 4 2 6 2" xfId="30111" xr:uid="{00000000-0005-0000-0000-0000464D0000}"/>
    <cellStyle name="Normal 6 3 4 2 7" xfId="20254" xr:uid="{00000000-0005-0000-0000-0000474D0000}"/>
    <cellStyle name="Normal 6 3 4 3" xfId="835" xr:uid="{00000000-0005-0000-0000-0000484D0000}"/>
    <cellStyle name="Normal 6 3 4 3 2" xfId="2071" xr:uid="{00000000-0005-0000-0000-0000494D0000}"/>
    <cellStyle name="Normal 6 3 4 3 2 2" xfId="4538" xr:uid="{00000000-0005-0000-0000-00004A4D0000}"/>
    <cellStyle name="Normal 6 3 4 3 2 2 2" xfId="9470" xr:uid="{00000000-0005-0000-0000-00004B4D0000}"/>
    <cellStyle name="Normal 6 3 4 3 2 2 2 2" xfId="19330" xr:uid="{00000000-0005-0000-0000-00004C4D0000}"/>
    <cellStyle name="Normal 6 3 4 3 2 2 2 2 2" xfId="39045" xr:uid="{00000000-0005-0000-0000-00004D4D0000}"/>
    <cellStyle name="Normal 6 3 4 3 2 2 2 3" xfId="29188" xr:uid="{00000000-0005-0000-0000-00004E4D0000}"/>
    <cellStyle name="Normal 6 3 4 3 2 2 3" xfId="14402" xr:uid="{00000000-0005-0000-0000-00004F4D0000}"/>
    <cellStyle name="Normal 6 3 4 3 2 2 3 2" xfId="34117" xr:uid="{00000000-0005-0000-0000-0000504D0000}"/>
    <cellStyle name="Normal 6 3 4 3 2 2 4" xfId="24260" xr:uid="{00000000-0005-0000-0000-0000514D0000}"/>
    <cellStyle name="Normal 6 3 4 3 2 3" xfId="7006" xr:uid="{00000000-0005-0000-0000-0000524D0000}"/>
    <cellStyle name="Normal 6 3 4 3 2 3 2" xfId="16866" xr:uid="{00000000-0005-0000-0000-0000534D0000}"/>
    <cellStyle name="Normal 6 3 4 3 2 3 2 2" xfId="36581" xr:uid="{00000000-0005-0000-0000-0000544D0000}"/>
    <cellStyle name="Normal 6 3 4 3 2 3 3" xfId="26724" xr:uid="{00000000-0005-0000-0000-0000554D0000}"/>
    <cellStyle name="Normal 6 3 4 3 2 4" xfId="11938" xr:uid="{00000000-0005-0000-0000-0000564D0000}"/>
    <cellStyle name="Normal 6 3 4 3 2 4 2" xfId="31653" xr:uid="{00000000-0005-0000-0000-0000574D0000}"/>
    <cellStyle name="Normal 6 3 4 3 2 5" xfId="21796" xr:uid="{00000000-0005-0000-0000-0000584D0000}"/>
    <cellStyle name="Normal 6 3 4 3 3" xfId="3306" xr:uid="{00000000-0005-0000-0000-0000594D0000}"/>
    <cellStyle name="Normal 6 3 4 3 3 2" xfId="8238" xr:uid="{00000000-0005-0000-0000-00005A4D0000}"/>
    <cellStyle name="Normal 6 3 4 3 3 2 2" xfId="18098" xr:uid="{00000000-0005-0000-0000-00005B4D0000}"/>
    <cellStyle name="Normal 6 3 4 3 3 2 2 2" xfId="37813" xr:uid="{00000000-0005-0000-0000-00005C4D0000}"/>
    <cellStyle name="Normal 6 3 4 3 3 2 3" xfId="27956" xr:uid="{00000000-0005-0000-0000-00005D4D0000}"/>
    <cellStyle name="Normal 6 3 4 3 3 3" xfId="13170" xr:uid="{00000000-0005-0000-0000-00005E4D0000}"/>
    <cellStyle name="Normal 6 3 4 3 3 3 2" xfId="32885" xr:uid="{00000000-0005-0000-0000-00005F4D0000}"/>
    <cellStyle name="Normal 6 3 4 3 3 4" xfId="23028" xr:uid="{00000000-0005-0000-0000-0000604D0000}"/>
    <cellStyle name="Normal 6 3 4 3 4" xfId="5774" xr:uid="{00000000-0005-0000-0000-0000614D0000}"/>
    <cellStyle name="Normal 6 3 4 3 4 2" xfId="15634" xr:uid="{00000000-0005-0000-0000-0000624D0000}"/>
    <cellStyle name="Normal 6 3 4 3 4 2 2" xfId="35349" xr:uid="{00000000-0005-0000-0000-0000634D0000}"/>
    <cellStyle name="Normal 6 3 4 3 4 3" xfId="25492" xr:uid="{00000000-0005-0000-0000-0000644D0000}"/>
    <cellStyle name="Normal 6 3 4 3 5" xfId="10706" xr:uid="{00000000-0005-0000-0000-0000654D0000}"/>
    <cellStyle name="Normal 6 3 4 3 5 2" xfId="30421" xr:uid="{00000000-0005-0000-0000-0000664D0000}"/>
    <cellStyle name="Normal 6 3 4 3 6" xfId="20564" xr:uid="{00000000-0005-0000-0000-0000674D0000}"/>
    <cellStyle name="Normal 6 3 4 4" xfId="1455" xr:uid="{00000000-0005-0000-0000-0000684D0000}"/>
    <cellStyle name="Normal 6 3 4 4 2" xfId="3922" xr:uid="{00000000-0005-0000-0000-0000694D0000}"/>
    <cellStyle name="Normal 6 3 4 4 2 2" xfId="8854" xr:uid="{00000000-0005-0000-0000-00006A4D0000}"/>
    <cellStyle name="Normal 6 3 4 4 2 2 2" xfId="18714" xr:uid="{00000000-0005-0000-0000-00006B4D0000}"/>
    <cellStyle name="Normal 6 3 4 4 2 2 2 2" xfId="38429" xr:uid="{00000000-0005-0000-0000-00006C4D0000}"/>
    <cellStyle name="Normal 6 3 4 4 2 2 3" xfId="28572" xr:uid="{00000000-0005-0000-0000-00006D4D0000}"/>
    <cellStyle name="Normal 6 3 4 4 2 3" xfId="13786" xr:uid="{00000000-0005-0000-0000-00006E4D0000}"/>
    <cellStyle name="Normal 6 3 4 4 2 3 2" xfId="33501" xr:uid="{00000000-0005-0000-0000-00006F4D0000}"/>
    <cellStyle name="Normal 6 3 4 4 2 4" xfId="23644" xr:uid="{00000000-0005-0000-0000-0000704D0000}"/>
    <cellStyle name="Normal 6 3 4 4 3" xfId="6390" xr:uid="{00000000-0005-0000-0000-0000714D0000}"/>
    <cellStyle name="Normal 6 3 4 4 3 2" xfId="16250" xr:uid="{00000000-0005-0000-0000-0000724D0000}"/>
    <cellStyle name="Normal 6 3 4 4 3 2 2" xfId="35965" xr:uid="{00000000-0005-0000-0000-0000734D0000}"/>
    <cellStyle name="Normal 6 3 4 4 3 3" xfId="26108" xr:uid="{00000000-0005-0000-0000-0000744D0000}"/>
    <cellStyle name="Normal 6 3 4 4 4" xfId="11322" xr:uid="{00000000-0005-0000-0000-0000754D0000}"/>
    <cellStyle name="Normal 6 3 4 4 4 2" xfId="31037" xr:uid="{00000000-0005-0000-0000-0000764D0000}"/>
    <cellStyle name="Normal 6 3 4 4 5" xfId="21180" xr:uid="{00000000-0005-0000-0000-0000774D0000}"/>
    <cellStyle name="Normal 6 3 4 5" xfId="2690" xr:uid="{00000000-0005-0000-0000-0000784D0000}"/>
    <cellStyle name="Normal 6 3 4 5 2" xfId="7622" xr:uid="{00000000-0005-0000-0000-0000794D0000}"/>
    <cellStyle name="Normal 6 3 4 5 2 2" xfId="17482" xr:uid="{00000000-0005-0000-0000-00007A4D0000}"/>
    <cellStyle name="Normal 6 3 4 5 2 2 2" xfId="37197" xr:uid="{00000000-0005-0000-0000-00007B4D0000}"/>
    <cellStyle name="Normal 6 3 4 5 2 3" xfId="27340" xr:uid="{00000000-0005-0000-0000-00007C4D0000}"/>
    <cellStyle name="Normal 6 3 4 5 3" xfId="12554" xr:uid="{00000000-0005-0000-0000-00007D4D0000}"/>
    <cellStyle name="Normal 6 3 4 5 3 2" xfId="32269" xr:uid="{00000000-0005-0000-0000-00007E4D0000}"/>
    <cellStyle name="Normal 6 3 4 5 4" xfId="22412" xr:uid="{00000000-0005-0000-0000-00007F4D0000}"/>
    <cellStyle name="Normal 6 3 4 6" xfId="5158" xr:uid="{00000000-0005-0000-0000-0000804D0000}"/>
    <cellStyle name="Normal 6 3 4 6 2" xfId="15018" xr:uid="{00000000-0005-0000-0000-0000814D0000}"/>
    <cellStyle name="Normal 6 3 4 6 2 2" xfId="34733" xr:uid="{00000000-0005-0000-0000-0000824D0000}"/>
    <cellStyle name="Normal 6 3 4 6 3" xfId="24876" xr:uid="{00000000-0005-0000-0000-0000834D0000}"/>
    <cellStyle name="Normal 6 3 4 7" xfId="10090" xr:uid="{00000000-0005-0000-0000-0000844D0000}"/>
    <cellStyle name="Normal 6 3 4 7 2" xfId="29805" xr:uid="{00000000-0005-0000-0000-0000854D0000}"/>
    <cellStyle name="Normal 6 3 4 8" xfId="19948" xr:uid="{00000000-0005-0000-0000-0000864D0000}"/>
    <cellStyle name="Normal 6 3 5" xfId="370" xr:uid="{00000000-0005-0000-0000-0000874D0000}"/>
    <cellStyle name="Normal 6 3 5 2" xfId="990" xr:uid="{00000000-0005-0000-0000-0000884D0000}"/>
    <cellStyle name="Normal 6 3 5 2 2" xfId="2225" xr:uid="{00000000-0005-0000-0000-0000894D0000}"/>
    <cellStyle name="Normal 6 3 5 2 2 2" xfId="4692" xr:uid="{00000000-0005-0000-0000-00008A4D0000}"/>
    <cellStyle name="Normal 6 3 5 2 2 2 2" xfId="9624" xr:uid="{00000000-0005-0000-0000-00008B4D0000}"/>
    <cellStyle name="Normal 6 3 5 2 2 2 2 2" xfId="19484" xr:uid="{00000000-0005-0000-0000-00008C4D0000}"/>
    <cellStyle name="Normal 6 3 5 2 2 2 2 2 2" xfId="39199" xr:uid="{00000000-0005-0000-0000-00008D4D0000}"/>
    <cellStyle name="Normal 6 3 5 2 2 2 2 3" xfId="29342" xr:uid="{00000000-0005-0000-0000-00008E4D0000}"/>
    <cellStyle name="Normal 6 3 5 2 2 2 3" xfId="14556" xr:uid="{00000000-0005-0000-0000-00008F4D0000}"/>
    <cellStyle name="Normal 6 3 5 2 2 2 3 2" xfId="34271" xr:uid="{00000000-0005-0000-0000-0000904D0000}"/>
    <cellStyle name="Normal 6 3 5 2 2 2 4" xfId="24414" xr:uid="{00000000-0005-0000-0000-0000914D0000}"/>
    <cellStyle name="Normal 6 3 5 2 2 3" xfId="7160" xr:uid="{00000000-0005-0000-0000-0000924D0000}"/>
    <cellStyle name="Normal 6 3 5 2 2 3 2" xfId="17020" xr:uid="{00000000-0005-0000-0000-0000934D0000}"/>
    <cellStyle name="Normal 6 3 5 2 2 3 2 2" xfId="36735" xr:uid="{00000000-0005-0000-0000-0000944D0000}"/>
    <cellStyle name="Normal 6 3 5 2 2 3 3" xfId="26878" xr:uid="{00000000-0005-0000-0000-0000954D0000}"/>
    <cellStyle name="Normal 6 3 5 2 2 4" xfId="12092" xr:uid="{00000000-0005-0000-0000-0000964D0000}"/>
    <cellStyle name="Normal 6 3 5 2 2 4 2" xfId="31807" xr:uid="{00000000-0005-0000-0000-0000974D0000}"/>
    <cellStyle name="Normal 6 3 5 2 2 5" xfId="21950" xr:uid="{00000000-0005-0000-0000-0000984D0000}"/>
    <cellStyle name="Normal 6 3 5 2 3" xfId="3460" xr:uid="{00000000-0005-0000-0000-0000994D0000}"/>
    <cellStyle name="Normal 6 3 5 2 3 2" xfId="8392" xr:uid="{00000000-0005-0000-0000-00009A4D0000}"/>
    <cellStyle name="Normal 6 3 5 2 3 2 2" xfId="18252" xr:uid="{00000000-0005-0000-0000-00009B4D0000}"/>
    <cellStyle name="Normal 6 3 5 2 3 2 2 2" xfId="37967" xr:uid="{00000000-0005-0000-0000-00009C4D0000}"/>
    <cellStyle name="Normal 6 3 5 2 3 2 3" xfId="28110" xr:uid="{00000000-0005-0000-0000-00009D4D0000}"/>
    <cellStyle name="Normal 6 3 5 2 3 3" xfId="13324" xr:uid="{00000000-0005-0000-0000-00009E4D0000}"/>
    <cellStyle name="Normal 6 3 5 2 3 3 2" xfId="33039" xr:uid="{00000000-0005-0000-0000-00009F4D0000}"/>
    <cellStyle name="Normal 6 3 5 2 3 4" xfId="23182" xr:uid="{00000000-0005-0000-0000-0000A04D0000}"/>
    <cellStyle name="Normal 6 3 5 2 4" xfId="5928" xr:uid="{00000000-0005-0000-0000-0000A14D0000}"/>
    <cellStyle name="Normal 6 3 5 2 4 2" xfId="15788" xr:uid="{00000000-0005-0000-0000-0000A24D0000}"/>
    <cellStyle name="Normal 6 3 5 2 4 2 2" xfId="35503" xr:uid="{00000000-0005-0000-0000-0000A34D0000}"/>
    <cellStyle name="Normal 6 3 5 2 4 3" xfId="25646" xr:uid="{00000000-0005-0000-0000-0000A44D0000}"/>
    <cellStyle name="Normal 6 3 5 2 5" xfId="10860" xr:uid="{00000000-0005-0000-0000-0000A54D0000}"/>
    <cellStyle name="Normal 6 3 5 2 5 2" xfId="30575" xr:uid="{00000000-0005-0000-0000-0000A64D0000}"/>
    <cellStyle name="Normal 6 3 5 2 6" xfId="20718" xr:uid="{00000000-0005-0000-0000-0000A74D0000}"/>
    <cellStyle name="Normal 6 3 5 3" xfId="1609" xr:uid="{00000000-0005-0000-0000-0000A84D0000}"/>
    <cellStyle name="Normal 6 3 5 3 2" xfId="4076" xr:uid="{00000000-0005-0000-0000-0000A94D0000}"/>
    <cellStyle name="Normal 6 3 5 3 2 2" xfId="9008" xr:uid="{00000000-0005-0000-0000-0000AA4D0000}"/>
    <cellStyle name="Normal 6 3 5 3 2 2 2" xfId="18868" xr:uid="{00000000-0005-0000-0000-0000AB4D0000}"/>
    <cellStyle name="Normal 6 3 5 3 2 2 2 2" xfId="38583" xr:uid="{00000000-0005-0000-0000-0000AC4D0000}"/>
    <cellStyle name="Normal 6 3 5 3 2 2 3" xfId="28726" xr:uid="{00000000-0005-0000-0000-0000AD4D0000}"/>
    <cellStyle name="Normal 6 3 5 3 2 3" xfId="13940" xr:uid="{00000000-0005-0000-0000-0000AE4D0000}"/>
    <cellStyle name="Normal 6 3 5 3 2 3 2" xfId="33655" xr:uid="{00000000-0005-0000-0000-0000AF4D0000}"/>
    <cellStyle name="Normal 6 3 5 3 2 4" xfId="23798" xr:uid="{00000000-0005-0000-0000-0000B04D0000}"/>
    <cellStyle name="Normal 6 3 5 3 3" xfId="6544" xr:uid="{00000000-0005-0000-0000-0000B14D0000}"/>
    <cellStyle name="Normal 6 3 5 3 3 2" xfId="16404" xr:uid="{00000000-0005-0000-0000-0000B24D0000}"/>
    <cellStyle name="Normal 6 3 5 3 3 2 2" xfId="36119" xr:uid="{00000000-0005-0000-0000-0000B34D0000}"/>
    <cellStyle name="Normal 6 3 5 3 3 3" xfId="26262" xr:uid="{00000000-0005-0000-0000-0000B44D0000}"/>
    <cellStyle name="Normal 6 3 5 3 4" xfId="11476" xr:uid="{00000000-0005-0000-0000-0000B54D0000}"/>
    <cellStyle name="Normal 6 3 5 3 4 2" xfId="31191" xr:uid="{00000000-0005-0000-0000-0000B64D0000}"/>
    <cellStyle name="Normal 6 3 5 3 5" xfId="21334" xr:uid="{00000000-0005-0000-0000-0000B74D0000}"/>
    <cellStyle name="Normal 6 3 5 4" xfId="2844" xr:uid="{00000000-0005-0000-0000-0000B84D0000}"/>
    <cellStyle name="Normal 6 3 5 4 2" xfId="7776" xr:uid="{00000000-0005-0000-0000-0000B94D0000}"/>
    <cellStyle name="Normal 6 3 5 4 2 2" xfId="17636" xr:uid="{00000000-0005-0000-0000-0000BA4D0000}"/>
    <cellStyle name="Normal 6 3 5 4 2 2 2" xfId="37351" xr:uid="{00000000-0005-0000-0000-0000BB4D0000}"/>
    <cellStyle name="Normal 6 3 5 4 2 3" xfId="27494" xr:uid="{00000000-0005-0000-0000-0000BC4D0000}"/>
    <cellStyle name="Normal 6 3 5 4 3" xfId="12708" xr:uid="{00000000-0005-0000-0000-0000BD4D0000}"/>
    <cellStyle name="Normal 6 3 5 4 3 2" xfId="32423" xr:uid="{00000000-0005-0000-0000-0000BE4D0000}"/>
    <cellStyle name="Normal 6 3 5 4 4" xfId="22566" xr:uid="{00000000-0005-0000-0000-0000BF4D0000}"/>
    <cellStyle name="Normal 6 3 5 5" xfId="5312" xr:uid="{00000000-0005-0000-0000-0000C04D0000}"/>
    <cellStyle name="Normal 6 3 5 5 2" xfId="15172" xr:uid="{00000000-0005-0000-0000-0000C14D0000}"/>
    <cellStyle name="Normal 6 3 5 5 2 2" xfId="34887" xr:uid="{00000000-0005-0000-0000-0000C24D0000}"/>
    <cellStyle name="Normal 6 3 5 5 3" xfId="25030" xr:uid="{00000000-0005-0000-0000-0000C34D0000}"/>
    <cellStyle name="Normal 6 3 5 6" xfId="10244" xr:uid="{00000000-0005-0000-0000-0000C44D0000}"/>
    <cellStyle name="Normal 6 3 5 6 2" xfId="29959" xr:uid="{00000000-0005-0000-0000-0000C54D0000}"/>
    <cellStyle name="Normal 6 3 5 7" xfId="20102" xr:uid="{00000000-0005-0000-0000-0000C64D0000}"/>
    <cellStyle name="Normal 6 3 6" xfId="683" xr:uid="{00000000-0005-0000-0000-0000C74D0000}"/>
    <cellStyle name="Normal 6 3 6 2" xfId="1919" xr:uid="{00000000-0005-0000-0000-0000C84D0000}"/>
    <cellStyle name="Normal 6 3 6 2 2" xfId="4386" xr:uid="{00000000-0005-0000-0000-0000C94D0000}"/>
    <cellStyle name="Normal 6 3 6 2 2 2" xfId="9318" xr:uid="{00000000-0005-0000-0000-0000CA4D0000}"/>
    <cellStyle name="Normal 6 3 6 2 2 2 2" xfId="19178" xr:uid="{00000000-0005-0000-0000-0000CB4D0000}"/>
    <cellStyle name="Normal 6 3 6 2 2 2 2 2" xfId="38893" xr:uid="{00000000-0005-0000-0000-0000CC4D0000}"/>
    <cellStyle name="Normal 6 3 6 2 2 2 3" xfId="29036" xr:uid="{00000000-0005-0000-0000-0000CD4D0000}"/>
    <cellStyle name="Normal 6 3 6 2 2 3" xfId="14250" xr:uid="{00000000-0005-0000-0000-0000CE4D0000}"/>
    <cellStyle name="Normal 6 3 6 2 2 3 2" xfId="33965" xr:uid="{00000000-0005-0000-0000-0000CF4D0000}"/>
    <cellStyle name="Normal 6 3 6 2 2 4" xfId="24108" xr:uid="{00000000-0005-0000-0000-0000D04D0000}"/>
    <cellStyle name="Normal 6 3 6 2 3" xfId="6854" xr:uid="{00000000-0005-0000-0000-0000D14D0000}"/>
    <cellStyle name="Normal 6 3 6 2 3 2" xfId="16714" xr:uid="{00000000-0005-0000-0000-0000D24D0000}"/>
    <cellStyle name="Normal 6 3 6 2 3 2 2" xfId="36429" xr:uid="{00000000-0005-0000-0000-0000D34D0000}"/>
    <cellStyle name="Normal 6 3 6 2 3 3" xfId="26572" xr:uid="{00000000-0005-0000-0000-0000D44D0000}"/>
    <cellStyle name="Normal 6 3 6 2 4" xfId="11786" xr:uid="{00000000-0005-0000-0000-0000D54D0000}"/>
    <cellStyle name="Normal 6 3 6 2 4 2" xfId="31501" xr:uid="{00000000-0005-0000-0000-0000D64D0000}"/>
    <cellStyle name="Normal 6 3 6 2 5" xfId="21644" xr:uid="{00000000-0005-0000-0000-0000D74D0000}"/>
    <cellStyle name="Normal 6 3 6 3" xfId="3154" xr:uid="{00000000-0005-0000-0000-0000D84D0000}"/>
    <cellStyle name="Normal 6 3 6 3 2" xfId="8086" xr:uid="{00000000-0005-0000-0000-0000D94D0000}"/>
    <cellStyle name="Normal 6 3 6 3 2 2" xfId="17946" xr:uid="{00000000-0005-0000-0000-0000DA4D0000}"/>
    <cellStyle name="Normal 6 3 6 3 2 2 2" xfId="37661" xr:uid="{00000000-0005-0000-0000-0000DB4D0000}"/>
    <cellStyle name="Normal 6 3 6 3 2 3" xfId="27804" xr:uid="{00000000-0005-0000-0000-0000DC4D0000}"/>
    <cellStyle name="Normal 6 3 6 3 3" xfId="13018" xr:uid="{00000000-0005-0000-0000-0000DD4D0000}"/>
    <cellStyle name="Normal 6 3 6 3 3 2" xfId="32733" xr:uid="{00000000-0005-0000-0000-0000DE4D0000}"/>
    <cellStyle name="Normal 6 3 6 3 4" xfId="22876" xr:uid="{00000000-0005-0000-0000-0000DF4D0000}"/>
    <cellStyle name="Normal 6 3 6 4" xfId="5622" xr:uid="{00000000-0005-0000-0000-0000E04D0000}"/>
    <cellStyle name="Normal 6 3 6 4 2" xfId="15482" xr:uid="{00000000-0005-0000-0000-0000E14D0000}"/>
    <cellStyle name="Normal 6 3 6 4 2 2" xfId="35197" xr:uid="{00000000-0005-0000-0000-0000E24D0000}"/>
    <cellStyle name="Normal 6 3 6 4 3" xfId="25340" xr:uid="{00000000-0005-0000-0000-0000E34D0000}"/>
    <cellStyle name="Normal 6 3 6 5" xfId="10554" xr:uid="{00000000-0005-0000-0000-0000E44D0000}"/>
    <cellStyle name="Normal 6 3 6 5 2" xfId="30269" xr:uid="{00000000-0005-0000-0000-0000E54D0000}"/>
    <cellStyle name="Normal 6 3 6 6" xfId="20412" xr:uid="{00000000-0005-0000-0000-0000E64D0000}"/>
    <cellStyle name="Normal 6 3 7" xfId="1303" xr:uid="{00000000-0005-0000-0000-0000E74D0000}"/>
    <cellStyle name="Normal 6 3 7 2" xfId="3770" xr:uid="{00000000-0005-0000-0000-0000E84D0000}"/>
    <cellStyle name="Normal 6 3 7 2 2" xfId="8702" xr:uid="{00000000-0005-0000-0000-0000E94D0000}"/>
    <cellStyle name="Normal 6 3 7 2 2 2" xfId="18562" xr:uid="{00000000-0005-0000-0000-0000EA4D0000}"/>
    <cellStyle name="Normal 6 3 7 2 2 2 2" xfId="38277" xr:uid="{00000000-0005-0000-0000-0000EB4D0000}"/>
    <cellStyle name="Normal 6 3 7 2 2 3" xfId="28420" xr:uid="{00000000-0005-0000-0000-0000EC4D0000}"/>
    <cellStyle name="Normal 6 3 7 2 3" xfId="13634" xr:uid="{00000000-0005-0000-0000-0000ED4D0000}"/>
    <cellStyle name="Normal 6 3 7 2 3 2" xfId="33349" xr:uid="{00000000-0005-0000-0000-0000EE4D0000}"/>
    <cellStyle name="Normal 6 3 7 2 4" xfId="23492" xr:uid="{00000000-0005-0000-0000-0000EF4D0000}"/>
    <cellStyle name="Normal 6 3 7 3" xfId="6238" xr:uid="{00000000-0005-0000-0000-0000F04D0000}"/>
    <cellStyle name="Normal 6 3 7 3 2" xfId="16098" xr:uid="{00000000-0005-0000-0000-0000F14D0000}"/>
    <cellStyle name="Normal 6 3 7 3 2 2" xfId="35813" xr:uid="{00000000-0005-0000-0000-0000F24D0000}"/>
    <cellStyle name="Normal 6 3 7 3 3" xfId="25956" xr:uid="{00000000-0005-0000-0000-0000F34D0000}"/>
    <cellStyle name="Normal 6 3 7 4" xfId="11170" xr:uid="{00000000-0005-0000-0000-0000F44D0000}"/>
    <cellStyle name="Normal 6 3 7 4 2" xfId="30885" xr:uid="{00000000-0005-0000-0000-0000F54D0000}"/>
    <cellStyle name="Normal 6 3 7 5" xfId="21028" xr:uid="{00000000-0005-0000-0000-0000F64D0000}"/>
    <cellStyle name="Normal 6 3 8" xfId="2538" xr:uid="{00000000-0005-0000-0000-0000F74D0000}"/>
    <cellStyle name="Normal 6 3 8 2" xfId="7470" xr:uid="{00000000-0005-0000-0000-0000F84D0000}"/>
    <cellStyle name="Normal 6 3 8 2 2" xfId="17330" xr:uid="{00000000-0005-0000-0000-0000F94D0000}"/>
    <cellStyle name="Normal 6 3 8 2 2 2" xfId="37045" xr:uid="{00000000-0005-0000-0000-0000FA4D0000}"/>
    <cellStyle name="Normal 6 3 8 2 3" xfId="27188" xr:uid="{00000000-0005-0000-0000-0000FB4D0000}"/>
    <cellStyle name="Normal 6 3 8 3" xfId="12402" xr:uid="{00000000-0005-0000-0000-0000FC4D0000}"/>
    <cellStyle name="Normal 6 3 8 3 2" xfId="32117" xr:uid="{00000000-0005-0000-0000-0000FD4D0000}"/>
    <cellStyle name="Normal 6 3 8 4" xfId="22260" xr:uid="{00000000-0005-0000-0000-0000FE4D0000}"/>
    <cellStyle name="Normal 6 3 9" xfId="5006" xr:uid="{00000000-0005-0000-0000-0000FF4D0000}"/>
    <cellStyle name="Normal 6 3 9 2" xfId="14866" xr:uid="{00000000-0005-0000-0000-0000004E0000}"/>
    <cellStyle name="Normal 6 3 9 2 2" xfId="34581" xr:uid="{00000000-0005-0000-0000-0000014E0000}"/>
    <cellStyle name="Normal 6 3 9 3" xfId="24724" xr:uid="{00000000-0005-0000-0000-0000024E0000}"/>
    <cellStyle name="Normal 6 4" xfId="64" xr:uid="{00000000-0005-0000-0000-0000034E0000}"/>
    <cellStyle name="Normal 6 4 10" xfId="19815" xr:uid="{00000000-0005-0000-0000-0000044E0000}"/>
    <cellStyle name="Normal 6 4 2" xfId="146" xr:uid="{00000000-0005-0000-0000-0000054E0000}"/>
    <cellStyle name="Normal 6 4 2 2" xfId="303" xr:uid="{00000000-0005-0000-0000-0000064E0000}"/>
    <cellStyle name="Normal 6 4 2 2 2" xfId="617" xr:uid="{00000000-0005-0000-0000-0000074E0000}"/>
    <cellStyle name="Normal 6 4 2 2 2 2" xfId="1237" xr:uid="{00000000-0005-0000-0000-0000084E0000}"/>
    <cellStyle name="Normal 6 4 2 2 2 2 2" xfId="2472" xr:uid="{00000000-0005-0000-0000-0000094E0000}"/>
    <cellStyle name="Normal 6 4 2 2 2 2 2 2" xfId="4939" xr:uid="{00000000-0005-0000-0000-00000A4E0000}"/>
    <cellStyle name="Normal 6 4 2 2 2 2 2 2 2" xfId="9871" xr:uid="{00000000-0005-0000-0000-00000B4E0000}"/>
    <cellStyle name="Normal 6 4 2 2 2 2 2 2 2 2" xfId="19731" xr:uid="{00000000-0005-0000-0000-00000C4E0000}"/>
    <cellStyle name="Normal 6 4 2 2 2 2 2 2 2 2 2" xfId="39446" xr:uid="{00000000-0005-0000-0000-00000D4E0000}"/>
    <cellStyle name="Normal 6 4 2 2 2 2 2 2 2 3" xfId="29589" xr:uid="{00000000-0005-0000-0000-00000E4E0000}"/>
    <cellStyle name="Normal 6 4 2 2 2 2 2 2 3" xfId="14803" xr:uid="{00000000-0005-0000-0000-00000F4E0000}"/>
    <cellStyle name="Normal 6 4 2 2 2 2 2 2 3 2" xfId="34518" xr:uid="{00000000-0005-0000-0000-0000104E0000}"/>
    <cellStyle name="Normal 6 4 2 2 2 2 2 2 4" xfId="24661" xr:uid="{00000000-0005-0000-0000-0000114E0000}"/>
    <cellStyle name="Normal 6 4 2 2 2 2 2 3" xfId="7407" xr:uid="{00000000-0005-0000-0000-0000124E0000}"/>
    <cellStyle name="Normal 6 4 2 2 2 2 2 3 2" xfId="17267" xr:uid="{00000000-0005-0000-0000-0000134E0000}"/>
    <cellStyle name="Normal 6 4 2 2 2 2 2 3 2 2" xfId="36982" xr:uid="{00000000-0005-0000-0000-0000144E0000}"/>
    <cellStyle name="Normal 6 4 2 2 2 2 2 3 3" xfId="27125" xr:uid="{00000000-0005-0000-0000-0000154E0000}"/>
    <cellStyle name="Normal 6 4 2 2 2 2 2 4" xfId="12339" xr:uid="{00000000-0005-0000-0000-0000164E0000}"/>
    <cellStyle name="Normal 6 4 2 2 2 2 2 4 2" xfId="32054" xr:uid="{00000000-0005-0000-0000-0000174E0000}"/>
    <cellStyle name="Normal 6 4 2 2 2 2 2 5" xfId="22197" xr:uid="{00000000-0005-0000-0000-0000184E0000}"/>
    <cellStyle name="Normal 6 4 2 2 2 2 3" xfId="3707" xr:uid="{00000000-0005-0000-0000-0000194E0000}"/>
    <cellStyle name="Normal 6 4 2 2 2 2 3 2" xfId="8639" xr:uid="{00000000-0005-0000-0000-00001A4E0000}"/>
    <cellStyle name="Normal 6 4 2 2 2 2 3 2 2" xfId="18499" xr:uid="{00000000-0005-0000-0000-00001B4E0000}"/>
    <cellStyle name="Normal 6 4 2 2 2 2 3 2 2 2" xfId="38214" xr:uid="{00000000-0005-0000-0000-00001C4E0000}"/>
    <cellStyle name="Normal 6 4 2 2 2 2 3 2 3" xfId="28357" xr:uid="{00000000-0005-0000-0000-00001D4E0000}"/>
    <cellStyle name="Normal 6 4 2 2 2 2 3 3" xfId="13571" xr:uid="{00000000-0005-0000-0000-00001E4E0000}"/>
    <cellStyle name="Normal 6 4 2 2 2 2 3 3 2" xfId="33286" xr:uid="{00000000-0005-0000-0000-00001F4E0000}"/>
    <cellStyle name="Normal 6 4 2 2 2 2 3 4" xfId="23429" xr:uid="{00000000-0005-0000-0000-0000204E0000}"/>
    <cellStyle name="Normal 6 4 2 2 2 2 4" xfId="6175" xr:uid="{00000000-0005-0000-0000-0000214E0000}"/>
    <cellStyle name="Normal 6 4 2 2 2 2 4 2" xfId="16035" xr:uid="{00000000-0005-0000-0000-0000224E0000}"/>
    <cellStyle name="Normal 6 4 2 2 2 2 4 2 2" xfId="35750" xr:uid="{00000000-0005-0000-0000-0000234E0000}"/>
    <cellStyle name="Normal 6 4 2 2 2 2 4 3" xfId="25893" xr:uid="{00000000-0005-0000-0000-0000244E0000}"/>
    <cellStyle name="Normal 6 4 2 2 2 2 5" xfId="11107" xr:uid="{00000000-0005-0000-0000-0000254E0000}"/>
    <cellStyle name="Normal 6 4 2 2 2 2 5 2" xfId="30822" xr:uid="{00000000-0005-0000-0000-0000264E0000}"/>
    <cellStyle name="Normal 6 4 2 2 2 2 6" xfId="20965" xr:uid="{00000000-0005-0000-0000-0000274E0000}"/>
    <cellStyle name="Normal 6 4 2 2 2 3" xfId="1856" xr:uid="{00000000-0005-0000-0000-0000284E0000}"/>
    <cellStyle name="Normal 6 4 2 2 2 3 2" xfId="4323" xr:uid="{00000000-0005-0000-0000-0000294E0000}"/>
    <cellStyle name="Normal 6 4 2 2 2 3 2 2" xfId="9255" xr:uid="{00000000-0005-0000-0000-00002A4E0000}"/>
    <cellStyle name="Normal 6 4 2 2 2 3 2 2 2" xfId="19115" xr:uid="{00000000-0005-0000-0000-00002B4E0000}"/>
    <cellStyle name="Normal 6 4 2 2 2 3 2 2 2 2" xfId="38830" xr:uid="{00000000-0005-0000-0000-00002C4E0000}"/>
    <cellStyle name="Normal 6 4 2 2 2 3 2 2 3" xfId="28973" xr:uid="{00000000-0005-0000-0000-00002D4E0000}"/>
    <cellStyle name="Normal 6 4 2 2 2 3 2 3" xfId="14187" xr:uid="{00000000-0005-0000-0000-00002E4E0000}"/>
    <cellStyle name="Normal 6 4 2 2 2 3 2 3 2" xfId="33902" xr:uid="{00000000-0005-0000-0000-00002F4E0000}"/>
    <cellStyle name="Normal 6 4 2 2 2 3 2 4" xfId="24045" xr:uid="{00000000-0005-0000-0000-0000304E0000}"/>
    <cellStyle name="Normal 6 4 2 2 2 3 3" xfId="6791" xr:uid="{00000000-0005-0000-0000-0000314E0000}"/>
    <cellStyle name="Normal 6 4 2 2 2 3 3 2" xfId="16651" xr:uid="{00000000-0005-0000-0000-0000324E0000}"/>
    <cellStyle name="Normal 6 4 2 2 2 3 3 2 2" xfId="36366" xr:uid="{00000000-0005-0000-0000-0000334E0000}"/>
    <cellStyle name="Normal 6 4 2 2 2 3 3 3" xfId="26509" xr:uid="{00000000-0005-0000-0000-0000344E0000}"/>
    <cellStyle name="Normal 6 4 2 2 2 3 4" xfId="11723" xr:uid="{00000000-0005-0000-0000-0000354E0000}"/>
    <cellStyle name="Normal 6 4 2 2 2 3 4 2" xfId="31438" xr:uid="{00000000-0005-0000-0000-0000364E0000}"/>
    <cellStyle name="Normal 6 4 2 2 2 3 5" xfId="21581" xr:uid="{00000000-0005-0000-0000-0000374E0000}"/>
    <cellStyle name="Normal 6 4 2 2 2 4" xfId="3091" xr:uid="{00000000-0005-0000-0000-0000384E0000}"/>
    <cellStyle name="Normal 6 4 2 2 2 4 2" xfId="8023" xr:uid="{00000000-0005-0000-0000-0000394E0000}"/>
    <cellStyle name="Normal 6 4 2 2 2 4 2 2" xfId="17883" xr:uid="{00000000-0005-0000-0000-00003A4E0000}"/>
    <cellStyle name="Normal 6 4 2 2 2 4 2 2 2" xfId="37598" xr:uid="{00000000-0005-0000-0000-00003B4E0000}"/>
    <cellStyle name="Normal 6 4 2 2 2 4 2 3" xfId="27741" xr:uid="{00000000-0005-0000-0000-00003C4E0000}"/>
    <cellStyle name="Normal 6 4 2 2 2 4 3" xfId="12955" xr:uid="{00000000-0005-0000-0000-00003D4E0000}"/>
    <cellStyle name="Normal 6 4 2 2 2 4 3 2" xfId="32670" xr:uid="{00000000-0005-0000-0000-00003E4E0000}"/>
    <cellStyle name="Normal 6 4 2 2 2 4 4" xfId="22813" xr:uid="{00000000-0005-0000-0000-00003F4E0000}"/>
    <cellStyle name="Normal 6 4 2 2 2 5" xfId="5559" xr:uid="{00000000-0005-0000-0000-0000404E0000}"/>
    <cellStyle name="Normal 6 4 2 2 2 5 2" xfId="15419" xr:uid="{00000000-0005-0000-0000-0000414E0000}"/>
    <cellStyle name="Normal 6 4 2 2 2 5 2 2" xfId="35134" xr:uid="{00000000-0005-0000-0000-0000424E0000}"/>
    <cellStyle name="Normal 6 4 2 2 2 5 3" xfId="25277" xr:uid="{00000000-0005-0000-0000-0000434E0000}"/>
    <cellStyle name="Normal 6 4 2 2 2 6" xfId="10491" xr:uid="{00000000-0005-0000-0000-0000444E0000}"/>
    <cellStyle name="Normal 6 4 2 2 2 6 2" xfId="30206" xr:uid="{00000000-0005-0000-0000-0000454E0000}"/>
    <cellStyle name="Normal 6 4 2 2 2 7" xfId="20349" xr:uid="{00000000-0005-0000-0000-0000464E0000}"/>
    <cellStyle name="Normal 6 4 2 2 3" xfId="930" xr:uid="{00000000-0005-0000-0000-0000474E0000}"/>
    <cellStyle name="Normal 6 4 2 2 3 2" xfId="2166" xr:uid="{00000000-0005-0000-0000-0000484E0000}"/>
    <cellStyle name="Normal 6 4 2 2 3 2 2" xfId="4633" xr:uid="{00000000-0005-0000-0000-0000494E0000}"/>
    <cellStyle name="Normal 6 4 2 2 3 2 2 2" xfId="9565" xr:uid="{00000000-0005-0000-0000-00004A4E0000}"/>
    <cellStyle name="Normal 6 4 2 2 3 2 2 2 2" xfId="19425" xr:uid="{00000000-0005-0000-0000-00004B4E0000}"/>
    <cellStyle name="Normal 6 4 2 2 3 2 2 2 2 2" xfId="39140" xr:uid="{00000000-0005-0000-0000-00004C4E0000}"/>
    <cellStyle name="Normal 6 4 2 2 3 2 2 2 3" xfId="29283" xr:uid="{00000000-0005-0000-0000-00004D4E0000}"/>
    <cellStyle name="Normal 6 4 2 2 3 2 2 3" xfId="14497" xr:uid="{00000000-0005-0000-0000-00004E4E0000}"/>
    <cellStyle name="Normal 6 4 2 2 3 2 2 3 2" xfId="34212" xr:uid="{00000000-0005-0000-0000-00004F4E0000}"/>
    <cellStyle name="Normal 6 4 2 2 3 2 2 4" xfId="24355" xr:uid="{00000000-0005-0000-0000-0000504E0000}"/>
    <cellStyle name="Normal 6 4 2 2 3 2 3" xfId="7101" xr:uid="{00000000-0005-0000-0000-0000514E0000}"/>
    <cellStyle name="Normal 6 4 2 2 3 2 3 2" xfId="16961" xr:uid="{00000000-0005-0000-0000-0000524E0000}"/>
    <cellStyle name="Normal 6 4 2 2 3 2 3 2 2" xfId="36676" xr:uid="{00000000-0005-0000-0000-0000534E0000}"/>
    <cellStyle name="Normal 6 4 2 2 3 2 3 3" xfId="26819" xr:uid="{00000000-0005-0000-0000-0000544E0000}"/>
    <cellStyle name="Normal 6 4 2 2 3 2 4" xfId="12033" xr:uid="{00000000-0005-0000-0000-0000554E0000}"/>
    <cellStyle name="Normal 6 4 2 2 3 2 4 2" xfId="31748" xr:uid="{00000000-0005-0000-0000-0000564E0000}"/>
    <cellStyle name="Normal 6 4 2 2 3 2 5" xfId="21891" xr:uid="{00000000-0005-0000-0000-0000574E0000}"/>
    <cellStyle name="Normal 6 4 2 2 3 3" xfId="3401" xr:uid="{00000000-0005-0000-0000-0000584E0000}"/>
    <cellStyle name="Normal 6 4 2 2 3 3 2" xfId="8333" xr:uid="{00000000-0005-0000-0000-0000594E0000}"/>
    <cellStyle name="Normal 6 4 2 2 3 3 2 2" xfId="18193" xr:uid="{00000000-0005-0000-0000-00005A4E0000}"/>
    <cellStyle name="Normal 6 4 2 2 3 3 2 2 2" xfId="37908" xr:uid="{00000000-0005-0000-0000-00005B4E0000}"/>
    <cellStyle name="Normal 6 4 2 2 3 3 2 3" xfId="28051" xr:uid="{00000000-0005-0000-0000-00005C4E0000}"/>
    <cellStyle name="Normal 6 4 2 2 3 3 3" xfId="13265" xr:uid="{00000000-0005-0000-0000-00005D4E0000}"/>
    <cellStyle name="Normal 6 4 2 2 3 3 3 2" xfId="32980" xr:uid="{00000000-0005-0000-0000-00005E4E0000}"/>
    <cellStyle name="Normal 6 4 2 2 3 3 4" xfId="23123" xr:uid="{00000000-0005-0000-0000-00005F4E0000}"/>
    <cellStyle name="Normal 6 4 2 2 3 4" xfId="5869" xr:uid="{00000000-0005-0000-0000-0000604E0000}"/>
    <cellStyle name="Normal 6 4 2 2 3 4 2" xfId="15729" xr:uid="{00000000-0005-0000-0000-0000614E0000}"/>
    <cellStyle name="Normal 6 4 2 2 3 4 2 2" xfId="35444" xr:uid="{00000000-0005-0000-0000-0000624E0000}"/>
    <cellStyle name="Normal 6 4 2 2 3 4 3" xfId="25587" xr:uid="{00000000-0005-0000-0000-0000634E0000}"/>
    <cellStyle name="Normal 6 4 2 2 3 5" xfId="10801" xr:uid="{00000000-0005-0000-0000-0000644E0000}"/>
    <cellStyle name="Normal 6 4 2 2 3 5 2" xfId="30516" xr:uid="{00000000-0005-0000-0000-0000654E0000}"/>
    <cellStyle name="Normal 6 4 2 2 3 6" xfId="20659" xr:uid="{00000000-0005-0000-0000-0000664E0000}"/>
    <cellStyle name="Normal 6 4 2 2 4" xfId="1550" xr:uid="{00000000-0005-0000-0000-0000674E0000}"/>
    <cellStyle name="Normal 6 4 2 2 4 2" xfId="4017" xr:uid="{00000000-0005-0000-0000-0000684E0000}"/>
    <cellStyle name="Normal 6 4 2 2 4 2 2" xfId="8949" xr:uid="{00000000-0005-0000-0000-0000694E0000}"/>
    <cellStyle name="Normal 6 4 2 2 4 2 2 2" xfId="18809" xr:uid="{00000000-0005-0000-0000-00006A4E0000}"/>
    <cellStyle name="Normal 6 4 2 2 4 2 2 2 2" xfId="38524" xr:uid="{00000000-0005-0000-0000-00006B4E0000}"/>
    <cellStyle name="Normal 6 4 2 2 4 2 2 3" xfId="28667" xr:uid="{00000000-0005-0000-0000-00006C4E0000}"/>
    <cellStyle name="Normal 6 4 2 2 4 2 3" xfId="13881" xr:uid="{00000000-0005-0000-0000-00006D4E0000}"/>
    <cellStyle name="Normal 6 4 2 2 4 2 3 2" xfId="33596" xr:uid="{00000000-0005-0000-0000-00006E4E0000}"/>
    <cellStyle name="Normal 6 4 2 2 4 2 4" xfId="23739" xr:uid="{00000000-0005-0000-0000-00006F4E0000}"/>
    <cellStyle name="Normal 6 4 2 2 4 3" xfId="6485" xr:uid="{00000000-0005-0000-0000-0000704E0000}"/>
    <cellStyle name="Normal 6 4 2 2 4 3 2" xfId="16345" xr:uid="{00000000-0005-0000-0000-0000714E0000}"/>
    <cellStyle name="Normal 6 4 2 2 4 3 2 2" xfId="36060" xr:uid="{00000000-0005-0000-0000-0000724E0000}"/>
    <cellStyle name="Normal 6 4 2 2 4 3 3" xfId="26203" xr:uid="{00000000-0005-0000-0000-0000734E0000}"/>
    <cellStyle name="Normal 6 4 2 2 4 4" xfId="11417" xr:uid="{00000000-0005-0000-0000-0000744E0000}"/>
    <cellStyle name="Normal 6 4 2 2 4 4 2" xfId="31132" xr:uid="{00000000-0005-0000-0000-0000754E0000}"/>
    <cellStyle name="Normal 6 4 2 2 4 5" xfId="21275" xr:uid="{00000000-0005-0000-0000-0000764E0000}"/>
    <cellStyle name="Normal 6 4 2 2 5" xfId="2785" xr:uid="{00000000-0005-0000-0000-0000774E0000}"/>
    <cellStyle name="Normal 6 4 2 2 5 2" xfId="7717" xr:uid="{00000000-0005-0000-0000-0000784E0000}"/>
    <cellStyle name="Normal 6 4 2 2 5 2 2" xfId="17577" xr:uid="{00000000-0005-0000-0000-0000794E0000}"/>
    <cellStyle name="Normal 6 4 2 2 5 2 2 2" xfId="37292" xr:uid="{00000000-0005-0000-0000-00007A4E0000}"/>
    <cellStyle name="Normal 6 4 2 2 5 2 3" xfId="27435" xr:uid="{00000000-0005-0000-0000-00007B4E0000}"/>
    <cellStyle name="Normal 6 4 2 2 5 3" xfId="12649" xr:uid="{00000000-0005-0000-0000-00007C4E0000}"/>
    <cellStyle name="Normal 6 4 2 2 5 3 2" xfId="32364" xr:uid="{00000000-0005-0000-0000-00007D4E0000}"/>
    <cellStyle name="Normal 6 4 2 2 5 4" xfId="22507" xr:uid="{00000000-0005-0000-0000-00007E4E0000}"/>
    <cellStyle name="Normal 6 4 2 2 6" xfId="5253" xr:uid="{00000000-0005-0000-0000-00007F4E0000}"/>
    <cellStyle name="Normal 6 4 2 2 6 2" xfId="15113" xr:uid="{00000000-0005-0000-0000-0000804E0000}"/>
    <cellStyle name="Normal 6 4 2 2 6 2 2" xfId="34828" xr:uid="{00000000-0005-0000-0000-0000814E0000}"/>
    <cellStyle name="Normal 6 4 2 2 6 3" xfId="24971" xr:uid="{00000000-0005-0000-0000-0000824E0000}"/>
    <cellStyle name="Normal 6 4 2 2 7" xfId="10185" xr:uid="{00000000-0005-0000-0000-0000834E0000}"/>
    <cellStyle name="Normal 6 4 2 2 7 2" xfId="29900" xr:uid="{00000000-0005-0000-0000-0000844E0000}"/>
    <cellStyle name="Normal 6 4 2 2 8" xfId="20043" xr:uid="{00000000-0005-0000-0000-0000854E0000}"/>
    <cellStyle name="Normal 6 4 2 3" xfId="465" xr:uid="{00000000-0005-0000-0000-0000864E0000}"/>
    <cellStyle name="Normal 6 4 2 3 2" xfId="1085" xr:uid="{00000000-0005-0000-0000-0000874E0000}"/>
    <cellStyle name="Normal 6 4 2 3 2 2" xfId="2320" xr:uid="{00000000-0005-0000-0000-0000884E0000}"/>
    <cellStyle name="Normal 6 4 2 3 2 2 2" xfId="4787" xr:uid="{00000000-0005-0000-0000-0000894E0000}"/>
    <cellStyle name="Normal 6 4 2 3 2 2 2 2" xfId="9719" xr:uid="{00000000-0005-0000-0000-00008A4E0000}"/>
    <cellStyle name="Normal 6 4 2 3 2 2 2 2 2" xfId="19579" xr:uid="{00000000-0005-0000-0000-00008B4E0000}"/>
    <cellStyle name="Normal 6 4 2 3 2 2 2 2 2 2" xfId="39294" xr:uid="{00000000-0005-0000-0000-00008C4E0000}"/>
    <cellStyle name="Normal 6 4 2 3 2 2 2 2 3" xfId="29437" xr:uid="{00000000-0005-0000-0000-00008D4E0000}"/>
    <cellStyle name="Normal 6 4 2 3 2 2 2 3" xfId="14651" xr:uid="{00000000-0005-0000-0000-00008E4E0000}"/>
    <cellStyle name="Normal 6 4 2 3 2 2 2 3 2" xfId="34366" xr:uid="{00000000-0005-0000-0000-00008F4E0000}"/>
    <cellStyle name="Normal 6 4 2 3 2 2 2 4" xfId="24509" xr:uid="{00000000-0005-0000-0000-0000904E0000}"/>
    <cellStyle name="Normal 6 4 2 3 2 2 3" xfId="7255" xr:uid="{00000000-0005-0000-0000-0000914E0000}"/>
    <cellStyle name="Normal 6 4 2 3 2 2 3 2" xfId="17115" xr:uid="{00000000-0005-0000-0000-0000924E0000}"/>
    <cellStyle name="Normal 6 4 2 3 2 2 3 2 2" xfId="36830" xr:uid="{00000000-0005-0000-0000-0000934E0000}"/>
    <cellStyle name="Normal 6 4 2 3 2 2 3 3" xfId="26973" xr:uid="{00000000-0005-0000-0000-0000944E0000}"/>
    <cellStyle name="Normal 6 4 2 3 2 2 4" xfId="12187" xr:uid="{00000000-0005-0000-0000-0000954E0000}"/>
    <cellStyle name="Normal 6 4 2 3 2 2 4 2" xfId="31902" xr:uid="{00000000-0005-0000-0000-0000964E0000}"/>
    <cellStyle name="Normal 6 4 2 3 2 2 5" xfId="22045" xr:uid="{00000000-0005-0000-0000-0000974E0000}"/>
    <cellStyle name="Normal 6 4 2 3 2 3" xfId="3555" xr:uid="{00000000-0005-0000-0000-0000984E0000}"/>
    <cellStyle name="Normal 6 4 2 3 2 3 2" xfId="8487" xr:uid="{00000000-0005-0000-0000-0000994E0000}"/>
    <cellStyle name="Normal 6 4 2 3 2 3 2 2" xfId="18347" xr:uid="{00000000-0005-0000-0000-00009A4E0000}"/>
    <cellStyle name="Normal 6 4 2 3 2 3 2 2 2" xfId="38062" xr:uid="{00000000-0005-0000-0000-00009B4E0000}"/>
    <cellStyle name="Normal 6 4 2 3 2 3 2 3" xfId="28205" xr:uid="{00000000-0005-0000-0000-00009C4E0000}"/>
    <cellStyle name="Normal 6 4 2 3 2 3 3" xfId="13419" xr:uid="{00000000-0005-0000-0000-00009D4E0000}"/>
    <cellStyle name="Normal 6 4 2 3 2 3 3 2" xfId="33134" xr:uid="{00000000-0005-0000-0000-00009E4E0000}"/>
    <cellStyle name="Normal 6 4 2 3 2 3 4" xfId="23277" xr:uid="{00000000-0005-0000-0000-00009F4E0000}"/>
    <cellStyle name="Normal 6 4 2 3 2 4" xfId="6023" xr:uid="{00000000-0005-0000-0000-0000A04E0000}"/>
    <cellStyle name="Normal 6 4 2 3 2 4 2" xfId="15883" xr:uid="{00000000-0005-0000-0000-0000A14E0000}"/>
    <cellStyle name="Normal 6 4 2 3 2 4 2 2" xfId="35598" xr:uid="{00000000-0005-0000-0000-0000A24E0000}"/>
    <cellStyle name="Normal 6 4 2 3 2 4 3" xfId="25741" xr:uid="{00000000-0005-0000-0000-0000A34E0000}"/>
    <cellStyle name="Normal 6 4 2 3 2 5" xfId="10955" xr:uid="{00000000-0005-0000-0000-0000A44E0000}"/>
    <cellStyle name="Normal 6 4 2 3 2 5 2" xfId="30670" xr:uid="{00000000-0005-0000-0000-0000A54E0000}"/>
    <cellStyle name="Normal 6 4 2 3 2 6" xfId="20813" xr:uid="{00000000-0005-0000-0000-0000A64E0000}"/>
    <cellStyle name="Normal 6 4 2 3 3" xfId="1704" xr:uid="{00000000-0005-0000-0000-0000A74E0000}"/>
    <cellStyle name="Normal 6 4 2 3 3 2" xfId="4171" xr:uid="{00000000-0005-0000-0000-0000A84E0000}"/>
    <cellStyle name="Normal 6 4 2 3 3 2 2" xfId="9103" xr:uid="{00000000-0005-0000-0000-0000A94E0000}"/>
    <cellStyle name="Normal 6 4 2 3 3 2 2 2" xfId="18963" xr:uid="{00000000-0005-0000-0000-0000AA4E0000}"/>
    <cellStyle name="Normal 6 4 2 3 3 2 2 2 2" xfId="38678" xr:uid="{00000000-0005-0000-0000-0000AB4E0000}"/>
    <cellStyle name="Normal 6 4 2 3 3 2 2 3" xfId="28821" xr:uid="{00000000-0005-0000-0000-0000AC4E0000}"/>
    <cellStyle name="Normal 6 4 2 3 3 2 3" xfId="14035" xr:uid="{00000000-0005-0000-0000-0000AD4E0000}"/>
    <cellStyle name="Normal 6 4 2 3 3 2 3 2" xfId="33750" xr:uid="{00000000-0005-0000-0000-0000AE4E0000}"/>
    <cellStyle name="Normal 6 4 2 3 3 2 4" xfId="23893" xr:uid="{00000000-0005-0000-0000-0000AF4E0000}"/>
    <cellStyle name="Normal 6 4 2 3 3 3" xfId="6639" xr:uid="{00000000-0005-0000-0000-0000B04E0000}"/>
    <cellStyle name="Normal 6 4 2 3 3 3 2" xfId="16499" xr:uid="{00000000-0005-0000-0000-0000B14E0000}"/>
    <cellStyle name="Normal 6 4 2 3 3 3 2 2" xfId="36214" xr:uid="{00000000-0005-0000-0000-0000B24E0000}"/>
    <cellStyle name="Normal 6 4 2 3 3 3 3" xfId="26357" xr:uid="{00000000-0005-0000-0000-0000B34E0000}"/>
    <cellStyle name="Normal 6 4 2 3 3 4" xfId="11571" xr:uid="{00000000-0005-0000-0000-0000B44E0000}"/>
    <cellStyle name="Normal 6 4 2 3 3 4 2" xfId="31286" xr:uid="{00000000-0005-0000-0000-0000B54E0000}"/>
    <cellStyle name="Normal 6 4 2 3 3 5" xfId="21429" xr:uid="{00000000-0005-0000-0000-0000B64E0000}"/>
    <cellStyle name="Normal 6 4 2 3 4" xfId="2939" xr:uid="{00000000-0005-0000-0000-0000B74E0000}"/>
    <cellStyle name="Normal 6 4 2 3 4 2" xfId="7871" xr:uid="{00000000-0005-0000-0000-0000B84E0000}"/>
    <cellStyle name="Normal 6 4 2 3 4 2 2" xfId="17731" xr:uid="{00000000-0005-0000-0000-0000B94E0000}"/>
    <cellStyle name="Normal 6 4 2 3 4 2 2 2" xfId="37446" xr:uid="{00000000-0005-0000-0000-0000BA4E0000}"/>
    <cellStyle name="Normal 6 4 2 3 4 2 3" xfId="27589" xr:uid="{00000000-0005-0000-0000-0000BB4E0000}"/>
    <cellStyle name="Normal 6 4 2 3 4 3" xfId="12803" xr:uid="{00000000-0005-0000-0000-0000BC4E0000}"/>
    <cellStyle name="Normal 6 4 2 3 4 3 2" xfId="32518" xr:uid="{00000000-0005-0000-0000-0000BD4E0000}"/>
    <cellStyle name="Normal 6 4 2 3 4 4" xfId="22661" xr:uid="{00000000-0005-0000-0000-0000BE4E0000}"/>
    <cellStyle name="Normal 6 4 2 3 5" xfId="5407" xr:uid="{00000000-0005-0000-0000-0000BF4E0000}"/>
    <cellStyle name="Normal 6 4 2 3 5 2" xfId="15267" xr:uid="{00000000-0005-0000-0000-0000C04E0000}"/>
    <cellStyle name="Normal 6 4 2 3 5 2 2" xfId="34982" xr:uid="{00000000-0005-0000-0000-0000C14E0000}"/>
    <cellStyle name="Normal 6 4 2 3 5 3" xfId="25125" xr:uid="{00000000-0005-0000-0000-0000C24E0000}"/>
    <cellStyle name="Normal 6 4 2 3 6" xfId="10339" xr:uid="{00000000-0005-0000-0000-0000C34E0000}"/>
    <cellStyle name="Normal 6 4 2 3 6 2" xfId="30054" xr:uid="{00000000-0005-0000-0000-0000C44E0000}"/>
    <cellStyle name="Normal 6 4 2 3 7" xfId="20197" xr:uid="{00000000-0005-0000-0000-0000C54E0000}"/>
    <cellStyle name="Normal 6 4 2 4" xfId="778" xr:uid="{00000000-0005-0000-0000-0000C64E0000}"/>
    <cellStyle name="Normal 6 4 2 4 2" xfId="2014" xr:uid="{00000000-0005-0000-0000-0000C74E0000}"/>
    <cellStyle name="Normal 6 4 2 4 2 2" xfId="4481" xr:uid="{00000000-0005-0000-0000-0000C84E0000}"/>
    <cellStyle name="Normal 6 4 2 4 2 2 2" xfId="9413" xr:uid="{00000000-0005-0000-0000-0000C94E0000}"/>
    <cellStyle name="Normal 6 4 2 4 2 2 2 2" xfId="19273" xr:uid="{00000000-0005-0000-0000-0000CA4E0000}"/>
    <cellStyle name="Normal 6 4 2 4 2 2 2 2 2" xfId="38988" xr:uid="{00000000-0005-0000-0000-0000CB4E0000}"/>
    <cellStyle name="Normal 6 4 2 4 2 2 2 3" xfId="29131" xr:uid="{00000000-0005-0000-0000-0000CC4E0000}"/>
    <cellStyle name="Normal 6 4 2 4 2 2 3" xfId="14345" xr:uid="{00000000-0005-0000-0000-0000CD4E0000}"/>
    <cellStyle name="Normal 6 4 2 4 2 2 3 2" xfId="34060" xr:uid="{00000000-0005-0000-0000-0000CE4E0000}"/>
    <cellStyle name="Normal 6 4 2 4 2 2 4" xfId="24203" xr:uid="{00000000-0005-0000-0000-0000CF4E0000}"/>
    <cellStyle name="Normal 6 4 2 4 2 3" xfId="6949" xr:uid="{00000000-0005-0000-0000-0000D04E0000}"/>
    <cellStyle name="Normal 6 4 2 4 2 3 2" xfId="16809" xr:uid="{00000000-0005-0000-0000-0000D14E0000}"/>
    <cellStyle name="Normal 6 4 2 4 2 3 2 2" xfId="36524" xr:uid="{00000000-0005-0000-0000-0000D24E0000}"/>
    <cellStyle name="Normal 6 4 2 4 2 3 3" xfId="26667" xr:uid="{00000000-0005-0000-0000-0000D34E0000}"/>
    <cellStyle name="Normal 6 4 2 4 2 4" xfId="11881" xr:uid="{00000000-0005-0000-0000-0000D44E0000}"/>
    <cellStyle name="Normal 6 4 2 4 2 4 2" xfId="31596" xr:uid="{00000000-0005-0000-0000-0000D54E0000}"/>
    <cellStyle name="Normal 6 4 2 4 2 5" xfId="21739" xr:uid="{00000000-0005-0000-0000-0000D64E0000}"/>
    <cellStyle name="Normal 6 4 2 4 3" xfId="3249" xr:uid="{00000000-0005-0000-0000-0000D74E0000}"/>
    <cellStyle name="Normal 6 4 2 4 3 2" xfId="8181" xr:uid="{00000000-0005-0000-0000-0000D84E0000}"/>
    <cellStyle name="Normal 6 4 2 4 3 2 2" xfId="18041" xr:uid="{00000000-0005-0000-0000-0000D94E0000}"/>
    <cellStyle name="Normal 6 4 2 4 3 2 2 2" xfId="37756" xr:uid="{00000000-0005-0000-0000-0000DA4E0000}"/>
    <cellStyle name="Normal 6 4 2 4 3 2 3" xfId="27899" xr:uid="{00000000-0005-0000-0000-0000DB4E0000}"/>
    <cellStyle name="Normal 6 4 2 4 3 3" xfId="13113" xr:uid="{00000000-0005-0000-0000-0000DC4E0000}"/>
    <cellStyle name="Normal 6 4 2 4 3 3 2" xfId="32828" xr:uid="{00000000-0005-0000-0000-0000DD4E0000}"/>
    <cellStyle name="Normal 6 4 2 4 3 4" xfId="22971" xr:uid="{00000000-0005-0000-0000-0000DE4E0000}"/>
    <cellStyle name="Normal 6 4 2 4 4" xfId="5717" xr:uid="{00000000-0005-0000-0000-0000DF4E0000}"/>
    <cellStyle name="Normal 6 4 2 4 4 2" xfId="15577" xr:uid="{00000000-0005-0000-0000-0000E04E0000}"/>
    <cellStyle name="Normal 6 4 2 4 4 2 2" xfId="35292" xr:uid="{00000000-0005-0000-0000-0000E14E0000}"/>
    <cellStyle name="Normal 6 4 2 4 4 3" xfId="25435" xr:uid="{00000000-0005-0000-0000-0000E24E0000}"/>
    <cellStyle name="Normal 6 4 2 4 5" xfId="10649" xr:uid="{00000000-0005-0000-0000-0000E34E0000}"/>
    <cellStyle name="Normal 6 4 2 4 5 2" xfId="30364" xr:uid="{00000000-0005-0000-0000-0000E44E0000}"/>
    <cellStyle name="Normal 6 4 2 4 6" xfId="20507" xr:uid="{00000000-0005-0000-0000-0000E54E0000}"/>
    <cellStyle name="Normal 6 4 2 5" xfId="1398" xr:uid="{00000000-0005-0000-0000-0000E64E0000}"/>
    <cellStyle name="Normal 6 4 2 5 2" xfId="3865" xr:uid="{00000000-0005-0000-0000-0000E74E0000}"/>
    <cellStyle name="Normal 6 4 2 5 2 2" xfId="8797" xr:uid="{00000000-0005-0000-0000-0000E84E0000}"/>
    <cellStyle name="Normal 6 4 2 5 2 2 2" xfId="18657" xr:uid="{00000000-0005-0000-0000-0000E94E0000}"/>
    <cellStyle name="Normal 6 4 2 5 2 2 2 2" xfId="38372" xr:uid="{00000000-0005-0000-0000-0000EA4E0000}"/>
    <cellStyle name="Normal 6 4 2 5 2 2 3" xfId="28515" xr:uid="{00000000-0005-0000-0000-0000EB4E0000}"/>
    <cellStyle name="Normal 6 4 2 5 2 3" xfId="13729" xr:uid="{00000000-0005-0000-0000-0000EC4E0000}"/>
    <cellStyle name="Normal 6 4 2 5 2 3 2" xfId="33444" xr:uid="{00000000-0005-0000-0000-0000ED4E0000}"/>
    <cellStyle name="Normal 6 4 2 5 2 4" xfId="23587" xr:uid="{00000000-0005-0000-0000-0000EE4E0000}"/>
    <cellStyle name="Normal 6 4 2 5 3" xfId="6333" xr:uid="{00000000-0005-0000-0000-0000EF4E0000}"/>
    <cellStyle name="Normal 6 4 2 5 3 2" xfId="16193" xr:uid="{00000000-0005-0000-0000-0000F04E0000}"/>
    <cellStyle name="Normal 6 4 2 5 3 2 2" xfId="35908" xr:uid="{00000000-0005-0000-0000-0000F14E0000}"/>
    <cellStyle name="Normal 6 4 2 5 3 3" xfId="26051" xr:uid="{00000000-0005-0000-0000-0000F24E0000}"/>
    <cellStyle name="Normal 6 4 2 5 4" xfId="11265" xr:uid="{00000000-0005-0000-0000-0000F34E0000}"/>
    <cellStyle name="Normal 6 4 2 5 4 2" xfId="30980" xr:uid="{00000000-0005-0000-0000-0000F44E0000}"/>
    <cellStyle name="Normal 6 4 2 5 5" xfId="21123" xr:uid="{00000000-0005-0000-0000-0000F54E0000}"/>
    <cellStyle name="Normal 6 4 2 6" xfId="2633" xr:uid="{00000000-0005-0000-0000-0000F64E0000}"/>
    <cellStyle name="Normal 6 4 2 6 2" xfId="7565" xr:uid="{00000000-0005-0000-0000-0000F74E0000}"/>
    <cellStyle name="Normal 6 4 2 6 2 2" xfId="17425" xr:uid="{00000000-0005-0000-0000-0000F84E0000}"/>
    <cellStyle name="Normal 6 4 2 6 2 2 2" xfId="37140" xr:uid="{00000000-0005-0000-0000-0000F94E0000}"/>
    <cellStyle name="Normal 6 4 2 6 2 3" xfId="27283" xr:uid="{00000000-0005-0000-0000-0000FA4E0000}"/>
    <cellStyle name="Normal 6 4 2 6 3" xfId="12497" xr:uid="{00000000-0005-0000-0000-0000FB4E0000}"/>
    <cellStyle name="Normal 6 4 2 6 3 2" xfId="32212" xr:uid="{00000000-0005-0000-0000-0000FC4E0000}"/>
    <cellStyle name="Normal 6 4 2 6 4" xfId="22355" xr:uid="{00000000-0005-0000-0000-0000FD4E0000}"/>
    <cellStyle name="Normal 6 4 2 7" xfId="5101" xr:uid="{00000000-0005-0000-0000-0000FE4E0000}"/>
    <cellStyle name="Normal 6 4 2 7 2" xfId="14961" xr:uid="{00000000-0005-0000-0000-0000FF4E0000}"/>
    <cellStyle name="Normal 6 4 2 7 2 2" xfId="34676" xr:uid="{00000000-0005-0000-0000-0000004F0000}"/>
    <cellStyle name="Normal 6 4 2 7 3" xfId="24819" xr:uid="{00000000-0005-0000-0000-0000014F0000}"/>
    <cellStyle name="Normal 6 4 2 8" xfId="10033" xr:uid="{00000000-0005-0000-0000-0000024F0000}"/>
    <cellStyle name="Normal 6 4 2 8 2" xfId="29748" xr:uid="{00000000-0005-0000-0000-0000034F0000}"/>
    <cellStyle name="Normal 6 4 2 9" xfId="19891" xr:uid="{00000000-0005-0000-0000-0000044F0000}"/>
    <cellStyle name="Normal 6 4 3" xfId="227" xr:uid="{00000000-0005-0000-0000-0000054F0000}"/>
    <cellStyle name="Normal 6 4 3 2" xfId="541" xr:uid="{00000000-0005-0000-0000-0000064F0000}"/>
    <cellStyle name="Normal 6 4 3 2 2" xfId="1161" xr:uid="{00000000-0005-0000-0000-0000074F0000}"/>
    <cellStyle name="Normal 6 4 3 2 2 2" xfId="2396" xr:uid="{00000000-0005-0000-0000-0000084F0000}"/>
    <cellStyle name="Normal 6 4 3 2 2 2 2" xfId="4863" xr:uid="{00000000-0005-0000-0000-0000094F0000}"/>
    <cellStyle name="Normal 6 4 3 2 2 2 2 2" xfId="9795" xr:uid="{00000000-0005-0000-0000-00000A4F0000}"/>
    <cellStyle name="Normal 6 4 3 2 2 2 2 2 2" xfId="19655" xr:uid="{00000000-0005-0000-0000-00000B4F0000}"/>
    <cellStyle name="Normal 6 4 3 2 2 2 2 2 2 2" xfId="39370" xr:uid="{00000000-0005-0000-0000-00000C4F0000}"/>
    <cellStyle name="Normal 6 4 3 2 2 2 2 2 3" xfId="29513" xr:uid="{00000000-0005-0000-0000-00000D4F0000}"/>
    <cellStyle name="Normal 6 4 3 2 2 2 2 3" xfId="14727" xr:uid="{00000000-0005-0000-0000-00000E4F0000}"/>
    <cellStyle name="Normal 6 4 3 2 2 2 2 3 2" xfId="34442" xr:uid="{00000000-0005-0000-0000-00000F4F0000}"/>
    <cellStyle name="Normal 6 4 3 2 2 2 2 4" xfId="24585" xr:uid="{00000000-0005-0000-0000-0000104F0000}"/>
    <cellStyle name="Normal 6 4 3 2 2 2 3" xfId="7331" xr:uid="{00000000-0005-0000-0000-0000114F0000}"/>
    <cellStyle name="Normal 6 4 3 2 2 2 3 2" xfId="17191" xr:uid="{00000000-0005-0000-0000-0000124F0000}"/>
    <cellStyle name="Normal 6 4 3 2 2 2 3 2 2" xfId="36906" xr:uid="{00000000-0005-0000-0000-0000134F0000}"/>
    <cellStyle name="Normal 6 4 3 2 2 2 3 3" xfId="27049" xr:uid="{00000000-0005-0000-0000-0000144F0000}"/>
    <cellStyle name="Normal 6 4 3 2 2 2 4" xfId="12263" xr:uid="{00000000-0005-0000-0000-0000154F0000}"/>
    <cellStyle name="Normal 6 4 3 2 2 2 4 2" xfId="31978" xr:uid="{00000000-0005-0000-0000-0000164F0000}"/>
    <cellStyle name="Normal 6 4 3 2 2 2 5" xfId="22121" xr:uid="{00000000-0005-0000-0000-0000174F0000}"/>
    <cellStyle name="Normal 6 4 3 2 2 3" xfId="3631" xr:uid="{00000000-0005-0000-0000-0000184F0000}"/>
    <cellStyle name="Normal 6 4 3 2 2 3 2" xfId="8563" xr:uid="{00000000-0005-0000-0000-0000194F0000}"/>
    <cellStyle name="Normal 6 4 3 2 2 3 2 2" xfId="18423" xr:uid="{00000000-0005-0000-0000-00001A4F0000}"/>
    <cellStyle name="Normal 6 4 3 2 2 3 2 2 2" xfId="38138" xr:uid="{00000000-0005-0000-0000-00001B4F0000}"/>
    <cellStyle name="Normal 6 4 3 2 2 3 2 3" xfId="28281" xr:uid="{00000000-0005-0000-0000-00001C4F0000}"/>
    <cellStyle name="Normal 6 4 3 2 2 3 3" xfId="13495" xr:uid="{00000000-0005-0000-0000-00001D4F0000}"/>
    <cellStyle name="Normal 6 4 3 2 2 3 3 2" xfId="33210" xr:uid="{00000000-0005-0000-0000-00001E4F0000}"/>
    <cellStyle name="Normal 6 4 3 2 2 3 4" xfId="23353" xr:uid="{00000000-0005-0000-0000-00001F4F0000}"/>
    <cellStyle name="Normal 6 4 3 2 2 4" xfId="6099" xr:uid="{00000000-0005-0000-0000-0000204F0000}"/>
    <cellStyle name="Normal 6 4 3 2 2 4 2" xfId="15959" xr:uid="{00000000-0005-0000-0000-0000214F0000}"/>
    <cellStyle name="Normal 6 4 3 2 2 4 2 2" xfId="35674" xr:uid="{00000000-0005-0000-0000-0000224F0000}"/>
    <cellStyle name="Normal 6 4 3 2 2 4 3" xfId="25817" xr:uid="{00000000-0005-0000-0000-0000234F0000}"/>
    <cellStyle name="Normal 6 4 3 2 2 5" xfId="11031" xr:uid="{00000000-0005-0000-0000-0000244F0000}"/>
    <cellStyle name="Normal 6 4 3 2 2 5 2" xfId="30746" xr:uid="{00000000-0005-0000-0000-0000254F0000}"/>
    <cellStyle name="Normal 6 4 3 2 2 6" xfId="20889" xr:uid="{00000000-0005-0000-0000-0000264F0000}"/>
    <cellStyle name="Normal 6 4 3 2 3" xfId="1780" xr:uid="{00000000-0005-0000-0000-0000274F0000}"/>
    <cellStyle name="Normal 6 4 3 2 3 2" xfId="4247" xr:uid="{00000000-0005-0000-0000-0000284F0000}"/>
    <cellStyle name="Normal 6 4 3 2 3 2 2" xfId="9179" xr:uid="{00000000-0005-0000-0000-0000294F0000}"/>
    <cellStyle name="Normal 6 4 3 2 3 2 2 2" xfId="19039" xr:uid="{00000000-0005-0000-0000-00002A4F0000}"/>
    <cellStyle name="Normal 6 4 3 2 3 2 2 2 2" xfId="38754" xr:uid="{00000000-0005-0000-0000-00002B4F0000}"/>
    <cellStyle name="Normal 6 4 3 2 3 2 2 3" xfId="28897" xr:uid="{00000000-0005-0000-0000-00002C4F0000}"/>
    <cellStyle name="Normal 6 4 3 2 3 2 3" xfId="14111" xr:uid="{00000000-0005-0000-0000-00002D4F0000}"/>
    <cellStyle name="Normal 6 4 3 2 3 2 3 2" xfId="33826" xr:uid="{00000000-0005-0000-0000-00002E4F0000}"/>
    <cellStyle name="Normal 6 4 3 2 3 2 4" xfId="23969" xr:uid="{00000000-0005-0000-0000-00002F4F0000}"/>
    <cellStyle name="Normal 6 4 3 2 3 3" xfId="6715" xr:uid="{00000000-0005-0000-0000-0000304F0000}"/>
    <cellStyle name="Normal 6 4 3 2 3 3 2" xfId="16575" xr:uid="{00000000-0005-0000-0000-0000314F0000}"/>
    <cellStyle name="Normal 6 4 3 2 3 3 2 2" xfId="36290" xr:uid="{00000000-0005-0000-0000-0000324F0000}"/>
    <cellStyle name="Normal 6 4 3 2 3 3 3" xfId="26433" xr:uid="{00000000-0005-0000-0000-0000334F0000}"/>
    <cellStyle name="Normal 6 4 3 2 3 4" xfId="11647" xr:uid="{00000000-0005-0000-0000-0000344F0000}"/>
    <cellStyle name="Normal 6 4 3 2 3 4 2" xfId="31362" xr:uid="{00000000-0005-0000-0000-0000354F0000}"/>
    <cellStyle name="Normal 6 4 3 2 3 5" xfId="21505" xr:uid="{00000000-0005-0000-0000-0000364F0000}"/>
    <cellStyle name="Normal 6 4 3 2 4" xfId="3015" xr:uid="{00000000-0005-0000-0000-0000374F0000}"/>
    <cellStyle name="Normal 6 4 3 2 4 2" xfId="7947" xr:uid="{00000000-0005-0000-0000-0000384F0000}"/>
    <cellStyle name="Normal 6 4 3 2 4 2 2" xfId="17807" xr:uid="{00000000-0005-0000-0000-0000394F0000}"/>
    <cellStyle name="Normal 6 4 3 2 4 2 2 2" xfId="37522" xr:uid="{00000000-0005-0000-0000-00003A4F0000}"/>
    <cellStyle name="Normal 6 4 3 2 4 2 3" xfId="27665" xr:uid="{00000000-0005-0000-0000-00003B4F0000}"/>
    <cellStyle name="Normal 6 4 3 2 4 3" xfId="12879" xr:uid="{00000000-0005-0000-0000-00003C4F0000}"/>
    <cellStyle name="Normal 6 4 3 2 4 3 2" xfId="32594" xr:uid="{00000000-0005-0000-0000-00003D4F0000}"/>
    <cellStyle name="Normal 6 4 3 2 4 4" xfId="22737" xr:uid="{00000000-0005-0000-0000-00003E4F0000}"/>
    <cellStyle name="Normal 6 4 3 2 5" xfId="5483" xr:uid="{00000000-0005-0000-0000-00003F4F0000}"/>
    <cellStyle name="Normal 6 4 3 2 5 2" xfId="15343" xr:uid="{00000000-0005-0000-0000-0000404F0000}"/>
    <cellStyle name="Normal 6 4 3 2 5 2 2" xfId="35058" xr:uid="{00000000-0005-0000-0000-0000414F0000}"/>
    <cellStyle name="Normal 6 4 3 2 5 3" xfId="25201" xr:uid="{00000000-0005-0000-0000-0000424F0000}"/>
    <cellStyle name="Normal 6 4 3 2 6" xfId="10415" xr:uid="{00000000-0005-0000-0000-0000434F0000}"/>
    <cellStyle name="Normal 6 4 3 2 6 2" xfId="30130" xr:uid="{00000000-0005-0000-0000-0000444F0000}"/>
    <cellStyle name="Normal 6 4 3 2 7" xfId="20273" xr:uid="{00000000-0005-0000-0000-0000454F0000}"/>
    <cellStyle name="Normal 6 4 3 3" xfId="854" xr:uid="{00000000-0005-0000-0000-0000464F0000}"/>
    <cellStyle name="Normal 6 4 3 3 2" xfId="2090" xr:uid="{00000000-0005-0000-0000-0000474F0000}"/>
    <cellStyle name="Normal 6 4 3 3 2 2" xfId="4557" xr:uid="{00000000-0005-0000-0000-0000484F0000}"/>
    <cellStyle name="Normal 6 4 3 3 2 2 2" xfId="9489" xr:uid="{00000000-0005-0000-0000-0000494F0000}"/>
    <cellStyle name="Normal 6 4 3 3 2 2 2 2" xfId="19349" xr:uid="{00000000-0005-0000-0000-00004A4F0000}"/>
    <cellStyle name="Normal 6 4 3 3 2 2 2 2 2" xfId="39064" xr:uid="{00000000-0005-0000-0000-00004B4F0000}"/>
    <cellStyle name="Normal 6 4 3 3 2 2 2 3" xfId="29207" xr:uid="{00000000-0005-0000-0000-00004C4F0000}"/>
    <cellStyle name="Normal 6 4 3 3 2 2 3" xfId="14421" xr:uid="{00000000-0005-0000-0000-00004D4F0000}"/>
    <cellStyle name="Normal 6 4 3 3 2 2 3 2" xfId="34136" xr:uid="{00000000-0005-0000-0000-00004E4F0000}"/>
    <cellStyle name="Normal 6 4 3 3 2 2 4" xfId="24279" xr:uid="{00000000-0005-0000-0000-00004F4F0000}"/>
    <cellStyle name="Normal 6 4 3 3 2 3" xfId="7025" xr:uid="{00000000-0005-0000-0000-0000504F0000}"/>
    <cellStyle name="Normal 6 4 3 3 2 3 2" xfId="16885" xr:uid="{00000000-0005-0000-0000-0000514F0000}"/>
    <cellStyle name="Normal 6 4 3 3 2 3 2 2" xfId="36600" xr:uid="{00000000-0005-0000-0000-0000524F0000}"/>
    <cellStyle name="Normal 6 4 3 3 2 3 3" xfId="26743" xr:uid="{00000000-0005-0000-0000-0000534F0000}"/>
    <cellStyle name="Normal 6 4 3 3 2 4" xfId="11957" xr:uid="{00000000-0005-0000-0000-0000544F0000}"/>
    <cellStyle name="Normal 6 4 3 3 2 4 2" xfId="31672" xr:uid="{00000000-0005-0000-0000-0000554F0000}"/>
    <cellStyle name="Normal 6 4 3 3 2 5" xfId="21815" xr:uid="{00000000-0005-0000-0000-0000564F0000}"/>
    <cellStyle name="Normal 6 4 3 3 3" xfId="3325" xr:uid="{00000000-0005-0000-0000-0000574F0000}"/>
    <cellStyle name="Normal 6 4 3 3 3 2" xfId="8257" xr:uid="{00000000-0005-0000-0000-0000584F0000}"/>
    <cellStyle name="Normal 6 4 3 3 3 2 2" xfId="18117" xr:uid="{00000000-0005-0000-0000-0000594F0000}"/>
    <cellStyle name="Normal 6 4 3 3 3 2 2 2" xfId="37832" xr:uid="{00000000-0005-0000-0000-00005A4F0000}"/>
    <cellStyle name="Normal 6 4 3 3 3 2 3" xfId="27975" xr:uid="{00000000-0005-0000-0000-00005B4F0000}"/>
    <cellStyle name="Normal 6 4 3 3 3 3" xfId="13189" xr:uid="{00000000-0005-0000-0000-00005C4F0000}"/>
    <cellStyle name="Normal 6 4 3 3 3 3 2" xfId="32904" xr:uid="{00000000-0005-0000-0000-00005D4F0000}"/>
    <cellStyle name="Normal 6 4 3 3 3 4" xfId="23047" xr:uid="{00000000-0005-0000-0000-00005E4F0000}"/>
    <cellStyle name="Normal 6 4 3 3 4" xfId="5793" xr:uid="{00000000-0005-0000-0000-00005F4F0000}"/>
    <cellStyle name="Normal 6 4 3 3 4 2" xfId="15653" xr:uid="{00000000-0005-0000-0000-0000604F0000}"/>
    <cellStyle name="Normal 6 4 3 3 4 2 2" xfId="35368" xr:uid="{00000000-0005-0000-0000-0000614F0000}"/>
    <cellStyle name="Normal 6 4 3 3 4 3" xfId="25511" xr:uid="{00000000-0005-0000-0000-0000624F0000}"/>
    <cellStyle name="Normal 6 4 3 3 5" xfId="10725" xr:uid="{00000000-0005-0000-0000-0000634F0000}"/>
    <cellStyle name="Normal 6 4 3 3 5 2" xfId="30440" xr:uid="{00000000-0005-0000-0000-0000644F0000}"/>
    <cellStyle name="Normal 6 4 3 3 6" xfId="20583" xr:uid="{00000000-0005-0000-0000-0000654F0000}"/>
    <cellStyle name="Normal 6 4 3 4" xfId="1474" xr:uid="{00000000-0005-0000-0000-0000664F0000}"/>
    <cellStyle name="Normal 6 4 3 4 2" xfId="3941" xr:uid="{00000000-0005-0000-0000-0000674F0000}"/>
    <cellStyle name="Normal 6 4 3 4 2 2" xfId="8873" xr:uid="{00000000-0005-0000-0000-0000684F0000}"/>
    <cellStyle name="Normal 6 4 3 4 2 2 2" xfId="18733" xr:uid="{00000000-0005-0000-0000-0000694F0000}"/>
    <cellStyle name="Normal 6 4 3 4 2 2 2 2" xfId="38448" xr:uid="{00000000-0005-0000-0000-00006A4F0000}"/>
    <cellStyle name="Normal 6 4 3 4 2 2 3" xfId="28591" xr:uid="{00000000-0005-0000-0000-00006B4F0000}"/>
    <cellStyle name="Normal 6 4 3 4 2 3" xfId="13805" xr:uid="{00000000-0005-0000-0000-00006C4F0000}"/>
    <cellStyle name="Normal 6 4 3 4 2 3 2" xfId="33520" xr:uid="{00000000-0005-0000-0000-00006D4F0000}"/>
    <cellStyle name="Normal 6 4 3 4 2 4" xfId="23663" xr:uid="{00000000-0005-0000-0000-00006E4F0000}"/>
    <cellStyle name="Normal 6 4 3 4 3" xfId="6409" xr:uid="{00000000-0005-0000-0000-00006F4F0000}"/>
    <cellStyle name="Normal 6 4 3 4 3 2" xfId="16269" xr:uid="{00000000-0005-0000-0000-0000704F0000}"/>
    <cellStyle name="Normal 6 4 3 4 3 2 2" xfId="35984" xr:uid="{00000000-0005-0000-0000-0000714F0000}"/>
    <cellStyle name="Normal 6 4 3 4 3 3" xfId="26127" xr:uid="{00000000-0005-0000-0000-0000724F0000}"/>
    <cellStyle name="Normal 6 4 3 4 4" xfId="11341" xr:uid="{00000000-0005-0000-0000-0000734F0000}"/>
    <cellStyle name="Normal 6 4 3 4 4 2" xfId="31056" xr:uid="{00000000-0005-0000-0000-0000744F0000}"/>
    <cellStyle name="Normal 6 4 3 4 5" xfId="21199" xr:uid="{00000000-0005-0000-0000-0000754F0000}"/>
    <cellStyle name="Normal 6 4 3 5" xfId="2709" xr:uid="{00000000-0005-0000-0000-0000764F0000}"/>
    <cellStyle name="Normal 6 4 3 5 2" xfId="7641" xr:uid="{00000000-0005-0000-0000-0000774F0000}"/>
    <cellStyle name="Normal 6 4 3 5 2 2" xfId="17501" xr:uid="{00000000-0005-0000-0000-0000784F0000}"/>
    <cellStyle name="Normal 6 4 3 5 2 2 2" xfId="37216" xr:uid="{00000000-0005-0000-0000-0000794F0000}"/>
    <cellStyle name="Normal 6 4 3 5 2 3" xfId="27359" xr:uid="{00000000-0005-0000-0000-00007A4F0000}"/>
    <cellStyle name="Normal 6 4 3 5 3" xfId="12573" xr:uid="{00000000-0005-0000-0000-00007B4F0000}"/>
    <cellStyle name="Normal 6 4 3 5 3 2" xfId="32288" xr:uid="{00000000-0005-0000-0000-00007C4F0000}"/>
    <cellStyle name="Normal 6 4 3 5 4" xfId="22431" xr:uid="{00000000-0005-0000-0000-00007D4F0000}"/>
    <cellStyle name="Normal 6 4 3 6" xfId="5177" xr:uid="{00000000-0005-0000-0000-00007E4F0000}"/>
    <cellStyle name="Normal 6 4 3 6 2" xfId="15037" xr:uid="{00000000-0005-0000-0000-00007F4F0000}"/>
    <cellStyle name="Normal 6 4 3 6 2 2" xfId="34752" xr:uid="{00000000-0005-0000-0000-0000804F0000}"/>
    <cellStyle name="Normal 6 4 3 6 3" xfId="24895" xr:uid="{00000000-0005-0000-0000-0000814F0000}"/>
    <cellStyle name="Normal 6 4 3 7" xfId="10109" xr:uid="{00000000-0005-0000-0000-0000824F0000}"/>
    <cellStyle name="Normal 6 4 3 7 2" xfId="29824" xr:uid="{00000000-0005-0000-0000-0000834F0000}"/>
    <cellStyle name="Normal 6 4 3 8" xfId="19967" xr:uid="{00000000-0005-0000-0000-0000844F0000}"/>
    <cellStyle name="Normal 6 4 4" xfId="389" xr:uid="{00000000-0005-0000-0000-0000854F0000}"/>
    <cellStyle name="Normal 6 4 4 2" xfId="1009" xr:uid="{00000000-0005-0000-0000-0000864F0000}"/>
    <cellStyle name="Normal 6 4 4 2 2" xfId="2244" xr:uid="{00000000-0005-0000-0000-0000874F0000}"/>
    <cellStyle name="Normal 6 4 4 2 2 2" xfId="4711" xr:uid="{00000000-0005-0000-0000-0000884F0000}"/>
    <cellStyle name="Normal 6 4 4 2 2 2 2" xfId="9643" xr:uid="{00000000-0005-0000-0000-0000894F0000}"/>
    <cellStyle name="Normal 6 4 4 2 2 2 2 2" xfId="19503" xr:uid="{00000000-0005-0000-0000-00008A4F0000}"/>
    <cellStyle name="Normal 6 4 4 2 2 2 2 2 2" xfId="39218" xr:uid="{00000000-0005-0000-0000-00008B4F0000}"/>
    <cellStyle name="Normal 6 4 4 2 2 2 2 3" xfId="29361" xr:uid="{00000000-0005-0000-0000-00008C4F0000}"/>
    <cellStyle name="Normal 6 4 4 2 2 2 3" xfId="14575" xr:uid="{00000000-0005-0000-0000-00008D4F0000}"/>
    <cellStyle name="Normal 6 4 4 2 2 2 3 2" xfId="34290" xr:uid="{00000000-0005-0000-0000-00008E4F0000}"/>
    <cellStyle name="Normal 6 4 4 2 2 2 4" xfId="24433" xr:uid="{00000000-0005-0000-0000-00008F4F0000}"/>
    <cellStyle name="Normal 6 4 4 2 2 3" xfId="7179" xr:uid="{00000000-0005-0000-0000-0000904F0000}"/>
    <cellStyle name="Normal 6 4 4 2 2 3 2" xfId="17039" xr:uid="{00000000-0005-0000-0000-0000914F0000}"/>
    <cellStyle name="Normal 6 4 4 2 2 3 2 2" xfId="36754" xr:uid="{00000000-0005-0000-0000-0000924F0000}"/>
    <cellStyle name="Normal 6 4 4 2 2 3 3" xfId="26897" xr:uid="{00000000-0005-0000-0000-0000934F0000}"/>
    <cellStyle name="Normal 6 4 4 2 2 4" xfId="12111" xr:uid="{00000000-0005-0000-0000-0000944F0000}"/>
    <cellStyle name="Normal 6 4 4 2 2 4 2" xfId="31826" xr:uid="{00000000-0005-0000-0000-0000954F0000}"/>
    <cellStyle name="Normal 6 4 4 2 2 5" xfId="21969" xr:uid="{00000000-0005-0000-0000-0000964F0000}"/>
    <cellStyle name="Normal 6 4 4 2 3" xfId="3479" xr:uid="{00000000-0005-0000-0000-0000974F0000}"/>
    <cellStyle name="Normal 6 4 4 2 3 2" xfId="8411" xr:uid="{00000000-0005-0000-0000-0000984F0000}"/>
    <cellStyle name="Normal 6 4 4 2 3 2 2" xfId="18271" xr:uid="{00000000-0005-0000-0000-0000994F0000}"/>
    <cellStyle name="Normal 6 4 4 2 3 2 2 2" xfId="37986" xr:uid="{00000000-0005-0000-0000-00009A4F0000}"/>
    <cellStyle name="Normal 6 4 4 2 3 2 3" xfId="28129" xr:uid="{00000000-0005-0000-0000-00009B4F0000}"/>
    <cellStyle name="Normal 6 4 4 2 3 3" xfId="13343" xr:uid="{00000000-0005-0000-0000-00009C4F0000}"/>
    <cellStyle name="Normal 6 4 4 2 3 3 2" xfId="33058" xr:uid="{00000000-0005-0000-0000-00009D4F0000}"/>
    <cellStyle name="Normal 6 4 4 2 3 4" xfId="23201" xr:uid="{00000000-0005-0000-0000-00009E4F0000}"/>
    <cellStyle name="Normal 6 4 4 2 4" xfId="5947" xr:uid="{00000000-0005-0000-0000-00009F4F0000}"/>
    <cellStyle name="Normal 6 4 4 2 4 2" xfId="15807" xr:uid="{00000000-0005-0000-0000-0000A04F0000}"/>
    <cellStyle name="Normal 6 4 4 2 4 2 2" xfId="35522" xr:uid="{00000000-0005-0000-0000-0000A14F0000}"/>
    <cellStyle name="Normal 6 4 4 2 4 3" xfId="25665" xr:uid="{00000000-0005-0000-0000-0000A24F0000}"/>
    <cellStyle name="Normal 6 4 4 2 5" xfId="10879" xr:uid="{00000000-0005-0000-0000-0000A34F0000}"/>
    <cellStyle name="Normal 6 4 4 2 5 2" xfId="30594" xr:uid="{00000000-0005-0000-0000-0000A44F0000}"/>
    <cellStyle name="Normal 6 4 4 2 6" xfId="20737" xr:uid="{00000000-0005-0000-0000-0000A54F0000}"/>
    <cellStyle name="Normal 6 4 4 3" xfId="1628" xr:uid="{00000000-0005-0000-0000-0000A64F0000}"/>
    <cellStyle name="Normal 6 4 4 3 2" xfId="4095" xr:uid="{00000000-0005-0000-0000-0000A74F0000}"/>
    <cellStyle name="Normal 6 4 4 3 2 2" xfId="9027" xr:uid="{00000000-0005-0000-0000-0000A84F0000}"/>
    <cellStyle name="Normal 6 4 4 3 2 2 2" xfId="18887" xr:uid="{00000000-0005-0000-0000-0000A94F0000}"/>
    <cellStyle name="Normal 6 4 4 3 2 2 2 2" xfId="38602" xr:uid="{00000000-0005-0000-0000-0000AA4F0000}"/>
    <cellStyle name="Normal 6 4 4 3 2 2 3" xfId="28745" xr:uid="{00000000-0005-0000-0000-0000AB4F0000}"/>
    <cellStyle name="Normal 6 4 4 3 2 3" xfId="13959" xr:uid="{00000000-0005-0000-0000-0000AC4F0000}"/>
    <cellStyle name="Normal 6 4 4 3 2 3 2" xfId="33674" xr:uid="{00000000-0005-0000-0000-0000AD4F0000}"/>
    <cellStyle name="Normal 6 4 4 3 2 4" xfId="23817" xr:uid="{00000000-0005-0000-0000-0000AE4F0000}"/>
    <cellStyle name="Normal 6 4 4 3 3" xfId="6563" xr:uid="{00000000-0005-0000-0000-0000AF4F0000}"/>
    <cellStyle name="Normal 6 4 4 3 3 2" xfId="16423" xr:uid="{00000000-0005-0000-0000-0000B04F0000}"/>
    <cellStyle name="Normal 6 4 4 3 3 2 2" xfId="36138" xr:uid="{00000000-0005-0000-0000-0000B14F0000}"/>
    <cellStyle name="Normal 6 4 4 3 3 3" xfId="26281" xr:uid="{00000000-0005-0000-0000-0000B24F0000}"/>
    <cellStyle name="Normal 6 4 4 3 4" xfId="11495" xr:uid="{00000000-0005-0000-0000-0000B34F0000}"/>
    <cellStyle name="Normal 6 4 4 3 4 2" xfId="31210" xr:uid="{00000000-0005-0000-0000-0000B44F0000}"/>
    <cellStyle name="Normal 6 4 4 3 5" xfId="21353" xr:uid="{00000000-0005-0000-0000-0000B54F0000}"/>
    <cellStyle name="Normal 6 4 4 4" xfId="2863" xr:uid="{00000000-0005-0000-0000-0000B64F0000}"/>
    <cellStyle name="Normal 6 4 4 4 2" xfId="7795" xr:uid="{00000000-0005-0000-0000-0000B74F0000}"/>
    <cellStyle name="Normal 6 4 4 4 2 2" xfId="17655" xr:uid="{00000000-0005-0000-0000-0000B84F0000}"/>
    <cellStyle name="Normal 6 4 4 4 2 2 2" xfId="37370" xr:uid="{00000000-0005-0000-0000-0000B94F0000}"/>
    <cellStyle name="Normal 6 4 4 4 2 3" xfId="27513" xr:uid="{00000000-0005-0000-0000-0000BA4F0000}"/>
    <cellStyle name="Normal 6 4 4 4 3" xfId="12727" xr:uid="{00000000-0005-0000-0000-0000BB4F0000}"/>
    <cellStyle name="Normal 6 4 4 4 3 2" xfId="32442" xr:uid="{00000000-0005-0000-0000-0000BC4F0000}"/>
    <cellStyle name="Normal 6 4 4 4 4" xfId="22585" xr:uid="{00000000-0005-0000-0000-0000BD4F0000}"/>
    <cellStyle name="Normal 6 4 4 5" xfId="5331" xr:uid="{00000000-0005-0000-0000-0000BE4F0000}"/>
    <cellStyle name="Normal 6 4 4 5 2" xfId="15191" xr:uid="{00000000-0005-0000-0000-0000BF4F0000}"/>
    <cellStyle name="Normal 6 4 4 5 2 2" xfId="34906" xr:uid="{00000000-0005-0000-0000-0000C04F0000}"/>
    <cellStyle name="Normal 6 4 4 5 3" xfId="25049" xr:uid="{00000000-0005-0000-0000-0000C14F0000}"/>
    <cellStyle name="Normal 6 4 4 6" xfId="10263" xr:uid="{00000000-0005-0000-0000-0000C24F0000}"/>
    <cellStyle name="Normal 6 4 4 6 2" xfId="29978" xr:uid="{00000000-0005-0000-0000-0000C34F0000}"/>
    <cellStyle name="Normal 6 4 4 7" xfId="20121" xr:uid="{00000000-0005-0000-0000-0000C44F0000}"/>
    <cellStyle name="Normal 6 4 5" xfId="702" xr:uid="{00000000-0005-0000-0000-0000C54F0000}"/>
    <cellStyle name="Normal 6 4 5 2" xfId="1938" xr:uid="{00000000-0005-0000-0000-0000C64F0000}"/>
    <cellStyle name="Normal 6 4 5 2 2" xfId="4405" xr:uid="{00000000-0005-0000-0000-0000C74F0000}"/>
    <cellStyle name="Normal 6 4 5 2 2 2" xfId="9337" xr:uid="{00000000-0005-0000-0000-0000C84F0000}"/>
    <cellStyle name="Normal 6 4 5 2 2 2 2" xfId="19197" xr:uid="{00000000-0005-0000-0000-0000C94F0000}"/>
    <cellStyle name="Normal 6 4 5 2 2 2 2 2" xfId="38912" xr:uid="{00000000-0005-0000-0000-0000CA4F0000}"/>
    <cellStyle name="Normal 6 4 5 2 2 2 3" xfId="29055" xr:uid="{00000000-0005-0000-0000-0000CB4F0000}"/>
    <cellStyle name="Normal 6 4 5 2 2 3" xfId="14269" xr:uid="{00000000-0005-0000-0000-0000CC4F0000}"/>
    <cellStyle name="Normal 6 4 5 2 2 3 2" xfId="33984" xr:uid="{00000000-0005-0000-0000-0000CD4F0000}"/>
    <cellStyle name="Normal 6 4 5 2 2 4" xfId="24127" xr:uid="{00000000-0005-0000-0000-0000CE4F0000}"/>
    <cellStyle name="Normal 6 4 5 2 3" xfId="6873" xr:uid="{00000000-0005-0000-0000-0000CF4F0000}"/>
    <cellStyle name="Normal 6 4 5 2 3 2" xfId="16733" xr:uid="{00000000-0005-0000-0000-0000D04F0000}"/>
    <cellStyle name="Normal 6 4 5 2 3 2 2" xfId="36448" xr:uid="{00000000-0005-0000-0000-0000D14F0000}"/>
    <cellStyle name="Normal 6 4 5 2 3 3" xfId="26591" xr:uid="{00000000-0005-0000-0000-0000D24F0000}"/>
    <cellStyle name="Normal 6 4 5 2 4" xfId="11805" xr:uid="{00000000-0005-0000-0000-0000D34F0000}"/>
    <cellStyle name="Normal 6 4 5 2 4 2" xfId="31520" xr:uid="{00000000-0005-0000-0000-0000D44F0000}"/>
    <cellStyle name="Normal 6 4 5 2 5" xfId="21663" xr:uid="{00000000-0005-0000-0000-0000D54F0000}"/>
    <cellStyle name="Normal 6 4 5 3" xfId="3173" xr:uid="{00000000-0005-0000-0000-0000D64F0000}"/>
    <cellStyle name="Normal 6 4 5 3 2" xfId="8105" xr:uid="{00000000-0005-0000-0000-0000D74F0000}"/>
    <cellStyle name="Normal 6 4 5 3 2 2" xfId="17965" xr:uid="{00000000-0005-0000-0000-0000D84F0000}"/>
    <cellStyle name="Normal 6 4 5 3 2 2 2" xfId="37680" xr:uid="{00000000-0005-0000-0000-0000D94F0000}"/>
    <cellStyle name="Normal 6 4 5 3 2 3" xfId="27823" xr:uid="{00000000-0005-0000-0000-0000DA4F0000}"/>
    <cellStyle name="Normal 6 4 5 3 3" xfId="13037" xr:uid="{00000000-0005-0000-0000-0000DB4F0000}"/>
    <cellStyle name="Normal 6 4 5 3 3 2" xfId="32752" xr:uid="{00000000-0005-0000-0000-0000DC4F0000}"/>
    <cellStyle name="Normal 6 4 5 3 4" xfId="22895" xr:uid="{00000000-0005-0000-0000-0000DD4F0000}"/>
    <cellStyle name="Normal 6 4 5 4" xfId="5641" xr:uid="{00000000-0005-0000-0000-0000DE4F0000}"/>
    <cellStyle name="Normal 6 4 5 4 2" xfId="15501" xr:uid="{00000000-0005-0000-0000-0000DF4F0000}"/>
    <cellStyle name="Normal 6 4 5 4 2 2" xfId="35216" xr:uid="{00000000-0005-0000-0000-0000E04F0000}"/>
    <cellStyle name="Normal 6 4 5 4 3" xfId="25359" xr:uid="{00000000-0005-0000-0000-0000E14F0000}"/>
    <cellStyle name="Normal 6 4 5 5" xfId="10573" xr:uid="{00000000-0005-0000-0000-0000E24F0000}"/>
    <cellStyle name="Normal 6 4 5 5 2" xfId="30288" xr:uid="{00000000-0005-0000-0000-0000E34F0000}"/>
    <cellStyle name="Normal 6 4 5 6" xfId="20431" xr:uid="{00000000-0005-0000-0000-0000E44F0000}"/>
    <cellStyle name="Normal 6 4 6" xfId="1322" xr:uid="{00000000-0005-0000-0000-0000E54F0000}"/>
    <cellStyle name="Normal 6 4 6 2" xfId="3789" xr:uid="{00000000-0005-0000-0000-0000E64F0000}"/>
    <cellStyle name="Normal 6 4 6 2 2" xfId="8721" xr:uid="{00000000-0005-0000-0000-0000E74F0000}"/>
    <cellStyle name="Normal 6 4 6 2 2 2" xfId="18581" xr:uid="{00000000-0005-0000-0000-0000E84F0000}"/>
    <cellStyle name="Normal 6 4 6 2 2 2 2" xfId="38296" xr:uid="{00000000-0005-0000-0000-0000E94F0000}"/>
    <cellStyle name="Normal 6 4 6 2 2 3" xfId="28439" xr:uid="{00000000-0005-0000-0000-0000EA4F0000}"/>
    <cellStyle name="Normal 6 4 6 2 3" xfId="13653" xr:uid="{00000000-0005-0000-0000-0000EB4F0000}"/>
    <cellStyle name="Normal 6 4 6 2 3 2" xfId="33368" xr:uid="{00000000-0005-0000-0000-0000EC4F0000}"/>
    <cellStyle name="Normal 6 4 6 2 4" xfId="23511" xr:uid="{00000000-0005-0000-0000-0000ED4F0000}"/>
    <cellStyle name="Normal 6 4 6 3" xfId="6257" xr:uid="{00000000-0005-0000-0000-0000EE4F0000}"/>
    <cellStyle name="Normal 6 4 6 3 2" xfId="16117" xr:uid="{00000000-0005-0000-0000-0000EF4F0000}"/>
    <cellStyle name="Normal 6 4 6 3 2 2" xfId="35832" xr:uid="{00000000-0005-0000-0000-0000F04F0000}"/>
    <cellStyle name="Normal 6 4 6 3 3" xfId="25975" xr:uid="{00000000-0005-0000-0000-0000F14F0000}"/>
    <cellStyle name="Normal 6 4 6 4" xfId="11189" xr:uid="{00000000-0005-0000-0000-0000F24F0000}"/>
    <cellStyle name="Normal 6 4 6 4 2" xfId="30904" xr:uid="{00000000-0005-0000-0000-0000F34F0000}"/>
    <cellStyle name="Normal 6 4 6 5" xfId="21047" xr:uid="{00000000-0005-0000-0000-0000F44F0000}"/>
    <cellStyle name="Normal 6 4 7" xfId="2557" xr:uid="{00000000-0005-0000-0000-0000F54F0000}"/>
    <cellStyle name="Normal 6 4 7 2" xfId="7489" xr:uid="{00000000-0005-0000-0000-0000F64F0000}"/>
    <cellStyle name="Normal 6 4 7 2 2" xfId="17349" xr:uid="{00000000-0005-0000-0000-0000F74F0000}"/>
    <cellStyle name="Normal 6 4 7 2 2 2" xfId="37064" xr:uid="{00000000-0005-0000-0000-0000F84F0000}"/>
    <cellStyle name="Normal 6 4 7 2 3" xfId="27207" xr:uid="{00000000-0005-0000-0000-0000F94F0000}"/>
    <cellStyle name="Normal 6 4 7 3" xfId="12421" xr:uid="{00000000-0005-0000-0000-0000FA4F0000}"/>
    <cellStyle name="Normal 6 4 7 3 2" xfId="32136" xr:uid="{00000000-0005-0000-0000-0000FB4F0000}"/>
    <cellStyle name="Normal 6 4 7 4" xfId="22279" xr:uid="{00000000-0005-0000-0000-0000FC4F0000}"/>
    <cellStyle name="Normal 6 4 8" xfId="5025" xr:uid="{00000000-0005-0000-0000-0000FD4F0000}"/>
    <cellStyle name="Normal 6 4 8 2" xfId="14885" xr:uid="{00000000-0005-0000-0000-0000FE4F0000}"/>
    <cellStyle name="Normal 6 4 8 2 2" xfId="34600" xr:uid="{00000000-0005-0000-0000-0000FF4F0000}"/>
    <cellStyle name="Normal 6 4 8 3" xfId="24743" xr:uid="{00000000-0005-0000-0000-000000500000}"/>
    <cellStyle name="Normal 6 4 9" xfId="9957" xr:uid="{00000000-0005-0000-0000-000001500000}"/>
    <cellStyle name="Normal 6 4 9 2" xfId="29672" xr:uid="{00000000-0005-0000-0000-000002500000}"/>
    <cellStyle name="Normal 6 5" xfId="107" xr:uid="{00000000-0005-0000-0000-000003500000}"/>
    <cellStyle name="Normal 6 5 2" xfId="265" xr:uid="{00000000-0005-0000-0000-000004500000}"/>
    <cellStyle name="Normal 6 5 2 2" xfId="579" xr:uid="{00000000-0005-0000-0000-000005500000}"/>
    <cellStyle name="Normal 6 5 2 2 2" xfId="1199" xr:uid="{00000000-0005-0000-0000-000006500000}"/>
    <cellStyle name="Normal 6 5 2 2 2 2" xfId="2434" xr:uid="{00000000-0005-0000-0000-000007500000}"/>
    <cellStyle name="Normal 6 5 2 2 2 2 2" xfId="4901" xr:uid="{00000000-0005-0000-0000-000008500000}"/>
    <cellStyle name="Normal 6 5 2 2 2 2 2 2" xfId="9833" xr:uid="{00000000-0005-0000-0000-000009500000}"/>
    <cellStyle name="Normal 6 5 2 2 2 2 2 2 2" xfId="19693" xr:uid="{00000000-0005-0000-0000-00000A500000}"/>
    <cellStyle name="Normal 6 5 2 2 2 2 2 2 2 2" xfId="39408" xr:uid="{00000000-0005-0000-0000-00000B500000}"/>
    <cellStyle name="Normal 6 5 2 2 2 2 2 2 3" xfId="29551" xr:uid="{00000000-0005-0000-0000-00000C500000}"/>
    <cellStyle name="Normal 6 5 2 2 2 2 2 3" xfId="14765" xr:uid="{00000000-0005-0000-0000-00000D500000}"/>
    <cellStyle name="Normal 6 5 2 2 2 2 2 3 2" xfId="34480" xr:uid="{00000000-0005-0000-0000-00000E500000}"/>
    <cellStyle name="Normal 6 5 2 2 2 2 2 4" xfId="24623" xr:uid="{00000000-0005-0000-0000-00000F500000}"/>
    <cellStyle name="Normal 6 5 2 2 2 2 3" xfId="7369" xr:uid="{00000000-0005-0000-0000-000010500000}"/>
    <cellStyle name="Normal 6 5 2 2 2 2 3 2" xfId="17229" xr:uid="{00000000-0005-0000-0000-000011500000}"/>
    <cellStyle name="Normal 6 5 2 2 2 2 3 2 2" xfId="36944" xr:uid="{00000000-0005-0000-0000-000012500000}"/>
    <cellStyle name="Normal 6 5 2 2 2 2 3 3" xfId="27087" xr:uid="{00000000-0005-0000-0000-000013500000}"/>
    <cellStyle name="Normal 6 5 2 2 2 2 4" xfId="12301" xr:uid="{00000000-0005-0000-0000-000014500000}"/>
    <cellStyle name="Normal 6 5 2 2 2 2 4 2" xfId="32016" xr:uid="{00000000-0005-0000-0000-000015500000}"/>
    <cellStyle name="Normal 6 5 2 2 2 2 5" xfId="22159" xr:uid="{00000000-0005-0000-0000-000016500000}"/>
    <cellStyle name="Normal 6 5 2 2 2 3" xfId="3669" xr:uid="{00000000-0005-0000-0000-000017500000}"/>
    <cellStyle name="Normal 6 5 2 2 2 3 2" xfId="8601" xr:uid="{00000000-0005-0000-0000-000018500000}"/>
    <cellStyle name="Normal 6 5 2 2 2 3 2 2" xfId="18461" xr:uid="{00000000-0005-0000-0000-000019500000}"/>
    <cellStyle name="Normal 6 5 2 2 2 3 2 2 2" xfId="38176" xr:uid="{00000000-0005-0000-0000-00001A500000}"/>
    <cellStyle name="Normal 6 5 2 2 2 3 2 3" xfId="28319" xr:uid="{00000000-0005-0000-0000-00001B500000}"/>
    <cellStyle name="Normal 6 5 2 2 2 3 3" xfId="13533" xr:uid="{00000000-0005-0000-0000-00001C500000}"/>
    <cellStyle name="Normal 6 5 2 2 2 3 3 2" xfId="33248" xr:uid="{00000000-0005-0000-0000-00001D500000}"/>
    <cellStyle name="Normal 6 5 2 2 2 3 4" xfId="23391" xr:uid="{00000000-0005-0000-0000-00001E500000}"/>
    <cellStyle name="Normal 6 5 2 2 2 4" xfId="6137" xr:uid="{00000000-0005-0000-0000-00001F500000}"/>
    <cellStyle name="Normal 6 5 2 2 2 4 2" xfId="15997" xr:uid="{00000000-0005-0000-0000-000020500000}"/>
    <cellStyle name="Normal 6 5 2 2 2 4 2 2" xfId="35712" xr:uid="{00000000-0005-0000-0000-000021500000}"/>
    <cellStyle name="Normal 6 5 2 2 2 4 3" xfId="25855" xr:uid="{00000000-0005-0000-0000-000022500000}"/>
    <cellStyle name="Normal 6 5 2 2 2 5" xfId="11069" xr:uid="{00000000-0005-0000-0000-000023500000}"/>
    <cellStyle name="Normal 6 5 2 2 2 5 2" xfId="30784" xr:uid="{00000000-0005-0000-0000-000024500000}"/>
    <cellStyle name="Normal 6 5 2 2 2 6" xfId="20927" xr:uid="{00000000-0005-0000-0000-000025500000}"/>
    <cellStyle name="Normal 6 5 2 2 3" xfId="1818" xr:uid="{00000000-0005-0000-0000-000026500000}"/>
    <cellStyle name="Normal 6 5 2 2 3 2" xfId="4285" xr:uid="{00000000-0005-0000-0000-000027500000}"/>
    <cellStyle name="Normal 6 5 2 2 3 2 2" xfId="9217" xr:uid="{00000000-0005-0000-0000-000028500000}"/>
    <cellStyle name="Normal 6 5 2 2 3 2 2 2" xfId="19077" xr:uid="{00000000-0005-0000-0000-000029500000}"/>
    <cellStyle name="Normal 6 5 2 2 3 2 2 2 2" xfId="38792" xr:uid="{00000000-0005-0000-0000-00002A500000}"/>
    <cellStyle name="Normal 6 5 2 2 3 2 2 3" xfId="28935" xr:uid="{00000000-0005-0000-0000-00002B500000}"/>
    <cellStyle name="Normal 6 5 2 2 3 2 3" xfId="14149" xr:uid="{00000000-0005-0000-0000-00002C500000}"/>
    <cellStyle name="Normal 6 5 2 2 3 2 3 2" xfId="33864" xr:uid="{00000000-0005-0000-0000-00002D500000}"/>
    <cellStyle name="Normal 6 5 2 2 3 2 4" xfId="24007" xr:uid="{00000000-0005-0000-0000-00002E500000}"/>
    <cellStyle name="Normal 6 5 2 2 3 3" xfId="6753" xr:uid="{00000000-0005-0000-0000-00002F500000}"/>
    <cellStyle name="Normal 6 5 2 2 3 3 2" xfId="16613" xr:uid="{00000000-0005-0000-0000-000030500000}"/>
    <cellStyle name="Normal 6 5 2 2 3 3 2 2" xfId="36328" xr:uid="{00000000-0005-0000-0000-000031500000}"/>
    <cellStyle name="Normal 6 5 2 2 3 3 3" xfId="26471" xr:uid="{00000000-0005-0000-0000-000032500000}"/>
    <cellStyle name="Normal 6 5 2 2 3 4" xfId="11685" xr:uid="{00000000-0005-0000-0000-000033500000}"/>
    <cellStyle name="Normal 6 5 2 2 3 4 2" xfId="31400" xr:uid="{00000000-0005-0000-0000-000034500000}"/>
    <cellStyle name="Normal 6 5 2 2 3 5" xfId="21543" xr:uid="{00000000-0005-0000-0000-000035500000}"/>
    <cellStyle name="Normal 6 5 2 2 4" xfId="3053" xr:uid="{00000000-0005-0000-0000-000036500000}"/>
    <cellStyle name="Normal 6 5 2 2 4 2" xfId="7985" xr:uid="{00000000-0005-0000-0000-000037500000}"/>
    <cellStyle name="Normal 6 5 2 2 4 2 2" xfId="17845" xr:uid="{00000000-0005-0000-0000-000038500000}"/>
    <cellStyle name="Normal 6 5 2 2 4 2 2 2" xfId="37560" xr:uid="{00000000-0005-0000-0000-000039500000}"/>
    <cellStyle name="Normal 6 5 2 2 4 2 3" xfId="27703" xr:uid="{00000000-0005-0000-0000-00003A500000}"/>
    <cellStyle name="Normal 6 5 2 2 4 3" xfId="12917" xr:uid="{00000000-0005-0000-0000-00003B500000}"/>
    <cellStyle name="Normal 6 5 2 2 4 3 2" xfId="32632" xr:uid="{00000000-0005-0000-0000-00003C500000}"/>
    <cellStyle name="Normal 6 5 2 2 4 4" xfId="22775" xr:uid="{00000000-0005-0000-0000-00003D500000}"/>
    <cellStyle name="Normal 6 5 2 2 5" xfId="5521" xr:uid="{00000000-0005-0000-0000-00003E500000}"/>
    <cellStyle name="Normal 6 5 2 2 5 2" xfId="15381" xr:uid="{00000000-0005-0000-0000-00003F500000}"/>
    <cellStyle name="Normal 6 5 2 2 5 2 2" xfId="35096" xr:uid="{00000000-0005-0000-0000-000040500000}"/>
    <cellStyle name="Normal 6 5 2 2 5 3" xfId="25239" xr:uid="{00000000-0005-0000-0000-000041500000}"/>
    <cellStyle name="Normal 6 5 2 2 6" xfId="10453" xr:uid="{00000000-0005-0000-0000-000042500000}"/>
    <cellStyle name="Normal 6 5 2 2 6 2" xfId="30168" xr:uid="{00000000-0005-0000-0000-000043500000}"/>
    <cellStyle name="Normal 6 5 2 2 7" xfId="20311" xr:uid="{00000000-0005-0000-0000-000044500000}"/>
    <cellStyle name="Normal 6 5 2 3" xfId="892" xr:uid="{00000000-0005-0000-0000-000045500000}"/>
    <cellStyle name="Normal 6 5 2 3 2" xfId="2128" xr:uid="{00000000-0005-0000-0000-000046500000}"/>
    <cellStyle name="Normal 6 5 2 3 2 2" xfId="4595" xr:uid="{00000000-0005-0000-0000-000047500000}"/>
    <cellStyle name="Normal 6 5 2 3 2 2 2" xfId="9527" xr:uid="{00000000-0005-0000-0000-000048500000}"/>
    <cellStyle name="Normal 6 5 2 3 2 2 2 2" xfId="19387" xr:uid="{00000000-0005-0000-0000-000049500000}"/>
    <cellStyle name="Normal 6 5 2 3 2 2 2 2 2" xfId="39102" xr:uid="{00000000-0005-0000-0000-00004A500000}"/>
    <cellStyle name="Normal 6 5 2 3 2 2 2 3" xfId="29245" xr:uid="{00000000-0005-0000-0000-00004B500000}"/>
    <cellStyle name="Normal 6 5 2 3 2 2 3" xfId="14459" xr:uid="{00000000-0005-0000-0000-00004C500000}"/>
    <cellStyle name="Normal 6 5 2 3 2 2 3 2" xfId="34174" xr:uid="{00000000-0005-0000-0000-00004D500000}"/>
    <cellStyle name="Normal 6 5 2 3 2 2 4" xfId="24317" xr:uid="{00000000-0005-0000-0000-00004E500000}"/>
    <cellStyle name="Normal 6 5 2 3 2 3" xfId="7063" xr:uid="{00000000-0005-0000-0000-00004F500000}"/>
    <cellStyle name="Normal 6 5 2 3 2 3 2" xfId="16923" xr:uid="{00000000-0005-0000-0000-000050500000}"/>
    <cellStyle name="Normal 6 5 2 3 2 3 2 2" xfId="36638" xr:uid="{00000000-0005-0000-0000-000051500000}"/>
    <cellStyle name="Normal 6 5 2 3 2 3 3" xfId="26781" xr:uid="{00000000-0005-0000-0000-000052500000}"/>
    <cellStyle name="Normal 6 5 2 3 2 4" xfId="11995" xr:uid="{00000000-0005-0000-0000-000053500000}"/>
    <cellStyle name="Normal 6 5 2 3 2 4 2" xfId="31710" xr:uid="{00000000-0005-0000-0000-000054500000}"/>
    <cellStyle name="Normal 6 5 2 3 2 5" xfId="21853" xr:uid="{00000000-0005-0000-0000-000055500000}"/>
    <cellStyle name="Normal 6 5 2 3 3" xfId="3363" xr:uid="{00000000-0005-0000-0000-000056500000}"/>
    <cellStyle name="Normal 6 5 2 3 3 2" xfId="8295" xr:uid="{00000000-0005-0000-0000-000057500000}"/>
    <cellStyle name="Normal 6 5 2 3 3 2 2" xfId="18155" xr:uid="{00000000-0005-0000-0000-000058500000}"/>
    <cellStyle name="Normal 6 5 2 3 3 2 2 2" xfId="37870" xr:uid="{00000000-0005-0000-0000-000059500000}"/>
    <cellStyle name="Normal 6 5 2 3 3 2 3" xfId="28013" xr:uid="{00000000-0005-0000-0000-00005A500000}"/>
    <cellStyle name="Normal 6 5 2 3 3 3" xfId="13227" xr:uid="{00000000-0005-0000-0000-00005B500000}"/>
    <cellStyle name="Normal 6 5 2 3 3 3 2" xfId="32942" xr:uid="{00000000-0005-0000-0000-00005C500000}"/>
    <cellStyle name="Normal 6 5 2 3 3 4" xfId="23085" xr:uid="{00000000-0005-0000-0000-00005D500000}"/>
    <cellStyle name="Normal 6 5 2 3 4" xfId="5831" xr:uid="{00000000-0005-0000-0000-00005E500000}"/>
    <cellStyle name="Normal 6 5 2 3 4 2" xfId="15691" xr:uid="{00000000-0005-0000-0000-00005F500000}"/>
    <cellStyle name="Normal 6 5 2 3 4 2 2" xfId="35406" xr:uid="{00000000-0005-0000-0000-000060500000}"/>
    <cellStyle name="Normal 6 5 2 3 4 3" xfId="25549" xr:uid="{00000000-0005-0000-0000-000061500000}"/>
    <cellStyle name="Normal 6 5 2 3 5" xfId="10763" xr:uid="{00000000-0005-0000-0000-000062500000}"/>
    <cellStyle name="Normal 6 5 2 3 5 2" xfId="30478" xr:uid="{00000000-0005-0000-0000-000063500000}"/>
    <cellStyle name="Normal 6 5 2 3 6" xfId="20621" xr:uid="{00000000-0005-0000-0000-000064500000}"/>
    <cellStyle name="Normal 6 5 2 4" xfId="1512" xr:uid="{00000000-0005-0000-0000-000065500000}"/>
    <cellStyle name="Normal 6 5 2 4 2" xfId="3979" xr:uid="{00000000-0005-0000-0000-000066500000}"/>
    <cellStyle name="Normal 6 5 2 4 2 2" xfId="8911" xr:uid="{00000000-0005-0000-0000-000067500000}"/>
    <cellStyle name="Normal 6 5 2 4 2 2 2" xfId="18771" xr:uid="{00000000-0005-0000-0000-000068500000}"/>
    <cellStyle name="Normal 6 5 2 4 2 2 2 2" xfId="38486" xr:uid="{00000000-0005-0000-0000-000069500000}"/>
    <cellStyle name="Normal 6 5 2 4 2 2 3" xfId="28629" xr:uid="{00000000-0005-0000-0000-00006A500000}"/>
    <cellStyle name="Normal 6 5 2 4 2 3" xfId="13843" xr:uid="{00000000-0005-0000-0000-00006B500000}"/>
    <cellStyle name="Normal 6 5 2 4 2 3 2" xfId="33558" xr:uid="{00000000-0005-0000-0000-00006C500000}"/>
    <cellStyle name="Normal 6 5 2 4 2 4" xfId="23701" xr:uid="{00000000-0005-0000-0000-00006D500000}"/>
    <cellStyle name="Normal 6 5 2 4 3" xfId="6447" xr:uid="{00000000-0005-0000-0000-00006E500000}"/>
    <cellStyle name="Normal 6 5 2 4 3 2" xfId="16307" xr:uid="{00000000-0005-0000-0000-00006F500000}"/>
    <cellStyle name="Normal 6 5 2 4 3 2 2" xfId="36022" xr:uid="{00000000-0005-0000-0000-000070500000}"/>
    <cellStyle name="Normal 6 5 2 4 3 3" xfId="26165" xr:uid="{00000000-0005-0000-0000-000071500000}"/>
    <cellStyle name="Normal 6 5 2 4 4" xfId="11379" xr:uid="{00000000-0005-0000-0000-000072500000}"/>
    <cellStyle name="Normal 6 5 2 4 4 2" xfId="31094" xr:uid="{00000000-0005-0000-0000-000073500000}"/>
    <cellStyle name="Normal 6 5 2 4 5" xfId="21237" xr:uid="{00000000-0005-0000-0000-000074500000}"/>
    <cellStyle name="Normal 6 5 2 5" xfId="2747" xr:uid="{00000000-0005-0000-0000-000075500000}"/>
    <cellStyle name="Normal 6 5 2 5 2" xfId="7679" xr:uid="{00000000-0005-0000-0000-000076500000}"/>
    <cellStyle name="Normal 6 5 2 5 2 2" xfId="17539" xr:uid="{00000000-0005-0000-0000-000077500000}"/>
    <cellStyle name="Normal 6 5 2 5 2 2 2" xfId="37254" xr:uid="{00000000-0005-0000-0000-000078500000}"/>
    <cellStyle name="Normal 6 5 2 5 2 3" xfId="27397" xr:uid="{00000000-0005-0000-0000-000079500000}"/>
    <cellStyle name="Normal 6 5 2 5 3" xfId="12611" xr:uid="{00000000-0005-0000-0000-00007A500000}"/>
    <cellStyle name="Normal 6 5 2 5 3 2" xfId="32326" xr:uid="{00000000-0005-0000-0000-00007B500000}"/>
    <cellStyle name="Normal 6 5 2 5 4" xfId="22469" xr:uid="{00000000-0005-0000-0000-00007C500000}"/>
    <cellStyle name="Normal 6 5 2 6" xfId="5215" xr:uid="{00000000-0005-0000-0000-00007D500000}"/>
    <cellStyle name="Normal 6 5 2 6 2" xfId="15075" xr:uid="{00000000-0005-0000-0000-00007E500000}"/>
    <cellStyle name="Normal 6 5 2 6 2 2" xfId="34790" xr:uid="{00000000-0005-0000-0000-00007F500000}"/>
    <cellStyle name="Normal 6 5 2 6 3" xfId="24933" xr:uid="{00000000-0005-0000-0000-000080500000}"/>
    <cellStyle name="Normal 6 5 2 7" xfId="10147" xr:uid="{00000000-0005-0000-0000-000081500000}"/>
    <cellStyle name="Normal 6 5 2 7 2" xfId="29862" xr:uid="{00000000-0005-0000-0000-000082500000}"/>
    <cellStyle name="Normal 6 5 2 8" xfId="20005" xr:uid="{00000000-0005-0000-0000-000083500000}"/>
    <cellStyle name="Normal 6 5 3" xfId="427" xr:uid="{00000000-0005-0000-0000-000084500000}"/>
    <cellStyle name="Normal 6 5 3 2" xfId="1047" xr:uid="{00000000-0005-0000-0000-000085500000}"/>
    <cellStyle name="Normal 6 5 3 2 2" xfId="2282" xr:uid="{00000000-0005-0000-0000-000086500000}"/>
    <cellStyle name="Normal 6 5 3 2 2 2" xfId="4749" xr:uid="{00000000-0005-0000-0000-000087500000}"/>
    <cellStyle name="Normal 6 5 3 2 2 2 2" xfId="9681" xr:uid="{00000000-0005-0000-0000-000088500000}"/>
    <cellStyle name="Normal 6 5 3 2 2 2 2 2" xfId="19541" xr:uid="{00000000-0005-0000-0000-000089500000}"/>
    <cellStyle name="Normal 6 5 3 2 2 2 2 2 2" xfId="39256" xr:uid="{00000000-0005-0000-0000-00008A500000}"/>
    <cellStyle name="Normal 6 5 3 2 2 2 2 3" xfId="29399" xr:uid="{00000000-0005-0000-0000-00008B500000}"/>
    <cellStyle name="Normal 6 5 3 2 2 2 3" xfId="14613" xr:uid="{00000000-0005-0000-0000-00008C500000}"/>
    <cellStyle name="Normal 6 5 3 2 2 2 3 2" xfId="34328" xr:uid="{00000000-0005-0000-0000-00008D500000}"/>
    <cellStyle name="Normal 6 5 3 2 2 2 4" xfId="24471" xr:uid="{00000000-0005-0000-0000-00008E500000}"/>
    <cellStyle name="Normal 6 5 3 2 2 3" xfId="7217" xr:uid="{00000000-0005-0000-0000-00008F500000}"/>
    <cellStyle name="Normal 6 5 3 2 2 3 2" xfId="17077" xr:uid="{00000000-0005-0000-0000-000090500000}"/>
    <cellStyle name="Normal 6 5 3 2 2 3 2 2" xfId="36792" xr:uid="{00000000-0005-0000-0000-000091500000}"/>
    <cellStyle name="Normal 6 5 3 2 2 3 3" xfId="26935" xr:uid="{00000000-0005-0000-0000-000092500000}"/>
    <cellStyle name="Normal 6 5 3 2 2 4" xfId="12149" xr:uid="{00000000-0005-0000-0000-000093500000}"/>
    <cellStyle name="Normal 6 5 3 2 2 4 2" xfId="31864" xr:uid="{00000000-0005-0000-0000-000094500000}"/>
    <cellStyle name="Normal 6 5 3 2 2 5" xfId="22007" xr:uid="{00000000-0005-0000-0000-000095500000}"/>
    <cellStyle name="Normal 6 5 3 2 3" xfId="3517" xr:uid="{00000000-0005-0000-0000-000096500000}"/>
    <cellStyle name="Normal 6 5 3 2 3 2" xfId="8449" xr:uid="{00000000-0005-0000-0000-000097500000}"/>
    <cellStyle name="Normal 6 5 3 2 3 2 2" xfId="18309" xr:uid="{00000000-0005-0000-0000-000098500000}"/>
    <cellStyle name="Normal 6 5 3 2 3 2 2 2" xfId="38024" xr:uid="{00000000-0005-0000-0000-000099500000}"/>
    <cellStyle name="Normal 6 5 3 2 3 2 3" xfId="28167" xr:uid="{00000000-0005-0000-0000-00009A500000}"/>
    <cellStyle name="Normal 6 5 3 2 3 3" xfId="13381" xr:uid="{00000000-0005-0000-0000-00009B500000}"/>
    <cellStyle name="Normal 6 5 3 2 3 3 2" xfId="33096" xr:uid="{00000000-0005-0000-0000-00009C500000}"/>
    <cellStyle name="Normal 6 5 3 2 3 4" xfId="23239" xr:uid="{00000000-0005-0000-0000-00009D500000}"/>
    <cellStyle name="Normal 6 5 3 2 4" xfId="5985" xr:uid="{00000000-0005-0000-0000-00009E500000}"/>
    <cellStyle name="Normal 6 5 3 2 4 2" xfId="15845" xr:uid="{00000000-0005-0000-0000-00009F500000}"/>
    <cellStyle name="Normal 6 5 3 2 4 2 2" xfId="35560" xr:uid="{00000000-0005-0000-0000-0000A0500000}"/>
    <cellStyle name="Normal 6 5 3 2 4 3" xfId="25703" xr:uid="{00000000-0005-0000-0000-0000A1500000}"/>
    <cellStyle name="Normal 6 5 3 2 5" xfId="10917" xr:uid="{00000000-0005-0000-0000-0000A2500000}"/>
    <cellStyle name="Normal 6 5 3 2 5 2" xfId="30632" xr:uid="{00000000-0005-0000-0000-0000A3500000}"/>
    <cellStyle name="Normal 6 5 3 2 6" xfId="20775" xr:uid="{00000000-0005-0000-0000-0000A4500000}"/>
    <cellStyle name="Normal 6 5 3 3" xfId="1666" xr:uid="{00000000-0005-0000-0000-0000A5500000}"/>
    <cellStyle name="Normal 6 5 3 3 2" xfId="4133" xr:uid="{00000000-0005-0000-0000-0000A6500000}"/>
    <cellStyle name="Normal 6 5 3 3 2 2" xfId="9065" xr:uid="{00000000-0005-0000-0000-0000A7500000}"/>
    <cellStyle name="Normal 6 5 3 3 2 2 2" xfId="18925" xr:uid="{00000000-0005-0000-0000-0000A8500000}"/>
    <cellStyle name="Normal 6 5 3 3 2 2 2 2" xfId="38640" xr:uid="{00000000-0005-0000-0000-0000A9500000}"/>
    <cellStyle name="Normal 6 5 3 3 2 2 3" xfId="28783" xr:uid="{00000000-0005-0000-0000-0000AA500000}"/>
    <cellStyle name="Normal 6 5 3 3 2 3" xfId="13997" xr:uid="{00000000-0005-0000-0000-0000AB500000}"/>
    <cellStyle name="Normal 6 5 3 3 2 3 2" xfId="33712" xr:uid="{00000000-0005-0000-0000-0000AC500000}"/>
    <cellStyle name="Normal 6 5 3 3 2 4" xfId="23855" xr:uid="{00000000-0005-0000-0000-0000AD500000}"/>
    <cellStyle name="Normal 6 5 3 3 3" xfId="6601" xr:uid="{00000000-0005-0000-0000-0000AE500000}"/>
    <cellStyle name="Normal 6 5 3 3 3 2" xfId="16461" xr:uid="{00000000-0005-0000-0000-0000AF500000}"/>
    <cellStyle name="Normal 6 5 3 3 3 2 2" xfId="36176" xr:uid="{00000000-0005-0000-0000-0000B0500000}"/>
    <cellStyle name="Normal 6 5 3 3 3 3" xfId="26319" xr:uid="{00000000-0005-0000-0000-0000B1500000}"/>
    <cellStyle name="Normal 6 5 3 3 4" xfId="11533" xr:uid="{00000000-0005-0000-0000-0000B2500000}"/>
    <cellStyle name="Normal 6 5 3 3 4 2" xfId="31248" xr:uid="{00000000-0005-0000-0000-0000B3500000}"/>
    <cellStyle name="Normal 6 5 3 3 5" xfId="21391" xr:uid="{00000000-0005-0000-0000-0000B4500000}"/>
    <cellStyle name="Normal 6 5 3 4" xfId="2901" xr:uid="{00000000-0005-0000-0000-0000B5500000}"/>
    <cellStyle name="Normal 6 5 3 4 2" xfId="7833" xr:uid="{00000000-0005-0000-0000-0000B6500000}"/>
    <cellStyle name="Normal 6 5 3 4 2 2" xfId="17693" xr:uid="{00000000-0005-0000-0000-0000B7500000}"/>
    <cellStyle name="Normal 6 5 3 4 2 2 2" xfId="37408" xr:uid="{00000000-0005-0000-0000-0000B8500000}"/>
    <cellStyle name="Normal 6 5 3 4 2 3" xfId="27551" xr:uid="{00000000-0005-0000-0000-0000B9500000}"/>
    <cellStyle name="Normal 6 5 3 4 3" xfId="12765" xr:uid="{00000000-0005-0000-0000-0000BA500000}"/>
    <cellStyle name="Normal 6 5 3 4 3 2" xfId="32480" xr:uid="{00000000-0005-0000-0000-0000BB500000}"/>
    <cellStyle name="Normal 6 5 3 4 4" xfId="22623" xr:uid="{00000000-0005-0000-0000-0000BC500000}"/>
    <cellStyle name="Normal 6 5 3 5" xfId="5369" xr:uid="{00000000-0005-0000-0000-0000BD500000}"/>
    <cellStyle name="Normal 6 5 3 5 2" xfId="15229" xr:uid="{00000000-0005-0000-0000-0000BE500000}"/>
    <cellStyle name="Normal 6 5 3 5 2 2" xfId="34944" xr:uid="{00000000-0005-0000-0000-0000BF500000}"/>
    <cellStyle name="Normal 6 5 3 5 3" xfId="25087" xr:uid="{00000000-0005-0000-0000-0000C0500000}"/>
    <cellStyle name="Normal 6 5 3 6" xfId="10301" xr:uid="{00000000-0005-0000-0000-0000C1500000}"/>
    <cellStyle name="Normal 6 5 3 6 2" xfId="30016" xr:uid="{00000000-0005-0000-0000-0000C2500000}"/>
    <cellStyle name="Normal 6 5 3 7" xfId="20159" xr:uid="{00000000-0005-0000-0000-0000C3500000}"/>
    <cellStyle name="Normal 6 5 4" xfId="740" xr:uid="{00000000-0005-0000-0000-0000C4500000}"/>
    <cellStyle name="Normal 6 5 4 2" xfId="1976" xr:uid="{00000000-0005-0000-0000-0000C5500000}"/>
    <cellStyle name="Normal 6 5 4 2 2" xfId="4443" xr:uid="{00000000-0005-0000-0000-0000C6500000}"/>
    <cellStyle name="Normal 6 5 4 2 2 2" xfId="9375" xr:uid="{00000000-0005-0000-0000-0000C7500000}"/>
    <cellStyle name="Normal 6 5 4 2 2 2 2" xfId="19235" xr:uid="{00000000-0005-0000-0000-0000C8500000}"/>
    <cellStyle name="Normal 6 5 4 2 2 2 2 2" xfId="38950" xr:uid="{00000000-0005-0000-0000-0000C9500000}"/>
    <cellStyle name="Normal 6 5 4 2 2 2 3" xfId="29093" xr:uid="{00000000-0005-0000-0000-0000CA500000}"/>
    <cellStyle name="Normal 6 5 4 2 2 3" xfId="14307" xr:uid="{00000000-0005-0000-0000-0000CB500000}"/>
    <cellStyle name="Normal 6 5 4 2 2 3 2" xfId="34022" xr:uid="{00000000-0005-0000-0000-0000CC500000}"/>
    <cellStyle name="Normal 6 5 4 2 2 4" xfId="24165" xr:uid="{00000000-0005-0000-0000-0000CD500000}"/>
    <cellStyle name="Normal 6 5 4 2 3" xfId="6911" xr:uid="{00000000-0005-0000-0000-0000CE500000}"/>
    <cellStyle name="Normal 6 5 4 2 3 2" xfId="16771" xr:uid="{00000000-0005-0000-0000-0000CF500000}"/>
    <cellStyle name="Normal 6 5 4 2 3 2 2" xfId="36486" xr:uid="{00000000-0005-0000-0000-0000D0500000}"/>
    <cellStyle name="Normal 6 5 4 2 3 3" xfId="26629" xr:uid="{00000000-0005-0000-0000-0000D1500000}"/>
    <cellStyle name="Normal 6 5 4 2 4" xfId="11843" xr:uid="{00000000-0005-0000-0000-0000D2500000}"/>
    <cellStyle name="Normal 6 5 4 2 4 2" xfId="31558" xr:uid="{00000000-0005-0000-0000-0000D3500000}"/>
    <cellStyle name="Normal 6 5 4 2 5" xfId="21701" xr:uid="{00000000-0005-0000-0000-0000D4500000}"/>
    <cellStyle name="Normal 6 5 4 3" xfId="3211" xr:uid="{00000000-0005-0000-0000-0000D5500000}"/>
    <cellStyle name="Normal 6 5 4 3 2" xfId="8143" xr:uid="{00000000-0005-0000-0000-0000D6500000}"/>
    <cellStyle name="Normal 6 5 4 3 2 2" xfId="18003" xr:uid="{00000000-0005-0000-0000-0000D7500000}"/>
    <cellStyle name="Normal 6 5 4 3 2 2 2" xfId="37718" xr:uid="{00000000-0005-0000-0000-0000D8500000}"/>
    <cellStyle name="Normal 6 5 4 3 2 3" xfId="27861" xr:uid="{00000000-0005-0000-0000-0000D9500000}"/>
    <cellStyle name="Normal 6 5 4 3 3" xfId="13075" xr:uid="{00000000-0005-0000-0000-0000DA500000}"/>
    <cellStyle name="Normal 6 5 4 3 3 2" xfId="32790" xr:uid="{00000000-0005-0000-0000-0000DB500000}"/>
    <cellStyle name="Normal 6 5 4 3 4" xfId="22933" xr:uid="{00000000-0005-0000-0000-0000DC500000}"/>
    <cellStyle name="Normal 6 5 4 4" xfId="5679" xr:uid="{00000000-0005-0000-0000-0000DD500000}"/>
    <cellStyle name="Normal 6 5 4 4 2" xfId="15539" xr:uid="{00000000-0005-0000-0000-0000DE500000}"/>
    <cellStyle name="Normal 6 5 4 4 2 2" xfId="35254" xr:uid="{00000000-0005-0000-0000-0000DF500000}"/>
    <cellStyle name="Normal 6 5 4 4 3" xfId="25397" xr:uid="{00000000-0005-0000-0000-0000E0500000}"/>
    <cellStyle name="Normal 6 5 4 5" xfId="10611" xr:uid="{00000000-0005-0000-0000-0000E1500000}"/>
    <cellStyle name="Normal 6 5 4 5 2" xfId="30326" xr:uid="{00000000-0005-0000-0000-0000E2500000}"/>
    <cellStyle name="Normal 6 5 4 6" xfId="20469" xr:uid="{00000000-0005-0000-0000-0000E3500000}"/>
    <cellStyle name="Normal 6 5 5" xfId="1360" xr:uid="{00000000-0005-0000-0000-0000E4500000}"/>
    <cellStyle name="Normal 6 5 5 2" xfId="3827" xr:uid="{00000000-0005-0000-0000-0000E5500000}"/>
    <cellStyle name="Normal 6 5 5 2 2" xfId="8759" xr:uid="{00000000-0005-0000-0000-0000E6500000}"/>
    <cellStyle name="Normal 6 5 5 2 2 2" xfId="18619" xr:uid="{00000000-0005-0000-0000-0000E7500000}"/>
    <cellStyle name="Normal 6 5 5 2 2 2 2" xfId="38334" xr:uid="{00000000-0005-0000-0000-0000E8500000}"/>
    <cellStyle name="Normal 6 5 5 2 2 3" xfId="28477" xr:uid="{00000000-0005-0000-0000-0000E9500000}"/>
    <cellStyle name="Normal 6 5 5 2 3" xfId="13691" xr:uid="{00000000-0005-0000-0000-0000EA500000}"/>
    <cellStyle name="Normal 6 5 5 2 3 2" xfId="33406" xr:uid="{00000000-0005-0000-0000-0000EB500000}"/>
    <cellStyle name="Normal 6 5 5 2 4" xfId="23549" xr:uid="{00000000-0005-0000-0000-0000EC500000}"/>
    <cellStyle name="Normal 6 5 5 3" xfId="6295" xr:uid="{00000000-0005-0000-0000-0000ED500000}"/>
    <cellStyle name="Normal 6 5 5 3 2" xfId="16155" xr:uid="{00000000-0005-0000-0000-0000EE500000}"/>
    <cellStyle name="Normal 6 5 5 3 2 2" xfId="35870" xr:uid="{00000000-0005-0000-0000-0000EF500000}"/>
    <cellStyle name="Normal 6 5 5 3 3" xfId="26013" xr:uid="{00000000-0005-0000-0000-0000F0500000}"/>
    <cellStyle name="Normal 6 5 5 4" xfId="11227" xr:uid="{00000000-0005-0000-0000-0000F1500000}"/>
    <cellStyle name="Normal 6 5 5 4 2" xfId="30942" xr:uid="{00000000-0005-0000-0000-0000F2500000}"/>
    <cellStyle name="Normal 6 5 5 5" xfId="21085" xr:uid="{00000000-0005-0000-0000-0000F3500000}"/>
    <cellStyle name="Normal 6 5 6" xfId="2595" xr:uid="{00000000-0005-0000-0000-0000F4500000}"/>
    <cellStyle name="Normal 6 5 6 2" xfId="7527" xr:uid="{00000000-0005-0000-0000-0000F5500000}"/>
    <cellStyle name="Normal 6 5 6 2 2" xfId="17387" xr:uid="{00000000-0005-0000-0000-0000F6500000}"/>
    <cellStyle name="Normal 6 5 6 2 2 2" xfId="37102" xr:uid="{00000000-0005-0000-0000-0000F7500000}"/>
    <cellStyle name="Normal 6 5 6 2 3" xfId="27245" xr:uid="{00000000-0005-0000-0000-0000F8500000}"/>
    <cellStyle name="Normal 6 5 6 3" xfId="12459" xr:uid="{00000000-0005-0000-0000-0000F9500000}"/>
    <cellStyle name="Normal 6 5 6 3 2" xfId="32174" xr:uid="{00000000-0005-0000-0000-0000FA500000}"/>
    <cellStyle name="Normal 6 5 6 4" xfId="22317" xr:uid="{00000000-0005-0000-0000-0000FB500000}"/>
    <cellStyle name="Normal 6 5 7" xfId="5063" xr:uid="{00000000-0005-0000-0000-0000FC500000}"/>
    <cellStyle name="Normal 6 5 7 2" xfId="14923" xr:uid="{00000000-0005-0000-0000-0000FD500000}"/>
    <cellStyle name="Normal 6 5 7 2 2" xfId="34638" xr:uid="{00000000-0005-0000-0000-0000FE500000}"/>
    <cellStyle name="Normal 6 5 7 3" xfId="24781" xr:uid="{00000000-0005-0000-0000-0000FF500000}"/>
    <cellStyle name="Normal 6 5 8" xfId="9995" xr:uid="{00000000-0005-0000-0000-000000510000}"/>
    <cellStyle name="Normal 6 5 8 2" xfId="29710" xr:uid="{00000000-0005-0000-0000-000001510000}"/>
    <cellStyle name="Normal 6 5 9" xfId="19853" xr:uid="{00000000-0005-0000-0000-000002510000}"/>
    <cellStyle name="Normal 6 6" xfId="188" xr:uid="{00000000-0005-0000-0000-000003510000}"/>
    <cellStyle name="Normal 6 6 2" xfId="503" xr:uid="{00000000-0005-0000-0000-000004510000}"/>
    <cellStyle name="Normal 6 6 2 2" xfId="1123" xr:uid="{00000000-0005-0000-0000-000005510000}"/>
    <cellStyle name="Normal 6 6 2 2 2" xfId="2358" xr:uid="{00000000-0005-0000-0000-000006510000}"/>
    <cellStyle name="Normal 6 6 2 2 2 2" xfId="4825" xr:uid="{00000000-0005-0000-0000-000007510000}"/>
    <cellStyle name="Normal 6 6 2 2 2 2 2" xfId="9757" xr:uid="{00000000-0005-0000-0000-000008510000}"/>
    <cellStyle name="Normal 6 6 2 2 2 2 2 2" xfId="19617" xr:uid="{00000000-0005-0000-0000-000009510000}"/>
    <cellStyle name="Normal 6 6 2 2 2 2 2 2 2" xfId="39332" xr:uid="{00000000-0005-0000-0000-00000A510000}"/>
    <cellStyle name="Normal 6 6 2 2 2 2 2 3" xfId="29475" xr:uid="{00000000-0005-0000-0000-00000B510000}"/>
    <cellStyle name="Normal 6 6 2 2 2 2 3" xfId="14689" xr:uid="{00000000-0005-0000-0000-00000C510000}"/>
    <cellStyle name="Normal 6 6 2 2 2 2 3 2" xfId="34404" xr:uid="{00000000-0005-0000-0000-00000D510000}"/>
    <cellStyle name="Normal 6 6 2 2 2 2 4" xfId="24547" xr:uid="{00000000-0005-0000-0000-00000E510000}"/>
    <cellStyle name="Normal 6 6 2 2 2 3" xfId="7293" xr:uid="{00000000-0005-0000-0000-00000F510000}"/>
    <cellStyle name="Normal 6 6 2 2 2 3 2" xfId="17153" xr:uid="{00000000-0005-0000-0000-000010510000}"/>
    <cellStyle name="Normal 6 6 2 2 2 3 2 2" xfId="36868" xr:uid="{00000000-0005-0000-0000-000011510000}"/>
    <cellStyle name="Normal 6 6 2 2 2 3 3" xfId="27011" xr:uid="{00000000-0005-0000-0000-000012510000}"/>
    <cellStyle name="Normal 6 6 2 2 2 4" xfId="12225" xr:uid="{00000000-0005-0000-0000-000013510000}"/>
    <cellStyle name="Normal 6 6 2 2 2 4 2" xfId="31940" xr:uid="{00000000-0005-0000-0000-000014510000}"/>
    <cellStyle name="Normal 6 6 2 2 2 5" xfId="22083" xr:uid="{00000000-0005-0000-0000-000015510000}"/>
    <cellStyle name="Normal 6 6 2 2 3" xfId="3593" xr:uid="{00000000-0005-0000-0000-000016510000}"/>
    <cellStyle name="Normal 6 6 2 2 3 2" xfId="8525" xr:uid="{00000000-0005-0000-0000-000017510000}"/>
    <cellStyle name="Normal 6 6 2 2 3 2 2" xfId="18385" xr:uid="{00000000-0005-0000-0000-000018510000}"/>
    <cellStyle name="Normal 6 6 2 2 3 2 2 2" xfId="38100" xr:uid="{00000000-0005-0000-0000-000019510000}"/>
    <cellStyle name="Normal 6 6 2 2 3 2 3" xfId="28243" xr:uid="{00000000-0005-0000-0000-00001A510000}"/>
    <cellStyle name="Normal 6 6 2 2 3 3" xfId="13457" xr:uid="{00000000-0005-0000-0000-00001B510000}"/>
    <cellStyle name="Normal 6 6 2 2 3 3 2" xfId="33172" xr:uid="{00000000-0005-0000-0000-00001C510000}"/>
    <cellStyle name="Normal 6 6 2 2 3 4" xfId="23315" xr:uid="{00000000-0005-0000-0000-00001D510000}"/>
    <cellStyle name="Normal 6 6 2 2 4" xfId="6061" xr:uid="{00000000-0005-0000-0000-00001E510000}"/>
    <cellStyle name="Normal 6 6 2 2 4 2" xfId="15921" xr:uid="{00000000-0005-0000-0000-00001F510000}"/>
    <cellStyle name="Normal 6 6 2 2 4 2 2" xfId="35636" xr:uid="{00000000-0005-0000-0000-000020510000}"/>
    <cellStyle name="Normal 6 6 2 2 4 3" xfId="25779" xr:uid="{00000000-0005-0000-0000-000021510000}"/>
    <cellStyle name="Normal 6 6 2 2 5" xfId="10993" xr:uid="{00000000-0005-0000-0000-000022510000}"/>
    <cellStyle name="Normal 6 6 2 2 5 2" xfId="30708" xr:uid="{00000000-0005-0000-0000-000023510000}"/>
    <cellStyle name="Normal 6 6 2 2 6" xfId="20851" xr:uid="{00000000-0005-0000-0000-000024510000}"/>
    <cellStyle name="Normal 6 6 2 3" xfId="1742" xr:uid="{00000000-0005-0000-0000-000025510000}"/>
    <cellStyle name="Normal 6 6 2 3 2" xfId="4209" xr:uid="{00000000-0005-0000-0000-000026510000}"/>
    <cellStyle name="Normal 6 6 2 3 2 2" xfId="9141" xr:uid="{00000000-0005-0000-0000-000027510000}"/>
    <cellStyle name="Normal 6 6 2 3 2 2 2" xfId="19001" xr:uid="{00000000-0005-0000-0000-000028510000}"/>
    <cellStyle name="Normal 6 6 2 3 2 2 2 2" xfId="38716" xr:uid="{00000000-0005-0000-0000-000029510000}"/>
    <cellStyle name="Normal 6 6 2 3 2 2 3" xfId="28859" xr:uid="{00000000-0005-0000-0000-00002A510000}"/>
    <cellStyle name="Normal 6 6 2 3 2 3" xfId="14073" xr:uid="{00000000-0005-0000-0000-00002B510000}"/>
    <cellStyle name="Normal 6 6 2 3 2 3 2" xfId="33788" xr:uid="{00000000-0005-0000-0000-00002C510000}"/>
    <cellStyle name="Normal 6 6 2 3 2 4" xfId="23931" xr:uid="{00000000-0005-0000-0000-00002D510000}"/>
    <cellStyle name="Normal 6 6 2 3 3" xfId="6677" xr:uid="{00000000-0005-0000-0000-00002E510000}"/>
    <cellStyle name="Normal 6 6 2 3 3 2" xfId="16537" xr:uid="{00000000-0005-0000-0000-00002F510000}"/>
    <cellStyle name="Normal 6 6 2 3 3 2 2" xfId="36252" xr:uid="{00000000-0005-0000-0000-000030510000}"/>
    <cellStyle name="Normal 6 6 2 3 3 3" xfId="26395" xr:uid="{00000000-0005-0000-0000-000031510000}"/>
    <cellStyle name="Normal 6 6 2 3 4" xfId="11609" xr:uid="{00000000-0005-0000-0000-000032510000}"/>
    <cellStyle name="Normal 6 6 2 3 4 2" xfId="31324" xr:uid="{00000000-0005-0000-0000-000033510000}"/>
    <cellStyle name="Normal 6 6 2 3 5" xfId="21467" xr:uid="{00000000-0005-0000-0000-000034510000}"/>
    <cellStyle name="Normal 6 6 2 4" xfId="2977" xr:uid="{00000000-0005-0000-0000-000035510000}"/>
    <cellStyle name="Normal 6 6 2 4 2" xfId="7909" xr:uid="{00000000-0005-0000-0000-000036510000}"/>
    <cellStyle name="Normal 6 6 2 4 2 2" xfId="17769" xr:uid="{00000000-0005-0000-0000-000037510000}"/>
    <cellStyle name="Normal 6 6 2 4 2 2 2" xfId="37484" xr:uid="{00000000-0005-0000-0000-000038510000}"/>
    <cellStyle name="Normal 6 6 2 4 2 3" xfId="27627" xr:uid="{00000000-0005-0000-0000-000039510000}"/>
    <cellStyle name="Normal 6 6 2 4 3" xfId="12841" xr:uid="{00000000-0005-0000-0000-00003A510000}"/>
    <cellStyle name="Normal 6 6 2 4 3 2" xfId="32556" xr:uid="{00000000-0005-0000-0000-00003B510000}"/>
    <cellStyle name="Normal 6 6 2 4 4" xfId="22699" xr:uid="{00000000-0005-0000-0000-00003C510000}"/>
    <cellStyle name="Normal 6 6 2 5" xfId="5445" xr:uid="{00000000-0005-0000-0000-00003D510000}"/>
    <cellStyle name="Normal 6 6 2 5 2" xfId="15305" xr:uid="{00000000-0005-0000-0000-00003E510000}"/>
    <cellStyle name="Normal 6 6 2 5 2 2" xfId="35020" xr:uid="{00000000-0005-0000-0000-00003F510000}"/>
    <cellStyle name="Normal 6 6 2 5 3" xfId="25163" xr:uid="{00000000-0005-0000-0000-000040510000}"/>
    <cellStyle name="Normal 6 6 2 6" xfId="10377" xr:uid="{00000000-0005-0000-0000-000041510000}"/>
    <cellStyle name="Normal 6 6 2 6 2" xfId="30092" xr:uid="{00000000-0005-0000-0000-000042510000}"/>
    <cellStyle name="Normal 6 6 2 7" xfId="20235" xr:uid="{00000000-0005-0000-0000-000043510000}"/>
    <cellStyle name="Normal 6 6 3" xfId="816" xr:uid="{00000000-0005-0000-0000-000044510000}"/>
    <cellStyle name="Normal 6 6 3 2" xfId="2052" xr:uid="{00000000-0005-0000-0000-000045510000}"/>
    <cellStyle name="Normal 6 6 3 2 2" xfId="4519" xr:uid="{00000000-0005-0000-0000-000046510000}"/>
    <cellStyle name="Normal 6 6 3 2 2 2" xfId="9451" xr:uid="{00000000-0005-0000-0000-000047510000}"/>
    <cellStyle name="Normal 6 6 3 2 2 2 2" xfId="19311" xr:uid="{00000000-0005-0000-0000-000048510000}"/>
    <cellStyle name="Normal 6 6 3 2 2 2 2 2" xfId="39026" xr:uid="{00000000-0005-0000-0000-000049510000}"/>
    <cellStyle name="Normal 6 6 3 2 2 2 3" xfId="29169" xr:uid="{00000000-0005-0000-0000-00004A510000}"/>
    <cellStyle name="Normal 6 6 3 2 2 3" xfId="14383" xr:uid="{00000000-0005-0000-0000-00004B510000}"/>
    <cellStyle name="Normal 6 6 3 2 2 3 2" xfId="34098" xr:uid="{00000000-0005-0000-0000-00004C510000}"/>
    <cellStyle name="Normal 6 6 3 2 2 4" xfId="24241" xr:uid="{00000000-0005-0000-0000-00004D510000}"/>
    <cellStyle name="Normal 6 6 3 2 3" xfId="6987" xr:uid="{00000000-0005-0000-0000-00004E510000}"/>
    <cellStyle name="Normal 6 6 3 2 3 2" xfId="16847" xr:uid="{00000000-0005-0000-0000-00004F510000}"/>
    <cellStyle name="Normal 6 6 3 2 3 2 2" xfId="36562" xr:uid="{00000000-0005-0000-0000-000050510000}"/>
    <cellStyle name="Normal 6 6 3 2 3 3" xfId="26705" xr:uid="{00000000-0005-0000-0000-000051510000}"/>
    <cellStyle name="Normal 6 6 3 2 4" xfId="11919" xr:uid="{00000000-0005-0000-0000-000052510000}"/>
    <cellStyle name="Normal 6 6 3 2 4 2" xfId="31634" xr:uid="{00000000-0005-0000-0000-000053510000}"/>
    <cellStyle name="Normal 6 6 3 2 5" xfId="21777" xr:uid="{00000000-0005-0000-0000-000054510000}"/>
    <cellStyle name="Normal 6 6 3 3" xfId="3287" xr:uid="{00000000-0005-0000-0000-000055510000}"/>
    <cellStyle name="Normal 6 6 3 3 2" xfId="8219" xr:uid="{00000000-0005-0000-0000-000056510000}"/>
    <cellStyle name="Normal 6 6 3 3 2 2" xfId="18079" xr:uid="{00000000-0005-0000-0000-000057510000}"/>
    <cellStyle name="Normal 6 6 3 3 2 2 2" xfId="37794" xr:uid="{00000000-0005-0000-0000-000058510000}"/>
    <cellStyle name="Normal 6 6 3 3 2 3" xfId="27937" xr:uid="{00000000-0005-0000-0000-000059510000}"/>
    <cellStyle name="Normal 6 6 3 3 3" xfId="13151" xr:uid="{00000000-0005-0000-0000-00005A510000}"/>
    <cellStyle name="Normal 6 6 3 3 3 2" xfId="32866" xr:uid="{00000000-0005-0000-0000-00005B510000}"/>
    <cellStyle name="Normal 6 6 3 3 4" xfId="23009" xr:uid="{00000000-0005-0000-0000-00005C510000}"/>
    <cellStyle name="Normal 6 6 3 4" xfId="5755" xr:uid="{00000000-0005-0000-0000-00005D510000}"/>
    <cellStyle name="Normal 6 6 3 4 2" xfId="15615" xr:uid="{00000000-0005-0000-0000-00005E510000}"/>
    <cellStyle name="Normal 6 6 3 4 2 2" xfId="35330" xr:uid="{00000000-0005-0000-0000-00005F510000}"/>
    <cellStyle name="Normal 6 6 3 4 3" xfId="25473" xr:uid="{00000000-0005-0000-0000-000060510000}"/>
    <cellStyle name="Normal 6 6 3 5" xfId="10687" xr:uid="{00000000-0005-0000-0000-000061510000}"/>
    <cellStyle name="Normal 6 6 3 5 2" xfId="30402" xr:uid="{00000000-0005-0000-0000-000062510000}"/>
    <cellStyle name="Normal 6 6 3 6" xfId="20545" xr:uid="{00000000-0005-0000-0000-000063510000}"/>
    <cellStyle name="Normal 6 6 4" xfId="1436" xr:uid="{00000000-0005-0000-0000-000064510000}"/>
    <cellStyle name="Normal 6 6 4 2" xfId="3903" xr:uid="{00000000-0005-0000-0000-000065510000}"/>
    <cellStyle name="Normal 6 6 4 2 2" xfId="8835" xr:uid="{00000000-0005-0000-0000-000066510000}"/>
    <cellStyle name="Normal 6 6 4 2 2 2" xfId="18695" xr:uid="{00000000-0005-0000-0000-000067510000}"/>
    <cellStyle name="Normal 6 6 4 2 2 2 2" xfId="38410" xr:uid="{00000000-0005-0000-0000-000068510000}"/>
    <cellStyle name="Normal 6 6 4 2 2 3" xfId="28553" xr:uid="{00000000-0005-0000-0000-000069510000}"/>
    <cellStyle name="Normal 6 6 4 2 3" xfId="13767" xr:uid="{00000000-0005-0000-0000-00006A510000}"/>
    <cellStyle name="Normal 6 6 4 2 3 2" xfId="33482" xr:uid="{00000000-0005-0000-0000-00006B510000}"/>
    <cellStyle name="Normal 6 6 4 2 4" xfId="23625" xr:uid="{00000000-0005-0000-0000-00006C510000}"/>
    <cellStyle name="Normal 6 6 4 3" xfId="6371" xr:uid="{00000000-0005-0000-0000-00006D510000}"/>
    <cellStyle name="Normal 6 6 4 3 2" xfId="16231" xr:uid="{00000000-0005-0000-0000-00006E510000}"/>
    <cellStyle name="Normal 6 6 4 3 2 2" xfId="35946" xr:uid="{00000000-0005-0000-0000-00006F510000}"/>
    <cellStyle name="Normal 6 6 4 3 3" xfId="26089" xr:uid="{00000000-0005-0000-0000-000070510000}"/>
    <cellStyle name="Normal 6 6 4 4" xfId="11303" xr:uid="{00000000-0005-0000-0000-000071510000}"/>
    <cellStyle name="Normal 6 6 4 4 2" xfId="31018" xr:uid="{00000000-0005-0000-0000-000072510000}"/>
    <cellStyle name="Normal 6 6 4 5" xfId="21161" xr:uid="{00000000-0005-0000-0000-000073510000}"/>
    <cellStyle name="Normal 6 6 5" xfId="2671" xr:uid="{00000000-0005-0000-0000-000074510000}"/>
    <cellStyle name="Normal 6 6 5 2" xfId="7603" xr:uid="{00000000-0005-0000-0000-000075510000}"/>
    <cellStyle name="Normal 6 6 5 2 2" xfId="17463" xr:uid="{00000000-0005-0000-0000-000076510000}"/>
    <cellStyle name="Normal 6 6 5 2 2 2" xfId="37178" xr:uid="{00000000-0005-0000-0000-000077510000}"/>
    <cellStyle name="Normal 6 6 5 2 3" xfId="27321" xr:uid="{00000000-0005-0000-0000-000078510000}"/>
    <cellStyle name="Normal 6 6 5 3" xfId="12535" xr:uid="{00000000-0005-0000-0000-000079510000}"/>
    <cellStyle name="Normal 6 6 5 3 2" xfId="32250" xr:uid="{00000000-0005-0000-0000-00007A510000}"/>
    <cellStyle name="Normal 6 6 5 4" xfId="22393" xr:uid="{00000000-0005-0000-0000-00007B510000}"/>
    <cellStyle name="Normal 6 6 6" xfId="5139" xr:uid="{00000000-0005-0000-0000-00007C510000}"/>
    <cellStyle name="Normal 6 6 6 2" xfId="14999" xr:uid="{00000000-0005-0000-0000-00007D510000}"/>
    <cellStyle name="Normal 6 6 6 2 2" xfId="34714" xr:uid="{00000000-0005-0000-0000-00007E510000}"/>
    <cellStyle name="Normal 6 6 6 3" xfId="24857" xr:uid="{00000000-0005-0000-0000-00007F510000}"/>
    <cellStyle name="Normal 6 6 7" xfId="10071" xr:uid="{00000000-0005-0000-0000-000080510000}"/>
    <cellStyle name="Normal 6 6 7 2" xfId="29786" xr:uid="{00000000-0005-0000-0000-000081510000}"/>
    <cellStyle name="Normal 6 6 8" xfId="19929" xr:uid="{00000000-0005-0000-0000-000082510000}"/>
    <cellStyle name="Normal 6 7" xfId="350" xr:uid="{00000000-0005-0000-0000-000083510000}"/>
    <cellStyle name="Normal 6 7 2" xfId="971" xr:uid="{00000000-0005-0000-0000-000084510000}"/>
    <cellStyle name="Normal 6 7 2 2" xfId="2206" xr:uid="{00000000-0005-0000-0000-000085510000}"/>
    <cellStyle name="Normal 6 7 2 2 2" xfId="4673" xr:uid="{00000000-0005-0000-0000-000086510000}"/>
    <cellStyle name="Normal 6 7 2 2 2 2" xfId="9605" xr:uid="{00000000-0005-0000-0000-000087510000}"/>
    <cellStyle name="Normal 6 7 2 2 2 2 2" xfId="19465" xr:uid="{00000000-0005-0000-0000-000088510000}"/>
    <cellStyle name="Normal 6 7 2 2 2 2 2 2" xfId="39180" xr:uid="{00000000-0005-0000-0000-000089510000}"/>
    <cellStyle name="Normal 6 7 2 2 2 2 3" xfId="29323" xr:uid="{00000000-0005-0000-0000-00008A510000}"/>
    <cellStyle name="Normal 6 7 2 2 2 3" xfId="14537" xr:uid="{00000000-0005-0000-0000-00008B510000}"/>
    <cellStyle name="Normal 6 7 2 2 2 3 2" xfId="34252" xr:uid="{00000000-0005-0000-0000-00008C510000}"/>
    <cellStyle name="Normal 6 7 2 2 2 4" xfId="24395" xr:uid="{00000000-0005-0000-0000-00008D510000}"/>
    <cellStyle name="Normal 6 7 2 2 3" xfId="7141" xr:uid="{00000000-0005-0000-0000-00008E510000}"/>
    <cellStyle name="Normal 6 7 2 2 3 2" xfId="17001" xr:uid="{00000000-0005-0000-0000-00008F510000}"/>
    <cellStyle name="Normal 6 7 2 2 3 2 2" xfId="36716" xr:uid="{00000000-0005-0000-0000-000090510000}"/>
    <cellStyle name="Normal 6 7 2 2 3 3" xfId="26859" xr:uid="{00000000-0005-0000-0000-000091510000}"/>
    <cellStyle name="Normal 6 7 2 2 4" xfId="12073" xr:uid="{00000000-0005-0000-0000-000092510000}"/>
    <cellStyle name="Normal 6 7 2 2 4 2" xfId="31788" xr:uid="{00000000-0005-0000-0000-000093510000}"/>
    <cellStyle name="Normal 6 7 2 2 5" xfId="21931" xr:uid="{00000000-0005-0000-0000-000094510000}"/>
    <cellStyle name="Normal 6 7 2 3" xfId="3441" xr:uid="{00000000-0005-0000-0000-000095510000}"/>
    <cellStyle name="Normal 6 7 2 3 2" xfId="8373" xr:uid="{00000000-0005-0000-0000-000096510000}"/>
    <cellStyle name="Normal 6 7 2 3 2 2" xfId="18233" xr:uid="{00000000-0005-0000-0000-000097510000}"/>
    <cellStyle name="Normal 6 7 2 3 2 2 2" xfId="37948" xr:uid="{00000000-0005-0000-0000-000098510000}"/>
    <cellStyle name="Normal 6 7 2 3 2 3" xfId="28091" xr:uid="{00000000-0005-0000-0000-000099510000}"/>
    <cellStyle name="Normal 6 7 2 3 3" xfId="13305" xr:uid="{00000000-0005-0000-0000-00009A510000}"/>
    <cellStyle name="Normal 6 7 2 3 3 2" xfId="33020" xr:uid="{00000000-0005-0000-0000-00009B510000}"/>
    <cellStyle name="Normal 6 7 2 3 4" xfId="23163" xr:uid="{00000000-0005-0000-0000-00009C510000}"/>
    <cellStyle name="Normal 6 7 2 4" xfId="5909" xr:uid="{00000000-0005-0000-0000-00009D510000}"/>
    <cellStyle name="Normal 6 7 2 4 2" xfId="15769" xr:uid="{00000000-0005-0000-0000-00009E510000}"/>
    <cellStyle name="Normal 6 7 2 4 2 2" xfId="35484" xr:uid="{00000000-0005-0000-0000-00009F510000}"/>
    <cellStyle name="Normal 6 7 2 4 3" xfId="25627" xr:uid="{00000000-0005-0000-0000-0000A0510000}"/>
    <cellStyle name="Normal 6 7 2 5" xfId="10841" xr:uid="{00000000-0005-0000-0000-0000A1510000}"/>
    <cellStyle name="Normal 6 7 2 5 2" xfId="30556" xr:uid="{00000000-0005-0000-0000-0000A2510000}"/>
    <cellStyle name="Normal 6 7 2 6" xfId="20699" xr:uid="{00000000-0005-0000-0000-0000A3510000}"/>
    <cellStyle name="Normal 6 7 3" xfId="1590" xr:uid="{00000000-0005-0000-0000-0000A4510000}"/>
    <cellStyle name="Normal 6 7 3 2" xfId="4057" xr:uid="{00000000-0005-0000-0000-0000A5510000}"/>
    <cellStyle name="Normal 6 7 3 2 2" xfId="8989" xr:uid="{00000000-0005-0000-0000-0000A6510000}"/>
    <cellStyle name="Normal 6 7 3 2 2 2" xfId="18849" xr:uid="{00000000-0005-0000-0000-0000A7510000}"/>
    <cellStyle name="Normal 6 7 3 2 2 2 2" xfId="38564" xr:uid="{00000000-0005-0000-0000-0000A8510000}"/>
    <cellStyle name="Normal 6 7 3 2 2 3" xfId="28707" xr:uid="{00000000-0005-0000-0000-0000A9510000}"/>
    <cellStyle name="Normal 6 7 3 2 3" xfId="13921" xr:uid="{00000000-0005-0000-0000-0000AA510000}"/>
    <cellStyle name="Normal 6 7 3 2 3 2" xfId="33636" xr:uid="{00000000-0005-0000-0000-0000AB510000}"/>
    <cellStyle name="Normal 6 7 3 2 4" xfId="23779" xr:uid="{00000000-0005-0000-0000-0000AC510000}"/>
    <cellStyle name="Normal 6 7 3 3" xfId="6525" xr:uid="{00000000-0005-0000-0000-0000AD510000}"/>
    <cellStyle name="Normal 6 7 3 3 2" xfId="16385" xr:uid="{00000000-0005-0000-0000-0000AE510000}"/>
    <cellStyle name="Normal 6 7 3 3 2 2" xfId="36100" xr:uid="{00000000-0005-0000-0000-0000AF510000}"/>
    <cellStyle name="Normal 6 7 3 3 3" xfId="26243" xr:uid="{00000000-0005-0000-0000-0000B0510000}"/>
    <cellStyle name="Normal 6 7 3 4" xfId="11457" xr:uid="{00000000-0005-0000-0000-0000B1510000}"/>
    <cellStyle name="Normal 6 7 3 4 2" xfId="31172" xr:uid="{00000000-0005-0000-0000-0000B2510000}"/>
    <cellStyle name="Normal 6 7 3 5" xfId="21315" xr:uid="{00000000-0005-0000-0000-0000B3510000}"/>
    <cellStyle name="Normal 6 7 4" xfId="2825" xr:uid="{00000000-0005-0000-0000-0000B4510000}"/>
    <cellStyle name="Normal 6 7 4 2" xfId="7757" xr:uid="{00000000-0005-0000-0000-0000B5510000}"/>
    <cellStyle name="Normal 6 7 4 2 2" xfId="17617" xr:uid="{00000000-0005-0000-0000-0000B6510000}"/>
    <cellStyle name="Normal 6 7 4 2 2 2" xfId="37332" xr:uid="{00000000-0005-0000-0000-0000B7510000}"/>
    <cellStyle name="Normal 6 7 4 2 3" xfId="27475" xr:uid="{00000000-0005-0000-0000-0000B8510000}"/>
    <cellStyle name="Normal 6 7 4 3" xfId="12689" xr:uid="{00000000-0005-0000-0000-0000B9510000}"/>
    <cellStyle name="Normal 6 7 4 3 2" xfId="32404" xr:uid="{00000000-0005-0000-0000-0000BA510000}"/>
    <cellStyle name="Normal 6 7 4 4" xfId="22547" xr:uid="{00000000-0005-0000-0000-0000BB510000}"/>
    <cellStyle name="Normal 6 7 5" xfId="5293" xr:uid="{00000000-0005-0000-0000-0000BC510000}"/>
    <cellStyle name="Normal 6 7 5 2" xfId="15153" xr:uid="{00000000-0005-0000-0000-0000BD510000}"/>
    <cellStyle name="Normal 6 7 5 2 2" xfId="34868" xr:uid="{00000000-0005-0000-0000-0000BE510000}"/>
    <cellStyle name="Normal 6 7 5 3" xfId="25011" xr:uid="{00000000-0005-0000-0000-0000BF510000}"/>
    <cellStyle name="Normal 6 7 6" xfId="10225" xr:uid="{00000000-0005-0000-0000-0000C0510000}"/>
    <cellStyle name="Normal 6 7 6 2" xfId="29940" xr:uid="{00000000-0005-0000-0000-0000C1510000}"/>
    <cellStyle name="Normal 6 7 7" xfId="20083" xr:uid="{00000000-0005-0000-0000-0000C2510000}"/>
    <cellStyle name="Normal 6 8" xfId="663" xr:uid="{00000000-0005-0000-0000-0000C3510000}"/>
    <cellStyle name="Normal 6 8 2" xfId="1900" xr:uid="{00000000-0005-0000-0000-0000C4510000}"/>
    <cellStyle name="Normal 6 8 2 2" xfId="4367" xr:uid="{00000000-0005-0000-0000-0000C5510000}"/>
    <cellStyle name="Normal 6 8 2 2 2" xfId="9299" xr:uid="{00000000-0005-0000-0000-0000C6510000}"/>
    <cellStyle name="Normal 6 8 2 2 2 2" xfId="19159" xr:uid="{00000000-0005-0000-0000-0000C7510000}"/>
    <cellStyle name="Normal 6 8 2 2 2 2 2" xfId="38874" xr:uid="{00000000-0005-0000-0000-0000C8510000}"/>
    <cellStyle name="Normal 6 8 2 2 2 3" xfId="29017" xr:uid="{00000000-0005-0000-0000-0000C9510000}"/>
    <cellStyle name="Normal 6 8 2 2 3" xfId="14231" xr:uid="{00000000-0005-0000-0000-0000CA510000}"/>
    <cellStyle name="Normal 6 8 2 2 3 2" xfId="33946" xr:uid="{00000000-0005-0000-0000-0000CB510000}"/>
    <cellStyle name="Normal 6 8 2 2 4" xfId="24089" xr:uid="{00000000-0005-0000-0000-0000CC510000}"/>
    <cellStyle name="Normal 6 8 2 3" xfId="6835" xr:uid="{00000000-0005-0000-0000-0000CD510000}"/>
    <cellStyle name="Normal 6 8 2 3 2" xfId="16695" xr:uid="{00000000-0005-0000-0000-0000CE510000}"/>
    <cellStyle name="Normal 6 8 2 3 2 2" xfId="36410" xr:uid="{00000000-0005-0000-0000-0000CF510000}"/>
    <cellStyle name="Normal 6 8 2 3 3" xfId="26553" xr:uid="{00000000-0005-0000-0000-0000D0510000}"/>
    <cellStyle name="Normal 6 8 2 4" xfId="11767" xr:uid="{00000000-0005-0000-0000-0000D1510000}"/>
    <cellStyle name="Normal 6 8 2 4 2" xfId="31482" xr:uid="{00000000-0005-0000-0000-0000D2510000}"/>
    <cellStyle name="Normal 6 8 2 5" xfId="21625" xr:uid="{00000000-0005-0000-0000-0000D3510000}"/>
    <cellStyle name="Normal 6 8 3" xfId="3135" xr:uid="{00000000-0005-0000-0000-0000D4510000}"/>
    <cellStyle name="Normal 6 8 3 2" xfId="8067" xr:uid="{00000000-0005-0000-0000-0000D5510000}"/>
    <cellStyle name="Normal 6 8 3 2 2" xfId="17927" xr:uid="{00000000-0005-0000-0000-0000D6510000}"/>
    <cellStyle name="Normal 6 8 3 2 2 2" xfId="37642" xr:uid="{00000000-0005-0000-0000-0000D7510000}"/>
    <cellStyle name="Normal 6 8 3 2 3" xfId="27785" xr:uid="{00000000-0005-0000-0000-0000D8510000}"/>
    <cellStyle name="Normal 6 8 3 3" xfId="12999" xr:uid="{00000000-0005-0000-0000-0000D9510000}"/>
    <cellStyle name="Normal 6 8 3 3 2" xfId="32714" xr:uid="{00000000-0005-0000-0000-0000DA510000}"/>
    <cellStyle name="Normal 6 8 3 4" xfId="22857" xr:uid="{00000000-0005-0000-0000-0000DB510000}"/>
    <cellStyle name="Normal 6 8 4" xfId="5603" xr:uid="{00000000-0005-0000-0000-0000DC510000}"/>
    <cellStyle name="Normal 6 8 4 2" xfId="15463" xr:uid="{00000000-0005-0000-0000-0000DD510000}"/>
    <cellStyle name="Normal 6 8 4 2 2" xfId="35178" xr:uid="{00000000-0005-0000-0000-0000DE510000}"/>
    <cellStyle name="Normal 6 8 4 3" xfId="25321" xr:uid="{00000000-0005-0000-0000-0000DF510000}"/>
    <cellStyle name="Normal 6 8 5" xfId="10535" xr:uid="{00000000-0005-0000-0000-0000E0510000}"/>
    <cellStyle name="Normal 6 8 5 2" xfId="30250" xr:uid="{00000000-0005-0000-0000-0000E1510000}"/>
    <cellStyle name="Normal 6 8 6" xfId="20393" xr:uid="{00000000-0005-0000-0000-0000E2510000}"/>
    <cellStyle name="Normal 6 9" xfId="1283" xr:uid="{00000000-0005-0000-0000-0000E3510000}"/>
    <cellStyle name="Normal 6 9 2" xfId="3751" xr:uid="{00000000-0005-0000-0000-0000E4510000}"/>
    <cellStyle name="Normal 6 9 2 2" xfId="8683" xr:uid="{00000000-0005-0000-0000-0000E5510000}"/>
    <cellStyle name="Normal 6 9 2 2 2" xfId="18543" xr:uid="{00000000-0005-0000-0000-0000E6510000}"/>
    <cellStyle name="Normal 6 9 2 2 2 2" xfId="38258" xr:uid="{00000000-0005-0000-0000-0000E7510000}"/>
    <cellStyle name="Normal 6 9 2 2 3" xfId="28401" xr:uid="{00000000-0005-0000-0000-0000E8510000}"/>
    <cellStyle name="Normal 6 9 2 3" xfId="13615" xr:uid="{00000000-0005-0000-0000-0000E9510000}"/>
    <cellStyle name="Normal 6 9 2 3 2" xfId="33330" xr:uid="{00000000-0005-0000-0000-0000EA510000}"/>
    <cellStyle name="Normal 6 9 2 4" xfId="23473" xr:uid="{00000000-0005-0000-0000-0000EB510000}"/>
    <cellStyle name="Normal 6 9 3" xfId="6219" xr:uid="{00000000-0005-0000-0000-0000EC510000}"/>
    <cellStyle name="Normal 6 9 3 2" xfId="16079" xr:uid="{00000000-0005-0000-0000-0000ED510000}"/>
    <cellStyle name="Normal 6 9 3 2 2" xfId="35794" xr:uid="{00000000-0005-0000-0000-0000EE510000}"/>
    <cellStyle name="Normal 6 9 3 3" xfId="25937" xr:uid="{00000000-0005-0000-0000-0000EF510000}"/>
    <cellStyle name="Normal 6 9 4" xfId="11151" xr:uid="{00000000-0005-0000-0000-0000F0510000}"/>
    <cellStyle name="Normal 6 9 4 2" xfId="30866" xr:uid="{00000000-0005-0000-0000-0000F1510000}"/>
    <cellStyle name="Normal 6 9 5" xfId="21009" xr:uid="{00000000-0005-0000-0000-0000F2510000}"/>
    <cellStyle name="Normal 7" xfId="15" xr:uid="{00000000-0005-0000-0000-0000F3510000}"/>
    <cellStyle name="Normal 7 10" xfId="2522" xr:uid="{00000000-0005-0000-0000-0000F4510000}"/>
    <cellStyle name="Normal 7 10 2" xfId="7454" xr:uid="{00000000-0005-0000-0000-0000F5510000}"/>
    <cellStyle name="Normal 7 10 2 2" xfId="17314" xr:uid="{00000000-0005-0000-0000-0000F6510000}"/>
    <cellStyle name="Normal 7 10 2 2 2" xfId="37029" xr:uid="{00000000-0005-0000-0000-0000F7510000}"/>
    <cellStyle name="Normal 7 10 2 3" xfId="27172" xr:uid="{00000000-0005-0000-0000-0000F8510000}"/>
    <cellStyle name="Normal 7 10 3" xfId="12386" xr:uid="{00000000-0005-0000-0000-0000F9510000}"/>
    <cellStyle name="Normal 7 10 3 2" xfId="32101" xr:uid="{00000000-0005-0000-0000-0000FA510000}"/>
    <cellStyle name="Normal 7 10 4" xfId="22244" xr:uid="{00000000-0005-0000-0000-0000FB510000}"/>
    <cellStyle name="Normal 7 11" xfId="4990" xr:uid="{00000000-0005-0000-0000-0000FC510000}"/>
    <cellStyle name="Normal 7 11 2" xfId="14850" xr:uid="{00000000-0005-0000-0000-0000FD510000}"/>
    <cellStyle name="Normal 7 11 2 2" xfId="34565" xr:uid="{00000000-0005-0000-0000-0000FE510000}"/>
    <cellStyle name="Normal 7 11 3" xfId="24708" xr:uid="{00000000-0005-0000-0000-0000FF510000}"/>
    <cellStyle name="Normal 7 12" xfId="9922" xr:uid="{00000000-0005-0000-0000-000000520000}"/>
    <cellStyle name="Normal 7 12 2" xfId="29637" xr:uid="{00000000-0005-0000-0000-000001520000}"/>
    <cellStyle name="Normal 7 13" xfId="19780" xr:uid="{00000000-0005-0000-0000-000002520000}"/>
    <cellStyle name="Normal 7 2" xfId="29" xr:uid="{00000000-0005-0000-0000-000003520000}"/>
    <cellStyle name="Normal 7 2 10" xfId="4999" xr:uid="{00000000-0005-0000-0000-000004520000}"/>
    <cellStyle name="Normal 7 2 10 2" xfId="14859" xr:uid="{00000000-0005-0000-0000-000005520000}"/>
    <cellStyle name="Normal 7 2 10 2 2" xfId="34574" xr:uid="{00000000-0005-0000-0000-000006520000}"/>
    <cellStyle name="Normal 7 2 10 3" xfId="24717" xr:uid="{00000000-0005-0000-0000-000007520000}"/>
    <cellStyle name="Normal 7 2 11" xfId="9931" xr:uid="{00000000-0005-0000-0000-000008520000}"/>
    <cellStyle name="Normal 7 2 11 2" xfId="29646" xr:uid="{00000000-0005-0000-0000-000009520000}"/>
    <cellStyle name="Normal 7 2 12" xfId="19789" xr:uid="{00000000-0005-0000-0000-00000A520000}"/>
    <cellStyle name="Normal 7 2 2" xfId="53" xr:uid="{00000000-0005-0000-0000-00000B520000}"/>
    <cellStyle name="Normal 7 2 2 10" xfId="9950" xr:uid="{00000000-0005-0000-0000-00000C520000}"/>
    <cellStyle name="Normal 7 2 2 10 2" xfId="29665" xr:uid="{00000000-0005-0000-0000-00000D520000}"/>
    <cellStyle name="Normal 7 2 2 11" xfId="19808" xr:uid="{00000000-0005-0000-0000-00000E520000}"/>
    <cellStyle name="Normal 7 2 2 2" xfId="96" xr:uid="{00000000-0005-0000-0000-00000F520000}"/>
    <cellStyle name="Normal 7 2 2 2 10" xfId="19846" xr:uid="{00000000-0005-0000-0000-000010520000}"/>
    <cellStyle name="Normal 7 2 2 2 2" xfId="177" xr:uid="{00000000-0005-0000-0000-000011520000}"/>
    <cellStyle name="Normal 7 2 2 2 2 2" xfId="334" xr:uid="{00000000-0005-0000-0000-000012520000}"/>
    <cellStyle name="Normal 7 2 2 2 2 2 2" xfId="648" xr:uid="{00000000-0005-0000-0000-000013520000}"/>
    <cellStyle name="Normal 7 2 2 2 2 2 2 2" xfId="1268" xr:uid="{00000000-0005-0000-0000-000014520000}"/>
    <cellStyle name="Normal 7 2 2 2 2 2 2 2 2" xfId="2503" xr:uid="{00000000-0005-0000-0000-000015520000}"/>
    <cellStyle name="Normal 7 2 2 2 2 2 2 2 2 2" xfId="4970" xr:uid="{00000000-0005-0000-0000-000016520000}"/>
    <cellStyle name="Normal 7 2 2 2 2 2 2 2 2 2 2" xfId="9902" xr:uid="{00000000-0005-0000-0000-000017520000}"/>
    <cellStyle name="Normal 7 2 2 2 2 2 2 2 2 2 2 2" xfId="19762" xr:uid="{00000000-0005-0000-0000-000018520000}"/>
    <cellStyle name="Normal 7 2 2 2 2 2 2 2 2 2 2 2 2" xfId="39477" xr:uid="{00000000-0005-0000-0000-000019520000}"/>
    <cellStyle name="Normal 7 2 2 2 2 2 2 2 2 2 2 3" xfId="29620" xr:uid="{00000000-0005-0000-0000-00001A520000}"/>
    <cellStyle name="Normal 7 2 2 2 2 2 2 2 2 2 3" xfId="14834" xr:uid="{00000000-0005-0000-0000-00001B520000}"/>
    <cellStyle name="Normal 7 2 2 2 2 2 2 2 2 2 3 2" xfId="34549" xr:uid="{00000000-0005-0000-0000-00001C520000}"/>
    <cellStyle name="Normal 7 2 2 2 2 2 2 2 2 2 4" xfId="24692" xr:uid="{00000000-0005-0000-0000-00001D520000}"/>
    <cellStyle name="Normal 7 2 2 2 2 2 2 2 2 3" xfId="7438" xr:uid="{00000000-0005-0000-0000-00001E520000}"/>
    <cellStyle name="Normal 7 2 2 2 2 2 2 2 2 3 2" xfId="17298" xr:uid="{00000000-0005-0000-0000-00001F520000}"/>
    <cellStyle name="Normal 7 2 2 2 2 2 2 2 2 3 2 2" xfId="37013" xr:uid="{00000000-0005-0000-0000-000020520000}"/>
    <cellStyle name="Normal 7 2 2 2 2 2 2 2 2 3 3" xfId="27156" xr:uid="{00000000-0005-0000-0000-000021520000}"/>
    <cellStyle name="Normal 7 2 2 2 2 2 2 2 2 4" xfId="12370" xr:uid="{00000000-0005-0000-0000-000022520000}"/>
    <cellStyle name="Normal 7 2 2 2 2 2 2 2 2 4 2" xfId="32085" xr:uid="{00000000-0005-0000-0000-000023520000}"/>
    <cellStyle name="Normal 7 2 2 2 2 2 2 2 2 5" xfId="22228" xr:uid="{00000000-0005-0000-0000-000024520000}"/>
    <cellStyle name="Normal 7 2 2 2 2 2 2 2 3" xfId="3738" xr:uid="{00000000-0005-0000-0000-000025520000}"/>
    <cellStyle name="Normal 7 2 2 2 2 2 2 2 3 2" xfId="8670" xr:uid="{00000000-0005-0000-0000-000026520000}"/>
    <cellStyle name="Normal 7 2 2 2 2 2 2 2 3 2 2" xfId="18530" xr:uid="{00000000-0005-0000-0000-000027520000}"/>
    <cellStyle name="Normal 7 2 2 2 2 2 2 2 3 2 2 2" xfId="38245" xr:uid="{00000000-0005-0000-0000-000028520000}"/>
    <cellStyle name="Normal 7 2 2 2 2 2 2 2 3 2 3" xfId="28388" xr:uid="{00000000-0005-0000-0000-000029520000}"/>
    <cellStyle name="Normal 7 2 2 2 2 2 2 2 3 3" xfId="13602" xr:uid="{00000000-0005-0000-0000-00002A520000}"/>
    <cellStyle name="Normal 7 2 2 2 2 2 2 2 3 3 2" xfId="33317" xr:uid="{00000000-0005-0000-0000-00002B520000}"/>
    <cellStyle name="Normal 7 2 2 2 2 2 2 2 3 4" xfId="23460" xr:uid="{00000000-0005-0000-0000-00002C520000}"/>
    <cellStyle name="Normal 7 2 2 2 2 2 2 2 4" xfId="6206" xr:uid="{00000000-0005-0000-0000-00002D520000}"/>
    <cellStyle name="Normal 7 2 2 2 2 2 2 2 4 2" xfId="16066" xr:uid="{00000000-0005-0000-0000-00002E520000}"/>
    <cellStyle name="Normal 7 2 2 2 2 2 2 2 4 2 2" xfId="35781" xr:uid="{00000000-0005-0000-0000-00002F520000}"/>
    <cellStyle name="Normal 7 2 2 2 2 2 2 2 4 3" xfId="25924" xr:uid="{00000000-0005-0000-0000-000030520000}"/>
    <cellStyle name="Normal 7 2 2 2 2 2 2 2 5" xfId="11138" xr:uid="{00000000-0005-0000-0000-000031520000}"/>
    <cellStyle name="Normal 7 2 2 2 2 2 2 2 5 2" xfId="30853" xr:uid="{00000000-0005-0000-0000-000032520000}"/>
    <cellStyle name="Normal 7 2 2 2 2 2 2 2 6" xfId="20996" xr:uid="{00000000-0005-0000-0000-000033520000}"/>
    <cellStyle name="Normal 7 2 2 2 2 2 2 3" xfId="1887" xr:uid="{00000000-0005-0000-0000-000034520000}"/>
    <cellStyle name="Normal 7 2 2 2 2 2 2 3 2" xfId="4354" xr:uid="{00000000-0005-0000-0000-000035520000}"/>
    <cellStyle name="Normal 7 2 2 2 2 2 2 3 2 2" xfId="9286" xr:uid="{00000000-0005-0000-0000-000036520000}"/>
    <cellStyle name="Normal 7 2 2 2 2 2 2 3 2 2 2" xfId="19146" xr:uid="{00000000-0005-0000-0000-000037520000}"/>
    <cellStyle name="Normal 7 2 2 2 2 2 2 3 2 2 2 2" xfId="38861" xr:uid="{00000000-0005-0000-0000-000038520000}"/>
    <cellStyle name="Normal 7 2 2 2 2 2 2 3 2 2 3" xfId="29004" xr:uid="{00000000-0005-0000-0000-000039520000}"/>
    <cellStyle name="Normal 7 2 2 2 2 2 2 3 2 3" xfId="14218" xr:uid="{00000000-0005-0000-0000-00003A520000}"/>
    <cellStyle name="Normal 7 2 2 2 2 2 2 3 2 3 2" xfId="33933" xr:uid="{00000000-0005-0000-0000-00003B520000}"/>
    <cellStyle name="Normal 7 2 2 2 2 2 2 3 2 4" xfId="24076" xr:uid="{00000000-0005-0000-0000-00003C520000}"/>
    <cellStyle name="Normal 7 2 2 2 2 2 2 3 3" xfId="6822" xr:uid="{00000000-0005-0000-0000-00003D520000}"/>
    <cellStyle name="Normal 7 2 2 2 2 2 2 3 3 2" xfId="16682" xr:uid="{00000000-0005-0000-0000-00003E520000}"/>
    <cellStyle name="Normal 7 2 2 2 2 2 2 3 3 2 2" xfId="36397" xr:uid="{00000000-0005-0000-0000-00003F520000}"/>
    <cellStyle name="Normal 7 2 2 2 2 2 2 3 3 3" xfId="26540" xr:uid="{00000000-0005-0000-0000-000040520000}"/>
    <cellStyle name="Normal 7 2 2 2 2 2 2 3 4" xfId="11754" xr:uid="{00000000-0005-0000-0000-000041520000}"/>
    <cellStyle name="Normal 7 2 2 2 2 2 2 3 4 2" xfId="31469" xr:uid="{00000000-0005-0000-0000-000042520000}"/>
    <cellStyle name="Normal 7 2 2 2 2 2 2 3 5" xfId="21612" xr:uid="{00000000-0005-0000-0000-000043520000}"/>
    <cellStyle name="Normal 7 2 2 2 2 2 2 4" xfId="3122" xr:uid="{00000000-0005-0000-0000-000044520000}"/>
    <cellStyle name="Normal 7 2 2 2 2 2 2 4 2" xfId="8054" xr:uid="{00000000-0005-0000-0000-000045520000}"/>
    <cellStyle name="Normal 7 2 2 2 2 2 2 4 2 2" xfId="17914" xr:uid="{00000000-0005-0000-0000-000046520000}"/>
    <cellStyle name="Normal 7 2 2 2 2 2 2 4 2 2 2" xfId="37629" xr:uid="{00000000-0005-0000-0000-000047520000}"/>
    <cellStyle name="Normal 7 2 2 2 2 2 2 4 2 3" xfId="27772" xr:uid="{00000000-0005-0000-0000-000048520000}"/>
    <cellStyle name="Normal 7 2 2 2 2 2 2 4 3" xfId="12986" xr:uid="{00000000-0005-0000-0000-000049520000}"/>
    <cellStyle name="Normal 7 2 2 2 2 2 2 4 3 2" xfId="32701" xr:uid="{00000000-0005-0000-0000-00004A520000}"/>
    <cellStyle name="Normal 7 2 2 2 2 2 2 4 4" xfId="22844" xr:uid="{00000000-0005-0000-0000-00004B520000}"/>
    <cellStyle name="Normal 7 2 2 2 2 2 2 5" xfId="5590" xr:uid="{00000000-0005-0000-0000-00004C520000}"/>
    <cellStyle name="Normal 7 2 2 2 2 2 2 5 2" xfId="15450" xr:uid="{00000000-0005-0000-0000-00004D520000}"/>
    <cellStyle name="Normal 7 2 2 2 2 2 2 5 2 2" xfId="35165" xr:uid="{00000000-0005-0000-0000-00004E520000}"/>
    <cellStyle name="Normal 7 2 2 2 2 2 2 5 3" xfId="25308" xr:uid="{00000000-0005-0000-0000-00004F520000}"/>
    <cellStyle name="Normal 7 2 2 2 2 2 2 6" xfId="10522" xr:uid="{00000000-0005-0000-0000-000050520000}"/>
    <cellStyle name="Normal 7 2 2 2 2 2 2 6 2" xfId="30237" xr:uid="{00000000-0005-0000-0000-000051520000}"/>
    <cellStyle name="Normal 7 2 2 2 2 2 2 7" xfId="20380" xr:uid="{00000000-0005-0000-0000-000052520000}"/>
    <cellStyle name="Normal 7 2 2 2 2 2 3" xfId="961" xr:uid="{00000000-0005-0000-0000-000053520000}"/>
    <cellStyle name="Normal 7 2 2 2 2 2 3 2" xfId="2197" xr:uid="{00000000-0005-0000-0000-000054520000}"/>
    <cellStyle name="Normal 7 2 2 2 2 2 3 2 2" xfId="4664" xr:uid="{00000000-0005-0000-0000-000055520000}"/>
    <cellStyle name="Normal 7 2 2 2 2 2 3 2 2 2" xfId="9596" xr:uid="{00000000-0005-0000-0000-000056520000}"/>
    <cellStyle name="Normal 7 2 2 2 2 2 3 2 2 2 2" xfId="19456" xr:uid="{00000000-0005-0000-0000-000057520000}"/>
    <cellStyle name="Normal 7 2 2 2 2 2 3 2 2 2 2 2" xfId="39171" xr:uid="{00000000-0005-0000-0000-000058520000}"/>
    <cellStyle name="Normal 7 2 2 2 2 2 3 2 2 2 3" xfId="29314" xr:uid="{00000000-0005-0000-0000-000059520000}"/>
    <cellStyle name="Normal 7 2 2 2 2 2 3 2 2 3" xfId="14528" xr:uid="{00000000-0005-0000-0000-00005A520000}"/>
    <cellStyle name="Normal 7 2 2 2 2 2 3 2 2 3 2" xfId="34243" xr:uid="{00000000-0005-0000-0000-00005B520000}"/>
    <cellStyle name="Normal 7 2 2 2 2 2 3 2 2 4" xfId="24386" xr:uid="{00000000-0005-0000-0000-00005C520000}"/>
    <cellStyle name="Normal 7 2 2 2 2 2 3 2 3" xfId="7132" xr:uid="{00000000-0005-0000-0000-00005D520000}"/>
    <cellStyle name="Normal 7 2 2 2 2 2 3 2 3 2" xfId="16992" xr:uid="{00000000-0005-0000-0000-00005E520000}"/>
    <cellStyle name="Normal 7 2 2 2 2 2 3 2 3 2 2" xfId="36707" xr:uid="{00000000-0005-0000-0000-00005F520000}"/>
    <cellStyle name="Normal 7 2 2 2 2 2 3 2 3 3" xfId="26850" xr:uid="{00000000-0005-0000-0000-000060520000}"/>
    <cellStyle name="Normal 7 2 2 2 2 2 3 2 4" xfId="12064" xr:uid="{00000000-0005-0000-0000-000061520000}"/>
    <cellStyle name="Normal 7 2 2 2 2 2 3 2 4 2" xfId="31779" xr:uid="{00000000-0005-0000-0000-000062520000}"/>
    <cellStyle name="Normal 7 2 2 2 2 2 3 2 5" xfId="21922" xr:uid="{00000000-0005-0000-0000-000063520000}"/>
    <cellStyle name="Normal 7 2 2 2 2 2 3 3" xfId="3432" xr:uid="{00000000-0005-0000-0000-000064520000}"/>
    <cellStyle name="Normal 7 2 2 2 2 2 3 3 2" xfId="8364" xr:uid="{00000000-0005-0000-0000-000065520000}"/>
    <cellStyle name="Normal 7 2 2 2 2 2 3 3 2 2" xfId="18224" xr:uid="{00000000-0005-0000-0000-000066520000}"/>
    <cellStyle name="Normal 7 2 2 2 2 2 3 3 2 2 2" xfId="37939" xr:uid="{00000000-0005-0000-0000-000067520000}"/>
    <cellStyle name="Normal 7 2 2 2 2 2 3 3 2 3" xfId="28082" xr:uid="{00000000-0005-0000-0000-000068520000}"/>
    <cellStyle name="Normal 7 2 2 2 2 2 3 3 3" xfId="13296" xr:uid="{00000000-0005-0000-0000-000069520000}"/>
    <cellStyle name="Normal 7 2 2 2 2 2 3 3 3 2" xfId="33011" xr:uid="{00000000-0005-0000-0000-00006A520000}"/>
    <cellStyle name="Normal 7 2 2 2 2 2 3 3 4" xfId="23154" xr:uid="{00000000-0005-0000-0000-00006B520000}"/>
    <cellStyle name="Normal 7 2 2 2 2 2 3 4" xfId="5900" xr:uid="{00000000-0005-0000-0000-00006C520000}"/>
    <cellStyle name="Normal 7 2 2 2 2 2 3 4 2" xfId="15760" xr:uid="{00000000-0005-0000-0000-00006D520000}"/>
    <cellStyle name="Normal 7 2 2 2 2 2 3 4 2 2" xfId="35475" xr:uid="{00000000-0005-0000-0000-00006E520000}"/>
    <cellStyle name="Normal 7 2 2 2 2 2 3 4 3" xfId="25618" xr:uid="{00000000-0005-0000-0000-00006F520000}"/>
    <cellStyle name="Normal 7 2 2 2 2 2 3 5" xfId="10832" xr:uid="{00000000-0005-0000-0000-000070520000}"/>
    <cellStyle name="Normal 7 2 2 2 2 2 3 5 2" xfId="30547" xr:uid="{00000000-0005-0000-0000-000071520000}"/>
    <cellStyle name="Normal 7 2 2 2 2 2 3 6" xfId="20690" xr:uid="{00000000-0005-0000-0000-000072520000}"/>
    <cellStyle name="Normal 7 2 2 2 2 2 4" xfId="1581" xr:uid="{00000000-0005-0000-0000-000073520000}"/>
    <cellStyle name="Normal 7 2 2 2 2 2 4 2" xfId="4048" xr:uid="{00000000-0005-0000-0000-000074520000}"/>
    <cellStyle name="Normal 7 2 2 2 2 2 4 2 2" xfId="8980" xr:uid="{00000000-0005-0000-0000-000075520000}"/>
    <cellStyle name="Normal 7 2 2 2 2 2 4 2 2 2" xfId="18840" xr:uid="{00000000-0005-0000-0000-000076520000}"/>
    <cellStyle name="Normal 7 2 2 2 2 2 4 2 2 2 2" xfId="38555" xr:uid="{00000000-0005-0000-0000-000077520000}"/>
    <cellStyle name="Normal 7 2 2 2 2 2 4 2 2 3" xfId="28698" xr:uid="{00000000-0005-0000-0000-000078520000}"/>
    <cellStyle name="Normal 7 2 2 2 2 2 4 2 3" xfId="13912" xr:uid="{00000000-0005-0000-0000-000079520000}"/>
    <cellStyle name="Normal 7 2 2 2 2 2 4 2 3 2" xfId="33627" xr:uid="{00000000-0005-0000-0000-00007A520000}"/>
    <cellStyle name="Normal 7 2 2 2 2 2 4 2 4" xfId="23770" xr:uid="{00000000-0005-0000-0000-00007B520000}"/>
    <cellStyle name="Normal 7 2 2 2 2 2 4 3" xfId="6516" xr:uid="{00000000-0005-0000-0000-00007C520000}"/>
    <cellStyle name="Normal 7 2 2 2 2 2 4 3 2" xfId="16376" xr:uid="{00000000-0005-0000-0000-00007D520000}"/>
    <cellStyle name="Normal 7 2 2 2 2 2 4 3 2 2" xfId="36091" xr:uid="{00000000-0005-0000-0000-00007E520000}"/>
    <cellStyle name="Normal 7 2 2 2 2 2 4 3 3" xfId="26234" xr:uid="{00000000-0005-0000-0000-00007F520000}"/>
    <cellStyle name="Normal 7 2 2 2 2 2 4 4" xfId="11448" xr:uid="{00000000-0005-0000-0000-000080520000}"/>
    <cellStyle name="Normal 7 2 2 2 2 2 4 4 2" xfId="31163" xr:uid="{00000000-0005-0000-0000-000081520000}"/>
    <cellStyle name="Normal 7 2 2 2 2 2 4 5" xfId="21306" xr:uid="{00000000-0005-0000-0000-000082520000}"/>
    <cellStyle name="Normal 7 2 2 2 2 2 5" xfId="2816" xr:uid="{00000000-0005-0000-0000-000083520000}"/>
    <cellStyle name="Normal 7 2 2 2 2 2 5 2" xfId="7748" xr:uid="{00000000-0005-0000-0000-000084520000}"/>
    <cellStyle name="Normal 7 2 2 2 2 2 5 2 2" xfId="17608" xr:uid="{00000000-0005-0000-0000-000085520000}"/>
    <cellStyle name="Normal 7 2 2 2 2 2 5 2 2 2" xfId="37323" xr:uid="{00000000-0005-0000-0000-000086520000}"/>
    <cellStyle name="Normal 7 2 2 2 2 2 5 2 3" xfId="27466" xr:uid="{00000000-0005-0000-0000-000087520000}"/>
    <cellStyle name="Normal 7 2 2 2 2 2 5 3" xfId="12680" xr:uid="{00000000-0005-0000-0000-000088520000}"/>
    <cellStyle name="Normal 7 2 2 2 2 2 5 3 2" xfId="32395" xr:uid="{00000000-0005-0000-0000-000089520000}"/>
    <cellStyle name="Normal 7 2 2 2 2 2 5 4" xfId="22538" xr:uid="{00000000-0005-0000-0000-00008A520000}"/>
    <cellStyle name="Normal 7 2 2 2 2 2 6" xfId="5284" xr:uid="{00000000-0005-0000-0000-00008B520000}"/>
    <cellStyle name="Normal 7 2 2 2 2 2 6 2" xfId="15144" xr:uid="{00000000-0005-0000-0000-00008C520000}"/>
    <cellStyle name="Normal 7 2 2 2 2 2 6 2 2" xfId="34859" xr:uid="{00000000-0005-0000-0000-00008D520000}"/>
    <cellStyle name="Normal 7 2 2 2 2 2 6 3" xfId="25002" xr:uid="{00000000-0005-0000-0000-00008E520000}"/>
    <cellStyle name="Normal 7 2 2 2 2 2 7" xfId="10216" xr:uid="{00000000-0005-0000-0000-00008F520000}"/>
    <cellStyle name="Normal 7 2 2 2 2 2 7 2" xfId="29931" xr:uid="{00000000-0005-0000-0000-000090520000}"/>
    <cellStyle name="Normal 7 2 2 2 2 2 8" xfId="20074" xr:uid="{00000000-0005-0000-0000-000091520000}"/>
    <cellStyle name="Normal 7 2 2 2 2 3" xfId="496" xr:uid="{00000000-0005-0000-0000-000092520000}"/>
    <cellStyle name="Normal 7 2 2 2 2 3 2" xfId="1116" xr:uid="{00000000-0005-0000-0000-000093520000}"/>
    <cellStyle name="Normal 7 2 2 2 2 3 2 2" xfId="2351" xr:uid="{00000000-0005-0000-0000-000094520000}"/>
    <cellStyle name="Normal 7 2 2 2 2 3 2 2 2" xfId="4818" xr:uid="{00000000-0005-0000-0000-000095520000}"/>
    <cellStyle name="Normal 7 2 2 2 2 3 2 2 2 2" xfId="9750" xr:uid="{00000000-0005-0000-0000-000096520000}"/>
    <cellStyle name="Normal 7 2 2 2 2 3 2 2 2 2 2" xfId="19610" xr:uid="{00000000-0005-0000-0000-000097520000}"/>
    <cellStyle name="Normal 7 2 2 2 2 3 2 2 2 2 2 2" xfId="39325" xr:uid="{00000000-0005-0000-0000-000098520000}"/>
    <cellStyle name="Normal 7 2 2 2 2 3 2 2 2 2 3" xfId="29468" xr:uid="{00000000-0005-0000-0000-000099520000}"/>
    <cellStyle name="Normal 7 2 2 2 2 3 2 2 2 3" xfId="14682" xr:uid="{00000000-0005-0000-0000-00009A520000}"/>
    <cellStyle name="Normal 7 2 2 2 2 3 2 2 2 3 2" xfId="34397" xr:uid="{00000000-0005-0000-0000-00009B520000}"/>
    <cellStyle name="Normal 7 2 2 2 2 3 2 2 2 4" xfId="24540" xr:uid="{00000000-0005-0000-0000-00009C520000}"/>
    <cellStyle name="Normal 7 2 2 2 2 3 2 2 3" xfId="7286" xr:uid="{00000000-0005-0000-0000-00009D520000}"/>
    <cellStyle name="Normal 7 2 2 2 2 3 2 2 3 2" xfId="17146" xr:uid="{00000000-0005-0000-0000-00009E520000}"/>
    <cellStyle name="Normal 7 2 2 2 2 3 2 2 3 2 2" xfId="36861" xr:uid="{00000000-0005-0000-0000-00009F520000}"/>
    <cellStyle name="Normal 7 2 2 2 2 3 2 2 3 3" xfId="27004" xr:uid="{00000000-0005-0000-0000-0000A0520000}"/>
    <cellStyle name="Normal 7 2 2 2 2 3 2 2 4" xfId="12218" xr:uid="{00000000-0005-0000-0000-0000A1520000}"/>
    <cellStyle name="Normal 7 2 2 2 2 3 2 2 4 2" xfId="31933" xr:uid="{00000000-0005-0000-0000-0000A2520000}"/>
    <cellStyle name="Normal 7 2 2 2 2 3 2 2 5" xfId="22076" xr:uid="{00000000-0005-0000-0000-0000A3520000}"/>
    <cellStyle name="Normal 7 2 2 2 2 3 2 3" xfId="3586" xr:uid="{00000000-0005-0000-0000-0000A4520000}"/>
    <cellStyle name="Normal 7 2 2 2 2 3 2 3 2" xfId="8518" xr:uid="{00000000-0005-0000-0000-0000A5520000}"/>
    <cellStyle name="Normal 7 2 2 2 2 3 2 3 2 2" xfId="18378" xr:uid="{00000000-0005-0000-0000-0000A6520000}"/>
    <cellStyle name="Normal 7 2 2 2 2 3 2 3 2 2 2" xfId="38093" xr:uid="{00000000-0005-0000-0000-0000A7520000}"/>
    <cellStyle name="Normal 7 2 2 2 2 3 2 3 2 3" xfId="28236" xr:uid="{00000000-0005-0000-0000-0000A8520000}"/>
    <cellStyle name="Normal 7 2 2 2 2 3 2 3 3" xfId="13450" xr:uid="{00000000-0005-0000-0000-0000A9520000}"/>
    <cellStyle name="Normal 7 2 2 2 2 3 2 3 3 2" xfId="33165" xr:uid="{00000000-0005-0000-0000-0000AA520000}"/>
    <cellStyle name="Normal 7 2 2 2 2 3 2 3 4" xfId="23308" xr:uid="{00000000-0005-0000-0000-0000AB520000}"/>
    <cellStyle name="Normal 7 2 2 2 2 3 2 4" xfId="6054" xr:uid="{00000000-0005-0000-0000-0000AC520000}"/>
    <cellStyle name="Normal 7 2 2 2 2 3 2 4 2" xfId="15914" xr:uid="{00000000-0005-0000-0000-0000AD520000}"/>
    <cellStyle name="Normal 7 2 2 2 2 3 2 4 2 2" xfId="35629" xr:uid="{00000000-0005-0000-0000-0000AE520000}"/>
    <cellStyle name="Normal 7 2 2 2 2 3 2 4 3" xfId="25772" xr:uid="{00000000-0005-0000-0000-0000AF520000}"/>
    <cellStyle name="Normal 7 2 2 2 2 3 2 5" xfId="10986" xr:uid="{00000000-0005-0000-0000-0000B0520000}"/>
    <cellStyle name="Normal 7 2 2 2 2 3 2 5 2" xfId="30701" xr:uid="{00000000-0005-0000-0000-0000B1520000}"/>
    <cellStyle name="Normal 7 2 2 2 2 3 2 6" xfId="20844" xr:uid="{00000000-0005-0000-0000-0000B2520000}"/>
    <cellStyle name="Normal 7 2 2 2 2 3 3" xfId="1735" xr:uid="{00000000-0005-0000-0000-0000B3520000}"/>
    <cellStyle name="Normal 7 2 2 2 2 3 3 2" xfId="4202" xr:uid="{00000000-0005-0000-0000-0000B4520000}"/>
    <cellStyle name="Normal 7 2 2 2 2 3 3 2 2" xfId="9134" xr:uid="{00000000-0005-0000-0000-0000B5520000}"/>
    <cellStyle name="Normal 7 2 2 2 2 3 3 2 2 2" xfId="18994" xr:uid="{00000000-0005-0000-0000-0000B6520000}"/>
    <cellStyle name="Normal 7 2 2 2 2 3 3 2 2 2 2" xfId="38709" xr:uid="{00000000-0005-0000-0000-0000B7520000}"/>
    <cellStyle name="Normal 7 2 2 2 2 3 3 2 2 3" xfId="28852" xr:uid="{00000000-0005-0000-0000-0000B8520000}"/>
    <cellStyle name="Normal 7 2 2 2 2 3 3 2 3" xfId="14066" xr:uid="{00000000-0005-0000-0000-0000B9520000}"/>
    <cellStyle name="Normal 7 2 2 2 2 3 3 2 3 2" xfId="33781" xr:uid="{00000000-0005-0000-0000-0000BA520000}"/>
    <cellStyle name="Normal 7 2 2 2 2 3 3 2 4" xfId="23924" xr:uid="{00000000-0005-0000-0000-0000BB520000}"/>
    <cellStyle name="Normal 7 2 2 2 2 3 3 3" xfId="6670" xr:uid="{00000000-0005-0000-0000-0000BC520000}"/>
    <cellStyle name="Normal 7 2 2 2 2 3 3 3 2" xfId="16530" xr:uid="{00000000-0005-0000-0000-0000BD520000}"/>
    <cellStyle name="Normal 7 2 2 2 2 3 3 3 2 2" xfId="36245" xr:uid="{00000000-0005-0000-0000-0000BE520000}"/>
    <cellStyle name="Normal 7 2 2 2 2 3 3 3 3" xfId="26388" xr:uid="{00000000-0005-0000-0000-0000BF520000}"/>
    <cellStyle name="Normal 7 2 2 2 2 3 3 4" xfId="11602" xr:uid="{00000000-0005-0000-0000-0000C0520000}"/>
    <cellStyle name="Normal 7 2 2 2 2 3 3 4 2" xfId="31317" xr:uid="{00000000-0005-0000-0000-0000C1520000}"/>
    <cellStyle name="Normal 7 2 2 2 2 3 3 5" xfId="21460" xr:uid="{00000000-0005-0000-0000-0000C2520000}"/>
    <cellStyle name="Normal 7 2 2 2 2 3 4" xfId="2970" xr:uid="{00000000-0005-0000-0000-0000C3520000}"/>
    <cellStyle name="Normal 7 2 2 2 2 3 4 2" xfId="7902" xr:uid="{00000000-0005-0000-0000-0000C4520000}"/>
    <cellStyle name="Normal 7 2 2 2 2 3 4 2 2" xfId="17762" xr:uid="{00000000-0005-0000-0000-0000C5520000}"/>
    <cellStyle name="Normal 7 2 2 2 2 3 4 2 2 2" xfId="37477" xr:uid="{00000000-0005-0000-0000-0000C6520000}"/>
    <cellStyle name="Normal 7 2 2 2 2 3 4 2 3" xfId="27620" xr:uid="{00000000-0005-0000-0000-0000C7520000}"/>
    <cellStyle name="Normal 7 2 2 2 2 3 4 3" xfId="12834" xr:uid="{00000000-0005-0000-0000-0000C8520000}"/>
    <cellStyle name="Normal 7 2 2 2 2 3 4 3 2" xfId="32549" xr:uid="{00000000-0005-0000-0000-0000C9520000}"/>
    <cellStyle name="Normal 7 2 2 2 2 3 4 4" xfId="22692" xr:uid="{00000000-0005-0000-0000-0000CA520000}"/>
    <cellStyle name="Normal 7 2 2 2 2 3 5" xfId="5438" xr:uid="{00000000-0005-0000-0000-0000CB520000}"/>
    <cellStyle name="Normal 7 2 2 2 2 3 5 2" xfId="15298" xr:uid="{00000000-0005-0000-0000-0000CC520000}"/>
    <cellStyle name="Normal 7 2 2 2 2 3 5 2 2" xfId="35013" xr:uid="{00000000-0005-0000-0000-0000CD520000}"/>
    <cellStyle name="Normal 7 2 2 2 2 3 5 3" xfId="25156" xr:uid="{00000000-0005-0000-0000-0000CE520000}"/>
    <cellStyle name="Normal 7 2 2 2 2 3 6" xfId="10370" xr:uid="{00000000-0005-0000-0000-0000CF520000}"/>
    <cellStyle name="Normal 7 2 2 2 2 3 6 2" xfId="30085" xr:uid="{00000000-0005-0000-0000-0000D0520000}"/>
    <cellStyle name="Normal 7 2 2 2 2 3 7" xfId="20228" xr:uid="{00000000-0005-0000-0000-0000D1520000}"/>
    <cellStyle name="Normal 7 2 2 2 2 4" xfId="809" xr:uid="{00000000-0005-0000-0000-0000D2520000}"/>
    <cellStyle name="Normal 7 2 2 2 2 4 2" xfId="2045" xr:uid="{00000000-0005-0000-0000-0000D3520000}"/>
    <cellStyle name="Normal 7 2 2 2 2 4 2 2" xfId="4512" xr:uid="{00000000-0005-0000-0000-0000D4520000}"/>
    <cellStyle name="Normal 7 2 2 2 2 4 2 2 2" xfId="9444" xr:uid="{00000000-0005-0000-0000-0000D5520000}"/>
    <cellStyle name="Normal 7 2 2 2 2 4 2 2 2 2" xfId="19304" xr:uid="{00000000-0005-0000-0000-0000D6520000}"/>
    <cellStyle name="Normal 7 2 2 2 2 4 2 2 2 2 2" xfId="39019" xr:uid="{00000000-0005-0000-0000-0000D7520000}"/>
    <cellStyle name="Normal 7 2 2 2 2 4 2 2 2 3" xfId="29162" xr:uid="{00000000-0005-0000-0000-0000D8520000}"/>
    <cellStyle name="Normal 7 2 2 2 2 4 2 2 3" xfId="14376" xr:uid="{00000000-0005-0000-0000-0000D9520000}"/>
    <cellStyle name="Normal 7 2 2 2 2 4 2 2 3 2" xfId="34091" xr:uid="{00000000-0005-0000-0000-0000DA520000}"/>
    <cellStyle name="Normal 7 2 2 2 2 4 2 2 4" xfId="24234" xr:uid="{00000000-0005-0000-0000-0000DB520000}"/>
    <cellStyle name="Normal 7 2 2 2 2 4 2 3" xfId="6980" xr:uid="{00000000-0005-0000-0000-0000DC520000}"/>
    <cellStyle name="Normal 7 2 2 2 2 4 2 3 2" xfId="16840" xr:uid="{00000000-0005-0000-0000-0000DD520000}"/>
    <cellStyle name="Normal 7 2 2 2 2 4 2 3 2 2" xfId="36555" xr:uid="{00000000-0005-0000-0000-0000DE520000}"/>
    <cellStyle name="Normal 7 2 2 2 2 4 2 3 3" xfId="26698" xr:uid="{00000000-0005-0000-0000-0000DF520000}"/>
    <cellStyle name="Normal 7 2 2 2 2 4 2 4" xfId="11912" xr:uid="{00000000-0005-0000-0000-0000E0520000}"/>
    <cellStyle name="Normal 7 2 2 2 2 4 2 4 2" xfId="31627" xr:uid="{00000000-0005-0000-0000-0000E1520000}"/>
    <cellStyle name="Normal 7 2 2 2 2 4 2 5" xfId="21770" xr:uid="{00000000-0005-0000-0000-0000E2520000}"/>
    <cellStyle name="Normal 7 2 2 2 2 4 3" xfId="3280" xr:uid="{00000000-0005-0000-0000-0000E3520000}"/>
    <cellStyle name="Normal 7 2 2 2 2 4 3 2" xfId="8212" xr:uid="{00000000-0005-0000-0000-0000E4520000}"/>
    <cellStyle name="Normal 7 2 2 2 2 4 3 2 2" xfId="18072" xr:uid="{00000000-0005-0000-0000-0000E5520000}"/>
    <cellStyle name="Normal 7 2 2 2 2 4 3 2 2 2" xfId="37787" xr:uid="{00000000-0005-0000-0000-0000E6520000}"/>
    <cellStyle name="Normal 7 2 2 2 2 4 3 2 3" xfId="27930" xr:uid="{00000000-0005-0000-0000-0000E7520000}"/>
    <cellStyle name="Normal 7 2 2 2 2 4 3 3" xfId="13144" xr:uid="{00000000-0005-0000-0000-0000E8520000}"/>
    <cellStyle name="Normal 7 2 2 2 2 4 3 3 2" xfId="32859" xr:uid="{00000000-0005-0000-0000-0000E9520000}"/>
    <cellStyle name="Normal 7 2 2 2 2 4 3 4" xfId="23002" xr:uid="{00000000-0005-0000-0000-0000EA520000}"/>
    <cellStyle name="Normal 7 2 2 2 2 4 4" xfId="5748" xr:uid="{00000000-0005-0000-0000-0000EB520000}"/>
    <cellStyle name="Normal 7 2 2 2 2 4 4 2" xfId="15608" xr:uid="{00000000-0005-0000-0000-0000EC520000}"/>
    <cellStyle name="Normal 7 2 2 2 2 4 4 2 2" xfId="35323" xr:uid="{00000000-0005-0000-0000-0000ED520000}"/>
    <cellStyle name="Normal 7 2 2 2 2 4 4 3" xfId="25466" xr:uid="{00000000-0005-0000-0000-0000EE520000}"/>
    <cellStyle name="Normal 7 2 2 2 2 4 5" xfId="10680" xr:uid="{00000000-0005-0000-0000-0000EF520000}"/>
    <cellStyle name="Normal 7 2 2 2 2 4 5 2" xfId="30395" xr:uid="{00000000-0005-0000-0000-0000F0520000}"/>
    <cellStyle name="Normal 7 2 2 2 2 4 6" xfId="20538" xr:uid="{00000000-0005-0000-0000-0000F1520000}"/>
    <cellStyle name="Normal 7 2 2 2 2 5" xfId="1429" xr:uid="{00000000-0005-0000-0000-0000F2520000}"/>
    <cellStyle name="Normal 7 2 2 2 2 5 2" xfId="3896" xr:uid="{00000000-0005-0000-0000-0000F3520000}"/>
    <cellStyle name="Normal 7 2 2 2 2 5 2 2" xfId="8828" xr:uid="{00000000-0005-0000-0000-0000F4520000}"/>
    <cellStyle name="Normal 7 2 2 2 2 5 2 2 2" xfId="18688" xr:uid="{00000000-0005-0000-0000-0000F5520000}"/>
    <cellStyle name="Normal 7 2 2 2 2 5 2 2 2 2" xfId="38403" xr:uid="{00000000-0005-0000-0000-0000F6520000}"/>
    <cellStyle name="Normal 7 2 2 2 2 5 2 2 3" xfId="28546" xr:uid="{00000000-0005-0000-0000-0000F7520000}"/>
    <cellStyle name="Normal 7 2 2 2 2 5 2 3" xfId="13760" xr:uid="{00000000-0005-0000-0000-0000F8520000}"/>
    <cellStyle name="Normal 7 2 2 2 2 5 2 3 2" xfId="33475" xr:uid="{00000000-0005-0000-0000-0000F9520000}"/>
    <cellStyle name="Normal 7 2 2 2 2 5 2 4" xfId="23618" xr:uid="{00000000-0005-0000-0000-0000FA520000}"/>
    <cellStyle name="Normal 7 2 2 2 2 5 3" xfId="6364" xr:uid="{00000000-0005-0000-0000-0000FB520000}"/>
    <cellStyle name="Normal 7 2 2 2 2 5 3 2" xfId="16224" xr:uid="{00000000-0005-0000-0000-0000FC520000}"/>
    <cellStyle name="Normal 7 2 2 2 2 5 3 2 2" xfId="35939" xr:uid="{00000000-0005-0000-0000-0000FD520000}"/>
    <cellStyle name="Normal 7 2 2 2 2 5 3 3" xfId="26082" xr:uid="{00000000-0005-0000-0000-0000FE520000}"/>
    <cellStyle name="Normal 7 2 2 2 2 5 4" xfId="11296" xr:uid="{00000000-0005-0000-0000-0000FF520000}"/>
    <cellStyle name="Normal 7 2 2 2 2 5 4 2" xfId="31011" xr:uid="{00000000-0005-0000-0000-000000530000}"/>
    <cellStyle name="Normal 7 2 2 2 2 5 5" xfId="21154" xr:uid="{00000000-0005-0000-0000-000001530000}"/>
    <cellStyle name="Normal 7 2 2 2 2 6" xfId="2664" xr:uid="{00000000-0005-0000-0000-000002530000}"/>
    <cellStyle name="Normal 7 2 2 2 2 6 2" xfId="7596" xr:uid="{00000000-0005-0000-0000-000003530000}"/>
    <cellStyle name="Normal 7 2 2 2 2 6 2 2" xfId="17456" xr:uid="{00000000-0005-0000-0000-000004530000}"/>
    <cellStyle name="Normal 7 2 2 2 2 6 2 2 2" xfId="37171" xr:uid="{00000000-0005-0000-0000-000005530000}"/>
    <cellStyle name="Normal 7 2 2 2 2 6 2 3" xfId="27314" xr:uid="{00000000-0005-0000-0000-000006530000}"/>
    <cellStyle name="Normal 7 2 2 2 2 6 3" xfId="12528" xr:uid="{00000000-0005-0000-0000-000007530000}"/>
    <cellStyle name="Normal 7 2 2 2 2 6 3 2" xfId="32243" xr:uid="{00000000-0005-0000-0000-000008530000}"/>
    <cellStyle name="Normal 7 2 2 2 2 6 4" xfId="22386" xr:uid="{00000000-0005-0000-0000-000009530000}"/>
    <cellStyle name="Normal 7 2 2 2 2 7" xfId="5132" xr:uid="{00000000-0005-0000-0000-00000A530000}"/>
    <cellStyle name="Normal 7 2 2 2 2 7 2" xfId="14992" xr:uid="{00000000-0005-0000-0000-00000B530000}"/>
    <cellStyle name="Normal 7 2 2 2 2 7 2 2" xfId="34707" xr:uid="{00000000-0005-0000-0000-00000C530000}"/>
    <cellStyle name="Normal 7 2 2 2 2 7 3" xfId="24850" xr:uid="{00000000-0005-0000-0000-00000D530000}"/>
    <cellStyle name="Normal 7 2 2 2 2 8" xfId="10064" xr:uid="{00000000-0005-0000-0000-00000E530000}"/>
    <cellStyle name="Normal 7 2 2 2 2 8 2" xfId="29779" xr:uid="{00000000-0005-0000-0000-00000F530000}"/>
    <cellStyle name="Normal 7 2 2 2 2 9" xfId="19922" xr:uid="{00000000-0005-0000-0000-000010530000}"/>
    <cellStyle name="Normal 7 2 2 2 3" xfId="258" xr:uid="{00000000-0005-0000-0000-000011530000}"/>
    <cellStyle name="Normal 7 2 2 2 3 2" xfId="572" xr:uid="{00000000-0005-0000-0000-000012530000}"/>
    <cellStyle name="Normal 7 2 2 2 3 2 2" xfId="1192" xr:uid="{00000000-0005-0000-0000-000013530000}"/>
    <cellStyle name="Normal 7 2 2 2 3 2 2 2" xfId="2427" xr:uid="{00000000-0005-0000-0000-000014530000}"/>
    <cellStyle name="Normal 7 2 2 2 3 2 2 2 2" xfId="4894" xr:uid="{00000000-0005-0000-0000-000015530000}"/>
    <cellStyle name="Normal 7 2 2 2 3 2 2 2 2 2" xfId="9826" xr:uid="{00000000-0005-0000-0000-000016530000}"/>
    <cellStyle name="Normal 7 2 2 2 3 2 2 2 2 2 2" xfId="19686" xr:uid="{00000000-0005-0000-0000-000017530000}"/>
    <cellStyle name="Normal 7 2 2 2 3 2 2 2 2 2 2 2" xfId="39401" xr:uid="{00000000-0005-0000-0000-000018530000}"/>
    <cellStyle name="Normal 7 2 2 2 3 2 2 2 2 2 3" xfId="29544" xr:uid="{00000000-0005-0000-0000-000019530000}"/>
    <cellStyle name="Normal 7 2 2 2 3 2 2 2 2 3" xfId="14758" xr:uid="{00000000-0005-0000-0000-00001A530000}"/>
    <cellStyle name="Normal 7 2 2 2 3 2 2 2 2 3 2" xfId="34473" xr:uid="{00000000-0005-0000-0000-00001B530000}"/>
    <cellStyle name="Normal 7 2 2 2 3 2 2 2 2 4" xfId="24616" xr:uid="{00000000-0005-0000-0000-00001C530000}"/>
    <cellStyle name="Normal 7 2 2 2 3 2 2 2 3" xfId="7362" xr:uid="{00000000-0005-0000-0000-00001D530000}"/>
    <cellStyle name="Normal 7 2 2 2 3 2 2 2 3 2" xfId="17222" xr:uid="{00000000-0005-0000-0000-00001E530000}"/>
    <cellStyle name="Normal 7 2 2 2 3 2 2 2 3 2 2" xfId="36937" xr:uid="{00000000-0005-0000-0000-00001F530000}"/>
    <cellStyle name="Normal 7 2 2 2 3 2 2 2 3 3" xfId="27080" xr:uid="{00000000-0005-0000-0000-000020530000}"/>
    <cellStyle name="Normal 7 2 2 2 3 2 2 2 4" xfId="12294" xr:uid="{00000000-0005-0000-0000-000021530000}"/>
    <cellStyle name="Normal 7 2 2 2 3 2 2 2 4 2" xfId="32009" xr:uid="{00000000-0005-0000-0000-000022530000}"/>
    <cellStyle name="Normal 7 2 2 2 3 2 2 2 5" xfId="22152" xr:uid="{00000000-0005-0000-0000-000023530000}"/>
    <cellStyle name="Normal 7 2 2 2 3 2 2 3" xfId="3662" xr:uid="{00000000-0005-0000-0000-000024530000}"/>
    <cellStyle name="Normal 7 2 2 2 3 2 2 3 2" xfId="8594" xr:uid="{00000000-0005-0000-0000-000025530000}"/>
    <cellStyle name="Normal 7 2 2 2 3 2 2 3 2 2" xfId="18454" xr:uid="{00000000-0005-0000-0000-000026530000}"/>
    <cellStyle name="Normal 7 2 2 2 3 2 2 3 2 2 2" xfId="38169" xr:uid="{00000000-0005-0000-0000-000027530000}"/>
    <cellStyle name="Normal 7 2 2 2 3 2 2 3 2 3" xfId="28312" xr:uid="{00000000-0005-0000-0000-000028530000}"/>
    <cellStyle name="Normal 7 2 2 2 3 2 2 3 3" xfId="13526" xr:uid="{00000000-0005-0000-0000-000029530000}"/>
    <cellStyle name="Normal 7 2 2 2 3 2 2 3 3 2" xfId="33241" xr:uid="{00000000-0005-0000-0000-00002A530000}"/>
    <cellStyle name="Normal 7 2 2 2 3 2 2 3 4" xfId="23384" xr:uid="{00000000-0005-0000-0000-00002B530000}"/>
    <cellStyle name="Normal 7 2 2 2 3 2 2 4" xfId="6130" xr:uid="{00000000-0005-0000-0000-00002C530000}"/>
    <cellStyle name="Normal 7 2 2 2 3 2 2 4 2" xfId="15990" xr:uid="{00000000-0005-0000-0000-00002D530000}"/>
    <cellStyle name="Normal 7 2 2 2 3 2 2 4 2 2" xfId="35705" xr:uid="{00000000-0005-0000-0000-00002E530000}"/>
    <cellStyle name="Normal 7 2 2 2 3 2 2 4 3" xfId="25848" xr:uid="{00000000-0005-0000-0000-00002F530000}"/>
    <cellStyle name="Normal 7 2 2 2 3 2 2 5" xfId="11062" xr:uid="{00000000-0005-0000-0000-000030530000}"/>
    <cellStyle name="Normal 7 2 2 2 3 2 2 5 2" xfId="30777" xr:uid="{00000000-0005-0000-0000-000031530000}"/>
    <cellStyle name="Normal 7 2 2 2 3 2 2 6" xfId="20920" xr:uid="{00000000-0005-0000-0000-000032530000}"/>
    <cellStyle name="Normal 7 2 2 2 3 2 3" xfId="1811" xr:uid="{00000000-0005-0000-0000-000033530000}"/>
    <cellStyle name="Normal 7 2 2 2 3 2 3 2" xfId="4278" xr:uid="{00000000-0005-0000-0000-000034530000}"/>
    <cellStyle name="Normal 7 2 2 2 3 2 3 2 2" xfId="9210" xr:uid="{00000000-0005-0000-0000-000035530000}"/>
    <cellStyle name="Normal 7 2 2 2 3 2 3 2 2 2" xfId="19070" xr:uid="{00000000-0005-0000-0000-000036530000}"/>
    <cellStyle name="Normal 7 2 2 2 3 2 3 2 2 2 2" xfId="38785" xr:uid="{00000000-0005-0000-0000-000037530000}"/>
    <cellStyle name="Normal 7 2 2 2 3 2 3 2 2 3" xfId="28928" xr:uid="{00000000-0005-0000-0000-000038530000}"/>
    <cellStyle name="Normal 7 2 2 2 3 2 3 2 3" xfId="14142" xr:uid="{00000000-0005-0000-0000-000039530000}"/>
    <cellStyle name="Normal 7 2 2 2 3 2 3 2 3 2" xfId="33857" xr:uid="{00000000-0005-0000-0000-00003A530000}"/>
    <cellStyle name="Normal 7 2 2 2 3 2 3 2 4" xfId="24000" xr:uid="{00000000-0005-0000-0000-00003B530000}"/>
    <cellStyle name="Normal 7 2 2 2 3 2 3 3" xfId="6746" xr:uid="{00000000-0005-0000-0000-00003C530000}"/>
    <cellStyle name="Normal 7 2 2 2 3 2 3 3 2" xfId="16606" xr:uid="{00000000-0005-0000-0000-00003D530000}"/>
    <cellStyle name="Normal 7 2 2 2 3 2 3 3 2 2" xfId="36321" xr:uid="{00000000-0005-0000-0000-00003E530000}"/>
    <cellStyle name="Normal 7 2 2 2 3 2 3 3 3" xfId="26464" xr:uid="{00000000-0005-0000-0000-00003F530000}"/>
    <cellStyle name="Normal 7 2 2 2 3 2 3 4" xfId="11678" xr:uid="{00000000-0005-0000-0000-000040530000}"/>
    <cellStyle name="Normal 7 2 2 2 3 2 3 4 2" xfId="31393" xr:uid="{00000000-0005-0000-0000-000041530000}"/>
    <cellStyle name="Normal 7 2 2 2 3 2 3 5" xfId="21536" xr:uid="{00000000-0005-0000-0000-000042530000}"/>
    <cellStyle name="Normal 7 2 2 2 3 2 4" xfId="3046" xr:uid="{00000000-0005-0000-0000-000043530000}"/>
    <cellStyle name="Normal 7 2 2 2 3 2 4 2" xfId="7978" xr:uid="{00000000-0005-0000-0000-000044530000}"/>
    <cellStyle name="Normal 7 2 2 2 3 2 4 2 2" xfId="17838" xr:uid="{00000000-0005-0000-0000-000045530000}"/>
    <cellStyle name="Normal 7 2 2 2 3 2 4 2 2 2" xfId="37553" xr:uid="{00000000-0005-0000-0000-000046530000}"/>
    <cellStyle name="Normal 7 2 2 2 3 2 4 2 3" xfId="27696" xr:uid="{00000000-0005-0000-0000-000047530000}"/>
    <cellStyle name="Normal 7 2 2 2 3 2 4 3" xfId="12910" xr:uid="{00000000-0005-0000-0000-000048530000}"/>
    <cellStyle name="Normal 7 2 2 2 3 2 4 3 2" xfId="32625" xr:uid="{00000000-0005-0000-0000-000049530000}"/>
    <cellStyle name="Normal 7 2 2 2 3 2 4 4" xfId="22768" xr:uid="{00000000-0005-0000-0000-00004A530000}"/>
    <cellStyle name="Normal 7 2 2 2 3 2 5" xfId="5514" xr:uid="{00000000-0005-0000-0000-00004B530000}"/>
    <cellStyle name="Normal 7 2 2 2 3 2 5 2" xfId="15374" xr:uid="{00000000-0005-0000-0000-00004C530000}"/>
    <cellStyle name="Normal 7 2 2 2 3 2 5 2 2" xfId="35089" xr:uid="{00000000-0005-0000-0000-00004D530000}"/>
    <cellStyle name="Normal 7 2 2 2 3 2 5 3" xfId="25232" xr:uid="{00000000-0005-0000-0000-00004E530000}"/>
    <cellStyle name="Normal 7 2 2 2 3 2 6" xfId="10446" xr:uid="{00000000-0005-0000-0000-00004F530000}"/>
    <cellStyle name="Normal 7 2 2 2 3 2 6 2" xfId="30161" xr:uid="{00000000-0005-0000-0000-000050530000}"/>
    <cellStyle name="Normal 7 2 2 2 3 2 7" xfId="20304" xr:uid="{00000000-0005-0000-0000-000051530000}"/>
    <cellStyle name="Normal 7 2 2 2 3 3" xfId="885" xr:uid="{00000000-0005-0000-0000-000052530000}"/>
    <cellStyle name="Normal 7 2 2 2 3 3 2" xfId="2121" xr:uid="{00000000-0005-0000-0000-000053530000}"/>
    <cellStyle name="Normal 7 2 2 2 3 3 2 2" xfId="4588" xr:uid="{00000000-0005-0000-0000-000054530000}"/>
    <cellStyle name="Normal 7 2 2 2 3 3 2 2 2" xfId="9520" xr:uid="{00000000-0005-0000-0000-000055530000}"/>
    <cellStyle name="Normal 7 2 2 2 3 3 2 2 2 2" xfId="19380" xr:uid="{00000000-0005-0000-0000-000056530000}"/>
    <cellStyle name="Normal 7 2 2 2 3 3 2 2 2 2 2" xfId="39095" xr:uid="{00000000-0005-0000-0000-000057530000}"/>
    <cellStyle name="Normal 7 2 2 2 3 3 2 2 2 3" xfId="29238" xr:uid="{00000000-0005-0000-0000-000058530000}"/>
    <cellStyle name="Normal 7 2 2 2 3 3 2 2 3" xfId="14452" xr:uid="{00000000-0005-0000-0000-000059530000}"/>
    <cellStyle name="Normal 7 2 2 2 3 3 2 2 3 2" xfId="34167" xr:uid="{00000000-0005-0000-0000-00005A530000}"/>
    <cellStyle name="Normal 7 2 2 2 3 3 2 2 4" xfId="24310" xr:uid="{00000000-0005-0000-0000-00005B530000}"/>
    <cellStyle name="Normal 7 2 2 2 3 3 2 3" xfId="7056" xr:uid="{00000000-0005-0000-0000-00005C530000}"/>
    <cellStyle name="Normal 7 2 2 2 3 3 2 3 2" xfId="16916" xr:uid="{00000000-0005-0000-0000-00005D530000}"/>
    <cellStyle name="Normal 7 2 2 2 3 3 2 3 2 2" xfId="36631" xr:uid="{00000000-0005-0000-0000-00005E530000}"/>
    <cellStyle name="Normal 7 2 2 2 3 3 2 3 3" xfId="26774" xr:uid="{00000000-0005-0000-0000-00005F530000}"/>
    <cellStyle name="Normal 7 2 2 2 3 3 2 4" xfId="11988" xr:uid="{00000000-0005-0000-0000-000060530000}"/>
    <cellStyle name="Normal 7 2 2 2 3 3 2 4 2" xfId="31703" xr:uid="{00000000-0005-0000-0000-000061530000}"/>
    <cellStyle name="Normal 7 2 2 2 3 3 2 5" xfId="21846" xr:uid="{00000000-0005-0000-0000-000062530000}"/>
    <cellStyle name="Normal 7 2 2 2 3 3 3" xfId="3356" xr:uid="{00000000-0005-0000-0000-000063530000}"/>
    <cellStyle name="Normal 7 2 2 2 3 3 3 2" xfId="8288" xr:uid="{00000000-0005-0000-0000-000064530000}"/>
    <cellStyle name="Normal 7 2 2 2 3 3 3 2 2" xfId="18148" xr:uid="{00000000-0005-0000-0000-000065530000}"/>
    <cellStyle name="Normal 7 2 2 2 3 3 3 2 2 2" xfId="37863" xr:uid="{00000000-0005-0000-0000-000066530000}"/>
    <cellStyle name="Normal 7 2 2 2 3 3 3 2 3" xfId="28006" xr:uid="{00000000-0005-0000-0000-000067530000}"/>
    <cellStyle name="Normal 7 2 2 2 3 3 3 3" xfId="13220" xr:uid="{00000000-0005-0000-0000-000068530000}"/>
    <cellStyle name="Normal 7 2 2 2 3 3 3 3 2" xfId="32935" xr:uid="{00000000-0005-0000-0000-000069530000}"/>
    <cellStyle name="Normal 7 2 2 2 3 3 3 4" xfId="23078" xr:uid="{00000000-0005-0000-0000-00006A530000}"/>
    <cellStyle name="Normal 7 2 2 2 3 3 4" xfId="5824" xr:uid="{00000000-0005-0000-0000-00006B530000}"/>
    <cellStyle name="Normal 7 2 2 2 3 3 4 2" xfId="15684" xr:uid="{00000000-0005-0000-0000-00006C530000}"/>
    <cellStyle name="Normal 7 2 2 2 3 3 4 2 2" xfId="35399" xr:uid="{00000000-0005-0000-0000-00006D530000}"/>
    <cellStyle name="Normal 7 2 2 2 3 3 4 3" xfId="25542" xr:uid="{00000000-0005-0000-0000-00006E530000}"/>
    <cellStyle name="Normal 7 2 2 2 3 3 5" xfId="10756" xr:uid="{00000000-0005-0000-0000-00006F530000}"/>
    <cellStyle name="Normal 7 2 2 2 3 3 5 2" xfId="30471" xr:uid="{00000000-0005-0000-0000-000070530000}"/>
    <cellStyle name="Normal 7 2 2 2 3 3 6" xfId="20614" xr:uid="{00000000-0005-0000-0000-000071530000}"/>
    <cellStyle name="Normal 7 2 2 2 3 4" xfId="1505" xr:uid="{00000000-0005-0000-0000-000072530000}"/>
    <cellStyle name="Normal 7 2 2 2 3 4 2" xfId="3972" xr:uid="{00000000-0005-0000-0000-000073530000}"/>
    <cellStyle name="Normal 7 2 2 2 3 4 2 2" xfId="8904" xr:uid="{00000000-0005-0000-0000-000074530000}"/>
    <cellStyle name="Normal 7 2 2 2 3 4 2 2 2" xfId="18764" xr:uid="{00000000-0005-0000-0000-000075530000}"/>
    <cellStyle name="Normal 7 2 2 2 3 4 2 2 2 2" xfId="38479" xr:uid="{00000000-0005-0000-0000-000076530000}"/>
    <cellStyle name="Normal 7 2 2 2 3 4 2 2 3" xfId="28622" xr:uid="{00000000-0005-0000-0000-000077530000}"/>
    <cellStyle name="Normal 7 2 2 2 3 4 2 3" xfId="13836" xr:uid="{00000000-0005-0000-0000-000078530000}"/>
    <cellStyle name="Normal 7 2 2 2 3 4 2 3 2" xfId="33551" xr:uid="{00000000-0005-0000-0000-000079530000}"/>
    <cellStyle name="Normal 7 2 2 2 3 4 2 4" xfId="23694" xr:uid="{00000000-0005-0000-0000-00007A530000}"/>
    <cellStyle name="Normal 7 2 2 2 3 4 3" xfId="6440" xr:uid="{00000000-0005-0000-0000-00007B530000}"/>
    <cellStyle name="Normal 7 2 2 2 3 4 3 2" xfId="16300" xr:uid="{00000000-0005-0000-0000-00007C530000}"/>
    <cellStyle name="Normal 7 2 2 2 3 4 3 2 2" xfId="36015" xr:uid="{00000000-0005-0000-0000-00007D530000}"/>
    <cellStyle name="Normal 7 2 2 2 3 4 3 3" xfId="26158" xr:uid="{00000000-0005-0000-0000-00007E530000}"/>
    <cellStyle name="Normal 7 2 2 2 3 4 4" xfId="11372" xr:uid="{00000000-0005-0000-0000-00007F530000}"/>
    <cellStyle name="Normal 7 2 2 2 3 4 4 2" xfId="31087" xr:uid="{00000000-0005-0000-0000-000080530000}"/>
    <cellStyle name="Normal 7 2 2 2 3 4 5" xfId="21230" xr:uid="{00000000-0005-0000-0000-000081530000}"/>
    <cellStyle name="Normal 7 2 2 2 3 5" xfId="2740" xr:uid="{00000000-0005-0000-0000-000082530000}"/>
    <cellStyle name="Normal 7 2 2 2 3 5 2" xfId="7672" xr:uid="{00000000-0005-0000-0000-000083530000}"/>
    <cellStyle name="Normal 7 2 2 2 3 5 2 2" xfId="17532" xr:uid="{00000000-0005-0000-0000-000084530000}"/>
    <cellStyle name="Normal 7 2 2 2 3 5 2 2 2" xfId="37247" xr:uid="{00000000-0005-0000-0000-000085530000}"/>
    <cellStyle name="Normal 7 2 2 2 3 5 2 3" xfId="27390" xr:uid="{00000000-0005-0000-0000-000086530000}"/>
    <cellStyle name="Normal 7 2 2 2 3 5 3" xfId="12604" xr:uid="{00000000-0005-0000-0000-000087530000}"/>
    <cellStyle name="Normal 7 2 2 2 3 5 3 2" xfId="32319" xr:uid="{00000000-0005-0000-0000-000088530000}"/>
    <cellStyle name="Normal 7 2 2 2 3 5 4" xfId="22462" xr:uid="{00000000-0005-0000-0000-000089530000}"/>
    <cellStyle name="Normal 7 2 2 2 3 6" xfId="5208" xr:uid="{00000000-0005-0000-0000-00008A530000}"/>
    <cellStyle name="Normal 7 2 2 2 3 6 2" xfId="15068" xr:uid="{00000000-0005-0000-0000-00008B530000}"/>
    <cellStyle name="Normal 7 2 2 2 3 6 2 2" xfId="34783" xr:uid="{00000000-0005-0000-0000-00008C530000}"/>
    <cellStyle name="Normal 7 2 2 2 3 6 3" xfId="24926" xr:uid="{00000000-0005-0000-0000-00008D530000}"/>
    <cellStyle name="Normal 7 2 2 2 3 7" xfId="10140" xr:uid="{00000000-0005-0000-0000-00008E530000}"/>
    <cellStyle name="Normal 7 2 2 2 3 7 2" xfId="29855" xr:uid="{00000000-0005-0000-0000-00008F530000}"/>
    <cellStyle name="Normal 7 2 2 2 3 8" xfId="19998" xr:uid="{00000000-0005-0000-0000-000090530000}"/>
    <cellStyle name="Normal 7 2 2 2 4" xfId="420" xr:uid="{00000000-0005-0000-0000-000091530000}"/>
    <cellStyle name="Normal 7 2 2 2 4 2" xfId="1040" xr:uid="{00000000-0005-0000-0000-000092530000}"/>
    <cellStyle name="Normal 7 2 2 2 4 2 2" xfId="2275" xr:uid="{00000000-0005-0000-0000-000093530000}"/>
    <cellStyle name="Normal 7 2 2 2 4 2 2 2" xfId="4742" xr:uid="{00000000-0005-0000-0000-000094530000}"/>
    <cellStyle name="Normal 7 2 2 2 4 2 2 2 2" xfId="9674" xr:uid="{00000000-0005-0000-0000-000095530000}"/>
    <cellStyle name="Normal 7 2 2 2 4 2 2 2 2 2" xfId="19534" xr:uid="{00000000-0005-0000-0000-000096530000}"/>
    <cellStyle name="Normal 7 2 2 2 4 2 2 2 2 2 2" xfId="39249" xr:uid="{00000000-0005-0000-0000-000097530000}"/>
    <cellStyle name="Normal 7 2 2 2 4 2 2 2 2 3" xfId="29392" xr:uid="{00000000-0005-0000-0000-000098530000}"/>
    <cellStyle name="Normal 7 2 2 2 4 2 2 2 3" xfId="14606" xr:uid="{00000000-0005-0000-0000-000099530000}"/>
    <cellStyle name="Normal 7 2 2 2 4 2 2 2 3 2" xfId="34321" xr:uid="{00000000-0005-0000-0000-00009A530000}"/>
    <cellStyle name="Normal 7 2 2 2 4 2 2 2 4" xfId="24464" xr:uid="{00000000-0005-0000-0000-00009B530000}"/>
    <cellStyle name="Normal 7 2 2 2 4 2 2 3" xfId="7210" xr:uid="{00000000-0005-0000-0000-00009C530000}"/>
    <cellStyle name="Normal 7 2 2 2 4 2 2 3 2" xfId="17070" xr:uid="{00000000-0005-0000-0000-00009D530000}"/>
    <cellStyle name="Normal 7 2 2 2 4 2 2 3 2 2" xfId="36785" xr:uid="{00000000-0005-0000-0000-00009E530000}"/>
    <cellStyle name="Normal 7 2 2 2 4 2 2 3 3" xfId="26928" xr:uid="{00000000-0005-0000-0000-00009F530000}"/>
    <cellStyle name="Normal 7 2 2 2 4 2 2 4" xfId="12142" xr:uid="{00000000-0005-0000-0000-0000A0530000}"/>
    <cellStyle name="Normal 7 2 2 2 4 2 2 4 2" xfId="31857" xr:uid="{00000000-0005-0000-0000-0000A1530000}"/>
    <cellStyle name="Normal 7 2 2 2 4 2 2 5" xfId="22000" xr:uid="{00000000-0005-0000-0000-0000A2530000}"/>
    <cellStyle name="Normal 7 2 2 2 4 2 3" xfId="3510" xr:uid="{00000000-0005-0000-0000-0000A3530000}"/>
    <cellStyle name="Normal 7 2 2 2 4 2 3 2" xfId="8442" xr:uid="{00000000-0005-0000-0000-0000A4530000}"/>
    <cellStyle name="Normal 7 2 2 2 4 2 3 2 2" xfId="18302" xr:uid="{00000000-0005-0000-0000-0000A5530000}"/>
    <cellStyle name="Normal 7 2 2 2 4 2 3 2 2 2" xfId="38017" xr:uid="{00000000-0005-0000-0000-0000A6530000}"/>
    <cellStyle name="Normal 7 2 2 2 4 2 3 2 3" xfId="28160" xr:uid="{00000000-0005-0000-0000-0000A7530000}"/>
    <cellStyle name="Normal 7 2 2 2 4 2 3 3" xfId="13374" xr:uid="{00000000-0005-0000-0000-0000A8530000}"/>
    <cellStyle name="Normal 7 2 2 2 4 2 3 3 2" xfId="33089" xr:uid="{00000000-0005-0000-0000-0000A9530000}"/>
    <cellStyle name="Normal 7 2 2 2 4 2 3 4" xfId="23232" xr:uid="{00000000-0005-0000-0000-0000AA530000}"/>
    <cellStyle name="Normal 7 2 2 2 4 2 4" xfId="5978" xr:uid="{00000000-0005-0000-0000-0000AB530000}"/>
    <cellStyle name="Normal 7 2 2 2 4 2 4 2" xfId="15838" xr:uid="{00000000-0005-0000-0000-0000AC530000}"/>
    <cellStyle name="Normal 7 2 2 2 4 2 4 2 2" xfId="35553" xr:uid="{00000000-0005-0000-0000-0000AD530000}"/>
    <cellStyle name="Normal 7 2 2 2 4 2 4 3" xfId="25696" xr:uid="{00000000-0005-0000-0000-0000AE530000}"/>
    <cellStyle name="Normal 7 2 2 2 4 2 5" xfId="10910" xr:uid="{00000000-0005-0000-0000-0000AF530000}"/>
    <cellStyle name="Normal 7 2 2 2 4 2 5 2" xfId="30625" xr:uid="{00000000-0005-0000-0000-0000B0530000}"/>
    <cellStyle name="Normal 7 2 2 2 4 2 6" xfId="20768" xr:uid="{00000000-0005-0000-0000-0000B1530000}"/>
    <cellStyle name="Normal 7 2 2 2 4 3" xfId="1659" xr:uid="{00000000-0005-0000-0000-0000B2530000}"/>
    <cellStyle name="Normal 7 2 2 2 4 3 2" xfId="4126" xr:uid="{00000000-0005-0000-0000-0000B3530000}"/>
    <cellStyle name="Normal 7 2 2 2 4 3 2 2" xfId="9058" xr:uid="{00000000-0005-0000-0000-0000B4530000}"/>
    <cellStyle name="Normal 7 2 2 2 4 3 2 2 2" xfId="18918" xr:uid="{00000000-0005-0000-0000-0000B5530000}"/>
    <cellStyle name="Normal 7 2 2 2 4 3 2 2 2 2" xfId="38633" xr:uid="{00000000-0005-0000-0000-0000B6530000}"/>
    <cellStyle name="Normal 7 2 2 2 4 3 2 2 3" xfId="28776" xr:uid="{00000000-0005-0000-0000-0000B7530000}"/>
    <cellStyle name="Normal 7 2 2 2 4 3 2 3" xfId="13990" xr:uid="{00000000-0005-0000-0000-0000B8530000}"/>
    <cellStyle name="Normal 7 2 2 2 4 3 2 3 2" xfId="33705" xr:uid="{00000000-0005-0000-0000-0000B9530000}"/>
    <cellStyle name="Normal 7 2 2 2 4 3 2 4" xfId="23848" xr:uid="{00000000-0005-0000-0000-0000BA530000}"/>
    <cellStyle name="Normal 7 2 2 2 4 3 3" xfId="6594" xr:uid="{00000000-0005-0000-0000-0000BB530000}"/>
    <cellStyle name="Normal 7 2 2 2 4 3 3 2" xfId="16454" xr:uid="{00000000-0005-0000-0000-0000BC530000}"/>
    <cellStyle name="Normal 7 2 2 2 4 3 3 2 2" xfId="36169" xr:uid="{00000000-0005-0000-0000-0000BD530000}"/>
    <cellStyle name="Normal 7 2 2 2 4 3 3 3" xfId="26312" xr:uid="{00000000-0005-0000-0000-0000BE530000}"/>
    <cellStyle name="Normal 7 2 2 2 4 3 4" xfId="11526" xr:uid="{00000000-0005-0000-0000-0000BF530000}"/>
    <cellStyle name="Normal 7 2 2 2 4 3 4 2" xfId="31241" xr:uid="{00000000-0005-0000-0000-0000C0530000}"/>
    <cellStyle name="Normal 7 2 2 2 4 3 5" xfId="21384" xr:uid="{00000000-0005-0000-0000-0000C1530000}"/>
    <cellStyle name="Normal 7 2 2 2 4 4" xfId="2894" xr:uid="{00000000-0005-0000-0000-0000C2530000}"/>
    <cellStyle name="Normal 7 2 2 2 4 4 2" xfId="7826" xr:uid="{00000000-0005-0000-0000-0000C3530000}"/>
    <cellStyle name="Normal 7 2 2 2 4 4 2 2" xfId="17686" xr:uid="{00000000-0005-0000-0000-0000C4530000}"/>
    <cellStyle name="Normal 7 2 2 2 4 4 2 2 2" xfId="37401" xr:uid="{00000000-0005-0000-0000-0000C5530000}"/>
    <cellStyle name="Normal 7 2 2 2 4 4 2 3" xfId="27544" xr:uid="{00000000-0005-0000-0000-0000C6530000}"/>
    <cellStyle name="Normal 7 2 2 2 4 4 3" xfId="12758" xr:uid="{00000000-0005-0000-0000-0000C7530000}"/>
    <cellStyle name="Normal 7 2 2 2 4 4 3 2" xfId="32473" xr:uid="{00000000-0005-0000-0000-0000C8530000}"/>
    <cellStyle name="Normal 7 2 2 2 4 4 4" xfId="22616" xr:uid="{00000000-0005-0000-0000-0000C9530000}"/>
    <cellStyle name="Normal 7 2 2 2 4 5" xfId="5362" xr:uid="{00000000-0005-0000-0000-0000CA530000}"/>
    <cellStyle name="Normal 7 2 2 2 4 5 2" xfId="15222" xr:uid="{00000000-0005-0000-0000-0000CB530000}"/>
    <cellStyle name="Normal 7 2 2 2 4 5 2 2" xfId="34937" xr:uid="{00000000-0005-0000-0000-0000CC530000}"/>
    <cellStyle name="Normal 7 2 2 2 4 5 3" xfId="25080" xr:uid="{00000000-0005-0000-0000-0000CD530000}"/>
    <cellStyle name="Normal 7 2 2 2 4 6" xfId="10294" xr:uid="{00000000-0005-0000-0000-0000CE530000}"/>
    <cellStyle name="Normal 7 2 2 2 4 6 2" xfId="30009" xr:uid="{00000000-0005-0000-0000-0000CF530000}"/>
    <cellStyle name="Normal 7 2 2 2 4 7" xfId="20152" xr:uid="{00000000-0005-0000-0000-0000D0530000}"/>
    <cellStyle name="Normal 7 2 2 2 5" xfId="733" xr:uid="{00000000-0005-0000-0000-0000D1530000}"/>
    <cellStyle name="Normal 7 2 2 2 5 2" xfId="1969" xr:uid="{00000000-0005-0000-0000-0000D2530000}"/>
    <cellStyle name="Normal 7 2 2 2 5 2 2" xfId="4436" xr:uid="{00000000-0005-0000-0000-0000D3530000}"/>
    <cellStyle name="Normal 7 2 2 2 5 2 2 2" xfId="9368" xr:uid="{00000000-0005-0000-0000-0000D4530000}"/>
    <cellStyle name="Normal 7 2 2 2 5 2 2 2 2" xfId="19228" xr:uid="{00000000-0005-0000-0000-0000D5530000}"/>
    <cellStyle name="Normal 7 2 2 2 5 2 2 2 2 2" xfId="38943" xr:uid="{00000000-0005-0000-0000-0000D6530000}"/>
    <cellStyle name="Normal 7 2 2 2 5 2 2 2 3" xfId="29086" xr:uid="{00000000-0005-0000-0000-0000D7530000}"/>
    <cellStyle name="Normal 7 2 2 2 5 2 2 3" xfId="14300" xr:uid="{00000000-0005-0000-0000-0000D8530000}"/>
    <cellStyle name="Normal 7 2 2 2 5 2 2 3 2" xfId="34015" xr:uid="{00000000-0005-0000-0000-0000D9530000}"/>
    <cellStyle name="Normal 7 2 2 2 5 2 2 4" xfId="24158" xr:uid="{00000000-0005-0000-0000-0000DA530000}"/>
    <cellStyle name="Normal 7 2 2 2 5 2 3" xfId="6904" xr:uid="{00000000-0005-0000-0000-0000DB530000}"/>
    <cellStyle name="Normal 7 2 2 2 5 2 3 2" xfId="16764" xr:uid="{00000000-0005-0000-0000-0000DC530000}"/>
    <cellStyle name="Normal 7 2 2 2 5 2 3 2 2" xfId="36479" xr:uid="{00000000-0005-0000-0000-0000DD530000}"/>
    <cellStyle name="Normal 7 2 2 2 5 2 3 3" xfId="26622" xr:uid="{00000000-0005-0000-0000-0000DE530000}"/>
    <cellStyle name="Normal 7 2 2 2 5 2 4" xfId="11836" xr:uid="{00000000-0005-0000-0000-0000DF530000}"/>
    <cellStyle name="Normal 7 2 2 2 5 2 4 2" xfId="31551" xr:uid="{00000000-0005-0000-0000-0000E0530000}"/>
    <cellStyle name="Normal 7 2 2 2 5 2 5" xfId="21694" xr:uid="{00000000-0005-0000-0000-0000E1530000}"/>
    <cellStyle name="Normal 7 2 2 2 5 3" xfId="3204" xr:uid="{00000000-0005-0000-0000-0000E2530000}"/>
    <cellStyle name="Normal 7 2 2 2 5 3 2" xfId="8136" xr:uid="{00000000-0005-0000-0000-0000E3530000}"/>
    <cellStyle name="Normal 7 2 2 2 5 3 2 2" xfId="17996" xr:uid="{00000000-0005-0000-0000-0000E4530000}"/>
    <cellStyle name="Normal 7 2 2 2 5 3 2 2 2" xfId="37711" xr:uid="{00000000-0005-0000-0000-0000E5530000}"/>
    <cellStyle name="Normal 7 2 2 2 5 3 2 3" xfId="27854" xr:uid="{00000000-0005-0000-0000-0000E6530000}"/>
    <cellStyle name="Normal 7 2 2 2 5 3 3" xfId="13068" xr:uid="{00000000-0005-0000-0000-0000E7530000}"/>
    <cellStyle name="Normal 7 2 2 2 5 3 3 2" xfId="32783" xr:uid="{00000000-0005-0000-0000-0000E8530000}"/>
    <cellStyle name="Normal 7 2 2 2 5 3 4" xfId="22926" xr:uid="{00000000-0005-0000-0000-0000E9530000}"/>
    <cellStyle name="Normal 7 2 2 2 5 4" xfId="5672" xr:uid="{00000000-0005-0000-0000-0000EA530000}"/>
    <cellStyle name="Normal 7 2 2 2 5 4 2" xfId="15532" xr:uid="{00000000-0005-0000-0000-0000EB530000}"/>
    <cellStyle name="Normal 7 2 2 2 5 4 2 2" xfId="35247" xr:uid="{00000000-0005-0000-0000-0000EC530000}"/>
    <cellStyle name="Normal 7 2 2 2 5 4 3" xfId="25390" xr:uid="{00000000-0005-0000-0000-0000ED530000}"/>
    <cellStyle name="Normal 7 2 2 2 5 5" xfId="10604" xr:uid="{00000000-0005-0000-0000-0000EE530000}"/>
    <cellStyle name="Normal 7 2 2 2 5 5 2" xfId="30319" xr:uid="{00000000-0005-0000-0000-0000EF530000}"/>
    <cellStyle name="Normal 7 2 2 2 5 6" xfId="20462" xr:uid="{00000000-0005-0000-0000-0000F0530000}"/>
    <cellStyle name="Normal 7 2 2 2 6" xfId="1353" xr:uid="{00000000-0005-0000-0000-0000F1530000}"/>
    <cellStyle name="Normal 7 2 2 2 6 2" xfId="3820" xr:uid="{00000000-0005-0000-0000-0000F2530000}"/>
    <cellStyle name="Normal 7 2 2 2 6 2 2" xfId="8752" xr:uid="{00000000-0005-0000-0000-0000F3530000}"/>
    <cellStyle name="Normal 7 2 2 2 6 2 2 2" xfId="18612" xr:uid="{00000000-0005-0000-0000-0000F4530000}"/>
    <cellStyle name="Normal 7 2 2 2 6 2 2 2 2" xfId="38327" xr:uid="{00000000-0005-0000-0000-0000F5530000}"/>
    <cellStyle name="Normal 7 2 2 2 6 2 2 3" xfId="28470" xr:uid="{00000000-0005-0000-0000-0000F6530000}"/>
    <cellStyle name="Normal 7 2 2 2 6 2 3" xfId="13684" xr:uid="{00000000-0005-0000-0000-0000F7530000}"/>
    <cellStyle name="Normal 7 2 2 2 6 2 3 2" xfId="33399" xr:uid="{00000000-0005-0000-0000-0000F8530000}"/>
    <cellStyle name="Normal 7 2 2 2 6 2 4" xfId="23542" xr:uid="{00000000-0005-0000-0000-0000F9530000}"/>
    <cellStyle name="Normal 7 2 2 2 6 3" xfId="6288" xr:uid="{00000000-0005-0000-0000-0000FA530000}"/>
    <cellStyle name="Normal 7 2 2 2 6 3 2" xfId="16148" xr:uid="{00000000-0005-0000-0000-0000FB530000}"/>
    <cellStyle name="Normal 7 2 2 2 6 3 2 2" xfId="35863" xr:uid="{00000000-0005-0000-0000-0000FC530000}"/>
    <cellStyle name="Normal 7 2 2 2 6 3 3" xfId="26006" xr:uid="{00000000-0005-0000-0000-0000FD530000}"/>
    <cellStyle name="Normal 7 2 2 2 6 4" xfId="11220" xr:uid="{00000000-0005-0000-0000-0000FE530000}"/>
    <cellStyle name="Normal 7 2 2 2 6 4 2" xfId="30935" xr:uid="{00000000-0005-0000-0000-0000FF530000}"/>
    <cellStyle name="Normal 7 2 2 2 6 5" xfId="21078" xr:uid="{00000000-0005-0000-0000-000000540000}"/>
    <cellStyle name="Normal 7 2 2 2 7" xfId="2588" xr:uid="{00000000-0005-0000-0000-000001540000}"/>
    <cellStyle name="Normal 7 2 2 2 7 2" xfId="7520" xr:uid="{00000000-0005-0000-0000-000002540000}"/>
    <cellStyle name="Normal 7 2 2 2 7 2 2" xfId="17380" xr:uid="{00000000-0005-0000-0000-000003540000}"/>
    <cellStyle name="Normal 7 2 2 2 7 2 2 2" xfId="37095" xr:uid="{00000000-0005-0000-0000-000004540000}"/>
    <cellStyle name="Normal 7 2 2 2 7 2 3" xfId="27238" xr:uid="{00000000-0005-0000-0000-000005540000}"/>
    <cellStyle name="Normal 7 2 2 2 7 3" xfId="12452" xr:uid="{00000000-0005-0000-0000-000006540000}"/>
    <cellStyle name="Normal 7 2 2 2 7 3 2" xfId="32167" xr:uid="{00000000-0005-0000-0000-000007540000}"/>
    <cellStyle name="Normal 7 2 2 2 7 4" xfId="22310" xr:uid="{00000000-0005-0000-0000-000008540000}"/>
    <cellStyle name="Normal 7 2 2 2 8" xfId="5056" xr:uid="{00000000-0005-0000-0000-000009540000}"/>
    <cellStyle name="Normal 7 2 2 2 8 2" xfId="14916" xr:uid="{00000000-0005-0000-0000-00000A540000}"/>
    <cellStyle name="Normal 7 2 2 2 8 2 2" xfId="34631" xr:uid="{00000000-0005-0000-0000-00000B540000}"/>
    <cellStyle name="Normal 7 2 2 2 8 3" xfId="24774" xr:uid="{00000000-0005-0000-0000-00000C540000}"/>
    <cellStyle name="Normal 7 2 2 2 9" xfId="9988" xr:uid="{00000000-0005-0000-0000-00000D540000}"/>
    <cellStyle name="Normal 7 2 2 2 9 2" xfId="29703" xr:uid="{00000000-0005-0000-0000-00000E540000}"/>
    <cellStyle name="Normal 7 2 2 3" xfId="139" xr:uid="{00000000-0005-0000-0000-00000F540000}"/>
    <cellStyle name="Normal 7 2 2 3 2" xfId="296" xr:uid="{00000000-0005-0000-0000-000010540000}"/>
    <cellStyle name="Normal 7 2 2 3 2 2" xfId="610" xr:uid="{00000000-0005-0000-0000-000011540000}"/>
    <cellStyle name="Normal 7 2 2 3 2 2 2" xfId="1230" xr:uid="{00000000-0005-0000-0000-000012540000}"/>
    <cellStyle name="Normal 7 2 2 3 2 2 2 2" xfId="2465" xr:uid="{00000000-0005-0000-0000-000013540000}"/>
    <cellStyle name="Normal 7 2 2 3 2 2 2 2 2" xfId="4932" xr:uid="{00000000-0005-0000-0000-000014540000}"/>
    <cellStyle name="Normal 7 2 2 3 2 2 2 2 2 2" xfId="9864" xr:uid="{00000000-0005-0000-0000-000015540000}"/>
    <cellStyle name="Normal 7 2 2 3 2 2 2 2 2 2 2" xfId="19724" xr:uid="{00000000-0005-0000-0000-000016540000}"/>
    <cellStyle name="Normal 7 2 2 3 2 2 2 2 2 2 2 2" xfId="39439" xr:uid="{00000000-0005-0000-0000-000017540000}"/>
    <cellStyle name="Normal 7 2 2 3 2 2 2 2 2 2 3" xfId="29582" xr:uid="{00000000-0005-0000-0000-000018540000}"/>
    <cellStyle name="Normal 7 2 2 3 2 2 2 2 2 3" xfId="14796" xr:uid="{00000000-0005-0000-0000-000019540000}"/>
    <cellStyle name="Normal 7 2 2 3 2 2 2 2 2 3 2" xfId="34511" xr:uid="{00000000-0005-0000-0000-00001A540000}"/>
    <cellStyle name="Normal 7 2 2 3 2 2 2 2 2 4" xfId="24654" xr:uid="{00000000-0005-0000-0000-00001B540000}"/>
    <cellStyle name="Normal 7 2 2 3 2 2 2 2 3" xfId="7400" xr:uid="{00000000-0005-0000-0000-00001C540000}"/>
    <cellStyle name="Normal 7 2 2 3 2 2 2 2 3 2" xfId="17260" xr:uid="{00000000-0005-0000-0000-00001D540000}"/>
    <cellStyle name="Normal 7 2 2 3 2 2 2 2 3 2 2" xfId="36975" xr:uid="{00000000-0005-0000-0000-00001E540000}"/>
    <cellStyle name="Normal 7 2 2 3 2 2 2 2 3 3" xfId="27118" xr:uid="{00000000-0005-0000-0000-00001F540000}"/>
    <cellStyle name="Normal 7 2 2 3 2 2 2 2 4" xfId="12332" xr:uid="{00000000-0005-0000-0000-000020540000}"/>
    <cellStyle name="Normal 7 2 2 3 2 2 2 2 4 2" xfId="32047" xr:uid="{00000000-0005-0000-0000-000021540000}"/>
    <cellStyle name="Normal 7 2 2 3 2 2 2 2 5" xfId="22190" xr:uid="{00000000-0005-0000-0000-000022540000}"/>
    <cellStyle name="Normal 7 2 2 3 2 2 2 3" xfId="3700" xr:uid="{00000000-0005-0000-0000-000023540000}"/>
    <cellStyle name="Normal 7 2 2 3 2 2 2 3 2" xfId="8632" xr:uid="{00000000-0005-0000-0000-000024540000}"/>
    <cellStyle name="Normal 7 2 2 3 2 2 2 3 2 2" xfId="18492" xr:uid="{00000000-0005-0000-0000-000025540000}"/>
    <cellStyle name="Normal 7 2 2 3 2 2 2 3 2 2 2" xfId="38207" xr:uid="{00000000-0005-0000-0000-000026540000}"/>
    <cellStyle name="Normal 7 2 2 3 2 2 2 3 2 3" xfId="28350" xr:uid="{00000000-0005-0000-0000-000027540000}"/>
    <cellStyle name="Normal 7 2 2 3 2 2 2 3 3" xfId="13564" xr:uid="{00000000-0005-0000-0000-000028540000}"/>
    <cellStyle name="Normal 7 2 2 3 2 2 2 3 3 2" xfId="33279" xr:uid="{00000000-0005-0000-0000-000029540000}"/>
    <cellStyle name="Normal 7 2 2 3 2 2 2 3 4" xfId="23422" xr:uid="{00000000-0005-0000-0000-00002A540000}"/>
    <cellStyle name="Normal 7 2 2 3 2 2 2 4" xfId="6168" xr:uid="{00000000-0005-0000-0000-00002B540000}"/>
    <cellStyle name="Normal 7 2 2 3 2 2 2 4 2" xfId="16028" xr:uid="{00000000-0005-0000-0000-00002C540000}"/>
    <cellStyle name="Normal 7 2 2 3 2 2 2 4 2 2" xfId="35743" xr:uid="{00000000-0005-0000-0000-00002D540000}"/>
    <cellStyle name="Normal 7 2 2 3 2 2 2 4 3" xfId="25886" xr:uid="{00000000-0005-0000-0000-00002E540000}"/>
    <cellStyle name="Normal 7 2 2 3 2 2 2 5" xfId="11100" xr:uid="{00000000-0005-0000-0000-00002F540000}"/>
    <cellStyle name="Normal 7 2 2 3 2 2 2 5 2" xfId="30815" xr:uid="{00000000-0005-0000-0000-000030540000}"/>
    <cellStyle name="Normal 7 2 2 3 2 2 2 6" xfId="20958" xr:uid="{00000000-0005-0000-0000-000031540000}"/>
    <cellStyle name="Normal 7 2 2 3 2 2 3" xfId="1849" xr:uid="{00000000-0005-0000-0000-000032540000}"/>
    <cellStyle name="Normal 7 2 2 3 2 2 3 2" xfId="4316" xr:uid="{00000000-0005-0000-0000-000033540000}"/>
    <cellStyle name="Normal 7 2 2 3 2 2 3 2 2" xfId="9248" xr:uid="{00000000-0005-0000-0000-000034540000}"/>
    <cellStyle name="Normal 7 2 2 3 2 2 3 2 2 2" xfId="19108" xr:uid="{00000000-0005-0000-0000-000035540000}"/>
    <cellStyle name="Normal 7 2 2 3 2 2 3 2 2 2 2" xfId="38823" xr:uid="{00000000-0005-0000-0000-000036540000}"/>
    <cellStyle name="Normal 7 2 2 3 2 2 3 2 2 3" xfId="28966" xr:uid="{00000000-0005-0000-0000-000037540000}"/>
    <cellStyle name="Normal 7 2 2 3 2 2 3 2 3" xfId="14180" xr:uid="{00000000-0005-0000-0000-000038540000}"/>
    <cellStyle name="Normal 7 2 2 3 2 2 3 2 3 2" xfId="33895" xr:uid="{00000000-0005-0000-0000-000039540000}"/>
    <cellStyle name="Normal 7 2 2 3 2 2 3 2 4" xfId="24038" xr:uid="{00000000-0005-0000-0000-00003A540000}"/>
    <cellStyle name="Normal 7 2 2 3 2 2 3 3" xfId="6784" xr:uid="{00000000-0005-0000-0000-00003B540000}"/>
    <cellStyle name="Normal 7 2 2 3 2 2 3 3 2" xfId="16644" xr:uid="{00000000-0005-0000-0000-00003C540000}"/>
    <cellStyle name="Normal 7 2 2 3 2 2 3 3 2 2" xfId="36359" xr:uid="{00000000-0005-0000-0000-00003D540000}"/>
    <cellStyle name="Normal 7 2 2 3 2 2 3 3 3" xfId="26502" xr:uid="{00000000-0005-0000-0000-00003E540000}"/>
    <cellStyle name="Normal 7 2 2 3 2 2 3 4" xfId="11716" xr:uid="{00000000-0005-0000-0000-00003F540000}"/>
    <cellStyle name="Normal 7 2 2 3 2 2 3 4 2" xfId="31431" xr:uid="{00000000-0005-0000-0000-000040540000}"/>
    <cellStyle name="Normal 7 2 2 3 2 2 3 5" xfId="21574" xr:uid="{00000000-0005-0000-0000-000041540000}"/>
    <cellStyle name="Normal 7 2 2 3 2 2 4" xfId="3084" xr:uid="{00000000-0005-0000-0000-000042540000}"/>
    <cellStyle name="Normal 7 2 2 3 2 2 4 2" xfId="8016" xr:uid="{00000000-0005-0000-0000-000043540000}"/>
    <cellStyle name="Normal 7 2 2 3 2 2 4 2 2" xfId="17876" xr:uid="{00000000-0005-0000-0000-000044540000}"/>
    <cellStyle name="Normal 7 2 2 3 2 2 4 2 2 2" xfId="37591" xr:uid="{00000000-0005-0000-0000-000045540000}"/>
    <cellStyle name="Normal 7 2 2 3 2 2 4 2 3" xfId="27734" xr:uid="{00000000-0005-0000-0000-000046540000}"/>
    <cellStyle name="Normal 7 2 2 3 2 2 4 3" xfId="12948" xr:uid="{00000000-0005-0000-0000-000047540000}"/>
    <cellStyle name="Normal 7 2 2 3 2 2 4 3 2" xfId="32663" xr:uid="{00000000-0005-0000-0000-000048540000}"/>
    <cellStyle name="Normal 7 2 2 3 2 2 4 4" xfId="22806" xr:uid="{00000000-0005-0000-0000-000049540000}"/>
    <cellStyle name="Normal 7 2 2 3 2 2 5" xfId="5552" xr:uid="{00000000-0005-0000-0000-00004A540000}"/>
    <cellStyle name="Normal 7 2 2 3 2 2 5 2" xfId="15412" xr:uid="{00000000-0005-0000-0000-00004B540000}"/>
    <cellStyle name="Normal 7 2 2 3 2 2 5 2 2" xfId="35127" xr:uid="{00000000-0005-0000-0000-00004C540000}"/>
    <cellStyle name="Normal 7 2 2 3 2 2 5 3" xfId="25270" xr:uid="{00000000-0005-0000-0000-00004D540000}"/>
    <cellStyle name="Normal 7 2 2 3 2 2 6" xfId="10484" xr:uid="{00000000-0005-0000-0000-00004E540000}"/>
    <cellStyle name="Normal 7 2 2 3 2 2 6 2" xfId="30199" xr:uid="{00000000-0005-0000-0000-00004F540000}"/>
    <cellStyle name="Normal 7 2 2 3 2 2 7" xfId="20342" xr:uid="{00000000-0005-0000-0000-000050540000}"/>
    <cellStyle name="Normal 7 2 2 3 2 3" xfId="923" xr:uid="{00000000-0005-0000-0000-000051540000}"/>
    <cellStyle name="Normal 7 2 2 3 2 3 2" xfId="2159" xr:uid="{00000000-0005-0000-0000-000052540000}"/>
    <cellStyle name="Normal 7 2 2 3 2 3 2 2" xfId="4626" xr:uid="{00000000-0005-0000-0000-000053540000}"/>
    <cellStyle name="Normal 7 2 2 3 2 3 2 2 2" xfId="9558" xr:uid="{00000000-0005-0000-0000-000054540000}"/>
    <cellStyle name="Normal 7 2 2 3 2 3 2 2 2 2" xfId="19418" xr:uid="{00000000-0005-0000-0000-000055540000}"/>
    <cellStyle name="Normal 7 2 2 3 2 3 2 2 2 2 2" xfId="39133" xr:uid="{00000000-0005-0000-0000-000056540000}"/>
    <cellStyle name="Normal 7 2 2 3 2 3 2 2 2 3" xfId="29276" xr:uid="{00000000-0005-0000-0000-000057540000}"/>
    <cellStyle name="Normal 7 2 2 3 2 3 2 2 3" xfId="14490" xr:uid="{00000000-0005-0000-0000-000058540000}"/>
    <cellStyle name="Normal 7 2 2 3 2 3 2 2 3 2" xfId="34205" xr:uid="{00000000-0005-0000-0000-000059540000}"/>
    <cellStyle name="Normal 7 2 2 3 2 3 2 2 4" xfId="24348" xr:uid="{00000000-0005-0000-0000-00005A540000}"/>
    <cellStyle name="Normal 7 2 2 3 2 3 2 3" xfId="7094" xr:uid="{00000000-0005-0000-0000-00005B540000}"/>
    <cellStyle name="Normal 7 2 2 3 2 3 2 3 2" xfId="16954" xr:uid="{00000000-0005-0000-0000-00005C540000}"/>
    <cellStyle name="Normal 7 2 2 3 2 3 2 3 2 2" xfId="36669" xr:uid="{00000000-0005-0000-0000-00005D540000}"/>
    <cellStyle name="Normal 7 2 2 3 2 3 2 3 3" xfId="26812" xr:uid="{00000000-0005-0000-0000-00005E540000}"/>
    <cellStyle name="Normal 7 2 2 3 2 3 2 4" xfId="12026" xr:uid="{00000000-0005-0000-0000-00005F540000}"/>
    <cellStyle name="Normal 7 2 2 3 2 3 2 4 2" xfId="31741" xr:uid="{00000000-0005-0000-0000-000060540000}"/>
    <cellStyle name="Normal 7 2 2 3 2 3 2 5" xfId="21884" xr:uid="{00000000-0005-0000-0000-000061540000}"/>
    <cellStyle name="Normal 7 2 2 3 2 3 3" xfId="3394" xr:uid="{00000000-0005-0000-0000-000062540000}"/>
    <cellStyle name="Normal 7 2 2 3 2 3 3 2" xfId="8326" xr:uid="{00000000-0005-0000-0000-000063540000}"/>
    <cellStyle name="Normal 7 2 2 3 2 3 3 2 2" xfId="18186" xr:uid="{00000000-0005-0000-0000-000064540000}"/>
    <cellStyle name="Normal 7 2 2 3 2 3 3 2 2 2" xfId="37901" xr:uid="{00000000-0005-0000-0000-000065540000}"/>
    <cellStyle name="Normal 7 2 2 3 2 3 3 2 3" xfId="28044" xr:uid="{00000000-0005-0000-0000-000066540000}"/>
    <cellStyle name="Normal 7 2 2 3 2 3 3 3" xfId="13258" xr:uid="{00000000-0005-0000-0000-000067540000}"/>
    <cellStyle name="Normal 7 2 2 3 2 3 3 3 2" xfId="32973" xr:uid="{00000000-0005-0000-0000-000068540000}"/>
    <cellStyle name="Normal 7 2 2 3 2 3 3 4" xfId="23116" xr:uid="{00000000-0005-0000-0000-000069540000}"/>
    <cellStyle name="Normal 7 2 2 3 2 3 4" xfId="5862" xr:uid="{00000000-0005-0000-0000-00006A540000}"/>
    <cellStyle name="Normal 7 2 2 3 2 3 4 2" xfId="15722" xr:uid="{00000000-0005-0000-0000-00006B540000}"/>
    <cellStyle name="Normal 7 2 2 3 2 3 4 2 2" xfId="35437" xr:uid="{00000000-0005-0000-0000-00006C540000}"/>
    <cellStyle name="Normal 7 2 2 3 2 3 4 3" xfId="25580" xr:uid="{00000000-0005-0000-0000-00006D540000}"/>
    <cellStyle name="Normal 7 2 2 3 2 3 5" xfId="10794" xr:uid="{00000000-0005-0000-0000-00006E540000}"/>
    <cellStyle name="Normal 7 2 2 3 2 3 5 2" xfId="30509" xr:uid="{00000000-0005-0000-0000-00006F540000}"/>
    <cellStyle name="Normal 7 2 2 3 2 3 6" xfId="20652" xr:uid="{00000000-0005-0000-0000-000070540000}"/>
    <cellStyle name="Normal 7 2 2 3 2 4" xfId="1543" xr:uid="{00000000-0005-0000-0000-000071540000}"/>
    <cellStyle name="Normal 7 2 2 3 2 4 2" xfId="4010" xr:uid="{00000000-0005-0000-0000-000072540000}"/>
    <cellStyle name="Normal 7 2 2 3 2 4 2 2" xfId="8942" xr:uid="{00000000-0005-0000-0000-000073540000}"/>
    <cellStyle name="Normal 7 2 2 3 2 4 2 2 2" xfId="18802" xr:uid="{00000000-0005-0000-0000-000074540000}"/>
    <cellStyle name="Normal 7 2 2 3 2 4 2 2 2 2" xfId="38517" xr:uid="{00000000-0005-0000-0000-000075540000}"/>
    <cellStyle name="Normal 7 2 2 3 2 4 2 2 3" xfId="28660" xr:uid="{00000000-0005-0000-0000-000076540000}"/>
    <cellStyle name="Normal 7 2 2 3 2 4 2 3" xfId="13874" xr:uid="{00000000-0005-0000-0000-000077540000}"/>
    <cellStyle name="Normal 7 2 2 3 2 4 2 3 2" xfId="33589" xr:uid="{00000000-0005-0000-0000-000078540000}"/>
    <cellStyle name="Normal 7 2 2 3 2 4 2 4" xfId="23732" xr:uid="{00000000-0005-0000-0000-000079540000}"/>
    <cellStyle name="Normal 7 2 2 3 2 4 3" xfId="6478" xr:uid="{00000000-0005-0000-0000-00007A540000}"/>
    <cellStyle name="Normal 7 2 2 3 2 4 3 2" xfId="16338" xr:uid="{00000000-0005-0000-0000-00007B540000}"/>
    <cellStyle name="Normal 7 2 2 3 2 4 3 2 2" xfId="36053" xr:uid="{00000000-0005-0000-0000-00007C540000}"/>
    <cellStyle name="Normal 7 2 2 3 2 4 3 3" xfId="26196" xr:uid="{00000000-0005-0000-0000-00007D540000}"/>
    <cellStyle name="Normal 7 2 2 3 2 4 4" xfId="11410" xr:uid="{00000000-0005-0000-0000-00007E540000}"/>
    <cellStyle name="Normal 7 2 2 3 2 4 4 2" xfId="31125" xr:uid="{00000000-0005-0000-0000-00007F540000}"/>
    <cellStyle name="Normal 7 2 2 3 2 4 5" xfId="21268" xr:uid="{00000000-0005-0000-0000-000080540000}"/>
    <cellStyle name="Normal 7 2 2 3 2 5" xfId="2778" xr:uid="{00000000-0005-0000-0000-000081540000}"/>
    <cellStyle name="Normal 7 2 2 3 2 5 2" xfId="7710" xr:uid="{00000000-0005-0000-0000-000082540000}"/>
    <cellStyle name="Normal 7 2 2 3 2 5 2 2" xfId="17570" xr:uid="{00000000-0005-0000-0000-000083540000}"/>
    <cellStyle name="Normal 7 2 2 3 2 5 2 2 2" xfId="37285" xr:uid="{00000000-0005-0000-0000-000084540000}"/>
    <cellStyle name="Normal 7 2 2 3 2 5 2 3" xfId="27428" xr:uid="{00000000-0005-0000-0000-000085540000}"/>
    <cellStyle name="Normal 7 2 2 3 2 5 3" xfId="12642" xr:uid="{00000000-0005-0000-0000-000086540000}"/>
    <cellStyle name="Normal 7 2 2 3 2 5 3 2" xfId="32357" xr:uid="{00000000-0005-0000-0000-000087540000}"/>
    <cellStyle name="Normal 7 2 2 3 2 5 4" xfId="22500" xr:uid="{00000000-0005-0000-0000-000088540000}"/>
    <cellStyle name="Normal 7 2 2 3 2 6" xfId="5246" xr:uid="{00000000-0005-0000-0000-000089540000}"/>
    <cellStyle name="Normal 7 2 2 3 2 6 2" xfId="15106" xr:uid="{00000000-0005-0000-0000-00008A540000}"/>
    <cellStyle name="Normal 7 2 2 3 2 6 2 2" xfId="34821" xr:uid="{00000000-0005-0000-0000-00008B540000}"/>
    <cellStyle name="Normal 7 2 2 3 2 6 3" xfId="24964" xr:uid="{00000000-0005-0000-0000-00008C540000}"/>
    <cellStyle name="Normal 7 2 2 3 2 7" xfId="10178" xr:uid="{00000000-0005-0000-0000-00008D540000}"/>
    <cellStyle name="Normal 7 2 2 3 2 7 2" xfId="29893" xr:uid="{00000000-0005-0000-0000-00008E540000}"/>
    <cellStyle name="Normal 7 2 2 3 2 8" xfId="20036" xr:uid="{00000000-0005-0000-0000-00008F540000}"/>
    <cellStyle name="Normal 7 2 2 3 3" xfId="458" xr:uid="{00000000-0005-0000-0000-000090540000}"/>
    <cellStyle name="Normal 7 2 2 3 3 2" xfId="1078" xr:uid="{00000000-0005-0000-0000-000091540000}"/>
    <cellStyle name="Normal 7 2 2 3 3 2 2" xfId="2313" xr:uid="{00000000-0005-0000-0000-000092540000}"/>
    <cellStyle name="Normal 7 2 2 3 3 2 2 2" xfId="4780" xr:uid="{00000000-0005-0000-0000-000093540000}"/>
    <cellStyle name="Normal 7 2 2 3 3 2 2 2 2" xfId="9712" xr:uid="{00000000-0005-0000-0000-000094540000}"/>
    <cellStyle name="Normal 7 2 2 3 3 2 2 2 2 2" xfId="19572" xr:uid="{00000000-0005-0000-0000-000095540000}"/>
    <cellStyle name="Normal 7 2 2 3 3 2 2 2 2 2 2" xfId="39287" xr:uid="{00000000-0005-0000-0000-000096540000}"/>
    <cellStyle name="Normal 7 2 2 3 3 2 2 2 2 3" xfId="29430" xr:uid="{00000000-0005-0000-0000-000097540000}"/>
    <cellStyle name="Normal 7 2 2 3 3 2 2 2 3" xfId="14644" xr:uid="{00000000-0005-0000-0000-000098540000}"/>
    <cellStyle name="Normal 7 2 2 3 3 2 2 2 3 2" xfId="34359" xr:uid="{00000000-0005-0000-0000-000099540000}"/>
    <cellStyle name="Normal 7 2 2 3 3 2 2 2 4" xfId="24502" xr:uid="{00000000-0005-0000-0000-00009A540000}"/>
    <cellStyle name="Normal 7 2 2 3 3 2 2 3" xfId="7248" xr:uid="{00000000-0005-0000-0000-00009B540000}"/>
    <cellStyle name="Normal 7 2 2 3 3 2 2 3 2" xfId="17108" xr:uid="{00000000-0005-0000-0000-00009C540000}"/>
    <cellStyle name="Normal 7 2 2 3 3 2 2 3 2 2" xfId="36823" xr:uid="{00000000-0005-0000-0000-00009D540000}"/>
    <cellStyle name="Normal 7 2 2 3 3 2 2 3 3" xfId="26966" xr:uid="{00000000-0005-0000-0000-00009E540000}"/>
    <cellStyle name="Normal 7 2 2 3 3 2 2 4" xfId="12180" xr:uid="{00000000-0005-0000-0000-00009F540000}"/>
    <cellStyle name="Normal 7 2 2 3 3 2 2 4 2" xfId="31895" xr:uid="{00000000-0005-0000-0000-0000A0540000}"/>
    <cellStyle name="Normal 7 2 2 3 3 2 2 5" xfId="22038" xr:uid="{00000000-0005-0000-0000-0000A1540000}"/>
    <cellStyle name="Normal 7 2 2 3 3 2 3" xfId="3548" xr:uid="{00000000-0005-0000-0000-0000A2540000}"/>
    <cellStyle name="Normal 7 2 2 3 3 2 3 2" xfId="8480" xr:uid="{00000000-0005-0000-0000-0000A3540000}"/>
    <cellStyle name="Normal 7 2 2 3 3 2 3 2 2" xfId="18340" xr:uid="{00000000-0005-0000-0000-0000A4540000}"/>
    <cellStyle name="Normal 7 2 2 3 3 2 3 2 2 2" xfId="38055" xr:uid="{00000000-0005-0000-0000-0000A5540000}"/>
    <cellStyle name="Normal 7 2 2 3 3 2 3 2 3" xfId="28198" xr:uid="{00000000-0005-0000-0000-0000A6540000}"/>
    <cellStyle name="Normal 7 2 2 3 3 2 3 3" xfId="13412" xr:uid="{00000000-0005-0000-0000-0000A7540000}"/>
    <cellStyle name="Normal 7 2 2 3 3 2 3 3 2" xfId="33127" xr:uid="{00000000-0005-0000-0000-0000A8540000}"/>
    <cellStyle name="Normal 7 2 2 3 3 2 3 4" xfId="23270" xr:uid="{00000000-0005-0000-0000-0000A9540000}"/>
    <cellStyle name="Normal 7 2 2 3 3 2 4" xfId="6016" xr:uid="{00000000-0005-0000-0000-0000AA540000}"/>
    <cellStyle name="Normal 7 2 2 3 3 2 4 2" xfId="15876" xr:uid="{00000000-0005-0000-0000-0000AB540000}"/>
    <cellStyle name="Normal 7 2 2 3 3 2 4 2 2" xfId="35591" xr:uid="{00000000-0005-0000-0000-0000AC540000}"/>
    <cellStyle name="Normal 7 2 2 3 3 2 4 3" xfId="25734" xr:uid="{00000000-0005-0000-0000-0000AD540000}"/>
    <cellStyle name="Normal 7 2 2 3 3 2 5" xfId="10948" xr:uid="{00000000-0005-0000-0000-0000AE540000}"/>
    <cellStyle name="Normal 7 2 2 3 3 2 5 2" xfId="30663" xr:uid="{00000000-0005-0000-0000-0000AF540000}"/>
    <cellStyle name="Normal 7 2 2 3 3 2 6" xfId="20806" xr:uid="{00000000-0005-0000-0000-0000B0540000}"/>
    <cellStyle name="Normal 7 2 2 3 3 3" xfId="1697" xr:uid="{00000000-0005-0000-0000-0000B1540000}"/>
    <cellStyle name="Normal 7 2 2 3 3 3 2" xfId="4164" xr:uid="{00000000-0005-0000-0000-0000B2540000}"/>
    <cellStyle name="Normal 7 2 2 3 3 3 2 2" xfId="9096" xr:uid="{00000000-0005-0000-0000-0000B3540000}"/>
    <cellStyle name="Normal 7 2 2 3 3 3 2 2 2" xfId="18956" xr:uid="{00000000-0005-0000-0000-0000B4540000}"/>
    <cellStyle name="Normal 7 2 2 3 3 3 2 2 2 2" xfId="38671" xr:uid="{00000000-0005-0000-0000-0000B5540000}"/>
    <cellStyle name="Normal 7 2 2 3 3 3 2 2 3" xfId="28814" xr:uid="{00000000-0005-0000-0000-0000B6540000}"/>
    <cellStyle name="Normal 7 2 2 3 3 3 2 3" xfId="14028" xr:uid="{00000000-0005-0000-0000-0000B7540000}"/>
    <cellStyle name="Normal 7 2 2 3 3 3 2 3 2" xfId="33743" xr:uid="{00000000-0005-0000-0000-0000B8540000}"/>
    <cellStyle name="Normal 7 2 2 3 3 3 2 4" xfId="23886" xr:uid="{00000000-0005-0000-0000-0000B9540000}"/>
    <cellStyle name="Normal 7 2 2 3 3 3 3" xfId="6632" xr:uid="{00000000-0005-0000-0000-0000BA540000}"/>
    <cellStyle name="Normal 7 2 2 3 3 3 3 2" xfId="16492" xr:uid="{00000000-0005-0000-0000-0000BB540000}"/>
    <cellStyle name="Normal 7 2 2 3 3 3 3 2 2" xfId="36207" xr:uid="{00000000-0005-0000-0000-0000BC540000}"/>
    <cellStyle name="Normal 7 2 2 3 3 3 3 3" xfId="26350" xr:uid="{00000000-0005-0000-0000-0000BD540000}"/>
    <cellStyle name="Normal 7 2 2 3 3 3 4" xfId="11564" xr:uid="{00000000-0005-0000-0000-0000BE540000}"/>
    <cellStyle name="Normal 7 2 2 3 3 3 4 2" xfId="31279" xr:uid="{00000000-0005-0000-0000-0000BF540000}"/>
    <cellStyle name="Normal 7 2 2 3 3 3 5" xfId="21422" xr:uid="{00000000-0005-0000-0000-0000C0540000}"/>
    <cellStyle name="Normal 7 2 2 3 3 4" xfId="2932" xr:uid="{00000000-0005-0000-0000-0000C1540000}"/>
    <cellStyle name="Normal 7 2 2 3 3 4 2" xfId="7864" xr:uid="{00000000-0005-0000-0000-0000C2540000}"/>
    <cellStyle name="Normal 7 2 2 3 3 4 2 2" xfId="17724" xr:uid="{00000000-0005-0000-0000-0000C3540000}"/>
    <cellStyle name="Normal 7 2 2 3 3 4 2 2 2" xfId="37439" xr:uid="{00000000-0005-0000-0000-0000C4540000}"/>
    <cellStyle name="Normal 7 2 2 3 3 4 2 3" xfId="27582" xr:uid="{00000000-0005-0000-0000-0000C5540000}"/>
    <cellStyle name="Normal 7 2 2 3 3 4 3" xfId="12796" xr:uid="{00000000-0005-0000-0000-0000C6540000}"/>
    <cellStyle name="Normal 7 2 2 3 3 4 3 2" xfId="32511" xr:uid="{00000000-0005-0000-0000-0000C7540000}"/>
    <cellStyle name="Normal 7 2 2 3 3 4 4" xfId="22654" xr:uid="{00000000-0005-0000-0000-0000C8540000}"/>
    <cellStyle name="Normal 7 2 2 3 3 5" xfId="5400" xr:uid="{00000000-0005-0000-0000-0000C9540000}"/>
    <cellStyle name="Normal 7 2 2 3 3 5 2" xfId="15260" xr:uid="{00000000-0005-0000-0000-0000CA540000}"/>
    <cellStyle name="Normal 7 2 2 3 3 5 2 2" xfId="34975" xr:uid="{00000000-0005-0000-0000-0000CB540000}"/>
    <cellStyle name="Normal 7 2 2 3 3 5 3" xfId="25118" xr:uid="{00000000-0005-0000-0000-0000CC540000}"/>
    <cellStyle name="Normal 7 2 2 3 3 6" xfId="10332" xr:uid="{00000000-0005-0000-0000-0000CD540000}"/>
    <cellStyle name="Normal 7 2 2 3 3 6 2" xfId="30047" xr:uid="{00000000-0005-0000-0000-0000CE540000}"/>
    <cellStyle name="Normal 7 2 2 3 3 7" xfId="20190" xr:uid="{00000000-0005-0000-0000-0000CF540000}"/>
    <cellStyle name="Normal 7 2 2 3 4" xfId="771" xr:uid="{00000000-0005-0000-0000-0000D0540000}"/>
    <cellStyle name="Normal 7 2 2 3 4 2" xfId="2007" xr:uid="{00000000-0005-0000-0000-0000D1540000}"/>
    <cellStyle name="Normal 7 2 2 3 4 2 2" xfId="4474" xr:uid="{00000000-0005-0000-0000-0000D2540000}"/>
    <cellStyle name="Normal 7 2 2 3 4 2 2 2" xfId="9406" xr:uid="{00000000-0005-0000-0000-0000D3540000}"/>
    <cellStyle name="Normal 7 2 2 3 4 2 2 2 2" xfId="19266" xr:uid="{00000000-0005-0000-0000-0000D4540000}"/>
    <cellStyle name="Normal 7 2 2 3 4 2 2 2 2 2" xfId="38981" xr:uid="{00000000-0005-0000-0000-0000D5540000}"/>
    <cellStyle name="Normal 7 2 2 3 4 2 2 2 3" xfId="29124" xr:uid="{00000000-0005-0000-0000-0000D6540000}"/>
    <cellStyle name="Normal 7 2 2 3 4 2 2 3" xfId="14338" xr:uid="{00000000-0005-0000-0000-0000D7540000}"/>
    <cellStyle name="Normal 7 2 2 3 4 2 2 3 2" xfId="34053" xr:uid="{00000000-0005-0000-0000-0000D8540000}"/>
    <cellStyle name="Normal 7 2 2 3 4 2 2 4" xfId="24196" xr:uid="{00000000-0005-0000-0000-0000D9540000}"/>
    <cellStyle name="Normal 7 2 2 3 4 2 3" xfId="6942" xr:uid="{00000000-0005-0000-0000-0000DA540000}"/>
    <cellStyle name="Normal 7 2 2 3 4 2 3 2" xfId="16802" xr:uid="{00000000-0005-0000-0000-0000DB540000}"/>
    <cellStyle name="Normal 7 2 2 3 4 2 3 2 2" xfId="36517" xr:uid="{00000000-0005-0000-0000-0000DC540000}"/>
    <cellStyle name="Normal 7 2 2 3 4 2 3 3" xfId="26660" xr:uid="{00000000-0005-0000-0000-0000DD540000}"/>
    <cellStyle name="Normal 7 2 2 3 4 2 4" xfId="11874" xr:uid="{00000000-0005-0000-0000-0000DE540000}"/>
    <cellStyle name="Normal 7 2 2 3 4 2 4 2" xfId="31589" xr:uid="{00000000-0005-0000-0000-0000DF540000}"/>
    <cellStyle name="Normal 7 2 2 3 4 2 5" xfId="21732" xr:uid="{00000000-0005-0000-0000-0000E0540000}"/>
    <cellStyle name="Normal 7 2 2 3 4 3" xfId="3242" xr:uid="{00000000-0005-0000-0000-0000E1540000}"/>
    <cellStyle name="Normal 7 2 2 3 4 3 2" xfId="8174" xr:uid="{00000000-0005-0000-0000-0000E2540000}"/>
    <cellStyle name="Normal 7 2 2 3 4 3 2 2" xfId="18034" xr:uid="{00000000-0005-0000-0000-0000E3540000}"/>
    <cellStyle name="Normal 7 2 2 3 4 3 2 2 2" xfId="37749" xr:uid="{00000000-0005-0000-0000-0000E4540000}"/>
    <cellStyle name="Normal 7 2 2 3 4 3 2 3" xfId="27892" xr:uid="{00000000-0005-0000-0000-0000E5540000}"/>
    <cellStyle name="Normal 7 2 2 3 4 3 3" xfId="13106" xr:uid="{00000000-0005-0000-0000-0000E6540000}"/>
    <cellStyle name="Normal 7 2 2 3 4 3 3 2" xfId="32821" xr:uid="{00000000-0005-0000-0000-0000E7540000}"/>
    <cellStyle name="Normal 7 2 2 3 4 3 4" xfId="22964" xr:uid="{00000000-0005-0000-0000-0000E8540000}"/>
    <cellStyle name="Normal 7 2 2 3 4 4" xfId="5710" xr:uid="{00000000-0005-0000-0000-0000E9540000}"/>
    <cellStyle name="Normal 7 2 2 3 4 4 2" xfId="15570" xr:uid="{00000000-0005-0000-0000-0000EA540000}"/>
    <cellStyle name="Normal 7 2 2 3 4 4 2 2" xfId="35285" xr:uid="{00000000-0005-0000-0000-0000EB540000}"/>
    <cellStyle name="Normal 7 2 2 3 4 4 3" xfId="25428" xr:uid="{00000000-0005-0000-0000-0000EC540000}"/>
    <cellStyle name="Normal 7 2 2 3 4 5" xfId="10642" xr:uid="{00000000-0005-0000-0000-0000ED540000}"/>
    <cellStyle name="Normal 7 2 2 3 4 5 2" xfId="30357" xr:uid="{00000000-0005-0000-0000-0000EE540000}"/>
    <cellStyle name="Normal 7 2 2 3 4 6" xfId="20500" xr:uid="{00000000-0005-0000-0000-0000EF540000}"/>
    <cellStyle name="Normal 7 2 2 3 5" xfId="1391" xr:uid="{00000000-0005-0000-0000-0000F0540000}"/>
    <cellStyle name="Normal 7 2 2 3 5 2" xfId="3858" xr:uid="{00000000-0005-0000-0000-0000F1540000}"/>
    <cellStyle name="Normal 7 2 2 3 5 2 2" xfId="8790" xr:uid="{00000000-0005-0000-0000-0000F2540000}"/>
    <cellStyle name="Normal 7 2 2 3 5 2 2 2" xfId="18650" xr:uid="{00000000-0005-0000-0000-0000F3540000}"/>
    <cellStyle name="Normal 7 2 2 3 5 2 2 2 2" xfId="38365" xr:uid="{00000000-0005-0000-0000-0000F4540000}"/>
    <cellStyle name="Normal 7 2 2 3 5 2 2 3" xfId="28508" xr:uid="{00000000-0005-0000-0000-0000F5540000}"/>
    <cellStyle name="Normal 7 2 2 3 5 2 3" xfId="13722" xr:uid="{00000000-0005-0000-0000-0000F6540000}"/>
    <cellStyle name="Normal 7 2 2 3 5 2 3 2" xfId="33437" xr:uid="{00000000-0005-0000-0000-0000F7540000}"/>
    <cellStyle name="Normal 7 2 2 3 5 2 4" xfId="23580" xr:uid="{00000000-0005-0000-0000-0000F8540000}"/>
    <cellStyle name="Normal 7 2 2 3 5 3" xfId="6326" xr:uid="{00000000-0005-0000-0000-0000F9540000}"/>
    <cellStyle name="Normal 7 2 2 3 5 3 2" xfId="16186" xr:uid="{00000000-0005-0000-0000-0000FA540000}"/>
    <cellStyle name="Normal 7 2 2 3 5 3 2 2" xfId="35901" xr:uid="{00000000-0005-0000-0000-0000FB540000}"/>
    <cellStyle name="Normal 7 2 2 3 5 3 3" xfId="26044" xr:uid="{00000000-0005-0000-0000-0000FC540000}"/>
    <cellStyle name="Normal 7 2 2 3 5 4" xfId="11258" xr:uid="{00000000-0005-0000-0000-0000FD540000}"/>
    <cellStyle name="Normal 7 2 2 3 5 4 2" xfId="30973" xr:uid="{00000000-0005-0000-0000-0000FE540000}"/>
    <cellStyle name="Normal 7 2 2 3 5 5" xfId="21116" xr:uid="{00000000-0005-0000-0000-0000FF540000}"/>
    <cellStyle name="Normal 7 2 2 3 6" xfId="2626" xr:uid="{00000000-0005-0000-0000-000000550000}"/>
    <cellStyle name="Normal 7 2 2 3 6 2" xfId="7558" xr:uid="{00000000-0005-0000-0000-000001550000}"/>
    <cellStyle name="Normal 7 2 2 3 6 2 2" xfId="17418" xr:uid="{00000000-0005-0000-0000-000002550000}"/>
    <cellStyle name="Normal 7 2 2 3 6 2 2 2" xfId="37133" xr:uid="{00000000-0005-0000-0000-000003550000}"/>
    <cellStyle name="Normal 7 2 2 3 6 2 3" xfId="27276" xr:uid="{00000000-0005-0000-0000-000004550000}"/>
    <cellStyle name="Normal 7 2 2 3 6 3" xfId="12490" xr:uid="{00000000-0005-0000-0000-000005550000}"/>
    <cellStyle name="Normal 7 2 2 3 6 3 2" xfId="32205" xr:uid="{00000000-0005-0000-0000-000006550000}"/>
    <cellStyle name="Normal 7 2 2 3 6 4" xfId="22348" xr:uid="{00000000-0005-0000-0000-000007550000}"/>
    <cellStyle name="Normal 7 2 2 3 7" xfId="5094" xr:uid="{00000000-0005-0000-0000-000008550000}"/>
    <cellStyle name="Normal 7 2 2 3 7 2" xfId="14954" xr:uid="{00000000-0005-0000-0000-000009550000}"/>
    <cellStyle name="Normal 7 2 2 3 7 2 2" xfId="34669" xr:uid="{00000000-0005-0000-0000-00000A550000}"/>
    <cellStyle name="Normal 7 2 2 3 7 3" xfId="24812" xr:uid="{00000000-0005-0000-0000-00000B550000}"/>
    <cellStyle name="Normal 7 2 2 3 8" xfId="10026" xr:uid="{00000000-0005-0000-0000-00000C550000}"/>
    <cellStyle name="Normal 7 2 2 3 8 2" xfId="29741" xr:uid="{00000000-0005-0000-0000-00000D550000}"/>
    <cellStyle name="Normal 7 2 2 3 9" xfId="19884" xr:uid="{00000000-0005-0000-0000-00000E550000}"/>
    <cellStyle name="Normal 7 2 2 4" xfId="220" xr:uid="{00000000-0005-0000-0000-00000F550000}"/>
    <cellStyle name="Normal 7 2 2 4 2" xfId="534" xr:uid="{00000000-0005-0000-0000-000010550000}"/>
    <cellStyle name="Normal 7 2 2 4 2 2" xfId="1154" xr:uid="{00000000-0005-0000-0000-000011550000}"/>
    <cellStyle name="Normal 7 2 2 4 2 2 2" xfId="2389" xr:uid="{00000000-0005-0000-0000-000012550000}"/>
    <cellStyle name="Normal 7 2 2 4 2 2 2 2" xfId="4856" xr:uid="{00000000-0005-0000-0000-000013550000}"/>
    <cellStyle name="Normal 7 2 2 4 2 2 2 2 2" xfId="9788" xr:uid="{00000000-0005-0000-0000-000014550000}"/>
    <cellStyle name="Normal 7 2 2 4 2 2 2 2 2 2" xfId="19648" xr:uid="{00000000-0005-0000-0000-000015550000}"/>
    <cellStyle name="Normal 7 2 2 4 2 2 2 2 2 2 2" xfId="39363" xr:uid="{00000000-0005-0000-0000-000016550000}"/>
    <cellStyle name="Normal 7 2 2 4 2 2 2 2 2 3" xfId="29506" xr:uid="{00000000-0005-0000-0000-000017550000}"/>
    <cellStyle name="Normal 7 2 2 4 2 2 2 2 3" xfId="14720" xr:uid="{00000000-0005-0000-0000-000018550000}"/>
    <cellStyle name="Normal 7 2 2 4 2 2 2 2 3 2" xfId="34435" xr:uid="{00000000-0005-0000-0000-000019550000}"/>
    <cellStyle name="Normal 7 2 2 4 2 2 2 2 4" xfId="24578" xr:uid="{00000000-0005-0000-0000-00001A550000}"/>
    <cellStyle name="Normal 7 2 2 4 2 2 2 3" xfId="7324" xr:uid="{00000000-0005-0000-0000-00001B550000}"/>
    <cellStyle name="Normal 7 2 2 4 2 2 2 3 2" xfId="17184" xr:uid="{00000000-0005-0000-0000-00001C550000}"/>
    <cellStyle name="Normal 7 2 2 4 2 2 2 3 2 2" xfId="36899" xr:uid="{00000000-0005-0000-0000-00001D550000}"/>
    <cellStyle name="Normal 7 2 2 4 2 2 2 3 3" xfId="27042" xr:uid="{00000000-0005-0000-0000-00001E550000}"/>
    <cellStyle name="Normal 7 2 2 4 2 2 2 4" xfId="12256" xr:uid="{00000000-0005-0000-0000-00001F550000}"/>
    <cellStyle name="Normal 7 2 2 4 2 2 2 4 2" xfId="31971" xr:uid="{00000000-0005-0000-0000-000020550000}"/>
    <cellStyle name="Normal 7 2 2 4 2 2 2 5" xfId="22114" xr:uid="{00000000-0005-0000-0000-000021550000}"/>
    <cellStyle name="Normal 7 2 2 4 2 2 3" xfId="3624" xr:uid="{00000000-0005-0000-0000-000022550000}"/>
    <cellStyle name="Normal 7 2 2 4 2 2 3 2" xfId="8556" xr:uid="{00000000-0005-0000-0000-000023550000}"/>
    <cellStyle name="Normal 7 2 2 4 2 2 3 2 2" xfId="18416" xr:uid="{00000000-0005-0000-0000-000024550000}"/>
    <cellStyle name="Normal 7 2 2 4 2 2 3 2 2 2" xfId="38131" xr:uid="{00000000-0005-0000-0000-000025550000}"/>
    <cellStyle name="Normal 7 2 2 4 2 2 3 2 3" xfId="28274" xr:uid="{00000000-0005-0000-0000-000026550000}"/>
    <cellStyle name="Normal 7 2 2 4 2 2 3 3" xfId="13488" xr:uid="{00000000-0005-0000-0000-000027550000}"/>
    <cellStyle name="Normal 7 2 2 4 2 2 3 3 2" xfId="33203" xr:uid="{00000000-0005-0000-0000-000028550000}"/>
    <cellStyle name="Normal 7 2 2 4 2 2 3 4" xfId="23346" xr:uid="{00000000-0005-0000-0000-000029550000}"/>
    <cellStyle name="Normal 7 2 2 4 2 2 4" xfId="6092" xr:uid="{00000000-0005-0000-0000-00002A550000}"/>
    <cellStyle name="Normal 7 2 2 4 2 2 4 2" xfId="15952" xr:uid="{00000000-0005-0000-0000-00002B550000}"/>
    <cellStyle name="Normal 7 2 2 4 2 2 4 2 2" xfId="35667" xr:uid="{00000000-0005-0000-0000-00002C550000}"/>
    <cellStyle name="Normal 7 2 2 4 2 2 4 3" xfId="25810" xr:uid="{00000000-0005-0000-0000-00002D550000}"/>
    <cellStyle name="Normal 7 2 2 4 2 2 5" xfId="11024" xr:uid="{00000000-0005-0000-0000-00002E550000}"/>
    <cellStyle name="Normal 7 2 2 4 2 2 5 2" xfId="30739" xr:uid="{00000000-0005-0000-0000-00002F550000}"/>
    <cellStyle name="Normal 7 2 2 4 2 2 6" xfId="20882" xr:uid="{00000000-0005-0000-0000-000030550000}"/>
    <cellStyle name="Normal 7 2 2 4 2 3" xfId="1773" xr:uid="{00000000-0005-0000-0000-000031550000}"/>
    <cellStyle name="Normal 7 2 2 4 2 3 2" xfId="4240" xr:uid="{00000000-0005-0000-0000-000032550000}"/>
    <cellStyle name="Normal 7 2 2 4 2 3 2 2" xfId="9172" xr:uid="{00000000-0005-0000-0000-000033550000}"/>
    <cellStyle name="Normal 7 2 2 4 2 3 2 2 2" xfId="19032" xr:uid="{00000000-0005-0000-0000-000034550000}"/>
    <cellStyle name="Normal 7 2 2 4 2 3 2 2 2 2" xfId="38747" xr:uid="{00000000-0005-0000-0000-000035550000}"/>
    <cellStyle name="Normal 7 2 2 4 2 3 2 2 3" xfId="28890" xr:uid="{00000000-0005-0000-0000-000036550000}"/>
    <cellStyle name="Normal 7 2 2 4 2 3 2 3" xfId="14104" xr:uid="{00000000-0005-0000-0000-000037550000}"/>
    <cellStyle name="Normal 7 2 2 4 2 3 2 3 2" xfId="33819" xr:uid="{00000000-0005-0000-0000-000038550000}"/>
    <cellStyle name="Normal 7 2 2 4 2 3 2 4" xfId="23962" xr:uid="{00000000-0005-0000-0000-000039550000}"/>
    <cellStyle name="Normal 7 2 2 4 2 3 3" xfId="6708" xr:uid="{00000000-0005-0000-0000-00003A550000}"/>
    <cellStyle name="Normal 7 2 2 4 2 3 3 2" xfId="16568" xr:uid="{00000000-0005-0000-0000-00003B550000}"/>
    <cellStyle name="Normal 7 2 2 4 2 3 3 2 2" xfId="36283" xr:uid="{00000000-0005-0000-0000-00003C550000}"/>
    <cellStyle name="Normal 7 2 2 4 2 3 3 3" xfId="26426" xr:uid="{00000000-0005-0000-0000-00003D550000}"/>
    <cellStyle name="Normal 7 2 2 4 2 3 4" xfId="11640" xr:uid="{00000000-0005-0000-0000-00003E550000}"/>
    <cellStyle name="Normal 7 2 2 4 2 3 4 2" xfId="31355" xr:uid="{00000000-0005-0000-0000-00003F550000}"/>
    <cellStyle name="Normal 7 2 2 4 2 3 5" xfId="21498" xr:uid="{00000000-0005-0000-0000-000040550000}"/>
    <cellStyle name="Normal 7 2 2 4 2 4" xfId="3008" xr:uid="{00000000-0005-0000-0000-000041550000}"/>
    <cellStyle name="Normal 7 2 2 4 2 4 2" xfId="7940" xr:uid="{00000000-0005-0000-0000-000042550000}"/>
    <cellStyle name="Normal 7 2 2 4 2 4 2 2" xfId="17800" xr:uid="{00000000-0005-0000-0000-000043550000}"/>
    <cellStyle name="Normal 7 2 2 4 2 4 2 2 2" xfId="37515" xr:uid="{00000000-0005-0000-0000-000044550000}"/>
    <cellStyle name="Normal 7 2 2 4 2 4 2 3" xfId="27658" xr:uid="{00000000-0005-0000-0000-000045550000}"/>
    <cellStyle name="Normal 7 2 2 4 2 4 3" xfId="12872" xr:uid="{00000000-0005-0000-0000-000046550000}"/>
    <cellStyle name="Normal 7 2 2 4 2 4 3 2" xfId="32587" xr:uid="{00000000-0005-0000-0000-000047550000}"/>
    <cellStyle name="Normal 7 2 2 4 2 4 4" xfId="22730" xr:uid="{00000000-0005-0000-0000-000048550000}"/>
    <cellStyle name="Normal 7 2 2 4 2 5" xfId="5476" xr:uid="{00000000-0005-0000-0000-000049550000}"/>
    <cellStyle name="Normal 7 2 2 4 2 5 2" xfId="15336" xr:uid="{00000000-0005-0000-0000-00004A550000}"/>
    <cellStyle name="Normal 7 2 2 4 2 5 2 2" xfId="35051" xr:uid="{00000000-0005-0000-0000-00004B550000}"/>
    <cellStyle name="Normal 7 2 2 4 2 5 3" xfId="25194" xr:uid="{00000000-0005-0000-0000-00004C550000}"/>
    <cellStyle name="Normal 7 2 2 4 2 6" xfId="10408" xr:uid="{00000000-0005-0000-0000-00004D550000}"/>
    <cellStyle name="Normal 7 2 2 4 2 6 2" xfId="30123" xr:uid="{00000000-0005-0000-0000-00004E550000}"/>
    <cellStyle name="Normal 7 2 2 4 2 7" xfId="20266" xr:uid="{00000000-0005-0000-0000-00004F550000}"/>
    <cellStyle name="Normal 7 2 2 4 3" xfId="847" xr:uid="{00000000-0005-0000-0000-000050550000}"/>
    <cellStyle name="Normal 7 2 2 4 3 2" xfId="2083" xr:uid="{00000000-0005-0000-0000-000051550000}"/>
    <cellStyle name="Normal 7 2 2 4 3 2 2" xfId="4550" xr:uid="{00000000-0005-0000-0000-000052550000}"/>
    <cellStyle name="Normal 7 2 2 4 3 2 2 2" xfId="9482" xr:uid="{00000000-0005-0000-0000-000053550000}"/>
    <cellStyle name="Normal 7 2 2 4 3 2 2 2 2" xfId="19342" xr:uid="{00000000-0005-0000-0000-000054550000}"/>
    <cellStyle name="Normal 7 2 2 4 3 2 2 2 2 2" xfId="39057" xr:uid="{00000000-0005-0000-0000-000055550000}"/>
    <cellStyle name="Normal 7 2 2 4 3 2 2 2 3" xfId="29200" xr:uid="{00000000-0005-0000-0000-000056550000}"/>
    <cellStyle name="Normal 7 2 2 4 3 2 2 3" xfId="14414" xr:uid="{00000000-0005-0000-0000-000057550000}"/>
    <cellStyle name="Normal 7 2 2 4 3 2 2 3 2" xfId="34129" xr:uid="{00000000-0005-0000-0000-000058550000}"/>
    <cellStyle name="Normal 7 2 2 4 3 2 2 4" xfId="24272" xr:uid="{00000000-0005-0000-0000-000059550000}"/>
    <cellStyle name="Normal 7 2 2 4 3 2 3" xfId="7018" xr:uid="{00000000-0005-0000-0000-00005A550000}"/>
    <cellStyle name="Normal 7 2 2 4 3 2 3 2" xfId="16878" xr:uid="{00000000-0005-0000-0000-00005B550000}"/>
    <cellStyle name="Normal 7 2 2 4 3 2 3 2 2" xfId="36593" xr:uid="{00000000-0005-0000-0000-00005C550000}"/>
    <cellStyle name="Normal 7 2 2 4 3 2 3 3" xfId="26736" xr:uid="{00000000-0005-0000-0000-00005D550000}"/>
    <cellStyle name="Normal 7 2 2 4 3 2 4" xfId="11950" xr:uid="{00000000-0005-0000-0000-00005E550000}"/>
    <cellStyle name="Normal 7 2 2 4 3 2 4 2" xfId="31665" xr:uid="{00000000-0005-0000-0000-00005F550000}"/>
    <cellStyle name="Normal 7 2 2 4 3 2 5" xfId="21808" xr:uid="{00000000-0005-0000-0000-000060550000}"/>
    <cellStyle name="Normal 7 2 2 4 3 3" xfId="3318" xr:uid="{00000000-0005-0000-0000-000061550000}"/>
    <cellStyle name="Normal 7 2 2 4 3 3 2" xfId="8250" xr:uid="{00000000-0005-0000-0000-000062550000}"/>
    <cellStyle name="Normal 7 2 2 4 3 3 2 2" xfId="18110" xr:uid="{00000000-0005-0000-0000-000063550000}"/>
    <cellStyle name="Normal 7 2 2 4 3 3 2 2 2" xfId="37825" xr:uid="{00000000-0005-0000-0000-000064550000}"/>
    <cellStyle name="Normal 7 2 2 4 3 3 2 3" xfId="27968" xr:uid="{00000000-0005-0000-0000-000065550000}"/>
    <cellStyle name="Normal 7 2 2 4 3 3 3" xfId="13182" xr:uid="{00000000-0005-0000-0000-000066550000}"/>
    <cellStyle name="Normal 7 2 2 4 3 3 3 2" xfId="32897" xr:uid="{00000000-0005-0000-0000-000067550000}"/>
    <cellStyle name="Normal 7 2 2 4 3 3 4" xfId="23040" xr:uid="{00000000-0005-0000-0000-000068550000}"/>
    <cellStyle name="Normal 7 2 2 4 3 4" xfId="5786" xr:uid="{00000000-0005-0000-0000-000069550000}"/>
    <cellStyle name="Normal 7 2 2 4 3 4 2" xfId="15646" xr:uid="{00000000-0005-0000-0000-00006A550000}"/>
    <cellStyle name="Normal 7 2 2 4 3 4 2 2" xfId="35361" xr:uid="{00000000-0005-0000-0000-00006B550000}"/>
    <cellStyle name="Normal 7 2 2 4 3 4 3" xfId="25504" xr:uid="{00000000-0005-0000-0000-00006C550000}"/>
    <cellStyle name="Normal 7 2 2 4 3 5" xfId="10718" xr:uid="{00000000-0005-0000-0000-00006D550000}"/>
    <cellStyle name="Normal 7 2 2 4 3 5 2" xfId="30433" xr:uid="{00000000-0005-0000-0000-00006E550000}"/>
    <cellStyle name="Normal 7 2 2 4 3 6" xfId="20576" xr:uid="{00000000-0005-0000-0000-00006F550000}"/>
    <cellStyle name="Normal 7 2 2 4 4" xfId="1467" xr:uid="{00000000-0005-0000-0000-000070550000}"/>
    <cellStyle name="Normal 7 2 2 4 4 2" xfId="3934" xr:uid="{00000000-0005-0000-0000-000071550000}"/>
    <cellStyle name="Normal 7 2 2 4 4 2 2" xfId="8866" xr:uid="{00000000-0005-0000-0000-000072550000}"/>
    <cellStyle name="Normal 7 2 2 4 4 2 2 2" xfId="18726" xr:uid="{00000000-0005-0000-0000-000073550000}"/>
    <cellStyle name="Normal 7 2 2 4 4 2 2 2 2" xfId="38441" xr:uid="{00000000-0005-0000-0000-000074550000}"/>
    <cellStyle name="Normal 7 2 2 4 4 2 2 3" xfId="28584" xr:uid="{00000000-0005-0000-0000-000075550000}"/>
    <cellStyle name="Normal 7 2 2 4 4 2 3" xfId="13798" xr:uid="{00000000-0005-0000-0000-000076550000}"/>
    <cellStyle name="Normal 7 2 2 4 4 2 3 2" xfId="33513" xr:uid="{00000000-0005-0000-0000-000077550000}"/>
    <cellStyle name="Normal 7 2 2 4 4 2 4" xfId="23656" xr:uid="{00000000-0005-0000-0000-000078550000}"/>
    <cellStyle name="Normal 7 2 2 4 4 3" xfId="6402" xr:uid="{00000000-0005-0000-0000-000079550000}"/>
    <cellStyle name="Normal 7 2 2 4 4 3 2" xfId="16262" xr:uid="{00000000-0005-0000-0000-00007A550000}"/>
    <cellStyle name="Normal 7 2 2 4 4 3 2 2" xfId="35977" xr:uid="{00000000-0005-0000-0000-00007B550000}"/>
    <cellStyle name="Normal 7 2 2 4 4 3 3" xfId="26120" xr:uid="{00000000-0005-0000-0000-00007C550000}"/>
    <cellStyle name="Normal 7 2 2 4 4 4" xfId="11334" xr:uid="{00000000-0005-0000-0000-00007D550000}"/>
    <cellStyle name="Normal 7 2 2 4 4 4 2" xfId="31049" xr:uid="{00000000-0005-0000-0000-00007E550000}"/>
    <cellStyle name="Normal 7 2 2 4 4 5" xfId="21192" xr:uid="{00000000-0005-0000-0000-00007F550000}"/>
    <cellStyle name="Normal 7 2 2 4 5" xfId="2702" xr:uid="{00000000-0005-0000-0000-000080550000}"/>
    <cellStyle name="Normal 7 2 2 4 5 2" xfId="7634" xr:uid="{00000000-0005-0000-0000-000081550000}"/>
    <cellStyle name="Normal 7 2 2 4 5 2 2" xfId="17494" xr:uid="{00000000-0005-0000-0000-000082550000}"/>
    <cellStyle name="Normal 7 2 2 4 5 2 2 2" xfId="37209" xr:uid="{00000000-0005-0000-0000-000083550000}"/>
    <cellStyle name="Normal 7 2 2 4 5 2 3" xfId="27352" xr:uid="{00000000-0005-0000-0000-000084550000}"/>
    <cellStyle name="Normal 7 2 2 4 5 3" xfId="12566" xr:uid="{00000000-0005-0000-0000-000085550000}"/>
    <cellStyle name="Normal 7 2 2 4 5 3 2" xfId="32281" xr:uid="{00000000-0005-0000-0000-000086550000}"/>
    <cellStyle name="Normal 7 2 2 4 5 4" xfId="22424" xr:uid="{00000000-0005-0000-0000-000087550000}"/>
    <cellStyle name="Normal 7 2 2 4 6" xfId="5170" xr:uid="{00000000-0005-0000-0000-000088550000}"/>
    <cellStyle name="Normal 7 2 2 4 6 2" xfId="15030" xr:uid="{00000000-0005-0000-0000-000089550000}"/>
    <cellStyle name="Normal 7 2 2 4 6 2 2" xfId="34745" xr:uid="{00000000-0005-0000-0000-00008A550000}"/>
    <cellStyle name="Normal 7 2 2 4 6 3" xfId="24888" xr:uid="{00000000-0005-0000-0000-00008B550000}"/>
    <cellStyle name="Normal 7 2 2 4 7" xfId="10102" xr:uid="{00000000-0005-0000-0000-00008C550000}"/>
    <cellStyle name="Normal 7 2 2 4 7 2" xfId="29817" xr:uid="{00000000-0005-0000-0000-00008D550000}"/>
    <cellStyle name="Normal 7 2 2 4 8" xfId="19960" xr:uid="{00000000-0005-0000-0000-00008E550000}"/>
    <cellStyle name="Normal 7 2 2 5" xfId="382" xr:uid="{00000000-0005-0000-0000-00008F550000}"/>
    <cellStyle name="Normal 7 2 2 5 2" xfId="1002" xr:uid="{00000000-0005-0000-0000-000090550000}"/>
    <cellStyle name="Normal 7 2 2 5 2 2" xfId="2237" xr:uid="{00000000-0005-0000-0000-000091550000}"/>
    <cellStyle name="Normal 7 2 2 5 2 2 2" xfId="4704" xr:uid="{00000000-0005-0000-0000-000092550000}"/>
    <cellStyle name="Normal 7 2 2 5 2 2 2 2" xfId="9636" xr:uid="{00000000-0005-0000-0000-000093550000}"/>
    <cellStyle name="Normal 7 2 2 5 2 2 2 2 2" xfId="19496" xr:uid="{00000000-0005-0000-0000-000094550000}"/>
    <cellStyle name="Normal 7 2 2 5 2 2 2 2 2 2" xfId="39211" xr:uid="{00000000-0005-0000-0000-000095550000}"/>
    <cellStyle name="Normal 7 2 2 5 2 2 2 2 3" xfId="29354" xr:uid="{00000000-0005-0000-0000-000096550000}"/>
    <cellStyle name="Normal 7 2 2 5 2 2 2 3" xfId="14568" xr:uid="{00000000-0005-0000-0000-000097550000}"/>
    <cellStyle name="Normal 7 2 2 5 2 2 2 3 2" xfId="34283" xr:uid="{00000000-0005-0000-0000-000098550000}"/>
    <cellStyle name="Normal 7 2 2 5 2 2 2 4" xfId="24426" xr:uid="{00000000-0005-0000-0000-000099550000}"/>
    <cellStyle name="Normal 7 2 2 5 2 2 3" xfId="7172" xr:uid="{00000000-0005-0000-0000-00009A550000}"/>
    <cellStyle name="Normal 7 2 2 5 2 2 3 2" xfId="17032" xr:uid="{00000000-0005-0000-0000-00009B550000}"/>
    <cellStyle name="Normal 7 2 2 5 2 2 3 2 2" xfId="36747" xr:uid="{00000000-0005-0000-0000-00009C550000}"/>
    <cellStyle name="Normal 7 2 2 5 2 2 3 3" xfId="26890" xr:uid="{00000000-0005-0000-0000-00009D550000}"/>
    <cellStyle name="Normal 7 2 2 5 2 2 4" xfId="12104" xr:uid="{00000000-0005-0000-0000-00009E550000}"/>
    <cellStyle name="Normal 7 2 2 5 2 2 4 2" xfId="31819" xr:uid="{00000000-0005-0000-0000-00009F550000}"/>
    <cellStyle name="Normal 7 2 2 5 2 2 5" xfId="21962" xr:uid="{00000000-0005-0000-0000-0000A0550000}"/>
    <cellStyle name="Normal 7 2 2 5 2 3" xfId="3472" xr:uid="{00000000-0005-0000-0000-0000A1550000}"/>
    <cellStyle name="Normal 7 2 2 5 2 3 2" xfId="8404" xr:uid="{00000000-0005-0000-0000-0000A2550000}"/>
    <cellStyle name="Normal 7 2 2 5 2 3 2 2" xfId="18264" xr:uid="{00000000-0005-0000-0000-0000A3550000}"/>
    <cellStyle name="Normal 7 2 2 5 2 3 2 2 2" xfId="37979" xr:uid="{00000000-0005-0000-0000-0000A4550000}"/>
    <cellStyle name="Normal 7 2 2 5 2 3 2 3" xfId="28122" xr:uid="{00000000-0005-0000-0000-0000A5550000}"/>
    <cellStyle name="Normal 7 2 2 5 2 3 3" xfId="13336" xr:uid="{00000000-0005-0000-0000-0000A6550000}"/>
    <cellStyle name="Normal 7 2 2 5 2 3 3 2" xfId="33051" xr:uid="{00000000-0005-0000-0000-0000A7550000}"/>
    <cellStyle name="Normal 7 2 2 5 2 3 4" xfId="23194" xr:uid="{00000000-0005-0000-0000-0000A8550000}"/>
    <cellStyle name="Normal 7 2 2 5 2 4" xfId="5940" xr:uid="{00000000-0005-0000-0000-0000A9550000}"/>
    <cellStyle name="Normal 7 2 2 5 2 4 2" xfId="15800" xr:uid="{00000000-0005-0000-0000-0000AA550000}"/>
    <cellStyle name="Normal 7 2 2 5 2 4 2 2" xfId="35515" xr:uid="{00000000-0005-0000-0000-0000AB550000}"/>
    <cellStyle name="Normal 7 2 2 5 2 4 3" xfId="25658" xr:uid="{00000000-0005-0000-0000-0000AC550000}"/>
    <cellStyle name="Normal 7 2 2 5 2 5" xfId="10872" xr:uid="{00000000-0005-0000-0000-0000AD550000}"/>
    <cellStyle name="Normal 7 2 2 5 2 5 2" xfId="30587" xr:uid="{00000000-0005-0000-0000-0000AE550000}"/>
    <cellStyle name="Normal 7 2 2 5 2 6" xfId="20730" xr:uid="{00000000-0005-0000-0000-0000AF550000}"/>
    <cellStyle name="Normal 7 2 2 5 3" xfId="1621" xr:uid="{00000000-0005-0000-0000-0000B0550000}"/>
    <cellStyle name="Normal 7 2 2 5 3 2" xfId="4088" xr:uid="{00000000-0005-0000-0000-0000B1550000}"/>
    <cellStyle name="Normal 7 2 2 5 3 2 2" xfId="9020" xr:uid="{00000000-0005-0000-0000-0000B2550000}"/>
    <cellStyle name="Normal 7 2 2 5 3 2 2 2" xfId="18880" xr:uid="{00000000-0005-0000-0000-0000B3550000}"/>
    <cellStyle name="Normal 7 2 2 5 3 2 2 2 2" xfId="38595" xr:uid="{00000000-0005-0000-0000-0000B4550000}"/>
    <cellStyle name="Normal 7 2 2 5 3 2 2 3" xfId="28738" xr:uid="{00000000-0005-0000-0000-0000B5550000}"/>
    <cellStyle name="Normal 7 2 2 5 3 2 3" xfId="13952" xr:uid="{00000000-0005-0000-0000-0000B6550000}"/>
    <cellStyle name="Normal 7 2 2 5 3 2 3 2" xfId="33667" xr:uid="{00000000-0005-0000-0000-0000B7550000}"/>
    <cellStyle name="Normal 7 2 2 5 3 2 4" xfId="23810" xr:uid="{00000000-0005-0000-0000-0000B8550000}"/>
    <cellStyle name="Normal 7 2 2 5 3 3" xfId="6556" xr:uid="{00000000-0005-0000-0000-0000B9550000}"/>
    <cellStyle name="Normal 7 2 2 5 3 3 2" xfId="16416" xr:uid="{00000000-0005-0000-0000-0000BA550000}"/>
    <cellStyle name="Normal 7 2 2 5 3 3 2 2" xfId="36131" xr:uid="{00000000-0005-0000-0000-0000BB550000}"/>
    <cellStyle name="Normal 7 2 2 5 3 3 3" xfId="26274" xr:uid="{00000000-0005-0000-0000-0000BC550000}"/>
    <cellStyle name="Normal 7 2 2 5 3 4" xfId="11488" xr:uid="{00000000-0005-0000-0000-0000BD550000}"/>
    <cellStyle name="Normal 7 2 2 5 3 4 2" xfId="31203" xr:uid="{00000000-0005-0000-0000-0000BE550000}"/>
    <cellStyle name="Normal 7 2 2 5 3 5" xfId="21346" xr:uid="{00000000-0005-0000-0000-0000BF550000}"/>
    <cellStyle name="Normal 7 2 2 5 4" xfId="2856" xr:uid="{00000000-0005-0000-0000-0000C0550000}"/>
    <cellStyle name="Normal 7 2 2 5 4 2" xfId="7788" xr:uid="{00000000-0005-0000-0000-0000C1550000}"/>
    <cellStyle name="Normal 7 2 2 5 4 2 2" xfId="17648" xr:uid="{00000000-0005-0000-0000-0000C2550000}"/>
    <cellStyle name="Normal 7 2 2 5 4 2 2 2" xfId="37363" xr:uid="{00000000-0005-0000-0000-0000C3550000}"/>
    <cellStyle name="Normal 7 2 2 5 4 2 3" xfId="27506" xr:uid="{00000000-0005-0000-0000-0000C4550000}"/>
    <cellStyle name="Normal 7 2 2 5 4 3" xfId="12720" xr:uid="{00000000-0005-0000-0000-0000C5550000}"/>
    <cellStyle name="Normal 7 2 2 5 4 3 2" xfId="32435" xr:uid="{00000000-0005-0000-0000-0000C6550000}"/>
    <cellStyle name="Normal 7 2 2 5 4 4" xfId="22578" xr:uid="{00000000-0005-0000-0000-0000C7550000}"/>
    <cellStyle name="Normal 7 2 2 5 5" xfId="5324" xr:uid="{00000000-0005-0000-0000-0000C8550000}"/>
    <cellStyle name="Normal 7 2 2 5 5 2" xfId="15184" xr:uid="{00000000-0005-0000-0000-0000C9550000}"/>
    <cellStyle name="Normal 7 2 2 5 5 2 2" xfId="34899" xr:uid="{00000000-0005-0000-0000-0000CA550000}"/>
    <cellStyle name="Normal 7 2 2 5 5 3" xfId="25042" xr:uid="{00000000-0005-0000-0000-0000CB550000}"/>
    <cellStyle name="Normal 7 2 2 5 6" xfId="10256" xr:uid="{00000000-0005-0000-0000-0000CC550000}"/>
    <cellStyle name="Normal 7 2 2 5 6 2" xfId="29971" xr:uid="{00000000-0005-0000-0000-0000CD550000}"/>
    <cellStyle name="Normal 7 2 2 5 7" xfId="20114" xr:uid="{00000000-0005-0000-0000-0000CE550000}"/>
    <cellStyle name="Normal 7 2 2 6" xfId="695" xr:uid="{00000000-0005-0000-0000-0000CF550000}"/>
    <cellStyle name="Normal 7 2 2 6 2" xfId="1931" xr:uid="{00000000-0005-0000-0000-0000D0550000}"/>
    <cellStyle name="Normal 7 2 2 6 2 2" xfId="4398" xr:uid="{00000000-0005-0000-0000-0000D1550000}"/>
    <cellStyle name="Normal 7 2 2 6 2 2 2" xfId="9330" xr:uid="{00000000-0005-0000-0000-0000D2550000}"/>
    <cellStyle name="Normal 7 2 2 6 2 2 2 2" xfId="19190" xr:uid="{00000000-0005-0000-0000-0000D3550000}"/>
    <cellStyle name="Normal 7 2 2 6 2 2 2 2 2" xfId="38905" xr:uid="{00000000-0005-0000-0000-0000D4550000}"/>
    <cellStyle name="Normal 7 2 2 6 2 2 2 3" xfId="29048" xr:uid="{00000000-0005-0000-0000-0000D5550000}"/>
    <cellStyle name="Normal 7 2 2 6 2 2 3" xfId="14262" xr:uid="{00000000-0005-0000-0000-0000D6550000}"/>
    <cellStyle name="Normal 7 2 2 6 2 2 3 2" xfId="33977" xr:uid="{00000000-0005-0000-0000-0000D7550000}"/>
    <cellStyle name="Normal 7 2 2 6 2 2 4" xfId="24120" xr:uid="{00000000-0005-0000-0000-0000D8550000}"/>
    <cellStyle name="Normal 7 2 2 6 2 3" xfId="6866" xr:uid="{00000000-0005-0000-0000-0000D9550000}"/>
    <cellStyle name="Normal 7 2 2 6 2 3 2" xfId="16726" xr:uid="{00000000-0005-0000-0000-0000DA550000}"/>
    <cellStyle name="Normal 7 2 2 6 2 3 2 2" xfId="36441" xr:uid="{00000000-0005-0000-0000-0000DB550000}"/>
    <cellStyle name="Normal 7 2 2 6 2 3 3" xfId="26584" xr:uid="{00000000-0005-0000-0000-0000DC550000}"/>
    <cellStyle name="Normal 7 2 2 6 2 4" xfId="11798" xr:uid="{00000000-0005-0000-0000-0000DD550000}"/>
    <cellStyle name="Normal 7 2 2 6 2 4 2" xfId="31513" xr:uid="{00000000-0005-0000-0000-0000DE550000}"/>
    <cellStyle name="Normal 7 2 2 6 2 5" xfId="21656" xr:uid="{00000000-0005-0000-0000-0000DF550000}"/>
    <cellStyle name="Normal 7 2 2 6 3" xfId="3166" xr:uid="{00000000-0005-0000-0000-0000E0550000}"/>
    <cellStyle name="Normal 7 2 2 6 3 2" xfId="8098" xr:uid="{00000000-0005-0000-0000-0000E1550000}"/>
    <cellStyle name="Normal 7 2 2 6 3 2 2" xfId="17958" xr:uid="{00000000-0005-0000-0000-0000E2550000}"/>
    <cellStyle name="Normal 7 2 2 6 3 2 2 2" xfId="37673" xr:uid="{00000000-0005-0000-0000-0000E3550000}"/>
    <cellStyle name="Normal 7 2 2 6 3 2 3" xfId="27816" xr:uid="{00000000-0005-0000-0000-0000E4550000}"/>
    <cellStyle name="Normal 7 2 2 6 3 3" xfId="13030" xr:uid="{00000000-0005-0000-0000-0000E5550000}"/>
    <cellStyle name="Normal 7 2 2 6 3 3 2" xfId="32745" xr:uid="{00000000-0005-0000-0000-0000E6550000}"/>
    <cellStyle name="Normal 7 2 2 6 3 4" xfId="22888" xr:uid="{00000000-0005-0000-0000-0000E7550000}"/>
    <cellStyle name="Normal 7 2 2 6 4" xfId="5634" xr:uid="{00000000-0005-0000-0000-0000E8550000}"/>
    <cellStyle name="Normal 7 2 2 6 4 2" xfId="15494" xr:uid="{00000000-0005-0000-0000-0000E9550000}"/>
    <cellStyle name="Normal 7 2 2 6 4 2 2" xfId="35209" xr:uid="{00000000-0005-0000-0000-0000EA550000}"/>
    <cellStyle name="Normal 7 2 2 6 4 3" xfId="25352" xr:uid="{00000000-0005-0000-0000-0000EB550000}"/>
    <cellStyle name="Normal 7 2 2 6 5" xfId="10566" xr:uid="{00000000-0005-0000-0000-0000EC550000}"/>
    <cellStyle name="Normal 7 2 2 6 5 2" xfId="30281" xr:uid="{00000000-0005-0000-0000-0000ED550000}"/>
    <cellStyle name="Normal 7 2 2 6 6" xfId="20424" xr:uid="{00000000-0005-0000-0000-0000EE550000}"/>
    <cellStyle name="Normal 7 2 2 7" xfId="1315" xr:uid="{00000000-0005-0000-0000-0000EF550000}"/>
    <cellStyle name="Normal 7 2 2 7 2" xfId="3782" xr:uid="{00000000-0005-0000-0000-0000F0550000}"/>
    <cellStyle name="Normal 7 2 2 7 2 2" xfId="8714" xr:uid="{00000000-0005-0000-0000-0000F1550000}"/>
    <cellStyle name="Normal 7 2 2 7 2 2 2" xfId="18574" xr:uid="{00000000-0005-0000-0000-0000F2550000}"/>
    <cellStyle name="Normal 7 2 2 7 2 2 2 2" xfId="38289" xr:uid="{00000000-0005-0000-0000-0000F3550000}"/>
    <cellStyle name="Normal 7 2 2 7 2 2 3" xfId="28432" xr:uid="{00000000-0005-0000-0000-0000F4550000}"/>
    <cellStyle name="Normal 7 2 2 7 2 3" xfId="13646" xr:uid="{00000000-0005-0000-0000-0000F5550000}"/>
    <cellStyle name="Normal 7 2 2 7 2 3 2" xfId="33361" xr:uid="{00000000-0005-0000-0000-0000F6550000}"/>
    <cellStyle name="Normal 7 2 2 7 2 4" xfId="23504" xr:uid="{00000000-0005-0000-0000-0000F7550000}"/>
    <cellStyle name="Normal 7 2 2 7 3" xfId="6250" xr:uid="{00000000-0005-0000-0000-0000F8550000}"/>
    <cellStyle name="Normal 7 2 2 7 3 2" xfId="16110" xr:uid="{00000000-0005-0000-0000-0000F9550000}"/>
    <cellStyle name="Normal 7 2 2 7 3 2 2" xfId="35825" xr:uid="{00000000-0005-0000-0000-0000FA550000}"/>
    <cellStyle name="Normal 7 2 2 7 3 3" xfId="25968" xr:uid="{00000000-0005-0000-0000-0000FB550000}"/>
    <cellStyle name="Normal 7 2 2 7 4" xfId="11182" xr:uid="{00000000-0005-0000-0000-0000FC550000}"/>
    <cellStyle name="Normal 7 2 2 7 4 2" xfId="30897" xr:uid="{00000000-0005-0000-0000-0000FD550000}"/>
    <cellStyle name="Normal 7 2 2 7 5" xfId="21040" xr:uid="{00000000-0005-0000-0000-0000FE550000}"/>
    <cellStyle name="Normal 7 2 2 8" xfId="2550" xr:uid="{00000000-0005-0000-0000-0000FF550000}"/>
    <cellStyle name="Normal 7 2 2 8 2" xfId="7482" xr:uid="{00000000-0005-0000-0000-000000560000}"/>
    <cellStyle name="Normal 7 2 2 8 2 2" xfId="17342" xr:uid="{00000000-0005-0000-0000-000001560000}"/>
    <cellStyle name="Normal 7 2 2 8 2 2 2" xfId="37057" xr:uid="{00000000-0005-0000-0000-000002560000}"/>
    <cellStyle name="Normal 7 2 2 8 2 3" xfId="27200" xr:uid="{00000000-0005-0000-0000-000003560000}"/>
    <cellStyle name="Normal 7 2 2 8 3" xfId="12414" xr:uid="{00000000-0005-0000-0000-000004560000}"/>
    <cellStyle name="Normal 7 2 2 8 3 2" xfId="32129" xr:uid="{00000000-0005-0000-0000-000005560000}"/>
    <cellStyle name="Normal 7 2 2 8 4" xfId="22272" xr:uid="{00000000-0005-0000-0000-000006560000}"/>
    <cellStyle name="Normal 7 2 2 9" xfId="5018" xr:uid="{00000000-0005-0000-0000-000007560000}"/>
    <cellStyle name="Normal 7 2 2 9 2" xfId="14878" xr:uid="{00000000-0005-0000-0000-000008560000}"/>
    <cellStyle name="Normal 7 2 2 9 2 2" xfId="34593" xr:uid="{00000000-0005-0000-0000-000009560000}"/>
    <cellStyle name="Normal 7 2 2 9 3" xfId="24736" xr:uid="{00000000-0005-0000-0000-00000A560000}"/>
    <cellStyle name="Normal 7 2 3" xfId="77" xr:uid="{00000000-0005-0000-0000-00000B560000}"/>
    <cellStyle name="Normal 7 2 3 10" xfId="19827" xr:uid="{00000000-0005-0000-0000-00000C560000}"/>
    <cellStyle name="Normal 7 2 3 2" xfId="158" xr:uid="{00000000-0005-0000-0000-00000D560000}"/>
    <cellStyle name="Normal 7 2 3 2 2" xfId="315" xr:uid="{00000000-0005-0000-0000-00000E560000}"/>
    <cellStyle name="Normal 7 2 3 2 2 2" xfId="629" xr:uid="{00000000-0005-0000-0000-00000F560000}"/>
    <cellStyle name="Normal 7 2 3 2 2 2 2" xfId="1249" xr:uid="{00000000-0005-0000-0000-000010560000}"/>
    <cellStyle name="Normal 7 2 3 2 2 2 2 2" xfId="2484" xr:uid="{00000000-0005-0000-0000-000011560000}"/>
    <cellStyle name="Normal 7 2 3 2 2 2 2 2 2" xfId="4951" xr:uid="{00000000-0005-0000-0000-000012560000}"/>
    <cellStyle name="Normal 7 2 3 2 2 2 2 2 2 2" xfId="9883" xr:uid="{00000000-0005-0000-0000-000013560000}"/>
    <cellStyle name="Normal 7 2 3 2 2 2 2 2 2 2 2" xfId="19743" xr:uid="{00000000-0005-0000-0000-000014560000}"/>
    <cellStyle name="Normal 7 2 3 2 2 2 2 2 2 2 2 2" xfId="39458" xr:uid="{00000000-0005-0000-0000-000015560000}"/>
    <cellStyle name="Normal 7 2 3 2 2 2 2 2 2 2 3" xfId="29601" xr:uid="{00000000-0005-0000-0000-000016560000}"/>
    <cellStyle name="Normal 7 2 3 2 2 2 2 2 2 3" xfId="14815" xr:uid="{00000000-0005-0000-0000-000017560000}"/>
    <cellStyle name="Normal 7 2 3 2 2 2 2 2 2 3 2" xfId="34530" xr:uid="{00000000-0005-0000-0000-000018560000}"/>
    <cellStyle name="Normal 7 2 3 2 2 2 2 2 2 4" xfId="24673" xr:uid="{00000000-0005-0000-0000-000019560000}"/>
    <cellStyle name="Normal 7 2 3 2 2 2 2 2 3" xfId="7419" xr:uid="{00000000-0005-0000-0000-00001A560000}"/>
    <cellStyle name="Normal 7 2 3 2 2 2 2 2 3 2" xfId="17279" xr:uid="{00000000-0005-0000-0000-00001B560000}"/>
    <cellStyle name="Normal 7 2 3 2 2 2 2 2 3 2 2" xfId="36994" xr:uid="{00000000-0005-0000-0000-00001C560000}"/>
    <cellStyle name="Normal 7 2 3 2 2 2 2 2 3 3" xfId="27137" xr:uid="{00000000-0005-0000-0000-00001D560000}"/>
    <cellStyle name="Normal 7 2 3 2 2 2 2 2 4" xfId="12351" xr:uid="{00000000-0005-0000-0000-00001E560000}"/>
    <cellStyle name="Normal 7 2 3 2 2 2 2 2 4 2" xfId="32066" xr:uid="{00000000-0005-0000-0000-00001F560000}"/>
    <cellStyle name="Normal 7 2 3 2 2 2 2 2 5" xfId="22209" xr:uid="{00000000-0005-0000-0000-000020560000}"/>
    <cellStyle name="Normal 7 2 3 2 2 2 2 3" xfId="3719" xr:uid="{00000000-0005-0000-0000-000021560000}"/>
    <cellStyle name="Normal 7 2 3 2 2 2 2 3 2" xfId="8651" xr:uid="{00000000-0005-0000-0000-000022560000}"/>
    <cellStyle name="Normal 7 2 3 2 2 2 2 3 2 2" xfId="18511" xr:uid="{00000000-0005-0000-0000-000023560000}"/>
    <cellStyle name="Normal 7 2 3 2 2 2 2 3 2 2 2" xfId="38226" xr:uid="{00000000-0005-0000-0000-000024560000}"/>
    <cellStyle name="Normal 7 2 3 2 2 2 2 3 2 3" xfId="28369" xr:uid="{00000000-0005-0000-0000-000025560000}"/>
    <cellStyle name="Normal 7 2 3 2 2 2 2 3 3" xfId="13583" xr:uid="{00000000-0005-0000-0000-000026560000}"/>
    <cellStyle name="Normal 7 2 3 2 2 2 2 3 3 2" xfId="33298" xr:uid="{00000000-0005-0000-0000-000027560000}"/>
    <cellStyle name="Normal 7 2 3 2 2 2 2 3 4" xfId="23441" xr:uid="{00000000-0005-0000-0000-000028560000}"/>
    <cellStyle name="Normal 7 2 3 2 2 2 2 4" xfId="6187" xr:uid="{00000000-0005-0000-0000-000029560000}"/>
    <cellStyle name="Normal 7 2 3 2 2 2 2 4 2" xfId="16047" xr:uid="{00000000-0005-0000-0000-00002A560000}"/>
    <cellStyle name="Normal 7 2 3 2 2 2 2 4 2 2" xfId="35762" xr:uid="{00000000-0005-0000-0000-00002B560000}"/>
    <cellStyle name="Normal 7 2 3 2 2 2 2 4 3" xfId="25905" xr:uid="{00000000-0005-0000-0000-00002C560000}"/>
    <cellStyle name="Normal 7 2 3 2 2 2 2 5" xfId="11119" xr:uid="{00000000-0005-0000-0000-00002D560000}"/>
    <cellStyle name="Normal 7 2 3 2 2 2 2 5 2" xfId="30834" xr:uid="{00000000-0005-0000-0000-00002E560000}"/>
    <cellStyle name="Normal 7 2 3 2 2 2 2 6" xfId="20977" xr:uid="{00000000-0005-0000-0000-00002F560000}"/>
    <cellStyle name="Normal 7 2 3 2 2 2 3" xfId="1868" xr:uid="{00000000-0005-0000-0000-000030560000}"/>
    <cellStyle name="Normal 7 2 3 2 2 2 3 2" xfId="4335" xr:uid="{00000000-0005-0000-0000-000031560000}"/>
    <cellStyle name="Normal 7 2 3 2 2 2 3 2 2" xfId="9267" xr:uid="{00000000-0005-0000-0000-000032560000}"/>
    <cellStyle name="Normal 7 2 3 2 2 2 3 2 2 2" xfId="19127" xr:uid="{00000000-0005-0000-0000-000033560000}"/>
    <cellStyle name="Normal 7 2 3 2 2 2 3 2 2 2 2" xfId="38842" xr:uid="{00000000-0005-0000-0000-000034560000}"/>
    <cellStyle name="Normal 7 2 3 2 2 2 3 2 2 3" xfId="28985" xr:uid="{00000000-0005-0000-0000-000035560000}"/>
    <cellStyle name="Normal 7 2 3 2 2 2 3 2 3" xfId="14199" xr:uid="{00000000-0005-0000-0000-000036560000}"/>
    <cellStyle name="Normal 7 2 3 2 2 2 3 2 3 2" xfId="33914" xr:uid="{00000000-0005-0000-0000-000037560000}"/>
    <cellStyle name="Normal 7 2 3 2 2 2 3 2 4" xfId="24057" xr:uid="{00000000-0005-0000-0000-000038560000}"/>
    <cellStyle name="Normal 7 2 3 2 2 2 3 3" xfId="6803" xr:uid="{00000000-0005-0000-0000-000039560000}"/>
    <cellStyle name="Normal 7 2 3 2 2 2 3 3 2" xfId="16663" xr:uid="{00000000-0005-0000-0000-00003A560000}"/>
    <cellStyle name="Normal 7 2 3 2 2 2 3 3 2 2" xfId="36378" xr:uid="{00000000-0005-0000-0000-00003B560000}"/>
    <cellStyle name="Normal 7 2 3 2 2 2 3 3 3" xfId="26521" xr:uid="{00000000-0005-0000-0000-00003C560000}"/>
    <cellStyle name="Normal 7 2 3 2 2 2 3 4" xfId="11735" xr:uid="{00000000-0005-0000-0000-00003D560000}"/>
    <cellStyle name="Normal 7 2 3 2 2 2 3 4 2" xfId="31450" xr:uid="{00000000-0005-0000-0000-00003E560000}"/>
    <cellStyle name="Normal 7 2 3 2 2 2 3 5" xfId="21593" xr:uid="{00000000-0005-0000-0000-00003F560000}"/>
    <cellStyle name="Normal 7 2 3 2 2 2 4" xfId="3103" xr:uid="{00000000-0005-0000-0000-000040560000}"/>
    <cellStyle name="Normal 7 2 3 2 2 2 4 2" xfId="8035" xr:uid="{00000000-0005-0000-0000-000041560000}"/>
    <cellStyle name="Normal 7 2 3 2 2 2 4 2 2" xfId="17895" xr:uid="{00000000-0005-0000-0000-000042560000}"/>
    <cellStyle name="Normal 7 2 3 2 2 2 4 2 2 2" xfId="37610" xr:uid="{00000000-0005-0000-0000-000043560000}"/>
    <cellStyle name="Normal 7 2 3 2 2 2 4 2 3" xfId="27753" xr:uid="{00000000-0005-0000-0000-000044560000}"/>
    <cellStyle name="Normal 7 2 3 2 2 2 4 3" xfId="12967" xr:uid="{00000000-0005-0000-0000-000045560000}"/>
    <cellStyle name="Normal 7 2 3 2 2 2 4 3 2" xfId="32682" xr:uid="{00000000-0005-0000-0000-000046560000}"/>
    <cellStyle name="Normal 7 2 3 2 2 2 4 4" xfId="22825" xr:uid="{00000000-0005-0000-0000-000047560000}"/>
    <cellStyle name="Normal 7 2 3 2 2 2 5" xfId="5571" xr:uid="{00000000-0005-0000-0000-000048560000}"/>
    <cellStyle name="Normal 7 2 3 2 2 2 5 2" xfId="15431" xr:uid="{00000000-0005-0000-0000-000049560000}"/>
    <cellStyle name="Normal 7 2 3 2 2 2 5 2 2" xfId="35146" xr:uid="{00000000-0005-0000-0000-00004A560000}"/>
    <cellStyle name="Normal 7 2 3 2 2 2 5 3" xfId="25289" xr:uid="{00000000-0005-0000-0000-00004B560000}"/>
    <cellStyle name="Normal 7 2 3 2 2 2 6" xfId="10503" xr:uid="{00000000-0005-0000-0000-00004C560000}"/>
    <cellStyle name="Normal 7 2 3 2 2 2 6 2" xfId="30218" xr:uid="{00000000-0005-0000-0000-00004D560000}"/>
    <cellStyle name="Normal 7 2 3 2 2 2 7" xfId="20361" xr:uid="{00000000-0005-0000-0000-00004E560000}"/>
    <cellStyle name="Normal 7 2 3 2 2 3" xfId="942" xr:uid="{00000000-0005-0000-0000-00004F560000}"/>
    <cellStyle name="Normal 7 2 3 2 2 3 2" xfId="2178" xr:uid="{00000000-0005-0000-0000-000050560000}"/>
    <cellStyle name="Normal 7 2 3 2 2 3 2 2" xfId="4645" xr:uid="{00000000-0005-0000-0000-000051560000}"/>
    <cellStyle name="Normal 7 2 3 2 2 3 2 2 2" xfId="9577" xr:uid="{00000000-0005-0000-0000-000052560000}"/>
    <cellStyle name="Normal 7 2 3 2 2 3 2 2 2 2" xfId="19437" xr:uid="{00000000-0005-0000-0000-000053560000}"/>
    <cellStyle name="Normal 7 2 3 2 2 3 2 2 2 2 2" xfId="39152" xr:uid="{00000000-0005-0000-0000-000054560000}"/>
    <cellStyle name="Normal 7 2 3 2 2 3 2 2 2 3" xfId="29295" xr:uid="{00000000-0005-0000-0000-000055560000}"/>
    <cellStyle name="Normal 7 2 3 2 2 3 2 2 3" xfId="14509" xr:uid="{00000000-0005-0000-0000-000056560000}"/>
    <cellStyle name="Normal 7 2 3 2 2 3 2 2 3 2" xfId="34224" xr:uid="{00000000-0005-0000-0000-000057560000}"/>
    <cellStyle name="Normal 7 2 3 2 2 3 2 2 4" xfId="24367" xr:uid="{00000000-0005-0000-0000-000058560000}"/>
    <cellStyle name="Normal 7 2 3 2 2 3 2 3" xfId="7113" xr:uid="{00000000-0005-0000-0000-000059560000}"/>
    <cellStyle name="Normal 7 2 3 2 2 3 2 3 2" xfId="16973" xr:uid="{00000000-0005-0000-0000-00005A560000}"/>
    <cellStyle name="Normal 7 2 3 2 2 3 2 3 2 2" xfId="36688" xr:uid="{00000000-0005-0000-0000-00005B560000}"/>
    <cellStyle name="Normal 7 2 3 2 2 3 2 3 3" xfId="26831" xr:uid="{00000000-0005-0000-0000-00005C560000}"/>
    <cellStyle name="Normal 7 2 3 2 2 3 2 4" xfId="12045" xr:uid="{00000000-0005-0000-0000-00005D560000}"/>
    <cellStyle name="Normal 7 2 3 2 2 3 2 4 2" xfId="31760" xr:uid="{00000000-0005-0000-0000-00005E560000}"/>
    <cellStyle name="Normal 7 2 3 2 2 3 2 5" xfId="21903" xr:uid="{00000000-0005-0000-0000-00005F560000}"/>
    <cellStyle name="Normal 7 2 3 2 2 3 3" xfId="3413" xr:uid="{00000000-0005-0000-0000-000060560000}"/>
    <cellStyle name="Normal 7 2 3 2 2 3 3 2" xfId="8345" xr:uid="{00000000-0005-0000-0000-000061560000}"/>
    <cellStyle name="Normal 7 2 3 2 2 3 3 2 2" xfId="18205" xr:uid="{00000000-0005-0000-0000-000062560000}"/>
    <cellStyle name="Normal 7 2 3 2 2 3 3 2 2 2" xfId="37920" xr:uid="{00000000-0005-0000-0000-000063560000}"/>
    <cellStyle name="Normal 7 2 3 2 2 3 3 2 3" xfId="28063" xr:uid="{00000000-0005-0000-0000-000064560000}"/>
    <cellStyle name="Normal 7 2 3 2 2 3 3 3" xfId="13277" xr:uid="{00000000-0005-0000-0000-000065560000}"/>
    <cellStyle name="Normal 7 2 3 2 2 3 3 3 2" xfId="32992" xr:uid="{00000000-0005-0000-0000-000066560000}"/>
    <cellStyle name="Normal 7 2 3 2 2 3 3 4" xfId="23135" xr:uid="{00000000-0005-0000-0000-000067560000}"/>
    <cellStyle name="Normal 7 2 3 2 2 3 4" xfId="5881" xr:uid="{00000000-0005-0000-0000-000068560000}"/>
    <cellStyle name="Normal 7 2 3 2 2 3 4 2" xfId="15741" xr:uid="{00000000-0005-0000-0000-000069560000}"/>
    <cellStyle name="Normal 7 2 3 2 2 3 4 2 2" xfId="35456" xr:uid="{00000000-0005-0000-0000-00006A560000}"/>
    <cellStyle name="Normal 7 2 3 2 2 3 4 3" xfId="25599" xr:uid="{00000000-0005-0000-0000-00006B560000}"/>
    <cellStyle name="Normal 7 2 3 2 2 3 5" xfId="10813" xr:uid="{00000000-0005-0000-0000-00006C560000}"/>
    <cellStyle name="Normal 7 2 3 2 2 3 5 2" xfId="30528" xr:uid="{00000000-0005-0000-0000-00006D560000}"/>
    <cellStyle name="Normal 7 2 3 2 2 3 6" xfId="20671" xr:uid="{00000000-0005-0000-0000-00006E560000}"/>
    <cellStyle name="Normal 7 2 3 2 2 4" xfId="1562" xr:uid="{00000000-0005-0000-0000-00006F560000}"/>
    <cellStyle name="Normal 7 2 3 2 2 4 2" xfId="4029" xr:uid="{00000000-0005-0000-0000-000070560000}"/>
    <cellStyle name="Normal 7 2 3 2 2 4 2 2" xfId="8961" xr:uid="{00000000-0005-0000-0000-000071560000}"/>
    <cellStyle name="Normal 7 2 3 2 2 4 2 2 2" xfId="18821" xr:uid="{00000000-0005-0000-0000-000072560000}"/>
    <cellStyle name="Normal 7 2 3 2 2 4 2 2 2 2" xfId="38536" xr:uid="{00000000-0005-0000-0000-000073560000}"/>
    <cellStyle name="Normal 7 2 3 2 2 4 2 2 3" xfId="28679" xr:uid="{00000000-0005-0000-0000-000074560000}"/>
    <cellStyle name="Normal 7 2 3 2 2 4 2 3" xfId="13893" xr:uid="{00000000-0005-0000-0000-000075560000}"/>
    <cellStyle name="Normal 7 2 3 2 2 4 2 3 2" xfId="33608" xr:uid="{00000000-0005-0000-0000-000076560000}"/>
    <cellStyle name="Normal 7 2 3 2 2 4 2 4" xfId="23751" xr:uid="{00000000-0005-0000-0000-000077560000}"/>
    <cellStyle name="Normal 7 2 3 2 2 4 3" xfId="6497" xr:uid="{00000000-0005-0000-0000-000078560000}"/>
    <cellStyle name="Normal 7 2 3 2 2 4 3 2" xfId="16357" xr:uid="{00000000-0005-0000-0000-000079560000}"/>
    <cellStyle name="Normal 7 2 3 2 2 4 3 2 2" xfId="36072" xr:uid="{00000000-0005-0000-0000-00007A560000}"/>
    <cellStyle name="Normal 7 2 3 2 2 4 3 3" xfId="26215" xr:uid="{00000000-0005-0000-0000-00007B560000}"/>
    <cellStyle name="Normal 7 2 3 2 2 4 4" xfId="11429" xr:uid="{00000000-0005-0000-0000-00007C560000}"/>
    <cellStyle name="Normal 7 2 3 2 2 4 4 2" xfId="31144" xr:uid="{00000000-0005-0000-0000-00007D560000}"/>
    <cellStyle name="Normal 7 2 3 2 2 4 5" xfId="21287" xr:uid="{00000000-0005-0000-0000-00007E560000}"/>
    <cellStyle name="Normal 7 2 3 2 2 5" xfId="2797" xr:uid="{00000000-0005-0000-0000-00007F560000}"/>
    <cellStyle name="Normal 7 2 3 2 2 5 2" xfId="7729" xr:uid="{00000000-0005-0000-0000-000080560000}"/>
    <cellStyle name="Normal 7 2 3 2 2 5 2 2" xfId="17589" xr:uid="{00000000-0005-0000-0000-000081560000}"/>
    <cellStyle name="Normal 7 2 3 2 2 5 2 2 2" xfId="37304" xr:uid="{00000000-0005-0000-0000-000082560000}"/>
    <cellStyle name="Normal 7 2 3 2 2 5 2 3" xfId="27447" xr:uid="{00000000-0005-0000-0000-000083560000}"/>
    <cellStyle name="Normal 7 2 3 2 2 5 3" xfId="12661" xr:uid="{00000000-0005-0000-0000-000084560000}"/>
    <cellStyle name="Normal 7 2 3 2 2 5 3 2" xfId="32376" xr:uid="{00000000-0005-0000-0000-000085560000}"/>
    <cellStyle name="Normal 7 2 3 2 2 5 4" xfId="22519" xr:uid="{00000000-0005-0000-0000-000086560000}"/>
    <cellStyle name="Normal 7 2 3 2 2 6" xfId="5265" xr:uid="{00000000-0005-0000-0000-000087560000}"/>
    <cellStyle name="Normal 7 2 3 2 2 6 2" xfId="15125" xr:uid="{00000000-0005-0000-0000-000088560000}"/>
    <cellStyle name="Normal 7 2 3 2 2 6 2 2" xfId="34840" xr:uid="{00000000-0005-0000-0000-000089560000}"/>
    <cellStyle name="Normal 7 2 3 2 2 6 3" xfId="24983" xr:uid="{00000000-0005-0000-0000-00008A560000}"/>
    <cellStyle name="Normal 7 2 3 2 2 7" xfId="10197" xr:uid="{00000000-0005-0000-0000-00008B560000}"/>
    <cellStyle name="Normal 7 2 3 2 2 7 2" xfId="29912" xr:uid="{00000000-0005-0000-0000-00008C560000}"/>
    <cellStyle name="Normal 7 2 3 2 2 8" xfId="20055" xr:uid="{00000000-0005-0000-0000-00008D560000}"/>
    <cellStyle name="Normal 7 2 3 2 3" xfId="477" xr:uid="{00000000-0005-0000-0000-00008E560000}"/>
    <cellStyle name="Normal 7 2 3 2 3 2" xfId="1097" xr:uid="{00000000-0005-0000-0000-00008F560000}"/>
    <cellStyle name="Normal 7 2 3 2 3 2 2" xfId="2332" xr:uid="{00000000-0005-0000-0000-000090560000}"/>
    <cellStyle name="Normal 7 2 3 2 3 2 2 2" xfId="4799" xr:uid="{00000000-0005-0000-0000-000091560000}"/>
    <cellStyle name="Normal 7 2 3 2 3 2 2 2 2" xfId="9731" xr:uid="{00000000-0005-0000-0000-000092560000}"/>
    <cellStyle name="Normal 7 2 3 2 3 2 2 2 2 2" xfId="19591" xr:uid="{00000000-0005-0000-0000-000093560000}"/>
    <cellStyle name="Normal 7 2 3 2 3 2 2 2 2 2 2" xfId="39306" xr:uid="{00000000-0005-0000-0000-000094560000}"/>
    <cellStyle name="Normal 7 2 3 2 3 2 2 2 2 3" xfId="29449" xr:uid="{00000000-0005-0000-0000-000095560000}"/>
    <cellStyle name="Normal 7 2 3 2 3 2 2 2 3" xfId="14663" xr:uid="{00000000-0005-0000-0000-000096560000}"/>
    <cellStyle name="Normal 7 2 3 2 3 2 2 2 3 2" xfId="34378" xr:uid="{00000000-0005-0000-0000-000097560000}"/>
    <cellStyle name="Normal 7 2 3 2 3 2 2 2 4" xfId="24521" xr:uid="{00000000-0005-0000-0000-000098560000}"/>
    <cellStyle name="Normal 7 2 3 2 3 2 2 3" xfId="7267" xr:uid="{00000000-0005-0000-0000-000099560000}"/>
    <cellStyle name="Normal 7 2 3 2 3 2 2 3 2" xfId="17127" xr:uid="{00000000-0005-0000-0000-00009A560000}"/>
    <cellStyle name="Normal 7 2 3 2 3 2 2 3 2 2" xfId="36842" xr:uid="{00000000-0005-0000-0000-00009B560000}"/>
    <cellStyle name="Normal 7 2 3 2 3 2 2 3 3" xfId="26985" xr:uid="{00000000-0005-0000-0000-00009C560000}"/>
    <cellStyle name="Normal 7 2 3 2 3 2 2 4" xfId="12199" xr:uid="{00000000-0005-0000-0000-00009D560000}"/>
    <cellStyle name="Normal 7 2 3 2 3 2 2 4 2" xfId="31914" xr:uid="{00000000-0005-0000-0000-00009E560000}"/>
    <cellStyle name="Normal 7 2 3 2 3 2 2 5" xfId="22057" xr:uid="{00000000-0005-0000-0000-00009F560000}"/>
    <cellStyle name="Normal 7 2 3 2 3 2 3" xfId="3567" xr:uid="{00000000-0005-0000-0000-0000A0560000}"/>
    <cellStyle name="Normal 7 2 3 2 3 2 3 2" xfId="8499" xr:uid="{00000000-0005-0000-0000-0000A1560000}"/>
    <cellStyle name="Normal 7 2 3 2 3 2 3 2 2" xfId="18359" xr:uid="{00000000-0005-0000-0000-0000A2560000}"/>
    <cellStyle name="Normal 7 2 3 2 3 2 3 2 2 2" xfId="38074" xr:uid="{00000000-0005-0000-0000-0000A3560000}"/>
    <cellStyle name="Normal 7 2 3 2 3 2 3 2 3" xfId="28217" xr:uid="{00000000-0005-0000-0000-0000A4560000}"/>
    <cellStyle name="Normal 7 2 3 2 3 2 3 3" xfId="13431" xr:uid="{00000000-0005-0000-0000-0000A5560000}"/>
    <cellStyle name="Normal 7 2 3 2 3 2 3 3 2" xfId="33146" xr:uid="{00000000-0005-0000-0000-0000A6560000}"/>
    <cellStyle name="Normal 7 2 3 2 3 2 3 4" xfId="23289" xr:uid="{00000000-0005-0000-0000-0000A7560000}"/>
    <cellStyle name="Normal 7 2 3 2 3 2 4" xfId="6035" xr:uid="{00000000-0005-0000-0000-0000A8560000}"/>
    <cellStyle name="Normal 7 2 3 2 3 2 4 2" xfId="15895" xr:uid="{00000000-0005-0000-0000-0000A9560000}"/>
    <cellStyle name="Normal 7 2 3 2 3 2 4 2 2" xfId="35610" xr:uid="{00000000-0005-0000-0000-0000AA560000}"/>
    <cellStyle name="Normal 7 2 3 2 3 2 4 3" xfId="25753" xr:uid="{00000000-0005-0000-0000-0000AB560000}"/>
    <cellStyle name="Normal 7 2 3 2 3 2 5" xfId="10967" xr:uid="{00000000-0005-0000-0000-0000AC560000}"/>
    <cellStyle name="Normal 7 2 3 2 3 2 5 2" xfId="30682" xr:uid="{00000000-0005-0000-0000-0000AD560000}"/>
    <cellStyle name="Normal 7 2 3 2 3 2 6" xfId="20825" xr:uid="{00000000-0005-0000-0000-0000AE560000}"/>
    <cellStyle name="Normal 7 2 3 2 3 3" xfId="1716" xr:uid="{00000000-0005-0000-0000-0000AF560000}"/>
    <cellStyle name="Normal 7 2 3 2 3 3 2" xfId="4183" xr:uid="{00000000-0005-0000-0000-0000B0560000}"/>
    <cellStyle name="Normal 7 2 3 2 3 3 2 2" xfId="9115" xr:uid="{00000000-0005-0000-0000-0000B1560000}"/>
    <cellStyle name="Normal 7 2 3 2 3 3 2 2 2" xfId="18975" xr:uid="{00000000-0005-0000-0000-0000B2560000}"/>
    <cellStyle name="Normal 7 2 3 2 3 3 2 2 2 2" xfId="38690" xr:uid="{00000000-0005-0000-0000-0000B3560000}"/>
    <cellStyle name="Normal 7 2 3 2 3 3 2 2 3" xfId="28833" xr:uid="{00000000-0005-0000-0000-0000B4560000}"/>
    <cellStyle name="Normal 7 2 3 2 3 3 2 3" xfId="14047" xr:uid="{00000000-0005-0000-0000-0000B5560000}"/>
    <cellStyle name="Normal 7 2 3 2 3 3 2 3 2" xfId="33762" xr:uid="{00000000-0005-0000-0000-0000B6560000}"/>
    <cellStyle name="Normal 7 2 3 2 3 3 2 4" xfId="23905" xr:uid="{00000000-0005-0000-0000-0000B7560000}"/>
    <cellStyle name="Normal 7 2 3 2 3 3 3" xfId="6651" xr:uid="{00000000-0005-0000-0000-0000B8560000}"/>
    <cellStyle name="Normal 7 2 3 2 3 3 3 2" xfId="16511" xr:uid="{00000000-0005-0000-0000-0000B9560000}"/>
    <cellStyle name="Normal 7 2 3 2 3 3 3 2 2" xfId="36226" xr:uid="{00000000-0005-0000-0000-0000BA560000}"/>
    <cellStyle name="Normal 7 2 3 2 3 3 3 3" xfId="26369" xr:uid="{00000000-0005-0000-0000-0000BB560000}"/>
    <cellStyle name="Normal 7 2 3 2 3 3 4" xfId="11583" xr:uid="{00000000-0005-0000-0000-0000BC560000}"/>
    <cellStyle name="Normal 7 2 3 2 3 3 4 2" xfId="31298" xr:uid="{00000000-0005-0000-0000-0000BD560000}"/>
    <cellStyle name="Normal 7 2 3 2 3 3 5" xfId="21441" xr:uid="{00000000-0005-0000-0000-0000BE560000}"/>
    <cellStyle name="Normal 7 2 3 2 3 4" xfId="2951" xr:uid="{00000000-0005-0000-0000-0000BF560000}"/>
    <cellStyle name="Normal 7 2 3 2 3 4 2" xfId="7883" xr:uid="{00000000-0005-0000-0000-0000C0560000}"/>
    <cellStyle name="Normal 7 2 3 2 3 4 2 2" xfId="17743" xr:uid="{00000000-0005-0000-0000-0000C1560000}"/>
    <cellStyle name="Normal 7 2 3 2 3 4 2 2 2" xfId="37458" xr:uid="{00000000-0005-0000-0000-0000C2560000}"/>
    <cellStyle name="Normal 7 2 3 2 3 4 2 3" xfId="27601" xr:uid="{00000000-0005-0000-0000-0000C3560000}"/>
    <cellStyle name="Normal 7 2 3 2 3 4 3" xfId="12815" xr:uid="{00000000-0005-0000-0000-0000C4560000}"/>
    <cellStyle name="Normal 7 2 3 2 3 4 3 2" xfId="32530" xr:uid="{00000000-0005-0000-0000-0000C5560000}"/>
    <cellStyle name="Normal 7 2 3 2 3 4 4" xfId="22673" xr:uid="{00000000-0005-0000-0000-0000C6560000}"/>
    <cellStyle name="Normal 7 2 3 2 3 5" xfId="5419" xr:uid="{00000000-0005-0000-0000-0000C7560000}"/>
    <cellStyle name="Normal 7 2 3 2 3 5 2" xfId="15279" xr:uid="{00000000-0005-0000-0000-0000C8560000}"/>
    <cellStyle name="Normal 7 2 3 2 3 5 2 2" xfId="34994" xr:uid="{00000000-0005-0000-0000-0000C9560000}"/>
    <cellStyle name="Normal 7 2 3 2 3 5 3" xfId="25137" xr:uid="{00000000-0005-0000-0000-0000CA560000}"/>
    <cellStyle name="Normal 7 2 3 2 3 6" xfId="10351" xr:uid="{00000000-0005-0000-0000-0000CB560000}"/>
    <cellStyle name="Normal 7 2 3 2 3 6 2" xfId="30066" xr:uid="{00000000-0005-0000-0000-0000CC560000}"/>
    <cellStyle name="Normal 7 2 3 2 3 7" xfId="20209" xr:uid="{00000000-0005-0000-0000-0000CD560000}"/>
    <cellStyle name="Normal 7 2 3 2 4" xfId="790" xr:uid="{00000000-0005-0000-0000-0000CE560000}"/>
    <cellStyle name="Normal 7 2 3 2 4 2" xfId="2026" xr:uid="{00000000-0005-0000-0000-0000CF560000}"/>
    <cellStyle name="Normal 7 2 3 2 4 2 2" xfId="4493" xr:uid="{00000000-0005-0000-0000-0000D0560000}"/>
    <cellStyle name="Normal 7 2 3 2 4 2 2 2" xfId="9425" xr:uid="{00000000-0005-0000-0000-0000D1560000}"/>
    <cellStyle name="Normal 7 2 3 2 4 2 2 2 2" xfId="19285" xr:uid="{00000000-0005-0000-0000-0000D2560000}"/>
    <cellStyle name="Normal 7 2 3 2 4 2 2 2 2 2" xfId="39000" xr:uid="{00000000-0005-0000-0000-0000D3560000}"/>
    <cellStyle name="Normal 7 2 3 2 4 2 2 2 3" xfId="29143" xr:uid="{00000000-0005-0000-0000-0000D4560000}"/>
    <cellStyle name="Normal 7 2 3 2 4 2 2 3" xfId="14357" xr:uid="{00000000-0005-0000-0000-0000D5560000}"/>
    <cellStyle name="Normal 7 2 3 2 4 2 2 3 2" xfId="34072" xr:uid="{00000000-0005-0000-0000-0000D6560000}"/>
    <cellStyle name="Normal 7 2 3 2 4 2 2 4" xfId="24215" xr:uid="{00000000-0005-0000-0000-0000D7560000}"/>
    <cellStyle name="Normal 7 2 3 2 4 2 3" xfId="6961" xr:uid="{00000000-0005-0000-0000-0000D8560000}"/>
    <cellStyle name="Normal 7 2 3 2 4 2 3 2" xfId="16821" xr:uid="{00000000-0005-0000-0000-0000D9560000}"/>
    <cellStyle name="Normal 7 2 3 2 4 2 3 2 2" xfId="36536" xr:uid="{00000000-0005-0000-0000-0000DA560000}"/>
    <cellStyle name="Normal 7 2 3 2 4 2 3 3" xfId="26679" xr:uid="{00000000-0005-0000-0000-0000DB560000}"/>
    <cellStyle name="Normal 7 2 3 2 4 2 4" xfId="11893" xr:uid="{00000000-0005-0000-0000-0000DC560000}"/>
    <cellStyle name="Normal 7 2 3 2 4 2 4 2" xfId="31608" xr:uid="{00000000-0005-0000-0000-0000DD560000}"/>
    <cellStyle name="Normal 7 2 3 2 4 2 5" xfId="21751" xr:uid="{00000000-0005-0000-0000-0000DE560000}"/>
    <cellStyle name="Normal 7 2 3 2 4 3" xfId="3261" xr:uid="{00000000-0005-0000-0000-0000DF560000}"/>
    <cellStyle name="Normal 7 2 3 2 4 3 2" xfId="8193" xr:uid="{00000000-0005-0000-0000-0000E0560000}"/>
    <cellStyle name="Normal 7 2 3 2 4 3 2 2" xfId="18053" xr:uid="{00000000-0005-0000-0000-0000E1560000}"/>
    <cellStyle name="Normal 7 2 3 2 4 3 2 2 2" xfId="37768" xr:uid="{00000000-0005-0000-0000-0000E2560000}"/>
    <cellStyle name="Normal 7 2 3 2 4 3 2 3" xfId="27911" xr:uid="{00000000-0005-0000-0000-0000E3560000}"/>
    <cellStyle name="Normal 7 2 3 2 4 3 3" xfId="13125" xr:uid="{00000000-0005-0000-0000-0000E4560000}"/>
    <cellStyle name="Normal 7 2 3 2 4 3 3 2" xfId="32840" xr:uid="{00000000-0005-0000-0000-0000E5560000}"/>
    <cellStyle name="Normal 7 2 3 2 4 3 4" xfId="22983" xr:uid="{00000000-0005-0000-0000-0000E6560000}"/>
    <cellStyle name="Normal 7 2 3 2 4 4" xfId="5729" xr:uid="{00000000-0005-0000-0000-0000E7560000}"/>
    <cellStyle name="Normal 7 2 3 2 4 4 2" xfId="15589" xr:uid="{00000000-0005-0000-0000-0000E8560000}"/>
    <cellStyle name="Normal 7 2 3 2 4 4 2 2" xfId="35304" xr:uid="{00000000-0005-0000-0000-0000E9560000}"/>
    <cellStyle name="Normal 7 2 3 2 4 4 3" xfId="25447" xr:uid="{00000000-0005-0000-0000-0000EA560000}"/>
    <cellStyle name="Normal 7 2 3 2 4 5" xfId="10661" xr:uid="{00000000-0005-0000-0000-0000EB560000}"/>
    <cellStyle name="Normal 7 2 3 2 4 5 2" xfId="30376" xr:uid="{00000000-0005-0000-0000-0000EC560000}"/>
    <cellStyle name="Normal 7 2 3 2 4 6" xfId="20519" xr:uid="{00000000-0005-0000-0000-0000ED560000}"/>
    <cellStyle name="Normal 7 2 3 2 5" xfId="1410" xr:uid="{00000000-0005-0000-0000-0000EE560000}"/>
    <cellStyle name="Normal 7 2 3 2 5 2" xfId="3877" xr:uid="{00000000-0005-0000-0000-0000EF560000}"/>
    <cellStyle name="Normal 7 2 3 2 5 2 2" xfId="8809" xr:uid="{00000000-0005-0000-0000-0000F0560000}"/>
    <cellStyle name="Normal 7 2 3 2 5 2 2 2" xfId="18669" xr:uid="{00000000-0005-0000-0000-0000F1560000}"/>
    <cellStyle name="Normal 7 2 3 2 5 2 2 2 2" xfId="38384" xr:uid="{00000000-0005-0000-0000-0000F2560000}"/>
    <cellStyle name="Normal 7 2 3 2 5 2 2 3" xfId="28527" xr:uid="{00000000-0005-0000-0000-0000F3560000}"/>
    <cellStyle name="Normal 7 2 3 2 5 2 3" xfId="13741" xr:uid="{00000000-0005-0000-0000-0000F4560000}"/>
    <cellStyle name="Normal 7 2 3 2 5 2 3 2" xfId="33456" xr:uid="{00000000-0005-0000-0000-0000F5560000}"/>
    <cellStyle name="Normal 7 2 3 2 5 2 4" xfId="23599" xr:uid="{00000000-0005-0000-0000-0000F6560000}"/>
    <cellStyle name="Normal 7 2 3 2 5 3" xfId="6345" xr:uid="{00000000-0005-0000-0000-0000F7560000}"/>
    <cellStyle name="Normal 7 2 3 2 5 3 2" xfId="16205" xr:uid="{00000000-0005-0000-0000-0000F8560000}"/>
    <cellStyle name="Normal 7 2 3 2 5 3 2 2" xfId="35920" xr:uid="{00000000-0005-0000-0000-0000F9560000}"/>
    <cellStyle name="Normal 7 2 3 2 5 3 3" xfId="26063" xr:uid="{00000000-0005-0000-0000-0000FA560000}"/>
    <cellStyle name="Normal 7 2 3 2 5 4" xfId="11277" xr:uid="{00000000-0005-0000-0000-0000FB560000}"/>
    <cellStyle name="Normal 7 2 3 2 5 4 2" xfId="30992" xr:uid="{00000000-0005-0000-0000-0000FC560000}"/>
    <cellStyle name="Normal 7 2 3 2 5 5" xfId="21135" xr:uid="{00000000-0005-0000-0000-0000FD560000}"/>
    <cellStyle name="Normal 7 2 3 2 6" xfId="2645" xr:uid="{00000000-0005-0000-0000-0000FE560000}"/>
    <cellStyle name="Normal 7 2 3 2 6 2" xfId="7577" xr:uid="{00000000-0005-0000-0000-0000FF560000}"/>
    <cellStyle name="Normal 7 2 3 2 6 2 2" xfId="17437" xr:uid="{00000000-0005-0000-0000-000000570000}"/>
    <cellStyle name="Normal 7 2 3 2 6 2 2 2" xfId="37152" xr:uid="{00000000-0005-0000-0000-000001570000}"/>
    <cellStyle name="Normal 7 2 3 2 6 2 3" xfId="27295" xr:uid="{00000000-0005-0000-0000-000002570000}"/>
    <cellStyle name="Normal 7 2 3 2 6 3" xfId="12509" xr:uid="{00000000-0005-0000-0000-000003570000}"/>
    <cellStyle name="Normal 7 2 3 2 6 3 2" xfId="32224" xr:uid="{00000000-0005-0000-0000-000004570000}"/>
    <cellStyle name="Normal 7 2 3 2 6 4" xfId="22367" xr:uid="{00000000-0005-0000-0000-000005570000}"/>
    <cellStyle name="Normal 7 2 3 2 7" xfId="5113" xr:uid="{00000000-0005-0000-0000-000006570000}"/>
    <cellStyle name="Normal 7 2 3 2 7 2" xfId="14973" xr:uid="{00000000-0005-0000-0000-000007570000}"/>
    <cellStyle name="Normal 7 2 3 2 7 2 2" xfId="34688" xr:uid="{00000000-0005-0000-0000-000008570000}"/>
    <cellStyle name="Normal 7 2 3 2 7 3" xfId="24831" xr:uid="{00000000-0005-0000-0000-000009570000}"/>
    <cellStyle name="Normal 7 2 3 2 8" xfId="10045" xr:uid="{00000000-0005-0000-0000-00000A570000}"/>
    <cellStyle name="Normal 7 2 3 2 8 2" xfId="29760" xr:uid="{00000000-0005-0000-0000-00000B570000}"/>
    <cellStyle name="Normal 7 2 3 2 9" xfId="19903" xr:uid="{00000000-0005-0000-0000-00000C570000}"/>
    <cellStyle name="Normal 7 2 3 3" xfId="239" xr:uid="{00000000-0005-0000-0000-00000D570000}"/>
    <cellStyle name="Normal 7 2 3 3 2" xfId="553" xr:uid="{00000000-0005-0000-0000-00000E570000}"/>
    <cellStyle name="Normal 7 2 3 3 2 2" xfId="1173" xr:uid="{00000000-0005-0000-0000-00000F570000}"/>
    <cellStyle name="Normal 7 2 3 3 2 2 2" xfId="2408" xr:uid="{00000000-0005-0000-0000-000010570000}"/>
    <cellStyle name="Normal 7 2 3 3 2 2 2 2" xfId="4875" xr:uid="{00000000-0005-0000-0000-000011570000}"/>
    <cellStyle name="Normal 7 2 3 3 2 2 2 2 2" xfId="9807" xr:uid="{00000000-0005-0000-0000-000012570000}"/>
    <cellStyle name="Normal 7 2 3 3 2 2 2 2 2 2" xfId="19667" xr:uid="{00000000-0005-0000-0000-000013570000}"/>
    <cellStyle name="Normal 7 2 3 3 2 2 2 2 2 2 2" xfId="39382" xr:uid="{00000000-0005-0000-0000-000014570000}"/>
    <cellStyle name="Normal 7 2 3 3 2 2 2 2 2 3" xfId="29525" xr:uid="{00000000-0005-0000-0000-000015570000}"/>
    <cellStyle name="Normal 7 2 3 3 2 2 2 2 3" xfId="14739" xr:uid="{00000000-0005-0000-0000-000016570000}"/>
    <cellStyle name="Normal 7 2 3 3 2 2 2 2 3 2" xfId="34454" xr:uid="{00000000-0005-0000-0000-000017570000}"/>
    <cellStyle name="Normal 7 2 3 3 2 2 2 2 4" xfId="24597" xr:uid="{00000000-0005-0000-0000-000018570000}"/>
    <cellStyle name="Normal 7 2 3 3 2 2 2 3" xfId="7343" xr:uid="{00000000-0005-0000-0000-000019570000}"/>
    <cellStyle name="Normal 7 2 3 3 2 2 2 3 2" xfId="17203" xr:uid="{00000000-0005-0000-0000-00001A570000}"/>
    <cellStyle name="Normal 7 2 3 3 2 2 2 3 2 2" xfId="36918" xr:uid="{00000000-0005-0000-0000-00001B570000}"/>
    <cellStyle name="Normal 7 2 3 3 2 2 2 3 3" xfId="27061" xr:uid="{00000000-0005-0000-0000-00001C570000}"/>
    <cellStyle name="Normal 7 2 3 3 2 2 2 4" xfId="12275" xr:uid="{00000000-0005-0000-0000-00001D570000}"/>
    <cellStyle name="Normal 7 2 3 3 2 2 2 4 2" xfId="31990" xr:uid="{00000000-0005-0000-0000-00001E570000}"/>
    <cellStyle name="Normal 7 2 3 3 2 2 2 5" xfId="22133" xr:uid="{00000000-0005-0000-0000-00001F570000}"/>
    <cellStyle name="Normal 7 2 3 3 2 2 3" xfId="3643" xr:uid="{00000000-0005-0000-0000-000020570000}"/>
    <cellStyle name="Normal 7 2 3 3 2 2 3 2" xfId="8575" xr:uid="{00000000-0005-0000-0000-000021570000}"/>
    <cellStyle name="Normal 7 2 3 3 2 2 3 2 2" xfId="18435" xr:uid="{00000000-0005-0000-0000-000022570000}"/>
    <cellStyle name="Normal 7 2 3 3 2 2 3 2 2 2" xfId="38150" xr:uid="{00000000-0005-0000-0000-000023570000}"/>
    <cellStyle name="Normal 7 2 3 3 2 2 3 2 3" xfId="28293" xr:uid="{00000000-0005-0000-0000-000024570000}"/>
    <cellStyle name="Normal 7 2 3 3 2 2 3 3" xfId="13507" xr:uid="{00000000-0005-0000-0000-000025570000}"/>
    <cellStyle name="Normal 7 2 3 3 2 2 3 3 2" xfId="33222" xr:uid="{00000000-0005-0000-0000-000026570000}"/>
    <cellStyle name="Normal 7 2 3 3 2 2 3 4" xfId="23365" xr:uid="{00000000-0005-0000-0000-000027570000}"/>
    <cellStyle name="Normal 7 2 3 3 2 2 4" xfId="6111" xr:uid="{00000000-0005-0000-0000-000028570000}"/>
    <cellStyle name="Normal 7 2 3 3 2 2 4 2" xfId="15971" xr:uid="{00000000-0005-0000-0000-000029570000}"/>
    <cellStyle name="Normal 7 2 3 3 2 2 4 2 2" xfId="35686" xr:uid="{00000000-0005-0000-0000-00002A570000}"/>
    <cellStyle name="Normal 7 2 3 3 2 2 4 3" xfId="25829" xr:uid="{00000000-0005-0000-0000-00002B570000}"/>
    <cellStyle name="Normal 7 2 3 3 2 2 5" xfId="11043" xr:uid="{00000000-0005-0000-0000-00002C570000}"/>
    <cellStyle name="Normal 7 2 3 3 2 2 5 2" xfId="30758" xr:uid="{00000000-0005-0000-0000-00002D570000}"/>
    <cellStyle name="Normal 7 2 3 3 2 2 6" xfId="20901" xr:uid="{00000000-0005-0000-0000-00002E570000}"/>
    <cellStyle name="Normal 7 2 3 3 2 3" xfId="1792" xr:uid="{00000000-0005-0000-0000-00002F570000}"/>
    <cellStyle name="Normal 7 2 3 3 2 3 2" xfId="4259" xr:uid="{00000000-0005-0000-0000-000030570000}"/>
    <cellStyle name="Normal 7 2 3 3 2 3 2 2" xfId="9191" xr:uid="{00000000-0005-0000-0000-000031570000}"/>
    <cellStyle name="Normal 7 2 3 3 2 3 2 2 2" xfId="19051" xr:uid="{00000000-0005-0000-0000-000032570000}"/>
    <cellStyle name="Normal 7 2 3 3 2 3 2 2 2 2" xfId="38766" xr:uid="{00000000-0005-0000-0000-000033570000}"/>
    <cellStyle name="Normal 7 2 3 3 2 3 2 2 3" xfId="28909" xr:uid="{00000000-0005-0000-0000-000034570000}"/>
    <cellStyle name="Normal 7 2 3 3 2 3 2 3" xfId="14123" xr:uid="{00000000-0005-0000-0000-000035570000}"/>
    <cellStyle name="Normal 7 2 3 3 2 3 2 3 2" xfId="33838" xr:uid="{00000000-0005-0000-0000-000036570000}"/>
    <cellStyle name="Normal 7 2 3 3 2 3 2 4" xfId="23981" xr:uid="{00000000-0005-0000-0000-000037570000}"/>
    <cellStyle name="Normal 7 2 3 3 2 3 3" xfId="6727" xr:uid="{00000000-0005-0000-0000-000038570000}"/>
    <cellStyle name="Normal 7 2 3 3 2 3 3 2" xfId="16587" xr:uid="{00000000-0005-0000-0000-000039570000}"/>
    <cellStyle name="Normal 7 2 3 3 2 3 3 2 2" xfId="36302" xr:uid="{00000000-0005-0000-0000-00003A570000}"/>
    <cellStyle name="Normal 7 2 3 3 2 3 3 3" xfId="26445" xr:uid="{00000000-0005-0000-0000-00003B570000}"/>
    <cellStyle name="Normal 7 2 3 3 2 3 4" xfId="11659" xr:uid="{00000000-0005-0000-0000-00003C570000}"/>
    <cellStyle name="Normal 7 2 3 3 2 3 4 2" xfId="31374" xr:uid="{00000000-0005-0000-0000-00003D570000}"/>
    <cellStyle name="Normal 7 2 3 3 2 3 5" xfId="21517" xr:uid="{00000000-0005-0000-0000-00003E570000}"/>
    <cellStyle name="Normal 7 2 3 3 2 4" xfId="3027" xr:uid="{00000000-0005-0000-0000-00003F570000}"/>
    <cellStyle name="Normal 7 2 3 3 2 4 2" xfId="7959" xr:uid="{00000000-0005-0000-0000-000040570000}"/>
    <cellStyle name="Normal 7 2 3 3 2 4 2 2" xfId="17819" xr:uid="{00000000-0005-0000-0000-000041570000}"/>
    <cellStyle name="Normal 7 2 3 3 2 4 2 2 2" xfId="37534" xr:uid="{00000000-0005-0000-0000-000042570000}"/>
    <cellStyle name="Normal 7 2 3 3 2 4 2 3" xfId="27677" xr:uid="{00000000-0005-0000-0000-000043570000}"/>
    <cellStyle name="Normal 7 2 3 3 2 4 3" xfId="12891" xr:uid="{00000000-0005-0000-0000-000044570000}"/>
    <cellStyle name="Normal 7 2 3 3 2 4 3 2" xfId="32606" xr:uid="{00000000-0005-0000-0000-000045570000}"/>
    <cellStyle name="Normal 7 2 3 3 2 4 4" xfId="22749" xr:uid="{00000000-0005-0000-0000-000046570000}"/>
    <cellStyle name="Normal 7 2 3 3 2 5" xfId="5495" xr:uid="{00000000-0005-0000-0000-000047570000}"/>
    <cellStyle name="Normal 7 2 3 3 2 5 2" xfId="15355" xr:uid="{00000000-0005-0000-0000-000048570000}"/>
    <cellStyle name="Normal 7 2 3 3 2 5 2 2" xfId="35070" xr:uid="{00000000-0005-0000-0000-000049570000}"/>
    <cellStyle name="Normal 7 2 3 3 2 5 3" xfId="25213" xr:uid="{00000000-0005-0000-0000-00004A570000}"/>
    <cellStyle name="Normal 7 2 3 3 2 6" xfId="10427" xr:uid="{00000000-0005-0000-0000-00004B570000}"/>
    <cellStyle name="Normal 7 2 3 3 2 6 2" xfId="30142" xr:uid="{00000000-0005-0000-0000-00004C570000}"/>
    <cellStyle name="Normal 7 2 3 3 2 7" xfId="20285" xr:uid="{00000000-0005-0000-0000-00004D570000}"/>
    <cellStyle name="Normal 7 2 3 3 3" xfId="866" xr:uid="{00000000-0005-0000-0000-00004E570000}"/>
    <cellStyle name="Normal 7 2 3 3 3 2" xfId="2102" xr:uid="{00000000-0005-0000-0000-00004F570000}"/>
    <cellStyle name="Normal 7 2 3 3 3 2 2" xfId="4569" xr:uid="{00000000-0005-0000-0000-000050570000}"/>
    <cellStyle name="Normal 7 2 3 3 3 2 2 2" xfId="9501" xr:uid="{00000000-0005-0000-0000-000051570000}"/>
    <cellStyle name="Normal 7 2 3 3 3 2 2 2 2" xfId="19361" xr:uid="{00000000-0005-0000-0000-000052570000}"/>
    <cellStyle name="Normal 7 2 3 3 3 2 2 2 2 2" xfId="39076" xr:uid="{00000000-0005-0000-0000-000053570000}"/>
    <cellStyle name="Normal 7 2 3 3 3 2 2 2 3" xfId="29219" xr:uid="{00000000-0005-0000-0000-000054570000}"/>
    <cellStyle name="Normal 7 2 3 3 3 2 2 3" xfId="14433" xr:uid="{00000000-0005-0000-0000-000055570000}"/>
    <cellStyle name="Normal 7 2 3 3 3 2 2 3 2" xfId="34148" xr:uid="{00000000-0005-0000-0000-000056570000}"/>
    <cellStyle name="Normal 7 2 3 3 3 2 2 4" xfId="24291" xr:uid="{00000000-0005-0000-0000-000057570000}"/>
    <cellStyle name="Normal 7 2 3 3 3 2 3" xfId="7037" xr:uid="{00000000-0005-0000-0000-000058570000}"/>
    <cellStyle name="Normal 7 2 3 3 3 2 3 2" xfId="16897" xr:uid="{00000000-0005-0000-0000-000059570000}"/>
    <cellStyle name="Normal 7 2 3 3 3 2 3 2 2" xfId="36612" xr:uid="{00000000-0005-0000-0000-00005A570000}"/>
    <cellStyle name="Normal 7 2 3 3 3 2 3 3" xfId="26755" xr:uid="{00000000-0005-0000-0000-00005B570000}"/>
    <cellStyle name="Normal 7 2 3 3 3 2 4" xfId="11969" xr:uid="{00000000-0005-0000-0000-00005C570000}"/>
    <cellStyle name="Normal 7 2 3 3 3 2 4 2" xfId="31684" xr:uid="{00000000-0005-0000-0000-00005D570000}"/>
    <cellStyle name="Normal 7 2 3 3 3 2 5" xfId="21827" xr:uid="{00000000-0005-0000-0000-00005E570000}"/>
    <cellStyle name="Normal 7 2 3 3 3 3" xfId="3337" xr:uid="{00000000-0005-0000-0000-00005F570000}"/>
    <cellStyle name="Normal 7 2 3 3 3 3 2" xfId="8269" xr:uid="{00000000-0005-0000-0000-000060570000}"/>
    <cellStyle name="Normal 7 2 3 3 3 3 2 2" xfId="18129" xr:uid="{00000000-0005-0000-0000-000061570000}"/>
    <cellStyle name="Normal 7 2 3 3 3 3 2 2 2" xfId="37844" xr:uid="{00000000-0005-0000-0000-000062570000}"/>
    <cellStyle name="Normal 7 2 3 3 3 3 2 3" xfId="27987" xr:uid="{00000000-0005-0000-0000-000063570000}"/>
    <cellStyle name="Normal 7 2 3 3 3 3 3" xfId="13201" xr:uid="{00000000-0005-0000-0000-000064570000}"/>
    <cellStyle name="Normal 7 2 3 3 3 3 3 2" xfId="32916" xr:uid="{00000000-0005-0000-0000-000065570000}"/>
    <cellStyle name="Normal 7 2 3 3 3 3 4" xfId="23059" xr:uid="{00000000-0005-0000-0000-000066570000}"/>
    <cellStyle name="Normal 7 2 3 3 3 4" xfId="5805" xr:uid="{00000000-0005-0000-0000-000067570000}"/>
    <cellStyle name="Normal 7 2 3 3 3 4 2" xfId="15665" xr:uid="{00000000-0005-0000-0000-000068570000}"/>
    <cellStyle name="Normal 7 2 3 3 3 4 2 2" xfId="35380" xr:uid="{00000000-0005-0000-0000-000069570000}"/>
    <cellStyle name="Normal 7 2 3 3 3 4 3" xfId="25523" xr:uid="{00000000-0005-0000-0000-00006A570000}"/>
    <cellStyle name="Normal 7 2 3 3 3 5" xfId="10737" xr:uid="{00000000-0005-0000-0000-00006B570000}"/>
    <cellStyle name="Normal 7 2 3 3 3 5 2" xfId="30452" xr:uid="{00000000-0005-0000-0000-00006C570000}"/>
    <cellStyle name="Normal 7 2 3 3 3 6" xfId="20595" xr:uid="{00000000-0005-0000-0000-00006D570000}"/>
    <cellStyle name="Normal 7 2 3 3 4" xfId="1486" xr:uid="{00000000-0005-0000-0000-00006E570000}"/>
    <cellStyle name="Normal 7 2 3 3 4 2" xfId="3953" xr:uid="{00000000-0005-0000-0000-00006F570000}"/>
    <cellStyle name="Normal 7 2 3 3 4 2 2" xfId="8885" xr:uid="{00000000-0005-0000-0000-000070570000}"/>
    <cellStyle name="Normal 7 2 3 3 4 2 2 2" xfId="18745" xr:uid="{00000000-0005-0000-0000-000071570000}"/>
    <cellStyle name="Normal 7 2 3 3 4 2 2 2 2" xfId="38460" xr:uid="{00000000-0005-0000-0000-000072570000}"/>
    <cellStyle name="Normal 7 2 3 3 4 2 2 3" xfId="28603" xr:uid="{00000000-0005-0000-0000-000073570000}"/>
    <cellStyle name="Normal 7 2 3 3 4 2 3" xfId="13817" xr:uid="{00000000-0005-0000-0000-000074570000}"/>
    <cellStyle name="Normal 7 2 3 3 4 2 3 2" xfId="33532" xr:uid="{00000000-0005-0000-0000-000075570000}"/>
    <cellStyle name="Normal 7 2 3 3 4 2 4" xfId="23675" xr:uid="{00000000-0005-0000-0000-000076570000}"/>
    <cellStyle name="Normal 7 2 3 3 4 3" xfId="6421" xr:uid="{00000000-0005-0000-0000-000077570000}"/>
    <cellStyle name="Normal 7 2 3 3 4 3 2" xfId="16281" xr:uid="{00000000-0005-0000-0000-000078570000}"/>
    <cellStyle name="Normal 7 2 3 3 4 3 2 2" xfId="35996" xr:uid="{00000000-0005-0000-0000-000079570000}"/>
    <cellStyle name="Normal 7 2 3 3 4 3 3" xfId="26139" xr:uid="{00000000-0005-0000-0000-00007A570000}"/>
    <cellStyle name="Normal 7 2 3 3 4 4" xfId="11353" xr:uid="{00000000-0005-0000-0000-00007B570000}"/>
    <cellStyle name="Normal 7 2 3 3 4 4 2" xfId="31068" xr:uid="{00000000-0005-0000-0000-00007C570000}"/>
    <cellStyle name="Normal 7 2 3 3 4 5" xfId="21211" xr:uid="{00000000-0005-0000-0000-00007D570000}"/>
    <cellStyle name="Normal 7 2 3 3 5" xfId="2721" xr:uid="{00000000-0005-0000-0000-00007E570000}"/>
    <cellStyle name="Normal 7 2 3 3 5 2" xfId="7653" xr:uid="{00000000-0005-0000-0000-00007F570000}"/>
    <cellStyle name="Normal 7 2 3 3 5 2 2" xfId="17513" xr:uid="{00000000-0005-0000-0000-000080570000}"/>
    <cellStyle name="Normal 7 2 3 3 5 2 2 2" xfId="37228" xr:uid="{00000000-0005-0000-0000-000081570000}"/>
    <cellStyle name="Normal 7 2 3 3 5 2 3" xfId="27371" xr:uid="{00000000-0005-0000-0000-000082570000}"/>
    <cellStyle name="Normal 7 2 3 3 5 3" xfId="12585" xr:uid="{00000000-0005-0000-0000-000083570000}"/>
    <cellStyle name="Normal 7 2 3 3 5 3 2" xfId="32300" xr:uid="{00000000-0005-0000-0000-000084570000}"/>
    <cellStyle name="Normal 7 2 3 3 5 4" xfId="22443" xr:uid="{00000000-0005-0000-0000-000085570000}"/>
    <cellStyle name="Normal 7 2 3 3 6" xfId="5189" xr:uid="{00000000-0005-0000-0000-000086570000}"/>
    <cellStyle name="Normal 7 2 3 3 6 2" xfId="15049" xr:uid="{00000000-0005-0000-0000-000087570000}"/>
    <cellStyle name="Normal 7 2 3 3 6 2 2" xfId="34764" xr:uid="{00000000-0005-0000-0000-000088570000}"/>
    <cellStyle name="Normal 7 2 3 3 6 3" xfId="24907" xr:uid="{00000000-0005-0000-0000-000089570000}"/>
    <cellStyle name="Normal 7 2 3 3 7" xfId="10121" xr:uid="{00000000-0005-0000-0000-00008A570000}"/>
    <cellStyle name="Normal 7 2 3 3 7 2" xfId="29836" xr:uid="{00000000-0005-0000-0000-00008B570000}"/>
    <cellStyle name="Normal 7 2 3 3 8" xfId="19979" xr:uid="{00000000-0005-0000-0000-00008C570000}"/>
    <cellStyle name="Normal 7 2 3 4" xfId="401" xr:uid="{00000000-0005-0000-0000-00008D570000}"/>
    <cellStyle name="Normal 7 2 3 4 2" xfId="1021" xr:uid="{00000000-0005-0000-0000-00008E570000}"/>
    <cellStyle name="Normal 7 2 3 4 2 2" xfId="2256" xr:uid="{00000000-0005-0000-0000-00008F570000}"/>
    <cellStyle name="Normal 7 2 3 4 2 2 2" xfId="4723" xr:uid="{00000000-0005-0000-0000-000090570000}"/>
    <cellStyle name="Normal 7 2 3 4 2 2 2 2" xfId="9655" xr:uid="{00000000-0005-0000-0000-000091570000}"/>
    <cellStyle name="Normal 7 2 3 4 2 2 2 2 2" xfId="19515" xr:uid="{00000000-0005-0000-0000-000092570000}"/>
    <cellStyle name="Normal 7 2 3 4 2 2 2 2 2 2" xfId="39230" xr:uid="{00000000-0005-0000-0000-000093570000}"/>
    <cellStyle name="Normal 7 2 3 4 2 2 2 2 3" xfId="29373" xr:uid="{00000000-0005-0000-0000-000094570000}"/>
    <cellStyle name="Normal 7 2 3 4 2 2 2 3" xfId="14587" xr:uid="{00000000-0005-0000-0000-000095570000}"/>
    <cellStyle name="Normal 7 2 3 4 2 2 2 3 2" xfId="34302" xr:uid="{00000000-0005-0000-0000-000096570000}"/>
    <cellStyle name="Normal 7 2 3 4 2 2 2 4" xfId="24445" xr:uid="{00000000-0005-0000-0000-000097570000}"/>
    <cellStyle name="Normal 7 2 3 4 2 2 3" xfId="7191" xr:uid="{00000000-0005-0000-0000-000098570000}"/>
    <cellStyle name="Normal 7 2 3 4 2 2 3 2" xfId="17051" xr:uid="{00000000-0005-0000-0000-000099570000}"/>
    <cellStyle name="Normal 7 2 3 4 2 2 3 2 2" xfId="36766" xr:uid="{00000000-0005-0000-0000-00009A570000}"/>
    <cellStyle name="Normal 7 2 3 4 2 2 3 3" xfId="26909" xr:uid="{00000000-0005-0000-0000-00009B570000}"/>
    <cellStyle name="Normal 7 2 3 4 2 2 4" xfId="12123" xr:uid="{00000000-0005-0000-0000-00009C570000}"/>
    <cellStyle name="Normal 7 2 3 4 2 2 4 2" xfId="31838" xr:uid="{00000000-0005-0000-0000-00009D570000}"/>
    <cellStyle name="Normal 7 2 3 4 2 2 5" xfId="21981" xr:uid="{00000000-0005-0000-0000-00009E570000}"/>
    <cellStyle name="Normal 7 2 3 4 2 3" xfId="3491" xr:uid="{00000000-0005-0000-0000-00009F570000}"/>
    <cellStyle name="Normal 7 2 3 4 2 3 2" xfId="8423" xr:uid="{00000000-0005-0000-0000-0000A0570000}"/>
    <cellStyle name="Normal 7 2 3 4 2 3 2 2" xfId="18283" xr:uid="{00000000-0005-0000-0000-0000A1570000}"/>
    <cellStyle name="Normal 7 2 3 4 2 3 2 2 2" xfId="37998" xr:uid="{00000000-0005-0000-0000-0000A2570000}"/>
    <cellStyle name="Normal 7 2 3 4 2 3 2 3" xfId="28141" xr:uid="{00000000-0005-0000-0000-0000A3570000}"/>
    <cellStyle name="Normal 7 2 3 4 2 3 3" xfId="13355" xr:uid="{00000000-0005-0000-0000-0000A4570000}"/>
    <cellStyle name="Normal 7 2 3 4 2 3 3 2" xfId="33070" xr:uid="{00000000-0005-0000-0000-0000A5570000}"/>
    <cellStyle name="Normal 7 2 3 4 2 3 4" xfId="23213" xr:uid="{00000000-0005-0000-0000-0000A6570000}"/>
    <cellStyle name="Normal 7 2 3 4 2 4" xfId="5959" xr:uid="{00000000-0005-0000-0000-0000A7570000}"/>
    <cellStyle name="Normal 7 2 3 4 2 4 2" xfId="15819" xr:uid="{00000000-0005-0000-0000-0000A8570000}"/>
    <cellStyle name="Normal 7 2 3 4 2 4 2 2" xfId="35534" xr:uid="{00000000-0005-0000-0000-0000A9570000}"/>
    <cellStyle name="Normal 7 2 3 4 2 4 3" xfId="25677" xr:uid="{00000000-0005-0000-0000-0000AA570000}"/>
    <cellStyle name="Normal 7 2 3 4 2 5" xfId="10891" xr:uid="{00000000-0005-0000-0000-0000AB570000}"/>
    <cellStyle name="Normal 7 2 3 4 2 5 2" xfId="30606" xr:uid="{00000000-0005-0000-0000-0000AC570000}"/>
    <cellStyle name="Normal 7 2 3 4 2 6" xfId="20749" xr:uid="{00000000-0005-0000-0000-0000AD570000}"/>
    <cellStyle name="Normal 7 2 3 4 3" xfId="1640" xr:uid="{00000000-0005-0000-0000-0000AE570000}"/>
    <cellStyle name="Normal 7 2 3 4 3 2" xfId="4107" xr:uid="{00000000-0005-0000-0000-0000AF570000}"/>
    <cellStyle name="Normal 7 2 3 4 3 2 2" xfId="9039" xr:uid="{00000000-0005-0000-0000-0000B0570000}"/>
    <cellStyle name="Normal 7 2 3 4 3 2 2 2" xfId="18899" xr:uid="{00000000-0005-0000-0000-0000B1570000}"/>
    <cellStyle name="Normal 7 2 3 4 3 2 2 2 2" xfId="38614" xr:uid="{00000000-0005-0000-0000-0000B2570000}"/>
    <cellStyle name="Normal 7 2 3 4 3 2 2 3" xfId="28757" xr:uid="{00000000-0005-0000-0000-0000B3570000}"/>
    <cellStyle name="Normal 7 2 3 4 3 2 3" xfId="13971" xr:uid="{00000000-0005-0000-0000-0000B4570000}"/>
    <cellStyle name="Normal 7 2 3 4 3 2 3 2" xfId="33686" xr:uid="{00000000-0005-0000-0000-0000B5570000}"/>
    <cellStyle name="Normal 7 2 3 4 3 2 4" xfId="23829" xr:uid="{00000000-0005-0000-0000-0000B6570000}"/>
    <cellStyle name="Normal 7 2 3 4 3 3" xfId="6575" xr:uid="{00000000-0005-0000-0000-0000B7570000}"/>
    <cellStyle name="Normal 7 2 3 4 3 3 2" xfId="16435" xr:uid="{00000000-0005-0000-0000-0000B8570000}"/>
    <cellStyle name="Normal 7 2 3 4 3 3 2 2" xfId="36150" xr:uid="{00000000-0005-0000-0000-0000B9570000}"/>
    <cellStyle name="Normal 7 2 3 4 3 3 3" xfId="26293" xr:uid="{00000000-0005-0000-0000-0000BA570000}"/>
    <cellStyle name="Normal 7 2 3 4 3 4" xfId="11507" xr:uid="{00000000-0005-0000-0000-0000BB570000}"/>
    <cellStyle name="Normal 7 2 3 4 3 4 2" xfId="31222" xr:uid="{00000000-0005-0000-0000-0000BC570000}"/>
    <cellStyle name="Normal 7 2 3 4 3 5" xfId="21365" xr:uid="{00000000-0005-0000-0000-0000BD570000}"/>
    <cellStyle name="Normal 7 2 3 4 4" xfId="2875" xr:uid="{00000000-0005-0000-0000-0000BE570000}"/>
    <cellStyle name="Normal 7 2 3 4 4 2" xfId="7807" xr:uid="{00000000-0005-0000-0000-0000BF570000}"/>
    <cellStyle name="Normal 7 2 3 4 4 2 2" xfId="17667" xr:uid="{00000000-0005-0000-0000-0000C0570000}"/>
    <cellStyle name="Normal 7 2 3 4 4 2 2 2" xfId="37382" xr:uid="{00000000-0005-0000-0000-0000C1570000}"/>
    <cellStyle name="Normal 7 2 3 4 4 2 3" xfId="27525" xr:uid="{00000000-0005-0000-0000-0000C2570000}"/>
    <cellStyle name="Normal 7 2 3 4 4 3" xfId="12739" xr:uid="{00000000-0005-0000-0000-0000C3570000}"/>
    <cellStyle name="Normal 7 2 3 4 4 3 2" xfId="32454" xr:uid="{00000000-0005-0000-0000-0000C4570000}"/>
    <cellStyle name="Normal 7 2 3 4 4 4" xfId="22597" xr:uid="{00000000-0005-0000-0000-0000C5570000}"/>
    <cellStyle name="Normal 7 2 3 4 5" xfId="5343" xr:uid="{00000000-0005-0000-0000-0000C6570000}"/>
    <cellStyle name="Normal 7 2 3 4 5 2" xfId="15203" xr:uid="{00000000-0005-0000-0000-0000C7570000}"/>
    <cellStyle name="Normal 7 2 3 4 5 2 2" xfId="34918" xr:uid="{00000000-0005-0000-0000-0000C8570000}"/>
    <cellStyle name="Normal 7 2 3 4 5 3" xfId="25061" xr:uid="{00000000-0005-0000-0000-0000C9570000}"/>
    <cellStyle name="Normal 7 2 3 4 6" xfId="10275" xr:uid="{00000000-0005-0000-0000-0000CA570000}"/>
    <cellStyle name="Normal 7 2 3 4 6 2" xfId="29990" xr:uid="{00000000-0005-0000-0000-0000CB570000}"/>
    <cellStyle name="Normal 7 2 3 4 7" xfId="20133" xr:uid="{00000000-0005-0000-0000-0000CC570000}"/>
    <cellStyle name="Normal 7 2 3 5" xfId="714" xr:uid="{00000000-0005-0000-0000-0000CD570000}"/>
    <cellStyle name="Normal 7 2 3 5 2" xfId="1950" xr:uid="{00000000-0005-0000-0000-0000CE570000}"/>
    <cellStyle name="Normal 7 2 3 5 2 2" xfId="4417" xr:uid="{00000000-0005-0000-0000-0000CF570000}"/>
    <cellStyle name="Normal 7 2 3 5 2 2 2" xfId="9349" xr:uid="{00000000-0005-0000-0000-0000D0570000}"/>
    <cellStyle name="Normal 7 2 3 5 2 2 2 2" xfId="19209" xr:uid="{00000000-0005-0000-0000-0000D1570000}"/>
    <cellStyle name="Normal 7 2 3 5 2 2 2 2 2" xfId="38924" xr:uid="{00000000-0005-0000-0000-0000D2570000}"/>
    <cellStyle name="Normal 7 2 3 5 2 2 2 3" xfId="29067" xr:uid="{00000000-0005-0000-0000-0000D3570000}"/>
    <cellStyle name="Normal 7 2 3 5 2 2 3" xfId="14281" xr:uid="{00000000-0005-0000-0000-0000D4570000}"/>
    <cellStyle name="Normal 7 2 3 5 2 2 3 2" xfId="33996" xr:uid="{00000000-0005-0000-0000-0000D5570000}"/>
    <cellStyle name="Normal 7 2 3 5 2 2 4" xfId="24139" xr:uid="{00000000-0005-0000-0000-0000D6570000}"/>
    <cellStyle name="Normal 7 2 3 5 2 3" xfId="6885" xr:uid="{00000000-0005-0000-0000-0000D7570000}"/>
    <cellStyle name="Normal 7 2 3 5 2 3 2" xfId="16745" xr:uid="{00000000-0005-0000-0000-0000D8570000}"/>
    <cellStyle name="Normal 7 2 3 5 2 3 2 2" xfId="36460" xr:uid="{00000000-0005-0000-0000-0000D9570000}"/>
    <cellStyle name="Normal 7 2 3 5 2 3 3" xfId="26603" xr:uid="{00000000-0005-0000-0000-0000DA570000}"/>
    <cellStyle name="Normal 7 2 3 5 2 4" xfId="11817" xr:uid="{00000000-0005-0000-0000-0000DB570000}"/>
    <cellStyle name="Normal 7 2 3 5 2 4 2" xfId="31532" xr:uid="{00000000-0005-0000-0000-0000DC570000}"/>
    <cellStyle name="Normal 7 2 3 5 2 5" xfId="21675" xr:uid="{00000000-0005-0000-0000-0000DD570000}"/>
    <cellStyle name="Normal 7 2 3 5 3" xfId="3185" xr:uid="{00000000-0005-0000-0000-0000DE570000}"/>
    <cellStyle name="Normal 7 2 3 5 3 2" xfId="8117" xr:uid="{00000000-0005-0000-0000-0000DF570000}"/>
    <cellStyle name="Normal 7 2 3 5 3 2 2" xfId="17977" xr:uid="{00000000-0005-0000-0000-0000E0570000}"/>
    <cellStyle name="Normal 7 2 3 5 3 2 2 2" xfId="37692" xr:uid="{00000000-0005-0000-0000-0000E1570000}"/>
    <cellStyle name="Normal 7 2 3 5 3 2 3" xfId="27835" xr:uid="{00000000-0005-0000-0000-0000E2570000}"/>
    <cellStyle name="Normal 7 2 3 5 3 3" xfId="13049" xr:uid="{00000000-0005-0000-0000-0000E3570000}"/>
    <cellStyle name="Normal 7 2 3 5 3 3 2" xfId="32764" xr:uid="{00000000-0005-0000-0000-0000E4570000}"/>
    <cellStyle name="Normal 7 2 3 5 3 4" xfId="22907" xr:uid="{00000000-0005-0000-0000-0000E5570000}"/>
    <cellStyle name="Normal 7 2 3 5 4" xfId="5653" xr:uid="{00000000-0005-0000-0000-0000E6570000}"/>
    <cellStyle name="Normal 7 2 3 5 4 2" xfId="15513" xr:uid="{00000000-0005-0000-0000-0000E7570000}"/>
    <cellStyle name="Normal 7 2 3 5 4 2 2" xfId="35228" xr:uid="{00000000-0005-0000-0000-0000E8570000}"/>
    <cellStyle name="Normal 7 2 3 5 4 3" xfId="25371" xr:uid="{00000000-0005-0000-0000-0000E9570000}"/>
    <cellStyle name="Normal 7 2 3 5 5" xfId="10585" xr:uid="{00000000-0005-0000-0000-0000EA570000}"/>
    <cellStyle name="Normal 7 2 3 5 5 2" xfId="30300" xr:uid="{00000000-0005-0000-0000-0000EB570000}"/>
    <cellStyle name="Normal 7 2 3 5 6" xfId="20443" xr:uid="{00000000-0005-0000-0000-0000EC570000}"/>
    <cellStyle name="Normal 7 2 3 6" xfId="1334" xr:uid="{00000000-0005-0000-0000-0000ED570000}"/>
    <cellStyle name="Normal 7 2 3 6 2" xfId="3801" xr:uid="{00000000-0005-0000-0000-0000EE570000}"/>
    <cellStyle name="Normal 7 2 3 6 2 2" xfId="8733" xr:uid="{00000000-0005-0000-0000-0000EF570000}"/>
    <cellStyle name="Normal 7 2 3 6 2 2 2" xfId="18593" xr:uid="{00000000-0005-0000-0000-0000F0570000}"/>
    <cellStyle name="Normal 7 2 3 6 2 2 2 2" xfId="38308" xr:uid="{00000000-0005-0000-0000-0000F1570000}"/>
    <cellStyle name="Normal 7 2 3 6 2 2 3" xfId="28451" xr:uid="{00000000-0005-0000-0000-0000F2570000}"/>
    <cellStyle name="Normal 7 2 3 6 2 3" xfId="13665" xr:uid="{00000000-0005-0000-0000-0000F3570000}"/>
    <cellStyle name="Normal 7 2 3 6 2 3 2" xfId="33380" xr:uid="{00000000-0005-0000-0000-0000F4570000}"/>
    <cellStyle name="Normal 7 2 3 6 2 4" xfId="23523" xr:uid="{00000000-0005-0000-0000-0000F5570000}"/>
    <cellStyle name="Normal 7 2 3 6 3" xfId="6269" xr:uid="{00000000-0005-0000-0000-0000F6570000}"/>
    <cellStyle name="Normal 7 2 3 6 3 2" xfId="16129" xr:uid="{00000000-0005-0000-0000-0000F7570000}"/>
    <cellStyle name="Normal 7 2 3 6 3 2 2" xfId="35844" xr:uid="{00000000-0005-0000-0000-0000F8570000}"/>
    <cellStyle name="Normal 7 2 3 6 3 3" xfId="25987" xr:uid="{00000000-0005-0000-0000-0000F9570000}"/>
    <cellStyle name="Normal 7 2 3 6 4" xfId="11201" xr:uid="{00000000-0005-0000-0000-0000FA570000}"/>
    <cellStyle name="Normal 7 2 3 6 4 2" xfId="30916" xr:uid="{00000000-0005-0000-0000-0000FB570000}"/>
    <cellStyle name="Normal 7 2 3 6 5" xfId="21059" xr:uid="{00000000-0005-0000-0000-0000FC570000}"/>
    <cellStyle name="Normal 7 2 3 7" xfId="2569" xr:uid="{00000000-0005-0000-0000-0000FD570000}"/>
    <cellStyle name="Normal 7 2 3 7 2" xfId="7501" xr:uid="{00000000-0005-0000-0000-0000FE570000}"/>
    <cellStyle name="Normal 7 2 3 7 2 2" xfId="17361" xr:uid="{00000000-0005-0000-0000-0000FF570000}"/>
    <cellStyle name="Normal 7 2 3 7 2 2 2" xfId="37076" xr:uid="{00000000-0005-0000-0000-000000580000}"/>
    <cellStyle name="Normal 7 2 3 7 2 3" xfId="27219" xr:uid="{00000000-0005-0000-0000-000001580000}"/>
    <cellStyle name="Normal 7 2 3 7 3" xfId="12433" xr:uid="{00000000-0005-0000-0000-000002580000}"/>
    <cellStyle name="Normal 7 2 3 7 3 2" xfId="32148" xr:uid="{00000000-0005-0000-0000-000003580000}"/>
    <cellStyle name="Normal 7 2 3 7 4" xfId="22291" xr:uid="{00000000-0005-0000-0000-000004580000}"/>
    <cellStyle name="Normal 7 2 3 8" xfId="5037" xr:uid="{00000000-0005-0000-0000-000005580000}"/>
    <cellStyle name="Normal 7 2 3 8 2" xfId="14897" xr:uid="{00000000-0005-0000-0000-000006580000}"/>
    <cellStyle name="Normal 7 2 3 8 2 2" xfId="34612" xr:uid="{00000000-0005-0000-0000-000007580000}"/>
    <cellStyle name="Normal 7 2 3 8 3" xfId="24755" xr:uid="{00000000-0005-0000-0000-000008580000}"/>
    <cellStyle name="Normal 7 2 3 9" xfId="9969" xr:uid="{00000000-0005-0000-0000-000009580000}"/>
    <cellStyle name="Normal 7 2 3 9 2" xfId="29684" xr:uid="{00000000-0005-0000-0000-00000A580000}"/>
    <cellStyle name="Normal 7 2 4" xfId="120" xr:uid="{00000000-0005-0000-0000-00000B580000}"/>
    <cellStyle name="Normal 7 2 4 2" xfId="277" xr:uid="{00000000-0005-0000-0000-00000C580000}"/>
    <cellStyle name="Normal 7 2 4 2 2" xfId="591" xr:uid="{00000000-0005-0000-0000-00000D580000}"/>
    <cellStyle name="Normal 7 2 4 2 2 2" xfId="1211" xr:uid="{00000000-0005-0000-0000-00000E580000}"/>
    <cellStyle name="Normal 7 2 4 2 2 2 2" xfId="2446" xr:uid="{00000000-0005-0000-0000-00000F580000}"/>
    <cellStyle name="Normal 7 2 4 2 2 2 2 2" xfId="4913" xr:uid="{00000000-0005-0000-0000-000010580000}"/>
    <cellStyle name="Normal 7 2 4 2 2 2 2 2 2" xfId="9845" xr:uid="{00000000-0005-0000-0000-000011580000}"/>
    <cellStyle name="Normal 7 2 4 2 2 2 2 2 2 2" xfId="19705" xr:uid="{00000000-0005-0000-0000-000012580000}"/>
    <cellStyle name="Normal 7 2 4 2 2 2 2 2 2 2 2" xfId="39420" xr:uid="{00000000-0005-0000-0000-000013580000}"/>
    <cellStyle name="Normal 7 2 4 2 2 2 2 2 2 3" xfId="29563" xr:uid="{00000000-0005-0000-0000-000014580000}"/>
    <cellStyle name="Normal 7 2 4 2 2 2 2 2 3" xfId="14777" xr:uid="{00000000-0005-0000-0000-000015580000}"/>
    <cellStyle name="Normal 7 2 4 2 2 2 2 2 3 2" xfId="34492" xr:uid="{00000000-0005-0000-0000-000016580000}"/>
    <cellStyle name="Normal 7 2 4 2 2 2 2 2 4" xfId="24635" xr:uid="{00000000-0005-0000-0000-000017580000}"/>
    <cellStyle name="Normal 7 2 4 2 2 2 2 3" xfId="7381" xr:uid="{00000000-0005-0000-0000-000018580000}"/>
    <cellStyle name="Normal 7 2 4 2 2 2 2 3 2" xfId="17241" xr:uid="{00000000-0005-0000-0000-000019580000}"/>
    <cellStyle name="Normal 7 2 4 2 2 2 2 3 2 2" xfId="36956" xr:uid="{00000000-0005-0000-0000-00001A580000}"/>
    <cellStyle name="Normal 7 2 4 2 2 2 2 3 3" xfId="27099" xr:uid="{00000000-0005-0000-0000-00001B580000}"/>
    <cellStyle name="Normal 7 2 4 2 2 2 2 4" xfId="12313" xr:uid="{00000000-0005-0000-0000-00001C580000}"/>
    <cellStyle name="Normal 7 2 4 2 2 2 2 4 2" xfId="32028" xr:uid="{00000000-0005-0000-0000-00001D580000}"/>
    <cellStyle name="Normal 7 2 4 2 2 2 2 5" xfId="22171" xr:uid="{00000000-0005-0000-0000-00001E580000}"/>
    <cellStyle name="Normal 7 2 4 2 2 2 3" xfId="3681" xr:uid="{00000000-0005-0000-0000-00001F580000}"/>
    <cellStyle name="Normal 7 2 4 2 2 2 3 2" xfId="8613" xr:uid="{00000000-0005-0000-0000-000020580000}"/>
    <cellStyle name="Normal 7 2 4 2 2 2 3 2 2" xfId="18473" xr:uid="{00000000-0005-0000-0000-000021580000}"/>
    <cellStyle name="Normal 7 2 4 2 2 2 3 2 2 2" xfId="38188" xr:uid="{00000000-0005-0000-0000-000022580000}"/>
    <cellStyle name="Normal 7 2 4 2 2 2 3 2 3" xfId="28331" xr:uid="{00000000-0005-0000-0000-000023580000}"/>
    <cellStyle name="Normal 7 2 4 2 2 2 3 3" xfId="13545" xr:uid="{00000000-0005-0000-0000-000024580000}"/>
    <cellStyle name="Normal 7 2 4 2 2 2 3 3 2" xfId="33260" xr:uid="{00000000-0005-0000-0000-000025580000}"/>
    <cellStyle name="Normal 7 2 4 2 2 2 3 4" xfId="23403" xr:uid="{00000000-0005-0000-0000-000026580000}"/>
    <cellStyle name="Normal 7 2 4 2 2 2 4" xfId="6149" xr:uid="{00000000-0005-0000-0000-000027580000}"/>
    <cellStyle name="Normal 7 2 4 2 2 2 4 2" xfId="16009" xr:uid="{00000000-0005-0000-0000-000028580000}"/>
    <cellStyle name="Normal 7 2 4 2 2 2 4 2 2" xfId="35724" xr:uid="{00000000-0005-0000-0000-000029580000}"/>
    <cellStyle name="Normal 7 2 4 2 2 2 4 3" xfId="25867" xr:uid="{00000000-0005-0000-0000-00002A580000}"/>
    <cellStyle name="Normal 7 2 4 2 2 2 5" xfId="11081" xr:uid="{00000000-0005-0000-0000-00002B580000}"/>
    <cellStyle name="Normal 7 2 4 2 2 2 5 2" xfId="30796" xr:uid="{00000000-0005-0000-0000-00002C580000}"/>
    <cellStyle name="Normal 7 2 4 2 2 2 6" xfId="20939" xr:uid="{00000000-0005-0000-0000-00002D580000}"/>
    <cellStyle name="Normal 7 2 4 2 2 3" xfId="1830" xr:uid="{00000000-0005-0000-0000-00002E580000}"/>
    <cellStyle name="Normal 7 2 4 2 2 3 2" xfId="4297" xr:uid="{00000000-0005-0000-0000-00002F580000}"/>
    <cellStyle name="Normal 7 2 4 2 2 3 2 2" xfId="9229" xr:uid="{00000000-0005-0000-0000-000030580000}"/>
    <cellStyle name="Normal 7 2 4 2 2 3 2 2 2" xfId="19089" xr:uid="{00000000-0005-0000-0000-000031580000}"/>
    <cellStyle name="Normal 7 2 4 2 2 3 2 2 2 2" xfId="38804" xr:uid="{00000000-0005-0000-0000-000032580000}"/>
    <cellStyle name="Normal 7 2 4 2 2 3 2 2 3" xfId="28947" xr:uid="{00000000-0005-0000-0000-000033580000}"/>
    <cellStyle name="Normal 7 2 4 2 2 3 2 3" xfId="14161" xr:uid="{00000000-0005-0000-0000-000034580000}"/>
    <cellStyle name="Normal 7 2 4 2 2 3 2 3 2" xfId="33876" xr:uid="{00000000-0005-0000-0000-000035580000}"/>
    <cellStyle name="Normal 7 2 4 2 2 3 2 4" xfId="24019" xr:uid="{00000000-0005-0000-0000-000036580000}"/>
    <cellStyle name="Normal 7 2 4 2 2 3 3" xfId="6765" xr:uid="{00000000-0005-0000-0000-000037580000}"/>
    <cellStyle name="Normal 7 2 4 2 2 3 3 2" xfId="16625" xr:uid="{00000000-0005-0000-0000-000038580000}"/>
    <cellStyle name="Normal 7 2 4 2 2 3 3 2 2" xfId="36340" xr:uid="{00000000-0005-0000-0000-000039580000}"/>
    <cellStyle name="Normal 7 2 4 2 2 3 3 3" xfId="26483" xr:uid="{00000000-0005-0000-0000-00003A580000}"/>
    <cellStyle name="Normal 7 2 4 2 2 3 4" xfId="11697" xr:uid="{00000000-0005-0000-0000-00003B580000}"/>
    <cellStyle name="Normal 7 2 4 2 2 3 4 2" xfId="31412" xr:uid="{00000000-0005-0000-0000-00003C580000}"/>
    <cellStyle name="Normal 7 2 4 2 2 3 5" xfId="21555" xr:uid="{00000000-0005-0000-0000-00003D580000}"/>
    <cellStyle name="Normal 7 2 4 2 2 4" xfId="3065" xr:uid="{00000000-0005-0000-0000-00003E580000}"/>
    <cellStyle name="Normal 7 2 4 2 2 4 2" xfId="7997" xr:uid="{00000000-0005-0000-0000-00003F580000}"/>
    <cellStyle name="Normal 7 2 4 2 2 4 2 2" xfId="17857" xr:uid="{00000000-0005-0000-0000-000040580000}"/>
    <cellStyle name="Normal 7 2 4 2 2 4 2 2 2" xfId="37572" xr:uid="{00000000-0005-0000-0000-000041580000}"/>
    <cellStyle name="Normal 7 2 4 2 2 4 2 3" xfId="27715" xr:uid="{00000000-0005-0000-0000-000042580000}"/>
    <cellStyle name="Normal 7 2 4 2 2 4 3" xfId="12929" xr:uid="{00000000-0005-0000-0000-000043580000}"/>
    <cellStyle name="Normal 7 2 4 2 2 4 3 2" xfId="32644" xr:uid="{00000000-0005-0000-0000-000044580000}"/>
    <cellStyle name="Normal 7 2 4 2 2 4 4" xfId="22787" xr:uid="{00000000-0005-0000-0000-000045580000}"/>
    <cellStyle name="Normal 7 2 4 2 2 5" xfId="5533" xr:uid="{00000000-0005-0000-0000-000046580000}"/>
    <cellStyle name="Normal 7 2 4 2 2 5 2" xfId="15393" xr:uid="{00000000-0005-0000-0000-000047580000}"/>
    <cellStyle name="Normal 7 2 4 2 2 5 2 2" xfId="35108" xr:uid="{00000000-0005-0000-0000-000048580000}"/>
    <cellStyle name="Normal 7 2 4 2 2 5 3" xfId="25251" xr:uid="{00000000-0005-0000-0000-000049580000}"/>
    <cellStyle name="Normal 7 2 4 2 2 6" xfId="10465" xr:uid="{00000000-0005-0000-0000-00004A580000}"/>
    <cellStyle name="Normal 7 2 4 2 2 6 2" xfId="30180" xr:uid="{00000000-0005-0000-0000-00004B580000}"/>
    <cellStyle name="Normal 7 2 4 2 2 7" xfId="20323" xr:uid="{00000000-0005-0000-0000-00004C580000}"/>
    <cellStyle name="Normal 7 2 4 2 3" xfId="904" xr:uid="{00000000-0005-0000-0000-00004D580000}"/>
    <cellStyle name="Normal 7 2 4 2 3 2" xfId="2140" xr:uid="{00000000-0005-0000-0000-00004E580000}"/>
    <cellStyle name="Normal 7 2 4 2 3 2 2" xfId="4607" xr:uid="{00000000-0005-0000-0000-00004F580000}"/>
    <cellStyle name="Normal 7 2 4 2 3 2 2 2" xfId="9539" xr:uid="{00000000-0005-0000-0000-000050580000}"/>
    <cellStyle name="Normal 7 2 4 2 3 2 2 2 2" xfId="19399" xr:uid="{00000000-0005-0000-0000-000051580000}"/>
    <cellStyle name="Normal 7 2 4 2 3 2 2 2 2 2" xfId="39114" xr:uid="{00000000-0005-0000-0000-000052580000}"/>
    <cellStyle name="Normal 7 2 4 2 3 2 2 2 3" xfId="29257" xr:uid="{00000000-0005-0000-0000-000053580000}"/>
    <cellStyle name="Normal 7 2 4 2 3 2 2 3" xfId="14471" xr:uid="{00000000-0005-0000-0000-000054580000}"/>
    <cellStyle name="Normal 7 2 4 2 3 2 2 3 2" xfId="34186" xr:uid="{00000000-0005-0000-0000-000055580000}"/>
    <cellStyle name="Normal 7 2 4 2 3 2 2 4" xfId="24329" xr:uid="{00000000-0005-0000-0000-000056580000}"/>
    <cellStyle name="Normal 7 2 4 2 3 2 3" xfId="7075" xr:uid="{00000000-0005-0000-0000-000057580000}"/>
    <cellStyle name="Normal 7 2 4 2 3 2 3 2" xfId="16935" xr:uid="{00000000-0005-0000-0000-000058580000}"/>
    <cellStyle name="Normal 7 2 4 2 3 2 3 2 2" xfId="36650" xr:uid="{00000000-0005-0000-0000-000059580000}"/>
    <cellStyle name="Normal 7 2 4 2 3 2 3 3" xfId="26793" xr:uid="{00000000-0005-0000-0000-00005A580000}"/>
    <cellStyle name="Normal 7 2 4 2 3 2 4" xfId="12007" xr:uid="{00000000-0005-0000-0000-00005B580000}"/>
    <cellStyle name="Normal 7 2 4 2 3 2 4 2" xfId="31722" xr:uid="{00000000-0005-0000-0000-00005C580000}"/>
    <cellStyle name="Normal 7 2 4 2 3 2 5" xfId="21865" xr:uid="{00000000-0005-0000-0000-00005D580000}"/>
    <cellStyle name="Normal 7 2 4 2 3 3" xfId="3375" xr:uid="{00000000-0005-0000-0000-00005E580000}"/>
    <cellStyle name="Normal 7 2 4 2 3 3 2" xfId="8307" xr:uid="{00000000-0005-0000-0000-00005F580000}"/>
    <cellStyle name="Normal 7 2 4 2 3 3 2 2" xfId="18167" xr:uid="{00000000-0005-0000-0000-000060580000}"/>
    <cellStyle name="Normal 7 2 4 2 3 3 2 2 2" xfId="37882" xr:uid="{00000000-0005-0000-0000-000061580000}"/>
    <cellStyle name="Normal 7 2 4 2 3 3 2 3" xfId="28025" xr:uid="{00000000-0005-0000-0000-000062580000}"/>
    <cellStyle name="Normal 7 2 4 2 3 3 3" xfId="13239" xr:uid="{00000000-0005-0000-0000-000063580000}"/>
    <cellStyle name="Normal 7 2 4 2 3 3 3 2" xfId="32954" xr:uid="{00000000-0005-0000-0000-000064580000}"/>
    <cellStyle name="Normal 7 2 4 2 3 3 4" xfId="23097" xr:uid="{00000000-0005-0000-0000-000065580000}"/>
    <cellStyle name="Normal 7 2 4 2 3 4" xfId="5843" xr:uid="{00000000-0005-0000-0000-000066580000}"/>
    <cellStyle name="Normal 7 2 4 2 3 4 2" xfId="15703" xr:uid="{00000000-0005-0000-0000-000067580000}"/>
    <cellStyle name="Normal 7 2 4 2 3 4 2 2" xfId="35418" xr:uid="{00000000-0005-0000-0000-000068580000}"/>
    <cellStyle name="Normal 7 2 4 2 3 4 3" xfId="25561" xr:uid="{00000000-0005-0000-0000-000069580000}"/>
    <cellStyle name="Normal 7 2 4 2 3 5" xfId="10775" xr:uid="{00000000-0005-0000-0000-00006A580000}"/>
    <cellStyle name="Normal 7 2 4 2 3 5 2" xfId="30490" xr:uid="{00000000-0005-0000-0000-00006B580000}"/>
    <cellStyle name="Normal 7 2 4 2 3 6" xfId="20633" xr:uid="{00000000-0005-0000-0000-00006C580000}"/>
    <cellStyle name="Normal 7 2 4 2 4" xfId="1524" xr:uid="{00000000-0005-0000-0000-00006D580000}"/>
    <cellStyle name="Normal 7 2 4 2 4 2" xfId="3991" xr:uid="{00000000-0005-0000-0000-00006E580000}"/>
    <cellStyle name="Normal 7 2 4 2 4 2 2" xfId="8923" xr:uid="{00000000-0005-0000-0000-00006F580000}"/>
    <cellStyle name="Normal 7 2 4 2 4 2 2 2" xfId="18783" xr:uid="{00000000-0005-0000-0000-000070580000}"/>
    <cellStyle name="Normal 7 2 4 2 4 2 2 2 2" xfId="38498" xr:uid="{00000000-0005-0000-0000-000071580000}"/>
    <cellStyle name="Normal 7 2 4 2 4 2 2 3" xfId="28641" xr:uid="{00000000-0005-0000-0000-000072580000}"/>
    <cellStyle name="Normal 7 2 4 2 4 2 3" xfId="13855" xr:uid="{00000000-0005-0000-0000-000073580000}"/>
    <cellStyle name="Normal 7 2 4 2 4 2 3 2" xfId="33570" xr:uid="{00000000-0005-0000-0000-000074580000}"/>
    <cellStyle name="Normal 7 2 4 2 4 2 4" xfId="23713" xr:uid="{00000000-0005-0000-0000-000075580000}"/>
    <cellStyle name="Normal 7 2 4 2 4 3" xfId="6459" xr:uid="{00000000-0005-0000-0000-000076580000}"/>
    <cellStyle name="Normal 7 2 4 2 4 3 2" xfId="16319" xr:uid="{00000000-0005-0000-0000-000077580000}"/>
    <cellStyle name="Normal 7 2 4 2 4 3 2 2" xfId="36034" xr:uid="{00000000-0005-0000-0000-000078580000}"/>
    <cellStyle name="Normal 7 2 4 2 4 3 3" xfId="26177" xr:uid="{00000000-0005-0000-0000-000079580000}"/>
    <cellStyle name="Normal 7 2 4 2 4 4" xfId="11391" xr:uid="{00000000-0005-0000-0000-00007A580000}"/>
    <cellStyle name="Normal 7 2 4 2 4 4 2" xfId="31106" xr:uid="{00000000-0005-0000-0000-00007B580000}"/>
    <cellStyle name="Normal 7 2 4 2 4 5" xfId="21249" xr:uid="{00000000-0005-0000-0000-00007C580000}"/>
    <cellStyle name="Normal 7 2 4 2 5" xfId="2759" xr:uid="{00000000-0005-0000-0000-00007D580000}"/>
    <cellStyle name="Normal 7 2 4 2 5 2" xfId="7691" xr:uid="{00000000-0005-0000-0000-00007E580000}"/>
    <cellStyle name="Normal 7 2 4 2 5 2 2" xfId="17551" xr:uid="{00000000-0005-0000-0000-00007F580000}"/>
    <cellStyle name="Normal 7 2 4 2 5 2 2 2" xfId="37266" xr:uid="{00000000-0005-0000-0000-000080580000}"/>
    <cellStyle name="Normal 7 2 4 2 5 2 3" xfId="27409" xr:uid="{00000000-0005-0000-0000-000081580000}"/>
    <cellStyle name="Normal 7 2 4 2 5 3" xfId="12623" xr:uid="{00000000-0005-0000-0000-000082580000}"/>
    <cellStyle name="Normal 7 2 4 2 5 3 2" xfId="32338" xr:uid="{00000000-0005-0000-0000-000083580000}"/>
    <cellStyle name="Normal 7 2 4 2 5 4" xfId="22481" xr:uid="{00000000-0005-0000-0000-000084580000}"/>
    <cellStyle name="Normal 7 2 4 2 6" xfId="5227" xr:uid="{00000000-0005-0000-0000-000085580000}"/>
    <cellStyle name="Normal 7 2 4 2 6 2" xfId="15087" xr:uid="{00000000-0005-0000-0000-000086580000}"/>
    <cellStyle name="Normal 7 2 4 2 6 2 2" xfId="34802" xr:uid="{00000000-0005-0000-0000-000087580000}"/>
    <cellStyle name="Normal 7 2 4 2 6 3" xfId="24945" xr:uid="{00000000-0005-0000-0000-000088580000}"/>
    <cellStyle name="Normal 7 2 4 2 7" xfId="10159" xr:uid="{00000000-0005-0000-0000-000089580000}"/>
    <cellStyle name="Normal 7 2 4 2 7 2" xfId="29874" xr:uid="{00000000-0005-0000-0000-00008A580000}"/>
    <cellStyle name="Normal 7 2 4 2 8" xfId="20017" xr:uid="{00000000-0005-0000-0000-00008B580000}"/>
    <cellStyle name="Normal 7 2 4 3" xfId="439" xr:uid="{00000000-0005-0000-0000-00008C580000}"/>
    <cellStyle name="Normal 7 2 4 3 2" xfId="1059" xr:uid="{00000000-0005-0000-0000-00008D580000}"/>
    <cellStyle name="Normal 7 2 4 3 2 2" xfId="2294" xr:uid="{00000000-0005-0000-0000-00008E580000}"/>
    <cellStyle name="Normal 7 2 4 3 2 2 2" xfId="4761" xr:uid="{00000000-0005-0000-0000-00008F580000}"/>
    <cellStyle name="Normal 7 2 4 3 2 2 2 2" xfId="9693" xr:uid="{00000000-0005-0000-0000-000090580000}"/>
    <cellStyle name="Normal 7 2 4 3 2 2 2 2 2" xfId="19553" xr:uid="{00000000-0005-0000-0000-000091580000}"/>
    <cellStyle name="Normal 7 2 4 3 2 2 2 2 2 2" xfId="39268" xr:uid="{00000000-0005-0000-0000-000092580000}"/>
    <cellStyle name="Normal 7 2 4 3 2 2 2 2 3" xfId="29411" xr:uid="{00000000-0005-0000-0000-000093580000}"/>
    <cellStyle name="Normal 7 2 4 3 2 2 2 3" xfId="14625" xr:uid="{00000000-0005-0000-0000-000094580000}"/>
    <cellStyle name="Normal 7 2 4 3 2 2 2 3 2" xfId="34340" xr:uid="{00000000-0005-0000-0000-000095580000}"/>
    <cellStyle name="Normal 7 2 4 3 2 2 2 4" xfId="24483" xr:uid="{00000000-0005-0000-0000-000096580000}"/>
    <cellStyle name="Normal 7 2 4 3 2 2 3" xfId="7229" xr:uid="{00000000-0005-0000-0000-000097580000}"/>
    <cellStyle name="Normal 7 2 4 3 2 2 3 2" xfId="17089" xr:uid="{00000000-0005-0000-0000-000098580000}"/>
    <cellStyle name="Normal 7 2 4 3 2 2 3 2 2" xfId="36804" xr:uid="{00000000-0005-0000-0000-000099580000}"/>
    <cellStyle name="Normal 7 2 4 3 2 2 3 3" xfId="26947" xr:uid="{00000000-0005-0000-0000-00009A580000}"/>
    <cellStyle name="Normal 7 2 4 3 2 2 4" xfId="12161" xr:uid="{00000000-0005-0000-0000-00009B580000}"/>
    <cellStyle name="Normal 7 2 4 3 2 2 4 2" xfId="31876" xr:uid="{00000000-0005-0000-0000-00009C580000}"/>
    <cellStyle name="Normal 7 2 4 3 2 2 5" xfId="22019" xr:uid="{00000000-0005-0000-0000-00009D580000}"/>
    <cellStyle name="Normal 7 2 4 3 2 3" xfId="3529" xr:uid="{00000000-0005-0000-0000-00009E580000}"/>
    <cellStyle name="Normal 7 2 4 3 2 3 2" xfId="8461" xr:uid="{00000000-0005-0000-0000-00009F580000}"/>
    <cellStyle name="Normal 7 2 4 3 2 3 2 2" xfId="18321" xr:uid="{00000000-0005-0000-0000-0000A0580000}"/>
    <cellStyle name="Normal 7 2 4 3 2 3 2 2 2" xfId="38036" xr:uid="{00000000-0005-0000-0000-0000A1580000}"/>
    <cellStyle name="Normal 7 2 4 3 2 3 2 3" xfId="28179" xr:uid="{00000000-0005-0000-0000-0000A2580000}"/>
    <cellStyle name="Normal 7 2 4 3 2 3 3" xfId="13393" xr:uid="{00000000-0005-0000-0000-0000A3580000}"/>
    <cellStyle name="Normal 7 2 4 3 2 3 3 2" xfId="33108" xr:uid="{00000000-0005-0000-0000-0000A4580000}"/>
    <cellStyle name="Normal 7 2 4 3 2 3 4" xfId="23251" xr:uid="{00000000-0005-0000-0000-0000A5580000}"/>
    <cellStyle name="Normal 7 2 4 3 2 4" xfId="5997" xr:uid="{00000000-0005-0000-0000-0000A6580000}"/>
    <cellStyle name="Normal 7 2 4 3 2 4 2" xfId="15857" xr:uid="{00000000-0005-0000-0000-0000A7580000}"/>
    <cellStyle name="Normal 7 2 4 3 2 4 2 2" xfId="35572" xr:uid="{00000000-0005-0000-0000-0000A8580000}"/>
    <cellStyle name="Normal 7 2 4 3 2 4 3" xfId="25715" xr:uid="{00000000-0005-0000-0000-0000A9580000}"/>
    <cellStyle name="Normal 7 2 4 3 2 5" xfId="10929" xr:uid="{00000000-0005-0000-0000-0000AA580000}"/>
    <cellStyle name="Normal 7 2 4 3 2 5 2" xfId="30644" xr:uid="{00000000-0005-0000-0000-0000AB580000}"/>
    <cellStyle name="Normal 7 2 4 3 2 6" xfId="20787" xr:uid="{00000000-0005-0000-0000-0000AC580000}"/>
    <cellStyle name="Normal 7 2 4 3 3" xfId="1678" xr:uid="{00000000-0005-0000-0000-0000AD580000}"/>
    <cellStyle name="Normal 7 2 4 3 3 2" xfId="4145" xr:uid="{00000000-0005-0000-0000-0000AE580000}"/>
    <cellStyle name="Normal 7 2 4 3 3 2 2" xfId="9077" xr:uid="{00000000-0005-0000-0000-0000AF580000}"/>
    <cellStyle name="Normal 7 2 4 3 3 2 2 2" xfId="18937" xr:uid="{00000000-0005-0000-0000-0000B0580000}"/>
    <cellStyle name="Normal 7 2 4 3 3 2 2 2 2" xfId="38652" xr:uid="{00000000-0005-0000-0000-0000B1580000}"/>
    <cellStyle name="Normal 7 2 4 3 3 2 2 3" xfId="28795" xr:uid="{00000000-0005-0000-0000-0000B2580000}"/>
    <cellStyle name="Normal 7 2 4 3 3 2 3" xfId="14009" xr:uid="{00000000-0005-0000-0000-0000B3580000}"/>
    <cellStyle name="Normal 7 2 4 3 3 2 3 2" xfId="33724" xr:uid="{00000000-0005-0000-0000-0000B4580000}"/>
    <cellStyle name="Normal 7 2 4 3 3 2 4" xfId="23867" xr:uid="{00000000-0005-0000-0000-0000B5580000}"/>
    <cellStyle name="Normal 7 2 4 3 3 3" xfId="6613" xr:uid="{00000000-0005-0000-0000-0000B6580000}"/>
    <cellStyle name="Normal 7 2 4 3 3 3 2" xfId="16473" xr:uid="{00000000-0005-0000-0000-0000B7580000}"/>
    <cellStyle name="Normal 7 2 4 3 3 3 2 2" xfId="36188" xr:uid="{00000000-0005-0000-0000-0000B8580000}"/>
    <cellStyle name="Normal 7 2 4 3 3 3 3" xfId="26331" xr:uid="{00000000-0005-0000-0000-0000B9580000}"/>
    <cellStyle name="Normal 7 2 4 3 3 4" xfId="11545" xr:uid="{00000000-0005-0000-0000-0000BA580000}"/>
    <cellStyle name="Normal 7 2 4 3 3 4 2" xfId="31260" xr:uid="{00000000-0005-0000-0000-0000BB580000}"/>
    <cellStyle name="Normal 7 2 4 3 3 5" xfId="21403" xr:uid="{00000000-0005-0000-0000-0000BC580000}"/>
    <cellStyle name="Normal 7 2 4 3 4" xfId="2913" xr:uid="{00000000-0005-0000-0000-0000BD580000}"/>
    <cellStyle name="Normal 7 2 4 3 4 2" xfId="7845" xr:uid="{00000000-0005-0000-0000-0000BE580000}"/>
    <cellStyle name="Normal 7 2 4 3 4 2 2" xfId="17705" xr:uid="{00000000-0005-0000-0000-0000BF580000}"/>
    <cellStyle name="Normal 7 2 4 3 4 2 2 2" xfId="37420" xr:uid="{00000000-0005-0000-0000-0000C0580000}"/>
    <cellStyle name="Normal 7 2 4 3 4 2 3" xfId="27563" xr:uid="{00000000-0005-0000-0000-0000C1580000}"/>
    <cellStyle name="Normal 7 2 4 3 4 3" xfId="12777" xr:uid="{00000000-0005-0000-0000-0000C2580000}"/>
    <cellStyle name="Normal 7 2 4 3 4 3 2" xfId="32492" xr:uid="{00000000-0005-0000-0000-0000C3580000}"/>
    <cellStyle name="Normal 7 2 4 3 4 4" xfId="22635" xr:uid="{00000000-0005-0000-0000-0000C4580000}"/>
    <cellStyle name="Normal 7 2 4 3 5" xfId="5381" xr:uid="{00000000-0005-0000-0000-0000C5580000}"/>
    <cellStyle name="Normal 7 2 4 3 5 2" xfId="15241" xr:uid="{00000000-0005-0000-0000-0000C6580000}"/>
    <cellStyle name="Normal 7 2 4 3 5 2 2" xfId="34956" xr:uid="{00000000-0005-0000-0000-0000C7580000}"/>
    <cellStyle name="Normal 7 2 4 3 5 3" xfId="25099" xr:uid="{00000000-0005-0000-0000-0000C8580000}"/>
    <cellStyle name="Normal 7 2 4 3 6" xfId="10313" xr:uid="{00000000-0005-0000-0000-0000C9580000}"/>
    <cellStyle name="Normal 7 2 4 3 6 2" xfId="30028" xr:uid="{00000000-0005-0000-0000-0000CA580000}"/>
    <cellStyle name="Normal 7 2 4 3 7" xfId="20171" xr:uid="{00000000-0005-0000-0000-0000CB580000}"/>
    <cellStyle name="Normal 7 2 4 4" xfId="752" xr:uid="{00000000-0005-0000-0000-0000CC580000}"/>
    <cellStyle name="Normal 7 2 4 4 2" xfId="1988" xr:uid="{00000000-0005-0000-0000-0000CD580000}"/>
    <cellStyle name="Normal 7 2 4 4 2 2" xfId="4455" xr:uid="{00000000-0005-0000-0000-0000CE580000}"/>
    <cellStyle name="Normal 7 2 4 4 2 2 2" xfId="9387" xr:uid="{00000000-0005-0000-0000-0000CF580000}"/>
    <cellStyle name="Normal 7 2 4 4 2 2 2 2" xfId="19247" xr:uid="{00000000-0005-0000-0000-0000D0580000}"/>
    <cellStyle name="Normal 7 2 4 4 2 2 2 2 2" xfId="38962" xr:uid="{00000000-0005-0000-0000-0000D1580000}"/>
    <cellStyle name="Normal 7 2 4 4 2 2 2 3" xfId="29105" xr:uid="{00000000-0005-0000-0000-0000D2580000}"/>
    <cellStyle name="Normal 7 2 4 4 2 2 3" xfId="14319" xr:uid="{00000000-0005-0000-0000-0000D3580000}"/>
    <cellStyle name="Normal 7 2 4 4 2 2 3 2" xfId="34034" xr:uid="{00000000-0005-0000-0000-0000D4580000}"/>
    <cellStyle name="Normal 7 2 4 4 2 2 4" xfId="24177" xr:uid="{00000000-0005-0000-0000-0000D5580000}"/>
    <cellStyle name="Normal 7 2 4 4 2 3" xfId="6923" xr:uid="{00000000-0005-0000-0000-0000D6580000}"/>
    <cellStyle name="Normal 7 2 4 4 2 3 2" xfId="16783" xr:uid="{00000000-0005-0000-0000-0000D7580000}"/>
    <cellStyle name="Normal 7 2 4 4 2 3 2 2" xfId="36498" xr:uid="{00000000-0005-0000-0000-0000D8580000}"/>
    <cellStyle name="Normal 7 2 4 4 2 3 3" xfId="26641" xr:uid="{00000000-0005-0000-0000-0000D9580000}"/>
    <cellStyle name="Normal 7 2 4 4 2 4" xfId="11855" xr:uid="{00000000-0005-0000-0000-0000DA580000}"/>
    <cellStyle name="Normal 7 2 4 4 2 4 2" xfId="31570" xr:uid="{00000000-0005-0000-0000-0000DB580000}"/>
    <cellStyle name="Normal 7 2 4 4 2 5" xfId="21713" xr:uid="{00000000-0005-0000-0000-0000DC580000}"/>
    <cellStyle name="Normal 7 2 4 4 3" xfId="3223" xr:uid="{00000000-0005-0000-0000-0000DD580000}"/>
    <cellStyle name="Normal 7 2 4 4 3 2" xfId="8155" xr:uid="{00000000-0005-0000-0000-0000DE580000}"/>
    <cellStyle name="Normal 7 2 4 4 3 2 2" xfId="18015" xr:uid="{00000000-0005-0000-0000-0000DF580000}"/>
    <cellStyle name="Normal 7 2 4 4 3 2 2 2" xfId="37730" xr:uid="{00000000-0005-0000-0000-0000E0580000}"/>
    <cellStyle name="Normal 7 2 4 4 3 2 3" xfId="27873" xr:uid="{00000000-0005-0000-0000-0000E1580000}"/>
    <cellStyle name="Normal 7 2 4 4 3 3" xfId="13087" xr:uid="{00000000-0005-0000-0000-0000E2580000}"/>
    <cellStyle name="Normal 7 2 4 4 3 3 2" xfId="32802" xr:uid="{00000000-0005-0000-0000-0000E3580000}"/>
    <cellStyle name="Normal 7 2 4 4 3 4" xfId="22945" xr:uid="{00000000-0005-0000-0000-0000E4580000}"/>
    <cellStyle name="Normal 7 2 4 4 4" xfId="5691" xr:uid="{00000000-0005-0000-0000-0000E5580000}"/>
    <cellStyle name="Normal 7 2 4 4 4 2" xfId="15551" xr:uid="{00000000-0005-0000-0000-0000E6580000}"/>
    <cellStyle name="Normal 7 2 4 4 4 2 2" xfId="35266" xr:uid="{00000000-0005-0000-0000-0000E7580000}"/>
    <cellStyle name="Normal 7 2 4 4 4 3" xfId="25409" xr:uid="{00000000-0005-0000-0000-0000E8580000}"/>
    <cellStyle name="Normal 7 2 4 4 5" xfId="10623" xr:uid="{00000000-0005-0000-0000-0000E9580000}"/>
    <cellStyle name="Normal 7 2 4 4 5 2" xfId="30338" xr:uid="{00000000-0005-0000-0000-0000EA580000}"/>
    <cellStyle name="Normal 7 2 4 4 6" xfId="20481" xr:uid="{00000000-0005-0000-0000-0000EB580000}"/>
    <cellStyle name="Normal 7 2 4 5" xfId="1372" xr:uid="{00000000-0005-0000-0000-0000EC580000}"/>
    <cellStyle name="Normal 7 2 4 5 2" xfId="3839" xr:uid="{00000000-0005-0000-0000-0000ED580000}"/>
    <cellStyle name="Normal 7 2 4 5 2 2" xfId="8771" xr:uid="{00000000-0005-0000-0000-0000EE580000}"/>
    <cellStyle name="Normal 7 2 4 5 2 2 2" xfId="18631" xr:uid="{00000000-0005-0000-0000-0000EF580000}"/>
    <cellStyle name="Normal 7 2 4 5 2 2 2 2" xfId="38346" xr:uid="{00000000-0005-0000-0000-0000F0580000}"/>
    <cellStyle name="Normal 7 2 4 5 2 2 3" xfId="28489" xr:uid="{00000000-0005-0000-0000-0000F1580000}"/>
    <cellStyle name="Normal 7 2 4 5 2 3" xfId="13703" xr:uid="{00000000-0005-0000-0000-0000F2580000}"/>
    <cellStyle name="Normal 7 2 4 5 2 3 2" xfId="33418" xr:uid="{00000000-0005-0000-0000-0000F3580000}"/>
    <cellStyle name="Normal 7 2 4 5 2 4" xfId="23561" xr:uid="{00000000-0005-0000-0000-0000F4580000}"/>
    <cellStyle name="Normal 7 2 4 5 3" xfId="6307" xr:uid="{00000000-0005-0000-0000-0000F5580000}"/>
    <cellStyle name="Normal 7 2 4 5 3 2" xfId="16167" xr:uid="{00000000-0005-0000-0000-0000F6580000}"/>
    <cellStyle name="Normal 7 2 4 5 3 2 2" xfId="35882" xr:uid="{00000000-0005-0000-0000-0000F7580000}"/>
    <cellStyle name="Normal 7 2 4 5 3 3" xfId="26025" xr:uid="{00000000-0005-0000-0000-0000F8580000}"/>
    <cellStyle name="Normal 7 2 4 5 4" xfId="11239" xr:uid="{00000000-0005-0000-0000-0000F9580000}"/>
    <cellStyle name="Normal 7 2 4 5 4 2" xfId="30954" xr:uid="{00000000-0005-0000-0000-0000FA580000}"/>
    <cellStyle name="Normal 7 2 4 5 5" xfId="21097" xr:uid="{00000000-0005-0000-0000-0000FB580000}"/>
    <cellStyle name="Normal 7 2 4 6" xfId="2607" xr:uid="{00000000-0005-0000-0000-0000FC580000}"/>
    <cellStyle name="Normal 7 2 4 6 2" xfId="7539" xr:uid="{00000000-0005-0000-0000-0000FD580000}"/>
    <cellStyle name="Normal 7 2 4 6 2 2" xfId="17399" xr:uid="{00000000-0005-0000-0000-0000FE580000}"/>
    <cellStyle name="Normal 7 2 4 6 2 2 2" xfId="37114" xr:uid="{00000000-0005-0000-0000-0000FF580000}"/>
    <cellStyle name="Normal 7 2 4 6 2 3" xfId="27257" xr:uid="{00000000-0005-0000-0000-000000590000}"/>
    <cellStyle name="Normal 7 2 4 6 3" xfId="12471" xr:uid="{00000000-0005-0000-0000-000001590000}"/>
    <cellStyle name="Normal 7 2 4 6 3 2" xfId="32186" xr:uid="{00000000-0005-0000-0000-000002590000}"/>
    <cellStyle name="Normal 7 2 4 6 4" xfId="22329" xr:uid="{00000000-0005-0000-0000-000003590000}"/>
    <cellStyle name="Normal 7 2 4 7" xfId="5075" xr:uid="{00000000-0005-0000-0000-000004590000}"/>
    <cellStyle name="Normal 7 2 4 7 2" xfId="14935" xr:uid="{00000000-0005-0000-0000-000005590000}"/>
    <cellStyle name="Normal 7 2 4 7 2 2" xfId="34650" xr:uid="{00000000-0005-0000-0000-000006590000}"/>
    <cellStyle name="Normal 7 2 4 7 3" xfId="24793" xr:uid="{00000000-0005-0000-0000-000007590000}"/>
    <cellStyle name="Normal 7 2 4 8" xfId="10007" xr:uid="{00000000-0005-0000-0000-000008590000}"/>
    <cellStyle name="Normal 7 2 4 8 2" xfId="29722" xr:uid="{00000000-0005-0000-0000-000009590000}"/>
    <cellStyle name="Normal 7 2 4 9" xfId="19865" xr:uid="{00000000-0005-0000-0000-00000A590000}"/>
    <cellStyle name="Normal 7 2 5" xfId="201" xr:uid="{00000000-0005-0000-0000-00000B590000}"/>
    <cellStyle name="Normal 7 2 5 2" xfId="515" xr:uid="{00000000-0005-0000-0000-00000C590000}"/>
    <cellStyle name="Normal 7 2 5 2 2" xfId="1135" xr:uid="{00000000-0005-0000-0000-00000D590000}"/>
    <cellStyle name="Normal 7 2 5 2 2 2" xfId="2370" xr:uid="{00000000-0005-0000-0000-00000E590000}"/>
    <cellStyle name="Normal 7 2 5 2 2 2 2" xfId="4837" xr:uid="{00000000-0005-0000-0000-00000F590000}"/>
    <cellStyle name="Normal 7 2 5 2 2 2 2 2" xfId="9769" xr:uid="{00000000-0005-0000-0000-000010590000}"/>
    <cellStyle name="Normal 7 2 5 2 2 2 2 2 2" xfId="19629" xr:uid="{00000000-0005-0000-0000-000011590000}"/>
    <cellStyle name="Normal 7 2 5 2 2 2 2 2 2 2" xfId="39344" xr:uid="{00000000-0005-0000-0000-000012590000}"/>
    <cellStyle name="Normal 7 2 5 2 2 2 2 2 3" xfId="29487" xr:uid="{00000000-0005-0000-0000-000013590000}"/>
    <cellStyle name="Normal 7 2 5 2 2 2 2 3" xfId="14701" xr:uid="{00000000-0005-0000-0000-000014590000}"/>
    <cellStyle name="Normal 7 2 5 2 2 2 2 3 2" xfId="34416" xr:uid="{00000000-0005-0000-0000-000015590000}"/>
    <cellStyle name="Normal 7 2 5 2 2 2 2 4" xfId="24559" xr:uid="{00000000-0005-0000-0000-000016590000}"/>
    <cellStyle name="Normal 7 2 5 2 2 2 3" xfId="7305" xr:uid="{00000000-0005-0000-0000-000017590000}"/>
    <cellStyle name="Normal 7 2 5 2 2 2 3 2" xfId="17165" xr:uid="{00000000-0005-0000-0000-000018590000}"/>
    <cellStyle name="Normal 7 2 5 2 2 2 3 2 2" xfId="36880" xr:uid="{00000000-0005-0000-0000-000019590000}"/>
    <cellStyle name="Normal 7 2 5 2 2 2 3 3" xfId="27023" xr:uid="{00000000-0005-0000-0000-00001A590000}"/>
    <cellStyle name="Normal 7 2 5 2 2 2 4" xfId="12237" xr:uid="{00000000-0005-0000-0000-00001B590000}"/>
    <cellStyle name="Normal 7 2 5 2 2 2 4 2" xfId="31952" xr:uid="{00000000-0005-0000-0000-00001C590000}"/>
    <cellStyle name="Normal 7 2 5 2 2 2 5" xfId="22095" xr:uid="{00000000-0005-0000-0000-00001D590000}"/>
    <cellStyle name="Normal 7 2 5 2 2 3" xfId="3605" xr:uid="{00000000-0005-0000-0000-00001E590000}"/>
    <cellStyle name="Normal 7 2 5 2 2 3 2" xfId="8537" xr:uid="{00000000-0005-0000-0000-00001F590000}"/>
    <cellStyle name="Normal 7 2 5 2 2 3 2 2" xfId="18397" xr:uid="{00000000-0005-0000-0000-000020590000}"/>
    <cellStyle name="Normal 7 2 5 2 2 3 2 2 2" xfId="38112" xr:uid="{00000000-0005-0000-0000-000021590000}"/>
    <cellStyle name="Normal 7 2 5 2 2 3 2 3" xfId="28255" xr:uid="{00000000-0005-0000-0000-000022590000}"/>
    <cellStyle name="Normal 7 2 5 2 2 3 3" xfId="13469" xr:uid="{00000000-0005-0000-0000-000023590000}"/>
    <cellStyle name="Normal 7 2 5 2 2 3 3 2" xfId="33184" xr:uid="{00000000-0005-0000-0000-000024590000}"/>
    <cellStyle name="Normal 7 2 5 2 2 3 4" xfId="23327" xr:uid="{00000000-0005-0000-0000-000025590000}"/>
    <cellStyle name="Normal 7 2 5 2 2 4" xfId="6073" xr:uid="{00000000-0005-0000-0000-000026590000}"/>
    <cellStyle name="Normal 7 2 5 2 2 4 2" xfId="15933" xr:uid="{00000000-0005-0000-0000-000027590000}"/>
    <cellStyle name="Normal 7 2 5 2 2 4 2 2" xfId="35648" xr:uid="{00000000-0005-0000-0000-000028590000}"/>
    <cellStyle name="Normal 7 2 5 2 2 4 3" xfId="25791" xr:uid="{00000000-0005-0000-0000-000029590000}"/>
    <cellStyle name="Normal 7 2 5 2 2 5" xfId="11005" xr:uid="{00000000-0005-0000-0000-00002A590000}"/>
    <cellStyle name="Normal 7 2 5 2 2 5 2" xfId="30720" xr:uid="{00000000-0005-0000-0000-00002B590000}"/>
    <cellStyle name="Normal 7 2 5 2 2 6" xfId="20863" xr:uid="{00000000-0005-0000-0000-00002C590000}"/>
    <cellStyle name="Normal 7 2 5 2 3" xfId="1754" xr:uid="{00000000-0005-0000-0000-00002D590000}"/>
    <cellStyle name="Normal 7 2 5 2 3 2" xfId="4221" xr:uid="{00000000-0005-0000-0000-00002E590000}"/>
    <cellStyle name="Normal 7 2 5 2 3 2 2" xfId="9153" xr:uid="{00000000-0005-0000-0000-00002F590000}"/>
    <cellStyle name="Normal 7 2 5 2 3 2 2 2" xfId="19013" xr:uid="{00000000-0005-0000-0000-000030590000}"/>
    <cellStyle name="Normal 7 2 5 2 3 2 2 2 2" xfId="38728" xr:uid="{00000000-0005-0000-0000-000031590000}"/>
    <cellStyle name="Normal 7 2 5 2 3 2 2 3" xfId="28871" xr:uid="{00000000-0005-0000-0000-000032590000}"/>
    <cellStyle name="Normal 7 2 5 2 3 2 3" xfId="14085" xr:uid="{00000000-0005-0000-0000-000033590000}"/>
    <cellStyle name="Normal 7 2 5 2 3 2 3 2" xfId="33800" xr:uid="{00000000-0005-0000-0000-000034590000}"/>
    <cellStyle name="Normal 7 2 5 2 3 2 4" xfId="23943" xr:uid="{00000000-0005-0000-0000-000035590000}"/>
    <cellStyle name="Normal 7 2 5 2 3 3" xfId="6689" xr:uid="{00000000-0005-0000-0000-000036590000}"/>
    <cellStyle name="Normal 7 2 5 2 3 3 2" xfId="16549" xr:uid="{00000000-0005-0000-0000-000037590000}"/>
    <cellStyle name="Normal 7 2 5 2 3 3 2 2" xfId="36264" xr:uid="{00000000-0005-0000-0000-000038590000}"/>
    <cellStyle name="Normal 7 2 5 2 3 3 3" xfId="26407" xr:uid="{00000000-0005-0000-0000-000039590000}"/>
    <cellStyle name="Normal 7 2 5 2 3 4" xfId="11621" xr:uid="{00000000-0005-0000-0000-00003A590000}"/>
    <cellStyle name="Normal 7 2 5 2 3 4 2" xfId="31336" xr:uid="{00000000-0005-0000-0000-00003B590000}"/>
    <cellStyle name="Normal 7 2 5 2 3 5" xfId="21479" xr:uid="{00000000-0005-0000-0000-00003C590000}"/>
    <cellStyle name="Normal 7 2 5 2 4" xfId="2989" xr:uid="{00000000-0005-0000-0000-00003D590000}"/>
    <cellStyle name="Normal 7 2 5 2 4 2" xfId="7921" xr:uid="{00000000-0005-0000-0000-00003E590000}"/>
    <cellStyle name="Normal 7 2 5 2 4 2 2" xfId="17781" xr:uid="{00000000-0005-0000-0000-00003F590000}"/>
    <cellStyle name="Normal 7 2 5 2 4 2 2 2" xfId="37496" xr:uid="{00000000-0005-0000-0000-000040590000}"/>
    <cellStyle name="Normal 7 2 5 2 4 2 3" xfId="27639" xr:uid="{00000000-0005-0000-0000-000041590000}"/>
    <cellStyle name="Normal 7 2 5 2 4 3" xfId="12853" xr:uid="{00000000-0005-0000-0000-000042590000}"/>
    <cellStyle name="Normal 7 2 5 2 4 3 2" xfId="32568" xr:uid="{00000000-0005-0000-0000-000043590000}"/>
    <cellStyle name="Normal 7 2 5 2 4 4" xfId="22711" xr:uid="{00000000-0005-0000-0000-000044590000}"/>
    <cellStyle name="Normal 7 2 5 2 5" xfId="5457" xr:uid="{00000000-0005-0000-0000-000045590000}"/>
    <cellStyle name="Normal 7 2 5 2 5 2" xfId="15317" xr:uid="{00000000-0005-0000-0000-000046590000}"/>
    <cellStyle name="Normal 7 2 5 2 5 2 2" xfId="35032" xr:uid="{00000000-0005-0000-0000-000047590000}"/>
    <cellStyle name="Normal 7 2 5 2 5 3" xfId="25175" xr:uid="{00000000-0005-0000-0000-000048590000}"/>
    <cellStyle name="Normal 7 2 5 2 6" xfId="10389" xr:uid="{00000000-0005-0000-0000-000049590000}"/>
    <cellStyle name="Normal 7 2 5 2 6 2" xfId="30104" xr:uid="{00000000-0005-0000-0000-00004A590000}"/>
    <cellStyle name="Normal 7 2 5 2 7" xfId="20247" xr:uid="{00000000-0005-0000-0000-00004B590000}"/>
    <cellStyle name="Normal 7 2 5 3" xfId="828" xr:uid="{00000000-0005-0000-0000-00004C590000}"/>
    <cellStyle name="Normal 7 2 5 3 2" xfId="2064" xr:uid="{00000000-0005-0000-0000-00004D590000}"/>
    <cellStyle name="Normal 7 2 5 3 2 2" xfId="4531" xr:uid="{00000000-0005-0000-0000-00004E590000}"/>
    <cellStyle name="Normal 7 2 5 3 2 2 2" xfId="9463" xr:uid="{00000000-0005-0000-0000-00004F590000}"/>
    <cellStyle name="Normal 7 2 5 3 2 2 2 2" xfId="19323" xr:uid="{00000000-0005-0000-0000-000050590000}"/>
    <cellStyle name="Normal 7 2 5 3 2 2 2 2 2" xfId="39038" xr:uid="{00000000-0005-0000-0000-000051590000}"/>
    <cellStyle name="Normal 7 2 5 3 2 2 2 3" xfId="29181" xr:uid="{00000000-0005-0000-0000-000052590000}"/>
    <cellStyle name="Normal 7 2 5 3 2 2 3" xfId="14395" xr:uid="{00000000-0005-0000-0000-000053590000}"/>
    <cellStyle name="Normal 7 2 5 3 2 2 3 2" xfId="34110" xr:uid="{00000000-0005-0000-0000-000054590000}"/>
    <cellStyle name="Normal 7 2 5 3 2 2 4" xfId="24253" xr:uid="{00000000-0005-0000-0000-000055590000}"/>
    <cellStyle name="Normal 7 2 5 3 2 3" xfId="6999" xr:uid="{00000000-0005-0000-0000-000056590000}"/>
    <cellStyle name="Normal 7 2 5 3 2 3 2" xfId="16859" xr:uid="{00000000-0005-0000-0000-000057590000}"/>
    <cellStyle name="Normal 7 2 5 3 2 3 2 2" xfId="36574" xr:uid="{00000000-0005-0000-0000-000058590000}"/>
    <cellStyle name="Normal 7 2 5 3 2 3 3" xfId="26717" xr:uid="{00000000-0005-0000-0000-000059590000}"/>
    <cellStyle name="Normal 7 2 5 3 2 4" xfId="11931" xr:uid="{00000000-0005-0000-0000-00005A590000}"/>
    <cellStyle name="Normal 7 2 5 3 2 4 2" xfId="31646" xr:uid="{00000000-0005-0000-0000-00005B590000}"/>
    <cellStyle name="Normal 7 2 5 3 2 5" xfId="21789" xr:uid="{00000000-0005-0000-0000-00005C590000}"/>
    <cellStyle name="Normal 7 2 5 3 3" xfId="3299" xr:uid="{00000000-0005-0000-0000-00005D590000}"/>
    <cellStyle name="Normal 7 2 5 3 3 2" xfId="8231" xr:uid="{00000000-0005-0000-0000-00005E590000}"/>
    <cellStyle name="Normal 7 2 5 3 3 2 2" xfId="18091" xr:uid="{00000000-0005-0000-0000-00005F590000}"/>
    <cellStyle name="Normal 7 2 5 3 3 2 2 2" xfId="37806" xr:uid="{00000000-0005-0000-0000-000060590000}"/>
    <cellStyle name="Normal 7 2 5 3 3 2 3" xfId="27949" xr:uid="{00000000-0005-0000-0000-000061590000}"/>
    <cellStyle name="Normal 7 2 5 3 3 3" xfId="13163" xr:uid="{00000000-0005-0000-0000-000062590000}"/>
    <cellStyle name="Normal 7 2 5 3 3 3 2" xfId="32878" xr:uid="{00000000-0005-0000-0000-000063590000}"/>
    <cellStyle name="Normal 7 2 5 3 3 4" xfId="23021" xr:uid="{00000000-0005-0000-0000-000064590000}"/>
    <cellStyle name="Normal 7 2 5 3 4" xfId="5767" xr:uid="{00000000-0005-0000-0000-000065590000}"/>
    <cellStyle name="Normal 7 2 5 3 4 2" xfId="15627" xr:uid="{00000000-0005-0000-0000-000066590000}"/>
    <cellStyle name="Normal 7 2 5 3 4 2 2" xfId="35342" xr:uid="{00000000-0005-0000-0000-000067590000}"/>
    <cellStyle name="Normal 7 2 5 3 4 3" xfId="25485" xr:uid="{00000000-0005-0000-0000-000068590000}"/>
    <cellStyle name="Normal 7 2 5 3 5" xfId="10699" xr:uid="{00000000-0005-0000-0000-000069590000}"/>
    <cellStyle name="Normal 7 2 5 3 5 2" xfId="30414" xr:uid="{00000000-0005-0000-0000-00006A590000}"/>
    <cellStyle name="Normal 7 2 5 3 6" xfId="20557" xr:uid="{00000000-0005-0000-0000-00006B590000}"/>
    <cellStyle name="Normal 7 2 5 4" xfId="1448" xr:uid="{00000000-0005-0000-0000-00006C590000}"/>
    <cellStyle name="Normal 7 2 5 4 2" xfId="3915" xr:uid="{00000000-0005-0000-0000-00006D590000}"/>
    <cellStyle name="Normal 7 2 5 4 2 2" xfId="8847" xr:uid="{00000000-0005-0000-0000-00006E590000}"/>
    <cellStyle name="Normal 7 2 5 4 2 2 2" xfId="18707" xr:uid="{00000000-0005-0000-0000-00006F590000}"/>
    <cellStyle name="Normal 7 2 5 4 2 2 2 2" xfId="38422" xr:uid="{00000000-0005-0000-0000-000070590000}"/>
    <cellStyle name="Normal 7 2 5 4 2 2 3" xfId="28565" xr:uid="{00000000-0005-0000-0000-000071590000}"/>
    <cellStyle name="Normal 7 2 5 4 2 3" xfId="13779" xr:uid="{00000000-0005-0000-0000-000072590000}"/>
    <cellStyle name="Normal 7 2 5 4 2 3 2" xfId="33494" xr:uid="{00000000-0005-0000-0000-000073590000}"/>
    <cellStyle name="Normal 7 2 5 4 2 4" xfId="23637" xr:uid="{00000000-0005-0000-0000-000074590000}"/>
    <cellStyle name="Normal 7 2 5 4 3" xfId="6383" xr:uid="{00000000-0005-0000-0000-000075590000}"/>
    <cellStyle name="Normal 7 2 5 4 3 2" xfId="16243" xr:uid="{00000000-0005-0000-0000-000076590000}"/>
    <cellStyle name="Normal 7 2 5 4 3 2 2" xfId="35958" xr:uid="{00000000-0005-0000-0000-000077590000}"/>
    <cellStyle name="Normal 7 2 5 4 3 3" xfId="26101" xr:uid="{00000000-0005-0000-0000-000078590000}"/>
    <cellStyle name="Normal 7 2 5 4 4" xfId="11315" xr:uid="{00000000-0005-0000-0000-000079590000}"/>
    <cellStyle name="Normal 7 2 5 4 4 2" xfId="31030" xr:uid="{00000000-0005-0000-0000-00007A590000}"/>
    <cellStyle name="Normal 7 2 5 4 5" xfId="21173" xr:uid="{00000000-0005-0000-0000-00007B590000}"/>
    <cellStyle name="Normal 7 2 5 5" xfId="2683" xr:uid="{00000000-0005-0000-0000-00007C590000}"/>
    <cellStyle name="Normal 7 2 5 5 2" xfId="7615" xr:uid="{00000000-0005-0000-0000-00007D590000}"/>
    <cellStyle name="Normal 7 2 5 5 2 2" xfId="17475" xr:uid="{00000000-0005-0000-0000-00007E590000}"/>
    <cellStyle name="Normal 7 2 5 5 2 2 2" xfId="37190" xr:uid="{00000000-0005-0000-0000-00007F590000}"/>
    <cellStyle name="Normal 7 2 5 5 2 3" xfId="27333" xr:uid="{00000000-0005-0000-0000-000080590000}"/>
    <cellStyle name="Normal 7 2 5 5 3" xfId="12547" xr:uid="{00000000-0005-0000-0000-000081590000}"/>
    <cellStyle name="Normal 7 2 5 5 3 2" xfId="32262" xr:uid="{00000000-0005-0000-0000-000082590000}"/>
    <cellStyle name="Normal 7 2 5 5 4" xfId="22405" xr:uid="{00000000-0005-0000-0000-000083590000}"/>
    <cellStyle name="Normal 7 2 5 6" xfId="5151" xr:uid="{00000000-0005-0000-0000-000084590000}"/>
    <cellStyle name="Normal 7 2 5 6 2" xfId="15011" xr:uid="{00000000-0005-0000-0000-000085590000}"/>
    <cellStyle name="Normal 7 2 5 6 2 2" xfId="34726" xr:uid="{00000000-0005-0000-0000-000086590000}"/>
    <cellStyle name="Normal 7 2 5 6 3" xfId="24869" xr:uid="{00000000-0005-0000-0000-000087590000}"/>
    <cellStyle name="Normal 7 2 5 7" xfId="10083" xr:uid="{00000000-0005-0000-0000-000088590000}"/>
    <cellStyle name="Normal 7 2 5 7 2" xfId="29798" xr:uid="{00000000-0005-0000-0000-000089590000}"/>
    <cellStyle name="Normal 7 2 5 8" xfId="19941" xr:uid="{00000000-0005-0000-0000-00008A590000}"/>
    <cellStyle name="Normal 7 2 6" xfId="363" xr:uid="{00000000-0005-0000-0000-00008B590000}"/>
    <cellStyle name="Normal 7 2 6 2" xfId="983" xr:uid="{00000000-0005-0000-0000-00008C590000}"/>
    <cellStyle name="Normal 7 2 6 2 2" xfId="2218" xr:uid="{00000000-0005-0000-0000-00008D590000}"/>
    <cellStyle name="Normal 7 2 6 2 2 2" xfId="4685" xr:uid="{00000000-0005-0000-0000-00008E590000}"/>
    <cellStyle name="Normal 7 2 6 2 2 2 2" xfId="9617" xr:uid="{00000000-0005-0000-0000-00008F590000}"/>
    <cellStyle name="Normal 7 2 6 2 2 2 2 2" xfId="19477" xr:uid="{00000000-0005-0000-0000-000090590000}"/>
    <cellStyle name="Normal 7 2 6 2 2 2 2 2 2" xfId="39192" xr:uid="{00000000-0005-0000-0000-000091590000}"/>
    <cellStyle name="Normal 7 2 6 2 2 2 2 3" xfId="29335" xr:uid="{00000000-0005-0000-0000-000092590000}"/>
    <cellStyle name="Normal 7 2 6 2 2 2 3" xfId="14549" xr:uid="{00000000-0005-0000-0000-000093590000}"/>
    <cellStyle name="Normal 7 2 6 2 2 2 3 2" xfId="34264" xr:uid="{00000000-0005-0000-0000-000094590000}"/>
    <cellStyle name="Normal 7 2 6 2 2 2 4" xfId="24407" xr:uid="{00000000-0005-0000-0000-000095590000}"/>
    <cellStyle name="Normal 7 2 6 2 2 3" xfId="7153" xr:uid="{00000000-0005-0000-0000-000096590000}"/>
    <cellStyle name="Normal 7 2 6 2 2 3 2" xfId="17013" xr:uid="{00000000-0005-0000-0000-000097590000}"/>
    <cellStyle name="Normal 7 2 6 2 2 3 2 2" xfId="36728" xr:uid="{00000000-0005-0000-0000-000098590000}"/>
    <cellStyle name="Normal 7 2 6 2 2 3 3" xfId="26871" xr:uid="{00000000-0005-0000-0000-000099590000}"/>
    <cellStyle name="Normal 7 2 6 2 2 4" xfId="12085" xr:uid="{00000000-0005-0000-0000-00009A590000}"/>
    <cellStyle name="Normal 7 2 6 2 2 4 2" xfId="31800" xr:uid="{00000000-0005-0000-0000-00009B590000}"/>
    <cellStyle name="Normal 7 2 6 2 2 5" xfId="21943" xr:uid="{00000000-0005-0000-0000-00009C590000}"/>
    <cellStyle name="Normal 7 2 6 2 3" xfId="3453" xr:uid="{00000000-0005-0000-0000-00009D590000}"/>
    <cellStyle name="Normal 7 2 6 2 3 2" xfId="8385" xr:uid="{00000000-0005-0000-0000-00009E590000}"/>
    <cellStyle name="Normal 7 2 6 2 3 2 2" xfId="18245" xr:uid="{00000000-0005-0000-0000-00009F590000}"/>
    <cellStyle name="Normal 7 2 6 2 3 2 2 2" xfId="37960" xr:uid="{00000000-0005-0000-0000-0000A0590000}"/>
    <cellStyle name="Normal 7 2 6 2 3 2 3" xfId="28103" xr:uid="{00000000-0005-0000-0000-0000A1590000}"/>
    <cellStyle name="Normal 7 2 6 2 3 3" xfId="13317" xr:uid="{00000000-0005-0000-0000-0000A2590000}"/>
    <cellStyle name="Normal 7 2 6 2 3 3 2" xfId="33032" xr:uid="{00000000-0005-0000-0000-0000A3590000}"/>
    <cellStyle name="Normal 7 2 6 2 3 4" xfId="23175" xr:uid="{00000000-0005-0000-0000-0000A4590000}"/>
    <cellStyle name="Normal 7 2 6 2 4" xfId="5921" xr:uid="{00000000-0005-0000-0000-0000A5590000}"/>
    <cellStyle name="Normal 7 2 6 2 4 2" xfId="15781" xr:uid="{00000000-0005-0000-0000-0000A6590000}"/>
    <cellStyle name="Normal 7 2 6 2 4 2 2" xfId="35496" xr:uid="{00000000-0005-0000-0000-0000A7590000}"/>
    <cellStyle name="Normal 7 2 6 2 4 3" xfId="25639" xr:uid="{00000000-0005-0000-0000-0000A8590000}"/>
    <cellStyle name="Normal 7 2 6 2 5" xfId="10853" xr:uid="{00000000-0005-0000-0000-0000A9590000}"/>
    <cellStyle name="Normal 7 2 6 2 5 2" xfId="30568" xr:uid="{00000000-0005-0000-0000-0000AA590000}"/>
    <cellStyle name="Normal 7 2 6 2 6" xfId="20711" xr:uid="{00000000-0005-0000-0000-0000AB590000}"/>
    <cellStyle name="Normal 7 2 6 3" xfId="1602" xr:uid="{00000000-0005-0000-0000-0000AC590000}"/>
    <cellStyle name="Normal 7 2 6 3 2" xfId="4069" xr:uid="{00000000-0005-0000-0000-0000AD590000}"/>
    <cellStyle name="Normal 7 2 6 3 2 2" xfId="9001" xr:uid="{00000000-0005-0000-0000-0000AE590000}"/>
    <cellStyle name="Normal 7 2 6 3 2 2 2" xfId="18861" xr:uid="{00000000-0005-0000-0000-0000AF590000}"/>
    <cellStyle name="Normal 7 2 6 3 2 2 2 2" xfId="38576" xr:uid="{00000000-0005-0000-0000-0000B0590000}"/>
    <cellStyle name="Normal 7 2 6 3 2 2 3" xfId="28719" xr:uid="{00000000-0005-0000-0000-0000B1590000}"/>
    <cellStyle name="Normal 7 2 6 3 2 3" xfId="13933" xr:uid="{00000000-0005-0000-0000-0000B2590000}"/>
    <cellStyle name="Normal 7 2 6 3 2 3 2" xfId="33648" xr:uid="{00000000-0005-0000-0000-0000B3590000}"/>
    <cellStyle name="Normal 7 2 6 3 2 4" xfId="23791" xr:uid="{00000000-0005-0000-0000-0000B4590000}"/>
    <cellStyle name="Normal 7 2 6 3 3" xfId="6537" xr:uid="{00000000-0005-0000-0000-0000B5590000}"/>
    <cellStyle name="Normal 7 2 6 3 3 2" xfId="16397" xr:uid="{00000000-0005-0000-0000-0000B6590000}"/>
    <cellStyle name="Normal 7 2 6 3 3 2 2" xfId="36112" xr:uid="{00000000-0005-0000-0000-0000B7590000}"/>
    <cellStyle name="Normal 7 2 6 3 3 3" xfId="26255" xr:uid="{00000000-0005-0000-0000-0000B8590000}"/>
    <cellStyle name="Normal 7 2 6 3 4" xfId="11469" xr:uid="{00000000-0005-0000-0000-0000B9590000}"/>
    <cellStyle name="Normal 7 2 6 3 4 2" xfId="31184" xr:uid="{00000000-0005-0000-0000-0000BA590000}"/>
    <cellStyle name="Normal 7 2 6 3 5" xfId="21327" xr:uid="{00000000-0005-0000-0000-0000BB590000}"/>
    <cellStyle name="Normal 7 2 6 4" xfId="2837" xr:uid="{00000000-0005-0000-0000-0000BC590000}"/>
    <cellStyle name="Normal 7 2 6 4 2" xfId="7769" xr:uid="{00000000-0005-0000-0000-0000BD590000}"/>
    <cellStyle name="Normal 7 2 6 4 2 2" xfId="17629" xr:uid="{00000000-0005-0000-0000-0000BE590000}"/>
    <cellStyle name="Normal 7 2 6 4 2 2 2" xfId="37344" xr:uid="{00000000-0005-0000-0000-0000BF590000}"/>
    <cellStyle name="Normal 7 2 6 4 2 3" xfId="27487" xr:uid="{00000000-0005-0000-0000-0000C0590000}"/>
    <cellStyle name="Normal 7 2 6 4 3" xfId="12701" xr:uid="{00000000-0005-0000-0000-0000C1590000}"/>
    <cellStyle name="Normal 7 2 6 4 3 2" xfId="32416" xr:uid="{00000000-0005-0000-0000-0000C2590000}"/>
    <cellStyle name="Normal 7 2 6 4 4" xfId="22559" xr:uid="{00000000-0005-0000-0000-0000C3590000}"/>
    <cellStyle name="Normal 7 2 6 5" xfId="5305" xr:uid="{00000000-0005-0000-0000-0000C4590000}"/>
    <cellStyle name="Normal 7 2 6 5 2" xfId="15165" xr:uid="{00000000-0005-0000-0000-0000C5590000}"/>
    <cellStyle name="Normal 7 2 6 5 2 2" xfId="34880" xr:uid="{00000000-0005-0000-0000-0000C6590000}"/>
    <cellStyle name="Normal 7 2 6 5 3" xfId="25023" xr:uid="{00000000-0005-0000-0000-0000C7590000}"/>
    <cellStyle name="Normal 7 2 6 6" xfId="10237" xr:uid="{00000000-0005-0000-0000-0000C8590000}"/>
    <cellStyle name="Normal 7 2 6 6 2" xfId="29952" xr:uid="{00000000-0005-0000-0000-0000C9590000}"/>
    <cellStyle name="Normal 7 2 6 7" xfId="20095" xr:uid="{00000000-0005-0000-0000-0000CA590000}"/>
    <cellStyle name="Normal 7 2 7" xfId="676" xr:uid="{00000000-0005-0000-0000-0000CB590000}"/>
    <cellStyle name="Normal 7 2 7 2" xfId="1912" xr:uid="{00000000-0005-0000-0000-0000CC590000}"/>
    <cellStyle name="Normal 7 2 7 2 2" xfId="4379" xr:uid="{00000000-0005-0000-0000-0000CD590000}"/>
    <cellStyle name="Normal 7 2 7 2 2 2" xfId="9311" xr:uid="{00000000-0005-0000-0000-0000CE590000}"/>
    <cellStyle name="Normal 7 2 7 2 2 2 2" xfId="19171" xr:uid="{00000000-0005-0000-0000-0000CF590000}"/>
    <cellStyle name="Normal 7 2 7 2 2 2 2 2" xfId="38886" xr:uid="{00000000-0005-0000-0000-0000D0590000}"/>
    <cellStyle name="Normal 7 2 7 2 2 2 3" xfId="29029" xr:uid="{00000000-0005-0000-0000-0000D1590000}"/>
    <cellStyle name="Normal 7 2 7 2 2 3" xfId="14243" xr:uid="{00000000-0005-0000-0000-0000D2590000}"/>
    <cellStyle name="Normal 7 2 7 2 2 3 2" xfId="33958" xr:uid="{00000000-0005-0000-0000-0000D3590000}"/>
    <cellStyle name="Normal 7 2 7 2 2 4" xfId="24101" xr:uid="{00000000-0005-0000-0000-0000D4590000}"/>
    <cellStyle name="Normal 7 2 7 2 3" xfId="6847" xr:uid="{00000000-0005-0000-0000-0000D5590000}"/>
    <cellStyle name="Normal 7 2 7 2 3 2" xfId="16707" xr:uid="{00000000-0005-0000-0000-0000D6590000}"/>
    <cellStyle name="Normal 7 2 7 2 3 2 2" xfId="36422" xr:uid="{00000000-0005-0000-0000-0000D7590000}"/>
    <cellStyle name="Normal 7 2 7 2 3 3" xfId="26565" xr:uid="{00000000-0005-0000-0000-0000D8590000}"/>
    <cellStyle name="Normal 7 2 7 2 4" xfId="11779" xr:uid="{00000000-0005-0000-0000-0000D9590000}"/>
    <cellStyle name="Normal 7 2 7 2 4 2" xfId="31494" xr:uid="{00000000-0005-0000-0000-0000DA590000}"/>
    <cellStyle name="Normal 7 2 7 2 5" xfId="21637" xr:uid="{00000000-0005-0000-0000-0000DB590000}"/>
    <cellStyle name="Normal 7 2 7 3" xfId="3147" xr:uid="{00000000-0005-0000-0000-0000DC590000}"/>
    <cellStyle name="Normal 7 2 7 3 2" xfId="8079" xr:uid="{00000000-0005-0000-0000-0000DD590000}"/>
    <cellStyle name="Normal 7 2 7 3 2 2" xfId="17939" xr:uid="{00000000-0005-0000-0000-0000DE590000}"/>
    <cellStyle name="Normal 7 2 7 3 2 2 2" xfId="37654" xr:uid="{00000000-0005-0000-0000-0000DF590000}"/>
    <cellStyle name="Normal 7 2 7 3 2 3" xfId="27797" xr:uid="{00000000-0005-0000-0000-0000E0590000}"/>
    <cellStyle name="Normal 7 2 7 3 3" xfId="13011" xr:uid="{00000000-0005-0000-0000-0000E1590000}"/>
    <cellStyle name="Normal 7 2 7 3 3 2" xfId="32726" xr:uid="{00000000-0005-0000-0000-0000E2590000}"/>
    <cellStyle name="Normal 7 2 7 3 4" xfId="22869" xr:uid="{00000000-0005-0000-0000-0000E3590000}"/>
    <cellStyle name="Normal 7 2 7 4" xfId="5615" xr:uid="{00000000-0005-0000-0000-0000E4590000}"/>
    <cellStyle name="Normal 7 2 7 4 2" xfId="15475" xr:uid="{00000000-0005-0000-0000-0000E5590000}"/>
    <cellStyle name="Normal 7 2 7 4 2 2" xfId="35190" xr:uid="{00000000-0005-0000-0000-0000E6590000}"/>
    <cellStyle name="Normal 7 2 7 4 3" xfId="25333" xr:uid="{00000000-0005-0000-0000-0000E7590000}"/>
    <cellStyle name="Normal 7 2 7 5" xfId="10547" xr:uid="{00000000-0005-0000-0000-0000E8590000}"/>
    <cellStyle name="Normal 7 2 7 5 2" xfId="30262" xr:uid="{00000000-0005-0000-0000-0000E9590000}"/>
    <cellStyle name="Normal 7 2 7 6" xfId="20405" xr:uid="{00000000-0005-0000-0000-0000EA590000}"/>
    <cellStyle name="Normal 7 2 8" xfId="1296" xr:uid="{00000000-0005-0000-0000-0000EB590000}"/>
    <cellStyle name="Normal 7 2 8 2" xfId="3763" xr:uid="{00000000-0005-0000-0000-0000EC590000}"/>
    <cellStyle name="Normal 7 2 8 2 2" xfId="8695" xr:uid="{00000000-0005-0000-0000-0000ED590000}"/>
    <cellStyle name="Normal 7 2 8 2 2 2" xfId="18555" xr:uid="{00000000-0005-0000-0000-0000EE590000}"/>
    <cellStyle name="Normal 7 2 8 2 2 2 2" xfId="38270" xr:uid="{00000000-0005-0000-0000-0000EF590000}"/>
    <cellStyle name="Normal 7 2 8 2 2 3" xfId="28413" xr:uid="{00000000-0005-0000-0000-0000F0590000}"/>
    <cellStyle name="Normal 7 2 8 2 3" xfId="13627" xr:uid="{00000000-0005-0000-0000-0000F1590000}"/>
    <cellStyle name="Normal 7 2 8 2 3 2" xfId="33342" xr:uid="{00000000-0005-0000-0000-0000F2590000}"/>
    <cellStyle name="Normal 7 2 8 2 4" xfId="23485" xr:uid="{00000000-0005-0000-0000-0000F3590000}"/>
    <cellStyle name="Normal 7 2 8 3" xfId="6231" xr:uid="{00000000-0005-0000-0000-0000F4590000}"/>
    <cellStyle name="Normal 7 2 8 3 2" xfId="16091" xr:uid="{00000000-0005-0000-0000-0000F5590000}"/>
    <cellStyle name="Normal 7 2 8 3 2 2" xfId="35806" xr:uid="{00000000-0005-0000-0000-0000F6590000}"/>
    <cellStyle name="Normal 7 2 8 3 3" xfId="25949" xr:uid="{00000000-0005-0000-0000-0000F7590000}"/>
    <cellStyle name="Normal 7 2 8 4" xfId="11163" xr:uid="{00000000-0005-0000-0000-0000F8590000}"/>
    <cellStyle name="Normal 7 2 8 4 2" xfId="30878" xr:uid="{00000000-0005-0000-0000-0000F9590000}"/>
    <cellStyle name="Normal 7 2 8 5" xfId="21021" xr:uid="{00000000-0005-0000-0000-0000FA590000}"/>
    <cellStyle name="Normal 7 2 9" xfId="2531" xr:uid="{00000000-0005-0000-0000-0000FB590000}"/>
    <cellStyle name="Normal 7 2 9 2" xfId="7463" xr:uid="{00000000-0005-0000-0000-0000FC590000}"/>
    <cellStyle name="Normal 7 2 9 2 2" xfId="17323" xr:uid="{00000000-0005-0000-0000-0000FD590000}"/>
    <cellStyle name="Normal 7 2 9 2 2 2" xfId="37038" xr:uid="{00000000-0005-0000-0000-0000FE590000}"/>
    <cellStyle name="Normal 7 2 9 2 3" xfId="27181" xr:uid="{00000000-0005-0000-0000-0000FF590000}"/>
    <cellStyle name="Normal 7 2 9 3" xfId="12395" xr:uid="{00000000-0005-0000-0000-0000005A0000}"/>
    <cellStyle name="Normal 7 2 9 3 2" xfId="32110" xr:uid="{00000000-0005-0000-0000-0000015A0000}"/>
    <cellStyle name="Normal 7 2 9 4" xfId="22253" xr:uid="{00000000-0005-0000-0000-0000025A0000}"/>
    <cellStyle name="Normal 7 3" xfId="44" xr:uid="{00000000-0005-0000-0000-0000035A0000}"/>
    <cellStyle name="Normal 7 3 10" xfId="9941" xr:uid="{00000000-0005-0000-0000-0000045A0000}"/>
    <cellStyle name="Normal 7 3 10 2" xfId="29656" xr:uid="{00000000-0005-0000-0000-0000055A0000}"/>
    <cellStyle name="Normal 7 3 11" xfId="19799" xr:uid="{00000000-0005-0000-0000-0000065A0000}"/>
    <cellStyle name="Normal 7 3 2" xfId="87" xr:uid="{00000000-0005-0000-0000-0000075A0000}"/>
    <cellStyle name="Normal 7 3 2 10" xfId="19837" xr:uid="{00000000-0005-0000-0000-0000085A0000}"/>
    <cellStyle name="Normal 7 3 2 2" xfId="168" xr:uid="{00000000-0005-0000-0000-0000095A0000}"/>
    <cellStyle name="Normal 7 3 2 2 2" xfId="325" xr:uid="{00000000-0005-0000-0000-00000A5A0000}"/>
    <cellStyle name="Normal 7 3 2 2 2 2" xfId="639" xr:uid="{00000000-0005-0000-0000-00000B5A0000}"/>
    <cellStyle name="Normal 7 3 2 2 2 2 2" xfId="1259" xr:uid="{00000000-0005-0000-0000-00000C5A0000}"/>
    <cellStyle name="Normal 7 3 2 2 2 2 2 2" xfId="2494" xr:uid="{00000000-0005-0000-0000-00000D5A0000}"/>
    <cellStyle name="Normal 7 3 2 2 2 2 2 2 2" xfId="4961" xr:uid="{00000000-0005-0000-0000-00000E5A0000}"/>
    <cellStyle name="Normal 7 3 2 2 2 2 2 2 2 2" xfId="9893" xr:uid="{00000000-0005-0000-0000-00000F5A0000}"/>
    <cellStyle name="Normal 7 3 2 2 2 2 2 2 2 2 2" xfId="19753" xr:uid="{00000000-0005-0000-0000-0000105A0000}"/>
    <cellStyle name="Normal 7 3 2 2 2 2 2 2 2 2 2 2" xfId="39468" xr:uid="{00000000-0005-0000-0000-0000115A0000}"/>
    <cellStyle name="Normal 7 3 2 2 2 2 2 2 2 2 3" xfId="29611" xr:uid="{00000000-0005-0000-0000-0000125A0000}"/>
    <cellStyle name="Normal 7 3 2 2 2 2 2 2 2 3" xfId="14825" xr:uid="{00000000-0005-0000-0000-0000135A0000}"/>
    <cellStyle name="Normal 7 3 2 2 2 2 2 2 2 3 2" xfId="34540" xr:uid="{00000000-0005-0000-0000-0000145A0000}"/>
    <cellStyle name="Normal 7 3 2 2 2 2 2 2 2 4" xfId="24683" xr:uid="{00000000-0005-0000-0000-0000155A0000}"/>
    <cellStyle name="Normal 7 3 2 2 2 2 2 2 3" xfId="7429" xr:uid="{00000000-0005-0000-0000-0000165A0000}"/>
    <cellStyle name="Normal 7 3 2 2 2 2 2 2 3 2" xfId="17289" xr:uid="{00000000-0005-0000-0000-0000175A0000}"/>
    <cellStyle name="Normal 7 3 2 2 2 2 2 2 3 2 2" xfId="37004" xr:uid="{00000000-0005-0000-0000-0000185A0000}"/>
    <cellStyle name="Normal 7 3 2 2 2 2 2 2 3 3" xfId="27147" xr:uid="{00000000-0005-0000-0000-0000195A0000}"/>
    <cellStyle name="Normal 7 3 2 2 2 2 2 2 4" xfId="12361" xr:uid="{00000000-0005-0000-0000-00001A5A0000}"/>
    <cellStyle name="Normal 7 3 2 2 2 2 2 2 4 2" xfId="32076" xr:uid="{00000000-0005-0000-0000-00001B5A0000}"/>
    <cellStyle name="Normal 7 3 2 2 2 2 2 2 5" xfId="22219" xr:uid="{00000000-0005-0000-0000-00001C5A0000}"/>
    <cellStyle name="Normal 7 3 2 2 2 2 2 3" xfId="3729" xr:uid="{00000000-0005-0000-0000-00001D5A0000}"/>
    <cellStyle name="Normal 7 3 2 2 2 2 2 3 2" xfId="8661" xr:uid="{00000000-0005-0000-0000-00001E5A0000}"/>
    <cellStyle name="Normal 7 3 2 2 2 2 2 3 2 2" xfId="18521" xr:uid="{00000000-0005-0000-0000-00001F5A0000}"/>
    <cellStyle name="Normal 7 3 2 2 2 2 2 3 2 2 2" xfId="38236" xr:uid="{00000000-0005-0000-0000-0000205A0000}"/>
    <cellStyle name="Normal 7 3 2 2 2 2 2 3 2 3" xfId="28379" xr:uid="{00000000-0005-0000-0000-0000215A0000}"/>
    <cellStyle name="Normal 7 3 2 2 2 2 2 3 3" xfId="13593" xr:uid="{00000000-0005-0000-0000-0000225A0000}"/>
    <cellStyle name="Normal 7 3 2 2 2 2 2 3 3 2" xfId="33308" xr:uid="{00000000-0005-0000-0000-0000235A0000}"/>
    <cellStyle name="Normal 7 3 2 2 2 2 2 3 4" xfId="23451" xr:uid="{00000000-0005-0000-0000-0000245A0000}"/>
    <cellStyle name="Normal 7 3 2 2 2 2 2 4" xfId="6197" xr:uid="{00000000-0005-0000-0000-0000255A0000}"/>
    <cellStyle name="Normal 7 3 2 2 2 2 2 4 2" xfId="16057" xr:uid="{00000000-0005-0000-0000-0000265A0000}"/>
    <cellStyle name="Normal 7 3 2 2 2 2 2 4 2 2" xfId="35772" xr:uid="{00000000-0005-0000-0000-0000275A0000}"/>
    <cellStyle name="Normal 7 3 2 2 2 2 2 4 3" xfId="25915" xr:uid="{00000000-0005-0000-0000-0000285A0000}"/>
    <cellStyle name="Normal 7 3 2 2 2 2 2 5" xfId="11129" xr:uid="{00000000-0005-0000-0000-0000295A0000}"/>
    <cellStyle name="Normal 7 3 2 2 2 2 2 5 2" xfId="30844" xr:uid="{00000000-0005-0000-0000-00002A5A0000}"/>
    <cellStyle name="Normal 7 3 2 2 2 2 2 6" xfId="20987" xr:uid="{00000000-0005-0000-0000-00002B5A0000}"/>
    <cellStyle name="Normal 7 3 2 2 2 2 3" xfId="1878" xr:uid="{00000000-0005-0000-0000-00002C5A0000}"/>
    <cellStyle name="Normal 7 3 2 2 2 2 3 2" xfId="4345" xr:uid="{00000000-0005-0000-0000-00002D5A0000}"/>
    <cellStyle name="Normal 7 3 2 2 2 2 3 2 2" xfId="9277" xr:uid="{00000000-0005-0000-0000-00002E5A0000}"/>
    <cellStyle name="Normal 7 3 2 2 2 2 3 2 2 2" xfId="19137" xr:uid="{00000000-0005-0000-0000-00002F5A0000}"/>
    <cellStyle name="Normal 7 3 2 2 2 2 3 2 2 2 2" xfId="38852" xr:uid="{00000000-0005-0000-0000-0000305A0000}"/>
    <cellStyle name="Normal 7 3 2 2 2 2 3 2 2 3" xfId="28995" xr:uid="{00000000-0005-0000-0000-0000315A0000}"/>
    <cellStyle name="Normal 7 3 2 2 2 2 3 2 3" xfId="14209" xr:uid="{00000000-0005-0000-0000-0000325A0000}"/>
    <cellStyle name="Normal 7 3 2 2 2 2 3 2 3 2" xfId="33924" xr:uid="{00000000-0005-0000-0000-0000335A0000}"/>
    <cellStyle name="Normal 7 3 2 2 2 2 3 2 4" xfId="24067" xr:uid="{00000000-0005-0000-0000-0000345A0000}"/>
    <cellStyle name="Normal 7 3 2 2 2 2 3 3" xfId="6813" xr:uid="{00000000-0005-0000-0000-0000355A0000}"/>
    <cellStyle name="Normal 7 3 2 2 2 2 3 3 2" xfId="16673" xr:uid="{00000000-0005-0000-0000-0000365A0000}"/>
    <cellStyle name="Normal 7 3 2 2 2 2 3 3 2 2" xfId="36388" xr:uid="{00000000-0005-0000-0000-0000375A0000}"/>
    <cellStyle name="Normal 7 3 2 2 2 2 3 3 3" xfId="26531" xr:uid="{00000000-0005-0000-0000-0000385A0000}"/>
    <cellStyle name="Normal 7 3 2 2 2 2 3 4" xfId="11745" xr:uid="{00000000-0005-0000-0000-0000395A0000}"/>
    <cellStyle name="Normal 7 3 2 2 2 2 3 4 2" xfId="31460" xr:uid="{00000000-0005-0000-0000-00003A5A0000}"/>
    <cellStyle name="Normal 7 3 2 2 2 2 3 5" xfId="21603" xr:uid="{00000000-0005-0000-0000-00003B5A0000}"/>
    <cellStyle name="Normal 7 3 2 2 2 2 4" xfId="3113" xr:uid="{00000000-0005-0000-0000-00003C5A0000}"/>
    <cellStyle name="Normal 7 3 2 2 2 2 4 2" xfId="8045" xr:uid="{00000000-0005-0000-0000-00003D5A0000}"/>
    <cellStyle name="Normal 7 3 2 2 2 2 4 2 2" xfId="17905" xr:uid="{00000000-0005-0000-0000-00003E5A0000}"/>
    <cellStyle name="Normal 7 3 2 2 2 2 4 2 2 2" xfId="37620" xr:uid="{00000000-0005-0000-0000-00003F5A0000}"/>
    <cellStyle name="Normal 7 3 2 2 2 2 4 2 3" xfId="27763" xr:uid="{00000000-0005-0000-0000-0000405A0000}"/>
    <cellStyle name="Normal 7 3 2 2 2 2 4 3" xfId="12977" xr:uid="{00000000-0005-0000-0000-0000415A0000}"/>
    <cellStyle name="Normal 7 3 2 2 2 2 4 3 2" xfId="32692" xr:uid="{00000000-0005-0000-0000-0000425A0000}"/>
    <cellStyle name="Normal 7 3 2 2 2 2 4 4" xfId="22835" xr:uid="{00000000-0005-0000-0000-0000435A0000}"/>
    <cellStyle name="Normal 7 3 2 2 2 2 5" xfId="5581" xr:uid="{00000000-0005-0000-0000-0000445A0000}"/>
    <cellStyle name="Normal 7 3 2 2 2 2 5 2" xfId="15441" xr:uid="{00000000-0005-0000-0000-0000455A0000}"/>
    <cellStyle name="Normal 7 3 2 2 2 2 5 2 2" xfId="35156" xr:uid="{00000000-0005-0000-0000-0000465A0000}"/>
    <cellStyle name="Normal 7 3 2 2 2 2 5 3" xfId="25299" xr:uid="{00000000-0005-0000-0000-0000475A0000}"/>
    <cellStyle name="Normal 7 3 2 2 2 2 6" xfId="10513" xr:uid="{00000000-0005-0000-0000-0000485A0000}"/>
    <cellStyle name="Normal 7 3 2 2 2 2 6 2" xfId="30228" xr:uid="{00000000-0005-0000-0000-0000495A0000}"/>
    <cellStyle name="Normal 7 3 2 2 2 2 7" xfId="20371" xr:uid="{00000000-0005-0000-0000-00004A5A0000}"/>
    <cellStyle name="Normal 7 3 2 2 2 3" xfId="952" xr:uid="{00000000-0005-0000-0000-00004B5A0000}"/>
    <cellStyle name="Normal 7 3 2 2 2 3 2" xfId="2188" xr:uid="{00000000-0005-0000-0000-00004C5A0000}"/>
    <cellStyle name="Normal 7 3 2 2 2 3 2 2" xfId="4655" xr:uid="{00000000-0005-0000-0000-00004D5A0000}"/>
    <cellStyle name="Normal 7 3 2 2 2 3 2 2 2" xfId="9587" xr:uid="{00000000-0005-0000-0000-00004E5A0000}"/>
    <cellStyle name="Normal 7 3 2 2 2 3 2 2 2 2" xfId="19447" xr:uid="{00000000-0005-0000-0000-00004F5A0000}"/>
    <cellStyle name="Normal 7 3 2 2 2 3 2 2 2 2 2" xfId="39162" xr:uid="{00000000-0005-0000-0000-0000505A0000}"/>
    <cellStyle name="Normal 7 3 2 2 2 3 2 2 2 3" xfId="29305" xr:uid="{00000000-0005-0000-0000-0000515A0000}"/>
    <cellStyle name="Normal 7 3 2 2 2 3 2 2 3" xfId="14519" xr:uid="{00000000-0005-0000-0000-0000525A0000}"/>
    <cellStyle name="Normal 7 3 2 2 2 3 2 2 3 2" xfId="34234" xr:uid="{00000000-0005-0000-0000-0000535A0000}"/>
    <cellStyle name="Normal 7 3 2 2 2 3 2 2 4" xfId="24377" xr:uid="{00000000-0005-0000-0000-0000545A0000}"/>
    <cellStyle name="Normal 7 3 2 2 2 3 2 3" xfId="7123" xr:uid="{00000000-0005-0000-0000-0000555A0000}"/>
    <cellStyle name="Normal 7 3 2 2 2 3 2 3 2" xfId="16983" xr:uid="{00000000-0005-0000-0000-0000565A0000}"/>
    <cellStyle name="Normal 7 3 2 2 2 3 2 3 2 2" xfId="36698" xr:uid="{00000000-0005-0000-0000-0000575A0000}"/>
    <cellStyle name="Normal 7 3 2 2 2 3 2 3 3" xfId="26841" xr:uid="{00000000-0005-0000-0000-0000585A0000}"/>
    <cellStyle name="Normal 7 3 2 2 2 3 2 4" xfId="12055" xr:uid="{00000000-0005-0000-0000-0000595A0000}"/>
    <cellStyle name="Normal 7 3 2 2 2 3 2 4 2" xfId="31770" xr:uid="{00000000-0005-0000-0000-00005A5A0000}"/>
    <cellStyle name="Normal 7 3 2 2 2 3 2 5" xfId="21913" xr:uid="{00000000-0005-0000-0000-00005B5A0000}"/>
    <cellStyle name="Normal 7 3 2 2 2 3 3" xfId="3423" xr:uid="{00000000-0005-0000-0000-00005C5A0000}"/>
    <cellStyle name="Normal 7 3 2 2 2 3 3 2" xfId="8355" xr:uid="{00000000-0005-0000-0000-00005D5A0000}"/>
    <cellStyle name="Normal 7 3 2 2 2 3 3 2 2" xfId="18215" xr:uid="{00000000-0005-0000-0000-00005E5A0000}"/>
    <cellStyle name="Normal 7 3 2 2 2 3 3 2 2 2" xfId="37930" xr:uid="{00000000-0005-0000-0000-00005F5A0000}"/>
    <cellStyle name="Normal 7 3 2 2 2 3 3 2 3" xfId="28073" xr:uid="{00000000-0005-0000-0000-0000605A0000}"/>
    <cellStyle name="Normal 7 3 2 2 2 3 3 3" xfId="13287" xr:uid="{00000000-0005-0000-0000-0000615A0000}"/>
    <cellStyle name="Normal 7 3 2 2 2 3 3 3 2" xfId="33002" xr:uid="{00000000-0005-0000-0000-0000625A0000}"/>
    <cellStyle name="Normal 7 3 2 2 2 3 3 4" xfId="23145" xr:uid="{00000000-0005-0000-0000-0000635A0000}"/>
    <cellStyle name="Normal 7 3 2 2 2 3 4" xfId="5891" xr:uid="{00000000-0005-0000-0000-0000645A0000}"/>
    <cellStyle name="Normal 7 3 2 2 2 3 4 2" xfId="15751" xr:uid="{00000000-0005-0000-0000-0000655A0000}"/>
    <cellStyle name="Normal 7 3 2 2 2 3 4 2 2" xfId="35466" xr:uid="{00000000-0005-0000-0000-0000665A0000}"/>
    <cellStyle name="Normal 7 3 2 2 2 3 4 3" xfId="25609" xr:uid="{00000000-0005-0000-0000-0000675A0000}"/>
    <cellStyle name="Normal 7 3 2 2 2 3 5" xfId="10823" xr:uid="{00000000-0005-0000-0000-0000685A0000}"/>
    <cellStyle name="Normal 7 3 2 2 2 3 5 2" xfId="30538" xr:uid="{00000000-0005-0000-0000-0000695A0000}"/>
    <cellStyle name="Normal 7 3 2 2 2 3 6" xfId="20681" xr:uid="{00000000-0005-0000-0000-00006A5A0000}"/>
    <cellStyle name="Normal 7 3 2 2 2 4" xfId="1572" xr:uid="{00000000-0005-0000-0000-00006B5A0000}"/>
    <cellStyle name="Normal 7 3 2 2 2 4 2" xfId="4039" xr:uid="{00000000-0005-0000-0000-00006C5A0000}"/>
    <cellStyle name="Normal 7 3 2 2 2 4 2 2" xfId="8971" xr:uid="{00000000-0005-0000-0000-00006D5A0000}"/>
    <cellStyle name="Normal 7 3 2 2 2 4 2 2 2" xfId="18831" xr:uid="{00000000-0005-0000-0000-00006E5A0000}"/>
    <cellStyle name="Normal 7 3 2 2 2 4 2 2 2 2" xfId="38546" xr:uid="{00000000-0005-0000-0000-00006F5A0000}"/>
    <cellStyle name="Normal 7 3 2 2 2 4 2 2 3" xfId="28689" xr:uid="{00000000-0005-0000-0000-0000705A0000}"/>
    <cellStyle name="Normal 7 3 2 2 2 4 2 3" xfId="13903" xr:uid="{00000000-0005-0000-0000-0000715A0000}"/>
    <cellStyle name="Normal 7 3 2 2 2 4 2 3 2" xfId="33618" xr:uid="{00000000-0005-0000-0000-0000725A0000}"/>
    <cellStyle name="Normal 7 3 2 2 2 4 2 4" xfId="23761" xr:uid="{00000000-0005-0000-0000-0000735A0000}"/>
    <cellStyle name="Normal 7 3 2 2 2 4 3" xfId="6507" xr:uid="{00000000-0005-0000-0000-0000745A0000}"/>
    <cellStyle name="Normal 7 3 2 2 2 4 3 2" xfId="16367" xr:uid="{00000000-0005-0000-0000-0000755A0000}"/>
    <cellStyle name="Normal 7 3 2 2 2 4 3 2 2" xfId="36082" xr:uid="{00000000-0005-0000-0000-0000765A0000}"/>
    <cellStyle name="Normal 7 3 2 2 2 4 3 3" xfId="26225" xr:uid="{00000000-0005-0000-0000-0000775A0000}"/>
    <cellStyle name="Normal 7 3 2 2 2 4 4" xfId="11439" xr:uid="{00000000-0005-0000-0000-0000785A0000}"/>
    <cellStyle name="Normal 7 3 2 2 2 4 4 2" xfId="31154" xr:uid="{00000000-0005-0000-0000-0000795A0000}"/>
    <cellStyle name="Normal 7 3 2 2 2 4 5" xfId="21297" xr:uid="{00000000-0005-0000-0000-00007A5A0000}"/>
    <cellStyle name="Normal 7 3 2 2 2 5" xfId="2807" xr:uid="{00000000-0005-0000-0000-00007B5A0000}"/>
    <cellStyle name="Normal 7 3 2 2 2 5 2" xfId="7739" xr:uid="{00000000-0005-0000-0000-00007C5A0000}"/>
    <cellStyle name="Normal 7 3 2 2 2 5 2 2" xfId="17599" xr:uid="{00000000-0005-0000-0000-00007D5A0000}"/>
    <cellStyle name="Normal 7 3 2 2 2 5 2 2 2" xfId="37314" xr:uid="{00000000-0005-0000-0000-00007E5A0000}"/>
    <cellStyle name="Normal 7 3 2 2 2 5 2 3" xfId="27457" xr:uid="{00000000-0005-0000-0000-00007F5A0000}"/>
    <cellStyle name="Normal 7 3 2 2 2 5 3" xfId="12671" xr:uid="{00000000-0005-0000-0000-0000805A0000}"/>
    <cellStyle name="Normal 7 3 2 2 2 5 3 2" xfId="32386" xr:uid="{00000000-0005-0000-0000-0000815A0000}"/>
    <cellStyle name="Normal 7 3 2 2 2 5 4" xfId="22529" xr:uid="{00000000-0005-0000-0000-0000825A0000}"/>
    <cellStyle name="Normal 7 3 2 2 2 6" xfId="5275" xr:uid="{00000000-0005-0000-0000-0000835A0000}"/>
    <cellStyle name="Normal 7 3 2 2 2 6 2" xfId="15135" xr:uid="{00000000-0005-0000-0000-0000845A0000}"/>
    <cellStyle name="Normal 7 3 2 2 2 6 2 2" xfId="34850" xr:uid="{00000000-0005-0000-0000-0000855A0000}"/>
    <cellStyle name="Normal 7 3 2 2 2 6 3" xfId="24993" xr:uid="{00000000-0005-0000-0000-0000865A0000}"/>
    <cellStyle name="Normal 7 3 2 2 2 7" xfId="10207" xr:uid="{00000000-0005-0000-0000-0000875A0000}"/>
    <cellStyle name="Normal 7 3 2 2 2 7 2" xfId="29922" xr:uid="{00000000-0005-0000-0000-0000885A0000}"/>
    <cellStyle name="Normal 7 3 2 2 2 8" xfId="20065" xr:uid="{00000000-0005-0000-0000-0000895A0000}"/>
    <cellStyle name="Normal 7 3 2 2 3" xfId="487" xr:uid="{00000000-0005-0000-0000-00008A5A0000}"/>
    <cellStyle name="Normal 7 3 2 2 3 2" xfId="1107" xr:uid="{00000000-0005-0000-0000-00008B5A0000}"/>
    <cellStyle name="Normal 7 3 2 2 3 2 2" xfId="2342" xr:uid="{00000000-0005-0000-0000-00008C5A0000}"/>
    <cellStyle name="Normal 7 3 2 2 3 2 2 2" xfId="4809" xr:uid="{00000000-0005-0000-0000-00008D5A0000}"/>
    <cellStyle name="Normal 7 3 2 2 3 2 2 2 2" xfId="9741" xr:uid="{00000000-0005-0000-0000-00008E5A0000}"/>
    <cellStyle name="Normal 7 3 2 2 3 2 2 2 2 2" xfId="19601" xr:uid="{00000000-0005-0000-0000-00008F5A0000}"/>
    <cellStyle name="Normal 7 3 2 2 3 2 2 2 2 2 2" xfId="39316" xr:uid="{00000000-0005-0000-0000-0000905A0000}"/>
    <cellStyle name="Normal 7 3 2 2 3 2 2 2 2 3" xfId="29459" xr:uid="{00000000-0005-0000-0000-0000915A0000}"/>
    <cellStyle name="Normal 7 3 2 2 3 2 2 2 3" xfId="14673" xr:uid="{00000000-0005-0000-0000-0000925A0000}"/>
    <cellStyle name="Normal 7 3 2 2 3 2 2 2 3 2" xfId="34388" xr:uid="{00000000-0005-0000-0000-0000935A0000}"/>
    <cellStyle name="Normal 7 3 2 2 3 2 2 2 4" xfId="24531" xr:uid="{00000000-0005-0000-0000-0000945A0000}"/>
    <cellStyle name="Normal 7 3 2 2 3 2 2 3" xfId="7277" xr:uid="{00000000-0005-0000-0000-0000955A0000}"/>
    <cellStyle name="Normal 7 3 2 2 3 2 2 3 2" xfId="17137" xr:uid="{00000000-0005-0000-0000-0000965A0000}"/>
    <cellStyle name="Normal 7 3 2 2 3 2 2 3 2 2" xfId="36852" xr:uid="{00000000-0005-0000-0000-0000975A0000}"/>
    <cellStyle name="Normal 7 3 2 2 3 2 2 3 3" xfId="26995" xr:uid="{00000000-0005-0000-0000-0000985A0000}"/>
    <cellStyle name="Normal 7 3 2 2 3 2 2 4" xfId="12209" xr:uid="{00000000-0005-0000-0000-0000995A0000}"/>
    <cellStyle name="Normal 7 3 2 2 3 2 2 4 2" xfId="31924" xr:uid="{00000000-0005-0000-0000-00009A5A0000}"/>
    <cellStyle name="Normal 7 3 2 2 3 2 2 5" xfId="22067" xr:uid="{00000000-0005-0000-0000-00009B5A0000}"/>
    <cellStyle name="Normal 7 3 2 2 3 2 3" xfId="3577" xr:uid="{00000000-0005-0000-0000-00009C5A0000}"/>
    <cellStyle name="Normal 7 3 2 2 3 2 3 2" xfId="8509" xr:uid="{00000000-0005-0000-0000-00009D5A0000}"/>
    <cellStyle name="Normal 7 3 2 2 3 2 3 2 2" xfId="18369" xr:uid="{00000000-0005-0000-0000-00009E5A0000}"/>
    <cellStyle name="Normal 7 3 2 2 3 2 3 2 2 2" xfId="38084" xr:uid="{00000000-0005-0000-0000-00009F5A0000}"/>
    <cellStyle name="Normal 7 3 2 2 3 2 3 2 3" xfId="28227" xr:uid="{00000000-0005-0000-0000-0000A05A0000}"/>
    <cellStyle name="Normal 7 3 2 2 3 2 3 3" xfId="13441" xr:uid="{00000000-0005-0000-0000-0000A15A0000}"/>
    <cellStyle name="Normal 7 3 2 2 3 2 3 3 2" xfId="33156" xr:uid="{00000000-0005-0000-0000-0000A25A0000}"/>
    <cellStyle name="Normal 7 3 2 2 3 2 3 4" xfId="23299" xr:uid="{00000000-0005-0000-0000-0000A35A0000}"/>
    <cellStyle name="Normal 7 3 2 2 3 2 4" xfId="6045" xr:uid="{00000000-0005-0000-0000-0000A45A0000}"/>
    <cellStyle name="Normal 7 3 2 2 3 2 4 2" xfId="15905" xr:uid="{00000000-0005-0000-0000-0000A55A0000}"/>
    <cellStyle name="Normal 7 3 2 2 3 2 4 2 2" xfId="35620" xr:uid="{00000000-0005-0000-0000-0000A65A0000}"/>
    <cellStyle name="Normal 7 3 2 2 3 2 4 3" xfId="25763" xr:uid="{00000000-0005-0000-0000-0000A75A0000}"/>
    <cellStyle name="Normal 7 3 2 2 3 2 5" xfId="10977" xr:uid="{00000000-0005-0000-0000-0000A85A0000}"/>
    <cellStyle name="Normal 7 3 2 2 3 2 5 2" xfId="30692" xr:uid="{00000000-0005-0000-0000-0000A95A0000}"/>
    <cellStyle name="Normal 7 3 2 2 3 2 6" xfId="20835" xr:uid="{00000000-0005-0000-0000-0000AA5A0000}"/>
    <cellStyle name="Normal 7 3 2 2 3 3" xfId="1726" xr:uid="{00000000-0005-0000-0000-0000AB5A0000}"/>
    <cellStyle name="Normal 7 3 2 2 3 3 2" xfId="4193" xr:uid="{00000000-0005-0000-0000-0000AC5A0000}"/>
    <cellStyle name="Normal 7 3 2 2 3 3 2 2" xfId="9125" xr:uid="{00000000-0005-0000-0000-0000AD5A0000}"/>
    <cellStyle name="Normal 7 3 2 2 3 3 2 2 2" xfId="18985" xr:uid="{00000000-0005-0000-0000-0000AE5A0000}"/>
    <cellStyle name="Normal 7 3 2 2 3 3 2 2 2 2" xfId="38700" xr:uid="{00000000-0005-0000-0000-0000AF5A0000}"/>
    <cellStyle name="Normal 7 3 2 2 3 3 2 2 3" xfId="28843" xr:uid="{00000000-0005-0000-0000-0000B05A0000}"/>
    <cellStyle name="Normal 7 3 2 2 3 3 2 3" xfId="14057" xr:uid="{00000000-0005-0000-0000-0000B15A0000}"/>
    <cellStyle name="Normal 7 3 2 2 3 3 2 3 2" xfId="33772" xr:uid="{00000000-0005-0000-0000-0000B25A0000}"/>
    <cellStyle name="Normal 7 3 2 2 3 3 2 4" xfId="23915" xr:uid="{00000000-0005-0000-0000-0000B35A0000}"/>
    <cellStyle name="Normal 7 3 2 2 3 3 3" xfId="6661" xr:uid="{00000000-0005-0000-0000-0000B45A0000}"/>
    <cellStyle name="Normal 7 3 2 2 3 3 3 2" xfId="16521" xr:uid="{00000000-0005-0000-0000-0000B55A0000}"/>
    <cellStyle name="Normal 7 3 2 2 3 3 3 2 2" xfId="36236" xr:uid="{00000000-0005-0000-0000-0000B65A0000}"/>
    <cellStyle name="Normal 7 3 2 2 3 3 3 3" xfId="26379" xr:uid="{00000000-0005-0000-0000-0000B75A0000}"/>
    <cellStyle name="Normal 7 3 2 2 3 3 4" xfId="11593" xr:uid="{00000000-0005-0000-0000-0000B85A0000}"/>
    <cellStyle name="Normal 7 3 2 2 3 3 4 2" xfId="31308" xr:uid="{00000000-0005-0000-0000-0000B95A0000}"/>
    <cellStyle name="Normal 7 3 2 2 3 3 5" xfId="21451" xr:uid="{00000000-0005-0000-0000-0000BA5A0000}"/>
    <cellStyle name="Normal 7 3 2 2 3 4" xfId="2961" xr:uid="{00000000-0005-0000-0000-0000BB5A0000}"/>
    <cellStyle name="Normal 7 3 2 2 3 4 2" xfId="7893" xr:uid="{00000000-0005-0000-0000-0000BC5A0000}"/>
    <cellStyle name="Normal 7 3 2 2 3 4 2 2" xfId="17753" xr:uid="{00000000-0005-0000-0000-0000BD5A0000}"/>
    <cellStyle name="Normal 7 3 2 2 3 4 2 2 2" xfId="37468" xr:uid="{00000000-0005-0000-0000-0000BE5A0000}"/>
    <cellStyle name="Normal 7 3 2 2 3 4 2 3" xfId="27611" xr:uid="{00000000-0005-0000-0000-0000BF5A0000}"/>
    <cellStyle name="Normal 7 3 2 2 3 4 3" xfId="12825" xr:uid="{00000000-0005-0000-0000-0000C05A0000}"/>
    <cellStyle name="Normal 7 3 2 2 3 4 3 2" xfId="32540" xr:uid="{00000000-0005-0000-0000-0000C15A0000}"/>
    <cellStyle name="Normal 7 3 2 2 3 4 4" xfId="22683" xr:uid="{00000000-0005-0000-0000-0000C25A0000}"/>
    <cellStyle name="Normal 7 3 2 2 3 5" xfId="5429" xr:uid="{00000000-0005-0000-0000-0000C35A0000}"/>
    <cellStyle name="Normal 7 3 2 2 3 5 2" xfId="15289" xr:uid="{00000000-0005-0000-0000-0000C45A0000}"/>
    <cellStyle name="Normal 7 3 2 2 3 5 2 2" xfId="35004" xr:uid="{00000000-0005-0000-0000-0000C55A0000}"/>
    <cellStyle name="Normal 7 3 2 2 3 5 3" xfId="25147" xr:uid="{00000000-0005-0000-0000-0000C65A0000}"/>
    <cellStyle name="Normal 7 3 2 2 3 6" xfId="10361" xr:uid="{00000000-0005-0000-0000-0000C75A0000}"/>
    <cellStyle name="Normal 7 3 2 2 3 6 2" xfId="30076" xr:uid="{00000000-0005-0000-0000-0000C85A0000}"/>
    <cellStyle name="Normal 7 3 2 2 3 7" xfId="20219" xr:uid="{00000000-0005-0000-0000-0000C95A0000}"/>
    <cellStyle name="Normal 7 3 2 2 4" xfId="800" xr:uid="{00000000-0005-0000-0000-0000CA5A0000}"/>
    <cellStyle name="Normal 7 3 2 2 4 2" xfId="2036" xr:uid="{00000000-0005-0000-0000-0000CB5A0000}"/>
    <cellStyle name="Normal 7 3 2 2 4 2 2" xfId="4503" xr:uid="{00000000-0005-0000-0000-0000CC5A0000}"/>
    <cellStyle name="Normal 7 3 2 2 4 2 2 2" xfId="9435" xr:uid="{00000000-0005-0000-0000-0000CD5A0000}"/>
    <cellStyle name="Normal 7 3 2 2 4 2 2 2 2" xfId="19295" xr:uid="{00000000-0005-0000-0000-0000CE5A0000}"/>
    <cellStyle name="Normal 7 3 2 2 4 2 2 2 2 2" xfId="39010" xr:uid="{00000000-0005-0000-0000-0000CF5A0000}"/>
    <cellStyle name="Normal 7 3 2 2 4 2 2 2 3" xfId="29153" xr:uid="{00000000-0005-0000-0000-0000D05A0000}"/>
    <cellStyle name="Normal 7 3 2 2 4 2 2 3" xfId="14367" xr:uid="{00000000-0005-0000-0000-0000D15A0000}"/>
    <cellStyle name="Normal 7 3 2 2 4 2 2 3 2" xfId="34082" xr:uid="{00000000-0005-0000-0000-0000D25A0000}"/>
    <cellStyle name="Normal 7 3 2 2 4 2 2 4" xfId="24225" xr:uid="{00000000-0005-0000-0000-0000D35A0000}"/>
    <cellStyle name="Normal 7 3 2 2 4 2 3" xfId="6971" xr:uid="{00000000-0005-0000-0000-0000D45A0000}"/>
    <cellStyle name="Normal 7 3 2 2 4 2 3 2" xfId="16831" xr:uid="{00000000-0005-0000-0000-0000D55A0000}"/>
    <cellStyle name="Normal 7 3 2 2 4 2 3 2 2" xfId="36546" xr:uid="{00000000-0005-0000-0000-0000D65A0000}"/>
    <cellStyle name="Normal 7 3 2 2 4 2 3 3" xfId="26689" xr:uid="{00000000-0005-0000-0000-0000D75A0000}"/>
    <cellStyle name="Normal 7 3 2 2 4 2 4" xfId="11903" xr:uid="{00000000-0005-0000-0000-0000D85A0000}"/>
    <cellStyle name="Normal 7 3 2 2 4 2 4 2" xfId="31618" xr:uid="{00000000-0005-0000-0000-0000D95A0000}"/>
    <cellStyle name="Normal 7 3 2 2 4 2 5" xfId="21761" xr:uid="{00000000-0005-0000-0000-0000DA5A0000}"/>
    <cellStyle name="Normal 7 3 2 2 4 3" xfId="3271" xr:uid="{00000000-0005-0000-0000-0000DB5A0000}"/>
    <cellStyle name="Normal 7 3 2 2 4 3 2" xfId="8203" xr:uid="{00000000-0005-0000-0000-0000DC5A0000}"/>
    <cellStyle name="Normal 7 3 2 2 4 3 2 2" xfId="18063" xr:uid="{00000000-0005-0000-0000-0000DD5A0000}"/>
    <cellStyle name="Normal 7 3 2 2 4 3 2 2 2" xfId="37778" xr:uid="{00000000-0005-0000-0000-0000DE5A0000}"/>
    <cellStyle name="Normal 7 3 2 2 4 3 2 3" xfId="27921" xr:uid="{00000000-0005-0000-0000-0000DF5A0000}"/>
    <cellStyle name="Normal 7 3 2 2 4 3 3" xfId="13135" xr:uid="{00000000-0005-0000-0000-0000E05A0000}"/>
    <cellStyle name="Normal 7 3 2 2 4 3 3 2" xfId="32850" xr:uid="{00000000-0005-0000-0000-0000E15A0000}"/>
    <cellStyle name="Normal 7 3 2 2 4 3 4" xfId="22993" xr:uid="{00000000-0005-0000-0000-0000E25A0000}"/>
    <cellStyle name="Normal 7 3 2 2 4 4" xfId="5739" xr:uid="{00000000-0005-0000-0000-0000E35A0000}"/>
    <cellStyle name="Normal 7 3 2 2 4 4 2" xfId="15599" xr:uid="{00000000-0005-0000-0000-0000E45A0000}"/>
    <cellStyle name="Normal 7 3 2 2 4 4 2 2" xfId="35314" xr:uid="{00000000-0005-0000-0000-0000E55A0000}"/>
    <cellStyle name="Normal 7 3 2 2 4 4 3" xfId="25457" xr:uid="{00000000-0005-0000-0000-0000E65A0000}"/>
    <cellStyle name="Normal 7 3 2 2 4 5" xfId="10671" xr:uid="{00000000-0005-0000-0000-0000E75A0000}"/>
    <cellStyle name="Normal 7 3 2 2 4 5 2" xfId="30386" xr:uid="{00000000-0005-0000-0000-0000E85A0000}"/>
    <cellStyle name="Normal 7 3 2 2 4 6" xfId="20529" xr:uid="{00000000-0005-0000-0000-0000E95A0000}"/>
    <cellStyle name="Normal 7 3 2 2 5" xfId="1420" xr:uid="{00000000-0005-0000-0000-0000EA5A0000}"/>
    <cellStyle name="Normal 7 3 2 2 5 2" xfId="3887" xr:uid="{00000000-0005-0000-0000-0000EB5A0000}"/>
    <cellStyle name="Normal 7 3 2 2 5 2 2" xfId="8819" xr:uid="{00000000-0005-0000-0000-0000EC5A0000}"/>
    <cellStyle name="Normal 7 3 2 2 5 2 2 2" xfId="18679" xr:uid="{00000000-0005-0000-0000-0000ED5A0000}"/>
    <cellStyle name="Normal 7 3 2 2 5 2 2 2 2" xfId="38394" xr:uid="{00000000-0005-0000-0000-0000EE5A0000}"/>
    <cellStyle name="Normal 7 3 2 2 5 2 2 3" xfId="28537" xr:uid="{00000000-0005-0000-0000-0000EF5A0000}"/>
    <cellStyle name="Normal 7 3 2 2 5 2 3" xfId="13751" xr:uid="{00000000-0005-0000-0000-0000F05A0000}"/>
    <cellStyle name="Normal 7 3 2 2 5 2 3 2" xfId="33466" xr:uid="{00000000-0005-0000-0000-0000F15A0000}"/>
    <cellStyle name="Normal 7 3 2 2 5 2 4" xfId="23609" xr:uid="{00000000-0005-0000-0000-0000F25A0000}"/>
    <cellStyle name="Normal 7 3 2 2 5 3" xfId="6355" xr:uid="{00000000-0005-0000-0000-0000F35A0000}"/>
    <cellStyle name="Normal 7 3 2 2 5 3 2" xfId="16215" xr:uid="{00000000-0005-0000-0000-0000F45A0000}"/>
    <cellStyle name="Normal 7 3 2 2 5 3 2 2" xfId="35930" xr:uid="{00000000-0005-0000-0000-0000F55A0000}"/>
    <cellStyle name="Normal 7 3 2 2 5 3 3" xfId="26073" xr:uid="{00000000-0005-0000-0000-0000F65A0000}"/>
    <cellStyle name="Normal 7 3 2 2 5 4" xfId="11287" xr:uid="{00000000-0005-0000-0000-0000F75A0000}"/>
    <cellStyle name="Normal 7 3 2 2 5 4 2" xfId="31002" xr:uid="{00000000-0005-0000-0000-0000F85A0000}"/>
    <cellStyle name="Normal 7 3 2 2 5 5" xfId="21145" xr:uid="{00000000-0005-0000-0000-0000F95A0000}"/>
    <cellStyle name="Normal 7 3 2 2 6" xfId="2655" xr:uid="{00000000-0005-0000-0000-0000FA5A0000}"/>
    <cellStyle name="Normal 7 3 2 2 6 2" xfId="7587" xr:uid="{00000000-0005-0000-0000-0000FB5A0000}"/>
    <cellStyle name="Normal 7 3 2 2 6 2 2" xfId="17447" xr:uid="{00000000-0005-0000-0000-0000FC5A0000}"/>
    <cellStyle name="Normal 7 3 2 2 6 2 2 2" xfId="37162" xr:uid="{00000000-0005-0000-0000-0000FD5A0000}"/>
    <cellStyle name="Normal 7 3 2 2 6 2 3" xfId="27305" xr:uid="{00000000-0005-0000-0000-0000FE5A0000}"/>
    <cellStyle name="Normal 7 3 2 2 6 3" xfId="12519" xr:uid="{00000000-0005-0000-0000-0000FF5A0000}"/>
    <cellStyle name="Normal 7 3 2 2 6 3 2" xfId="32234" xr:uid="{00000000-0005-0000-0000-0000005B0000}"/>
    <cellStyle name="Normal 7 3 2 2 6 4" xfId="22377" xr:uid="{00000000-0005-0000-0000-0000015B0000}"/>
    <cellStyle name="Normal 7 3 2 2 7" xfId="5123" xr:uid="{00000000-0005-0000-0000-0000025B0000}"/>
    <cellStyle name="Normal 7 3 2 2 7 2" xfId="14983" xr:uid="{00000000-0005-0000-0000-0000035B0000}"/>
    <cellStyle name="Normal 7 3 2 2 7 2 2" xfId="34698" xr:uid="{00000000-0005-0000-0000-0000045B0000}"/>
    <cellStyle name="Normal 7 3 2 2 7 3" xfId="24841" xr:uid="{00000000-0005-0000-0000-0000055B0000}"/>
    <cellStyle name="Normal 7 3 2 2 8" xfId="10055" xr:uid="{00000000-0005-0000-0000-0000065B0000}"/>
    <cellStyle name="Normal 7 3 2 2 8 2" xfId="29770" xr:uid="{00000000-0005-0000-0000-0000075B0000}"/>
    <cellStyle name="Normal 7 3 2 2 9" xfId="19913" xr:uid="{00000000-0005-0000-0000-0000085B0000}"/>
    <cellStyle name="Normal 7 3 2 3" xfId="249" xr:uid="{00000000-0005-0000-0000-0000095B0000}"/>
    <cellStyle name="Normal 7 3 2 3 2" xfId="563" xr:uid="{00000000-0005-0000-0000-00000A5B0000}"/>
    <cellStyle name="Normal 7 3 2 3 2 2" xfId="1183" xr:uid="{00000000-0005-0000-0000-00000B5B0000}"/>
    <cellStyle name="Normal 7 3 2 3 2 2 2" xfId="2418" xr:uid="{00000000-0005-0000-0000-00000C5B0000}"/>
    <cellStyle name="Normal 7 3 2 3 2 2 2 2" xfId="4885" xr:uid="{00000000-0005-0000-0000-00000D5B0000}"/>
    <cellStyle name="Normal 7 3 2 3 2 2 2 2 2" xfId="9817" xr:uid="{00000000-0005-0000-0000-00000E5B0000}"/>
    <cellStyle name="Normal 7 3 2 3 2 2 2 2 2 2" xfId="19677" xr:uid="{00000000-0005-0000-0000-00000F5B0000}"/>
    <cellStyle name="Normal 7 3 2 3 2 2 2 2 2 2 2" xfId="39392" xr:uid="{00000000-0005-0000-0000-0000105B0000}"/>
    <cellStyle name="Normal 7 3 2 3 2 2 2 2 2 3" xfId="29535" xr:uid="{00000000-0005-0000-0000-0000115B0000}"/>
    <cellStyle name="Normal 7 3 2 3 2 2 2 2 3" xfId="14749" xr:uid="{00000000-0005-0000-0000-0000125B0000}"/>
    <cellStyle name="Normal 7 3 2 3 2 2 2 2 3 2" xfId="34464" xr:uid="{00000000-0005-0000-0000-0000135B0000}"/>
    <cellStyle name="Normal 7 3 2 3 2 2 2 2 4" xfId="24607" xr:uid="{00000000-0005-0000-0000-0000145B0000}"/>
    <cellStyle name="Normal 7 3 2 3 2 2 2 3" xfId="7353" xr:uid="{00000000-0005-0000-0000-0000155B0000}"/>
    <cellStyle name="Normal 7 3 2 3 2 2 2 3 2" xfId="17213" xr:uid="{00000000-0005-0000-0000-0000165B0000}"/>
    <cellStyle name="Normal 7 3 2 3 2 2 2 3 2 2" xfId="36928" xr:uid="{00000000-0005-0000-0000-0000175B0000}"/>
    <cellStyle name="Normal 7 3 2 3 2 2 2 3 3" xfId="27071" xr:uid="{00000000-0005-0000-0000-0000185B0000}"/>
    <cellStyle name="Normal 7 3 2 3 2 2 2 4" xfId="12285" xr:uid="{00000000-0005-0000-0000-0000195B0000}"/>
    <cellStyle name="Normal 7 3 2 3 2 2 2 4 2" xfId="32000" xr:uid="{00000000-0005-0000-0000-00001A5B0000}"/>
    <cellStyle name="Normal 7 3 2 3 2 2 2 5" xfId="22143" xr:uid="{00000000-0005-0000-0000-00001B5B0000}"/>
    <cellStyle name="Normal 7 3 2 3 2 2 3" xfId="3653" xr:uid="{00000000-0005-0000-0000-00001C5B0000}"/>
    <cellStyle name="Normal 7 3 2 3 2 2 3 2" xfId="8585" xr:uid="{00000000-0005-0000-0000-00001D5B0000}"/>
    <cellStyle name="Normal 7 3 2 3 2 2 3 2 2" xfId="18445" xr:uid="{00000000-0005-0000-0000-00001E5B0000}"/>
    <cellStyle name="Normal 7 3 2 3 2 2 3 2 2 2" xfId="38160" xr:uid="{00000000-0005-0000-0000-00001F5B0000}"/>
    <cellStyle name="Normal 7 3 2 3 2 2 3 2 3" xfId="28303" xr:uid="{00000000-0005-0000-0000-0000205B0000}"/>
    <cellStyle name="Normal 7 3 2 3 2 2 3 3" xfId="13517" xr:uid="{00000000-0005-0000-0000-0000215B0000}"/>
    <cellStyle name="Normal 7 3 2 3 2 2 3 3 2" xfId="33232" xr:uid="{00000000-0005-0000-0000-0000225B0000}"/>
    <cellStyle name="Normal 7 3 2 3 2 2 3 4" xfId="23375" xr:uid="{00000000-0005-0000-0000-0000235B0000}"/>
    <cellStyle name="Normal 7 3 2 3 2 2 4" xfId="6121" xr:uid="{00000000-0005-0000-0000-0000245B0000}"/>
    <cellStyle name="Normal 7 3 2 3 2 2 4 2" xfId="15981" xr:uid="{00000000-0005-0000-0000-0000255B0000}"/>
    <cellStyle name="Normal 7 3 2 3 2 2 4 2 2" xfId="35696" xr:uid="{00000000-0005-0000-0000-0000265B0000}"/>
    <cellStyle name="Normal 7 3 2 3 2 2 4 3" xfId="25839" xr:uid="{00000000-0005-0000-0000-0000275B0000}"/>
    <cellStyle name="Normal 7 3 2 3 2 2 5" xfId="11053" xr:uid="{00000000-0005-0000-0000-0000285B0000}"/>
    <cellStyle name="Normal 7 3 2 3 2 2 5 2" xfId="30768" xr:uid="{00000000-0005-0000-0000-0000295B0000}"/>
    <cellStyle name="Normal 7 3 2 3 2 2 6" xfId="20911" xr:uid="{00000000-0005-0000-0000-00002A5B0000}"/>
    <cellStyle name="Normal 7 3 2 3 2 3" xfId="1802" xr:uid="{00000000-0005-0000-0000-00002B5B0000}"/>
    <cellStyle name="Normal 7 3 2 3 2 3 2" xfId="4269" xr:uid="{00000000-0005-0000-0000-00002C5B0000}"/>
    <cellStyle name="Normal 7 3 2 3 2 3 2 2" xfId="9201" xr:uid="{00000000-0005-0000-0000-00002D5B0000}"/>
    <cellStyle name="Normal 7 3 2 3 2 3 2 2 2" xfId="19061" xr:uid="{00000000-0005-0000-0000-00002E5B0000}"/>
    <cellStyle name="Normal 7 3 2 3 2 3 2 2 2 2" xfId="38776" xr:uid="{00000000-0005-0000-0000-00002F5B0000}"/>
    <cellStyle name="Normal 7 3 2 3 2 3 2 2 3" xfId="28919" xr:uid="{00000000-0005-0000-0000-0000305B0000}"/>
    <cellStyle name="Normal 7 3 2 3 2 3 2 3" xfId="14133" xr:uid="{00000000-0005-0000-0000-0000315B0000}"/>
    <cellStyle name="Normal 7 3 2 3 2 3 2 3 2" xfId="33848" xr:uid="{00000000-0005-0000-0000-0000325B0000}"/>
    <cellStyle name="Normal 7 3 2 3 2 3 2 4" xfId="23991" xr:uid="{00000000-0005-0000-0000-0000335B0000}"/>
    <cellStyle name="Normal 7 3 2 3 2 3 3" xfId="6737" xr:uid="{00000000-0005-0000-0000-0000345B0000}"/>
    <cellStyle name="Normal 7 3 2 3 2 3 3 2" xfId="16597" xr:uid="{00000000-0005-0000-0000-0000355B0000}"/>
    <cellStyle name="Normal 7 3 2 3 2 3 3 2 2" xfId="36312" xr:uid="{00000000-0005-0000-0000-0000365B0000}"/>
    <cellStyle name="Normal 7 3 2 3 2 3 3 3" xfId="26455" xr:uid="{00000000-0005-0000-0000-0000375B0000}"/>
    <cellStyle name="Normal 7 3 2 3 2 3 4" xfId="11669" xr:uid="{00000000-0005-0000-0000-0000385B0000}"/>
    <cellStyle name="Normal 7 3 2 3 2 3 4 2" xfId="31384" xr:uid="{00000000-0005-0000-0000-0000395B0000}"/>
    <cellStyle name="Normal 7 3 2 3 2 3 5" xfId="21527" xr:uid="{00000000-0005-0000-0000-00003A5B0000}"/>
    <cellStyle name="Normal 7 3 2 3 2 4" xfId="3037" xr:uid="{00000000-0005-0000-0000-00003B5B0000}"/>
    <cellStyle name="Normal 7 3 2 3 2 4 2" xfId="7969" xr:uid="{00000000-0005-0000-0000-00003C5B0000}"/>
    <cellStyle name="Normal 7 3 2 3 2 4 2 2" xfId="17829" xr:uid="{00000000-0005-0000-0000-00003D5B0000}"/>
    <cellStyle name="Normal 7 3 2 3 2 4 2 2 2" xfId="37544" xr:uid="{00000000-0005-0000-0000-00003E5B0000}"/>
    <cellStyle name="Normal 7 3 2 3 2 4 2 3" xfId="27687" xr:uid="{00000000-0005-0000-0000-00003F5B0000}"/>
    <cellStyle name="Normal 7 3 2 3 2 4 3" xfId="12901" xr:uid="{00000000-0005-0000-0000-0000405B0000}"/>
    <cellStyle name="Normal 7 3 2 3 2 4 3 2" xfId="32616" xr:uid="{00000000-0005-0000-0000-0000415B0000}"/>
    <cellStyle name="Normal 7 3 2 3 2 4 4" xfId="22759" xr:uid="{00000000-0005-0000-0000-0000425B0000}"/>
    <cellStyle name="Normal 7 3 2 3 2 5" xfId="5505" xr:uid="{00000000-0005-0000-0000-0000435B0000}"/>
    <cellStyle name="Normal 7 3 2 3 2 5 2" xfId="15365" xr:uid="{00000000-0005-0000-0000-0000445B0000}"/>
    <cellStyle name="Normal 7 3 2 3 2 5 2 2" xfId="35080" xr:uid="{00000000-0005-0000-0000-0000455B0000}"/>
    <cellStyle name="Normal 7 3 2 3 2 5 3" xfId="25223" xr:uid="{00000000-0005-0000-0000-0000465B0000}"/>
    <cellStyle name="Normal 7 3 2 3 2 6" xfId="10437" xr:uid="{00000000-0005-0000-0000-0000475B0000}"/>
    <cellStyle name="Normal 7 3 2 3 2 6 2" xfId="30152" xr:uid="{00000000-0005-0000-0000-0000485B0000}"/>
    <cellStyle name="Normal 7 3 2 3 2 7" xfId="20295" xr:uid="{00000000-0005-0000-0000-0000495B0000}"/>
    <cellStyle name="Normal 7 3 2 3 3" xfId="876" xr:uid="{00000000-0005-0000-0000-00004A5B0000}"/>
    <cellStyle name="Normal 7 3 2 3 3 2" xfId="2112" xr:uid="{00000000-0005-0000-0000-00004B5B0000}"/>
    <cellStyle name="Normal 7 3 2 3 3 2 2" xfId="4579" xr:uid="{00000000-0005-0000-0000-00004C5B0000}"/>
    <cellStyle name="Normal 7 3 2 3 3 2 2 2" xfId="9511" xr:uid="{00000000-0005-0000-0000-00004D5B0000}"/>
    <cellStyle name="Normal 7 3 2 3 3 2 2 2 2" xfId="19371" xr:uid="{00000000-0005-0000-0000-00004E5B0000}"/>
    <cellStyle name="Normal 7 3 2 3 3 2 2 2 2 2" xfId="39086" xr:uid="{00000000-0005-0000-0000-00004F5B0000}"/>
    <cellStyle name="Normal 7 3 2 3 3 2 2 2 3" xfId="29229" xr:uid="{00000000-0005-0000-0000-0000505B0000}"/>
    <cellStyle name="Normal 7 3 2 3 3 2 2 3" xfId="14443" xr:uid="{00000000-0005-0000-0000-0000515B0000}"/>
    <cellStyle name="Normal 7 3 2 3 3 2 2 3 2" xfId="34158" xr:uid="{00000000-0005-0000-0000-0000525B0000}"/>
    <cellStyle name="Normal 7 3 2 3 3 2 2 4" xfId="24301" xr:uid="{00000000-0005-0000-0000-0000535B0000}"/>
    <cellStyle name="Normal 7 3 2 3 3 2 3" xfId="7047" xr:uid="{00000000-0005-0000-0000-0000545B0000}"/>
    <cellStyle name="Normal 7 3 2 3 3 2 3 2" xfId="16907" xr:uid="{00000000-0005-0000-0000-0000555B0000}"/>
    <cellStyle name="Normal 7 3 2 3 3 2 3 2 2" xfId="36622" xr:uid="{00000000-0005-0000-0000-0000565B0000}"/>
    <cellStyle name="Normal 7 3 2 3 3 2 3 3" xfId="26765" xr:uid="{00000000-0005-0000-0000-0000575B0000}"/>
    <cellStyle name="Normal 7 3 2 3 3 2 4" xfId="11979" xr:uid="{00000000-0005-0000-0000-0000585B0000}"/>
    <cellStyle name="Normal 7 3 2 3 3 2 4 2" xfId="31694" xr:uid="{00000000-0005-0000-0000-0000595B0000}"/>
    <cellStyle name="Normal 7 3 2 3 3 2 5" xfId="21837" xr:uid="{00000000-0005-0000-0000-00005A5B0000}"/>
    <cellStyle name="Normal 7 3 2 3 3 3" xfId="3347" xr:uid="{00000000-0005-0000-0000-00005B5B0000}"/>
    <cellStyle name="Normal 7 3 2 3 3 3 2" xfId="8279" xr:uid="{00000000-0005-0000-0000-00005C5B0000}"/>
    <cellStyle name="Normal 7 3 2 3 3 3 2 2" xfId="18139" xr:uid="{00000000-0005-0000-0000-00005D5B0000}"/>
    <cellStyle name="Normal 7 3 2 3 3 3 2 2 2" xfId="37854" xr:uid="{00000000-0005-0000-0000-00005E5B0000}"/>
    <cellStyle name="Normal 7 3 2 3 3 3 2 3" xfId="27997" xr:uid="{00000000-0005-0000-0000-00005F5B0000}"/>
    <cellStyle name="Normal 7 3 2 3 3 3 3" xfId="13211" xr:uid="{00000000-0005-0000-0000-0000605B0000}"/>
    <cellStyle name="Normal 7 3 2 3 3 3 3 2" xfId="32926" xr:uid="{00000000-0005-0000-0000-0000615B0000}"/>
    <cellStyle name="Normal 7 3 2 3 3 3 4" xfId="23069" xr:uid="{00000000-0005-0000-0000-0000625B0000}"/>
    <cellStyle name="Normal 7 3 2 3 3 4" xfId="5815" xr:uid="{00000000-0005-0000-0000-0000635B0000}"/>
    <cellStyle name="Normal 7 3 2 3 3 4 2" xfId="15675" xr:uid="{00000000-0005-0000-0000-0000645B0000}"/>
    <cellStyle name="Normal 7 3 2 3 3 4 2 2" xfId="35390" xr:uid="{00000000-0005-0000-0000-0000655B0000}"/>
    <cellStyle name="Normal 7 3 2 3 3 4 3" xfId="25533" xr:uid="{00000000-0005-0000-0000-0000665B0000}"/>
    <cellStyle name="Normal 7 3 2 3 3 5" xfId="10747" xr:uid="{00000000-0005-0000-0000-0000675B0000}"/>
    <cellStyle name="Normal 7 3 2 3 3 5 2" xfId="30462" xr:uid="{00000000-0005-0000-0000-0000685B0000}"/>
    <cellStyle name="Normal 7 3 2 3 3 6" xfId="20605" xr:uid="{00000000-0005-0000-0000-0000695B0000}"/>
    <cellStyle name="Normal 7 3 2 3 4" xfId="1496" xr:uid="{00000000-0005-0000-0000-00006A5B0000}"/>
    <cellStyle name="Normal 7 3 2 3 4 2" xfId="3963" xr:uid="{00000000-0005-0000-0000-00006B5B0000}"/>
    <cellStyle name="Normal 7 3 2 3 4 2 2" xfId="8895" xr:uid="{00000000-0005-0000-0000-00006C5B0000}"/>
    <cellStyle name="Normal 7 3 2 3 4 2 2 2" xfId="18755" xr:uid="{00000000-0005-0000-0000-00006D5B0000}"/>
    <cellStyle name="Normal 7 3 2 3 4 2 2 2 2" xfId="38470" xr:uid="{00000000-0005-0000-0000-00006E5B0000}"/>
    <cellStyle name="Normal 7 3 2 3 4 2 2 3" xfId="28613" xr:uid="{00000000-0005-0000-0000-00006F5B0000}"/>
    <cellStyle name="Normal 7 3 2 3 4 2 3" xfId="13827" xr:uid="{00000000-0005-0000-0000-0000705B0000}"/>
    <cellStyle name="Normal 7 3 2 3 4 2 3 2" xfId="33542" xr:uid="{00000000-0005-0000-0000-0000715B0000}"/>
    <cellStyle name="Normal 7 3 2 3 4 2 4" xfId="23685" xr:uid="{00000000-0005-0000-0000-0000725B0000}"/>
    <cellStyle name="Normal 7 3 2 3 4 3" xfId="6431" xr:uid="{00000000-0005-0000-0000-0000735B0000}"/>
    <cellStyle name="Normal 7 3 2 3 4 3 2" xfId="16291" xr:uid="{00000000-0005-0000-0000-0000745B0000}"/>
    <cellStyle name="Normal 7 3 2 3 4 3 2 2" xfId="36006" xr:uid="{00000000-0005-0000-0000-0000755B0000}"/>
    <cellStyle name="Normal 7 3 2 3 4 3 3" xfId="26149" xr:uid="{00000000-0005-0000-0000-0000765B0000}"/>
    <cellStyle name="Normal 7 3 2 3 4 4" xfId="11363" xr:uid="{00000000-0005-0000-0000-0000775B0000}"/>
    <cellStyle name="Normal 7 3 2 3 4 4 2" xfId="31078" xr:uid="{00000000-0005-0000-0000-0000785B0000}"/>
    <cellStyle name="Normal 7 3 2 3 4 5" xfId="21221" xr:uid="{00000000-0005-0000-0000-0000795B0000}"/>
    <cellStyle name="Normal 7 3 2 3 5" xfId="2731" xr:uid="{00000000-0005-0000-0000-00007A5B0000}"/>
    <cellStyle name="Normal 7 3 2 3 5 2" xfId="7663" xr:uid="{00000000-0005-0000-0000-00007B5B0000}"/>
    <cellStyle name="Normal 7 3 2 3 5 2 2" xfId="17523" xr:uid="{00000000-0005-0000-0000-00007C5B0000}"/>
    <cellStyle name="Normal 7 3 2 3 5 2 2 2" xfId="37238" xr:uid="{00000000-0005-0000-0000-00007D5B0000}"/>
    <cellStyle name="Normal 7 3 2 3 5 2 3" xfId="27381" xr:uid="{00000000-0005-0000-0000-00007E5B0000}"/>
    <cellStyle name="Normal 7 3 2 3 5 3" xfId="12595" xr:uid="{00000000-0005-0000-0000-00007F5B0000}"/>
    <cellStyle name="Normal 7 3 2 3 5 3 2" xfId="32310" xr:uid="{00000000-0005-0000-0000-0000805B0000}"/>
    <cellStyle name="Normal 7 3 2 3 5 4" xfId="22453" xr:uid="{00000000-0005-0000-0000-0000815B0000}"/>
    <cellStyle name="Normal 7 3 2 3 6" xfId="5199" xr:uid="{00000000-0005-0000-0000-0000825B0000}"/>
    <cellStyle name="Normal 7 3 2 3 6 2" xfId="15059" xr:uid="{00000000-0005-0000-0000-0000835B0000}"/>
    <cellStyle name="Normal 7 3 2 3 6 2 2" xfId="34774" xr:uid="{00000000-0005-0000-0000-0000845B0000}"/>
    <cellStyle name="Normal 7 3 2 3 6 3" xfId="24917" xr:uid="{00000000-0005-0000-0000-0000855B0000}"/>
    <cellStyle name="Normal 7 3 2 3 7" xfId="10131" xr:uid="{00000000-0005-0000-0000-0000865B0000}"/>
    <cellStyle name="Normal 7 3 2 3 7 2" xfId="29846" xr:uid="{00000000-0005-0000-0000-0000875B0000}"/>
    <cellStyle name="Normal 7 3 2 3 8" xfId="19989" xr:uid="{00000000-0005-0000-0000-0000885B0000}"/>
    <cellStyle name="Normal 7 3 2 4" xfId="411" xr:uid="{00000000-0005-0000-0000-0000895B0000}"/>
    <cellStyle name="Normal 7 3 2 4 2" xfId="1031" xr:uid="{00000000-0005-0000-0000-00008A5B0000}"/>
    <cellStyle name="Normal 7 3 2 4 2 2" xfId="2266" xr:uid="{00000000-0005-0000-0000-00008B5B0000}"/>
    <cellStyle name="Normal 7 3 2 4 2 2 2" xfId="4733" xr:uid="{00000000-0005-0000-0000-00008C5B0000}"/>
    <cellStyle name="Normal 7 3 2 4 2 2 2 2" xfId="9665" xr:uid="{00000000-0005-0000-0000-00008D5B0000}"/>
    <cellStyle name="Normal 7 3 2 4 2 2 2 2 2" xfId="19525" xr:uid="{00000000-0005-0000-0000-00008E5B0000}"/>
    <cellStyle name="Normal 7 3 2 4 2 2 2 2 2 2" xfId="39240" xr:uid="{00000000-0005-0000-0000-00008F5B0000}"/>
    <cellStyle name="Normal 7 3 2 4 2 2 2 2 3" xfId="29383" xr:uid="{00000000-0005-0000-0000-0000905B0000}"/>
    <cellStyle name="Normal 7 3 2 4 2 2 2 3" xfId="14597" xr:uid="{00000000-0005-0000-0000-0000915B0000}"/>
    <cellStyle name="Normal 7 3 2 4 2 2 2 3 2" xfId="34312" xr:uid="{00000000-0005-0000-0000-0000925B0000}"/>
    <cellStyle name="Normal 7 3 2 4 2 2 2 4" xfId="24455" xr:uid="{00000000-0005-0000-0000-0000935B0000}"/>
    <cellStyle name="Normal 7 3 2 4 2 2 3" xfId="7201" xr:uid="{00000000-0005-0000-0000-0000945B0000}"/>
    <cellStyle name="Normal 7 3 2 4 2 2 3 2" xfId="17061" xr:uid="{00000000-0005-0000-0000-0000955B0000}"/>
    <cellStyle name="Normal 7 3 2 4 2 2 3 2 2" xfId="36776" xr:uid="{00000000-0005-0000-0000-0000965B0000}"/>
    <cellStyle name="Normal 7 3 2 4 2 2 3 3" xfId="26919" xr:uid="{00000000-0005-0000-0000-0000975B0000}"/>
    <cellStyle name="Normal 7 3 2 4 2 2 4" xfId="12133" xr:uid="{00000000-0005-0000-0000-0000985B0000}"/>
    <cellStyle name="Normal 7 3 2 4 2 2 4 2" xfId="31848" xr:uid="{00000000-0005-0000-0000-0000995B0000}"/>
    <cellStyle name="Normal 7 3 2 4 2 2 5" xfId="21991" xr:uid="{00000000-0005-0000-0000-00009A5B0000}"/>
    <cellStyle name="Normal 7 3 2 4 2 3" xfId="3501" xr:uid="{00000000-0005-0000-0000-00009B5B0000}"/>
    <cellStyle name="Normal 7 3 2 4 2 3 2" xfId="8433" xr:uid="{00000000-0005-0000-0000-00009C5B0000}"/>
    <cellStyle name="Normal 7 3 2 4 2 3 2 2" xfId="18293" xr:uid="{00000000-0005-0000-0000-00009D5B0000}"/>
    <cellStyle name="Normal 7 3 2 4 2 3 2 2 2" xfId="38008" xr:uid="{00000000-0005-0000-0000-00009E5B0000}"/>
    <cellStyle name="Normal 7 3 2 4 2 3 2 3" xfId="28151" xr:uid="{00000000-0005-0000-0000-00009F5B0000}"/>
    <cellStyle name="Normal 7 3 2 4 2 3 3" xfId="13365" xr:uid="{00000000-0005-0000-0000-0000A05B0000}"/>
    <cellStyle name="Normal 7 3 2 4 2 3 3 2" xfId="33080" xr:uid="{00000000-0005-0000-0000-0000A15B0000}"/>
    <cellStyle name="Normal 7 3 2 4 2 3 4" xfId="23223" xr:uid="{00000000-0005-0000-0000-0000A25B0000}"/>
    <cellStyle name="Normal 7 3 2 4 2 4" xfId="5969" xr:uid="{00000000-0005-0000-0000-0000A35B0000}"/>
    <cellStyle name="Normal 7 3 2 4 2 4 2" xfId="15829" xr:uid="{00000000-0005-0000-0000-0000A45B0000}"/>
    <cellStyle name="Normal 7 3 2 4 2 4 2 2" xfId="35544" xr:uid="{00000000-0005-0000-0000-0000A55B0000}"/>
    <cellStyle name="Normal 7 3 2 4 2 4 3" xfId="25687" xr:uid="{00000000-0005-0000-0000-0000A65B0000}"/>
    <cellStyle name="Normal 7 3 2 4 2 5" xfId="10901" xr:uid="{00000000-0005-0000-0000-0000A75B0000}"/>
    <cellStyle name="Normal 7 3 2 4 2 5 2" xfId="30616" xr:uid="{00000000-0005-0000-0000-0000A85B0000}"/>
    <cellStyle name="Normal 7 3 2 4 2 6" xfId="20759" xr:uid="{00000000-0005-0000-0000-0000A95B0000}"/>
    <cellStyle name="Normal 7 3 2 4 3" xfId="1650" xr:uid="{00000000-0005-0000-0000-0000AA5B0000}"/>
    <cellStyle name="Normal 7 3 2 4 3 2" xfId="4117" xr:uid="{00000000-0005-0000-0000-0000AB5B0000}"/>
    <cellStyle name="Normal 7 3 2 4 3 2 2" xfId="9049" xr:uid="{00000000-0005-0000-0000-0000AC5B0000}"/>
    <cellStyle name="Normal 7 3 2 4 3 2 2 2" xfId="18909" xr:uid="{00000000-0005-0000-0000-0000AD5B0000}"/>
    <cellStyle name="Normal 7 3 2 4 3 2 2 2 2" xfId="38624" xr:uid="{00000000-0005-0000-0000-0000AE5B0000}"/>
    <cellStyle name="Normal 7 3 2 4 3 2 2 3" xfId="28767" xr:uid="{00000000-0005-0000-0000-0000AF5B0000}"/>
    <cellStyle name="Normal 7 3 2 4 3 2 3" xfId="13981" xr:uid="{00000000-0005-0000-0000-0000B05B0000}"/>
    <cellStyle name="Normal 7 3 2 4 3 2 3 2" xfId="33696" xr:uid="{00000000-0005-0000-0000-0000B15B0000}"/>
    <cellStyle name="Normal 7 3 2 4 3 2 4" xfId="23839" xr:uid="{00000000-0005-0000-0000-0000B25B0000}"/>
    <cellStyle name="Normal 7 3 2 4 3 3" xfId="6585" xr:uid="{00000000-0005-0000-0000-0000B35B0000}"/>
    <cellStyle name="Normal 7 3 2 4 3 3 2" xfId="16445" xr:uid="{00000000-0005-0000-0000-0000B45B0000}"/>
    <cellStyle name="Normal 7 3 2 4 3 3 2 2" xfId="36160" xr:uid="{00000000-0005-0000-0000-0000B55B0000}"/>
    <cellStyle name="Normal 7 3 2 4 3 3 3" xfId="26303" xr:uid="{00000000-0005-0000-0000-0000B65B0000}"/>
    <cellStyle name="Normal 7 3 2 4 3 4" xfId="11517" xr:uid="{00000000-0005-0000-0000-0000B75B0000}"/>
    <cellStyle name="Normal 7 3 2 4 3 4 2" xfId="31232" xr:uid="{00000000-0005-0000-0000-0000B85B0000}"/>
    <cellStyle name="Normal 7 3 2 4 3 5" xfId="21375" xr:uid="{00000000-0005-0000-0000-0000B95B0000}"/>
    <cellStyle name="Normal 7 3 2 4 4" xfId="2885" xr:uid="{00000000-0005-0000-0000-0000BA5B0000}"/>
    <cellStyle name="Normal 7 3 2 4 4 2" xfId="7817" xr:uid="{00000000-0005-0000-0000-0000BB5B0000}"/>
    <cellStyle name="Normal 7 3 2 4 4 2 2" xfId="17677" xr:uid="{00000000-0005-0000-0000-0000BC5B0000}"/>
    <cellStyle name="Normal 7 3 2 4 4 2 2 2" xfId="37392" xr:uid="{00000000-0005-0000-0000-0000BD5B0000}"/>
    <cellStyle name="Normal 7 3 2 4 4 2 3" xfId="27535" xr:uid="{00000000-0005-0000-0000-0000BE5B0000}"/>
    <cellStyle name="Normal 7 3 2 4 4 3" xfId="12749" xr:uid="{00000000-0005-0000-0000-0000BF5B0000}"/>
    <cellStyle name="Normal 7 3 2 4 4 3 2" xfId="32464" xr:uid="{00000000-0005-0000-0000-0000C05B0000}"/>
    <cellStyle name="Normal 7 3 2 4 4 4" xfId="22607" xr:uid="{00000000-0005-0000-0000-0000C15B0000}"/>
    <cellStyle name="Normal 7 3 2 4 5" xfId="5353" xr:uid="{00000000-0005-0000-0000-0000C25B0000}"/>
    <cellStyle name="Normal 7 3 2 4 5 2" xfId="15213" xr:uid="{00000000-0005-0000-0000-0000C35B0000}"/>
    <cellStyle name="Normal 7 3 2 4 5 2 2" xfId="34928" xr:uid="{00000000-0005-0000-0000-0000C45B0000}"/>
    <cellStyle name="Normal 7 3 2 4 5 3" xfId="25071" xr:uid="{00000000-0005-0000-0000-0000C55B0000}"/>
    <cellStyle name="Normal 7 3 2 4 6" xfId="10285" xr:uid="{00000000-0005-0000-0000-0000C65B0000}"/>
    <cellStyle name="Normal 7 3 2 4 6 2" xfId="30000" xr:uid="{00000000-0005-0000-0000-0000C75B0000}"/>
    <cellStyle name="Normal 7 3 2 4 7" xfId="20143" xr:uid="{00000000-0005-0000-0000-0000C85B0000}"/>
    <cellStyle name="Normal 7 3 2 5" xfId="724" xr:uid="{00000000-0005-0000-0000-0000C95B0000}"/>
    <cellStyle name="Normal 7 3 2 5 2" xfId="1960" xr:uid="{00000000-0005-0000-0000-0000CA5B0000}"/>
    <cellStyle name="Normal 7 3 2 5 2 2" xfId="4427" xr:uid="{00000000-0005-0000-0000-0000CB5B0000}"/>
    <cellStyle name="Normal 7 3 2 5 2 2 2" xfId="9359" xr:uid="{00000000-0005-0000-0000-0000CC5B0000}"/>
    <cellStyle name="Normal 7 3 2 5 2 2 2 2" xfId="19219" xr:uid="{00000000-0005-0000-0000-0000CD5B0000}"/>
    <cellStyle name="Normal 7 3 2 5 2 2 2 2 2" xfId="38934" xr:uid="{00000000-0005-0000-0000-0000CE5B0000}"/>
    <cellStyle name="Normal 7 3 2 5 2 2 2 3" xfId="29077" xr:uid="{00000000-0005-0000-0000-0000CF5B0000}"/>
    <cellStyle name="Normal 7 3 2 5 2 2 3" xfId="14291" xr:uid="{00000000-0005-0000-0000-0000D05B0000}"/>
    <cellStyle name="Normal 7 3 2 5 2 2 3 2" xfId="34006" xr:uid="{00000000-0005-0000-0000-0000D15B0000}"/>
    <cellStyle name="Normal 7 3 2 5 2 2 4" xfId="24149" xr:uid="{00000000-0005-0000-0000-0000D25B0000}"/>
    <cellStyle name="Normal 7 3 2 5 2 3" xfId="6895" xr:uid="{00000000-0005-0000-0000-0000D35B0000}"/>
    <cellStyle name="Normal 7 3 2 5 2 3 2" xfId="16755" xr:uid="{00000000-0005-0000-0000-0000D45B0000}"/>
    <cellStyle name="Normal 7 3 2 5 2 3 2 2" xfId="36470" xr:uid="{00000000-0005-0000-0000-0000D55B0000}"/>
    <cellStyle name="Normal 7 3 2 5 2 3 3" xfId="26613" xr:uid="{00000000-0005-0000-0000-0000D65B0000}"/>
    <cellStyle name="Normal 7 3 2 5 2 4" xfId="11827" xr:uid="{00000000-0005-0000-0000-0000D75B0000}"/>
    <cellStyle name="Normal 7 3 2 5 2 4 2" xfId="31542" xr:uid="{00000000-0005-0000-0000-0000D85B0000}"/>
    <cellStyle name="Normal 7 3 2 5 2 5" xfId="21685" xr:uid="{00000000-0005-0000-0000-0000D95B0000}"/>
    <cellStyle name="Normal 7 3 2 5 3" xfId="3195" xr:uid="{00000000-0005-0000-0000-0000DA5B0000}"/>
    <cellStyle name="Normal 7 3 2 5 3 2" xfId="8127" xr:uid="{00000000-0005-0000-0000-0000DB5B0000}"/>
    <cellStyle name="Normal 7 3 2 5 3 2 2" xfId="17987" xr:uid="{00000000-0005-0000-0000-0000DC5B0000}"/>
    <cellStyle name="Normal 7 3 2 5 3 2 2 2" xfId="37702" xr:uid="{00000000-0005-0000-0000-0000DD5B0000}"/>
    <cellStyle name="Normal 7 3 2 5 3 2 3" xfId="27845" xr:uid="{00000000-0005-0000-0000-0000DE5B0000}"/>
    <cellStyle name="Normal 7 3 2 5 3 3" xfId="13059" xr:uid="{00000000-0005-0000-0000-0000DF5B0000}"/>
    <cellStyle name="Normal 7 3 2 5 3 3 2" xfId="32774" xr:uid="{00000000-0005-0000-0000-0000E05B0000}"/>
    <cellStyle name="Normal 7 3 2 5 3 4" xfId="22917" xr:uid="{00000000-0005-0000-0000-0000E15B0000}"/>
    <cellStyle name="Normal 7 3 2 5 4" xfId="5663" xr:uid="{00000000-0005-0000-0000-0000E25B0000}"/>
    <cellStyle name="Normal 7 3 2 5 4 2" xfId="15523" xr:uid="{00000000-0005-0000-0000-0000E35B0000}"/>
    <cellStyle name="Normal 7 3 2 5 4 2 2" xfId="35238" xr:uid="{00000000-0005-0000-0000-0000E45B0000}"/>
    <cellStyle name="Normal 7 3 2 5 4 3" xfId="25381" xr:uid="{00000000-0005-0000-0000-0000E55B0000}"/>
    <cellStyle name="Normal 7 3 2 5 5" xfId="10595" xr:uid="{00000000-0005-0000-0000-0000E65B0000}"/>
    <cellStyle name="Normal 7 3 2 5 5 2" xfId="30310" xr:uid="{00000000-0005-0000-0000-0000E75B0000}"/>
    <cellStyle name="Normal 7 3 2 5 6" xfId="20453" xr:uid="{00000000-0005-0000-0000-0000E85B0000}"/>
    <cellStyle name="Normal 7 3 2 6" xfId="1344" xr:uid="{00000000-0005-0000-0000-0000E95B0000}"/>
    <cellStyle name="Normal 7 3 2 6 2" xfId="3811" xr:uid="{00000000-0005-0000-0000-0000EA5B0000}"/>
    <cellStyle name="Normal 7 3 2 6 2 2" xfId="8743" xr:uid="{00000000-0005-0000-0000-0000EB5B0000}"/>
    <cellStyle name="Normal 7 3 2 6 2 2 2" xfId="18603" xr:uid="{00000000-0005-0000-0000-0000EC5B0000}"/>
    <cellStyle name="Normal 7 3 2 6 2 2 2 2" xfId="38318" xr:uid="{00000000-0005-0000-0000-0000ED5B0000}"/>
    <cellStyle name="Normal 7 3 2 6 2 2 3" xfId="28461" xr:uid="{00000000-0005-0000-0000-0000EE5B0000}"/>
    <cellStyle name="Normal 7 3 2 6 2 3" xfId="13675" xr:uid="{00000000-0005-0000-0000-0000EF5B0000}"/>
    <cellStyle name="Normal 7 3 2 6 2 3 2" xfId="33390" xr:uid="{00000000-0005-0000-0000-0000F05B0000}"/>
    <cellStyle name="Normal 7 3 2 6 2 4" xfId="23533" xr:uid="{00000000-0005-0000-0000-0000F15B0000}"/>
    <cellStyle name="Normal 7 3 2 6 3" xfId="6279" xr:uid="{00000000-0005-0000-0000-0000F25B0000}"/>
    <cellStyle name="Normal 7 3 2 6 3 2" xfId="16139" xr:uid="{00000000-0005-0000-0000-0000F35B0000}"/>
    <cellStyle name="Normal 7 3 2 6 3 2 2" xfId="35854" xr:uid="{00000000-0005-0000-0000-0000F45B0000}"/>
    <cellStyle name="Normal 7 3 2 6 3 3" xfId="25997" xr:uid="{00000000-0005-0000-0000-0000F55B0000}"/>
    <cellStyle name="Normal 7 3 2 6 4" xfId="11211" xr:uid="{00000000-0005-0000-0000-0000F65B0000}"/>
    <cellStyle name="Normal 7 3 2 6 4 2" xfId="30926" xr:uid="{00000000-0005-0000-0000-0000F75B0000}"/>
    <cellStyle name="Normal 7 3 2 6 5" xfId="21069" xr:uid="{00000000-0005-0000-0000-0000F85B0000}"/>
    <cellStyle name="Normal 7 3 2 7" xfId="2579" xr:uid="{00000000-0005-0000-0000-0000F95B0000}"/>
    <cellStyle name="Normal 7 3 2 7 2" xfId="7511" xr:uid="{00000000-0005-0000-0000-0000FA5B0000}"/>
    <cellStyle name="Normal 7 3 2 7 2 2" xfId="17371" xr:uid="{00000000-0005-0000-0000-0000FB5B0000}"/>
    <cellStyle name="Normal 7 3 2 7 2 2 2" xfId="37086" xr:uid="{00000000-0005-0000-0000-0000FC5B0000}"/>
    <cellStyle name="Normal 7 3 2 7 2 3" xfId="27229" xr:uid="{00000000-0005-0000-0000-0000FD5B0000}"/>
    <cellStyle name="Normal 7 3 2 7 3" xfId="12443" xr:uid="{00000000-0005-0000-0000-0000FE5B0000}"/>
    <cellStyle name="Normal 7 3 2 7 3 2" xfId="32158" xr:uid="{00000000-0005-0000-0000-0000FF5B0000}"/>
    <cellStyle name="Normal 7 3 2 7 4" xfId="22301" xr:uid="{00000000-0005-0000-0000-0000005C0000}"/>
    <cellStyle name="Normal 7 3 2 8" xfId="5047" xr:uid="{00000000-0005-0000-0000-0000015C0000}"/>
    <cellStyle name="Normal 7 3 2 8 2" xfId="14907" xr:uid="{00000000-0005-0000-0000-0000025C0000}"/>
    <cellStyle name="Normal 7 3 2 8 2 2" xfId="34622" xr:uid="{00000000-0005-0000-0000-0000035C0000}"/>
    <cellStyle name="Normal 7 3 2 8 3" xfId="24765" xr:uid="{00000000-0005-0000-0000-0000045C0000}"/>
    <cellStyle name="Normal 7 3 2 9" xfId="9979" xr:uid="{00000000-0005-0000-0000-0000055C0000}"/>
    <cellStyle name="Normal 7 3 2 9 2" xfId="29694" xr:uid="{00000000-0005-0000-0000-0000065C0000}"/>
    <cellStyle name="Normal 7 3 3" xfId="130" xr:uid="{00000000-0005-0000-0000-0000075C0000}"/>
    <cellStyle name="Normal 7 3 3 2" xfId="287" xr:uid="{00000000-0005-0000-0000-0000085C0000}"/>
    <cellStyle name="Normal 7 3 3 2 2" xfId="601" xr:uid="{00000000-0005-0000-0000-0000095C0000}"/>
    <cellStyle name="Normal 7 3 3 2 2 2" xfId="1221" xr:uid="{00000000-0005-0000-0000-00000A5C0000}"/>
    <cellStyle name="Normal 7 3 3 2 2 2 2" xfId="2456" xr:uid="{00000000-0005-0000-0000-00000B5C0000}"/>
    <cellStyle name="Normal 7 3 3 2 2 2 2 2" xfId="4923" xr:uid="{00000000-0005-0000-0000-00000C5C0000}"/>
    <cellStyle name="Normal 7 3 3 2 2 2 2 2 2" xfId="9855" xr:uid="{00000000-0005-0000-0000-00000D5C0000}"/>
    <cellStyle name="Normal 7 3 3 2 2 2 2 2 2 2" xfId="19715" xr:uid="{00000000-0005-0000-0000-00000E5C0000}"/>
    <cellStyle name="Normal 7 3 3 2 2 2 2 2 2 2 2" xfId="39430" xr:uid="{00000000-0005-0000-0000-00000F5C0000}"/>
    <cellStyle name="Normal 7 3 3 2 2 2 2 2 2 3" xfId="29573" xr:uid="{00000000-0005-0000-0000-0000105C0000}"/>
    <cellStyle name="Normal 7 3 3 2 2 2 2 2 3" xfId="14787" xr:uid="{00000000-0005-0000-0000-0000115C0000}"/>
    <cellStyle name="Normal 7 3 3 2 2 2 2 2 3 2" xfId="34502" xr:uid="{00000000-0005-0000-0000-0000125C0000}"/>
    <cellStyle name="Normal 7 3 3 2 2 2 2 2 4" xfId="24645" xr:uid="{00000000-0005-0000-0000-0000135C0000}"/>
    <cellStyle name="Normal 7 3 3 2 2 2 2 3" xfId="7391" xr:uid="{00000000-0005-0000-0000-0000145C0000}"/>
    <cellStyle name="Normal 7 3 3 2 2 2 2 3 2" xfId="17251" xr:uid="{00000000-0005-0000-0000-0000155C0000}"/>
    <cellStyle name="Normal 7 3 3 2 2 2 2 3 2 2" xfId="36966" xr:uid="{00000000-0005-0000-0000-0000165C0000}"/>
    <cellStyle name="Normal 7 3 3 2 2 2 2 3 3" xfId="27109" xr:uid="{00000000-0005-0000-0000-0000175C0000}"/>
    <cellStyle name="Normal 7 3 3 2 2 2 2 4" xfId="12323" xr:uid="{00000000-0005-0000-0000-0000185C0000}"/>
    <cellStyle name="Normal 7 3 3 2 2 2 2 4 2" xfId="32038" xr:uid="{00000000-0005-0000-0000-0000195C0000}"/>
    <cellStyle name="Normal 7 3 3 2 2 2 2 5" xfId="22181" xr:uid="{00000000-0005-0000-0000-00001A5C0000}"/>
    <cellStyle name="Normal 7 3 3 2 2 2 3" xfId="3691" xr:uid="{00000000-0005-0000-0000-00001B5C0000}"/>
    <cellStyle name="Normal 7 3 3 2 2 2 3 2" xfId="8623" xr:uid="{00000000-0005-0000-0000-00001C5C0000}"/>
    <cellStyle name="Normal 7 3 3 2 2 2 3 2 2" xfId="18483" xr:uid="{00000000-0005-0000-0000-00001D5C0000}"/>
    <cellStyle name="Normal 7 3 3 2 2 2 3 2 2 2" xfId="38198" xr:uid="{00000000-0005-0000-0000-00001E5C0000}"/>
    <cellStyle name="Normal 7 3 3 2 2 2 3 2 3" xfId="28341" xr:uid="{00000000-0005-0000-0000-00001F5C0000}"/>
    <cellStyle name="Normal 7 3 3 2 2 2 3 3" xfId="13555" xr:uid="{00000000-0005-0000-0000-0000205C0000}"/>
    <cellStyle name="Normal 7 3 3 2 2 2 3 3 2" xfId="33270" xr:uid="{00000000-0005-0000-0000-0000215C0000}"/>
    <cellStyle name="Normal 7 3 3 2 2 2 3 4" xfId="23413" xr:uid="{00000000-0005-0000-0000-0000225C0000}"/>
    <cellStyle name="Normal 7 3 3 2 2 2 4" xfId="6159" xr:uid="{00000000-0005-0000-0000-0000235C0000}"/>
    <cellStyle name="Normal 7 3 3 2 2 2 4 2" xfId="16019" xr:uid="{00000000-0005-0000-0000-0000245C0000}"/>
    <cellStyle name="Normal 7 3 3 2 2 2 4 2 2" xfId="35734" xr:uid="{00000000-0005-0000-0000-0000255C0000}"/>
    <cellStyle name="Normal 7 3 3 2 2 2 4 3" xfId="25877" xr:uid="{00000000-0005-0000-0000-0000265C0000}"/>
    <cellStyle name="Normal 7 3 3 2 2 2 5" xfId="11091" xr:uid="{00000000-0005-0000-0000-0000275C0000}"/>
    <cellStyle name="Normal 7 3 3 2 2 2 5 2" xfId="30806" xr:uid="{00000000-0005-0000-0000-0000285C0000}"/>
    <cellStyle name="Normal 7 3 3 2 2 2 6" xfId="20949" xr:uid="{00000000-0005-0000-0000-0000295C0000}"/>
    <cellStyle name="Normal 7 3 3 2 2 3" xfId="1840" xr:uid="{00000000-0005-0000-0000-00002A5C0000}"/>
    <cellStyle name="Normal 7 3 3 2 2 3 2" xfId="4307" xr:uid="{00000000-0005-0000-0000-00002B5C0000}"/>
    <cellStyle name="Normal 7 3 3 2 2 3 2 2" xfId="9239" xr:uid="{00000000-0005-0000-0000-00002C5C0000}"/>
    <cellStyle name="Normal 7 3 3 2 2 3 2 2 2" xfId="19099" xr:uid="{00000000-0005-0000-0000-00002D5C0000}"/>
    <cellStyle name="Normal 7 3 3 2 2 3 2 2 2 2" xfId="38814" xr:uid="{00000000-0005-0000-0000-00002E5C0000}"/>
    <cellStyle name="Normal 7 3 3 2 2 3 2 2 3" xfId="28957" xr:uid="{00000000-0005-0000-0000-00002F5C0000}"/>
    <cellStyle name="Normal 7 3 3 2 2 3 2 3" xfId="14171" xr:uid="{00000000-0005-0000-0000-0000305C0000}"/>
    <cellStyle name="Normal 7 3 3 2 2 3 2 3 2" xfId="33886" xr:uid="{00000000-0005-0000-0000-0000315C0000}"/>
    <cellStyle name="Normal 7 3 3 2 2 3 2 4" xfId="24029" xr:uid="{00000000-0005-0000-0000-0000325C0000}"/>
    <cellStyle name="Normal 7 3 3 2 2 3 3" xfId="6775" xr:uid="{00000000-0005-0000-0000-0000335C0000}"/>
    <cellStyle name="Normal 7 3 3 2 2 3 3 2" xfId="16635" xr:uid="{00000000-0005-0000-0000-0000345C0000}"/>
    <cellStyle name="Normal 7 3 3 2 2 3 3 2 2" xfId="36350" xr:uid="{00000000-0005-0000-0000-0000355C0000}"/>
    <cellStyle name="Normal 7 3 3 2 2 3 3 3" xfId="26493" xr:uid="{00000000-0005-0000-0000-0000365C0000}"/>
    <cellStyle name="Normal 7 3 3 2 2 3 4" xfId="11707" xr:uid="{00000000-0005-0000-0000-0000375C0000}"/>
    <cellStyle name="Normal 7 3 3 2 2 3 4 2" xfId="31422" xr:uid="{00000000-0005-0000-0000-0000385C0000}"/>
    <cellStyle name="Normal 7 3 3 2 2 3 5" xfId="21565" xr:uid="{00000000-0005-0000-0000-0000395C0000}"/>
    <cellStyle name="Normal 7 3 3 2 2 4" xfId="3075" xr:uid="{00000000-0005-0000-0000-00003A5C0000}"/>
    <cellStyle name="Normal 7 3 3 2 2 4 2" xfId="8007" xr:uid="{00000000-0005-0000-0000-00003B5C0000}"/>
    <cellStyle name="Normal 7 3 3 2 2 4 2 2" xfId="17867" xr:uid="{00000000-0005-0000-0000-00003C5C0000}"/>
    <cellStyle name="Normal 7 3 3 2 2 4 2 2 2" xfId="37582" xr:uid="{00000000-0005-0000-0000-00003D5C0000}"/>
    <cellStyle name="Normal 7 3 3 2 2 4 2 3" xfId="27725" xr:uid="{00000000-0005-0000-0000-00003E5C0000}"/>
    <cellStyle name="Normal 7 3 3 2 2 4 3" xfId="12939" xr:uid="{00000000-0005-0000-0000-00003F5C0000}"/>
    <cellStyle name="Normal 7 3 3 2 2 4 3 2" xfId="32654" xr:uid="{00000000-0005-0000-0000-0000405C0000}"/>
    <cellStyle name="Normal 7 3 3 2 2 4 4" xfId="22797" xr:uid="{00000000-0005-0000-0000-0000415C0000}"/>
    <cellStyle name="Normal 7 3 3 2 2 5" xfId="5543" xr:uid="{00000000-0005-0000-0000-0000425C0000}"/>
    <cellStyle name="Normal 7 3 3 2 2 5 2" xfId="15403" xr:uid="{00000000-0005-0000-0000-0000435C0000}"/>
    <cellStyle name="Normal 7 3 3 2 2 5 2 2" xfId="35118" xr:uid="{00000000-0005-0000-0000-0000445C0000}"/>
    <cellStyle name="Normal 7 3 3 2 2 5 3" xfId="25261" xr:uid="{00000000-0005-0000-0000-0000455C0000}"/>
    <cellStyle name="Normal 7 3 3 2 2 6" xfId="10475" xr:uid="{00000000-0005-0000-0000-0000465C0000}"/>
    <cellStyle name="Normal 7 3 3 2 2 6 2" xfId="30190" xr:uid="{00000000-0005-0000-0000-0000475C0000}"/>
    <cellStyle name="Normal 7 3 3 2 2 7" xfId="20333" xr:uid="{00000000-0005-0000-0000-0000485C0000}"/>
    <cellStyle name="Normal 7 3 3 2 3" xfId="914" xr:uid="{00000000-0005-0000-0000-0000495C0000}"/>
    <cellStyle name="Normal 7 3 3 2 3 2" xfId="2150" xr:uid="{00000000-0005-0000-0000-00004A5C0000}"/>
    <cellStyle name="Normal 7 3 3 2 3 2 2" xfId="4617" xr:uid="{00000000-0005-0000-0000-00004B5C0000}"/>
    <cellStyle name="Normal 7 3 3 2 3 2 2 2" xfId="9549" xr:uid="{00000000-0005-0000-0000-00004C5C0000}"/>
    <cellStyle name="Normal 7 3 3 2 3 2 2 2 2" xfId="19409" xr:uid="{00000000-0005-0000-0000-00004D5C0000}"/>
    <cellStyle name="Normal 7 3 3 2 3 2 2 2 2 2" xfId="39124" xr:uid="{00000000-0005-0000-0000-00004E5C0000}"/>
    <cellStyle name="Normal 7 3 3 2 3 2 2 2 3" xfId="29267" xr:uid="{00000000-0005-0000-0000-00004F5C0000}"/>
    <cellStyle name="Normal 7 3 3 2 3 2 2 3" xfId="14481" xr:uid="{00000000-0005-0000-0000-0000505C0000}"/>
    <cellStyle name="Normal 7 3 3 2 3 2 2 3 2" xfId="34196" xr:uid="{00000000-0005-0000-0000-0000515C0000}"/>
    <cellStyle name="Normal 7 3 3 2 3 2 2 4" xfId="24339" xr:uid="{00000000-0005-0000-0000-0000525C0000}"/>
    <cellStyle name="Normal 7 3 3 2 3 2 3" xfId="7085" xr:uid="{00000000-0005-0000-0000-0000535C0000}"/>
    <cellStyle name="Normal 7 3 3 2 3 2 3 2" xfId="16945" xr:uid="{00000000-0005-0000-0000-0000545C0000}"/>
    <cellStyle name="Normal 7 3 3 2 3 2 3 2 2" xfId="36660" xr:uid="{00000000-0005-0000-0000-0000555C0000}"/>
    <cellStyle name="Normal 7 3 3 2 3 2 3 3" xfId="26803" xr:uid="{00000000-0005-0000-0000-0000565C0000}"/>
    <cellStyle name="Normal 7 3 3 2 3 2 4" xfId="12017" xr:uid="{00000000-0005-0000-0000-0000575C0000}"/>
    <cellStyle name="Normal 7 3 3 2 3 2 4 2" xfId="31732" xr:uid="{00000000-0005-0000-0000-0000585C0000}"/>
    <cellStyle name="Normal 7 3 3 2 3 2 5" xfId="21875" xr:uid="{00000000-0005-0000-0000-0000595C0000}"/>
    <cellStyle name="Normal 7 3 3 2 3 3" xfId="3385" xr:uid="{00000000-0005-0000-0000-00005A5C0000}"/>
    <cellStyle name="Normal 7 3 3 2 3 3 2" xfId="8317" xr:uid="{00000000-0005-0000-0000-00005B5C0000}"/>
    <cellStyle name="Normal 7 3 3 2 3 3 2 2" xfId="18177" xr:uid="{00000000-0005-0000-0000-00005C5C0000}"/>
    <cellStyle name="Normal 7 3 3 2 3 3 2 2 2" xfId="37892" xr:uid="{00000000-0005-0000-0000-00005D5C0000}"/>
    <cellStyle name="Normal 7 3 3 2 3 3 2 3" xfId="28035" xr:uid="{00000000-0005-0000-0000-00005E5C0000}"/>
    <cellStyle name="Normal 7 3 3 2 3 3 3" xfId="13249" xr:uid="{00000000-0005-0000-0000-00005F5C0000}"/>
    <cellStyle name="Normal 7 3 3 2 3 3 3 2" xfId="32964" xr:uid="{00000000-0005-0000-0000-0000605C0000}"/>
    <cellStyle name="Normal 7 3 3 2 3 3 4" xfId="23107" xr:uid="{00000000-0005-0000-0000-0000615C0000}"/>
    <cellStyle name="Normal 7 3 3 2 3 4" xfId="5853" xr:uid="{00000000-0005-0000-0000-0000625C0000}"/>
    <cellStyle name="Normal 7 3 3 2 3 4 2" xfId="15713" xr:uid="{00000000-0005-0000-0000-0000635C0000}"/>
    <cellStyle name="Normal 7 3 3 2 3 4 2 2" xfId="35428" xr:uid="{00000000-0005-0000-0000-0000645C0000}"/>
    <cellStyle name="Normal 7 3 3 2 3 4 3" xfId="25571" xr:uid="{00000000-0005-0000-0000-0000655C0000}"/>
    <cellStyle name="Normal 7 3 3 2 3 5" xfId="10785" xr:uid="{00000000-0005-0000-0000-0000665C0000}"/>
    <cellStyle name="Normal 7 3 3 2 3 5 2" xfId="30500" xr:uid="{00000000-0005-0000-0000-0000675C0000}"/>
    <cellStyle name="Normal 7 3 3 2 3 6" xfId="20643" xr:uid="{00000000-0005-0000-0000-0000685C0000}"/>
    <cellStyle name="Normal 7 3 3 2 4" xfId="1534" xr:uid="{00000000-0005-0000-0000-0000695C0000}"/>
    <cellStyle name="Normal 7 3 3 2 4 2" xfId="4001" xr:uid="{00000000-0005-0000-0000-00006A5C0000}"/>
    <cellStyle name="Normal 7 3 3 2 4 2 2" xfId="8933" xr:uid="{00000000-0005-0000-0000-00006B5C0000}"/>
    <cellStyle name="Normal 7 3 3 2 4 2 2 2" xfId="18793" xr:uid="{00000000-0005-0000-0000-00006C5C0000}"/>
    <cellStyle name="Normal 7 3 3 2 4 2 2 2 2" xfId="38508" xr:uid="{00000000-0005-0000-0000-00006D5C0000}"/>
    <cellStyle name="Normal 7 3 3 2 4 2 2 3" xfId="28651" xr:uid="{00000000-0005-0000-0000-00006E5C0000}"/>
    <cellStyle name="Normal 7 3 3 2 4 2 3" xfId="13865" xr:uid="{00000000-0005-0000-0000-00006F5C0000}"/>
    <cellStyle name="Normal 7 3 3 2 4 2 3 2" xfId="33580" xr:uid="{00000000-0005-0000-0000-0000705C0000}"/>
    <cellStyle name="Normal 7 3 3 2 4 2 4" xfId="23723" xr:uid="{00000000-0005-0000-0000-0000715C0000}"/>
    <cellStyle name="Normal 7 3 3 2 4 3" xfId="6469" xr:uid="{00000000-0005-0000-0000-0000725C0000}"/>
    <cellStyle name="Normal 7 3 3 2 4 3 2" xfId="16329" xr:uid="{00000000-0005-0000-0000-0000735C0000}"/>
    <cellStyle name="Normal 7 3 3 2 4 3 2 2" xfId="36044" xr:uid="{00000000-0005-0000-0000-0000745C0000}"/>
    <cellStyle name="Normal 7 3 3 2 4 3 3" xfId="26187" xr:uid="{00000000-0005-0000-0000-0000755C0000}"/>
    <cellStyle name="Normal 7 3 3 2 4 4" xfId="11401" xr:uid="{00000000-0005-0000-0000-0000765C0000}"/>
    <cellStyle name="Normal 7 3 3 2 4 4 2" xfId="31116" xr:uid="{00000000-0005-0000-0000-0000775C0000}"/>
    <cellStyle name="Normal 7 3 3 2 4 5" xfId="21259" xr:uid="{00000000-0005-0000-0000-0000785C0000}"/>
    <cellStyle name="Normal 7 3 3 2 5" xfId="2769" xr:uid="{00000000-0005-0000-0000-0000795C0000}"/>
    <cellStyle name="Normal 7 3 3 2 5 2" xfId="7701" xr:uid="{00000000-0005-0000-0000-00007A5C0000}"/>
    <cellStyle name="Normal 7 3 3 2 5 2 2" xfId="17561" xr:uid="{00000000-0005-0000-0000-00007B5C0000}"/>
    <cellStyle name="Normal 7 3 3 2 5 2 2 2" xfId="37276" xr:uid="{00000000-0005-0000-0000-00007C5C0000}"/>
    <cellStyle name="Normal 7 3 3 2 5 2 3" xfId="27419" xr:uid="{00000000-0005-0000-0000-00007D5C0000}"/>
    <cellStyle name="Normal 7 3 3 2 5 3" xfId="12633" xr:uid="{00000000-0005-0000-0000-00007E5C0000}"/>
    <cellStyle name="Normal 7 3 3 2 5 3 2" xfId="32348" xr:uid="{00000000-0005-0000-0000-00007F5C0000}"/>
    <cellStyle name="Normal 7 3 3 2 5 4" xfId="22491" xr:uid="{00000000-0005-0000-0000-0000805C0000}"/>
    <cellStyle name="Normal 7 3 3 2 6" xfId="5237" xr:uid="{00000000-0005-0000-0000-0000815C0000}"/>
    <cellStyle name="Normal 7 3 3 2 6 2" xfId="15097" xr:uid="{00000000-0005-0000-0000-0000825C0000}"/>
    <cellStyle name="Normal 7 3 3 2 6 2 2" xfId="34812" xr:uid="{00000000-0005-0000-0000-0000835C0000}"/>
    <cellStyle name="Normal 7 3 3 2 6 3" xfId="24955" xr:uid="{00000000-0005-0000-0000-0000845C0000}"/>
    <cellStyle name="Normal 7 3 3 2 7" xfId="10169" xr:uid="{00000000-0005-0000-0000-0000855C0000}"/>
    <cellStyle name="Normal 7 3 3 2 7 2" xfId="29884" xr:uid="{00000000-0005-0000-0000-0000865C0000}"/>
    <cellStyle name="Normal 7 3 3 2 8" xfId="20027" xr:uid="{00000000-0005-0000-0000-0000875C0000}"/>
    <cellStyle name="Normal 7 3 3 3" xfId="449" xr:uid="{00000000-0005-0000-0000-0000885C0000}"/>
    <cellStyle name="Normal 7 3 3 3 2" xfId="1069" xr:uid="{00000000-0005-0000-0000-0000895C0000}"/>
    <cellStyle name="Normal 7 3 3 3 2 2" xfId="2304" xr:uid="{00000000-0005-0000-0000-00008A5C0000}"/>
    <cellStyle name="Normal 7 3 3 3 2 2 2" xfId="4771" xr:uid="{00000000-0005-0000-0000-00008B5C0000}"/>
    <cellStyle name="Normal 7 3 3 3 2 2 2 2" xfId="9703" xr:uid="{00000000-0005-0000-0000-00008C5C0000}"/>
    <cellStyle name="Normal 7 3 3 3 2 2 2 2 2" xfId="19563" xr:uid="{00000000-0005-0000-0000-00008D5C0000}"/>
    <cellStyle name="Normal 7 3 3 3 2 2 2 2 2 2" xfId="39278" xr:uid="{00000000-0005-0000-0000-00008E5C0000}"/>
    <cellStyle name="Normal 7 3 3 3 2 2 2 2 3" xfId="29421" xr:uid="{00000000-0005-0000-0000-00008F5C0000}"/>
    <cellStyle name="Normal 7 3 3 3 2 2 2 3" xfId="14635" xr:uid="{00000000-0005-0000-0000-0000905C0000}"/>
    <cellStyle name="Normal 7 3 3 3 2 2 2 3 2" xfId="34350" xr:uid="{00000000-0005-0000-0000-0000915C0000}"/>
    <cellStyle name="Normal 7 3 3 3 2 2 2 4" xfId="24493" xr:uid="{00000000-0005-0000-0000-0000925C0000}"/>
    <cellStyle name="Normal 7 3 3 3 2 2 3" xfId="7239" xr:uid="{00000000-0005-0000-0000-0000935C0000}"/>
    <cellStyle name="Normal 7 3 3 3 2 2 3 2" xfId="17099" xr:uid="{00000000-0005-0000-0000-0000945C0000}"/>
    <cellStyle name="Normal 7 3 3 3 2 2 3 2 2" xfId="36814" xr:uid="{00000000-0005-0000-0000-0000955C0000}"/>
    <cellStyle name="Normal 7 3 3 3 2 2 3 3" xfId="26957" xr:uid="{00000000-0005-0000-0000-0000965C0000}"/>
    <cellStyle name="Normal 7 3 3 3 2 2 4" xfId="12171" xr:uid="{00000000-0005-0000-0000-0000975C0000}"/>
    <cellStyle name="Normal 7 3 3 3 2 2 4 2" xfId="31886" xr:uid="{00000000-0005-0000-0000-0000985C0000}"/>
    <cellStyle name="Normal 7 3 3 3 2 2 5" xfId="22029" xr:uid="{00000000-0005-0000-0000-0000995C0000}"/>
    <cellStyle name="Normal 7 3 3 3 2 3" xfId="3539" xr:uid="{00000000-0005-0000-0000-00009A5C0000}"/>
    <cellStyle name="Normal 7 3 3 3 2 3 2" xfId="8471" xr:uid="{00000000-0005-0000-0000-00009B5C0000}"/>
    <cellStyle name="Normal 7 3 3 3 2 3 2 2" xfId="18331" xr:uid="{00000000-0005-0000-0000-00009C5C0000}"/>
    <cellStyle name="Normal 7 3 3 3 2 3 2 2 2" xfId="38046" xr:uid="{00000000-0005-0000-0000-00009D5C0000}"/>
    <cellStyle name="Normal 7 3 3 3 2 3 2 3" xfId="28189" xr:uid="{00000000-0005-0000-0000-00009E5C0000}"/>
    <cellStyle name="Normal 7 3 3 3 2 3 3" xfId="13403" xr:uid="{00000000-0005-0000-0000-00009F5C0000}"/>
    <cellStyle name="Normal 7 3 3 3 2 3 3 2" xfId="33118" xr:uid="{00000000-0005-0000-0000-0000A05C0000}"/>
    <cellStyle name="Normal 7 3 3 3 2 3 4" xfId="23261" xr:uid="{00000000-0005-0000-0000-0000A15C0000}"/>
    <cellStyle name="Normal 7 3 3 3 2 4" xfId="6007" xr:uid="{00000000-0005-0000-0000-0000A25C0000}"/>
    <cellStyle name="Normal 7 3 3 3 2 4 2" xfId="15867" xr:uid="{00000000-0005-0000-0000-0000A35C0000}"/>
    <cellStyle name="Normal 7 3 3 3 2 4 2 2" xfId="35582" xr:uid="{00000000-0005-0000-0000-0000A45C0000}"/>
    <cellStyle name="Normal 7 3 3 3 2 4 3" xfId="25725" xr:uid="{00000000-0005-0000-0000-0000A55C0000}"/>
    <cellStyle name="Normal 7 3 3 3 2 5" xfId="10939" xr:uid="{00000000-0005-0000-0000-0000A65C0000}"/>
    <cellStyle name="Normal 7 3 3 3 2 5 2" xfId="30654" xr:uid="{00000000-0005-0000-0000-0000A75C0000}"/>
    <cellStyle name="Normal 7 3 3 3 2 6" xfId="20797" xr:uid="{00000000-0005-0000-0000-0000A85C0000}"/>
    <cellStyle name="Normal 7 3 3 3 3" xfId="1688" xr:uid="{00000000-0005-0000-0000-0000A95C0000}"/>
    <cellStyle name="Normal 7 3 3 3 3 2" xfId="4155" xr:uid="{00000000-0005-0000-0000-0000AA5C0000}"/>
    <cellStyle name="Normal 7 3 3 3 3 2 2" xfId="9087" xr:uid="{00000000-0005-0000-0000-0000AB5C0000}"/>
    <cellStyle name="Normal 7 3 3 3 3 2 2 2" xfId="18947" xr:uid="{00000000-0005-0000-0000-0000AC5C0000}"/>
    <cellStyle name="Normal 7 3 3 3 3 2 2 2 2" xfId="38662" xr:uid="{00000000-0005-0000-0000-0000AD5C0000}"/>
    <cellStyle name="Normal 7 3 3 3 3 2 2 3" xfId="28805" xr:uid="{00000000-0005-0000-0000-0000AE5C0000}"/>
    <cellStyle name="Normal 7 3 3 3 3 2 3" xfId="14019" xr:uid="{00000000-0005-0000-0000-0000AF5C0000}"/>
    <cellStyle name="Normal 7 3 3 3 3 2 3 2" xfId="33734" xr:uid="{00000000-0005-0000-0000-0000B05C0000}"/>
    <cellStyle name="Normal 7 3 3 3 3 2 4" xfId="23877" xr:uid="{00000000-0005-0000-0000-0000B15C0000}"/>
    <cellStyle name="Normal 7 3 3 3 3 3" xfId="6623" xr:uid="{00000000-0005-0000-0000-0000B25C0000}"/>
    <cellStyle name="Normal 7 3 3 3 3 3 2" xfId="16483" xr:uid="{00000000-0005-0000-0000-0000B35C0000}"/>
    <cellStyle name="Normal 7 3 3 3 3 3 2 2" xfId="36198" xr:uid="{00000000-0005-0000-0000-0000B45C0000}"/>
    <cellStyle name="Normal 7 3 3 3 3 3 3" xfId="26341" xr:uid="{00000000-0005-0000-0000-0000B55C0000}"/>
    <cellStyle name="Normal 7 3 3 3 3 4" xfId="11555" xr:uid="{00000000-0005-0000-0000-0000B65C0000}"/>
    <cellStyle name="Normal 7 3 3 3 3 4 2" xfId="31270" xr:uid="{00000000-0005-0000-0000-0000B75C0000}"/>
    <cellStyle name="Normal 7 3 3 3 3 5" xfId="21413" xr:uid="{00000000-0005-0000-0000-0000B85C0000}"/>
    <cellStyle name="Normal 7 3 3 3 4" xfId="2923" xr:uid="{00000000-0005-0000-0000-0000B95C0000}"/>
    <cellStyle name="Normal 7 3 3 3 4 2" xfId="7855" xr:uid="{00000000-0005-0000-0000-0000BA5C0000}"/>
    <cellStyle name="Normal 7 3 3 3 4 2 2" xfId="17715" xr:uid="{00000000-0005-0000-0000-0000BB5C0000}"/>
    <cellStyle name="Normal 7 3 3 3 4 2 2 2" xfId="37430" xr:uid="{00000000-0005-0000-0000-0000BC5C0000}"/>
    <cellStyle name="Normal 7 3 3 3 4 2 3" xfId="27573" xr:uid="{00000000-0005-0000-0000-0000BD5C0000}"/>
    <cellStyle name="Normal 7 3 3 3 4 3" xfId="12787" xr:uid="{00000000-0005-0000-0000-0000BE5C0000}"/>
    <cellStyle name="Normal 7 3 3 3 4 3 2" xfId="32502" xr:uid="{00000000-0005-0000-0000-0000BF5C0000}"/>
    <cellStyle name="Normal 7 3 3 3 4 4" xfId="22645" xr:uid="{00000000-0005-0000-0000-0000C05C0000}"/>
    <cellStyle name="Normal 7 3 3 3 5" xfId="5391" xr:uid="{00000000-0005-0000-0000-0000C15C0000}"/>
    <cellStyle name="Normal 7 3 3 3 5 2" xfId="15251" xr:uid="{00000000-0005-0000-0000-0000C25C0000}"/>
    <cellStyle name="Normal 7 3 3 3 5 2 2" xfId="34966" xr:uid="{00000000-0005-0000-0000-0000C35C0000}"/>
    <cellStyle name="Normal 7 3 3 3 5 3" xfId="25109" xr:uid="{00000000-0005-0000-0000-0000C45C0000}"/>
    <cellStyle name="Normal 7 3 3 3 6" xfId="10323" xr:uid="{00000000-0005-0000-0000-0000C55C0000}"/>
    <cellStyle name="Normal 7 3 3 3 6 2" xfId="30038" xr:uid="{00000000-0005-0000-0000-0000C65C0000}"/>
    <cellStyle name="Normal 7 3 3 3 7" xfId="20181" xr:uid="{00000000-0005-0000-0000-0000C75C0000}"/>
    <cellStyle name="Normal 7 3 3 4" xfId="762" xr:uid="{00000000-0005-0000-0000-0000C85C0000}"/>
    <cellStyle name="Normal 7 3 3 4 2" xfId="1998" xr:uid="{00000000-0005-0000-0000-0000C95C0000}"/>
    <cellStyle name="Normal 7 3 3 4 2 2" xfId="4465" xr:uid="{00000000-0005-0000-0000-0000CA5C0000}"/>
    <cellStyle name="Normal 7 3 3 4 2 2 2" xfId="9397" xr:uid="{00000000-0005-0000-0000-0000CB5C0000}"/>
    <cellStyle name="Normal 7 3 3 4 2 2 2 2" xfId="19257" xr:uid="{00000000-0005-0000-0000-0000CC5C0000}"/>
    <cellStyle name="Normal 7 3 3 4 2 2 2 2 2" xfId="38972" xr:uid="{00000000-0005-0000-0000-0000CD5C0000}"/>
    <cellStyle name="Normal 7 3 3 4 2 2 2 3" xfId="29115" xr:uid="{00000000-0005-0000-0000-0000CE5C0000}"/>
    <cellStyle name="Normal 7 3 3 4 2 2 3" xfId="14329" xr:uid="{00000000-0005-0000-0000-0000CF5C0000}"/>
    <cellStyle name="Normal 7 3 3 4 2 2 3 2" xfId="34044" xr:uid="{00000000-0005-0000-0000-0000D05C0000}"/>
    <cellStyle name="Normal 7 3 3 4 2 2 4" xfId="24187" xr:uid="{00000000-0005-0000-0000-0000D15C0000}"/>
    <cellStyle name="Normal 7 3 3 4 2 3" xfId="6933" xr:uid="{00000000-0005-0000-0000-0000D25C0000}"/>
    <cellStyle name="Normal 7 3 3 4 2 3 2" xfId="16793" xr:uid="{00000000-0005-0000-0000-0000D35C0000}"/>
    <cellStyle name="Normal 7 3 3 4 2 3 2 2" xfId="36508" xr:uid="{00000000-0005-0000-0000-0000D45C0000}"/>
    <cellStyle name="Normal 7 3 3 4 2 3 3" xfId="26651" xr:uid="{00000000-0005-0000-0000-0000D55C0000}"/>
    <cellStyle name="Normal 7 3 3 4 2 4" xfId="11865" xr:uid="{00000000-0005-0000-0000-0000D65C0000}"/>
    <cellStyle name="Normal 7 3 3 4 2 4 2" xfId="31580" xr:uid="{00000000-0005-0000-0000-0000D75C0000}"/>
    <cellStyle name="Normal 7 3 3 4 2 5" xfId="21723" xr:uid="{00000000-0005-0000-0000-0000D85C0000}"/>
    <cellStyle name="Normal 7 3 3 4 3" xfId="3233" xr:uid="{00000000-0005-0000-0000-0000D95C0000}"/>
    <cellStyle name="Normal 7 3 3 4 3 2" xfId="8165" xr:uid="{00000000-0005-0000-0000-0000DA5C0000}"/>
    <cellStyle name="Normal 7 3 3 4 3 2 2" xfId="18025" xr:uid="{00000000-0005-0000-0000-0000DB5C0000}"/>
    <cellStyle name="Normal 7 3 3 4 3 2 2 2" xfId="37740" xr:uid="{00000000-0005-0000-0000-0000DC5C0000}"/>
    <cellStyle name="Normal 7 3 3 4 3 2 3" xfId="27883" xr:uid="{00000000-0005-0000-0000-0000DD5C0000}"/>
    <cellStyle name="Normal 7 3 3 4 3 3" xfId="13097" xr:uid="{00000000-0005-0000-0000-0000DE5C0000}"/>
    <cellStyle name="Normal 7 3 3 4 3 3 2" xfId="32812" xr:uid="{00000000-0005-0000-0000-0000DF5C0000}"/>
    <cellStyle name="Normal 7 3 3 4 3 4" xfId="22955" xr:uid="{00000000-0005-0000-0000-0000E05C0000}"/>
    <cellStyle name="Normal 7 3 3 4 4" xfId="5701" xr:uid="{00000000-0005-0000-0000-0000E15C0000}"/>
    <cellStyle name="Normal 7 3 3 4 4 2" xfId="15561" xr:uid="{00000000-0005-0000-0000-0000E25C0000}"/>
    <cellStyle name="Normal 7 3 3 4 4 2 2" xfId="35276" xr:uid="{00000000-0005-0000-0000-0000E35C0000}"/>
    <cellStyle name="Normal 7 3 3 4 4 3" xfId="25419" xr:uid="{00000000-0005-0000-0000-0000E45C0000}"/>
    <cellStyle name="Normal 7 3 3 4 5" xfId="10633" xr:uid="{00000000-0005-0000-0000-0000E55C0000}"/>
    <cellStyle name="Normal 7 3 3 4 5 2" xfId="30348" xr:uid="{00000000-0005-0000-0000-0000E65C0000}"/>
    <cellStyle name="Normal 7 3 3 4 6" xfId="20491" xr:uid="{00000000-0005-0000-0000-0000E75C0000}"/>
    <cellStyle name="Normal 7 3 3 5" xfId="1382" xr:uid="{00000000-0005-0000-0000-0000E85C0000}"/>
    <cellStyle name="Normal 7 3 3 5 2" xfId="3849" xr:uid="{00000000-0005-0000-0000-0000E95C0000}"/>
    <cellStyle name="Normal 7 3 3 5 2 2" xfId="8781" xr:uid="{00000000-0005-0000-0000-0000EA5C0000}"/>
    <cellStyle name="Normal 7 3 3 5 2 2 2" xfId="18641" xr:uid="{00000000-0005-0000-0000-0000EB5C0000}"/>
    <cellStyle name="Normal 7 3 3 5 2 2 2 2" xfId="38356" xr:uid="{00000000-0005-0000-0000-0000EC5C0000}"/>
    <cellStyle name="Normal 7 3 3 5 2 2 3" xfId="28499" xr:uid="{00000000-0005-0000-0000-0000ED5C0000}"/>
    <cellStyle name="Normal 7 3 3 5 2 3" xfId="13713" xr:uid="{00000000-0005-0000-0000-0000EE5C0000}"/>
    <cellStyle name="Normal 7 3 3 5 2 3 2" xfId="33428" xr:uid="{00000000-0005-0000-0000-0000EF5C0000}"/>
    <cellStyle name="Normal 7 3 3 5 2 4" xfId="23571" xr:uid="{00000000-0005-0000-0000-0000F05C0000}"/>
    <cellStyle name="Normal 7 3 3 5 3" xfId="6317" xr:uid="{00000000-0005-0000-0000-0000F15C0000}"/>
    <cellStyle name="Normal 7 3 3 5 3 2" xfId="16177" xr:uid="{00000000-0005-0000-0000-0000F25C0000}"/>
    <cellStyle name="Normal 7 3 3 5 3 2 2" xfId="35892" xr:uid="{00000000-0005-0000-0000-0000F35C0000}"/>
    <cellStyle name="Normal 7 3 3 5 3 3" xfId="26035" xr:uid="{00000000-0005-0000-0000-0000F45C0000}"/>
    <cellStyle name="Normal 7 3 3 5 4" xfId="11249" xr:uid="{00000000-0005-0000-0000-0000F55C0000}"/>
    <cellStyle name="Normal 7 3 3 5 4 2" xfId="30964" xr:uid="{00000000-0005-0000-0000-0000F65C0000}"/>
    <cellStyle name="Normal 7 3 3 5 5" xfId="21107" xr:uid="{00000000-0005-0000-0000-0000F75C0000}"/>
    <cellStyle name="Normal 7 3 3 6" xfId="2617" xr:uid="{00000000-0005-0000-0000-0000F85C0000}"/>
    <cellStyle name="Normal 7 3 3 6 2" xfId="7549" xr:uid="{00000000-0005-0000-0000-0000F95C0000}"/>
    <cellStyle name="Normal 7 3 3 6 2 2" xfId="17409" xr:uid="{00000000-0005-0000-0000-0000FA5C0000}"/>
    <cellStyle name="Normal 7 3 3 6 2 2 2" xfId="37124" xr:uid="{00000000-0005-0000-0000-0000FB5C0000}"/>
    <cellStyle name="Normal 7 3 3 6 2 3" xfId="27267" xr:uid="{00000000-0005-0000-0000-0000FC5C0000}"/>
    <cellStyle name="Normal 7 3 3 6 3" xfId="12481" xr:uid="{00000000-0005-0000-0000-0000FD5C0000}"/>
    <cellStyle name="Normal 7 3 3 6 3 2" xfId="32196" xr:uid="{00000000-0005-0000-0000-0000FE5C0000}"/>
    <cellStyle name="Normal 7 3 3 6 4" xfId="22339" xr:uid="{00000000-0005-0000-0000-0000FF5C0000}"/>
    <cellStyle name="Normal 7 3 3 7" xfId="5085" xr:uid="{00000000-0005-0000-0000-0000005D0000}"/>
    <cellStyle name="Normal 7 3 3 7 2" xfId="14945" xr:uid="{00000000-0005-0000-0000-0000015D0000}"/>
    <cellStyle name="Normal 7 3 3 7 2 2" xfId="34660" xr:uid="{00000000-0005-0000-0000-0000025D0000}"/>
    <cellStyle name="Normal 7 3 3 7 3" xfId="24803" xr:uid="{00000000-0005-0000-0000-0000035D0000}"/>
    <cellStyle name="Normal 7 3 3 8" xfId="10017" xr:uid="{00000000-0005-0000-0000-0000045D0000}"/>
    <cellStyle name="Normal 7 3 3 8 2" xfId="29732" xr:uid="{00000000-0005-0000-0000-0000055D0000}"/>
    <cellStyle name="Normal 7 3 3 9" xfId="19875" xr:uid="{00000000-0005-0000-0000-0000065D0000}"/>
    <cellStyle name="Normal 7 3 4" xfId="211" xr:uid="{00000000-0005-0000-0000-0000075D0000}"/>
    <cellStyle name="Normal 7 3 4 2" xfId="525" xr:uid="{00000000-0005-0000-0000-0000085D0000}"/>
    <cellStyle name="Normal 7 3 4 2 2" xfId="1145" xr:uid="{00000000-0005-0000-0000-0000095D0000}"/>
    <cellStyle name="Normal 7 3 4 2 2 2" xfId="2380" xr:uid="{00000000-0005-0000-0000-00000A5D0000}"/>
    <cellStyle name="Normal 7 3 4 2 2 2 2" xfId="4847" xr:uid="{00000000-0005-0000-0000-00000B5D0000}"/>
    <cellStyle name="Normal 7 3 4 2 2 2 2 2" xfId="9779" xr:uid="{00000000-0005-0000-0000-00000C5D0000}"/>
    <cellStyle name="Normal 7 3 4 2 2 2 2 2 2" xfId="19639" xr:uid="{00000000-0005-0000-0000-00000D5D0000}"/>
    <cellStyle name="Normal 7 3 4 2 2 2 2 2 2 2" xfId="39354" xr:uid="{00000000-0005-0000-0000-00000E5D0000}"/>
    <cellStyle name="Normal 7 3 4 2 2 2 2 2 3" xfId="29497" xr:uid="{00000000-0005-0000-0000-00000F5D0000}"/>
    <cellStyle name="Normal 7 3 4 2 2 2 2 3" xfId="14711" xr:uid="{00000000-0005-0000-0000-0000105D0000}"/>
    <cellStyle name="Normal 7 3 4 2 2 2 2 3 2" xfId="34426" xr:uid="{00000000-0005-0000-0000-0000115D0000}"/>
    <cellStyle name="Normal 7 3 4 2 2 2 2 4" xfId="24569" xr:uid="{00000000-0005-0000-0000-0000125D0000}"/>
    <cellStyle name="Normal 7 3 4 2 2 2 3" xfId="7315" xr:uid="{00000000-0005-0000-0000-0000135D0000}"/>
    <cellStyle name="Normal 7 3 4 2 2 2 3 2" xfId="17175" xr:uid="{00000000-0005-0000-0000-0000145D0000}"/>
    <cellStyle name="Normal 7 3 4 2 2 2 3 2 2" xfId="36890" xr:uid="{00000000-0005-0000-0000-0000155D0000}"/>
    <cellStyle name="Normal 7 3 4 2 2 2 3 3" xfId="27033" xr:uid="{00000000-0005-0000-0000-0000165D0000}"/>
    <cellStyle name="Normal 7 3 4 2 2 2 4" xfId="12247" xr:uid="{00000000-0005-0000-0000-0000175D0000}"/>
    <cellStyle name="Normal 7 3 4 2 2 2 4 2" xfId="31962" xr:uid="{00000000-0005-0000-0000-0000185D0000}"/>
    <cellStyle name="Normal 7 3 4 2 2 2 5" xfId="22105" xr:uid="{00000000-0005-0000-0000-0000195D0000}"/>
    <cellStyle name="Normal 7 3 4 2 2 3" xfId="3615" xr:uid="{00000000-0005-0000-0000-00001A5D0000}"/>
    <cellStyle name="Normal 7 3 4 2 2 3 2" xfId="8547" xr:uid="{00000000-0005-0000-0000-00001B5D0000}"/>
    <cellStyle name="Normal 7 3 4 2 2 3 2 2" xfId="18407" xr:uid="{00000000-0005-0000-0000-00001C5D0000}"/>
    <cellStyle name="Normal 7 3 4 2 2 3 2 2 2" xfId="38122" xr:uid="{00000000-0005-0000-0000-00001D5D0000}"/>
    <cellStyle name="Normal 7 3 4 2 2 3 2 3" xfId="28265" xr:uid="{00000000-0005-0000-0000-00001E5D0000}"/>
    <cellStyle name="Normal 7 3 4 2 2 3 3" xfId="13479" xr:uid="{00000000-0005-0000-0000-00001F5D0000}"/>
    <cellStyle name="Normal 7 3 4 2 2 3 3 2" xfId="33194" xr:uid="{00000000-0005-0000-0000-0000205D0000}"/>
    <cellStyle name="Normal 7 3 4 2 2 3 4" xfId="23337" xr:uid="{00000000-0005-0000-0000-0000215D0000}"/>
    <cellStyle name="Normal 7 3 4 2 2 4" xfId="6083" xr:uid="{00000000-0005-0000-0000-0000225D0000}"/>
    <cellStyle name="Normal 7 3 4 2 2 4 2" xfId="15943" xr:uid="{00000000-0005-0000-0000-0000235D0000}"/>
    <cellStyle name="Normal 7 3 4 2 2 4 2 2" xfId="35658" xr:uid="{00000000-0005-0000-0000-0000245D0000}"/>
    <cellStyle name="Normal 7 3 4 2 2 4 3" xfId="25801" xr:uid="{00000000-0005-0000-0000-0000255D0000}"/>
    <cellStyle name="Normal 7 3 4 2 2 5" xfId="11015" xr:uid="{00000000-0005-0000-0000-0000265D0000}"/>
    <cellStyle name="Normal 7 3 4 2 2 5 2" xfId="30730" xr:uid="{00000000-0005-0000-0000-0000275D0000}"/>
    <cellStyle name="Normal 7 3 4 2 2 6" xfId="20873" xr:uid="{00000000-0005-0000-0000-0000285D0000}"/>
    <cellStyle name="Normal 7 3 4 2 3" xfId="1764" xr:uid="{00000000-0005-0000-0000-0000295D0000}"/>
    <cellStyle name="Normal 7 3 4 2 3 2" xfId="4231" xr:uid="{00000000-0005-0000-0000-00002A5D0000}"/>
    <cellStyle name="Normal 7 3 4 2 3 2 2" xfId="9163" xr:uid="{00000000-0005-0000-0000-00002B5D0000}"/>
    <cellStyle name="Normal 7 3 4 2 3 2 2 2" xfId="19023" xr:uid="{00000000-0005-0000-0000-00002C5D0000}"/>
    <cellStyle name="Normal 7 3 4 2 3 2 2 2 2" xfId="38738" xr:uid="{00000000-0005-0000-0000-00002D5D0000}"/>
    <cellStyle name="Normal 7 3 4 2 3 2 2 3" xfId="28881" xr:uid="{00000000-0005-0000-0000-00002E5D0000}"/>
    <cellStyle name="Normal 7 3 4 2 3 2 3" xfId="14095" xr:uid="{00000000-0005-0000-0000-00002F5D0000}"/>
    <cellStyle name="Normal 7 3 4 2 3 2 3 2" xfId="33810" xr:uid="{00000000-0005-0000-0000-0000305D0000}"/>
    <cellStyle name="Normal 7 3 4 2 3 2 4" xfId="23953" xr:uid="{00000000-0005-0000-0000-0000315D0000}"/>
    <cellStyle name="Normal 7 3 4 2 3 3" xfId="6699" xr:uid="{00000000-0005-0000-0000-0000325D0000}"/>
    <cellStyle name="Normal 7 3 4 2 3 3 2" xfId="16559" xr:uid="{00000000-0005-0000-0000-0000335D0000}"/>
    <cellStyle name="Normal 7 3 4 2 3 3 2 2" xfId="36274" xr:uid="{00000000-0005-0000-0000-0000345D0000}"/>
    <cellStyle name="Normal 7 3 4 2 3 3 3" xfId="26417" xr:uid="{00000000-0005-0000-0000-0000355D0000}"/>
    <cellStyle name="Normal 7 3 4 2 3 4" xfId="11631" xr:uid="{00000000-0005-0000-0000-0000365D0000}"/>
    <cellStyle name="Normal 7 3 4 2 3 4 2" xfId="31346" xr:uid="{00000000-0005-0000-0000-0000375D0000}"/>
    <cellStyle name="Normal 7 3 4 2 3 5" xfId="21489" xr:uid="{00000000-0005-0000-0000-0000385D0000}"/>
    <cellStyle name="Normal 7 3 4 2 4" xfId="2999" xr:uid="{00000000-0005-0000-0000-0000395D0000}"/>
    <cellStyle name="Normal 7 3 4 2 4 2" xfId="7931" xr:uid="{00000000-0005-0000-0000-00003A5D0000}"/>
    <cellStyle name="Normal 7 3 4 2 4 2 2" xfId="17791" xr:uid="{00000000-0005-0000-0000-00003B5D0000}"/>
    <cellStyle name="Normal 7 3 4 2 4 2 2 2" xfId="37506" xr:uid="{00000000-0005-0000-0000-00003C5D0000}"/>
    <cellStyle name="Normal 7 3 4 2 4 2 3" xfId="27649" xr:uid="{00000000-0005-0000-0000-00003D5D0000}"/>
    <cellStyle name="Normal 7 3 4 2 4 3" xfId="12863" xr:uid="{00000000-0005-0000-0000-00003E5D0000}"/>
    <cellStyle name="Normal 7 3 4 2 4 3 2" xfId="32578" xr:uid="{00000000-0005-0000-0000-00003F5D0000}"/>
    <cellStyle name="Normal 7 3 4 2 4 4" xfId="22721" xr:uid="{00000000-0005-0000-0000-0000405D0000}"/>
    <cellStyle name="Normal 7 3 4 2 5" xfId="5467" xr:uid="{00000000-0005-0000-0000-0000415D0000}"/>
    <cellStyle name="Normal 7 3 4 2 5 2" xfId="15327" xr:uid="{00000000-0005-0000-0000-0000425D0000}"/>
    <cellStyle name="Normal 7 3 4 2 5 2 2" xfId="35042" xr:uid="{00000000-0005-0000-0000-0000435D0000}"/>
    <cellStyle name="Normal 7 3 4 2 5 3" xfId="25185" xr:uid="{00000000-0005-0000-0000-0000445D0000}"/>
    <cellStyle name="Normal 7 3 4 2 6" xfId="10399" xr:uid="{00000000-0005-0000-0000-0000455D0000}"/>
    <cellStyle name="Normal 7 3 4 2 6 2" xfId="30114" xr:uid="{00000000-0005-0000-0000-0000465D0000}"/>
    <cellStyle name="Normal 7 3 4 2 7" xfId="20257" xr:uid="{00000000-0005-0000-0000-0000475D0000}"/>
    <cellStyle name="Normal 7 3 4 3" xfId="838" xr:uid="{00000000-0005-0000-0000-0000485D0000}"/>
    <cellStyle name="Normal 7 3 4 3 2" xfId="2074" xr:uid="{00000000-0005-0000-0000-0000495D0000}"/>
    <cellStyle name="Normal 7 3 4 3 2 2" xfId="4541" xr:uid="{00000000-0005-0000-0000-00004A5D0000}"/>
    <cellStyle name="Normal 7 3 4 3 2 2 2" xfId="9473" xr:uid="{00000000-0005-0000-0000-00004B5D0000}"/>
    <cellStyle name="Normal 7 3 4 3 2 2 2 2" xfId="19333" xr:uid="{00000000-0005-0000-0000-00004C5D0000}"/>
    <cellStyle name="Normal 7 3 4 3 2 2 2 2 2" xfId="39048" xr:uid="{00000000-0005-0000-0000-00004D5D0000}"/>
    <cellStyle name="Normal 7 3 4 3 2 2 2 3" xfId="29191" xr:uid="{00000000-0005-0000-0000-00004E5D0000}"/>
    <cellStyle name="Normal 7 3 4 3 2 2 3" xfId="14405" xr:uid="{00000000-0005-0000-0000-00004F5D0000}"/>
    <cellStyle name="Normal 7 3 4 3 2 2 3 2" xfId="34120" xr:uid="{00000000-0005-0000-0000-0000505D0000}"/>
    <cellStyle name="Normal 7 3 4 3 2 2 4" xfId="24263" xr:uid="{00000000-0005-0000-0000-0000515D0000}"/>
    <cellStyle name="Normal 7 3 4 3 2 3" xfId="7009" xr:uid="{00000000-0005-0000-0000-0000525D0000}"/>
    <cellStyle name="Normal 7 3 4 3 2 3 2" xfId="16869" xr:uid="{00000000-0005-0000-0000-0000535D0000}"/>
    <cellStyle name="Normal 7 3 4 3 2 3 2 2" xfId="36584" xr:uid="{00000000-0005-0000-0000-0000545D0000}"/>
    <cellStyle name="Normal 7 3 4 3 2 3 3" xfId="26727" xr:uid="{00000000-0005-0000-0000-0000555D0000}"/>
    <cellStyle name="Normal 7 3 4 3 2 4" xfId="11941" xr:uid="{00000000-0005-0000-0000-0000565D0000}"/>
    <cellStyle name="Normal 7 3 4 3 2 4 2" xfId="31656" xr:uid="{00000000-0005-0000-0000-0000575D0000}"/>
    <cellStyle name="Normal 7 3 4 3 2 5" xfId="21799" xr:uid="{00000000-0005-0000-0000-0000585D0000}"/>
    <cellStyle name="Normal 7 3 4 3 3" xfId="3309" xr:uid="{00000000-0005-0000-0000-0000595D0000}"/>
    <cellStyle name="Normal 7 3 4 3 3 2" xfId="8241" xr:uid="{00000000-0005-0000-0000-00005A5D0000}"/>
    <cellStyle name="Normal 7 3 4 3 3 2 2" xfId="18101" xr:uid="{00000000-0005-0000-0000-00005B5D0000}"/>
    <cellStyle name="Normal 7 3 4 3 3 2 2 2" xfId="37816" xr:uid="{00000000-0005-0000-0000-00005C5D0000}"/>
    <cellStyle name="Normal 7 3 4 3 3 2 3" xfId="27959" xr:uid="{00000000-0005-0000-0000-00005D5D0000}"/>
    <cellStyle name="Normal 7 3 4 3 3 3" xfId="13173" xr:uid="{00000000-0005-0000-0000-00005E5D0000}"/>
    <cellStyle name="Normal 7 3 4 3 3 3 2" xfId="32888" xr:uid="{00000000-0005-0000-0000-00005F5D0000}"/>
    <cellStyle name="Normal 7 3 4 3 3 4" xfId="23031" xr:uid="{00000000-0005-0000-0000-0000605D0000}"/>
    <cellStyle name="Normal 7 3 4 3 4" xfId="5777" xr:uid="{00000000-0005-0000-0000-0000615D0000}"/>
    <cellStyle name="Normal 7 3 4 3 4 2" xfId="15637" xr:uid="{00000000-0005-0000-0000-0000625D0000}"/>
    <cellStyle name="Normal 7 3 4 3 4 2 2" xfId="35352" xr:uid="{00000000-0005-0000-0000-0000635D0000}"/>
    <cellStyle name="Normal 7 3 4 3 4 3" xfId="25495" xr:uid="{00000000-0005-0000-0000-0000645D0000}"/>
    <cellStyle name="Normal 7 3 4 3 5" xfId="10709" xr:uid="{00000000-0005-0000-0000-0000655D0000}"/>
    <cellStyle name="Normal 7 3 4 3 5 2" xfId="30424" xr:uid="{00000000-0005-0000-0000-0000665D0000}"/>
    <cellStyle name="Normal 7 3 4 3 6" xfId="20567" xr:uid="{00000000-0005-0000-0000-0000675D0000}"/>
    <cellStyle name="Normal 7 3 4 4" xfId="1458" xr:uid="{00000000-0005-0000-0000-0000685D0000}"/>
    <cellStyle name="Normal 7 3 4 4 2" xfId="3925" xr:uid="{00000000-0005-0000-0000-0000695D0000}"/>
    <cellStyle name="Normal 7 3 4 4 2 2" xfId="8857" xr:uid="{00000000-0005-0000-0000-00006A5D0000}"/>
    <cellStyle name="Normal 7 3 4 4 2 2 2" xfId="18717" xr:uid="{00000000-0005-0000-0000-00006B5D0000}"/>
    <cellStyle name="Normal 7 3 4 4 2 2 2 2" xfId="38432" xr:uid="{00000000-0005-0000-0000-00006C5D0000}"/>
    <cellStyle name="Normal 7 3 4 4 2 2 3" xfId="28575" xr:uid="{00000000-0005-0000-0000-00006D5D0000}"/>
    <cellStyle name="Normal 7 3 4 4 2 3" xfId="13789" xr:uid="{00000000-0005-0000-0000-00006E5D0000}"/>
    <cellStyle name="Normal 7 3 4 4 2 3 2" xfId="33504" xr:uid="{00000000-0005-0000-0000-00006F5D0000}"/>
    <cellStyle name="Normal 7 3 4 4 2 4" xfId="23647" xr:uid="{00000000-0005-0000-0000-0000705D0000}"/>
    <cellStyle name="Normal 7 3 4 4 3" xfId="6393" xr:uid="{00000000-0005-0000-0000-0000715D0000}"/>
    <cellStyle name="Normal 7 3 4 4 3 2" xfId="16253" xr:uid="{00000000-0005-0000-0000-0000725D0000}"/>
    <cellStyle name="Normal 7 3 4 4 3 2 2" xfId="35968" xr:uid="{00000000-0005-0000-0000-0000735D0000}"/>
    <cellStyle name="Normal 7 3 4 4 3 3" xfId="26111" xr:uid="{00000000-0005-0000-0000-0000745D0000}"/>
    <cellStyle name="Normal 7 3 4 4 4" xfId="11325" xr:uid="{00000000-0005-0000-0000-0000755D0000}"/>
    <cellStyle name="Normal 7 3 4 4 4 2" xfId="31040" xr:uid="{00000000-0005-0000-0000-0000765D0000}"/>
    <cellStyle name="Normal 7 3 4 4 5" xfId="21183" xr:uid="{00000000-0005-0000-0000-0000775D0000}"/>
    <cellStyle name="Normal 7 3 4 5" xfId="2693" xr:uid="{00000000-0005-0000-0000-0000785D0000}"/>
    <cellStyle name="Normal 7 3 4 5 2" xfId="7625" xr:uid="{00000000-0005-0000-0000-0000795D0000}"/>
    <cellStyle name="Normal 7 3 4 5 2 2" xfId="17485" xr:uid="{00000000-0005-0000-0000-00007A5D0000}"/>
    <cellStyle name="Normal 7 3 4 5 2 2 2" xfId="37200" xr:uid="{00000000-0005-0000-0000-00007B5D0000}"/>
    <cellStyle name="Normal 7 3 4 5 2 3" xfId="27343" xr:uid="{00000000-0005-0000-0000-00007C5D0000}"/>
    <cellStyle name="Normal 7 3 4 5 3" xfId="12557" xr:uid="{00000000-0005-0000-0000-00007D5D0000}"/>
    <cellStyle name="Normal 7 3 4 5 3 2" xfId="32272" xr:uid="{00000000-0005-0000-0000-00007E5D0000}"/>
    <cellStyle name="Normal 7 3 4 5 4" xfId="22415" xr:uid="{00000000-0005-0000-0000-00007F5D0000}"/>
    <cellStyle name="Normal 7 3 4 6" xfId="5161" xr:uid="{00000000-0005-0000-0000-0000805D0000}"/>
    <cellStyle name="Normal 7 3 4 6 2" xfId="15021" xr:uid="{00000000-0005-0000-0000-0000815D0000}"/>
    <cellStyle name="Normal 7 3 4 6 2 2" xfId="34736" xr:uid="{00000000-0005-0000-0000-0000825D0000}"/>
    <cellStyle name="Normal 7 3 4 6 3" xfId="24879" xr:uid="{00000000-0005-0000-0000-0000835D0000}"/>
    <cellStyle name="Normal 7 3 4 7" xfId="10093" xr:uid="{00000000-0005-0000-0000-0000845D0000}"/>
    <cellStyle name="Normal 7 3 4 7 2" xfId="29808" xr:uid="{00000000-0005-0000-0000-0000855D0000}"/>
    <cellStyle name="Normal 7 3 4 8" xfId="19951" xr:uid="{00000000-0005-0000-0000-0000865D0000}"/>
    <cellStyle name="Normal 7 3 5" xfId="373" xr:uid="{00000000-0005-0000-0000-0000875D0000}"/>
    <cellStyle name="Normal 7 3 5 2" xfId="993" xr:uid="{00000000-0005-0000-0000-0000885D0000}"/>
    <cellStyle name="Normal 7 3 5 2 2" xfId="2228" xr:uid="{00000000-0005-0000-0000-0000895D0000}"/>
    <cellStyle name="Normal 7 3 5 2 2 2" xfId="4695" xr:uid="{00000000-0005-0000-0000-00008A5D0000}"/>
    <cellStyle name="Normal 7 3 5 2 2 2 2" xfId="9627" xr:uid="{00000000-0005-0000-0000-00008B5D0000}"/>
    <cellStyle name="Normal 7 3 5 2 2 2 2 2" xfId="19487" xr:uid="{00000000-0005-0000-0000-00008C5D0000}"/>
    <cellStyle name="Normal 7 3 5 2 2 2 2 2 2" xfId="39202" xr:uid="{00000000-0005-0000-0000-00008D5D0000}"/>
    <cellStyle name="Normal 7 3 5 2 2 2 2 3" xfId="29345" xr:uid="{00000000-0005-0000-0000-00008E5D0000}"/>
    <cellStyle name="Normal 7 3 5 2 2 2 3" xfId="14559" xr:uid="{00000000-0005-0000-0000-00008F5D0000}"/>
    <cellStyle name="Normal 7 3 5 2 2 2 3 2" xfId="34274" xr:uid="{00000000-0005-0000-0000-0000905D0000}"/>
    <cellStyle name="Normal 7 3 5 2 2 2 4" xfId="24417" xr:uid="{00000000-0005-0000-0000-0000915D0000}"/>
    <cellStyle name="Normal 7 3 5 2 2 3" xfId="7163" xr:uid="{00000000-0005-0000-0000-0000925D0000}"/>
    <cellStyle name="Normal 7 3 5 2 2 3 2" xfId="17023" xr:uid="{00000000-0005-0000-0000-0000935D0000}"/>
    <cellStyle name="Normal 7 3 5 2 2 3 2 2" xfId="36738" xr:uid="{00000000-0005-0000-0000-0000945D0000}"/>
    <cellStyle name="Normal 7 3 5 2 2 3 3" xfId="26881" xr:uid="{00000000-0005-0000-0000-0000955D0000}"/>
    <cellStyle name="Normal 7 3 5 2 2 4" xfId="12095" xr:uid="{00000000-0005-0000-0000-0000965D0000}"/>
    <cellStyle name="Normal 7 3 5 2 2 4 2" xfId="31810" xr:uid="{00000000-0005-0000-0000-0000975D0000}"/>
    <cellStyle name="Normal 7 3 5 2 2 5" xfId="21953" xr:uid="{00000000-0005-0000-0000-0000985D0000}"/>
    <cellStyle name="Normal 7 3 5 2 3" xfId="3463" xr:uid="{00000000-0005-0000-0000-0000995D0000}"/>
    <cellStyle name="Normal 7 3 5 2 3 2" xfId="8395" xr:uid="{00000000-0005-0000-0000-00009A5D0000}"/>
    <cellStyle name="Normal 7 3 5 2 3 2 2" xfId="18255" xr:uid="{00000000-0005-0000-0000-00009B5D0000}"/>
    <cellStyle name="Normal 7 3 5 2 3 2 2 2" xfId="37970" xr:uid="{00000000-0005-0000-0000-00009C5D0000}"/>
    <cellStyle name="Normal 7 3 5 2 3 2 3" xfId="28113" xr:uid="{00000000-0005-0000-0000-00009D5D0000}"/>
    <cellStyle name="Normal 7 3 5 2 3 3" xfId="13327" xr:uid="{00000000-0005-0000-0000-00009E5D0000}"/>
    <cellStyle name="Normal 7 3 5 2 3 3 2" xfId="33042" xr:uid="{00000000-0005-0000-0000-00009F5D0000}"/>
    <cellStyle name="Normal 7 3 5 2 3 4" xfId="23185" xr:uid="{00000000-0005-0000-0000-0000A05D0000}"/>
    <cellStyle name="Normal 7 3 5 2 4" xfId="5931" xr:uid="{00000000-0005-0000-0000-0000A15D0000}"/>
    <cellStyle name="Normal 7 3 5 2 4 2" xfId="15791" xr:uid="{00000000-0005-0000-0000-0000A25D0000}"/>
    <cellStyle name="Normal 7 3 5 2 4 2 2" xfId="35506" xr:uid="{00000000-0005-0000-0000-0000A35D0000}"/>
    <cellStyle name="Normal 7 3 5 2 4 3" xfId="25649" xr:uid="{00000000-0005-0000-0000-0000A45D0000}"/>
    <cellStyle name="Normal 7 3 5 2 5" xfId="10863" xr:uid="{00000000-0005-0000-0000-0000A55D0000}"/>
    <cellStyle name="Normal 7 3 5 2 5 2" xfId="30578" xr:uid="{00000000-0005-0000-0000-0000A65D0000}"/>
    <cellStyle name="Normal 7 3 5 2 6" xfId="20721" xr:uid="{00000000-0005-0000-0000-0000A75D0000}"/>
    <cellStyle name="Normal 7 3 5 3" xfId="1612" xr:uid="{00000000-0005-0000-0000-0000A85D0000}"/>
    <cellStyle name="Normal 7 3 5 3 2" xfId="4079" xr:uid="{00000000-0005-0000-0000-0000A95D0000}"/>
    <cellStyle name="Normal 7 3 5 3 2 2" xfId="9011" xr:uid="{00000000-0005-0000-0000-0000AA5D0000}"/>
    <cellStyle name="Normal 7 3 5 3 2 2 2" xfId="18871" xr:uid="{00000000-0005-0000-0000-0000AB5D0000}"/>
    <cellStyle name="Normal 7 3 5 3 2 2 2 2" xfId="38586" xr:uid="{00000000-0005-0000-0000-0000AC5D0000}"/>
    <cellStyle name="Normal 7 3 5 3 2 2 3" xfId="28729" xr:uid="{00000000-0005-0000-0000-0000AD5D0000}"/>
    <cellStyle name="Normal 7 3 5 3 2 3" xfId="13943" xr:uid="{00000000-0005-0000-0000-0000AE5D0000}"/>
    <cellStyle name="Normal 7 3 5 3 2 3 2" xfId="33658" xr:uid="{00000000-0005-0000-0000-0000AF5D0000}"/>
    <cellStyle name="Normal 7 3 5 3 2 4" xfId="23801" xr:uid="{00000000-0005-0000-0000-0000B05D0000}"/>
    <cellStyle name="Normal 7 3 5 3 3" xfId="6547" xr:uid="{00000000-0005-0000-0000-0000B15D0000}"/>
    <cellStyle name="Normal 7 3 5 3 3 2" xfId="16407" xr:uid="{00000000-0005-0000-0000-0000B25D0000}"/>
    <cellStyle name="Normal 7 3 5 3 3 2 2" xfId="36122" xr:uid="{00000000-0005-0000-0000-0000B35D0000}"/>
    <cellStyle name="Normal 7 3 5 3 3 3" xfId="26265" xr:uid="{00000000-0005-0000-0000-0000B45D0000}"/>
    <cellStyle name="Normal 7 3 5 3 4" xfId="11479" xr:uid="{00000000-0005-0000-0000-0000B55D0000}"/>
    <cellStyle name="Normal 7 3 5 3 4 2" xfId="31194" xr:uid="{00000000-0005-0000-0000-0000B65D0000}"/>
    <cellStyle name="Normal 7 3 5 3 5" xfId="21337" xr:uid="{00000000-0005-0000-0000-0000B75D0000}"/>
    <cellStyle name="Normal 7 3 5 4" xfId="2847" xr:uid="{00000000-0005-0000-0000-0000B85D0000}"/>
    <cellStyle name="Normal 7 3 5 4 2" xfId="7779" xr:uid="{00000000-0005-0000-0000-0000B95D0000}"/>
    <cellStyle name="Normal 7 3 5 4 2 2" xfId="17639" xr:uid="{00000000-0005-0000-0000-0000BA5D0000}"/>
    <cellStyle name="Normal 7 3 5 4 2 2 2" xfId="37354" xr:uid="{00000000-0005-0000-0000-0000BB5D0000}"/>
    <cellStyle name="Normal 7 3 5 4 2 3" xfId="27497" xr:uid="{00000000-0005-0000-0000-0000BC5D0000}"/>
    <cellStyle name="Normal 7 3 5 4 3" xfId="12711" xr:uid="{00000000-0005-0000-0000-0000BD5D0000}"/>
    <cellStyle name="Normal 7 3 5 4 3 2" xfId="32426" xr:uid="{00000000-0005-0000-0000-0000BE5D0000}"/>
    <cellStyle name="Normal 7 3 5 4 4" xfId="22569" xr:uid="{00000000-0005-0000-0000-0000BF5D0000}"/>
    <cellStyle name="Normal 7 3 5 5" xfId="5315" xr:uid="{00000000-0005-0000-0000-0000C05D0000}"/>
    <cellStyle name="Normal 7 3 5 5 2" xfId="15175" xr:uid="{00000000-0005-0000-0000-0000C15D0000}"/>
    <cellStyle name="Normal 7 3 5 5 2 2" xfId="34890" xr:uid="{00000000-0005-0000-0000-0000C25D0000}"/>
    <cellStyle name="Normal 7 3 5 5 3" xfId="25033" xr:uid="{00000000-0005-0000-0000-0000C35D0000}"/>
    <cellStyle name="Normal 7 3 5 6" xfId="10247" xr:uid="{00000000-0005-0000-0000-0000C45D0000}"/>
    <cellStyle name="Normal 7 3 5 6 2" xfId="29962" xr:uid="{00000000-0005-0000-0000-0000C55D0000}"/>
    <cellStyle name="Normal 7 3 5 7" xfId="20105" xr:uid="{00000000-0005-0000-0000-0000C65D0000}"/>
    <cellStyle name="Normal 7 3 6" xfId="686" xr:uid="{00000000-0005-0000-0000-0000C75D0000}"/>
    <cellStyle name="Normal 7 3 6 2" xfId="1922" xr:uid="{00000000-0005-0000-0000-0000C85D0000}"/>
    <cellStyle name="Normal 7 3 6 2 2" xfId="4389" xr:uid="{00000000-0005-0000-0000-0000C95D0000}"/>
    <cellStyle name="Normal 7 3 6 2 2 2" xfId="9321" xr:uid="{00000000-0005-0000-0000-0000CA5D0000}"/>
    <cellStyle name="Normal 7 3 6 2 2 2 2" xfId="19181" xr:uid="{00000000-0005-0000-0000-0000CB5D0000}"/>
    <cellStyle name="Normal 7 3 6 2 2 2 2 2" xfId="38896" xr:uid="{00000000-0005-0000-0000-0000CC5D0000}"/>
    <cellStyle name="Normal 7 3 6 2 2 2 3" xfId="29039" xr:uid="{00000000-0005-0000-0000-0000CD5D0000}"/>
    <cellStyle name="Normal 7 3 6 2 2 3" xfId="14253" xr:uid="{00000000-0005-0000-0000-0000CE5D0000}"/>
    <cellStyle name="Normal 7 3 6 2 2 3 2" xfId="33968" xr:uid="{00000000-0005-0000-0000-0000CF5D0000}"/>
    <cellStyle name="Normal 7 3 6 2 2 4" xfId="24111" xr:uid="{00000000-0005-0000-0000-0000D05D0000}"/>
    <cellStyle name="Normal 7 3 6 2 3" xfId="6857" xr:uid="{00000000-0005-0000-0000-0000D15D0000}"/>
    <cellStyle name="Normal 7 3 6 2 3 2" xfId="16717" xr:uid="{00000000-0005-0000-0000-0000D25D0000}"/>
    <cellStyle name="Normal 7 3 6 2 3 2 2" xfId="36432" xr:uid="{00000000-0005-0000-0000-0000D35D0000}"/>
    <cellStyle name="Normal 7 3 6 2 3 3" xfId="26575" xr:uid="{00000000-0005-0000-0000-0000D45D0000}"/>
    <cellStyle name="Normal 7 3 6 2 4" xfId="11789" xr:uid="{00000000-0005-0000-0000-0000D55D0000}"/>
    <cellStyle name="Normal 7 3 6 2 4 2" xfId="31504" xr:uid="{00000000-0005-0000-0000-0000D65D0000}"/>
    <cellStyle name="Normal 7 3 6 2 5" xfId="21647" xr:uid="{00000000-0005-0000-0000-0000D75D0000}"/>
    <cellStyle name="Normal 7 3 6 3" xfId="3157" xr:uid="{00000000-0005-0000-0000-0000D85D0000}"/>
    <cellStyle name="Normal 7 3 6 3 2" xfId="8089" xr:uid="{00000000-0005-0000-0000-0000D95D0000}"/>
    <cellStyle name="Normal 7 3 6 3 2 2" xfId="17949" xr:uid="{00000000-0005-0000-0000-0000DA5D0000}"/>
    <cellStyle name="Normal 7 3 6 3 2 2 2" xfId="37664" xr:uid="{00000000-0005-0000-0000-0000DB5D0000}"/>
    <cellStyle name="Normal 7 3 6 3 2 3" xfId="27807" xr:uid="{00000000-0005-0000-0000-0000DC5D0000}"/>
    <cellStyle name="Normal 7 3 6 3 3" xfId="13021" xr:uid="{00000000-0005-0000-0000-0000DD5D0000}"/>
    <cellStyle name="Normal 7 3 6 3 3 2" xfId="32736" xr:uid="{00000000-0005-0000-0000-0000DE5D0000}"/>
    <cellStyle name="Normal 7 3 6 3 4" xfId="22879" xr:uid="{00000000-0005-0000-0000-0000DF5D0000}"/>
    <cellStyle name="Normal 7 3 6 4" xfId="5625" xr:uid="{00000000-0005-0000-0000-0000E05D0000}"/>
    <cellStyle name="Normal 7 3 6 4 2" xfId="15485" xr:uid="{00000000-0005-0000-0000-0000E15D0000}"/>
    <cellStyle name="Normal 7 3 6 4 2 2" xfId="35200" xr:uid="{00000000-0005-0000-0000-0000E25D0000}"/>
    <cellStyle name="Normal 7 3 6 4 3" xfId="25343" xr:uid="{00000000-0005-0000-0000-0000E35D0000}"/>
    <cellStyle name="Normal 7 3 6 5" xfId="10557" xr:uid="{00000000-0005-0000-0000-0000E45D0000}"/>
    <cellStyle name="Normal 7 3 6 5 2" xfId="30272" xr:uid="{00000000-0005-0000-0000-0000E55D0000}"/>
    <cellStyle name="Normal 7 3 6 6" xfId="20415" xr:uid="{00000000-0005-0000-0000-0000E65D0000}"/>
    <cellStyle name="Normal 7 3 7" xfId="1306" xr:uid="{00000000-0005-0000-0000-0000E75D0000}"/>
    <cellStyle name="Normal 7 3 7 2" xfId="3773" xr:uid="{00000000-0005-0000-0000-0000E85D0000}"/>
    <cellStyle name="Normal 7 3 7 2 2" xfId="8705" xr:uid="{00000000-0005-0000-0000-0000E95D0000}"/>
    <cellStyle name="Normal 7 3 7 2 2 2" xfId="18565" xr:uid="{00000000-0005-0000-0000-0000EA5D0000}"/>
    <cellStyle name="Normal 7 3 7 2 2 2 2" xfId="38280" xr:uid="{00000000-0005-0000-0000-0000EB5D0000}"/>
    <cellStyle name="Normal 7 3 7 2 2 3" xfId="28423" xr:uid="{00000000-0005-0000-0000-0000EC5D0000}"/>
    <cellStyle name="Normal 7 3 7 2 3" xfId="13637" xr:uid="{00000000-0005-0000-0000-0000ED5D0000}"/>
    <cellStyle name="Normal 7 3 7 2 3 2" xfId="33352" xr:uid="{00000000-0005-0000-0000-0000EE5D0000}"/>
    <cellStyle name="Normal 7 3 7 2 4" xfId="23495" xr:uid="{00000000-0005-0000-0000-0000EF5D0000}"/>
    <cellStyle name="Normal 7 3 7 3" xfId="6241" xr:uid="{00000000-0005-0000-0000-0000F05D0000}"/>
    <cellStyle name="Normal 7 3 7 3 2" xfId="16101" xr:uid="{00000000-0005-0000-0000-0000F15D0000}"/>
    <cellStyle name="Normal 7 3 7 3 2 2" xfId="35816" xr:uid="{00000000-0005-0000-0000-0000F25D0000}"/>
    <cellStyle name="Normal 7 3 7 3 3" xfId="25959" xr:uid="{00000000-0005-0000-0000-0000F35D0000}"/>
    <cellStyle name="Normal 7 3 7 4" xfId="11173" xr:uid="{00000000-0005-0000-0000-0000F45D0000}"/>
    <cellStyle name="Normal 7 3 7 4 2" xfId="30888" xr:uid="{00000000-0005-0000-0000-0000F55D0000}"/>
    <cellStyle name="Normal 7 3 7 5" xfId="21031" xr:uid="{00000000-0005-0000-0000-0000F65D0000}"/>
    <cellStyle name="Normal 7 3 8" xfId="2541" xr:uid="{00000000-0005-0000-0000-0000F75D0000}"/>
    <cellStyle name="Normal 7 3 8 2" xfId="7473" xr:uid="{00000000-0005-0000-0000-0000F85D0000}"/>
    <cellStyle name="Normal 7 3 8 2 2" xfId="17333" xr:uid="{00000000-0005-0000-0000-0000F95D0000}"/>
    <cellStyle name="Normal 7 3 8 2 2 2" xfId="37048" xr:uid="{00000000-0005-0000-0000-0000FA5D0000}"/>
    <cellStyle name="Normal 7 3 8 2 3" xfId="27191" xr:uid="{00000000-0005-0000-0000-0000FB5D0000}"/>
    <cellStyle name="Normal 7 3 8 3" xfId="12405" xr:uid="{00000000-0005-0000-0000-0000FC5D0000}"/>
    <cellStyle name="Normal 7 3 8 3 2" xfId="32120" xr:uid="{00000000-0005-0000-0000-0000FD5D0000}"/>
    <cellStyle name="Normal 7 3 8 4" xfId="22263" xr:uid="{00000000-0005-0000-0000-0000FE5D0000}"/>
    <cellStyle name="Normal 7 3 9" xfId="5009" xr:uid="{00000000-0005-0000-0000-0000FF5D0000}"/>
    <cellStyle name="Normal 7 3 9 2" xfId="14869" xr:uid="{00000000-0005-0000-0000-0000005E0000}"/>
    <cellStyle name="Normal 7 3 9 2 2" xfId="34584" xr:uid="{00000000-0005-0000-0000-0000015E0000}"/>
    <cellStyle name="Normal 7 3 9 3" xfId="24727" xr:uid="{00000000-0005-0000-0000-0000025E0000}"/>
    <cellStyle name="Normal 7 4" xfId="68" xr:uid="{00000000-0005-0000-0000-0000035E0000}"/>
    <cellStyle name="Normal 7 4 10" xfId="19818" xr:uid="{00000000-0005-0000-0000-0000045E0000}"/>
    <cellStyle name="Normal 7 4 2" xfId="149" xr:uid="{00000000-0005-0000-0000-0000055E0000}"/>
    <cellStyle name="Normal 7 4 2 2" xfId="306" xr:uid="{00000000-0005-0000-0000-0000065E0000}"/>
    <cellStyle name="Normal 7 4 2 2 2" xfId="620" xr:uid="{00000000-0005-0000-0000-0000075E0000}"/>
    <cellStyle name="Normal 7 4 2 2 2 2" xfId="1240" xr:uid="{00000000-0005-0000-0000-0000085E0000}"/>
    <cellStyle name="Normal 7 4 2 2 2 2 2" xfId="2475" xr:uid="{00000000-0005-0000-0000-0000095E0000}"/>
    <cellStyle name="Normal 7 4 2 2 2 2 2 2" xfId="4942" xr:uid="{00000000-0005-0000-0000-00000A5E0000}"/>
    <cellStyle name="Normal 7 4 2 2 2 2 2 2 2" xfId="9874" xr:uid="{00000000-0005-0000-0000-00000B5E0000}"/>
    <cellStyle name="Normal 7 4 2 2 2 2 2 2 2 2" xfId="19734" xr:uid="{00000000-0005-0000-0000-00000C5E0000}"/>
    <cellStyle name="Normal 7 4 2 2 2 2 2 2 2 2 2" xfId="39449" xr:uid="{00000000-0005-0000-0000-00000D5E0000}"/>
    <cellStyle name="Normal 7 4 2 2 2 2 2 2 2 3" xfId="29592" xr:uid="{00000000-0005-0000-0000-00000E5E0000}"/>
    <cellStyle name="Normal 7 4 2 2 2 2 2 2 3" xfId="14806" xr:uid="{00000000-0005-0000-0000-00000F5E0000}"/>
    <cellStyle name="Normal 7 4 2 2 2 2 2 2 3 2" xfId="34521" xr:uid="{00000000-0005-0000-0000-0000105E0000}"/>
    <cellStyle name="Normal 7 4 2 2 2 2 2 2 4" xfId="24664" xr:uid="{00000000-0005-0000-0000-0000115E0000}"/>
    <cellStyle name="Normal 7 4 2 2 2 2 2 3" xfId="7410" xr:uid="{00000000-0005-0000-0000-0000125E0000}"/>
    <cellStyle name="Normal 7 4 2 2 2 2 2 3 2" xfId="17270" xr:uid="{00000000-0005-0000-0000-0000135E0000}"/>
    <cellStyle name="Normal 7 4 2 2 2 2 2 3 2 2" xfId="36985" xr:uid="{00000000-0005-0000-0000-0000145E0000}"/>
    <cellStyle name="Normal 7 4 2 2 2 2 2 3 3" xfId="27128" xr:uid="{00000000-0005-0000-0000-0000155E0000}"/>
    <cellStyle name="Normal 7 4 2 2 2 2 2 4" xfId="12342" xr:uid="{00000000-0005-0000-0000-0000165E0000}"/>
    <cellStyle name="Normal 7 4 2 2 2 2 2 4 2" xfId="32057" xr:uid="{00000000-0005-0000-0000-0000175E0000}"/>
    <cellStyle name="Normal 7 4 2 2 2 2 2 5" xfId="22200" xr:uid="{00000000-0005-0000-0000-0000185E0000}"/>
    <cellStyle name="Normal 7 4 2 2 2 2 3" xfId="3710" xr:uid="{00000000-0005-0000-0000-0000195E0000}"/>
    <cellStyle name="Normal 7 4 2 2 2 2 3 2" xfId="8642" xr:uid="{00000000-0005-0000-0000-00001A5E0000}"/>
    <cellStyle name="Normal 7 4 2 2 2 2 3 2 2" xfId="18502" xr:uid="{00000000-0005-0000-0000-00001B5E0000}"/>
    <cellStyle name="Normal 7 4 2 2 2 2 3 2 2 2" xfId="38217" xr:uid="{00000000-0005-0000-0000-00001C5E0000}"/>
    <cellStyle name="Normal 7 4 2 2 2 2 3 2 3" xfId="28360" xr:uid="{00000000-0005-0000-0000-00001D5E0000}"/>
    <cellStyle name="Normal 7 4 2 2 2 2 3 3" xfId="13574" xr:uid="{00000000-0005-0000-0000-00001E5E0000}"/>
    <cellStyle name="Normal 7 4 2 2 2 2 3 3 2" xfId="33289" xr:uid="{00000000-0005-0000-0000-00001F5E0000}"/>
    <cellStyle name="Normal 7 4 2 2 2 2 3 4" xfId="23432" xr:uid="{00000000-0005-0000-0000-0000205E0000}"/>
    <cellStyle name="Normal 7 4 2 2 2 2 4" xfId="6178" xr:uid="{00000000-0005-0000-0000-0000215E0000}"/>
    <cellStyle name="Normal 7 4 2 2 2 2 4 2" xfId="16038" xr:uid="{00000000-0005-0000-0000-0000225E0000}"/>
    <cellStyle name="Normal 7 4 2 2 2 2 4 2 2" xfId="35753" xr:uid="{00000000-0005-0000-0000-0000235E0000}"/>
    <cellStyle name="Normal 7 4 2 2 2 2 4 3" xfId="25896" xr:uid="{00000000-0005-0000-0000-0000245E0000}"/>
    <cellStyle name="Normal 7 4 2 2 2 2 5" xfId="11110" xr:uid="{00000000-0005-0000-0000-0000255E0000}"/>
    <cellStyle name="Normal 7 4 2 2 2 2 5 2" xfId="30825" xr:uid="{00000000-0005-0000-0000-0000265E0000}"/>
    <cellStyle name="Normal 7 4 2 2 2 2 6" xfId="20968" xr:uid="{00000000-0005-0000-0000-0000275E0000}"/>
    <cellStyle name="Normal 7 4 2 2 2 3" xfId="1859" xr:uid="{00000000-0005-0000-0000-0000285E0000}"/>
    <cellStyle name="Normal 7 4 2 2 2 3 2" xfId="4326" xr:uid="{00000000-0005-0000-0000-0000295E0000}"/>
    <cellStyle name="Normal 7 4 2 2 2 3 2 2" xfId="9258" xr:uid="{00000000-0005-0000-0000-00002A5E0000}"/>
    <cellStyle name="Normal 7 4 2 2 2 3 2 2 2" xfId="19118" xr:uid="{00000000-0005-0000-0000-00002B5E0000}"/>
    <cellStyle name="Normal 7 4 2 2 2 3 2 2 2 2" xfId="38833" xr:uid="{00000000-0005-0000-0000-00002C5E0000}"/>
    <cellStyle name="Normal 7 4 2 2 2 3 2 2 3" xfId="28976" xr:uid="{00000000-0005-0000-0000-00002D5E0000}"/>
    <cellStyle name="Normal 7 4 2 2 2 3 2 3" xfId="14190" xr:uid="{00000000-0005-0000-0000-00002E5E0000}"/>
    <cellStyle name="Normal 7 4 2 2 2 3 2 3 2" xfId="33905" xr:uid="{00000000-0005-0000-0000-00002F5E0000}"/>
    <cellStyle name="Normal 7 4 2 2 2 3 2 4" xfId="24048" xr:uid="{00000000-0005-0000-0000-0000305E0000}"/>
    <cellStyle name="Normal 7 4 2 2 2 3 3" xfId="6794" xr:uid="{00000000-0005-0000-0000-0000315E0000}"/>
    <cellStyle name="Normal 7 4 2 2 2 3 3 2" xfId="16654" xr:uid="{00000000-0005-0000-0000-0000325E0000}"/>
    <cellStyle name="Normal 7 4 2 2 2 3 3 2 2" xfId="36369" xr:uid="{00000000-0005-0000-0000-0000335E0000}"/>
    <cellStyle name="Normal 7 4 2 2 2 3 3 3" xfId="26512" xr:uid="{00000000-0005-0000-0000-0000345E0000}"/>
    <cellStyle name="Normal 7 4 2 2 2 3 4" xfId="11726" xr:uid="{00000000-0005-0000-0000-0000355E0000}"/>
    <cellStyle name="Normal 7 4 2 2 2 3 4 2" xfId="31441" xr:uid="{00000000-0005-0000-0000-0000365E0000}"/>
    <cellStyle name="Normal 7 4 2 2 2 3 5" xfId="21584" xr:uid="{00000000-0005-0000-0000-0000375E0000}"/>
    <cellStyle name="Normal 7 4 2 2 2 4" xfId="3094" xr:uid="{00000000-0005-0000-0000-0000385E0000}"/>
    <cellStyle name="Normal 7 4 2 2 2 4 2" xfId="8026" xr:uid="{00000000-0005-0000-0000-0000395E0000}"/>
    <cellStyle name="Normal 7 4 2 2 2 4 2 2" xfId="17886" xr:uid="{00000000-0005-0000-0000-00003A5E0000}"/>
    <cellStyle name="Normal 7 4 2 2 2 4 2 2 2" xfId="37601" xr:uid="{00000000-0005-0000-0000-00003B5E0000}"/>
    <cellStyle name="Normal 7 4 2 2 2 4 2 3" xfId="27744" xr:uid="{00000000-0005-0000-0000-00003C5E0000}"/>
    <cellStyle name="Normal 7 4 2 2 2 4 3" xfId="12958" xr:uid="{00000000-0005-0000-0000-00003D5E0000}"/>
    <cellStyle name="Normal 7 4 2 2 2 4 3 2" xfId="32673" xr:uid="{00000000-0005-0000-0000-00003E5E0000}"/>
    <cellStyle name="Normal 7 4 2 2 2 4 4" xfId="22816" xr:uid="{00000000-0005-0000-0000-00003F5E0000}"/>
    <cellStyle name="Normal 7 4 2 2 2 5" xfId="5562" xr:uid="{00000000-0005-0000-0000-0000405E0000}"/>
    <cellStyle name="Normal 7 4 2 2 2 5 2" xfId="15422" xr:uid="{00000000-0005-0000-0000-0000415E0000}"/>
    <cellStyle name="Normal 7 4 2 2 2 5 2 2" xfId="35137" xr:uid="{00000000-0005-0000-0000-0000425E0000}"/>
    <cellStyle name="Normal 7 4 2 2 2 5 3" xfId="25280" xr:uid="{00000000-0005-0000-0000-0000435E0000}"/>
    <cellStyle name="Normal 7 4 2 2 2 6" xfId="10494" xr:uid="{00000000-0005-0000-0000-0000445E0000}"/>
    <cellStyle name="Normal 7 4 2 2 2 6 2" xfId="30209" xr:uid="{00000000-0005-0000-0000-0000455E0000}"/>
    <cellStyle name="Normal 7 4 2 2 2 7" xfId="20352" xr:uid="{00000000-0005-0000-0000-0000465E0000}"/>
    <cellStyle name="Normal 7 4 2 2 3" xfId="933" xr:uid="{00000000-0005-0000-0000-0000475E0000}"/>
    <cellStyle name="Normal 7 4 2 2 3 2" xfId="2169" xr:uid="{00000000-0005-0000-0000-0000485E0000}"/>
    <cellStyle name="Normal 7 4 2 2 3 2 2" xfId="4636" xr:uid="{00000000-0005-0000-0000-0000495E0000}"/>
    <cellStyle name="Normal 7 4 2 2 3 2 2 2" xfId="9568" xr:uid="{00000000-0005-0000-0000-00004A5E0000}"/>
    <cellStyle name="Normal 7 4 2 2 3 2 2 2 2" xfId="19428" xr:uid="{00000000-0005-0000-0000-00004B5E0000}"/>
    <cellStyle name="Normal 7 4 2 2 3 2 2 2 2 2" xfId="39143" xr:uid="{00000000-0005-0000-0000-00004C5E0000}"/>
    <cellStyle name="Normal 7 4 2 2 3 2 2 2 3" xfId="29286" xr:uid="{00000000-0005-0000-0000-00004D5E0000}"/>
    <cellStyle name="Normal 7 4 2 2 3 2 2 3" xfId="14500" xr:uid="{00000000-0005-0000-0000-00004E5E0000}"/>
    <cellStyle name="Normal 7 4 2 2 3 2 2 3 2" xfId="34215" xr:uid="{00000000-0005-0000-0000-00004F5E0000}"/>
    <cellStyle name="Normal 7 4 2 2 3 2 2 4" xfId="24358" xr:uid="{00000000-0005-0000-0000-0000505E0000}"/>
    <cellStyle name="Normal 7 4 2 2 3 2 3" xfId="7104" xr:uid="{00000000-0005-0000-0000-0000515E0000}"/>
    <cellStyle name="Normal 7 4 2 2 3 2 3 2" xfId="16964" xr:uid="{00000000-0005-0000-0000-0000525E0000}"/>
    <cellStyle name="Normal 7 4 2 2 3 2 3 2 2" xfId="36679" xr:uid="{00000000-0005-0000-0000-0000535E0000}"/>
    <cellStyle name="Normal 7 4 2 2 3 2 3 3" xfId="26822" xr:uid="{00000000-0005-0000-0000-0000545E0000}"/>
    <cellStyle name="Normal 7 4 2 2 3 2 4" xfId="12036" xr:uid="{00000000-0005-0000-0000-0000555E0000}"/>
    <cellStyle name="Normal 7 4 2 2 3 2 4 2" xfId="31751" xr:uid="{00000000-0005-0000-0000-0000565E0000}"/>
    <cellStyle name="Normal 7 4 2 2 3 2 5" xfId="21894" xr:uid="{00000000-0005-0000-0000-0000575E0000}"/>
    <cellStyle name="Normal 7 4 2 2 3 3" xfId="3404" xr:uid="{00000000-0005-0000-0000-0000585E0000}"/>
    <cellStyle name="Normal 7 4 2 2 3 3 2" xfId="8336" xr:uid="{00000000-0005-0000-0000-0000595E0000}"/>
    <cellStyle name="Normal 7 4 2 2 3 3 2 2" xfId="18196" xr:uid="{00000000-0005-0000-0000-00005A5E0000}"/>
    <cellStyle name="Normal 7 4 2 2 3 3 2 2 2" xfId="37911" xr:uid="{00000000-0005-0000-0000-00005B5E0000}"/>
    <cellStyle name="Normal 7 4 2 2 3 3 2 3" xfId="28054" xr:uid="{00000000-0005-0000-0000-00005C5E0000}"/>
    <cellStyle name="Normal 7 4 2 2 3 3 3" xfId="13268" xr:uid="{00000000-0005-0000-0000-00005D5E0000}"/>
    <cellStyle name="Normal 7 4 2 2 3 3 3 2" xfId="32983" xr:uid="{00000000-0005-0000-0000-00005E5E0000}"/>
    <cellStyle name="Normal 7 4 2 2 3 3 4" xfId="23126" xr:uid="{00000000-0005-0000-0000-00005F5E0000}"/>
    <cellStyle name="Normal 7 4 2 2 3 4" xfId="5872" xr:uid="{00000000-0005-0000-0000-0000605E0000}"/>
    <cellStyle name="Normal 7 4 2 2 3 4 2" xfId="15732" xr:uid="{00000000-0005-0000-0000-0000615E0000}"/>
    <cellStyle name="Normal 7 4 2 2 3 4 2 2" xfId="35447" xr:uid="{00000000-0005-0000-0000-0000625E0000}"/>
    <cellStyle name="Normal 7 4 2 2 3 4 3" xfId="25590" xr:uid="{00000000-0005-0000-0000-0000635E0000}"/>
    <cellStyle name="Normal 7 4 2 2 3 5" xfId="10804" xr:uid="{00000000-0005-0000-0000-0000645E0000}"/>
    <cellStyle name="Normal 7 4 2 2 3 5 2" xfId="30519" xr:uid="{00000000-0005-0000-0000-0000655E0000}"/>
    <cellStyle name="Normal 7 4 2 2 3 6" xfId="20662" xr:uid="{00000000-0005-0000-0000-0000665E0000}"/>
    <cellStyle name="Normal 7 4 2 2 4" xfId="1553" xr:uid="{00000000-0005-0000-0000-0000675E0000}"/>
    <cellStyle name="Normal 7 4 2 2 4 2" xfId="4020" xr:uid="{00000000-0005-0000-0000-0000685E0000}"/>
    <cellStyle name="Normal 7 4 2 2 4 2 2" xfId="8952" xr:uid="{00000000-0005-0000-0000-0000695E0000}"/>
    <cellStyle name="Normal 7 4 2 2 4 2 2 2" xfId="18812" xr:uid="{00000000-0005-0000-0000-00006A5E0000}"/>
    <cellStyle name="Normal 7 4 2 2 4 2 2 2 2" xfId="38527" xr:uid="{00000000-0005-0000-0000-00006B5E0000}"/>
    <cellStyle name="Normal 7 4 2 2 4 2 2 3" xfId="28670" xr:uid="{00000000-0005-0000-0000-00006C5E0000}"/>
    <cellStyle name="Normal 7 4 2 2 4 2 3" xfId="13884" xr:uid="{00000000-0005-0000-0000-00006D5E0000}"/>
    <cellStyle name="Normal 7 4 2 2 4 2 3 2" xfId="33599" xr:uid="{00000000-0005-0000-0000-00006E5E0000}"/>
    <cellStyle name="Normal 7 4 2 2 4 2 4" xfId="23742" xr:uid="{00000000-0005-0000-0000-00006F5E0000}"/>
    <cellStyle name="Normal 7 4 2 2 4 3" xfId="6488" xr:uid="{00000000-0005-0000-0000-0000705E0000}"/>
    <cellStyle name="Normal 7 4 2 2 4 3 2" xfId="16348" xr:uid="{00000000-0005-0000-0000-0000715E0000}"/>
    <cellStyle name="Normal 7 4 2 2 4 3 2 2" xfId="36063" xr:uid="{00000000-0005-0000-0000-0000725E0000}"/>
    <cellStyle name="Normal 7 4 2 2 4 3 3" xfId="26206" xr:uid="{00000000-0005-0000-0000-0000735E0000}"/>
    <cellStyle name="Normal 7 4 2 2 4 4" xfId="11420" xr:uid="{00000000-0005-0000-0000-0000745E0000}"/>
    <cellStyle name="Normal 7 4 2 2 4 4 2" xfId="31135" xr:uid="{00000000-0005-0000-0000-0000755E0000}"/>
    <cellStyle name="Normal 7 4 2 2 4 5" xfId="21278" xr:uid="{00000000-0005-0000-0000-0000765E0000}"/>
    <cellStyle name="Normal 7 4 2 2 5" xfId="2788" xr:uid="{00000000-0005-0000-0000-0000775E0000}"/>
    <cellStyle name="Normal 7 4 2 2 5 2" xfId="7720" xr:uid="{00000000-0005-0000-0000-0000785E0000}"/>
    <cellStyle name="Normal 7 4 2 2 5 2 2" xfId="17580" xr:uid="{00000000-0005-0000-0000-0000795E0000}"/>
    <cellStyle name="Normal 7 4 2 2 5 2 2 2" xfId="37295" xr:uid="{00000000-0005-0000-0000-00007A5E0000}"/>
    <cellStyle name="Normal 7 4 2 2 5 2 3" xfId="27438" xr:uid="{00000000-0005-0000-0000-00007B5E0000}"/>
    <cellStyle name="Normal 7 4 2 2 5 3" xfId="12652" xr:uid="{00000000-0005-0000-0000-00007C5E0000}"/>
    <cellStyle name="Normal 7 4 2 2 5 3 2" xfId="32367" xr:uid="{00000000-0005-0000-0000-00007D5E0000}"/>
    <cellStyle name="Normal 7 4 2 2 5 4" xfId="22510" xr:uid="{00000000-0005-0000-0000-00007E5E0000}"/>
    <cellStyle name="Normal 7 4 2 2 6" xfId="5256" xr:uid="{00000000-0005-0000-0000-00007F5E0000}"/>
    <cellStyle name="Normal 7 4 2 2 6 2" xfId="15116" xr:uid="{00000000-0005-0000-0000-0000805E0000}"/>
    <cellStyle name="Normal 7 4 2 2 6 2 2" xfId="34831" xr:uid="{00000000-0005-0000-0000-0000815E0000}"/>
    <cellStyle name="Normal 7 4 2 2 6 3" xfId="24974" xr:uid="{00000000-0005-0000-0000-0000825E0000}"/>
    <cellStyle name="Normal 7 4 2 2 7" xfId="10188" xr:uid="{00000000-0005-0000-0000-0000835E0000}"/>
    <cellStyle name="Normal 7 4 2 2 7 2" xfId="29903" xr:uid="{00000000-0005-0000-0000-0000845E0000}"/>
    <cellStyle name="Normal 7 4 2 2 8" xfId="20046" xr:uid="{00000000-0005-0000-0000-0000855E0000}"/>
    <cellStyle name="Normal 7 4 2 3" xfId="468" xr:uid="{00000000-0005-0000-0000-0000865E0000}"/>
    <cellStyle name="Normal 7 4 2 3 2" xfId="1088" xr:uid="{00000000-0005-0000-0000-0000875E0000}"/>
    <cellStyle name="Normal 7 4 2 3 2 2" xfId="2323" xr:uid="{00000000-0005-0000-0000-0000885E0000}"/>
    <cellStyle name="Normal 7 4 2 3 2 2 2" xfId="4790" xr:uid="{00000000-0005-0000-0000-0000895E0000}"/>
    <cellStyle name="Normal 7 4 2 3 2 2 2 2" xfId="9722" xr:uid="{00000000-0005-0000-0000-00008A5E0000}"/>
    <cellStyle name="Normal 7 4 2 3 2 2 2 2 2" xfId="19582" xr:uid="{00000000-0005-0000-0000-00008B5E0000}"/>
    <cellStyle name="Normal 7 4 2 3 2 2 2 2 2 2" xfId="39297" xr:uid="{00000000-0005-0000-0000-00008C5E0000}"/>
    <cellStyle name="Normal 7 4 2 3 2 2 2 2 3" xfId="29440" xr:uid="{00000000-0005-0000-0000-00008D5E0000}"/>
    <cellStyle name="Normal 7 4 2 3 2 2 2 3" xfId="14654" xr:uid="{00000000-0005-0000-0000-00008E5E0000}"/>
    <cellStyle name="Normal 7 4 2 3 2 2 2 3 2" xfId="34369" xr:uid="{00000000-0005-0000-0000-00008F5E0000}"/>
    <cellStyle name="Normal 7 4 2 3 2 2 2 4" xfId="24512" xr:uid="{00000000-0005-0000-0000-0000905E0000}"/>
    <cellStyle name="Normal 7 4 2 3 2 2 3" xfId="7258" xr:uid="{00000000-0005-0000-0000-0000915E0000}"/>
    <cellStyle name="Normal 7 4 2 3 2 2 3 2" xfId="17118" xr:uid="{00000000-0005-0000-0000-0000925E0000}"/>
    <cellStyle name="Normal 7 4 2 3 2 2 3 2 2" xfId="36833" xr:uid="{00000000-0005-0000-0000-0000935E0000}"/>
    <cellStyle name="Normal 7 4 2 3 2 2 3 3" xfId="26976" xr:uid="{00000000-0005-0000-0000-0000945E0000}"/>
    <cellStyle name="Normal 7 4 2 3 2 2 4" xfId="12190" xr:uid="{00000000-0005-0000-0000-0000955E0000}"/>
    <cellStyle name="Normal 7 4 2 3 2 2 4 2" xfId="31905" xr:uid="{00000000-0005-0000-0000-0000965E0000}"/>
    <cellStyle name="Normal 7 4 2 3 2 2 5" xfId="22048" xr:uid="{00000000-0005-0000-0000-0000975E0000}"/>
    <cellStyle name="Normal 7 4 2 3 2 3" xfId="3558" xr:uid="{00000000-0005-0000-0000-0000985E0000}"/>
    <cellStyle name="Normal 7 4 2 3 2 3 2" xfId="8490" xr:uid="{00000000-0005-0000-0000-0000995E0000}"/>
    <cellStyle name="Normal 7 4 2 3 2 3 2 2" xfId="18350" xr:uid="{00000000-0005-0000-0000-00009A5E0000}"/>
    <cellStyle name="Normal 7 4 2 3 2 3 2 2 2" xfId="38065" xr:uid="{00000000-0005-0000-0000-00009B5E0000}"/>
    <cellStyle name="Normal 7 4 2 3 2 3 2 3" xfId="28208" xr:uid="{00000000-0005-0000-0000-00009C5E0000}"/>
    <cellStyle name="Normal 7 4 2 3 2 3 3" xfId="13422" xr:uid="{00000000-0005-0000-0000-00009D5E0000}"/>
    <cellStyle name="Normal 7 4 2 3 2 3 3 2" xfId="33137" xr:uid="{00000000-0005-0000-0000-00009E5E0000}"/>
    <cellStyle name="Normal 7 4 2 3 2 3 4" xfId="23280" xr:uid="{00000000-0005-0000-0000-00009F5E0000}"/>
    <cellStyle name="Normal 7 4 2 3 2 4" xfId="6026" xr:uid="{00000000-0005-0000-0000-0000A05E0000}"/>
    <cellStyle name="Normal 7 4 2 3 2 4 2" xfId="15886" xr:uid="{00000000-0005-0000-0000-0000A15E0000}"/>
    <cellStyle name="Normal 7 4 2 3 2 4 2 2" xfId="35601" xr:uid="{00000000-0005-0000-0000-0000A25E0000}"/>
    <cellStyle name="Normal 7 4 2 3 2 4 3" xfId="25744" xr:uid="{00000000-0005-0000-0000-0000A35E0000}"/>
    <cellStyle name="Normal 7 4 2 3 2 5" xfId="10958" xr:uid="{00000000-0005-0000-0000-0000A45E0000}"/>
    <cellStyle name="Normal 7 4 2 3 2 5 2" xfId="30673" xr:uid="{00000000-0005-0000-0000-0000A55E0000}"/>
    <cellStyle name="Normal 7 4 2 3 2 6" xfId="20816" xr:uid="{00000000-0005-0000-0000-0000A65E0000}"/>
    <cellStyle name="Normal 7 4 2 3 3" xfId="1707" xr:uid="{00000000-0005-0000-0000-0000A75E0000}"/>
    <cellStyle name="Normal 7 4 2 3 3 2" xfId="4174" xr:uid="{00000000-0005-0000-0000-0000A85E0000}"/>
    <cellStyle name="Normal 7 4 2 3 3 2 2" xfId="9106" xr:uid="{00000000-0005-0000-0000-0000A95E0000}"/>
    <cellStyle name="Normal 7 4 2 3 3 2 2 2" xfId="18966" xr:uid="{00000000-0005-0000-0000-0000AA5E0000}"/>
    <cellStyle name="Normal 7 4 2 3 3 2 2 2 2" xfId="38681" xr:uid="{00000000-0005-0000-0000-0000AB5E0000}"/>
    <cellStyle name="Normal 7 4 2 3 3 2 2 3" xfId="28824" xr:uid="{00000000-0005-0000-0000-0000AC5E0000}"/>
    <cellStyle name="Normal 7 4 2 3 3 2 3" xfId="14038" xr:uid="{00000000-0005-0000-0000-0000AD5E0000}"/>
    <cellStyle name="Normal 7 4 2 3 3 2 3 2" xfId="33753" xr:uid="{00000000-0005-0000-0000-0000AE5E0000}"/>
    <cellStyle name="Normal 7 4 2 3 3 2 4" xfId="23896" xr:uid="{00000000-0005-0000-0000-0000AF5E0000}"/>
    <cellStyle name="Normal 7 4 2 3 3 3" xfId="6642" xr:uid="{00000000-0005-0000-0000-0000B05E0000}"/>
    <cellStyle name="Normal 7 4 2 3 3 3 2" xfId="16502" xr:uid="{00000000-0005-0000-0000-0000B15E0000}"/>
    <cellStyle name="Normal 7 4 2 3 3 3 2 2" xfId="36217" xr:uid="{00000000-0005-0000-0000-0000B25E0000}"/>
    <cellStyle name="Normal 7 4 2 3 3 3 3" xfId="26360" xr:uid="{00000000-0005-0000-0000-0000B35E0000}"/>
    <cellStyle name="Normal 7 4 2 3 3 4" xfId="11574" xr:uid="{00000000-0005-0000-0000-0000B45E0000}"/>
    <cellStyle name="Normal 7 4 2 3 3 4 2" xfId="31289" xr:uid="{00000000-0005-0000-0000-0000B55E0000}"/>
    <cellStyle name="Normal 7 4 2 3 3 5" xfId="21432" xr:uid="{00000000-0005-0000-0000-0000B65E0000}"/>
    <cellStyle name="Normal 7 4 2 3 4" xfId="2942" xr:uid="{00000000-0005-0000-0000-0000B75E0000}"/>
    <cellStyle name="Normal 7 4 2 3 4 2" xfId="7874" xr:uid="{00000000-0005-0000-0000-0000B85E0000}"/>
    <cellStyle name="Normal 7 4 2 3 4 2 2" xfId="17734" xr:uid="{00000000-0005-0000-0000-0000B95E0000}"/>
    <cellStyle name="Normal 7 4 2 3 4 2 2 2" xfId="37449" xr:uid="{00000000-0005-0000-0000-0000BA5E0000}"/>
    <cellStyle name="Normal 7 4 2 3 4 2 3" xfId="27592" xr:uid="{00000000-0005-0000-0000-0000BB5E0000}"/>
    <cellStyle name="Normal 7 4 2 3 4 3" xfId="12806" xr:uid="{00000000-0005-0000-0000-0000BC5E0000}"/>
    <cellStyle name="Normal 7 4 2 3 4 3 2" xfId="32521" xr:uid="{00000000-0005-0000-0000-0000BD5E0000}"/>
    <cellStyle name="Normal 7 4 2 3 4 4" xfId="22664" xr:uid="{00000000-0005-0000-0000-0000BE5E0000}"/>
    <cellStyle name="Normal 7 4 2 3 5" xfId="5410" xr:uid="{00000000-0005-0000-0000-0000BF5E0000}"/>
    <cellStyle name="Normal 7 4 2 3 5 2" xfId="15270" xr:uid="{00000000-0005-0000-0000-0000C05E0000}"/>
    <cellStyle name="Normal 7 4 2 3 5 2 2" xfId="34985" xr:uid="{00000000-0005-0000-0000-0000C15E0000}"/>
    <cellStyle name="Normal 7 4 2 3 5 3" xfId="25128" xr:uid="{00000000-0005-0000-0000-0000C25E0000}"/>
    <cellStyle name="Normal 7 4 2 3 6" xfId="10342" xr:uid="{00000000-0005-0000-0000-0000C35E0000}"/>
    <cellStyle name="Normal 7 4 2 3 6 2" xfId="30057" xr:uid="{00000000-0005-0000-0000-0000C45E0000}"/>
    <cellStyle name="Normal 7 4 2 3 7" xfId="20200" xr:uid="{00000000-0005-0000-0000-0000C55E0000}"/>
    <cellStyle name="Normal 7 4 2 4" xfId="781" xr:uid="{00000000-0005-0000-0000-0000C65E0000}"/>
    <cellStyle name="Normal 7 4 2 4 2" xfId="2017" xr:uid="{00000000-0005-0000-0000-0000C75E0000}"/>
    <cellStyle name="Normal 7 4 2 4 2 2" xfId="4484" xr:uid="{00000000-0005-0000-0000-0000C85E0000}"/>
    <cellStyle name="Normal 7 4 2 4 2 2 2" xfId="9416" xr:uid="{00000000-0005-0000-0000-0000C95E0000}"/>
    <cellStyle name="Normal 7 4 2 4 2 2 2 2" xfId="19276" xr:uid="{00000000-0005-0000-0000-0000CA5E0000}"/>
    <cellStyle name="Normal 7 4 2 4 2 2 2 2 2" xfId="38991" xr:uid="{00000000-0005-0000-0000-0000CB5E0000}"/>
    <cellStyle name="Normal 7 4 2 4 2 2 2 3" xfId="29134" xr:uid="{00000000-0005-0000-0000-0000CC5E0000}"/>
    <cellStyle name="Normal 7 4 2 4 2 2 3" xfId="14348" xr:uid="{00000000-0005-0000-0000-0000CD5E0000}"/>
    <cellStyle name="Normal 7 4 2 4 2 2 3 2" xfId="34063" xr:uid="{00000000-0005-0000-0000-0000CE5E0000}"/>
    <cellStyle name="Normal 7 4 2 4 2 2 4" xfId="24206" xr:uid="{00000000-0005-0000-0000-0000CF5E0000}"/>
    <cellStyle name="Normal 7 4 2 4 2 3" xfId="6952" xr:uid="{00000000-0005-0000-0000-0000D05E0000}"/>
    <cellStyle name="Normal 7 4 2 4 2 3 2" xfId="16812" xr:uid="{00000000-0005-0000-0000-0000D15E0000}"/>
    <cellStyle name="Normal 7 4 2 4 2 3 2 2" xfId="36527" xr:uid="{00000000-0005-0000-0000-0000D25E0000}"/>
    <cellStyle name="Normal 7 4 2 4 2 3 3" xfId="26670" xr:uid="{00000000-0005-0000-0000-0000D35E0000}"/>
    <cellStyle name="Normal 7 4 2 4 2 4" xfId="11884" xr:uid="{00000000-0005-0000-0000-0000D45E0000}"/>
    <cellStyle name="Normal 7 4 2 4 2 4 2" xfId="31599" xr:uid="{00000000-0005-0000-0000-0000D55E0000}"/>
    <cellStyle name="Normal 7 4 2 4 2 5" xfId="21742" xr:uid="{00000000-0005-0000-0000-0000D65E0000}"/>
    <cellStyle name="Normal 7 4 2 4 3" xfId="3252" xr:uid="{00000000-0005-0000-0000-0000D75E0000}"/>
    <cellStyle name="Normal 7 4 2 4 3 2" xfId="8184" xr:uid="{00000000-0005-0000-0000-0000D85E0000}"/>
    <cellStyle name="Normal 7 4 2 4 3 2 2" xfId="18044" xr:uid="{00000000-0005-0000-0000-0000D95E0000}"/>
    <cellStyle name="Normal 7 4 2 4 3 2 2 2" xfId="37759" xr:uid="{00000000-0005-0000-0000-0000DA5E0000}"/>
    <cellStyle name="Normal 7 4 2 4 3 2 3" xfId="27902" xr:uid="{00000000-0005-0000-0000-0000DB5E0000}"/>
    <cellStyle name="Normal 7 4 2 4 3 3" xfId="13116" xr:uid="{00000000-0005-0000-0000-0000DC5E0000}"/>
    <cellStyle name="Normal 7 4 2 4 3 3 2" xfId="32831" xr:uid="{00000000-0005-0000-0000-0000DD5E0000}"/>
    <cellStyle name="Normal 7 4 2 4 3 4" xfId="22974" xr:uid="{00000000-0005-0000-0000-0000DE5E0000}"/>
    <cellStyle name="Normal 7 4 2 4 4" xfId="5720" xr:uid="{00000000-0005-0000-0000-0000DF5E0000}"/>
    <cellStyle name="Normal 7 4 2 4 4 2" xfId="15580" xr:uid="{00000000-0005-0000-0000-0000E05E0000}"/>
    <cellStyle name="Normal 7 4 2 4 4 2 2" xfId="35295" xr:uid="{00000000-0005-0000-0000-0000E15E0000}"/>
    <cellStyle name="Normal 7 4 2 4 4 3" xfId="25438" xr:uid="{00000000-0005-0000-0000-0000E25E0000}"/>
    <cellStyle name="Normal 7 4 2 4 5" xfId="10652" xr:uid="{00000000-0005-0000-0000-0000E35E0000}"/>
    <cellStyle name="Normal 7 4 2 4 5 2" xfId="30367" xr:uid="{00000000-0005-0000-0000-0000E45E0000}"/>
    <cellStyle name="Normal 7 4 2 4 6" xfId="20510" xr:uid="{00000000-0005-0000-0000-0000E55E0000}"/>
    <cellStyle name="Normal 7 4 2 5" xfId="1401" xr:uid="{00000000-0005-0000-0000-0000E65E0000}"/>
    <cellStyle name="Normal 7 4 2 5 2" xfId="3868" xr:uid="{00000000-0005-0000-0000-0000E75E0000}"/>
    <cellStyle name="Normal 7 4 2 5 2 2" xfId="8800" xr:uid="{00000000-0005-0000-0000-0000E85E0000}"/>
    <cellStyle name="Normal 7 4 2 5 2 2 2" xfId="18660" xr:uid="{00000000-0005-0000-0000-0000E95E0000}"/>
    <cellStyle name="Normal 7 4 2 5 2 2 2 2" xfId="38375" xr:uid="{00000000-0005-0000-0000-0000EA5E0000}"/>
    <cellStyle name="Normal 7 4 2 5 2 2 3" xfId="28518" xr:uid="{00000000-0005-0000-0000-0000EB5E0000}"/>
    <cellStyle name="Normal 7 4 2 5 2 3" xfId="13732" xr:uid="{00000000-0005-0000-0000-0000EC5E0000}"/>
    <cellStyle name="Normal 7 4 2 5 2 3 2" xfId="33447" xr:uid="{00000000-0005-0000-0000-0000ED5E0000}"/>
    <cellStyle name="Normal 7 4 2 5 2 4" xfId="23590" xr:uid="{00000000-0005-0000-0000-0000EE5E0000}"/>
    <cellStyle name="Normal 7 4 2 5 3" xfId="6336" xr:uid="{00000000-0005-0000-0000-0000EF5E0000}"/>
    <cellStyle name="Normal 7 4 2 5 3 2" xfId="16196" xr:uid="{00000000-0005-0000-0000-0000F05E0000}"/>
    <cellStyle name="Normal 7 4 2 5 3 2 2" xfId="35911" xr:uid="{00000000-0005-0000-0000-0000F15E0000}"/>
    <cellStyle name="Normal 7 4 2 5 3 3" xfId="26054" xr:uid="{00000000-0005-0000-0000-0000F25E0000}"/>
    <cellStyle name="Normal 7 4 2 5 4" xfId="11268" xr:uid="{00000000-0005-0000-0000-0000F35E0000}"/>
    <cellStyle name="Normal 7 4 2 5 4 2" xfId="30983" xr:uid="{00000000-0005-0000-0000-0000F45E0000}"/>
    <cellStyle name="Normal 7 4 2 5 5" xfId="21126" xr:uid="{00000000-0005-0000-0000-0000F55E0000}"/>
    <cellStyle name="Normal 7 4 2 6" xfId="2636" xr:uid="{00000000-0005-0000-0000-0000F65E0000}"/>
    <cellStyle name="Normal 7 4 2 6 2" xfId="7568" xr:uid="{00000000-0005-0000-0000-0000F75E0000}"/>
    <cellStyle name="Normal 7 4 2 6 2 2" xfId="17428" xr:uid="{00000000-0005-0000-0000-0000F85E0000}"/>
    <cellStyle name="Normal 7 4 2 6 2 2 2" xfId="37143" xr:uid="{00000000-0005-0000-0000-0000F95E0000}"/>
    <cellStyle name="Normal 7 4 2 6 2 3" xfId="27286" xr:uid="{00000000-0005-0000-0000-0000FA5E0000}"/>
    <cellStyle name="Normal 7 4 2 6 3" xfId="12500" xr:uid="{00000000-0005-0000-0000-0000FB5E0000}"/>
    <cellStyle name="Normal 7 4 2 6 3 2" xfId="32215" xr:uid="{00000000-0005-0000-0000-0000FC5E0000}"/>
    <cellStyle name="Normal 7 4 2 6 4" xfId="22358" xr:uid="{00000000-0005-0000-0000-0000FD5E0000}"/>
    <cellStyle name="Normal 7 4 2 7" xfId="5104" xr:uid="{00000000-0005-0000-0000-0000FE5E0000}"/>
    <cellStyle name="Normal 7 4 2 7 2" xfId="14964" xr:uid="{00000000-0005-0000-0000-0000FF5E0000}"/>
    <cellStyle name="Normal 7 4 2 7 2 2" xfId="34679" xr:uid="{00000000-0005-0000-0000-0000005F0000}"/>
    <cellStyle name="Normal 7 4 2 7 3" xfId="24822" xr:uid="{00000000-0005-0000-0000-0000015F0000}"/>
    <cellStyle name="Normal 7 4 2 8" xfId="10036" xr:uid="{00000000-0005-0000-0000-0000025F0000}"/>
    <cellStyle name="Normal 7 4 2 8 2" xfId="29751" xr:uid="{00000000-0005-0000-0000-0000035F0000}"/>
    <cellStyle name="Normal 7 4 2 9" xfId="19894" xr:uid="{00000000-0005-0000-0000-0000045F0000}"/>
    <cellStyle name="Normal 7 4 3" xfId="230" xr:uid="{00000000-0005-0000-0000-0000055F0000}"/>
    <cellStyle name="Normal 7 4 3 2" xfId="544" xr:uid="{00000000-0005-0000-0000-0000065F0000}"/>
    <cellStyle name="Normal 7 4 3 2 2" xfId="1164" xr:uid="{00000000-0005-0000-0000-0000075F0000}"/>
    <cellStyle name="Normal 7 4 3 2 2 2" xfId="2399" xr:uid="{00000000-0005-0000-0000-0000085F0000}"/>
    <cellStyle name="Normal 7 4 3 2 2 2 2" xfId="4866" xr:uid="{00000000-0005-0000-0000-0000095F0000}"/>
    <cellStyle name="Normal 7 4 3 2 2 2 2 2" xfId="9798" xr:uid="{00000000-0005-0000-0000-00000A5F0000}"/>
    <cellStyle name="Normal 7 4 3 2 2 2 2 2 2" xfId="19658" xr:uid="{00000000-0005-0000-0000-00000B5F0000}"/>
    <cellStyle name="Normal 7 4 3 2 2 2 2 2 2 2" xfId="39373" xr:uid="{00000000-0005-0000-0000-00000C5F0000}"/>
    <cellStyle name="Normal 7 4 3 2 2 2 2 2 3" xfId="29516" xr:uid="{00000000-0005-0000-0000-00000D5F0000}"/>
    <cellStyle name="Normal 7 4 3 2 2 2 2 3" xfId="14730" xr:uid="{00000000-0005-0000-0000-00000E5F0000}"/>
    <cellStyle name="Normal 7 4 3 2 2 2 2 3 2" xfId="34445" xr:uid="{00000000-0005-0000-0000-00000F5F0000}"/>
    <cellStyle name="Normal 7 4 3 2 2 2 2 4" xfId="24588" xr:uid="{00000000-0005-0000-0000-0000105F0000}"/>
    <cellStyle name="Normal 7 4 3 2 2 2 3" xfId="7334" xr:uid="{00000000-0005-0000-0000-0000115F0000}"/>
    <cellStyle name="Normal 7 4 3 2 2 2 3 2" xfId="17194" xr:uid="{00000000-0005-0000-0000-0000125F0000}"/>
    <cellStyle name="Normal 7 4 3 2 2 2 3 2 2" xfId="36909" xr:uid="{00000000-0005-0000-0000-0000135F0000}"/>
    <cellStyle name="Normal 7 4 3 2 2 2 3 3" xfId="27052" xr:uid="{00000000-0005-0000-0000-0000145F0000}"/>
    <cellStyle name="Normal 7 4 3 2 2 2 4" xfId="12266" xr:uid="{00000000-0005-0000-0000-0000155F0000}"/>
    <cellStyle name="Normal 7 4 3 2 2 2 4 2" xfId="31981" xr:uid="{00000000-0005-0000-0000-0000165F0000}"/>
    <cellStyle name="Normal 7 4 3 2 2 2 5" xfId="22124" xr:uid="{00000000-0005-0000-0000-0000175F0000}"/>
    <cellStyle name="Normal 7 4 3 2 2 3" xfId="3634" xr:uid="{00000000-0005-0000-0000-0000185F0000}"/>
    <cellStyle name="Normal 7 4 3 2 2 3 2" xfId="8566" xr:uid="{00000000-0005-0000-0000-0000195F0000}"/>
    <cellStyle name="Normal 7 4 3 2 2 3 2 2" xfId="18426" xr:uid="{00000000-0005-0000-0000-00001A5F0000}"/>
    <cellStyle name="Normal 7 4 3 2 2 3 2 2 2" xfId="38141" xr:uid="{00000000-0005-0000-0000-00001B5F0000}"/>
    <cellStyle name="Normal 7 4 3 2 2 3 2 3" xfId="28284" xr:uid="{00000000-0005-0000-0000-00001C5F0000}"/>
    <cellStyle name="Normal 7 4 3 2 2 3 3" xfId="13498" xr:uid="{00000000-0005-0000-0000-00001D5F0000}"/>
    <cellStyle name="Normal 7 4 3 2 2 3 3 2" xfId="33213" xr:uid="{00000000-0005-0000-0000-00001E5F0000}"/>
    <cellStyle name="Normal 7 4 3 2 2 3 4" xfId="23356" xr:uid="{00000000-0005-0000-0000-00001F5F0000}"/>
    <cellStyle name="Normal 7 4 3 2 2 4" xfId="6102" xr:uid="{00000000-0005-0000-0000-0000205F0000}"/>
    <cellStyle name="Normal 7 4 3 2 2 4 2" xfId="15962" xr:uid="{00000000-0005-0000-0000-0000215F0000}"/>
    <cellStyle name="Normal 7 4 3 2 2 4 2 2" xfId="35677" xr:uid="{00000000-0005-0000-0000-0000225F0000}"/>
    <cellStyle name="Normal 7 4 3 2 2 4 3" xfId="25820" xr:uid="{00000000-0005-0000-0000-0000235F0000}"/>
    <cellStyle name="Normal 7 4 3 2 2 5" xfId="11034" xr:uid="{00000000-0005-0000-0000-0000245F0000}"/>
    <cellStyle name="Normal 7 4 3 2 2 5 2" xfId="30749" xr:uid="{00000000-0005-0000-0000-0000255F0000}"/>
    <cellStyle name="Normal 7 4 3 2 2 6" xfId="20892" xr:uid="{00000000-0005-0000-0000-0000265F0000}"/>
    <cellStyle name="Normal 7 4 3 2 3" xfId="1783" xr:uid="{00000000-0005-0000-0000-0000275F0000}"/>
    <cellStyle name="Normal 7 4 3 2 3 2" xfId="4250" xr:uid="{00000000-0005-0000-0000-0000285F0000}"/>
    <cellStyle name="Normal 7 4 3 2 3 2 2" xfId="9182" xr:uid="{00000000-0005-0000-0000-0000295F0000}"/>
    <cellStyle name="Normal 7 4 3 2 3 2 2 2" xfId="19042" xr:uid="{00000000-0005-0000-0000-00002A5F0000}"/>
    <cellStyle name="Normal 7 4 3 2 3 2 2 2 2" xfId="38757" xr:uid="{00000000-0005-0000-0000-00002B5F0000}"/>
    <cellStyle name="Normal 7 4 3 2 3 2 2 3" xfId="28900" xr:uid="{00000000-0005-0000-0000-00002C5F0000}"/>
    <cellStyle name="Normal 7 4 3 2 3 2 3" xfId="14114" xr:uid="{00000000-0005-0000-0000-00002D5F0000}"/>
    <cellStyle name="Normal 7 4 3 2 3 2 3 2" xfId="33829" xr:uid="{00000000-0005-0000-0000-00002E5F0000}"/>
    <cellStyle name="Normal 7 4 3 2 3 2 4" xfId="23972" xr:uid="{00000000-0005-0000-0000-00002F5F0000}"/>
    <cellStyle name="Normal 7 4 3 2 3 3" xfId="6718" xr:uid="{00000000-0005-0000-0000-0000305F0000}"/>
    <cellStyle name="Normal 7 4 3 2 3 3 2" xfId="16578" xr:uid="{00000000-0005-0000-0000-0000315F0000}"/>
    <cellStyle name="Normal 7 4 3 2 3 3 2 2" xfId="36293" xr:uid="{00000000-0005-0000-0000-0000325F0000}"/>
    <cellStyle name="Normal 7 4 3 2 3 3 3" xfId="26436" xr:uid="{00000000-0005-0000-0000-0000335F0000}"/>
    <cellStyle name="Normal 7 4 3 2 3 4" xfId="11650" xr:uid="{00000000-0005-0000-0000-0000345F0000}"/>
    <cellStyle name="Normal 7 4 3 2 3 4 2" xfId="31365" xr:uid="{00000000-0005-0000-0000-0000355F0000}"/>
    <cellStyle name="Normal 7 4 3 2 3 5" xfId="21508" xr:uid="{00000000-0005-0000-0000-0000365F0000}"/>
    <cellStyle name="Normal 7 4 3 2 4" xfId="3018" xr:uid="{00000000-0005-0000-0000-0000375F0000}"/>
    <cellStyle name="Normal 7 4 3 2 4 2" xfId="7950" xr:uid="{00000000-0005-0000-0000-0000385F0000}"/>
    <cellStyle name="Normal 7 4 3 2 4 2 2" xfId="17810" xr:uid="{00000000-0005-0000-0000-0000395F0000}"/>
    <cellStyle name="Normal 7 4 3 2 4 2 2 2" xfId="37525" xr:uid="{00000000-0005-0000-0000-00003A5F0000}"/>
    <cellStyle name="Normal 7 4 3 2 4 2 3" xfId="27668" xr:uid="{00000000-0005-0000-0000-00003B5F0000}"/>
    <cellStyle name="Normal 7 4 3 2 4 3" xfId="12882" xr:uid="{00000000-0005-0000-0000-00003C5F0000}"/>
    <cellStyle name="Normal 7 4 3 2 4 3 2" xfId="32597" xr:uid="{00000000-0005-0000-0000-00003D5F0000}"/>
    <cellStyle name="Normal 7 4 3 2 4 4" xfId="22740" xr:uid="{00000000-0005-0000-0000-00003E5F0000}"/>
    <cellStyle name="Normal 7 4 3 2 5" xfId="5486" xr:uid="{00000000-0005-0000-0000-00003F5F0000}"/>
    <cellStyle name="Normal 7 4 3 2 5 2" xfId="15346" xr:uid="{00000000-0005-0000-0000-0000405F0000}"/>
    <cellStyle name="Normal 7 4 3 2 5 2 2" xfId="35061" xr:uid="{00000000-0005-0000-0000-0000415F0000}"/>
    <cellStyle name="Normal 7 4 3 2 5 3" xfId="25204" xr:uid="{00000000-0005-0000-0000-0000425F0000}"/>
    <cellStyle name="Normal 7 4 3 2 6" xfId="10418" xr:uid="{00000000-0005-0000-0000-0000435F0000}"/>
    <cellStyle name="Normal 7 4 3 2 6 2" xfId="30133" xr:uid="{00000000-0005-0000-0000-0000445F0000}"/>
    <cellStyle name="Normal 7 4 3 2 7" xfId="20276" xr:uid="{00000000-0005-0000-0000-0000455F0000}"/>
    <cellStyle name="Normal 7 4 3 3" xfId="857" xr:uid="{00000000-0005-0000-0000-0000465F0000}"/>
    <cellStyle name="Normal 7 4 3 3 2" xfId="2093" xr:uid="{00000000-0005-0000-0000-0000475F0000}"/>
    <cellStyle name="Normal 7 4 3 3 2 2" xfId="4560" xr:uid="{00000000-0005-0000-0000-0000485F0000}"/>
    <cellStyle name="Normal 7 4 3 3 2 2 2" xfId="9492" xr:uid="{00000000-0005-0000-0000-0000495F0000}"/>
    <cellStyle name="Normal 7 4 3 3 2 2 2 2" xfId="19352" xr:uid="{00000000-0005-0000-0000-00004A5F0000}"/>
    <cellStyle name="Normal 7 4 3 3 2 2 2 2 2" xfId="39067" xr:uid="{00000000-0005-0000-0000-00004B5F0000}"/>
    <cellStyle name="Normal 7 4 3 3 2 2 2 3" xfId="29210" xr:uid="{00000000-0005-0000-0000-00004C5F0000}"/>
    <cellStyle name="Normal 7 4 3 3 2 2 3" xfId="14424" xr:uid="{00000000-0005-0000-0000-00004D5F0000}"/>
    <cellStyle name="Normal 7 4 3 3 2 2 3 2" xfId="34139" xr:uid="{00000000-0005-0000-0000-00004E5F0000}"/>
    <cellStyle name="Normal 7 4 3 3 2 2 4" xfId="24282" xr:uid="{00000000-0005-0000-0000-00004F5F0000}"/>
    <cellStyle name="Normal 7 4 3 3 2 3" xfId="7028" xr:uid="{00000000-0005-0000-0000-0000505F0000}"/>
    <cellStyle name="Normal 7 4 3 3 2 3 2" xfId="16888" xr:uid="{00000000-0005-0000-0000-0000515F0000}"/>
    <cellStyle name="Normal 7 4 3 3 2 3 2 2" xfId="36603" xr:uid="{00000000-0005-0000-0000-0000525F0000}"/>
    <cellStyle name="Normal 7 4 3 3 2 3 3" xfId="26746" xr:uid="{00000000-0005-0000-0000-0000535F0000}"/>
    <cellStyle name="Normal 7 4 3 3 2 4" xfId="11960" xr:uid="{00000000-0005-0000-0000-0000545F0000}"/>
    <cellStyle name="Normal 7 4 3 3 2 4 2" xfId="31675" xr:uid="{00000000-0005-0000-0000-0000555F0000}"/>
    <cellStyle name="Normal 7 4 3 3 2 5" xfId="21818" xr:uid="{00000000-0005-0000-0000-0000565F0000}"/>
    <cellStyle name="Normal 7 4 3 3 3" xfId="3328" xr:uid="{00000000-0005-0000-0000-0000575F0000}"/>
    <cellStyle name="Normal 7 4 3 3 3 2" xfId="8260" xr:uid="{00000000-0005-0000-0000-0000585F0000}"/>
    <cellStyle name="Normal 7 4 3 3 3 2 2" xfId="18120" xr:uid="{00000000-0005-0000-0000-0000595F0000}"/>
    <cellStyle name="Normal 7 4 3 3 3 2 2 2" xfId="37835" xr:uid="{00000000-0005-0000-0000-00005A5F0000}"/>
    <cellStyle name="Normal 7 4 3 3 3 2 3" xfId="27978" xr:uid="{00000000-0005-0000-0000-00005B5F0000}"/>
    <cellStyle name="Normal 7 4 3 3 3 3" xfId="13192" xr:uid="{00000000-0005-0000-0000-00005C5F0000}"/>
    <cellStyle name="Normal 7 4 3 3 3 3 2" xfId="32907" xr:uid="{00000000-0005-0000-0000-00005D5F0000}"/>
    <cellStyle name="Normal 7 4 3 3 3 4" xfId="23050" xr:uid="{00000000-0005-0000-0000-00005E5F0000}"/>
    <cellStyle name="Normal 7 4 3 3 4" xfId="5796" xr:uid="{00000000-0005-0000-0000-00005F5F0000}"/>
    <cellStyle name="Normal 7 4 3 3 4 2" xfId="15656" xr:uid="{00000000-0005-0000-0000-0000605F0000}"/>
    <cellStyle name="Normal 7 4 3 3 4 2 2" xfId="35371" xr:uid="{00000000-0005-0000-0000-0000615F0000}"/>
    <cellStyle name="Normal 7 4 3 3 4 3" xfId="25514" xr:uid="{00000000-0005-0000-0000-0000625F0000}"/>
    <cellStyle name="Normal 7 4 3 3 5" xfId="10728" xr:uid="{00000000-0005-0000-0000-0000635F0000}"/>
    <cellStyle name="Normal 7 4 3 3 5 2" xfId="30443" xr:uid="{00000000-0005-0000-0000-0000645F0000}"/>
    <cellStyle name="Normal 7 4 3 3 6" xfId="20586" xr:uid="{00000000-0005-0000-0000-0000655F0000}"/>
    <cellStyle name="Normal 7 4 3 4" xfId="1477" xr:uid="{00000000-0005-0000-0000-0000665F0000}"/>
    <cellStyle name="Normal 7 4 3 4 2" xfId="3944" xr:uid="{00000000-0005-0000-0000-0000675F0000}"/>
    <cellStyle name="Normal 7 4 3 4 2 2" xfId="8876" xr:uid="{00000000-0005-0000-0000-0000685F0000}"/>
    <cellStyle name="Normal 7 4 3 4 2 2 2" xfId="18736" xr:uid="{00000000-0005-0000-0000-0000695F0000}"/>
    <cellStyle name="Normal 7 4 3 4 2 2 2 2" xfId="38451" xr:uid="{00000000-0005-0000-0000-00006A5F0000}"/>
    <cellStyle name="Normal 7 4 3 4 2 2 3" xfId="28594" xr:uid="{00000000-0005-0000-0000-00006B5F0000}"/>
    <cellStyle name="Normal 7 4 3 4 2 3" xfId="13808" xr:uid="{00000000-0005-0000-0000-00006C5F0000}"/>
    <cellStyle name="Normal 7 4 3 4 2 3 2" xfId="33523" xr:uid="{00000000-0005-0000-0000-00006D5F0000}"/>
    <cellStyle name="Normal 7 4 3 4 2 4" xfId="23666" xr:uid="{00000000-0005-0000-0000-00006E5F0000}"/>
    <cellStyle name="Normal 7 4 3 4 3" xfId="6412" xr:uid="{00000000-0005-0000-0000-00006F5F0000}"/>
    <cellStyle name="Normal 7 4 3 4 3 2" xfId="16272" xr:uid="{00000000-0005-0000-0000-0000705F0000}"/>
    <cellStyle name="Normal 7 4 3 4 3 2 2" xfId="35987" xr:uid="{00000000-0005-0000-0000-0000715F0000}"/>
    <cellStyle name="Normal 7 4 3 4 3 3" xfId="26130" xr:uid="{00000000-0005-0000-0000-0000725F0000}"/>
    <cellStyle name="Normal 7 4 3 4 4" xfId="11344" xr:uid="{00000000-0005-0000-0000-0000735F0000}"/>
    <cellStyle name="Normal 7 4 3 4 4 2" xfId="31059" xr:uid="{00000000-0005-0000-0000-0000745F0000}"/>
    <cellStyle name="Normal 7 4 3 4 5" xfId="21202" xr:uid="{00000000-0005-0000-0000-0000755F0000}"/>
    <cellStyle name="Normal 7 4 3 5" xfId="2712" xr:uid="{00000000-0005-0000-0000-0000765F0000}"/>
    <cellStyle name="Normal 7 4 3 5 2" xfId="7644" xr:uid="{00000000-0005-0000-0000-0000775F0000}"/>
    <cellStyle name="Normal 7 4 3 5 2 2" xfId="17504" xr:uid="{00000000-0005-0000-0000-0000785F0000}"/>
    <cellStyle name="Normal 7 4 3 5 2 2 2" xfId="37219" xr:uid="{00000000-0005-0000-0000-0000795F0000}"/>
    <cellStyle name="Normal 7 4 3 5 2 3" xfId="27362" xr:uid="{00000000-0005-0000-0000-00007A5F0000}"/>
    <cellStyle name="Normal 7 4 3 5 3" xfId="12576" xr:uid="{00000000-0005-0000-0000-00007B5F0000}"/>
    <cellStyle name="Normal 7 4 3 5 3 2" xfId="32291" xr:uid="{00000000-0005-0000-0000-00007C5F0000}"/>
    <cellStyle name="Normal 7 4 3 5 4" xfId="22434" xr:uid="{00000000-0005-0000-0000-00007D5F0000}"/>
    <cellStyle name="Normal 7 4 3 6" xfId="5180" xr:uid="{00000000-0005-0000-0000-00007E5F0000}"/>
    <cellStyle name="Normal 7 4 3 6 2" xfId="15040" xr:uid="{00000000-0005-0000-0000-00007F5F0000}"/>
    <cellStyle name="Normal 7 4 3 6 2 2" xfId="34755" xr:uid="{00000000-0005-0000-0000-0000805F0000}"/>
    <cellStyle name="Normal 7 4 3 6 3" xfId="24898" xr:uid="{00000000-0005-0000-0000-0000815F0000}"/>
    <cellStyle name="Normal 7 4 3 7" xfId="10112" xr:uid="{00000000-0005-0000-0000-0000825F0000}"/>
    <cellStyle name="Normal 7 4 3 7 2" xfId="29827" xr:uid="{00000000-0005-0000-0000-0000835F0000}"/>
    <cellStyle name="Normal 7 4 3 8" xfId="19970" xr:uid="{00000000-0005-0000-0000-0000845F0000}"/>
    <cellStyle name="Normal 7 4 4" xfId="392" xr:uid="{00000000-0005-0000-0000-0000855F0000}"/>
    <cellStyle name="Normal 7 4 4 2" xfId="1012" xr:uid="{00000000-0005-0000-0000-0000865F0000}"/>
    <cellStyle name="Normal 7 4 4 2 2" xfId="2247" xr:uid="{00000000-0005-0000-0000-0000875F0000}"/>
    <cellStyle name="Normal 7 4 4 2 2 2" xfId="4714" xr:uid="{00000000-0005-0000-0000-0000885F0000}"/>
    <cellStyle name="Normal 7 4 4 2 2 2 2" xfId="9646" xr:uid="{00000000-0005-0000-0000-0000895F0000}"/>
    <cellStyle name="Normal 7 4 4 2 2 2 2 2" xfId="19506" xr:uid="{00000000-0005-0000-0000-00008A5F0000}"/>
    <cellStyle name="Normal 7 4 4 2 2 2 2 2 2" xfId="39221" xr:uid="{00000000-0005-0000-0000-00008B5F0000}"/>
    <cellStyle name="Normal 7 4 4 2 2 2 2 3" xfId="29364" xr:uid="{00000000-0005-0000-0000-00008C5F0000}"/>
    <cellStyle name="Normal 7 4 4 2 2 2 3" xfId="14578" xr:uid="{00000000-0005-0000-0000-00008D5F0000}"/>
    <cellStyle name="Normal 7 4 4 2 2 2 3 2" xfId="34293" xr:uid="{00000000-0005-0000-0000-00008E5F0000}"/>
    <cellStyle name="Normal 7 4 4 2 2 2 4" xfId="24436" xr:uid="{00000000-0005-0000-0000-00008F5F0000}"/>
    <cellStyle name="Normal 7 4 4 2 2 3" xfId="7182" xr:uid="{00000000-0005-0000-0000-0000905F0000}"/>
    <cellStyle name="Normal 7 4 4 2 2 3 2" xfId="17042" xr:uid="{00000000-0005-0000-0000-0000915F0000}"/>
    <cellStyle name="Normal 7 4 4 2 2 3 2 2" xfId="36757" xr:uid="{00000000-0005-0000-0000-0000925F0000}"/>
    <cellStyle name="Normal 7 4 4 2 2 3 3" xfId="26900" xr:uid="{00000000-0005-0000-0000-0000935F0000}"/>
    <cellStyle name="Normal 7 4 4 2 2 4" xfId="12114" xr:uid="{00000000-0005-0000-0000-0000945F0000}"/>
    <cellStyle name="Normal 7 4 4 2 2 4 2" xfId="31829" xr:uid="{00000000-0005-0000-0000-0000955F0000}"/>
    <cellStyle name="Normal 7 4 4 2 2 5" xfId="21972" xr:uid="{00000000-0005-0000-0000-0000965F0000}"/>
    <cellStyle name="Normal 7 4 4 2 3" xfId="3482" xr:uid="{00000000-0005-0000-0000-0000975F0000}"/>
    <cellStyle name="Normal 7 4 4 2 3 2" xfId="8414" xr:uid="{00000000-0005-0000-0000-0000985F0000}"/>
    <cellStyle name="Normal 7 4 4 2 3 2 2" xfId="18274" xr:uid="{00000000-0005-0000-0000-0000995F0000}"/>
    <cellStyle name="Normal 7 4 4 2 3 2 2 2" xfId="37989" xr:uid="{00000000-0005-0000-0000-00009A5F0000}"/>
    <cellStyle name="Normal 7 4 4 2 3 2 3" xfId="28132" xr:uid="{00000000-0005-0000-0000-00009B5F0000}"/>
    <cellStyle name="Normal 7 4 4 2 3 3" xfId="13346" xr:uid="{00000000-0005-0000-0000-00009C5F0000}"/>
    <cellStyle name="Normal 7 4 4 2 3 3 2" xfId="33061" xr:uid="{00000000-0005-0000-0000-00009D5F0000}"/>
    <cellStyle name="Normal 7 4 4 2 3 4" xfId="23204" xr:uid="{00000000-0005-0000-0000-00009E5F0000}"/>
    <cellStyle name="Normal 7 4 4 2 4" xfId="5950" xr:uid="{00000000-0005-0000-0000-00009F5F0000}"/>
    <cellStyle name="Normal 7 4 4 2 4 2" xfId="15810" xr:uid="{00000000-0005-0000-0000-0000A05F0000}"/>
    <cellStyle name="Normal 7 4 4 2 4 2 2" xfId="35525" xr:uid="{00000000-0005-0000-0000-0000A15F0000}"/>
    <cellStyle name="Normal 7 4 4 2 4 3" xfId="25668" xr:uid="{00000000-0005-0000-0000-0000A25F0000}"/>
    <cellStyle name="Normal 7 4 4 2 5" xfId="10882" xr:uid="{00000000-0005-0000-0000-0000A35F0000}"/>
    <cellStyle name="Normal 7 4 4 2 5 2" xfId="30597" xr:uid="{00000000-0005-0000-0000-0000A45F0000}"/>
    <cellStyle name="Normal 7 4 4 2 6" xfId="20740" xr:uid="{00000000-0005-0000-0000-0000A55F0000}"/>
    <cellStyle name="Normal 7 4 4 3" xfId="1631" xr:uid="{00000000-0005-0000-0000-0000A65F0000}"/>
    <cellStyle name="Normal 7 4 4 3 2" xfId="4098" xr:uid="{00000000-0005-0000-0000-0000A75F0000}"/>
    <cellStyle name="Normal 7 4 4 3 2 2" xfId="9030" xr:uid="{00000000-0005-0000-0000-0000A85F0000}"/>
    <cellStyle name="Normal 7 4 4 3 2 2 2" xfId="18890" xr:uid="{00000000-0005-0000-0000-0000A95F0000}"/>
    <cellStyle name="Normal 7 4 4 3 2 2 2 2" xfId="38605" xr:uid="{00000000-0005-0000-0000-0000AA5F0000}"/>
    <cellStyle name="Normal 7 4 4 3 2 2 3" xfId="28748" xr:uid="{00000000-0005-0000-0000-0000AB5F0000}"/>
    <cellStyle name="Normal 7 4 4 3 2 3" xfId="13962" xr:uid="{00000000-0005-0000-0000-0000AC5F0000}"/>
    <cellStyle name="Normal 7 4 4 3 2 3 2" xfId="33677" xr:uid="{00000000-0005-0000-0000-0000AD5F0000}"/>
    <cellStyle name="Normal 7 4 4 3 2 4" xfId="23820" xr:uid="{00000000-0005-0000-0000-0000AE5F0000}"/>
    <cellStyle name="Normal 7 4 4 3 3" xfId="6566" xr:uid="{00000000-0005-0000-0000-0000AF5F0000}"/>
    <cellStyle name="Normal 7 4 4 3 3 2" xfId="16426" xr:uid="{00000000-0005-0000-0000-0000B05F0000}"/>
    <cellStyle name="Normal 7 4 4 3 3 2 2" xfId="36141" xr:uid="{00000000-0005-0000-0000-0000B15F0000}"/>
    <cellStyle name="Normal 7 4 4 3 3 3" xfId="26284" xr:uid="{00000000-0005-0000-0000-0000B25F0000}"/>
    <cellStyle name="Normal 7 4 4 3 4" xfId="11498" xr:uid="{00000000-0005-0000-0000-0000B35F0000}"/>
    <cellStyle name="Normal 7 4 4 3 4 2" xfId="31213" xr:uid="{00000000-0005-0000-0000-0000B45F0000}"/>
    <cellStyle name="Normal 7 4 4 3 5" xfId="21356" xr:uid="{00000000-0005-0000-0000-0000B55F0000}"/>
    <cellStyle name="Normal 7 4 4 4" xfId="2866" xr:uid="{00000000-0005-0000-0000-0000B65F0000}"/>
    <cellStyle name="Normal 7 4 4 4 2" xfId="7798" xr:uid="{00000000-0005-0000-0000-0000B75F0000}"/>
    <cellStyle name="Normal 7 4 4 4 2 2" xfId="17658" xr:uid="{00000000-0005-0000-0000-0000B85F0000}"/>
    <cellStyle name="Normal 7 4 4 4 2 2 2" xfId="37373" xr:uid="{00000000-0005-0000-0000-0000B95F0000}"/>
    <cellStyle name="Normal 7 4 4 4 2 3" xfId="27516" xr:uid="{00000000-0005-0000-0000-0000BA5F0000}"/>
    <cellStyle name="Normal 7 4 4 4 3" xfId="12730" xr:uid="{00000000-0005-0000-0000-0000BB5F0000}"/>
    <cellStyle name="Normal 7 4 4 4 3 2" xfId="32445" xr:uid="{00000000-0005-0000-0000-0000BC5F0000}"/>
    <cellStyle name="Normal 7 4 4 4 4" xfId="22588" xr:uid="{00000000-0005-0000-0000-0000BD5F0000}"/>
    <cellStyle name="Normal 7 4 4 5" xfId="5334" xr:uid="{00000000-0005-0000-0000-0000BE5F0000}"/>
    <cellStyle name="Normal 7 4 4 5 2" xfId="15194" xr:uid="{00000000-0005-0000-0000-0000BF5F0000}"/>
    <cellStyle name="Normal 7 4 4 5 2 2" xfId="34909" xr:uid="{00000000-0005-0000-0000-0000C05F0000}"/>
    <cellStyle name="Normal 7 4 4 5 3" xfId="25052" xr:uid="{00000000-0005-0000-0000-0000C15F0000}"/>
    <cellStyle name="Normal 7 4 4 6" xfId="10266" xr:uid="{00000000-0005-0000-0000-0000C25F0000}"/>
    <cellStyle name="Normal 7 4 4 6 2" xfId="29981" xr:uid="{00000000-0005-0000-0000-0000C35F0000}"/>
    <cellStyle name="Normal 7 4 4 7" xfId="20124" xr:uid="{00000000-0005-0000-0000-0000C45F0000}"/>
    <cellStyle name="Normal 7 4 5" xfId="705" xr:uid="{00000000-0005-0000-0000-0000C55F0000}"/>
    <cellStyle name="Normal 7 4 5 2" xfId="1941" xr:uid="{00000000-0005-0000-0000-0000C65F0000}"/>
    <cellStyle name="Normal 7 4 5 2 2" xfId="4408" xr:uid="{00000000-0005-0000-0000-0000C75F0000}"/>
    <cellStyle name="Normal 7 4 5 2 2 2" xfId="9340" xr:uid="{00000000-0005-0000-0000-0000C85F0000}"/>
    <cellStyle name="Normal 7 4 5 2 2 2 2" xfId="19200" xr:uid="{00000000-0005-0000-0000-0000C95F0000}"/>
    <cellStyle name="Normal 7 4 5 2 2 2 2 2" xfId="38915" xr:uid="{00000000-0005-0000-0000-0000CA5F0000}"/>
    <cellStyle name="Normal 7 4 5 2 2 2 3" xfId="29058" xr:uid="{00000000-0005-0000-0000-0000CB5F0000}"/>
    <cellStyle name="Normal 7 4 5 2 2 3" xfId="14272" xr:uid="{00000000-0005-0000-0000-0000CC5F0000}"/>
    <cellStyle name="Normal 7 4 5 2 2 3 2" xfId="33987" xr:uid="{00000000-0005-0000-0000-0000CD5F0000}"/>
    <cellStyle name="Normal 7 4 5 2 2 4" xfId="24130" xr:uid="{00000000-0005-0000-0000-0000CE5F0000}"/>
    <cellStyle name="Normal 7 4 5 2 3" xfId="6876" xr:uid="{00000000-0005-0000-0000-0000CF5F0000}"/>
    <cellStyle name="Normal 7 4 5 2 3 2" xfId="16736" xr:uid="{00000000-0005-0000-0000-0000D05F0000}"/>
    <cellStyle name="Normal 7 4 5 2 3 2 2" xfId="36451" xr:uid="{00000000-0005-0000-0000-0000D15F0000}"/>
    <cellStyle name="Normal 7 4 5 2 3 3" xfId="26594" xr:uid="{00000000-0005-0000-0000-0000D25F0000}"/>
    <cellStyle name="Normal 7 4 5 2 4" xfId="11808" xr:uid="{00000000-0005-0000-0000-0000D35F0000}"/>
    <cellStyle name="Normal 7 4 5 2 4 2" xfId="31523" xr:uid="{00000000-0005-0000-0000-0000D45F0000}"/>
    <cellStyle name="Normal 7 4 5 2 5" xfId="21666" xr:uid="{00000000-0005-0000-0000-0000D55F0000}"/>
    <cellStyle name="Normal 7 4 5 3" xfId="3176" xr:uid="{00000000-0005-0000-0000-0000D65F0000}"/>
    <cellStyle name="Normal 7 4 5 3 2" xfId="8108" xr:uid="{00000000-0005-0000-0000-0000D75F0000}"/>
    <cellStyle name="Normal 7 4 5 3 2 2" xfId="17968" xr:uid="{00000000-0005-0000-0000-0000D85F0000}"/>
    <cellStyle name="Normal 7 4 5 3 2 2 2" xfId="37683" xr:uid="{00000000-0005-0000-0000-0000D95F0000}"/>
    <cellStyle name="Normal 7 4 5 3 2 3" xfId="27826" xr:uid="{00000000-0005-0000-0000-0000DA5F0000}"/>
    <cellStyle name="Normal 7 4 5 3 3" xfId="13040" xr:uid="{00000000-0005-0000-0000-0000DB5F0000}"/>
    <cellStyle name="Normal 7 4 5 3 3 2" xfId="32755" xr:uid="{00000000-0005-0000-0000-0000DC5F0000}"/>
    <cellStyle name="Normal 7 4 5 3 4" xfId="22898" xr:uid="{00000000-0005-0000-0000-0000DD5F0000}"/>
    <cellStyle name="Normal 7 4 5 4" xfId="5644" xr:uid="{00000000-0005-0000-0000-0000DE5F0000}"/>
    <cellStyle name="Normal 7 4 5 4 2" xfId="15504" xr:uid="{00000000-0005-0000-0000-0000DF5F0000}"/>
    <cellStyle name="Normal 7 4 5 4 2 2" xfId="35219" xr:uid="{00000000-0005-0000-0000-0000E05F0000}"/>
    <cellStyle name="Normal 7 4 5 4 3" xfId="25362" xr:uid="{00000000-0005-0000-0000-0000E15F0000}"/>
    <cellStyle name="Normal 7 4 5 5" xfId="10576" xr:uid="{00000000-0005-0000-0000-0000E25F0000}"/>
    <cellStyle name="Normal 7 4 5 5 2" xfId="30291" xr:uid="{00000000-0005-0000-0000-0000E35F0000}"/>
    <cellStyle name="Normal 7 4 5 6" xfId="20434" xr:uid="{00000000-0005-0000-0000-0000E45F0000}"/>
    <cellStyle name="Normal 7 4 6" xfId="1325" xr:uid="{00000000-0005-0000-0000-0000E55F0000}"/>
    <cellStyle name="Normal 7 4 6 2" xfId="3792" xr:uid="{00000000-0005-0000-0000-0000E65F0000}"/>
    <cellStyle name="Normal 7 4 6 2 2" xfId="8724" xr:uid="{00000000-0005-0000-0000-0000E75F0000}"/>
    <cellStyle name="Normal 7 4 6 2 2 2" xfId="18584" xr:uid="{00000000-0005-0000-0000-0000E85F0000}"/>
    <cellStyle name="Normal 7 4 6 2 2 2 2" xfId="38299" xr:uid="{00000000-0005-0000-0000-0000E95F0000}"/>
    <cellStyle name="Normal 7 4 6 2 2 3" xfId="28442" xr:uid="{00000000-0005-0000-0000-0000EA5F0000}"/>
    <cellStyle name="Normal 7 4 6 2 3" xfId="13656" xr:uid="{00000000-0005-0000-0000-0000EB5F0000}"/>
    <cellStyle name="Normal 7 4 6 2 3 2" xfId="33371" xr:uid="{00000000-0005-0000-0000-0000EC5F0000}"/>
    <cellStyle name="Normal 7 4 6 2 4" xfId="23514" xr:uid="{00000000-0005-0000-0000-0000ED5F0000}"/>
    <cellStyle name="Normal 7 4 6 3" xfId="6260" xr:uid="{00000000-0005-0000-0000-0000EE5F0000}"/>
    <cellStyle name="Normal 7 4 6 3 2" xfId="16120" xr:uid="{00000000-0005-0000-0000-0000EF5F0000}"/>
    <cellStyle name="Normal 7 4 6 3 2 2" xfId="35835" xr:uid="{00000000-0005-0000-0000-0000F05F0000}"/>
    <cellStyle name="Normal 7 4 6 3 3" xfId="25978" xr:uid="{00000000-0005-0000-0000-0000F15F0000}"/>
    <cellStyle name="Normal 7 4 6 4" xfId="11192" xr:uid="{00000000-0005-0000-0000-0000F25F0000}"/>
    <cellStyle name="Normal 7 4 6 4 2" xfId="30907" xr:uid="{00000000-0005-0000-0000-0000F35F0000}"/>
    <cellStyle name="Normal 7 4 6 5" xfId="21050" xr:uid="{00000000-0005-0000-0000-0000F45F0000}"/>
    <cellStyle name="Normal 7 4 7" xfId="2560" xr:uid="{00000000-0005-0000-0000-0000F55F0000}"/>
    <cellStyle name="Normal 7 4 7 2" xfId="7492" xr:uid="{00000000-0005-0000-0000-0000F65F0000}"/>
    <cellStyle name="Normal 7 4 7 2 2" xfId="17352" xr:uid="{00000000-0005-0000-0000-0000F75F0000}"/>
    <cellStyle name="Normal 7 4 7 2 2 2" xfId="37067" xr:uid="{00000000-0005-0000-0000-0000F85F0000}"/>
    <cellStyle name="Normal 7 4 7 2 3" xfId="27210" xr:uid="{00000000-0005-0000-0000-0000F95F0000}"/>
    <cellStyle name="Normal 7 4 7 3" xfId="12424" xr:uid="{00000000-0005-0000-0000-0000FA5F0000}"/>
    <cellStyle name="Normal 7 4 7 3 2" xfId="32139" xr:uid="{00000000-0005-0000-0000-0000FB5F0000}"/>
    <cellStyle name="Normal 7 4 7 4" xfId="22282" xr:uid="{00000000-0005-0000-0000-0000FC5F0000}"/>
    <cellStyle name="Normal 7 4 8" xfId="5028" xr:uid="{00000000-0005-0000-0000-0000FD5F0000}"/>
    <cellStyle name="Normal 7 4 8 2" xfId="14888" xr:uid="{00000000-0005-0000-0000-0000FE5F0000}"/>
    <cellStyle name="Normal 7 4 8 2 2" xfId="34603" xr:uid="{00000000-0005-0000-0000-0000FF5F0000}"/>
    <cellStyle name="Normal 7 4 8 3" xfId="24746" xr:uid="{00000000-0005-0000-0000-000000600000}"/>
    <cellStyle name="Normal 7 4 9" xfId="9960" xr:uid="{00000000-0005-0000-0000-000001600000}"/>
    <cellStyle name="Normal 7 4 9 2" xfId="29675" xr:uid="{00000000-0005-0000-0000-000002600000}"/>
    <cellStyle name="Normal 7 5" xfId="111" xr:uid="{00000000-0005-0000-0000-000003600000}"/>
    <cellStyle name="Normal 7 5 2" xfId="268" xr:uid="{00000000-0005-0000-0000-000004600000}"/>
    <cellStyle name="Normal 7 5 2 2" xfId="582" xr:uid="{00000000-0005-0000-0000-000005600000}"/>
    <cellStyle name="Normal 7 5 2 2 2" xfId="1202" xr:uid="{00000000-0005-0000-0000-000006600000}"/>
    <cellStyle name="Normal 7 5 2 2 2 2" xfId="2437" xr:uid="{00000000-0005-0000-0000-000007600000}"/>
    <cellStyle name="Normal 7 5 2 2 2 2 2" xfId="4904" xr:uid="{00000000-0005-0000-0000-000008600000}"/>
    <cellStyle name="Normal 7 5 2 2 2 2 2 2" xfId="9836" xr:uid="{00000000-0005-0000-0000-000009600000}"/>
    <cellStyle name="Normal 7 5 2 2 2 2 2 2 2" xfId="19696" xr:uid="{00000000-0005-0000-0000-00000A600000}"/>
    <cellStyle name="Normal 7 5 2 2 2 2 2 2 2 2" xfId="39411" xr:uid="{00000000-0005-0000-0000-00000B600000}"/>
    <cellStyle name="Normal 7 5 2 2 2 2 2 2 3" xfId="29554" xr:uid="{00000000-0005-0000-0000-00000C600000}"/>
    <cellStyle name="Normal 7 5 2 2 2 2 2 3" xfId="14768" xr:uid="{00000000-0005-0000-0000-00000D600000}"/>
    <cellStyle name="Normal 7 5 2 2 2 2 2 3 2" xfId="34483" xr:uid="{00000000-0005-0000-0000-00000E600000}"/>
    <cellStyle name="Normal 7 5 2 2 2 2 2 4" xfId="24626" xr:uid="{00000000-0005-0000-0000-00000F600000}"/>
    <cellStyle name="Normal 7 5 2 2 2 2 3" xfId="7372" xr:uid="{00000000-0005-0000-0000-000010600000}"/>
    <cellStyle name="Normal 7 5 2 2 2 2 3 2" xfId="17232" xr:uid="{00000000-0005-0000-0000-000011600000}"/>
    <cellStyle name="Normal 7 5 2 2 2 2 3 2 2" xfId="36947" xr:uid="{00000000-0005-0000-0000-000012600000}"/>
    <cellStyle name="Normal 7 5 2 2 2 2 3 3" xfId="27090" xr:uid="{00000000-0005-0000-0000-000013600000}"/>
    <cellStyle name="Normal 7 5 2 2 2 2 4" xfId="12304" xr:uid="{00000000-0005-0000-0000-000014600000}"/>
    <cellStyle name="Normal 7 5 2 2 2 2 4 2" xfId="32019" xr:uid="{00000000-0005-0000-0000-000015600000}"/>
    <cellStyle name="Normal 7 5 2 2 2 2 5" xfId="22162" xr:uid="{00000000-0005-0000-0000-000016600000}"/>
    <cellStyle name="Normal 7 5 2 2 2 3" xfId="3672" xr:uid="{00000000-0005-0000-0000-000017600000}"/>
    <cellStyle name="Normal 7 5 2 2 2 3 2" xfId="8604" xr:uid="{00000000-0005-0000-0000-000018600000}"/>
    <cellStyle name="Normal 7 5 2 2 2 3 2 2" xfId="18464" xr:uid="{00000000-0005-0000-0000-000019600000}"/>
    <cellStyle name="Normal 7 5 2 2 2 3 2 2 2" xfId="38179" xr:uid="{00000000-0005-0000-0000-00001A600000}"/>
    <cellStyle name="Normal 7 5 2 2 2 3 2 3" xfId="28322" xr:uid="{00000000-0005-0000-0000-00001B600000}"/>
    <cellStyle name="Normal 7 5 2 2 2 3 3" xfId="13536" xr:uid="{00000000-0005-0000-0000-00001C600000}"/>
    <cellStyle name="Normal 7 5 2 2 2 3 3 2" xfId="33251" xr:uid="{00000000-0005-0000-0000-00001D600000}"/>
    <cellStyle name="Normal 7 5 2 2 2 3 4" xfId="23394" xr:uid="{00000000-0005-0000-0000-00001E600000}"/>
    <cellStyle name="Normal 7 5 2 2 2 4" xfId="6140" xr:uid="{00000000-0005-0000-0000-00001F600000}"/>
    <cellStyle name="Normal 7 5 2 2 2 4 2" xfId="16000" xr:uid="{00000000-0005-0000-0000-000020600000}"/>
    <cellStyle name="Normal 7 5 2 2 2 4 2 2" xfId="35715" xr:uid="{00000000-0005-0000-0000-000021600000}"/>
    <cellStyle name="Normal 7 5 2 2 2 4 3" xfId="25858" xr:uid="{00000000-0005-0000-0000-000022600000}"/>
    <cellStyle name="Normal 7 5 2 2 2 5" xfId="11072" xr:uid="{00000000-0005-0000-0000-000023600000}"/>
    <cellStyle name="Normal 7 5 2 2 2 5 2" xfId="30787" xr:uid="{00000000-0005-0000-0000-000024600000}"/>
    <cellStyle name="Normal 7 5 2 2 2 6" xfId="20930" xr:uid="{00000000-0005-0000-0000-000025600000}"/>
    <cellStyle name="Normal 7 5 2 2 3" xfId="1821" xr:uid="{00000000-0005-0000-0000-000026600000}"/>
    <cellStyle name="Normal 7 5 2 2 3 2" xfId="4288" xr:uid="{00000000-0005-0000-0000-000027600000}"/>
    <cellStyle name="Normal 7 5 2 2 3 2 2" xfId="9220" xr:uid="{00000000-0005-0000-0000-000028600000}"/>
    <cellStyle name="Normal 7 5 2 2 3 2 2 2" xfId="19080" xr:uid="{00000000-0005-0000-0000-000029600000}"/>
    <cellStyle name="Normal 7 5 2 2 3 2 2 2 2" xfId="38795" xr:uid="{00000000-0005-0000-0000-00002A600000}"/>
    <cellStyle name="Normal 7 5 2 2 3 2 2 3" xfId="28938" xr:uid="{00000000-0005-0000-0000-00002B600000}"/>
    <cellStyle name="Normal 7 5 2 2 3 2 3" xfId="14152" xr:uid="{00000000-0005-0000-0000-00002C600000}"/>
    <cellStyle name="Normal 7 5 2 2 3 2 3 2" xfId="33867" xr:uid="{00000000-0005-0000-0000-00002D600000}"/>
    <cellStyle name="Normal 7 5 2 2 3 2 4" xfId="24010" xr:uid="{00000000-0005-0000-0000-00002E600000}"/>
    <cellStyle name="Normal 7 5 2 2 3 3" xfId="6756" xr:uid="{00000000-0005-0000-0000-00002F600000}"/>
    <cellStyle name="Normal 7 5 2 2 3 3 2" xfId="16616" xr:uid="{00000000-0005-0000-0000-000030600000}"/>
    <cellStyle name="Normal 7 5 2 2 3 3 2 2" xfId="36331" xr:uid="{00000000-0005-0000-0000-000031600000}"/>
    <cellStyle name="Normal 7 5 2 2 3 3 3" xfId="26474" xr:uid="{00000000-0005-0000-0000-000032600000}"/>
    <cellStyle name="Normal 7 5 2 2 3 4" xfId="11688" xr:uid="{00000000-0005-0000-0000-000033600000}"/>
    <cellStyle name="Normal 7 5 2 2 3 4 2" xfId="31403" xr:uid="{00000000-0005-0000-0000-000034600000}"/>
    <cellStyle name="Normal 7 5 2 2 3 5" xfId="21546" xr:uid="{00000000-0005-0000-0000-000035600000}"/>
    <cellStyle name="Normal 7 5 2 2 4" xfId="3056" xr:uid="{00000000-0005-0000-0000-000036600000}"/>
    <cellStyle name="Normal 7 5 2 2 4 2" xfId="7988" xr:uid="{00000000-0005-0000-0000-000037600000}"/>
    <cellStyle name="Normal 7 5 2 2 4 2 2" xfId="17848" xr:uid="{00000000-0005-0000-0000-000038600000}"/>
    <cellStyle name="Normal 7 5 2 2 4 2 2 2" xfId="37563" xr:uid="{00000000-0005-0000-0000-000039600000}"/>
    <cellStyle name="Normal 7 5 2 2 4 2 3" xfId="27706" xr:uid="{00000000-0005-0000-0000-00003A600000}"/>
    <cellStyle name="Normal 7 5 2 2 4 3" xfId="12920" xr:uid="{00000000-0005-0000-0000-00003B600000}"/>
    <cellStyle name="Normal 7 5 2 2 4 3 2" xfId="32635" xr:uid="{00000000-0005-0000-0000-00003C600000}"/>
    <cellStyle name="Normal 7 5 2 2 4 4" xfId="22778" xr:uid="{00000000-0005-0000-0000-00003D600000}"/>
    <cellStyle name="Normal 7 5 2 2 5" xfId="5524" xr:uid="{00000000-0005-0000-0000-00003E600000}"/>
    <cellStyle name="Normal 7 5 2 2 5 2" xfId="15384" xr:uid="{00000000-0005-0000-0000-00003F600000}"/>
    <cellStyle name="Normal 7 5 2 2 5 2 2" xfId="35099" xr:uid="{00000000-0005-0000-0000-000040600000}"/>
    <cellStyle name="Normal 7 5 2 2 5 3" xfId="25242" xr:uid="{00000000-0005-0000-0000-000041600000}"/>
    <cellStyle name="Normal 7 5 2 2 6" xfId="10456" xr:uid="{00000000-0005-0000-0000-000042600000}"/>
    <cellStyle name="Normal 7 5 2 2 6 2" xfId="30171" xr:uid="{00000000-0005-0000-0000-000043600000}"/>
    <cellStyle name="Normal 7 5 2 2 7" xfId="20314" xr:uid="{00000000-0005-0000-0000-000044600000}"/>
    <cellStyle name="Normal 7 5 2 3" xfId="895" xr:uid="{00000000-0005-0000-0000-000045600000}"/>
    <cellStyle name="Normal 7 5 2 3 2" xfId="2131" xr:uid="{00000000-0005-0000-0000-000046600000}"/>
    <cellStyle name="Normal 7 5 2 3 2 2" xfId="4598" xr:uid="{00000000-0005-0000-0000-000047600000}"/>
    <cellStyle name="Normal 7 5 2 3 2 2 2" xfId="9530" xr:uid="{00000000-0005-0000-0000-000048600000}"/>
    <cellStyle name="Normal 7 5 2 3 2 2 2 2" xfId="19390" xr:uid="{00000000-0005-0000-0000-000049600000}"/>
    <cellStyle name="Normal 7 5 2 3 2 2 2 2 2" xfId="39105" xr:uid="{00000000-0005-0000-0000-00004A600000}"/>
    <cellStyle name="Normal 7 5 2 3 2 2 2 3" xfId="29248" xr:uid="{00000000-0005-0000-0000-00004B600000}"/>
    <cellStyle name="Normal 7 5 2 3 2 2 3" xfId="14462" xr:uid="{00000000-0005-0000-0000-00004C600000}"/>
    <cellStyle name="Normal 7 5 2 3 2 2 3 2" xfId="34177" xr:uid="{00000000-0005-0000-0000-00004D600000}"/>
    <cellStyle name="Normal 7 5 2 3 2 2 4" xfId="24320" xr:uid="{00000000-0005-0000-0000-00004E600000}"/>
    <cellStyle name="Normal 7 5 2 3 2 3" xfId="7066" xr:uid="{00000000-0005-0000-0000-00004F600000}"/>
    <cellStyle name="Normal 7 5 2 3 2 3 2" xfId="16926" xr:uid="{00000000-0005-0000-0000-000050600000}"/>
    <cellStyle name="Normal 7 5 2 3 2 3 2 2" xfId="36641" xr:uid="{00000000-0005-0000-0000-000051600000}"/>
    <cellStyle name="Normal 7 5 2 3 2 3 3" xfId="26784" xr:uid="{00000000-0005-0000-0000-000052600000}"/>
    <cellStyle name="Normal 7 5 2 3 2 4" xfId="11998" xr:uid="{00000000-0005-0000-0000-000053600000}"/>
    <cellStyle name="Normal 7 5 2 3 2 4 2" xfId="31713" xr:uid="{00000000-0005-0000-0000-000054600000}"/>
    <cellStyle name="Normal 7 5 2 3 2 5" xfId="21856" xr:uid="{00000000-0005-0000-0000-000055600000}"/>
    <cellStyle name="Normal 7 5 2 3 3" xfId="3366" xr:uid="{00000000-0005-0000-0000-000056600000}"/>
    <cellStyle name="Normal 7 5 2 3 3 2" xfId="8298" xr:uid="{00000000-0005-0000-0000-000057600000}"/>
    <cellStyle name="Normal 7 5 2 3 3 2 2" xfId="18158" xr:uid="{00000000-0005-0000-0000-000058600000}"/>
    <cellStyle name="Normal 7 5 2 3 3 2 2 2" xfId="37873" xr:uid="{00000000-0005-0000-0000-000059600000}"/>
    <cellStyle name="Normal 7 5 2 3 3 2 3" xfId="28016" xr:uid="{00000000-0005-0000-0000-00005A600000}"/>
    <cellStyle name="Normal 7 5 2 3 3 3" xfId="13230" xr:uid="{00000000-0005-0000-0000-00005B600000}"/>
    <cellStyle name="Normal 7 5 2 3 3 3 2" xfId="32945" xr:uid="{00000000-0005-0000-0000-00005C600000}"/>
    <cellStyle name="Normal 7 5 2 3 3 4" xfId="23088" xr:uid="{00000000-0005-0000-0000-00005D600000}"/>
    <cellStyle name="Normal 7 5 2 3 4" xfId="5834" xr:uid="{00000000-0005-0000-0000-00005E600000}"/>
    <cellStyle name="Normal 7 5 2 3 4 2" xfId="15694" xr:uid="{00000000-0005-0000-0000-00005F600000}"/>
    <cellStyle name="Normal 7 5 2 3 4 2 2" xfId="35409" xr:uid="{00000000-0005-0000-0000-000060600000}"/>
    <cellStyle name="Normal 7 5 2 3 4 3" xfId="25552" xr:uid="{00000000-0005-0000-0000-000061600000}"/>
    <cellStyle name="Normal 7 5 2 3 5" xfId="10766" xr:uid="{00000000-0005-0000-0000-000062600000}"/>
    <cellStyle name="Normal 7 5 2 3 5 2" xfId="30481" xr:uid="{00000000-0005-0000-0000-000063600000}"/>
    <cellStyle name="Normal 7 5 2 3 6" xfId="20624" xr:uid="{00000000-0005-0000-0000-000064600000}"/>
    <cellStyle name="Normal 7 5 2 4" xfId="1515" xr:uid="{00000000-0005-0000-0000-000065600000}"/>
    <cellStyle name="Normal 7 5 2 4 2" xfId="3982" xr:uid="{00000000-0005-0000-0000-000066600000}"/>
    <cellStyle name="Normal 7 5 2 4 2 2" xfId="8914" xr:uid="{00000000-0005-0000-0000-000067600000}"/>
    <cellStyle name="Normal 7 5 2 4 2 2 2" xfId="18774" xr:uid="{00000000-0005-0000-0000-000068600000}"/>
    <cellStyle name="Normal 7 5 2 4 2 2 2 2" xfId="38489" xr:uid="{00000000-0005-0000-0000-000069600000}"/>
    <cellStyle name="Normal 7 5 2 4 2 2 3" xfId="28632" xr:uid="{00000000-0005-0000-0000-00006A600000}"/>
    <cellStyle name="Normal 7 5 2 4 2 3" xfId="13846" xr:uid="{00000000-0005-0000-0000-00006B600000}"/>
    <cellStyle name="Normal 7 5 2 4 2 3 2" xfId="33561" xr:uid="{00000000-0005-0000-0000-00006C600000}"/>
    <cellStyle name="Normal 7 5 2 4 2 4" xfId="23704" xr:uid="{00000000-0005-0000-0000-00006D600000}"/>
    <cellStyle name="Normal 7 5 2 4 3" xfId="6450" xr:uid="{00000000-0005-0000-0000-00006E600000}"/>
    <cellStyle name="Normal 7 5 2 4 3 2" xfId="16310" xr:uid="{00000000-0005-0000-0000-00006F600000}"/>
    <cellStyle name="Normal 7 5 2 4 3 2 2" xfId="36025" xr:uid="{00000000-0005-0000-0000-000070600000}"/>
    <cellStyle name="Normal 7 5 2 4 3 3" xfId="26168" xr:uid="{00000000-0005-0000-0000-000071600000}"/>
    <cellStyle name="Normal 7 5 2 4 4" xfId="11382" xr:uid="{00000000-0005-0000-0000-000072600000}"/>
    <cellStyle name="Normal 7 5 2 4 4 2" xfId="31097" xr:uid="{00000000-0005-0000-0000-000073600000}"/>
    <cellStyle name="Normal 7 5 2 4 5" xfId="21240" xr:uid="{00000000-0005-0000-0000-000074600000}"/>
    <cellStyle name="Normal 7 5 2 5" xfId="2750" xr:uid="{00000000-0005-0000-0000-000075600000}"/>
    <cellStyle name="Normal 7 5 2 5 2" xfId="7682" xr:uid="{00000000-0005-0000-0000-000076600000}"/>
    <cellStyle name="Normal 7 5 2 5 2 2" xfId="17542" xr:uid="{00000000-0005-0000-0000-000077600000}"/>
    <cellStyle name="Normal 7 5 2 5 2 2 2" xfId="37257" xr:uid="{00000000-0005-0000-0000-000078600000}"/>
    <cellStyle name="Normal 7 5 2 5 2 3" xfId="27400" xr:uid="{00000000-0005-0000-0000-000079600000}"/>
    <cellStyle name="Normal 7 5 2 5 3" xfId="12614" xr:uid="{00000000-0005-0000-0000-00007A600000}"/>
    <cellStyle name="Normal 7 5 2 5 3 2" xfId="32329" xr:uid="{00000000-0005-0000-0000-00007B600000}"/>
    <cellStyle name="Normal 7 5 2 5 4" xfId="22472" xr:uid="{00000000-0005-0000-0000-00007C600000}"/>
    <cellStyle name="Normal 7 5 2 6" xfId="5218" xr:uid="{00000000-0005-0000-0000-00007D600000}"/>
    <cellStyle name="Normal 7 5 2 6 2" xfId="15078" xr:uid="{00000000-0005-0000-0000-00007E600000}"/>
    <cellStyle name="Normal 7 5 2 6 2 2" xfId="34793" xr:uid="{00000000-0005-0000-0000-00007F600000}"/>
    <cellStyle name="Normal 7 5 2 6 3" xfId="24936" xr:uid="{00000000-0005-0000-0000-000080600000}"/>
    <cellStyle name="Normal 7 5 2 7" xfId="10150" xr:uid="{00000000-0005-0000-0000-000081600000}"/>
    <cellStyle name="Normal 7 5 2 7 2" xfId="29865" xr:uid="{00000000-0005-0000-0000-000082600000}"/>
    <cellStyle name="Normal 7 5 2 8" xfId="20008" xr:uid="{00000000-0005-0000-0000-000083600000}"/>
    <cellStyle name="Normal 7 5 3" xfId="430" xr:uid="{00000000-0005-0000-0000-000084600000}"/>
    <cellStyle name="Normal 7 5 3 2" xfId="1050" xr:uid="{00000000-0005-0000-0000-000085600000}"/>
    <cellStyle name="Normal 7 5 3 2 2" xfId="2285" xr:uid="{00000000-0005-0000-0000-000086600000}"/>
    <cellStyle name="Normal 7 5 3 2 2 2" xfId="4752" xr:uid="{00000000-0005-0000-0000-000087600000}"/>
    <cellStyle name="Normal 7 5 3 2 2 2 2" xfId="9684" xr:uid="{00000000-0005-0000-0000-000088600000}"/>
    <cellStyle name="Normal 7 5 3 2 2 2 2 2" xfId="19544" xr:uid="{00000000-0005-0000-0000-000089600000}"/>
    <cellStyle name="Normal 7 5 3 2 2 2 2 2 2" xfId="39259" xr:uid="{00000000-0005-0000-0000-00008A600000}"/>
    <cellStyle name="Normal 7 5 3 2 2 2 2 3" xfId="29402" xr:uid="{00000000-0005-0000-0000-00008B600000}"/>
    <cellStyle name="Normal 7 5 3 2 2 2 3" xfId="14616" xr:uid="{00000000-0005-0000-0000-00008C600000}"/>
    <cellStyle name="Normal 7 5 3 2 2 2 3 2" xfId="34331" xr:uid="{00000000-0005-0000-0000-00008D600000}"/>
    <cellStyle name="Normal 7 5 3 2 2 2 4" xfId="24474" xr:uid="{00000000-0005-0000-0000-00008E600000}"/>
    <cellStyle name="Normal 7 5 3 2 2 3" xfId="7220" xr:uid="{00000000-0005-0000-0000-00008F600000}"/>
    <cellStyle name="Normal 7 5 3 2 2 3 2" xfId="17080" xr:uid="{00000000-0005-0000-0000-000090600000}"/>
    <cellStyle name="Normal 7 5 3 2 2 3 2 2" xfId="36795" xr:uid="{00000000-0005-0000-0000-000091600000}"/>
    <cellStyle name="Normal 7 5 3 2 2 3 3" xfId="26938" xr:uid="{00000000-0005-0000-0000-000092600000}"/>
    <cellStyle name="Normal 7 5 3 2 2 4" xfId="12152" xr:uid="{00000000-0005-0000-0000-000093600000}"/>
    <cellStyle name="Normal 7 5 3 2 2 4 2" xfId="31867" xr:uid="{00000000-0005-0000-0000-000094600000}"/>
    <cellStyle name="Normal 7 5 3 2 2 5" xfId="22010" xr:uid="{00000000-0005-0000-0000-000095600000}"/>
    <cellStyle name="Normal 7 5 3 2 3" xfId="3520" xr:uid="{00000000-0005-0000-0000-000096600000}"/>
    <cellStyle name="Normal 7 5 3 2 3 2" xfId="8452" xr:uid="{00000000-0005-0000-0000-000097600000}"/>
    <cellStyle name="Normal 7 5 3 2 3 2 2" xfId="18312" xr:uid="{00000000-0005-0000-0000-000098600000}"/>
    <cellStyle name="Normal 7 5 3 2 3 2 2 2" xfId="38027" xr:uid="{00000000-0005-0000-0000-000099600000}"/>
    <cellStyle name="Normal 7 5 3 2 3 2 3" xfId="28170" xr:uid="{00000000-0005-0000-0000-00009A600000}"/>
    <cellStyle name="Normal 7 5 3 2 3 3" xfId="13384" xr:uid="{00000000-0005-0000-0000-00009B600000}"/>
    <cellStyle name="Normal 7 5 3 2 3 3 2" xfId="33099" xr:uid="{00000000-0005-0000-0000-00009C600000}"/>
    <cellStyle name="Normal 7 5 3 2 3 4" xfId="23242" xr:uid="{00000000-0005-0000-0000-00009D600000}"/>
    <cellStyle name="Normal 7 5 3 2 4" xfId="5988" xr:uid="{00000000-0005-0000-0000-00009E600000}"/>
    <cellStyle name="Normal 7 5 3 2 4 2" xfId="15848" xr:uid="{00000000-0005-0000-0000-00009F600000}"/>
    <cellStyle name="Normal 7 5 3 2 4 2 2" xfId="35563" xr:uid="{00000000-0005-0000-0000-0000A0600000}"/>
    <cellStyle name="Normal 7 5 3 2 4 3" xfId="25706" xr:uid="{00000000-0005-0000-0000-0000A1600000}"/>
    <cellStyle name="Normal 7 5 3 2 5" xfId="10920" xr:uid="{00000000-0005-0000-0000-0000A2600000}"/>
    <cellStyle name="Normal 7 5 3 2 5 2" xfId="30635" xr:uid="{00000000-0005-0000-0000-0000A3600000}"/>
    <cellStyle name="Normal 7 5 3 2 6" xfId="20778" xr:uid="{00000000-0005-0000-0000-0000A4600000}"/>
    <cellStyle name="Normal 7 5 3 3" xfId="1669" xr:uid="{00000000-0005-0000-0000-0000A5600000}"/>
    <cellStyle name="Normal 7 5 3 3 2" xfId="4136" xr:uid="{00000000-0005-0000-0000-0000A6600000}"/>
    <cellStyle name="Normal 7 5 3 3 2 2" xfId="9068" xr:uid="{00000000-0005-0000-0000-0000A7600000}"/>
    <cellStyle name="Normal 7 5 3 3 2 2 2" xfId="18928" xr:uid="{00000000-0005-0000-0000-0000A8600000}"/>
    <cellStyle name="Normal 7 5 3 3 2 2 2 2" xfId="38643" xr:uid="{00000000-0005-0000-0000-0000A9600000}"/>
    <cellStyle name="Normal 7 5 3 3 2 2 3" xfId="28786" xr:uid="{00000000-0005-0000-0000-0000AA600000}"/>
    <cellStyle name="Normal 7 5 3 3 2 3" xfId="14000" xr:uid="{00000000-0005-0000-0000-0000AB600000}"/>
    <cellStyle name="Normal 7 5 3 3 2 3 2" xfId="33715" xr:uid="{00000000-0005-0000-0000-0000AC600000}"/>
    <cellStyle name="Normal 7 5 3 3 2 4" xfId="23858" xr:uid="{00000000-0005-0000-0000-0000AD600000}"/>
    <cellStyle name="Normal 7 5 3 3 3" xfId="6604" xr:uid="{00000000-0005-0000-0000-0000AE600000}"/>
    <cellStyle name="Normal 7 5 3 3 3 2" xfId="16464" xr:uid="{00000000-0005-0000-0000-0000AF600000}"/>
    <cellStyle name="Normal 7 5 3 3 3 2 2" xfId="36179" xr:uid="{00000000-0005-0000-0000-0000B0600000}"/>
    <cellStyle name="Normal 7 5 3 3 3 3" xfId="26322" xr:uid="{00000000-0005-0000-0000-0000B1600000}"/>
    <cellStyle name="Normal 7 5 3 3 4" xfId="11536" xr:uid="{00000000-0005-0000-0000-0000B2600000}"/>
    <cellStyle name="Normal 7 5 3 3 4 2" xfId="31251" xr:uid="{00000000-0005-0000-0000-0000B3600000}"/>
    <cellStyle name="Normal 7 5 3 3 5" xfId="21394" xr:uid="{00000000-0005-0000-0000-0000B4600000}"/>
    <cellStyle name="Normal 7 5 3 4" xfId="2904" xr:uid="{00000000-0005-0000-0000-0000B5600000}"/>
    <cellStyle name="Normal 7 5 3 4 2" xfId="7836" xr:uid="{00000000-0005-0000-0000-0000B6600000}"/>
    <cellStyle name="Normal 7 5 3 4 2 2" xfId="17696" xr:uid="{00000000-0005-0000-0000-0000B7600000}"/>
    <cellStyle name="Normal 7 5 3 4 2 2 2" xfId="37411" xr:uid="{00000000-0005-0000-0000-0000B8600000}"/>
    <cellStyle name="Normal 7 5 3 4 2 3" xfId="27554" xr:uid="{00000000-0005-0000-0000-0000B9600000}"/>
    <cellStyle name="Normal 7 5 3 4 3" xfId="12768" xr:uid="{00000000-0005-0000-0000-0000BA600000}"/>
    <cellStyle name="Normal 7 5 3 4 3 2" xfId="32483" xr:uid="{00000000-0005-0000-0000-0000BB600000}"/>
    <cellStyle name="Normal 7 5 3 4 4" xfId="22626" xr:uid="{00000000-0005-0000-0000-0000BC600000}"/>
    <cellStyle name="Normal 7 5 3 5" xfId="5372" xr:uid="{00000000-0005-0000-0000-0000BD600000}"/>
    <cellStyle name="Normal 7 5 3 5 2" xfId="15232" xr:uid="{00000000-0005-0000-0000-0000BE600000}"/>
    <cellStyle name="Normal 7 5 3 5 2 2" xfId="34947" xr:uid="{00000000-0005-0000-0000-0000BF600000}"/>
    <cellStyle name="Normal 7 5 3 5 3" xfId="25090" xr:uid="{00000000-0005-0000-0000-0000C0600000}"/>
    <cellStyle name="Normal 7 5 3 6" xfId="10304" xr:uid="{00000000-0005-0000-0000-0000C1600000}"/>
    <cellStyle name="Normal 7 5 3 6 2" xfId="30019" xr:uid="{00000000-0005-0000-0000-0000C2600000}"/>
    <cellStyle name="Normal 7 5 3 7" xfId="20162" xr:uid="{00000000-0005-0000-0000-0000C3600000}"/>
    <cellStyle name="Normal 7 5 4" xfId="743" xr:uid="{00000000-0005-0000-0000-0000C4600000}"/>
    <cellStyle name="Normal 7 5 4 2" xfId="1979" xr:uid="{00000000-0005-0000-0000-0000C5600000}"/>
    <cellStyle name="Normal 7 5 4 2 2" xfId="4446" xr:uid="{00000000-0005-0000-0000-0000C6600000}"/>
    <cellStyle name="Normal 7 5 4 2 2 2" xfId="9378" xr:uid="{00000000-0005-0000-0000-0000C7600000}"/>
    <cellStyle name="Normal 7 5 4 2 2 2 2" xfId="19238" xr:uid="{00000000-0005-0000-0000-0000C8600000}"/>
    <cellStyle name="Normal 7 5 4 2 2 2 2 2" xfId="38953" xr:uid="{00000000-0005-0000-0000-0000C9600000}"/>
    <cellStyle name="Normal 7 5 4 2 2 2 3" xfId="29096" xr:uid="{00000000-0005-0000-0000-0000CA600000}"/>
    <cellStyle name="Normal 7 5 4 2 2 3" xfId="14310" xr:uid="{00000000-0005-0000-0000-0000CB600000}"/>
    <cellStyle name="Normal 7 5 4 2 2 3 2" xfId="34025" xr:uid="{00000000-0005-0000-0000-0000CC600000}"/>
    <cellStyle name="Normal 7 5 4 2 2 4" xfId="24168" xr:uid="{00000000-0005-0000-0000-0000CD600000}"/>
    <cellStyle name="Normal 7 5 4 2 3" xfId="6914" xr:uid="{00000000-0005-0000-0000-0000CE600000}"/>
    <cellStyle name="Normal 7 5 4 2 3 2" xfId="16774" xr:uid="{00000000-0005-0000-0000-0000CF600000}"/>
    <cellStyle name="Normal 7 5 4 2 3 2 2" xfId="36489" xr:uid="{00000000-0005-0000-0000-0000D0600000}"/>
    <cellStyle name="Normal 7 5 4 2 3 3" xfId="26632" xr:uid="{00000000-0005-0000-0000-0000D1600000}"/>
    <cellStyle name="Normal 7 5 4 2 4" xfId="11846" xr:uid="{00000000-0005-0000-0000-0000D2600000}"/>
    <cellStyle name="Normal 7 5 4 2 4 2" xfId="31561" xr:uid="{00000000-0005-0000-0000-0000D3600000}"/>
    <cellStyle name="Normal 7 5 4 2 5" xfId="21704" xr:uid="{00000000-0005-0000-0000-0000D4600000}"/>
    <cellStyle name="Normal 7 5 4 3" xfId="3214" xr:uid="{00000000-0005-0000-0000-0000D5600000}"/>
    <cellStyle name="Normal 7 5 4 3 2" xfId="8146" xr:uid="{00000000-0005-0000-0000-0000D6600000}"/>
    <cellStyle name="Normal 7 5 4 3 2 2" xfId="18006" xr:uid="{00000000-0005-0000-0000-0000D7600000}"/>
    <cellStyle name="Normal 7 5 4 3 2 2 2" xfId="37721" xr:uid="{00000000-0005-0000-0000-0000D8600000}"/>
    <cellStyle name="Normal 7 5 4 3 2 3" xfId="27864" xr:uid="{00000000-0005-0000-0000-0000D9600000}"/>
    <cellStyle name="Normal 7 5 4 3 3" xfId="13078" xr:uid="{00000000-0005-0000-0000-0000DA600000}"/>
    <cellStyle name="Normal 7 5 4 3 3 2" xfId="32793" xr:uid="{00000000-0005-0000-0000-0000DB600000}"/>
    <cellStyle name="Normal 7 5 4 3 4" xfId="22936" xr:uid="{00000000-0005-0000-0000-0000DC600000}"/>
    <cellStyle name="Normal 7 5 4 4" xfId="5682" xr:uid="{00000000-0005-0000-0000-0000DD600000}"/>
    <cellStyle name="Normal 7 5 4 4 2" xfId="15542" xr:uid="{00000000-0005-0000-0000-0000DE600000}"/>
    <cellStyle name="Normal 7 5 4 4 2 2" xfId="35257" xr:uid="{00000000-0005-0000-0000-0000DF600000}"/>
    <cellStyle name="Normal 7 5 4 4 3" xfId="25400" xr:uid="{00000000-0005-0000-0000-0000E0600000}"/>
    <cellStyle name="Normal 7 5 4 5" xfId="10614" xr:uid="{00000000-0005-0000-0000-0000E1600000}"/>
    <cellStyle name="Normal 7 5 4 5 2" xfId="30329" xr:uid="{00000000-0005-0000-0000-0000E2600000}"/>
    <cellStyle name="Normal 7 5 4 6" xfId="20472" xr:uid="{00000000-0005-0000-0000-0000E3600000}"/>
    <cellStyle name="Normal 7 5 5" xfId="1363" xr:uid="{00000000-0005-0000-0000-0000E4600000}"/>
    <cellStyle name="Normal 7 5 5 2" xfId="3830" xr:uid="{00000000-0005-0000-0000-0000E5600000}"/>
    <cellStyle name="Normal 7 5 5 2 2" xfId="8762" xr:uid="{00000000-0005-0000-0000-0000E6600000}"/>
    <cellStyle name="Normal 7 5 5 2 2 2" xfId="18622" xr:uid="{00000000-0005-0000-0000-0000E7600000}"/>
    <cellStyle name="Normal 7 5 5 2 2 2 2" xfId="38337" xr:uid="{00000000-0005-0000-0000-0000E8600000}"/>
    <cellStyle name="Normal 7 5 5 2 2 3" xfId="28480" xr:uid="{00000000-0005-0000-0000-0000E9600000}"/>
    <cellStyle name="Normal 7 5 5 2 3" xfId="13694" xr:uid="{00000000-0005-0000-0000-0000EA600000}"/>
    <cellStyle name="Normal 7 5 5 2 3 2" xfId="33409" xr:uid="{00000000-0005-0000-0000-0000EB600000}"/>
    <cellStyle name="Normal 7 5 5 2 4" xfId="23552" xr:uid="{00000000-0005-0000-0000-0000EC600000}"/>
    <cellStyle name="Normal 7 5 5 3" xfId="6298" xr:uid="{00000000-0005-0000-0000-0000ED600000}"/>
    <cellStyle name="Normal 7 5 5 3 2" xfId="16158" xr:uid="{00000000-0005-0000-0000-0000EE600000}"/>
    <cellStyle name="Normal 7 5 5 3 2 2" xfId="35873" xr:uid="{00000000-0005-0000-0000-0000EF600000}"/>
    <cellStyle name="Normal 7 5 5 3 3" xfId="26016" xr:uid="{00000000-0005-0000-0000-0000F0600000}"/>
    <cellStyle name="Normal 7 5 5 4" xfId="11230" xr:uid="{00000000-0005-0000-0000-0000F1600000}"/>
    <cellStyle name="Normal 7 5 5 4 2" xfId="30945" xr:uid="{00000000-0005-0000-0000-0000F2600000}"/>
    <cellStyle name="Normal 7 5 5 5" xfId="21088" xr:uid="{00000000-0005-0000-0000-0000F3600000}"/>
    <cellStyle name="Normal 7 5 6" xfId="2598" xr:uid="{00000000-0005-0000-0000-0000F4600000}"/>
    <cellStyle name="Normal 7 5 6 2" xfId="7530" xr:uid="{00000000-0005-0000-0000-0000F5600000}"/>
    <cellStyle name="Normal 7 5 6 2 2" xfId="17390" xr:uid="{00000000-0005-0000-0000-0000F6600000}"/>
    <cellStyle name="Normal 7 5 6 2 2 2" xfId="37105" xr:uid="{00000000-0005-0000-0000-0000F7600000}"/>
    <cellStyle name="Normal 7 5 6 2 3" xfId="27248" xr:uid="{00000000-0005-0000-0000-0000F8600000}"/>
    <cellStyle name="Normal 7 5 6 3" xfId="12462" xr:uid="{00000000-0005-0000-0000-0000F9600000}"/>
    <cellStyle name="Normal 7 5 6 3 2" xfId="32177" xr:uid="{00000000-0005-0000-0000-0000FA600000}"/>
    <cellStyle name="Normal 7 5 6 4" xfId="22320" xr:uid="{00000000-0005-0000-0000-0000FB600000}"/>
    <cellStyle name="Normal 7 5 7" xfId="5066" xr:uid="{00000000-0005-0000-0000-0000FC600000}"/>
    <cellStyle name="Normal 7 5 7 2" xfId="14926" xr:uid="{00000000-0005-0000-0000-0000FD600000}"/>
    <cellStyle name="Normal 7 5 7 2 2" xfId="34641" xr:uid="{00000000-0005-0000-0000-0000FE600000}"/>
    <cellStyle name="Normal 7 5 7 3" xfId="24784" xr:uid="{00000000-0005-0000-0000-0000FF600000}"/>
    <cellStyle name="Normal 7 5 8" xfId="9998" xr:uid="{00000000-0005-0000-0000-000000610000}"/>
    <cellStyle name="Normal 7 5 8 2" xfId="29713" xr:uid="{00000000-0005-0000-0000-000001610000}"/>
    <cellStyle name="Normal 7 5 9" xfId="19856" xr:uid="{00000000-0005-0000-0000-000002610000}"/>
    <cellStyle name="Normal 7 6" xfId="192" xr:uid="{00000000-0005-0000-0000-000003610000}"/>
    <cellStyle name="Normal 7 6 2" xfId="506" xr:uid="{00000000-0005-0000-0000-000004610000}"/>
    <cellStyle name="Normal 7 6 2 2" xfId="1126" xr:uid="{00000000-0005-0000-0000-000005610000}"/>
    <cellStyle name="Normal 7 6 2 2 2" xfId="2361" xr:uid="{00000000-0005-0000-0000-000006610000}"/>
    <cellStyle name="Normal 7 6 2 2 2 2" xfId="4828" xr:uid="{00000000-0005-0000-0000-000007610000}"/>
    <cellStyle name="Normal 7 6 2 2 2 2 2" xfId="9760" xr:uid="{00000000-0005-0000-0000-000008610000}"/>
    <cellStyle name="Normal 7 6 2 2 2 2 2 2" xfId="19620" xr:uid="{00000000-0005-0000-0000-000009610000}"/>
    <cellStyle name="Normal 7 6 2 2 2 2 2 2 2" xfId="39335" xr:uid="{00000000-0005-0000-0000-00000A610000}"/>
    <cellStyle name="Normal 7 6 2 2 2 2 2 3" xfId="29478" xr:uid="{00000000-0005-0000-0000-00000B610000}"/>
    <cellStyle name="Normal 7 6 2 2 2 2 3" xfId="14692" xr:uid="{00000000-0005-0000-0000-00000C610000}"/>
    <cellStyle name="Normal 7 6 2 2 2 2 3 2" xfId="34407" xr:uid="{00000000-0005-0000-0000-00000D610000}"/>
    <cellStyle name="Normal 7 6 2 2 2 2 4" xfId="24550" xr:uid="{00000000-0005-0000-0000-00000E610000}"/>
    <cellStyle name="Normal 7 6 2 2 2 3" xfId="7296" xr:uid="{00000000-0005-0000-0000-00000F610000}"/>
    <cellStyle name="Normal 7 6 2 2 2 3 2" xfId="17156" xr:uid="{00000000-0005-0000-0000-000010610000}"/>
    <cellStyle name="Normal 7 6 2 2 2 3 2 2" xfId="36871" xr:uid="{00000000-0005-0000-0000-000011610000}"/>
    <cellStyle name="Normal 7 6 2 2 2 3 3" xfId="27014" xr:uid="{00000000-0005-0000-0000-000012610000}"/>
    <cellStyle name="Normal 7 6 2 2 2 4" xfId="12228" xr:uid="{00000000-0005-0000-0000-000013610000}"/>
    <cellStyle name="Normal 7 6 2 2 2 4 2" xfId="31943" xr:uid="{00000000-0005-0000-0000-000014610000}"/>
    <cellStyle name="Normal 7 6 2 2 2 5" xfId="22086" xr:uid="{00000000-0005-0000-0000-000015610000}"/>
    <cellStyle name="Normal 7 6 2 2 3" xfId="3596" xr:uid="{00000000-0005-0000-0000-000016610000}"/>
    <cellStyle name="Normal 7 6 2 2 3 2" xfId="8528" xr:uid="{00000000-0005-0000-0000-000017610000}"/>
    <cellStyle name="Normal 7 6 2 2 3 2 2" xfId="18388" xr:uid="{00000000-0005-0000-0000-000018610000}"/>
    <cellStyle name="Normal 7 6 2 2 3 2 2 2" xfId="38103" xr:uid="{00000000-0005-0000-0000-000019610000}"/>
    <cellStyle name="Normal 7 6 2 2 3 2 3" xfId="28246" xr:uid="{00000000-0005-0000-0000-00001A610000}"/>
    <cellStyle name="Normal 7 6 2 2 3 3" xfId="13460" xr:uid="{00000000-0005-0000-0000-00001B610000}"/>
    <cellStyle name="Normal 7 6 2 2 3 3 2" xfId="33175" xr:uid="{00000000-0005-0000-0000-00001C610000}"/>
    <cellStyle name="Normal 7 6 2 2 3 4" xfId="23318" xr:uid="{00000000-0005-0000-0000-00001D610000}"/>
    <cellStyle name="Normal 7 6 2 2 4" xfId="6064" xr:uid="{00000000-0005-0000-0000-00001E610000}"/>
    <cellStyle name="Normal 7 6 2 2 4 2" xfId="15924" xr:uid="{00000000-0005-0000-0000-00001F610000}"/>
    <cellStyle name="Normal 7 6 2 2 4 2 2" xfId="35639" xr:uid="{00000000-0005-0000-0000-000020610000}"/>
    <cellStyle name="Normal 7 6 2 2 4 3" xfId="25782" xr:uid="{00000000-0005-0000-0000-000021610000}"/>
    <cellStyle name="Normal 7 6 2 2 5" xfId="10996" xr:uid="{00000000-0005-0000-0000-000022610000}"/>
    <cellStyle name="Normal 7 6 2 2 5 2" xfId="30711" xr:uid="{00000000-0005-0000-0000-000023610000}"/>
    <cellStyle name="Normal 7 6 2 2 6" xfId="20854" xr:uid="{00000000-0005-0000-0000-000024610000}"/>
    <cellStyle name="Normal 7 6 2 3" xfId="1745" xr:uid="{00000000-0005-0000-0000-000025610000}"/>
    <cellStyle name="Normal 7 6 2 3 2" xfId="4212" xr:uid="{00000000-0005-0000-0000-000026610000}"/>
    <cellStyle name="Normal 7 6 2 3 2 2" xfId="9144" xr:uid="{00000000-0005-0000-0000-000027610000}"/>
    <cellStyle name="Normal 7 6 2 3 2 2 2" xfId="19004" xr:uid="{00000000-0005-0000-0000-000028610000}"/>
    <cellStyle name="Normal 7 6 2 3 2 2 2 2" xfId="38719" xr:uid="{00000000-0005-0000-0000-000029610000}"/>
    <cellStyle name="Normal 7 6 2 3 2 2 3" xfId="28862" xr:uid="{00000000-0005-0000-0000-00002A610000}"/>
    <cellStyle name="Normal 7 6 2 3 2 3" xfId="14076" xr:uid="{00000000-0005-0000-0000-00002B610000}"/>
    <cellStyle name="Normal 7 6 2 3 2 3 2" xfId="33791" xr:uid="{00000000-0005-0000-0000-00002C610000}"/>
    <cellStyle name="Normal 7 6 2 3 2 4" xfId="23934" xr:uid="{00000000-0005-0000-0000-00002D610000}"/>
    <cellStyle name="Normal 7 6 2 3 3" xfId="6680" xr:uid="{00000000-0005-0000-0000-00002E610000}"/>
    <cellStyle name="Normal 7 6 2 3 3 2" xfId="16540" xr:uid="{00000000-0005-0000-0000-00002F610000}"/>
    <cellStyle name="Normal 7 6 2 3 3 2 2" xfId="36255" xr:uid="{00000000-0005-0000-0000-000030610000}"/>
    <cellStyle name="Normal 7 6 2 3 3 3" xfId="26398" xr:uid="{00000000-0005-0000-0000-000031610000}"/>
    <cellStyle name="Normal 7 6 2 3 4" xfId="11612" xr:uid="{00000000-0005-0000-0000-000032610000}"/>
    <cellStyle name="Normal 7 6 2 3 4 2" xfId="31327" xr:uid="{00000000-0005-0000-0000-000033610000}"/>
    <cellStyle name="Normal 7 6 2 3 5" xfId="21470" xr:uid="{00000000-0005-0000-0000-000034610000}"/>
    <cellStyle name="Normal 7 6 2 4" xfId="2980" xr:uid="{00000000-0005-0000-0000-000035610000}"/>
    <cellStyle name="Normal 7 6 2 4 2" xfId="7912" xr:uid="{00000000-0005-0000-0000-000036610000}"/>
    <cellStyle name="Normal 7 6 2 4 2 2" xfId="17772" xr:uid="{00000000-0005-0000-0000-000037610000}"/>
    <cellStyle name="Normal 7 6 2 4 2 2 2" xfId="37487" xr:uid="{00000000-0005-0000-0000-000038610000}"/>
    <cellStyle name="Normal 7 6 2 4 2 3" xfId="27630" xr:uid="{00000000-0005-0000-0000-000039610000}"/>
    <cellStyle name="Normal 7 6 2 4 3" xfId="12844" xr:uid="{00000000-0005-0000-0000-00003A610000}"/>
    <cellStyle name="Normal 7 6 2 4 3 2" xfId="32559" xr:uid="{00000000-0005-0000-0000-00003B610000}"/>
    <cellStyle name="Normal 7 6 2 4 4" xfId="22702" xr:uid="{00000000-0005-0000-0000-00003C610000}"/>
    <cellStyle name="Normal 7 6 2 5" xfId="5448" xr:uid="{00000000-0005-0000-0000-00003D610000}"/>
    <cellStyle name="Normal 7 6 2 5 2" xfId="15308" xr:uid="{00000000-0005-0000-0000-00003E610000}"/>
    <cellStyle name="Normal 7 6 2 5 2 2" xfId="35023" xr:uid="{00000000-0005-0000-0000-00003F610000}"/>
    <cellStyle name="Normal 7 6 2 5 3" xfId="25166" xr:uid="{00000000-0005-0000-0000-000040610000}"/>
    <cellStyle name="Normal 7 6 2 6" xfId="10380" xr:uid="{00000000-0005-0000-0000-000041610000}"/>
    <cellStyle name="Normal 7 6 2 6 2" xfId="30095" xr:uid="{00000000-0005-0000-0000-000042610000}"/>
    <cellStyle name="Normal 7 6 2 7" xfId="20238" xr:uid="{00000000-0005-0000-0000-000043610000}"/>
    <cellStyle name="Normal 7 6 3" xfId="819" xr:uid="{00000000-0005-0000-0000-000044610000}"/>
    <cellStyle name="Normal 7 6 3 2" xfId="2055" xr:uid="{00000000-0005-0000-0000-000045610000}"/>
    <cellStyle name="Normal 7 6 3 2 2" xfId="4522" xr:uid="{00000000-0005-0000-0000-000046610000}"/>
    <cellStyle name="Normal 7 6 3 2 2 2" xfId="9454" xr:uid="{00000000-0005-0000-0000-000047610000}"/>
    <cellStyle name="Normal 7 6 3 2 2 2 2" xfId="19314" xr:uid="{00000000-0005-0000-0000-000048610000}"/>
    <cellStyle name="Normal 7 6 3 2 2 2 2 2" xfId="39029" xr:uid="{00000000-0005-0000-0000-000049610000}"/>
    <cellStyle name="Normal 7 6 3 2 2 2 3" xfId="29172" xr:uid="{00000000-0005-0000-0000-00004A610000}"/>
    <cellStyle name="Normal 7 6 3 2 2 3" xfId="14386" xr:uid="{00000000-0005-0000-0000-00004B610000}"/>
    <cellStyle name="Normal 7 6 3 2 2 3 2" xfId="34101" xr:uid="{00000000-0005-0000-0000-00004C610000}"/>
    <cellStyle name="Normal 7 6 3 2 2 4" xfId="24244" xr:uid="{00000000-0005-0000-0000-00004D610000}"/>
    <cellStyle name="Normal 7 6 3 2 3" xfId="6990" xr:uid="{00000000-0005-0000-0000-00004E610000}"/>
    <cellStyle name="Normal 7 6 3 2 3 2" xfId="16850" xr:uid="{00000000-0005-0000-0000-00004F610000}"/>
    <cellStyle name="Normal 7 6 3 2 3 2 2" xfId="36565" xr:uid="{00000000-0005-0000-0000-000050610000}"/>
    <cellStyle name="Normal 7 6 3 2 3 3" xfId="26708" xr:uid="{00000000-0005-0000-0000-000051610000}"/>
    <cellStyle name="Normal 7 6 3 2 4" xfId="11922" xr:uid="{00000000-0005-0000-0000-000052610000}"/>
    <cellStyle name="Normal 7 6 3 2 4 2" xfId="31637" xr:uid="{00000000-0005-0000-0000-000053610000}"/>
    <cellStyle name="Normal 7 6 3 2 5" xfId="21780" xr:uid="{00000000-0005-0000-0000-000054610000}"/>
    <cellStyle name="Normal 7 6 3 3" xfId="3290" xr:uid="{00000000-0005-0000-0000-000055610000}"/>
    <cellStyle name="Normal 7 6 3 3 2" xfId="8222" xr:uid="{00000000-0005-0000-0000-000056610000}"/>
    <cellStyle name="Normal 7 6 3 3 2 2" xfId="18082" xr:uid="{00000000-0005-0000-0000-000057610000}"/>
    <cellStyle name="Normal 7 6 3 3 2 2 2" xfId="37797" xr:uid="{00000000-0005-0000-0000-000058610000}"/>
    <cellStyle name="Normal 7 6 3 3 2 3" xfId="27940" xr:uid="{00000000-0005-0000-0000-000059610000}"/>
    <cellStyle name="Normal 7 6 3 3 3" xfId="13154" xr:uid="{00000000-0005-0000-0000-00005A610000}"/>
    <cellStyle name="Normal 7 6 3 3 3 2" xfId="32869" xr:uid="{00000000-0005-0000-0000-00005B610000}"/>
    <cellStyle name="Normal 7 6 3 3 4" xfId="23012" xr:uid="{00000000-0005-0000-0000-00005C610000}"/>
    <cellStyle name="Normal 7 6 3 4" xfId="5758" xr:uid="{00000000-0005-0000-0000-00005D610000}"/>
    <cellStyle name="Normal 7 6 3 4 2" xfId="15618" xr:uid="{00000000-0005-0000-0000-00005E610000}"/>
    <cellStyle name="Normal 7 6 3 4 2 2" xfId="35333" xr:uid="{00000000-0005-0000-0000-00005F610000}"/>
    <cellStyle name="Normal 7 6 3 4 3" xfId="25476" xr:uid="{00000000-0005-0000-0000-000060610000}"/>
    <cellStyle name="Normal 7 6 3 5" xfId="10690" xr:uid="{00000000-0005-0000-0000-000061610000}"/>
    <cellStyle name="Normal 7 6 3 5 2" xfId="30405" xr:uid="{00000000-0005-0000-0000-000062610000}"/>
    <cellStyle name="Normal 7 6 3 6" xfId="20548" xr:uid="{00000000-0005-0000-0000-000063610000}"/>
    <cellStyle name="Normal 7 6 4" xfId="1439" xr:uid="{00000000-0005-0000-0000-000064610000}"/>
    <cellStyle name="Normal 7 6 4 2" xfId="3906" xr:uid="{00000000-0005-0000-0000-000065610000}"/>
    <cellStyle name="Normal 7 6 4 2 2" xfId="8838" xr:uid="{00000000-0005-0000-0000-000066610000}"/>
    <cellStyle name="Normal 7 6 4 2 2 2" xfId="18698" xr:uid="{00000000-0005-0000-0000-000067610000}"/>
    <cellStyle name="Normal 7 6 4 2 2 2 2" xfId="38413" xr:uid="{00000000-0005-0000-0000-000068610000}"/>
    <cellStyle name="Normal 7 6 4 2 2 3" xfId="28556" xr:uid="{00000000-0005-0000-0000-000069610000}"/>
    <cellStyle name="Normal 7 6 4 2 3" xfId="13770" xr:uid="{00000000-0005-0000-0000-00006A610000}"/>
    <cellStyle name="Normal 7 6 4 2 3 2" xfId="33485" xr:uid="{00000000-0005-0000-0000-00006B610000}"/>
    <cellStyle name="Normal 7 6 4 2 4" xfId="23628" xr:uid="{00000000-0005-0000-0000-00006C610000}"/>
    <cellStyle name="Normal 7 6 4 3" xfId="6374" xr:uid="{00000000-0005-0000-0000-00006D610000}"/>
    <cellStyle name="Normal 7 6 4 3 2" xfId="16234" xr:uid="{00000000-0005-0000-0000-00006E610000}"/>
    <cellStyle name="Normal 7 6 4 3 2 2" xfId="35949" xr:uid="{00000000-0005-0000-0000-00006F610000}"/>
    <cellStyle name="Normal 7 6 4 3 3" xfId="26092" xr:uid="{00000000-0005-0000-0000-000070610000}"/>
    <cellStyle name="Normal 7 6 4 4" xfId="11306" xr:uid="{00000000-0005-0000-0000-000071610000}"/>
    <cellStyle name="Normal 7 6 4 4 2" xfId="31021" xr:uid="{00000000-0005-0000-0000-000072610000}"/>
    <cellStyle name="Normal 7 6 4 5" xfId="21164" xr:uid="{00000000-0005-0000-0000-000073610000}"/>
    <cellStyle name="Normal 7 6 5" xfId="2674" xr:uid="{00000000-0005-0000-0000-000074610000}"/>
    <cellStyle name="Normal 7 6 5 2" xfId="7606" xr:uid="{00000000-0005-0000-0000-000075610000}"/>
    <cellStyle name="Normal 7 6 5 2 2" xfId="17466" xr:uid="{00000000-0005-0000-0000-000076610000}"/>
    <cellStyle name="Normal 7 6 5 2 2 2" xfId="37181" xr:uid="{00000000-0005-0000-0000-000077610000}"/>
    <cellStyle name="Normal 7 6 5 2 3" xfId="27324" xr:uid="{00000000-0005-0000-0000-000078610000}"/>
    <cellStyle name="Normal 7 6 5 3" xfId="12538" xr:uid="{00000000-0005-0000-0000-000079610000}"/>
    <cellStyle name="Normal 7 6 5 3 2" xfId="32253" xr:uid="{00000000-0005-0000-0000-00007A610000}"/>
    <cellStyle name="Normal 7 6 5 4" xfId="22396" xr:uid="{00000000-0005-0000-0000-00007B610000}"/>
    <cellStyle name="Normal 7 6 6" xfId="5142" xr:uid="{00000000-0005-0000-0000-00007C610000}"/>
    <cellStyle name="Normal 7 6 6 2" xfId="15002" xr:uid="{00000000-0005-0000-0000-00007D610000}"/>
    <cellStyle name="Normal 7 6 6 2 2" xfId="34717" xr:uid="{00000000-0005-0000-0000-00007E610000}"/>
    <cellStyle name="Normal 7 6 6 3" xfId="24860" xr:uid="{00000000-0005-0000-0000-00007F610000}"/>
    <cellStyle name="Normal 7 6 7" xfId="10074" xr:uid="{00000000-0005-0000-0000-000080610000}"/>
    <cellStyle name="Normal 7 6 7 2" xfId="29789" xr:uid="{00000000-0005-0000-0000-000081610000}"/>
    <cellStyle name="Normal 7 6 8" xfId="19932" xr:uid="{00000000-0005-0000-0000-000082610000}"/>
    <cellStyle name="Normal 7 7" xfId="354" xr:uid="{00000000-0005-0000-0000-000083610000}"/>
    <cellStyle name="Normal 7 7 2" xfId="974" xr:uid="{00000000-0005-0000-0000-000084610000}"/>
    <cellStyle name="Normal 7 7 2 2" xfId="2209" xr:uid="{00000000-0005-0000-0000-000085610000}"/>
    <cellStyle name="Normal 7 7 2 2 2" xfId="4676" xr:uid="{00000000-0005-0000-0000-000086610000}"/>
    <cellStyle name="Normal 7 7 2 2 2 2" xfId="9608" xr:uid="{00000000-0005-0000-0000-000087610000}"/>
    <cellStyle name="Normal 7 7 2 2 2 2 2" xfId="19468" xr:uid="{00000000-0005-0000-0000-000088610000}"/>
    <cellStyle name="Normal 7 7 2 2 2 2 2 2" xfId="39183" xr:uid="{00000000-0005-0000-0000-000089610000}"/>
    <cellStyle name="Normal 7 7 2 2 2 2 3" xfId="29326" xr:uid="{00000000-0005-0000-0000-00008A610000}"/>
    <cellStyle name="Normal 7 7 2 2 2 3" xfId="14540" xr:uid="{00000000-0005-0000-0000-00008B610000}"/>
    <cellStyle name="Normal 7 7 2 2 2 3 2" xfId="34255" xr:uid="{00000000-0005-0000-0000-00008C610000}"/>
    <cellStyle name="Normal 7 7 2 2 2 4" xfId="24398" xr:uid="{00000000-0005-0000-0000-00008D610000}"/>
    <cellStyle name="Normal 7 7 2 2 3" xfId="7144" xr:uid="{00000000-0005-0000-0000-00008E610000}"/>
    <cellStyle name="Normal 7 7 2 2 3 2" xfId="17004" xr:uid="{00000000-0005-0000-0000-00008F610000}"/>
    <cellStyle name="Normal 7 7 2 2 3 2 2" xfId="36719" xr:uid="{00000000-0005-0000-0000-000090610000}"/>
    <cellStyle name="Normal 7 7 2 2 3 3" xfId="26862" xr:uid="{00000000-0005-0000-0000-000091610000}"/>
    <cellStyle name="Normal 7 7 2 2 4" xfId="12076" xr:uid="{00000000-0005-0000-0000-000092610000}"/>
    <cellStyle name="Normal 7 7 2 2 4 2" xfId="31791" xr:uid="{00000000-0005-0000-0000-000093610000}"/>
    <cellStyle name="Normal 7 7 2 2 5" xfId="21934" xr:uid="{00000000-0005-0000-0000-000094610000}"/>
    <cellStyle name="Normal 7 7 2 3" xfId="3444" xr:uid="{00000000-0005-0000-0000-000095610000}"/>
    <cellStyle name="Normal 7 7 2 3 2" xfId="8376" xr:uid="{00000000-0005-0000-0000-000096610000}"/>
    <cellStyle name="Normal 7 7 2 3 2 2" xfId="18236" xr:uid="{00000000-0005-0000-0000-000097610000}"/>
    <cellStyle name="Normal 7 7 2 3 2 2 2" xfId="37951" xr:uid="{00000000-0005-0000-0000-000098610000}"/>
    <cellStyle name="Normal 7 7 2 3 2 3" xfId="28094" xr:uid="{00000000-0005-0000-0000-000099610000}"/>
    <cellStyle name="Normal 7 7 2 3 3" xfId="13308" xr:uid="{00000000-0005-0000-0000-00009A610000}"/>
    <cellStyle name="Normal 7 7 2 3 3 2" xfId="33023" xr:uid="{00000000-0005-0000-0000-00009B610000}"/>
    <cellStyle name="Normal 7 7 2 3 4" xfId="23166" xr:uid="{00000000-0005-0000-0000-00009C610000}"/>
    <cellStyle name="Normal 7 7 2 4" xfId="5912" xr:uid="{00000000-0005-0000-0000-00009D610000}"/>
    <cellStyle name="Normal 7 7 2 4 2" xfId="15772" xr:uid="{00000000-0005-0000-0000-00009E610000}"/>
    <cellStyle name="Normal 7 7 2 4 2 2" xfId="35487" xr:uid="{00000000-0005-0000-0000-00009F610000}"/>
    <cellStyle name="Normal 7 7 2 4 3" xfId="25630" xr:uid="{00000000-0005-0000-0000-0000A0610000}"/>
    <cellStyle name="Normal 7 7 2 5" xfId="10844" xr:uid="{00000000-0005-0000-0000-0000A1610000}"/>
    <cellStyle name="Normal 7 7 2 5 2" xfId="30559" xr:uid="{00000000-0005-0000-0000-0000A2610000}"/>
    <cellStyle name="Normal 7 7 2 6" xfId="20702" xr:uid="{00000000-0005-0000-0000-0000A3610000}"/>
    <cellStyle name="Normal 7 7 3" xfId="1593" xr:uid="{00000000-0005-0000-0000-0000A4610000}"/>
    <cellStyle name="Normal 7 7 3 2" xfId="4060" xr:uid="{00000000-0005-0000-0000-0000A5610000}"/>
    <cellStyle name="Normal 7 7 3 2 2" xfId="8992" xr:uid="{00000000-0005-0000-0000-0000A6610000}"/>
    <cellStyle name="Normal 7 7 3 2 2 2" xfId="18852" xr:uid="{00000000-0005-0000-0000-0000A7610000}"/>
    <cellStyle name="Normal 7 7 3 2 2 2 2" xfId="38567" xr:uid="{00000000-0005-0000-0000-0000A8610000}"/>
    <cellStyle name="Normal 7 7 3 2 2 3" xfId="28710" xr:uid="{00000000-0005-0000-0000-0000A9610000}"/>
    <cellStyle name="Normal 7 7 3 2 3" xfId="13924" xr:uid="{00000000-0005-0000-0000-0000AA610000}"/>
    <cellStyle name="Normal 7 7 3 2 3 2" xfId="33639" xr:uid="{00000000-0005-0000-0000-0000AB610000}"/>
    <cellStyle name="Normal 7 7 3 2 4" xfId="23782" xr:uid="{00000000-0005-0000-0000-0000AC610000}"/>
    <cellStyle name="Normal 7 7 3 3" xfId="6528" xr:uid="{00000000-0005-0000-0000-0000AD610000}"/>
    <cellStyle name="Normal 7 7 3 3 2" xfId="16388" xr:uid="{00000000-0005-0000-0000-0000AE610000}"/>
    <cellStyle name="Normal 7 7 3 3 2 2" xfId="36103" xr:uid="{00000000-0005-0000-0000-0000AF610000}"/>
    <cellStyle name="Normal 7 7 3 3 3" xfId="26246" xr:uid="{00000000-0005-0000-0000-0000B0610000}"/>
    <cellStyle name="Normal 7 7 3 4" xfId="11460" xr:uid="{00000000-0005-0000-0000-0000B1610000}"/>
    <cellStyle name="Normal 7 7 3 4 2" xfId="31175" xr:uid="{00000000-0005-0000-0000-0000B2610000}"/>
    <cellStyle name="Normal 7 7 3 5" xfId="21318" xr:uid="{00000000-0005-0000-0000-0000B3610000}"/>
    <cellStyle name="Normal 7 7 4" xfId="2828" xr:uid="{00000000-0005-0000-0000-0000B4610000}"/>
    <cellStyle name="Normal 7 7 4 2" xfId="7760" xr:uid="{00000000-0005-0000-0000-0000B5610000}"/>
    <cellStyle name="Normal 7 7 4 2 2" xfId="17620" xr:uid="{00000000-0005-0000-0000-0000B6610000}"/>
    <cellStyle name="Normal 7 7 4 2 2 2" xfId="37335" xr:uid="{00000000-0005-0000-0000-0000B7610000}"/>
    <cellStyle name="Normal 7 7 4 2 3" xfId="27478" xr:uid="{00000000-0005-0000-0000-0000B8610000}"/>
    <cellStyle name="Normal 7 7 4 3" xfId="12692" xr:uid="{00000000-0005-0000-0000-0000B9610000}"/>
    <cellStyle name="Normal 7 7 4 3 2" xfId="32407" xr:uid="{00000000-0005-0000-0000-0000BA610000}"/>
    <cellStyle name="Normal 7 7 4 4" xfId="22550" xr:uid="{00000000-0005-0000-0000-0000BB610000}"/>
    <cellStyle name="Normal 7 7 5" xfId="5296" xr:uid="{00000000-0005-0000-0000-0000BC610000}"/>
    <cellStyle name="Normal 7 7 5 2" xfId="15156" xr:uid="{00000000-0005-0000-0000-0000BD610000}"/>
    <cellStyle name="Normal 7 7 5 2 2" xfId="34871" xr:uid="{00000000-0005-0000-0000-0000BE610000}"/>
    <cellStyle name="Normal 7 7 5 3" xfId="25014" xr:uid="{00000000-0005-0000-0000-0000BF610000}"/>
    <cellStyle name="Normal 7 7 6" xfId="10228" xr:uid="{00000000-0005-0000-0000-0000C0610000}"/>
    <cellStyle name="Normal 7 7 6 2" xfId="29943" xr:uid="{00000000-0005-0000-0000-0000C1610000}"/>
    <cellStyle name="Normal 7 7 7" xfId="20086" xr:uid="{00000000-0005-0000-0000-0000C2610000}"/>
    <cellStyle name="Normal 7 8" xfId="667" xr:uid="{00000000-0005-0000-0000-0000C3610000}"/>
    <cellStyle name="Normal 7 8 2" xfId="1903" xr:uid="{00000000-0005-0000-0000-0000C4610000}"/>
    <cellStyle name="Normal 7 8 2 2" xfId="4370" xr:uid="{00000000-0005-0000-0000-0000C5610000}"/>
    <cellStyle name="Normal 7 8 2 2 2" xfId="9302" xr:uid="{00000000-0005-0000-0000-0000C6610000}"/>
    <cellStyle name="Normal 7 8 2 2 2 2" xfId="19162" xr:uid="{00000000-0005-0000-0000-0000C7610000}"/>
    <cellStyle name="Normal 7 8 2 2 2 2 2" xfId="38877" xr:uid="{00000000-0005-0000-0000-0000C8610000}"/>
    <cellStyle name="Normal 7 8 2 2 2 3" xfId="29020" xr:uid="{00000000-0005-0000-0000-0000C9610000}"/>
    <cellStyle name="Normal 7 8 2 2 3" xfId="14234" xr:uid="{00000000-0005-0000-0000-0000CA610000}"/>
    <cellStyle name="Normal 7 8 2 2 3 2" xfId="33949" xr:uid="{00000000-0005-0000-0000-0000CB610000}"/>
    <cellStyle name="Normal 7 8 2 2 4" xfId="24092" xr:uid="{00000000-0005-0000-0000-0000CC610000}"/>
    <cellStyle name="Normal 7 8 2 3" xfId="6838" xr:uid="{00000000-0005-0000-0000-0000CD610000}"/>
    <cellStyle name="Normal 7 8 2 3 2" xfId="16698" xr:uid="{00000000-0005-0000-0000-0000CE610000}"/>
    <cellStyle name="Normal 7 8 2 3 2 2" xfId="36413" xr:uid="{00000000-0005-0000-0000-0000CF610000}"/>
    <cellStyle name="Normal 7 8 2 3 3" xfId="26556" xr:uid="{00000000-0005-0000-0000-0000D0610000}"/>
    <cellStyle name="Normal 7 8 2 4" xfId="11770" xr:uid="{00000000-0005-0000-0000-0000D1610000}"/>
    <cellStyle name="Normal 7 8 2 4 2" xfId="31485" xr:uid="{00000000-0005-0000-0000-0000D2610000}"/>
    <cellStyle name="Normal 7 8 2 5" xfId="21628" xr:uid="{00000000-0005-0000-0000-0000D3610000}"/>
    <cellStyle name="Normal 7 8 3" xfId="3138" xr:uid="{00000000-0005-0000-0000-0000D4610000}"/>
    <cellStyle name="Normal 7 8 3 2" xfId="8070" xr:uid="{00000000-0005-0000-0000-0000D5610000}"/>
    <cellStyle name="Normal 7 8 3 2 2" xfId="17930" xr:uid="{00000000-0005-0000-0000-0000D6610000}"/>
    <cellStyle name="Normal 7 8 3 2 2 2" xfId="37645" xr:uid="{00000000-0005-0000-0000-0000D7610000}"/>
    <cellStyle name="Normal 7 8 3 2 3" xfId="27788" xr:uid="{00000000-0005-0000-0000-0000D8610000}"/>
    <cellStyle name="Normal 7 8 3 3" xfId="13002" xr:uid="{00000000-0005-0000-0000-0000D9610000}"/>
    <cellStyle name="Normal 7 8 3 3 2" xfId="32717" xr:uid="{00000000-0005-0000-0000-0000DA610000}"/>
    <cellStyle name="Normal 7 8 3 4" xfId="22860" xr:uid="{00000000-0005-0000-0000-0000DB610000}"/>
    <cellStyle name="Normal 7 8 4" xfId="5606" xr:uid="{00000000-0005-0000-0000-0000DC610000}"/>
    <cellStyle name="Normal 7 8 4 2" xfId="15466" xr:uid="{00000000-0005-0000-0000-0000DD610000}"/>
    <cellStyle name="Normal 7 8 4 2 2" xfId="35181" xr:uid="{00000000-0005-0000-0000-0000DE610000}"/>
    <cellStyle name="Normal 7 8 4 3" xfId="25324" xr:uid="{00000000-0005-0000-0000-0000DF610000}"/>
    <cellStyle name="Normal 7 8 5" xfId="10538" xr:uid="{00000000-0005-0000-0000-0000E0610000}"/>
    <cellStyle name="Normal 7 8 5 2" xfId="30253" xr:uid="{00000000-0005-0000-0000-0000E1610000}"/>
    <cellStyle name="Normal 7 8 6" xfId="20396" xr:uid="{00000000-0005-0000-0000-0000E2610000}"/>
    <cellStyle name="Normal 7 9" xfId="1287" xr:uid="{00000000-0005-0000-0000-0000E3610000}"/>
    <cellStyle name="Normal 7 9 2" xfId="3754" xr:uid="{00000000-0005-0000-0000-0000E4610000}"/>
    <cellStyle name="Normal 7 9 2 2" xfId="8686" xr:uid="{00000000-0005-0000-0000-0000E5610000}"/>
    <cellStyle name="Normal 7 9 2 2 2" xfId="18546" xr:uid="{00000000-0005-0000-0000-0000E6610000}"/>
    <cellStyle name="Normal 7 9 2 2 2 2" xfId="38261" xr:uid="{00000000-0005-0000-0000-0000E7610000}"/>
    <cellStyle name="Normal 7 9 2 2 3" xfId="28404" xr:uid="{00000000-0005-0000-0000-0000E8610000}"/>
    <cellStyle name="Normal 7 9 2 3" xfId="13618" xr:uid="{00000000-0005-0000-0000-0000E9610000}"/>
    <cellStyle name="Normal 7 9 2 3 2" xfId="33333" xr:uid="{00000000-0005-0000-0000-0000EA610000}"/>
    <cellStyle name="Normal 7 9 2 4" xfId="23476" xr:uid="{00000000-0005-0000-0000-0000EB610000}"/>
    <cellStyle name="Normal 7 9 3" xfId="6222" xr:uid="{00000000-0005-0000-0000-0000EC610000}"/>
    <cellStyle name="Normal 7 9 3 2" xfId="16082" xr:uid="{00000000-0005-0000-0000-0000ED610000}"/>
    <cellStyle name="Normal 7 9 3 2 2" xfId="35797" xr:uid="{00000000-0005-0000-0000-0000EE610000}"/>
    <cellStyle name="Normal 7 9 3 3" xfId="25940" xr:uid="{00000000-0005-0000-0000-0000EF610000}"/>
    <cellStyle name="Normal 7 9 4" xfId="11154" xr:uid="{00000000-0005-0000-0000-0000F0610000}"/>
    <cellStyle name="Normal 7 9 4 2" xfId="30869" xr:uid="{00000000-0005-0000-0000-0000F1610000}"/>
    <cellStyle name="Normal 7 9 5" xfId="21012" xr:uid="{00000000-0005-0000-0000-0000F2610000}"/>
    <cellStyle name="Normal 8" xfId="17" xr:uid="{00000000-0005-0000-0000-0000F3610000}"/>
    <cellStyle name="Normal 8 10" xfId="4992" xr:uid="{00000000-0005-0000-0000-0000F4610000}"/>
    <cellStyle name="Normal 8 10 2" xfId="14852" xr:uid="{00000000-0005-0000-0000-0000F5610000}"/>
    <cellStyle name="Normal 8 10 2 2" xfId="34567" xr:uid="{00000000-0005-0000-0000-0000F6610000}"/>
    <cellStyle name="Normal 8 10 3" xfId="24710" xr:uid="{00000000-0005-0000-0000-0000F7610000}"/>
    <cellStyle name="Normal 8 11" xfId="9924" xr:uid="{00000000-0005-0000-0000-0000F8610000}"/>
    <cellStyle name="Normal 8 11 2" xfId="29639" xr:uid="{00000000-0005-0000-0000-0000F9610000}"/>
    <cellStyle name="Normal 8 12" xfId="19782" xr:uid="{00000000-0005-0000-0000-0000FA610000}"/>
    <cellStyle name="Normal 8 2" xfId="46" xr:uid="{00000000-0005-0000-0000-0000FB610000}"/>
    <cellStyle name="Normal 8 2 10" xfId="9943" xr:uid="{00000000-0005-0000-0000-0000FC610000}"/>
    <cellStyle name="Normal 8 2 10 2" xfId="29658" xr:uid="{00000000-0005-0000-0000-0000FD610000}"/>
    <cellStyle name="Normal 8 2 11" xfId="19801" xr:uid="{00000000-0005-0000-0000-0000FE610000}"/>
    <cellStyle name="Normal 8 2 2" xfId="89" xr:uid="{00000000-0005-0000-0000-0000FF610000}"/>
    <cellStyle name="Normal 8 2 2 10" xfId="19839" xr:uid="{00000000-0005-0000-0000-000000620000}"/>
    <cellStyle name="Normal 8 2 2 2" xfId="170" xr:uid="{00000000-0005-0000-0000-000001620000}"/>
    <cellStyle name="Normal 8 2 2 2 2" xfId="327" xr:uid="{00000000-0005-0000-0000-000002620000}"/>
    <cellStyle name="Normal 8 2 2 2 2 2" xfId="641" xr:uid="{00000000-0005-0000-0000-000003620000}"/>
    <cellStyle name="Normal 8 2 2 2 2 2 2" xfId="1261" xr:uid="{00000000-0005-0000-0000-000004620000}"/>
    <cellStyle name="Normal 8 2 2 2 2 2 2 2" xfId="2496" xr:uid="{00000000-0005-0000-0000-000005620000}"/>
    <cellStyle name="Normal 8 2 2 2 2 2 2 2 2" xfId="4963" xr:uid="{00000000-0005-0000-0000-000006620000}"/>
    <cellStyle name="Normal 8 2 2 2 2 2 2 2 2 2" xfId="9895" xr:uid="{00000000-0005-0000-0000-000007620000}"/>
    <cellStyle name="Normal 8 2 2 2 2 2 2 2 2 2 2" xfId="19755" xr:uid="{00000000-0005-0000-0000-000008620000}"/>
    <cellStyle name="Normal 8 2 2 2 2 2 2 2 2 2 2 2" xfId="39470" xr:uid="{00000000-0005-0000-0000-000009620000}"/>
    <cellStyle name="Normal 8 2 2 2 2 2 2 2 2 2 3" xfId="29613" xr:uid="{00000000-0005-0000-0000-00000A620000}"/>
    <cellStyle name="Normal 8 2 2 2 2 2 2 2 2 3" xfId="14827" xr:uid="{00000000-0005-0000-0000-00000B620000}"/>
    <cellStyle name="Normal 8 2 2 2 2 2 2 2 2 3 2" xfId="34542" xr:uid="{00000000-0005-0000-0000-00000C620000}"/>
    <cellStyle name="Normal 8 2 2 2 2 2 2 2 2 4" xfId="24685" xr:uid="{00000000-0005-0000-0000-00000D620000}"/>
    <cellStyle name="Normal 8 2 2 2 2 2 2 2 3" xfId="7431" xr:uid="{00000000-0005-0000-0000-00000E620000}"/>
    <cellStyle name="Normal 8 2 2 2 2 2 2 2 3 2" xfId="17291" xr:uid="{00000000-0005-0000-0000-00000F620000}"/>
    <cellStyle name="Normal 8 2 2 2 2 2 2 2 3 2 2" xfId="37006" xr:uid="{00000000-0005-0000-0000-000010620000}"/>
    <cellStyle name="Normal 8 2 2 2 2 2 2 2 3 3" xfId="27149" xr:uid="{00000000-0005-0000-0000-000011620000}"/>
    <cellStyle name="Normal 8 2 2 2 2 2 2 2 4" xfId="12363" xr:uid="{00000000-0005-0000-0000-000012620000}"/>
    <cellStyle name="Normal 8 2 2 2 2 2 2 2 4 2" xfId="32078" xr:uid="{00000000-0005-0000-0000-000013620000}"/>
    <cellStyle name="Normal 8 2 2 2 2 2 2 2 5" xfId="22221" xr:uid="{00000000-0005-0000-0000-000014620000}"/>
    <cellStyle name="Normal 8 2 2 2 2 2 2 3" xfId="3731" xr:uid="{00000000-0005-0000-0000-000015620000}"/>
    <cellStyle name="Normal 8 2 2 2 2 2 2 3 2" xfId="8663" xr:uid="{00000000-0005-0000-0000-000016620000}"/>
    <cellStyle name="Normal 8 2 2 2 2 2 2 3 2 2" xfId="18523" xr:uid="{00000000-0005-0000-0000-000017620000}"/>
    <cellStyle name="Normal 8 2 2 2 2 2 2 3 2 2 2" xfId="38238" xr:uid="{00000000-0005-0000-0000-000018620000}"/>
    <cellStyle name="Normal 8 2 2 2 2 2 2 3 2 3" xfId="28381" xr:uid="{00000000-0005-0000-0000-000019620000}"/>
    <cellStyle name="Normal 8 2 2 2 2 2 2 3 3" xfId="13595" xr:uid="{00000000-0005-0000-0000-00001A620000}"/>
    <cellStyle name="Normal 8 2 2 2 2 2 2 3 3 2" xfId="33310" xr:uid="{00000000-0005-0000-0000-00001B620000}"/>
    <cellStyle name="Normal 8 2 2 2 2 2 2 3 4" xfId="23453" xr:uid="{00000000-0005-0000-0000-00001C620000}"/>
    <cellStyle name="Normal 8 2 2 2 2 2 2 4" xfId="6199" xr:uid="{00000000-0005-0000-0000-00001D620000}"/>
    <cellStyle name="Normal 8 2 2 2 2 2 2 4 2" xfId="16059" xr:uid="{00000000-0005-0000-0000-00001E620000}"/>
    <cellStyle name="Normal 8 2 2 2 2 2 2 4 2 2" xfId="35774" xr:uid="{00000000-0005-0000-0000-00001F620000}"/>
    <cellStyle name="Normal 8 2 2 2 2 2 2 4 3" xfId="25917" xr:uid="{00000000-0005-0000-0000-000020620000}"/>
    <cellStyle name="Normal 8 2 2 2 2 2 2 5" xfId="11131" xr:uid="{00000000-0005-0000-0000-000021620000}"/>
    <cellStyle name="Normal 8 2 2 2 2 2 2 5 2" xfId="30846" xr:uid="{00000000-0005-0000-0000-000022620000}"/>
    <cellStyle name="Normal 8 2 2 2 2 2 2 6" xfId="20989" xr:uid="{00000000-0005-0000-0000-000023620000}"/>
    <cellStyle name="Normal 8 2 2 2 2 2 3" xfId="1880" xr:uid="{00000000-0005-0000-0000-000024620000}"/>
    <cellStyle name="Normal 8 2 2 2 2 2 3 2" xfId="4347" xr:uid="{00000000-0005-0000-0000-000025620000}"/>
    <cellStyle name="Normal 8 2 2 2 2 2 3 2 2" xfId="9279" xr:uid="{00000000-0005-0000-0000-000026620000}"/>
    <cellStyle name="Normal 8 2 2 2 2 2 3 2 2 2" xfId="19139" xr:uid="{00000000-0005-0000-0000-000027620000}"/>
    <cellStyle name="Normal 8 2 2 2 2 2 3 2 2 2 2" xfId="38854" xr:uid="{00000000-0005-0000-0000-000028620000}"/>
    <cellStyle name="Normal 8 2 2 2 2 2 3 2 2 3" xfId="28997" xr:uid="{00000000-0005-0000-0000-000029620000}"/>
    <cellStyle name="Normal 8 2 2 2 2 2 3 2 3" xfId="14211" xr:uid="{00000000-0005-0000-0000-00002A620000}"/>
    <cellStyle name="Normal 8 2 2 2 2 2 3 2 3 2" xfId="33926" xr:uid="{00000000-0005-0000-0000-00002B620000}"/>
    <cellStyle name="Normal 8 2 2 2 2 2 3 2 4" xfId="24069" xr:uid="{00000000-0005-0000-0000-00002C620000}"/>
    <cellStyle name="Normal 8 2 2 2 2 2 3 3" xfId="6815" xr:uid="{00000000-0005-0000-0000-00002D620000}"/>
    <cellStyle name="Normal 8 2 2 2 2 2 3 3 2" xfId="16675" xr:uid="{00000000-0005-0000-0000-00002E620000}"/>
    <cellStyle name="Normal 8 2 2 2 2 2 3 3 2 2" xfId="36390" xr:uid="{00000000-0005-0000-0000-00002F620000}"/>
    <cellStyle name="Normal 8 2 2 2 2 2 3 3 3" xfId="26533" xr:uid="{00000000-0005-0000-0000-000030620000}"/>
    <cellStyle name="Normal 8 2 2 2 2 2 3 4" xfId="11747" xr:uid="{00000000-0005-0000-0000-000031620000}"/>
    <cellStyle name="Normal 8 2 2 2 2 2 3 4 2" xfId="31462" xr:uid="{00000000-0005-0000-0000-000032620000}"/>
    <cellStyle name="Normal 8 2 2 2 2 2 3 5" xfId="21605" xr:uid="{00000000-0005-0000-0000-000033620000}"/>
    <cellStyle name="Normal 8 2 2 2 2 2 4" xfId="3115" xr:uid="{00000000-0005-0000-0000-000034620000}"/>
    <cellStyle name="Normal 8 2 2 2 2 2 4 2" xfId="8047" xr:uid="{00000000-0005-0000-0000-000035620000}"/>
    <cellStyle name="Normal 8 2 2 2 2 2 4 2 2" xfId="17907" xr:uid="{00000000-0005-0000-0000-000036620000}"/>
    <cellStyle name="Normal 8 2 2 2 2 2 4 2 2 2" xfId="37622" xr:uid="{00000000-0005-0000-0000-000037620000}"/>
    <cellStyle name="Normal 8 2 2 2 2 2 4 2 3" xfId="27765" xr:uid="{00000000-0005-0000-0000-000038620000}"/>
    <cellStyle name="Normal 8 2 2 2 2 2 4 3" xfId="12979" xr:uid="{00000000-0005-0000-0000-000039620000}"/>
    <cellStyle name="Normal 8 2 2 2 2 2 4 3 2" xfId="32694" xr:uid="{00000000-0005-0000-0000-00003A620000}"/>
    <cellStyle name="Normal 8 2 2 2 2 2 4 4" xfId="22837" xr:uid="{00000000-0005-0000-0000-00003B620000}"/>
    <cellStyle name="Normal 8 2 2 2 2 2 5" xfId="5583" xr:uid="{00000000-0005-0000-0000-00003C620000}"/>
    <cellStyle name="Normal 8 2 2 2 2 2 5 2" xfId="15443" xr:uid="{00000000-0005-0000-0000-00003D620000}"/>
    <cellStyle name="Normal 8 2 2 2 2 2 5 2 2" xfId="35158" xr:uid="{00000000-0005-0000-0000-00003E620000}"/>
    <cellStyle name="Normal 8 2 2 2 2 2 5 3" xfId="25301" xr:uid="{00000000-0005-0000-0000-00003F620000}"/>
    <cellStyle name="Normal 8 2 2 2 2 2 6" xfId="10515" xr:uid="{00000000-0005-0000-0000-000040620000}"/>
    <cellStyle name="Normal 8 2 2 2 2 2 6 2" xfId="30230" xr:uid="{00000000-0005-0000-0000-000041620000}"/>
    <cellStyle name="Normal 8 2 2 2 2 2 7" xfId="20373" xr:uid="{00000000-0005-0000-0000-000042620000}"/>
    <cellStyle name="Normal 8 2 2 2 2 3" xfId="954" xr:uid="{00000000-0005-0000-0000-000043620000}"/>
    <cellStyle name="Normal 8 2 2 2 2 3 2" xfId="2190" xr:uid="{00000000-0005-0000-0000-000044620000}"/>
    <cellStyle name="Normal 8 2 2 2 2 3 2 2" xfId="4657" xr:uid="{00000000-0005-0000-0000-000045620000}"/>
    <cellStyle name="Normal 8 2 2 2 2 3 2 2 2" xfId="9589" xr:uid="{00000000-0005-0000-0000-000046620000}"/>
    <cellStyle name="Normal 8 2 2 2 2 3 2 2 2 2" xfId="19449" xr:uid="{00000000-0005-0000-0000-000047620000}"/>
    <cellStyle name="Normal 8 2 2 2 2 3 2 2 2 2 2" xfId="39164" xr:uid="{00000000-0005-0000-0000-000048620000}"/>
    <cellStyle name="Normal 8 2 2 2 2 3 2 2 2 3" xfId="29307" xr:uid="{00000000-0005-0000-0000-000049620000}"/>
    <cellStyle name="Normal 8 2 2 2 2 3 2 2 3" xfId="14521" xr:uid="{00000000-0005-0000-0000-00004A620000}"/>
    <cellStyle name="Normal 8 2 2 2 2 3 2 2 3 2" xfId="34236" xr:uid="{00000000-0005-0000-0000-00004B620000}"/>
    <cellStyle name="Normal 8 2 2 2 2 3 2 2 4" xfId="24379" xr:uid="{00000000-0005-0000-0000-00004C620000}"/>
    <cellStyle name="Normal 8 2 2 2 2 3 2 3" xfId="7125" xr:uid="{00000000-0005-0000-0000-00004D620000}"/>
    <cellStyle name="Normal 8 2 2 2 2 3 2 3 2" xfId="16985" xr:uid="{00000000-0005-0000-0000-00004E620000}"/>
    <cellStyle name="Normal 8 2 2 2 2 3 2 3 2 2" xfId="36700" xr:uid="{00000000-0005-0000-0000-00004F620000}"/>
    <cellStyle name="Normal 8 2 2 2 2 3 2 3 3" xfId="26843" xr:uid="{00000000-0005-0000-0000-000050620000}"/>
    <cellStyle name="Normal 8 2 2 2 2 3 2 4" xfId="12057" xr:uid="{00000000-0005-0000-0000-000051620000}"/>
    <cellStyle name="Normal 8 2 2 2 2 3 2 4 2" xfId="31772" xr:uid="{00000000-0005-0000-0000-000052620000}"/>
    <cellStyle name="Normal 8 2 2 2 2 3 2 5" xfId="21915" xr:uid="{00000000-0005-0000-0000-000053620000}"/>
    <cellStyle name="Normal 8 2 2 2 2 3 3" xfId="3425" xr:uid="{00000000-0005-0000-0000-000054620000}"/>
    <cellStyle name="Normal 8 2 2 2 2 3 3 2" xfId="8357" xr:uid="{00000000-0005-0000-0000-000055620000}"/>
    <cellStyle name="Normal 8 2 2 2 2 3 3 2 2" xfId="18217" xr:uid="{00000000-0005-0000-0000-000056620000}"/>
    <cellStyle name="Normal 8 2 2 2 2 3 3 2 2 2" xfId="37932" xr:uid="{00000000-0005-0000-0000-000057620000}"/>
    <cellStyle name="Normal 8 2 2 2 2 3 3 2 3" xfId="28075" xr:uid="{00000000-0005-0000-0000-000058620000}"/>
    <cellStyle name="Normal 8 2 2 2 2 3 3 3" xfId="13289" xr:uid="{00000000-0005-0000-0000-000059620000}"/>
    <cellStyle name="Normal 8 2 2 2 2 3 3 3 2" xfId="33004" xr:uid="{00000000-0005-0000-0000-00005A620000}"/>
    <cellStyle name="Normal 8 2 2 2 2 3 3 4" xfId="23147" xr:uid="{00000000-0005-0000-0000-00005B620000}"/>
    <cellStyle name="Normal 8 2 2 2 2 3 4" xfId="5893" xr:uid="{00000000-0005-0000-0000-00005C620000}"/>
    <cellStyle name="Normal 8 2 2 2 2 3 4 2" xfId="15753" xr:uid="{00000000-0005-0000-0000-00005D620000}"/>
    <cellStyle name="Normal 8 2 2 2 2 3 4 2 2" xfId="35468" xr:uid="{00000000-0005-0000-0000-00005E620000}"/>
    <cellStyle name="Normal 8 2 2 2 2 3 4 3" xfId="25611" xr:uid="{00000000-0005-0000-0000-00005F620000}"/>
    <cellStyle name="Normal 8 2 2 2 2 3 5" xfId="10825" xr:uid="{00000000-0005-0000-0000-000060620000}"/>
    <cellStyle name="Normal 8 2 2 2 2 3 5 2" xfId="30540" xr:uid="{00000000-0005-0000-0000-000061620000}"/>
    <cellStyle name="Normal 8 2 2 2 2 3 6" xfId="20683" xr:uid="{00000000-0005-0000-0000-000062620000}"/>
    <cellStyle name="Normal 8 2 2 2 2 4" xfId="1574" xr:uid="{00000000-0005-0000-0000-000063620000}"/>
    <cellStyle name="Normal 8 2 2 2 2 4 2" xfId="4041" xr:uid="{00000000-0005-0000-0000-000064620000}"/>
    <cellStyle name="Normal 8 2 2 2 2 4 2 2" xfId="8973" xr:uid="{00000000-0005-0000-0000-000065620000}"/>
    <cellStyle name="Normal 8 2 2 2 2 4 2 2 2" xfId="18833" xr:uid="{00000000-0005-0000-0000-000066620000}"/>
    <cellStyle name="Normal 8 2 2 2 2 4 2 2 2 2" xfId="38548" xr:uid="{00000000-0005-0000-0000-000067620000}"/>
    <cellStyle name="Normal 8 2 2 2 2 4 2 2 3" xfId="28691" xr:uid="{00000000-0005-0000-0000-000068620000}"/>
    <cellStyle name="Normal 8 2 2 2 2 4 2 3" xfId="13905" xr:uid="{00000000-0005-0000-0000-000069620000}"/>
    <cellStyle name="Normal 8 2 2 2 2 4 2 3 2" xfId="33620" xr:uid="{00000000-0005-0000-0000-00006A620000}"/>
    <cellStyle name="Normal 8 2 2 2 2 4 2 4" xfId="23763" xr:uid="{00000000-0005-0000-0000-00006B620000}"/>
    <cellStyle name="Normal 8 2 2 2 2 4 3" xfId="6509" xr:uid="{00000000-0005-0000-0000-00006C620000}"/>
    <cellStyle name="Normal 8 2 2 2 2 4 3 2" xfId="16369" xr:uid="{00000000-0005-0000-0000-00006D620000}"/>
    <cellStyle name="Normal 8 2 2 2 2 4 3 2 2" xfId="36084" xr:uid="{00000000-0005-0000-0000-00006E620000}"/>
    <cellStyle name="Normal 8 2 2 2 2 4 3 3" xfId="26227" xr:uid="{00000000-0005-0000-0000-00006F620000}"/>
    <cellStyle name="Normal 8 2 2 2 2 4 4" xfId="11441" xr:uid="{00000000-0005-0000-0000-000070620000}"/>
    <cellStyle name="Normal 8 2 2 2 2 4 4 2" xfId="31156" xr:uid="{00000000-0005-0000-0000-000071620000}"/>
    <cellStyle name="Normal 8 2 2 2 2 4 5" xfId="21299" xr:uid="{00000000-0005-0000-0000-000072620000}"/>
    <cellStyle name="Normal 8 2 2 2 2 5" xfId="2809" xr:uid="{00000000-0005-0000-0000-000073620000}"/>
    <cellStyle name="Normal 8 2 2 2 2 5 2" xfId="7741" xr:uid="{00000000-0005-0000-0000-000074620000}"/>
    <cellStyle name="Normal 8 2 2 2 2 5 2 2" xfId="17601" xr:uid="{00000000-0005-0000-0000-000075620000}"/>
    <cellStyle name="Normal 8 2 2 2 2 5 2 2 2" xfId="37316" xr:uid="{00000000-0005-0000-0000-000076620000}"/>
    <cellStyle name="Normal 8 2 2 2 2 5 2 3" xfId="27459" xr:uid="{00000000-0005-0000-0000-000077620000}"/>
    <cellStyle name="Normal 8 2 2 2 2 5 3" xfId="12673" xr:uid="{00000000-0005-0000-0000-000078620000}"/>
    <cellStyle name="Normal 8 2 2 2 2 5 3 2" xfId="32388" xr:uid="{00000000-0005-0000-0000-000079620000}"/>
    <cellStyle name="Normal 8 2 2 2 2 5 4" xfId="22531" xr:uid="{00000000-0005-0000-0000-00007A620000}"/>
    <cellStyle name="Normal 8 2 2 2 2 6" xfId="5277" xr:uid="{00000000-0005-0000-0000-00007B620000}"/>
    <cellStyle name="Normal 8 2 2 2 2 6 2" xfId="15137" xr:uid="{00000000-0005-0000-0000-00007C620000}"/>
    <cellStyle name="Normal 8 2 2 2 2 6 2 2" xfId="34852" xr:uid="{00000000-0005-0000-0000-00007D620000}"/>
    <cellStyle name="Normal 8 2 2 2 2 6 3" xfId="24995" xr:uid="{00000000-0005-0000-0000-00007E620000}"/>
    <cellStyle name="Normal 8 2 2 2 2 7" xfId="10209" xr:uid="{00000000-0005-0000-0000-00007F620000}"/>
    <cellStyle name="Normal 8 2 2 2 2 7 2" xfId="29924" xr:uid="{00000000-0005-0000-0000-000080620000}"/>
    <cellStyle name="Normal 8 2 2 2 2 8" xfId="20067" xr:uid="{00000000-0005-0000-0000-000081620000}"/>
    <cellStyle name="Normal 8 2 2 2 3" xfId="489" xr:uid="{00000000-0005-0000-0000-000082620000}"/>
    <cellStyle name="Normal 8 2 2 2 3 2" xfId="1109" xr:uid="{00000000-0005-0000-0000-000083620000}"/>
    <cellStyle name="Normal 8 2 2 2 3 2 2" xfId="2344" xr:uid="{00000000-0005-0000-0000-000084620000}"/>
    <cellStyle name="Normal 8 2 2 2 3 2 2 2" xfId="4811" xr:uid="{00000000-0005-0000-0000-000085620000}"/>
    <cellStyle name="Normal 8 2 2 2 3 2 2 2 2" xfId="9743" xr:uid="{00000000-0005-0000-0000-000086620000}"/>
    <cellStyle name="Normal 8 2 2 2 3 2 2 2 2 2" xfId="19603" xr:uid="{00000000-0005-0000-0000-000087620000}"/>
    <cellStyle name="Normal 8 2 2 2 3 2 2 2 2 2 2" xfId="39318" xr:uid="{00000000-0005-0000-0000-000088620000}"/>
    <cellStyle name="Normal 8 2 2 2 3 2 2 2 2 3" xfId="29461" xr:uid="{00000000-0005-0000-0000-000089620000}"/>
    <cellStyle name="Normal 8 2 2 2 3 2 2 2 3" xfId="14675" xr:uid="{00000000-0005-0000-0000-00008A620000}"/>
    <cellStyle name="Normal 8 2 2 2 3 2 2 2 3 2" xfId="34390" xr:uid="{00000000-0005-0000-0000-00008B620000}"/>
    <cellStyle name="Normal 8 2 2 2 3 2 2 2 4" xfId="24533" xr:uid="{00000000-0005-0000-0000-00008C620000}"/>
    <cellStyle name="Normal 8 2 2 2 3 2 2 3" xfId="7279" xr:uid="{00000000-0005-0000-0000-00008D620000}"/>
    <cellStyle name="Normal 8 2 2 2 3 2 2 3 2" xfId="17139" xr:uid="{00000000-0005-0000-0000-00008E620000}"/>
    <cellStyle name="Normal 8 2 2 2 3 2 2 3 2 2" xfId="36854" xr:uid="{00000000-0005-0000-0000-00008F620000}"/>
    <cellStyle name="Normal 8 2 2 2 3 2 2 3 3" xfId="26997" xr:uid="{00000000-0005-0000-0000-000090620000}"/>
    <cellStyle name="Normal 8 2 2 2 3 2 2 4" xfId="12211" xr:uid="{00000000-0005-0000-0000-000091620000}"/>
    <cellStyle name="Normal 8 2 2 2 3 2 2 4 2" xfId="31926" xr:uid="{00000000-0005-0000-0000-000092620000}"/>
    <cellStyle name="Normal 8 2 2 2 3 2 2 5" xfId="22069" xr:uid="{00000000-0005-0000-0000-000093620000}"/>
    <cellStyle name="Normal 8 2 2 2 3 2 3" xfId="3579" xr:uid="{00000000-0005-0000-0000-000094620000}"/>
    <cellStyle name="Normal 8 2 2 2 3 2 3 2" xfId="8511" xr:uid="{00000000-0005-0000-0000-000095620000}"/>
    <cellStyle name="Normal 8 2 2 2 3 2 3 2 2" xfId="18371" xr:uid="{00000000-0005-0000-0000-000096620000}"/>
    <cellStyle name="Normal 8 2 2 2 3 2 3 2 2 2" xfId="38086" xr:uid="{00000000-0005-0000-0000-000097620000}"/>
    <cellStyle name="Normal 8 2 2 2 3 2 3 2 3" xfId="28229" xr:uid="{00000000-0005-0000-0000-000098620000}"/>
    <cellStyle name="Normal 8 2 2 2 3 2 3 3" xfId="13443" xr:uid="{00000000-0005-0000-0000-000099620000}"/>
    <cellStyle name="Normal 8 2 2 2 3 2 3 3 2" xfId="33158" xr:uid="{00000000-0005-0000-0000-00009A620000}"/>
    <cellStyle name="Normal 8 2 2 2 3 2 3 4" xfId="23301" xr:uid="{00000000-0005-0000-0000-00009B620000}"/>
    <cellStyle name="Normal 8 2 2 2 3 2 4" xfId="6047" xr:uid="{00000000-0005-0000-0000-00009C620000}"/>
    <cellStyle name="Normal 8 2 2 2 3 2 4 2" xfId="15907" xr:uid="{00000000-0005-0000-0000-00009D620000}"/>
    <cellStyle name="Normal 8 2 2 2 3 2 4 2 2" xfId="35622" xr:uid="{00000000-0005-0000-0000-00009E620000}"/>
    <cellStyle name="Normal 8 2 2 2 3 2 4 3" xfId="25765" xr:uid="{00000000-0005-0000-0000-00009F620000}"/>
    <cellStyle name="Normal 8 2 2 2 3 2 5" xfId="10979" xr:uid="{00000000-0005-0000-0000-0000A0620000}"/>
    <cellStyle name="Normal 8 2 2 2 3 2 5 2" xfId="30694" xr:uid="{00000000-0005-0000-0000-0000A1620000}"/>
    <cellStyle name="Normal 8 2 2 2 3 2 6" xfId="20837" xr:uid="{00000000-0005-0000-0000-0000A2620000}"/>
    <cellStyle name="Normal 8 2 2 2 3 3" xfId="1728" xr:uid="{00000000-0005-0000-0000-0000A3620000}"/>
    <cellStyle name="Normal 8 2 2 2 3 3 2" xfId="4195" xr:uid="{00000000-0005-0000-0000-0000A4620000}"/>
    <cellStyle name="Normal 8 2 2 2 3 3 2 2" xfId="9127" xr:uid="{00000000-0005-0000-0000-0000A5620000}"/>
    <cellStyle name="Normal 8 2 2 2 3 3 2 2 2" xfId="18987" xr:uid="{00000000-0005-0000-0000-0000A6620000}"/>
    <cellStyle name="Normal 8 2 2 2 3 3 2 2 2 2" xfId="38702" xr:uid="{00000000-0005-0000-0000-0000A7620000}"/>
    <cellStyle name="Normal 8 2 2 2 3 3 2 2 3" xfId="28845" xr:uid="{00000000-0005-0000-0000-0000A8620000}"/>
    <cellStyle name="Normal 8 2 2 2 3 3 2 3" xfId="14059" xr:uid="{00000000-0005-0000-0000-0000A9620000}"/>
    <cellStyle name="Normal 8 2 2 2 3 3 2 3 2" xfId="33774" xr:uid="{00000000-0005-0000-0000-0000AA620000}"/>
    <cellStyle name="Normal 8 2 2 2 3 3 2 4" xfId="23917" xr:uid="{00000000-0005-0000-0000-0000AB620000}"/>
    <cellStyle name="Normal 8 2 2 2 3 3 3" xfId="6663" xr:uid="{00000000-0005-0000-0000-0000AC620000}"/>
    <cellStyle name="Normal 8 2 2 2 3 3 3 2" xfId="16523" xr:uid="{00000000-0005-0000-0000-0000AD620000}"/>
    <cellStyle name="Normal 8 2 2 2 3 3 3 2 2" xfId="36238" xr:uid="{00000000-0005-0000-0000-0000AE620000}"/>
    <cellStyle name="Normal 8 2 2 2 3 3 3 3" xfId="26381" xr:uid="{00000000-0005-0000-0000-0000AF620000}"/>
    <cellStyle name="Normal 8 2 2 2 3 3 4" xfId="11595" xr:uid="{00000000-0005-0000-0000-0000B0620000}"/>
    <cellStyle name="Normal 8 2 2 2 3 3 4 2" xfId="31310" xr:uid="{00000000-0005-0000-0000-0000B1620000}"/>
    <cellStyle name="Normal 8 2 2 2 3 3 5" xfId="21453" xr:uid="{00000000-0005-0000-0000-0000B2620000}"/>
    <cellStyle name="Normal 8 2 2 2 3 4" xfId="2963" xr:uid="{00000000-0005-0000-0000-0000B3620000}"/>
    <cellStyle name="Normal 8 2 2 2 3 4 2" xfId="7895" xr:uid="{00000000-0005-0000-0000-0000B4620000}"/>
    <cellStyle name="Normal 8 2 2 2 3 4 2 2" xfId="17755" xr:uid="{00000000-0005-0000-0000-0000B5620000}"/>
    <cellStyle name="Normal 8 2 2 2 3 4 2 2 2" xfId="37470" xr:uid="{00000000-0005-0000-0000-0000B6620000}"/>
    <cellStyle name="Normal 8 2 2 2 3 4 2 3" xfId="27613" xr:uid="{00000000-0005-0000-0000-0000B7620000}"/>
    <cellStyle name="Normal 8 2 2 2 3 4 3" xfId="12827" xr:uid="{00000000-0005-0000-0000-0000B8620000}"/>
    <cellStyle name="Normal 8 2 2 2 3 4 3 2" xfId="32542" xr:uid="{00000000-0005-0000-0000-0000B9620000}"/>
    <cellStyle name="Normal 8 2 2 2 3 4 4" xfId="22685" xr:uid="{00000000-0005-0000-0000-0000BA620000}"/>
    <cellStyle name="Normal 8 2 2 2 3 5" xfId="5431" xr:uid="{00000000-0005-0000-0000-0000BB620000}"/>
    <cellStyle name="Normal 8 2 2 2 3 5 2" xfId="15291" xr:uid="{00000000-0005-0000-0000-0000BC620000}"/>
    <cellStyle name="Normal 8 2 2 2 3 5 2 2" xfId="35006" xr:uid="{00000000-0005-0000-0000-0000BD620000}"/>
    <cellStyle name="Normal 8 2 2 2 3 5 3" xfId="25149" xr:uid="{00000000-0005-0000-0000-0000BE620000}"/>
    <cellStyle name="Normal 8 2 2 2 3 6" xfId="10363" xr:uid="{00000000-0005-0000-0000-0000BF620000}"/>
    <cellStyle name="Normal 8 2 2 2 3 6 2" xfId="30078" xr:uid="{00000000-0005-0000-0000-0000C0620000}"/>
    <cellStyle name="Normal 8 2 2 2 3 7" xfId="20221" xr:uid="{00000000-0005-0000-0000-0000C1620000}"/>
    <cellStyle name="Normal 8 2 2 2 4" xfId="802" xr:uid="{00000000-0005-0000-0000-0000C2620000}"/>
    <cellStyle name="Normal 8 2 2 2 4 2" xfId="2038" xr:uid="{00000000-0005-0000-0000-0000C3620000}"/>
    <cellStyle name="Normal 8 2 2 2 4 2 2" xfId="4505" xr:uid="{00000000-0005-0000-0000-0000C4620000}"/>
    <cellStyle name="Normal 8 2 2 2 4 2 2 2" xfId="9437" xr:uid="{00000000-0005-0000-0000-0000C5620000}"/>
    <cellStyle name="Normal 8 2 2 2 4 2 2 2 2" xfId="19297" xr:uid="{00000000-0005-0000-0000-0000C6620000}"/>
    <cellStyle name="Normal 8 2 2 2 4 2 2 2 2 2" xfId="39012" xr:uid="{00000000-0005-0000-0000-0000C7620000}"/>
    <cellStyle name="Normal 8 2 2 2 4 2 2 2 3" xfId="29155" xr:uid="{00000000-0005-0000-0000-0000C8620000}"/>
    <cellStyle name="Normal 8 2 2 2 4 2 2 3" xfId="14369" xr:uid="{00000000-0005-0000-0000-0000C9620000}"/>
    <cellStyle name="Normal 8 2 2 2 4 2 2 3 2" xfId="34084" xr:uid="{00000000-0005-0000-0000-0000CA620000}"/>
    <cellStyle name="Normal 8 2 2 2 4 2 2 4" xfId="24227" xr:uid="{00000000-0005-0000-0000-0000CB620000}"/>
    <cellStyle name="Normal 8 2 2 2 4 2 3" xfId="6973" xr:uid="{00000000-0005-0000-0000-0000CC620000}"/>
    <cellStyle name="Normal 8 2 2 2 4 2 3 2" xfId="16833" xr:uid="{00000000-0005-0000-0000-0000CD620000}"/>
    <cellStyle name="Normal 8 2 2 2 4 2 3 2 2" xfId="36548" xr:uid="{00000000-0005-0000-0000-0000CE620000}"/>
    <cellStyle name="Normal 8 2 2 2 4 2 3 3" xfId="26691" xr:uid="{00000000-0005-0000-0000-0000CF620000}"/>
    <cellStyle name="Normal 8 2 2 2 4 2 4" xfId="11905" xr:uid="{00000000-0005-0000-0000-0000D0620000}"/>
    <cellStyle name="Normal 8 2 2 2 4 2 4 2" xfId="31620" xr:uid="{00000000-0005-0000-0000-0000D1620000}"/>
    <cellStyle name="Normal 8 2 2 2 4 2 5" xfId="21763" xr:uid="{00000000-0005-0000-0000-0000D2620000}"/>
    <cellStyle name="Normal 8 2 2 2 4 3" xfId="3273" xr:uid="{00000000-0005-0000-0000-0000D3620000}"/>
    <cellStyle name="Normal 8 2 2 2 4 3 2" xfId="8205" xr:uid="{00000000-0005-0000-0000-0000D4620000}"/>
    <cellStyle name="Normal 8 2 2 2 4 3 2 2" xfId="18065" xr:uid="{00000000-0005-0000-0000-0000D5620000}"/>
    <cellStyle name="Normal 8 2 2 2 4 3 2 2 2" xfId="37780" xr:uid="{00000000-0005-0000-0000-0000D6620000}"/>
    <cellStyle name="Normal 8 2 2 2 4 3 2 3" xfId="27923" xr:uid="{00000000-0005-0000-0000-0000D7620000}"/>
    <cellStyle name="Normal 8 2 2 2 4 3 3" xfId="13137" xr:uid="{00000000-0005-0000-0000-0000D8620000}"/>
    <cellStyle name="Normal 8 2 2 2 4 3 3 2" xfId="32852" xr:uid="{00000000-0005-0000-0000-0000D9620000}"/>
    <cellStyle name="Normal 8 2 2 2 4 3 4" xfId="22995" xr:uid="{00000000-0005-0000-0000-0000DA620000}"/>
    <cellStyle name="Normal 8 2 2 2 4 4" xfId="5741" xr:uid="{00000000-0005-0000-0000-0000DB620000}"/>
    <cellStyle name="Normal 8 2 2 2 4 4 2" xfId="15601" xr:uid="{00000000-0005-0000-0000-0000DC620000}"/>
    <cellStyle name="Normal 8 2 2 2 4 4 2 2" xfId="35316" xr:uid="{00000000-0005-0000-0000-0000DD620000}"/>
    <cellStyle name="Normal 8 2 2 2 4 4 3" xfId="25459" xr:uid="{00000000-0005-0000-0000-0000DE620000}"/>
    <cellStyle name="Normal 8 2 2 2 4 5" xfId="10673" xr:uid="{00000000-0005-0000-0000-0000DF620000}"/>
    <cellStyle name="Normal 8 2 2 2 4 5 2" xfId="30388" xr:uid="{00000000-0005-0000-0000-0000E0620000}"/>
    <cellStyle name="Normal 8 2 2 2 4 6" xfId="20531" xr:uid="{00000000-0005-0000-0000-0000E1620000}"/>
    <cellStyle name="Normal 8 2 2 2 5" xfId="1422" xr:uid="{00000000-0005-0000-0000-0000E2620000}"/>
    <cellStyle name="Normal 8 2 2 2 5 2" xfId="3889" xr:uid="{00000000-0005-0000-0000-0000E3620000}"/>
    <cellStyle name="Normal 8 2 2 2 5 2 2" xfId="8821" xr:uid="{00000000-0005-0000-0000-0000E4620000}"/>
    <cellStyle name="Normal 8 2 2 2 5 2 2 2" xfId="18681" xr:uid="{00000000-0005-0000-0000-0000E5620000}"/>
    <cellStyle name="Normal 8 2 2 2 5 2 2 2 2" xfId="38396" xr:uid="{00000000-0005-0000-0000-0000E6620000}"/>
    <cellStyle name="Normal 8 2 2 2 5 2 2 3" xfId="28539" xr:uid="{00000000-0005-0000-0000-0000E7620000}"/>
    <cellStyle name="Normal 8 2 2 2 5 2 3" xfId="13753" xr:uid="{00000000-0005-0000-0000-0000E8620000}"/>
    <cellStyle name="Normal 8 2 2 2 5 2 3 2" xfId="33468" xr:uid="{00000000-0005-0000-0000-0000E9620000}"/>
    <cellStyle name="Normal 8 2 2 2 5 2 4" xfId="23611" xr:uid="{00000000-0005-0000-0000-0000EA620000}"/>
    <cellStyle name="Normal 8 2 2 2 5 3" xfId="6357" xr:uid="{00000000-0005-0000-0000-0000EB620000}"/>
    <cellStyle name="Normal 8 2 2 2 5 3 2" xfId="16217" xr:uid="{00000000-0005-0000-0000-0000EC620000}"/>
    <cellStyle name="Normal 8 2 2 2 5 3 2 2" xfId="35932" xr:uid="{00000000-0005-0000-0000-0000ED620000}"/>
    <cellStyle name="Normal 8 2 2 2 5 3 3" xfId="26075" xr:uid="{00000000-0005-0000-0000-0000EE620000}"/>
    <cellStyle name="Normal 8 2 2 2 5 4" xfId="11289" xr:uid="{00000000-0005-0000-0000-0000EF620000}"/>
    <cellStyle name="Normal 8 2 2 2 5 4 2" xfId="31004" xr:uid="{00000000-0005-0000-0000-0000F0620000}"/>
    <cellStyle name="Normal 8 2 2 2 5 5" xfId="21147" xr:uid="{00000000-0005-0000-0000-0000F1620000}"/>
    <cellStyle name="Normal 8 2 2 2 6" xfId="2657" xr:uid="{00000000-0005-0000-0000-0000F2620000}"/>
    <cellStyle name="Normal 8 2 2 2 6 2" xfId="7589" xr:uid="{00000000-0005-0000-0000-0000F3620000}"/>
    <cellStyle name="Normal 8 2 2 2 6 2 2" xfId="17449" xr:uid="{00000000-0005-0000-0000-0000F4620000}"/>
    <cellStyle name="Normal 8 2 2 2 6 2 2 2" xfId="37164" xr:uid="{00000000-0005-0000-0000-0000F5620000}"/>
    <cellStyle name="Normal 8 2 2 2 6 2 3" xfId="27307" xr:uid="{00000000-0005-0000-0000-0000F6620000}"/>
    <cellStyle name="Normal 8 2 2 2 6 3" xfId="12521" xr:uid="{00000000-0005-0000-0000-0000F7620000}"/>
    <cellStyle name="Normal 8 2 2 2 6 3 2" xfId="32236" xr:uid="{00000000-0005-0000-0000-0000F8620000}"/>
    <cellStyle name="Normal 8 2 2 2 6 4" xfId="22379" xr:uid="{00000000-0005-0000-0000-0000F9620000}"/>
    <cellStyle name="Normal 8 2 2 2 7" xfId="5125" xr:uid="{00000000-0005-0000-0000-0000FA620000}"/>
    <cellStyle name="Normal 8 2 2 2 7 2" xfId="14985" xr:uid="{00000000-0005-0000-0000-0000FB620000}"/>
    <cellStyle name="Normal 8 2 2 2 7 2 2" xfId="34700" xr:uid="{00000000-0005-0000-0000-0000FC620000}"/>
    <cellStyle name="Normal 8 2 2 2 7 3" xfId="24843" xr:uid="{00000000-0005-0000-0000-0000FD620000}"/>
    <cellStyle name="Normal 8 2 2 2 8" xfId="10057" xr:uid="{00000000-0005-0000-0000-0000FE620000}"/>
    <cellStyle name="Normal 8 2 2 2 8 2" xfId="29772" xr:uid="{00000000-0005-0000-0000-0000FF620000}"/>
    <cellStyle name="Normal 8 2 2 2 9" xfId="19915" xr:uid="{00000000-0005-0000-0000-000000630000}"/>
    <cellStyle name="Normal 8 2 2 3" xfId="251" xr:uid="{00000000-0005-0000-0000-000001630000}"/>
    <cellStyle name="Normal 8 2 2 3 2" xfId="565" xr:uid="{00000000-0005-0000-0000-000002630000}"/>
    <cellStyle name="Normal 8 2 2 3 2 2" xfId="1185" xr:uid="{00000000-0005-0000-0000-000003630000}"/>
    <cellStyle name="Normal 8 2 2 3 2 2 2" xfId="2420" xr:uid="{00000000-0005-0000-0000-000004630000}"/>
    <cellStyle name="Normal 8 2 2 3 2 2 2 2" xfId="4887" xr:uid="{00000000-0005-0000-0000-000005630000}"/>
    <cellStyle name="Normal 8 2 2 3 2 2 2 2 2" xfId="9819" xr:uid="{00000000-0005-0000-0000-000006630000}"/>
    <cellStyle name="Normal 8 2 2 3 2 2 2 2 2 2" xfId="19679" xr:uid="{00000000-0005-0000-0000-000007630000}"/>
    <cellStyle name="Normal 8 2 2 3 2 2 2 2 2 2 2" xfId="39394" xr:uid="{00000000-0005-0000-0000-000008630000}"/>
    <cellStyle name="Normal 8 2 2 3 2 2 2 2 2 3" xfId="29537" xr:uid="{00000000-0005-0000-0000-000009630000}"/>
    <cellStyle name="Normal 8 2 2 3 2 2 2 2 3" xfId="14751" xr:uid="{00000000-0005-0000-0000-00000A630000}"/>
    <cellStyle name="Normal 8 2 2 3 2 2 2 2 3 2" xfId="34466" xr:uid="{00000000-0005-0000-0000-00000B630000}"/>
    <cellStyle name="Normal 8 2 2 3 2 2 2 2 4" xfId="24609" xr:uid="{00000000-0005-0000-0000-00000C630000}"/>
    <cellStyle name="Normal 8 2 2 3 2 2 2 3" xfId="7355" xr:uid="{00000000-0005-0000-0000-00000D630000}"/>
    <cellStyle name="Normal 8 2 2 3 2 2 2 3 2" xfId="17215" xr:uid="{00000000-0005-0000-0000-00000E630000}"/>
    <cellStyle name="Normal 8 2 2 3 2 2 2 3 2 2" xfId="36930" xr:uid="{00000000-0005-0000-0000-00000F630000}"/>
    <cellStyle name="Normal 8 2 2 3 2 2 2 3 3" xfId="27073" xr:uid="{00000000-0005-0000-0000-000010630000}"/>
    <cellStyle name="Normal 8 2 2 3 2 2 2 4" xfId="12287" xr:uid="{00000000-0005-0000-0000-000011630000}"/>
    <cellStyle name="Normal 8 2 2 3 2 2 2 4 2" xfId="32002" xr:uid="{00000000-0005-0000-0000-000012630000}"/>
    <cellStyle name="Normal 8 2 2 3 2 2 2 5" xfId="22145" xr:uid="{00000000-0005-0000-0000-000013630000}"/>
    <cellStyle name="Normal 8 2 2 3 2 2 3" xfId="3655" xr:uid="{00000000-0005-0000-0000-000014630000}"/>
    <cellStyle name="Normal 8 2 2 3 2 2 3 2" xfId="8587" xr:uid="{00000000-0005-0000-0000-000015630000}"/>
    <cellStyle name="Normal 8 2 2 3 2 2 3 2 2" xfId="18447" xr:uid="{00000000-0005-0000-0000-000016630000}"/>
    <cellStyle name="Normal 8 2 2 3 2 2 3 2 2 2" xfId="38162" xr:uid="{00000000-0005-0000-0000-000017630000}"/>
    <cellStyle name="Normal 8 2 2 3 2 2 3 2 3" xfId="28305" xr:uid="{00000000-0005-0000-0000-000018630000}"/>
    <cellStyle name="Normal 8 2 2 3 2 2 3 3" xfId="13519" xr:uid="{00000000-0005-0000-0000-000019630000}"/>
    <cellStyle name="Normal 8 2 2 3 2 2 3 3 2" xfId="33234" xr:uid="{00000000-0005-0000-0000-00001A630000}"/>
    <cellStyle name="Normal 8 2 2 3 2 2 3 4" xfId="23377" xr:uid="{00000000-0005-0000-0000-00001B630000}"/>
    <cellStyle name="Normal 8 2 2 3 2 2 4" xfId="6123" xr:uid="{00000000-0005-0000-0000-00001C630000}"/>
    <cellStyle name="Normal 8 2 2 3 2 2 4 2" xfId="15983" xr:uid="{00000000-0005-0000-0000-00001D630000}"/>
    <cellStyle name="Normal 8 2 2 3 2 2 4 2 2" xfId="35698" xr:uid="{00000000-0005-0000-0000-00001E630000}"/>
    <cellStyle name="Normal 8 2 2 3 2 2 4 3" xfId="25841" xr:uid="{00000000-0005-0000-0000-00001F630000}"/>
    <cellStyle name="Normal 8 2 2 3 2 2 5" xfId="11055" xr:uid="{00000000-0005-0000-0000-000020630000}"/>
    <cellStyle name="Normal 8 2 2 3 2 2 5 2" xfId="30770" xr:uid="{00000000-0005-0000-0000-000021630000}"/>
    <cellStyle name="Normal 8 2 2 3 2 2 6" xfId="20913" xr:uid="{00000000-0005-0000-0000-000022630000}"/>
    <cellStyle name="Normal 8 2 2 3 2 3" xfId="1804" xr:uid="{00000000-0005-0000-0000-000023630000}"/>
    <cellStyle name="Normal 8 2 2 3 2 3 2" xfId="4271" xr:uid="{00000000-0005-0000-0000-000024630000}"/>
    <cellStyle name="Normal 8 2 2 3 2 3 2 2" xfId="9203" xr:uid="{00000000-0005-0000-0000-000025630000}"/>
    <cellStyle name="Normal 8 2 2 3 2 3 2 2 2" xfId="19063" xr:uid="{00000000-0005-0000-0000-000026630000}"/>
    <cellStyle name="Normal 8 2 2 3 2 3 2 2 2 2" xfId="38778" xr:uid="{00000000-0005-0000-0000-000027630000}"/>
    <cellStyle name="Normal 8 2 2 3 2 3 2 2 3" xfId="28921" xr:uid="{00000000-0005-0000-0000-000028630000}"/>
    <cellStyle name="Normal 8 2 2 3 2 3 2 3" xfId="14135" xr:uid="{00000000-0005-0000-0000-000029630000}"/>
    <cellStyle name="Normal 8 2 2 3 2 3 2 3 2" xfId="33850" xr:uid="{00000000-0005-0000-0000-00002A630000}"/>
    <cellStyle name="Normal 8 2 2 3 2 3 2 4" xfId="23993" xr:uid="{00000000-0005-0000-0000-00002B630000}"/>
    <cellStyle name="Normal 8 2 2 3 2 3 3" xfId="6739" xr:uid="{00000000-0005-0000-0000-00002C630000}"/>
    <cellStyle name="Normal 8 2 2 3 2 3 3 2" xfId="16599" xr:uid="{00000000-0005-0000-0000-00002D630000}"/>
    <cellStyle name="Normal 8 2 2 3 2 3 3 2 2" xfId="36314" xr:uid="{00000000-0005-0000-0000-00002E630000}"/>
    <cellStyle name="Normal 8 2 2 3 2 3 3 3" xfId="26457" xr:uid="{00000000-0005-0000-0000-00002F630000}"/>
    <cellStyle name="Normal 8 2 2 3 2 3 4" xfId="11671" xr:uid="{00000000-0005-0000-0000-000030630000}"/>
    <cellStyle name="Normal 8 2 2 3 2 3 4 2" xfId="31386" xr:uid="{00000000-0005-0000-0000-000031630000}"/>
    <cellStyle name="Normal 8 2 2 3 2 3 5" xfId="21529" xr:uid="{00000000-0005-0000-0000-000032630000}"/>
    <cellStyle name="Normal 8 2 2 3 2 4" xfId="3039" xr:uid="{00000000-0005-0000-0000-000033630000}"/>
    <cellStyle name="Normal 8 2 2 3 2 4 2" xfId="7971" xr:uid="{00000000-0005-0000-0000-000034630000}"/>
    <cellStyle name="Normal 8 2 2 3 2 4 2 2" xfId="17831" xr:uid="{00000000-0005-0000-0000-000035630000}"/>
    <cellStyle name="Normal 8 2 2 3 2 4 2 2 2" xfId="37546" xr:uid="{00000000-0005-0000-0000-000036630000}"/>
    <cellStyle name="Normal 8 2 2 3 2 4 2 3" xfId="27689" xr:uid="{00000000-0005-0000-0000-000037630000}"/>
    <cellStyle name="Normal 8 2 2 3 2 4 3" xfId="12903" xr:uid="{00000000-0005-0000-0000-000038630000}"/>
    <cellStyle name="Normal 8 2 2 3 2 4 3 2" xfId="32618" xr:uid="{00000000-0005-0000-0000-000039630000}"/>
    <cellStyle name="Normal 8 2 2 3 2 4 4" xfId="22761" xr:uid="{00000000-0005-0000-0000-00003A630000}"/>
    <cellStyle name="Normal 8 2 2 3 2 5" xfId="5507" xr:uid="{00000000-0005-0000-0000-00003B630000}"/>
    <cellStyle name="Normal 8 2 2 3 2 5 2" xfId="15367" xr:uid="{00000000-0005-0000-0000-00003C630000}"/>
    <cellStyle name="Normal 8 2 2 3 2 5 2 2" xfId="35082" xr:uid="{00000000-0005-0000-0000-00003D630000}"/>
    <cellStyle name="Normal 8 2 2 3 2 5 3" xfId="25225" xr:uid="{00000000-0005-0000-0000-00003E630000}"/>
    <cellStyle name="Normal 8 2 2 3 2 6" xfId="10439" xr:uid="{00000000-0005-0000-0000-00003F630000}"/>
    <cellStyle name="Normal 8 2 2 3 2 6 2" xfId="30154" xr:uid="{00000000-0005-0000-0000-000040630000}"/>
    <cellStyle name="Normal 8 2 2 3 2 7" xfId="20297" xr:uid="{00000000-0005-0000-0000-000041630000}"/>
    <cellStyle name="Normal 8 2 2 3 3" xfId="878" xr:uid="{00000000-0005-0000-0000-000042630000}"/>
    <cellStyle name="Normal 8 2 2 3 3 2" xfId="2114" xr:uid="{00000000-0005-0000-0000-000043630000}"/>
    <cellStyle name="Normal 8 2 2 3 3 2 2" xfId="4581" xr:uid="{00000000-0005-0000-0000-000044630000}"/>
    <cellStyle name="Normal 8 2 2 3 3 2 2 2" xfId="9513" xr:uid="{00000000-0005-0000-0000-000045630000}"/>
    <cellStyle name="Normal 8 2 2 3 3 2 2 2 2" xfId="19373" xr:uid="{00000000-0005-0000-0000-000046630000}"/>
    <cellStyle name="Normal 8 2 2 3 3 2 2 2 2 2" xfId="39088" xr:uid="{00000000-0005-0000-0000-000047630000}"/>
    <cellStyle name="Normal 8 2 2 3 3 2 2 2 3" xfId="29231" xr:uid="{00000000-0005-0000-0000-000048630000}"/>
    <cellStyle name="Normal 8 2 2 3 3 2 2 3" xfId="14445" xr:uid="{00000000-0005-0000-0000-000049630000}"/>
    <cellStyle name="Normal 8 2 2 3 3 2 2 3 2" xfId="34160" xr:uid="{00000000-0005-0000-0000-00004A630000}"/>
    <cellStyle name="Normal 8 2 2 3 3 2 2 4" xfId="24303" xr:uid="{00000000-0005-0000-0000-00004B630000}"/>
    <cellStyle name="Normal 8 2 2 3 3 2 3" xfId="7049" xr:uid="{00000000-0005-0000-0000-00004C630000}"/>
    <cellStyle name="Normal 8 2 2 3 3 2 3 2" xfId="16909" xr:uid="{00000000-0005-0000-0000-00004D630000}"/>
    <cellStyle name="Normal 8 2 2 3 3 2 3 2 2" xfId="36624" xr:uid="{00000000-0005-0000-0000-00004E630000}"/>
    <cellStyle name="Normal 8 2 2 3 3 2 3 3" xfId="26767" xr:uid="{00000000-0005-0000-0000-00004F630000}"/>
    <cellStyle name="Normal 8 2 2 3 3 2 4" xfId="11981" xr:uid="{00000000-0005-0000-0000-000050630000}"/>
    <cellStyle name="Normal 8 2 2 3 3 2 4 2" xfId="31696" xr:uid="{00000000-0005-0000-0000-000051630000}"/>
    <cellStyle name="Normal 8 2 2 3 3 2 5" xfId="21839" xr:uid="{00000000-0005-0000-0000-000052630000}"/>
    <cellStyle name="Normal 8 2 2 3 3 3" xfId="3349" xr:uid="{00000000-0005-0000-0000-000053630000}"/>
    <cellStyle name="Normal 8 2 2 3 3 3 2" xfId="8281" xr:uid="{00000000-0005-0000-0000-000054630000}"/>
    <cellStyle name="Normal 8 2 2 3 3 3 2 2" xfId="18141" xr:uid="{00000000-0005-0000-0000-000055630000}"/>
    <cellStyle name="Normal 8 2 2 3 3 3 2 2 2" xfId="37856" xr:uid="{00000000-0005-0000-0000-000056630000}"/>
    <cellStyle name="Normal 8 2 2 3 3 3 2 3" xfId="27999" xr:uid="{00000000-0005-0000-0000-000057630000}"/>
    <cellStyle name="Normal 8 2 2 3 3 3 3" xfId="13213" xr:uid="{00000000-0005-0000-0000-000058630000}"/>
    <cellStyle name="Normal 8 2 2 3 3 3 3 2" xfId="32928" xr:uid="{00000000-0005-0000-0000-000059630000}"/>
    <cellStyle name="Normal 8 2 2 3 3 3 4" xfId="23071" xr:uid="{00000000-0005-0000-0000-00005A630000}"/>
    <cellStyle name="Normal 8 2 2 3 3 4" xfId="5817" xr:uid="{00000000-0005-0000-0000-00005B630000}"/>
    <cellStyle name="Normal 8 2 2 3 3 4 2" xfId="15677" xr:uid="{00000000-0005-0000-0000-00005C630000}"/>
    <cellStyle name="Normal 8 2 2 3 3 4 2 2" xfId="35392" xr:uid="{00000000-0005-0000-0000-00005D630000}"/>
    <cellStyle name="Normal 8 2 2 3 3 4 3" xfId="25535" xr:uid="{00000000-0005-0000-0000-00005E630000}"/>
    <cellStyle name="Normal 8 2 2 3 3 5" xfId="10749" xr:uid="{00000000-0005-0000-0000-00005F630000}"/>
    <cellStyle name="Normal 8 2 2 3 3 5 2" xfId="30464" xr:uid="{00000000-0005-0000-0000-000060630000}"/>
    <cellStyle name="Normal 8 2 2 3 3 6" xfId="20607" xr:uid="{00000000-0005-0000-0000-000061630000}"/>
    <cellStyle name="Normal 8 2 2 3 4" xfId="1498" xr:uid="{00000000-0005-0000-0000-000062630000}"/>
    <cellStyle name="Normal 8 2 2 3 4 2" xfId="3965" xr:uid="{00000000-0005-0000-0000-000063630000}"/>
    <cellStyle name="Normal 8 2 2 3 4 2 2" xfId="8897" xr:uid="{00000000-0005-0000-0000-000064630000}"/>
    <cellStyle name="Normal 8 2 2 3 4 2 2 2" xfId="18757" xr:uid="{00000000-0005-0000-0000-000065630000}"/>
    <cellStyle name="Normal 8 2 2 3 4 2 2 2 2" xfId="38472" xr:uid="{00000000-0005-0000-0000-000066630000}"/>
    <cellStyle name="Normal 8 2 2 3 4 2 2 3" xfId="28615" xr:uid="{00000000-0005-0000-0000-000067630000}"/>
    <cellStyle name="Normal 8 2 2 3 4 2 3" xfId="13829" xr:uid="{00000000-0005-0000-0000-000068630000}"/>
    <cellStyle name="Normal 8 2 2 3 4 2 3 2" xfId="33544" xr:uid="{00000000-0005-0000-0000-000069630000}"/>
    <cellStyle name="Normal 8 2 2 3 4 2 4" xfId="23687" xr:uid="{00000000-0005-0000-0000-00006A630000}"/>
    <cellStyle name="Normal 8 2 2 3 4 3" xfId="6433" xr:uid="{00000000-0005-0000-0000-00006B630000}"/>
    <cellStyle name="Normal 8 2 2 3 4 3 2" xfId="16293" xr:uid="{00000000-0005-0000-0000-00006C630000}"/>
    <cellStyle name="Normal 8 2 2 3 4 3 2 2" xfId="36008" xr:uid="{00000000-0005-0000-0000-00006D630000}"/>
    <cellStyle name="Normal 8 2 2 3 4 3 3" xfId="26151" xr:uid="{00000000-0005-0000-0000-00006E630000}"/>
    <cellStyle name="Normal 8 2 2 3 4 4" xfId="11365" xr:uid="{00000000-0005-0000-0000-00006F630000}"/>
    <cellStyle name="Normal 8 2 2 3 4 4 2" xfId="31080" xr:uid="{00000000-0005-0000-0000-000070630000}"/>
    <cellStyle name="Normal 8 2 2 3 4 5" xfId="21223" xr:uid="{00000000-0005-0000-0000-000071630000}"/>
    <cellStyle name="Normal 8 2 2 3 5" xfId="2733" xr:uid="{00000000-0005-0000-0000-000072630000}"/>
    <cellStyle name="Normal 8 2 2 3 5 2" xfId="7665" xr:uid="{00000000-0005-0000-0000-000073630000}"/>
    <cellStyle name="Normal 8 2 2 3 5 2 2" xfId="17525" xr:uid="{00000000-0005-0000-0000-000074630000}"/>
    <cellStyle name="Normal 8 2 2 3 5 2 2 2" xfId="37240" xr:uid="{00000000-0005-0000-0000-000075630000}"/>
    <cellStyle name="Normal 8 2 2 3 5 2 3" xfId="27383" xr:uid="{00000000-0005-0000-0000-000076630000}"/>
    <cellStyle name="Normal 8 2 2 3 5 3" xfId="12597" xr:uid="{00000000-0005-0000-0000-000077630000}"/>
    <cellStyle name="Normal 8 2 2 3 5 3 2" xfId="32312" xr:uid="{00000000-0005-0000-0000-000078630000}"/>
    <cellStyle name="Normal 8 2 2 3 5 4" xfId="22455" xr:uid="{00000000-0005-0000-0000-000079630000}"/>
    <cellStyle name="Normal 8 2 2 3 6" xfId="5201" xr:uid="{00000000-0005-0000-0000-00007A630000}"/>
    <cellStyle name="Normal 8 2 2 3 6 2" xfId="15061" xr:uid="{00000000-0005-0000-0000-00007B630000}"/>
    <cellStyle name="Normal 8 2 2 3 6 2 2" xfId="34776" xr:uid="{00000000-0005-0000-0000-00007C630000}"/>
    <cellStyle name="Normal 8 2 2 3 6 3" xfId="24919" xr:uid="{00000000-0005-0000-0000-00007D630000}"/>
    <cellStyle name="Normal 8 2 2 3 7" xfId="10133" xr:uid="{00000000-0005-0000-0000-00007E630000}"/>
    <cellStyle name="Normal 8 2 2 3 7 2" xfId="29848" xr:uid="{00000000-0005-0000-0000-00007F630000}"/>
    <cellStyle name="Normal 8 2 2 3 8" xfId="19991" xr:uid="{00000000-0005-0000-0000-000080630000}"/>
    <cellStyle name="Normal 8 2 2 4" xfId="413" xr:uid="{00000000-0005-0000-0000-000081630000}"/>
    <cellStyle name="Normal 8 2 2 4 2" xfId="1033" xr:uid="{00000000-0005-0000-0000-000082630000}"/>
    <cellStyle name="Normal 8 2 2 4 2 2" xfId="2268" xr:uid="{00000000-0005-0000-0000-000083630000}"/>
    <cellStyle name="Normal 8 2 2 4 2 2 2" xfId="4735" xr:uid="{00000000-0005-0000-0000-000084630000}"/>
    <cellStyle name="Normal 8 2 2 4 2 2 2 2" xfId="9667" xr:uid="{00000000-0005-0000-0000-000085630000}"/>
    <cellStyle name="Normal 8 2 2 4 2 2 2 2 2" xfId="19527" xr:uid="{00000000-0005-0000-0000-000086630000}"/>
    <cellStyle name="Normal 8 2 2 4 2 2 2 2 2 2" xfId="39242" xr:uid="{00000000-0005-0000-0000-000087630000}"/>
    <cellStyle name="Normal 8 2 2 4 2 2 2 2 3" xfId="29385" xr:uid="{00000000-0005-0000-0000-000088630000}"/>
    <cellStyle name="Normal 8 2 2 4 2 2 2 3" xfId="14599" xr:uid="{00000000-0005-0000-0000-000089630000}"/>
    <cellStyle name="Normal 8 2 2 4 2 2 2 3 2" xfId="34314" xr:uid="{00000000-0005-0000-0000-00008A630000}"/>
    <cellStyle name="Normal 8 2 2 4 2 2 2 4" xfId="24457" xr:uid="{00000000-0005-0000-0000-00008B630000}"/>
    <cellStyle name="Normal 8 2 2 4 2 2 3" xfId="7203" xr:uid="{00000000-0005-0000-0000-00008C630000}"/>
    <cellStyle name="Normal 8 2 2 4 2 2 3 2" xfId="17063" xr:uid="{00000000-0005-0000-0000-00008D630000}"/>
    <cellStyle name="Normal 8 2 2 4 2 2 3 2 2" xfId="36778" xr:uid="{00000000-0005-0000-0000-00008E630000}"/>
    <cellStyle name="Normal 8 2 2 4 2 2 3 3" xfId="26921" xr:uid="{00000000-0005-0000-0000-00008F630000}"/>
    <cellStyle name="Normal 8 2 2 4 2 2 4" xfId="12135" xr:uid="{00000000-0005-0000-0000-000090630000}"/>
    <cellStyle name="Normal 8 2 2 4 2 2 4 2" xfId="31850" xr:uid="{00000000-0005-0000-0000-000091630000}"/>
    <cellStyle name="Normal 8 2 2 4 2 2 5" xfId="21993" xr:uid="{00000000-0005-0000-0000-000092630000}"/>
    <cellStyle name="Normal 8 2 2 4 2 3" xfId="3503" xr:uid="{00000000-0005-0000-0000-000093630000}"/>
    <cellStyle name="Normal 8 2 2 4 2 3 2" xfId="8435" xr:uid="{00000000-0005-0000-0000-000094630000}"/>
    <cellStyle name="Normal 8 2 2 4 2 3 2 2" xfId="18295" xr:uid="{00000000-0005-0000-0000-000095630000}"/>
    <cellStyle name="Normal 8 2 2 4 2 3 2 2 2" xfId="38010" xr:uid="{00000000-0005-0000-0000-000096630000}"/>
    <cellStyle name="Normal 8 2 2 4 2 3 2 3" xfId="28153" xr:uid="{00000000-0005-0000-0000-000097630000}"/>
    <cellStyle name="Normal 8 2 2 4 2 3 3" xfId="13367" xr:uid="{00000000-0005-0000-0000-000098630000}"/>
    <cellStyle name="Normal 8 2 2 4 2 3 3 2" xfId="33082" xr:uid="{00000000-0005-0000-0000-000099630000}"/>
    <cellStyle name="Normal 8 2 2 4 2 3 4" xfId="23225" xr:uid="{00000000-0005-0000-0000-00009A630000}"/>
    <cellStyle name="Normal 8 2 2 4 2 4" xfId="5971" xr:uid="{00000000-0005-0000-0000-00009B630000}"/>
    <cellStyle name="Normal 8 2 2 4 2 4 2" xfId="15831" xr:uid="{00000000-0005-0000-0000-00009C630000}"/>
    <cellStyle name="Normal 8 2 2 4 2 4 2 2" xfId="35546" xr:uid="{00000000-0005-0000-0000-00009D630000}"/>
    <cellStyle name="Normal 8 2 2 4 2 4 3" xfId="25689" xr:uid="{00000000-0005-0000-0000-00009E630000}"/>
    <cellStyle name="Normal 8 2 2 4 2 5" xfId="10903" xr:uid="{00000000-0005-0000-0000-00009F630000}"/>
    <cellStyle name="Normal 8 2 2 4 2 5 2" xfId="30618" xr:uid="{00000000-0005-0000-0000-0000A0630000}"/>
    <cellStyle name="Normal 8 2 2 4 2 6" xfId="20761" xr:uid="{00000000-0005-0000-0000-0000A1630000}"/>
    <cellStyle name="Normal 8 2 2 4 3" xfId="1652" xr:uid="{00000000-0005-0000-0000-0000A2630000}"/>
    <cellStyle name="Normal 8 2 2 4 3 2" xfId="4119" xr:uid="{00000000-0005-0000-0000-0000A3630000}"/>
    <cellStyle name="Normal 8 2 2 4 3 2 2" xfId="9051" xr:uid="{00000000-0005-0000-0000-0000A4630000}"/>
    <cellStyle name="Normal 8 2 2 4 3 2 2 2" xfId="18911" xr:uid="{00000000-0005-0000-0000-0000A5630000}"/>
    <cellStyle name="Normal 8 2 2 4 3 2 2 2 2" xfId="38626" xr:uid="{00000000-0005-0000-0000-0000A6630000}"/>
    <cellStyle name="Normal 8 2 2 4 3 2 2 3" xfId="28769" xr:uid="{00000000-0005-0000-0000-0000A7630000}"/>
    <cellStyle name="Normal 8 2 2 4 3 2 3" xfId="13983" xr:uid="{00000000-0005-0000-0000-0000A8630000}"/>
    <cellStyle name="Normal 8 2 2 4 3 2 3 2" xfId="33698" xr:uid="{00000000-0005-0000-0000-0000A9630000}"/>
    <cellStyle name="Normal 8 2 2 4 3 2 4" xfId="23841" xr:uid="{00000000-0005-0000-0000-0000AA630000}"/>
    <cellStyle name="Normal 8 2 2 4 3 3" xfId="6587" xr:uid="{00000000-0005-0000-0000-0000AB630000}"/>
    <cellStyle name="Normal 8 2 2 4 3 3 2" xfId="16447" xr:uid="{00000000-0005-0000-0000-0000AC630000}"/>
    <cellStyle name="Normal 8 2 2 4 3 3 2 2" xfId="36162" xr:uid="{00000000-0005-0000-0000-0000AD630000}"/>
    <cellStyle name="Normal 8 2 2 4 3 3 3" xfId="26305" xr:uid="{00000000-0005-0000-0000-0000AE630000}"/>
    <cellStyle name="Normal 8 2 2 4 3 4" xfId="11519" xr:uid="{00000000-0005-0000-0000-0000AF630000}"/>
    <cellStyle name="Normal 8 2 2 4 3 4 2" xfId="31234" xr:uid="{00000000-0005-0000-0000-0000B0630000}"/>
    <cellStyle name="Normal 8 2 2 4 3 5" xfId="21377" xr:uid="{00000000-0005-0000-0000-0000B1630000}"/>
    <cellStyle name="Normal 8 2 2 4 4" xfId="2887" xr:uid="{00000000-0005-0000-0000-0000B2630000}"/>
    <cellStyle name="Normal 8 2 2 4 4 2" xfId="7819" xr:uid="{00000000-0005-0000-0000-0000B3630000}"/>
    <cellStyle name="Normal 8 2 2 4 4 2 2" xfId="17679" xr:uid="{00000000-0005-0000-0000-0000B4630000}"/>
    <cellStyle name="Normal 8 2 2 4 4 2 2 2" xfId="37394" xr:uid="{00000000-0005-0000-0000-0000B5630000}"/>
    <cellStyle name="Normal 8 2 2 4 4 2 3" xfId="27537" xr:uid="{00000000-0005-0000-0000-0000B6630000}"/>
    <cellStyle name="Normal 8 2 2 4 4 3" xfId="12751" xr:uid="{00000000-0005-0000-0000-0000B7630000}"/>
    <cellStyle name="Normal 8 2 2 4 4 3 2" xfId="32466" xr:uid="{00000000-0005-0000-0000-0000B8630000}"/>
    <cellStyle name="Normal 8 2 2 4 4 4" xfId="22609" xr:uid="{00000000-0005-0000-0000-0000B9630000}"/>
    <cellStyle name="Normal 8 2 2 4 5" xfId="5355" xr:uid="{00000000-0005-0000-0000-0000BA630000}"/>
    <cellStyle name="Normal 8 2 2 4 5 2" xfId="15215" xr:uid="{00000000-0005-0000-0000-0000BB630000}"/>
    <cellStyle name="Normal 8 2 2 4 5 2 2" xfId="34930" xr:uid="{00000000-0005-0000-0000-0000BC630000}"/>
    <cellStyle name="Normal 8 2 2 4 5 3" xfId="25073" xr:uid="{00000000-0005-0000-0000-0000BD630000}"/>
    <cellStyle name="Normal 8 2 2 4 6" xfId="10287" xr:uid="{00000000-0005-0000-0000-0000BE630000}"/>
    <cellStyle name="Normal 8 2 2 4 6 2" xfId="30002" xr:uid="{00000000-0005-0000-0000-0000BF630000}"/>
    <cellStyle name="Normal 8 2 2 4 7" xfId="20145" xr:uid="{00000000-0005-0000-0000-0000C0630000}"/>
    <cellStyle name="Normal 8 2 2 5" xfId="726" xr:uid="{00000000-0005-0000-0000-0000C1630000}"/>
    <cellStyle name="Normal 8 2 2 5 2" xfId="1962" xr:uid="{00000000-0005-0000-0000-0000C2630000}"/>
    <cellStyle name="Normal 8 2 2 5 2 2" xfId="4429" xr:uid="{00000000-0005-0000-0000-0000C3630000}"/>
    <cellStyle name="Normal 8 2 2 5 2 2 2" xfId="9361" xr:uid="{00000000-0005-0000-0000-0000C4630000}"/>
    <cellStyle name="Normal 8 2 2 5 2 2 2 2" xfId="19221" xr:uid="{00000000-0005-0000-0000-0000C5630000}"/>
    <cellStyle name="Normal 8 2 2 5 2 2 2 2 2" xfId="38936" xr:uid="{00000000-0005-0000-0000-0000C6630000}"/>
    <cellStyle name="Normal 8 2 2 5 2 2 2 3" xfId="29079" xr:uid="{00000000-0005-0000-0000-0000C7630000}"/>
    <cellStyle name="Normal 8 2 2 5 2 2 3" xfId="14293" xr:uid="{00000000-0005-0000-0000-0000C8630000}"/>
    <cellStyle name="Normal 8 2 2 5 2 2 3 2" xfId="34008" xr:uid="{00000000-0005-0000-0000-0000C9630000}"/>
    <cellStyle name="Normal 8 2 2 5 2 2 4" xfId="24151" xr:uid="{00000000-0005-0000-0000-0000CA630000}"/>
    <cellStyle name="Normal 8 2 2 5 2 3" xfId="6897" xr:uid="{00000000-0005-0000-0000-0000CB630000}"/>
    <cellStyle name="Normal 8 2 2 5 2 3 2" xfId="16757" xr:uid="{00000000-0005-0000-0000-0000CC630000}"/>
    <cellStyle name="Normal 8 2 2 5 2 3 2 2" xfId="36472" xr:uid="{00000000-0005-0000-0000-0000CD630000}"/>
    <cellStyle name="Normal 8 2 2 5 2 3 3" xfId="26615" xr:uid="{00000000-0005-0000-0000-0000CE630000}"/>
    <cellStyle name="Normal 8 2 2 5 2 4" xfId="11829" xr:uid="{00000000-0005-0000-0000-0000CF630000}"/>
    <cellStyle name="Normal 8 2 2 5 2 4 2" xfId="31544" xr:uid="{00000000-0005-0000-0000-0000D0630000}"/>
    <cellStyle name="Normal 8 2 2 5 2 5" xfId="21687" xr:uid="{00000000-0005-0000-0000-0000D1630000}"/>
    <cellStyle name="Normal 8 2 2 5 3" xfId="3197" xr:uid="{00000000-0005-0000-0000-0000D2630000}"/>
    <cellStyle name="Normal 8 2 2 5 3 2" xfId="8129" xr:uid="{00000000-0005-0000-0000-0000D3630000}"/>
    <cellStyle name="Normal 8 2 2 5 3 2 2" xfId="17989" xr:uid="{00000000-0005-0000-0000-0000D4630000}"/>
    <cellStyle name="Normal 8 2 2 5 3 2 2 2" xfId="37704" xr:uid="{00000000-0005-0000-0000-0000D5630000}"/>
    <cellStyle name="Normal 8 2 2 5 3 2 3" xfId="27847" xr:uid="{00000000-0005-0000-0000-0000D6630000}"/>
    <cellStyle name="Normal 8 2 2 5 3 3" xfId="13061" xr:uid="{00000000-0005-0000-0000-0000D7630000}"/>
    <cellStyle name="Normal 8 2 2 5 3 3 2" xfId="32776" xr:uid="{00000000-0005-0000-0000-0000D8630000}"/>
    <cellStyle name="Normal 8 2 2 5 3 4" xfId="22919" xr:uid="{00000000-0005-0000-0000-0000D9630000}"/>
    <cellStyle name="Normal 8 2 2 5 4" xfId="5665" xr:uid="{00000000-0005-0000-0000-0000DA630000}"/>
    <cellStyle name="Normal 8 2 2 5 4 2" xfId="15525" xr:uid="{00000000-0005-0000-0000-0000DB630000}"/>
    <cellStyle name="Normal 8 2 2 5 4 2 2" xfId="35240" xr:uid="{00000000-0005-0000-0000-0000DC630000}"/>
    <cellStyle name="Normal 8 2 2 5 4 3" xfId="25383" xr:uid="{00000000-0005-0000-0000-0000DD630000}"/>
    <cellStyle name="Normal 8 2 2 5 5" xfId="10597" xr:uid="{00000000-0005-0000-0000-0000DE630000}"/>
    <cellStyle name="Normal 8 2 2 5 5 2" xfId="30312" xr:uid="{00000000-0005-0000-0000-0000DF630000}"/>
    <cellStyle name="Normal 8 2 2 5 6" xfId="20455" xr:uid="{00000000-0005-0000-0000-0000E0630000}"/>
    <cellStyle name="Normal 8 2 2 6" xfId="1346" xr:uid="{00000000-0005-0000-0000-0000E1630000}"/>
    <cellStyle name="Normal 8 2 2 6 2" xfId="3813" xr:uid="{00000000-0005-0000-0000-0000E2630000}"/>
    <cellStyle name="Normal 8 2 2 6 2 2" xfId="8745" xr:uid="{00000000-0005-0000-0000-0000E3630000}"/>
    <cellStyle name="Normal 8 2 2 6 2 2 2" xfId="18605" xr:uid="{00000000-0005-0000-0000-0000E4630000}"/>
    <cellStyle name="Normal 8 2 2 6 2 2 2 2" xfId="38320" xr:uid="{00000000-0005-0000-0000-0000E5630000}"/>
    <cellStyle name="Normal 8 2 2 6 2 2 3" xfId="28463" xr:uid="{00000000-0005-0000-0000-0000E6630000}"/>
    <cellStyle name="Normal 8 2 2 6 2 3" xfId="13677" xr:uid="{00000000-0005-0000-0000-0000E7630000}"/>
    <cellStyle name="Normal 8 2 2 6 2 3 2" xfId="33392" xr:uid="{00000000-0005-0000-0000-0000E8630000}"/>
    <cellStyle name="Normal 8 2 2 6 2 4" xfId="23535" xr:uid="{00000000-0005-0000-0000-0000E9630000}"/>
    <cellStyle name="Normal 8 2 2 6 3" xfId="6281" xr:uid="{00000000-0005-0000-0000-0000EA630000}"/>
    <cellStyle name="Normal 8 2 2 6 3 2" xfId="16141" xr:uid="{00000000-0005-0000-0000-0000EB630000}"/>
    <cellStyle name="Normal 8 2 2 6 3 2 2" xfId="35856" xr:uid="{00000000-0005-0000-0000-0000EC630000}"/>
    <cellStyle name="Normal 8 2 2 6 3 3" xfId="25999" xr:uid="{00000000-0005-0000-0000-0000ED630000}"/>
    <cellStyle name="Normal 8 2 2 6 4" xfId="11213" xr:uid="{00000000-0005-0000-0000-0000EE630000}"/>
    <cellStyle name="Normal 8 2 2 6 4 2" xfId="30928" xr:uid="{00000000-0005-0000-0000-0000EF630000}"/>
    <cellStyle name="Normal 8 2 2 6 5" xfId="21071" xr:uid="{00000000-0005-0000-0000-0000F0630000}"/>
    <cellStyle name="Normal 8 2 2 7" xfId="2581" xr:uid="{00000000-0005-0000-0000-0000F1630000}"/>
    <cellStyle name="Normal 8 2 2 7 2" xfId="7513" xr:uid="{00000000-0005-0000-0000-0000F2630000}"/>
    <cellStyle name="Normal 8 2 2 7 2 2" xfId="17373" xr:uid="{00000000-0005-0000-0000-0000F3630000}"/>
    <cellStyle name="Normal 8 2 2 7 2 2 2" xfId="37088" xr:uid="{00000000-0005-0000-0000-0000F4630000}"/>
    <cellStyle name="Normal 8 2 2 7 2 3" xfId="27231" xr:uid="{00000000-0005-0000-0000-0000F5630000}"/>
    <cellStyle name="Normal 8 2 2 7 3" xfId="12445" xr:uid="{00000000-0005-0000-0000-0000F6630000}"/>
    <cellStyle name="Normal 8 2 2 7 3 2" xfId="32160" xr:uid="{00000000-0005-0000-0000-0000F7630000}"/>
    <cellStyle name="Normal 8 2 2 7 4" xfId="22303" xr:uid="{00000000-0005-0000-0000-0000F8630000}"/>
    <cellStyle name="Normal 8 2 2 8" xfId="5049" xr:uid="{00000000-0005-0000-0000-0000F9630000}"/>
    <cellStyle name="Normal 8 2 2 8 2" xfId="14909" xr:uid="{00000000-0005-0000-0000-0000FA630000}"/>
    <cellStyle name="Normal 8 2 2 8 2 2" xfId="34624" xr:uid="{00000000-0005-0000-0000-0000FB630000}"/>
    <cellStyle name="Normal 8 2 2 8 3" xfId="24767" xr:uid="{00000000-0005-0000-0000-0000FC630000}"/>
    <cellStyle name="Normal 8 2 2 9" xfId="9981" xr:uid="{00000000-0005-0000-0000-0000FD630000}"/>
    <cellStyle name="Normal 8 2 2 9 2" xfId="29696" xr:uid="{00000000-0005-0000-0000-0000FE630000}"/>
    <cellStyle name="Normal 8 2 3" xfId="132" xr:uid="{00000000-0005-0000-0000-0000FF630000}"/>
    <cellStyle name="Normal 8 2 3 2" xfId="289" xr:uid="{00000000-0005-0000-0000-000000640000}"/>
    <cellStyle name="Normal 8 2 3 2 2" xfId="603" xr:uid="{00000000-0005-0000-0000-000001640000}"/>
    <cellStyle name="Normal 8 2 3 2 2 2" xfId="1223" xr:uid="{00000000-0005-0000-0000-000002640000}"/>
    <cellStyle name="Normal 8 2 3 2 2 2 2" xfId="2458" xr:uid="{00000000-0005-0000-0000-000003640000}"/>
    <cellStyle name="Normal 8 2 3 2 2 2 2 2" xfId="4925" xr:uid="{00000000-0005-0000-0000-000004640000}"/>
    <cellStyle name="Normal 8 2 3 2 2 2 2 2 2" xfId="9857" xr:uid="{00000000-0005-0000-0000-000005640000}"/>
    <cellStyle name="Normal 8 2 3 2 2 2 2 2 2 2" xfId="19717" xr:uid="{00000000-0005-0000-0000-000006640000}"/>
    <cellStyle name="Normal 8 2 3 2 2 2 2 2 2 2 2" xfId="39432" xr:uid="{00000000-0005-0000-0000-000007640000}"/>
    <cellStyle name="Normal 8 2 3 2 2 2 2 2 2 3" xfId="29575" xr:uid="{00000000-0005-0000-0000-000008640000}"/>
    <cellStyle name="Normal 8 2 3 2 2 2 2 2 3" xfId="14789" xr:uid="{00000000-0005-0000-0000-000009640000}"/>
    <cellStyle name="Normal 8 2 3 2 2 2 2 2 3 2" xfId="34504" xr:uid="{00000000-0005-0000-0000-00000A640000}"/>
    <cellStyle name="Normal 8 2 3 2 2 2 2 2 4" xfId="24647" xr:uid="{00000000-0005-0000-0000-00000B640000}"/>
    <cellStyle name="Normal 8 2 3 2 2 2 2 3" xfId="7393" xr:uid="{00000000-0005-0000-0000-00000C640000}"/>
    <cellStyle name="Normal 8 2 3 2 2 2 2 3 2" xfId="17253" xr:uid="{00000000-0005-0000-0000-00000D640000}"/>
    <cellStyle name="Normal 8 2 3 2 2 2 2 3 2 2" xfId="36968" xr:uid="{00000000-0005-0000-0000-00000E640000}"/>
    <cellStyle name="Normal 8 2 3 2 2 2 2 3 3" xfId="27111" xr:uid="{00000000-0005-0000-0000-00000F640000}"/>
    <cellStyle name="Normal 8 2 3 2 2 2 2 4" xfId="12325" xr:uid="{00000000-0005-0000-0000-000010640000}"/>
    <cellStyle name="Normal 8 2 3 2 2 2 2 4 2" xfId="32040" xr:uid="{00000000-0005-0000-0000-000011640000}"/>
    <cellStyle name="Normal 8 2 3 2 2 2 2 5" xfId="22183" xr:uid="{00000000-0005-0000-0000-000012640000}"/>
    <cellStyle name="Normal 8 2 3 2 2 2 3" xfId="3693" xr:uid="{00000000-0005-0000-0000-000013640000}"/>
    <cellStyle name="Normal 8 2 3 2 2 2 3 2" xfId="8625" xr:uid="{00000000-0005-0000-0000-000014640000}"/>
    <cellStyle name="Normal 8 2 3 2 2 2 3 2 2" xfId="18485" xr:uid="{00000000-0005-0000-0000-000015640000}"/>
    <cellStyle name="Normal 8 2 3 2 2 2 3 2 2 2" xfId="38200" xr:uid="{00000000-0005-0000-0000-000016640000}"/>
    <cellStyle name="Normal 8 2 3 2 2 2 3 2 3" xfId="28343" xr:uid="{00000000-0005-0000-0000-000017640000}"/>
    <cellStyle name="Normal 8 2 3 2 2 2 3 3" xfId="13557" xr:uid="{00000000-0005-0000-0000-000018640000}"/>
    <cellStyle name="Normal 8 2 3 2 2 2 3 3 2" xfId="33272" xr:uid="{00000000-0005-0000-0000-000019640000}"/>
    <cellStyle name="Normal 8 2 3 2 2 2 3 4" xfId="23415" xr:uid="{00000000-0005-0000-0000-00001A640000}"/>
    <cellStyle name="Normal 8 2 3 2 2 2 4" xfId="6161" xr:uid="{00000000-0005-0000-0000-00001B640000}"/>
    <cellStyle name="Normal 8 2 3 2 2 2 4 2" xfId="16021" xr:uid="{00000000-0005-0000-0000-00001C640000}"/>
    <cellStyle name="Normal 8 2 3 2 2 2 4 2 2" xfId="35736" xr:uid="{00000000-0005-0000-0000-00001D640000}"/>
    <cellStyle name="Normal 8 2 3 2 2 2 4 3" xfId="25879" xr:uid="{00000000-0005-0000-0000-00001E640000}"/>
    <cellStyle name="Normal 8 2 3 2 2 2 5" xfId="11093" xr:uid="{00000000-0005-0000-0000-00001F640000}"/>
    <cellStyle name="Normal 8 2 3 2 2 2 5 2" xfId="30808" xr:uid="{00000000-0005-0000-0000-000020640000}"/>
    <cellStyle name="Normal 8 2 3 2 2 2 6" xfId="20951" xr:uid="{00000000-0005-0000-0000-000021640000}"/>
    <cellStyle name="Normal 8 2 3 2 2 3" xfId="1842" xr:uid="{00000000-0005-0000-0000-000022640000}"/>
    <cellStyle name="Normal 8 2 3 2 2 3 2" xfId="4309" xr:uid="{00000000-0005-0000-0000-000023640000}"/>
    <cellStyle name="Normal 8 2 3 2 2 3 2 2" xfId="9241" xr:uid="{00000000-0005-0000-0000-000024640000}"/>
    <cellStyle name="Normal 8 2 3 2 2 3 2 2 2" xfId="19101" xr:uid="{00000000-0005-0000-0000-000025640000}"/>
    <cellStyle name="Normal 8 2 3 2 2 3 2 2 2 2" xfId="38816" xr:uid="{00000000-0005-0000-0000-000026640000}"/>
    <cellStyle name="Normal 8 2 3 2 2 3 2 2 3" xfId="28959" xr:uid="{00000000-0005-0000-0000-000027640000}"/>
    <cellStyle name="Normal 8 2 3 2 2 3 2 3" xfId="14173" xr:uid="{00000000-0005-0000-0000-000028640000}"/>
    <cellStyle name="Normal 8 2 3 2 2 3 2 3 2" xfId="33888" xr:uid="{00000000-0005-0000-0000-000029640000}"/>
    <cellStyle name="Normal 8 2 3 2 2 3 2 4" xfId="24031" xr:uid="{00000000-0005-0000-0000-00002A640000}"/>
    <cellStyle name="Normal 8 2 3 2 2 3 3" xfId="6777" xr:uid="{00000000-0005-0000-0000-00002B640000}"/>
    <cellStyle name="Normal 8 2 3 2 2 3 3 2" xfId="16637" xr:uid="{00000000-0005-0000-0000-00002C640000}"/>
    <cellStyle name="Normal 8 2 3 2 2 3 3 2 2" xfId="36352" xr:uid="{00000000-0005-0000-0000-00002D640000}"/>
    <cellStyle name="Normal 8 2 3 2 2 3 3 3" xfId="26495" xr:uid="{00000000-0005-0000-0000-00002E640000}"/>
    <cellStyle name="Normal 8 2 3 2 2 3 4" xfId="11709" xr:uid="{00000000-0005-0000-0000-00002F640000}"/>
    <cellStyle name="Normal 8 2 3 2 2 3 4 2" xfId="31424" xr:uid="{00000000-0005-0000-0000-000030640000}"/>
    <cellStyle name="Normal 8 2 3 2 2 3 5" xfId="21567" xr:uid="{00000000-0005-0000-0000-000031640000}"/>
    <cellStyle name="Normal 8 2 3 2 2 4" xfId="3077" xr:uid="{00000000-0005-0000-0000-000032640000}"/>
    <cellStyle name="Normal 8 2 3 2 2 4 2" xfId="8009" xr:uid="{00000000-0005-0000-0000-000033640000}"/>
    <cellStyle name="Normal 8 2 3 2 2 4 2 2" xfId="17869" xr:uid="{00000000-0005-0000-0000-000034640000}"/>
    <cellStyle name="Normal 8 2 3 2 2 4 2 2 2" xfId="37584" xr:uid="{00000000-0005-0000-0000-000035640000}"/>
    <cellStyle name="Normal 8 2 3 2 2 4 2 3" xfId="27727" xr:uid="{00000000-0005-0000-0000-000036640000}"/>
    <cellStyle name="Normal 8 2 3 2 2 4 3" xfId="12941" xr:uid="{00000000-0005-0000-0000-000037640000}"/>
    <cellStyle name="Normal 8 2 3 2 2 4 3 2" xfId="32656" xr:uid="{00000000-0005-0000-0000-000038640000}"/>
    <cellStyle name="Normal 8 2 3 2 2 4 4" xfId="22799" xr:uid="{00000000-0005-0000-0000-000039640000}"/>
    <cellStyle name="Normal 8 2 3 2 2 5" xfId="5545" xr:uid="{00000000-0005-0000-0000-00003A640000}"/>
    <cellStyle name="Normal 8 2 3 2 2 5 2" xfId="15405" xr:uid="{00000000-0005-0000-0000-00003B640000}"/>
    <cellStyle name="Normal 8 2 3 2 2 5 2 2" xfId="35120" xr:uid="{00000000-0005-0000-0000-00003C640000}"/>
    <cellStyle name="Normal 8 2 3 2 2 5 3" xfId="25263" xr:uid="{00000000-0005-0000-0000-00003D640000}"/>
    <cellStyle name="Normal 8 2 3 2 2 6" xfId="10477" xr:uid="{00000000-0005-0000-0000-00003E640000}"/>
    <cellStyle name="Normal 8 2 3 2 2 6 2" xfId="30192" xr:uid="{00000000-0005-0000-0000-00003F640000}"/>
    <cellStyle name="Normal 8 2 3 2 2 7" xfId="20335" xr:uid="{00000000-0005-0000-0000-000040640000}"/>
    <cellStyle name="Normal 8 2 3 2 3" xfId="916" xr:uid="{00000000-0005-0000-0000-000041640000}"/>
    <cellStyle name="Normal 8 2 3 2 3 2" xfId="2152" xr:uid="{00000000-0005-0000-0000-000042640000}"/>
    <cellStyle name="Normal 8 2 3 2 3 2 2" xfId="4619" xr:uid="{00000000-0005-0000-0000-000043640000}"/>
    <cellStyle name="Normal 8 2 3 2 3 2 2 2" xfId="9551" xr:uid="{00000000-0005-0000-0000-000044640000}"/>
    <cellStyle name="Normal 8 2 3 2 3 2 2 2 2" xfId="19411" xr:uid="{00000000-0005-0000-0000-000045640000}"/>
    <cellStyle name="Normal 8 2 3 2 3 2 2 2 2 2" xfId="39126" xr:uid="{00000000-0005-0000-0000-000046640000}"/>
    <cellStyle name="Normal 8 2 3 2 3 2 2 2 3" xfId="29269" xr:uid="{00000000-0005-0000-0000-000047640000}"/>
    <cellStyle name="Normal 8 2 3 2 3 2 2 3" xfId="14483" xr:uid="{00000000-0005-0000-0000-000048640000}"/>
    <cellStyle name="Normal 8 2 3 2 3 2 2 3 2" xfId="34198" xr:uid="{00000000-0005-0000-0000-000049640000}"/>
    <cellStyle name="Normal 8 2 3 2 3 2 2 4" xfId="24341" xr:uid="{00000000-0005-0000-0000-00004A640000}"/>
    <cellStyle name="Normal 8 2 3 2 3 2 3" xfId="7087" xr:uid="{00000000-0005-0000-0000-00004B640000}"/>
    <cellStyle name="Normal 8 2 3 2 3 2 3 2" xfId="16947" xr:uid="{00000000-0005-0000-0000-00004C640000}"/>
    <cellStyle name="Normal 8 2 3 2 3 2 3 2 2" xfId="36662" xr:uid="{00000000-0005-0000-0000-00004D640000}"/>
    <cellStyle name="Normal 8 2 3 2 3 2 3 3" xfId="26805" xr:uid="{00000000-0005-0000-0000-00004E640000}"/>
    <cellStyle name="Normal 8 2 3 2 3 2 4" xfId="12019" xr:uid="{00000000-0005-0000-0000-00004F640000}"/>
    <cellStyle name="Normal 8 2 3 2 3 2 4 2" xfId="31734" xr:uid="{00000000-0005-0000-0000-000050640000}"/>
    <cellStyle name="Normal 8 2 3 2 3 2 5" xfId="21877" xr:uid="{00000000-0005-0000-0000-000051640000}"/>
    <cellStyle name="Normal 8 2 3 2 3 3" xfId="3387" xr:uid="{00000000-0005-0000-0000-000052640000}"/>
    <cellStyle name="Normal 8 2 3 2 3 3 2" xfId="8319" xr:uid="{00000000-0005-0000-0000-000053640000}"/>
    <cellStyle name="Normal 8 2 3 2 3 3 2 2" xfId="18179" xr:uid="{00000000-0005-0000-0000-000054640000}"/>
    <cellStyle name="Normal 8 2 3 2 3 3 2 2 2" xfId="37894" xr:uid="{00000000-0005-0000-0000-000055640000}"/>
    <cellStyle name="Normal 8 2 3 2 3 3 2 3" xfId="28037" xr:uid="{00000000-0005-0000-0000-000056640000}"/>
    <cellStyle name="Normal 8 2 3 2 3 3 3" xfId="13251" xr:uid="{00000000-0005-0000-0000-000057640000}"/>
    <cellStyle name="Normal 8 2 3 2 3 3 3 2" xfId="32966" xr:uid="{00000000-0005-0000-0000-000058640000}"/>
    <cellStyle name="Normal 8 2 3 2 3 3 4" xfId="23109" xr:uid="{00000000-0005-0000-0000-000059640000}"/>
    <cellStyle name="Normal 8 2 3 2 3 4" xfId="5855" xr:uid="{00000000-0005-0000-0000-00005A640000}"/>
    <cellStyle name="Normal 8 2 3 2 3 4 2" xfId="15715" xr:uid="{00000000-0005-0000-0000-00005B640000}"/>
    <cellStyle name="Normal 8 2 3 2 3 4 2 2" xfId="35430" xr:uid="{00000000-0005-0000-0000-00005C640000}"/>
    <cellStyle name="Normal 8 2 3 2 3 4 3" xfId="25573" xr:uid="{00000000-0005-0000-0000-00005D640000}"/>
    <cellStyle name="Normal 8 2 3 2 3 5" xfId="10787" xr:uid="{00000000-0005-0000-0000-00005E640000}"/>
    <cellStyle name="Normal 8 2 3 2 3 5 2" xfId="30502" xr:uid="{00000000-0005-0000-0000-00005F640000}"/>
    <cellStyle name="Normal 8 2 3 2 3 6" xfId="20645" xr:uid="{00000000-0005-0000-0000-000060640000}"/>
    <cellStyle name="Normal 8 2 3 2 4" xfId="1536" xr:uid="{00000000-0005-0000-0000-000061640000}"/>
    <cellStyle name="Normal 8 2 3 2 4 2" xfId="4003" xr:uid="{00000000-0005-0000-0000-000062640000}"/>
    <cellStyle name="Normal 8 2 3 2 4 2 2" xfId="8935" xr:uid="{00000000-0005-0000-0000-000063640000}"/>
    <cellStyle name="Normal 8 2 3 2 4 2 2 2" xfId="18795" xr:uid="{00000000-0005-0000-0000-000064640000}"/>
    <cellStyle name="Normal 8 2 3 2 4 2 2 2 2" xfId="38510" xr:uid="{00000000-0005-0000-0000-000065640000}"/>
    <cellStyle name="Normal 8 2 3 2 4 2 2 3" xfId="28653" xr:uid="{00000000-0005-0000-0000-000066640000}"/>
    <cellStyle name="Normal 8 2 3 2 4 2 3" xfId="13867" xr:uid="{00000000-0005-0000-0000-000067640000}"/>
    <cellStyle name="Normal 8 2 3 2 4 2 3 2" xfId="33582" xr:uid="{00000000-0005-0000-0000-000068640000}"/>
    <cellStyle name="Normal 8 2 3 2 4 2 4" xfId="23725" xr:uid="{00000000-0005-0000-0000-000069640000}"/>
    <cellStyle name="Normal 8 2 3 2 4 3" xfId="6471" xr:uid="{00000000-0005-0000-0000-00006A640000}"/>
    <cellStyle name="Normal 8 2 3 2 4 3 2" xfId="16331" xr:uid="{00000000-0005-0000-0000-00006B640000}"/>
    <cellStyle name="Normal 8 2 3 2 4 3 2 2" xfId="36046" xr:uid="{00000000-0005-0000-0000-00006C640000}"/>
    <cellStyle name="Normal 8 2 3 2 4 3 3" xfId="26189" xr:uid="{00000000-0005-0000-0000-00006D640000}"/>
    <cellStyle name="Normal 8 2 3 2 4 4" xfId="11403" xr:uid="{00000000-0005-0000-0000-00006E640000}"/>
    <cellStyle name="Normal 8 2 3 2 4 4 2" xfId="31118" xr:uid="{00000000-0005-0000-0000-00006F640000}"/>
    <cellStyle name="Normal 8 2 3 2 4 5" xfId="21261" xr:uid="{00000000-0005-0000-0000-000070640000}"/>
    <cellStyle name="Normal 8 2 3 2 5" xfId="2771" xr:uid="{00000000-0005-0000-0000-000071640000}"/>
    <cellStyle name="Normal 8 2 3 2 5 2" xfId="7703" xr:uid="{00000000-0005-0000-0000-000072640000}"/>
    <cellStyle name="Normal 8 2 3 2 5 2 2" xfId="17563" xr:uid="{00000000-0005-0000-0000-000073640000}"/>
    <cellStyle name="Normal 8 2 3 2 5 2 2 2" xfId="37278" xr:uid="{00000000-0005-0000-0000-000074640000}"/>
    <cellStyle name="Normal 8 2 3 2 5 2 3" xfId="27421" xr:uid="{00000000-0005-0000-0000-000075640000}"/>
    <cellStyle name="Normal 8 2 3 2 5 3" xfId="12635" xr:uid="{00000000-0005-0000-0000-000076640000}"/>
    <cellStyle name="Normal 8 2 3 2 5 3 2" xfId="32350" xr:uid="{00000000-0005-0000-0000-000077640000}"/>
    <cellStyle name="Normal 8 2 3 2 5 4" xfId="22493" xr:uid="{00000000-0005-0000-0000-000078640000}"/>
    <cellStyle name="Normal 8 2 3 2 6" xfId="5239" xr:uid="{00000000-0005-0000-0000-000079640000}"/>
    <cellStyle name="Normal 8 2 3 2 6 2" xfId="15099" xr:uid="{00000000-0005-0000-0000-00007A640000}"/>
    <cellStyle name="Normal 8 2 3 2 6 2 2" xfId="34814" xr:uid="{00000000-0005-0000-0000-00007B640000}"/>
    <cellStyle name="Normal 8 2 3 2 6 3" xfId="24957" xr:uid="{00000000-0005-0000-0000-00007C640000}"/>
    <cellStyle name="Normal 8 2 3 2 7" xfId="10171" xr:uid="{00000000-0005-0000-0000-00007D640000}"/>
    <cellStyle name="Normal 8 2 3 2 7 2" xfId="29886" xr:uid="{00000000-0005-0000-0000-00007E640000}"/>
    <cellStyle name="Normal 8 2 3 2 8" xfId="20029" xr:uid="{00000000-0005-0000-0000-00007F640000}"/>
    <cellStyle name="Normal 8 2 3 3" xfId="451" xr:uid="{00000000-0005-0000-0000-000080640000}"/>
    <cellStyle name="Normal 8 2 3 3 2" xfId="1071" xr:uid="{00000000-0005-0000-0000-000081640000}"/>
    <cellStyle name="Normal 8 2 3 3 2 2" xfId="2306" xr:uid="{00000000-0005-0000-0000-000082640000}"/>
    <cellStyle name="Normal 8 2 3 3 2 2 2" xfId="4773" xr:uid="{00000000-0005-0000-0000-000083640000}"/>
    <cellStyle name="Normal 8 2 3 3 2 2 2 2" xfId="9705" xr:uid="{00000000-0005-0000-0000-000084640000}"/>
    <cellStyle name="Normal 8 2 3 3 2 2 2 2 2" xfId="19565" xr:uid="{00000000-0005-0000-0000-000085640000}"/>
    <cellStyle name="Normal 8 2 3 3 2 2 2 2 2 2" xfId="39280" xr:uid="{00000000-0005-0000-0000-000086640000}"/>
    <cellStyle name="Normal 8 2 3 3 2 2 2 2 3" xfId="29423" xr:uid="{00000000-0005-0000-0000-000087640000}"/>
    <cellStyle name="Normal 8 2 3 3 2 2 2 3" xfId="14637" xr:uid="{00000000-0005-0000-0000-000088640000}"/>
    <cellStyle name="Normal 8 2 3 3 2 2 2 3 2" xfId="34352" xr:uid="{00000000-0005-0000-0000-000089640000}"/>
    <cellStyle name="Normal 8 2 3 3 2 2 2 4" xfId="24495" xr:uid="{00000000-0005-0000-0000-00008A640000}"/>
    <cellStyle name="Normal 8 2 3 3 2 2 3" xfId="7241" xr:uid="{00000000-0005-0000-0000-00008B640000}"/>
    <cellStyle name="Normal 8 2 3 3 2 2 3 2" xfId="17101" xr:uid="{00000000-0005-0000-0000-00008C640000}"/>
    <cellStyle name="Normal 8 2 3 3 2 2 3 2 2" xfId="36816" xr:uid="{00000000-0005-0000-0000-00008D640000}"/>
    <cellStyle name="Normal 8 2 3 3 2 2 3 3" xfId="26959" xr:uid="{00000000-0005-0000-0000-00008E640000}"/>
    <cellStyle name="Normal 8 2 3 3 2 2 4" xfId="12173" xr:uid="{00000000-0005-0000-0000-00008F640000}"/>
    <cellStyle name="Normal 8 2 3 3 2 2 4 2" xfId="31888" xr:uid="{00000000-0005-0000-0000-000090640000}"/>
    <cellStyle name="Normal 8 2 3 3 2 2 5" xfId="22031" xr:uid="{00000000-0005-0000-0000-000091640000}"/>
    <cellStyle name="Normal 8 2 3 3 2 3" xfId="3541" xr:uid="{00000000-0005-0000-0000-000092640000}"/>
    <cellStyle name="Normal 8 2 3 3 2 3 2" xfId="8473" xr:uid="{00000000-0005-0000-0000-000093640000}"/>
    <cellStyle name="Normal 8 2 3 3 2 3 2 2" xfId="18333" xr:uid="{00000000-0005-0000-0000-000094640000}"/>
    <cellStyle name="Normal 8 2 3 3 2 3 2 2 2" xfId="38048" xr:uid="{00000000-0005-0000-0000-000095640000}"/>
    <cellStyle name="Normal 8 2 3 3 2 3 2 3" xfId="28191" xr:uid="{00000000-0005-0000-0000-000096640000}"/>
    <cellStyle name="Normal 8 2 3 3 2 3 3" xfId="13405" xr:uid="{00000000-0005-0000-0000-000097640000}"/>
    <cellStyle name="Normal 8 2 3 3 2 3 3 2" xfId="33120" xr:uid="{00000000-0005-0000-0000-000098640000}"/>
    <cellStyle name="Normal 8 2 3 3 2 3 4" xfId="23263" xr:uid="{00000000-0005-0000-0000-000099640000}"/>
    <cellStyle name="Normal 8 2 3 3 2 4" xfId="6009" xr:uid="{00000000-0005-0000-0000-00009A640000}"/>
    <cellStyle name="Normal 8 2 3 3 2 4 2" xfId="15869" xr:uid="{00000000-0005-0000-0000-00009B640000}"/>
    <cellStyle name="Normal 8 2 3 3 2 4 2 2" xfId="35584" xr:uid="{00000000-0005-0000-0000-00009C640000}"/>
    <cellStyle name="Normal 8 2 3 3 2 4 3" xfId="25727" xr:uid="{00000000-0005-0000-0000-00009D640000}"/>
    <cellStyle name="Normal 8 2 3 3 2 5" xfId="10941" xr:uid="{00000000-0005-0000-0000-00009E640000}"/>
    <cellStyle name="Normal 8 2 3 3 2 5 2" xfId="30656" xr:uid="{00000000-0005-0000-0000-00009F640000}"/>
    <cellStyle name="Normal 8 2 3 3 2 6" xfId="20799" xr:uid="{00000000-0005-0000-0000-0000A0640000}"/>
    <cellStyle name="Normal 8 2 3 3 3" xfId="1690" xr:uid="{00000000-0005-0000-0000-0000A1640000}"/>
    <cellStyle name="Normal 8 2 3 3 3 2" xfId="4157" xr:uid="{00000000-0005-0000-0000-0000A2640000}"/>
    <cellStyle name="Normal 8 2 3 3 3 2 2" xfId="9089" xr:uid="{00000000-0005-0000-0000-0000A3640000}"/>
    <cellStyle name="Normal 8 2 3 3 3 2 2 2" xfId="18949" xr:uid="{00000000-0005-0000-0000-0000A4640000}"/>
    <cellStyle name="Normal 8 2 3 3 3 2 2 2 2" xfId="38664" xr:uid="{00000000-0005-0000-0000-0000A5640000}"/>
    <cellStyle name="Normal 8 2 3 3 3 2 2 3" xfId="28807" xr:uid="{00000000-0005-0000-0000-0000A6640000}"/>
    <cellStyle name="Normal 8 2 3 3 3 2 3" xfId="14021" xr:uid="{00000000-0005-0000-0000-0000A7640000}"/>
    <cellStyle name="Normal 8 2 3 3 3 2 3 2" xfId="33736" xr:uid="{00000000-0005-0000-0000-0000A8640000}"/>
    <cellStyle name="Normal 8 2 3 3 3 2 4" xfId="23879" xr:uid="{00000000-0005-0000-0000-0000A9640000}"/>
    <cellStyle name="Normal 8 2 3 3 3 3" xfId="6625" xr:uid="{00000000-0005-0000-0000-0000AA640000}"/>
    <cellStyle name="Normal 8 2 3 3 3 3 2" xfId="16485" xr:uid="{00000000-0005-0000-0000-0000AB640000}"/>
    <cellStyle name="Normal 8 2 3 3 3 3 2 2" xfId="36200" xr:uid="{00000000-0005-0000-0000-0000AC640000}"/>
    <cellStyle name="Normal 8 2 3 3 3 3 3" xfId="26343" xr:uid="{00000000-0005-0000-0000-0000AD640000}"/>
    <cellStyle name="Normal 8 2 3 3 3 4" xfId="11557" xr:uid="{00000000-0005-0000-0000-0000AE640000}"/>
    <cellStyle name="Normal 8 2 3 3 3 4 2" xfId="31272" xr:uid="{00000000-0005-0000-0000-0000AF640000}"/>
    <cellStyle name="Normal 8 2 3 3 3 5" xfId="21415" xr:uid="{00000000-0005-0000-0000-0000B0640000}"/>
    <cellStyle name="Normal 8 2 3 3 4" xfId="2925" xr:uid="{00000000-0005-0000-0000-0000B1640000}"/>
    <cellStyle name="Normal 8 2 3 3 4 2" xfId="7857" xr:uid="{00000000-0005-0000-0000-0000B2640000}"/>
    <cellStyle name="Normal 8 2 3 3 4 2 2" xfId="17717" xr:uid="{00000000-0005-0000-0000-0000B3640000}"/>
    <cellStyle name="Normal 8 2 3 3 4 2 2 2" xfId="37432" xr:uid="{00000000-0005-0000-0000-0000B4640000}"/>
    <cellStyle name="Normal 8 2 3 3 4 2 3" xfId="27575" xr:uid="{00000000-0005-0000-0000-0000B5640000}"/>
    <cellStyle name="Normal 8 2 3 3 4 3" xfId="12789" xr:uid="{00000000-0005-0000-0000-0000B6640000}"/>
    <cellStyle name="Normal 8 2 3 3 4 3 2" xfId="32504" xr:uid="{00000000-0005-0000-0000-0000B7640000}"/>
    <cellStyle name="Normal 8 2 3 3 4 4" xfId="22647" xr:uid="{00000000-0005-0000-0000-0000B8640000}"/>
    <cellStyle name="Normal 8 2 3 3 5" xfId="5393" xr:uid="{00000000-0005-0000-0000-0000B9640000}"/>
    <cellStyle name="Normal 8 2 3 3 5 2" xfId="15253" xr:uid="{00000000-0005-0000-0000-0000BA640000}"/>
    <cellStyle name="Normal 8 2 3 3 5 2 2" xfId="34968" xr:uid="{00000000-0005-0000-0000-0000BB640000}"/>
    <cellStyle name="Normal 8 2 3 3 5 3" xfId="25111" xr:uid="{00000000-0005-0000-0000-0000BC640000}"/>
    <cellStyle name="Normal 8 2 3 3 6" xfId="10325" xr:uid="{00000000-0005-0000-0000-0000BD640000}"/>
    <cellStyle name="Normal 8 2 3 3 6 2" xfId="30040" xr:uid="{00000000-0005-0000-0000-0000BE640000}"/>
    <cellStyle name="Normal 8 2 3 3 7" xfId="20183" xr:uid="{00000000-0005-0000-0000-0000BF640000}"/>
    <cellStyle name="Normal 8 2 3 4" xfId="764" xr:uid="{00000000-0005-0000-0000-0000C0640000}"/>
    <cellStyle name="Normal 8 2 3 4 2" xfId="2000" xr:uid="{00000000-0005-0000-0000-0000C1640000}"/>
    <cellStyle name="Normal 8 2 3 4 2 2" xfId="4467" xr:uid="{00000000-0005-0000-0000-0000C2640000}"/>
    <cellStyle name="Normal 8 2 3 4 2 2 2" xfId="9399" xr:uid="{00000000-0005-0000-0000-0000C3640000}"/>
    <cellStyle name="Normal 8 2 3 4 2 2 2 2" xfId="19259" xr:uid="{00000000-0005-0000-0000-0000C4640000}"/>
    <cellStyle name="Normal 8 2 3 4 2 2 2 2 2" xfId="38974" xr:uid="{00000000-0005-0000-0000-0000C5640000}"/>
    <cellStyle name="Normal 8 2 3 4 2 2 2 3" xfId="29117" xr:uid="{00000000-0005-0000-0000-0000C6640000}"/>
    <cellStyle name="Normal 8 2 3 4 2 2 3" xfId="14331" xr:uid="{00000000-0005-0000-0000-0000C7640000}"/>
    <cellStyle name="Normal 8 2 3 4 2 2 3 2" xfId="34046" xr:uid="{00000000-0005-0000-0000-0000C8640000}"/>
    <cellStyle name="Normal 8 2 3 4 2 2 4" xfId="24189" xr:uid="{00000000-0005-0000-0000-0000C9640000}"/>
    <cellStyle name="Normal 8 2 3 4 2 3" xfId="6935" xr:uid="{00000000-0005-0000-0000-0000CA640000}"/>
    <cellStyle name="Normal 8 2 3 4 2 3 2" xfId="16795" xr:uid="{00000000-0005-0000-0000-0000CB640000}"/>
    <cellStyle name="Normal 8 2 3 4 2 3 2 2" xfId="36510" xr:uid="{00000000-0005-0000-0000-0000CC640000}"/>
    <cellStyle name="Normal 8 2 3 4 2 3 3" xfId="26653" xr:uid="{00000000-0005-0000-0000-0000CD640000}"/>
    <cellStyle name="Normal 8 2 3 4 2 4" xfId="11867" xr:uid="{00000000-0005-0000-0000-0000CE640000}"/>
    <cellStyle name="Normal 8 2 3 4 2 4 2" xfId="31582" xr:uid="{00000000-0005-0000-0000-0000CF640000}"/>
    <cellStyle name="Normal 8 2 3 4 2 5" xfId="21725" xr:uid="{00000000-0005-0000-0000-0000D0640000}"/>
    <cellStyle name="Normal 8 2 3 4 3" xfId="3235" xr:uid="{00000000-0005-0000-0000-0000D1640000}"/>
    <cellStyle name="Normal 8 2 3 4 3 2" xfId="8167" xr:uid="{00000000-0005-0000-0000-0000D2640000}"/>
    <cellStyle name="Normal 8 2 3 4 3 2 2" xfId="18027" xr:uid="{00000000-0005-0000-0000-0000D3640000}"/>
    <cellStyle name="Normal 8 2 3 4 3 2 2 2" xfId="37742" xr:uid="{00000000-0005-0000-0000-0000D4640000}"/>
    <cellStyle name="Normal 8 2 3 4 3 2 3" xfId="27885" xr:uid="{00000000-0005-0000-0000-0000D5640000}"/>
    <cellStyle name="Normal 8 2 3 4 3 3" xfId="13099" xr:uid="{00000000-0005-0000-0000-0000D6640000}"/>
    <cellStyle name="Normal 8 2 3 4 3 3 2" xfId="32814" xr:uid="{00000000-0005-0000-0000-0000D7640000}"/>
    <cellStyle name="Normal 8 2 3 4 3 4" xfId="22957" xr:uid="{00000000-0005-0000-0000-0000D8640000}"/>
    <cellStyle name="Normal 8 2 3 4 4" xfId="5703" xr:uid="{00000000-0005-0000-0000-0000D9640000}"/>
    <cellStyle name="Normal 8 2 3 4 4 2" xfId="15563" xr:uid="{00000000-0005-0000-0000-0000DA640000}"/>
    <cellStyle name="Normal 8 2 3 4 4 2 2" xfId="35278" xr:uid="{00000000-0005-0000-0000-0000DB640000}"/>
    <cellStyle name="Normal 8 2 3 4 4 3" xfId="25421" xr:uid="{00000000-0005-0000-0000-0000DC640000}"/>
    <cellStyle name="Normal 8 2 3 4 5" xfId="10635" xr:uid="{00000000-0005-0000-0000-0000DD640000}"/>
    <cellStyle name="Normal 8 2 3 4 5 2" xfId="30350" xr:uid="{00000000-0005-0000-0000-0000DE640000}"/>
    <cellStyle name="Normal 8 2 3 4 6" xfId="20493" xr:uid="{00000000-0005-0000-0000-0000DF640000}"/>
    <cellStyle name="Normal 8 2 3 5" xfId="1384" xr:uid="{00000000-0005-0000-0000-0000E0640000}"/>
    <cellStyle name="Normal 8 2 3 5 2" xfId="3851" xr:uid="{00000000-0005-0000-0000-0000E1640000}"/>
    <cellStyle name="Normal 8 2 3 5 2 2" xfId="8783" xr:uid="{00000000-0005-0000-0000-0000E2640000}"/>
    <cellStyle name="Normal 8 2 3 5 2 2 2" xfId="18643" xr:uid="{00000000-0005-0000-0000-0000E3640000}"/>
    <cellStyle name="Normal 8 2 3 5 2 2 2 2" xfId="38358" xr:uid="{00000000-0005-0000-0000-0000E4640000}"/>
    <cellStyle name="Normal 8 2 3 5 2 2 3" xfId="28501" xr:uid="{00000000-0005-0000-0000-0000E5640000}"/>
    <cellStyle name="Normal 8 2 3 5 2 3" xfId="13715" xr:uid="{00000000-0005-0000-0000-0000E6640000}"/>
    <cellStyle name="Normal 8 2 3 5 2 3 2" xfId="33430" xr:uid="{00000000-0005-0000-0000-0000E7640000}"/>
    <cellStyle name="Normal 8 2 3 5 2 4" xfId="23573" xr:uid="{00000000-0005-0000-0000-0000E8640000}"/>
    <cellStyle name="Normal 8 2 3 5 3" xfId="6319" xr:uid="{00000000-0005-0000-0000-0000E9640000}"/>
    <cellStyle name="Normal 8 2 3 5 3 2" xfId="16179" xr:uid="{00000000-0005-0000-0000-0000EA640000}"/>
    <cellStyle name="Normal 8 2 3 5 3 2 2" xfId="35894" xr:uid="{00000000-0005-0000-0000-0000EB640000}"/>
    <cellStyle name="Normal 8 2 3 5 3 3" xfId="26037" xr:uid="{00000000-0005-0000-0000-0000EC640000}"/>
    <cellStyle name="Normal 8 2 3 5 4" xfId="11251" xr:uid="{00000000-0005-0000-0000-0000ED640000}"/>
    <cellStyle name="Normal 8 2 3 5 4 2" xfId="30966" xr:uid="{00000000-0005-0000-0000-0000EE640000}"/>
    <cellStyle name="Normal 8 2 3 5 5" xfId="21109" xr:uid="{00000000-0005-0000-0000-0000EF640000}"/>
    <cellStyle name="Normal 8 2 3 6" xfId="2619" xr:uid="{00000000-0005-0000-0000-0000F0640000}"/>
    <cellStyle name="Normal 8 2 3 6 2" xfId="7551" xr:uid="{00000000-0005-0000-0000-0000F1640000}"/>
    <cellStyle name="Normal 8 2 3 6 2 2" xfId="17411" xr:uid="{00000000-0005-0000-0000-0000F2640000}"/>
    <cellStyle name="Normal 8 2 3 6 2 2 2" xfId="37126" xr:uid="{00000000-0005-0000-0000-0000F3640000}"/>
    <cellStyle name="Normal 8 2 3 6 2 3" xfId="27269" xr:uid="{00000000-0005-0000-0000-0000F4640000}"/>
    <cellStyle name="Normal 8 2 3 6 3" xfId="12483" xr:uid="{00000000-0005-0000-0000-0000F5640000}"/>
    <cellStyle name="Normal 8 2 3 6 3 2" xfId="32198" xr:uid="{00000000-0005-0000-0000-0000F6640000}"/>
    <cellStyle name="Normal 8 2 3 6 4" xfId="22341" xr:uid="{00000000-0005-0000-0000-0000F7640000}"/>
    <cellStyle name="Normal 8 2 3 7" xfId="5087" xr:uid="{00000000-0005-0000-0000-0000F8640000}"/>
    <cellStyle name="Normal 8 2 3 7 2" xfId="14947" xr:uid="{00000000-0005-0000-0000-0000F9640000}"/>
    <cellStyle name="Normal 8 2 3 7 2 2" xfId="34662" xr:uid="{00000000-0005-0000-0000-0000FA640000}"/>
    <cellStyle name="Normal 8 2 3 7 3" xfId="24805" xr:uid="{00000000-0005-0000-0000-0000FB640000}"/>
    <cellStyle name="Normal 8 2 3 8" xfId="10019" xr:uid="{00000000-0005-0000-0000-0000FC640000}"/>
    <cellStyle name="Normal 8 2 3 8 2" xfId="29734" xr:uid="{00000000-0005-0000-0000-0000FD640000}"/>
    <cellStyle name="Normal 8 2 3 9" xfId="19877" xr:uid="{00000000-0005-0000-0000-0000FE640000}"/>
    <cellStyle name="Normal 8 2 4" xfId="213" xr:uid="{00000000-0005-0000-0000-0000FF640000}"/>
    <cellStyle name="Normal 8 2 4 2" xfId="527" xr:uid="{00000000-0005-0000-0000-000000650000}"/>
    <cellStyle name="Normal 8 2 4 2 2" xfId="1147" xr:uid="{00000000-0005-0000-0000-000001650000}"/>
    <cellStyle name="Normal 8 2 4 2 2 2" xfId="2382" xr:uid="{00000000-0005-0000-0000-000002650000}"/>
    <cellStyle name="Normal 8 2 4 2 2 2 2" xfId="4849" xr:uid="{00000000-0005-0000-0000-000003650000}"/>
    <cellStyle name="Normal 8 2 4 2 2 2 2 2" xfId="9781" xr:uid="{00000000-0005-0000-0000-000004650000}"/>
    <cellStyle name="Normal 8 2 4 2 2 2 2 2 2" xfId="19641" xr:uid="{00000000-0005-0000-0000-000005650000}"/>
    <cellStyle name="Normal 8 2 4 2 2 2 2 2 2 2" xfId="39356" xr:uid="{00000000-0005-0000-0000-000006650000}"/>
    <cellStyle name="Normal 8 2 4 2 2 2 2 2 3" xfId="29499" xr:uid="{00000000-0005-0000-0000-000007650000}"/>
    <cellStyle name="Normal 8 2 4 2 2 2 2 3" xfId="14713" xr:uid="{00000000-0005-0000-0000-000008650000}"/>
    <cellStyle name="Normal 8 2 4 2 2 2 2 3 2" xfId="34428" xr:uid="{00000000-0005-0000-0000-000009650000}"/>
    <cellStyle name="Normal 8 2 4 2 2 2 2 4" xfId="24571" xr:uid="{00000000-0005-0000-0000-00000A650000}"/>
    <cellStyle name="Normal 8 2 4 2 2 2 3" xfId="7317" xr:uid="{00000000-0005-0000-0000-00000B650000}"/>
    <cellStyle name="Normal 8 2 4 2 2 2 3 2" xfId="17177" xr:uid="{00000000-0005-0000-0000-00000C650000}"/>
    <cellStyle name="Normal 8 2 4 2 2 2 3 2 2" xfId="36892" xr:uid="{00000000-0005-0000-0000-00000D650000}"/>
    <cellStyle name="Normal 8 2 4 2 2 2 3 3" xfId="27035" xr:uid="{00000000-0005-0000-0000-00000E650000}"/>
    <cellStyle name="Normal 8 2 4 2 2 2 4" xfId="12249" xr:uid="{00000000-0005-0000-0000-00000F650000}"/>
    <cellStyle name="Normal 8 2 4 2 2 2 4 2" xfId="31964" xr:uid="{00000000-0005-0000-0000-000010650000}"/>
    <cellStyle name="Normal 8 2 4 2 2 2 5" xfId="22107" xr:uid="{00000000-0005-0000-0000-000011650000}"/>
    <cellStyle name="Normal 8 2 4 2 2 3" xfId="3617" xr:uid="{00000000-0005-0000-0000-000012650000}"/>
    <cellStyle name="Normal 8 2 4 2 2 3 2" xfId="8549" xr:uid="{00000000-0005-0000-0000-000013650000}"/>
    <cellStyle name="Normal 8 2 4 2 2 3 2 2" xfId="18409" xr:uid="{00000000-0005-0000-0000-000014650000}"/>
    <cellStyle name="Normal 8 2 4 2 2 3 2 2 2" xfId="38124" xr:uid="{00000000-0005-0000-0000-000015650000}"/>
    <cellStyle name="Normal 8 2 4 2 2 3 2 3" xfId="28267" xr:uid="{00000000-0005-0000-0000-000016650000}"/>
    <cellStyle name="Normal 8 2 4 2 2 3 3" xfId="13481" xr:uid="{00000000-0005-0000-0000-000017650000}"/>
    <cellStyle name="Normal 8 2 4 2 2 3 3 2" xfId="33196" xr:uid="{00000000-0005-0000-0000-000018650000}"/>
    <cellStyle name="Normal 8 2 4 2 2 3 4" xfId="23339" xr:uid="{00000000-0005-0000-0000-000019650000}"/>
    <cellStyle name="Normal 8 2 4 2 2 4" xfId="6085" xr:uid="{00000000-0005-0000-0000-00001A650000}"/>
    <cellStyle name="Normal 8 2 4 2 2 4 2" xfId="15945" xr:uid="{00000000-0005-0000-0000-00001B650000}"/>
    <cellStyle name="Normal 8 2 4 2 2 4 2 2" xfId="35660" xr:uid="{00000000-0005-0000-0000-00001C650000}"/>
    <cellStyle name="Normal 8 2 4 2 2 4 3" xfId="25803" xr:uid="{00000000-0005-0000-0000-00001D650000}"/>
    <cellStyle name="Normal 8 2 4 2 2 5" xfId="11017" xr:uid="{00000000-0005-0000-0000-00001E650000}"/>
    <cellStyle name="Normal 8 2 4 2 2 5 2" xfId="30732" xr:uid="{00000000-0005-0000-0000-00001F650000}"/>
    <cellStyle name="Normal 8 2 4 2 2 6" xfId="20875" xr:uid="{00000000-0005-0000-0000-000020650000}"/>
    <cellStyle name="Normal 8 2 4 2 3" xfId="1766" xr:uid="{00000000-0005-0000-0000-000021650000}"/>
    <cellStyle name="Normal 8 2 4 2 3 2" xfId="4233" xr:uid="{00000000-0005-0000-0000-000022650000}"/>
    <cellStyle name="Normal 8 2 4 2 3 2 2" xfId="9165" xr:uid="{00000000-0005-0000-0000-000023650000}"/>
    <cellStyle name="Normal 8 2 4 2 3 2 2 2" xfId="19025" xr:uid="{00000000-0005-0000-0000-000024650000}"/>
    <cellStyle name="Normal 8 2 4 2 3 2 2 2 2" xfId="38740" xr:uid="{00000000-0005-0000-0000-000025650000}"/>
    <cellStyle name="Normal 8 2 4 2 3 2 2 3" xfId="28883" xr:uid="{00000000-0005-0000-0000-000026650000}"/>
    <cellStyle name="Normal 8 2 4 2 3 2 3" xfId="14097" xr:uid="{00000000-0005-0000-0000-000027650000}"/>
    <cellStyle name="Normal 8 2 4 2 3 2 3 2" xfId="33812" xr:uid="{00000000-0005-0000-0000-000028650000}"/>
    <cellStyle name="Normal 8 2 4 2 3 2 4" xfId="23955" xr:uid="{00000000-0005-0000-0000-000029650000}"/>
    <cellStyle name="Normal 8 2 4 2 3 3" xfId="6701" xr:uid="{00000000-0005-0000-0000-00002A650000}"/>
    <cellStyle name="Normal 8 2 4 2 3 3 2" xfId="16561" xr:uid="{00000000-0005-0000-0000-00002B650000}"/>
    <cellStyle name="Normal 8 2 4 2 3 3 2 2" xfId="36276" xr:uid="{00000000-0005-0000-0000-00002C650000}"/>
    <cellStyle name="Normal 8 2 4 2 3 3 3" xfId="26419" xr:uid="{00000000-0005-0000-0000-00002D650000}"/>
    <cellStyle name="Normal 8 2 4 2 3 4" xfId="11633" xr:uid="{00000000-0005-0000-0000-00002E650000}"/>
    <cellStyle name="Normal 8 2 4 2 3 4 2" xfId="31348" xr:uid="{00000000-0005-0000-0000-00002F650000}"/>
    <cellStyle name="Normal 8 2 4 2 3 5" xfId="21491" xr:uid="{00000000-0005-0000-0000-000030650000}"/>
    <cellStyle name="Normal 8 2 4 2 4" xfId="3001" xr:uid="{00000000-0005-0000-0000-000031650000}"/>
    <cellStyle name="Normal 8 2 4 2 4 2" xfId="7933" xr:uid="{00000000-0005-0000-0000-000032650000}"/>
    <cellStyle name="Normal 8 2 4 2 4 2 2" xfId="17793" xr:uid="{00000000-0005-0000-0000-000033650000}"/>
    <cellStyle name="Normal 8 2 4 2 4 2 2 2" xfId="37508" xr:uid="{00000000-0005-0000-0000-000034650000}"/>
    <cellStyle name="Normal 8 2 4 2 4 2 3" xfId="27651" xr:uid="{00000000-0005-0000-0000-000035650000}"/>
    <cellStyle name="Normal 8 2 4 2 4 3" xfId="12865" xr:uid="{00000000-0005-0000-0000-000036650000}"/>
    <cellStyle name="Normal 8 2 4 2 4 3 2" xfId="32580" xr:uid="{00000000-0005-0000-0000-000037650000}"/>
    <cellStyle name="Normal 8 2 4 2 4 4" xfId="22723" xr:uid="{00000000-0005-0000-0000-000038650000}"/>
    <cellStyle name="Normal 8 2 4 2 5" xfId="5469" xr:uid="{00000000-0005-0000-0000-000039650000}"/>
    <cellStyle name="Normal 8 2 4 2 5 2" xfId="15329" xr:uid="{00000000-0005-0000-0000-00003A650000}"/>
    <cellStyle name="Normal 8 2 4 2 5 2 2" xfId="35044" xr:uid="{00000000-0005-0000-0000-00003B650000}"/>
    <cellStyle name="Normal 8 2 4 2 5 3" xfId="25187" xr:uid="{00000000-0005-0000-0000-00003C650000}"/>
    <cellStyle name="Normal 8 2 4 2 6" xfId="10401" xr:uid="{00000000-0005-0000-0000-00003D650000}"/>
    <cellStyle name="Normal 8 2 4 2 6 2" xfId="30116" xr:uid="{00000000-0005-0000-0000-00003E650000}"/>
    <cellStyle name="Normal 8 2 4 2 7" xfId="20259" xr:uid="{00000000-0005-0000-0000-00003F650000}"/>
    <cellStyle name="Normal 8 2 4 3" xfId="840" xr:uid="{00000000-0005-0000-0000-000040650000}"/>
    <cellStyle name="Normal 8 2 4 3 2" xfId="2076" xr:uid="{00000000-0005-0000-0000-000041650000}"/>
    <cellStyle name="Normal 8 2 4 3 2 2" xfId="4543" xr:uid="{00000000-0005-0000-0000-000042650000}"/>
    <cellStyle name="Normal 8 2 4 3 2 2 2" xfId="9475" xr:uid="{00000000-0005-0000-0000-000043650000}"/>
    <cellStyle name="Normal 8 2 4 3 2 2 2 2" xfId="19335" xr:uid="{00000000-0005-0000-0000-000044650000}"/>
    <cellStyle name="Normal 8 2 4 3 2 2 2 2 2" xfId="39050" xr:uid="{00000000-0005-0000-0000-000045650000}"/>
    <cellStyle name="Normal 8 2 4 3 2 2 2 3" xfId="29193" xr:uid="{00000000-0005-0000-0000-000046650000}"/>
    <cellStyle name="Normal 8 2 4 3 2 2 3" xfId="14407" xr:uid="{00000000-0005-0000-0000-000047650000}"/>
    <cellStyle name="Normal 8 2 4 3 2 2 3 2" xfId="34122" xr:uid="{00000000-0005-0000-0000-000048650000}"/>
    <cellStyle name="Normal 8 2 4 3 2 2 4" xfId="24265" xr:uid="{00000000-0005-0000-0000-000049650000}"/>
    <cellStyle name="Normal 8 2 4 3 2 3" xfId="7011" xr:uid="{00000000-0005-0000-0000-00004A650000}"/>
    <cellStyle name="Normal 8 2 4 3 2 3 2" xfId="16871" xr:uid="{00000000-0005-0000-0000-00004B650000}"/>
    <cellStyle name="Normal 8 2 4 3 2 3 2 2" xfId="36586" xr:uid="{00000000-0005-0000-0000-00004C650000}"/>
    <cellStyle name="Normal 8 2 4 3 2 3 3" xfId="26729" xr:uid="{00000000-0005-0000-0000-00004D650000}"/>
    <cellStyle name="Normal 8 2 4 3 2 4" xfId="11943" xr:uid="{00000000-0005-0000-0000-00004E650000}"/>
    <cellStyle name="Normal 8 2 4 3 2 4 2" xfId="31658" xr:uid="{00000000-0005-0000-0000-00004F650000}"/>
    <cellStyle name="Normal 8 2 4 3 2 5" xfId="21801" xr:uid="{00000000-0005-0000-0000-000050650000}"/>
    <cellStyle name="Normal 8 2 4 3 3" xfId="3311" xr:uid="{00000000-0005-0000-0000-000051650000}"/>
    <cellStyle name="Normal 8 2 4 3 3 2" xfId="8243" xr:uid="{00000000-0005-0000-0000-000052650000}"/>
    <cellStyle name="Normal 8 2 4 3 3 2 2" xfId="18103" xr:uid="{00000000-0005-0000-0000-000053650000}"/>
    <cellStyle name="Normal 8 2 4 3 3 2 2 2" xfId="37818" xr:uid="{00000000-0005-0000-0000-000054650000}"/>
    <cellStyle name="Normal 8 2 4 3 3 2 3" xfId="27961" xr:uid="{00000000-0005-0000-0000-000055650000}"/>
    <cellStyle name="Normal 8 2 4 3 3 3" xfId="13175" xr:uid="{00000000-0005-0000-0000-000056650000}"/>
    <cellStyle name="Normal 8 2 4 3 3 3 2" xfId="32890" xr:uid="{00000000-0005-0000-0000-000057650000}"/>
    <cellStyle name="Normal 8 2 4 3 3 4" xfId="23033" xr:uid="{00000000-0005-0000-0000-000058650000}"/>
    <cellStyle name="Normal 8 2 4 3 4" xfId="5779" xr:uid="{00000000-0005-0000-0000-000059650000}"/>
    <cellStyle name="Normal 8 2 4 3 4 2" xfId="15639" xr:uid="{00000000-0005-0000-0000-00005A650000}"/>
    <cellStyle name="Normal 8 2 4 3 4 2 2" xfId="35354" xr:uid="{00000000-0005-0000-0000-00005B650000}"/>
    <cellStyle name="Normal 8 2 4 3 4 3" xfId="25497" xr:uid="{00000000-0005-0000-0000-00005C650000}"/>
    <cellStyle name="Normal 8 2 4 3 5" xfId="10711" xr:uid="{00000000-0005-0000-0000-00005D650000}"/>
    <cellStyle name="Normal 8 2 4 3 5 2" xfId="30426" xr:uid="{00000000-0005-0000-0000-00005E650000}"/>
    <cellStyle name="Normal 8 2 4 3 6" xfId="20569" xr:uid="{00000000-0005-0000-0000-00005F650000}"/>
    <cellStyle name="Normal 8 2 4 4" xfId="1460" xr:uid="{00000000-0005-0000-0000-000060650000}"/>
    <cellStyle name="Normal 8 2 4 4 2" xfId="3927" xr:uid="{00000000-0005-0000-0000-000061650000}"/>
    <cellStyle name="Normal 8 2 4 4 2 2" xfId="8859" xr:uid="{00000000-0005-0000-0000-000062650000}"/>
    <cellStyle name="Normal 8 2 4 4 2 2 2" xfId="18719" xr:uid="{00000000-0005-0000-0000-000063650000}"/>
    <cellStyle name="Normal 8 2 4 4 2 2 2 2" xfId="38434" xr:uid="{00000000-0005-0000-0000-000064650000}"/>
    <cellStyle name="Normal 8 2 4 4 2 2 3" xfId="28577" xr:uid="{00000000-0005-0000-0000-000065650000}"/>
    <cellStyle name="Normal 8 2 4 4 2 3" xfId="13791" xr:uid="{00000000-0005-0000-0000-000066650000}"/>
    <cellStyle name="Normal 8 2 4 4 2 3 2" xfId="33506" xr:uid="{00000000-0005-0000-0000-000067650000}"/>
    <cellStyle name="Normal 8 2 4 4 2 4" xfId="23649" xr:uid="{00000000-0005-0000-0000-000068650000}"/>
    <cellStyle name="Normal 8 2 4 4 3" xfId="6395" xr:uid="{00000000-0005-0000-0000-000069650000}"/>
    <cellStyle name="Normal 8 2 4 4 3 2" xfId="16255" xr:uid="{00000000-0005-0000-0000-00006A650000}"/>
    <cellStyle name="Normal 8 2 4 4 3 2 2" xfId="35970" xr:uid="{00000000-0005-0000-0000-00006B650000}"/>
    <cellStyle name="Normal 8 2 4 4 3 3" xfId="26113" xr:uid="{00000000-0005-0000-0000-00006C650000}"/>
    <cellStyle name="Normal 8 2 4 4 4" xfId="11327" xr:uid="{00000000-0005-0000-0000-00006D650000}"/>
    <cellStyle name="Normal 8 2 4 4 4 2" xfId="31042" xr:uid="{00000000-0005-0000-0000-00006E650000}"/>
    <cellStyle name="Normal 8 2 4 4 5" xfId="21185" xr:uid="{00000000-0005-0000-0000-00006F650000}"/>
    <cellStyle name="Normal 8 2 4 5" xfId="2695" xr:uid="{00000000-0005-0000-0000-000070650000}"/>
    <cellStyle name="Normal 8 2 4 5 2" xfId="7627" xr:uid="{00000000-0005-0000-0000-000071650000}"/>
    <cellStyle name="Normal 8 2 4 5 2 2" xfId="17487" xr:uid="{00000000-0005-0000-0000-000072650000}"/>
    <cellStyle name="Normal 8 2 4 5 2 2 2" xfId="37202" xr:uid="{00000000-0005-0000-0000-000073650000}"/>
    <cellStyle name="Normal 8 2 4 5 2 3" xfId="27345" xr:uid="{00000000-0005-0000-0000-000074650000}"/>
    <cellStyle name="Normal 8 2 4 5 3" xfId="12559" xr:uid="{00000000-0005-0000-0000-000075650000}"/>
    <cellStyle name="Normal 8 2 4 5 3 2" xfId="32274" xr:uid="{00000000-0005-0000-0000-000076650000}"/>
    <cellStyle name="Normal 8 2 4 5 4" xfId="22417" xr:uid="{00000000-0005-0000-0000-000077650000}"/>
    <cellStyle name="Normal 8 2 4 6" xfId="5163" xr:uid="{00000000-0005-0000-0000-000078650000}"/>
    <cellStyle name="Normal 8 2 4 6 2" xfId="15023" xr:uid="{00000000-0005-0000-0000-000079650000}"/>
    <cellStyle name="Normal 8 2 4 6 2 2" xfId="34738" xr:uid="{00000000-0005-0000-0000-00007A650000}"/>
    <cellStyle name="Normal 8 2 4 6 3" xfId="24881" xr:uid="{00000000-0005-0000-0000-00007B650000}"/>
    <cellStyle name="Normal 8 2 4 7" xfId="10095" xr:uid="{00000000-0005-0000-0000-00007C650000}"/>
    <cellStyle name="Normal 8 2 4 7 2" xfId="29810" xr:uid="{00000000-0005-0000-0000-00007D650000}"/>
    <cellStyle name="Normal 8 2 4 8" xfId="19953" xr:uid="{00000000-0005-0000-0000-00007E650000}"/>
    <cellStyle name="Normal 8 2 5" xfId="375" xr:uid="{00000000-0005-0000-0000-00007F650000}"/>
    <cellStyle name="Normal 8 2 5 2" xfId="995" xr:uid="{00000000-0005-0000-0000-000080650000}"/>
    <cellStyle name="Normal 8 2 5 2 2" xfId="2230" xr:uid="{00000000-0005-0000-0000-000081650000}"/>
    <cellStyle name="Normal 8 2 5 2 2 2" xfId="4697" xr:uid="{00000000-0005-0000-0000-000082650000}"/>
    <cellStyle name="Normal 8 2 5 2 2 2 2" xfId="9629" xr:uid="{00000000-0005-0000-0000-000083650000}"/>
    <cellStyle name="Normal 8 2 5 2 2 2 2 2" xfId="19489" xr:uid="{00000000-0005-0000-0000-000084650000}"/>
    <cellStyle name="Normal 8 2 5 2 2 2 2 2 2" xfId="39204" xr:uid="{00000000-0005-0000-0000-000085650000}"/>
    <cellStyle name="Normal 8 2 5 2 2 2 2 3" xfId="29347" xr:uid="{00000000-0005-0000-0000-000086650000}"/>
    <cellStyle name="Normal 8 2 5 2 2 2 3" xfId="14561" xr:uid="{00000000-0005-0000-0000-000087650000}"/>
    <cellStyle name="Normal 8 2 5 2 2 2 3 2" xfId="34276" xr:uid="{00000000-0005-0000-0000-000088650000}"/>
    <cellStyle name="Normal 8 2 5 2 2 2 4" xfId="24419" xr:uid="{00000000-0005-0000-0000-000089650000}"/>
    <cellStyle name="Normal 8 2 5 2 2 3" xfId="7165" xr:uid="{00000000-0005-0000-0000-00008A650000}"/>
    <cellStyle name="Normal 8 2 5 2 2 3 2" xfId="17025" xr:uid="{00000000-0005-0000-0000-00008B650000}"/>
    <cellStyle name="Normal 8 2 5 2 2 3 2 2" xfId="36740" xr:uid="{00000000-0005-0000-0000-00008C650000}"/>
    <cellStyle name="Normal 8 2 5 2 2 3 3" xfId="26883" xr:uid="{00000000-0005-0000-0000-00008D650000}"/>
    <cellStyle name="Normal 8 2 5 2 2 4" xfId="12097" xr:uid="{00000000-0005-0000-0000-00008E650000}"/>
    <cellStyle name="Normal 8 2 5 2 2 4 2" xfId="31812" xr:uid="{00000000-0005-0000-0000-00008F650000}"/>
    <cellStyle name="Normal 8 2 5 2 2 5" xfId="21955" xr:uid="{00000000-0005-0000-0000-000090650000}"/>
    <cellStyle name="Normal 8 2 5 2 3" xfId="3465" xr:uid="{00000000-0005-0000-0000-000091650000}"/>
    <cellStyle name="Normal 8 2 5 2 3 2" xfId="8397" xr:uid="{00000000-0005-0000-0000-000092650000}"/>
    <cellStyle name="Normal 8 2 5 2 3 2 2" xfId="18257" xr:uid="{00000000-0005-0000-0000-000093650000}"/>
    <cellStyle name="Normal 8 2 5 2 3 2 2 2" xfId="37972" xr:uid="{00000000-0005-0000-0000-000094650000}"/>
    <cellStyle name="Normal 8 2 5 2 3 2 3" xfId="28115" xr:uid="{00000000-0005-0000-0000-000095650000}"/>
    <cellStyle name="Normal 8 2 5 2 3 3" xfId="13329" xr:uid="{00000000-0005-0000-0000-000096650000}"/>
    <cellStyle name="Normal 8 2 5 2 3 3 2" xfId="33044" xr:uid="{00000000-0005-0000-0000-000097650000}"/>
    <cellStyle name="Normal 8 2 5 2 3 4" xfId="23187" xr:uid="{00000000-0005-0000-0000-000098650000}"/>
    <cellStyle name="Normal 8 2 5 2 4" xfId="5933" xr:uid="{00000000-0005-0000-0000-000099650000}"/>
    <cellStyle name="Normal 8 2 5 2 4 2" xfId="15793" xr:uid="{00000000-0005-0000-0000-00009A650000}"/>
    <cellStyle name="Normal 8 2 5 2 4 2 2" xfId="35508" xr:uid="{00000000-0005-0000-0000-00009B650000}"/>
    <cellStyle name="Normal 8 2 5 2 4 3" xfId="25651" xr:uid="{00000000-0005-0000-0000-00009C650000}"/>
    <cellStyle name="Normal 8 2 5 2 5" xfId="10865" xr:uid="{00000000-0005-0000-0000-00009D650000}"/>
    <cellStyle name="Normal 8 2 5 2 5 2" xfId="30580" xr:uid="{00000000-0005-0000-0000-00009E650000}"/>
    <cellStyle name="Normal 8 2 5 2 6" xfId="20723" xr:uid="{00000000-0005-0000-0000-00009F650000}"/>
    <cellStyle name="Normal 8 2 5 3" xfId="1614" xr:uid="{00000000-0005-0000-0000-0000A0650000}"/>
    <cellStyle name="Normal 8 2 5 3 2" xfId="4081" xr:uid="{00000000-0005-0000-0000-0000A1650000}"/>
    <cellStyle name="Normal 8 2 5 3 2 2" xfId="9013" xr:uid="{00000000-0005-0000-0000-0000A2650000}"/>
    <cellStyle name="Normal 8 2 5 3 2 2 2" xfId="18873" xr:uid="{00000000-0005-0000-0000-0000A3650000}"/>
    <cellStyle name="Normal 8 2 5 3 2 2 2 2" xfId="38588" xr:uid="{00000000-0005-0000-0000-0000A4650000}"/>
    <cellStyle name="Normal 8 2 5 3 2 2 3" xfId="28731" xr:uid="{00000000-0005-0000-0000-0000A5650000}"/>
    <cellStyle name="Normal 8 2 5 3 2 3" xfId="13945" xr:uid="{00000000-0005-0000-0000-0000A6650000}"/>
    <cellStyle name="Normal 8 2 5 3 2 3 2" xfId="33660" xr:uid="{00000000-0005-0000-0000-0000A7650000}"/>
    <cellStyle name="Normal 8 2 5 3 2 4" xfId="23803" xr:uid="{00000000-0005-0000-0000-0000A8650000}"/>
    <cellStyle name="Normal 8 2 5 3 3" xfId="6549" xr:uid="{00000000-0005-0000-0000-0000A9650000}"/>
    <cellStyle name="Normal 8 2 5 3 3 2" xfId="16409" xr:uid="{00000000-0005-0000-0000-0000AA650000}"/>
    <cellStyle name="Normal 8 2 5 3 3 2 2" xfId="36124" xr:uid="{00000000-0005-0000-0000-0000AB650000}"/>
    <cellStyle name="Normal 8 2 5 3 3 3" xfId="26267" xr:uid="{00000000-0005-0000-0000-0000AC650000}"/>
    <cellStyle name="Normal 8 2 5 3 4" xfId="11481" xr:uid="{00000000-0005-0000-0000-0000AD650000}"/>
    <cellStyle name="Normal 8 2 5 3 4 2" xfId="31196" xr:uid="{00000000-0005-0000-0000-0000AE650000}"/>
    <cellStyle name="Normal 8 2 5 3 5" xfId="21339" xr:uid="{00000000-0005-0000-0000-0000AF650000}"/>
    <cellStyle name="Normal 8 2 5 4" xfId="2849" xr:uid="{00000000-0005-0000-0000-0000B0650000}"/>
    <cellStyle name="Normal 8 2 5 4 2" xfId="7781" xr:uid="{00000000-0005-0000-0000-0000B1650000}"/>
    <cellStyle name="Normal 8 2 5 4 2 2" xfId="17641" xr:uid="{00000000-0005-0000-0000-0000B2650000}"/>
    <cellStyle name="Normal 8 2 5 4 2 2 2" xfId="37356" xr:uid="{00000000-0005-0000-0000-0000B3650000}"/>
    <cellStyle name="Normal 8 2 5 4 2 3" xfId="27499" xr:uid="{00000000-0005-0000-0000-0000B4650000}"/>
    <cellStyle name="Normal 8 2 5 4 3" xfId="12713" xr:uid="{00000000-0005-0000-0000-0000B5650000}"/>
    <cellStyle name="Normal 8 2 5 4 3 2" xfId="32428" xr:uid="{00000000-0005-0000-0000-0000B6650000}"/>
    <cellStyle name="Normal 8 2 5 4 4" xfId="22571" xr:uid="{00000000-0005-0000-0000-0000B7650000}"/>
    <cellStyle name="Normal 8 2 5 5" xfId="5317" xr:uid="{00000000-0005-0000-0000-0000B8650000}"/>
    <cellStyle name="Normal 8 2 5 5 2" xfId="15177" xr:uid="{00000000-0005-0000-0000-0000B9650000}"/>
    <cellStyle name="Normal 8 2 5 5 2 2" xfId="34892" xr:uid="{00000000-0005-0000-0000-0000BA650000}"/>
    <cellStyle name="Normal 8 2 5 5 3" xfId="25035" xr:uid="{00000000-0005-0000-0000-0000BB650000}"/>
    <cellStyle name="Normal 8 2 5 6" xfId="10249" xr:uid="{00000000-0005-0000-0000-0000BC650000}"/>
    <cellStyle name="Normal 8 2 5 6 2" xfId="29964" xr:uid="{00000000-0005-0000-0000-0000BD650000}"/>
    <cellStyle name="Normal 8 2 5 7" xfId="20107" xr:uid="{00000000-0005-0000-0000-0000BE650000}"/>
    <cellStyle name="Normal 8 2 6" xfId="688" xr:uid="{00000000-0005-0000-0000-0000BF650000}"/>
    <cellStyle name="Normal 8 2 6 2" xfId="1924" xr:uid="{00000000-0005-0000-0000-0000C0650000}"/>
    <cellStyle name="Normal 8 2 6 2 2" xfId="4391" xr:uid="{00000000-0005-0000-0000-0000C1650000}"/>
    <cellStyle name="Normal 8 2 6 2 2 2" xfId="9323" xr:uid="{00000000-0005-0000-0000-0000C2650000}"/>
    <cellStyle name="Normal 8 2 6 2 2 2 2" xfId="19183" xr:uid="{00000000-0005-0000-0000-0000C3650000}"/>
    <cellStyle name="Normal 8 2 6 2 2 2 2 2" xfId="38898" xr:uid="{00000000-0005-0000-0000-0000C4650000}"/>
    <cellStyle name="Normal 8 2 6 2 2 2 3" xfId="29041" xr:uid="{00000000-0005-0000-0000-0000C5650000}"/>
    <cellStyle name="Normal 8 2 6 2 2 3" xfId="14255" xr:uid="{00000000-0005-0000-0000-0000C6650000}"/>
    <cellStyle name="Normal 8 2 6 2 2 3 2" xfId="33970" xr:uid="{00000000-0005-0000-0000-0000C7650000}"/>
    <cellStyle name="Normal 8 2 6 2 2 4" xfId="24113" xr:uid="{00000000-0005-0000-0000-0000C8650000}"/>
    <cellStyle name="Normal 8 2 6 2 3" xfId="6859" xr:uid="{00000000-0005-0000-0000-0000C9650000}"/>
    <cellStyle name="Normal 8 2 6 2 3 2" xfId="16719" xr:uid="{00000000-0005-0000-0000-0000CA650000}"/>
    <cellStyle name="Normal 8 2 6 2 3 2 2" xfId="36434" xr:uid="{00000000-0005-0000-0000-0000CB650000}"/>
    <cellStyle name="Normal 8 2 6 2 3 3" xfId="26577" xr:uid="{00000000-0005-0000-0000-0000CC650000}"/>
    <cellStyle name="Normal 8 2 6 2 4" xfId="11791" xr:uid="{00000000-0005-0000-0000-0000CD650000}"/>
    <cellStyle name="Normal 8 2 6 2 4 2" xfId="31506" xr:uid="{00000000-0005-0000-0000-0000CE650000}"/>
    <cellStyle name="Normal 8 2 6 2 5" xfId="21649" xr:uid="{00000000-0005-0000-0000-0000CF650000}"/>
    <cellStyle name="Normal 8 2 6 3" xfId="3159" xr:uid="{00000000-0005-0000-0000-0000D0650000}"/>
    <cellStyle name="Normal 8 2 6 3 2" xfId="8091" xr:uid="{00000000-0005-0000-0000-0000D1650000}"/>
    <cellStyle name="Normal 8 2 6 3 2 2" xfId="17951" xr:uid="{00000000-0005-0000-0000-0000D2650000}"/>
    <cellStyle name="Normal 8 2 6 3 2 2 2" xfId="37666" xr:uid="{00000000-0005-0000-0000-0000D3650000}"/>
    <cellStyle name="Normal 8 2 6 3 2 3" xfId="27809" xr:uid="{00000000-0005-0000-0000-0000D4650000}"/>
    <cellStyle name="Normal 8 2 6 3 3" xfId="13023" xr:uid="{00000000-0005-0000-0000-0000D5650000}"/>
    <cellStyle name="Normal 8 2 6 3 3 2" xfId="32738" xr:uid="{00000000-0005-0000-0000-0000D6650000}"/>
    <cellStyle name="Normal 8 2 6 3 4" xfId="22881" xr:uid="{00000000-0005-0000-0000-0000D7650000}"/>
    <cellStyle name="Normal 8 2 6 4" xfId="5627" xr:uid="{00000000-0005-0000-0000-0000D8650000}"/>
    <cellStyle name="Normal 8 2 6 4 2" xfId="15487" xr:uid="{00000000-0005-0000-0000-0000D9650000}"/>
    <cellStyle name="Normal 8 2 6 4 2 2" xfId="35202" xr:uid="{00000000-0005-0000-0000-0000DA650000}"/>
    <cellStyle name="Normal 8 2 6 4 3" xfId="25345" xr:uid="{00000000-0005-0000-0000-0000DB650000}"/>
    <cellStyle name="Normal 8 2 6 5" xfId="10559" xr:uid="{00000000-0005-0000-0000-0000DC650000}"/>
    <cellStyle name="Normal 8 2 6 5 2" xfId="30274" xr:uid="{00000000-0005-0000-0000-0000DD650000}"/>
    <cellStyle name="Normal 8 2 6 6" xfId="20417" xr:uid="{00000000-0005-0000-0000-0000DE650000}"/>
    <cellStyle name="Normal 8 2 7" xfId="1308" xr:uid="{00000000-0005-0000-0000-0000DF650000}"/>
    <cellStyle name="Normal 8 2 7 2" xfId="3775" xr:uid="{00000000-0005-0000-0000-0000E0650000}"/>
    <cellStyle name="Normal 8 2 7 2 2" xfId="8707" xr:uid="{00000000-0005-0000-0000-0000E1650000}"/>
    <cellStyle name="Normal 8 2 7 2 2 2" xfId="18567" xr:uid="{00000000-0005-0000-0000-0000E2650000}"/>
    <cellStyle name="Normal 8 2 7 2 2 2 2" xfId="38282" xr:uid="{00000000-0005-0000-0000-0000E3650000}"/>
    <cellStyle name="Normal 8 2 7 2 2 3" xfId="28425" xr:uid="{00000000-0005-0000-0000-0000E4650000}"/>
    <cellStyle name="Normal 8 2 7 2 3" xfId="13639" xr:uid="{00000000-0005-0000-0000-0000E5650000}"/>
    <cellStyle name="Normal 8 2 7 2 3 2" xfId="33354" xr:uid="{00000000-0005-0000-0000-0000E6650000}"/>
    <cellStyle name="Normal 8 2 7 2 4" xfId="23497" xr:uid="{00000000-0005-0000-0000-0000E7650000}"/>
    <cellStyle name="Normal 8 2 7 3" xfId="6243" xr:uid="{00000000-0005-0000-0000-0000E8650000}"/>
    <cellStyle name="Normal 8 2 7 3 2" xfId="16103" xr:uid="{00000000-0005-0000-0000-0000E9650000}"/>
    <cellStyle name="Normal 8 2 7 3 2 2" xfId="35818" xr:uid="{00000000-0005-0000-0000-0000EA650000}"/>
    <cellStyle name="Normal 8 2 7 3 3" xfId="25961" xr:uid="{00000000-0005-0000-0000-0000EB650000}"/>
    <cellStyle name="Normal 8 2 7 4" xfId="11175" xr:uid="{00000000-0005-0000-0000-0000EC650000}"/>
    <cellStyle name="Normal 8 2 7 4 2" xfId="30890" xr:uid="{00000000-0005-0000-0000-0000ED650000}"/>
    <cellStyle name="Normal 8 2 7 5" xfId="21033" xr:uid="{00000000-0005-0000-0000-0000EE650000}"/>
    <cellStyle name="Normal 8 2 8" xfId="2543" xr:uid="{00000000-0005-0000-0000-0000EF650000}"/>
    <cellStyle name="Normal 8 2 8 2" xfId="7475" xr:uid="{00000000-0005-0000-0000-0000F0650000}"/>
    <cellStyle name="Normal 8 2 8 2 2" xfId="17335" xr:uid="{00000000-0005-0000-0000-0000F1650000}"/>
    <cellStyle name="Normal 8 2 8 2 2 2" xfId="37050" xr:uid="{00000000-0005-0000-0000-0000F2650000}"/>
    <cellStyle name="Normal 8 2 8 2 3" xfId="27193" xr:uid="{00000000-0005-0000-0000-0000F3650000}"/>
    <cellStyle name="Normal 8 2 8 3" xfId="12407" xr:uid="{00000000-0005-0000-0000-0000F4650000}"/>
    <cellStyle name="Normal 8 2 8 3 2" xfId="32122" xr:uid="{00000000-0005-0000-0000-0000F5650000}"/>
    <cellStyle name="Normal 8 2 8 4" xfId="22265" xr:uid="{00000000-0005-0000-0000-0000F6650000}"/>
    <cellStyle name="Normal 8 2 9" xfId="5011" xr:uid="{00000000-0005-0000-0000-0000F7650000}"/>
    <cellStyle name="Normal 8 2 9 2" xfId="14871" xr:uid="{00000000-0005-0000-0000-0000F8650000}"/>
    <cellStyle name="Normal 8 2 9 2 2" xfId="34586" xr:uid="{00000000-0005-0000-0000-0000F9650000}"/>
    <cellStyle name="Normal 8 2 9 3" xfId="24729" xr:uid="{00000000-0005-0000-0000-0000FA650000}"/>
    <cellStyle name="Normal 8 3" xfId="70" xr:uid="{00000000-0005-0000-0000-0000FB650000}"/>
    <cellStyle name="Normal 8 3 10" xfId="19820" xr:uid="{00000000-0005-0000-0000-0000FC650000}"/>
    <cellStyle name="Normal 8 3 2" xfId="151" xr:uid="{00000000-0005-0000-0000-0000FD650000}"/>
    <cellStyle name="Normal 8 3 2 2" xfId="308" xr:uid="{00000000-0005-0000-0000-0000FE650000}"/>
    <cellStyle name="Normal 8 3 2 2 2" xfId="622" xr:uid="{00000000-0005-0000-0000-0000FF650000}"/>
    <cellStyle name="Normal 8 3 2 2 2 2" xfId="1242" xr:uid="{00000000-0005-0000-0000-000000660000}"/>
    <cellStyle name="Normal 8 3 2 2 2 2 2" xfId="2477" xr:uid="{00000000-0005-0000-0000-000001660000}"/>
    <cellStyle name="Normal 8 3 2 2 2 2 2 2" xfId="4944" xr:uid="{00000000-0005-0000-0000-000002660000}"/>
    <cellStyle name="Normal 8 3 2 2 2 2 2 2 2" xfId="9876" xr:uid="{00000000-0005-0000-0000-000003660000}"/>
    <cellStyle name="Normal 8 3 2 2 2 2 2 2 2 2" xfId="19736" xr:uid="{00000000-0005-0000-0000-000004660000}"/>
    <cellStyle name="Normal 8 3 2 2 2 2 2 2 2 2 2" xfId="39451" xr:uid="{00000000-0005-0000-0000-000005660000}"/>
    <cellStyle name="Normal 8 3 2 2 2 2 2 2 2 3" xfId="29594" xr:uid="{00000000-0005-0000-0000-000006660000}"/>
    <cellStyle name="Normal 8 3 2 2 2 2 2 2 3" xfId="14808" xr:uid="{00000000-0005-0000-0000-000007660000}"/>
    <cellStyle name="Normal 8 3 2 2 2 2 2 2 3 2" xfId="34523" xr:uid="{00000000-0005-0000-0000-000008660000}"/>
    <cellStyle name="Normal 8 3 2 2 2 2 2 2 4" xfId="24666" xr:uid="{00000000-0005-0000-0000-000009660000}"/>
    <cellStyle name="Normal 8 3 2 2 2 2 2 3" xfId="7412" xr:uid="{00000000-0005-0000-0000-00000A660000}"/>
    <cellStyle name="Normal 8 3 2 2 2 2 2 3 2" xfId="17272" xr:uid="{00000000-0005-0000-0000-00000B660000}"/>
    <cellStyle name="Normal 8 3 2 2 2 2 2 3 2 2" xfId="36987" xr:uid="{00000000-0005-0000-0000-00000C660000}"/>
    <cellStyle name="Normal 8 3 2 2 2 2 2 3 3" xfId="27130" xr:uid="{00000000-0005-0000-0000-00000D660000}"/>
    <cellStyle name="Normal 8 3 2 2 2 2 2 4" xfId="12344" xr:uid="{00000000-0005-0000-0000-00000E660000}"/>
    <cellStyle name="Normal 8 3 2 2 2 2 2 4 2" xfId="32059" xr:uid="{00000000-0005-0000-0000-00000F660000}"/>
    <cellStyle name="Normal 8 3 2 2 2 2 2 5" xfId="22202" xr:uid="{00000000-0005-0000-0000-000010660000}"/>
    <cellStyle name="Normal 8 3 2 2 2 2 3" xfId="3712" xr:uid="{00000000-0005-0000-0000-000011660000}"/>
    <cellStyle name="Normal 8 3 2 2 2 2 3 2" xfId="8644" xr:uid="{00000000-0005-0000-0000-000012660000}"/>
    <cellStyle name="Normal 8 3 2 2 2 2 3 2 2" xfId="18504" xr:uid="{00000000-0005-0000-0000-000013660000}"/>
    <cellStyle name="Normal 8 3 2 2 2 2 3 2 2 2" xfId="38219" xr:uid="{00000000-0005-0000-0000-000014660000}"/>
    <cellStyle name="Normal 8 3 2 2 2 2 3 2 3" xfId="28362" xr:uid="{00000000-0005-0000-0000-000015660000}"/>
    <cellStyle name="Normal 8 3 2 2 2 2 3 3" xfId="13576" xr:uid="{00000000-0005-0000-0000-000016660000}"/>
    <cellStyle name="Normal 8 3 2 2 2 2 3 3 2" xfId="33291" xr:uid="{00000000-0005-0000-0000-000017660000}"/>
    <cellStyle name="Normal 8 3 2 2 2 2 3 4" xfId="23434" xr:uid="{00000000-0005-0000-0000-000018660000}"/>
    <cellStyle name="Normal 8 3 2 2 2 2 4" xfId="6180" xr:uid="{00000000-0005-0000-0000-000019660000}"/>
    <cellStyle name="Normal 8 3 2 2 2 2 4 2" xfId="16040" xr:uid="{00000000-0005-0000-0000-00001A660000}"/>
    <cellStyle name="Normal 8 3 2 2 2 2 4 2 2" xfId="35755" xr:uid="{00000000-0005-0000-0000-00001B660000}"/>
    <cellStyle name="Normal 8 3 2 2 2 2 4 3" xfId="25898" xr:uid="{00000000-0005-0000-0000-00001C660000}"/>
    <cellStyle name="Normal 8 3 2 2 2 2 5" xfId="11112" xr:uid="{00000000-0005-0000-0000-00001D660000}"/>
    <cellStyle name="Normal 8 3 2 2 2 2 5 2" xfId="30827" xr:uid="{00000000-0005-0000-0000-00001E660000}"/>
    <cellStyle name="Normal 8 3 2 2 2 2 6" xfId="20970" xr:uid="{00000000-0005-0000-0000-00001F660000}"/>
    <cellStyle name="Normal 8 3 2 2 2 3" xfId="1861" xr:uid="{00000000-0005-0000-0000-000020660000}"/>
    <cellStyle name="Normal 8 3 2 2 2 3 2" xfId="4328" xr:uid="{00000000-0005-0000-0000-000021660000}"/>
    <cellStyle name="Normal 8 3 2 2 2 3 2 2" xfId="9260" xr:uid="{00000000-0005-0000-0000-000022660000}"/>
    <cellStyle name="Normal 8 3 2 2 2 3 2 2 2" xfId="19120" xr:uid="{00000000-0005-0000-0000-000023660000}"/>
    <cellStyle name="Normal 8 3 2 2 2 3 2 2 2 2" xfId="38835" xr:uid="{00000000-0005-0000-0000-000024660000}"/>
    <cellStyle name="Normal 8 3 2 2 2 3 2 2 3" xfId="28978" xr:uid="{00000000-0005-0000-0000-000025660000}"/>
    <cellStyle name="Normal 8 3 2 2 2 3 2 3" xfId="14192" xr:uid="{00000000-0005-0000-0000-000026660000}"/>
    <cellStyle name="Normal 8 3 2 2 2 3 2 3 2" xfId="33907" xr:uid="{00000000-0005-0000-0000-000027660000}"/>
    <cellStyle name="Normal 8 3 2 2 2 3 2 4" xfId="24050" xr:uid="{00000000-0005-0000-0000-000028660000}"/>
    <cellStyle name="Normal 8 3 2 2 2 3 3" xfId="6796" xr:uid="{00000000-0005-0000-0000-000029660000}"/>
    <cellStyle name="Normal 8 3 2 2 2 3 3 2" xfId="16656" xr:uid="{00000000-0005-0000-0000-00002A660000}"/>
    <cellStyle name="Normal 8 3 2 2 2 3 3 2 2" xfId="36371" xr:uid="{00000000-0005-0000-0000-00002B660000}"/>
    <cellStyle name="Normal 8 3 2 2 2 3 3 3" xfId="26514" xr:uid="{00000000-0005-0000-0000-00002C660000}"/>
    <cellStyle name="Normal 8 3 2 2 2 3 4" xfId="11728" xr:uid="{00000000-0005-0000-0000-00002D660000}"/>
    <cellStyle name="Normal 8 3 2 2 2 3 4 2" xfId="31443" xr:uid="{00000000-0005-0000-0000-00002E660000}"/>
    <cellStyle name="Normal 8 3 2 2 2 3 5" xfId="21586" xr:uid="{00000000-0005-0000-0000-00002F660000}"/>
    <cellStyle name="Normal 8 3 2 2 2 4" xfId="3096" xr:uid="{00000000-0005-0000-0000-000030660000}"/>
    <cellStyle name="Normal 8 3 2 2 2 4 2" xfId="8028" xr:uid="{00000000-0005-0000-0000-000031660000}"/>
    <cellStyle name="Normal 8 3 2 2 2 4 2 2" xfId="17888" xr:uid="{00000000-0005-0000-0000-000032660000}"/>
    <cellStyle name="Normal 8 3 2 2 2 4 2 2 2" xfId="37603" xr:uid="{00000000-0005-0000-0000-000033660000}"/>
    <cellStyle name="Normal 8 3 2 2 2 4 2 3" xfId="27746" xr:uid="{00000000-0005-0000-0000-000034660000}"/>
    <cellStyle name="Normal 8 3 2 2 2 4 3" xfId="12960" xr:uid="{00000000-0005-0000-0000-000035660000}"/>
    <cellStyle name="Normal 8 3 2 2 2 4 3 2" xfId="32675" xr:uid="{00000000-0005-0000-0000-000036660000}"/>
    <cellStyle name="Normal 8 3 2 2 2 4 4" xfId="22818" xr:uid="{00000000-0005-0000-0000-000037660000}"/>
    <cellStyle name="Normal 8 3 2 2 2 5" xfId="5564" xr:uid="{00000000-0005-0000-0000-000038660000}"/>
    <cellStyle name="Normal 8 3 2 2 2 5 2" xfId="15424" xr:uid="{00000000-0005-0000-0000-000039660000}"/>
    <cellStyle name="Normal 8 3 2 2 2 5 2 2" xfId="35139" xr:uid="{00000000-0005-0000-0000-00003A660000}"/>
    <cellStyle name="Normal 8 3 2 2 2 5 3" xfId="25282" xr:uid="{00000000-0005-0000-0000-00003B660000}"/>
    <cellStyle name="Normal 8 3 2 2 2 6" xfId="10496" xr:uid="{00000000-0005-0000-0000-00003C660000}"/>
    <cellStyle name="Normal 8 3 2 2 2 6 2" xfId="30211" xr:uid="{00000000-0005-0000-0000-00003D660000}"/>
    <cellStyle name="Normal 8 3 2 2 2 7" xfId="20354" xr:uid="{00000000-0005-0000-0000-00003E660000}"/>
    <cellStyle name="Normal 8 3 2 2 3" xfId="935" xr:uid="{00000000-0005-0000-0000-00003F660000}"/>
    <cellStyle name="Normal 8 3 2 2 3 2" xfId="2171" xr:uid="{00000000-0005-0000-0000-000040660000}"/>
    <cellStyle name="Normal 8 3 2 2 3 2 2" xfId="4638" xr:uid="{00000000-0005-0000-0000-000041660000}"/>
    <cellStyle name="Normal 8 3 2 2 3 2 2 2" xfId="9570" xr:uid="{00000000-0005-0000-0000-000042660000}"/>
    <cellStyle name="Normal 8 3 2 2 3 2 2 2 2" xfId="19430" xr:uid="{00000000-0005-0000-0000-000043660000}"/>
    <cellStyle name="Normal 8 3 2 2 3 2 2 2 2 2" xfId="39145" xr:uid="{00000000-0005-0000-0000-000044660000}"/>
    <cellStyle name="Normal 8 3 2 2 3 2 2 2 3" xfId="29288" xr:uid="{00000000-0005-0000-0000-000045660000}"/>
    <cellStyle name="Normal 8 3 2 2 3 2 2 3" xfId="14502" xr:uid="{00000000-0005-0000-0000-000046660000}"/>
    <cellStyle name="Normal 8 3 2 2 3 2 2 3 2" xfId="34217" xr:uid="{00000000-0005-0000-0000-000047660000}"/>
    <cellStyle name="Normal 8 3 2 2 3 2 2 4" xfId="24360" xr:uid="{00000000-0005-0000-0000-000048660000}"/>
    <cellStyle name="Normal 8 3 2 2 3 2 3" xfId="7106" xr:uid="{00000000-0005-0000-0000-000049660000}"/>
    <cellStyle name="Normal 8 3 2 2 3 2 3 2" xfId="16966" xr:uid="{00000000-0005-0000-0000-00004A660000}"/>
    <cellStyle name="Normal 8 3 2 2 3 2 3 2 2" xfId="36681" xr:uid="{00000000-0005-0000-0000-00004B660000}"/>
    <cellStyle name="Normal 8 3 2 2 3 2 3 3" xfId="26824" xr:uid="{00000000-0005-0000-0000-00004C660000}"/>
    <cellStyle name="Normal 8 3 2 2 3 2 4" xfId="12038" xr:uid="{00000000-0005-0000-0000-00004D660000}"/>
    <cellStyle name="Normal 8 3 2 2 3 2 4 2" xfId="31753" xr:uid="{00000000-0005-0000-0000-00004E660000}"/>
    <cellStyle name="Normal 8 3 2 2 3 2 5" xfId="21896" xr:uid="{00000000-0005-0000-0000-00004F660000}"/>
    <cellStyle name="Normal 8 3 2 2 3 3" xfId="3406" xr:uid="{00000000-0005-0000-0000-000050660000}"/>
    <cellStyle name="Normal 8 3 2 2 3 3 2" xfId="8338" xr:uid="{00000000-0005-0000-0000-000051660000}"/>
    <cellStyle name="Normal 8 3 2 2 3 3 2 2" xfId="18198" xr:uid="{00000000-0005-0000-0000-000052660000}"/>
    <cellStyle name="Normal 8 3 2 2 3 3 2 2 2" xfId="37913" xr:uid="{00000000-0005-0000-0000-000053660000}"/>
    <cellStyle name="Normal 8 3 2 2 3 3 2 3" xfId="28056" xr:uid="{00000000-0005-0000-0000-000054660000}"/>
    <cellStyle name="Normal 8 3 2 2 3 3 3" xfId="13270" xr:uid="{00000000-0005-0000-0000-000055660000}"/>
    <cellStyle name="Normal 8 3 2 2 3 3 3 2" xfId="32985" xr:uid="{00000000-0005-0000-0000-000056660000}"/>
    <cellStyle name="Normal 8 3 2 2 3 3 4" xfId="23128" xr:uid="{00000000-0005-0000-0000-000057660000}"/>
    <cellStyle name="Normal 8 3 2 2 3 4" xfId="5874" xr:uid="{00000000-0005-0000-0000-000058660000}"/>
    <cellStyle name="Normal 8 3 2 2 3 4 2" xfId="15734" xr:uid="{00000000-0005-0000-0000-000059660000}"/>
    <cellStyle name="Normal 8 3 2 2 3 4 2 2" xfId="35449" xr:uid="{00000000-0005-0000-0000-00005A660000}"/>
    <cellStyle name="Normal 8 3 2 2 3 4 3" xfId="25592" xr:uid="{00000000-0005-0000-0000-00005B660000}"/>
    <cellStyle name="Normal 8 3 2 2 3 5" xfId="10806" xr:uid="{00000000-0005-0000-0000-00005C660000}"/>
    <cellStyle name="Normal 8 3 2 2 3 5 2" xfId="30521" xr:uid="{00000000-0005-0000-0000-00005D660000}"/>
    <cellStyle name="Normal 8 3 2 2 3 6" xfId="20664" xr:uid="{00000000-0005-0000-0000-00005E660000}"/>
    <cellStyle name="Normal 8 3 2 2 4" xfId="1555" xr:uid="{00000000-0005-0000-0000-00005F660000}"/>
    <cellStyle name="Normal 8 3 2 2 4 2" xfId="4022" xr:uid="{00000000-0005-0000-0000-000060660000}"/>
    <cellStyle name="Normal 8 3 2 2 4 2 2" xfId="8954" xr:uid="{00000000-0005-0000-0000-000061660000}"/>
    <cellStyle name="Normal 8 3 2 2 4 2 2 2" xfId="18814" xr:uid="{00000000-0005-0000-0000-000062660000}"/>
    <cellStyle name="Normal 8 3 2 2 4 2 2 2 2" xfId="38529" xr:uid="{00000000-0005-0000-0000-000063660000}"/>
    <cellStyle name="Normal 8 3 2 2 4 2 2 3" xfId="28672" xr:uid="{00000000-0005-0000-0000-000064660000}"/>
    <cellStyle name="Normal 8 3 2 2 4 2 3" xfId="13886" xr:uid="{00000000-0005-0000-0000-000065660000}"/>
    <cellStyle name="Normal 8 3 2 2 4 2 3 2" xfId="33601" xr:uid="{00000000-0005-0000-0000-000066660000}"/>
    <cellStyle name="Normal 8 3 2 2 4 2 4" xfId="23744" xr:uid="{00000000-0005-0000-0000-000067660000}"/>
    <cellStyle name="Normal 8 3 2 2 4 3" xfId="6490" xr:uid="{00000000-0005-0000-0000-000068660000}"/>
    <cellStyle name="Normal 8 3 2 2 4 3 2" xfId="16350" xr:uid="{00000000-0005-0000-0000-000069660000}"/>
    <cellStyle name="Normal 8 3 2 2 4 3 2 2" xfId="36065" xr:uid="{00000000-0005-0000-0000-00006A660000}"/>
    <cellStyle name="Normal 8 3 2 2 4 3 3" xfId="26208" xr:uid="{00000000-0005-0000-0000-00006B660000}"/>
    <cellStyle name="Normal 8 3 2 2 4 4" xfId="11422" xr:uid="{00000000-0005-0000-0000-00006C660000}"/>
    <cellStyle name="Normal 8 3 2 2 4 4 2" xfId="31137" xr:uid="{00000000-0005-0000-0000-00006D660000}"/>
    <cellStyle name="Normal 8 3 2 2 4 5" xfId="21280" xr:uid="{00000000-0005-0000-0000-00006E660000}"/>
    <cellStyle name="Normal 8 3 2 2 5" xfId="2790" xr:uid="{00000000-0005-0000-0000-00006F660000}"/>
    <cellStyle name="Normal 8 3 2 2 5 2" xfId="7722" xr:uid="{00000000-0005-0000-0000-000070660000}"/>
    <cellStyle name="Normal 8 3 2 2 5 2 2" xfId="17582" xr:uid="{00000000-0005-0000-0000-000071660000}"/>
    <cellStyle name="Normal 8 3 2 2 5 2 2 2" xfId="37297" xr:uid="{00000000-0005-0000-0000-000072660000}"/>
    <cellStyle name="Normal 8 3 2 2 5 2 3" xfId="27440" xr:uid="{00000000-0005-0000-0000-000073660000}"/>
    <cellStyle name="Normal 8 3 2 2 5 3" xfId="12654" xr:uid="{00000000-0005-0000-0000-000074660000}"/>
    <cellStyle name="Normal 8 3 2 2 5 3 2" xfId="32369" xr:uid="{00000000-0005-0000-0000-000075660000}"/>
    <cellStyle name="Normal 8 3 2 2 5 4" xfId="22512" xr:uid="{00000000-0005-0000-0000-000076660000}"/>
    <cellStyle name="Normal 8 3 2 2 6" xfId="5258" xr:uid="{00000000-0005-0000-0000-000077660000}"/>
    <cellStyle name="Normal 8 3 2 2 6 2" xfId="15118" xr:uid="{00000000-0005-0000-0000-000078660000}"/>
    <cellStyle name="Normal 8 3 2 2 6 2 2" xfId="34833" xr:uid="{00000000-0005-0000-0000-000079660000}"/>
    <cellStyle name="Normal 8 3 2 2 6 3" xfId="24976" xr:uid="{00000000-0005-0000-0000-00007A660000}"/>
    <cellStyle name="Normal 8 3 2 2 7" xfId="10190" xr:uid="{00000000-0005-0000-0000-00007B660000}"/>
    <cellStyle name="Normal 8 3 2 2 7 2" xfId="29905" xr:uid="{00000000-0005-0000-0000-00007C660000}"/>
    <cellStyle name="Normal 8 3 2 2 8" xfId="20048" xr:uid="{00000000-0005-0000-0000-00007D660000}"/>
    <cellStyle name="Normal 8 3 2 3" xfId="470" xr:uid="{00000000-0005-0000-0000-00007E660000}"/>
    <cellStyle name="Normal 8 3 2 3 2" xfId="1090" xr:uid="{00000000-0005-0000-0000-00007F660000}"/>
    <cellStyle name="Normal 8 3 2 3 2 2" xfId="2325" xr:uid="{00000000-0005-0000-0000-000080660000}"/>
    <cellStyle name="Normal 8 3 2 3 2 2 2" xfId="4792" xr:uid="{00000000-0005-0000-0000-000081660000}"/>
    <cellStyle name="Normal 8 3 2 3 2 2 2 2" xfId="9724" xr:uid="{00000000-0005-0000-0000-000082660000}"/>
    <cellStyle name="Normal 8 3 2 3 2 2 2 2 2" xfId="19584" xr:uid="{00000000-0005-0000-0000-000083660000}"/>
    <cellStyle name="Normal 8 3 2 3 2 2 2 2 2 2" xfId="39299" xr:uid="{00000000-0005-0000-0000-000084660000}"/>
    <cellStyle name="Normal 8 3 2 3 2 2 2 2 3" xfId="29442" xr:uid="{00000000-0005-0000-0000-000085660000}"/>
    <cellStyle name="Normal 8 3 2 3 2 2 2 3" xfId="14656" xr:uid="{00000000-0005-0000-0000-000086660000}"/>
    <cellStyle name="Normal 8 3 2 3 2 2 2 3 2" xfId="34371" xr:uid="{00000000-0005-0000-0000-000087660000}"/>
    <cellStyle name="Normal 8 3 2 3 2 2 2 4" xfId="24514" xr:uid="{00000000-0005-0000-0000-000088660000}"/>
    <cellStyle name="Normal 8 3 2 3 2 2 3" xfId="7260" xr:uid="{00000000-0005-0000-0000-000089660000}"/>
    <cellStyle name="Normal 8 3 2 3 2 2 3 2" xfId="17120" xr:uid="{00000000-0005-0000-0000-00008A660000}"/>
    <cellStyle name="Normal 8 3 2 3 2 2 3 2 2" xfId="36835" xr:uid="{00000000-0005-0000-0000-00008B660000}"/>
    <cellStyle name="Normal 8 3 2 3 2 2 3 3" xfId="26978" xr:uid="{00000000-0005-0000-0000-00008C660000}"/>
    <cellStyle name="Normal 8 3 2 3 2 2 4" xfId="12192" xr:uid="{00000000-0005-0000-0000-00008D660000}"/>
    <cellStyle name="Normal 8 3 2 3 2 2 4 2" xfId="31907" xr:uid="{00000000-0005-0000-0000-00008E660000}"/>
    <cellStyle name="Normal 8 3 2 3 2 2 5" xfId="22050" xr:uid="{00000000-0005-0000-0000-00008F660000}"/>
    <cellStyle name="Normal 8 3 2 3 2 3" xfId="3560" xr:uid="{00000000-0005-0000-0000-000090660000}"/>
    <cellStyle name="Normal 8 3 2 3 2 3 2" xfId="8492" xr:uid="{00000000-0005-0000-0000-000091660000}"/>
    <cellStyle name="Normal 8 3 2 3 2 3 2 2" xfId="18352" xr:uid="{00000000-0005-0000-0000-000092660000}"/>
    <cellStyle name="Normal 8 3 2 3 2 3 2 2 2" xfId="38067" xr:uid="{00000000-0005-0000-0000-000093660000}"/>
    <cellStyle name="Normal 8 3 2 3 2 3 2 3" xfId="28210" xr:uid="{00000000-0005-0000-0000-000094660000}"/>
    <cellStyle name="Normal 8 3 2 3 2 3 3" xfId="13424" xr:uid="{00000000-0005-0000-0000-000095660000}"/>
    <cellStyle name="Normal 8 3 2 3 2 3 3 2" xfId="33139" xr:uid="{00000000-0005-0000-0000-000096660000}"/>
    <cellStyle name="Normal 8 3 2 3 2 3 4" xfId="23282" xr:uid="{00000000-0005-0000-0000-000097660000}"/>
    <cellStyle name="Normal 8 3 2 3 2 4" xfId="6028" xr:uid="{00000000-0005-0000-0000-000098660000}"/>
    <cellStyle name="Normal 8 3 2 3 2 4 2" xfId="15888" xr:uid="{00000000-0005-0000-0000-000099660000}"/>
    <cellStyle name="Normal 8 3 2 3 2 4 2 2" xfId="35603" xr:uid="{00000000-0005-0000-0000-00009A660000}"/>
    <cellStyle name="Normal 8 3 2 3 2 4 3" xfId="25746" xr:uid="{00000000-0005-0000-0000-00009B660000}"/>
    <cellStyle name="Normal 8 3 2 3 2 5" xfId="10960" xr:uid="{00000000-0005-0000-0000-00009C660000}"/>
    <cellStyle name="Normal 8 3 2 3 2 5 2" xfId="30675" xr:uid="{00000000-0005-0000-0000-00009D660000}"/>
    <cellStyle name="Normal 8 3 2 3 2 6" xfId="20818" xr:uid="{00000000-0005-0000-0000-00009E660000}"/>
    <cellStyle name="Normal 8 3 2 3 3" xfId="1709" xr:uid="{00000000-0005-0000-0000-00009F660000}"/>
    <cellStyle name="Normal 8 3 2 3 3 2" xfId="4176" xr:uid="{00000000-0005-0000-0000-0000A0660000}"/>
    <cellStyle name="Normal 8 3 2 3 3 2 2" xfId="9108" xr:uid="{00000000-0005-0000-0000-0000A1660000}"/>
    <cellStyle name="Normal 8 3 2 3 3 2 2 2" xfId="18968" xr:uid="{00000000-0005-0000-0000-0000A2660000}"/>
    <cellStyle name="Normal 8 3 2 3 3 2 2 2 2" xfId="38683" xr:uid="{00000000-0005-0000-0000-0000A3660000}"/>
    <cellStyle name="Normal 8 3 2 3 3 2 2 3" xfId="28826" xr:uid="{00000000-0005-0000-0000-0000A4660000}"/>
    <cellStyle name="Normal 8 3 2 3 3 2 3" xfId="14040" xr:uid="{00000000-0005-0000-0000-0000A5660000}"/>
    <cellStyle name="Normal 8 3 2 3 3 2 3 2" xfId="33755" xr:uid="{00000000-0005-0000-0000-0000A6660000}"/>
    <cellStyle name="Normal 8 3 2 3 3 2 4" xfId="23898" xr:uid="{00000000-0005-0000-0000-0000A7660000}"/>
    <cellStyle name="Normal 8 3 2 3 3 3" xfId="6644" xr:uid="{00000000-0005-0000-0000-0000A8660000}"/>
    <cellStyle name="Normal 8 3 2 3 3 3 2" xfId="16504" xr:uid="{00000000-0005-0000-0000-0000A9660000}"/>
    <cellStyle name="Normal 8 3 2 3 3 3 2 2" xfId="36219" xr:uid="{00000000-0005-0000-0000-0000AA660000}"/>
    <cellStyle name="Normal 8 3 2 3 3 3 3" xfId="26362" xr:uid="{00000000-0005-0000-0000-0000AB660000}"/>
    <cellStyle name="Normal 8 3 2 3 3 4" xfId="11576" xr:uid="{00000000-0005-0000-0000-0000AC660000}"/>
    <cellStyle name="Normal 8 3 2 3 3 4 2" xfId="31291" xr:uid="{00000000-0005-0000-0000-0000AD660000}"/>
    <cellStyle name="Normal 8 3 2 3 3 5" xfId="21434" xr:uid="{00000000-0005-0000-0000-0000AE660000}"/>
    <cellStyle name="Normal 8 3 2 3 4" xfId="2944" xr:uid="{00000000-0005-0000-0000-0000AF660000}"/>
    <cellStyle name="Normal 8 3 2 3 4 2" xfId="7876" xr:uid="{00000000-0005-0000-0000-0000B0660000}"/>
    <cellStyle name="Normal 8 3 2 3 4 2 2" xfId="17736" xr:uid="{00000000-0005-0000-0000-0000B1660000}"/>
    <cellStyle name="Normal 8 3 2 3 4 2 2 2" xfId="37451" xr:uid="{00000000-0005-0000-0000-0000B2660000}"/>
    <cellStyle name="Normal 8 3 2 3 4 2 3" xfId="27594" xr:uid="{00000000-0005-0000-0000-0000B3660000}"/>
    <cellStyle name="Normal 8 3 2 3 4 3" xfId="12808" xr:uid="{00000000-0005-0000-0000-0000B4660000}"/>
    <cellStyle name="Normal 8 3 2 3 4 3 2" xfId="32523" xr:uid="{00000000-0005-0000-0000-0000B5660000}"/>
    <cellStyle name="Normal 8 3 2 3 4 4" xfId="22666" xr:uid="{00000000-0005-0000-0000-0000B6660000}"/>
    <cellStyle name="Normal 8 3 2 3 5" xfId="5412" xr:uid="{00000000-0005-0000-0000-0000B7660000}"/>
    <cellStyle name="Normal 8 3 2 3 5 2" xfId="15272" xr:uid="{00000000-0005-0000-0000-0000B8660000}"/>
    <cellStyle name="Normal 8 3 2 3 5 2 2" xfId="34987" xr:uid="{00000000-0005-0000-0000-0000B9660000}"/>
    <cellStyle name="Normal 8 3 2 3 5 3" xfId="25130" xr:uid="{00000000-0005-0000-0000-0000BA660000}"/>
    <cellStyle name="Normal 8 3 2 3 6" xfId="10344" xr:uid="{00000000-0005-0000-0000-0000BB660000}"/>
    <cellStyle name="Normal 8 3 2 3 6 2" xfId="30059" xr:uid="{00000000-0005-0000-0000-0000BC660000}"/>
    <cellStyle name="Normal 8 3 2 3 7" xfId="20202" xr:uid="{00000000-0005-0000-0000-0000BD660000}"/>
    <cellStyle name="Normal 8 3 2 4" xfId="783" xr:uid="{00000000-0005-0000-0000-0000BE660000}"/>
    <cellStyle name="Normal 8 3 2 4 2" xfId="2019" xr:uid="{00000000-0005-0000-0000-0000BF660000}"/>
    <cellStyle name="Normal 8 3 2 4 2 2" xfId="4486" xr:uid="{00000000-0005-0000-0000-0000C0660000}"/>
    <cellStyle name="Normal 8 3 2 4 2 2 2" xfId="9418" xr:uid="{00000000-0005-0000-0000-0000C1660000}"/>
    <cellStyle name="Normal 8 3 2 4 2 2 2 2" xfId="19278" xr:uid="{00000000-0005-0000-0000-0000C2660000}"/>
    <cellStyle name="Normal 8 3 2 4 2 2 2 2 2" xfId="38993" xr:uid="{00000000-0005-0000-0000-0000C3660000}"/>
    <cellStyle name="Normal 8 3 2 4 2 2 2 3" xfId="29136" xr:uid="{00000000-0005-0000-0000-0000C4660000}"/>
    <cellStyle name="Normal 8 3 2 4 2 2 3" xfId="14350" xr:uid="{00000000-0005-0000-0000-0000C5660000}"/>
    <cellStyle name="Normal 8 3 2 4 2 2 3 2" xfId="34065" xr:uid="{00000000-0005-0000-0000-0000C6660000}"/>
    <cellStyle name="Normal 8 3 2 4 2 2 4" xfId="24208" xr:uid="{00000000-0005-0000-0000-0000C7660000}"/>
    <cellStyle name="Normal 8 3 2 4 2 3" xfId="6954" xr:uid="{00000000-0005-0000-0000-0000C8660000}"/>
    <cellStyle name="Normal 8 3 2 4 2 3 2" xfId="16814" xr:uid="{00000000-0005-0000-0000-0000C9660000}"/>
    <cellStyle name="Normal 8 3 2 4 2 3 2 2" xfId="36529" xr:uid="{00000000-0005-0000-0000-0000CA660000}"/>
    <cellStyle name="Normal 8 3 2 4 2 3 3" xfId="26672" xr:uid="{00000000-0005-0000-0000-0000CB660000}"/>
    <cellStyle name="Normal 8 3 2 4 2 4" xfId="11886" xr:uid="{00000000-0005-0000-0000-0000CC660000}"/>
    <cellStyle name="Normal 8 3 2 4 2 4 2" xfId="31601" xr:uid="{00000000-0005-0000-0000-0000CD660000}"/>
    <cellStyle name="Normal 8 3 2 4 2 5" xfId="21744" xr:uid="{00000000-0005-0000-0000-0000CE660000}"/>
    <cellStyle name="Normal 8 3 2 4 3" xfId="3254" xr:uid="{00000000-0005-0000-0000-0000CF660000}"/>
    <cellStyle name="Normal 8 3 2 4 3 2" xfId="8186" xr:uid="{00000000-0005-0000-0000-0000D0660000}"/>
    <cellStyle name="Normal 8 3 2 4 3 2 2" xfId="18046" xr:uid="{00000000-0005-0000-0000-0000D1660000}"/>
    <cellStyle name="Normal 8 3 2 4 3 2 2 2" xfId="37761" xr:uid="{00000000-0005-0000-0000-0000D2660000}"/>
    <cellStyle name="Normal 8 3 2 4 3 2 3" xfId="27904" xr:uid="{00000000-0005-0000-0000-0000D3660000}"/>
    <cellStyle name="Normal 8 3 2 4 3 3" xfId="13118" xr:uid="{00000000-0005-0000-0000-0000D4660000}"/>
    <cellStyle name="Normal 8 3 2 4 3 3 2" xfId="32833" xr:uid="{00000000-0005-0000-0000-0000D5660000}"/>
    <cellStyle name="Normal 8 3 2 4 3 4" xfId="22976" xr:uid="{00000000-0005-0000-0000-0000D6660000}"/>
    <cellStyle name="Normal 8 3 2 4 4" xfId="5722" xr:uid="{00000000-0005-0000-0000-0000D7660000}"/>
    <cellStyle name="Normal 8 3 2 4 4 2" xfId="15582" xr:uid="{00000000-0005-0000-0000-0000D8660000}"/>
    <cellStyle name="Normal 8 3 2 4 4 2 2" xfId="35297" xr:uid="{00000000-0005-0000-0000-0000D9660000}"/>
    <cellStyle name="Normal 8 3 2 4 4 3" xfId="25440" xr:uid="{00000000-0005-0000-0000-0000DA660000}"/>
    <cellStyle name="Normal 8 3 2 4 5" xfId="10654" xr:uid="{00000000-0005-0000-0000-0000DB660000}"/>
    <cellStyle name="Normal 8 3 2 4 5 2" xfId="30369" xr:uid="{00000000-0005-0000-0000-0000DC660000}"/>
    <cellStyle name="Normal 8 3 2 4 6" xfId="20512" xr:uid="{00000000-0005-0000-0000-0000DD660000}"/>
    <cellStyle name="Normal 8 3 2 5" xfId="1403" xr:uid="{00000000-0005-0000-0000-0000DE660000}"/>
    <cellStyle name="Normal 8 3 2 5 2" xfId="3870" xr:uid="{00000000-0005-0000-0000-0000DF660000}"/>
    <cellStyle name="Normal 8 3 2 5 2 2" xfId="8802" xr:uid="{00000000-0005-0000-0000-0000E0660000}"/>
    <cellStyle name="Normal 8 3 2 5 2 2 2" xfId="18662" xr:uid="{00000000-0005-0000-0000-0000E1660000}"/>
    <cellStyle name="Normal 8 3 2 5 2 2 2 2" xfId="38377" xr:uid="{00000000-0005-0000-0000-0000E2660000}"/>
    <cellStyle name="Normal 8 3 2 5 2 2 3" xfId="28520" xr:uid="{00000000-0005-0000-0000-0000E3660000}"/>
    <cellStyle name="Normal 8 3 2 5 2 3" xfId="13734" xr:uid="{00000000-0005-0000-0000-0000E4660000}"/>
    <cellStyle name="Normal 8 3 2 5 2 3 2" xfId="33449" xr:uid="{00000000-0005-0000-0000-0000E5660000}"/>
    <cellStyle name="Normal 8 3 2 5 2 4" xfId="23592" xr:uid="{00000000-0005-0000-0000-0000E6660000}"/>
    <cellStyle name="Normal 8 3 2 5 3" xfId="6338" xr:uid="{00000000-0005-0000-0000-0000E7660000}"/>
    <cellStyle name="Normal 8 3 2 5 3 2" xfId="16198" xr:uid="{00000000-0005-0000-0000-0000E8660000}"/>
    <cellStyle name="Normal 8 3 2 5 3 2 2" xfId="35913" xr:uid="{00000000-0005-0000-0000-0000E9660000}"/>
    <cellStyle name="Normal 8 3 2 5 3 3" xfId="26056" xr:uid="{00000000-0005-0000-0000-0000EA660000}"/>
    <cellStyle name="Normal 8 3 2 5 4" xfId="11270" xr:uid="{00000000-0005-0000-0000-0000EB660000}"/>
    <cellStyle name="Normal 8 3 2 5 4 2" xfId="30985" xr:uid="{00000000-0005-0000-0000-0000EC660000}"/>
    <cellStyle name="Normal 8 3 2 5 5" xfId="21128" xr:uid="{00000000-0005-0000-0000-0000ED660000}"/>
    <cellStyle name="Normal 8 3 2 6" xfId="2638" xr:uid="{00000000-0005-0000-0000-0000EE660000}"/>
    <cellStyle name="Normal 8 3 2 6 2" xfId="7570" xr:uid="{00000000-0005-0000-0000-0000EF660000}"/>
    <cellStyle name="Normal 8 3 2 6 2 2" xfId="17430" xr:uid="{00000000-0005-0000-0000-0000F0660000}"/>
    <cellStyle name="Normal 8 3 2 6 2 2 2" xfId="37145" xr:uid="{00000000-0005-0000-0000-0000F1660000}"/>
    <cellStyle name="Normal 8 3 2 6 2 3" xfId="27288" xr:uid="{00000000-0005-0000-0000-0000F2660000}"/>
    <cellStyle name="Normal 8 3 2 6 3" xfId="12502" xr:uid="{00000000-0005-0000-0000-0000F3660000}"/>
    <cellStyle name="Normal 8 3 2 6 3 2" xfId="32217" xr:uid="{00000000-0005-0000-0000-0000F4660000}"/>
    <cellStyle name="Normal 8 3 2 6 4" xfId="22360" xr:uid="{00000000-0005-0000-0000-0000F5660000}"/>
    <cellStyle name="Normal 8 3 2 7" xfId="5106" xr:uid="{00000000-0005-0000-0000-0000F6660000}"/>
    <cellStyle name="Normal 8 3 2 7 2" xfId="14966" xr:uid="{00000000-0005-0000-0000-0000F7660000}"/>
    <cellStyle name="Normal 8 3 2 7 2 2" xfId="34681" xr:uid="{00000000-0005-0000-0000-0000F8660000}"/>
    <cellStyle name="Normal 8 3 2 7 3" xfId="24824" xr:uid="{00000000-0005-0000-0000-0000F9660000}"/>
    <cellStyle name="Normal 8 3 2 8" xfId="10038" xr:uid="{00000000-0005-0000-0000-0000FA660000}"/>
    <cellStyle name="Normal 8 3 2 8 2" xfId="29753" xr:uid="{00000000-0005-0000-0000-0000FB660000}"/>
    <cellStyle name="Normal 8 3 2 9" xfId="19896" xr:uid="{00000000-0005-0000-0000-0000FC660000}"/>
    <cellStyle name="Normal 8 3 3" xfId="232" xr:uid="{00000000-0005-0000-0000-0000FD660000}"/>
    <cellStyle name="Normal 8 3 3 2" xfId="546" xr:uid="{00000000-0005-0000-0000-0000FE660000}"/>
    <cellStyle name="Normal 8 3 3 2 2" xfId="1166" xr:uid="{00000000-0005-0000-0000-0000FF660000}"/>
    <cellStyle name="Normal 8 3 3 2 2 2" xfId="2401" xr:uid="{00000000-0005-0000-0000-000000670000}"/>
    <cellStyle name="Normal 8 3 3 2 2 2 2" xfId="4868" xr:uid="{00000000-0005-0000-0000-000001670000}"/>
    <cellStyle name="Normal 8 3 3 2 2 2 2 2" xfId="9800" xr:uid="{00000000-0005-0000-0000-000002670000}"/>
    <cellStyle name="Normal 8 3 3 2 2 2 2 2 2" xfId="19660" xr:uid="{00000000-0005-0000-0000-000003670000}"/>
    <cellStyle name="Normal 8 3 3 2 2 2 2 2 2 2" xfId="39375" xr:uid="{00000000-0005-0000-0000-000004670000}"/>
    <cellStyle name="Normal 8 3 3 2 2 2 2 2 3" xfId="29518" xr:uid="{00000000-0005-0000-0000-000005670000}"/>
    <cellStyle name="Normal 8 3 3 2 2 2 2 3" xfId="14732" xr:uid="{00000000-0005-0000-0000-000006670000}"/>
    <cellStyle name="Normal 8 3 3 2 2 2 2 3 2" xfId="34447" xr:uid="{00000000-0005-0000-0000-000007670000}"/>
    <cellStyle name="Normal 8 3 3 2 2 2 2 4" xfId="24590" xr:uid="{00000000-0005-0000-0000-000008670000}"/>
    <cellStyle name="Normal 8 3 3 2 2 2 3" xfId="7336" xr:uid="{00000000-0005-0000-0000-000009670000}"/>
    <cellStyle name="Normal 8 3 3 2 2 2 3 2" xfId="17196" xr:uid="{00000000-0005-0000-0000-00000A670000}"/>
    <cellStyle name="Normal 8 3 3 2 2 2 3 2 2" xfId="36911" xr:uid="{00000000-0005-0000-0000-00000B670000}"/>
    <cellStyle name="Normal 8 3 3 2 2 2 3 3" xfId="27054" xr:uid="{00000000-0005-0000-0000-00000C670000}"/>
    <cellStyle name="Normal 8 3 3 2 2 2 4" xfId="12268" xr:uid="{00000000-0005-0000-0000-00000D670000}"/>
    <cellStyle name="Normal 8 3 3 2 2 2 4 2" xfId="31983" xr:uid="{00000000-0005-0000-0000-00000E670000}"/>
    <cellStyle name="Normal 8 3 3 2 2 2 5" xfId="22126" xr:uid="{00000000-0005-0000-0000-00000F670000}"/>
    <cellStyle name="Normal 8 3 3 2 2 3" xfId="3636" xr:uid="{00000000-0005-0000-0000-000010670000}"/>
    <cellStyle name="Normal 8 3 3 2 2 3 2" xfId="8568" xr:uid="{00000000-0005-0000-0000-000011670000}"/>
    <cellStyle name="Normal 8 3 3 2 2 3 2 2" xfId="18428" xr:uid="{00000000-0005-0000-0000-000012670000}"/>
    <cellStyle name="Normal 8 3 3 2 2 3 2 2 2" xfId="38143" xr:uid="{00000000-0005-0000-0000-000013670000}"/>
    <cellStyle name="Normal 8 3 3 2 2 3 2 3" xfId="28286" xr:uid="{00000000-0005-0000-0000-000014670000}"/>
    <cellStyle name="Normal 8 3 3 2 2 3 3" xfId="13500" xr:uid="{00000000-0005-0000-0000-000015670000}"/>
    <cellStyle name="Normal 8 3 3 2 2 3 3 2" xfId="33215" xr:uid="{00000000-0005-0000-0000-000016670000}"/>
    <cellStyle name="Normal 8 3 3 2 2 3 4" xfId="23358" xr:uid="{00000000-0005-0000-0000-000017670000}"/>
    <cellStyle name="Normal 8 3 3 2 2 4" xfId="6104" xr:uid="{00000000-0005-0000-0000-000018670000}"/>
    <cellStyle name="Normal 8 3 3 2 2 4 2" xfId="15964" xr:uid="{00000000-0005-0000-0000-000019670000}"/>
    <cellStyle name="Normal 8 3 3 2 2 4 2 2" xfId="35679" xr:uid="{00000000-0005-0000-0000-00001A670000}"/>
    <cellStyle name="Normal 8 3 3 2 2 4 3" xfId="25822" xr:uid="{00000000-0005-0000-0000-00001B670000}"/>
    <cellStyle name="Normal 8 3 3 2 2 5" xfId="11036" xr:uid="{00000000-0005-0000-0000-00001C670000}"/>
    <cellStyle name="Normal 8 3 3 2 2 5 2" xfId="30751" xr:uid="{00000000-0005-0000-0000-00001D670000}"/>
    <cellStyle name="Normal 8 3 3 2 2 6" xfId="20894" xr:uid="{00000000-0005-0000-0000-00001E670000}"/>
    <cellStyle name="Normal 8 3 3 2 3" xfId="1785" xr:uid="{00000000-0005-0000-0000-00001F670000}"/>
    <cellStyle name="Normal 8 3 3 2 3 2" xfId="4252" xr:uid="{00000000-0005-0000-0000-000020670000}"/>
    <cellStyle name="Normal 8 3 3 2 3 2 2" xfId="9184" xr:uid="{00000000-0005-0000-0000-000021670000}"/>
    <cellStyle name="Normal 8 3 3 2 3 2 2 2" xfId="19044" xr:uid="{00000000-0005-0000-0000-000022670000}"/>
    <cellStyle name="Normal 8 3 3 2 3 2 2 2 2" xfId="38759" xr:uid="{00000000-0005-0000-0000-000023670000}"/>
    <cellStyle name="Normal 8 3 3 2 3 2 2 3" xfId="28902" xr:uid="{00000000-0005-0000-0000-000024670000}"/>
    <cellStyle name="Normal 8 3 3 2 3 2 3" xfId="14116" xr:uid="{00000000-0005-0000-0000-000025670000}"/>
    <cellStyle name="Normal 8 3 3 2 3 2 3 2" xfId="33831" xr:uid="{00000000-0005-0000-0000-000026670000}"/>
    <cellStyle name="Normal 8 3 3 2 3 2 4" xfId="23974" xr:uid="{00000000-0005-0000-0000-000027670000}"/>
    <cellStyle name="Normal 8 3 3 2 3 3" xfId="6720" xr:uid="{00000000-0005-0000-0000-000028670000}"/>
    <cellStyle name="Normal 8 3 3 2 3 3 2" xfId="16580" xr:uid="{00000000-0005-0000-0000-000029670000}"/>
    <cellStyle name="Normal 8 3 3 2 3 3 2 2" xfId="36295" xr:uid="{00000000-0005-0000-0000-00002A670000}"/>
    <cellStyle name="Normal 8 3 3 2 3 3 3" xfId="26438" xr:uid="{00000000-0005-0000-0000-00002B670000}"/>
    <cellStyle name="Normal 8 3 3 2 3 4" xfId="11652" xr:uid="{00000000-0005-0000-0000-00002C670000}"/>
    <cellStyle name="Normal 8 3 3 2 3 4 2" xfId="31367" xr:uid="{00000000-0005-0000-0000-00002D670000}"/>
    <cellStyle name="Normal 8 3 3 2 3 5" xfId="21510" xr:uid="{00000000-0005-0000-0000-00002E670000}"/>
    <cellStyle name="Normal 8 3 3 2 4" xfId="3020" xr:uid="{00000000-0005-0000-0000-00002F670000}"/>
    <cellStyle name="Normal 8 3 3 2 4 2" xfId="7952" xr:uid="{00000000-0005-0000-0000-000030670000}"/>
    <cellStyle name="Normal 8 3 3 2 4 2 2" xfId="17812" xr:uid="{00000000-0005-0000-0000-000031670000}"/>
    <cellStyle name="Normal 8 3 3 2 4 2 2 2" xfId="37527" xr:uid="{00000000-0005-0000-0000-000032670000}"/>
    <cellStyle name="Normal 8 3 3 2 4 2 3" xfId="27670" xr:uid="{00000000-0005-0000-0000-000033670000}"/>
    <cellStyle name="Normal 8 3 3 2 4 3" xfId="12884" xr:uid="{00000000-0005-0000-0000-000034670000}"/>
    <cellStyle name="Normal 8 3 3 2 4 3 2" xfId="32599" xr:uid="{00000000-0005-0000-0000-000035670000}"/>
    <cellStyle name="Normal 8 3 3 2 4 4" xfId="22742" xr:uid="{00000000-0005-0000-0000-000036670000}"/>
    <cellStyle name="Normal 8 3 3 2 5" xfId="5488" xr:uid="{00000000-0005-0000-0000-000037670000}"/>
    <cellStyle name="Normal 8 3 3 2 5 2" xfId="15348" xr:uid="{00000000-0005-0000-0000-000038670000}"/>
    <cellStyle name="Normal 8 3 3 2 5 2 2" xfId="35063" xr:uid="{00000000-0005-0000-0000-000039670000}"/>
    <cellStyle name="Normal 8 3 3 2 5 3" xfId="25206" xr:uid="{00000000-0005-0000-0000-00003A670000}"/>
    <cellStyle name="Normal 8 3 3 2 6" xfId="10420" xr:uid="{00000000-0005-0000-0000-00003B670000}"/>
    <cellStyle name="Normal 8 3 3 2 6 2" xfId="30135" xr:uid="{00000000-0005-0000-0000-00003C670000}"/>
    <cellStyle name="Normal 8 3 3 2 7" xfId="20278" xr:uid="{00000000-0005-0000-0000-00003D670000}"/>
    <cellStyle name="Normal 8 3 3 3" xfId="859" xr:uid="{00000000-0005-0000-0000-00003E670000}"/>
    <cellStyle name="Normal 8 3 3 3 2" xfId="2095" xr:uid="{00000000-0005-0000-0000-00003F670000}"/>
    <cellStyle name="Normal 8 3 3 3 2 2" xfId="4562" xr:uid="{00000000-0005-0000-0000-000040670000}"/>
    <cellStyle name="Normal 8 3 3 3 2 2 2" xfId="9494" xr:uid="{00000000-0005-0000-0000-000041670000}"/>
    <cellStyle name="Normal 8 3 3 3 2 2 2 2" xfId="19354" xr:uid="{00000000-0005-0000-0000-000042670000}"/>
    <cellStyle name="Normal 8 3 3 3 2 2 2 2 2" xfId="39069" xr:uid="{00000000-0005-0000-0000-000043670000}"/>
    <cellStyle name="Normal 8 3 3 3 2 2 2 3" xfId="29212" xr:uid="{00000000-0005-0000-0000-000044670000}"/>
    <cellStyle name="Normal 8 3 3 3 2 2 3" xfId="14426" xr:uid="{00000000-0005-0000-0000-000045670000}"/>
    <cellStyle name="Normal 8 3 3 3 2 2 3 2" xfId="34141" xr:uid="{00000000-0005-0000-0000-000046670000}"/>
    <cellStyle name="Normal 8 3 3 3 2 2 4" xfId="24284" xr:uid="{00000000-0005-0000-0000-000047670000}"/>
    <cellStyle name="Normal 8 3 3 3 2 3" xfId="7030" xr:uid="{00000000-0005-0000-0000-000048670000}"/>
    <cellStyle name="Normal 8 3 3 3 2 3 2" xfId="16890" xr:uid="{00000000-0005-0000-0000-000049670000}"/>
    <cellStyle name="Normal 8 3 3 3 2 3 2 2" xfId="36605" xr:uid="{00000000-0005-0000-0000-00004A670000}"/>
    <cellStyle name="Normal 8 3 3 3 2 3 3" xfId="26748" xr:uid="{00000000-0005-0000-0000-00004B670000}"/>
    <cellStyle name="Normal 8 3 3 3 2 4" xfId="11962" xr:uid="{00000000-0005-0000-0000-00004C670000}"/>
    <cellStyle name="Normal 8 3 3 3 2 4 2" xfId="31677" xr:uid="{00000000-0005-0000-0000-00004D670000}"/>
    <cellStyle name="Normal 8 3 3 3 2 5" xfId="21820" xr:uid="{00000000-0005-0000-0000-00004E670000}"/>
    <cellStyle name="Normal 8 3 3 3 3" xfId="3330" xr:uid="{00000000-0005-0000-0000-00004F670000}"/>
    <cellStyle name="Normal 8 3 3 3 3 2" xfId="8262" xr:uid="{00000000-0005-0000-0000-000050670000}"/>
    <cellStyle name="Normal 8 3 3 3 3 2 2" xfId="18122" xr:uid="{00000000-0005-0000-0000-000051670000}"/>
    <cellStyle name="Normal 8 3 3 3 3 2 2 2" xfId="37837" xr:uid="{00000000-0005-0000-0000-000052670000}"/>
    <cellStyle name="Normal 8 3 3 3 3 2 3" xfId="27980" xr:uid="{00000000-0005-0000-0000-000053670000}"/>
    <cellStyle name="Normal 8 3 3 3 3 3" xfId="13194" xr:uid="{00000000-0005-0000-0000-000054670000}"/>
    <cellStyle name="Normal 8 3 3 3 3 3 2" xfId="32909" xr:uid="{00000000-0005-0000-0000-000055670000}"/>
    <cellStyle name="Normal 8 3 3 3 3 4" xfId="23052" xr:uid="{00000000-0005-0000-0000-000056670000}"/>
    <cellStyle name="Normal 8 3 3 3 4" xfId="5798" xr:uid="{00000000-0005-0000-0000-000057670000}"/>
    <cellStyle name="Normal 8 3 3 3 4 2" xfId="15658" xr:uid="{00000000-0005-0000-0000-000058670000}"/>
    <cellStyle name="Normal 8 3 3 3 4 2 2" xfId="35373" xr:uid="{00000000-0005-0000-0000-000059670000}"/>
    <cellStyle name="Normal 8 3 3 3 4 3" xfId="25516" xr:uid="{00000000-0005-0000-0000-00005A670000}"/>
    <cellStyle name="Normal 8 3 3 3 5" xfId="10730" xr:uid="{00000000-0005-0000-0000-00005B670000}"/>
    <cellStyle name="Normal 8 3 3 3 5 2" xfId="30445" xr:uid="{00000000-0005-0000-0000-00005C670000}"/>
    <cellStyle name="Normal 8 3 3 3 6" xfId="20588" xr:uid="{00000000-0005-0000-0000-00005D670000}"/>
    <cellStyle name="Normal 8 3 3 4" xfId="1479" xr:uid="{00000000-0005-0000-0000-00005E670000}"/>
    <cellStyle name="Normal 8 3 3 4 2" xfId="3946" xr:uid="{00000000-0005-0000-0000-00005F670000}"/>
    <cellStyle name="Normal 8 3 3 4 2 2" xfId="8878" xr:uid="{00000000-0005-0000-0000-000060670000}"/>
    <cellStyle name="Normal 8 3 3 4 2 2 2" xfId="18738" xr:uid="{00000000-0005-0000-0000-000061670000}"/>
    <cellStyle name="Normal 8 3 3 4 2 2 2 2" xfId="38453" xr:uid="{00000000-0005-0000-0000-000062670000}"/>
    <cellStyle name="Normal 8 3 3 4 2 2 3" xfId="28596" xr:uid="{00000000-0005-0000-0000-000063670000}"/>
    <cellStyle name="Normal 8 3 3 4 2 3" xfId="13810" xr:uid="{00000000-0005-0000-0000-000064670000}"/>
    <cellStyle name="Normal 8 3 3 4 2 3 2" xfId="33525" xr:uid="{00000000-0005-0000-0000-000065670000}"/>
    <cellStyle name="Normal 8 3 3 4 2 4" xfId="23668" xr:uid="{00000000-0005-0000-0000-000066670000}"/>
    <cellStyle name="Normal 8 3 3 4 3" xfId="6414" xr:uid="{00000000-0005-0000-0000-000067670000}"/>
    <cellStyle name="Normal 8 3 3 4 3 2" xfId="16274" xr:uid="{00000000-0005-0000-0000-000068670000}"/>
    <cellStyle name="Normal 8 3 3 4 3 2 2" xfId="35989" xr:uid="{00000000-0005-0000-0000-000069670000}"/>
    <cellStyle name="Normal 8 3 3 4 3 3" xfId="26132" xr:uid="{00000000-0005-0000-0000-00006A670000}"/>
    <cellStyle name="Normal 8 3 3 4 4" xfId="11346" xr:uid="{00000000-0005-0000-0000-00006B670000}"/>
    <cellStyle name="Normal 8 3 3 4 4 2" xfId="31061" xr:uid="{00000000-0005-0000-0000-00006C670000}"/>
    <cellStyle name="Normal 8 3 3 4 5" xfId="21204" xr:uid="{00000000-0005-0000-0000-00006D670000}"/>
    <cellStyle name="Normal 8 3 3 5" xfId="2714" xr:uid="{00000000-0005-0000-0000-00006E670000}"/>
    <cellStyle name="Normal 8 3 3 5 2" xfId="7646" xr:uid="{00000000-0005-0000-0000-00006F670000}"/>
    <cellStyle name="Normal 8 3 3 5 2 2" xfId="17506" xr:uid="{00000000-0005-0000-0000-000070670000}"/>
    <cellStyle name="Normal 8 3 3 5 2 2 2" xfId="37221" xr:uid="{00000000-0005-0000-0000-000071670000}"/>
    <cellStyle name="Normal 8 3 3 5 2 3" xfId="27364" xr:uid="{00000000-0005-0000-0000-000072670000}"/>
    <cellStyle name="Normal 8 3 3 5 3" xfId="12578" xr:uid="{00000000-0005-0000-0000-000073670000}"/>
    <cellStyle name="Normal 8 3 3 5 3 2" xfId="32293" xr:uid="{00000000-0005-0000-0000-000074670000}"/>
    <cellStyle name="Normal 8 3 3 5 4" xfId="22436" xr:uid="{00000000-0005-0000-0000-000075670000}"/>
    <cellStyle name="Normal 8 3 3 6" xfId="5182" xr:uid="{00000000-0005-0000-0000-000076670000}"/>
    <cellStyle name="Normal 8 3 3 6 2" xfId="15042" xr:uid="{00000000-0005-0000-0000-000077670000}"/>
    <cellStyle name="Normal 8 3 3 6 2 2" xfId="34757" xr:uid="{00000000-0005-0000-0000-000078670000}"/>
    <cellStyle name="Normal 8 3 3 6 3" xfId="24900" xr:uid="{00000000-0005-0000-0000-000079670000}"/>
    <cellStyle name="Normal 8 3 3 7" xfId="10114" xr:uid="{00000000-0005-0000-0000-00007A670000}"/>
    <cellStyle name="Normal 8 3 3 7 2" xfId="29829" xr:uid="{00000000-0005-0000-0000-00007B670000}"/>
    <cellStyle name="Normal 8 3 3 8" xfId="19972" xr:uid="{00000000-0005-0000-0000-00007C670000}"/>
    <cellStyle name="Normal 8 3 4" xfId="394" xr:uid="{00000000-0005-0000-0000-00007D670000}"/>
    <cellStyle name="Normal 8 3 4 2" xfId="1014" xr:uid="{00000000-0005-0000-0000-00007E670000}"/>
    <cellStyle name="Normal 8 3 4 2 2" xfId="2249" xr:uid="{00000000-0005-0000-0000-00007F670000}"/>
    <cellStyle name="Normal 8 3 4 2 2 2" xfId="4716" xr:uid="{00000000-0005-0000-0000-000080670000}"/>
    <cellStyle name="Normal 8 3 4 2 2 2 2" xfId="9648" xr:uid="{00000000-0005-0000-0000-000081670000}"/>
    <cellStyle name="Normal 8 3 4 2 2 2 2 2" xfId="19508" xr:uid="{00000000-0005-0000-0000-000082670000}"/>
    <cellStyle name="Normal 8 3 4 2 2 2 2 2 2" xfId="39223" xr:uid="{00000000-0005-0000-0000-000083670000}"/>
    <cellStyle name="Normal 8 3 4 2 2 2 2 3" xfId="29366" xr:uid="{00000000-0005-0000-0000-000084670000}"/>
    <cellStyle name="Normal 8 3 4 2 2 2 3" xfId="14580" xr:uid="{00000000-0005-0000-0000-000085670000}"/>
    <cellStyle name="Normal 8 3 4 2 2 2 3 2" xfId="34295" xr:uid="{00000000-0005-0000-0000-000086670000}"/>
    <cellStyle name="Normal 8 3 4 2 2 2 4" xfId="24438" xr:uid="{00000000-0005-0000-0000-000087670000}"/>
    <cellStyle name="Normal 8 3 4 2 2 3" xfId="7184" xr:uid="{00000000-0005-0000-0000-000088670000}"/>
    <cellStyle name="Normal 8 3 4 2 2 3 2" xfId="17044" xr:uid="{00000000-0005-0000-0000-000089670000}"/>
    <cellStyle name="Normal 8 3 4 2 2 3 2 2" xfId="36759" xr:uid="{00000000-0005-0000-0000-00008A670000}"/>
    <cellStyle name="Normal 8 3 4 2 2 3 3" xfId="26902" xr:uid="{00000000-0005-0000-0000-00008B670000}"/>
    <cellStyle name="Normal 8 3 4 2 2 4" xfId="12116" xr:uid="{00000000-0005-0000-0000-00008C670000}"/>
    <cellStyle name="Normal 8 3 4 2 2 4 2" xfId="31831" xr:uid="{00000000-0005-0000-0000-00008D670000}"/>
    <cellStyle name="Normal 8 3 4 2 2 5" xfId="21974" xr:uid="{00000000-0005-0000-0000-00008E670000}"/>
    <cellStyle name="Normal 8 3 4 2 3" xfId="3484" xr:uid="{00000000-0005-0000-0000-00008F670000}"/>
    <cellStyle name="Normal 8 3 4 2 3 2" xfId="8416" xr:uid="{00000000-0005-0000-0000-000090670000}"/>
    <cellStyle name="Normal 8 3 4 2 3 2 2" xfId="18276" xr:uid="{00000000-0005-0000-0000-000091670000}"/>
    <cellStyle name="Normal 8 3 4 2 3 2 2 2" xfId="37991" xr:uid="{00000000-0005-0000-0000-000092670000}"/>
    <cellStyle name="Normal 8 3 4 2 3 2 3" xfId="28134" xr:uid="{00000000-0005-0000-0000-000093670000}"/>
    <cellStyle name="Normal 8 3 4 2 3 3" xfId="13348" xr:uid="{00000000-0005-0000-0000-000094670000}"/>
    <cellStyle name="Normal 8 3 4 2 3 3 2" xfId="33063" xr:uid="{00000000-0005-0000-0000-000095670000}"/>
    <cellStyle name="Normal 8 3 4 2 3 4" xfId="23206" xr:uid="{00000000-0005-0000-0000-000096670000}"/>
    <cellStyle name="Normal 8 3 4 2 4" xfId="5952" xr:uid="{00000000-0005-0000-0000-000097670000}"/>
    <cellStyle name="Normal 8 3 4 2 4 2" xfId="15812" xr:uid="{00000000-0005-0000-0000-000098670000}"/>
    <cellStyle name="Normal 8 3 4 2 4 2 2" xfId="35527" xr:uid="{00000000-0005-0000-0000-000099670000}"/>
    <cellStyle name="Normal 8 3 4 2 4 3" xfId="25670" xr:uid="{00000000-0005-0000-0000-00009A670000}"/>
    <cellStyle name="Normal 8 3 4 2 5" xfId="10884" xr:uid="{00000000-0005-0000-0000-00009B670000}"/>
    <cellStyle name="Normal 8 3 4 2 5 2" xfId="30599" xr:uid="{00000000-0005-0000-0000-00009C670000}"/>
    <cellStyle name="Normal 8 3 4 2 6" xfId="20742" xr:uid="{00000000-0005-0000-0000-00009D670000}"/>
    <cellStyle name="Normal 8 3 4 3" xfId="1633" xr:uid="{00000000-0005-0000-0000-00009E670000}"/>
    <cellStyle name="Normal 8 3 4 3 2" xfId="4100" xr:uid="{00000000-0005-0000-0000-00009F670000}"/>
    <cellStyle name="Normal 8 3 4 3 2 2" xfId="9032" xr:uid="{00000000-0005-0000-0000-0000A0670000}"/>
    <cellStyle name="Normal 8 3 4 3 2 2 2" xfId="18892" xr:uid="{00000000-0005-0000-0000-0000A1670000}"/>
    <cellStyle name="Normal 8 3 4 3 2 2 2 2" xfId="38607" xr:uid="{00000000-0005-0000-0000-0000A2670000}"/>
    <cellStyle name="Normal 8 3 4 3 2 2 3" xfId="28750" xr:uid="{00000000-0005-0000-0000-0000A3670000}"/>
    <cellStyle name="Normal 8 3 4 3 2 3" xfId="13964" xr:uid="{00000000-0005-0000-0000-0000A4670000}"/>
    <cellStyle name="Normal 8 3 4 3 2 3 2" xfId="33679" xr:uid="{00000000-0005-0000-0000-0000A5670000}"/>
    <cellStyle name="Normal 8 3 4 3 2 4" xfId="23822" xr:uid="{00000000-0005-0000-0000-0000A6670000}"/>
    <cellStyle name="Normal 8 3 4 3 3" xfId="6568" xr:uid="{00000000-0005-0000-0000-0000A7670000}"/>
    <cellStyle name="Normal 8 3 4 3 3 2" xfId="16428" xr:uid="{00000000-0005-0000-0000-0000A8670000}"/>
    <cellStyle name="Normal 8 3 4 3 3 2 2" xfId="36143" xr:uid="{00000000-0005-0000-0000-0000A9670000}"/>
    <cellStyle name="Normal 8 3 4 3 3 3" xfId="26286" xr:uid="{00000000-0005-0000-0000-0000AA670000}"/>
    <cellStyle name="Normal 8 3 4 3 4" xfId="11500" xr:uid="{00000000-0005-0000-0000-0000AB670000}"/>
    <cellStyle name="Normal 8 3 4 3 4 2" xfId="31215" xr:uid="{00000000-0005-0000-0000-0000AC670000}"/>
    <cellStyle name="Normal 8 3 4 3 5" xfId="21358" xr:uid="{00000000-0005-0000-0000-0000AD670000}"/>
    <cellStyle name="Normal 8 3 4 4" xfId="2868" xr:uid="{00000000-0005-0000-0000-0000AE670000}"/>
    <cellStyle name="Normal 8 3 4 4 2" xfId="7800" xr:uid="{00000000-0005-0000-0000-0000AF670000}"/>
    <cellStyle name="Normal 8 3 4 4 2 2" xfId="17660" xr:uid="{00000000-0005-0000-0000-0000B0670000}"/>
    <cellStyle name="Normal 8 3 4 4 2 2 2" xfId="37375" xr:uid="{00000000-0005-0000-0000-0000B1670000}"/>
    <cellStyle name="Normal 8 3 4 4 2 3" xfId="27518" xr:uid="{00000000-0005-0000-0000-0000B2670000}"/>
    <cellStyle name="Normal 8 3 4 4 3" xfId="12732" xr:uid="{00000000-0005-0000-0000-0000B3670000}"/>
    <cellStyle name="Normal 8 3 4 4 3 2" xfId="32447" xr:uid="{00000000-0005-0000-0000-0000B4670000}"/>
    <cellStyle name="Normal 8 3 4 4 4" xfId="22590" xr:uid="{00000000-0005-0000-0000-0000B5670000}"/>
    <cellStyle name="Normal 8 3 4 5" xfId="5336" xr:uid="{00000000-0005-0000-0000-0000B6670000}"/>
    <cellStyle name="Normal 8 3 4 5 2" xfId="15196" xr:uid="{00000000-0005-0000-0000-0000B7670000}"/>
    <cellStyle name="Normal 8 3 4 5 2 2" xfId="34911" xr:uid="{00000000-0005-0000-0000-0000B8670000}"/>
    <cellStyle name="Normal 8 3 4 5 3" xfId="25054" xr:uid="{00000000-0005-0000-0000-0000B9670000}"/>
    <cellStyle name="Normal 8 3 4 6" xfId="10268" xr:uid="{00000000-0005-0000-0000-0000BA670000}"/>
    <cellStyle name="Normal 8 3 4 6 2" xfId="29983" xr:uid="{00000000-0005-0000-0000-0000BB670000}"/>
    <cellStyle name="Normal 8 3 4 7" xfId="20126" xr:uid="{00000000-0005-0000-0000-0000BC670000}"/>
    <cellStyle name="Normal 8 3 5" xfId="707" xr:uid="{00000000-0005-0000-0000-0000BD670000}"/>
    <cellStyle name="Normal 8 3 5 2" xfId="1943" xr:uid="{00000000-0005-0000-0000-0000BE670000}"/>
    <cellStyle name="Normal 8 3 5 2 2" xfId="4410" xr:uid="{00000000-0005-0000-0000-0000BF670000}"/>
    <cellStyle name="Normal 8 3 5 2 2 2" xfId="9342" xr:uid="{00000000-0005-0000-0000-0000C0670000}"/>
    <cellStyle name="Normal 8 3 5 2 2 2 2" xfId="19202" xr:uid="{00000000-0005-0000-0000-0000C1670000}"/>
    <cellStyle name="Normal 8 3 5 2 2 2 2 2" xfId="38917" xr:uid="{00000000-0005-0000-0000-0000C2670000}"/>
    <cellStyle name="Normal 8 3 5 2 2 2 3" xfId="29060" xr:uid="{00000000-0005-0000-0000-0000C3670000}"/>
    <cellStyle name="Normal 8 3 5 2 2 3" xfId="14274" xr:uid="{00000000-0005-0000-0000-0000C4670000}"/>
    <cellStyle name="Normal 8 3 5 2 2 3 2" xfId="33989" xr:uid="{00000000-0005-0000-0000-0000C5670000}"/>
    <cellStyle name="Normal 8 3 5 2 2 4" xfId="24132" xr:uid="{00000000-0005-0000-0000-0000C6670000}"/>
    <cellStyle name="Normal 8 3 5 2 3" xfId="6878" xr:uid="{00000000-0005-0000-0000-0000C7670000}"/>
    <cellStyle name="Normal 8 3 5 2 3 2" xfId="16738" xr:uid="{00000000-0005-0000-0000-0000C8670000}"/>
    <cellStyle name="Normal 8 3 5 2 3 2 2" xfId="36453" xr:uid="{00000000-0005-0000-0000-0000C9670000}"/>
    <cellStyle name="Normal 8 3 5 2 3 3" xfId="26596" xr:uid="{00000000-0005-0000-0000-0000CA670000}"/>
    <cellStyle name="Normal 8 3 5 2 4" xfId="11810" xr:uid="{00000000-0005-0000-0000-0000CB670000}"/>
    <cellStyle name="Normal 8 3 5 2 4 2" xfId="31525" xr:uid="{00000000-0005-0000-0000-0000CC670000}"/>
    <cellStyle name="Normal 8 3 5 2 5" xfId="21668" xr:uid="{00000000-0005-0000-0000-0000CD670000}"/>
    <cellStyle name="Normal 8 3 5 3" xfId="3178" xr:uid="{00000000-0005-0000-0000-0000CE670000}"/>
    <cellStyle name="Normal 8 3 5 3 2" xfId="8110" xr:uid="{00000000-0005-0000-0000-0000CF670000}"/>
    <cellStyle name="Normal 8 3 5 3 2 2" xfId="17970" xr:uid="{00000000-0005-0000-0000-0000D0670000}"/>
    <cellStyle name="Normal 8 3 5 3 2 2 2" xfId="37685" xr:uid="{00000000-0005-0000-0000-0000D1670000}"/>
    <cellStyle name="Normal 8 3 5 3 2 3" xfId="27828" xr:uid="{00000000-0005-0000-0000-0000D2670000}"/>
    <cellStyle name="Normal 8 3 5 3 3" xfId="13042" xr:uid="{00000000-0005-0000-0000-0000D3670000}"/>
    <cellStyle name="Normal 8 3 5 3 3 2" xfId="32757" xr:uid="{00000000-0005-0000-0000-0000D4670000}"/>
    <cellStyle name="Normal 8 3 5 3 4" xfId="22900" xr:uid="{00000000-0005-0000-0000-0000D5670000}"/>
    <cellStyle name="Normal 8 3 5 4" xfId="5646" xr:uid="{00000000-0005-0000-0000-0000D6670000}"/>
    <cellStyle name="Normal 8 3 5 4 2" xfId="15506" xr:uid="{00000000-0005-0000-0000-0000D7670000}"/>
    <cellStyle name="Normal 8 3 5 4 2 2" xfId="35221" xr:uid="{00000000-0005-0000-0000-0000D8670000}"/>
    <cellStyle name="Normal 8 3 5 4 3" xfId="25364" xr:uid="{00000000-0005-0000-0000-0000D9670000}"/>
    <cellStyle name="Normal 8 3 5 5" xfId="10578" xr:uid="{00000000-0005-0000-0000-0000DA670000}"/>
    <cellStyle name="Normal 8 3 5 5 2" xfId="30293" xr:uid="{00000000-0005-0000-0000-0000DB670000}"/>
    <cellStyle name="Normal 8 3 5 6" xfId="20436" xr:uid="{00000000-0005-0000-0000-0000DC670000}"/>
    <cellStyle name="Normal 8 3 6" xfId="1327" xr:uid="{00000000-0005-0000-0000-0000DD670000}"/>
    <cellStyle name="Normal 8 3 6 2" xfId="3794" xr:uid="{00000000-0005-0000-0000-0000DE670000}"/>
    <cellStyle name="Normal 8 3 6 2 2" xfId="8726" xr:uid="{00000000-0005-0000-0000-0000DF670000}"/>
    <cellStyle name="Normal 8 3 6 2 2 2" xfId="18586" xr:uid="{00000000-0005-0000-0000-0000E0670000}"/>
    <cellStyle name="Normal 8 3 6 2 2 2 2" xfId="38301" xr:uid="{00000000-0005-0000-0000-0000E1670000}"/>
    <cellStyle name="Normal 8 3 6 2 2 3" xfId="28444" xr:uid="{00000000-0005-0000-0000-0000E2670000}"/>
    <cellStyle name="Normal 8 3 6 2 3" xfId="13658" xr:uid="{00000000-0005-0000-0000-0000E3670000}"/>
    <cellStyle name="Normal 8 3 6 2 3 2" xfId="33373" xr:uid="{00000000-0005-0000-0000-0000E4670000}"/>
    <cellStyle name="Normal 8 3 6 2 4" xfId="23516" xr:uid="{00000000-0005-0000-0000-0000E5670000}"/>
    <cellStyle name="Normal 8 3 6 3" xfId="6262" xr:uid="{00000000-0005-0000-0000-0000E6670000}"/>
    <cellStyle name="Normal 8 3 6 3 2" xfId="16122" xr:uid="{00000000-0005-0000-0000-0000E7670000}"/>
    <cellStyle name="Normal 8 3 6 3 2 2" xfId="35837" xr:uid="{00000000-0005-0000-0000-0000E8670000}"/>
    <cellStyle name="Normal 8 3 6 3 3" xfId="25980" xr:uid="{00000000-0005-0000-0000-0000E9670000}"/>
    <cellStyle name="Normal 8 3 6 4" xfId="11194" xr:uid="{00000000-0005-0000-0000-0000EA670000}"/>
    <cellStyle name="Normal 8 3 6 4 2" xfId="30909" xr:uid="{00000000-0005-0000-0000-0000EB670000}"/>
    <cellStyle name="Normal 8 3 6 5" xfId="21052" xr:uid="{00000000-0005-0000-0000-0000EC670000}"/>
    <cellStyle name="Normal 8 3 7" xfId="2562" xr:uid="{00000000-0005-0000-0000-0000ED670000}"/>
    <cellStyle name="Normal 8 3 7 2" xfId="7494" xr:uid="{00000000-0005-0000-0000-0000EE670000}"/>
    <cellStyle name="Normal 8 3 7 2 2" xfId="17354" xr:uid="{00000000-0005-0000-0000-0000EF670000}"/>
    <cellStyle name="Normal 8 3 7 2 2 2" xfId="37069" xr:uid="{00000000-0005-0000-0000-0000F0670000}"/>
    <cellStyle name="Normal 8 3 7 2 3" xfId="27212" xr:uid="{00000000-0005-0000-0000-0000F1670000}"/>
    <cellStyle name="Normal 8 3 7 3" xfId="12426" xr:uid="{00000000-0005-0000-0000-0000F2670000}"/>
    <cellStyle name="Normal 8 3 7 3 2" xfId="32141" xr:uid="{00000000-0005-0000-0000-0000F3670000}"/>
    <cellStyle name="Normal 8 3 7 4" xfId="22284" xr:uid="{00000000-0005-0000-0000-0000F4670000}"/>
    <cellStyle name="Normal 8 3 8" xfId="5030" xr:uid="{00000000-0005-0000-0000-0000F5670000}"/>
    <cellStyle name="Normal 8 3 8 2" xfId="14890" xr:uid="{00000000-0005-0000-0000-0000F6670000}"/>
    <cellStyle name="Normal 8 3 8 2 2" xfId="34605" xr:uid="{00000000-0005-0000-0000-0000F7670000}"/>
    <cellStyle name="Normal 8 3 8 3" xfId="24748" xr:uid="{00000000-0005-0000-0000-0000F8670000}"/>
    <cellStyle name="Normal 8 3 9" xfId="9962" xr:uid="{00000000-0005-0000-0000-0000F9670000}"/>
    <cellStyle name="Normal 8 3 9 2" xfId="29677" xr:uid="{00000000-0005-0000-0000-0000FA670000}"/>
    <cellStyle name="Normal 8 4" xfId="113" xr:uid="{00000000-0005-0000-0000-0000FB670000}"/>
    <cellStyle name="Normal 8 4 2" xfId="270" xr:uid="{00000000-0005-0000-0000-0000FC670000}"/>
    <cellStyle name="Normal 8 4 2 2" xfId="584" xr:uid="{00000000-0005-0000-0000-0000FD670000}"/>
    <cellStyle name="Normal 8 4 2 2 2" xfId="1204" xr:uid="{00000000-0005-0000-0000-0000FE670000}"/>
    <cellStyle name="Normal 8 4 2 2 2 2" xfId="2439" xr:uid="{00000000-0005-0000-0000-0000FF670000}"/>
    <cellStyle name="Normal 8 4 2 2 2 2 2" xfId="4906" xr:uid="{00000000-0005-0000-0000-000000680000}"/>
    <cellStyle name="Normal 8 4 2 2 2 2 2 2" xfId="9838" xr:uid="{00000000-0005-0000-0000-000001680000}"/>
    <cellStyle name="Normal 8 4 2 2 2 2 2 2 2" xfId="19698" xr:uid="{00000000-0005-0000-0000-000002680000}"/>
    <cellStyle name="Normal 8 4 2 2 2 2 2 2 2 2" xfId="39413" xr:uid="{00000000-0005-0000-0000-000003680000}"/>
    <cellStyle name="Normal 8 4 2 2 2 2 2 2 3" xfId="29556" xr:uid="{00000000-0005-0000-0000-000004680000}"/>
    <cellStyle name="Normal 8 4 2 2 2 2 2 3" xfId="14770" xr:uid="{00000000-0005-0000-0000-000005680000}"/>
    <cellStyle name="Normal 8 4 2 2 2 2 2 3 2" xfId="34485" xr:uid="{00000000-0005-0000-0000-000006680000}"/>
    <cellStyle name="Normal 8 4 2 2 2 2 2 4" xfId="24628" xr:uid="{00000000-0005-0000-0000-000007680000}"/>
    <cellStyle name="Normal 8 4 2 2 2 2 3" xfId="7374" xr:uid="{00000000-0005-0000-0000-000008680000}"/>
    <cellStyle name="Normal 8 4 2 2 2 2 3 2" xfId="17234" xr:uid="{00000000-0005-0000-0000-000009680000}"/>
    <cellStyle name="Normal 8 4 2 2 2 2 3 2 2" xfId="36949" xr:uid="{00000000-0005-0000-0000-00000A680000}"/>
    <cellStyle name="Normal 8 4 2 2 2 2 3 3" xfId="27092" xr:uid="{00000000-0005-0000-0000-00000B680000}"/>
    <cellStyle name="Normal 8 4 2 2 2 2 4" xfId="12306" xr:uid="{00000000-0005-0000-0000-00000C680000}"/>
    <cellStyle name="Normal 8 4 2 2 2 2 4 2" xfId="32021" xr:uid="{00000000-0005-0000-0000-00000D680000}"/>
    <cellStyle name="Normal 8 4 2 2 2 2 5" xfId="22164" xr:uid="{00000000-0005-0000-0000-00000E680000}"/>
    <cellStyle name="Normal 8 4 2 2 2 3" xfId="3674" xr:uid="{00000000-0005-0000-0000-00000F680000}"/>
    <cellStyle name="Normal 8 4 2 2 2 3 2" xfId="8606" xr:uid="{00000000-0005-0000-0000-000010680000}"/>
    <cellStyle name="Normal 8 4 2 2 2 3 2 2" xfId="18466" xr:uid="{00000000-0005-0000-0000-000011680000}"/>
    <cellStyle name="Normal 8 4 2 2 2 3 2 2 2" xfId="38181" xr:uid="{00000000-0005-0000-0000-000012680000}"/>
    <cellStyle name="Normal 8 4 2 2 2 3 2 3" xfId="28324" xr:uid="{00000000-0005-0000-0000-000013680000}"/>
    <cellStyle name="Normal 8 4 2 2 2 3 3" xfId="13538" xr:uid="{00000000-0005-0000-0000-000014680000}"/>
    <cellStyle name="Normal 8 4 2 2 2 3 3 2" xfId="33253" xr:uid="{00000000-0005-0000-0000-000015680000}"/>
    <cellStyle name="Normal 8 4 2 2 2 3 4" xfId="23396" xr:uid="{00000000-0005-0000-0000-000016680000}"/>
    <cellStyle name="Normal 8 4 2 2 2 4" xfId="6142" xr:uid="{00000000-0005-0000-0000-000017680000}"/>
    <cellStyle name="Normal 8 4 2 2 2 4 2" xfId="16002" xr:uid="{00000000-0005-0000-0000-000018680000}"/>
    <cellStyle name="Normal 8 4 2 2 2 4 2 2" xfId="35717" xr:uid="{00000000-0005-0000-0000-000019680000}"/>
    <cellStyle name="Normal 8 4 2 2 2 4 3" xfId="25860" xr:uid="{00000000-0005-0000-0000-00001A680000}"/>
    <cellStyle name="Normal 8 4 2 2 2 5" xfId="11074" xr:uid="{00000000-0005-0000-0000-00001B680000}"/>
    <cellStyle name="Normal 8 4 2 2 2 5 2" xfId="30789" xr:uid="{00000000-0005-0000-0000-00001C680000}"/>
    <cellStyle name="Normal 8 4 2 2 2 6" xfId="20932" xr:uid="{00000000-0005-0000-0000-00001D680000}"/>
    <cellStyle name="Normal 8 4 2 2 3" xfId="1823" xr:uid="{00000000-0005-0000-0000-00001E680000}"/>
    <cellStyle name="Normal 8 4 2 2 3 2" xfId="4290" xr:uid="{00000000-0005-0000-0000-00001F680000}"/>
    <cellStyle name="Normal 8 4 2 2 3 2 2" xfId="9222" xr:uid="{00000000-0005-0000-0000-000020680000}"/>
    <cellStyle name="Normal 8 4 2 2 3 2 2 2" xfId="19082" xr:uid="{00000000-0005-0000-0000-000021680000}"/>
    <cellStyle name="Normal 8 4 2 2 3 2 2 2 2" xfId="38797" xr:uid="{00000000-0005-0000-0000-000022680000}"/>
    <cellStyle name="Normal 8 4 2 2 3 2 2 3" xfId="28940" xr:uid="{00000000-0005-0000-0000-000023680000}"/>
    <cellStyle name="Normal 8 4 2 2 3 2 3" xfId="14154" xr:uid="{00000000-0005-0000-0000-000024680000}"/>
    <cellStyle name="Normal 8 4 2 2 3 2 3 2" xfId="33869" xr:uid="{00000000-0005-0000-0000-000025680000}"/>
    <cellStyle name="Normal 8 4 2 2 3 2 4" xfId="24012" xr:uid="{00000000-0005-0000-0000-000026680000}"/>
    <cellStyle name="Normal 8 4 2 2 3 3" xfId="6758" xr:uid="{00000000-0005-0000-0000-000027680000}"/>
    <cellStyle name="Normal 8 4 2 2 3 3 2" xfId="16618" xr:uid="{00000000-0005-0000-0000-000028680000}"/>
    <cellStyle name="Normal 8 4 2 2 3 3 2 2" xfId="36333" xr:uid="{00000000-0005-0000-0000-000029680000}"/>
    <cellStyle name="Normal 8 4 2 2 3 3 3" xfId="26476" xr:uid="{00000000-0005-0000-0000-00002A680000}"/>
    <cellStyle name="Normal 8 4 2 2 3 4" xfId="11690" xr:uid="{00000000-0005-0000-0000-00002B680000}"/>
    <cellStyle name="Normal 8 4 2 2 3 4 2" xfId="31405" xr:uid="{00000000-0005-0000-0000-00002C680000}"/>
    <cellStyle name="Normal 8 4 2 2 3 5" xfId="21548" xr:uid="{00000000-0005-0000-0000-00002D680000}"/>
    <cellStyle name="Normal 8 4 2 2 4" xfId="3058" xr:uid="{00000000-0005-0000-0000-00002E680000}"/>
    <cellStyle name="Normal 8 4 2 2 4 2" xfId="7990" xr:uid="{00000000-0005-0000-0000-00002F680000}"/>
    <cellStyle name="Normal 8 4 2 2 4 2 2" xfId="17850" xr:uid="{00000000-0005-0000-0000-000030680000}"/>
    <cellStyle name="Normal 8 4 2 2 4 2 2 2" xfId="37565" xr:uid="{00000000-0005-0000-0000-000031680000}"/>
    <cellStyle name="Normal 8 4 2 2 4 2 3" xfId="27708" xr:uid="{00000000-0005-0000-0000-000032680000}"/>
    <cellStyle name="Normal 8 4 2 2 4 3" xfId="12922" xr:uid="{00000000-0005-0000-0000-000033680000}"/>
    <cellStyle name="Normal 8 4 2 2 4 3 2" xfId="32637" xr:uid="{00000000-0005-0000-0000-000034680000}"/>
    <cellStyle name="Normal 8 4 2 2 4 4" xfId="22780" xr:uid="{00000000-0005-0000-0000-000035680000}"/>
    <cellStyle name="Normal 8 4 2 2 5" xfId="5526" xr:uid="{00000000-0005-0000-0000-000036680000}"/>
    <cellStyle name="Normal 8 4 2 2 5 2" xfId="15386" xr:uid="{00000000-0005-0000-0000-000037680000}"/>
    <cellStyle name="Normal 8 4 2 2 5 2 2" xfId="35101" xr:uid="{00000000-0005-0000-0000-000038680000}"/>
    <cellStyle name="Normal 8 4 2 2 5 3" xfId="25244" xr:uid="{00000000-0005-0000-0000-000039680000}"/>
    <cellStyle name="Normal 8 4 2 2 6" xfId="10458" xr:uid="{00000000-0005-0000-0000-00003A680000}"/>
    <cellStyle name="Normal 8 4 2 2 6 2" xfId="30173" xr:uid="{00000000-0005-0000-0000-00003B680000}"/>
    <cellStyle name="Normal 8 4 2 2 7" xfId="20316" xr:uid="{00000000-0005-0000-0000-00003C680000}"/>
    <cellStyle name="Normal 8 4 2 3" xfId="897" xr:uid="{00000000-0005-0000-0000-00003D680000}"/>
    <cellStyle name="Normal 8 4 2 3 2" xfId="2133" xr:uid="{00000000-0005-0000-0000-00003E680000}"/>
    <cellStyle name="Normal 8 4 2 3 2 2" xfId="4600" xr:uid="{00000000-0005-0000-0000-00003F680000}"/>
    <cellStyle name="Normal 8 4 2 3 2 2 2" xfId="9532" xr:uid="{00000000-0005-0000-0000-000040680000}"/>
    <cellStyle name="Normal 8 4 2 3 2 2 2 2" xfId="19392" xr:uid="{00000000-0005-0000-0000-000041680000}"/>
    <cellStyle name="Normal 8 4 2 3 2 2 2 2 2" xfId="39107" xr:uid="{00000000-0005-0000-0000-000042680000}"/>
    <cellStyle name="Normal 8 4 2 3 2 2 2 3" xfId="29250" xr:uid="{00000000-0005-0000-0000-000043680000}"/>
    <cellStyle name="Normal 8 4 2 3 2 2 3" xfId="14464" xr:uid="{00000000-0005-0000-0000-000044680000}"/>
    <cellStyle name="Normal 8 4 2 3 2 2 3 2" xfId="34179" xr:uid="{00000000-0005-0000-0000-000045680000}"/>
    <cellStyle name="Normal 8 4 2 3 2 2 4" xfId="24322" xr:uid="{00000000-0005-0000-0000-000046680000}"/>
    <cellStyle name="Normal 8 4 2 3 2 3" xfId="7068" xr:uid="{00000000-0005-0000-0000-000047680000}"/>
    <cellStyle name="Normal 8 4 2 3 2 3 2" xfId="16928" xr:uid="{00000000-0005-0000-0000-000048680000}"/>
    <cellStyle name="Normal 8 4 2 3 2 3 2 2" xfId="36643" xr:uid="{00000000-0005-0000-0000-000049680000}"/>
    <cellStyle name="Normal 8 4 2 3 2 3 3" xfId="26786" xr:uid="{00000000-0005-0000-0000-00004A680000}"/>
    <cellStyle name="Normal 8 4 2 3 2 4" xfId="12000" xr:uid="{00000000-0005-0000-0000-00004B680000}"/>
    <cellStyle name="Normal 8 4 2 3 2 4 2" xfId="31715" xr:uid="{00000000-0005-0000-0000-00004C680000}"/>
    <cellStyle name="Normal 8 4 2 3 2 5" xfId="21858" xr:uid="{00000000-0005-0000-0000-00004D680000}"/>
    <cellStyle name="Normal 8 4 2 3 3" xfId="3368" xr:uid="{00000000-0005-0000-0000-00004E680000}"/>
    <cellStyle name="Normal 8 4 2 3 3 2" xfId="8300" xr:uid="{00000000-0005-0000-0000-00004F680000}"/>
    <cellStyle name="Normal 8 4 2 3 3 2 2" xfId="18160" xr:uid="{00000000-0005-0000-0000-000050680000}"/>
    <cellStyle name="Normal 8 4 2 3 3 2 2 2" xfId="37875" xr:uid="{00000000-0005-0000-0000-000051680000}"/>
    <cellStyle name="Normal 8 4 2 3 3 2 3" xfId="28018" xr:uid="{00000000-0005-0000-0000-000052680000}"/>
    <cellStyle name="Normal 8 4 2 3 3 3" xfId="13232" xr:uid="{00000000-0005-0000-0000-000053680000}"/>
    <cellStyle name="Normal 8 4 2 3 3 3 2" xfId="32947" xr:uid="{00000000-0005-0000-0000-000054680000}"/>
    <cellStyle name="Normal 8 4 2 3 3 4" xfId="23090" xr:uid="{00000000-0005-0000-0000-000055680000}"/>
    <cellStyle name="Normal 8 4 2 3 4" xfId="5836" xr:uid="{00000000-0005-0000-0000-000056680000}"/>
    <cellStyle name="Normal 8 4 2 3 4 2" xfId="15696" xr:uid="{00000000-0005-0000-0000-000057680000}"/>
    <cellStyle name="Normal 8 4 2 3 4 2 2" xfId="35411" xr:uid="{00000000-0005-0000-0000-000058680000}"/>
    <cellStyle name="Normal 8 4 2 3 4 3" xfId="25554" xr:uid="{00000000-0005-0000-0000-000059680000}"/>
    <cellStyle name="Normal 8 4 2 3 5" xfId="10768" xr:uid="{00000000-0005-0000-0000-00005A680000}"/>
    <cellStyle name="Normal 8 4 2 3 5 2" xfId="30483" xr:uid="{00000000-0005-0000-0000-00005B680000}"/>
    <cellStyle name="Normal 8 4 2 3 6" xfId="20626" xr:uid="{00000000-0005-0000-0000-00005C680000}"/>
    <cellStyle name="Normal 8 4 2 4" xfId="1517" xr:uid="{00000000-0005-0000-0000-00005D680000}"/>
    <cellStyle name="Normal 8 4 2 4 2" xfId="3984" xr:uid="{00000000-0005-0000-0000-00005E680000}"/>
    <cellStyle name="Normal 8 4 2 4 2 2" xfId="8916" xr:uid="{00000000-0005-0000-0000-00005F680000}"/>
    <cellStyle name="Normal 8 4 2 4 2 2 2" xfId="18776" xr:uid="{00000000-0005-0000-0000-000060680000}"/>
    <cellStyle name="Normal 8 4 2 4 2 2 2 2" xfId="38491" xr:uid="{00000000-0005-0000-0000-000061680000}"/>
    <cellStyle name="Normal 8 4 2 4 2 2 3" xfId="28634" xr:uid="{00000000-0005-0000-0000-000062680000}"/>
    <cellStyle name="Normal 8 4 2 4 2 3" xfId="13848" xr:uid="{00000000-0005-0000-0000-000063680000}"/>
    <cellStyle name="Normal 8 4 2 4 2 3 2" xfId="33563" xr:uid="{00000000-0005-0000-0000-000064680000}"/>
    <cellStyle name="Normal 8 4 2 4 2 4" xfId="23706" xr:uid="{00000000-0005-0000-0000-000065680000}"/>
    <cellStyle name="Normal 8 4 2 4 3" xfId="6452" xr:uid="{00000000-0005-0000-0000-000066680000}"/>
    <cellStyle name="Normal 8 4 2 4 3 2" xfId="16312" xr:uid="{00000000-0005-0000-0000-000067680000}"/>
    <cellStyle name="Normal 8 4 2 4 3 2 2" xfId="36027" xr:uid="{00000000-0005-0000-0000-000068680000}"/>
    <cellStyle name="Normal 8 4 2 4 3 3" xfId="26170" xr:uid="{00000000-0005-0000-0000-000069680000}"/>
    <cellStyle name="Normal 8 4 2 4 4" xfId="11384" xr:uid="{00000000-0005-0000-0000-00006A680000}"/>
    <cellStyle name="Normal 8 4 2 4 4 2" xfId="31099" xr:uid="{00000000-0005-0000-0000-00006B680000}"/>
    <cellStyle name="Normal 8 4 2 4 5" xfId="21242" xr:uid="{00000000-0005-0000-0000-00006C680000}"/>
    <cellStyle name="Normal 8 4 2 5" xfId="2752" xr:uid="{00000000-0005-0000-0000-00006D680000}"/>
    <cellStyle name="Normal 8 4 2 5 2" xfId="7684" xr:uid="{00000000-0005-0000-0000-00006E680000}"/>
    <cellStyle name="Normal 8 4 2 5 2 2" xfId="17544" xr:uid="{00000000-0005-0000-0000-00006F680000}"/>
    <cellStyle name="Normal 8 4 2 5 2 2 2" xfId="37259" xr:uid="{00000000-0005-0000-0000-000070680000}"/>
    <cellStyle name="Normal 8 4 2 5 2 3" xfId="27402" xr:uid="{00000000-0005-0000-0000-000071680000}"/>
    <cellStyle name="Normal 8 4 2 5 3" xfId="12616" xr:uid="{00000000-0005-0000-0000-000072680000}"/>
    <cellStyle name="Normal 8 4 2 5 3 2" xfId="32331" xr:uid="{00000000-0005-0000-0000-000073680000}"/>
    <cellStyle name="Normal 8 4 2 5 4" xfId="22474" xr:uid="{00000000-0005-0000-0000-000074680000}"/>
    <cellStyle name="Normal 8 4 2 6" xfId="5220" xr:uid="{00000000-0005-0000-0000-000075680000}"/>
    <cellStyle name="Normal 8 4 2 6 2" xfId="15080" xr:uid="{00000000-0005-0000-0000-000076680000}"/>
    <cellStyle name="Normal 8 4 2 6 2 2" xfId="34795" xr:uid="{00000000-0005-0000-0000-000077680000}"/>
    <cellStyle name="Normal 8 4 2 6 3" xfId="24938" xr:uid="{00000000-0005-0000-0000-000078680000}"/>
    <cellStyle name="Normal 8 4 2 7" xfId="10152" xr:uid="{00000000-0005-0000-0000-000079680000}"/>
    <cellStyle name="Normal 8 4 2 7 2" xfId="29867" xr:uid="{00000000-0005-0000-0000-00007A680000}"/>
    <cellStyle name="Normal 8 4 2 8" xfId="20010" xr:uid="{00000000-0005-0000-0000-00007B680000}"/>
    <cellStyle name="Normal 8 4 3" xfId="432" xr:uid="{00000000-0005-0000-0000-00007C680000}"/>
    <cellStyle name="Normal 8 4 3 2" xfId="1052" xr:uid="{00000000-0005-0000-0000-00007D680000}"/>
    <cellStyle name="Normal 8 4 3 2 2" xfId="2287" xr:uid="{00000000-0005-0000-0000-00007E680000}"/>
    <cellStyle name="Normal 8 4 3 2 2 2" xfId="4754" xr:uid="{00000000-0005-0000-0000-00007F680000}"/>
    <cellStyle name="Normal 8 4 3 2 2 2 2" xfId="9686" xr:uid="{00000000-0005-0000-0000-000080680000}"/>
    <cellStyle name="Normal 8 4 3 2 2 2 2 2" xfId="19546" xr:uid="{00000000-0005-0000-0000-000081680000}"/>
    <cellStyle name="Normal 8 4 3 2 2 2 2 2 2" xfId="39261" xr:uid="{00000000-0005-0000-0000-000082680000}"/>
    <cellStyle name="Normal 8 4 3 2 2 2 2 3" xfId="29404" xr:uid="{00000000-0005-0000-0000-000083680000}"/>
    <cellStyle name="Normal 8 4 3 2 2 2 3" xfId="14618" xr:uid="{00000000-0005-0000-0000-000084680000}"/>
    <cellStyle name="Normal 8 4 3 2 2 2 3 2" xfId="34333" xr:uid="{00000000-0005-0000-0000-000085680000}"/>
    <cellStyle name="Normal 8 4 3 2 2 2 4" xfId="24476" xr:uid="{00000000-0005-0000-0000-000086680000}"/>
    <cellStyle name="Normal 8 4 3 2 2 3" xfId="7222" xr:uid="{00000000-0005-0000-0000-000087680000}"/>
    <cellStyle name="Normal 8 4 3 2 2 3 2" xfId="17082" xr:uid="{00000000-0005-0000-0000-000088680000}"/>
    <cellStyle name="Normal 8 4 3 2 2 3 2 2" xfId="36797" xr:uid="{00000000-0005-0000-0000-000089680000}"/>
    <cellStyle name="Normal 8 4 3 2 2 3 3" xfId="26940" xr:uid="{00000000-0005-0000-0000-00008A680000}"/>
    <cellStyle name="Normal 8 4 3 2 2 4" xfId="12154" xr:uid="{00000000-0005-0000-0000-00008B680000}"/>
    <cellStyle name="Normal 8 4 3 2 2 4 2" xfId="31869" xr:uid="{00000000-0005-0000-0000-00008C680000}"/>
    <cellStyle name="Normal 8 4 3 2 2 5" xfId="22012" xr:uid="{00000000-0005-0000-0000-00008D680000}"/>
    <cellStyle name="Normal 8 4 3 2 3" xfId="3522" xr:uid="{00000000-0005-0000-0000-00008E680000}"/>
    <cellStyle name="Normal 8 4 3 2 3 2" xfId="8454" xr:uid="{00000000-0005-0000-0000-00008F680000}"/>
    <cellStyle name="Normal 8 4 3 2 3 2 2" xfId="18314" xr:uid="{00000000-0005-0000-0000-000090680000}"/>
    <cellStyle name="Normal 8 4 3 2 3 2 2 2" xfId="38029" xr:uid="{00000000-0005-0000-0000-000091680000}"/>
    <cellStyle name="Normal 8 4 3 2 3 2 3" xfId="28172" xr:uid="{00000000-0005-0000-0000-000092680000}"/>
    <cellStyle name="Normal 8 4 3 2 3 3" xfId="13386" xr:uid="{00000000-0005-0000-0000-000093680000}"/>
    <cellStyle name="Normal 8 4 3 2 3 3 2" xfId="33101" xr:uid="{00000000-0005-0000-0000-000094680000}"/>
    <cellStyle name="Normal 8 4 3 2 3 4" xfId="23244" xr:uid="{00000000-0005-0000-0000-000095680000}"/>
    <cellStyle name="Normal 8 4 3 2 4" xfId="5990" xr:uid="{00000000-0005-0000-0000-000096680000}"/>
    <cellStyle name="Normal 8 4 3 2 4 2" xfId="15850" xr:uid="{00000000-0005-0000-0000-000097680000}"/>
    <cellStyle name="Normal 8 4 3 2 4 2 2" xfId="35565" xr:uid="{00000000-0005-0000-0000-000098680000}"/>
    <cellStyle name="Normal 8 4 3 2 4 3" xfId="25708" xr:uid="{00000000-0005-0000-0000-000099680000}"/>
    <cellStyle name="Normal 8 4 3 2 5" xfId="10922" xr:uid="{00000000-0005-0000-0000-00009A680000}"/>
    <cellStyle name="Normal 8 4 3 2 5 2" xfId="30637" xr:uid="{00000000-0005-0000-0000-00009B680000}"/>
    <cellStyle name="Normal 8 4 3 2 6" xfId="20780" xr:uid="{00000000-0005-0000-0000-00009C680000}"/>
    <cellStyle name="Normal 8 4 3 3" xfId="1671" xr:uid="{00000000-0005-0000-0000-00009D680000}"/>
    <cellStyle name="Normal 8 4 3 3 2" xfId="4138" xr:uid="{00000000-0005-0000-0000-00009E680000}"/>
    <cellStyle name="Normal 8 4 3 3 2 2" xfId="9070" xr:uid="{00000000-0005-0000-0000-00009F680000}"/>
    <cellStyle name="Normal 8 4 3 3 2 2 2" xfId="18930" xr:uid="{00000000-0005-0000-0000-0000A0680000}"/>
    <cellStyle name="Normal 8 4 3 3 2 2 2 2" xfId="38645" xr:uid="{00000000-0005-0000-0000-0000A1680000}"/>
    <cellStyle name="Normal 8 4 3 3 2 2 3" xfId="28788" xr:uid="{00000000-0005-0000-0000-0000A2680000}"/>
    <cellStyle name="Normal 8 4 3 3 2 3" xfId="14002" xr:uid="{00000000-0005-0000-0000-0000A3680000}"/>
    <cellStyle name="Normal 8 4 3 3 2 3 2" xfId="33717" xr:uid="{00000000-0005-0000-0000-0000A4680000}"/>
    <cellStyle name="Normal 8 4 3 3 2 4" xfId="23860" xr:uid="{00000000-0005-0000-0000-0000A5680000}"/>
    <cellStyle name="Normal 8 4 3 3 3" xfId="6606" xr:uid="{00000000-0005-0000-0000-0000A6680000}"/>
    <cellStyle name="Normal 8 4 3 3 3 2" xfId="16466" xr:uid="{00000000-0005-0000-0000-0000A7680000}"/>
    <cellStyle name="Normal 8 4 3 3 3 2 2" xfId="36181" xr:uid="{00000000-0005-0000-0000-0000A8680000}"/>
    <cellStyle name="Normal 8 4 3 3 3 3" xfId="26324" xr:uid="{00000000-0005-0000-0000-0000A9680000}"/>
    <cellStyle name="Normal 8 4 3 3 4" xfId="11538" xr:uid="{00000000-0005-0000-0000-0000AA680000}"/>
    <cellStyle name="Normal 8 4 3 3 4 2" xfId="31253" xr:uid="{00000000-0005-0000-0000-0000AB680000}"/>
    <cellStyle name="Normal 8 4 3 3 5" xfId="21396" xr:uid="{00000000-0005-0000-0000-0000AC680000}"/>
    <cellStyle name="Normal 8 4 3 4" xfId="2906" xr:uid="{00000000-0005-0000-0000-0000AD680000}"/>
    <cellStyle name="Normal 8 4 3 4 2" xfId="7838" xr:uid="{00000000-0005-0000-0000-0000AE680000}"/>
    <cellStyle name="Normal 8 4 3 4 2 2" xfId="17698" xr:uid="{00000000-0005-0000-0000-0000AF680000}"/>
    <cellStyle name="Normal 8 4 3 4 2 2 2" xfId="37413" xr:uid="{00000000-0005-0000-0000-0000B0680000}"/>
    <cellStyle name="Normal 8 4 3 4 2 3" xfId="27556" xr:uid="{00000000-0005-0000-0000-0000B1680000}"/>
    <cellStyle name="Normal 8 4 3 4 3" xfId="12770" xr:uid="{00000000-0005-0000-0000-0000B2680000}"/>
    <cellStyle name="Normal 8 4 3 4 3 2" xfId="32485" xr:uid="{00000000-0005-0000-0000-0000B3680000}"/>
    <cellStyle name="Normal 8 4 3 4 4" xfId="22628" xr:uid="{00000000-0005-0000-0000-0000B4680000}"/>
    <cellStyle name="Normal 8 4 3 5" xfId="5374" xr:uid="{00000000-0005-0000-0000-0000B5680000}"/>
    <cellStyle name="Normal 8 4 3 5 2" xfId="15234" xr:uid="{00000000-0005-0000-0000-0000B6680000}"/>
    <cellStyle name="Normal 8 4 3 5 2 2" xfId="34949" xr:uid="{00000000-0005-0000-0000-0000B7680000}"/>
    <cellStyle name="Normal 8 4 3 5 3" xfId="25092" xr:uid="{00000000-0005-0000-0000-0000B8680000}"/>
    <cellStyle name="Normal 8 4 3 6" xfId="10306" xr:uid="{00000000-0005-0000-0000-0000B9680000}"/>
    <cellStyle name="Normal 8 4 3 6 2" xfId="30021" xr:uid="{00000000-0005-0000-0000-0000BA680000}"/>
    <cellStyle name="Normal 8 4 3 7" xfId="20164" xr:uid="{00000000-0005-0000-0000-0000BB680000}"/>
    <cellStyle name="Normal 8 4 4" xfId="745" xr:uid="{00000000-0005-0000-0000-0000BC680000}"/>
    <cellStyle name="Normal 8 4 4 2" xfId="1981" xr:uid="{00000000-0005-0000-0000-0000BD680000}"/>
    <cellStyle name="Normal 8 4 4 2 2" xfId="4448" xr:uid="{00000000-0005-0000-0000-0000BE680000}"/>
    <cellStyle name="Normal 8 4 4 2 2 2" xfId="9380" xr:uid="{00000000-0005-0000-0000-0000BF680000}"/>
    <cellStyle name="Normal 8 4 4 2 2 2 2" xfId="19240" xr:uid="{00000000-0005-0000-0000-0000C0680000}"/>
    <cellStyle name="Normal 8 4 4 2 2 2 2 2" xfId="38955" xr:uid="{00000000-0005-0000-0000-0000C1680000}"/>
    <cellStyle name="Normal 8 4 4 2 2 2 3" xfId="29098" xr:uid="{00000000-0005-0000-0000-0000C2680000}"/>
    <cellStyle name="Normal 8 4 4 2 2 3" xfId="14312" xr:uid="{00000000-0005-0000-0000-0000C3680000}"/>
    <cellStyle name="Normal 8 4 4 2 2 3 2" xfId="34027" xr:uid="{00000000-0005-0000-0000-0000C4680000}"/>
    <cellStyle name="Normal 8 4 4 2 2 4" xfId="24170" xr:uid="{00000000-0005-0000-0000-0000C5680000}"/>
    <cellStyle name="Normal 8 4 4 2 3" xfId="6916" xr:uid="{00000000-0005-0000-0000-0000C6680000}"/>
    <cellStyle name="Normal 8 4 4 2 3 2" xfId="16776" xr:uid="{00000000-0005-0000-0000-0000C7680000}"/>
    <cellStyle name="Normal 8 4 4 2 3 2 2" xfId="36491" xr:uid="{00000000-0005-0000-0000-0000C8680000}"/>
    <cellStyle name="Normal 8 4 4 2 3 3" xfId="26634" xr:uid="{00000000-0005-0000-0000-0000C9680000}"/>
    <cellStyle name="Normal 8 4 4 2 4" xfId="11848" xr:uid="{00000000-0005-0000-0000-0000CA680000}"/>
    <cellStyle name="Normal 8 4 4 2 4 2" xfId="31563" xr:uid="{00000000-0005-0000-0000-0000CB680000}"/>
    <cellStyle name="Normal 8 4 4 2 5" xfId="21706" xr:uid="{00000000-0005-0000-0000-0000CC680000}"/>
    <cellStyle name="Normal 8 4 4 3" xfId="3216" xr:uid="{00000000-0005-0000-0000-0000CD680000}"/>
    <cellStyle name="Normal 8 4 4 3 2" xfId="8148" xr:uid="{00000000-0005-0000-0000-0000CE680000}"/>
    <cellStyle name="Normal 8 4 4 3 2 2" xfId="18008" xr:uid="{00000000-0005-0000-0000-0000CF680000}"/>
    <cellStyle name="Normal 8 4 4 3 2 2 2" xfId="37723" xr:uid="{00000000-0005-0000-0000-0000D0680000}"/>
    <cellStyle name="Normal 8 4 4 3 2 3" xfId="27866" xr:uid="{00000000-0005-0000-0000-0000D1680000}"/>
    <cellStyle name="Normal 8 4 4 3 3" xfId="13080" xr:uid="{00000000-0005-0000-0000-0000D2680000}"/>
    <cellStyle name="Normal 8 4 4 3 3 2" xfId="32795" xr:uid="{00000000-0005-0000-0000-0000D3680000}"/>
    <cellStyle name="Normal 8 4 4 3 4" xfId="22938" xr:uid="{00000000-0005-0000-0000-0000D4680000}"/>
    <cellStyle name="Normal 8 4 4 4" xfId="5684" xr:uid="{00000000-0005-0000-0000-0000D5680000}"/>
    <cellStyle name="Normal 8 4 4 4 2" xfId="15544" xr:uid="{00000000-0005-0000-0000-0000D6680000}"/>
    <cellStyle name="Normal 8 4 4 4 2 2" xfId="35259" xr:uid="{00000000-0005-0000-0000-0000D7680000}"/>
    <cellStyle name="Normal 8 4 4 4 3" xfId="25402" xr:uid="{00000000-0005-0000-0000-0000D8680000}"/>
    <cellStyle name="Normal 8 4 4 5" xfId="10616" xr:uid="{00000000-0005-0000-0000-0000D9680000}"/>
    <cellStyle name="Normal 8 4 4 5 2" xfId="30331" xr:uid="{00000000-0005-0000-0000-0000DA680000}"/>
    <cellStyle name="Normal 8 4 4 6" xfId="20474" xr:uid="{00000000-0005-0000-0000-0000DB680000}"/>
    <cellStyle name="Normal 8 4 5" xfId="1365" xr:uid="{00000000-0005-0000-0000-0000DC680000}"/>
    <cellStyle name="Normal 8 4 5 2" xfId="3832" xr:uid="{00000000-0005-0000-0000-0000DD680000}"/>
    <cellStyle name="Normal 8 4 5 2 2" xfId="8764" xr:uid="{00000000-0005-0000-0000-0000DE680000}"/>
    <cellStyle name="Normal 8 4 5 2 2 2" xfId="18624" xr:uid="{00000000-0005-0000-0000-0000DF680000}"/>
    <cellStyle name="Normal 8 4 5 2 2 2 2" xfId="38339" xr:uid="{00000000-0005-0000-0000-0000E0680000}"/>
    <cellStyle name="Normal 8 4 5 2 2 3" xfId="28482" xr:uid="{00000000-0005-0000-0000-0000E1680000}"/>
    <cellStyle name="Normal 8 4 5 2 3" xfId="13696" xr:uid="{00000000-0005-0000-0000-0000E2680000}"/>
    <cellStyle name="Normal 8 4 5 2 3 2" xfId="33411" xr:uid="{00000000-0005-0000-0000-0000E3680000}"/>
    <cellStyle name="Normal 8 4 5 2 4" xfId="23554" xr:uid="{00000000-0005-0000-0000-0000E4680000}"/>
    <cellStyle name="Normal 8 4 5 3" xfId="6300" xr:uid="{00000000-0005-0000-0000-0000E5680000}"/>
    <cellStyle name="Normal 8 4 5 3 2" xfId="16160" xr:uid="{00000000-0005-0000-0000-0000E6680000}"/>
    <cellStyle name="Normal 8 4 5 3 2 2" xfId="35875" xr:uid="{00000000-0005-0000-0000-0000E7680000}"/>
    <cellStyle name="Normal 8 4 5 3 3" xfId="26018" xr:uid="{00000000-0005-0000-0000-0000E8680000}"/>
    <cellStyle name="Normal 8 4 5 4" xfId="11232" xr:uid="{00000000-0005-0000-0000-0000E9680000}"/>
    <cellStyle name="Normal 8 4 5 4 2" xfId="30947" xr:uid="{00000000-0005-0000-0000-0000EA680000}"/>
    <cellStyle name="Normal 8 4 5 5" xfId="21090" xr:uid="{00000000-0005-0000-0000-0000EB680000}"/>
    <cellStyle name="Normal 8 4 6" xfId="2600" xr:uid="{00000000-0005-0000-0000-0000EC680000}"/>
    <cellStyle name="Normal 8 4 6 2" xfId="7532" xr:uid="{00000000-0005-0000-0000-0000ED680000}"/>
    <cellStyle name="Normal 8 4 6 2 2" xfId="17392" xr:uid="{00000000-0005-0000-0000-0000EE680000}"/>
    <cellStyle name="Normal 8 4 6 2 2 2" xfId="37107" xr:uid="{00000000-0005-0000-0000-0000EF680000}"/>
    <cellStyle name="Normal 8 4 6 2 3" xfId="27250" xr:uid="{00000000-0005-0000-0000-0000F0680000}"/>
    <cellStyle name="Normal 8 4 6 3" xfId="12464" xr:uid="{00000000-0005-0000-0000-0000F1680000}"/>
    <cellStyle name="Normal 8 4 6 3 2" xfId="32179" xr:uid="{00000000-0005-0000-0000-0000F2680000}"/>
    <cellStyle name="Normal 8 4 6 4" xfId="22322" xr:uid="{00000000-0005-0000-0000-0000F3680000}"/>
    <cellStyle name="Normal 8 4 7" xfId="5068" xr:uid="{00000000-0005-0000-0000-0000F4680000}"/>
    <cellStyle name="Normal 8 4 7 2" xfId="14928" xr:uid="{00000000-0005-0000-0000-0000F5680000}"/>
    <cellStyle name="Normal 8 4 7 2 2" xfId="34643" xr:uid="{00000000-0005-0000-0000-0000F6680000}"/>
    <cellStyle name="Normal 8 4 7 3" xfId="24786" xr:uid="{00000000-0005-0000-0000-0000F7680000}"/>
    <cellStyle name="Normal 8 4 8" xfId="10000" xr:uid="{00000000-0005-0000-0000-0000F8680000}"/>
    <cellStyle name="Normal 8 4 8 2" xfId="29715" xr:uid="{00000000-0005-0000-0000-0000F9680000}"/>
    <cellStyle name="Normal 8 4 9" xfId="19858" xr:uid="{00000000-0005-0000-0000-0000FA680000}"/>
    <cellStyle name="Normal 8 5" xfId="194" xr:uid="{00000000-0005-0000-0000-0000FB680000}"/>
    <cellStyle name="Normal 8 5 2" xfId="508" xr:uid="{00000000-0005-0000-0000-0000FC680000}"/>
    <cellStyle name="Normal 8 5 2 2" xfId="1128" xr:uid="{00000000-0005-0000-0000-0000FD680000}"/>
    <cellStyle name="Normal 8 5 2 2 2" xfId="2363" xr:uid="{00000000-0005-0000-0000-0000FE680000}"/>
    <cellStyle name="Normal 8 5 2 2 2 2" xfId="4830" xr:uid="{00000000-0005-0000-0000-0000FF680000}"/>
    <cellStyle name="Normal 8 5 2 2 2 2 2" xfId="9762" xr:uid="{00000000-0005-0000-0000-000000690000}"/>
    <cellStyle name="Normal 8 5 2 2 2 2 2 2" xfId="19622" xr:uid="{00000000-0005-0000-0000-000001690000}"/>
    <cellStyle name="Normal 8 5 2 2 2 2 2 2 2" xfId="39337" xr:uid="{00000000-0005-0000-0000-000002690000}"/>
    <cellStyle name="Normal 8 5 2 2 2 2 2 3" xfId="29480" xr:uid="{00000000-0005-0000-0000-000003690000}"/>
    <cellStyle name="Normal 8 5 2 2 2 2 3" xfId="14694" xr:uid="{00000000-0005-0000-0000-000004690000}"/>
    <cellStyle name="Normal 8 5 2 2 2 2 3 2" xfId="34409" xr:uid="{00000000-0005-0000-0000-000005690000}"/>
    <cellStyle name="Normal 8 5 2 2 2 2 4" xfId="24552" xr:uid="{00000000-0005-0000-0000-000006690000}"/>
    <cellStyle name="Normal 8 5 2 2 2 3" xfId="7298" xr:uid="{00000000-0005-0000-0000-000007690000}"/>
    <cellStyle name="Normal 8 5 2 2 2 3 2" xfId="17158" xr:uid="{00000000-0005-0000-0000-000008690000}"/>
    <cellStyle name="Normal 8 5 2 2 2 3 2 2" xfId="36873" xr:uid="{00000000-0005-0000-0000-000009690000}"/>
    <cellStyle name="Normal 8 5 2 2 2 3 3" xfId="27016" xr:uid="{00000000-0005-0000-0000-00000A690000}"/>
    <cellStyle name="Normal 8 5 2 2 2 4" xfId="12230" xr:uid="{00000000-0005-0000-0000-00000B690000}"/>
    <cellStyle name="Normal 8 5 2 2 2 4 2" xfId="31945" xr:uid="{00000000-0005-0000-0000-00000C690000}"/>
    <cellStyle name="Normal 8 5 2 2 2 5" xfId="22088" xr:uid="{00000000-0005-0000-0000-00000D690000}"/>
    <cellStyle name="Normal 8 5 2 2 3" xfId="3598" xr:uid="{00000000-0005-0000-0000-00000E690000}"/>
    <cellStyle name="Normal 8 5 2 2 3 2" xfId="8530" xr:uid="{00000000-0005-0000-0000-00000F690000}"/>
    <cellStyle name="Normal 8 5 2 2 3 2 2" xfId="18390" xr:uid="{00000000-0005-0000-0000-000010690000}"/>
    <cellStyle name="Normal 8 5 2 2 3 2 2 2" xfId="38105" xr:uid="{00000000-0005-0000-0000-000011690000}"/>
    <cellStyle name="Normal 8 5 2 2 3 2 3" xfId="28248" xr:uid="{00000000-0005-0000-0000-000012690000}"/>
    <cellStyle name="Normal 8 5 2 2 3 3" xfId="13462" xr:uid="{00000000-0005-0000-0000-000013690000}"/>
    <cellStyle name="Normal 8 5 2 2 3 3 2" xfId="33177" xr:uid="{00000000-0005-0000-0000-000014690000}"/>
    <cellStyle name="Normal 8 5 2 2 3 4" xfId="23320" xr:uid="{00000000-0005-0000-0000-000015690000}"/>
    <cellStyle name="Normal 8 5 2 2 4" xfId="6066" xr:uid="{00000000-0005-0000-0000-000016690000}"/>
    <cellStyle name="Normal 8 5 2 2 4 2" xfId="15926" xr:uid="{00000000-0005-0000-0000-000017690000}"/>
    <cellStyle name="Normal 8 5 2 2 4 2 2" xfId="35641" xr:uid="{00000000-0005-0000-0000-000018690000}"/>
    <cellStyle name="Normal 8 5 2 2 4 3" xfId="25784" xr:uid="{00000000-0005-0000-0000-000019690000}"/>
    <cellStyle name="Normal 8 5 2 2 5" xfId="10998" xr:uid="{00000000-0005-0000-0000-00001A690000}"/>
    <cellStyle name="Normal 8 5 2 2 5 2" xfId="30713" xr:uid="{00000000-0005-0000-0000-00001B690000}"/>
    <cellStyle name="Normal 8 5 2 2 6" xfId="20856" xr:uid="{00000000-0005-0000-0000-00001C690000}"/>
    <cellStyle name="Normal 8 5 2 3" xfId="1747" xr:uid="{00000000-0005-0000-0000-00001D690000}"/>
    <cellStyle name="Normal 8 5 2 3 2" xfId="4214" xr:uid="{00000000-0005-0000-0000-00001E690000}"/>
    <cellStyle name="Normal 8 5 2 3 2 2" xfId="9146" xr:uid="{00000000-0005-0000-0000-00001F690000}"/>
    <cellStyle name="Normal 8 5 2 3 2 2 2" xfId="19006" xr:uid="{00000000-0005-0000-0000-000020690000}"/>
    <cellStyle name="Normal 8 5 2 3 2 2 2 2" xfId="38721" xr:uid="{00000000-0005-0000-0000-000021690000}"/>
    <cellStyle name="Normal 8 5 2 3 2 2 3" xfId="28864" xr:uid="{00000000-0005-0000-0000-000022690000}"/>
    <cellStyle name="Normal 8 5 2 3 2 3" xfId="14078" xr:uid="{00000000-0005-0000-0000-000023690000}"/>
    <cellStyle name="Normal 8 5 2 3 2 3 2" xfId="33793" xr:uid="{00000000-0005-0000-0000-000024690000}"/>
    <cellStyle name="Normal 8 5 2 3 2 4" xfId="23936" xr:uid="{00000000-0005-0000-0000-000025690000}"/>
    <cellStyle name="Normal 8 5 2 3 3" xfId="6682" xr:uid="{00000000-0005-0000-0000-000026690000}"/>
    <cellStyle name="Normal 8 5 2 3 3 2" xfId="16542" xr:uid="{00000000-0005-0000-0000-000027690000}"/>
    <cellStyle name="Normal 8 5 2 3 3 2 2" xfId="36257" xr:uid="{00000000-0005-0000-0000-000028690000}"/>
    <cellStyle name="Normal 8 5 2 3 3 3" xfId="26400" xr:uid="{00000000-0005-0000-0000-000029690000}"/>
    <cellStyle name="Normal 8 5 2 3 4" xfId="11614" xr:uid="{00000000-0005-0000-0000-00002A690000}"/>
    <cellStyle name="Normal 8 5 2 3 4 2" xfId="31329" xr:uid="{00000000-0005-0000-0000-00002B690000}"/>
    <cellStyle name="Normal 8 5 2 3 5" xfId="21472" xr:uid="{00000000-0005-0000-0000-00002C690000}"/>
    <cellStyle name="Normal 8 5 2 4" xfId="2982" xr:uid="{00000000-0005-0000-0000-00002D690000}"/>
    <cellStyle name="Normal 8 5 2 4 2" xfId="7914" xr:uid="{00000000-0005-0000-0000-00002E690000}"/>
    <cellStyle name="Normal 8 5 2 4 2 2" xfId="17774" xr:uid="{00000000-0005-0000-0000-00002F690000}"/>
    <cellStyle name="Normal 8 5 2 4 2 2 2" xfId="37489" xr:uid="{00000000-0005-0000-0000-000030690000}"/>
    <cellStyle name="Normal 8 5 2 4 2 3" xfId="27632" xr:uid="{00000000-0005-0000-0000-000031690000}"/>
    <cellStyle name="Normal 8 5 2 4 3" xfId="12846" xr:uid="{00000000-0005-0000-0000-000032690000}"/>
    <cellStyle name="Normal 8 5 2 4 3 2" xfId="32561" xr:uid="{00000000-0005-0000-0000-000033690000}"/>
    <cellStyle name="Normal 8 5 2 4 4" xfId="22704" xr:uid="{00000000-0005-0000-0000-000034690000}"/>
    <cellStyle name="Normal 8 5 2 5" xfId="5450" xr:uid="{00000000-0005-0000-0000-000035690000}"/>
    <cellStyle name="Normal 8 5 2 5 2" xfId="15310" xr:uid="{00000000-0005-0000-0000-000036690000}"/>
    <cellStyle name="Normal 8 5 2 5 2 2" xfId="35025" xr:uid="{00000000-0005-0000-0000-000037690000}"/>
    <cellStyle name="Normal 8 5 2 5 3" xfId="25168" xr:uid="{00000000-0005-0000-0000-000038690000}"/>
    <cellStyle name="Normal 8 5 2 6" xfId="10382" xr:uid="{00000000-0005-0000-0000-000039690000}"/>
    <cellStyle name="Normal 8 5 2 6 2" xfId="30097" xr:uid="{00000000-0005-0000-0000-00003A690000}"/>
    <cellStyle name="Normal 8 5 2 7" xfId="20240" xr:uid="{00000000-0005-0000-0000-00003B690000}"/>
    <cellStyle name="Normal 8 5 3" xfId="821" xr:uid="{00000000-0005-0000-0000-00003C690000}"/>
    <cellStyle name="Normal 8 5 3 2" xfId="2057" xr:uid="{00000000-0005-0000-0000-00003D690000}"/>
    <cellStyle name="Normal 8 5 3 2 2" xfId="4524" xr:uid="{00000000-0005-0000-0000-00003E690000}"/>
    <cellStyle name="Normal 8 5 3 2 2 2" xfId="9456" xr:uid="{00000000-0005-0000-0000-00003F690000}"/>
    <cellStyle name="Normal 8 5 3 2 2 2 2" xfId="19316" xr:uid="{00000000-0005-0000-0000-000040690000}"/>
    <cellStyle name="Normal 8 5 3 2 2 2 2 2" xfId="39031" xr:uid="{00000000-0005-0000-0000-000041690000}"/>
    <cellStyle name="Normal 8 5 3 2 2 2 3" xfId="29174" xr:uid="{00000000-0005-0000-0000-000042690000}"/>
    <cellStyle name="Normal 8 5 3 2 2 3" xfId="14388" xr:uid="{00000000-0005-0000-0000-000043690000}"/>
    <cellStyle name="Normal 8 5 3 2 2 3 2" xfId="34103" xr:uid="{00000000-0005-0000-0000-000044690000}"/>
    <cellStyle name="Normal 8 5 3 2 2 4" xfId="24246" xr:uid="{00000000-0005-0000-0000-000045690000}"/>
    <cellStyle name="Normal 8 5 3 2 3" xfId="6992" xr:uid="{00000000-0005-0000-0000-000046690000}"/>
    <cellStyle name="Normal 8 5 3 2 3 2" xfId="16852" xr:uid="{00000000-0005-0000-0000-000047690000}"/>
    <cellStyle name="Normal 8 5 3 2 3 2 2" xfId="36567" xr:uid="{00000000-0005-0000-0000-000048690000}"/>
    <cellStyle name="Normal 8 5 3 2 3 3" xfId="26710" xr:uid="{00000000-0005-0000-0000-000049690000}"/>
    <cellStyle name="Normal 8 5 3 2 4" xfId="11924" xr:uid="{00000000-0005-0000-0000-00004A690000}"/>
    <cellStyle name="Normal 8 5 3 2 4 2" xfId="31639" xr:uid="{00000000-0005-0000-0000-00004B690000}"/>
    <cellStyle name="Normal 8 5 3 2 5" xfId="21782" xr:uid="{00000000-0005-0000-0000-00004C690000}"/>
    <cellStyle name="Normal 8 5 3 3" xfId="3292" xr:uid="{00000000-0005-0000-0000-00004D690000}"/>
    <cellStyle name="Normal 8 5 3 3 2" xfId="8224" xr:uid="{00000000-0005-0000-0000-00004E690000}"/>
    <cellStyle name="Normal 8 5 3 3 2 2" xfId="18084" xr:uid="{00000000-0005-0000-0000-00004F690000}"/>
    <cellStyle name="Normal 8 5 3 3 2 2 2" xfId="37799" xr:uid="{00000000-0005-0000-0000-000050690000}"/>
    <cellStyle name="Normal 8 5 3 3 2 3" xfId="27942" xr:uid="{00000000-0005-0000-0000-000051690000}"/>
    <cellStyle name="Normal 8 5 3 3 3" xfId="13156" xr:uid="{00000000-0005-0000-0000-000052690000}"/>
    <cellStyle name="Normal 8 5 3 3 3 2" xfId="32871" xr:uid="{00000000-0005-0000-0000-000053690000}"/>
    <cellStyle name="Normal 8 5 3 3 4" xfId="23014" xr:uid="{00000000-0005-0000-0000-000054690000}"/>
    <cellStyle name="Normal 8 5 3 4" xfId="5760" xr:uid="{00000000-0005-0000-0000-000055690000}"/>
    <cellStyle name="Normal 8 5 3 4 2" xfId="15620" xr:uid="{00000000-0005-0000-0000-000056690000}"/>
    <cellStyle name="Normal 8 5 3 4 2 2" xfId="35335" xr:uid="{00000000-0005-0000-0000-000057690000}"/>
    <cellStyle name="Normal 8 5 3 4 3" xfId="25478" xr:uid="{00000000-0005-0000-0000-000058690000}"/>
    <cellStyle name="Normal 8 5 3 5" xfId="10692" xr:uid="{00000000-0005-0000-0000-000059690000}"/>
    <cellStyle name="Normal 8 5 3 5 2" xfId="30407" xr:uid="{00000000-0005-0000-0000-00005A690000}"/>
    <cellStyle name="Normal 8 5 3 6" xfId="20550" xr:uid="{00000000-0005-0000-0000-00005B690000}"/>
    <cellStyle name="Normal 8 5 4" xfId="1441" xr:uid="{00000000-0005-0000-0000-00005C690000}"/>
    <cellStyle name="Normal 8 5 4 2" xfId="3908" xr:uid="{00000000-0005-0000-0000-00005D690000}"/>
    <cellStyle name="Normal 8 5 4 2 2" xfId="8840" xr:uid="{00000000-0005-0000-0000-00005E690000}"/>
    <cellStyle name="Normal 8 5 4 2 2 2" xfId="18700" xr:uid="{00000000-0005-0000-0000-00005F690000}"/>
    <cellStyle name="Normal 8 5 4 2 2 2 2" xfId="38415" xr:uid="{00000000-0005-0000-0000-000060690000}"/>
    <cellStyle name="Normal 8 5 4 2 2 3" xfId="28558" xr:uid="{00000000-0005-0000-0000-000061690000}"/>
    <cellStyle name="Normal 8 5 4 2 3" xfId="13772" xr:uid="{00000000-0005-0000-0000-000062690000}"/>
    <cellStyle name="Normal 8 5 4 2 3 2" xfId="33487" xr:uid="{00000000-0005-0000-0000-000063690000}"/>
    <cellStyle name="Normal 8 5 4 2 4" xfId="23630" xr:uid="{00000000-0005-0000-0000-000064690000}"/>
    <cellStyle name="Normal 8 5 4 3" xfId="6376" xr:uid="{00000000-0005-0000-0000-000065690000}"/>
    <cellStyle name="Normal 8 5 4 3 2" xfId="16236" xr:uid="{00000000-0005-0000-0000-000066690000}"/>
    <cellStyle name="Normal 8 5 4 3 2 2" xfId="35951" xr:uid="{00000000-0005-0000-0000-000067690000}"/>
    <cellStyle name="Normal 8 5 4 3 3" xfId="26094" xr:uid="{00000000-0005-0000-0000-000068690000}"/>
    <cellStyle name="Normal 8 5 4 4" xfId="11308" xr:uid="{00000000-0005-0000-0000-000069690000}"/>
    <cellStyle name="Normal 8 5 4 4 2" xfId="31023" xr:uid="{00000000-0005-0000-0000-00006A690000}"/>
    <cellStyle name="Normal 8 5 4 5" xfId="21166" xr:uid="{00000000-0005-0000-0000-00006B690000}"/>
    <cellStyle name="Normal 8 5 5" xfId="2676" xr:uid="{00000000-0005-0000-0000-00006C690000}"/>
    <cellStyle name="Normal 8 5 5 2" xfId="7608" xr:uid="{00000000-0005-0000-0000-00006D690000}"/>
    <cellStyle name="Normal 8 5 5 2 2" xfId="17468" xr:uid="{00000000-0005-0000-0000-00006E690000}"/>
    <cellStyle name="Normal 8 5 5 2 2 2" xfId="37183" xr:uid="{00000000-0005-0000-0000-00006F690000}"/>
    <cellStyle name="Normal 8 5 5 2 3" xfId="27326" xr:uid="{00000000-0005-0000-0000-000070690000}"/>
    <cellStyle name="Normal 8 5 5 3" xfId="12540" xr:uid="{00000000-0005-0000-0000-000071690000}"/>
    <cellStyle name="Normal 8 5 5 3 2" xfId="32255" xr:uid="{00000000-0005-0000-0000-000072690000}"/>
    <cellStyle name="Normal 8 5 5 4" xfId="22398" xr:uid="{00000000-0005-0000-0000-000073690000}"/>
    <cellStyle name="Normal 8 5 6" xfId="5144" xr:uid="{00000000-0005-0000-0000-000074690000}"/>
    <cellStyle name="Normal 8 5 6 2" xfId="15004" xr:uid="{00000000-0005-0000-0000-000075690000}"/>
    <cellStyle name="Normal 8 5 6 2 2" xfId="34719" xr:uid="{00000000-0005-0000-0000-000076690000}"/>
    <cellStyle name="Normal 8 5 6 3" xfId="24862" xr:uid="{00000000-0005-0000-0000-000077690000}"/>
    <cellStyle name="Normal 8 5 7" xfId="10076" xr:uid="{00000000-0005-0000-0000-000078690000}"/>
    <cellStyle name="Normal 8 5 7 2" xfId="29791" xr:uid="{00000000-0005-0000-0000-000079690000}"/>
    <cellStyle name="Normal 8 5 8" xfId="19934" xr:uid="{00000000-0005-0000-0000-00007A690000}"/>
    <cellStyle name="Normal 8 6" xfId="356" xr:uid="{00000000-0005-0000-0000-00007B690000}"/>
    <cellStyle name="Normal 8 6 2" xfId="976" xr:uid="{00000000-0005-0000-0000-00007C690000}"/>
    <cellStyle name="Normal 8 6 2 2" xfId="2211" xr:uid="{00000000-0005-0000-0000-00007D690000}"/>
    <cellStyle name="Normal 8 6 2 2 2" xfId="4678" xr:uid="{00000000-0005-0000-0000-00007E690000}"/>
    <cellStyle name="Normal 8 6 2 2 2 2" xfId="9610" xr:uid="{00000000-0005-0000-0000-00007F690000}"/>
    <cellStyle name="Normal 8 6 2 2 2 2 2" xfId="19470" xr:uid="{00000000-0005-0000-0000-000080690000}"/>
    <cellStyle name="Normal 8 6 2 2 2 2 2 2" xfId="39185" xr:uid="{00000000-0005-0000-0000-000081690000}"/>
    <cellStyle name="Normal 8 6 2 2 2 2 3" xfId="29328" xr:uid="{00000000-0005-0000-0000-000082690000}"/>
    <cellStyle name="Normal 8 6 2 2 2 3" xfId="14542" xr:uid="{00000000-0005-0000-0000-000083690000}"/>
    <cellStyle name="Normal 8 6 2 2 2 3 2" xfId="34257" xr:uid="{00000000-0005-0000-0000-000084690000}"/>
    <cellStyle name="Normal 8 6 2 2 2 4" xfId="24400" xr:uid="{00000000-0005-0000-0000-000085690000}"/>
    <cellStyle name="Normal 8 6 2 2 3" xfId="7146" xr:uid="{00000000-0005-0000-0000-000086690000}"/>
    <cellStyle name="Normal 8 6 2 2 3 2" xfId="17006" xr:uid="{00000000-0005-0000-0000-000087690000}"/>
    <cellStyle name="Normal 8 6 2 2 3 2 2" xfId="36721" xr:uid="{00000000-0005-0000-0000-000088690000}"/>
    <cellStyle name="Normal 8 6 2 2 3 3" xfId="26864" xr:uid="{00000000-0005-0000-0000-000089690000}"/>
    <cellStyle name="Normal 8 6 2 2 4" xfId="12078" xr:uid="{00000000-0005-0000-0000-00008A690000}"/>
    <cellStyle name="Normal 8 6 2 2 4 2" xfId="31793" xr:uid="{00000000-0005-0000-0000-00008B690000}"/>
    <cellStyle name="Normal 8 6 2 2 5" xfId="21936" xr:uid="{00000000-0005-0000-0000-00008C690000}"/>
    <cellStyle name="Normal 8 6 2 3" xfId="3446" xr:uid="{00000000-0005-0000-0000-00008D690000}"/>
    <cellStyle name="Normal 8 6 2 3 2" xfId="8378" xr:uid="{00000000-0005-0000-0000-00008E690000}"/>
    <cellStyle name="Normal 8 6 2 3 2 2" xfId="18238" xr:uid="{00000000-0005-0000-0000-00008F690000}"/>
    <cellStyle name="Normal 8 6 2 3 2 2 2" xfId="37953" xr:uid="{00000000-0005-0000-0000-000090690000}"/>
    <cellStyle name="Normal 8 6 2 3 2 3" xfId="28096" xr:uid="{00000000-0005-0000-0000-000091690000}"/>
    <cellStyle name="Normal 8 6 2 3 3" xfId="13310" xr:uid="{00000000-0005-0000-0000-000092690000}"/>
    <cellStyle name="Normal 8 6 2 3 3 2" xfId="33025" xr:uid="{00000000-0005-0000-0000-000093690000}"/>
    <cellStyle name="Normal 8 6 2 3 4" xfId="23168" xr:uid="{00000000-0005-0000-0000-000094690000}"/>
    <cellStyle name="Normal 8 6 2 4" xfId="5914" xr:uid="{00000000-0005-0000-0000-000095690000}"/>
    <cellStyle name="Normal 8 6 2 4 2" xfId="15774" xr:uid="{00000000-0005-0000-0000-000096690000}"/>
    <cellStyle name="Normal 8 6 2 4 2 2" xfId="35489" xr:uid="{00000000-0005-0000-0000-000097690000}"/>
    <cellStyle name="Normal 8 6 2 4 3" xfId="25632" xr:uid="{00000000-0005-0000-0000-000098690000}"/>
    <cellStyle name="Normal 8 6 2 5" xfId="10846" xr:uid="{00000000-0005-0000-0000-000099690000}"/>
    <cellStyle name="Normal 8 6 2 5 2" xfId="30561" xr:uid="{00000000-0005-0000-0000-00009A690000}"/>
    <cellStyle name="Normal 8 6 2 6" xfId="20704" xr:uid="{00000000-0005-0000-0000-00009B690000}"/>
    <cellStyle name="Normal 8 6 3" xfId="1595" xr:uid="{00000000-0005-0000-0000-00009C690000}"/>
    <cellStyle name="Normal 8 6 3 2" xfId="4062" xr:uid="{00000000-0005-0000-0000-00009D690000}"/>
    <cellStyle name="Normal 8 6 3 2 2" xfId="8994" xr:uid="{00000000-0005-0000-0000-00009E690000}"/>
    <cellStyle name="Normal 8 6 3 2 2 2" xfId="18854" xr:uid="{00000000-0005-0000-0000-00009F690000}"/>
    <cellStyle name="Normal 8 6 3 2 2 2 2" xfId="38569" xr:uid="{00000000-0005-0000-0000-0000A0690000}"/>
    <cellStyle name="Normal 8 6 3 2 2 3" xfId="28712" xr:uid="{00000000-0005-0000-0000-0000A1690000}"/>
    <cellStyle name="Normal 8 6 3 2 3" xfId="13926" xr:uid="{00000000-0005-0000-0000-0000A2690000}"/>
    <cellStyle name="Normal 8 6 3 2 3 2" xfId="33641" xr:uid="{00000000-0005-0000-0000-0000A3690000}"/>
    <cellStyle name="Normal 8 6 3 2 4" xfId="23784" xr:uid="{00000000-0005-0000-0000-0000A4690000}"/>
    <cellStyle name="Normal 8 6 3 3" xfId="6530" xr:uid="{00000000-0005-0000-0000-0000A5690000}"/>
    <cellStyle name="Normal 8 6 3 3 2" xfId="16390" xr:uid="{00000000-0005-0000-0000-0000A6690000}"/>
    <cellStyle name="Normal 8 6 3 3 2 2" xfId="36105" xr:uid="{00000000-0005-0000-0000-0000A7690000}"/>
    <cellStyle name="Normal 8 6 3 3 3" xfId="26248" xr:uid="{00000000-0005-0000-0000-0000A8690000}"/>
    <cellStyle name="Normal 8 6 3 4" xfId="11462" xr:uid="{00000000-0005-0000-0000-0000A9690000}"/>
    <cellStyle name="Normal 8 6 3 4 2" xfId="31177" xr:uid="{00000000-0005-0000-0000-0000AA690000}"/>
    <cellStyle name="Normal 8 6 3 5" xfId="21320" xr:uid="{00000000-0005-0000-0000-0000AB690000}"/>
    <cellStyle name="Normal 8 6 4" xfId="2830" xr:uid="{00000000-0005-0000-0000-0000AC690000}"/>
    <cellStyle name="Normal 8 6 4 2" xfId="7762" xr:uid="{00000000-0005-0000-0000-0000AD690000}"/>
    <cellStyle name="Normal 8 6 4 2 2" xfId="17622" xr:uid="{00000000-0005-0000-0000-0000AE690000}"/>
    <cellStyle name="Normal 8 6 4 2 2 2" xfId="37337" xr:uid="{00000000-0005-0000-0000-0000AF690000}"/>
    <cellStyle name="Normal 8 6 4 2 3" xfId="27480" xr:uid="{00000000-0005-0000-0000-0000B0690000}"/>
    <cellStyle name="Normal 8 6 4 3" xfId="12694" xr:uid="{00000000-0005-0000-0000-0000B1690000}"/>
    <cellStyle name="Normal 8 6 4 3 2" xfId="32409" xr:uid="{00000000-0005-0000-0000-0000B2690000}"/>
    <cellStyle name="Normal 8 6 4 4" xfId="22552" xr:uid="{00000000-0005-0000-0000-0000B3690000}"/>
    <cellStyle name="Normal 8 6 5" xfId="5298" xr:uid="{00000000-0005-0000-0000-0000B4690000}"/>
    <cellStyle name="Normal 8 6 5 2" xfId="15158" xr:uid="{00000000-0005-0000-0000-0000B5690000}"/>
    <cellStyle name="Normal 8 6 5 2 2" xfId="34873" xr:uid="{00000000-0005-0000-0000-0000B6690000}"/>
    <cellStyle name="Normal 8 6 5 3" xfId="25016" xr:uid="{00000000-0005-0000-0000-0000B7690000}"/>
    <cellStyle name="Normal 8 6 6" xfId="10230" xr:uid="{00000000-0005-0000-0000-0000B8690000}"/>
    <cellStyle name="Normal 8 6 6 2" xfId="29945" xr:uid="{00000000-0005-0000-0000-0000B9690000}"/>
    <cellStyle name="Normal 8 6 7" xfId="20088" xr:uid="{00000000-0005-0000-0000-0000BA690000}"/>
    <cellStyle name="Normal 8 7" xfId="669" xr:uid="{00000000-0005-0000-0000-0000BB690000}"/>
    <cellStyle name="Normal 8 7 2" xfId="1905" xr:uid="{00000000-0005-0000-0000-0000BC690000}"/>
    <cellStyle name="Normal 8 7 2 2" xfId="4372" xr:uid="{00000000-0005-0000-0000-0000BD690000}"/>
    <cellStyle name="Normal 8 7 2 2 2" xfId="9304" xr:uid="{00000000-0005-0000-0000-0000BE690000}"/>
    <cellStyle name="Normal 8 7 2 2 2 2" xfId="19164" xr:uid="{00000000-0005-0000-0000-0000BF690000}"/>
    <cellStyle name="Normal 8 7 2 2 2 2 2" xfId="38879" xr:uid="{00000000-0005-0000-0000-0000C0690000}"/>
    <cellStyle name="Normal 8 7 2 2 2 3" xfId="29022" xr:uid="{00000000-0005-0000-0000-0000C1690000}"/>
    <cellStyle name="Normal 8 7 2 2 3" xfId="14236" xr:uid="{00000000-0005-0000-0000-0000C2690000}"/>
    <cellStyle name="Normal 8 7 2 2 3 2" xfId="33951" xr:uid="{00000000-0005-0000-0000-0000C3690000}"/>
    <cellStyle name="Normal 8 7 2 2 4" xfId="24094" xr:uid="{00000000-0005-0000-0000-0000C4690000}"/>
    <cellStyle name="Normal 8 7 2 3" xfId="6840" xr:uid="{00000000-0005-0000-0000-0000C5690000}"/>
    <cellStyle name="Normal 8 7 2 3 2" xfId="16700" xr:uid="{00000000-0005-0000-0000-0000C6690000}"/>
    <cellStyle name="Normal 8 7 2 3 2 2" xfId="36415" xr:uid="{00000000-0005-0000-0000-0000C7690000}"/>
    <cellStyle name="Normal 8 7 2 3 3" xfId="26558" xr:uid="{00000000-0005-0000-0000-0000C8690000}"/>
    <cellStyle name="Normal 8 7 2 4" xfId="11772" xr:uid="{00000000-0005-0000-0000-0000C9690000}"/>
    <cellStyle name="Normal 8 7 2 4 2" xfId="31487" xr:uid="{00000000-0005-0000-0000-0000CA690000}"/>
    <cellStyle name="Normal 8 7 2 5" xfId="21630" xr:uid="{00000000-0005-0000-0000-0000CB690000}"/>
    <cellStyle name="Normal 8 7 3" xfId="3140" xr:uid="{00000000-0005-0000-0000-0000CC690000}"/>
    <cellStyle name="Normal 8 7 3 2" xfId="8072" xr:uid="{00000000-0005-0000-0000-0000CD690000}"/>
    <cellStyle name="Normal 8 7 3 2 2" xfId="17932" xr:uid="{00000000-0005-0000-0000-0000CE690000}"/>
    <cellStyle name="Normal 8 7 3 2 2 2" xfId="37647" xr:uid="{00000000-0005-0000-0000-0000CF690000}"/>
    <cellStyle name="Normal 8 7 3 2 3" xfId="27790" xr:uid="{00000000-0005-0000-0000-0000D0690000}"/>
    <cellStyle name="Normal 8 7 3 3" xfId="13004" xr:uid="{00000000-0005-0000-0000-0000D1690000}"/>
    <cellStyle name="Normal 8 7 3 3 2" xfId="32719" xr:uid="{00000000-0005-0000-0000-0000D2690000}"/>
    <cellStyle name="Normal 8 7 3 4" xfId="22862" xr:uid="{00000000-0005-0000-0000-0000D3690000}"/>
    <cellStyle name="Normal 8 7 4" xfId="5608" xr:uid="{00000000-0005-0000-0000-0000D4690000}"/>
    <cellStyle name="Normal 8 7 4 2" xfId="15468" xr:uid="{00000000-0005-0000-0000-0000D5690000}"/>
    <cellStyle name="Normal 8 7 4 2 2" xfId="35183" xr:uid="{00000000-0005-0000-0000-0000D6690000}"/>
    <cellStyle name="Normal 8 7 4 3" xfId="25326" xr:uid="{00000000-0005-0000-0000-0000D7690000}"/>
    <cellStyle name="Normal 8 7 5" xfId="10540" xr:uid="{00000000-0005-0000-0000-0000D8690000}"/>
    <cellStyle name="Normal 8 7 5 2" xfId="30255" xr:uid="{00000000-0005-0000-0000-0000D9690000}"/>
    <cellStyle name="Normal 8 7 6" xfId="20398" xr:uid="{00000000-0005-0000-0000-0000DA690000}"/>
    <cellStyle name="Normal 8 8" xfId="1289" xr:uid="{00000000-0005-0000-0000-0000DB690000}"/>
    <cellStyle name="Normal 8 8 2" xfId="3756" xr:uid="{00000000-0005-0000-0000-0000DC690000}"/>
    <cellStyle name="Normal 8 8 2 2" xfId="8688" xr:uid="{00000000-0005-0000-0000-0000DD690000}"/>
    <cellStyle name="Normal 8 8 2 2 2" xfId="18548" xr:uid="{00000000-0005-0000-0000-0000DE690000}"/>
    <cellStyle name="Normal 8 8 2 2 2 2" xfId="38263" xr:uid="{00000000-0005-0000-0000-0000DF690000}"/>
    <cellStyle name="Normal 8 8 2 2 3" xfId="28406" xr:uid="{00000000-0005-0000-0000-0000E0690000}"/>
    <cellStyle name="Normal 8 8 2 3" xfId="13620" xr:uid="{00000000-0005-0000-0000-0000E1690000}"/>
    <cellStyle name="Normal 8 8 2 3 2" xfId="33335" xr:uid="{00000000-0005-0000-0000-0000E2690000}"/>
    <cellStyle name="Normal 8 8 2 4" xfId="23478" xr:uid="{00000000-0005-0000-0000-0000E3690000}"/>
    <cellStyle name="Normal 8 8 3" xfId="6224" xr:uid="{00000000-0005-0000-0000-0000E4690000}"/>
    <cellStyle name="Normal 8 8 3 2" xfId="16084" xr:uid="{00000000-0005-0000-0000-0000E5690000}"/>
    <cellStyle name="Normal 8 8 3 2 2" xfId="35799" xr:uid="{00000000-0005-0000-0000-0000E6690000}"/>
    <cellStyle name="Normal 8 8 3 3" xfId="25942" xr:uid="{00000000-0005-0000-0000-0000E7690000}"/>
    <cellStyle name="Normal 8 8 4" xfId="11156" xr:uid="{00000000-0005-0000-0000-0000E8690000}"/>
    <cellStyle name="Normal 8 8 4 2" xfId="30871" xr:uid="{00000000-0005-0000-0000-0000E9690000}"/>
    <cellStyle name="Normal 8 8 5" xfId="21014" xr:uid="{00000000-0005-0000-0000-0000EA690000}"/>
    <cellStyle name="Normal 8 9" xfId="2524" xr:uid="{00000000-0005-0000-0000-0000EB690000}"/>
    <cellStyle name="Normal 8 9 2" xfId="7456" xr:uid="{00000000-0005-0000-0000-0000EC690000}"/>
    <cellStyle name="Normal 8 9 2 2" xfId="17316" xr:uid="{00000000-0005-0000-0000-0000ED690000}"/>
    <cellStyle name="Normal 8 9 2 2 2" xfId="37031" xr:uid="{00000000-0005-0000-0000-0000EE690000}"/>
    <cellStyle name="Normal 8 9 2 3" xfId="27174" xr:uid="{00000000-0005-0000-0000-0000EF690000}"/>
    <cellStyle name="Normal 8 9 3" xfId="12388" xr:uid="{00000000-0005-0000-0000-0000F0690000}"/>
    <cellStyle name="Normal 8 9 3 2" xfId="32103" xr:uid="{00000000-0005-0000-0000-0000F1690000}"/>
    <cellStyle name="Normal 8 9 4" xfId="22246" xr:uid="{00000000-0005-0000-0000-0000F2690000}"/>
    <cellStyle name="Normal 9" xfId="22" xr:uid="{00000000-0005-0000-0000-0000F3690000}"/>
    <cellStyle name="Normal 9 2" xfId="31" xr:uid="{00000000-0005-0000-0000-0000F4690000}"/>
    <cellStyle name="Normal_CALCULO " xfId="39490" xr:uid="{00000000-0005-0000-0000-0000F5690000}"/>
    <cellStyle name="Normal_CALCULO DE BARRAS" xfId="4" xr:uid="{00000000-0005-0000-0000-0000F6690000}"/>
    <cellStyle name="Porcentaje" xfId="39492" builtinId="5"/>
    <cellStyle name="Porcentaje 10" xfId="101" xr:uid="{00000000-0005-0000-0000-0000F8690000}"/>
    <cellStyle name="Porcentaje 10 2" xfId="261" xr:uid="{00000000-0005-0000-0000-0000F9690000}"/>
    <cellStyle name="Porcentaje 10 2 2" xfId="575" xr:uid="{00000000-0005-0000-0000-0000FA690000}"/>
    <cellStyle name="Porcentaje 10 2 2 2" xfId="1195" xr:uid="{00000000-0005-0000-0000-0000FB690000}"/>
    <cellStyle name="Porcentaje 10 2 2 2 2" xfId="2430" xr:uid="{00000000-0005-0000-0000-0000FC690000}"/>
    <cellStyle name="Porcentaje 10 2 2 2 2 2" xfId="4897" xr:uid="{00000000-0005-0000-0000-0000FD690000}"/>
    <cellStyle name="Porcentaje 10 2 2 2 2 2 2" xfId="9829" xr:uid="{00000000-0005-0000-0000-0000FE690000}"/>
    <cellStyle name="Porcentaje 10 2 2 2 2 2 2 2" xfId="19689" xr:uid="{00000000-0005-0000-0000-0000FF690000}"/>
    <cellStyle name="Porcentaje 10 2 2 2 2 2 2 2 2" xfId="39404" xr:uid="{00000000-0005-0000-0000-0000006A0000}"/>
    <cellStyle name="Porcentaje 10 2 2 2 2 2 2 3" xfId="29547" xr:uid="{00000000-0005-0000-0000-0000016A0000}"/>
    <cellStyle name="Porcentaje 10 2 2 2 2 2 3" xfId="14761" xr:uid="{00000000-0005-0000-0000-0000026A0000}"/>
    <cellStyle name="Porcentaje 10 2 2 2 2 2 3 2" xfId="34476" xr:uid="{00000000-0005-0000-0000-0000036A0000}"/>
    <cellStyle name="Porcentaje 10 2 2 2 2 2 4" xfId="24619" xr:uid="{00000000-0005-0000-0000-0000046A0000}"/>
    <cellStyle name="Porcentaje 10 2 2 2 2 3" xfId="7365" xr:uid="{00000000-0005-0000-0000-0000056A0000}"/>
    <cellStyle name="Porcentaje 10 2 2 2 2 3 2" xfId="17225" xr:uid="{00000000-0005-0000-0000-0000066A0000}"/>
    <cellStyle name="Porcentaje 10 2 2 2 2 3 2 2" xfId="36940" xr:uid="{00000000-0005-0000-0000-0000076A0000}"/>
    <cellStyle name="Porcentaje 10 2 2 2 2 3 3" xfId="27083" xr:uid="{00000000-0005-0000-0000-0000086A0000}"/>
    <cellStyle name="Porcentaje 10 2 2 2 2 4" xfId="12297" xr:uid="{00000000-0005-0000-0000-0000096A0000}"/>
    <cellStyle name="Porcentaje 10 2 2 2 2 4 2" xfId="32012" xr:uid="{00000000-0005-0000-0000-00000A6A0000}"/>
    <cellStyle name="Porcentaje 10 2 2 2 2 5" xfId="22155" xr:uid="{00000000-0005-0000-0000-00000B6A0000}"/>
    <cellStyle name="Porcentaje 10 2 2 2 3" xfId="3665" xr:uid="{00000000-0005-0000-0000-00000C6A0000}"/>
    <cellStyle name="Porcentaje 10 2 2 2 3 2" xfId="8597" xr:uid="{00000000-0005-0000-0000-00000D6A0000}"/>
    <cellStyle name="Porcentaje 10 2 2 2 3 2 2" xfId="18457" xr:uid="{00000000-0005-0000-0000-00000E6A0000}"/>
    <cellStyle name="Porcentaje 10 2 2 2 3 2 2 2" xfId="38172" xr:uid="{00000000-0005-0000-0000-00000F6A0000}"/>
    <cellStyle name="Porcentaje 10 2 2 2 3 2 3" xfId="28315" xr:uid="{00000000-0005-0000-0000-0000106A0000}"/>
    <cellStyle name="Porcentaje 10 2 2 2 3 3" xfId="13529" xr:uid="{00000000-0005-0000-0000-0000116A0000}"/>
    <cellStyle name="Porcentaje 10 2 2 2 3 3 2" xfId="33244" xr:uid="{00000000-0005-0000-0000-0000126A0000}"/>
    <cellStyle name="Porcentaje 10 2 2 2 3 4" xfId="23387" xr:uid="{00000000-0005-0000-0000-0000136A0000}"/>
    <cellStyle name="Porcentaje 10 2 2 2 4" xfId="6133" xr:uid="{00000000-0005-0000-0000-0000146A0000}"/>
    <cellStyle name="Porcentaje 10 2 2 2 4 2" xfId="15993" xr:uid="{00000000-0005-0000-0000-0000156A0000}"/>
    <cellStyle name="Porcentaje 10 2 2 2 4 2 2" xfId="35708" xr:uid="{00000000-0005-0000-0000-0000166A0000}"/>
    <cellStyle name="Porcentaje 10 2 2 2 4 3" xfId="25851" xr:uid="{00000000-0005-0000-0000-0000176A0000}"/>
    <cellStyle name="Porcentaje 10 2 2 2 5" xfId="11065" xr:uid="{00000000-0005-0000-0000-0000186A0000}"/>
    <cellStyle name="Porcentaje 10 2 2 2 5 2" xfId="30780" xr:uid="{00000000-0005-0000-0000-0000196A0000}"/>
    <cellStyle name="Porcentaje 10 2 2 2 6" xfId="20923" xr:uid="{00000000-0005-0000-0000-00001A6A0000}"/>
    <cellStyle name="Porcentaje 10 2 2 3" xfId="1814" xr:uid="{00000000-0005-0000-0000-00001B6A0000}"/>
    <cellStyle name="Porcentaje 10 2 2 3 2" xfId="4281" xr:uid="{00000000-0005-0000-0000-00001C6A0000}"/>
    <cellStyle name="Porcentaje 10 2 2 3 2 2" xfId="9213" xr:uid="{00000000-0005-0000-0000-00001D6A0000}"/>
    <cellStyle name="Porcentaje 10 2 2 3 2 2 2" xfId="19073" xr:uid="{00000000-0005-0000-0000-00001E6A0000}"/>
    <cellStyle name="Porcentaje 10 2 2 3 2 2 2 2" xfId="38788" xr:uid="{00000000-0005-0000-0000-00001F6A0000}"/>
    <cellStyle name="Porcentaje 10 2 2 3 2 2 3" xfId="28931" xr:uid="{00000000-0005-0000-0000-0000206A0000}"/>
    <cellStyle name="Porcentaje 10 2 2 3 2 3" xfId="14145" xr:uid="{00000000-0005-0000-0000-0000216A0000}"/>
    <cellStyle name="Porcentaje 10 2 2 3 2 3 2" xfId="33860" xr:uid="{00000000-0005-0000-0000-0000226A0000}"/>
    <cellStyle name="Porcentaje 10 2 2 3 2 4" xfId="24003" xr:uid="{00000000-0005-0000-0000-0000236A0000}"/>
    <cellStyle name="Porcentaje 10 2 2 3 3" xfId="6749" xr:uid="{00000000-0005-0000-0000-0000246A0000}"/>
    <cellStyle name="Porcentaje 10 2 2 3 3 2" xfId="16609" xr:uid="{00000000-0005-0000-0000-0000256A0000}"/>
    <cellStyle name="Porcentaje 10 2 2 3 3 2 2" xfId="36324" xr:uid="{00000000-0005-0000-0000-0000266A0000}"/>
    <cellStyle name="Porcentaje 10 2 2 3 3 3" xfId="26467" xr:uid="{00000000-0005-0000-0000-0000276A0000}"/>
    <cellStyle name="Porcentaje 10 2 2 3 4" xfId="11681" xr:uid="{00000000-0005-0000-0000-0000286A0000}"/>
    <cellStyle name="Porcentaje 10 2 2 3 4 2" xfId="31396" xr:uid="{00000000-0005-0000-0000-0000296A0000}"/>
    <cellStyle name="Porcentaje 10 2 2 3 5" xfId="21539" xr:uid="{00000000-0005-0000-0000-00002A6A0000}"/>
    <cellStyle name="Porcentaje 10 2 2 4" xfId="3049" xr:uid="{00000000-0005-0000-0000-00002B6A0000}"/>
    <cellStyle name="Porcentaje 10 2 2 4 2" xfId="7981" xr:uid="{00000000-0005-0000-0000-00002C6A0000}"/>
    <cellStyle name="Porcentaje 10 2 2 4 2 2" xfId="17841" xr:uid="{00000000-0005-0000-0000-00002D6A0000}"/>
    <cellStyle name="Porcentaje 10 2 2 4 2 2 2" xfId="37556" xr:uid="{00000000-0005-0000-0000-00002E6A0000}"/>
    <cellStyle name="Porcentaje 10 2 2 4 2 3" xfId="27699" xr:uid="{00000000-0005-0000-0000-00002F6A0000}"/>
    <cellStyle name="Porcentaje 10 2 2 4 3" xfId="12913" xr:uid="{00000000-0005-0000-0000-0000306A0000}"/>
    <cellStyle name="Porcentaje 10 2 2 4 3 2" xfId="32628" xr:uid="{00000000-0005-0000-0000-0000316A0000}"/>
    <cellStyle name="Porcentaje 10 2 2 4 4" xfId="22771" xr:uid="{00000000-0005-0000-0000-0000326A0000}"/>
    <cellStyle name="Porcentaje 10 2 2 5" xfId="5517" xr:uid="{00000000-0005-0000-0000-0000336A0000}"/>
    <cellStyle name="Porcentaje 10 2 2 5 2" xfId="15377" xr:uid="{00000000-0005-0000-0000-0000346A0000}"/>
    <cellStyle name="Porcentaje 10 2 2 5 2 2" xfId="35092" xr:uid="{00000000-0005-0000-0000-0000356A0000}"/>
    <cellStyle name="Porcentaje 10 2 2 5 3" xfId="25235" xr:uid="{00000000-0005-0000-0000-0000366A0000}"/>
    <cellStyle name="Porcentaje 10 2 2 6" xfId="10449" xr:uid="{00000000-0005-0000-0000-0000376A0000}"/>
    <cellStyle name="Porcentaje 10 2 2 6 2" xfId="30164" xr:uid="{00000000-0005-0000-0000-0000386A0000}"/>
    <cellStyle name="Porcentaje 10 2 2 7" xfId="20307" xr:uid="{00000000-0005-0000-0000-0000396A0000}"/>
    <cellStyle name="Porcentaje 10 2 3" xfId="888" xr:uid="{00000000-0005-0000-0000-00003A6A0000}"/>
    <cellStyle name="Porcentaje 10 2 3 2" xfId="2124" xr:uid="{00000000-0005-0000-0000-00003B6A0000}"/>
    <cellStyle name="Porcentaje 10 2 3 2 2" xfId="4591" xr:uid="{00000000-0005-0000-0000-00003C6A0000}"/>
    <cellStyle name="Porcentaje 10 2 3 2 2 2" xfId="9523" xr:uid="{00000000-0005-0000-0000-00003D6A0000}"/>
    <cellStyle name="Porcentaje 10 2 3 2 2 2 2" xfId="19383" xr:uid="{00000000-0005-0000-0000-00003E6A0000}"/>
    <cellStyle name="Porcentaje 10 2 3 2 2 2 2 2" xfId="39098" xr:uid="{00000000-0005-0000-0000-00003F6A0000}"/>
    <cellStyle name="Porcentaje 10 2 3 2 2 2 3" xfId="29241" xr:uid="{00000000-0005-0000-0000-0000406A0000}"/>
    <cellStyle name="Porcentaje 10 2 3 2 2 3" xfId="14455" xr:uid="{00000000-0005-0000-0000-0000416A0000}"/>
    <cellStyle name="Porcentaje 10 2 3 2 2 3 2" xfId="34170" xr:uid="{00000000-0005-0000-0000-0000426A0000}"/>
    <cellStyle name="Porcentaje 10 2 3 2 2 4" xfId="24313" xr:uid="{00000000-0005-0000-0000-0000436A0000}"/>
    <cellStyle name="Porcentaje 10 2 3 2 3" xfId="7059" xr:uid="{00000000-0005-0000-0000-0000446A0000}"/>
    <cellStyle name="Porcentaje 10 2 3 2 3 2" xfId="16919" xr:uid="{00000000-0005-0000-0000-0000456A0000}"/>
    <cellStyle name="Porcentaje 10 2 3 2 3 2 2" xfId="36634" xr:uid="{00000000-0005-0000-0000-0000466A0000}"/>
    <cellStyle name="Porcentaje 10 2 3 2 3 3" xfId="26777" xr:uid="{00000000-0005-0000-0000-0000476A0000}"/>
    <cellStyle name="Porcentaje 10 2 3 2 4" xfId="11991" xr:uid="{00000000-0005-0000-0000-0000486A0000}"/>
    <cellStyle name="Porcentaje 10 2 3 2 4 2" xfId="31706" xr:uid="{00000000-0005-0000-0000-0000496A0000}"/>
    <cellStyle name="Porcentaje 10 2 3 2 5" xfId="21849" xr:uid="{00000000-0005-0000-0000-00004A6A0000}"/>
    <cellStyle name="Porcentaje 10 2 3 3" xfId="3359" xr:uid="{00000000-0005-0000-0000-00004B6A0000}"/>
    <cellStyle name="Porcentaje 10 2 3 3 2" xfId="8291" xr:uid="{00000000-0005-0000-0000-00004C6A0000}"/>
    <cellStyle name="Porcentaje 10 2 3 3 2 2" xfId="18151" xr:uid="{00000000-0005-0000-0000-00004D6A0000}"/>
    <cellStyle name="Porcentaje 10 2 3 3 2 2 2" xfId="37866" xr:uid="{00000000-0005-0000-0000-00004E6A0000}"/>
    <cellStyle name="Porcentaje 10 2 3 3 2 3" xfId="28009" xr:uid="{00000000-0005-0000-0000-00004F6A0000}"/>
    <cellStyle name="Porcentaje 10 2 3 3 3" xfId="13223" xr:uid="{00000000-0005-0000-0000-0000506A0000}"/>
    <cellStyle name="Porcentaje 10 2 3 3 3 2" xfId="32938" xr:uid="{00000000-0005-0000-0000-0000516A0000}"/>
    <cellStyle name="Porcentaje 10 2 3 3 4" xfId="23081" xr:uid="{00000000-0005-0000-0000-0000526A0000}"/>
    <cellStyle name="Porcentaje 10 2 3 4" xfId="5827" xr:uid="{00000000-0005-0000-0000-0000536A0000}"/>
    <cellStyle name="Porcentaje 10 2 3 4 2" xfId="15687" xr:uid="{00000000-0005-0000-0000-0000546A0000}"/>
    <cellStyle name="Porcentaje 10 2 3 4 2 2" xfId="35402" xr:uid="{00000000-0005-0000-0000-0000556A0000}"/>
    <cellStyle name="Porcentaje 10 2 3 4 3" xfId="25545" xr:uid="{00000000-0005-0000-0000-0000566A0000}"/>
    <cellStyle name="Porcentaje 10 2 3 5" xfId="10759" xr:uid="{00000000-0005-0000-0000-0000576A0000}"/>
    <cellStyle name="Porcentaje 10 2 3 5 2" xfId="30474" xr:uid="{00000000-0005-0000-0000-0000586A0000}"/>
    <cellStyle name="Porcentaje 10 2 3 6" xfId="20617" xr:uid="{00000000-0005-0000-0000-0000596A0000}"/>
    <cellStyle name="Porcentaje 10 2 4" xfId="1508" xr:uid="{00000000-0005-0000-0000-00005A6A0000}"/>
    <cellStyle name="Porcentaje 10 2 4 2" xfId="3975" xr:uid="{00000000-0005-0000-0000-00005B6A0000}"/>
    <cellStyle name="Porcentaje 10 2 4 2 2" xfId="8907" xr:uid="{00000000-0005-0000-0000-00005C6A0000}"/>
    <cellStyle name="Porcentaje 10 2 4 2 2 2" xfId="18767" xr:uid="{00000000-0005-0000-0000-00005D6A0000}"/>
    <cellStyle name="Porcentaje 10 2 4 2 2 2 2" xfId="38482" xr:uid="{00000000-0005-0000-0000-00005E6A0000}"/>
    <cellStyle name="Porcentaje 10 2 4 2 2 3" xfId="28625" xr:uid="{00000000-0005-0000-0000-00005F6A0000}"/>
    <cellStyle name="Porcentaje 10 2 4 2 3" xfId="13839" xr:uid="{00000000-0005-0000-0000-0000606A0000}"/>
    <cellStyle name="Porcentaje 10 2 4 2 3 2" xfId="33554" xr:uid="{00000000-0005-0000-0000-0000616A0000}"/>
    <cellStyle name="Porcentaje 10 2 4 2 4" xfId="23697" xr:uid="{00000000-0005-0000-0000-0000626A0000}"/>
    <cellStyle name="Porcentaje 10 2 4 3" xfId="6443" xr:uid="{00000000-0005-0000-0000-0000636A0000}"/>
    <cellStyle name="Porcentaje 10 2 4 3 2" xfId="16303" xr:uid="{00000000-0005-0000-0000-0000646A0000}"/>
    <cellStyle name="Porcentaje 10 2 4 3 2 2" xfId="36018" xr:uid="{00000000-0005-0000-0000-0000656A0000}"/>
    <cellStyle name="Porcentaje 10 2 4 3 3" xfId="26161" xr:uid="{00000000-0005-0000-0000-0000666A0000}"/>
    <cellStyle name="Porcentaje 10 2 4 4" xfId="11375" xr:uid="{00000000-0005-0000-0000-0000676A0000}"/>
    <cellStyle name="Porcentaje 10 2 4 4 2" xfId="31090" xr:uid="{00000000-0005-0000-0000-0000686A0000}"/>
    <cellStyle name="Porcentaje 10 2 4 5" xfId="21233" xr:uid="{00000000-0005-0000-0000-0000696A0000}"/>
    <cellStyle name="Porcentaje 10 2 5" xfId="2743" xr:uid="{00000000-0005-0000-0000-00006A6A0000}"/>
    <cellStyle name="Porcentaje 10 2 5 2" xfId="7675" xr:uid="{00000000-0005-0000-0000-00006B6A0000}"/>
    <cellStyle name="Porcentaje 10 2 5 2 2" xfId="17535" xr:uid="{00000000-0005-0000-0000-00006C6A0000}"/>
    <cellStyle name="Porcentaje 10 2 5 2 2 2" xfId="37250" xr:uid="{00000000-0005-0000-0000-00006D6A0000}"/>
    <cellStyle name="Porcentaje 10 2 5 2 3" xfId="27393" xr:uid="{00000000-0005-0000-0000-00006E6A0000}"/>
    <cellStyle name="Porcentaje 10 2 5 3" xfId="12607" xr:uid="{00000000-0005-0000-0000-00006F6A0000}"/>
    <cellStyle name="Porcentaje 10 2 5 3 2" xfId="32322" xr:uid="{00000000-0005-0000-0000-0000706A0000}"/>
    <cellStyle name="Porcentaje 10 2 5 4" xfId="22465" xr:uid="{00000000-0005-0000-0000-0000716A0000}"/>
    <cellStyle name="Porcentaje 10 2 6" xfId="5211" xr:uid="{00000000-0005-0000-0000-0000726A0000}"/>
    <cellStyle name="Porcentaje 10 2 6 2" xfId="15071" xr:uid="{00000000-0005-0000-0000-0000736A0000}"/>
    <cellStyle name="Porcentaje 10 2 6 2 2" xfId="34786" xr:uid="{00000000-0005-0000-0000-0000746A0000}"/>
    <cellStyle name="Porcentaje 10 2 6 3" xfId="24929" xr:uid="{00000000-0005-0000-0000-0000756A0000}"/>
    <cellStyle name="Porcentaje 10 2 7" xfId="10143" xr:uid="{00000000-0005-0000-0000-0000766A0000}"/>
    <cellStyle name="Porcentaje 10 2 7 2" xfId="29858" xr:uid="{00000000-0005-0000-0000-0000776A0000}"/>
    <cellStyle name="Porcentaje 10 2 8" xfId="20001" xr:uid="{00000000-0005-0000-0000-0000786A0000}"/>
    <cellStyle name="Porcentaje 10 3" xfId="423" xr:uid="{00000000-0005-0000-0000-0000796A0000}"/>
    <cellStyle name="Porcentaje 10 3 2" xfId="1043" xr:uid="{00000000-0005-0000-0000-00007A6A0000}"/>
    <cellStyle name="Porcentaje 10 3 2 2" xfId="2278" xr:uid="{00000000-0005-0000-0000-00007B6A0000}"/>
    <cellStyle name="Porcentaje 10 3 2 2 2" xfId="4745" xr:uid="{00000000-0005-0000-0000-00007C6A0000}"/>
    <cellStyle name="Porcentaje 10 3 2 2 2 2" xfId="9677" xr:uid="{00000000-0005-0000-0000-00007D6A0000}"/>
    <cellStyle name="Porcentaje 10 3 2 2 2 2 2" xfId="19537" xr:uid="{00000000-0005-0000-0000-00007E6A0000}"/>
    <cellStyle name="Porcentaje 10 3 2 2 2 2 2 2" xfId="39252" xr:uid="{00000000-0005-0000-0000-00007F6A0000}"/>
    <cellStyle name="Porcentaje 10 3 2 2 2 2 3" xfId="29395" xr:uid="{00000000-0005-0000-0000-0000806A0000}"/>
    <cellStyle name="Porcentaje 10 3 2 2 2 3" xfId="14609" xr:uid="{00000000-0005-0000-0000-0000816A0000}"/>
    <cellStyle name="Porcentaje 10 3 2 2 2 3 2" xfId="34324" xr:uid="{00000000-0005-0000-0000-0000826A0000}"/>
    <cellStyle name="Porcentaje 10 3 2 2 2 4" xfId="24467" xr:uid="{00000000-0005-0000-0000-0000836A0000}"/>
    <cellStyle name="Porcentaje 10 3 2 2 3" xfId="7213" xr:uid="{00000000-0005-0000-0000-0000846A0000}"/>
    <cellStyle name="Porcentaje 10 3 2 2 3 2" xfId="17073" xr:uid="{00000000-0005-0000-0000-0000856A0000}"/>
    <cellStyle name="Porcentaje 10 3 2 2 3 2 2" xfId="36788" xr:uid="{00000000-0005-0000-0000-0000866A0000}"/>
    <cellStyle name="Porcentaje 10 3 2 2 3 3" xfId="26931" xr:uid="{00000000-0005-0000-0000-0000876A0000}"/>
    <cellStyle name="Porcentaje 10 3 2 2 4" xfId="12145" xr:uid="{00000000-0005-0000-0000-0000886A0000}"/>
    <cellStyle name="Porcentaje 10 3 2 2 4 2" xfId="31860" xr:uid="{00000000-0005-0000-0000-0000896A0000}"/>
    <cellStyle name="Porcentaje 10 3 2 2 5" xfId="22003" xr:uid="{00000000-0005-0000-0000-00008A6A0000}"/>
    <cellStyle name="Porcentaje 10 3 2 3" xfId="3513" xr:uid="{00000000-0005-0000-0000-00008B6A0000}"/>
    <cellStyle name="Porcentaje 10 3 2 3 2" xfId="8445" xr:uid="{00000000-0005-0000-0000-00008C6A0000}"/>
    <cellStyle name="Porcentaje 10 3 2 3 2 2" xfId="18305" xr:uid="{00000000-0005-0000-0000-00008D6A0000}"/>
    <cellStyle name="Porcentaje 10 3 2 3 2 2 2" xfId="38020" xr:uid="{00000000-0005-0000-0000-00008E6A0000}"/>
    <cellStyle name="Porcentaje 10 3 2 3 2 3" xfId="28163" xr:uid="{00000000-0005-0000-0000-00008F6A0000}"/>
    <cellStyle name="Porcentaje 10 3 2 3 3" xfId="13377" xr:uid="{00000000-0005-0000-0000-0000906A0000}"/>
    <cellStyle name="Porcentaje 10 3 2 3 3 2" xfId="33092" xr:uid="{00000000-0005-0000-0000-0000916A0000}"/>
    <cellStyle name="Porcentaje 10 3 2 3 4" xfId="23235" xr:uid="{00000000-0005-0000-0000-0000926A0000}"/>
    <cellStyle name="Porcentaje 10 3 2 4" xfId="5981" xr:uid="{00000000-0005-0000-0000-0000936A0000}"/>
    <cellStyle name="Porcentaje 10 3 2 4 2" xfId="15841" xr:uid="{00000000-0005-0000-0000-0000946A0000}"/>
    <cellStyle name="Porcentaje 10 3 2 4 2 2" xfId="35556" xr:uid="{00000000-0005-0000-0000-0000956A0000}"/>
    <cellStyle name="Porcentaje 10 3 2 4 3" xfId="25699" xr:uid="{00000000-0005-0000-0000-0000966A0000}"/>
    <cellStyle name="Porcentaje 10 3 2 5" xfId="10913" xr:uid="{00000000-0005-0000-0000-0000976A0000}"/>
    <cellStyle name="Porcentaje 10 3 2 5 2" xfId="30628" xr:uid="{00000000-0005-0000-0000-0000986A0000}"/>
    <cellStyle name="Porcentaje 10 3 2 6" xfId="20771" xr:uid="{00000000-0005-0000-0000-0000996A0000}"/>
    <cellStyle name="Porcentaje 10 3 3" xfId="1662" xr:uid="{00000000-0005-0000-0000-00009A6A0000}"/>
    <cellStyle name="Porcentaje 10 3 3 2" xfId="4129" xr:uid="{00000000-0005-0000-0000-00009B6A0000}"/>
    <cellStyle name="Porcentaje 10 3 3 2 2" xfId="9061" xr:uid="{00000000-0005-0000-0000-00009C6A0000}"/>
    <cellStyle name="Porcentaje 10 3 3 2 2 2" xfId="18921" xr:uid="{00000000-0005-0000-0000-00009D6A0000}"/>
    <cellStyle name="Porcentaje 10 3 3 2 2 2 2" xfId="38636" xr:uid="{00000000-0005-0000-0000-00009E6A0000}"/>
    <cellStyle name="Porcentaje 10 3 3 2 2 3" xfId="28779" xr:uid="{00000000-0005-0000-0000-00009F6A0000}"/>
    <cellStyle name="Porcentaje 10 3 3 2 3" xfId="13993" xr:uid="{00000000-0005-0000-0000-0000A06A0000}"/>
    <cellStyle name="Porcentaje 10 3 3 2 3 2" xfId="33708" xr:uid="{00000000-0005-0000-0000-0000A16A0000}"/>
    <cellStyle name="Porcentaje 10 3 3 2 4" xfId="23851" xr:uid="{00000000-0005-0000-0000-0000A26A0000}"/>
    <cellStyle name="Porcentaje 10 3 3 3" xfId="6597" xr:uid="{00000000-0005-0000-0000-0000A36A0000}"/>
    <cellStyle name="Porcentaje 10 3 3 3 2" xfId="16457" xr:uid="{00000000-0005-0000-0000-0000A46A0000}"/>
    <cellStyle name="Porcentaje 10 3 3 3 2 2" xfId="36172" xr:uid="{00000000-0005-0000-0000-0000A56A0000}"/>
    <cellStyle name="Porcentaje 10 3 3 3 3" xfId="26315" xr:uid="{00000000-0005-0000-0000-0000A66A0000}"/>
    <cellStyle name="Porcentaje 10 3 3 4" xfId="11529" xr:uid="{00000000-0005-0000-0000-0000A76A0000}"/>
    <cellStyle name="Porcentaje 10 3 3 4 2" xfId="31244" xr:uid="{00000000-0005-0000-0000-0000A86A0000}"/>
    <cellStyle name="Porcentaje 10 3 3 5" xfId="21387" xr:uid="{00000000-0005-0000-0000-0000A96A0000}"/>
    <cellStyle name="Porcentaje 10 3 4" xfId="2897" xr:uid="{00000000-0005-0000-0000-0000AA6A0000}"/>
    <cellStyle name="Porcentaje 10 3 4 2" xfId="7829" xr:uid="{00000000-0005-0000-0000-0000AB6A0000}"/>
    <cellStyle name="Porcentaje 10 3 4 2 2" xfId="17689" xr:uid="{00000000-0005-0000-0000-0000AC6A0000}"/>
    <cellStyle name="Porcentaje 10 3 4 2 2 2" xfId="37404" xr:uid="{00000000-0005-0000-0000-0000AD6A0000}"/>
    <cellStyle name="Porcentaje 10 3 4 2 3" xfId="27547" xr:uid="{00000000-0005-0000-0000-0000AE6A0000}"/>
    <cellStyle name="Porcentaje 10 3 4 3" xfId="12761" xr:uid="{00000000-0005-0000-0000-0000AF6A0000}"/>
    <cellStyle name="Porcentaje 10 3 4 3 2" xfId="32476" xr:uid="{00000000-0005-0000-0000-0000B06A0000}"/>
    <cellStyle name="Porcentaje 10 3 4 4" xfId="22619" xr:uid="{00000000-0005-0000-0000-0000B16A0000}"/>
    <cellStyle name="Porcentaje 10 3 5" xfId="5365" xr:uid="{00000000-0005-0000-0000-0000B26A0000}"/>
    <cellStyle name="Porcentaje 10 3 5 2" xfId="15225" xr:uid="{00000000-0005-0000-0000-0000B36A0000}"/>
    <cellStyle name="Porcentaje 10 3 5 2 2" xfId="34940" xr:uid="{00000000-0005-0000-0000-0000B46A0000}"/>
    <cellStyle name="Porcentaje 10 3 5 3" xfId="25083" xr:uid="{00000000-0005-0000-0000-0000B56A0000}"/>
    <cellStyle name="Porcentaje 10 3 6" xfId="10297" xr:uid="{00000000-0005-0000-0000-0000B66A0000}"/>
    <cellStyle name="Porcentaje 10 3 6 2" xfId="30012" xr:uid="{00000000-0005-0000-0000-0000B76A0000}"/>
    <cellStyle name="Porcentaje 10 3 7" xfId="20155" xr:uid="{00000000-0005-0000-0000-0000B86A0000}"/>
    <cellStyle name="Porcentaje 10 4" xfId="736" xr:uid="{00000000-0005-0000-0000-0000B96A0000}"/>
    <cellStyle name="Porcentaje 10 4 2" xfId="1972" xr:uid="{00000000-0005-0000-0000-0000BA6A0000}"/>
    <cellStyle name="Porcentaje 10 4 2 2" xfId="4439" xr:uid="{00000000-0005-0000-0000-0000BB6A0000}"/>
    <cellStyle name="Porcentaje 10 4 2 2 2" xfId="9371" xr:uid="{00000000-0005-0000-0000-0000BC6A0000}"/>
    <cellStyle name="Porcentaje 10 4 2 2 2 2" xfId="19231" xr:uid="{00000000-0005-0000-0000-0000BD6A0000}"/>
    <cellStyle name="Porcentaje 10 4 2 2 2 2 2" xfId="38946" xr:uid="{00000000-0005-0000-0000-0000BE6A0000}"/>
    <cellStyle name="Porcentaje 10 4 2 2 2 3" xfId="29089" xr:uid="{00000000-0005-0000-0000-0000BF6A0000}"/>
    <cellStyle name="Porcentaje 10 4 2 2 3" xfId="14303" xr:uid="{00000000-0005-0000-0000-0000C06A0000}"/>
    <cellStyle name="Porcentaje 10 4 2 2 3 2" xfId="34018" xr:uid="{00000000-0005-0000-0000-0000C16A0000}"/>
    <cellStyle name="Porcentaje 10 4 2 2 4" xfId="24161" xr:uid="{00000000-0005-0000-0000-0000C26A0000}"/>
    <cellStyle name="Porcentaje 10 4 2 3" xfId="6907" xr:uid="{00000000-0005-0000-0000-0000C36A0000}"/>
    <cellStyle name="Porcentaje 10 4 2 3 2" xfId="16767" xr:uid="{00000000-0005-0000-0000-0000C46A0000}"/>
    <cellStyle name="Porcentaje 10 4 2 3 2 2" xfId="36482" xr:uid="{00000000-0005-0000-0000-0000C56A0000}"/>
    <cellStyle name="Porcentaje 10 4 2 3 3" xfId="26625" xr:uid="{00000000-0005-0000-0000-0000C66A0000}"/>
    <cellStyle name="Porcentaje 10 4 2 4" xfId="11839" xr:uid="{00000000-0005-0000-0000-0000C76A0000}"/>
    <cellStyle name="Porcentaje 10 4 2 4 2" xfId="31554" xr:uid="{00000000-0005-0000-0000-0000C86A0000}"/>
    <cellStyle name="Porcentaje 10 4 2 5" xfId="21697" xr:uid="{00000000-0005-0000-0000-0000C96A0000}"/>
    <cellStyle name="Porcentaje 10 4 3" xfId="3207" xr:uid="{00000000-0005-0000-0000-0000CA6A0000}"/>
    <cellStyle name="Porcentaje 10 4 3 2" xfId="8139" xr:uid="{00000000-0005-0000-0000-0000CB6A0000}"/>
    <cellStyle name="Porcentaje 10 4 3 2 2" xfId="17999" xr:uid="{00000000-0005-0000-0000-0000CC6A0000}"/>
    <cellStyle name="Porcentaje 10 4 3 2 2 2" xfId="37714" xr:uid="{00000000-0005-0000-0000-0000CD6A0000}"/>
    <cellStyle name="Porcentaje 10 4 3 2 3" xfId="27857" xr:uid="{00000000-0005-0000-0000-0000CE6A0000}"/>
    <cellStyle name="Porcentaje 10 4 3 3" xfId="13071" xr:uid="{00000000-0005-0000-0000-0000CF6A0000}"/>
    <cellStyle name="Porcentaje 10 4 3 3 2" xfId="32786" xr:uid="{00000000-0005-0000-0000-0000D06A0000}"/>
    <cellStyle name="Porcentaje 10 4 3 4" xfId="22929" xr:uid="{00000000-0005-0000-0000-0000D16A0000}"/>
    <cellStyle name="Porcentaje 10 4 4" xfId="5675" xr:uid="{00000000-0005-0000-0000-0000D26A0000}"/>
    <cellStyle name="Porcentaje 10 4 4 2" xfId="15535" xr:uid="{00000000-0005-0000-0000-0000D36A0000}"/>
    <cellStyle name="Porcentaje 10 4 4 2 2" xfId="35250" xr:uid="{00000000-0005-0000-0000-0000D46A0000}"/>
    <cellStyle name="Porcentaje 10 4 4 3" xfId="25393" xr:uid="{00000000-0005-0000-0000-0000D56A0000}"/>
    <cellStyle name="Porcentaje 10 4 5" xfId="10607" xr:uid="{00000000-0005-0000-0000-0000D66A0000}"/>
    <cellStyle name="Porcentaje 10 4 5 2" xfId="30322" xr:uid="{00000000-0005-0000-0000-0000D76A0000}"/>
    <cellStyle name="Porcentaje 10 4 6" xfId="20465" xr:uid="{00000000-0005-0000-0000-0000D86A0000}"/>
    <cellStyle name="Porcentaje 10 5" xfId="1356" xr:uid="{00000000-0005-0000-0000-0000D96A0000}"/>
    <cellStyle name="Porcentaje 10 5 2" xfId="3823" xr:uid="{00000000-0005-0000-0000-0000DA6A0000}"/>
    <cellStyle name="Porcentaje 10 5 2 2" xfId="8755" xr:uid="{00000000-0005-0000-0000-0000DB6A0000}"/>
    <cellStyle name="Porcentaje 10 5 2 2 2" xfId="18615" xr:uid="{00000000-0005-0000-0000-0000DC6A0000}"/>
    <cellStyle name="Porcentaje 10 5 2 2 2 2" xfId="38330" xr:uid="{00000000-0005-0000-0000-0000DD6A0000}"/>
    <cellStyle name="Porcentaje 10 5 2 2 3" xfId="28473" xr:uid="{00000000-0005-0000-0000-0000DE6A0000}"/>
    <cellStyle name="Porcentaje 10 5 2 3" xfId="13687" xr:uid="{00000000-0005-0000-0000-0000DF6A0000}"/>
    <cellStyle name="Porcentaje 10 5 2 3 2" xfId="33402" xr:uid="{00000000-0005-0000-0000-0000E06A0000}"/>
    <cellStyle name="Porcentaje 10 5 2 4" xfId="23545" xr:uid="{00000000-0005-0000-0000-0000E16A0000}"/>
    <cellStyle name="Porcentaje 10 5 3" xfId="6291" xr:uid="{00000000-0005-0000-0000-0000E26A0000}"/>
    <cellStyle name="Porcentaje 10 5 3 2" xfId="16151" xr:uid="{00000000-0005-0000-0000-0000E36A0000}"/>
    <cellStyle name="Porcentaje 10 5 3 2 2" xfId="35866" xr:uid="{00000000-0005-0000-0000-0000E46A0000}"/>
    <cellStyle name="Porcentaje 10 5 3 3" xfId="26009" xr:uid="{00000000-0005-0000-0000-0000E56A0000}"/>
    <cellStyle name="Porcentaje 10 5 4" xfId="11223" xr:uid="{00000000-0005-0000-0000-0000E66A0000}"/>
    <cellStyle name="Porcentaje 10 5 4 2" xfId="30938" xr:uid="{00000000-0005-0000-0000-0000E76A0000}"/>
    <cellStyle name="Porcentaje 10 5 5" xfId="21081" xr:uid="{00000000-0005-0000-0000-0000E86A0000}"/>
    <cellStyle name="Porcentaje 10 6" xfId="2591" xr:uid="{00000000-0005-0000-0000-0000E96A0000}"/>
    <cellStyle name="Porcentaje 10 6 2" xfId="7523" xr:uid="{00000000-0005-0000-0000-0000EA6A0000}"/>
    <cellStyle name="Porcentaje 10 6 2 2" xfId="17383" xr:uid="{00000000-0005-0000-0000-0000EB6A0000}"/>
    <cellStyle name="Porcentaje 10 6 2 2 2" xfId="37098" xr:uid="{00000000-0005-0000-0000-0000EC6A0000}"/>
    <cellStyle name="Porcentaje 10 6 2 3" xfId="27241" xr:uid="{00000000-0005-0000-0000-0000ED6A0000}"/>
    <cellStyle name="Porcentaje 10 6 3" xfId="12455" xr:uid="{00000000-0005-0000-0000-0000EE6A0000}"/>
    <cellStyle name="Porcentaje 10 6 3 2" xfId="32170" xr:uid="{00000000-0005-0000-0000-0000EF6A0000}"/>
    <cellStyle name="Porcentaje 10 6 4" xfId="22313" xr:uid="{00000000-0005-0000-0000-0000F06A0000}"/>
    <cellStyle name="Porcentaje 10 7" xfId="5059" xr:uid="{00000000-0005-0000-0000-0000F16A0000}"/>
    <cellStyle name="Porcentaje 10 7 2" xfId="14919" xr:uid="{00000000-0005-0000-0000-0000F26A0000}"/>
    <cellStyle name="Porcentaje 10 7 2 2" xfId="34634" xr:uid="{00000000-0005-0000-0000-0000F36A0000}"/>
    <cellStyle name="Porcentaje 10 7 3" xfId="24777" xr:uid="{00000000-0005-0000-0000-0000F46A0000}"/>
    <cellStyle name="Porcentaje 10 8" xfId="9991" xr:uid="{00000000-0005-0000-0000-0000F56A0000}"/>
    <cellStyle name="Porcentaje 10 8 2" xfId="29706" xr:uid="{00000000-0005-0000-0000-0000F66A0000}"/>
    <cellStyle name="Porcentaje 10 9" xfId="19849" xr:uid="{00000000-0005-0000-0000-0000F76A0000}"/>
    <cellStyle name="Porcentaje 11" xfId="110" xr:uid="{00000000-0005-0000-0000-0000F86A0000}"/>
    <cellStyle name="Porcentaje 11 2" xfId="179" xr:uid="{00000000-0005-0000-0000-0000F96A0000}"/>
    <cellStyle name="Porcentaje 12" xfId="191" xr:uid="{00000000-0005-0000-0000-0000FA6A0000}"/>
    <cellStyle name="Porcentaje 12 2" xfId="340" xr:uid="{00000000-0005-0000-0000-0000FB6A0000}"/>
    <cellStyle name="Porcentaje 13" xfId="183" xr:uid="{00000000-0005-0000-0000-0000FC6A0000}"/>
    <cellStyle name="Porcentaje 13 2" xfId="500" xr:uid="{00000000-0005-0000-0000-0000FD6A0000}"/>
    <cellStyle name="Porcentaje 13 2 2" xfId="1120" xr:uid="{00000000-0005-0000-0000-0000FE6A0000}"/>
    <cellStyle name="Porcentaje 13 2 2 2" xfId="2355" xr:uid="{00000000-0005-0000-0000-0000FF6A0000}"/>
    <cellStyle name="Porcentaje 13 2 2 2 2" xfId="4822" xr:uid="{00000000-0005-0000-0000-0000006B0000}"/>
    <cellStyle name="Porcentaje 13 2 2 2 2 2" xfId="9754" xr:uid="{00000000-0005-0000-0000-0000016B0000}"/>
    <cellStyle name="Porcentaje 13 2 2 2 2 2 2" xfId="19614" xr:uid="{00000000-0005-0000-0000-0000026B0000}"/>
    <cellStyle name="Porcentaje 13 2 2 2 2 2 2 2" xfId="39329" xr:uid="{00000000-0005-0000-0000-0000036B0000}"/>
    <cellStyle name="Porcentaje 13 2 2 2 2 2 3" xfId="29472" xr:uid="{00000000-0005-0000-0000-0000046B0000}"/>
    <cellStyle name="Porcentaje 13 2 2 2 2 3" xfId="14686" xr:uid="{00000000-0005-0000-0000-0000056B0000}"/>
    <cellStyle name="Porcentaje 13 2 2 2 2 3 2" xfId="34401" xr:uid="{00000000-0005-0000-0000-0000066B0000}"/>
    <cellStyle name="Porcentaje 13 2 2 2 2 4" xfId="24544" xr:uid="{00000000-0005-0000-0000-0000076B0000}"/>
    <cellStyle name="Porcentaje 13 2 2 2 3" xfId="7290" xr:uid="{00000000-0005-0000-0000-0000086B0000}"/>
    <cellStyle name="Porcentaje 13 2 2 2 3 2" xfId="17150" xr:uid="{00000000-0005-0000-0000-0000096B0000}"/>
    <cellStyle name="Porcentaje 13 2 2 2 3 2 2" xfId="36865" xr:uid="{00000000-0005-0000-0000-00000A6B0000}"/>
    <cellStyle name="Porcentaje 13 2 2 2 3 3" xfId="27008" xr:uid="{00000000-0005-0000-0000-00000B6B0000}"/>
    <cellStyle name="Porcentaje 13 2 2 2 4" xfId="12222" xr:uid="{00000000-0005-0000-0000-00000C6B0000}"/>
    <cellStyle name="Porcentaje 13 2 2 2 4 2" xfId="31937" xr:uid="{00000000-0005-0000-0000-00000D6B0000}"/>
    <cellStyle name="Porcentaje 13 2 2 2 5" xfId="22080" xr:uid="{00000000-0005-0000-0000-00000E6B0000}"/>
    <cellStyle name="Porcentaje 13 2 2 3" xfId="3590" xr:uid="{00000000-0005-0000-0000-00000F6B0000}"/>
    <cellStyle name="Porcentaje 13 2 2 3 2" xfId="8522" xr:uid="{00000000-0005-0000-0000-0000106B0000}"/>
    <cellStyle name="Porcentaje 13 2 2 3 2 2" xfId="18382" xr:uid="{00000000-0005-0000-0000-0000116B0000}"/>
    <cellStyle name="Porcentaje 13 2 2 3 2 2 2" xfId="38097" xr:uid="{00000000-0005-0000-0000-0000126B0000}"/>
    <cellStyle name="Porcentaje 13 2 2 3 2 3" xfId="28240" xr:uid="{00000000-0005-0000-0000-0000136B0000}"/>
    <cellStyle name="Porcentaje 13 2 2 3 3" xfId="13454" xr:uid="{00000000-0005-0000-0000-0000146B0000}"/>
    <cellStyle name="Porcentaje 13 2 2 3 3 2" xfId="33169" xr:uid="{00000000-0005-0000-0000-0000156B0000}"/>
    <cellStyle name="Porcentaje 13 2 2 3 4" xfId="23312" xr:uid="{00000000-0005-0000-0000-0000166B0000}"/>
    <cellStyle name="Porcentaje 13 2 2 4" xfId="6058" xr:uid="{00000000-0005-0000-0000-0000176B0000}"/>
    <cellStyle name="Porcentaje 13 2 2 4 2" xfId="15918" xr:uid="{00000000-0005-0000-0000-0000186B0000}"/>
    <cellStyle name="Porcentaje 13 2 2 4 2 2" xfId="35633" xr:uid="{00000000-0005-0000-0000-0000196B0000}"/>
    <cellStyle name="Porcentaje 13 2 2 4 3" xfId="25776" xr:uid="{00000000-0005-0000-0000-00001A6B0000}"/>
    <cellStyle name="Porcentaje 13 2 2 5" xfId="10990" xr:uid="{00000000-0005-0000-0000-00001B6B0000}"/>
    <cellStyle name="Porcentaje 13 2 2 5 2" xfId="30705" xr:uid="{00000000-0005-0000-0000-00001C6B0000}"/>
    <cellStyle name="Porcentaje 13 2 2 6" xfId="20848" xr:uid="{00000000-0005-0000-0000-00001D6B0000}"/>
    <cellStyle name="Porcentaje 13 2 3" xfId="1739" xr:uid="{00000000-0005-0000-0000-00001E6B0000}"/>
    <cellStyle name="Porcentaje 13 2 3 2" xfId="4206" xr:uid="{00000000-0005-0000-0000-00001F6B0000}"/>
    <cellStyle name="Porcentaje 13 2 3 2 2" xfId="9138" xr:uid="{00000000-0005-0000-0000-0000206B0000}"/>
    <cellStyle name="Porcentaje 13 2 3 2 2 2" xfId="18998" xr:uid="{00000000-0005-0000-0000-0000216B0000}"/>
    <cellStyle name="Porcentaje 13 2 3 2 2 2 2" xfId="38713" xr:uid="{00000000-0005-0000-0000-0000226B0000}"/>
    <cellStyle name="Porcentaje 13 2 3 2 2 3" xfId="28856" xr:uid="{00000000-0005-0000-0000-0000236B0000}"/>
    <cellStyle name="Porcentaje 13 2 3 2 3" xfId="14070" xr:uid="{00000000-0005-0000-0000-0000246B0000}"/>
    <cellStyle name="Porcentaje 13 2 3 2 3 2" xfId="33785" xr:uid="{00000000-0005-0000-0000-0000256B0000}"/>
    <cellStyle name="Porcentaje 13 2 3 2 4" xfId="23928" xr:uid="{00000000-0005-0000-0000-0000266B0000}"/>
    <cellStyle name="Porcentaje 13 2 3 3" xfId="6674" xr:uid="{00000000-0005-0000-0000-0000276B0000}"/>
    <cellStyle name="Porcentaje 13 2 3 3 2" xfId="16534" xr:uid="{00000000-0005-0000-0000-0000286B0000}"/>
    <cellStyle name="Porcentaje 13 2 3 3 2 2" xfId="36249" xr:uid="{00000000-0005-0000-0000-0000296B0000}"/>
    <cellStyle name="Porcentaje 13 2 3 3 3" xfId="26392" xr:uid="{00000000-0005-0000-0000-00002A6B0000}"/>
    <cellStyle name="Porcentaje 13 2 3 4" xfId="11606" xr:uid="{00000000-0005-0000-0000-00002B6B0000}"/>
    <cellStyle name="Porcentaje 13 2 3 4 2" xfId="31321" xr:uid="{00000000-0005-0000-0000-00002C6B0000}"/>
    <cellStyle name="Porcentaje 13 2 3 5" xfId="21464" xr:uid="{00000000-0005-0000-0000-00002D6B0000}"/>
    <cellStyle name="Porcentaje 13 2 4" xfId="2974" xr:uid="{00000000-0005-0000-0000-00002E6B0000}"/>
    <cellStyle name="Porcentaje 13 2 4 2" xfId="7906" xr:uid="{00000000-0005-0000-0000-00002F6B0000}"/>
    <cellStyle name="Porcentaje 13 2 4 2 2" xfId="17766" xr:uid="{00000000-0005-0000-0000-0000306B0000}"/>
    <cellStyle name="Porcentaje 13 2 4 2 2 2" xfId="37481" xr:uid="{00000000-0005-0000-0000-0000316B0000}"/>
    <cellStyle name="Porcentaje 13 2 4 2 3" xfId="27624" xr:uid="{00000000-0005-0000-0000-0000326B0000}"/>
    <cellStyle name="Porcentaje 13 2 4 3" xfId="12838" xr:uid="{00000000-0005-0000-0000-0000336B0000}"/>
    <cellStyle name="Porcentaje 13 2 4 3 2" xfId="32553" xr:uid="{00000000-0005-0000-0000-0000346B0000}"/>
    <cellStyle name="Porcentaje 13 2 4 4" xfId="22696" xr:uid="{00000000-0005-0000-0000-0000356B0000}"/>
    <cellStyle name="Porcentaje 13 2 5" xfId="5442" xr:uid="{00000000-0005-0000-0000-0000366B0000}"/>
    <cellStyle name="Porcentaje 13 2 5 2" xfId="15302" xr:uid="{00000000-0005-0000-0000-0000376B0000}"/>
    <cellStyle name="Porcentaje 13 2 5 2 2" xfId="35017" xr:uid="{00000000-0005-0000-0000-0000386B0000}"/>
    <cellStyle name="Porcentaje 13 2 5 3" xfId="25160" xr:uid="{00000000-0005-0000-0000-0000396B0000}"/>
    <cellStyle name="Porcentaje 13 2 6" xfId="10374" xr:uid="{00000000-0005-0000-0000-00003A6B0000}"/>
    <cellStyle name="Porcentaje 13 2 6 2" xfId="30089" xr:uid="{00000000-0005-0000-0000-00003B6B0000}"/>
    <cellStyle name="Porcentaje 13 2 7" xfId="20232" xr:uid="{00000000-0005-0000-0000-00003C6B0000}"/>
    <cellStyle name="Porcentaje 13 3" xfId="813" xr:uid="{00000000-0005-0000-0000-00003D6B0000}"/>
    <cellStyle name="Porcentaje 13 3 2" xfId="2049" xr:uid="{00000000-0005-0000-0000-00003E6B0000}"/>
    <cellStyle name="Porcentaje 13 3 2 2" xfId="4516" xr:uid="{00000000-0005-0000-0000-00003F6B0000}"/>
    <cellStyle name="Porcentaje 13 3 2 2 2" xfId="9448" xr:uid="{00000000-0005-0000-0000-0000406B0000}"/>
    <cellStyle name="Porcentaje 13 3 2 2 2 2" xfId="19308" xr:uid="{00000000-0005-0000-0000-0000416B0000}"/>
    <cellStyle name="Porcentaje 13 3 2 2 2 2 2" xfId="39023" xr:uid="{00000000-0005-0000-0000-0000426B0000}"/>
    <cellStyle name="Porcentaje 13 3 2 2 2 3" xfId="29166" xr:uid="{00000000-0005-0000-0000-0000436B0000}"/>
    <cellStyle name="Porcentaje 13 3 2 2 3" xfId="14380" xr:uid="{00000000-0005-0000-0000-0000446B0000}"/>
    <cellStyle name="Porcentaje 13 3 2 2 3 2" xfId="34095" xr:uid="{00000000-0005-0000-0000-0000456B0000}"/>
    <cellStyle name="Porcentaje 13 3 2 2 4" xfId="24238" xr:uid="{00000000-0005-0000-0000-0000466B0000}"/>
    <cellStyle name="Porcentaje 13 3 2 3" xfId="6984" xr:uid="{00000000-0005-0000-0000-0000476B0000}"/>
    <cellStyle name="Porcentaje 13 3 2 3 2" xfId="16844" xr:uid="{00000000-0005-0000-0000-0000486B0000}"/>
    <cellStyle name="Porcentaje 13 3 2 3 2 2" xfId="36559" xr:uid="{00000000-0005-0000-0000-0000496B0000}"/>
    <cellStyle name="Porcentaje 13 3 2 3 3" xfId="26702" xr:uid="{00000000-0005-0000-0000-00004A6B0000}"/>
    <cellStyle name="Porcentaje 13 3 2 4" xfId="11916" xr:uid="{00000000-0005-0000-0000-00004B6B0000}"/>
    <cellStyle name="Porcentaje 13 3 2 4 2" xfId="31631" xr:uid="{00000000-0005-0000-0000-00004C6B0000}"/>
    <cellStyle name="Porcentaje 13 3 2 5" xfId="21774" xr:uid="{00000000-0005-0000-0000-00004D6B0000}"/>
    <cellStyle name="Porcentaje 13 3 3" xfId="3284" xr:uid="{00000000-0005-0000-0000-00004E6B0000}"/>
    <cellStyle name="Porcentaje 13 3 3 2" xfId="8216" xr:uid="{00000000-0005-0000-0000-00004F6B0000}"/>
    <cellStyle name="Porcentaje 13 3 3 2 2" xfId="18076" xr:uid="{00000000-0005-0000-0000-0000506B0000}"/>
    <cellStyle name="Porcentaje 13 3 3 2 2 2" xfId="37791" xr:uid="{00000000-0005-0000-0000-0000516B0000}"/>
    <cellStyle name="Porcentaje 13 3 3 2 3" xfId="27934" xr:uid="{00000000-0005-0000-0000-0000526B0000}"/>
    <cellStyle name="Porcentaje 13 3 3 3" xfId="13148" xr:uid="{00000000-0005-0000-0000-0000536B0000}"/>
    <cellStyle name="Porcentaje 13 3 3 3 2" xfId="32863" xr:uid="{00000000-0005-0000-0000-0000546B0000}"/>
    <cellStyle name="Porcentaje 13 3 3 4" xfId="23006" xr:uid="{00000000-0005-0000-0000-0000556B0000}"/>
    <cellStyle name="Porcentaje 13 3 4" xfId="5752" xr:uid="{00000000-0005-0000-0000-0000566B0000}"/>
    <cellStyle name="Porcentaje 13 3 4 2" xfId="15612" xr:uid="{00000000-0005-0000-0000-0000576B0000}"/>
    <cellStyle name="Porcentaje 13 3 4 2 2" xfId="35327" xr:uid="{00000000-0005-0000-0000-0000586B0000}"/>
    <cellStyle name="Porcentaje 13 3 4 3" xfId="25470" xr:uid="{00000000-0005-0000-0000-0000596B0000}"/>
    <cellStyle name="Porcentaje 13 3 5" xfId="10684" xr:uid="{00000000-0005-0000-0000-00005A6B0000}"/>
    <cellStyle name="Porcentaje 13 3 5 2" xfId="30399" xr:uid="{00000000-0005-0000-0000-00005B6B0000}"/>
    <cellStyle name="Porcentaje 13 3 6" xfId="20542" xr:uid="{00000000-0005-0000-0000-00005C6B0000}"/>
    <cellStyle name="Porcentaje 13 4" xfId="1433" xr:uid="{00000000-0005-0000-0000-00005D6B0000}"/>
    <cellStyle name="Porcentaje 13 4 2" xfId="3900" xr:uid="{00000000-0005-0000-0000-00005E6B0000}"/>
    <cellStyle name="Porcentaje 13 4 2 2" xfId="8832" xr:uid="{00000000-0005-0000-0000-00005F6B0000}"/>
    <cellStyle name="Porcentaje 13 4 2 2 2" xfId="18692" xr:uid="{00000000-0005-0000-0000-0000606B0000}"/>
    <cellStyle name="Porcentaje 13 4 2 2 2 2" xfId="38407" xr:uid="{00000000-0005-0000-0000-0000616B0000}"/>
    <cellStyle name="Porcentaje 13 4 2 2 3" xfId="28550" xr:uid="{00000000-0005-0000-0000-0000626B0000}"/>
    <cellStyle name="Porcentaje 13 4 2 3" xfId="13764" xr:uid="{00000000-0005-0000-0000-0000636B0000}"/>
    <cellStyle name="Porcentaje 13 4 2 3 2" xfId="33479" xr:uid="{00000000-0005-0000-0000-0000646B0000}"/>
    <cellStyle name="Porcentaje 13 4 2 4" xfId="23622" xr:uid="{00000000-0005-0000-0000-0000656B0000}"/>
    <cellStyle name="Porcentaje 13 4 3" xfId="6368" xr:uid="{00000000-0005-0000-0000-0000666B0000}"/>
    <cellStyle name="Porcentaje 13 4 3 2" xfId="16228" xr:uid="{00000000-0005-0000-0000-0000676B0000}"/>
    <cellStyle name="Porcentaje 13 4 3 2 2" xfId="35943" xr:uid="{00000000-0005-0000-0000-0000686B0000}"/>
    <cellStyle name="Porcentaje 13 4 3 3" xfId="26086" xr:uid="{00000000-0005-0000-0000-0000696B0000}"/>
    <cellStyle name="Porcentaje 13 4 4" xfId="11300" xr:uid="{00000000-0005-0000-0000-00006A6B0000}"/>
    <cellStyle name="Porcentaje 13 4 4 2" xfId="31015" xr:uid="{00000000-0005-0000-0000-00006B6B0000}"/>
    <cellStyle name="Porcentaje 13 4 5" xfId="21158" xr:uid="{00000000-0005-0000-0000-00006C6B0000}"/>
    <cellStyle name="Porcentaje 13 5" xfId="2668" xr:uid="{00000000-0005-0000-0000-00006D6B0000}"/>
    <cellStyle name="Porcentaje 13 5 2" xfId="7600" xr:uid="{00000000-0005-0000-0000-00006E6B0000}"/>
    <cellStyle name="Porcentaje 13 5 2 2" xfId="17460" xr:uid="{00000000-0005-0000-0000-00006F6B0000}"/>
    <cellStyle name="Porcentaje 13 5 2 2 2" xfId="37175" xr:uid="{00000000-0005-0000-0000-0000706B0000}"/>
    <cellStyle name="Porcentaje 13 5 2 3" xfId="27318" xr:uid="{00000000-0005-0000-0000-0000716B0000}"/>
    <cellStyle name="Porcentaje 13 5 3" xfId="12532" xr:uid="{00000000-0005-0000-0000-0000726B0000}"/>
    <cellStyle name="Porcentaje 13 5 3 2" xfId="32247" xr:uid="{00000000-0005-0000-0000-0000736B0000}"/>
    <cellStyle name="Porcentaje 13 5 4" xfId="22390" xr:uid="{00000000-0005-0000-0000-0000746B0000}"/>
    <cellStyle name="Porcentaje 13 6" xfId="5136" xr:uid="{00000000-0005-0000-0000-0000756B0000}"/>
    <cellStyle name="Porcentaje 13 6 2" xfId="14996" xr:uid="{00000000-0005-0000-0000-0000766B0000}"/>
    <cellStyle name="Porcentaje 13 6 2 2" xfId="34711" xr:uid="{00000000-0005-0000-0000-0000776B0000}"/>
    <cellStyle name="Porcentaje 13 6 3" xfId="24854" xr:uid="{00000000-0005-0000-0000-0000786B0000}"/>
    <cellStyle name="Porcentaje 13 7" xfId="10068" xr:uid="{00000000-0005-0000-0000-0000796B0000}"/>
    <cellStyle name="Porcentaje 13 7 2" xfId="29783" xr:uid="{00000000-0005-0000-0000-00007A6B0000}"/>
    <cellStyle name="Porcentaje 13 8" xfId="19926" xr:uid="{00000000-0005-0000-0000-00007B6B0000}"/>
    <cellStyle name="Porcentaje 14" xfId="338" xr:uid="{00000000-0005-0000-0000-00007C6B0000}"/>
    <cellStyle name="Porcentaje 15" xfId="353" xr:uid="{00000000-0005-0000-0000-00007D6B0000}"/>
    <cellStyle name="Porcentaje 16" xfId="345" xr:uid="{00000000-0005-0000-0000-00007E6B0000}"/>
    <cellStyle name="Porcentaje 16 2" xfId="967" xr:uid="{00000000-0005-0000-0000-00007F6B0000}"/>
    <cellStyle name="Porcentaje 16 2 2" xfId="2203" xr:uid="{00000000-0005-0000-0000-0000806B0000}"/>
    <cellStyle name="Porcentaje 16 2 2 2" xfId="4670" xr:uid="{00000000-0005-0000-0000-0000816B0000}"/>
    <cellStyle name="Porcentaje 16 2 2 2 2" xfId="9602" xr:uid="{00000000-0005-0000-0000-0000826B0000}"/>
    <cellStyle name="Porcentaje 16 2 2 2 2 2" xfId="19462" xr:uid="{00000000-0005-0000-0000-0000836B0000}"/>
    <cellStyle name="Porcentaje 16 2 2 2 2 2 2" xfId="39177" xr:uid="{00000000-0005-0000-0000-0000846B0000}"/>
    <cellStyle name="Porcentaje 16 2 2 2 2 3" xfId="29320" xr:uid="{00000000-0005-0000-0000-0000856B0000}"/>
    <cellStyle name="Porcentaje 16 2 2 2 3" xfId="14534" xr:uid="{00000000-0005-0000-0000-0000866B0000}"/>
    <cellStyle name="Porcentaje 16 2 2 2 3 2" xfId="34249" xr:uid="{00000000-0005-0000-0000-0000876B0000}"/>
    <cellStyle name="Porcentaje 16 2 2 2 4" xfId="24392" xr:uid="{00000000-0005-0000-0000-0000886B0000}"/>
    <cellStyle name="Porcentaje 16 2 2 3" xfId="7138" xr:uid="{00000000-0005-0000-0000-0000896B0000}"/>
    <cellStyle name="Porcentaje 16 2 2 3 2" xfId="16998" xr:uid="{00000000-0005-0000-0000-00008A6B0000}"/>
    <cellStyle name="Porcentaje 16 2 2 3 2 2" xfId="36713" xr:uid="{00000000-0005-0000-0000-00008B6B0000}"/>
    <cellStyle name="Porcentaje 16 2 2 3 3" xfId="26856" xr:uid="{00000000-0005-0000-0000-00008C6B0000}"/>
    <cellStyle name="Porcentaje 16 2 2 4" xfId="12070" xr:uid="{00000000-0005-0000-0000-00008D6B0000}"/>
    <cellStyle name="Porcentaje 16 2 2 4 2" xfId="31785" xr:uid="{00000000-0005-0000-0000-00008E6B0000}"/>
    <cellStyle name="Porcentaje 16 2 2 5" xfId="21928" xr:uid="{00000000-0005-0000-0000-00008F6B0000}"/>
    <cellStyle name="Porcentaje 16 2 3" xfId="3438" xr:uid="{00000000-0005-0000-0000-0000906B0000}"/>
    <cellStyle name="Porcentaje 16 2 3 2" xfId="8370" xr:uid="{00000000-0005-0000-0000-0000916B0000}"/>
    <cellStyle name="Porcentaje 16 2 3 2 2" xfId="18230" xr:uid="{00000000-0005-0000-0000-0000926B0000}"/>
    <cellStyle name="Porcentaje 16 2 3 2 2 2" xfId="37945" xr:uid="{00000000-0005-0000-0000-0000936B0000}"/>
    <cellStyle name="Porcentaje 16 2 3 2 3" xfId="28088" xr:uid="{00000000-0005-0000-0000-0000946B0000}"/>
    <cellStyle name="Porcentaje 16 2 3 3" xfId="13302" xr:uid="{00000000-0005-0000-0000-0000956B0000}"/>
    <cellStyle name="Porcentaje 16 2 3 3 2" xfId="33017" xr:uid="{00000000-0005-0000-0000-0000966B0000}"/>
    <cellStyle name="Porcentaje 16 2 3 4" xfId="23160" xr:uid="{00000000-0005-0000-0000-0000976B0000}"/>
    <cellStyle name="Porcentaje 16 2 4" xfId="5906" xr:uid="{00000000-0005-0000-0000-0000986B0000}"/>
    <cellStyle name="Porcentaje 16 2 4 2" xfId="15766" xr:uid="{00000000-0005-0000-0000-0000996B0000}"/>
    <cellStyle name="Porcentaje 16 2 4 2 2" xfId="35481" xr:uid="{00000000-0005-0000-0000-00009A6B0000}"/>
    <cellStyle name="Porcentaje 16 2 4 3" xfId="25624" xr:uid="{00000000-0005-0000-0000-00009B6B0000}"/>
    <cellStyle name="Porcentaje 16 2 5" xfId="10838" xr:uid="{00000000-0005-0000-0000-00009C6B0000}"/>
    <cellStyle name="Porcentaje 16 2 5 2" xfId="30553" xr:uid="{00000000-0005-0000-0000-00009D6B0000}"/>
    <cellStyle name="Porcentaje 16 2 6" xfId="20696" xr:uid="{00000000-0005-0000-0000-00009E6B0000}"/>
    <cellStyle name="Porcentaje 16 3" xfId="1587" xr:uid="{00000000-0005-0000-0000-00009F6B0000}"/>
    <cellStyle name="Porcentaje 16 3 2" xfId="4054" xr:uid="{00000000-0005-0000-0000-0000A06B0000}"/>
    <cellStyle name="Porcentaje 16 3 2 2" xfId="8986" xr:uid="{00000000-0005-0000-0000-0000A16B0000}"/>
    <cellStyle name="Porcentaje 16 3 2 2 2" xfId="18846" xr:uid="{00000000-0005-0000-0000-0000A26B0000}"/>
    <cellStyle name="Porcentaje 16 3 2 2 2 2" xfId="38561" xr:uid="{00000000-0005-0000-0000-0000A36B0000}"/>
    <cellStyle name="Porcentaje 16 3 2 2 3" xfId="28704" xr:uid="{00000000-0005-0000-0000-0000A46B0000}"/>
    <cellStyle name="Porcentaje 16 3 2 3" xfId="13918" xr:uid="{00000000-0005-0000-0000-0000A56B0000}"/>
    <cellStyle name="Porcentaje 16 3 2 3 2" xfId="33633" xr:uid="{00000000-0005-0000-0000-0000A66B0000}"/>
    <cellStyle name="Porcentaje 16 3 2 4" xfId="23776" xr:uid="{00000000-0005-0000-0000-0000A76B0000}"/>
    <cellStyle name="Porcentaje 16 3 3" xfId="6522" xr:uid="{00000000-0005-0000-0000-0000A86B0000}"/>
    <cellStyle name="Porcentaje 16 3 3 2" xfId="16382" xr:uid="{00000000-0005-0000-0000-0000A96B0000}"/>
    <cellStyle name="Porcentaje 16 3 3 2 2" xfId="36097" xr:uid="{00000000-0005-0000-0000-0000AA6B0000}"/>
    <cellStyle name="Porcentaje 16 3 3 3" xfId="26240" xr:uid="{00000000-0005-0000-0000-0000AB6B0000}"/>
    <cellStyle name="Porcentaje 16 3 4" xfId="11454" xr:uid="{00000000-0005-0000-0000-0000AC6B0000}"/>
    <cellStyle name="Porcentaje 16 3 4 2" xfId="31169" xr:uid="{00000000-0005-0000-0000-0000AD6B0000}"/>
    <cellStyle name="Porcentaje 16 3 5" xfId="21312" xr:uid="{00000000-0005-0000-0000-0000AE6B0000}"/>
    <cellStyle name="Porcentaje 16 4" xfId="2822" xr:uid="{00000000-0005-0000-0000-0000AF6B0000}"/>
    <cellStyle name="Porcentaje 16 4 2" xfId="7754" xr:uid="{00000000-0005-0000-0000-0000B06B0000}"/>
    <cellStyle name="Porcentaje 16 4 2 2" xfId="17614" xr:uid="{00000000-0005-0000-0000-0000B16B0000}"/>
    <cellStyle name="Porcentaje 16 4 2 2 2" xfId="37329" xr:uid="{00000000-0005-0000-0000-0000B26B0000}"/>
    <cellStyle name="Porcentaje 16 4 2 3" xfId="27472" xr:uid="{00000000-0005-0000-0000-0000B36B0000}"/>
    <cellStyle name="Porcentaje 16 4 3" xfId="12686" xr:uid="{00000000-0005-0000-0000-0000B46B0000}"/>
    <cellStyle name="Porcentaje 16 4 3 2" xfId="32401" xr:uid="{00000000-0005-0000-0000-0000B56B0000}"/>
    <cellStyle name="Porcentaje 16 4 4" xfId="22544" xr:uid="{00000000-0005-0000-0000-0000B66B0000}"/>
    <cellStyle name="Porcentaje 16 5" xfId="5290" xr:uid="{00000000-0005-0000-0000-0000B76B0000}"/>
    <cellStyle name="Porcentaje 16 5 2" xfId="15150" xr:uid="{00000000-0005-0000-0000-0000B86B0000}"/>
    <cellStyle name="Porcentaje 16 5 2 2" xfId="34865" xr:uid="{00000000-0005-0000-0000-0000B96B0000}"/>
    <cellStyle name="Porcentaje 16 5 3" xfId="25008" xr:uid="{00000000-0005-0000-0000-0000BA6B0000}"/>
    <cellStyle name="Porcentaje 16 6" xfId="10222" xr:uid="{00000000-0005-0000-0000-0000BB6B0000}"/>
    <cellStyle name="Porcentaje 16 6 2" xfId="29937" xr:uid="{00000000-0005-0000-0000-0000BC6B0000}"/>
    <cellStyle name="Porcentaje 16 7" xfId="20080" xr:uid="{00000000-0005-0000-0000-0000BD6B0000}"/>
    <cellStyle name="Porcentaje 17" xfId="654" xr:uid="{00000000-0005-0000-0000-0000BE6B0000}"/>
    <cellStyle name="Porcentaje 17 2" xfId="1274" xr:uid="{00000000-0005-0000-0000-0000BF6B0000}"/>
    <cellStyle name="Porcentaje 17 2 2" xfId="2509" xr:uid="{00000000-0005-0000-0000-0000C06B0000}"/>
    <cellStyle name="Porcentaje 17 2 2 2" xfId="4976" xr:uid="{00000000-0005-0000-0000-0000C16B0000}"/>
    <cellStyle name="Porcentaje 17 2 2 2 2" xfId="9908" xr:uid="{00000000-0005-0000-0000-0000C26B0000}"/>
    <cellStyle name="Porcentaje 17 2 2 2 2 2" xfId="19768" xr:uid="{00000000-0005-0000-0000-0000C36B0000}"/>
    <cellStyle name="Porcentaje 17 2 2 2 2 2 2" xfId="39483" xr:uid="{00000000-0005-0000-0000-0000C46B0000}"/>
    <cellStyle name="Porcentaje 17 2 2 2 2 3" xfId="29626" xr:uid="{00000000-0005-0000-0000-0000C56B0000}"/>
    <cellStyle name="Porcentaje 17 2 2 2 3" xfId="14840" xr:uid="{00000000-0005-0000-0000-0000C66B0000}"/>
    <cellStyle name="Porcentaje 17 2 2 2 3 2" xfId="34555" xr:uid="{00000000-0005-0000-0000-0000C76B0000}"/>
    <cellStyle name="Porcentaje 17 2 2 2 4" xfId="24698" xr:uid="{00000000-0005-0000-0000-0000C86B0000}"/>
    <cellStyle name="Porcentaje 17 2 2 3" xfId="7444" xr:uid="{00000000-0005-0000-0000-0000C96B0000}"/>
    <cellStyle name="Porcentaje 17 2 2 3 2" xfId="17304" xr:uid="{00000000-0005-0000-0000-0000CA6B0000}"/>
    <cellStyle name="Porcentaje 17 2 2 3 2 2" xfId="37019" xr:uid="{00000000-0005-0000-0000-0000CB6B0000}"/>
    <cellStyle name="Porcentaje 17 2 2 3 3" xfId="27162" xr:uid="{00000000-0005-0000-0000-0000CC6B0000}"/>
    <cellStyle name="Porcentaje 17 2 2 4" xfId="12376" xr:uid="{00000000-0005-0000-0000-0000CD6B0000}"/>
    <cellStyle name="Porcentaje 17 2 2 4 2" xfId="32091" xr:uid="{00000000-0005-0000-0000-0000CE6B0000}"/>
    <cellStyle name="Porcentaje 17 2 2 5" xfId="22234" xr:uid="{00000000-0005-0000-0000-0000CF6B0000}"/>
    <cellStyle name="Porcentaje 17 2 3" xfId="3744" xr:uid="{00000000-0005-0000-0000-0000D06B0000}"/>
    <cellStyle name="Porcentaje 17 2 3 2" xfId="8676" xr:uid="{00000000-0005-0000-0000-0000D16B0000}"/>
    <cellStyle name="Porcentaje 17 2 3 2 2" xfId="18536" xr:uid="{00000000-0005-0000-0000-0000D26B0000}"/>
    <cellStyle name="Porcentaje 17 2 3 2 2 2" xfId="38251" xr:uid="{00000000-0005-0000-0000-0000D36B0000}"/>
    <cellStyle name="Porcentaje 17 2 3 2 3" xfId="28394" xr:uid="{00000000-0005-0000-0000-0000D46B0000}"/>
    <cellStyle name="Porcentaje 17 2 3 3" xfId="13608" xr:uid="{00000000-0005-0000-0000-0000D56B0000}"/>
    <cellStyle name="Porcentaje 17 2 3 3 2" xfId="33323" xr:uid="{00000000-0005-0000-0000-0000D66B0000}"/>
    <cellStyle name="Porcentaje 17 2 3 4" xfId="23466" xr:uid="{00000000-0005-0000-0000-0000D76B0000}"/>
    <cellStyle name="Porcentaje 17 2 4" xfId="6212" xr:uid="{00000000-0005-0000-0000-0000D86B0000}"/>
    <cellStyle name="Porcentaje 17 2 4 2" xfId="16072" xr:uid="{00000000-0005-0000-0000-0000D96B0000}"/>
    <cellStyle name="Porcentaje 17 2 4 2 2" xfId="35787" xr:uid="{00000000-0005-0000-0000-0000DA6B0000}"/>
    <cellStyle name="Porcentaje 17 2 4 3" xfId="25930" xr:uid="{00000000-0005-0000-0000-0000DB6B0000}"/>
    <cellStyle name="Porcentaje 17 2 5" xfId="11144" xr:uid="{00000000-0005-0000-0000-0000DC6B0000}"/>
    <cellStyle name="Porcentaje 17 2 5 2" xfId="30859" xr:uid="{00000000-0005-0000-0000-0000DD6B0000}"/>
    <cellStyle name="Porcentaje 17 2 6" xfId="21002" xr:uid="{00000000-0005-0000-0000-0000DE6B0000}"/>
    <cellStyle name="Porcentaje 17 3" xfId="1893" xr:uid="{00000000-0005-0000-0000-0000DF6B0000}"/>
    <cellStyle name="Porcentaje 17 3 2" xfId="4360" xr:uid="{00000000-0005-0000-0000-0000E06B0000}"/>
    <cellStyle name="Porcentaje 17 3 2 2" xfId="9292" xr:uid="{00000000-0005-0000-0000-0000E16B0000}"/>
    <cellStyle name="Porcentaje 17 3 2 2 2" xfId="19152" xr:uid="{00000000-0005-0000-0000-0000E26B0000}"/>
    <cellStyle name="Porcentaje 17 3 2 2 2 2" xfId="38867" xr:uid="{00000000-0005-0000-0000-0000E36B0000}"/>
    <cellStyle name="Porcentaje 17 3 2 2 3" xfId="29010" xr:uid="{00000000-0005-0000-0000-0000E46B0000}"/>
    <cellStyle name="Porcentaje 17 3 2 3" xfId="14224" xr:uid="{00000000-0005-0000-0000-0000E56B0000}"/>
    <cellStyle name="Porcentaje 17 3 2 3 2" xfId="33939" xr:uid="{00000000-0005-0000-0000-0000E66B0000}"/>
    <cellStyle name="Porcentaje 17 3 2 4" xfId="24082" xr:uid="{00000000-0005-0000-0000-0000E76B0000}"/>
    <cellStyle name="Porcentaje 17 3 3" xfId="6828" xr:uid="{00000000-0005-0000-0000-0000E86B0000}"/>
    <cellStyle name="Porcentaje 17 3 3 2" xfId="16688" xr:uid="{00000000-0005-0000-0000-0000E96B0000}"/>
    <cellStyle name="Porcentaje 17 3 3 2 2" xfId="36403" xr:uid="{00000000-0005-0000-0000-0000EA6B0000}"/>
    <cellStyle name="Porcentaje 17 3 3 3" xfId="26546" xr:uid="{00000000-0005-0000-0000-0000EB6B0000}"/>
    <cellStyle name="Porcentaje 17 3 4" xfId="11760" xr:uid="{00000000-0005-0000-0000-0000EC6B0000}"/>
    <cellStyle name="Porcentaje 17 3 4 2" xfId="31475" xr:uid="{00000000-0005-0000-0000-0000ED6B0000}"/>
    <cellStyle name="Porcentaje 17 3 5" xfId="21618" xr:uid="{00000000-0005-0000-0000-0000EE6B0000}"/>
    <cellStyle name="Porcentaje 17 4" xfId="3128" xr:uid="{00000000-0005-0000-0000-0000EF6B0000}"/>
    <cellStyle name="Porcentaje 17 4 2" xfId="8060" xr:uid="{00000000-0005-0000-0000-0000F06B0000}"/>
    <cellStyle name="Porcentaje 17 4 2 2" xfId="17920" xr:uid="{00000000-0005-0000-0000-0000F16B0000}"/>
    <cellStyle name="Porcentaje 17 4 2 2 2" xfId="37635" xr:uid="{00000000-0005-0000-0000-0000F26B0000}"/>
    <cellStyle name="Porcentaje 17 4 2 3" xfId="27778" xr:uid="{00000000-0005-0000-0000-0000F36B0000}"/>
    <cellStyle name="Porcentaje 17 4 3" xfId="12992" xr:uid="{00000000-0005-0000-0000-0000F46B0000}"/>
    <cellStyle name="Porcentaje 17 4 3 2" xfId="32707" xr:uid="{00000000-0005-0000-0000-0000F56B0000}"/>
    <cellStyle name="Porcentaje 17 4 4" xfId="22850" xr:uid="{00000000-0005-0000-0000-0000F66B0000}"/>
    <cellStyle name="Porcentaje 17 5" xfId="5596" xr:uid="{00000000-0005-0000-0000-0000F76B0000}"/>
    <cellStyle name="Porcentaje 17 5 2" xfId="15456" xr:uid="{00000000-0005-0000-0000-0000F86B0000}"/>
    <cellStyle name="Porcentaje 17 5 2 2" xfId="35171" xr:uid="{00000000-0005-0000-0000-0000F96B0000}"/>
    <cellStyle name="Porcentaje 17 5 3" xfId="25314" xr:uid="{00000000-0005-0000-0000-0000FA6B0000}"/>
    <cellStyle name="Porcentaje 17 6" xfId="10528" xr:uid="{00000000-0005-0000-0000-0000FB6B0000}"/>
    <cellStyle name="Porcentaje 17 6 2" xfId="30243" xr:uid="{00000000-0005-0000-0000-0000FC6B0000}"/>
    <cellStyle name="Porcentaje 17 7" xfId="20386" xr:uid="{00000000-0005-0000-0000-0000FD6B0000}"/>
    <cellStyle name="Porcentaje 18" xfId="666" xr:uid="{00000000-0005-0000-0000-0000FE6B0000}"/>
    <cellStyle name="Porcentaje 19" xfId="658" xr:uid="{00000000-0005-0000-0000-0000FF6B0000}"/>
    <cellStyle name="Porcentaje 19 2" xfId="1897" xr:uid="{00000000-0005-0000-0000-0000006C0000}"/>
    <cellStyle name="Porcentaje 19 2 2" xfId="4364" xr:uid="{00000000-0005-0000-0000-0000016C0000}"/>
    <cellStyle name="Porcentaje 19 2 2 2" xfId="9296" xr:uid="{00000000-0005-0000-0000-0000026C0000}"/>
    <cellStyle name="Porcentaje 19 2 2 2 2" xfId="19156" xr:uid="{00000000-0005-0000-0000-0000036C0000}"/>
    <cellStyle name="Porcentaje 19 2 2 2 2 2" xfId="38871" xr:uid="{00000000-0005-0000-0000-0000046C0000}"/>
    <cellStyle name="Porcentaje 19 2 2 2 3" xfId="29014" xr:uid="{00000000-0005-0000-0000-0000056C0000}"/>
    <cellStyle name="Porcentaje 19 2 2 3" xfId="14228" xr:uid="{00000000-0005-0000-0000-0000066C0000}"/>
    <cellStyle name="Porcentaje 19 2 2 3 2" xfId="33943" xr:uid="{00000000-0005-0000-0000-0000076C0000}"/>
    <cellStyle name="Porcentaje 19 2 2 4" xfId="24086" xr:uid="{00000000-0005-0000-0000-0000086C0000}"/>
    <cellStyle name="Porcentaje 19 2 3" xfId="6832" xr:uid="{00000000-0005-0000-0000-0000096C0000}"/>
    <cellStyle name="Porcentaje 19 2 3 2" xfId="16692" xr:uid="{00000000-0005-0000-0000-00000A6C0000}"/>
    <cellStyle name="Porcentaje 19 2 3 2 2" xfId="36407" xr:uid="{00000000-0005-0000-0000-00000B6C0000}"/>
    <cellStyle name="Porcentaje 19 2 3 3" xfId="26550" xr:uid="{00000000-0005-0000-0000-00000C6C0000}"/>
    <cellStyle name="Porcentaje 19 2 4" xfId="11764" xr:uid="{00000000-0005-0000-0000-00000D6C0000}"/>
    <cellStyle name="Porcentaje 19 2 4 2" xfId="31479" xr:uid="{00000000-0005-0000-0000-00000E6C0000}"/>
    <cellStyle name="Porcentaje 19 2 5" xfId="21622" xr:uid="{00000000-0005-0000-0000-00000F6C0000}"/>
    <cellStyle name="Porcentaje 19 3" xfId="3132" xr:uid="{00000000-0005-0000-0000-0000106C0000}"/>
    <cellStyle name="Porcentaje 19 3 2" xfId="8064" xr:uid="{00000000-0005-0000-0000-0000116C0000}"/>
    <cellStyle name="Porcentaje 19 3 2 2" xfId="17924" xr:uid="{00000000-0005-0000-0000-0000126C0000}"/>
    <cellStyle name="Porcentaje 19 3 2 2 2" xfId="37639" xr:uid="{00000000-0005-0000-0000-0000136C0000}"/>
    <cellStyle name="Porcentaje 19 3 2 3" xfId="27782" xr:uid="{00000000-0005-0000-0000-0000146C0000}"/>
    <cellStyle name="Porcentaje 19 3 3" xfId="12996" xr:uid="{00000000-0005-0000-0000-0000156C0000}"/>
    <cellStyle name="Porcentaje 19 3 3 2" xfId="32711" xr:uid="{00000000-0005-0000-0000-0000166C0000}"/>
    <cellStyle name="Porcentaje 19 3 4" xfId="22854" xr:uid="{00000000-0005-0000-0000-0000176C0000}"/>
    <cellStyle name="Porcentaje 19 4" xfId="5600" xr:uid="{00000000-0005-0000-0000-0000186C0000}"/>
    <cellStyle name="Porcentaje 19 4 2" xfId="15460" xr:uid="{00000000-0005-0000-0000-0000196C0000}"/>
    <cellStyle name="Porcentaje 19 4 2 2" xfId="35175" xr:uid="{00000000-0005-0000-0000-00001A6C0000}"/>
    <cellStyle name="Porcentaje 19 4 3" xfId="25318" xr:uid="{00000000-0005-0000-0000-00001B6C0000}"/>
    <cellStyle name="Porcentaje 19 5" xfId="10532" xr:uid="{00000000-0005-0000-0000-00001C6C0000}"/>
    <cellStyle name="Porcentaje 19 5 2" xfId="30247" xr:uid="{00000000-0005-0000-0000-00001D6C0000}"/>
    <cellStyle name="Porcentaje 19 6" xfId="20390" xr:uid="{00000000-0005-0000-0000-00001E6C0000}"/>
    <cellStyle name="Porcentaje 2" xfId="13" xr:uid="{00000000-0005-0000-0000-00001F6C0000}"/>
    <cellStyle name="Porcentaje 2 10" xfId="2519" xr:uid="{00000000-0005-0000-0000-0000206C0000}"/>
    <cellStyle name="Porcentaje 2 10 2" xfId="7452" xr:uid="{00000000-0005-0000-0000-0000216C0000}"/>
    <cellStyle name="Porcentaje 2 10 2 2" xfId="17312" xr:uid="{00000000-0005-0000-0000-0000226C0000}"/>
    <cellStyle name="Porcentaje 2 10 2 2 2" xfId="37027" xr:uid="{00000000-0005-0000-0000-0000236C0000}"/>
    <cellStyle name="Porcentaje 2 10 2 3" xfId="27170" xr:uid="{00000000-0005-0000-0000-0000246C0000}"/>
    <cellStyle name="Porcentaje 2 10 3" xfId="12384" xr:uid="{00000000-0005-0000-0000-0000256C0000}"/>
    <cellStyle name="Porcentaje 2 10 3 2" xfId="32099" xr:uid="{00000000-0005-0000-0000-0000266C0000}"/>
    <cellStyle name="Porcentaje 2 10 4" xfId="22242" xr:uid="{00000000-0005-0000-0000-0000276C0000}"/>
    <cellStyle name="Porcentaje 2 11" xfId="4987" xr:uid="{00000000-0005-0000-0000-0000286C0000}"/>
    <cellStyle name="Porcentaje 2 11 2" xfId="14848" xr:uid="{00000000-0005-0000-0000-0000296C0000}"/>
    <cellStyle name="Porcentaje 2 11 2 2" xfId="34563" xr:uid="{00000000-0005-0000-0000-00002A6C0000}"/>
    <cellStyle name="Porcentaje 2 11 3" xfId="24706" xr:uid="{00000000-0005-0000-0000-00002B6C0000}"/>
    <cellStyle name="Porcentaje 2 12" xfId="9919" xr:uid="{00000000-0005-0000-0000-00002C6C0000}"/>
    <cellStyle name="Porcentaje 2 12 2" xfId="29635" xr:uid="{00000000-0005-0000-0000-00002D6C0000}"/>
    <cellStyle name="Porcentaje 2 13" xfId="19778" xr:uid="{00000000-0005-0000-0000-00002E6C0000}"/>
    <cellStyle name="Porcentaje 2 2" xfId="26" xr:uid="{00000000-0005-0000-0000-00002F6C0000}"/>
    <cellStyle name="Porcentaje 2 2 10" xfId="4997" xr:uid="{00000000-0005-0000-0000-0000306C0000}"/>
    <cellStyle name="Porcentaje 2 2 10 2" xfId="14857" xr:uid="{00000000-0005-0000-0000-0000316C0000}"/>
    <cellStyle name="Porcentaje 2 2 10 2 2" xfId="34572" xr:uid="{00000000-0005-0000-0000-0000326C0000}"/>
    <cellStyle name="Porcentaje 2 2 10 3" xfId="24715" xr:uid="{00000000-0005-0000-0000-0000336C0000}"/>
    <cellStyle name="Porcentaje 2 2 11" xfId="9929" xr:uid="{00000000-0005-0000-0000-0000346C0000}"/>
    <cellStyle name="Porcentaje 2 2 11 2" xfId="29644" xr:uid="{00000000-0005-0000-0000-0000356C0000}"/>
    <cellStyle name="Porcentaje 2 2 12" xfId="19787" xr:uid="{00000000-0005-0000-0000-0000366C0000}"/>
    <cellStyle name="Porcentaje 2 2 2" xfId="51" xr:uid="{00000000-0005-0000-0000-0000376C0000}"/>
    <cellStyle name="Porcentaje 2 2 2 10" xfId="9948" xr:uid="{00000000-0005-0000-0000-0000386C0000}"/>
    <cellStyle name="Porcentaje 2 2 2 10 2" xfId="29663" xr:uid="{00000000-0005-0000-0000-0000396C0000}"/>
    <cellStyle name="Porcentaje 2 2 2 11" xfId="19806" xr:uid="{00000000-0005-0000-0000-00003A6C0000}"/>
    <cellStyle name="Porcentaje 2 2 2 2" xfId="94" xr:uid="{00000000-0005-0000-0000-00003B6C0000}"/>
    <cellStyle name="Porcentaje 2 2 2 2 10" xfId="19844" xr:uid="{00000000-0005-0000-0000-00003C6C0000}"/>
    <cellStyle name="Porcentaje 2 2 2 2 2" xfId="175" xr:uid="{00000000-0005-0000-0000-00003D6C0000}"/>
    <cellStyle name="Porcentaje 2 2 2 2 2 2" xfId="332" xr:uid="{00000000-0005-0000-0000-00003E6C0000}"/>
    <cellStyle name="Porcentaje 2 2 2 2 2 2 2" xfId="646" xr:uid="{00000000-0005-0000-0000-00003F6C0000}"/>
    <cellStyle name="Porcentaje 2 2 2 2 2 2 2 2" xfId="1266" xr:uid="{00000000-0005-0000-0000-0000406C0000}"/>
    <cellStyle name="Porcentaje 2 2 2 2 2 2 2 2 2" xfId="2501" xr:uid="{00000000-0005-0000-0000-0000416C0000}"/>
    <cellStyle name="Porcentaje 2 2 2 2 2 2 2 2 2 2" xfId="4968" xr:uid="{00000000-0005-0000-0000-0000426C0000}"/>
    <cellStyle name="Porcentaje 2 2 2 2 2 2 2 2 2 2 2" xfId="9900" xr:uid="{00000000-0005-0000-0000-0000436C0000}"/>
    <cellStyle name="Porcentaje 2 2 2 2 2 2 2 2 2 2 2 2" xfId="19760" xr:uid="{00000000-0005-0000-0000-0000446C0000}"/>
    <cellStyle name="Porcentaje 2 2 2 2 2 2 2 2 2 2 2 2 2" xfId="39475" xr:uid="{00000000-0005-0000-0000-0000456C0000}"/>
    <cellStyle name="Porcentaje 2 2 2 2 2 2 2 2 2 2 2 3" xfId="29618" xr:uid="{00000000-0005-0000-0000-0000466C0000}"/>
    <cellStyle name="Porcentaje 2 2 2 2 2 2 2 2 2 2 3" xfId="14832" xr:uid="{00000000-0005-0000-0000-0000476C0000}"/>
    <cellStyle name="Porcentaje 2 2 2 2 2 2 2 2 2 2 3 2" xfId="34547" xr:uid="{00000000-0005-0000-0000-0000486C0000}"/>
    <cellStyle name="Porcentaje 2 2 2 2 2 2 2 2 2 2 4" xfId="24690" xr:uid="{00000000-0005-0000-0000-0000496C0000}"/>
    <cellStyle name="Porcentaje 2 2 2 2 2 2 2 2 2 3" xfId="7436" xr:uid="{00000000-0005-0000-0000-00004A6C0000}"/>
    <cellStyle name="Porcentaje 2 2 2 2 2 2 2 2 2 3 2" xfId="17296" xr:uid="{00000000-0005-0000-0000-00004B6C0000}"/>
    <cellStyle name="Porcentaje 2 2 2 2 2 2 2 2 2 3 2 2" xfId="37011" xr:uid="{00000000-0005-0000-0000-00004C6C0000}"/>
    <cellStyle name="Porcentaje 2 2 2 2 2 2 2 2 2 3 3" xfId="27154" xr:uid="{00000000-0005-0000-0000-00004D6C0000}"/>
    <cellStyle name="Porcentaje 2 2 2 2 2 2 2 2 2 4" xfId="12368" xr:uid="{00000000-0005-0000-0000-00004E6C0000}"/>
    <cellStyle name="Porcentaje 2 2 2 2 2 2 2 2 2 4 2" xfId="32083" xr:uid="{00000000-0005-0000-0000-00004F6C0000}"/>
    <cellStyle name="Porcentaje 2 2 2 2 2 2 2 2 2 5" xfId="22226" xr:uid="{00000000-0005-0000-0000-0000506C0000}"/>
    <cellStyle name="Porcentaje 2 2 2 2 2 2 2 2 3" xfId="3736" xr:uid="{00000000-0005-0000-0000-0000516C0000}"/>
    <cellStyle name="Porcentaje 2 2 2 2 2 2 2 2 3 2" xfId="8668" xr:uid="{00000000-0005-0000-0000-0000526C0000}"/>
    <cellStyle name="Porcentaje 2 2 2 2 2 2 2 2 3 2 2" xfId="18528" xr:uid="{00000000-0005-0000-0000-0000536C0000}"/>
    <cellStyle name="Porcentaje 2 2 2 2 2 2 2 2 3 2 2 2" xfId="38243" xr:uid="{00000000-0005-0000-0000-0000546C0000}"/>
    <cellStyle name="Porcentaje 2 2 2 2 2 2 2 2 3 2 3" xfId="28386" xr:uid="{00000000-0005-0000-0000-0000556C0000}"/>
    <cellStyle name="Porcentaje 2 2 2 2 2 2 2 2 3 3" xfId="13600" xr:uid="{00000000-0005-0000-0000-0000566C0000}"/>
    <cellStyle name="Porcentaje 2 2 2 2 2 2 2 2 3 3 2" xfId="33315" xr:uid="{00000000-0005-0000-0000-0000576C0000}"/>
    <cellStyle name="Porcentaje 2 2 2 2 2 2 2 2 3 4" xfId="23458" xr:uid="{00000000-0005-0000-0000-0000586C0000}"/>
    <cellStyle name="Porcentaje 2 2 2 2 2 2 2 2 4" xfId="6204" xr:uid="{00000000-0005-0000-0000-0000596C0000}"/>
    <cellStyle name="Porcentaje 2 2 2 2 2 2 2 2 4 2" xfId="16064" xr:uid="{00000000-0005-0000-0000-00005A6C0000}"/>
    <cellStyle name="Porcentaje 2 2 2 2 2 2 2 2 4 2 2" xfId="35779" xr:uid="{00000000-0005-0000-0000-00005B6C0000}"/>
    <cellStyle name="Porcentaje 2 2 2 2 2 2 2 2 4 3" xfId="25922" xr:uid="{00000000-0005-0000-0000-00005C6C0000}"/>
    <cellStyle name="Porcentaje 2 2 2 2 2 2 2 2 5" xfId="11136" xr:uid="{00000000-0005-0000-0000-00005D6C0000}"/>
    <cellStyle name="Porcentaje 2 2 2 2 2 2 2 2 5 2" xfId="30851" xr:uid="{00000000-0005-0000-0000-00005E6C0000}"/>
    <cellStyle name="Porcentaje 2 2 2 2 2 2 2 2 6" xfId="20994" xr:uid="{00000000-0005-0000-0000-00005F6C0000}"/>
    <cellStyle name="Porcentaje 2 2 2 2 2 2 2 3" xfId="1885" xr:uid="{00000000-0005-0000-0000-0000606C0000}"/>
    <cellStyle name="Porcentaje 2 2 2 2 2 2 2 3 2" xfId="4352" xr:uid="{00000000-0005-0000-0000-0000616C0000}"/>
    <cellStyle name="Porcentaje 2 2 2 2 2 2 2 3 2 2" xfId="9284" xr:uid="{00000000-0005-0000-0000-0000626C0000}"/>
    <cellStyle name="Porcentaje 2 2 2 2 2 2 2 3 2 2 2" xfId="19144" xr:uid="{00000000-0005-0000-0000-0000636C0000}"/>
    <cellStyle name="Porcentaje 2 2 2 2 2 2 2 3 2 2 2 2" xfId="38859" xr:uid="{00000000-0005-0000-0000-0000646C0000}"/>
    <cellStyle name="Porcentaje 2 2 2 2 2 2 2 3 2 2 3" xfId="29002" xr:uid="{00000000-0005-0000-0000-0000656C0000}"/>
    <cellStyle name="Porcentaje 2 2 2 2 2 2 2 3 2 3" xfId="14216" xr:uid="{00000000-0005-0000-0000-0000666C0000}"/>
    <cellStyle name="Porcentaje 2 2 2 2 2 2 2 3 2 3 2" xfId="33931" xr:uid="{00000000-0005-0000-0000-0000676C0000}"/>
    <cellStyle name="Porcentaje 2 2 2 2 2 2 2 3 2 4" xfId="24074" xr:uid="{00000000-0005-0000-0000-0000686C0000}"/>
    <cellStyle name="Porcentaje 2 2 2 2 2 2 2 3 3" xfId="6820" xr:uid="{00000000-0005-0000-0000-0000696C0000}"/>
    <cellStyle name="Porcentaje 2 2 2 2 2 2 2 3 3 2" xfId="16680" xr:uid="{00000000-0005-0000-0000-00006A6C0000}"/>
    <cellStyle name="Porcentaje 2 2 2 2 2 2 2 3 3 2 2" xfId="36395" xr:uid="{00000000-0005-0000-0000-00006B6C0000}"/>
    <cellStyle name="Porcentaje 2 2 2 2 2 2 2 3 3 3" xfId="26538" xr:uid="{00000000-0005-0000-0000-00006C6C0000}"/>
    <cellStyle name="Porcentaje 2 2 2 2 2 2 2 3 4" xfId="11752" xr:uid="{00000000-0005-0000-0000-00006D6C0000}"/>
    <cellStyle name="Porcentaje 2 2 2 2 2 2 2 3 4 2" xfId="31467" xr:uid="{00000000-0005-0000-0000-00006E6C0000}"/>
    <cellStyle name="Porcentaje 2 2 2 2 2 2 2 3 5" xfId="21610" xr:uid="{00000000-0005-0000-0000-00006F6C0000}"/>
    <cellStyle name="Porcentaje 2 2 2 2 2 2 2 4" xfId="3120" xr:uid="{00000000-0005-0000-0000-0000706C0000}"/>
    <cellStyle name="Porcentaje 2 2 2 2 2 2 2 4 2" xfId="8052" xr:uid="{00000000-0005-0000-0000-0000716C0000}"/>
    <cellStyle name="Porcentaje 2 2 2 2 2 2 2 4 2 2" xfId="17912" xr:uid="{00000000-0005-0000-0000-0000726C0000}"/>
    <cellStyle name="Porcentaje 2 2 2 2 2 2 2 4 2 2 2" xfId="37627" xr:uid="{00000000-0005-0000-0000-0000736C0000}"/>
    <cellStyle name="Porcentaje 2 2 2 2 2 2 2 4 2 3" xfId="27770" xr:uid="{00000000-0005-0000-0000-0000746C0000}"/>
    <cellStyle name="Porcentaje 2 2 2 2 2 2 2 4 3" xfId="12984" xr:uid="{00000000-0005-0000-0000-0000756C0000}"/>
    <cellStyle name="Porcentaje 2 2 2 2 2 2 2 4 3 2" xfId="32699" xr:uid="{00000000-0005-0000-0000-0000766C0000}"/>
    <cellStyle name="Porcentaje 2 2 2 2 2 2 2 4 4" xfId="22842" xr:uid="{00000000-0005-0000-0000-0000776C0000}"/>
    <cellStyle name="Porcentaje 2 2 2 2 2 2 2 5" xfId="5588" xr:uid="{00000000-0005-0000-0000-0000786C0000}"/>
    <cellStyle name="Porcentaje 2 2 2 2 2 2 2 5 2" xfId="15448" xr:uid="{00000000-0005-0000-0000-0000796C0000}"/>
    <cellStyle name="Porcentaje 2 2 2 2 2 2 2 5 2 2" xfId="35163" xr:uid="{00000000-0005-0000-0000-00007A6C0000}"/>
    <cellStyle name="Porcentaje 2 2 2 2 2 2 2 5 3" xfId="25306" xr:uid="{00000000-0005-0000-0000-00007B6C0000}"/>
    <cellStyle name="Porcentaje 2 2 2 2 2 2 2 6" xfId="10520" xr:uid="{00000000-0005-0000-0000-00007C6C0000}"/>
    <cellStyle name="Porcentaje 2 2 2 2 2 2 2 6 2" xfId="30235" xr:uid="{00000000-0005-0000-0000-00007D6C0000}"/>
    <cellStyle name="Porcentaje 2 2 2 2 2 2 2 7" xfId="20378" xr:uid="{00000000-0005-0000-0000-00007E6C0000}"/>
    <cellStyle name="Porcentaje 2 2 2 2 2 2 3" xfId="959" xr:uid="{00000000-0005-0000-0000-00007F6C0000}"/>
    <cellStyle name="Porcentaje 2 2 2 2 2 2 3 2" xfId="2195" xr:uid="{00000000-0005-0000-0000-0000806C0000}"/>
    <cellStyle name="Porcentaje 2 2 2 2 2 2 3 2 2" xfId="4662" xr:uid="{00000000-0005-0000-0000-0000816C0000}"/>
    <cellStyle name="Porcentaje 2 2 2 2 2 2 3 2 2 2" xfId="9594" xr:uid="{00000000-0005-0000-0000-0000826C0000}"/>
    <cellStyle name="Porcentaje 2 2 2 2 2 2 3 2 2 2 2" xfId="19454" xr:uid="{00000000-0005-0000-0000-0000836C0000}"/>
    <cellStyle name="Porcentaje 2 2 2 2 2 2 3 2 2 2 2 2" xfId="39169" xr:uid="{00000000-0005-0000-0000-0000846C0000}"/>
    <cellStyle name="Porcentaje 2 2 2 2 2 2 3 2 2 2 3" xfId="29312" xr:uid="{00000000-0005-0000-0000-0000856C0000}"/>
    <cellStyle name="Porcentaje 2 2 2 2 2 2 3 2 2 3" xfId="14526" xr:uid="{00000000-0005-0000-0000-0000866C0000}"/>
    <cellStyle name="Porcentaje 2 2 2 2 2 2 3 2 2 3 2" xfId="34241" xr:uid="{00000000-0005-0000-0000-0000876C0000}"/>
    <cellStyle name="Porcentaje 2 2 2 2 2 2 3 2 2 4" xfId="24384" xr:uid="{00000000-0005-0000-0000-0000886C0000}"/>
    <cellStyle name="Porcentaje 2 2 2 2 2 2 3 2 3" xfId="7130" xr:uid="{00000000-0005-0000-0000-0000896C0000}"/>
    <cellStyle name="Porcentaje 2 2 2 2 2 2 3 2 3 2" xfId="16990" xr:uid="{00000000-0005-0000-0000-00008A6C0000}"/>
    <cellStyle name="Porcentaje 2 2 2 2 2 2 3 2 3 2 2" xfId="36705" xr:uid="{00000000-0005-0000-0000-00008B6C0000}"/>
    <cellStyle name="Porcentaje 2 2 2 2 2 2 3 2 3 3" xfId="26848" xr:uid="{00000000-0005-0000-0000-00008C6C0000}"/>
    <cellStyle name="Porcentaje 2 2 2 2 2 2 3 2 4" xfId="12062" xr:uid="{00000000-0005-0000-0000-00008D6C0000}"/>
    <cellStyle name="Porcentaje 2 2 2 2 2 2 3 2 4 2" xfId="31777" xr:uid="{00000000-0005-0000-0000-00008E6C0000}"/>
    <cellStyle name="Porcentaje 2 2 2 2 2 2 3 2 5" xfId="21920" xr:uid="{00000000-0005-0000-0000-00008F6C0000}"/>
    <cellStyle name="Porcentaje 2 2 2 2 2 2 3 3" xfId="3430" xr:uid="{00000000-0005-0000-0000-0000906C0000}"/>
    <cellStyle name="Porcentaje 2 2 2 2 2 2 3 3 2" xfId="8362" xr:uid="{00000000-0005-0000-0000-0000916C0000}"/>
    <cellStyle name="Porcentaje 2 2 2 2 2 2 3 3 2 2" xfId="18222" xr:uid="{00000000-0005-0000-0000-0000926C0000}"/>
    <cellStyle name="Porcentaje 2 2 2 2 2 2 3 3 2 2 2" xfId="37937" xr:uid="{00000000-0005-0000-0000-0000936C0000}"/>
    <cellStyle name="Porcentaje 2 2 2 2 2 2 3 3 2 3" xfId="28080" xr:uid="{00000000-0005-0000-0000-0000946C0000}"/>
    <cellStyle name="Porcentaje 2 2 2 2 2 2 3 3 3" xfId="13294" xr:uid="{00000000-0005-0000-0000-0000956C0000}"/>
    <cellStyle name="Porcentaje 2 2 2 2 2 2 3 3 3 2" xfId="33009" xr:uid="{00000000-0005-0000-0000-0000966C0000}"/>
    <cellStyle name="Porcentaje 2 2 2 2 2 2 3 3 4" xfId="23152" xr:uid="{00000000-0005-0000-0000-0000976C0000}"/>
    <cellStyle name="Porcentaje 2 2 2 2 2 2 3 4" xfId="5898" xr:uid="{00000000-0005-0000-0000-0000986C0000}"/>
    <cellStyle name="Porcentaje 2 2 2 2 2 2 3 4 2" xfId="15758" xr:uid="{00000000-0005-0000-0000-0000996C0000}"/>
    <cellStyle name="Porcentaje 2 2 2 2 2 2 3 4 2 2" xfId="35473" xr:uid="{00000000-0005-0000-0000-00009A6C0000}"/>
    <cellStyle name="Porcentaje 2 2 2 2 2 2 3 4 3" xfId="25616" xr:uid="{00000000-0005-0000-0000-00009B6C0000}"/>
    <cellStyle name="Porcentaje 2 2 2 2 2 2 3 5" xfId="10830" xr:uid="{00000000-0005-0000-0000-00009C6C0000}"/>
    <cellStyle name="Porcentaje 2 2 2 2 2 2 3 5 2" xfId="30545" xr:uid="{00000000-0005-0000-0000-00009D6C0000}"/>
    <cellStyle name="Porcentaje 2 2 2 2 2 2 3 6" xfId="20688" xr:uid="{00000000-0005-0000-0000-00009E6C0000}"/>
    <cellStyle name="Porcentaje 2 2 2 2 2 2 4" xfId="1579" xr:uid="{00000000-0005-0000-0000-00009F6C0000}"/>
    <cellStyle name="Porcentaje 2 2 2 2 2 2 4 2" xfId="4046" xr:uid="{00000000-0005-0000-0000-0000A06C0000}"/>
    <cellStyle name="Porcentaje 2 2 2 2 2 2 4 2 2" xfId="8978" xr:uid="{00000000-0005-0000-0000-0000A16C0000}"/>
    <cellStyle name="Porcentaje 2 2 2 2 2 2 4 2 2 2" xfId="18838" xr:uid="{00000000-0005-0000-0000-0000A26C0000}"/>
    <cellStyle name="Porcentaje 2 2 2 2 2 2 4 2 2 2 2" xfId="38553" xr:uid="{00000000-0005-0000-0000-0000A36C0000}"/>
    <cellStyle name="Porcentaje 2 2 2 2 2 2 4 2 2 3" xfId="28696" xr:uid="{00000000-0005-0000-0000-0000A46C0000}"/>
    <cellStyle name="Porcentaje 2 2 2 2 2 2 4 2 3" xfId="13910" xr:uid="{00000000-0005-0000-0000-0000A56C0000}"/>
    <cellStyle name="Porcentaje 2 2 2 2 2 2 4 2 3 2" xfId="33625" xr:uid="{00000000-0005-0000-0000-0000A66C0000}"/>
    <cellStyle name="Porcentaje 2 2 2 2 2 2 4 2 4" xfId="23768" xr:uid="{00000000-0005-0000-0000-0000A76C0000}"/>
    <cellStyle name="Porcentaje 2 2 2 2 2 2 4 3" xfId="6514" xr:uid="{00000000-0005-0000-0000-0000A86C0000}"/>
    <cellStyle name="Porcentaje 2 2 2 2 2 2 4 3 2" xfId="16374" xr:uid="{00000000-0005-0000-0000-0000A96C0000}"/>
    <cellStyle name="Porcentaje 2 2 2 2 2 2 4 3 2 2" xfId="36089" xr:uid="{00000000-0005-0000-0000-0000AA6C0000}"/>
    <cellStyle name="Porcentaje 2 2 2 2 2 2 4 3 3" xfId="26232" xr:uid="{00000000-0005-0000-0000-0000AB6C0000}"/>
    <cellStyle name="Porcentaje 2 2 2 2 2 2 4 4" xfId="11446" xr:uid="{00000000-0005-0000-0000-0000AC6C0000}"/>
    <cellStyle name="Porcentaje 2 2 2 2 2 2 4 4 2" xfId="31161" xr:uid="{00000000-0005-0000-0000-0000AD6C0000}"/>
    <cellStyle name="Porcentaje 2 2 2 2 2 2 4 5" xfId="21304" xr:uid="{00000000-0005-0000-0000-0000AE6C0000}"/>
    <cellStyle name="Porcentaje 2 2 2 2 2 2 5" xfId="2814" xr:uid="{00000000-0005-0000-0000-0000AF6C0000}"/>
    <cellStyle name="Porcentaje 2 2 2 2 2 2 5 2" xfId="7746" xr:uid="{00000000-0005-0000-0000-0000B06C0000}"/>
    <cellStyle name="Porcentaje 2 2 2 2 2 2 5 2 2" xfId="17606" xr:uid="{00000000-0005-0000-0000-0000B16C0000}"/>
    <cellStyle name="Porcentaje 2 2 2 2 2 2 5 2 2 2" xfId="37321" xr:uid="{00000000-0005-0000-0000-0000B26C0000}"/>
    <cellStyle name="Porcentaje 2 2 2 2 2 2 5 2 3" xfId="27464" xr:uid="{00000000-0005-0000-0000-0000B36C0000}"/>
    <cellStyle name="Porcentaje 2 2 2 2 2 2 5 3" xfId="12678" xr:uid="{00000000-0005-0000-0000-0000B46C0000}"/>
    <cellStyle name="Porcentaje 2 2 2 2 2 2 5 3 2" xfId="32393" xr:uid="{00000000-0005-0000-0000-0000B56C0000}"/>
    <cellStyle name="Porcentaje 2 2 2 2 2 2 5 4" xfId="22536" xr:uid="{00000000-0005-0000-0000-0000B66C0000}"/>
    <cellStyle name="Porcentaje 2 2 2 2 2 2 6" xfId="5282" xr:uid="{00000000-0005-0000-0000-0000B76C0000}"/>
    <cellStyle name="Porcentaje 2 2 2 2 2 2 6 2" xfId="15142" xr:uid="{00000000-0005-0000-0000-0000B86C0000}"/>
    <cellStyle name="Porcentaje 2 2 2 2 2 2 6 2 2" xfId="34857" xr:uid="{00000000-0005-0000-0000-0000B96C0000}"/>
    <cellStyle name="Porcentaje 2 2 2 2 2 2 6 3" xfId="25000" xr:uid="{00000000-0005-0000-0000-0000BA6C0000}"/>
    <cellStyle name="Porcentaje 2 2 2 2 2 2 7" xfId="10214" xr:uid="{00000000-0005-0000-0000-0000BB6C0000}"/>
    <cellStyle name="Porcentaje 2 2 2 2 2 2 7 2" xfId="29929" xr:uid="{00000000-0005-0000-0000-0000BC6C0000}"/>
    <cellStyle name="Porcentaje 2 2 2 2 2 2 8" xfId="20072" xr:uid="{00000000-0005-0000-0000-0000BD6C0000}"/>
    <cellStyle name="Porcentaje 2 2 2 2 2 3" xfId="494" xr:uid="{00000000-0005-0000-0000-0000BE6C0000}"/>
    <cellStyle name="Porcentaje 2 2 2 2 2 3 2" xfId="1114" xr:uid="{00000000-0005-0000-0000-0000BF6C0000}"/>
    <cellStyle name="Porcentaje 2 2 2 2 2 3 2 2" xfId="2349" xr:uid="{00000000-0005-0000-0000-0000C06C0000}"/>
    <cellStyle name="Porcentaje 2 2 2 2 2 3 2 2 2" xfId="4816" xr:uid="{00000000-0005-0000-0000-0000C16C0000}"/>
    <cellStyle name="Porcentaje 2 2 2 2 2 3 2 2 2 2" xfId="9748" xr:uid="{00000000-0005-0000-0000-0000C26C0000}"/>
    <cellStyle name="Porcentaje 2 2 2 2 2 3 2 2 2 2 2" xfId="19608" xr:uid="{00000000-0005-0000-0000-0000C36C0000}"/>
    <cellStyle name="Porcentaje 2 2 2 2 2 3 2 2 2 2 2 2" xfId="39323" xr:uid="{00000000-0005-0000-0000-0000C46C0000}"/>
    <cellStyle name="Porcentaje 2 2 2 2 2 3 2 2 2 2 3" xfId="29466" xr:uid="{00000000-0005-0000-0000-0000C56C0000}"/>
    <cellStyle name="Porcentaje 2 2 2 2 2 3 2 2 2 3" xfId="14680" xr:uid="{00000000-0005-0000-0000-0000C66C0000}"/>
    <cellStyle name="Porcentaje 2 2 2 2 2 3 2 2 2 3 2" xfId="34395" xr:uid="{00000000-0005-0000-0000-0000C76C0000}"/>
    <cellStyle name="Porcentaje 2 2 2 2 2 3 2 2 2 4" xfId="24538" xr:uid="{00000000-0005-0000-0000-0000C86C0000}"/>
    <cellStyle name="Porcentaje 2 2 2 2 2 3 2 2 3" xfId="7284" xr:uid="{00000000-0005-0000-0000-0000C96C0000}"/>
    <cellStyle name="Porcentaje 2 2 2 2 2 3 2 2 3 2" xfId="17144" xr:uid="{00000000-0005-0000-0000-0000CA6C0000}"/>
    <cellStyle name="Porcentaje 2 2 2 2 2 3 2 2 3 2 2" xfId="36859" xr:uid="{00000000-0005-0000-0000-0000CB6C0000}"/>
    <cellStyle name="Porcentaje 2 2 2 2 2 3 2 2 3 3" xfId="27002" xr:uid="{00000000-0005-0000-0000-0000CC6C0000}"/>
    <cellStyle name="Porcentaje 2 2 2 2 2 3 2 2 4" xfId="12216" xr:uid="{00000000-0005-0000-0000-0000CD6C0000}"/>
    <cellStyle name="Porcentaje 2 2 2 2 2 3 2 2 4 2" xfId="31931" xr:uid="{00000000-0005-0000-0000-0000CE6C0000}"/>
    <cellStyle name="Porcentaje 2 2 2 2 2 3 2 2 5" xfId="22074" xr:uid="{00000000-0005-0000-0000-0000CF6C0000}"/>
    <cellStyle name="Porcentaje 2 2 2 2 2 3 2 3" xfId="3584" xr:uid="{00000000-0005-0000-0000-0000D06C0000}"/>
    <cellStyle name="Porcentaje 2 2 2 2 2 3 2 3 2" xfId="8516" xr:uid="{00000000-0005-0000-0000-0000D16C0000}"/>
    <cellStyle name="Porcentaje 2 2 2 2 2 3 2 3 2 2" xfId="18376" xr:uid="{00000000-0005-0000-0000-0000D26C0000}"/>
    <cellStyle name="Porcentaje 2 2 2 2 2 3 2 3 2 2 2" xfId="38091" xr:uid="{00000000-0005-0000-0000-0000D36C0000}"/>
    <cellStyle name="Porcentaje 2 2 2 2 2 3 2 3 2 3" xfId="28234" xr:uid="{00000000-0005-0000-0000-0000D46C0000}"/>
    <cellStyle name="Porcentaje 2 2 2 2 2 3 2 3 3" xfId="13448" xr:uid="{00000000-0005-0000-0000-0000D56C0000}"/>
    <cellStyle name="Porcentaje 2 2 2 2 2 3 2 3 3 2" xfId="33163" xr:uid="{00000000-0005-0000-0000-0000D66C0000}"/>
    <cellStyle name="Porcentaje 2 2 2 2 2 3 2 3 4" xfId="23306" xr:uid="{00000000-0005-0000-0000-0000D76C0000}"/>
    <cellStyle name="Porcentaje 2 2 2 2 2 3 2 4" xfId="6052" xr:uid="{00000000-0005-0000-0000-0000D86C0000}"/>
    <cellStyle name="Porcentaje 2 2 2 2 2 3 2 4 2" xfId="15912" xr:uid="{00000000-0005-0000-0000-0000D96C0000}"/>
    <cellStyle name="Porcentaje 2 2 2 2 2 3 2 4 2 2" xfId="35627" xr:uid="{00000000-0005-0000-0000-0000DA6C0000}"/>
    <cellStyle name="Porcentaje 2 2 2 2 2 3 2 4 3" xfId="25770" xr:uid="{00000000-0005-0000-0000-0000DB6C0000}"/>
    <cellStyle name="Porcentaje 2 2 2 2 2 3 2 5" xfId="10984" xr:uid="{00000000-0005-0000-0000-0000DC6C0000}"/>
    <cellStyle name="Porcentaje 2 2 2 2 2 3 2 5 2" xfId="30699" xr:uid="{00000000-0005-0000-0000-0000DD6C0000}"/>
    <cellStyle name="Porcentaje 2 2 2 2 2 3 2 6" xfId="20842" xr:uid="{00000000-0005-0000-0000-0000DE6C0000}"/>
    <cellStyle name="Porcentaje 2 2 2 2 2 3 3" xfId="1733" xr:uid="{00000000-0005-0000-0000-0000DF6C0000}"/>
    <cellStyle name="Porcentaje 2 2 2 2 2 3 3 2" xfId="4200" xr:uid="{00000000-0005-0000-0000-0000E06C0000}"/>
    <cellStyle name="Porcentaje 2 2 2 2 2 3 3 2 2" xfId="9132" xr:uid="{00000000-0005-0000-0000-0000E16C0000}"/>
    <cellStyle name="Porcentaje 2 2 2 2 2 3 3 2 2 2" xfId="18992" xr:uid="{00000000-0005-0000-0000-0000E26C0000}"/>
    <cellStyle name="Porcentaje 2 2 2 2 2 3 3 2 2 2 2" xfId="38707" xr:uid="{00000000-0005-0000-0000-0000E36C0000}"/>
    <cellStyle name="Porcentaje 2 2 2 2 2 3 3 2 2 3" xfId="28850" xr:uid="{00000000-0005-0000-0000-0000E46C0000}"/>
    <cellStyle name="Porcentaje 2 2 2 2 2 3 3 2 3" xfId="14064" xr:uid="{00000000-0005-0000-0000-0000E56C0000}"/>
    <cellStyle name="Porcentaje 2 2 2 2 2 3 3 2 3 2" xfId="33779" xr:uid="{00000000-0005-0000-0000-0000E66C0000}"/>
    <cellStyle name="Porcentaje 2 2 2 2 2 3 3 2 4" xfId="23922" xr:uid="{00000000-0005-0000-0000-0000E76C0000}"/>
    <cellStyle name="Porcentaje 2 2 2 2 2 3 3 3" xfId="6668" xr:uid="{00000000-0005-0000-0000-0000E86C0000}"/>
    <cellStyle name="Porcentaje 2 2 2 2 2 3 3 3 2" xfId="16528" xr:uid="{00000000-0005-0000-0000-0000E96C0000}"/>
    <cellStyle name="Porcentaje 2 2 2 2 2 3 3 3 2 2" xfId="36243" xr:uid="{00000000-0005-0000-0000-0000EA6C0000}"/>
    <cellStyle name="Porcentaje 2 2 2 2 2 3 3 3 3" xfId="26386" xr:uid="{00000000-0005-0000-0000-0000EB6C0000}"/>
    <cellStyle name="Porcentaje 2 2 2 2 2 3 3 4" xfId="11600" xr:uid="{00000000-0005-0000-0000-0000EC6C0000}"/>
    <cellStyle name="Porcentaje 2 2 2 2 2 3 3 4 2" xfId="31315" xr:uid="{00000000-0005-0000-0000-0000ED6C0000}"/>
    <cellStyle name="Porcentaje 2 2 2 2 2 3 3 5" xfId="21458" xr:uid="{00000000-0005-0000-0000-0000EE6C0000}"/>
    <cellStyle name="Porcentaje 2 2 2 2 2 3 4" xfId="2968" xr:uid="{00000000-0005-0000-0000-0000EF6C0000}"/>
    <cellStyle name="Porcentaje 2 2 2 2 2 3 4 2" xfId="7900" xr:uid="{00000000-0005-0000-0000-0000F06C0000}"/>
    <cellStyle name="Porcentaje 2 2 2 2 2 3 4 2 2" xfId="17760" xr:uid="{00000000-0005-0000-0000-0000F16C0000}"/>
    <cellStyle name="Porcentaje 2 2 2 2 2 3 4 2 2 2" xfId="37475" xr:uid="{00000000-0005-0000-0000-0000F26C0000}"/>
    <cellStyle name="Porcentaje 2 2 2 2 2 3 4 2 3" xfId="27618" xr:uid="{00000000-0005-0000-0000-0000F36C0000}"/>
    <cellStyle name="Porcentaje 2 2 2 2 2 3 4 3" xfId="12832" xr:uid="{00000000-0005-0000-0000-0000F46C0000}"/>
    <cellStyle name="Porcentaje 2 2 2 2 2 3 4 3 2" xfId="32547" xr:uid="{00000000-0005-0000-0000-0000F56C0000}"/>
    <cellStyle name="Porcentaje 2 2 2 2 2 3 4 4" xfId="22690" xr:uid="{00000000-0005-0000-0000-0000F66C0000}"/>
    <cellStyle name="Porcentaje 2 2 2 2 2 3 5" xfId="5436" xr:uid="{00000000-0005-0000-0000-0000F76C0000}"/>
    <cellStyle name="Porcentaje 2 2 2 2 2 3 5 2" xfId="15296" xr:uid="{00000000-0005-0000-0000-0000F86C0000}"/>
    <cellStyle name="Porcentaje 2 2 2 2 2 3 5 2 2" xfId="35011" xr:uid="{00000000-0005-0000-0000-0000F96C0000}"/>
    <cellStyle name="Porcentaje 2 2 2 2 2 3 5 3" xfId="25154" xr:uid="{00000000-0005-0000-0000-0000FA6C0000}"/>
    <cellStyle name="Porcentaje 2 2 2 2 2 3 6" xfId="10368" xr:uid="{00000000-0005-0000-0000-0000FB6C0000}"/>
    <cellStyle name="Porcentaje 2 2 2 2 2 3 6 2" xfId="30083" xr:uid="{00000000-0005-0000-0000-0000FC6C0000}"/>
    <cellStyle name="Porcentaje 2 2 2 2 2 3 7" xfId="20226" xr:uid="{00000000-0005-0000-0000-0000FD6C0000}"/>
    <cellStyle name="Porcentaje 2 2 2 2 2 4" xfId="807" xr:uid="{00000000-0005-0000-0000-0000FE6C0000}"/>
    <cellStyle name="Porcentaje 2 2 2 2 2 4 2" xfId="2043" xr:uid="{00000000-0005-0000-0000-0000FF6C0000}"/>
    <cellStyle name="Porcentaje 2 2 2 2 2 4 2 2" xfId="4510" xr:uid="{00000000-0005-0000-0000-0000006D0000}"/>
    <cellStyle name="Porcentaje 2 2 2 2 2 4 2 2 2" xfId="9442" xr:uid="{00000000-0005-0000-0000-0000016D0000}"/>
    <cellStyle name="Porcentaje 2 2 2 2 2 4 2 2 2 2" xfId="19302" xr:uid="{00000000-0005-0000-0000-0000026D0000}"/>
    <cellStyle name="Porcentaje 2 2 2 2 2 4 2 2 2 2 2" xfId="39017" xr:uid="{00000000-0005-0000-0000-0000036D0000}"/>
    <cellStyle name="Porcentaje 2 2 2 2 2 4 2 2 2 3" xfId="29160" xr:uid="{00000000-0005-0000-0000-0000046D0000}"/>
    <cellStyle name="Porcentaje 2 2 2 2 2 4 2 2 3" xfId="14374" xr:uid="{00000000-0005-0000-0000-0000056D0000}"/>
    <cellStyle name="Porcentaje 2 2 2 2 2 4 2 2 3 2" xfId="34089" xr:uid="{00000000-0005-0000-0000-0000066D0000}"/>
    <cellStyle name="Porcentaje 2 2 2 2 2 4 2 2 4" xfId="24232" xr:uid="{00000000-0005-0000-0000-0000076D0000}"/>
    <cellStyle name="Porcentaje 2 2 2 2 2 4 2 3" xfId="6978" xr:uid="{00000000-0005-0000-0000-0000086D0000}"/>
    <cellStyle name="Porcentaje 2 2 2 2 2 4 2 3 2" xfId="16838" xr:uid="{00000000-0005-0000-0000-0000096D0000}"/>
    <cellStyle name="Porcentaje 2 2 2 2 2 4 2 3 2 2" xfId="36553" xr:uid="{00000000-0005-0000-0000-00000A6D0000}"/>
    <cellStyle name="Porcentaje 2 2 2 2 2 4 2 3 3" xfId="26696" xr:uid="{00000000-0005-0000-0000-00000B6D0000}"/>
    <cellStyle name="Porcentaje 2 2 2 2 2 4 2 4" xfId="11910" xr:uid="{00000000-0005-0000-0000-00000C6D0000}"/>
    <cellStyle name="Porcentaje 2 2 2 2 2 4 2 4 2" xfId="31625" xr:uid="{00000000-0005-0000-0000-00000D6D0000}"/>
    <cellStyle name="Porcentaje 2 2 2 2 2 4 2 5" xfId="21768" xr:uid="{00000000-0005-0000-0000-00000E6D0000}"/>
    <cellStyle name="Porcentaje 2 2 2 2 2 4 3" xfId="3278" xr:uid="{00000000-0005-0000-0000-00000F6D0000}"/>
    <cellStyle name="Porcentaje 2 2 2 2 2 4 3 2" xfId="8210" xr:uid="{00000000-0005-0000-0000-0000106D0000}"/>
    <cellStyle name="Porcentaje 2 2 2 2 2 4 3 2 2" xfId="18070" xr:uid="{00000000-0005-0000-0000-0000116D0000}"/>
    <cellStyle name="Porcentaje 2 2 2 2 2 4 3 2 2 2" xfId="37785" xr:uid="{00000000-0005-0000-0000-0000126D0000}"/>
    <cellStyle name="Porcentaje 2 2 2 2 2 4 3 2 3" xfId="27928" xr:uid="{00000000-0005-0000-0000-0000136D0000}"/>
    <cellStyle name="Porcentaje 2 2 2 2 2 4 3 3" xfId="13142" xr:uid="{00000000-0005-0000-0000-0000146D0000}"/>
    <cellStyle name="Porcentaje 2 2 2 2 2 4 3 3 2" xfId="32857" xr:uid="{00000000-0005-0000-0000-0000156D0000}"/>
    <cellStyle name="Porcentaje 2 2 2 2 2 4 3 4" xfId="23000" xr:uid="{00000000-0005-0000-0000-0000166D0000}"/>
    <cellStyle name="Porcentaje 2 2 2 2 2 4 4" xfId="5746" xr:uid="{00000000-0005-0000-0000-0000176D0000}"/>
    <cellStyle name="Porcentaje 2 2 2 2 2 4 4 2" xfId="15606" xr:uid="{00000000-0005-0000-0000-0000186D0000}"/>
    <cellStyle name="Porcentaje 2 2 2 2 2 4 4 2 2" xfId="35321" xr:uid="{00000000-0005-0000-0000-0000196D0000}"/>
    <cellStyle name="Porcentaje 2 2 2 2 2 4 4 3" xfId="25464" xr:uid="{00000000-0005-0000-0000-00001A6D0000}"/>
    <cellStyle name="Porcentaje 2 2 2 2 2 4 5" xfId="10678" xr:uid="{00000000-0005-0000-0000-00001B6D0000}"/>
    <cellStyle name="Porcentaje 2 2 2 2 2 4 5 2" xfId="30393" xr:uid="{00000000-0005-0000-0000-00001C6D0000}"/>
    <cellStyle name="Porcentaje 2 2 2 2 2 4 6" xfId="20536" xr:uid="{00000000-0005-0000-0000-00001D6D0000}"/>
    <cellStyle name="Porcentaje 2 2 2 2 2 5" xfId="1427" xr:uid="{00000000-0005-0000-0000-00001E6D0000}"/>
    <cellStyle name="Porcentaje 2 2 2 2 2 5 2" xfId="3894" xr:uid="{00000000-0005-0000-0000-00001F6D0000}"/>
    <cellStyle name="Porcentaje 2 2 2 2 2 5 2 2" xfId="8826" xr:uid="{00000000-0005-0000-0000-0000206D0000}"/>
    <cellStyle name="Porcentaje 2 2 2 2 2 5 2 2 2" xfId="18686" xr:uid="{00000000-0005-0000-0000-0000216D0000}"/>
    <cellStyle name="Porcentaje 2 2 2 2 2 5 2 2 2 2" xfId="38401" xr:uid="{00000000-0005-0000-0000-0000226D0000}"/>
    <cellStyle name="Porcentaje 2 2 2 2 2 5 2 2 3" xfId="28544" xr:uid="{00000000-0005-0000-0000-0000236D0000}"/>
    <cellStyle name="Porcentaje 2 2 2 2 2 5 2 3" xfId="13758" xr:uid="{00000000-0005-0000-0000-0000246D0000}"/>
    <cellStyle name="Porcentaje 2 2 2 2 2 5 2 3 2" xfId="33473" xr:uid="{00000000-0005-0000-0000-0000256D0000}"/>
    <cellStyle name="Porcentaje 2 2 2 2 2 5 2 4" xfId="23616" xr:uid="{00000000-0005-0000-0000-0000266D0000}"/>
    <cellStyle name="Porcentaje 2 2 2 2 2 5 3" xfId="6362" xr:uid="{00000000-0005-0000-0000-0000276D0000}"/>
    <cellStyle name="Porcentaje 2 2 2 2 2 5 3 2" xfId="16222" xr:uid="{00000000-0005-0000-0000-0000286D0000}"/>
    <cellStyle name="Porcentaje 2 2 2 2 2 5 3 2 2" xfId="35937" xr:uid="{00000000-0005-0000-0000-0000296D0000}"/>
    <cellStyle name="Porcentaje 2 2 2 2 2 5 3 3" xfId="26080" xr:uid="{00000000-0005-0000-0000-00002A6D0000}"/>
    <cellStyle name="Porcentaje 2 2 2 2 2 5 4" xfId="11294" xr:uid="{00000000-0005-0000-0000-00002B6D0000}"/>
    <cellStyle name="Porcentaje 2 2 2 2 2 5 4 2" xfId="31009" xr:uid="{00000000-0005-0000-0000-00002C6D0000}"/>
    <cellStyle name="Porcentaje 2 2 2 2 2 5 5" xfId="21152" xr:uid="{00000000-0005-0000-0000-00002D6D0000}"/>
    <cellStyle name="Porcentaje 2 2 2 2 2 6" xfId="2662" xr:uid="{00000000-0005-0000-0000-00002E6D0000}"/>
    <cellStyle name="Porcentaje 2 2 2 2 2 6 2" xfId="7594" xr:uid="{00000000-0005-0000-0000-00002F6D0000}"/>
    <cellStyle name="Porcentaje 2 2 2 2 2 6 2 2" xfId="17454" xr:uid="{00000000-0005-0000-0000-0000306D0000}"/>
    <cellStyle name="Porcentaje 2 2 2 2 2 6 2 2 2" xfId="37169" xr:uid="{00000000-0005-0000-0000-0000316D0000}"/>
    <cellStyle name="Porcentaje 2 2 2 2 2 6 2 3" xfId="27312" xr:uid="{00000000-0005-0000-0000-0000326D0000}"/>
    <cellStyle name="Porcentaje 2 2 2 2 2 6 3" xfId="12526" xr:uid="{00000000-0005-0000-0000-0000336D0000}"/>
    <cellStyle name="Porcentaje 2 2 2 2 2 6 3 2" xfId="32241" xr:uid="{00000000-0005-0000-0000-0000346D0000}"/>
    <cellStyle name="Porcentaje 2 2 2 2 2 6 4" xfId="22384" xr:uid="{00000000-0005-0000-0000-0000356D0000}"/>
    <cellStyle name="Porcentaje 2 2 2 2 2 7" xfId="5130" xr:uid="{00000000-0005-0000-0000-0000366D0000}"/>
    <cellStyle name="Porcentaje 2 2 2 2 2 7 2" xfId="14990" xr:uid="{00000000-0005-0000-0000-0000376D0000}"/>
    <cellStyle name="Porcentaje 2 2 2 2 2 7 2 2" xfId="34705" xr:uid="{00000000-0005-0000-0000-0000386D0000}"/>
    <cellStyle name="Porcentaje 2 2 2 2 2 7 3" xfId="24848" xr:uid="{00000000-0005-0000-0000-0000396D0000}"/>
    <cellStyle name="Porcentaje 2 2 2 2 2 8" xfId="10062" xr:uid="{00000000-0005-0000-0000-00003A6D0000}"/>
    <cellStyle name="Porcentaje 2 2 2 2 2 8 2" xfId="29777" xr:uid="{00000000-0005-0000-0000-00003B6D0000}"/>
    <cellStyle name="Porcentaje 2 2 2 2 2 9" xfId="19920" xr:uid="{00000000-0005-0000-0000-00003C6D0000}"/>
    <cellStyle name="Porcentaje 2 2 2 2 3" xfId="256" xr:uid="{00000000-0005-0000-0000-00003D6D0000}"/>
    <cellStyle name="Porcentaje 2 2 2 2 3 2" xfId="570" xr:uid="{00000000-0005-0000-0000-00003E6D0000}"/>
    <cellStyle name="Porcentaje 2 2 2 2 3 2 2" xfId="1190" xr:uid="{00000000-0005-0000-0000-00003F6D0000}"/>
    <cellStyle name="Porcentaje 2 2 2 2 3 2 2 2" xfId="2425" xr:uid="{00000000-0005-0000-0000-0000406D0000}"/>
    <cellStyle name="Porcentaje 2 2 2 2 3 2 2 2 2" xfId="4892" xr:uid="{00000000-0005-0000-0000-0000416D0000}"/>
    <cellStyle name="Porcentaje 2 2 2 2 3 2 2 2 2 2" xfId="9824" xr:uid="{00000000-0005-0000-0000-0000426D0000}"/>
    <cellStyle name="Porcentaje 2 2 2 2 3 2 2 2 2 2 2" xfId="19684" xr:uid="{00000000-0005-0000-0000-0000436D0000}"/>
    <cellStyle name="Porcentaje 2 2 2 2 3 2 2 2 2 2 2 2" xfId="39399" xr:uid="{00000000-0005-0000-0000-0000446D0000}"/>
    <cellStyle name="Porcentaje 2 2 2 2 3 2 2 2 2 2 3" xfId="29542" xr:uid="{00000000-0005-0000-0000-0000456D0000}"/>
    <cellStyle name="Porcentaje 2 2 2 2 3 2 2 2 2 3" xfId="14756" xr:uid="{00000000-0005-0000-0000-0000466D0000}"/>
    <cellStyle name="Porcentaje 2 2 2 2 3 2 2 2 2 3 2" xfId="34471" xr:uid="{00000000-0005-0000-0000-0000476D0000}"/>
    <cellStyle name="Porcentaje 2 2 2 2 3 2 2 2 2 4" xfId="24614" xr:uid="{00000000-0005-0000-0000-0000486D0000}"/>
    <cellStyle name="Porcentaje 2 2 2 2 3 2 2 2 3" xfId="7360" xr:uid="{00000000-0005-0000-0000-0000496D0000}"/>
    <cellStyle name="Porcentaje 2 2 2 2 3 2 2 2 3 2" xfId="17220" xr:uid="{00000000-0005-0000-0000-00004A6D0000}"/>
    <cellStyle name="Porcentaje 2 2 2 2 3 2 2 2 3 2 2" xfId="36935" xr:uid="{00000000-0005-0000-0000-00004B6D0000}"/>
    <cellStyle name="Porcentaje 2 2 2 2 3 2 2 2 3 3" xfId="27078" xr:uid="{00000000-0005-0000-0000-00004C6D0000}"/>
    <cellStyle name="Porcentaje 2 2 2 2 3 2 2 2 4" xfId="12292" xr:uid="{00000000-0005-0000-0000-00004D6D0000}"/>
    <cellStyle name="Porcentaje 2 2 2 2 3 2 2 2 4 2" xfId="32007" xr:uid="{00000000-0005-0000-0000-00004E6D0000}"/>
    <cellStyle name="Porcentaje 2 2 2 2 3 2 2 2 5" xfId="22150" xr:uid="{00000000-0005-0000-0000-00004F6D0000}"/>
    <cellStyle name="Porcentaje 2 2 2 2 3 2 2 3" xfId="3660" xr:uid="{00000000-0005-0000-0000-0000506D0000}"/>
    <cellStyle name="Porcentaje 2 2 2 2 3 2 2 3 2" xfId="8592" xr:uid="{00000000-0005-0000-0000-0000516D0000}"/>
    <cellStyle name="Porcentaje 2 2 2 2 3 2 2 3 2 2" xfId="18452" xr:uid="{00000000-0005-0000-0000-0000526D0000}"/>
    <cellStyle name="Porcentaje 2 2 2 2 3 2 2 3 2 2 2" xfId="38167" xr:uid="{00000000-0005-0000-0000-0000536D0000}"/>
    <cellStyle name="Porcentaje 2 2 2 2 3 2 2 3 2 3" xfId="28310" xr:uid="{00000000-0005-0000-0000-0000546D0000}"/>
    <cellStyle name="Porcentaje 2 2 2 2 3 2 2 3 3" xfId="13524" xr:uid="{00000000-0005-0000-0000-0000556D0000}"/>
    <cellStyle name="Porcentaje 2 2 2 2 3 2 2 3 3 2" xfId="33239" xr:uid="{00000000-0005-0000-0000-0000566D0000}"/>
    <cellStyle name="Porcentaje 2 2 2 2 3 2 2 3 4" xfId="23382" xr:uid="{00000000-0005-0000-0000-0000576D0000}"/>
    <cellStyle name="Porcentaje 2 2 2 2 3 2 2 4" xfId="6128" xr:uid="{00000000-0005-0000-0000-0000586D0000}"/>
    <cellStyle name="Porcentaje 2 2 2 2 3 2 2 4 2" xfId="15988" xr:uid="{00000000-0005-0000-0000-0000596D0000}"/>
    <cellStyle name="Porcentaje 2 2 2 2 3 2 2 4 2 2" xfId="35703" xr:uid="{00000000-0005-0000-0000-00005A6D0000}"/>
    <cellStyle name="Porcentaje 2 2 2 2 3 2 2 4 3" xfId="25846" xr:uid="{00000000-0005-0000-0000-00005B6D0000}"/>
    <cellStyle name="Porcentaje 2 2 2 2 3 2 2 5" xfId="11060" xr:uid="{00000000-0005-0000-0000-00005C6D0000}"/>
    <cellStyle name="Porcentaje 2 2 2 2 3 2 2 5 2" xfId="30775" xr:uid="{00000000-0005-0000-0000-00005D6D0000}"/>
    <cellStyle name="Porcentaje 2 2 2 2 3 2 2 6" xfId="20918" xr:uid="{00000000-0005-0000-0000-00005E6D0000}"/>
    <cellStyle name="Porcentaje 2 2 2 2 3 2 3" xfId="1809" xr:uid="{00000000-0005-0000-0000-00005F6D0000}"/>
    <cellStyle name="Porcentaje 2 2 2 2 3 2 3 2" xfId="4276" xr:uid="{00000000-0005-0000-0000-0000606D0000}"/>
    <cellStyle name="Porcentaje 2 2 2 2 3 2 3 2 2" xfId="9208" xr:uid="{00000000-0005-0000-0000-0000616D0000}"/>
    <cellStyle name="Porcentaje 2 2 2 2 3 2 3 2 2 2" xfId="19068" xr:uid="{00000000-0005-0000-0000-0000626D0000}"/>
    <cellStyle name="Porcentaje 2 2 2 2 3 2 3 2 2 2 2" xfId="38783" xr:uid="{00000000-0005-0000-0000-0000636D0000}"/>
    <cellStyle name="Porcentaje 2 2 2 2 3 2 3 2 2 3" xfId="28926" xr:uid="{00000000-0005-0000-0000-0000646D0000}"/>
    <cellStyle name="Porcentaje 2 2 2 2 3 2 3 2 3" xfId="14140" xr:uid="{00000000-0005-0000-0000-0000656D0000}"/>
    <cellStyle name="Porcentaje 2 2 2 2 3 2 3 2 3 2" xfId="33855" xr:uid="{00000000-0005-0000-0000-0000666D0000}"/>
    <cellStyle name="Porcentaje 2 2 2 2 3 2 3 2 4" xfId="23998" xr:uid="{00000000-0005-0000-0000-0000676D0000}"/>
    <cellStyle name="Porcentaje 2 2 2 2 3 2 3 3" xfId="6744" xr:uid="{00000000-0005-0000-0000-0000686D0000}"/>
    <cellStyle name="Porcentaje 2 2 2 2 3 2 3 3 2" xfId="16604" xr:uid="{00000000-0005-0000-0000-0000696D0000}"/>
    <cellStyle name="Porcentaje 2 2 2 2 3 2 3 3 2 2" xfId="36319" xr:uid="{00000000-0005-0000-0000-00006A6D0000}"/>
    <cellStyle name="Porcentaje 2 2 2 2 3 2 3 3 3" xfId="26462" xr:uid="{00000000-0005-0000-0000-00006B6D0000}"/>
    <cellStyle name="Porcentaje 2 2 2 2 3 2 3 4" xfId="11676" xr:uid="{00000000-0005-0000-0000-00006C6D0000}"/>
    <cellStyle name="Porcentaje 2 2 2 2 3 2 3 4 2" xfId="31391" xr:uid="{00000000-0005-0000-0000-00006D6D0000}"/>
    <cellStyle name="Porcentaje 2 2 2 2 3 2 3 5" xfId="21534" xr:uid="{00000000-0005-0000-0000-00006E6D0000}"/>
    <cellStyle name="Porcentaje 2 2 2 2 3 2 4" xfId="3044" xr:uid="{00000000-0005-0000-0000-00006F6D0000}"/>
    <cellStyle name="Porcentaje 2 2 2 2 3 2 4 2" xfId="7976" xr:uid="{00000000-0005-0000-0000-0000706D0000}"/>
    <cellStyle name="Porcentaje 2 2 2 2 3 2 4 2 2" xfId="17836" xr:uid="{00000000-0005-0000-0000-0000716D0000}"/>
    <cellStyle name="Porcentaje 2 2 2 2 3 2 4 2 2 2" xfId="37551" xr:uid="{00000000-0005-0000-0000-0000726D0000}"/>
    <cellStyle name="Porcentaje 2 2 2 2 3 2 4 2 3" xfId="27694" xr:uid="{00000000-0005-0000-0000-0000736D0000}"/>
    <cellStyle name="Porcentaje 2 2 2 2 3 2 4 3" xfId="12908" xr:uid="{00000000-0005-0000-0000-0000746D0000}"/>
    <cellStyle name="Porcentaje 2 2 2 2 3 2 4 3 2" xfId="32623" xr:uid="{00000000-0005-0000-0000-0000756D0000}"/>
    <cellStyle name="Porcentaje 2 2 2 2 3 2 4 4" xfId="22766" xr:uid="{00000000-0005-0000-0000-0000766D0000}"/>
    <cellStyle name="Porcentaje 2 2 2 2 3 2 5" xfId="5512" xr:uid="{00000000-0005-0000-0000-0000776D0000}"/>
    <cellStyle name="Porcentaje 2 2 2 2 3 2 5 2" xfId="15372" xr:uid="{00000000-0005-0000-0000-0000786D0000}"/>
    <cellStyle name="Porcentaje 2 2 2 2 3 2 5 2 2" xfId="35087" xr:uid="{00000000-0005-0000-0000-0000796D0000}"/>
    <cellStyle name="Porcentaje 2 2 2 2 3 2 5 3" xfId="25230" xr:uid="{00000000-0005-0000-0000-00007A6D0000}"/>
    <cellStyle name="Porcentaje 2 2 2 2 3 2 6" xfId="10444" xr:uid="{00000000-0005-0000-0000-00007B6D0000}"/>
    <cellStyle name="Porcentaje 2 2 2 2 3 2 6 2" xfId="30159" xr:uid="{00000000-0005-0000-0000-00007C6D0000}"/>
    <cellStyle name="Porcentaje 2 2 2 2 3 2 7" xfId="20302" xr:uid="{00000000-0005-0000-0000-00007D6D0000}"/>
    <cellStyle name="Porcentaje 2 2 2 2 3 3" xfId="883" xr:uid="{00000000-0005-0000-0000-00007E6D0000}"/>
    <cellStyle name="Porcentaje 2 2 2 2 3 3 2" xfId="2119" xr:uid="{00000000-0005-0000-0000-00007F6D0000}"/>
    <cellStyle name="Porcentaje 2 2 2 2 3 3 2 2" xfId="4586" xr:uid="{00000000-0005-0000-0000-0000806D0000}"/>
    <cellStyle name="Porcentaje 2 2 2 2 3 3 2 2 2" xfId="9518" xr:uid="{00000000-0005-0000-0000-0000816D0000}"/>
    <cellStyle name="Porcentaje 2 2 2 2 3 3 2 2 2 2" xfId="19378" xr:uid="{00000000-0005-0000-0000-0000826D0000}"/>
    <cellStyle name="Porcentaje 2 2 2 2 3 3 2 2 2 2 2" xfId="39093" xr:uid="{00000000-0005-0000-0000-0000836D0000}"/>
    <cellStyle name="Porcentaje 2 2 2 2 3 3 2 2 2 3" xfId="29236" xr:uid="{00000000-0005-0000-0000-0000846D0000}"/>
    <cellStyle name="Porcentaje 2 2 2 2 3 3 2 2 3" xfId="14450" xr:uid="{00000000-0005-0000-0000-0000856D0000}"/>
    <cellStyle name="Porcentaje 2 2 2 2 3 3 2 2 3 2" xfId="34165" xr:uid="{00000000-0005-0000-0000-0000866D0000}"/>
    <cellStyle name="Porcentaje 2 2 2 2 3 3 2 2 4" xfId="24308" xr:uid="{00000000-0005-0000-0000-0000876D0000}"/>
    <cellStyle name="Porcentaje 2 2 2 2 3 3 2 3" xfId="7054" xr:uid="{00000000-0005-0000-0000-0000886D0000}"/>
    <cellStyle name="Porcentaje 2 2 2 2 3 3 2 3 2" xfId="16914" xr:uid="{00000000-0005-0000-0000-0000896D0000}"/>
    <cellStyle name="Porcentaje 2 2 2 2 3 3 2 3 2 2" xfId="36629" xr:uid="{00000000-0005-0000-0000-00008A6D0000}"/>
    <cellStyle name="Porcentaje 2 2 2 2 3 3 2 3 3" xfId="26772" xr:uid="{00000000-0005-0000-0000-00008B6D0000}"/>
    <cellStyle name="Porcentaje 2 2 2 2 3 3 2 4" xfId="11986" xr:uid="{00000000-0005-0000-0000-00008C6D0000}"/>
    <cellStyle name="Porcentaje 2 2 2 2 3 3 2 4 2" xfId="31701" xr:uid="{00000000-0005-0000-0000-00008D6D0000}"/>
    <cellStyle name="Porcentaje 2 2 2 2 3 3 2 5" xfId="21844" xr:uid="{00000000-0005-0000-0000-00008E6D0000}"/>
    <cellStyle name="Porcentaje 2 2 2 2 3 3 3" xfId="3354" xr:uid="{00000000-0005-0000-0000-00008F6D0000}"/>
    <cellStyle name="Porcentaje 2 2 2 2 3 3 3 2" xfId="8286" xr:uid="{00000000-0005-0000-0000-0000906D0000}"/>
    <cellStyle name="Porcentaje 2 2 2 2 3 3 3 2 2" xfId="18146" xr:uid="{00000000-0005-0000-0000-0000916D0000}"/>
    <cellStyle name="Porcentaje 2 2 2 2 3 3 3 2 2 2" xfId="37861" xr:uid="{00000000-0005-0000-0000-0000926D0000}"/>
    <cellStyle name="Porcentaje 2 2 2 2 3 3 3 2 3" xfId="28004" xr:uid="{00000000-0005-0000-0000-0000936D0000}"/>
    <cellStyle name="Porcentaje 2 2 2 2 3 3 3 3" xfId="13218" xr:uid="{00000000-0005-0000-0000-0000946D0000}"/>
    <cellStyle name="Porcentaje 2 2 2 2 3 3 3 3 2" xfId="32933" xr:uid="{00000000-0005-0000-0000-0000956D0000}"/>
    <cellStyle name="Porcentaje 2 2 2 2 3 3 3 4" xfId="23076" xr:uid="{00000000-0005-0000-0000-0000966D0000}"/>
    <cellStyle name="Porcentaje 2 2 2 2 3 3 4" xfId="5822" xr:uid="{00000000-0005-0000-0000-0000976D0000}"/>
    <cellStyle name="Porcentaje 2 2 2 2 3 3 4 2" xfId="15682" xr:uid="{00000000-0005-0000-0000-0000986D0000}"/>
    <cellStyle name="Porcentaje 2 2 2 2 3 3 4 2 2" xfId="35397" xr:uid="{00000000-0005-0000-0000-0000996D0000}"/>
    <cellStyle name="Porcentaje 2 2 2 2 3 3 4 3" xfId="25540" xr:uid="{00000000-0005-0000-0000-00009A6D0000}"/>
    <cellStyle name="Porcentaje 2 2 2 2 3 3 5" xfId="10754" xr:uid="{00000000-0005-0000-0000-00009B6D0000}"/>
    <cellStyle name="Porcentaje 2 2 2 2 3 3 5 2" xfId="30469" xr:uid="{00000000-0005-0000-0000-00009C6D0000}"/>
    <cellStyle name="Porcentaje 2 2 2 2 3 3 6" xfId="20612" xr:uid="{00000000-0005-0000-0000-00009D6D0000}"/>
    <cellStyle name="Porcentaje 2 2 2 2 3 4" xfId="1503" xr:uid="{00000000-0005-0000-0000-00009E6D0000}"/>
    <cellStyle name="Porcentaje 2 2 2 2 3 4 2" xfId="3970" xr:uid="{00000000-0005-0000-0000-00009F6D0000}"/>
    <cellStyle name="Porcentaje 2 2 2 2 3 4 2 2" xfId="8902" xr:uid="{00000000-0005-0000-0000-0000A06D0000}"/>
    <cellStyle name="Porcentaje 2 2 2 2 3 4 2 2 2" xfId="18762" xr:uid="{00000000-0005-0000-0000-0000A16D0000}"/>
    <cellStyle name="Porcentaje 2 2 2 2 3 4 2 2 2 2" xfId="38477" xr:uid="{00000000-0005-0000-0000-0000A26D0000}"/>
    <cellStyle name="Porcentaje 2 2 2 2 3 4 2 2 3" xfId="28620" xr:uid="{00000000-0005-0000-0000-0000A36D0000}"/>
    <cellStyle name="Porcentaje 2 2 2 2 3 4 2 3" xfId="13834" xr:uid="{00000000-0005-0000-0000-0000A46D0000}"/>
    <cellStyle name="Porcentaje 2 2 2 2 3 4 2 3 2" xfId="33549" xr:uid="{00000000-0005-0000-0000-0000A56D0000}"/>
    <cellStyle name="Porcentaje 2 2 2 2 3 4 2 4" xfId="23692" xr:uid="{00000000-0005-0000-0000-0000A66D0000}"/>
    <cellStyle name="Porcentaje 2 2 2 2 3 4 3" xfId="6438" xr:uid="{00000000-0005-0000-0000-0000A76D0000}"/>
    <cellStyle name="Porcentaje 2 2 2 2 3 4 3 2" xfId="16298" xr:uid="{00000000-0005-0000-0000-0000A86D0000}"/>
    <cellStyle name="Porcentaje 2 2 2 2 3 4 3 2 2" xfId="36013" xr:uid="{00000000-0005-0000-0000-0000A96D0000}"/>
    <cellStyle name="Porcentaje 2 2 2 2 3 4 3 3" xfId="26156" xr:uid="{00000000-0005-0000-0000-0000AA6D0000}"/>
    <cellStyle name="Porcentaje 2 2 2 2 3 4 4" xfId="11370" xr:uid="{00000000-0005-0000-0000-0000AB6D0000}"/>
    <cellStyle name="Porcentaje 2 2 2 2 3 4 4 2" xfId="31085" xr:uid="{00000000-0005-0000-0000-0000AC6D0000}"/>
    <cellStyle name="Porcentaje 2 2 2 2 3 4 5" xfId="21228" xr:uid="{00000000-0005-0000-0000-0000AD6D0000}"/>
    <cellStyle name="Porcentaje 2 2 2 2 3 5" xfId="2738" xr:uid="{00000000-0005-0000-0000-0000AE6D0000}"/>
    <cellStyle name="Porcentaje 2 2 2 2 3 5 2" xfId="7670" xr:uid="{00000000-0005-0000-0000-0000AF6D0000}"/>
    <cellStyle name="Porcentaje 2 2 2 2 3 5 2 2" xfId="17530" xr:uid="{00000000-0005-0000-0000-0000B06D0000}"/>
    <cellStyle name="Porcentaje 2 2 2 2 3 5 2 2 2" xfId="37245" xr:uid="{00000000-0005-0000-0000-0000B16D0000}"/>
    <cellStyle name="Porcentaje 2 2 2 2 3 5 2 3" xfId="27388" xr:uid="{00000000-0005-0000-0000-0000B26D0000}"/>
    <cellStyle name="Porcentaje 2 2 2 2 3 5 3" xfId="12602" xr:uid="{00000000-0005-0000-0000-0000B36D0000}"/>
    <cellStyle name="Porcentaje 2 2 2 2 3 5 3 2" xfId="32317" xr:uid="{00000000-0005-0000-0000-0000B46D0000}"/>
    <cellStyle name="Porcentaje 2 2 2 2 3 5 4" xfId="22460" xr:uid="{00000000-0005-0000-0000-0000B56D0000}"/>
    <cellStyle name="Porcentaje 2 2 2 2 3 6" xfId="5206" xr:uid="{00000000-0005-0000-0000-0000B66D0000}"/>
    <cellStyle name="Porcentaje 2 2 2 2 3 6 2" xfId="15066" xr:uid="{00000000-0005-0000-0000-0000B76D0000}"/>
    <cellStyle name="Porcentaje 2 2 2 2 3 6 2 2" xfId="34781" xr:uid="{00000000-0005-0000-0000-0000B86D0000}"/>
    <cellStyle name="Porcentaje 2 2 2 2 3 6 3" xfId="24924" xr:uid="{00000000-0005-0000-0000-0000B96D0000}"/>
    <cellStyle name="Porcentaje 2 2 2 2 3 7" xfId="10138" xr:uid="{00000000-0005-0000-0000-0000BA6D0000}"/>
    <cellStyle name="Porcentaje 2 2 2 2 3 7 2" xfId="29853" xr:uid="{00000000-0005-0000-0000-0000BB6D0000}"/>
    <cellStyle name="Porcentaje 2 2 2 2 3 8" xfId="19996" xr:uid="{00000000-0005-0000-0000-0000BC6D0000}"/>
    <cellStyle name="Porcentaje 2 2 2 2 4" xfId="418" xr:uid="{00000000-0005-0000-0000-0000BD6D0000}"/>
    <cellStyle name="Porcentaje 2 2 2 2 4 2" xfId="1038" xr:uid="{00000000-0005-0000-0000-0000BE6D0000}"/>
    <cellStyle name="Porcentaje 2 2 2 2 4 2 2" xfId="2273" xr:uid="{00000000-0005-0000-0000-0000BF6D0000}"/>
    <cellStyle name="Porcentaje 2 2 2 2 4 2 2 2" xfId="4740" xr:uid="{00000000-0005-0000-0000-0000C06D0000}"/>
    <cellStyle name="Porcentaje 2 2 2 2 4 2 2 2 2" xfId="9672" xr:uid="{00000000-0005-0000-0000-0000C16D0000}"/>
    <cellStyle name="Porcentaje 2 2 2 2 4 2 2 2 2 2" xfId="19532" xr:uid="{00000000-0005-0000-0000-0000C26D0000}"/>
    <cellStyle name="Porcentaje 2 2 2 2 4 2 2 2 2 2 2" xfId="39247" xr:uid="{00000000-0005-0000-0000-0000C36D0000}"/>
    <cellStyle name="Porcentaje 2 2 2 2 4 2 2 2 2 3" xfId="29390" xr:uid="{00000000-0005-0000-0000-0000C46D0000}"/>
    <cellStyle name="Porcentaje 2 2 2 2 4 2 2 2 3" xfId="14604" xr:uid="{00000000-0005-0000-0000-0000C56D0000}"/>
    <cellStyle name="Porcentaje 2 2 2 2 4 2 2 2 3 2" xfId="34319" xr:uid="{00000000-0005-0000-0000-0000C66D0000}"/>
    <cellStyle name="Porcentaje 2 2 2 2 4 2 2 2 4" xfId="24462" xr:uid="{00000000-0005-0000-0000-0000C76D0000}"/>
    <cellStyle name="Porcentaje 2 2 2 2 4 2 2 3" xfId="7208" xr:uid="{00000000-0005-0000-0000-0000C86D0000}"/>
    <cellStyle name="Porcentaje 2 2 2 2 4 2 2 3 2" xfId="17068" xr:uid="{00000000-0005-0000-0000-0000C96D0000}"/>
    <cellStyle name="Porcentaje 2 2 2 2 4 2 2 3 2 2" xfId="36783" xr:uid="{00000000-0005-0000-0000-0000CA6D0000}"/>
    <cellStyle name="Porcentaje 2 2 2 2 4 2 2 3 3" xfId="26926" xr:uid="{00000000-0005-0000-0000-0000CB6D0000}"/>
    <cellStyle name="Porcentaje 2 2 2 2 4 2 2 4" xfId="12140" xr:uid="{00000000-0005-0000-0000-0000CC6D0000}"/>
    <cellStyle name="Porcentaje 2 2 2 2 4 2 2 4 2" xfId="31855" xr:uid="{00000000-0005-0000-0000-0000CD6D0000}"/>
    <cellStyle name="Porcentaje 2 2 2 2 4 2 2 5" xfId="21998" xr:uid="{00000000-0005-0000-0000-0000CE6D0000}"/>
    <cellStyle name="Porcentaje 2 2 2 2 4 2 3" xfId="3508" xr:uid="{00000000-0005-0000-0000-0000CF6D0000}"/>
    <cellStyle name="Porcentaje 2 2 2 2 4 2 3 2" xfId="8440" xr:uid="{00000000-0005-0000-0000-0000D06D0000}"/>
    <cellStyle name="Porcentaje 2 2 2 2 4 2 3 2 2" xfId="18300" xr:uid="{00000000-0005-0000-0000-0000D16D0000}"/>
    <cellStyle name="Porcentaje 2 2 2 2 4 2 3 2 2 2" xfId="38015" xr:uid="{00000000-0005-0000-0000-0000D26D0000}"/>
    <cellStyle name="Porcentaje 2 2 2 2 4 2 3 2 3" xfId="28158" xr:uid="{00000000-0005-0000-0000-0000D36D0000}"/>
    <cellStyle name="Porcentaje 2 2 2 2 4 2 3 3" xfId="13372" xr:uid="{00000000-0005-0000-0000-0000D46D0000}"/>
    <cellStyle name="Porcentaje 2 2 2 2 4 2 3 3 2" xfId="33087" xr:uid="{00000000-0005-0000-0000-0000D56D0000}"/>
    <cellStyle name="Porcentaje 2 2 2 2 4 2 3 4" xfId="23230" xr:uid="{00000000-0005-0000-0000-0000D66D0000}"/>
    <cellStyle name="Porcentaje 2 2 2 2 4 2 4" xfId="5976" xr:uid="{00000000-0005-0000-0000-0000D76D0000}"/>
    <cellStyle name="Porcentaje 2 2 2 2 4 2 4 2" xfId="15836" xr:uid="{00000000-0005-0000-0000-0000D86D0000}"/>
    <cellStyle name="Porcentaje 2 2 2 2 4 2 4 2 2" xfId="35551" xr:uid="{00000000-0005-0000-0000-0000D96D0000}"/>
    <cellStyle name="Porcentaje 2 2 2 2 4 2 4 3" xfId="25694" xr:uid="{00000000-0005-0000-0000-0000DA6D0000}"/>
    <cellStyle name="Porcentaje 2 2 2 2 4 2 5" xfId="10908" xr:uid="{00000000-0005-0000-0000-0000DB6D0000}"/>
    <cellStyle name="Porcentaje 2 2 2 2 4 2 5 2" xfId="30623" xr:uid="{00000000-0005-0000-0000-0000DC6D0000}"/>
    <cellStyle name="Porcentaje 2 2 2 2 4 2 6" xfId="20766" xr:uid="{00000000-0005-0000-0000-0000DD6D0000}"/>
    <cellStyle name="Porcentaje 2 2 2 2 4 3" xfId="1657" xr:uid="{00000000-0005-0000-0000-0000DE6D0000}"/>
    <cellStyle name="Porcentaje 2 2 2 2 4 3 2" xfId="4124" xr:uid="{00000000-0005-0000-0000-0000DF6D0000}"/>
    <cellStyle name="Porcentaje 2 2 2 2 4 3 2 2" xfId="9056" xr:uid="{00000000-0005-0000-0000-0000E06D0000}"/>
    <cellStyle name="Porcentaje 2 2 2 2 4 3 2 2 2" xfId="18916" xr:uid="{00000000-0005-0000-0000-0000E16D0000}"/>
    <cellStyle name="Porcentaje 2 2 2 2 4 3 2 2 2 2" xfId="38631" xr:uid="{00000000-0005-0000-0000-0000E26D0000}"/>
    <cellStyle name="Porcentaje 2 2 2 2 4 3 2 2 3" xfId="28774" xr:uid="{00000000-0005-0000-0000-0000E36D0000}"/>
    <cellStyle name="Porcentaje 2 2 2 2 4 3 2 3" xfId="13988" xr:uid="{00000000-0005-0000-0000-0000E46D0000}"/>
    <cellStyle name="Porcentaje 2 2 2 2 4 3 2 3 2" xfId="33703" xr:uid="{00000000-0005-0000-0000-0000E56D0000}"/>
    <cellStyle name="Porcentaje 2 2 2 2 4 3 2 4" xfId="23846" xr:uid="{00000000-0005-0000-0000-0000E66D0000}"/>
    <cellStyle name="Porcentaje 2 2 2 2 4 3 3" xfId="6592" xr:uid="{00000000-0005-0000-0000-0000E76D0000}"/>
    <cellStyle name="Porcentaje 2 2 2 2 4 3 3 2" xfId="16452" xr:uid="{00000000-0005-0000-0000-0000E86D0000}"/>
    <cellStyle name="Porcentaje 2 2 2 2 4 3 3 2 2" xfId="36167" xr:uid="{00000000-0005-0000-0000-0000E96D0000}"/>
    <cellStyle name="Porcentaje 2 2 2 2 4 3 3 3" xfId="26310" xr:uid="{00000000-0005-0000-0000-0000EA6D0000}"/>
    <cellStyle name="Porcentaje 2 2 2 2 4 3 4" xfId="11524" xr:uid="{00000000-0005-0000-0000-0000EB6D0000}"/>
    <cellStyle name="Porcentaje 2 2 2 2 4 3 4 2" xfId="31239" xr:uid="{00000000-0005-0000-0000-0000EC6D0000}"/>
    <cellStyle name="Porcentaje 2 2 2 2 4 3 5" xfId="21382" xr:uid="{00000000-0005-0000-0000-0000ED6D0000}"/>
    <cellStyle name="Porcentaje 2 2 2 2 4 4" xfId="2892" xr:uid="{00000000-0005-0000-0000-0000EE6D0000}"/>
    <cellStyle name="Porcentaje 2 2 2 2 4 4 2" xfId="7824" xr:uid="{00000000-0005-0000-0000-0000EF6D0000}"/>
    <cellStyle name="Porcentaje 2 2 2 2 4 4 2 2" xfId="17684" xr:uid="{00000000-0005-0000-0000-0000F06D0000}"/>
    <cellStyle name="Porcentaje 2 2 2 2 4 4 2 2 2" xfId="37399" xr:uid="{00000000-0005-0000-0000-0000F16D0000}"/>
    <cellStyle name="Porcentaje 2 2 2 2 4 4 2 3" xfId="27542" xr:uid="{00000000-0005-0000-0000-0000F26D0000}"/>
    <cellStyle name="Porcentaje 2 2 2 2 4 4 3" xfId="12756" xr:uid="{00000000-0005-0000-0000-0000F36D0000}"/>
    <cellStyle name="Porcentaje 2 2 2 2 4 4 3 2" xfId="32471" xr:uid="{00000000-0005-0000-0000-0000F46D0000}"/>
    <cellStyle name="Porcentaje 2 2 2 2 4 4 4" xfId="22614" xr:uid="{00000000-0005-0000-0000-0000F56D0000}"/>
    <cellStyle name="Porcentaje 2 2 2 2 4 5" xfId="5360" xr:uid="{00000000-0005-0000-0000-0000F66D0000}"/>
    <cellStyle name="Porcentaje 2 2 2 2 4 5 2" xfId="15220" xr:uid="{00000000-0005-0000-0000-0000F76D0000}"/>
    <cellStyle name="Porcentaje 2 2 2 2 4 5 2 2" xfId="34935" xr:uid="{00000000-0005-0000-0000-0000F86D0000}"/>
    <cellStyle name="Porcentaje 2 2 2 2 4 5 3" xfId="25078" xr:uid="{00000000-0005-0000-0000-0000F96D0000}"/>
    <cellStyle name="Porcentaje 2 2 2 2 4 6" xfId="10292" xr:uid="{00000000-0005-0000-0000-0000FA6D0000}"/>
    <cellStyle name="Porcentaje 2 2 2 2 4 6 2" xfId="30007" xr:uid="{00000000-0005-0000-0000-0000FB6D0000}"/>
    <cellStyle name="Porcentaje 2 2 2 2 4 7" xfId="20150" xr:uid="{00000000-0005-0000-0000-0000FC6D0000}"/>
    <cellStyle name="Porcentaje 2 2 2 2 5" xfId="731" xr:uid="{00000000-0005-0000-0000-0000FD6D0000}"/>
    <cellStyle name="Porcentaje 2 2 2 2 5 2" xfId="1967" xr:uid="{00000000-0005-0000-0000-0000FE6D0000}"/>
    <cellStyle name="Porcentaje 2 2 2 2 5 2 2" xfId="4434" xr:uid="{00000000-0005-0000-0000-0000FF6D0000}"/>
    <cellStyle name="Porcentaje 2 2 2 2 5 2 2 2" xfId="9366" xr:uid="{00000000-0005-0000-0000-0000006E0000}"/>
    <cellStyle name="Porcentaje 2 2 2 2 5 2 2 2 2" xfId="19226" xr:uid="{00000000-0005-0000-0000-0000016E0000}"/>
    <cellStyle name="Porcentaje 2 2 2 2 5 2 2 2 2 2" xfId="38941" xr:uid="{00000000-0005-0000-0000-0000026E0000}"/>
    <cellStyle name="Porcentaje 2 2 2 2 5 2 2 2 3" xfId="29084" xr:uid="{00000000-0005-0000-0000-0000036E0000}"/>
    <cellStyle name="Porcentaje 2 2 2 2 5 2 2 3" xfId="14298" xr:uid="{00000000-0005-0000-0000-0000046E0000}"/>
    <cellStyle name="Porcentaje 2 2 2 2 5 2 2 3 2" xfId="34013" xr:uid="{00000000-0005-0000-0000-0000056E0000}"/>
    <cellStyle name="Porcentaje 2 2 2 2 5 2 2 4" xfId="24156" xr:uid="{00000000-0005-0000-0000-0000066E0000}"/>
    <cellStyle name="Porcentaje 2 2 2 2 5 2 3" xfId="6902" xr:uid="{00000000-0005-0000-0000-0000076E0000}"/>
    <cellStyle name="Porcentaje 2 2 2 2 5 2 3 2" xfId="16762" xr:uid="{00000000-0005-0000-0000-0000086E0000}"/>
    <cellStyle name="Porcentaje 2 2 2 2 5 2 3 2 2" xfId="36477" xr:uid="{00000000-0005-0000-0000-0000096E0000}"/>
    <cellStyle name="Porcentaje 2 2 2 2 5 2 3 3" xfId="26620" xr:uid="{00000000-0005-0000-0000-00000A6E0000}"/>
    <cellStyle name="Porcentaje 2 2 2 2 5 2 4" xfId="11834" xr:uid="{00000000-0005-0000-0000-00000B6E0000}"/>
    <cellStyle name="Porcentaje 2 2 2 2 5 2 4 2" xfId="31549" xr:uid="{00000000-0005-0000-0000-00000C6E0000}"/>
    <cellStyle name="Porcentaje 2 2 2 2 5 2 5" xfId="21692" xr:uid="{00000000-0005-0000-0000-00000D6E0000}"/>
    <cellStyle name="Porcentaje 2 2 2 2 5 3" xfId="3202" xr:uid="{00000000-0005-0000-0000-00000E6E0000}"/>
    <cellStyle name="Porcentaje 2 2 2 2 5 3 2" xfId="8134" xr:uid="{00000000-0005-0000-0000-00000F6E0000}"/>
    <cellStyle name="Porcentaje 2 2 2 2 5 3 2 2" xfId="17994" xr:uid="{00000000-0005-0000-0000-0000106E0000}"/>
    <cellStyle name="Porcentaje 2 2 2 2 5 3 2 2 2" xfId="37709" xr:uid="{00000000-0005-0000-0000-0000116E0000}"/>
    <cellStyle name="Porcentaje 2 2 2 2 5 3 2 3" xfId="27852" xr:uid="{00000000-0005-0000-0000-0000126E0000}"/>
    <cellStyle name="Porcentaje 2 2 2 2 5 3 3" xfId="13066" xr:uid="{00000000-0005-0000-0000-0000136E0000}"/>
    <cellStyle name="Porcentaje 2 2 2 2 5 3 3 2" xfId="32781" xr:uid="{00000000-0005-0000-0000-0000146E0000}"/>
    <cellStyle name="Porcentaje 2 2 2 2 5 3 4" xfId="22924" xr:uid="{00000000-0005-0000-0000-0000156E0000}"/>
    <cellStyle name="Porcentaje 2 2 2 2 5 4" xfId="5670" xr:uid="{00000000-0005-0000-0000-0000166E0000}"/>
    <cellStyle name="Porcentaje 2 2 2 2 5 4 2" xfId="15530" xr:uid="{00000000-0005-0000-0000-0000176E0000}"/>
    <cellStyle name="Porcentaje 2 2 2 2 5 4 2 2" xfId="35245" xr:uid="{00000000-0005-0000-0000-0000186E0000}"/>
    <cellStyle name="Porcentaje 2 2 2 2 5 4 3" xfId="25388" xr:uid="{00000000-0005-0000-0000-0000196E0000}"/>
    <cellStyle name="Porcentaje 2 2 2 2 5 5" xfId="10602" xr:uid="{00000000-0005-0000-0000-00001A6E0000}"/>
    <cellStyle name="Porcentaje 2 2 2 2 5 5 2" xfId="30317" xr:uid="{00000000-0005-0000-0000-00001B6E0000}"/>
    <cellStyle name="Porcentaje 2 2 2 2 5 6" xfId="20460" xr:uid="{00000000-0005-0000-0000-00001C6E0000}"/>
    <cellStyle name="Porcentaje 2 2 2 2 6" xfId="1351" xr:uid="{00000000-0005-0000-0000-00001D6E0000}"/>
    <cellStyle name="Porcentaje 2 2 2 2 6 2" xfId="3818" xr:uid="{00000000-0005-0000-0000-00001E6E0000}"/>
    <cellStyle name="Porcentaje 2 2 2 2 6 2 2" xfId="8750" xr:uid="{00000000-0005-0000-0000-00001F6E0000}"/>
    <cellStyle name="Porcentaje 2 2 2 2 6 2 2 2" xfId="18610" xr:uid="{00000000-0005-0000-0000-0000206E0000}"/>
    <cellStyle name="Porcentaje 2 2 2 2 6 2 2 2 2" xfId="38325" xr:uid="{00000000-0005-0000-0000-0000216E0000}"/>
    <cellStyle name="Porcentaje 2 2 2 2 6 2 2 3" xfId="28468" xr:uid="{00000000-0005-0000-0000-0000226E0000}"/>
    <cellStyle name="Porcentaje 2 2 2 2 6 2 3" xfId="13682" xr:uid="{00000000-0005-0000-0000-0000236E0000}"/>
    <cellStyle name="Porcentaje 2 2 2 2 6 2 3 2" xfId="33397" xr:uid="{00000000-0005-0000-0000-0000246E0000}"/>
    <cellStyle name="Porcentaje 2 2 2 2 6 2 4" xfId="23540" xr:uid="{00000000-0005-0000-0000-0000256E0000}"/>
    <cellStyle name="Porcentaje 2 2 2 2 6 3" xfId="6286" xr:uid="{00000000-0005-0000-0000-0000266E0000}"/>
    <cellStyle name="Porcentaje 2 2 2 2 6 3 2" xfId="16146" xr:uid="{00000000-0005-0000-0000-0000276E0000}"/>
    <cellStyle name="Porcentaje 2 2 2 2 6 3 2 2" xfId="35861" xr:uid="{00000000-0005-0000-0000-0000286E0000}"/>
    <cellStyle name="Porcentaje 2 2 2 2 6 3 3" xfId="26004" xr:uid="{00000000-0005-0000-0000-0000296E0000}"/>
    <cellStyle name="Porcentaje 2 2 2 2 6 4" xfId="11218" xr:uid="{00000000-0005-0000-0000-00002A6E0000}"/>
    <cellStyle name="Porcentaje 2 2 2 2 6 4 2" xfId="30933" xr:uid="{00000000-0005-0000-0000-00002B6E0000}"/>
    <cellStyle name="Porcentaje 2 2 2 2 6 5" xfId="21076" xr:uid="{00000000-0005-0000-0000-00002C6E0000}"/>
    <cellStyle name="Porcentaje 2 2 2 2 7" xfId="2586" xr:uid="{00000000-0005-0000-0000-00002D6E0000}"/>
    <cellStyle name="Porcentaje 2 2 2 2 7 2" xfId="7518" xr:uid="{00000000-0005-0000-0000-00002E6E0000}"/>
    <cellStyle name="Porcentaje 2 2 2 2 7 2 2" xfId="17378" xr:uid="{00000000-0005-0000-0000-00002F6E0000}"/>
    <cellStyle name="Porcentaje 2 2 2 2 7 2 2 2" xfId="37093" xr:uid="{00000000-0005-0000-0000-0000306E0000}"/>
    <cellStyle name="Porcentaje 2 2 2 2 7 2 3" xfId="27236" xr:uid="{00000000-0005-0000-0000-0000316E0000}"/>
    <cellStyle name="Porcentaje 2 2 2 2 7 3" xfId="12450" xr:uid="{00000000-0005-0000-0000-0000326E0000}"/>
    <cellStyle name="Porcentaje 2 2 2 2 7 3 2" xfId="32165" xr:uid="{00000000-0005-0000-0000-0000336E0000}"/>
    <cellStyle name="Porcentaje 2 2 2 2 7 4" xfId="22308" xr:uid="{00000000-0005-0000-0000-0000346E0000}"/>
    <cellStyle name="Porcentaje 2 2 2 2 8" xfId="5054" xr:uid="{00000000-0005-0000-0000-0000356E0000}"/>
    <cellStyle name="Porcentaje 2 2 2 2 8 2" xfId="14914" xr:uid="{00000000-0005-0000-0000-0000366E0000}"/>
    <cellStyle name="Porcentaje 2 2 2 2 8 2 2" xfId="34629" xr:uid="{00000000-0005-0000-0000-0000376E0000}"/>
    <cellStyle name="Porcentaje 2 2 2 2 8 3" xfId="24772" xr:uid="{00000000-0005-0000-0000-0000386E0000}"/>
    <cellStyle name="Porcentaje 2 2 2 2 9" xfId="9986" xr:uid="{00000000-0005-0000-0000-0000396E0000}"/>
    <cellStyle name="Porcentaje 2 2 2 2 9 2" xfId="29701" xr:uid="{00000000-0005-0000-0000-00003A6E0000}"/>
    <cellStyle name="Porcentaje 2 2 2 3" xfId="137" xr:uid="{00000000-0005-0000-0000-00003B6E0000}"/>
    <cellStyle name="Porcentaje 2 2 2 3 2" xfId="294" xr:uid="{00000000-0005-0000-0000-00003C6E0000}"/>
    <cellStyle name="Porcentaje 2 2 2 3 2 2" xfId="608" xr:uid="{00000000-0005-0000-0000-00003D6E0000}"/>
    <cellStyle name="Porcentaje 2 2 2 3 2 2 2" xfId="1228" xr:uid="{00000000-0005-0000-0000-00003E6E0000}"/>
    <cellStyle name="Porcentaje 2 2 2 3 2 2 2 2" xfId="2463" xr:uid="{00000000-0005-0000-0000-00003F6E0000}"/>
    <cellStyle name="Porcentaje 2 2 2 3 2 2 2 2 2" xfId="4930" xr:uid="{00000000-0005-0000-0000-0000406E0000}"/>
    <cellStyle name="Porcentaje 2 2 2 3 2 2 2 2 2 2" xfId="9862" xr:uid="{00000000-0005-0000-0000-0000416E0000}"/>
    <cellStyle name="Porcentaje 2 2 2 3 2 2 2 2 2 2 2" xfId="19722" xr:uid="{00000000-0005-0000-0000-0000426E0000}"/>
    <cellStyle name="Porcentaje 2 2 2 3 2 2 2 2 2 2 2 2" xfId="39437" xr:uid="{00000000-0005-0000-0000-0000436E0000}"/>
    <cellStyle name="Porcentaje 2 2 2 3 2 2 2 2 2 2 3" xfId="29580" xr:uid="{00000000-0005-0000-0000-0000446E0000}"/>
    <cellStyle name="Porcentaje 2 2 2 3 2 2 2 2 2 3" xfId="14794" xr:uid="{00000000-0005-0000-0000-0000456E0000}"/>
    <cellStyle name="Porcentaje 2 2 2 3 2 2 2 2 2 3 2" xfId="34509" xr:uid="{00000000-0005-0000-0000-0000466E0000}"/>
    <cellStyle name="Porcentaje 2 2 2 3 2 2 2 2 2 4" xfId="24652" xr:uid="{00000000-0005-0000-0000-0000476E0000}"/>
    <cellStyle name="Porcentaje 2 2 2 3 2 2 2 2 3" xfId="7398" xr:uid="{00000000-0005-0000-0000-0000486E0000}"/>
    <cellStyle name="Porcentaje 2 2 2 3 2 2 2 2 3 2" xfId="17258" xr:uid="{00000000-0005-0000-0000-0000496E0000}"/>
    <cellStyle name="Porcentaje 2 2 2 3 2 2 2 2 3 2 2" xfId="36973" xr:uid="{00000000-0005-0000-0000-00004A6E0000}"/>
    <cellStyle name="Porcentaje 2 2 2 3 2 2 2 2 3 3" xfId="27116" xr:uid="{00000000-0005-0000-0000-00004B6E0000}"/>
    <cellStyle name="Porcentaje 2 2 2 3 2 2 2 2 4" xfId="12330" xr:uid="{00000000-0005-0000-0000-00004C6E0000}"/>
    <cellStyle name="Porcentaje 2 2 2 3 2 2 2 2 4 2" xfId="32045" xr:uid="{00000000-0005-0000-0000-00004D6E0000}"/>
    <cellStyle name="Porcentaje 2 2 2 3 2 2 2 2 5" xfId="22188" xr:uid="{00000000-0005-0000-0000-00004E6E0000}"/>
    <cellStyle name="Porcentaje 2 2 2 3 2 2 2 3" xfId="3698" xr:uid="{00000000-0005-0000-0000-00004F6E0000}"/>
    <cellStyle name="Porcentaje 2 2 2 3 2 2 2 3 2" xfId="8630" xr:uid="{00000000-0005-0000-0000-0000506E0000}"/>
    <cellStyle name="Porcentaje 2 2 2 3 2 2 2 3 2 2" xfId="18490" xr:uid="{00000000-0005-0000-0000-0000516E0000}"/>
    <cellStyle name="Porcentaje 2 2 2 3 2 2 2 3 2 2 2" xfId="38205" xr:uid="{00000000-0005-0000-0000-0000526E0000}"/>
    <cellStyle name="Porcentaje 2 2 2 3 2 2 2 3 2 3" xfId="28348" xr:uid="{00000000-0005-0000-0000-0000536E0000}"/>
    <cellStyle name="Porcentaje 2 2 2 3 2 2 2 3 3" xfId="13562" xr:uid="{00000000-0005-0000-0000-0000546E0000}"/>
    <cellStyle name="Porcentaje 2 2 2 3 2 2 2 3 3 2" xfId="33277" xr:uid="{00000000-0005-0000-0000-0000556E0000}"/>
    <cellStyle name="Porcentaje 2 2 2 3 2 2 2 3 4" xfId="23420" xr:uid="{00000000-0005-0000-0000-0000566E0000}"/>
    <cellStyle name="Porcentaje 2 2 2 3 2 2 2 4" xfId="6166" xr:uid="{00000000-0005-0000-0000-0000576E0000}"/>
    <cellStyle name="Porcentaje 2 2 2 3 2 2 2 4 2" xfId="16026" xr:uid="{00000000-0005-0000-0000-0000586E0000}"/>
    <cellStyle name="Porcentaje 2 2 2 3 2 2 2 4 2 2" xfId="35741" xr:uid="{00000000-0005-0000-0000-0000596E0000}"/>
    <cellStyle name="Porcentaje 2 2 2 3 2 2 2 4 3" xfId="25884" xr:uid="{00000000-0005-0000-0000-00005A6E0000}"/>
    <cellStyle name="Porcentaje 2 2 2 3 2 2 2 5" xfId="11098" xr:uid="{00000000-0005-0000-0000-00005B6E0000}"/>
    <cellStyle name="Porcentaje 2 2 2 3 2 2 2 5 2" xfId="30813" xr:uid="{00000000-0005-0000-0000-00005C6E0000}"/>
    <cellStyle name="Porcentaje 2 2 2 3 2 2 2 6" xfId="20956" xr:uid="{00000000-0005-0000-0000-00005D6E0000}"/>
    <cellStyle name="Porcentaje 2 2 2 3 2 2 3" xfId="1847" xr:uid="{00000000-0005-0000-0000-00005E6E0000}"/>
    <cellStyle name="Porcentaje 2 2 2 3 2 2 3 2" xfId="4314" xr:uid="{00000000-0005-0000-0000-00005F6E0000}"/>
    <cellStyle name="Porcentaje 2 2 2 3 2 2 3 2 2" xfId="9246" xr:uid="{00000000-0005-0000-0000-0000606E0000}"/>
    <cellStyle name="Porcentaje 2 2 2 3 2 2 3 2 2 2" xfId="19106" xr:uid="{00000000-0005-0000-0000-0000616E0000}"/>
    <cellStyle name="Porcentaje 2 2 2 3 2 2 3 2 2 2 2" xfId="38821" xr:uid="{00000000-0005-0000-0000-0000626E0000}"/>
    <cellStyle name="Porcentaje 2 2 2 3 2 2 3 2 2 3" xfId="28964" xr:uid="{00000000-0005-0000-0000-0000636E0000}"/>
    <cellStyle name="Porcentaje 2 2 2 3 2 2 3 2 3" xfId="14178" xr:uid="{00000000-0005-0000-0000-0000646E0000}"/>
    <cellStyle name="Porcentaje 2 2 2 3 2 2 3 2 3 2" xfId="33893" xr:uid="{00000000-0005-0000-0000-0000656E0000}"/>
    <cellStyle name="Porcentaje 2 2 2 3 2 2 3 2 4" xfId="24036" xr:uid="{00000000-0005-0000-0000-0000666E0000}"/>
    <cellStyle name="Porcentaje 2 2 2 3 2 2 3 3" xfId="6782" xr:uid="{00000000-0005-0000-0000-0000676E0000}"/>
    <cellStyle name="Porcentaje 2 2 2 3 2 2 3 3 2" xfId="16642" xr:uid="{00000000-0005-0000-0000-0000686E0000}"/>
    <cellStyle name="Porcentaje 2 2 2 3 2 2 3 3 2 2" xfId="36357" xr:uid="{00000000-0005-0000-0000-0000696E0000}"/>
    <cellStyle name="Porcentaje 2 2 2 3 2 2 3 3 3" xfId="26500" xr:uid="{00000000-0005-0000-0000-00006A6E0000}"/>
    <cellStyle name="Porcentaje 2 2 2 3 2 2 3 4" xfId="11714" xr:uid="{00000000-0005-0000-0000-00006B6E0000}"/>
    <cellStyle name="Porcentaje 2 2 2 3 2 2 3 4 2" xfId="31429" xr:uid="{00000000-0005-0000-0000-00006C6E0000}"/>
    <cellStyle name="Porcentaje 2 2 2 3 2 2 3 5" xfId="21572" xr:uid="{00000000-0005-0000-0000-00006D6E0000}"/>
    <cellStyle name="Porcentaje 2 2 2 3 2 2 4" xfId="3082" xr:uid="{00000000-0005-0000-0000-00006E6E0000}"/>
    <cellStyle name="Porcentaje 2 2 2 3 2 2 4 2" xfId="8014" xr:uid="{00000000-0005-0000-0000-00006F6E0000}"/>
    <cellStyle name="Porcentaje 2 2 2 3 2 2 4 2 2" xfId="17874" xr:uid="{00000000-0005-0000-0000-0000706E0000}"/>
    <cellStyle name="Porcentaje 2 2 2 3 2 2 4 2 2 2" xfId="37589" xr:uid="{00000000-0005-0000-0000-0000716E0000}"/>
    <cellStyle name="Porcentaje 2 2 2 3 2 2 4 2 3" xfId="27732" xr:uid="{00000000-0005-0000-0000-0000726E0000}"/>
    <cellStyle name="Porcentaje 2 2 2 3 2 2 4 3" xfId="12946" xr:uid="{00000000-0005-0000-0000-0000736E0000}"/>
    <cellStyle name="Porcentaje 2 2 2 3 2 2 4 3 2" xfId="32661" xr:uid="{00000000-0005-0000-0000-0000746E0000}"/>
    <cellStyle name="Porcentaje 2 2 2 3 2 2 4 4" xfId="22804" xr:uid="{00000000-0005-0000-0000-0000756E0000}"/>
    <cellStyle name="Porcentaje 2 2 2 3 2 2 5" xfId="5550" xr:uid="{00000000-0005-0000-0000-0000766E0000}"/>
    <cellStyle name="Porcentaje 2 2 2 3 2 2 5 2" xfId="15410" xr:uid="{00000000-0005-0000-0000-0000776E0000}"/>
    <cellStyle name="Porcentaje 2 2 2 3 2 2 5 2 2" xfId="35125" xr:uid="{00000000-0005-0000-0000-0000786E0000}"/>
    <cellStyle name="Porcentaje 2 2 2 3 2 2 5 3" xfId="25268" xr:uid="{00000000-0005-0000-0000-0000796E0000}"/>
    <cellStyle name="Porcentaje 2 2 2 3 2 2 6" xfId="10482" xr:uid="{00000000-0005-0000-0000-00007A6E0000}"/>
    <cellStyle name="Porcentaje 2 2 2 3 2 2 6 2" xfId="30197" xr:uid="{00000000-0005-0000-0000-00007B6E0000}"/>
    <cellStyle name="Porcentaje 2 2 2 3 2 2 7" xfId="20340" xr:uid="{00000000-0005-0000-0000-00007C6E0000}"/>
    <cellStyle name="Porcentaje 2 2 2 3 2 3" xfId="921" xr:uid="{00000000-0005-0000-0000-00007D6E0000}"/>
    <cellStyle name="Porcentaje 2 2 2 3 2 3 2" xfId="2157" xr:uid="{00000000-0005-0000-0000-00007E6E0000}"/>
    <cellStyle name="Porcentaje 2 2 2 3 2 3 2 2" xfId="4624" xr:uid="{00000000-0005-0000-0000-00007F6E0000}"/>
    <cellStyle name="Porcentaje 2 2 2 3 2 3 2 2 2" xfId="9556" xr:uid="{00000000-0005-0000-0000-0000806E0000}"/>
    <cellStyle name="Porcentaje 2 2 2 3 2 3 2 2 2 2" xfId="19416" xr:uid="{00000000-0005-0000-0000-0000816E0000}"/>
    <cellStyle name="Porcentaje 2 2 2 3 2 3 2 2 2 2 2" xfId="39131" xr:uid="{00000000-0005-0000-0000-0000826E0000}"/>
    <cellStyle name="Porcentaje 2 2 2 3 2 3 2 2 2 3" xfId="29274" xr:uid="{00000000-0005-0000-0000-0000836E0000}"/>
    <cellStyle name="Porcentaje 2 2 2 3 2 3 2 2 3" xfId="14488" xr:uid="{00000000-0005-0000-0000-0000846E0000}"/>
    <cellStyle name="Porcentaje 2 2 2 3 2 3 2 2 3 2" xfId="34203" xr:uid="{00000000-0005-0000-0000-0000856E0000}"/>
    <cellStyle name="Porcentaje 2 2 2 3 2 3 2 2 4" xfId="24346" xr:uid="{00000000-0005-0000-0000-0000866E0000}"/>
    <cellStyle name="Porcentaje 2 2 2 3 2 3 2 3" xfId="7092" xr:uid="{00000000-0005-0000-0000-0000876E0000}"/>
    <cellStyle name="Porcentaje 2 2 2 3 2 3 2 3 2" xfId="16952" xr:uid="{00000000-0005-0000-0000-0000886E0000}"/>
    <cellStyle name="Porcentaje 2 2 2 3 2 3 2 3 2 2" xfId="36667" xr:uid="{00000000-0005-0000-0000-0000896E0000}"/>
    <cellStyle name="Porcentaje 2 2 2 3 2 3 2 3 3" xfId="26810" xr:uid="{00000000-0005-0000-0000-00008A6E0000}"/>
    <cellStyle name="Porcentaje 2 2 2 3 2 3 2 4" xfId="12024" xr:uid="{00000000-0005-0000-0000-00008B6E0000}"/>
    <cellStyle name="Porcentaje 2 2 2 3 2 3 2 4 2" xfId="31739" xr:uid="{00000000-0005-0000-0000-00008C6E0000}"/>
    <cellStyle name="Porcentaje 2 2 2 3 2 3 2 5" xfId="21882" xr:uid="{00000000-0005-0000-0000-00008D6E0000}"/>
    <cellStyle name="Porcentaje 2 2 2 3 2 3 3" xfId="3392" xr:uid="{00000000-0005-0000-0000-00008E6E0000}"/>
    <cellStyle name="Porcentaje 2 2 2 3 2 3 3 2" xfId="8324" xr:uid="{00000000-0005-0000-0000-00008F6E0000}"/>
    <cellStyle name="Porcentaje 2 2 2 3 2 3 3 2 2" xfId="18184" xr:uid="{00000000-0005-0000-0000-0000906E0000}"/>
    <cellStyle name="Porcentaje 2 2 2 3 2 3 3 2 2 2" xfId="37899" xr:uid="{00000000-0005-0000-0000-0000916E0000}"/>
    <cellStyle name="Porcentaje 2 2 2 3 2 3 3 2 3" xfId="28042" xr:uid="{00000000-0005-0000-0000-0000926E0000}"/>
    <cellStyle name="Porcentaje 2 2 2 3 2 3 3 3" xfId="13256" xr:uid="{00000000-0005-0000-0000-0000936E0000}"/>
    <cellStyle name="Porcentaje 2 2 2 3 2 3 3 3 2" xfId="32971" xr:uid="{00000000-0005-0000-0000-0000946E0000}"/>
    <cellStyle name="Porcentaje 2 2 2 3 2 3 3 4" xfId="23114" xr:uid="{00000000-0005-0000-0000-0000956E0000}"/>
    <cellStyle name="Porcentaje 2 2 2 3 2 3 4" xfId="5860" xr:uid="{00000000-0005-0000-0000-0000966E0000}"/>
    <cellStyle name="Porcentaje 2 2 2 3 2 3 4 2" xfId="15720" xr:uid="{00000000-0005-0000-0000-0000976E0000}"/>
    <cellStyle name="Porcentaje 2 2 2 3 2 3 4 2 2" xfId="35435" xr:uid="{00000000-0005-0000-0000-0000986E0000}"/>
    <cellStyle name="Porcentaje 2 2 2 3 2 3 4 3" xfId="25578" xr:uid="{00000000-0005-0000-0000-0000996E0000}"/>
    <cellStyle name="Porcentaje 2 2 2 3 2 3 5" xfId="10792" xr:uid="{00000000-0005-0000-0000-00009A6E0000}"/>
    <cellStyle name="Porcentaje 2 2 2 3 2 3 5 2" xfId="30507" xr:uid="{00000000-0005-0000-0000-00009B6E0000}"/>
    <cellStyle name="Porcentaje 2 2 2 3 2 3 6" xfId="20650" xr:uid="{00000000-0005-0000-0000-00009C6E0000}"/>
    <cellStyle name="Porcentaje 2 2 2 3 2 4" xfId="1541" xr:uid="{00000000-0005-0000-0000-00009D6E0000}"/>
    <cellStyle name="Porcentaje 2 2 2 3 2 4 2" xfId="4008" xr:uid="{00000000-0005-0000-0000-00009E6E0000}"/>
    <cellStyle name="Porcentaje 2 2 2 3 2 4 2 2" xfId="8940" xr:uid="{00000000-0005-0000-0000-00009F6E0000}"/>
    <cellStyle name="Porcentaje 2 2 2 3 2 4 2 2 2" xfId="18800" xr:uid="{00000000-0005-0000-0000-0000A06E0000}"/>
    <cellStyle name="Porcentaje 2 2 2 3 2 4 2 2 2 2" xfId="38515" xr:uid="{00000000-0005-0000-0000-0000A16E0000}"/>
    <cellStyle name="Porcentaje 2 2 2 3 2 4 2 2 3" xfId="28658" xr:uid="{00000000-0005-0000-0000-0000A26E0000}"/>
    <cellStyle name="Porcentaje 2 2 2 3 2 4 2 3" xfId="13872" xr:uid="{00000000-0005-0000-0000-0000A36E0000}"/>
    <cellStyle name="Porcentaje 2 2 2 3 2 4 2 3 2" xfId="33587" xr:uid="{00000000-0005-0000-0000-0000A46E0000}"/>
    <cellStyle name="Porcentaje 2 2 2 3 2 4 2 4" xfId="23730" xr:uid="{00000000-0005-0000-0000-0000A56E0000}"/>
    <cellStyle name="Porcentaje 2 2 2 3 2 4 3" xfId="6476" xr:uid="{00000000-0005-0000-0000-0000A66E0000}"/>
    <cellStyle name="Porcentaje 2 2 2 3 2 4 3 2" xfId="16336" xr:uid="{00000000-0005-0000-0000-0000A76E0000}"/>
    <cellStyle name="Porcentaje 2 2 2 3 2 4 3 2 2" xfId="36051" xr:uid="{00000000-0005-0000-0000-0000A86E0000}"/>
    <cellStyle name="Porcentaje 2 2 2 3 2 4 3 3" xfId="26194" xr:uid="{00000000-0005-0000-0000-0000A96E0000}"/>
    <cellStyle name="Porcentaje 2 2 2 3 2 4 4" xfId="11408" xr:uid="{00000000-0005-0000-0000-0000AA6E0000}"/>
    <cellStyle name="Porcentaje 2 2 2 3 2 4 4 2" xfId="31123" xr:uid="{00000000-0005-0000-0000-0000AB6E0000}"/>
    <cellStyle name="Porcentaje 2 2 2 3 2 4 5" xfId="21266" xr:uid="{00000000-0005-0000-0000-0000AC6E0000}"/>
    <cellStyle name="Porcentaje 2 2 2 3 2 5" xfId="2776" xr:uid="{00000000-0005-0000-0000-0000AD6E0000}"/>
    <cellStyle name="Porcentaje 2 2 2 3 2 5 2" xfId="7708" xr:uid="{00000000-0005-0000-0000-0000AE6E0000}"/>
    <cellStyle name="Porcentaje 2 2 2 3 2 5 2 2" xfId="17568" xr:uid="{00000000-0005-0000-0000-0000AF6E0000}"/>
    <cellStyle name="Porcentaje 2 2 2 3 2 5 2 2 2" xfId="37283" xr:uid="{00000000-0005-0000-0000-0000B06E0000}"/>
    <cellStyle name="Porcentaje 2 2 2 3 2 5 2 3" xfId="27426" xr:uid="{00000000-0005-0000-0000-0000B16E0000}"/>
    <cellStyle name="Porcentaje 2 2 2 3 2 5 3" xfId="12640" xr:uid="{00000000-0005-0000-0000-0000B26E0000}"/>
    <cellStyle name="Porcentaje 2 2 2 3 2 5 3 2" xfId="32355" xr:uid="{00000000-0005-0000-0000-0000B36E0000}"/>
    <cellStyle name="Porcentaje 2 2 2 3 2 5 4" xfId="22498" xr:uid="{00000000-0005-0000-0000-0000B46E0000}"/>
    <cellStyle name="Porcentaje 2 2 2 3 2 6" xfId="5244" xr:uid="{00000000-0005-0000-0000-0000B56E0000}"/>
    <cellStyle name="Porcentaje 2 2 2 3 2 6 2" xfId="15104" xr:uid="{00000000-0005-0000-0000-0000B66E0000}"/>
    <cellStyle name="Porcentaje 2 2 2 3 2 6 2 2" xfId="34819" xr:uid="{00000000-0005-0000-0000-0000B76E0000}"/>
    <cellStyle name="Porcentaje 2 2 2 3 2 6 3" xfId="24962" xr:uid="{00000000-0005-0000-0000-0000B86E0000}"/>
    <cellStyle name="Porcentaje 2 2 2 3 2 7" xfId="10176" xr:uid="{00000000-0005-0000-0000-0000B96E0000}"/>
    <cellStyle name="Porcentaje 2 2 2 3 2 7 2" xfId="29891" xr:uid="{00000000-0005-0000-0000-0000BA6E0000}"/>
    <cellStyle name="Porcentaje 2 2 2 3 2 8" xfId="20034" xr:uid="{00000000-0005-0000-0000-0000BB6E0000}"/>
    <cellStyle name="Porcentaje 2 2 2 3 3" xfId="456" xr:uid="{00000000-0005-0000-0000-0000BC6E0000}"/>
    <cellStyle name="Porcentaje 2 2 2 3 3 2" xfId="1076" xr:uid="{00000000-0005-0000-0000-0000BD6E0000}"/>
    <cellStyle name="Porcentaje 2 2 2 3 3 2 2" xfId="2311" xr:uid="{00000000-0005-0000-0000-0000BE6E0000}"/>
    <cellStyle name="Porcentaje 2 2 2 3 3 2 2 2" xfId="4778" xr:uid="{00000000-0005-0000-0000-0000BF6E0000}"/>
    <cellStyle name="Porcentaje 2 2 2 3 3 2 2 2 2" xfId="9710" xr:uid="{00000000-0005-0000-0000-0000C06E0000}"/>
    <cellStyle name="Porcentaje 2 2 2 3 3 2 2 2 2 2" xfId="19570" xr:uid="{00000000-0005-0000-0000-0000C16E0000}"/>
    <cellStyle name="Porcentaje 2 2 2 3 3 2 2 2 2 2 2" xfId="39285" xr:uid="{00000000-0005-0000-0000-0000C26E0000}"/>
    <cellStyle name="Porcentaje 2 2 2 3 3 2 2 2 2 3" xfId="29428" xr:uid="{00000000-0005-0000-0000-0000C36E0000}"/>
    <cellStyle name="Porcentaje 2 2 2 3 3 2 2 2 3" xfId="14642" xr:uid="{00000000-0005-0000-0000-0000C46E0000}"/>
    <cellStyle name="Porcentaje 2 2 2 3 3 2 2 2 3 2" xfId="34357" xr:uid="{00000000-0005-0000-0000-0000C56E0000}"/>
    <cellStyle name="Porcentaje 2 2 2 3 3 2 2 2 4" xfId="24500" xr:uid="{00000000-0005-0000-0000-0000C66E0000}"/>
    <cellStyle name="Porcentaje 2 2 2 3 3 2 2 3" xfId="7246" xr:uid="{00000000-0005-0000-0000-0000C76E0000}"/>
    <cellStyle name="Porcentaje 2 2 2 3 3 2 2 3 2" xfId="17106" xr:uid="{00000000-0005-0000-0000-0000C86E0000}"/>
    <cellStyle name="Porcentaje 2 2 2 3 3 2 2 3 2 2" xfId="36821" xr:uid="{00000000-0005-0000-0000-0000C96E0000}"/>
    <cellStyle name="Porcentaje 2 2 2 3 3 2 2 3 3" xfId="26964" xr:uid="{00000000-0005-0000-0000-0000CA6E0000}"/>
    <cellStyle name="Porcentaje 2 2 2 3 3 2 2 4" xfId="12178" xr:uid="{00000000-0005-0000-0000-0000CB6E0000}"/>
    <cellStyle name="Porcentaje 2 2 2 3 3 2 2 4 2" xfId="31893" xr:uid="{00000000-0005-0000-0000-0000CC6E0000}"/>
    <cellStyle name="Porcentaje 2 2 2 3 3 2 2 5" xfId="22036" xr:uid="{00000000-0005-0000-0000-0000CD6E0000}"/>
    <cellStyle name="Porcentaje 2 2 2 3 3 2 3" xfId="3546" xr:uid="{00000000-0005-0000-0000-0000CE6E0000}"/>
    <cellStyle name="Porcentaje 2 2 2 3 3 2 3 2" xfId="8478" xr:uid="{00000000-0005-0000-0000-0000CF6E0000}"/>
    <cellStyle name="Porcentaje 2 2 2 3 3 2 3 2 2" xfId="18338" xr:uid="{00000000-0005-0000-0000-0000D06E0000}"/>
    <cellStyle name="Porcentaje 2 2 2 3 3 2 3 2 2 2" xfId="38053" xr:uid="{00000000-0005-0000-0000-0000D16E0000}"/>
    <cellStyle name="Porcentaje 2 2 2 3 3 2 3 2 3" xfId="28196" xr:uid="{00000000-0005-0000-0000-0000D26E0000}"/>
    <cellStyle name="Porcentaje 2 2 2 3 3 2 3 3" xfId="13410" xr:uid="{00000000-0005-0000-0000-0000D36E0000}"/>
    <cellStyle name="Porcentaje 2 2 2 3 3 2 3 3 2" xfId="33125" xr:uid="{00000000-0005-0000-0000-0000D46E0000}"/>
    <cellStyle name="Porcentaje 2 2 2 3 3 2 3 4" xfId="23268" xr:uid="{00000000-0005-0000-0000-0000D56E0000}"/>
    <cellStyle name="Porcentaje 2 2 2 3 3 2 4" xfId="6014" xr:uid="{00000000-0005-0000-0000-0000D66E0000}"/>
    <cellStyle name="Porcentaje 2 2 2 3 3 2 4 2" xfId="15874" xr:uid="{00000000-0005-0000-0000-0000D76E0000}"/>
    <cellStyle name="Porcentaje 2 2 2 3 3 2 4 2 2" xfId="35589" xr:uid="{00000000-0005-0000-0000-0000D86E0000}"/>
    <cellStyle name="Porcentaje 2 2 2 3 3 2 4 3" xfId="25732" xr:uid="{00000000-0005-0000-0000-0000D96E0000}"/>
    <cellStyle name="Porcentaje 2 2 2 3 3 2 5" xfId="10946" xr:uid="{00000000-0005-0000-0000-0000DA6E0000}"/>
    <cellStyle name="Porcentaje 2 2 2 3 3 2 5 2" xfId="30661" xr:uid="{00000000-0005-0000-0000-0000DB6E0000}"/>
    <cellStyle name="Porcentaje 2 2 2 3 3 2 6" xfId="20804" xr:uid="{00000000-0005-0000-0000-0000DC6E0000}"/>
    <cellStyle name="Porcentaje 2 2 2 3 3 3" xfId="1695" xr:uid="{00000000-0005-0000-0000-0000DD6E0000}"/>
    <cellStyle name="Porcentaje 2 2 2 3 3 3 2" xfId="4162" xr:uid="{00000000-0005-0000-0000-0000DE6E0000}"/>
    <cellStyle name="Porcentaje 2 2 2 3 3 3 2 2" xfId="9094" xr:uid="{00000000-0005-0000-0000-0000DF6E0000}"/>
    <cellStyle name="Porcentaje 2 2 2 3 3 3 2 2 2" xfId="18954" xr:uid="{00000000-0005-0000-0000-0000E06E0000}"/>
    <cellStyle name="Porcentaje 2 2 2 3 3 3 2 2 2 2" xfId="38669" xr:uid="{00000000-0005-0000-0000-0000E16E0000}"/>
    <cellStyle name="Porcentaje 2 2 2 3 3 3 2 2 3" xfId="28812" xr:uid="{00000000-0005-0000-0000-0000E26E0000}"/>
    <cellStyle name="Porcentaje 2 2 2 3 3 3 2 3" xfId="14026" xr:uid="{00000000-0005-0000-0000-0000E36E0000}"/>
    <cellStyle name="Porcentaje 2 2 2 3 3 3 2 3 2" xfId="33741" xr:uid="{00000000-0005-0000-0000-0000E46E0000}"/>
    <cellStyle name="Porcentaje 2 2 2 3 3 3 2 4" xfId="23884" xr:uid="{00000000-0005-0000-0000-0000E56E0000}"/>
    <cellStyle name="Porcentaje 2 2 2 3 3 3 3" xfId="6630" xr:uid="{00000000-0005-0000-0000-0000E66E0000}"/>
    <cellStyle name="Porcentaje 2 2 2 3 3 3 3 2" xfId="16490" xr:uid="{00000000-0005-0000-0000-0000E76E0000}"/>
    <cellStyle name="Porcentaje 2 2 2 3 3 3 3 2 2" xfId="36205" xr:uid="{00000000-0005-0000-0000-0000E86E0000}"/>
    <cellStyle name="Porcentaje 2 2 2 3 3 3 3 3" xfId="26348" xr:uid="{00000000-0005-0000-0000-0000E96E0000}"/>
    <cellStyle name="Porcentaje 2 2 2 3 3 3 4" xfId="11562" xr:uid="{00000000-0005-0000-0000-0000EA6E0000}"/>
    <cellStyle name="Porcentaje 2 2 2 3 3 3 4 2" xfId="31277" xr:uid="{00000000-0005-0000-0000-0000EB6E0000}"/>
    <cellStyle name="Porcentaje 2 2 2 3 3 3 5" xfId="21420" xr:uid="{00000000-0005-0000-0000-0000EC6E0000}"/>
    <cellStyle name="Porcentaje 2 2 2 3 3 4" xfId="2930" xr:uid="{00000000-0005-0000-0000-0000ED6E0000}"/>
    <cellStyle name="Porcentaje 2 2 2 3 3 4 2" xfId="7862" xr:uid="{00000000-0005-0000-0000-0000EE6E0000}"/>
    <cellStyle name="Porcentaje 2 2 2 3 3 4 2 2" xfId="17722" xr:uid="{00000000-0005-0000-0000-0000EF6E0000}"/>
    <cellStyle name="Porcentaje 2 2 2 3 3 4 2 2 2" xfId="37437" xr:uid="{00000000-0005-0000-0000-0000F06E0000}"/>
    <cellStyle name="Porcentaje 2 2 2 3 3 4 2 3" xfId="27580" xr:uid="{00000000-0005-0000-0000-0000F16E0000}"/>
    <cellStyle name="Porcentaje 2 2 2 3 3 4 3" xfId="12794" xr:uid="{00000000-0005-0000-0000-0000F26E0000}"/>
    <cellStyle name="Porcentaje 2 2 2 3 3 4 3 2" xfId="32509" xr:uid="{00000000-0005-0000-0000-0000F36E0000}"/>
    <cellStyle name="Porcentaje 2 2 2 3 3 4 4" xfId="22652" xr:uid="{00000000-0005-0000-0000-0000F46E0000}"/>
    <cellStyle name="Porcentaje 2 2 2 3 3 5" xfId="5398" xr:uid="{00000000-0005-0000-0000-0000F56E0000}"/>
    <cellStyle name="Porcentaje 2 2 2 3 3 5 2" xfId="15258" xr:uid="{00000000-0005-0000-0000-0000F66E0000}"/>
    <cellStyle name="Porcentaje 2 2 2 3 3 5 2 2" xfId="34973" xr:uid="{00000000-0005-0000-0000-0000F76E0000}"/>
    <cellStyle name="Porcentaje 2 2 2 3 3 5 3" xfId="25116" xr:uid="{00000000-0005-0000-0000-0000F86E0000}"/>
    <cellStyle name="Porcentaje 2 2 2 3 3 6" xfId="10330" xr:uid="{00000000-0005-0000-0000-0000F96E0000}"/>
    <cellStyle name="Porcentaje 2 2 2 3 3 6 2" xfId="30045" xr:uid="{00000000-0005-0000-0000-0000FA6E0000}"/>
    <cellStyle name="Porcentaje 2 2 2 3 3 7" xfId="20188" xr:uid="{00000000-0005-0000-0000-0000FB6E0000}"/>
    <cellStyle name="Porcentaje 2 2 2 3 4" xfId="769" xr:uid="{00000000-0005-0000-0000-0000FC6E0000}"/>
    <cellStyle name="Porcentaje 2 2 2 3 4 2" xfId="2005" xr:uid="{00000000-0005-0000-0000-0000FD6E0000}"/>
    <cellStyle name="Porcentaje 2 2 2 3 4 2 2" xfId="4472" xr:uid="{00000000-0005-0000-0000-0000FE6E0000}"/>
    <cellStyle name="Porcentaje 2 2 2 3 4 2 2 2" xfId="9404" xr:uid="{00000000-0005-0000-0000-0000FF6E0000}"/>
    <cellStyle name="Porcentaje 2 2 2 3 4 2 2 2 2" xfId="19264" xr:uid="{00000000-0005-0000-0000-0000006F0000}"/>
    <cellStyle name="Porcentaje 2 2 2 3 4 2 2 2 2 2" xfId="38979" xr:uid="{00000000-0005-0000-0000-0000016F0000}"/>
    <cellStyle name="Porcentaje 2 2 2 3 4 2 2 2 3" xfId="29122" xr:uid="{00000000-0005-0000-0000-0000026F0000}"/>
    <cellStyle name="Porcentaje 2 2 2 3 4 2 2 3" xfId="14336" xr:uid="{00000000-0005-0000-0000-0000036F0000}"/>
    <cellStyle name="Porcentaje 2 2 2 3 4 2 2 3 2" xfId="34051" xr:uid="{00000000-0005-0000-0000-0000046F0000}"/>
    <cellStyle name="Porcentaje 2 2 2 3 4 2 2 4" xfId="24194" xr:uid="{00000000-0005-0000-0000-0000056F0000}"/>
    <cellStyle name="Porcentaje 2 2 2 3 4 2 3" xfId="6940" xr:uid="{00000000-0005-0000-0000-0000066F0000}"/>
    <cellStyle name="Porcentaje 2 2 2 3 4 2 3 2" xfId="16800" xr:uid="{00000000-0005-0000-0000-0000076F0000}"/>
    <cellStyle name="Porcentaje 2 2 2 3 4 2 3 2 2" xfId="36515" xr:uid="{00000000-0005-0000-0000-0000086F0000}"/>
    <cellStyle name="Porcentaje 2 2 2 3 4 2 3 3" xfId="26658" xr:uid="{00000000-0005-0000-0000-0000096F0000}"/>
    <cellStyle name="Porcentaje 2 2 2 3 4 2 4" xfId="11872" xr:uid="{00000000-0005-0000-0000-00000A6F0000}"/>
    <cellStyle name="Porcentaje 2 2 2 3 4 2 4 2" xfId="31587" xr:uid="{00000000-0005-0000-0000-00000B6F0000}"/>
    <cellStyle name="Porcentaje 2 2 2 3 4 2 5" xfId="21730" xr:uid="{00000000-0005-0000-0000-00000C6F0000}"/>
    <cellStyle name="Porcentaje 2 2 2 3 4 3" xfId="3240" xr:uid="{00000000-0005-0000-0000-00000D6F0000}"/>
    <cellStyle name="Porcentaje 2 2 2 3 4 3 2" xfId="8172" xr:uid="{00000000-0005-0000-0000-00000E6F0000}"/>
    <cellStyle name="Porcentaje 2 2 2 3 4 3 2 2" xfId="18032" xr:uid="{00000000-0005-0000-0000-00000F6F0000}"/>
    <cellStyle name="Porcentaje 2 2 2 3 4 3 2 2 2" xfId="37747" xr:uid="{00000000-0005-0000-0000-0000106F0000}"/>
    <cellStyle name="Porcentaje 2 2 2 3 4 3 2 3" xfId="27890" xr:uid="{00000000-0005-0000-0000-0000116F0000}"/>
    <cellStyle name="Porcentaje 2 2 2 3 4 3 3" xfId="13104" xr:uid="{00000000-0005-0000-0000-0000126F0000}"/>
    <cellStyle name="Porcentaje 2 2 2 3 4 3 3 2" xfId="32819" xr:uid="{00000000-0005-0000-0000-0000136F0000}"/>
    <cellStyle name="Porcentaje 2 2 2 3 4 3 4" xfId="22962" xr:uid="{00000000-0005-0000-0000-0000146F0000}"/>
    <cellStyle name="Porcentaje 2 2 2 3 4 4" xfId="5708" xr:uid="{00000000-0005-0000-0000-0000156F0000}"/>
    <cellStyle name="Porcentaje 2 2 2 3 4 4 2" xfId="15568" xr:uid="{00000000-0005-0000-0000-0000166F0000}"/>
    <cellStyle name="Porcentaje 2 2 2 3 4 4 2 2" xfId="35283" xr:uid="{00000000-0005-0000-0000-0000176F0000}"/>
    <cellStyle name="Porcentaje 2 2 2 3 4 4 3" xfId="25426" xr:uid="{00000000-0005-0000-0000-0000186F0000}"/>
    <cellStyle name="Porcentaje 2 2 2 3 4 5" xfId="10640" xr:uid="{00000000-0005-0000-0000-0000196F0000}"/>
    <cellStyle name="Porcentaje 2 2 2 3 4 5 2" xfId="30355" xr:uid="{00000000-0005-0000-0000-00001A6F0000}"/>
    <cellStyle name="Porcentaje 2 2 2 3 4 6" xfId="20498" xr:uid="{00000000-0005-0000-0000-00001B6F0000}"/>
    <cellStyle name="Porcentaje 2 2 2 3 5" xfId="1389" xr:uid="{00000000-0005-0000-0000-00001C6F0000}"/>
    <cellStyle name="Porcentaje 2 2 2 3 5 2" xfId="3856" xr:uid="{00000000-0005-0000-0000-00001D6F0000}"/>
    <cellStyle name="Porcentaje 2 2 2 3 5 2 2" xfId="8788" xr:uid="{00000000-0005-0000-0000-00001E6F0000}"/>
    <cellStyle name="Porcentaje 2 2 2 3 5 2 2 2" xfId="18648" xr:uid="{00000000-0005-0000-0000-00001F6F0000}"/>
    <cellStyle name="Porcentaje 2 2 2 3 5 2 2 2 2" xfId="38363" xr:uid="{00000000-0005-0000-0000-0000206F0000}"/>
    <cellStyle name="Porcentaje 2 2 2 3 5 2 2 3" xfId="28506" xr:uid="{00000000-0005-0000-0000-0000216F0000}"/>
    <cellStyle name="Porcentaje 2 2 2 3 5 2 3" xfId="13720" xr:uid="{00000000-0005-0000-0000-0000226F0000}"/>
    <cellStyle name="Porcentaje 2 2 2 3 5 2 3 2" xfId="33435" xr:uid="{00000000-0005-0000-0000-0000236F0000}"/>
    <cellStyle name="Porcentaje 2 2 2 3 5 2 4" xfId="23578" xr:uid="{00000000-0005-0000-0000-0000246F0000}"/>
    <cellStyle name="Porcentaje 2 2 2 3 5 3" xfId="6324" xr:uid="{00000000-0005-0000-0000-0000256F0000}"/>
    <cellStyle name="Porcentaje 2 2 2 3 5 3 2" xfId="16184" xr:uid="{00000000-0005-0000-0000-0000266F0000}"/>
    <cellStyle name="Porcentaje 2 2 2 3 5 3 2 2" xfId="35899" xr:uid="{00000000-0005-0000-0000-0000276F0000}"/>
    <cellStyle name="Porcentaje 2 2 2 3 5 3 3" xfId="26042" xr:uid="{00000000-0005-0000-0000-0000286F0000}"/>
    <cellStyle name="Porcentaje 2 2 2 3 5 4" xfId="11256" xr:uid="{00000000-0005-0000-0000-0000296F0000}"/>
    <cellStyle name="Porcentaje 2 2 2 3 5 4 2" xfId="30971" xr:uid="{00000000-0005-0000-0000-00002A6F0000}"/>
    <cellStyle name="Porcentaje 2 2 2 3 5 5" xfId="21114" xr:uid="{00000000-0005-0000-0000-00002B6F0000}"/>
    <cellStyle name="Porcentaje 2 2 2 3 6" xfId="2624" xr:uid="{00000000-0005-0000-0000-00002C6F0000}"/>
    <cellStyle name="Porcentaje 2 2 2 3 6 2" xfId="7556" xr:uid="{00000000-0005-0000-0000-00002D6F0000}"/>
    <cellStyle name="Porcentaje 2 2 2 3 6 2 2" xfId="17416" xr:uid="{00000000-0005-0000-0000-00002E6F0000}"/>
    <cellStyle name="Porcentaje 2 2 2 3 6 2 2 2" xfId="37131" xr:uid="{00000000-0005-0000-0000-00002F6F0000}"/>
    <cellStyle name="Porcentaje 2 2 2 3 6 2 3" xfId="27274" xr:uid="{00000000-0005-0000-0000-0000306F0000}"/>
    <cellStyle name="Porcentaje 2 2 2 3 6 3" xfId="12488" xr:uid="{00000000-0005-0000-0000-0000316F0000}"/>
    <cellStyle name="Porcentaje 2 2 2 3 6 3 2" xfId="32203" xr:uid="{00000000-0005-0000-0000-0000326F0000}"/>
    <cellStyle name="Porcentaje 2 2 2 3 6 4" xfId="22346" xr:uid="{00000000-0005-0000-0000-0000336F0000}"/>
    <cellStyle name="Porcentaje 2 2 2 3 7" xfId="5092" xr:uid="{00000000-0005-0000-0000-0000346F0000}"/>
    <cellStyle name="Porcentaje 2 2 2 3 7 2" xfId="14952" xr:uid="{00000000-0005-0000-0000-0000356F0000}"/>
    <cellStyle name="Porcentaje 2 2 2 3 7 2 2" xfId="34667" xr:uid="{00000000-0005-0000-0000-0000366F0000}"/>
    <cellStyle name="Porcentaje 2 2 2 3 7 3" xfId="24810" xr:uid="{00000000-0005-0000-0000-0000376F0000}"/>
    <cellStyle name="Porcentaje 2 2 2 3 8" xfId="10024" xr:uid="{00000000-0005-0000-0000-0000386F0000}"/>
    <cellStyle name="Porcentaje 2 2 2 3 8 2" xfId="29739" xr:uid="{00000000-0005-0000-0000-0000396F0000}"/>
    <cellStyle name="Porcentaje 2 2 2 3 9" xfId="19882" xr:uid="{00000000-0005-0000-0000-00003A6F0000}"/>
    <cellStyle name="Porcentaje 2 2 2 4" xfId="218" xr:uid="{00000000-0005-0000-0000-00003B6F0000}"/>
    <cellStyle name="Porcentaje 2 2 2 4 2" xfId="532" xr:uid="{00000000-0005-0000-0000-00003C6F0000}"/>
    <cellStyle name="Porcentaje 2 2 2 4 2 2" xfId="1152" xr:uid="{00000000-0005-0000-0000-00003D6F0000}"/>
    <cellStyle name="Porcentaje 2 2 2 4 2 2 2" xfId="2387" xr:uid="{00000000-0005-0000-0000-00003E6F0000}"/>
    <cellStyle name="Porcentaje 2 2 2 4 2 2 2 2" xfId="4854" xr:uid="{00000000-0005-0000-0000-00003F6F0000}"/>
    <cellStyle name="Porcentaje 2 2 2 4 2 2 2 2 2" xfId="9786" xr:uid="{00000000-0005-0000-0000-0000406F0000}"/>
    <cellStyle name="Porcentaje 2 2 2 4 2 2 2 2 2 2" xfId="19646" xr:uid="{00000000-0005-0000-0000-0000416F0000}"/>
    <cellStyle name="Porcentaje 2 2 2 4 2 2 2 2 2 2 2" xfId="39361" xr:uid="{00000000-0005-0000-0000-0000426F0000}"/>
    <cellStyle name="Porcentaje 2 2 2 4 2 2 2 2 2 3" xfId="29504" xr:uid="{00000000-0005-0000-0000-0000436F0000}"/>
    <cellStyle name="Porcentaje 2 2 2 4 2 2 2 2 3" xfId="14718" xr:uid="{00000000-0005-0000-0000-0000446F0000}"/>
    <cellStyle name="Porcentaje 2 2 2 4 2 2 2 2 3 2" xfId="34433" xr:uid="{00000000-0005-0000-0000-0000456F0000}"/>
    <cellStyle name="Porcentaje 2 2 2 4 2 2 2 2 4" xfId="24576" xr:uid="{00000000-0005-0000-0000-0000466F0000}"/>
    <cellStyle name="Porcentaje 2 2 2 4 2 2 2 3" xfId="7322" xr:uid="{00000000-0005-0000-0000-0000476F0000}"/>
    <cellStyle name="Porcentaje 2 2 2 4 2 2 2 3 2" xfId="17182" xr:uid="{00000000-0005-0000-0000-0000486F0000}"/>
    <cellStyle name="Porcentaje 2 2 2 4 2 2 2 3 2 2" xfId="36897" xr:uid="{00000000-0005-0000-0000-0000496F0000}"/>
    <cellStyle name="Porcentaje 2 2 2 4 2 2 2 3 3" xfId="27040" xr:uid="{00000000-0005-0000-0000-00004A6F0000}"/>
    <cellStyle name="Porcentaje 2 2 2 4 2 2 2 4" xfId="12254" xr:uid="{00000000-0005-0000-0000-00004B6F0000}"/>
    <cellStyle name="Porcentaje 2 2 2 4 2 2 2 4 2" xfId="31969" xr:uid="{00000000-0005-0000-0000-00004C6F0000}"/>
    <cellStyle name="Porcentaje 2 2 2 4 2 2 2 5" xfId="22112" xr:uid="{00000000-0005-0000-0000-00004D6F0000}"/>
    <cellStyle name="Porcentaje 2 2 2 4 2 2 3" xfId="3622" xr:uid="{00000000-0005-0000-0000-00004E6F0000}"/>
    <cellStyle name="Porcentaje 2 2 2 4 2 2 3 2" xfId="8554" xr:uid="{00000000-0005-0000-0000-00004F6F0000}"/>
    <cellStyle name="Porcentaje 2 2 2 4 2 2 3 2 2" xfId="18414" xr:uid="{00000000-0005-0000-0000-0000506F0000}"/>
    <cellStyle name="Porcentaje 2 2 2 4 2 2 3 2 2 2" xfId="38129" xr:uid="{00000000-0005-0000-0000-0000516F0000}"/>
    <cellStyle name="Porcentaje 2 2 2 4 2 2 3 2 3" xfId="28272" xr:uid="{00000000-0005-0000-0000-0000526F0000}"/>
    <cellStyle name="Porcentaje 2 2 2 4 2 2 3 3" xfId="13486" xr:uid="{00000000-0005-0000-0000-0000536F0000}"/>
    <cellStyle name="Porcentaje 2 2 2 4 2 2 3 3 2" xfId="33201" xr:uid="{00000000-0005-0000-0000-0000546F0000}"/>
    <cellStyle name="Porcentaje 2 2 2 4 2 2 3 4" xfId="23344" xr:uid="{00000000-0005-0000-0000-0000556F0000}"/>
    <cellStyle name="Porcentaje 2 2 2 4 2 2 4" xfId="6090" xr:uid="{00000000-0005-0000-0000-0000566F0000}"/>
    <cellStyle name="Porcentaje 2 2 2 4 2 2 4 2" xfId="15950" xr:uid="{00000000-0005-0000-0000-0000576F0000}"/>
    <cellStyle name="Porcentaje 2 2 2 4 2 2 4 2 2" xfId="35665" xr:uid="{00000000-0005-0000-0000-0000586F0000}"/>
    <cellStyle name="Porcentaje 2 2 2 4 2 2 4 3" xfId="25808" xr:uid="{00000000-0005-0000-0000-0000596F0000}"/>
    <cellStyle name="Porcentaje 2 2 2 4 2 2 5" xfId="11022" xr:uid="{00000000-0005-0000-0000-00005A6F0000}"/>
    <cellStyle name="Porcentaje 2 2 2 4 2 2 5 2" xfId="30737" xr:uid="{00000000-0005-0000-0000-00005B6F0000}"/>
    <cellStyle name="Porcentaje 2 2 2 4 2 2 6" xfId="20880" xr:uid="{00000000-0005-0000-0000-00005C6F0000}"/>
    <cellStyle name="Porcentaje 2 2 2 4 2 3" xfId="1771" xr:uid="{00000000-0005-0000-0000-00005D6F0000}"/>
    <cellStyle name="Porcentaje 2 2 2 4 2 3 2" xfId="4238" xr:uid="{00000000-0005-0000-0000-00005E6F0000}"/>
    <cellStyle name="Porcentaje 2 2 2 4 2 3 2 2" xfId="9170" xr:uid="{00000000-0005-0000-0000-00005F6F0000}"/>
    <cellStyle name="Porcentaje 2 2 2 4 2 3 2 2 2" xfId="19030" xr:uid="{00000000-0005-0000-0000-0000606F0000}"/>
    <cellStyle name="Porcentaje 2 2 2 4 2 3 2 2 2 2" xfId="38745" xr:uid="{00000000-0005-0000-0000-0000616F0000}"/>
    <cellStyle name="Porcentaje 2 2 2 4 2 3 2 2 3" xfId="28888" xr:uid="{00000000-0005-0000-0000-0000626F0000}"/>
    <cellStyle name="Porcentaje 2 2 2 4 2 3 2 3" xfId="14102" xr:uid="{00000000-0005-0000-0000-0000636F0000}"/>
    <cellStyle name="Porcentaje 2 2 2 4 2 3 2 3 2" xfId="33817" xr:uid="{00000000-0005-0000-0000-0000646F0000}"/>
    <cellStyle name="Porcentaje 2 2 2 4 2 3 2 4" xfId="23960" xr:uid="{00000000-0005-0000-0000-0000656F0000}"/>
    <cellStyle name="Porcentaje 2 2 2 4 2 3 3" xfId="6706" xr:uid="{00000000-0005-0000-0000-0000666F0000}"/>
    <cellStyle name="Porcentaje 2 2 2 4 2 3 3 2" xfId="16566" xr:uid="{00000000-0005-0000-0000-0000676F0000}"/>
    <cellStyle name="Porcentaje 2 2 2 4 2 3 3 2 2" xfId="36281" xr:uid="{00000000-0005-0000-0000-0000686F0000}"/>
    <cellStyle name="Porcentaje 2 2 2 4 2 3 3 3" xfId="26424" xr:uid="{00000000-0005-0000-0000-0000696F0000}"/>
    <cellStyle name="Porcentaje 2 2 2 4 2 3 4" xfId="11638" xr:uid="{00000000-0005-0000-0000-00006A6F0000}"/>
    <cellStyle name="Porcentaje 2 2 2 4 2 3 4 2" xfId="31353" xr:uid="{00000000-0005-0000-0000-00006B6F0000}"/>
    <cellStyle name="Porcentaje 2 2 2 4 2 3 5" xfId="21496" xr:uid="{00000000-0005-0000-0000-00006C6F0000}"/>
    <cellStyle name="Porcentaje 2 2 2 4 2 4" xfId="3006" xr:uid="{00000000-0005-0000-0000-00006D6F0000}"/>
    <cellStyle name="Porcentaje 2 2 2 4 2 4 2" xfId="7938" xr:uid="{00000000-0005-0000-0000-00006E6F0000}"/>
    <cellStyle name="Porcentaje 2 2 2 4 2 4 2 2" xfId="17798" xr:uid="{00000000-0005-0000-0000-00006F6F0000}"/>
    <cellStyle name="Porcentaje 2 2 2 4 2 4 2 2 2" xfId="37513" xr:uid="{00000000-0005-0000-0000-0000706F0000}"/>
    <cellStyle name="Porcentaje 2 2 2 4 2 4 2 3" xfId="27656" xr:uid="{00000000-0005-0000-0000-0000716F0000}"/>
    <cellStyle name="Porcentaje 2 2 2 4 2 4 3" xfId="12870" xr:uid="{00000000-0005-0000-0000-0000726F0000}"/>
    <cellStyle name="Porcentaje 2 2 2 4 2 4 3 2" xfId="32585" xr:uid="{00000000-0005-0000-0000-0000736F0000}"/>
    <cellStyle name="Porcentaje 2 2 2 4 2 4 4" xfId="22728" xr:uid="{00000000-0005-0000-0000-0000746F0000}"/>
    <cellStyle name="Porcentaje 2 2 2 4 2 5" xfId="5474" xr:uid="{00000000-0005-0000-0000-0000756F0000}"/>
    <cellStyle name="Porcentaje 2 2 2 4 2 5 2" xfId="15334" xr:uid="{00000000-0005-0000-0000-0000766F0000}"/>
    <cellStyle name="Porcentaje 2 2 2 4 2 5 2 2" xfId="35049" xr:uid="{00000000-0005-0000-0000-0000776F0000}"/>
    <cellStyle name="Porcentaje 2 2 2 4 2 5 3" xfId="25192" xr:uid="{00000000-0005-0000-0000-0000786F0000}"/>
    <cellStyle name="Porcentaje 2 2 2 4 2 6" xfId="10406" xr:uid="{00000000-0005-0000-0000-0000796F0000}"/>
    <cellStyle name="Porcentaje 2 2 2 4 2 6 2" xfId="30121" xr:uid="{00000000-0005-0000-0000-00007A6F0000}"/>
    <cellStyle name="Porcentaje 2 2 2 4 2 7" xfId="20264" xr:uid="{00000000-0005-0000-0000-00007B6F0000}"/>
    <cellStyle name="Porcentaje 2 2 2 4 3" xfId="845" xr:uid="{00000000-0005-0000-0000-00007C6F0000}"/>
    <cellStyle name="Porcentaje 2 2 2 4 3 2" xfId="2081" xr:uid="{00000000-0005-0000-0000-00007D6F0000}"/>
    <cellStyle name="Porcentaje 2 2 2 4 3 2 2" xfId="4548" xr:uid="{00000000-0005-0000-0000-00007E6F0000}"/>
    <cellStyle name="Porcentaje 2 2 2 4 3 2 2 2" xfId="9480" xr:uid="{00000000-0005-0000-0000-00007F6F0000}"/>
    <cellStyle name="Porcentaje 2 2 2 4 3 2 2 2 2" xfId="19340" xr:uid="{00000000-0005-0000-0000-0000806F0000}"/>
    <cellStyle name="Porcentaje 2 2 2 4 3 2 2 2 2 2" xfId="39055" xr:uid="{00000000-0005-0000-0000-0000816F0000}"/>
    <cellStyle name="Porcentaje 2 2 2 4 3 2 2 2 3" xfId="29198" xr:uid="{00000000-0005-0000-0000-0000826F0000}"/>
    <cellStyle name="Porcentaje 2 2 2 4 3 2 2 3" xfId="14412" xr:uid="{00000000-0005-0000-0000-0000836F0000}"/>
    <cellStyle name="Porcentaje 2 2 2 4 3 2 2 3 2" xfId="34127" xr:uid="{00000000-0005-0000-0000-0000846F0000}"/>
    <cellStyle name="Porcentaje 2 2 2 4 3 2 2 4" xfId="24270" xr:uid="{00000000-0005-0000-0000-0000856F0000}"/>
    <cellStyle name="Porcentaje 2 2 2 4 3 2 3" xfId="7016" xr:uid="{00000000-0005-0000-0000-0000866F0000}"/>
    <cellStyle name="Porcentaje 2 2 2 4 3 2 3 2" xfId="16876" xr:uid="{00000000-0005-0000-0000-0000876F0000}"/>
    <cellStyle name="Porcentaje 2 2 2 4 3 2 3 2 2" xfId="36591" xr:uid="{00000000-0005-0000-0000-0000886F0000}"/>
    <cellStyle name="Porcentaje 2 2 2 4 3 2 3 3" xfId="26734" xr:uid="{00000000-0005-0000-0000-0000896F0000}"/>
    <cellStyle name="Porcentaje 2 2 2 4 3 2 4" xfId="11948" xr:uid="{00000000-0005-0000-0000-00008A6F0000}"/>
    <cellStyle name="Porcentaje 2 2 2 4 3 2 4 2" xfId="31663" xr:uid="{00000000-0005-0000-0000-00008B6F0000}"/>
    <cellStyle name="Porcentaje 2 2 2 4 3 2 5" xfId="21806" xr:uid="{00000000-0005-0000-0000-00008C6F0000}"/>
    <cellStyle name="Porcentaje 2 2 2 4 3 3" xfId="3316" xr:uid="{00000000-0005-0000-0000-00008D6F0000}"/>
    <cellStyle name="Porcentaje 2 2 2 4 3 3 2" xfId="8248" xr:uid="{00000000-0005-0000-0000-00008E6F0000}"/>
    <cellStyle name="Porcentaje 2 2 2 4 3 3 2 2" xfId="18108" xr:uid="{00000000-0005-0000-0000-00008F6F0000}"/>
    <cellStyle name="Porcentaje 2 2 2 4 3 3 2 2 2" xfId="37823" xr:uid="{00000000-0005-0000-0000-0000906F0000}"/>
    <cellStyle name="Porcentaje 2 2 2 4 3 3 2 3" xfId="27966" xr:uid="{00000000-0005-0000-0000-0000916F0000}"/>
    <cellStyle name="Porcentaje 2 2 2 4 3 3 3" xfId="13180" xr:uid="{00000000-0005-0000-0000-0000926F0000}"/>
    <cellStyle name="Porcentaje 2 2 2 4 3 3 3 2" xfId="32895" xr:uid="{00000000-0005-0000-0000-0000936F0000}"/>
    <cellStyle name="Porcentaje 2 2 2 4 3 3 4" xfId="23038" xr:uid="{00000000-0005-0000-0000-0000946F0000}"/>
    <cellStyle name="Porcentaje 2 2 2 4 3 4" xfId="5784" xr:uid="{00000000-0005-0000-0000-0000956F0000}"/>
    <cellStyle name="Porcentaje 2 2 2 4 3 4 2" xfId="15644" xr:uid="{00000000-0005-0000-0000-0000966F0000}"/>
    <cellStyle name="Porcentaje 2 2 2 4 3 4 2 2" xfId="35359" xr:uid="{00000000-0005-0000-0000-0000976F0000}"/>
    <cellStyle name="Porcentaje 2 2 2 4 3 4 3" xfId="25502" xr:uid="{00000000-0005-0000-0000-0000986F0000}"/>
    <cellStyle name="Porcentaje 2 2 2 4 3 5" xfId="10716" xr:uid="{00000000-0005-0000-0000-0000996F0000}"/>
    <cellStyle name="Porcentaje 2 2 2 4 3 5 2" xfId="30431" xr:uid="{00000000-0005-0000-0000-00009A6F0000}"/>
    <cellStyle name="Porcentaje 2 2 2 4 3 6" xfId="20574" xr:uid="{00000000-0005-0000-0000-00009B6F0000}"/>
    <cellStyle name="Porcentaje 2 2 2 4 4" xfId="1465" xr:uid="{00000000-0005-0000-0000-00009C6F0000}"/>
    <cellStyle name="Porcentaje 2 2 2 4 4 2" xfId="3932" xr:uid="{00000000-0005-0000-0000-00009D6F0000}"/>
    <cellStyle name="Porcentaje 2 2 2 4 4 2 2" xfId="8864" xr:uid="{00000000-0005-0000-0000-00009E6F0000}"/>
    <cellStyle name="Porcentaje 2 2 2 4 4 2 2 2" xfId="18724" xr:uid="{00000000-0005-0000-0000-00009F6F0000}"/>
    <cellStyle name="Porcentaje 2 2 2 4 4 2 2 2 2" xfId="38439" xr:uid="{00000000-0005-0000-0000-0000A06F0000}"/>
    <cellStyle name="Porcentaje 2 2 2 4 4 2 2 3" xfId="28582" xr:uid="{00000000-0005-0000-0000-0000A16F0000}"/>
    <cellStyle name="Porcentaje 2 2 2 4 4 2 3" xfId="13796" xr:uid="{00000000-0005-0000-0000-0000A26F0000}"/>
    <cellStyle name="Porcentaje 2 2 2 4 4 2 3 2" xfId="33511" xr:uid="{00000000-0005-0000-0000-0000A36F0000}"/>
    <cellStyle name="Porcentaje 2 2 2 4 4 2 4" xfId="23654" xr:uid="{00000000-0005-0000-0000-0000A46F0000}"/>
    <cellStyle name="Porcentaje 2 2 2 4 4 3" xfId="6400" xr:uid="{00000000-0005-0000-0000-0000A56F0000}"/>
    <cellStyle name="Porcentaje 2 2 2 4 4 3 2" xfId="16260" xr:uid="{00000000-0005-0000-0000-0000A66F0000}"/>
    <cellStyle name="Porcentaje 2 2 2 4 4 3 2 2" xfId="35975" xr:uid="{00000000-0005-0000-0000-0000A76F0000}"/>
    <cellStyle name="Porcentaje 2 2 2 4 4 3 3" xfId="26118" xr:uid="{00000000-0005-0000-0000-0000A86F0000}"/>
    <cellStyle name="Porcentaje 2 2 2 4 4 4" xfId="11332" xr:uid="{00000000-0005-0000-0000-0000A96F0000}"/>
    <cellStyle name="Porcentaje 2 2 2 4 4 4 2" xfId="31047" xr:uid="{00000000-0005-0000-0000-0000AA6F0000}"/>
    <cellStyle name="Porcentaje 2 2 2 4 4 5" xfId="21190" xr:uid="{00000000-0005-0000-0000-0000AB6F0000}"/>
    <cellStyle name="Porcentaje 2 2 2 4 5" xfId="2700" xr:uid="{00000000-0005-0000-0000-0000AC6F0000}"/>
    <cellStyle name="Porcentaje 2 2 2 4 5 2" xfId="7632" xr:uid="{00000000-0005-0000-0000-0000AD6F0000}"/>
    <cellStyle name="Porcentaje 2 2 2 4 5 2 2" xfId="17492" xr:uid="{00000000-0005-0000-0000-0000AE6F0000}"/>
    <cellStyle name="Porcentaje 2 2 2 4 5 2 2 2" xfId="37207" xr:uid="{00000000-0005-0000-0000-0000AF6F0000}"/>
    <cellStyle name="Porcentaje 2 2 2 4 5 2 3" xfId="27350" xr:uid="{00000000-0005-0000-0000-0000B06F0000}"/>
    <cellStyle name="Porcentaje 2 2 2 4 5 3" xfId="12564" xr:uid="{00000000-0005-0000-0000-0000B16F0000}"/>
    <cellStyle name="Porcentaje 2 2 2 4 5 3 2" xfId="32279" xr:uid="{00000000-0005-0000-0000-0000B26F0000}"/>
    <cellStyle name="Porcentaje 2 2 2 4 5 4" xfId="22422" xr:uid="{00000000-0005-0000-0000-0000B36F0000}"/>
    <cellStyle name="Porcentaje 2 2 2 4 6" xfId="5168" xr:uid="{00000000-0005-0000-0000-0000B46F0000}"/>
    <cellStyle name="Porcentaje 2 2 2 4 6 2" xfId="15028" xr:uid="{00000000-0005-0000-0000-0000B56F0000}"/>
    <cellStyle name="Porcentaje 2 2 2 4 6 2 2" xfId="34743" xr:uid="{00000000-0005-0000-0000-0000B66F0000}"/>
    <cellStyle name="Porcentaje 2 2 2 4 6 3" xfId="24886" xr:uid="{00000000-0005-0000-0000-0000B76F0000}"/>
    <cellStyle name="Porcentaje 2 2 2 4 7" xfId="10100" xr:uid="{00000000-0005-0000-0000-0000B86F0000}"/>
    <cellStyle name="Porcentaje 2 2 2 4 7 2" xfId="29815" xr:uid="{00000000-0005-0000-0000-0000B96F0000}"/>
    <cellStyle name="Porcentaje 2 2 2 4 8" xfId="19958" xr:uid="{00000000-0005-0000-0000-0000BA6F0000}"/>
    <cellStyle name="Porcentaje 2 2 2 5" xfId="380" xr:uid="{00000000-0005-0000-0000-0000BB6F0000}"/>
    <cellStyle name="Porcentaje 2 2 2 5 2" xfId="1000" xr:uid="{00000000-0005-0000-0000-0000BC6F0000}"/>
    <cellStyle name="Porcentaje 2 2 2 5 2 2" xfId="2235" xr:uid="{00000000-0005-0000-0000-0000BD6F0000}"/>
    <cellStyle name="Porcentaje 2 2 2 5 2 2 2" xfId="4702" xr:uid="{00000000-0005-0000-0000-0000BE6F0000}"/>
    <cellStyle name="Porcentaje 2 2 2 5 2 2 2 2" xfId="9634" xr:uid="{00000000-0005-0000-0000-0000BF6F0000}"/>
    <cellStyle name="Porcentaje 2 2 2 5 2 2 2 2 2" xfId="19494" xr:uid="{00000000-0005-0000-0000-0000C06F0000}"/>
    <cellStyle name="Porcentaje 2 2 2 5 2 2 2 2 2 2" xfId="39209" xr:uid="{00000000-0005-0000-0000-0000C16F0000}"/>
    <cellStyle name="Porcentaje 2 2 2 5 2 2 2 2 3" xfId="29352" xr:uid="{00000000-0005-0000-0000-0000C26F0000}"/>
    <cellStyle name="Porcentaje 2 2 2 5 2 2 2 3" xfId="14566" xr:uid="{00000000-0005-0000-0000-0000C36F0000}"/>
    <cellStyle name="Porcentaje 2 2 2 5 2 2 2 3 2" xfId="34281" xr:uid="{00000000-0005-0000-0000-0000C46F0000}"/>
    <cellStyle name="Porcentaje 2 2 2 5 2 2 2 4" xfId="24424" xr:uid="{00000000-0005-0000-0000-0000C56F0000}"/>
    <cellStyle name="Porcentaje 2 2 2 5 2 2 3" xfId="7170" xr:uid="{00000000-0005-0000-0000-0000C66F0000}"/>
    <cellStyle name="Porcentaje 2 2 2 5 2 2 3 2" xfId="17030" xr:uid="{00000000-0005-0000-0000-0000C76F0000}"/>
    <cellStyle name="Porcentaje 2 2 2 5 2 2 3 2 2" xfId="36745" xr:uid="{00000000-0005-0000-0000-0000C86F0000}"/>
    <cellStyle name="Porcentaje 2 2 2 5 2 2 3 3" xfId="26888" xr:uid="{00000000-0005-0000-0000-0000C96F0000}"/>
    <cellStyle name="Porcentaje 2 2 2 5 2 2 4" xfId="12102" xr:uid="{00000000-0005-0000-0000-0000CA6F0000}"/>
    <cellStyle name="Porcentaje 2 2 2 5 2 2 4 2" xfId="31817" xr:uid="{00000000-0005-0000-0000-0000CB6F0000}"/>
    <cellStyle name="Porcentaje 2 2 2 5 2 2 5" xfId="21960" xr:uid="{00000000-0005-0000-0000-0000CC6F0000}"/>
    <cellStyle name="Porcentaje 2 2 2 5 2 3" xfId="3470" xr:uid="{00000000-0005-0000-0000-0000CD6F0000}"/>
    <cellStyle name="Porcentaje 2 2 2 5 2 3 2" xfId="8402" xr:uid="{00000000-0005-0000-0000-0000CE6F0000}"/>
    <cellStyle name="Porcentaje 2 2 2 5 2 3 2 2" xfId="18262" xr:uid="{00000000-0005-0000-0000-0000CF6F0000}"/>
    <cellStyle name="Porcentaje 2 2 2 5 2 3 2 2 2" xfId="37977" xr:uid="{00000000-0005-0000-0000-0000D06F0000}"/>
    <cellStyle name="Porcentaje 2 2 2 5 2 3 2 3" xfId="28120" xr:uid="{00000000-0005-0000-0000-0000D16F0000}"/>
    <cellStyle name="Porcentaje 2 2 2 5 2 3 3" xfId="13334" xr:uid="{00000000-0005-0000-0000-0000D26F0000}"/>
    <cellStyle name="Porcentaje 2 2 2 5 2 3 3 2" xfId="33049" xr:uid="{00000000-0005-0000-0000-0000D36F0000}"/>
    <cellStyle name="Porcentaje 2 2 2 5 2 3 4" xfId="23192" xr:uid="{00000000-0005-0000-0000-0000D46F0000}"/>
    <cellStyle name="Porcentaje 2 2 2 5 2 4" xfId="5938" xr:uid="{00000000-0005-0000-0000-0000D56F0000}"/>
    <cellStyle name="Porcentaje 2 2 2 5 2 4 2" xfId="15798" xr:uid="{00000000-0005-0000-0000-0000D66F0000}"/>
    <cellStyle name="Porcentaje 2 2 2 5 2 4 2 2" xfId="35513" xr:uid="{00000000-0005-0000-0000-0000D76F0000}"/>
    <cellStyle name="Porcentaje 2 2 2 5 2 4 3" xfId="25656" xr:uid="{00000000-0005-0000-0000-0000D86F0000}"/>
    <cellStyle name="Porcentaje 2 2 2 5 2 5" xfId="10870" xr:uid="{00000000-0005-0000-0000-0000D96F0000}"/>
    <cellStyle name="Porcentaje 2 2 2 5 2 5 2" xfId="30585" xr:uid="{00000000-0005-0000-0000-0000DA6F0000}"/>
    <cellStyle name="Porcentaje 2 2 2 5 2 6" xfId="20728" xr:uid="{00000000-0005-0000-0000-0000DB6F0000}"/>
    <cellStyle name="Porcentaje 2 2 2 5 3" xfId="1619" xr:uid="{00000000-0005-0000-0000-0000DC6F0000}"/>
    <cellStyle name="Porcentaje 2 2 2 5 3 2" xfId="4086" xr:uid="{00000000-0005-0000-0000-0000DD6F0000}"/>
    <cellStyle name="Porcentaje 2 2 2 5 3 2 2" xfId="9018" xr:uid="{00000000-0005-0000-0000-0000DE6F0000}"/>
    <cellStyle name="Porcentaje 2 2 2 5 3 2 2 2" xfId="18878" xr:uid="{00000000-0005-0000-0000-0000DF6F0000}"/>
    <cellStyle name="Porcentaje 2 2 2 5 3 2 2 2 2" xfId="38593" xr:uid="{00000000-0005-0000-0000-0000E06F0000}"/>
    <cellStyle name="Porcentaje 2 2 2 5 3 2 2 3" xfId="28736" xr:uid="{00000000-0005-0000-0000-0000E16F0000}"/>
    <cellStyle name="Porcentaje 2 2 2 5 3 2 3" xfId="13950" xr:uid="{00000000-0005-0000-0000-0000E26F0000}"/>
    <cellStyle name="Porcentaje 2 2 2 5 3 2 3 2" xfId="33665" xr:uid="{00000000-0005-0000-0000-0000E36F0000}"/>
    <cellStyle name="Porcentaje 2 2 2 5 3 2 4" xfId="23808" xr:uid="{00000000-0005-0000-0000-0000E46F0000}"/>
    <cellStyle name="Porcentaje 2 2 2 5 3 3" xfId="6554" xr:uid="{00000000-0005-0000-0000-0000E56F0000}"/>
    <cellStyle name="Porcentaje 2 2 2 5 3 3 2" xfId="16414" xr:uid="{00000000-0005-0000-0000-0000E66F0000}"/>
    <cellStyle name="Porcentaje 2 2 2 5 3 3 2 2" xfId="36129" xr:uid="{00000000-0005-0000-0000-0000E76F0000}"/>
    <cellStyle name="Porcentaje 2 2 2 5 3 3 3" xfId="26272" xr:uid="{00000000-0005-0000-0000-0000E86F0000}"/>
    <cellStyle name="Porcentaje 2 2 2 5 3 4" xfId="11486" xr:uid="{00000000-0005-0000-0000-0000E96F0000}"/>
    <cellStyle name="Porcentaje 2 2 2 5 3 4 2" xfId="31201" xr:uid="{00000000-0005-0000-0000-0000EA6F0000}"/>
    <cellStyle name="Porcentaje 2 2 2 5 3 5" xfId="21344" xr:uid="{00000000-0005-0000-0000-0000EB6F0000}"/>
    <cellStyle name="Porcentaje 2 2 2 5 4" xfId="2854" xr:uid="{00000000-0005-0000-0000-0000EC6F0000}"/>
    <cellStyle name="Porcentaje 2 2 2 5 4 2" xfId="7786" xr:uid="{00000000-0005-0000-0000-0000ED6F0000}"/>
    <cellStyle name="Porcentaje 2 2 2 5 4 2 2" xfId="17646" xr:uid="{00000000-0005-0000-0000-0000EE6F0000}"/>
    <cellStyle name="Porcentaje 2 2 2 5 4 2 2 2" xfId="37361" xr:uid="{00000000-0005-0000-0000-0000EF6F0000}"/>
    <cellStyle name="Porcentaje 2 2 2 5 4 2 3" xfId="27504" xr:uid="{00000000-0005-0000-0000-0000F06F0000}"/>
    <cellStyle name="Porcentaje 2 2 2 5 4 3" xfId="12718" xr:uid="{00000000-0005-0000-0000-0000F16F0000}"/>
    <cellStyle name="Porcentaje 2 2 2 5 4 3 2" xfId="32433" xr:uid="{00000000-0005-0000-0000-0000F26F0000}"/>
    <cellStyle name="Porcentaje 2 2 2 5 4 4" xfId="22576" xr:uid="{00000000-0005-0000-0000-0000F36F0000}"/>
    <cellStyle name="Porcentaje 2 2 2 5 5" xfId="5322" xr:uid="{00000000-0005-0000-0000-0000F46F0000}"/>
    <cellStyle name="Porcentaje 2 2 2 5 5 2" xfId="15182" xr:uid="{00000000-0005-0000-0000-0000F56F0000}"/>
    <cellStyle name="Porcentaje 2 2 2 5 5 2 2" xfId="34897" xr:uid="{00000000-0005-0000-0000-0000F66F0000}"/>
    <cellStyle name="Porcentaje 2 2 2 5 5 3" xfId="25040" xr:uid="{00000000-0005-0000-0000-0000F76F0000}"/>
    <cellStyle name="Porcentaje 2 2 2 5 6" xfId="10254" xr:uid="{00000000-0005-0000-0000-0000F86F0000}"/>
    <cellStyle name="Porcentaje 2 2 2 5 6 2" xfId="29969" xr:uid="{00000000-0005-0000-0000-0000F96F0000}"/>
    <cellStyle name="Porcentaje 2 2 2 5 7" xfId="20112" xr:uid="{00000000-0005-0000-0000-0000FA6F0000}"/>
    <cellStyle name="Porcentaje 2 2 2 6" xfId="693" xr:uid="{00000000-0005-0000-0000-0000FB6F0000}"/>
    <cellStyle name="Porcentaje 2 2 2 6 2" xfId="1929" xr:uid="{00000000-0005-0000-0000-0000FC6F0000}"/>
    <cellStyle name="Porcentaje 2 2 2 6 2 2" xfId="4396" xr:uid="{00000000-0005-0000-0000-0000FD6F0000}"/>
    <cellStyle name="Porcentaje 2 2 2 6 2 2 2" xfId="9328" xr:uid="{00000000-0005-0000-0000-0000FE6F0000}"/>
    <cellStyle name="Porcentaje 2 2 2 6 2 2 2 2" xfId="19188" xr:uid="{00000000-0005-0000-0000-0000FF6F0000}"/>
    <cellStyle name="Porcentaje 2 2 2 6 2 2 2 2 2" xfId="38903" xr:uid="{00000000-0005-0000-0000-000000700000}"/>
    <cellStyle name="Porcentaje 2 2 2 6 2 2 2 3" xfId="29046" xr:uid="{00000000-0005-0000-0000-000001700000}"/>
    <cellStyle name="Porcentaje 2 2 2 6 2 2 3" xfId="14260" xr:uid="{00000000-0005-0000-0000-000002700000}"/>
    <cellStyle name="Porcentaje 2 2 2 6 2 2 3 2" xfId="33975" xr:uid="{00000000-0005-0000-0000-000003700000}"/>
    <cellStyle name="Porcentaje 2 2 2 6 2 2 4" xfId="24118" xr:uid="{00000000-0005-0000-0000-000004700000}"/>
    <cellStyle name="Porcentaje 2 2 2 6 2 3" xfId="6864" xr:uid="{00000000-0005-0000-0000-000005700000}"/>
    <cellStyle name="Porcentaje 2 2 2 6 2 3 2" xfId="16724" xr:uid="{00000000-0005-0000-0000-000006700000}"/>
    <cellStyle name="Porcentaje 2 2 2 6 2 3 2 2" xfId="36439" xr:uid="{00000000-0005-0000-0000-000007700000}"/>
    <cellStyle name="Porcentaje 2 2 2 6 2 3 3" xfId="26582" xr:uid="{00000000-0005-0000-0000-000008700000}"/>
    <cellStyle name="Porcentaje 2 2 2 6 2 4" xfId="11796" xr:uid="{00000000-0005-0000-0000-000009700000}"/>
    <cellStyle name="Porcentaje 2 2 2 6 2 4 2" xfId="31511" xr:uid="{00000000-0005-0000-0000-00000A700000}"/>
    <cellStyle name="Porcentaje 2 2 2 6 2 5" xfId="21654" xr:uid="{00000000-0005-0000-0000-00000B700000}"/>
    <cellStyle name="Porcentaje 2 2 2 6 3" xfId="3164" xr:uid="{00000000-0005-0000-0000-00000C700000}"/>
    <cellStyle name="Porcentaje 2 2 2 6 3 2" xfId="8096" xr:uid="{00000000-0005-0000-0000-00000D700000}"/>
    <cellStyle name="Porcentaje 2 2 2 6 3 2 2" xfId="17956" xr:uid="{00000000-0005-0000-0000-00000E700000}"/>
    <cellStyle name="Porcentaje 2 2 2 6 3 2 2 2" xfId="37671" xr:uid="{00000000-0005-0000-0000-00000F700000}"/>
    <cellStyle name="Porcentaje 2 2 2 6 3 2 3" xfId="27814" xr:uid="{00000000-0005-0000-0000-000010700000}"/>
    <cellStyle name="Porcentaje 2 2 2 6 3 3" xfId="13028" xr:uid="{00000000-0005-0000-0000-000011700000}"/>
    <cellStyle name="Porcentaje 2 2 2 6 3 3 2" xfId="32743" xr:uid="{00000000-0005-0000-0000-000012700000}"/>
    <cellStyle name="Porcentaje 2 2 2 6 3 4" xfId="22886" xr:uid="{00000000-0005-0000-0000-000013700000}"/>
    <cellStyle name="Porcentaje 2 2 2 6 4" xfId="5632" xr:uid="{00000000-0005-0000-0000-000014700000}"/>
    <cellStyle name="Porcentaje 2 2 2 6 4 2" xfId="15492" xr:uid="{00000000-0005-0000-0000-000015700000}"/>
    <cellStyle name="Porcentaje 2 2 2 6 4 2 2" xfId="35207" xr:uid="{00000000-0005-0000-0000-000016700000}"/>
    <cellStyle name="Porcentaje 2 2 2 6 4 3" xfId="25350" xr:uid="{00000000-0005-0000-0000-000017700000}"/>
    <cellStyle name="Porcentaje 2 2 2 6 5" xfId="10564" xr:uid="{00000000-0005-0000-0000-000018700000}"/>
    <cellStyle name="Porcentaje 2 2 2 6 5 2" xfId="30279" xr:uid="{00000000-0005-0000-0000-000019700000}"/>
    <cellStyle name="Porcentaje 2 2 2 6 6" xfId="20422" xr:uid="{00000000-0005-0000-0000-00001A700000}"/>
    <cellStyle name="Porcentaje 2 2 2 7" xfId="1313" xr:uid="{00000000-0005-0000-0000-00001B700000}"/>
    <cellStyle name="Porcentaje 2 2 2 7 2" xfId="3780" xr:uid="{00000000-0005-0000-0000-00001C700000}"/>
    <cellStyle name="Porcentaje 2 2 2 7 2 2" xfId="8712" xr:uid="{00000000-0005-0000-0000-00001D700000}"/>
    <cellStyle name="Porcentaje 2 2 2 7 2 2 2" xfId="18572" xr:uid="{00000000-0005-0000-0000-00001E700000}"/>
    <cellStyle name="Porcentaje 2 2 2 7 2 2 2 2" xfId="38287" xr:uid="{00000000-0005-0000-0000-00001F700000}"/>
    <cellStyle name="Porcentaje 2 2 2 7 2 2 3" xfId="28430" xr:uid="{00000000-0005-0000-0000-000020700000}"/>
    <cellStyle name="Porcentaje 2 2 2 7 2 3" xfId="13644" xr:uid="{00000000-0005-0000-0000-000021700000}"/>
    <cellStyle name="Porcentaje 2 2 2 7 2 3 2" xfId="33359" xr:uid="{00000000-0005-0000-0000-000022700000}"/>
    <cellStyle name="Porcentaje 2 2 2 7 2 4" xfId="23502" xr:uid="{00000000-0005-0000-0000-000023700000}"/>
    <cellStyle name="Porcentaje 2 2 2 7 3" xfId="6248" xr:uid="{00000000-0005-0000-0000-000024700000}"/>
    <cellStyle name="Porcentaje 2 2 2 7 3 2" xfId="16108" xr:uid="{00000000-0005-0000-0000-000025700000}"/>
    <cellStyle name="Porcentaje 2 2 2 7 3 2 2" xfId="35823" xr:uid="{00000000-0005-0000-0000-000026700000}"/>
    <cellStyle name="Porcentaje 2 2 2 7 3 3" xfId="25966" xr:uid="{00000000-0005-0000-0000-000027700000}"/>
    <cellStyle name="Porcentaje 2 2 2 7 4" xfId="11180" xr:uid="{00000000-0005-0000-0000-000028700000}"/>
    <cellStyle name="Porcentaje 2 2 2 7 4 2" xfId="30895" xr:uid="{00000000-0005-0000-0000-000029700000}"/>
    <cellStyle name="Porcentaje 2 2 2 7 5" xfId="21038" xr:uid="{00000000-0005-0000-0000-00002A700000}"/>
    <cellStyle name="Porcentaje 2 2 2 8" xfId="2548" xr:uid="{00000000-0005-0000-0000-00002B700000}"/>
    <cellStyle name="Porcentaje 2 2 2 8 2" xfId="7480" xr:uid="{00000000-0005-0000-0000-00002C700000}"/>
    <cellStyle name="Porcentaje 2 2 2 8 2 2" xfId="17340" xr:uid="{00000000-0005-0000-0000-00002D700000}"/>
    <cellStyle name="Porcentaje 2 2 2 8 2 2 2" xfId="37055" xr:uid="{00000000-0005-0000-0000-00002E700000}"/>
    <cellStyle name="Porcentaje 2 2 2 8 2 3" xfId="27198" xr:uid="{00000000-0005-0000-0000-00002F700000}"/>
    <cellStyle name="Porcentaje 2 2 2 8 3" xfId="12412" xr:uid="{00000000-0005-0000-0000-000030700000}"/>
    <cellStyle name="Porcentaje 2 2 2 8 3 2" xfId="32127" xr:uid="{00000000-0005-0000-0000-000031700000}"/>
    <cellStyle name="Porcentaje 2 2 2 8 4" xfId="22270" xr:uid="{00000000-0005-0000-0000-000032700000}"/>
    <cellStyle name="Porcentaje 2 2 2 9" xfId="5016" xr:uid="{00000000-0005-0000-0000-000033700000}"/>
    <cellStyle name="Porcentaje 2 2 2 9 2" xfId="14876" xr:uid="{00000000-0005-0000-0000-000034700000}"/>
    <cellStyle name="Porcentaje 2 2 2 9 2 2" xfId="34591" xr:uid="{00000000-0005-0000-0000-000035700000}"/>
    <cellStyle name="Porcentaje 2 2 2 9 3" xfId="24734" xr:uid="{00000000-0005-0000-0000-000036700000}"/>
    <cellStyle name="Porcentaje 2 2 3" xfId="75" xr:uid="{00000000-0005-0000-0000-000037700000}"/>
    <cellStyle name="Porcentaje 2 2 3 10" xfId="19825" xr:uid="{00000000-0005-0000-0000-000038700000}"/>
    <cellStyle name="Porcentaje 2 2 3 2" xfId="156" xr:uid="{00000000-0005-0000-0000-000039700000}"/>
    <cellStyle name="Porcentaje 2 2 3 2 2" xfId="313" xr:uid="{00000000-0005-0000-0000-00003A700000}"/>
    <cellStyle name="Porcentaje 2 2 3 2 2 2" xfId="627" xr:uid="{00000000-0005-0000-0000-00003B700000}"/>
    <cellStyle name="Porcentaje 2 2 3 2 2 2 2" xfId="1247" xr:uid="{00000000-0005-0000-0000-00003C700000}"/>
    <cellStyle name="Porcentaje 2 2 3 2 2 2 2 2" xfId="2482" xr:uid="{00000000-0005-0000-0000-00003D700000}"/>
    <cellStyle name="Porcentaje 2 2 3 2 2 2 2 2 2" xfId="4949" xr:uid="{00000000-0005-0000-0000-00003E700000}"/>
    <cellStyle name="Porcentaje 2 2 3 2 2 2 2 2 2 2" xfId="9881" xr:uid="{00000000-0005-0000-0000-00003F700000}"/>
    <cellStyle name="Porcentaje 2 2 3 2 2 2 2 2 2 2 2" xfId="19741" xr:uid="{00000000-0005-0000-0000-000040700000}"/>
    <cellStyle name="Porcentaje 2 2 3 2 2 2 2 2 2 2 2 2" xfId="39456" xr:uid="{00000000-0005-0000-0000-000041700000}"/>
    <cellStyle name="Porcentaje 2 2 3 2 2 2 2 2 2 2 3" xfId="29599" xr:uid="{00000000-0005-0000-0000-000042700000}"/>
    <cellStyle name="Porcentaje 2 2 3 2 2 2 2 2 2 3" xfId="14813" xr:uid="{00000000-0005-0000-0000-000043700000}"/>
    <cellStyle name="Porcentaje 2 2 3 2 2 2 2 2 2 3 2" xfId="34528" xr:uid="{00000000-0005-0000-0000-000044700000}"/>
    <cellStyle name="Porcentaje 2 2 3 2 2 2 2 2 2 4" xfId="24671" xr:uid="{00000000-0005-0000-0000-000045700000}"/>
    <cellStyle name="Porcentaje 2 2 3 2 2 2 2 2 3" xfId="7417" xr:uid="{00000000-0005-0000-0000-000046700000}"/>
    <cellStyle name="Porcentaje 2 2 3 2 2 2 2 2 3 2" xfId="17277" xr:uid="{00000000-0005-0000-0000-000047700000}"/>
    <cellStyle name="Porcentaje 2 2 3 2 2 2 2 2 3 2 2" xfId="36992" xr:uid="{00000000-0005-0000-0000-000048700000}"/>
    <cellStyle name="Porcentaje 2 2 3 2 2 2 2 2 3 3" xfId="27135" xr:uid="{00000000-0005-0000-0000-000049700000}"/>
    <cellStyle name="Porcentaje 2 2 3 2 2 2 2 2 4" xfId="12349" xr:uid="{00000000-0005-0000-0000-00004A700000}"/>
    <cellStyle name="Porcentaje 2 2 3 2 2 2 2 2 4 2" xfId="32064" xr:uid="{00000000-0005-0000-0000-00004B700000}"/>
    <cellStyle name="Porcentaje 2 2 3 2 2 2 2 2 5" xfId="22207" xr:uid="{00000000-0005-0000-0000-00004C700000}"/>
    <cellStyle name="Porcentaje 2 2 3 2 2 2 2 3" xfId="3717" xr:uid="{00000000-0005-0000-0000-00004D700000}"/>
    <cellStyle name="Porcentaje 2 2 3 2 2 2 2 3 2" xfId="8649" xr:uid="{00000000-0005-0000-0000-00004E700000}"/>
    <cellStyle name="Porcentaje 2 2 3 2 2 2 2 3 2 2" xfId="18509" xr:uid="{00000000-0005-0000-0000-00004F700000}"/>
    <cellStyle name="Porcentaje 2 2 3 2 2 2 2 3 2 2 2" xfId="38224" xr:uid="{00000000-0005-0000-0000-000050700000}"/>
    <cellStyle name="Porcentaje 2 2 3 2 2 2 2 3 2 3" xfId="28367" xr:uid="{00000000-0005-0000-0000-000051700000}"/>
    <cellStyle name="Porcentaje 2 2 3 2 2 2 2 3 3" xfId="13581" xr:uid="{00000000-0005-0000-0000-000052700000}"/>
    <cellStyle name="Porcentaje 2 2 3 2 2 2 2 3 3 2" xfId="33296" xr:uid="{00000000-0005-0000-0000-000053700000}"/>
    <cellStyle name="Porcentaje 2 2 3 2 2 2 2 3 4" xfId="23439" xr:uid="{00000000-0005-0000-0000-000054700000}"/>
    <cellStyle name="Porcentaje 2 2 3 2 2 2 2 4" xfId="6185" xr:uid="{00000000-0005-0000-0000-000055700000}"/>
    <cellStyle name="Porcentaje 2 2 3 2 2 2 2 4 2" xfId="16045" xr:uid="{00000000-0005-0000-0000-000056700000}"/>
    <cellStyle name="Porcentaje 2 2 3 2 2 2 2 4 2 2" xfId="35760" xr:uid="{00000000-0005-0000-0000-000057700000}"/>
    <cellStyle name="Porcentaje 2 2 3 2 2 2 2 4 3" xfId="25903" xr:uid="{00000000-0005-0000-0000-000058700000}"/>
    <cellStyle name="Porcentaje 2 2 3 2 2 2 2 5" xfId="11117" xr:uid="{00000000-0005-0000-0000-000059700000}"/>
    <cellStyle name="Porcentaje 2 2 3 2 2 2 2 5 2" xfId="30832" xr:uid="{00000000-0005-0000-0000-00005A700000}"/>
    <cellStyle name="Porcentaje 2 2 3 2 2 2 2 6" xfId="20975" xr:uid="{00000000-0005-0000-0000-00005B700000}"/>
    <cellStyle name="Porcentaje 2 2 3 2 2 2 3" xfId="1866" xr:uid="{00000000-0005-0000-0000-00005C700000}"/>
    <cellStyle name="Porcentaje 2 2 3 2 2 2 3 2" xfId="4333" xr:uid="{00000000-0005-0000-0000-00005D700000}"/>
    <cellStyle name="Porcentaje 2 2 3 2 2 2 3 2 2" xfId="9265" xr:uid="{00000000-0005-0000-0000-00005E700000}"/>
    <cellStyle name="Porcentaje 2 2 3 2 2 2 3 2 2 2" xfId="19125" xr:uid="{00000000-0005-0000-0000-00005F700000}"/>
    <cellStyle name="Porcentaje 2 2 3 2 2 2 3 2 2 2 2" xfId="38840" xr:uid="{00000000-0005-0000-0000-000060700000}"/>
    <cellStyle name="Porcentaje 2 2 3 2 2 2 3 2 2 3" xfId="28983" xr:uid="{00000000-0005-0000-0000-000061700000}"/>
    <cellStyle name="Porcentaje 2 2 3 2 2 2 3 2 3" xfId="14197" xr:uid="{00000000-0005-0000-0000-000062700000}"/>
    <cellStyle name="Porcentaje 2 2 3 2 2 2 3 2 3 2" xfId="33912" xr:uid="{00000000-0005-0000-0000-000063700000}"/>
    <cellStyle name="Porcentaje 2 2 3 2 2 2 3 2 4" xfId="24055" xr:uid="{00000000-0005-0000-0000-000064700000}"/>
    <cellStyle name="Porcentaje 2 2 3 2 2 2 3 3" xfId="6801" xr:uid="{00000000-0005-0000-0000-000065700000}"/>
    <cellStyle name="Porcentaje 2 2 3 2 2 2 3 3 2" xfId="16661" xr:uid="{00000000-0005-0000-0000-000066700000}"/>
    <cellStyle name="Porcentaje 2 2 3 2 2 2 3 3 2 2" xfId="36376" xr:uid="{00000000-0005-0000-0000-000067700000}"/>
    <cellStyle name="Porcentaje 2 2 3 2 2 2 3 3 3" xfId="26519" xr:uid="{00000000-0005-0000-0000-000068700000}"/>
    <cellStyle name="Porcentaje 2 2 3 2 2 2 3 4" xfId="11733" xr:uid="{00000000-0005-0000-0000-000069700000}"/>
    <cellStyle name="Porcentaje 2 2 3 2 2 2 3 4 2" xfId="31448" xr:uid="{00000000-0005-0000-0000-00006A700000}"/>
    <cellStyle name="Porcentaje 2 2 3 2 2 2 3 5" xfId="21591" xr:uid="{00000000-0005-0000-0000-00006B700000}"/>
    <cellStyle name="Porcentaje 2 2 3 2 2 2 4" xfId="3101" xr:uid="{00000000-0005-0000-0000-00006C700000}"/>
    <cellStyle name="Porcentaje 2 2 3 2 2 2 4 2" xfId="8033" xr:uid="{00000000-0005-0000-0000-00006D700000}"/>
    <cellStyle name="Porcentaje 2 2 3 2 2 2 4 2 2" xfId="17893" xr:uid="{00000000-0005-0000-0000-00006E700000}"/>
    <cellStyle name="Porcentaje 2 2 3 2 2 2 4 2 2 2" xfId="37608" xr:uid="{00000000-0005-0000-0000-00006F700000}"/>
    <cellStyle name="Porcentaje 2 2 3 2 2 2 4 2 3" xfId="27751" xr:uid="{00000000-0005-0000-0000-000070700000}"/>
    <cellStyle name="Porcentaje 2 2 3 2 2 2 4 3" xfId="12965" xr:uid="{00000000-0005-0000-0000-000071700000}"/>
    <cellStyle name="Porcentaje 2 2 3 2 2 2 4 3 2" xfId="32680" xr:uid="{00000000-0005-0000-0000-000072700000}"/>
    <cellStyle name="Porcentaje 2 2 3 2 2 2 4 4" xfId="22823" xr:uid="{00000000-0005-0000-0000-000073700000}"/>
    <cellStyle name="Porcentaje 2 2 3 2 2 2 5" xfId="5569" xr:uid="{00000000-0005-0000-0000-000074700000}"/>
    <cellStyle name="Porcentaje 2 2 3 2 2 2 5 2" xfId="15429" xr:uid="{00000000-0005-0000-0000-000075700000}"/>
    <cellStyle name="Porcentaje 2 2 3 2 2 2 5 2 2" xfId="35144" xr:uid="{00000000-0005-0000-0000-000076700000}"/>
    <cellStyle name="Porcentaje 2 2 3 2 2 2 5 3" xfId="25287" xr:uid="{00000000-0005-0000-0000-000077700000}"/>
    <cellStyle name="Porcentaje 2 2 3 2 2 2 6" xfId="10501" xr:uid="{00000000-0005-0000-0000-000078700000}"/>
    <cellStyle name="Porcentaje 2 2 3 2 2 2 6 2" xfId="30216" xr:uid="{00000000-0005-0000-0000-000079700000}"/>
    <cellStyle name="Porcentaje 2 2 3 2 2 2 7" xfId="20359" xr:uid="{00000000-0005-0000-0000-00007A700000}"/>
    <cellStyle name="Porcentaje 2 2 3 2 2 3" xfId="940" xr:uid="{00000000-0005-0000-0000-00007B700000}"/>
    <cellStyle name="Porcentaje 2 2 3 2 2 3 2" xfId="2176" xr:uid="{00000000-0005-0000-0000-00007C700000}"/>
    <cellStyle name="Porcentaje 2 2 3 2 2 3 2 2" xfId="4643" xr:uid="{00000000-0005-0000-0000-00007D700000}"/>
    <cellStyle name="Porcentaje 2 2 3 2 2 3 2 2 2" xfId="9575" xr:uid="{00000000-0005-0000-0000-00007E700000}"/>
    <cellStyle name="Porcentaje 2 2 3 2 2 3 2 2 2 2" xfId="19435" xr:uid="{00000000-0005-0000-0000-00007F700000}"/>
    <cellStyle name="Porcentaje 2 2 3 2 2 3 2 2 2 2 2" xfId="39150" xr:uid="{00000000-0005-0000-0000-000080700000}"/>
    <cellStyle name="Porcentaje 2 2 3 2 2 3 2 2 2 3" xfId="29293" xr:uid="{00000000-0005-0000-0000-000081700000}"/>
    <cellStyle name="Porcentaje 2 2 3 2 2 3 2 2 3" xfId="14507" xr:uid="{00000000-0005-0000-0000-000082700000}"/>
    <cellStyle name="Porcentaje 2 2 3 2 2 3 2 2 3 2" xfId="34222" xr:uid="{00000000-0005-0000-0000-000083700000}"/>
    <cellStyle name="Porcentaje 2 2 3 2 2 3 2 2 4" xfId="24365" xr:uid="{00000000-0005-0000-0000-000084700000}"/>
    <cellStyle name="Porcentaje 2 2 3 2 2 3 2 3" xfId="7111" xr:uid="{00000000-0005-0000-0000-000085700000}"/>
    <cellStyle name="Porcentaje 2 2 3 2 2 3 2 3 2" xfId="16971" xr:uid="{00000000-0005-0000-0000-000086700000}"/>
    <cellStyle name="Porcentaje 2 2 3 2 2 3 2 3 2 2" xfId="36686" xr:uid="{00000000-0005-0000-0000-000087700000}"/>
    <cellStyle name="Porcentaje 2 2 3 2 2 3 2 3 3" xfId="26829" xr:uid="{00000000-0005-0000-0000-000088700000}"/>
    <cellStyle name="Porcentaje 2 2 3 2 2 3 2 4" xfId="12043" xr:uid="{00000000-0005-0000-0000-000089700000}"/>
    <cellStyle name="Porcentaje 2 2 3 2 2 3 2 4 2" xfId="31758" xr:uid="{00000000-0005-0000-0000-00008A700000}"/>
    <cellStyle name="Porcentaje 2 2 3 2 2 3 2 5" xfId="21901" xr:uid="{00000000-0005-0000-0000-00008B700000}"/>
    <cellStyle name="Porcentaje 2 2 3 2 2 3 3" xfId="3411" xr:uid="{00000000-0005-0000-0000-00008C700000}"/>
    <cellStyle name="Porcentaje 2 2 3 2 2 3 3 2" xfId="8343" xr:uid="{00000000-0005-0000-0000-00008D700000}"/>
    <cellStyle name="Porcentaje 2 2 3 2 2 3 3 2 2" xfId="18203" xr:uid="{00000000-0005-0000-0000-00008E700000}"/>
    <cellStyle name="Porcentaje 2 2 3 2 2 3 3 2 2 2" xfId="37918" xr:uid="{00000000-0005-0000-0000-00008F700000}"/>
    <cellStyle name="Porcentaje 2 2 3 2 2 3 3 2 3" xfId="28061" xr:uid="{00000000-0005-0000-0000-000090700000}"/>
    <cellStyle name="Porcentaje 2 2 3 2 2 3 3 3" xfId="13275" xr:uid="{00000000-0005-0000-0000-000091700000}"/>
    <cellStyle name="Porcentaje 2 2 3 2 2 3 3 3 2" xfId="32990" xr:uid="{00000000-0005-0000-0000-000092700000}"/>
    <cellStyle name="Porcentaje 2 2 3 2 2 3 3 4" xfId="23133" xr:uid="{00000000-0005-0000-0000-000093700000}"/>
    <cellStyle name="Porcentaje 2 2 3 2 2 3 4" xfId="5879" xr:uid="{00000000-0005-0000-0000-000094700000}"/>
    <cellStyle name="Porcentaje 2 2 3 2 2 3 4 2" xfId="15739" xr:uid="{00000000-0005-0000-0000-000095700000}"/>
    <cellStyle name="Porcentaje 2 2 3 2 2 3 4 2 2" xfId="35454" xr:uid="{00000000-0005-0000-0000-000096700000}"/>
    <cellStyle name="Porcentaje 2 2 3 2 2 3 4 3" xfId="25597" xr:uid="{00000000-0005-0000-0000-000097700000}"/>
    <cellStyle name="Porcentaje 2 2 3 2 2 3 5" xfId="10811" xr:uid="{00000000-0005-0000-0000-000098700000}"/>
    <cellStyle name="Porcentaje 2 2 3 2 2 3 5 2" xfId="30526" xr:uid="{00000000-0005-0000-0000-000099700000}"/>
    <cellStyle name="Porcentaje 2 2 3 2 2 3 6" xfId="20669" xr:uid="{00000000-0005-0000-0000-00009A700000}"/>
    <cellStyle name="Porcentaje 2 2 3 2 2 4" xfId="1560" xr:uid="{00000000-0005-0000-0000-00009B700000}"/>
    <cellStyle name="Porcentaje 2 2 3 2 2 4 2" xfId="4027" xr:uid="{00000000-0005-0000-0000-00009C700000}"/>
    <cellStyle name="Porcentaje 2 2 3 2 2 4 2 2" xfId="8959" xr:uid="{00000000-0005-0000-0000-00009D700000}"/>
    <cellStyle name="Porcentaje 2 2 3 2 2 4 2 2 2" xfId="18819" xr:uid="{00000000-0005-0000-0000-00009E700000}"/>
    <cellStyle name="Porcentaje 2 2 3 2 2 4 2 2 2 2" xfId="38534" xr:uid="{00000000-0005-0000-0000-00009F700000}"/>
    <cellStyle name="Porcentaje 2 2 3 2 2 4 2 2 3" xfId="28677" xr:uid="{00000000-0005-0000-0000-0000A0700000}"/>
    <cellStyle name="Porcentaje 2 2 3 2 2 4 2 3" xfId="13891" xr:uid="{00000000-0005-0000-0000-0000A1700000}"/>
    <cellStyle name="Porcentaje 2 2 3 2 2 4 2 3 2" xfId="33606" xr:uid="{00000000-0005-0000-0000-0000A2700000}"/>
    <cellStyle name="Porcentaje 2 2 3 2 2 4 2 4" xfId="23749" xr:uid="{00000000-0005-0000-0000-0000A3700000}"/>
    <cellStyle name="Porcentaje 2 2 3 2 2 4 3" xfId="6495" xr:uid="{00000000-0005-0000-0000-0000A4700000}"/>
    <cellStyle name="Porcentaje 2 2 3 2 2 4 3 2" xfId="16355" xr:uid="{00000000-0005-0000-0000-0000A5700000}"/>
    <cellStyle name="Porcentaje 2 2 3 2 2 4 3 2 2" xfId="36070" xr:uid="{00000000-0005-0000-0000-0000A6700000}"/>
    <cellStyle name="Porcentaje 2 2 3 2 2 4 3 3" xfId="26213" xr:uid="{00000000-0005-0000-0000-0000A7700000}"/>
    <cellStyle name="Porcentaje 2 2 3 2 2 4 4" xfId="11427" xr:uid="{00000000-0005-0000-0000-0000A8700000}"/>
    <cellStyle name="Porcentaje 2 2 3 2 2 4 4 2" xfId="31142" xr:uid="{00000000-0005-0000-0000-0000A9700000}"/>
    <cellStyle name="Porcentaje 2 2 3 2 2 4 5" xfId="21285" xr:uid="{00000000-0005-0000-0000-0000AA700000}"/>
    <cellStyle name="Porcentaje 2 2 3 2 2 5" xfId="2795" xr:uid="{00000000-0005-0000-0000-0000AB700000}"/>
    <cellStyle name="Porcentaje 2 2 3 2 2 5 2" xfId="7727" xr:uid="{00000000-0005-0000-0000-0000AC700000}"/>
    <cellStyle name="Porcentaje 2 2 3 2 2 5 2 2" xfId="17587" xr:uid="{00000000-0005-0000-0000-0000AD700000}"/>
    <cellStyle name="Porcentaje 2 2 3 2 2 5 2 2 2" xfId="37302" xr:uid="{00000000-0005-0000-0000-0000AE700000}"/>
    <cellStyle name="Porcentaje 2 2 3 2 2 5 2 3" xfId="27445" xr:uid="{00000000-0005-0000-0000-0000AF700000}"/>
    <cellStyle name="Porcentaje 2 2 3 2 2 5 3" xfId="12659" xr:uid="{00000000-0005-0000-0000-0000B0700000}"/>
    <cellStyle name="Porcentaje 2 2 3 2 2 5 3 2" xfId="32374" xr:uid="{00000000-0005-0000-0000-0000B1700000}"/>
    <cellStyle name="Porcentaje 2 2 3 2 2 5 4" xfId="22517" xr:uid="{00000000-0005-0000-0000-0000B2700000}"/>
    <cellStyle name="Porcentaje 2 2 3 2 2 6" xfId="5263" xr:uid="{00000000-0005-0000-0000-0000B3700000}"/>
    <cellStyle name="Porcentaje 2 2 3 2 2 6 2" xfId="15123" xr:uid="{00000000-0005-0000-0000-0000B4700000}"/>
    <cellStyle name="Porcentaje 2 2 3 2 2 6 2 2" xfId="34838" xr:uid="{00000000-0005-0000-0000-0000B5700000}"/>
    <cellStyle name="Porcentaje 2 2 3 2 2 6 3" xfId="24981" xr:uid="{00000000-0005-0000-0000-0000B6700000}"/>
    <cellStyle name="Porcentaje 2 2 3 2 2 7" xfId="10195" xr:uid="{00000000-0005-0000-0000-0000B7700000}"/>
    <cellStyle name="Porcentaje 2 2 3 2 2 7 2" xfId="29910" xr:uid="{00000000-0005-0000-0000-0000B8700000}"/>
    <cellStyle name="Porcentaje 2 2 3 2 2 8" xfId="20053" xr:uid="{00000000-0005-0000-0000-0000B9700000}"/>
    <cellStyle name="Porcentaje 2 2 3 2 3" xfId="475" xr:uid="{00000000-0005-0000-0000-0000BA700000}"/>
    <cellStyle name="Porcentaje 2 2 3 2 3 2" xfId="1095" xr:uid="{00000000-0005-0000-0000-0000BB700000}"/>
    <cellStyle name="Porcentaje 2 2 3 2 3 2 2" xfId="2330" xr:uid="{00000000-0005-0000-0000-0000BC700000}"/>
    <cellStyle name="Porcentaje 2 2 3 2 3 2 2 2" xfId="4797" xr:uid="{00000000-0005-0000-0000-0000BD700000}"/>
    <cellStyle name="Porcentaje 2 2 3 2 3 2 2 2 2" xfId="9729" xr:uid="{00000000-0005-0000-0000-0000BE700000}"/>
    <cellStyle name="Porcentaje 2 2 3 2 3 2 2 2 2 2" xfId="19589" xr:uid="{00000000-0005-0000-0000-0000BF700000}"/>
    <cellStyle name="Porcentaje 2 2 3 2 3 2 2 2 2 2 2" xfId="39304" xr:uid="{00000000-0005-0000-0000-0000C0700000}"/>
    <cellStyle name="Porcentaje 2 2 3 2 3 2 2 2 2 3" xfId="29447" xr:uid="{00000000-0005-0000-0000-0000C1700000}"/>
    <cellStyle name="Porcentaje 2 2 3 2 3 2 2 2 3" xfId="14661" xr:uid="{00000000-0005-0000-0000-0000C2700000}"/>
    <cellStyle name="Porcentaje 2 2 3 2 3 2 2 2 3 2" xfId="34376" xr:uid="{00000000-0005-0000-0000-0000C3700000}"/>
    <cellStyle name="Porcentaje 2 2 3 2 3 2 2 2 4" xfId="24519" xr:uid="{00000000-0005-0000-0000-0000C4700000}"/>
    <cellStyle name="Porcentaje 2 2 3 2 3 2 2 3" xfId="7265" xr:uid="{00000000-0005-0000-0000-0000C5700000}"/>
    <cellStyle name="Porcentaje 2 2 3 2 3 2 2 3 2" xfId="17125" xr:uid="{00000000-0005-0000-0000-0000C6700000}"/>
    <cellStyle name="Porcentaje 2 2 3 2 3 2 2 3 2 2" xfId="36840" xr:uid="{00000000-0005-0000-0000-0000C7700000}"/>
    <cellStyle name="Porcentaje 2 2 3 2 3 2 2 3 3" xfId="26983" xr:uid="{00000000-0005-0000-0000-0000C8700000}"/>
    <cellStyle name="Porcentaje 2 2 3 2 3 2 2 4" xfId="12197" xr:uid="{00000000-0005-0000-0000-0000C9700000}"/>
    <cellStyle name="Porcentaje 2 2 3 2 3 2 2 4 2" xfId="31912" xr:uid="{00000000-0005-0000-0000-0000CA700000}"/>
    <cellStyle name="Porcentaje 2 2 3 2 3 2 2 5" xfId="22055" xr:uid="{00000000-0005-0000-0000-0000CB700000}"/>
    <cellStyle name="Porcentaje 2 2 3 2 3 2 3" xfId="3565" xr:uid="{00000000-0005-0000-0000-0000CC700000}"/>
    <cellStyle name="Porcentaje 2 2 3 2 3 2 3 2" xfId="8497" xr:uid="{00000000-0005-0000-0000-0000CD700000}"/>
    <cellStyle name="Porcentaje 2 2 3 2 3 2 3 2 2" xfId="18357" xr:uid="{00000000-0005-0000-0000-0000CE700000}"/>
    <cellStyle name="Porcentaje 2 2 3 2 3 2 3 2 2 2" xfId="38072" xr:uid="{00000000-0005-0000-0000-0000CF700000}"/>
    <cellStyle name="Porcentaje 2 2 3 2 3 2 3 2 3" xfId="28215" xr:uid="{00000000-0005-0000-0000-0000D0700000}"/>
    <cellStyle name="Porcentaje 2 2 3 2 3 2 3 3" xfId="13429" xr:uid="{00000000-0005-0000-0000-0000D1700000}"/>
    <cellStyle name="Porcentaje 2 2 3 2 3 2 3 3 2" xfId="33144" xr:uid="{00000000-0005-0000-0000-0000D2700000}"/>
    <cellStyle name="Porcentaje 2 2 3 2 3 2 3 4" xfId="23287" xr:uid="{00000000-0005-0000-0000-0000D3700000}"/>
    <cellStyle name="Porcentaje 2 2 3 2 3 2 4" xfId="6033" xr:uid="{00000000-0005-0000-0000-0000D4700000}"/>
    <cellStyle name="Porcentaje 2 2 3 2 3 2 4 2" xfId="15893" xr:uid="{00000000-0005-0000-0000-0000D5700000}"/>
    <cellStyle name="Porcentaje 2 2 3 2 3 2 4 2 2" xfId="35608" xr:uid="{00000000-0005-0000-0000-0000D6700000}"/>
    <cellStyle name="Porcentaje 2 2 3 2 3 2 4 3" xfId="25751" xr:uid="{00000000-0005-0000-0000-0000D7700000}"/>
    <cellStyle name="Porcentaje 2 2 3 2 3 2 5" xfId="10965" xr:uid="{00000000-0005-0000-0000-0000D8700000}"/>
    <cellStyle name="Porcentaje 2 2 3 2 3 2 5 2" xfId="30680" xr:uid="{00000000-0005-0000-0000-0000D9700000}"/>
    <cellStyle name="Porcentaje 2 2 3 2 3 2 6" xfId="20823" xr:uid="{00000000-0005-0000-0000-0000DA700000}"/>
    <cellStyle name="Porcentaje 2 2 3 2 3 3" xfId="1714" xr:uid="{00000000-0005-0000-0000-0000DB700000}"/>
    <cellStyle name="Porcentaje 2 2 3 2 3 3 2" xfId="4181" xr:uid="{00000000-0005-0000-0000-0000DC700000}"/>
    <cellStyle name="Porcentaje 2 2 3 2 3 3 2 2" xfId="9113" xr:uid="{00000000-0005-0000-0000-0000DD700000}"/>
    <cellStyle name="Porcentaje 2 2 3 2 3 3 2 2 2" xfId="18973" xr:uid="{00000000-0005-0000-0000-0000DE700000}"/>
    <cellStyle name="Porcentaje 2 2 3 2 3 3 2 2 2 2" xfId="38688" xr:uid="{00000000-0005-0000-0000-0000DF700000}"/>
    <cellStyle name="Porcentaje 2 2 3 2 3 3 2 2 3" xfId="28831" xr:uid="{00000000-0005-0000-0000-0000E0700000}"/>
    <cellStyle name="Porcentaje 2 2 3 2 3 3 2 3" xfId="14045" xr:uid="{00000000-0005-0000-0000-0000E1700000}"/>
    <cellStyle name="Porcentaje 2 2 3 2 3 3 2 3 2" xfId="33760" xr:uid="{00000000-0005-0000-0000-0000E2700000}"/>
    <cellStyle name="Porcentaje 2 2 3 2 3 3 2 4" xfId="23903" xr:uid="{00000000-0005-0000-0000-0000E3700000}"/>
    <cellStyle name="Porcentaje 2 2 3 2 3 3 3" xfId="6649" xr:uid="{00000000-0005-0000-0000-0000E4700000}"/>
    <cellStyle name="Porcentaje 2 2 3 2 3 3 3 2" xfId="16509" xr:uid="{00000000-0005-0000-0000-0000E5700000}"/>
    <cellStyle name="Porcentaje 2 2 3 2 3 3 3 2 2" xfId="36224" xr:uid="{00000000-0005-0000-0000-0000E6700000}"/>
    <cellStyle name="Porcentaje 2 2 3 2 3 3 3 3" xfId="26367" xr:uid="{00000000-0005-0000-0000-0000E7700000}"/>
    <cellStyle name="Porcentaje 2 2 3 2 3 3 4" xfId="11581" xr:uid="{00000000-0005-0000-0000-0000E8700000}"/>
    <cellStyle name="Porcentaje 2 2 3 2 3 3 4 2" xfId="31296" xr:uid="{00000000-0005-0000-0000-0000E9700000}"/>
    <cellStyle name="Porcentaje 2 2 3 2 3 3 5" xfId="21439" xr:uid="{00000000-0005-0000-0000-0000EA700000}"/>
    <cellStyle name="Porcentaje 2 2 3 2 3 4" xfId="2949" xr:uid="{00000000-0005-0000-0000-0000EB700000}"/>
    <cellStyle name="Porcentaje 2 2 3 2 3 4 2" xfId="7881" xr:uid="{00000000-0005-0000-0000-0000EC700000}"/>
    <cellStyle name="Porcentaje 2 2 3 2 3 4 2 2" xfId="17741" xr:uid="{00000000-0005-0000-0000-0000ED700000}"/>
    <cellStyle name="Porcentaje 2 2 3 2 3 4 2 2 2" xfId="37456" xr:uid="{00000000-0005-0000-0000-0000EE700000}"/>
    <cellStyle name="Porcentaje 2 2 3 2 3 4 2 3" xfId="27599" xr:uid="{00000000-0005-0000-0000-0000EF700000}"/>
    <cellStyle name="Porcentaje 2 2 3 2 3 4 3" xfId="12813" xr:uid="{00000000-0005-0000-0000-0000F0700000}"/>
    <cellStyle name="Porcentaje 2 2 3 2 3 4 3 2" xfId="32528" xr:uid="{00000000-0005-0000-0000-0000F1700000}"/>
    <cellStyle name="Porcentaje 2 2 3 2 3 4 4" xfId="22671" xr:uid="{00000000-0005-0000-0000-0000F2700000}"/>
    <cellStyle name="Porcentaje 2 2 3 2 3 5" xfId="5417" xr:uid="{00000000-0005-0000-0000-0000F3700000}"/>
    <cellStyle name="Porcentaje 2 2 3 2 3 5 2" xfId="15277" xr:uid="{00000000-0005-0000-0000-0000F4700000}"/>
    <cellStyle name="Porcentaje 2 2 3 2 3 5 2 2" xfId="34992" xr:uid="{00000000-0005-0000-0000-0000F5700000}"/>
    <cellStyle name="Porcentaje 2 2 3 2 3 5 3" xfId="25135" xr:uid="{00000000-0005-0000-0000-0000F6700000}"/>
    <cellStyle name="Porcentaje 2 2 3 2 3 6" xfId="10349" xr:uid="{00000000-0005-0000-0000-0000F7700000}"/>
    <cellStyle name="Porcentaje 2 2 3 2 3 6 2" xfId="30064" xr:uid="{00000000-0005-0000-0000-0000F8700000}"/>
    <cellStyle name="Porcentaje 2 2 3 2 3 7" xfId="20207" xr:uid="{00000000-0005-0000-0000-0000F9700000}"/>
    <cellStyle name="Porcentaje 2 2 3 2 4" xfId="788" xr:uid="{00000000-0005-0000-0000-0000FA700000}"/>
    <cellStyle name="Porcentaje 2 2 3 2 4 2" xfId="2024" xr:uid="{00000000-0005-0000-0000-0000FB700000}"/>
    <cellStyle name="Porcentaje 2 2 3 2 4 2 2" xfId="4491" xr:uid="{00000000-0005-0000-0000-0000FC700000}"/>
    <cellStyle name="Porcentaje 2 2 3 2 4 2 2 2" xfId="9423" xr:uid="{00000000-0005-0000-0000-0000FD700000}"/>
    <cellStyle name="Porcentaje 2 2 3 2 4 2 2 2 2" xfId="19283" xr:uid="{00000000-0005-0000-0000-0000FE700000}"/>
    <cellStyle name="Porcentaje 2 2 3 2 4 2 2 2 2 2" xfId="38998" xr:uid="{00000000-0005-0000-0000-0000FF700000}"/>
    <cellStyle name="Porcentaje 2 2 3 2 4 2 2 2 3" xfId="29141" xr:uid="{00000000-0005-0000-0000-000000710000}"/>
    <cellStyle name="Porcentaje 2 2 3 2 4 2 2 3" xfId="14355" xr:uid="{00000000-0005-0000-0000-000001710000}"/>
    <cellStyle name="Porcentaje 2 2 3 2 4 2 2 3 2" xfId="34070" xr:uid="{00000000-0005-0000-0000-000002710000}"/>
    <cellStyle name="Porcentaje 2 2 3 2 4 2 2 4" xfId="24213" xr:uid="{00000000-0005-0000-0000-000003710000}"/>
    <cellStyle name="Porcentaje 2 2 3 2 4 2 3" xfId="6959" xr:uid="{00000000-0005-0000-0000-000004710000}"/>
    <cellStyle name="Porcentaje 2 2 3 2 4 2 3 2" xfId="16819" xr:uid="{00000000-0005-0000-0000-000005710000}"/>
    <cellStyle name="Porcentaje 2 2 3 2 4 2 3 2 2" xfId="36534" xr:uid="{00000000-0005-0000-0000-000006710000}"/>
    <cellStyle name="Porcentaje 2 2 3 2 4 2 3 3" xfId="26677" xr:uid="{00000000-0005-0000-0000-000007710000}"/>
    <cellStyle name="Porcentaje 2 2 3 2 4 2 4" xfId="11891" xr:uid="{00000000-0005-0000-0000-000008710000}"/>
    <cellStyle name="Porcentaje 2 2 3 2 4 2 4 2" xfId="31606" xr:uid="{00000000-0005-0000-0000-000009710000}"/>
    <cellStyle name="Porcentaje 2 2 3 2 4 2 5" xfId="21749" xr:uid="{00000000-0005-0000-0000-00000A710000}"/>
    <cellStyle name="Porcentaje 2 2 3 2 4 3" xfId="3259" xr:uid="{00000000-0005-0000-0000-00000B710000}"/>
    <cellStyle name="Porcentaje 2 2 3 2 4 3 2" xfId="8191" xr:uid="{00000000-0005-0000-0000-00000C710000}"/>
    <cellStyle name="Porcentaje 2 2 3 2 4 3 2 2" xfId="18051" xr:uid="{00000000-0005-0000-0000-00000D710000}"/>
    <cellStyle name="Porcentaje 2 2 3 2 4 3 2 2 2" xfId="37766" xr:uid="{00000000-0005-0000-0000-00000E710000}"/>
    <cellStyle name="Porcentaje 2 2 3 2 4 3 2 3" xfId="27909" xr:uid="{00000000-0005-0000-0000-00000F710000}"/>
    <cellStyle name="Porcentaje 2 2 3 2 4 3 3" xfId="13123" xr:uid="{00000000-0005-0000-0000-000010710000}"/>
    <cellStyle name="Porcentaje 2 2 3 2 4 3 3 2" xfId="32838" xr:uid="{00000000-0005-0000-0000-000011710000}"/>
    <cellStyle name="Porcentaje 2 2 3 2 4 3 4" xfId="22981" xr:uid="{00000000-0005-0000-0000-000012710000}"/>
    <cellStyle name="Porcentaje 2 2 3 2 4 4" xfId="5727" xr:uid="{00000000-0005-0000-0000-000013710000}"/>
    <cellStyle name="Porcentaje 2 2 3 2 4 4 2" xfId="15587" xr:uid="{00000000-0005-0000-0000-000014710000}"/>
    <cellStyle name="Porcentaje 2 2 3 2 4 4 2 2" xfId="35302" xr:uid="{00000000-0005-0000-0000-000015710000}"/>
    <cellStyle name="Porcentaje 2 2 3 2 4 4 3" xfId="25445" xr:uid="{00000000-0005-0000-0000-000016710000}"/>
    <cellStyle name="Porcentaje 2 2 3 2 4 5" xfId="10659" xr:uid="{00000000-0005-0000-0000-000017710000}"/>
    <cellStyle name="Porcentaje 2 2 3 2 4 5 2" xfId="30374" xr:uid="{00000000-0005-0000-0000-000018710000}"/>
    <cellStyle name="Porcentaje 2 2 3 2 4 6" xfId="20517" xr:uid="{00000000-0005-0000-0000-000019710000}"/>
    <cellStyle name="Porcentaje 2 2 3 2 5" xfId="1408" xr:uid="{00000000-0005-0000-0000-00001A710000}"/>
    <cellStyle name="Porcentaje 2 2 3 2 5 2" xfId="3875" xr:uid="{00000000-0005-0000-0000-00001B710000}"/>
    <cellStyle name="Porcentaje 2 2 3 2 5 2 2" xfId="8807" xr:uid="{00000000-0005-0000-0000-00001C710000}"/>
    <cellStyle name="Porcentaje 2 2 3 2 5 2 2 2" xfId="18667" xr:uid="{00000000-0005-0000-0000-00001D710000}"/>
    <cellStyle name="Porcentaje 2 2 3 2 5 2 2 2 2" xfId="38382" xr:uid="{00000000-0005-0000-0000-00001E710000}"/>
    <cellStyle name="Porcentaje 2 2 3 2 5 2 2 3" xfId="28525" xr:uid="{00000000-0005-0000-0000-00001F710000}"/>
    <cellStyle name="Porcentaje 2 2 3 2 5 2 3" xfId="13739" xr:uid="{00000000-0005-0000-0000-000020710000}"/>
    <cellStyle name="Porcentaje 2 2 3 2 5 2 3 2" xfId="33454" xr:uid="{00000000-0005-0000-0000-000021710000}"/>
    <cellStyle name="Porcentaje 2 2 3 2 5 2 4" xfId="23597" xr:uid="{00000000-0005-0000-0000-000022710000}"/>
    <cellStyle name="Porcentaje 2 2 3 2 5 3" xfId="6343" xr:uid="{00000000-0005-0000-0000-000023710000}"/>
    <cellStyle name="Porcentaje 2 2 3 2 5 3 2" xfId="16203" xr:uid="{00000000-0005-0000-0000-000024710000}"/>
    <cellStyle name="Porcentaje 2 2 3 2 5 3 2 2" xfId="35918" xr:uid="{00000000-0005-0000-0000-000025710000}"/>
    <cellStyle name="Porcentaje 2 2 3 2 5 3 3" xfId="26061" xr:uid="{00000000-0005-0000-0000-000026710000}"/>
    <cellStyle name="Porcentaje 2 2 3 2 5 4" xfId="11275" xr:uid="{00000000-0005-0000-0000-000027710000}"/>
    <cellStyle name="Porcentaje 2 2 3 2 5 4 2" xfId="30990" xr:uid="{00000000-0005-0000-0000-000028710000}"/>
    <cellStyle name="Porcentaje 2 2 3 2 5 5" xfId="21133" xr:uid="{00000000-0005-0000-0000-000029710000}"/>
    <cellStyle name="Porcentaje 2 2 3 2 6" xfId="2643" xr:uid="{00000000-0005-0000-0000-00002A710000}"/>
    <cellStyle name="Porcentaje 2 2 3 2 6 2" xfId="7575" xr:uid="{00000000-0005-0000-0000-00002B710000}"/>
    <cellStyle name="Porcentaje 2 2 3 2 6 2 2" xfId="17435" xr:uid="{00000000-0005-0000-0000-00002C710000}"/>
    <cellStyle name="Porcentaje 2 2 3 2 6 2 2 2" xfId="37150" xr:uid="{00000000-0005-0000-0000-00002D710000}"/>
    <cellStyle name="Porcentaje 2 2 3 2 6 2 3" xfId="27293" xr:uid="{00000000-0005-0000-0000-00002E710000}"/>
    <cellStyle name="Porcentaje 2 2 3 2 6 3" xfId="12507" xr:uid="{00000000-0005-0000-0000-00002F710000}"/>
    <cellStyle name="Porcentaje 2 2 3 2 6 3 2" xfId="32222" xr:uid="{00000000-0005-0000-0000-000030710000}"/>
    <cellStyle name="Porcentaje 2 2 3 2 6 4" xfId="22365" xr:uid="{00000000-0005-0000-0000-000031710000}"/>
    <cellStyle name="Porcentaje 2 2 3 2 7" xfId="5111" xr:uid="{00000000-0005-0000-0000-000032710000}"/>
    <cellStyle name="Porcentaje 2 2 3 2 7 2" xfId="14971" xr:uid="{00000000-0005-0000-0000-000033710000}"/>
    <cellStyle name="Porcentaje 2 2 3 2 7 2 2" xfId="34686" xr:uid="{00000000-0005-0000-0000-000034710000}"/>
    <cellStyle name="Porcentaje 2 2 3 2 7 3" xfId="24829" xr:uid="{00000000-0005-0000-0000-000035710000}"/>
    <cellStyle name="Porcentaje 2 2 3 2 8" xfId="10043" xr:uid="{00000000-0005-0000-0000-000036710000}"/>
    <cellStyle name="Porcentaje 2 2 3 2 8 2" xfId="29758" xr:uid="{00000000-0005-0000-0000-000037710000}"/>
    <cellStyle name="Porcentaje 2 2 3 2 9" xfId="19901" xr:uid="{00000000-0005-0000-0000-000038710000}"/>
    <cellStyle name="Porcentaje 2 2 3 3" xfId="237" xr:uid="{00000000-0005-0000-0000-000039710000}"/>
    <cellStyle name="Porcentaje 2 2 3 3 2" xfId="551" xr:uid="{00000000-0005-0000-0000-00003A710000}"/>
    <cellStyle name="Porcentaje 2 2 3 3 2 2" xfId="1171" xr:uid="{00000000-0005-0000-0000-00003B710000}"/>
    <cellStyle name="Porcentaje 2 2 3 3 2 2 2" xfId="2406" xr:uid="{00000000-0005-0000-0000-00003C710000}"/>
    <cellStyle name="Porcentaje 2 2 3 3 2 2 2 2" xfId="4873" xr:uid="{00000000-0005-0000-0000-00003D710000}"/>
    <cellStyle name="Porcentaje 2 2 3 3 2 2 2 2 2" xfId="9805" xr:uid="{00000000-0005-0000-0000-00003E710000}"/>
    <cellStyle name="Porcentaje 2 2 3 3 2 2 2 2 2 2" xfId="19665" xr:uid="{00000000-0005-0000-0000-00003F710000}"/>
    <cellStyle name="Porcentaje 2 2 3 3 2 2 2 2 2 2 2" xfId="39380" xr:uid="{00000000-0005-0000-0000-000040710000}"/>
    <cellStyle name="Porcentaje 2 2 3 3 2 2 2 2 2 3" xfId="29523" xr:uid="{00000000-0005-0000-0000-000041710000}"/>
    <cellStyle name="Porcentaje 2 2 3 3 2 2 2 2 3" xfId="14737" xr:uid="{00000000-0005-0000-0000-000042710000}"/>
    <cellStyle name="Porcentaje 2 2 3 3 2 2 2 2 3 2" xfId="34452" xr:uid="{00000000-0005-0000-0000-000043710000}"/>
    <cellStyle name="Porcentaje 2 2 3 3 2 2 2 2 4" xfId="24595" xr:uid="{00000000-0005-0000-0000-000044710000}"/>
    <cellStyle name="Porcentaje 2 2 3 3 2 2 2 3" xfId="7341" xr:uid="{00000000-0005-0000-0000-000045710000}"/>
    <cellStyle name="Porcentaje 2 2 3 3 2 2 2 3 2" xfId="17201" xr:uid="{00000000-0005-0000-0000-000046710000}"/>
    <cellStyle name="Porcentaje 2 2 3 3 2 2 2 3 2 2" xfId="36916" xr:uid="{00000000-0005-0000-0000-000047710000}"/>
    <cellStyle name="Porcentaje 2 2 3 3 2 2 2 3 3" xfId="27059" xr:uid="{00000000-0005-0000-0000-000048710000}"/>
    <cellStyle name="Porcentaje 2 2 3 3 2 2 2 4" xfId="12273" xr:uid="{00000000-0005-0000-0000-000049710000}"/>
    <cellStyle name="Porcentaje 2 2 3 3 2 2 2 4 2" xfId="31988" xr:uid="{00000000-0005-0000-0000-00004A710000}"/>
    <cellStyle name="Porcentaje 2 2 3 3 2 2 2 5" xfId="22131" xr:uid="{00000000-0005-0000-0000-00004B710000}"/>
    <cellStyle name="Porcentaje 2 2 3 3 2 2 3" xfId="3641" xr:uid="{00000000-0005-0000-0000-00004C710000}"/>
    <cellStyle name="Porcentaje 2 2 3 3 2 2 3 2" xfId="8573" xr:uid="{00000000-0005-0000-0000-00004D710000}"/>
    <cellStyle name="Porcentaje 2 2 3 3 2 2 3 2 2" xfId="18433" xr:uid="{00000000-0005-0000-0000-00004E710000}"/>
    <cellStyle name="Porcentaje 2 2 3 3 2 2 3 2 2 2" xfId="38148" xr:uid="{00000000-0005-0000-0000-00004F710000}"/>
    <cellStyle name="Porcentaje 2 2 3 3 2 2 3 2 3" xfId="28291" xr:uid="{00000000-0005-0000-0000-000050710000}"/>
    <cellStyle name="Porcentaje 2 2 3 3 2 2 3 3" xfId="13505" xr:uid="{00000000-0005-0000-0000-000051710000}"/>
    <cellStyle name="Porcentaje 2 2 3 3 2 2 3 3 2" xfId="33220" xr:uid="{00000000-0005-0000-0000-000052710000}"/>
    <cellStyle name="Porcentaje 2 2 3 3 2 2 3 4" xfId="23363" xr:uid="{00000000-0005-0000-0000-000053710000}"/>
    <cellStyle name="Porcentaje 2 2 3 3 2 2 4" xfId="6109" xr:uid="{00000000-0005-0000-0000-000054710000}"/>
    <cellStyle name="Porcentaje 2 2 3 3 2 2 4 2" xfId="15969" xr:uid="{00000000-0005-0000-0000-000055710000}"/>
    <cellStyle name="Porcentaje 2 2 3 3 2 2 4 2 2" xfId="35684" xr:uid="{00000000-0005-0000-0000-000056710000}"/>
    <cellStyle name="Porcentaje 2 2 3 3 2 2 4 3" xfId="25827" xr:uid="{00000000-0005-0000-0000-000057710000}"/>
    <cellStyle name="Porcentaje 2 2 3 3 2 2 5" xfId="11041" xr:uid="{00000000-0005-0000-0000-000058710000}"/>
    <cellStyle name="Porcentaje 2 2 3 3 2 2 5 2" xfId="30756" xr:uid="{00000000-0005-0000-0000-000059710000}"/>
    <cellStyle name="Porcentaje 2 2 3 3 2 2 6" xfId="20899" xr:uid="{00000000-0005-0000-0000-00005A710000}"/>
    <cellStyle name="Porcentaje 2 2 3 3 2 3" xfId="1790" xr:uid="{00000000-0005-0000-0000-00005B710000}"/>
    <cellStyle name="Porcentaje 2 2 3 3 2 3 2" xfId="4257" xr:uid="{00000000-0005-0000-0000-00005C710000}"/>
    <cellStyle name="Porcentaje 2 2 3 3 2 3 2 2" xfId="9189" xr:uid="{00000000-0005-0000-0000-00005D710000}"/>
    <cellStyle name="Porcentaje 2 2 3 3 2 3 2 2 2" xfId="19049" xr:uid="{00000000-0005-0000-0000-00005E710000}"/>
    <cellStyle name="Porcentaje 2 2 3 3 2 3 2 2 2 2" xfId="38764" xr:uid="{00000000-0005-0000-0000-00005F710000}"/>
    <cellStyle name="Porcentaje 2 2 3 3 2 3 2 2 3" xfId="28907" xr:uid="{00000000-0005-0000-0000-000060710000}"/>
    <cellStyle name="Porcentaje 2 2 3 3 2 3 2 3" xfId="14121" xr:uid="{00000000-0005-0000-0000-000061710000}"/>
    <cellStyle name="Porcentaje 2 2 3 3 2 3 2 3 2" xfId="33836" xr:uid="{00000000-0005-0000-0000-000062710000}"/>
    <cellStyle name="Porcentaje 2 2 3 3 2 3 2 4" xfId="23979" xr:uid="{00000000-0005-0000-0000-000063710000}"/>
    <cellStyle name="Porcentaje 2 2 3 3 2 3 3" xfId="6725" xr:uid="{00000000-0005-0000-0000-000064710000}"/>
    <cellStyle name="Porcentaje 2 2 3 3 2 3 3 2" xfId="16585" xr:uid="{00000000-0005-0000-0000-000065710000}"/>
    <cellStyle name="Porcentaje 2 2 3 3 2 3 3 2 2" xfId="36300" xr:uid="{00000000-0005-0000-0000-000066710000}"/>
    <cellStyle name="Porcentaje 2 2 3 3 2 3 3 3" xfId="26443" xr:uid="{00000000-0005-0000-0000-000067710000}"/>
    <cellStyle name="Porcentaje 2 2 3 3 2 3 4" xfId="11657" xr:uid="{00000000-0005-0000-0000-000068710000}"/>
    <cellStyle name="Porcentaje 2 2 3 3 2 3 4 2" xfId="31372" xr:uid="{00000000-0005-0000-0000-000069710000}"/>
    <cellStyle name="Porcentaje 2 2 3 3 2 3 5" xfId="21515" xr:uid="{00000000-0005-0000-0000-00006A710000}"/>
    <cellStyle name="Porcentaje 2 2 3 3 2 4" xfId="3025" xr:uid="{00000000-0005-0000-0000-00006B710000}"/>
    <cellStyle name="Porcentaje 2 2 3 3 2 4 2" xfId="7957" xr:uid="{00000000-0005-0000-0000-00006C710000}"/>
    <cellStyle name="Porcentaje 2 2 3 3 2 4 2 2" xfId="17817" xr:uid="{00000000-0005-0000-0000-00006D710000}"/>
    <cellStyle name="Porcentaje 2 2 3 3 2 4 2 2 2" xfId="37532" xr:uid="{00000000-0005-0000-0000-00006E710000}"/>
    <cellStyle name="Porcentaje 2 2 3 3 2 4 2 3" xfId="27675" xr:uid="{00000000-0005-0000-0000-00006F710000}"/>
    <cellStyle name="Porcentaje 2 2 3 3 2 4 3" xfId="12889" xr:uid="{00000000-0005-0000-0000-000070710000}"/>
    <cellStyle name="Porcentaje 2 2 3 3 2 4 3 2" xfId="32604" xr:uid="{00000000-0005-0000-0000-000071710000}"/>
    <cellStyle name="Porcentaje 2 2 3 3 2 4 4" xfId="22747" xr:uid="{00000000-0005-0000-0000-000072710000}"/>
    <cellStyle name="Porcentaje 2 2 3 3 2 5" xfId="5493" xr:uid="{00000000-0005-0000-0000-000073710000}"/>
    <cellStyle name="Porcentaje 2 2 3 3 2 5 2" xfId="15353" xr:uid="{00000000-0005-0000-0000-000074710000}"/>
    <cellStyle name="Porcentaje 2 2 3 3 2 5 2 2" xfId="35068" xr:uid="{00000000-0005-0000-0000-000075710000}"/>
    <cellStyle name="Porcentaje 2 2 3 3 2 5 3" xfId="25211" xr:uid="{00000000-0005-0000-0000-000076710000}"/>
    <cellStyle name="Porcentaje 2 2 3 3 2 6" xfId="10425" xr:uid="{00000000-0005-0000-0000-000077710000}"/>
    <cellStyle name="Porcentaje 2 2 3 3 2 6 2" xfId="30140" xr:uid="{00000000-0005-0000-0000-000078710000}"/>
    <cellStyle name="Porcentaje 2 2 3 3 2 7" xfId="20283" xr:uid="{00000000-0005-0000-0000-000079710000}"/>
    <cellStyle name="Porcentaje 2 2 3 3 3" xfId="864" xr:uid="{00000000-0005-0000-0000-00007A710000}"/>
    <cellStyle name="Porcentaje 2 2 3 3 3 2" xfId="2100" xr:uid="{00000000-0005-0000-0000-00007B710000}"/>
    <cellStyle name="Porcentaje 2 2 3 3 3 2 2" xfId="4567" xr:uid="{00000000-0005-0000-0000-00007C710000}"/>
    <cellStyle name="Porcentaje 2 2 3 3 3 2 2 2" xfId="9499" xr:uid="{00000000-0005-0000-0000-00007D710000}"/>
    <cellStyle name="Porcentaje 2 2 3 3 3 2 2 2 2" xfId="19359" xr:uid="{00000000-0005-0000-0000-00007E710000}"/>
    <cellStyle name="Porcentaje 2 2 3 3 3 2 2 2 2 2" xfId="39074" xr:uid="{00000000-0005-0000-0000-00007F710000}"/>
    <cellStyle name="Porcentaje 2 2 3 3 3 2 2 2 3" xfId="29217" xr:uid="{00000000-0005-0000-0000-000080710000}"/>
    <cellStyle name="Porcentaje 2 2 3 3 3 2 2 3" xfId="14431" xr:uid="{00000000-0005-0000-0000-000081710000}"/>
    <cellStyle name="Porcentaje 2 2 3 3 3 2 2 3 2" xfId="34146" xr:uid="{00000000-0005-0000-0000-000082710000}"/>
    <cellStyle name="Porcentaje 2 2 3 3 3 2 2 4" xfId="24289" xr:uid="{00000000-0005-0000-0000-000083710000}"/>
    <cellStyle name="Porcentaje 2 2 3 3 3 2 3" xfId="7035" xr:uid="{00000000-0005-0000-0000-000084710000}"/>
    <cellStyle name="Porcentaje 2 2 3 3 3 2 3 2" xfId="16895" xr:uid="{00000000-0005-0000-0000-000085710000}"/>
    <cellStyle name="Porcentaje 2 2 3 3 3 2 3 2 2" xfId="36610" xr:uid="{00000000-0005-0000-0000-000086710000}"/>
    <cellStyle name="Porcentaje 2 2 3 3 3 2 3 3" xfId="26753" xr:uid="{00000000-0005-0000-0000-000087710000}"/>
    <cellStyle name="Porcentaje 2 2 3 3 3 2 4" xfId="11967" xr:uid="{00000000-0005-0000-0000-000088710000}"/>
    <cellStyle name="Porcentaje 2 2 3 3 3 2 4 2" xfId="31682" xr:uid="{00000000-0005-0000-0000-000089710000}"/>
    <cellStyle name="Porcentaje 2 2 3 3 3 2 5" xfId="21825" xr:uid="{00000000-0005-0000-0000-00008A710000}"/>
    <cellStyle name="Porcentaje 2 2 3 3 3 3" xfId="3335" xr:uid="{00000000-0005-0000-0000-00008B710000}"/>
    <cellStyle name="Porcentaje 2 2 3 3 3 3 2" xfId="8267" xr:uid="{00000000-0005-0000-0000-00008C710000}"/>
    <cellStyle name="Porcentaje 2 2 3 3 3 3 2 2" xfId="18127" xr:uid="{00000000-0005-0000-0000-00008D710000}"/>
    <cellStyle name="Porcentaje 2 2 3 3 3 3 2 2 2" xfId="37842" xr:uid="{00000000-0005-0000-0000-00008E710000}"/>
    <cellStyle name="Porcentaje 2 2 3 3 3 3 2 3" xfId="27985" xr:uid="{00000000-0005-0000-0000-00008F710000}"/>
    <cellStyle name="Porcentaje 2 2 3 3 3 3 3" xfId="13199" xr:uid="{00000000-0005-0000-0000-000090710000}"/>
    <cellStyle name="Porcentaje 2 2 3 3 3 3 3 2" xfId="32914" xr:uid="{00000000-0005-0000-0000-000091710000}"/>
    <cellStyle name="Porcentaje 2 2 3 3 3 3 4" xfId="23057" xr:uid="{00000000-0005-0000-0000-000092710000}"/>
    <cellStyle name="Porcentaje 2 2 3 3 3 4" xfId="5803" xr:uid="{00000000-0005-0000-0000-000093710000}"/>
    <cellStyle name="Porcentaje 2 2 3 3 3 4 2" xfId="15663" xr:uid="{00000000-0005-0000-0000-000094710000}"/>
    <cellStyle name="Porcentaje 2 2 3 3 3 4 2 2" xfId="35378" xr:uid="{00000000-0005-0000-0000-000095710000}"/>
    <cellStyle name="Porcentaje 2 2 3 3 3 4 3" xfId="25521" xr:uid="{00000000-0005-0000-0000-000096710000}"/>
    <cellStyle name="Porcentaje 2 2 3 3 3 5" xfId="10735" xr:uid="{00000000-0005-0000-0000-000097710000}"/>
    <cellStyle name="Porcentaje 2 2 3 3 3 5 2" xfId="30450" xr:uid="{00000000-0005-0000-0000-000098710000}"/>
    <cellStyle name="Porcentaje 2 2 3 3 3 6" xfId="20593" xr:uid="{00000000-0005-0000-0000-000099710000}"/>
    <cellStyle name="Porcentaje 2 2 3 3 4" xfId="1484" xr:uid="{00000000-0005-0000-0000-00009A710000}"/>
    <cellStyle name="Porcentaje 2 2 3 3 4 2" xfId="3951" xr:uid="{00000000-0005-0000-0000-00009B710000}"/>
    <cellStyle name="Porcentaje 2 2 3 3 4 2 2" xfId="8883" xr:uid="{00000000-0005-0000-0000-00009C710000}"/>
    <cellStyle name="Porcentaje 2 2 3 3 4 2 2 2" xfId="18743" xr:uid="{00000000-0005-0000-0000-00009D710000}"/>
    <cellStyle name="Porcentaje 2 2 3 3 4 2 2 2 2" xfId="38458" xr:uid="{00000000-0005-0000-0000-00009E710000}"/>
    <cellStyle name="Porcentaje 2 2 3 3 4 2 2 3" xfId="28601" xr:uid="{00000000-0005-0000-0000-00009F710000}"/>
    <cellStyle name="Porcentaje 2 2 3 3 4 2 3" xfId="13815" xr:uid="{00000000-0005-0000-0000-0000A0710000}"/>
    <cellStyle name="Porcentaje 2 2 3 3 4 2 3 2" xfId="33530" xr:uid="{00000000-0005-0000-0000-0000A1710000}"/>
    <cellStyle name="Porcentaje 2 2 3 3 4 2 4" xfId="23673" xr:uid="{00000000-0005-0000-0000-0000A2710000}"/>
    <cellStyle name="Porcentaje 2 2 3 3 4 3" xfId="6419" xr:uid="{00000000-0005-0000-0000-0000A3710000}"/>
    <cellStyle name="Porcentaje 2 2 3 3 4 3 2" xfId="16279" xr:uid="{00000000-0005-0000-0000-0000A4710000}"/>
    <cellStyle name="Porcentaje 2 2 3 3 4 3 2 2" xfId="35994" xr:uid="{00000000-0005-0000-0000-0000A5710000}"/>
    <cellStyle name="Porcentaje 2 2 3 3 4 3 3" xfId="26137" xr:uid="{00000000-0005-0000-0000-0000A6710000}"/>
    <cellStyle name="Porcentaje 2 2 3 3 4 4" xfId="11351" xr:uid="{00000000-0005-0000-0000-0000A7710000}"/>
    <cellStyle name="Porcentaje 2 2 3 3 4 4 2" xfId="31066" xr:uid="{00000000-0005-0000-0000-0000A8710000}"/>
    <cellStyle name="Porcentaje 2 2 3 3 4 5" xfId="21209" xr:uid="{00000000-0005-0000-0000-0000A9710000}"/>
    <cellStyle name="Porcentaje 2 2 3 3 5" xfId="2719" xr:uid="{00000000-0005-0000-0000-0000AA710000}"/>
    <cellStyle name="Porcentaje 2 2 3 3 5 2" xfId="7651" xr:uid="{00000000-0005-0000-0000-0000AB710000}"/>
    <cellStyle name="Porcentaje 2 2 3 3 5 2 2" xfId="17511" xr:uid="{00000000-0005-0000-0000-0000AC710000}"/>
    <cellStyle name="Porcentaje 2 2 3 3 5 2 2 2" xfId="37226" xr:uid="{00000000-0005-0000-0000-0000AD710000}"/>
    <cellStyle name="Porcentaje 2 2 3 3 5 2 3" xfId="27369" xr:uid="{00000000-0005-0000-0000-0000AE710000}"/>
    <cellStyle name="Porcentaje 2 2 3 3 5 3" xfId="12583" xr:uid="{00000000-0005-0000-0000-0000AF710000}"/>
    <cellStyle name="Porcentaje 2 2 3 3 5 3 2" xfId="32298" xr:uid="{00000000-0005-0000-0000-0000B0710000}"/>
    <cellStyle name="Porcentaje 2 2 3 3 5 4" xfId="22441" xr:uid="{00000000-0005-0000-0000-0000B1710000}"/>
    <cellStyle name="Porcentaje 2 2 3 3 6" xfId="5187" xr:uid="{00000000-0005-0000-0000-0000B2710000}"/>
    <cellStyle name="Porcentaje 2 2 3 3 6 2" xfId="15047" xr:uid="{00000000-0005-0000-0000-0000B3710000}"/>
    <cellStyle name="Porcentaje 2 2 3 3 6 2 2" xfId="34762" xr:uid="{00000000-0005-0000-0000-0000B4710000}"/>
    <cellStyle name="Porcentaje 2 2 3 3 6 3" xfId="24905" xr:uid="{00000000-0005-0000-0000-0000B5710000}"/>
    <cellStyle name="Porcentaje 2 2 3 3 7" xfId="10119" xr:uid="{00000000-0005-0000-0000-0000B6710000}"/>
    <cellStyle name="Porcentaje 2 2 3 3 7 2" xfId="29834" xr:uid="{00000000-0005-0000-0000-0000B7710000}"/>
    <cellStyle name="Porcentaje 2 2 3 3 8" xfId="19977" xr:uid="{00000000-0005-0000-0000-0000B8710000}"/>
    <cellStyle name="Porcentaje 2 2 3 4" xfId="399" xr:uid="{00000000-0005-0000-0000-0000B9710000}"/>
    <cellStyle name="Porcentaje 2 2 3 4 2" xfId="1019" xr:uid="{00000000-0005-0000-0000-0000BA710000}"/>
    <cellStyle name="Porcentaje 2 2 3 4 2 2" xfId="2254" xr:uid="{00000000-0005-0000-0000-0000BB710000}"/>
    <cellStyle name="Porcentaje 2 2 3 4 2 2 2" xfId="4721" xr:uid="{00000000-0005-0000-0000-0000BC710000}"/>
    <cellStyle name="Porcentaje 2 2 3 4 2 2 2 2" xfId="9653" xr:uid="{00000000-0005-0000-0000-0000BD710000}"/>
    <cellStyle name="Porcentaje 2 2 3 4 2 2 2 2 2" xfId="19513" xr:uid="{00000000-0005-0000-0000-0000BE710000}"/>
    <cellStyle name="Porcentaje 2 2 3 4 2 2 2 2 2 2" xfId="39228" xr:uid="{00000000-0005-0000-0000-0000BF710000}"/>
    <cellStyle name="Porcentaje 2 2 3 4 2 2 2 2 3" xfId="29371" xr:uid="{00000000-0005-0000-0000-0000C0710000}"/>
    <cellStyle name="Porcentaje 2 2 3 4 2 2 2 3" xfId="14585" xr:uid="{00000000-0005-0000-0000-0000C1710000}"/>
    <cellStyle name="Porcentaje 2 2 3 4 2 2 2 3 2" xfId="34300" xr:uid="{00000000-0005-0000-0000-0000C2710000}"/>
    <cellStyle name="Porcentaje 2 2 3 4 2 2 2 4" xfId="24443" xr:uid="{00000000-0005-0000-0000-0000C3710000}"/>
    <cellStyle name="Porcentaje 2 2 3 4 2 2 3" xfId="7189" xr:uid="{00000000-0005-0000-0000-0000C4710000}"/>
    <cellStyle name="Porcentaje 2 2 3 4 2 2 3 2" xfId="17049" xr:uid="{00000000-0005-0000-0000-0000C5710000}"/>
    <cellStyle name="Porcentaje 2 2 3 4 2 2 3 2 2" xfId="36764" xr:uid="{00000000-0005-0000-0000-0000C6710000}"/>
    <cellStyle name="Porcentaje 2 2 3 4 2 2 3 3" xfId="26907" xr:uid="{00000000-0005-0000-0000-0000C7710000}"/>
    <cellStyle name="Porcentaje 2 2 3 4 2 2 4" xfId="12121" xr:uid="{00000000-0005-0000-0000-0000C8710000}"/>
    <cellStyle name="Porcentaje 2 2 3 4 2 2 4 2" xfId="31836" xr:uid="{00000000-0005-0000-0000-0000C9710000}"/>
    <cellStyle name="Porcentaje 2 2 3 4 2 2 5" xfId="21979" xr:uid="{00000000-0005-0000-0000-0000CA710000}"/>
    <cellStyle name="Porcentaje 2 2 3 4 2 3" xfId="3489" xr:uid="{00000000-0005-0000-0000-0000CB710000}"/>
    <cellStyle name="Porcentaje 2 2 3 4 2 3 2" xfId="8421" xr:uid="{00000000-0005-0000-0000-0000CC710000}"/>
    <cellStyle name="Porcentaje 2 2 3 4 2 3 2 2" xfId="18281" xr:uid="{00000000-0005-0000-0000-0000CD710000}"/>
    <cellStyle name="Porcentaje 2 2 3 4 2 3 2 2 2" xfId="37996" xr:uid="{00000000-0005-0000-0000-0000CE710000}"/>
    <cellStyle name="Porcentaje 2 2 3 4 2 3 2 3" xfId="28139" xr:uid="{00000000-0005-0000-0000-0000CF710000}"/>
    <cellStyle name="Porcentaje 2 2 3 4 2 3 3" xfId="13353" xr:uid="{00000000-0005-0000-0000-0000D0710000}"/>
    <cellStyle name="Porcentaje 2 2 3 4 2 3 3 2" xfId="33068" xr:uid="{00000000-0005-0000-0000-0000D1710000}"/>
    <cellStyle name="Porcentaje 2 2 3 4 2 3 4" xfId="23211" xr:uid="{00000000-0005-0000-0000-0000D2710000}"/>
    <cellStyle name="Porcentaje 2 2 3 4 2 4" xfId="5957" xr:uid="{00000000-0005-0000-0000-0000D3710000}"/>
    <cellStyle name="Porcentaje 2 2 3 4 2 4 2" xfId="15817" xr:uid="{00000000-0005-0000-0000-0000D4710000}"/>
    <cellStyle name="Porcentaje 2 2 3 4 2 4 2 2" xfId="35532" xr:uid="{00000000-0005-0000-0000-0000D5710000}"/>
    <cellStyle name="Porcentaje 2 2 3 4 2 4 3" xfId="25675" xr:uid="{00000000-0005-0000-0000-0000D6710000}"/>
    <cellStyle name="Porcentaje 2 2 3 4 2 5" xfId="10889" xr:uid="{00000000-0005-0000-0000-0000D7710000}"/>
    <cellStyle name="Porcentaje 2 2 3 4 2 5 2" xfId="30604" xr:uid="{00000000-0005-0000-0000-0000D8710000}"/>
    <cellStyle name="Porcentaje 2 2 3 4 2 6" xfId="20747" xr:uid="{00000000-0005-0000-0000-0000D9710000}"/>
    <cellStyle name="Porcentaje 2 2 3 4 3" xfId="1638" xr:uid="{00000000-0005-0000-0000-0000DA710000}"/>
    <cellStyle name="Porcentaje 2 2 3 4 3 2" xfId="4105" xr:uid="{00000000-0005-0000-0000-0000DB710000}"/>
    <cellStyle name="Porcentaje 2 2 3 4 3 2 2" xfId="9037" xr:uid="{00000000-0005-0000-0000-0000DC710000}"/>
    <cellStyle name="Porcentaje 2 2 3 4 3 2 2 2" xfId="18897" xr:uid="{00000000-0005-0000-0000-0000DD710000}"/>
    <cellStyle name="Porcentaje 2 2 3 4 3 2 2 2 2" xfId="38612" xr:uid="{00000000-0005-0000-0000-0000DE710000}"/>
    <cellStyle name="Porcentaje 2 2 3 4 3 2 2 3" xfId="28755" xr:uid="{00000000-0005-0000-0000-0000DF710000}"/>
    <cellStyle name="Porcentaje 2 2 3 4 3 2 3" xfId="13969" xr:uid="{00000000-0005-0000-0000-0000E0710000}"/>
    <cellStyle name="Porcentaje 2 2 3 4 3 2 3 2" xfId="33684" xr:uid="{00000000-0005-0000-0000-0000E1710000}"/>
    <cellStyle name="Porcentaje 2 2 3 4 3 2 4" xfId="23827" xr:uid="{00000000-0005-0000-0000-0000E2710000}"/>
    <cellStyle name="Porcentaje 2 2 3 4 3 3" xfId="6573" xr:uid="{00000000-0005-0000-0000-0000E3710000}"/>
    <cellStyle name="Porcentaje 2 2 3 4 3 3 2" xfId="16433" xr:uid="{00000000-0005-0000-0000-0000E4710000}"/>
    <cellStyle name="Porcentaje 2 2 3 4 3 3 2 2" xfId="36148" xr:uid="{00000000-0005-0000-0000-0000E5710000}"/>
    <cellStyle name="Porcentaje 2 2 3 4 3 3 3" xfId="26291" xr:uid="{00000000-0005-0000-0000-0000E6710000}"/>
    <cellStyle name="Porcentaje 2 2 3 4 3 4" xfId="11505" xr:uid="{00000000-0005-0000-0000-0000E7710000}"/>
    <cellStyle name="Porcentaje 2 2 3 4 3 4 2" xfId="31220" xr:uid="{00000000-0005-0000-0000-0000E8710000}"/>
    <cellStyle name="Porcentaje 2 2 3 4 3 5" xfId="21363" xr:uid="{00000000-0005-0000-0000-0000E9710000}"/>
    <cellStyle name="Porcentaje 2 2 3 4 4" xfId="2873" xr:uid="{00000000-0005-0000-0000-0000EA710000}"/>
    <cellStyle name="Porcentaje 2 2 3 4 4 2" xfId="7805" xr:uid="{00000000-0005-0000-0000-0000EB710000}"/>
    <cellStyle name="Porcentaje 2 2 3 4 4 2 2" xfId="17665" xr:uid="{00000000-0005-0000-0000-0000EC710000}"/>
    <cellStyle name="Porcentaje 2 2 3 4 4 2 2 2" xfId="37380" xr:uid="{00000000-0005-0000-0000-0000ED710000}"/>
    <cellStyle name="Porcentaje 2 2 3 4 4 2 3" xfId="27523" xr:uid="{00000000-0005-0000-0000-0000EE710000}"/>
    <cellStyle name="Porcentaje 2 2 3 4 4 3" xfId="12737" xr:uid="{00000000-0005-0000-0000-0000EF710000}"/>
    <cellStyle name="Porcentaje 2 2 3 4 4 3 2" xfId="32452" xr:uid="{00000000-0005-0000-0000-0000F0710000}"/>
    <cellStyle name="Porcentaje 2 2 3 4 4 4" xfId="22595" xr:uid="{00000000-0005-0000-0000-0000F1710000}"/>
    <cellStyle name="Porcentaje 2 2 3 4 5" xfId="5341" xr:uid="{00000000-0005-0000-0000-0000F2710000}"/>
    <cellStyle name="Porcentaje 2 2 3 4 5 2" xfId="15201" xr:uid="{00000000-0005-0000-0000-0000F3710000}"/>
    <cellStyle name="Porcentaje 2 2 3 4 5 2 2" xfId="34916" xr:uid="{00000000-0005-0000-0000-0000F4710000}"/>
    <cellStyle name="Porcentaje 2 2 3 4 5 3" xfId="25059" xr:uid="{00000000-0005-0000-0000-0000F5710000}"/>
    <cellStyle name="Porcentaje 2 2 3 4 6" xfId="10273" xr:uid="{00000000-0005-0000-0000-0000F6710000}"/>
    <cellStyle name="Porcentaje 2 2 3 4 6 2" xfId="29988" xr:uid="{00000000-0005-0000-0000-0000F7710000}"/>
    <cellStyle name="Porcentaje 2 2 3 4 7" xfId="20131" xr:uid="{00000000-0005-0000-0000-0000F8710000}"/>
    <cellStyle name="Porcentaje 2 2 3 5" xfId="712" xr:uid="{00000000-0005-0000-0000-0000F9710000}"/>
    <cellStyle name="Porcentaje 2 2 3 5 2" xfId="1948" xr:uid="{00000000-0005-0000-0000-0000FA710000}"/>
    <cellStyle name="Porcentaje 2 2 3 5 2 2" xfId="4415" xr:uid="{00000000-0005-0000-0000-0000FB710000}"/>
    <cellStyle name="Porcentaje 2 2 3 5 2 2 2" xfId="9347" xr:uid="{00000000-0005-0000-0000-0000FC710000}"/>
    <cellStyle name="Porcentaje 2 2 3 5 2 2 2 2" xfId="19207" xr:uid="{00000000-0005-0000-0000-0000FD710000}"/>
    <cellStyle name="Porcentaje 2 2 3 5 2 2 2 2 2" xfId="38922" xr:uid="{00000000-0005-0000-0000-0000FE710000}"/>
    <cellStyle name="Porcentaje 2 2 3 5 2 2 2 3" xfId="29065" xr:uid="{00000000-0005-0000-0000-0000FF710000}"/>
    <cellStyle name="Porcentaje 2 2 3 5 2 2 3" xfId="14279" xr:uid="{00000000-0005-0000-0000-000000720000}"/>
    <cellStyle name="Porcentaje 2 2 3 5 2 2 3 2" xfId="33994" xr:uid="{00000000-0005-0000-0000-000001720000}"/>
    <cellStyle name="Porcentaje 2 2 3 5 2 2 4" xfId="24137" xr:uid="{00000000-0005-0000-0000-000002720000}"/>
    <cellStyle name="Porcentaje 2 2 3 5 2 3" xfId="6883" xr:uid="{00000000-0005-0000-0000-000003720000}"/>
    <cellStyle name="Porcentaje 2 2 3 5 2 3 2" xfId="16743" xr:uid="{00000000-0005-0000-0000-000004720000}"/>
    <cellStyle name="Porcentaje 2 2 3 5 2 3 2 2" xfId="36458" xr:uid="{00000000-0005-0000-0000-000005720000}"/>
    <cellStyle name="Porcentaje 2 2 3 5 2 3 3" xfId="26601" xr:uid="{00000000-0005-0000-0000-000006720000}"/>
    <cellStyle name="Porcentaje 2 2 3 5 2 4" xfId="11815" xr:uid="{00000000-0005-0000-0000-000007720000}"/>
    <cellStyle name="Porcentaje 2 2 3 5 2 4 2" xfId="31530" xr:uid="{00000000-0005-0000-0000-000008720000}"/>
    <cellStyle name="Porcentaje 2 2 3 5 2 5" xfId="21673" xr:uid="{00000000-0005-0000-0000-000009720000}"/>
    <cellStyle name="Porcentaje 2 2 3 5 3" xfId="3183" xr:uid="{00000000-0005-0000-0000-00000A720000}"/>
    <cellStyle name="Porcentaje 2 2 3 5 3 2" xfId="8115" xr:uid="{00000000-0005-0000-0000-00000B720000}"/>
    <cellStyle name="Porcentaje 2 2 3 5 3 2 2" xfId="17975" xr:uid="{00000000-0005-0000-0000-00000C720000}"/>
    <cellStyle name="Porcentaje 2 2 3 5 3 2 2 2" xfId="37690" xr:uid="{00000000-0005-0000-0000-00000D720000}"/>
    <cellStyle name="Porcentaje 2 2 3 5 3 2 3" xfId="27833" xr:uid="{00000000-0005-0000-0000-00000E720000}"/>
    <cellStyle name="Porcentaje 2 2 3 5 3 3" xfId="13047" xr:uid="{00000000-0005-0000-0000-00000F720000}"/>
    <cellStyle name="Porcentaje 2 2 3 5 3 3 2" xfId="32762" xr:uid="{00000000-0005-0000-0000-000010720000}"/>
    <cellStyle name="Porcentaje 2 2 3 5 3 4" xfId="22905" xr:uid="{00000000-0005-0000-0000-000011720000}"/>
    <cellStyle name="Porcentaje 2 2 3 5 4" xfId="5651" xr:uid="{00000000-0005-0000-0000-000012720000}"/>
    <cellStyle name="Porcentaje 2 2 3 5 4 2" xfId="15511" xr:uid="{00000000-0005-0000-0000-000013720000}"/>
    <cellStyle name="Porcentaje 2 2 3 5 4 2 2" xfId="35226" xr:uid="{00000000-0005-0000-0000-000014720000}"/>
    <cellStyle name="Porcentaje 2 2 3 5 4 3" xfId="25369" xr:uid="{00000000-0005-0000-0000-000015720000}"/>
    <cellStyle name="Porcentaje 2 2 3 5 5" xfId="10583" xr:uid="{00000000-0005-0000-0000-000016720000}"/>
    <cellStyle name="Porcentaje 2 2 3 5 5 2" xfId="30298" xr:uid="{00000000-0005-0000-0000-000017720000}"/>
    <cellStyle name="Porcentaje 2 2 3 5 6" xfId="20441" xr:uid="{00000000-0005-0000-0000-000018720000}"/>
    <cellStyle name="Porcentaje 2 2 3 6" xfId="1332" xr:uid="{00000000-0005-0000-0000-000019720000}"/>
    <cellStyle name="Porcentaje 2 2 3 6 2" xfId="3799" xr:uid="{00000000-0005-0000-0000-00001A720000}"/>
    <cellStyle name="Porcentaje 2 2 3 6 2 2" xfId="8731" xr:uid="{00000000-0005-0000-0000-00001B720000}"/>
    <cellStyle name="Porcentaje 2 2 3 6 2 2 2" xfId="18591" xr:uid="{00000000-0005-0000-0000-00001C720000}"/>
    <cellStyle name="Porcentaje 2 2 3 6 2 2 2 2" xfId="38306" xr:uid="{00000000-0005-0000-0000-00001D720000}"/>
    <cellStyle name="Porcentaje 2 2 3 6 2 2 3" xfId="28449" xr:uid="{00000000-0005-0000-0000-00001E720000}"/>
    <cellStyle name="Porcentaje 2 2 3 6 2 3" xfId="13663" xr:uid="{00000000-0005-0000-0000-00001F720000}"/>
    <cellStyle name="Porcentaje 2 2 3 6 2 3 2" xfId="33378" xr:uid="{00000000-0005-0000-0000-000020720000}"/>
    <cellStyle name="Porcentaje 2 2 3 6 2 4" xfId="23521" xr:uid="{00000000-0005-0000-0000-000021720000}"/>
    <cellStyle name="Porcentaje 2 2 3 6 3" xfId="6267" xr:uid="{00000000-0005-0000-0000-000022720000}"/>
    <cellStyle name="Porcentaje 2 2 3 6 3 2" xfId="16127" xr:uid="{00000000-0005-0000-0000-000023720000}"/>
    <cellStyle name="Porcentaje 2 2 3 6 3 2 2" xfId="35842" xr:uid="{00000000-0005-0000-0000-000024720000}"/>
    <cellStyle name="Porcentaje 2 2 3 6 3 3" xfId="25985" xr:uid="{00000000-0005-0000-0000-000025720000}"/>
    <cellStyle name="Porcentaje 2 2 3 6 4" xfId="11199" xr:uid="{00000000-0005-0000-0000-000026720000}"/>
    <cellStyle name="Porcentaje 2 2 3 6 4 2" xfId="30914" xr:uid="{00000000-0005-0000-0000-000027720000}"/>
    <cellStyle name="Porcentaje 2 2 3 6 5" xfId="21057" xr:uid="{00000000-0005-0000-0000-000028720000}"/>
    <cellStyle name="Porcentaje 2 2 3 7" xfId="2567" xr:uid="{00000000-0005-0000-0000-000029720000}"/>
    <cellStyle name="Porcentaje 2 2 3 7 2" xfId="7499" xr:uid="{00000000-0005-0000-0000-00002A720000}"/>
    <cellStyle name="Porcentaje 2 2 3 7 2 2" xfId="17359" xr:uid="{00000000-0005-0000-0000-00002B720000}"/>
    <cellStyle name="Porcentaje 2 2 3 7 2 2 2" xfId="37074" xr:uid="{00000000-0005-0000-0000-00002C720000}"/>
    <cellStyle name="Porcentaje 2 2 3 7 2 3" xfId="27217" xr:uid="{00000000-0005-0000-0000-00002D720000}"/>
    <cellStyle name="Porcentaje 2 2 3 7 3" xfId="12431" xr:uid="{00000000-0005-0000-0000-00002E720000}"/>
    <cellStyle name="Porcentaje 2 2 3 7 3 2" xfId="32146" xr:uid="{00000000-0005-0000-0000-00002F720000}"/>
    <cellStyle name="Porcentaje 2 2 3 7 4" xfId="22289" xr:uid="{00000000-0005-0000-0000-000030720000}"/>
    <cellStyle name="Porcentaje 2 2 3 8" xfId="5035" xr:uid="{00000000-0005-0000-0000-000031720000}"/>
    <cellStyle name="Porcentaje 2 2 3 8 2" xfId="14895" xr:uid="{00000000-0005-0000-0000-000032720000}"/>
    <cellStyle name="Porcentaje 2 2 3 8 2 2" xfId="34610" xr:uid="{00000000-0005-0000-0000-000033720000}"/>
    <cellStyle name="Porcentaje 2 2 3 8 3" xfId="24753" xr:uid="{00000000-0005-0000-0000-000034720000}"/>
    <cellStyle name="Porcentaje 2 2 3 9" xfId="9967" xr:uid="{00000000-0005-0000-0000-000035720000}"/>
    <cellStyle name="Porcentaje 2 2 3 9 2" xfId="29682" xr:uid="{00000000-0005-0000-0000-000036720000}"/>
    <cellStyle name="Porcentaje 2 2 4" xfId="118" xr:uid="{00000000-0005-0000-0000-000037720000}"/>
    <cellStyle name="Porcentaje 2 2 4 2" xfId="275" xr:uid="{00000000-0005-0000-0000-000038720000}"/>
    <cellStyle name="Porcentaje 2 2 4 2 2" xfId="589" xr:uid="{00000000-0005-0000-0000-000039720000}"/>
    <cellStyle name="Porcentaje 2 2 4 2 2 2" xfId="1209" xr:uid="{00000000-0005-0000-0000-00003A720000}"/>
    <cellStyle name="Porcentaje 2 2 4 2 2 2 2" xfId="2444" xr:uid="{00000000-0005-0000-0000-00003B720000}"/>
    <cellStyle name="Porcentaje 2 2 4 2 2 2 2 2" xfId="4911" xr:uid="{00000000-0005-0000-0000-00003C720000}"/>
    <cellStyle name="Porcentaje 2 2 4 2 2 2 2 2 2" xfId="9843" xr:uid="{00000000-0005-0000-0000-00003D720000}"/>
    <cellStyle name="Porcentaje 2 2 4 2 2 2 2 2 2 2" xfId="19703" xr:uid="{00000000-0005-0000-0000-00003E720000}"/>
    <cellStyle name="Porcentaje 2 2 4 2 2 2 2 2 2 2 2" xfId="39418" xr:uid="{00000000-0005-0000-0000-00003F720000}"/>
    <cellStyle name="Porcentaje 2 2 4 2 2 2 2 2 2 3" xfId="29561" xr:uid="{00000000-0005-0000-0000-000040720000}"/>
    <cellStyle name="Porcentaje 2 2 4 2 2 2 2 2 3" xfId="14775" xr:uid="{00000000-0005-0000-0000-000041720000}"/>
    <cellStyle name="Porcentaje 2 2 4 2 2 2 2 2 3 2" xfId="34490" xr:uid="{00000000-0005-0000-0000-000042720000}"/>
    <cellStyle name="Porcentaje 2 2 4 2 2 2 2 2 4" xfId="24633" xr:uid="{00000000-0005-0000-0000-000043720000}"/>
    <cellStyle name="Porcentaje 2 2 4 2 2 2 2 3" xfId="7379" xr:uid="{00000000-0005-0000-0000-000044720000}"/>
    <cellStyle name="Porcentaje 2 2 4 2 2 2 2 3 2" xfId="17239" xr:uid="{00000000-0005-0000-0000-000045720000}"/>
    <cellStyle name="Porcentaje 2 2 4 2 2 2 2 3 2 2" xfId="36954" xr:uid="{00000000-0005-0000-0000-000046720000}"/>
    <cellStyle name="Porcentaje 2 2 4 2 2 2 2 3 3" xfId="27097" xr:uid="{00000000-0005-0000-0000-000047720000}"/>
    <cellStyle name="Porcentaje 2 2 4 2 2 2 2 4" xfId="12311" xr:uid="{00000000-0005-0000-0000-000048720000}"/>
    <cellStyle name="Porcentaje 2 2 4 2 2 2 2 4 2" xfId="32026" xr:uid="{00000000-0005-0000-0000-000049720000}"/>
    <cellStyle name="Porcentaje 2 2 4 2 2 2 2 5" xfId="22169" xr:uid="{00000000-0005-0000-0000-00004A720000}"/>
    <cellStyle name="Porcentaje 2 2 4 2 2 2 3" xfId="3679" xr:uid="{00000000-0005-0000-0000-00004B720000}"/>
    <cellStyle name="Porcentaje 2 2 4 2 2 2 3 2" xfId="8611" xr:uid="{00000000-0005-0000-0000-00004C720000}"/>
    <cellStyle name="Porcentaje 2 2 4 2 2 2 3 2 2" xfId="18471" xr:uid="{00000000-0005-0000-0000-00004D720000}"/>
    <cellStyle name="Porcentaje 2 2 4 2 2 2 3 2 2 2" xfId="38186" xr:uid="{00000000-0005-0000-0000-00004E720000}"/>
    <cellStyle name="Porcentaje 2 2 4 2 2 2 3 2 3" xfId="28329" xr:uid="{00000000-0005-0000-0000-00004F720000}"/>
    <cellStyle name="Porcentaje 2 2 4 2 2 2 3 3" xfId="13543" xr:uid="{00000000-0005-0000-0000-000050720000}"/>
    <cellStyle name="Porcentaje 2 2 4 2 2 2 3 3 2" xfId="33258" xr:uid="{00000000-0005-0000-0000-000051720000}"/>
    <cellStyle name="Porcentaje 2 2 4 2 2 2 3 4" xfId="23401" xr:uid="{00000000-0005-0000-0000-000052720000}"/>
    <cellStyle name="Porcentaje 2 2 4 2 2 2 4" xfId="6147" xr:uid="{00000000-0005-0000-0000-000053720000}"/>
    <cellStyle name="Porcentaje 2 2 4 2 2 2 4 2" xfId="16007" xr:uid="{00000000-0005-0000-0000-000054720000}"/>
    <cellStyle name="Porcentaje 2 2 4 2 2 2 4 2 2" xfId="35722" xr:uid="{00000000-0005-0000-0000-000055720000}"/>
    <cellStyle name="Porcentaje 2 2 4 2 2 2 4 3" xfId="25865" xr:uid="{00000000-0005-0000-0000-000056720000}"/>
    <cellStyle name="Porcentaje 2 2 4 2 2 2 5" xfId="11079" xr:uid="{00000000-0005-0000-0000-000057720000}"/>
    <cellStyle name="Porcentaje 2 2 4 2 2 2 5 2" xfId="30794" xr:uid="{00000000-0005-0000-0000-000058720000}"/>
    <cellStyle name="Porcentaje 2 2 4 2 2 2 6" xfId="20937" xr:uid="{00000000-0005-0000-0000-000059720000}"/>
    <cellStyle name="Porcentaje 2 2 4 2 2 3" xfId="1828" xr:uid="{00000000-0005-0000-0000-00005A720000}"/>
    <cellStyle name="Porcentaje 2 2 4 2 2 3 2" xfId="4295" xr:uid="{00000000-0005-0000-0000-00005B720000}"/>
    <cellStyle name="Porcentaje 2 2 4 2 2 3 2 2" xfId="9227" xr:uid="{00000000-0005-0000-0000-00005C720000}"/>
    <cellStyle name="Porcentaje 2 2 4 2 2 3 2 2 2" xfId="19087" xr:uid="{00000000-0005-0000-0000-00005D720000}"/>
    <cellStyle name="Porcentaje 2 2 4 2 2 3 2 2 2 2" xfId="38802" xr:uid="{00000000-0005-0000-0000-00005E720000}"/>
    <cellStyle name="Porcentaje 2 2 4 2 2 3 2 2 3" xfId="28945" xr:uid="{00000000-0005-0000-0000-00005F720000}"/>
    <cellStyle name="Porcentaje 2 2 4 2 2 3 2 3" xfId="14159" xr:uid="{00000000-0005-0000-0000-000060720000}"/>
    <cellStyle name="Porcentaje 2 2 4 2 2 3 2 3 2" xfId="33874" xr:uid="{00000000-0005-0000-0000-000061720000}"/>
    <cellStyle name="Porcentaje 2 2 4 2 2 3 2 4" xfId="24017" xr:uid="{00000000-0005-0000-0000-000062720000}"/>
    <cellStyle name="Porcentaje 2 2 4 2 2 3 3" xfId="6763" xr:uid="{00000000-0005-0000-0000-000063720000}"/>
    <cellStyle name="Porcentaje 2 2 4 2 2 3 3 2" xfId="16623" xr:uid="{00000000-0005-0000-0000-000064720000}"/>
    <cellStyle name="Porcentaje 2 2 4 2 2 3 3 2 2" xfId="36338" xr:uid="{00000000-0005-0000-0000-000065720000}"/>
    <cellStyle name="Porcentaje 2 2 4 2 2 3 3 3" xfId="26481" xr:uid="{00000000-0005-0000-0000-000066720000}"/>
    <cellStyle name="Porcentaje 2 2 4 2 2 3 4" xfId="11695" xr:uid="{00000000-0005-0000-0000-000067720000}"/>
    <cellStyle name="Porcentaje 2 2 4 2 2 3 4 2" xfId="31410" xr:uid="{00000000-0005-0000-0000-000068720000}"/>
    <cellStyle name="Porcentaje 2 2 4 2 2 3 5" xfId="21553" xr:uid="{00000000-0005-0000-0000-000069720000}"/>
    <cellStyle name="Porcentaje 2 2 4 2 2 4" xfId="3063" xr:uid="{00000000-0005-0000-0000-00006A720000}"/>
    <cellStyle name="Porcentaje 2 2 4 2 2 4 2" xfId="7995" xr:uid="{00000000-0005-0000-0000-00006B720000}"/>
    <cellStyle name="Porcentaje 2 2 4 2 2 4 2 2" xfId="17855" xr:uid="{00000000-0005-0000-0000-00006C720000}"/>
    <cellStyle name="Porcentaje 2 2 4 2 2 4 2 2 2" xfId="37570" xr:uid="{00000000-0005-0000-0000-00006D720000}"/>
    <cellStyle name="Porcentaje 2 2 4 2 2 4 2 3" xfId="27713" xr:uid="{00000000-0005-0000-0000-00006E720000}"/>
    <cellStyle name="Porcentaje 2 2 4 2 2 4 3" xfId="12927" xr:uid="{00000000-0005-0000-0000-00006F720000}"/>
    <cellStyle name="Porcentaje 2 2 4 2 2 4 3 2" xfId="32642" xr:uid="{00000000-0005-0000-0000-000070720000}"/>
    <cellStyle name="Porcentaje 2 2 4 2 2 4 4" xfId="22785" xr:uid="{00000000-0005-0000-0000-000071720000}"/>
    <cellStyle name="Porcentaje 2 2 4 2 2 5" xfId="5531" xr:uid="{00000000-0005-0000-0000-000072720000}"/>
    <cellStyle name="Porcentaje 2 2 4 2 2 5 2" xfId="15391" xr:uid="{00000000-0005-0000-0000-000073720000}"/>
    <cellStyle name="Porcentaje 2 2 4 2 2 5 2 2" xfId="35106" xr:uid="{00000000-0005-0000-0000-000074720000}"/>
    <cellStyle name="Porcentaje 2 2 4 2 2 5 3" xfId="25249" xr:uid="{00000000-0005-0000-0000-000075720000}"/>
    <cellStyle name="Porcentaje 2 2 4 2 2 6" xfId="10463" xr:uid="{00000000-0005-0000-0000-000076720000}"/>
    <cellStyle name="Porcentaje 2 2 4 2 2 6 2" xfId="30178" xr:uid="{00000000-0005-0000-0000-000077720000}"/>
    <cellStyle name="Porcentaje 2 2 4 2 2 7" xfId="20321" xr:uid="{00000000-0005-0000-0000-000078720000}"/>
    <cellStyle name="Porcentaje 2 2 4 2 3" xfId="902" xr:uid="{00000000-0005-0000-0000-000079720000}"/>
    <cellStyle name="Porcentaje 2 2 4 2 3 2" xfId="2138" xr:uid="{00000000-0005-0000-0000-00007A720000}"/>
    <cellStyle name="Porcentaje 2 2 4 2 3 2 2" xfId="4605" xr:uid="{00000000-0005-0000-0000-00007B720000}"/>
    <cellStyle name="Porcentaje 2 2 4 2 3 2 2 2" xfId="9537" xr:uid="{00000000-0005-0000-0000-00007C720000}"/>
    <cellStyle name="Porcentaje 2 2 4 2 3 2 2 2 2" xfId="19397" xr:uid="{00000000-0005-0000-0000-00007D720000}"/>
    <cellStyle name="Porcentaje 2 2 4 2 3 2 2 2 2 2" xfId="39112" xr:uid="{00000000-0005-0000-0000-00007E720000}"/>
    <cellStyle name="Porcentaje 2 2 4 2 3 2 2 2 3" xfId="29255" xr:uid="{00000000-0005-0000-0000-00007F720000}"/>
    <cellStyle name="Porcentaje 2 2 4 2 3 2 2 3" xfId="14469" xr:uid="{00000000-0005-0000-0000-000080720000}"/>
    <cellStyle name="Porcentaje 2 2 4 2 3 2 2 3 2" xfId="34184" xr:uid="{00000000-0005-0000-0000-000081720000}"/>
    <cellStyle name="Porcentaje 2 2 4 2 3 2 2 4" xfId="24327" xr:uid="{00000000-0005-0000-0000-000082720000}"/>
    <cellStyle name="Porcentaje 2 2 4 2 3 2 3" xfId="7073" xr:uid="{00000000-0005-0000-0000-000083720000}"/>
    <cellStyle name="Porcentaje 2 2 4 2 3 2 3 2" xfId="16933" xr:uid="{00000000-0005-0000-0000-000084720000}"/>
    <cellStyle name="Porcentaje 2 2 4 2 3 2 3 2 2" xfId="36648" xr:uid="{00000000-0005-0000-0000-000085720000}"/>
    <cellStyle name="Porcentaje 2 2 4 2 3 2 3 3" xfId="26791" xr:uid="{00000000-0005-0000-0000-000086720000}"/>
    <cellStyle name="Porcentaje 2 2 4 2 3 2 4" xfId="12005" xr:uid="{00000000-0005-0000-0000-000087720000}"/>
    <cellStyle name="Porcentaje 2 2 4 2 3 2 4 2" xfId="31720" xr:uid="{00000000-0005-0000-0000-000088720000}"/>
    <cellStyle name="Porcentaje 2 2 4 2 3 2 5" xfId="21863" xr:uid="{00000000-0005-0000-0000-000089720000}"/>
    <cellStyle name="Porcentaje 2 2 4 2 3 3" xfId="3373" xr:uid="{00000000-0005-0000-0000-00008A720000}"/>
    <cellStyle name="Porcentaje 2 2 4 2 3 3 2" xfId="8305" xr:uid="{00000000-0005-0000-0000-00008B720000}"/>
    <cellStyle name="Porcentaje 2 2 4 2 3 3 2 2" xfId="18165" xr:uid="{00000000-0005-0000-0000-00008C720000}"/>
    <cellStyle name="Porcentaje 2 2 4 2 3 3 2 2 2" xfId="37880" xr:uid="{00000000-0005-0000-0000-00008D720000}"/>
    <cellStyle name="Porcentaje 2 2 4 2 3 3 2 3" xfId="28023" xr:uid="{00000000-0005-0000-0000-00008E720000}"/>
    <cellStyle name="Porcentaje 2 2 4 2 3 3 3" xfId="13237" xr:uid="{00000000-0005-0000-0000-00008F720000}"/>
    <cellStyle name="Porcentaje 2 2 4 2 3 3 3 2" xfId="32952" xr:uid="{00000000-0005-0000-0000-000090720000}"/>
    <cellStyle name="Porcentaje 2 2 4 2 3 3 4" xfId="23095" xr:uid="{00000000-0005-0000-0000-000091720000}"/>
    <cellStyle name="Porcentaje 2 2 4 2 3 4" xfId="5841" xr:uid="{00000000-0005-0000-0000-000092720000}"/>
    <cellStyle name="Porcentaje 2 2 4 2 3 4 2" xfId="15701" xr:uid="{00000000-0005-0000-0000-000093720000}"/>
    <cellStyle name="Porcentaje 2 2 4 2 3 4 2 2" xfId="35416" xr:uid="{00000000-0005-0000-0000-000094720000}"/>
    <cellStyle name="Porcentaje 2 2 4 2 3 4 3" xfId="25559" xr:uid="{00000000-0005-0000-0000-000095720000}"/>
    <cellStyle name="Porcentaje 2 2 4 2 3 5" xfId="10773" xr:uid="{00000000-0005-0000-0000-000096720000}"/>
    <cellStyle name="Porcentaje 2 2 4 2 3 5 2" xfId="30488" xr:uid="{00000000-0005-0000-0000-000097720000}"/>
    <cellStyle name="Porcentaje 2 2 4 2 3 6" xfId="20631" xr:uid="{00000000-0005-0000-0000-000098720000}"/>
    <cellStyle name="Porcentaje 2 2 4 2 4" xfId="1522" xr:uid="{00000000-0005-0000-0000-000099720000}"/>
    <cellStyle name="Porcentaje 2 2 4 2 4 2" xfId="3989" xr:uid="{00000000-0005-0000-0000-00009A720000}"/>
    <cellStyle name="Porcentaje 2 2 4 2 4 2 2" xfId="8921" xr:uid="{00000000-0005-0000-0000-00009B720000}"/>
    <cellStyle name="Porcentaje 2 2 4 2 4 2 2 2" xfId="18781" xr:uid="{00000000-0005-0000-0000-00009C720000}"/>
    <cellStyle name="Porcentaje 2 2 4 2 4 2 2 2 2" xfId="38496" xr:uid="{00000000-0005-0000-0000-00009D720000}"/>
    <cellStyle name="Porcentaje 2 2 4 2 4 2 2 3" xfId="28639" xr:uid="{00000000-0005-0000-0000-00009E720000}"/>
    <cellStyle name="Porcentaje 2 2 4 2 4 2 3" xfId="13853" xr:uid="{00000000-0005-0000-0000-00009F720000}"/>
    <cellStyle name="Porcentaje 2 2 4 2 4 2 3 2" xfId="33568" xr:uid="{00000000-0005-0000-0000-0000A0720000}"/>
    <cellStyle name="Porcentaje 2 2 4 2 4 2 4" xfId="23711" xr:uid="{00000000-0005-0000-0000-0000A1720000}"/>
    <cellStyle name="Porcentaje 2 2 4 2 4 3" xfId="6457" xr:uid="{00000000-0005-0000-0000-0000A2720000}"/>
    <cellStyle name="Porcentaje 2 2 4 2 4 3 2" xfId="16317" xr:uid="{00000000-0005-0000-0000-0000A3720000}"/>
    <cellStyle name="Porcentaje 2 2 4 2 4 3 2 2" xfId="36032" xr:uid="{00000000-0005-0000-0000-0000A4720000}"/>
    <cellStyle name="Porcentaje 2 2 4 2 4 3 3" xfId="26175" xr:uid="{00000000-0005-0000-0000-0000A5720000}"/>
    <cellStyle name="Porcentaje 2 2 4 2 4 4" xfId="11389" xr:uid="{00000000-0005-0000-0000-0000A6720000}"/>
    <cellStyle name="Porcentaje 2 2 4 2 4 4 2" xfId="31104" xr:uid="{00000000-0005-0000-0000-0000A7720000}"/>
    <cellStyle name="Porcentaje 2 2 4 2 4 5" xfId="21247" xr:uid="{00000000-0005-0000-0000-0000A8720000}"/>
    <cellStyle name="Porcentaje 2 2 4 2 5" xfId="2757" xr:uid="{00000000-0005-0000-0000-0000A9720000}"/>
    <cellStyle name="Porcentaje 2 2 4 2 5 2" xfId="7689" xr:uid="{00000000-0005-0000-0000-0000AA720000}"/>
    <cellStyle name="Porcentaje 2 2 4 2 5 2 2" xfId="17549" xr:uid="{00000000-0005-0000-0000-0000AB720000}"/>
    <cellStyle name="Porcentaje 2 2 4 2 5 2 2 2" xfId="37264" xr:uid="{00000000-0005-0000-0000-0000AC720000}"/>
    <cellStyle name="Porcentaje 2 2 4 2 5 2 3" xfId="27407" xr:uid="{00000000-0005-0000-0000-0000AD720000}"/>
    <cellStyle name="Porcentaje 2 2 4 2 5 3" xfId="12621" xr:uid="{00000000-0005-0000-0000-0000AE720000}"/>
    <cellStyle name="Porcentaje 2 2 4 2 5 3 2" xfId="32336" xr:uid="{00000000-0005-0000-0000-0000AF720000}"/>
    <cellStyle name="Porcentaje 2 2 4 2 5 4" xfId="22479" xr:uid="{00000000-0005-0000-0000-0000B0720000}"/>
    <cellStyle name="Porcentaje 2 2 4 2 6" xfId="5225" xr:uid="{00000000-0005-0000-0000-0000B1720000}"/>
    <cellStyle name="Porcentaje 2 2 4 2 6 2" xfId="15085" xr:uid="{00000000-0005-0000-0000-0000B2720000}"/>
    <cellStyle name="Porcentaje 2 2 4 2 6 2 2" xfId="34800" xr:uid="{00000000-0005-0000-0000-0000B3720000}"/>
    <cellStyle name="Porcentaje 2 2 4 2 6 3" xfId="24943" xr:uid="{00000000-0005-0000-0000-0000B4720000}"/>
    <cellStyle name="Porcentaje 2 2 4 2 7" xfId="10157" xr:uid="{00000000-0005-0000-0000-0000B5720000}"/>
    <cellStyle name="Porcentaje 2 2 4 2 7 2" xfId="29872" xr:uid="{00000000-0005-0000-0000-0000B6720000}"/>
    <cellStyle name="Porcentaje 2 2 4 2 8" xfId="20015" xr:uid="{00000000-0005-0000-0000-0000B7720000}"/>
    <cellStyle name="Porcentaje 2 2 4 3" xfId="437" xr:uid="{00000000-0005-0000-0000-0000B8720000}"/>
    <cellStyle name="Porcentaje 2 2 4 3 2" xfId="1057" xr:uid="{00000000-0005-0000-0000-0000B9720000}"/>
    <cellStyle name="Porcentaje 2 2 4 3 2 2" xfId="2292" xr:uid="{00000000-0005-0000-0000-0000BA720000}"/>
    <cellStyle name="Porcentaje 2 2 4 3 2 2 2" xfId="4759" xr:uid="{00000000-0005-0000-0000-0000BB720000}"/>
    <cellStyle name="Porcentaje 2 2 4 3 2 2 2 2" xfId="9691" xr:uid="{00000000-0005-0000-0000-0000BC720000}"/>
    <cellStyle name="Porcentaje 2 2 4 3 2 2 2 2 2" xfId="19551" xr:uid="{00000000-0005-0000-0000-0000BD720000}"/>
    <cellStyle name="Porcentaje 2 2 4 3 2 2 2 2 2 2" xfId="39266" xr:uid="{00000000-0005-0000-0000-0000BE720000}"/>
    <cellStyle name="Porcentaje 2 2 4 3 2 2 2 2 3" xfId="29409" xr:uid="{00000000-0005-0000-0000-0000BF720000}"/>
    <cellStyle name="Porcentaje 2 2 4 3 2 2 2 3" xfId="14623" xr:uid="{00000000-0005-0000-0000-0000C0720000}"/>
    <cellStyle name="Porcentaje 2 2 4 3 2 2 2 3 2" xfId="34338" xr:uid="{00000000-0005-0000-0000-0000C1720000}"/>
    <cellStyle name="Porcentaje 2 2 4 3 2 2 2 4" xfId="24481" xr:uid="{00000000-0005-0000-0000-0000C2720000}"/>
    <cellStyle name="Porcentaje 2 2 4 3 2 2 3" xfId="7227" xr:uid="{00000000-0005-0000-0000-0000C3720000}"/>
    <cellStyle name="Porcentaje 2 2 4 3 2 2 3 2" xfId="17087" xr:uid="{00000000-0005-0000-0000-0000C4720000}"/>
    <cellStyle name="Porcentaje 2 2 4 3 2 2 3 2 2" xfId="36802" xr:uid="{00000000-0005-0000-0000-0000C5720000}"/>
    <cellStyle name="Porcentaje 2 2 4 3 2 2 3 3" xfId="26945" xr:uid="{00000000-0005-0000-0000-0000C6720000}"/>
    <cellStyle name="Porcentaje 2 2 4 3 2 2 4" xfId="12159" xr:uid="{00000000-0005-0000-0000-0000C7720000}"/>
    <cellStyle name="Porcentaje 2 2 4 3 2 2 4 2" xfId="31874" xr:uid="{00000000-0005-0000-0000-0000C8720000}"/>
    <cellStyle name="Porcentaje 2 2 4 3 2 2 5" xfId="22017" xr:uid="{00000000-0005-0000-0000-0000C9720000}"/>
    <cellStyle name="Porcentaje 2 2 4 3 2 3" xfId="3527" xr:uid="{00000000-0005-0000-0000-0000CA720000}"/>
    <cellStyle name="Porcentaje 2 2 4 3 2 3 2" xfId="8459" xr:uid="{00000000-0005-0000-0000-0000CB720000}"/>
    <cellStyle name="Porcentaje 2 2 4 3 2 3 2 2" xfId="18319" xr:uid="{00000000-0005-0000-0000-0000CC720000}"/>
    <cellStyle name="Porcentaje 2 2 4 3 2 3 2 2 2" xfId="38034" xr:uid="{00000000-0005-0000-0000-0000CD720000}"/>
    <cellStyle name="Porcentaje 2 2 4 3 2 3 2 3" xfId="28177" xr:uid="{00000000-0005-0000-0000-0000CE720000}"/>
    <cellStyle name="Porcentaje 2 2 4 3 2 3 3" xfId="13391" xr:uid="{00000000-0005-0000-0000-0000CF720000}"/>
    <cellStyle name="Porcentaje 2 2 4 3 2 3 3 2" xfId="33106" xr:uid="{00000000-0005-0000-0000-0000D0720000}"/>
    <cellStyle name="Porcentaje 2 2 4 3 2 3 4" xfId="23249" xr:uid="{00000000-0005-0000-0000-0000D1720000}"/>
    <cellStyle name="Porcentaje 2 2 4 3 2 4" xfId="5995" xr:uid="{00000000-0005-0000-0000-0000D2720000}"/>
    <cellStyle name="Porcentaje 2 2 4 3 2 4 2" xfId="15855" xr:uid="{00000000-0005-0000-0000-0000D3720000}"/>
    <cellStyle name="Porcentaje 2 2 4 3 2 4 2 2" xfId="35570" xr:uid="{00000000-0005-0000-0000-0000D4720000}"/>
    <cellStyle name="Porcentaje 2 2 4 3 2 4 3" xfId="25713" xr:uid="{00000000-0005-0000-0000-0000D5720000}"/>
    <cellStyle name="Porcentaje 2 2 4 3 2 5" xfId="10927" xr:uid="{00000000-0005-0000-0000-0000D6720000}"/>
    <cellStyle name="Porcentaje 2 2 4 3 2 5 2" xfId="30642" xr:uid="{00000000-0005-0000-0000-0000D7720000}"/>
    <cellStyle name="Porcentaje 2 2 4 3 2 6" xfId="20785" xr:uid="{00000000-0005-0000-0000-0000D8720000}"/>
    <cellStyle name="Porcentaje 2 2 4 3 3" xfId="1676" xr:uid="{00000000-0005-0000-0000-0000D9720000}"/>
    <cellStyle name="Porcentaje 2 2 4 3 3 2" xfId="4143" xr:uid="{00000000-0005-0000-0000-0000DA720000}"/>
    <cellStyle name="Porcentaje 2 2 4 3 3 2 2" xfId="9075" xr:uid="{00000000-0005-0000-0000-0000DB720000}"/>
    <cellStyle name="Porcentaje 2 2 4 3 3 2 2 2" xfId="18935" xr:uid="{00000000-0005-0000-0000-0000DC720000}"/>
    <cellStyle name="Porcentaje 2 2 4 3 3 2 2 2 2" xfId="38650" xr:uid="{00000000-0005-0000-0000-0000DD720000}"/>
    <cellStyle name="Porcentaje 2 2 4 3 3 2 2 3" xfId="28793" xr:uid="{00000000-0005-0000-0000-0000DE720000}"/>
    <cellStyle name="Porcentaje 2 2 4 3 3 2 3" xfId="14007" xr:uid="{00000000-0005-0000-0000-0000DF720000}"/>
    <cellStyle name="Porcentaje 2 2 4 3 3 2 3 2" xfId="33722" xr:uid="{00000000-0005-0000-0000-0000E0720000}"/>
    <cellStyle name="Porcentaje 2 2 4 3 3 2 4" xfId="23865" xr:uid="{00000000-0005-0000-0000-0000E1720000}"/>
    <cellStyle name="Porcentaje 2 2 4 3 3 3" xfId="6611" xr:uid="{00000000-0005-0000-0000-0000E2720000}"/>
    <cellStyle name="Porcentaje 2 2 4 3 3 3 2" xfId="16471" xr:uid="{00000000-0005-0000-0000-0000E3720000}"/>
    <cellStyle name="Porcentaje 2 2 4 3 3 3 2 2" xfId="36186" xr:uid="{00000000-0005-0000-0000-0000E4720000}"/>
    <cellStyle name="Porcentaje 2 2 4 3 3 3 3" xfId="26329" xr:uid="{00000000-0005-0000-0000-0000E5720000}"/>
    <cellStyle name="Porcentaje 2 2 4 3 3 4" xfId="11543" xr:uid="{00000000-0005-0000-0000-0000E6720000}"/>
    <cellStyle name="Porcentaje 2 2 4 3 3 4 2" xfId="31258" xr:uid="{00000000-0005-0000-0000-0000E7720000}"/>
    <cellStyle name="Porcentaje 2 2 4 3 3 5" xfId="21401" xr:uid="{00000000-0005-0000-0000-0000E8720000}"/>
    <cellStyle name="Porcentaje 2 2 4 3 4" xfId="2911" xr:uid="{00000000-0005-0000-0000-0000E9720000}"/>
    <cellStyle name="Porcentaje 2 2 4 3 4 2" xfId="7843" xr:uid="{00000000-0005-0000-0000-0000EA720000}"/>
    <cellStyle name="Porcentaje 2 2 4 3 4 2 2" xfId="17703" xr:uid="{00000000-0005-0000-0000-0000EB720000}"/>
    <cellStyle name="Porcentaje 2 2 4 3 4 2 2 2" xfId="37418" xr:uid="{00000000-0005-0000-0000-0000EC720000}"/>
    <cellStyle name="Porcentaje 2 2 4 3 4 2 3" xfId="27561" xr:uid="{00000000-0005-0000-0000-0000ED720000}"/>
    <cellStyle name="Porcentaje 2 2 4 3 4 3" xfId="12775" xr:uid="{00000000-0005-0000-0000-0000EE720000}"/>
    <cellStyle name="Porcentaje 2 2 4 3 4 3 2" xfId="32490" xr:uid="{00000000-0005-0000-0000-0000EF720000}"/>
    <cellStyle name="Porcentaje 2 2 4 3 4 4" xfId="22633" xr:uid="{00000000-0005-0000-0000-0000F0720000}"/>
    <cellStyle name="Porcentaje 2 2 4 3 5" xfId="5379" xr:uid="{00000000-0005-0000-0000-0000F1720000}"/>
    <cellStyle name="Porcentaje 2 2 4 3 5 2" xfId="15239" xr:uid="{00000000-0005-0000-0000-0000F2720000}"/>
    <cellStyle name="Porcentaje 2 2 4 3 5 2 2" xfId="34954" xr:uid="{00000000-0005-0000-0000-0000F3720000}"/>
    <cellStyle name="Porcentaje 2 2 4 3 5 3" xfId="25097" xr:uid="{00000000-0005-0000-0000-0000F4720000}"/>
    <cellStyle name="Porcentaje 2 2 4 3 6" xfId="10311" xr:uid="{00000000-0005-0000-0000-0000F5720000}"/>
    <cellStyle name="Porcentaje 2 2 4 3 6 2" xfId="30026" xr:uid="{00000000-0005-0000-0000-0000F6720000}"/>
    <cellStyle name="Porcentaje 2 2 4 3 7" xfId="20169" xr:uid="{00000000-0005-0000-0000-0000F7720000}"/>
    <cellStyle name="Porcentaje 2 2 4 4" xfId="750" xr:uid="{00000000-0005-0000-0000-0000F8720000}"/>
    <cellStyle name="Porcentaje 2 2 4 4 2" xfId="1986" xr:uid="{00000000-0005-0000-0000-0000F9720000}"/>
    <cellStyle name="Porcentaje 2 2 4 4 2 2" xfId="4453" xr:uid="{00000000-0005-0000-0000-0000FA720000}"/>
    <cellStyle name="Porcentaje 2 2 4 4 2 2 2" xfId="9385" xr:uid="{00000000-0005-0000-0000-0000FB720000}"/>
    <cellStyle name="Porcentaje 2 2 4 4 2 2 2 2" xfId="19245" xr:uid="{00000000-0005-0000-0000-0000FC720000}"/>
    <cellStyle name="Porcentaje 2 2 4 4 2 2 2 2 2" xfId="38960" xr:uid="{00000000-0005-0000-0000-0000FD720000}"/>
    <cellStyle name="Porcentaje 2 2 4 4 2 2 2 3" xfId="29103" xr:uid="{00000000-0005-0000-0000-0000FE720000}"/>
    <cellStyle name="Porcentaje 2 2 4 4 2 2 3" xfId="14317" xr:uid="{00000000-0005-0000-0000-0000FF720000}"/>
    <cellStyle name="Porcentaje 2 2 4 4 2 2 3 2" xfId="34032" xr:uid="{00000000-0005-0000-0000-000000730000}"/>
    <cellStyle name="Porcentaje 2 2 4 4 2 2 4" xfId="24175" xr:uid="{00000000-0005-0000-0000-000001730000}"/>
    <cellStyle name="Porcentaje 2 2 4 4 2 3" xfId="6921" xr:uid="{00000000-0005-0000-0000-000002730000}"/>
    <cellStyle name="Porcentaje 2 2 4 4 2 3 2" xfId="16781" xr:uid="{00000000-0005-0000-0000-000003730000}"/>
    <cellStyle name="Porcentaje 2 2 4 4 2 3 2 2" xfId="36496" xr:uid="{00000000-0005-0000-0000-000004730000}"/>
    <cellStyle name="Porcentaje 2 2 4 4 2 3 3" xfId="26639" xr:uid="{00000000-0005-0000-0000-000005730000}"/>
    <cellStyle name="Porcentaje 2 2 4 4 2 4" xfId="11853" xr:uid="{00000000-0005-0000-0000-000006730000}"/>
    <cellStyle name="Porcentaje 2 2 4 4 2 4 2" xfId="31568" xr:uid="{00000000-0005-0000-0000-000007730000}"/>
    <cellStyle name="Porcentaje 2 2 4 4 2 5" xfId="21711" xr:uid="{00000000-0005-0000-0000-000008730000}"/>
    <cellStyle name="Porcentaje 2 2 4 4 3" xfId="3221" xr:uid="{00000000-0005-0000-0000-000009730000}"/>
    <cellStyle name="Porcentaje 2 2 4 4 3 2" xfId="8153" xr:uid="{00000000-0005-0000-0000-00000A730000}"/>
    <cellStyle name="Porcentaje 2 2 4 4 3 2 2" xfId="18013" xr:uid="{00000000-0005-0000-0000-00000B730000}"/>
    <cellStyle name="Porcentaje 2 2 4 4 3 2 2 2" xfId="37728" xr:uid="{00000000-0005-0000-0000-00000C730000}"/>
    <cellStyle name="Porcentaje 2 2 4 4 3 2 3" xfId="27871" xr:uid="{00000000-0005-0000-0000-00000D730000}"/>
    <cellStyle name="Porcentaje 2 2 4 4 3 3" xfId="13085" xr:uid="{00000000-0005-0000-0000-00000E730000}"/>
    <cellStyle name="Porcentaje 2 2 4 4 3 3 2" xfId="32800" xr:uid="{00000000-0005-0000-0000-00000F730000}"/>
    <cellStyle name="Porcentaje 2 2 4 4 3 4" xfId="22943" xr:uid="{00000000-0005-0000-0000-000010730000}"/>
    <cellStyle name="Porcentaje 2 2 4 4 4" xfId="5689" xr:uid="{00000000-0005-0000-0000-000011730000}"/>
    <cellStyle name="Porcentaje 2 2 4 4 4 2" xfId="15549" xr:uid="{00000000-0005-0000-0000-000012730000}"/>
    <cellStyle name="Porcentaje 2 2 4 4 4 2 2" xfId="35264" xr:uid="{00000000-0005-0000-0000-000013730000}"/>
    <cellStyle name="Porcentaje 2 2 4 4 4 3" xfId="25407" xr:uid="{00000000-0005-0000-0000-000014730000}"/>
    <cellStyle name="Porcentaje 2 2 4 4 5" xfId="10621" xr:uid="{00000000-0005-0000-0000-000015730000}"/>
    <cellStyle name="Porcentaje 2 2 4 4 5 2" xfId="30336" xr:uid="{00000000-0005-0000-0000-000016730000}"/>
    <cellStyle name="Porcentaje 2 2 4 4 6" xfId="20479" xr:uid="{00000000-0005-0000-0000-000017730000}"/>
    <cellStyle name="Porcentaje 2 2 4 5" xfId="1370" xr:uid="{00000000-0005-0000-0000-000018730000}"/>
    <cellStyle name="Porcentaje 2 2 4 5 2" xfId="3837" xr:uid="{00000000-0005-0000-0000-000019730000}"/>
    <cellStyle name="Porcentaje 2 2 4 5 2 2" xfId="8769" xr:uid="{00000000-0005-0000-0000-00001A730000}"/>
    <cellStyle name="Porcentaje 2 2 4 5 2 2 2" xfId="18629" xr:uid="{00000000-0005-0000-0000-00001B730000}"/>
    <cellStyle name="Porcentaje 2 2 4 5 2 2 2 2" xfId="38344" xr:uid="{00000000-0005-0000-0000-00001C730000}"/>
    <cellStyle name="Porcentaje 2 2 4 5 2 2 3" xfId="28487" xr:uid="{00000000-0005-0000-0000-00001D730000}"/>
    <cellStyle name="Porcentaje 2 2 4 5 2 3" xfId="13701" xr:uid="{00000000-0005-0000-0000-00001E730000}"/>
    <cellStyle name="Porcentaje 2 2 4 5 2 3 2" xfId="33416" xr:uid="{00000000-0005-0000-0000-00001F730000}"/>
    <cellStyle name="Porcentaje 2 2 4 5 2 4" xfId="23559" xr:uid="{00000000-0005-0000-0000-000020730000}"/>
    <cellStyle name="Porcentaje 2 2 4 5 3" xfId="6305" xr:uid="{00000000-0005-0000-0000-000021730000}"/>
    <cellStyle name="Porcentaje 2 2 4 5 3 2" xfId="16165" xr:uid="{00000000-0005-0000-0000-000022730000}"/>
    <cellStyle name="Porcentaje 2 2 4 5 3 2 2" xfId="35880" xr:uid="{00000000-0005-0000-0000-000023730000}"/>
    <cellStyle name="Porcentaje 2 2 4 5 3 3" xfId="26023" xr:uid="{00000000-0005-0000-0000-000024730000}"/>
    <cellStyle name="Porcentaje 2 2 4 5 4" xfId="11237" xr:uid="{00000000-0005-0000-0000-000025730000}"/>
    <cellStyle name="Porcentaje 2 2 4 5 4 2" xfId="30952" xr:uid="{00000000-0005-0000-0000-000026730000}"/>
    <cellStyle name="Porcentaje 2 2 4 5 5" xfId="21095" xr:uid="{00000000-0005-0000-0000-000027730000}"/>
    <cellStyle name="Porcentaje 2 2 4 6" xfId="2605" xr:uid="{00000000-0005-0000-0000-000028730000}"/>
    <cellStyle name="Porcentaje 2 2 4 6 2" xfId="7537" xr:uid="{00000000-0005-0000-0000-000029730000}"/>
    <cellStyle name="Porcentaje 2 2 4 6 2 2" xfId="17397" xr:uid="{00000000-0005-0000-0000-00002A730000}"/>
    <cellStyle name="Porcentaje 2 2 4 6 2 2 2" xfId="37112" xr:uid="{00000000-0005-0000-0000-00002B730000}"/>
    <cellStyle name="Porcentaje 2 2 4 6 2 3" xfId="27255" xr:uid="{00000000-0005-0000-0000-00002C730000}"/>
    <cellStyle name="Porcentaje 2 2 4 6 3" xfId="12469" xr:uid="{00000000-0005-0000-0000-00002D730000}"/>
    <cellStyle name="Porcentaje 2 2 4 6 3 2" xfId="32184" xr:uid="{00000000-0005-0000-0000-00002E730000}"/>
    <cellStyle name="Porcentaje 2 2 4 6 4" xfId="22327" xr:uid="{00000000-0005-0000-0000-00002F730000}"/>
    <cellStyle name="Porcentaje 2 2 4 7" xfId="5073" xr:uid="{00000000-0005-0000-0000-000030730000}"/>
    <cellStyle name="Porcentaje 2 2 4 7 2" xfId="14933" xr:uid="{00000000-0005-0000-0000-000031730000}"/>
    <cellStyle name="Porcentaje 2 2 4 7 2 2" xfId="34648" xr:uid="{00000000-0005-0000-0000-000032730000}"/>
    <cellStyle name="Porcentaje 2 2 4 7 3" xfId="24791" xr:uid="{00000000-0005-0000-0000-000033730000}"/>
    <cellStyle name="Porcentaje 2 2 4 8" xfId="10005" xr:uid="{00000000-0005-0000-0000-000034730000}"/>
    <cellStyle name="Porcentaje 2 2 4 8 2" xfId="29720" xr:uid="{00000000-0005-0000-0000-000035730000}"/>
    <cellStyle name="Porcentaje 2 2 4 9" xfId="19863" xr:uid="{00000000-0005-0000-0000-000036730000}"/>
    <cellStyle name="Porcentaje 2 2 5" xfId="199" xr:uid="{00000000-0005-0000-0000-000037730000}"/>
    <cellStyle name="Porcentaje 2 2 5 2" xfId="513" xr:uid="{00000000-0005-0000-0000-000038730000}"/>
    <cellStyle name="Porcentaje 2 2 5 2 2" xfId="1133" xr:uid="{00000000-0005-0000-0000-000039730000}"/>
    <cellStyle name="Porcentaje 2 2 5 2 2 2" xfId="2368" xr:uid="{00000000-0005-0000-0000-00003A730000}"/>
    <cellStyle name="Porcentaje 2 2 5 2 2 2 2" xfId="4835" xr:uid="{00000000-0005-0000-0000-00003B730000}"/>
    <cellStyle name="Porcentaje 2 2 5 2 2 2 2 2" xfId="9767" xr:uid="{00000000-0005-0000-0000-00003C730000}"/>
    <cellStyle name="Porcentaje 2 2 5 2 2 2 2 2 2" xfId="19627" xr:uid="{00000000-0005-0000-0000-00003D730000}"/>
    <cellStyle name="Porcentaje 2 2 5 2 2 2 2 2 2 2" xfId="39342" xr:uid="{00000000-0005-0000-0000-00003E730000}"/>
    <cellStyle name="Porcentaje 2 2 5 2 2 2 2 2 3" xfId="29485" xr:uid="{00000000-0005-0000-0000-00003F730000}"/>
    <cellStyle name="Porcentaje 2 2 5 2 2 2 2 3" xfId="14699" xr:uid="{00000000-0005-0000-0000-000040730000}"/>
    <cellStyle name="Porcentaje 2 2 5 2 2 2 2 3 2" xfId="34414" xr:uid="{00000000-0005-0000-0000-000041730000}"/>
    <cellStyle name="Porcentaje 2 2 5 2 2 2 2 4" xfId="24557" xr:uid="{00000000-0005-0000-0000-000042730000}"/>
    <cellStyle name="Porcentaje 2 2 5 2 2 2 3" xfId="7303" xr:uid="{00000000-0005-0000-0000-000043730000}"/>
    <cellStyle name="Porcentaje 2 2 5 2 2 2 3 2" xfId="17163" xr:uid="{00000000-0005-0000-0000-000044730000}"/>
    <cellStyle name="Porcentaje 2 2 5 2 2 2 3 2 2" xfId="36878" xr:uid="{00000000-0005-0000-0000-000045730000}"/>
    <cellStyle name="Porcentaje 2 2 5 2 2 2 3 3" xfId="27021" xr:uid="{00000000-0005-0000-0000-000046730000}"/>
    <cellStyle name="Porcentaje 2 2 5 2 2 2 4" xfId="12235" xr:uid="{00000000-0005-0000-0000-000047730000}"/>
    <cellStyle name="Porcentaje 2 2 5 2 2 2 4 2" xfId="31950" xr:uid="{00000000-0005-0000-0000-000048730000}"/>
    <cellStyle name="Porcentaje 2 2 5 2 2 2 5" xfId="22093" xr:uid="{00000000-0005-0000-0000-000049730000}"/>
    <cellStyle name="Porcentaje 2 2 5 2 2 3" xfId="3603" xr:uid="{00000000-0005-0000-0000-00004A730000}"/>
    <cellStyle name="Porcentaje 2 2 5 2 2 3 2" xfId="8535" xr:uid="{00000000-0005-0000-0000-00004B730000}"/>
    <cellStyle name="Porcentaje 2 2 5 2 2 3 2 2" xfId="18395" xr:uid="{00000000-0005-0000-0000-00004C730000}"/>
    <cellStyle name="Porcentaje 2 2 5 2 2 3 2 2 2" xfId="38110" xr:uid="{00000000-0005-0000-0000-00004D730000}"/>
    <cellStyle name="Porcentaje 2 2 5 2 2 3 2 3" xfId="28253" xr:uid="{00000000-0005-0000-0000-00004E730000}"/>
    <cellStyle name="Porcentaje 2 2 5 2 2 3 3" xfId="13467" xr:uid="{00000000-0005-0000-0000-00004F730000}"/>
    <cellStyle name="Porcentaje 2 2 5 2 2 3 3 2" xfId="33182" xr:uid="{00000000-0005-0000-0000-000050730000}"/>
    <cellStyle name="Porcentaje 2 2 5 2 2 3 4" xfId="23325" xr:uid="{00000000-0005-0000-0000-000051730000}"/>
    <cellStyle name="Porcentaje 2 2 5 2 2 4" xfId="6071" xr:uid="{00000000-0005-0000-0000-000052730000}"/>
    <cellStyle name="Porcentaje 2 2 5 2 2 4 2" xfId="15931" xr:uid="{00000000-0005-0000-0000-000053730000}"/>
    <cellStyle name="Porcentaje 2 2 5 2 2 4 2 2" xfId="35646" xr:uid="{00000000-0005-0000-0000-000054730000}"/>
    <cellStyle name="Porcentaje 2 2 5 2 2 4 3" xfId="25789" xr:uid="{00000000-0005-0000-0000-000055730000}"/>
    <cellStyle name="Porcentaje 2 2 5 2 2 5" xfId="11003" xr:uid="{00000000-0005-0000-0000-000056730000}"/>
    <cellStyle name="Porcentaje 2 2 5 2 2 5 2" xfId="30718" xr:uid="{00000000-0005-0000-0000-000057730000}"/>
    <cellStyle name="Porcentaje 2 2 5 2 2 6" xfId="20861" xr:uid="{00000000-0005-0000-0000-000058730000}"/>
    <cellStyle name="Porcentaje 2 2 5 2 3" xfId="1752" xr:uid="{00000000-0005-0000-0000-000059730000}"/>
    <cellStyle name="Porcentaje 2 2 5 2 3 2" xfId="4219" xr:uid="{00000000-0005-0000-0000-00005A730000}"/>
    <cellStyle name="Porcentaje 2 2 5 2 3 2 2" xfId="9151" xr:uid="{00000000-0005-0000-0000-00005B730000}"/>
    <cellStyle name="Porcentaje 2 2 5 2 3 2 2 2" xfId="19011" xr:uid="{00000000-0005-0000-0000-00005C730000}"/>
    <cellStyle name="Porcentaje 2 2 5 2 3 2 2 2 2" xfId="38726" xr:uid="{00000000-0005-0000-0000-00005D730000}"/>
    <cellStyle name="Porcentaje 2 2 5 2 3 2 2 3" xfId="28869" xr:uid="{00000000-0005-0000-0000-00005E730000}"/>
    <cellStyle name="Porcentaje 2 2 5 2 3 2 3" xfId="14083" xr:uid="{00000000-0005-0000-0000-00005F730000}"/>
    <cellStyle name="Porcentaje 2 2 5 2 3 2 3 2" xfId="33798" xr:uid="{00000000-0005-0000-0000-000060730000}"/>
    <cellStyle name="Porcentaje 2 2 5 2 3 2 4" xfId="23941" xr:uid="{00000000-0005-0000-0000-000061730000}"/>
    <cellStyle name="Porcentaje 2 2 5 2 3 3" xfId="6687" xr:uid="{00000000-0005-0000-0000-000062730000}"/>
    <cellStyle name="Porcentaje 2 2 5 2 3 3 2" xfId="16547" xr:uid="{00000000-0005-0000-0000-000063730000}"/>
    <cellStyle name="Porcentaje 2 2 5 2 3 3 2 2" xfId="36262" xr:uid="{00000000-0005-0000-0000-000064730000}"/>
    <cellStyle name="Porcentaje 2 2 5 2 3 3 3" xfId="26405" xr:uid="{00000000-0005-0000-0000-000065730000}"/>
    <cellStyle name="Porcentaje 2 2 5 2 3 4" xfId="11619" xr:uid="{00000000-0005-0000-0000-000066730000}"/>
    <cellStyle name="Porcentaje 2 2 5 2 3 4 2" xfId="31334" xr:uid="{00000000-0005-0000-0000-000067730000}"/>
    <cellStyle name="Porcentaje 2 2 5 2 3 5" xfId="21477" xr:uid="{00000000-0005-0000-0000-000068730000}"/>
    <cellStyle name="Porcentaje 2 2 5 2 4" xfId="2987" xr:uid="{00000000-0005-0000-0000-000069730000}"/>
    <cellStyle name="Porcentaje 2 2 5 2 4 2" xfId="7919" xr:uid="{00000000-0005-0000-0000-00006A730000}"/>
    <cellStyle name="Porcentaje 2 2 5 2 4 2 2" xfId="17779" xr:uid="{00000000-0005-0000-0000-00006B730000}"/>
    <cellStyle name="Porcentaje 2 2 5 2 4 2 2 2" xfId="37494" xr:uid="{00000000-0005-0000-0000-00006C730000}"/>
    <cellStyle name="Porcentaje 2 2 5 2 4 2 3" xfId="27637" xr:uid="{00000000-0005-0000-0000-00006D730000}"/>
    <cellStyle name="Porcentaje 2 2 5 2 4 3" xfId="12851" xr:uid="{00000000-0005-0000-0000-00006E730000}"/>
    <cellStyle name="Porcentaje 2 2 5 2 4 3 2" xfId="32566" xr:uid="{00000000-0005-0000-0000-00006F730000}"/>
    <cellStyle name="Porcentaje 2 2 5 2 4 4" xfId="22709" xr:uid="{00000000-0005-0000-0000-000070730000}"/>
    <cellStyle name="Porcentaje 2 2 5 2 5" xfId="5455" xr:uid="{00000000-0005-0000-0000-000071730000}"/>
    <cellStyle name="Porcentaje 2 2 5 2 5 2" xfId="15315" xr:uid="{00000000-0005-0000-0000-000072730000}"/>
    <cellStyle name="Porcentaje 2 2 5 2 5 2 2" xfId="35030" xr:uid="{00000000-0005-0000-0000-000073730000}"/>
    <cellStyle name="Porcentaje 2 2 5 2 5 3" xfId="25173" xr:uid="{00000000-0005-0000-0000-000074730000}"/>
    <cellStyle name="Porcentaje 2 2 5 2 6" xfId="10387" xr:uid="{00000000-0005-0000-0000-000075730000}"/>
    <cellStyle name="Porcentaje 2 2 5 2 6 2" xfId="30102" xr:uid="{00000000-0005-0000-0000-000076730000}"/>
    <cellStyle name="Porcentaje 2 2 5 2 7" xfId="20245" xr:uid="{00000000-0005-0000-0000-000077730000}"/>
    <cellStyle name="Porcentaje 2 2 5 3" xfId="826" xr:uid="{00000000-0005-0000-0000-000078730000}"/>
    <cellStyle name="Porcentaje 2 2 5 3 2" xfId="2062" xr:uid="{00000000-0005-0000-0000-000079730000}"/>
    <cellStyle name="Porcentaje 2 2 5 3 2 2" xfId="4529" xr:uid="{00000000-0005-0000-0000-00007A730000}"/>
    <cellStyle name="Porcentaje 2 2 5 3 2 2 2" xfId="9461" xr:uid="{00000000-0005-0000-0000-00007B730000}"/>
    <cellStyle name="Porcentaje 2 2 5 3 2 2 2 2" xfId="19321" xr:uid="{00000000-0005-0000-0000-00007C730000}"/>
    <cellStyle name="Porcentaje 2 2 5 3 2 2 2 2 2" xfId="39036" xr:uid="{00000000-0005-0000-0000-00007D730000}"/>
    <cellStyle name="Porcentaje 2 2 5 3 2 2 2 3" xfId="29179" xr:uid="{00000000-0005-0000-0000-00007E730000}"/>
    <cellStyle name="Porcentaje 2 2 5 3 2 2 3" xfId="14393" xr:uid="{00000000-0005-0000-0000-00007F730000}"/>
    <cellStyle name="Porcentaje 2 2 5 3 2 2 3 2" xfId="34108" xr:uid="{00000000-0005-0000-0000-000080730000}"/>
    <cellStyle name="Porcentaje 2 2 5 3 2 2 4" xfId="24251" xr:uid="{00000000-0005-0000-0000-000081730000}"/>
    <cellStyle name="Porcentaje 2 2 5 3 2 3" xfId="6997" xr:uid="{00000000-0005-0000-0000-000082730000}"/>
    <cellStyle name="Porcentaje 2 2 5 3 2 3 2" xfId="16857" xr:uid="{00000000-0005-0000-0000-000083730000}"/>
    <cellStyle name="Porcentaje 2 2 5 3 2 3 2 2" xfId="36572" xr:uid="{00000000-0005-0000-0000-000084730000}"/>
    <cellStyle name="Porcentaje 2 2 5 3 2 3 3" xfId="26715" xr:uid="{00000000-0005-0000-0000-000085730000}"/>
    <cellStyle name="Porcentaje 2 2 5 3 2 4" xfId="11929" xr:uid="{00000000-0005-0000-0000-000086730000}"/>
    <cellStyle name="Porcentaje 2 2 5 3 2 4 2" xfId="31644" xr:uid="{00000000-0005-0000-0000-000087730000}"/>
    <cellStyle name="Porcentaje 2 2 5 3 2 5" xfId="21787" xr:uid="{00000000-0005-0000-0000-000088730000}"/>
    <cellStyle name="Porcentaje 2 2 5 3 3" xfId="3297" xr:uid="{00000000-0005-0000-0000-000089730000}"/>
    <cellStyle name="Porcentaje 2 2 5 3 3 2" xfId="8229" xr:uid="{00000000-0005-0000-0000-00008A730000}"/>
    <cellStyle name="Porcentaje 2 2 5 3 3 2 2" xfId="18089" xr:uid="{00000000-0005-0000-0000-00008B730000}"/>
    <cellStyle name="Porcentaje 2 2 5 3 3 2 2 2" xfId="37804" xr:uid="{00000000-0005-0000-0000-00008C730000}"/>
    <cellStyle name="Porcentaje 2 2 5 3 3 2 3" xfId="27947" xr:uid="{00000000-0005-0000-0000-00008D730000}"/>
    <cellStyle name="Porcentaje 2 2 5 3 3 3" xfId="13161" xr:uid="{00000000-0005-0000-0000-00008E730000}"/>
    <cellStyle name="Porcentaje 2 2 5 3 3 3 2" xfId="32876" xr:uid="{00000000-0005-0000-0000-00008F730000}"/>
    <cellStyle name="Porcentaje 2 2 5 3 3 4" xfId="23019" xr:uid="{00000000-0005-0000-0000-000090730000}"/>
    <cellStyle name="Porcentaje 2 2 5 3 4" xfId="5765" xr:uid="{00000000-0005-0000-0000-000091730000}"/>
    <cellStyle name="Porcentaje 2 2 5 3 4 2" xfId="15625" xr:uid="{00000000-0005-0000-0000-000092730000}"/>
    <cellStyle name="Porcentaje 2 2 5 3 4 2 2" xfId="35340" xr:uid="{00000000-0005-0000-0000-000093730000}"/>
    <cellStyle name="Porcentaje 2 2 5 3 4 3" xfId="25483" xr:uid="{00000000-0005-0000-0000-000094730000}"/>
    <cellStyle name="Porcentaje 2 2 5 3 5" xfId="10697" xr:uid="{00000000-0005-0000-0000-000095730000}"/>
    <cellStyle name="Porcentaje 2 2 5 3 5 2" xfId="30412" xr:uid="{00000000-0005-0000-0000-000096730000}"/>
    <cellStyle name="Porcentaje 2 2 5 3 6" xfId="20555" xr:uid="{00000000-0005-0000-0000-000097730000}"/>
    <cellStyle name="Porcentaje 2 2 5 4" xfId="1446" xr:uid="{00000000-0005-0000-0000-000098730000}"/>
    <cellStyle name="Porcentaje 2 2 5 4 2" xfId="3913" xr:uid="{00000000-0005-0000-0000-000099730000}"/>
    <cellStyle name="Porcentaje 2 2 5 4 2 2" xfId="8845" xr:uid="{00000000-0005-0000-0000-00009A730000}"/>
    <cellStyle name="Porcentaje 2 2 5 4 2 2 2" xfId="18705" xr:uid="{00000000-0005-0000-0000-00009B730000}"/>
    <cellStyle name="Porcentaje 2 2 5 4 2 2 2 2" xfId="38420" xr:uid="{00000000-0005-0000-0000-00009C730000}"/>
    <cellStyle name="Porcentaje 2 2 5 4 2 2 3" xfId="28563" xr:uid="{00000000-0005-0000-0000-00009D730000}"/>
    <cellStyle name="Porcentaje 2 2 5 4 2 3" xfId="13777" xr:uid="{00000000-0005-0000-0000-00009E730000}"/>
    <cellStyle name="Porcentaje 2 2 5 4 2 3 2" xfId="33492" xr:uid="{00000000-0005-0000-0000-00009F730000}"/>
    <cellStyle name="Porcentaje 2 2 5 4 2 4" xfId="23635" xr:uid="{00000000-0005-0000-0000-0000A0730000}"/>
    <cellStyle name="Porcentaje 2 2 5 4 3" xfId="6381" xr:uid="{00000000-0005-0000-0000-0000A1730000}"/>
    <cellStyle name="Porcentaje 2 2 5 4 3 2" xfId="16241" xr:uid="{00000000-0005-0000-0000-0000A2730000}"/>
    <cellStyle name="Porcentaje 2 2 5 4 3 2 2" xfId="35956" xr:uid="{00000000-0005-0000-0000-0000A3730000}"/>
    <cellStyle name="Porcentaje 2 2 5 4 3 3" xfId="26099" xr:uid="{00000000-0005-0000-0000-0000A4730000}"/>
    <cellStyle name="Porcentaje 2 2 5 4 4" xfId="11313" xr:uid="{00000000-0005-0000-0000-0000A5730000}"/>
    <cellStyle name="Porcentaje 2 2 5 4 4 2" xfId="31028" xr:uid="{00000000-0005-0000-0000-0000A6730000}"/>
    <cellStyle name="Porcentaje 2 2 5 4 5" xfId="21171" xr:uid="{00000000-0005-0000-0000-0000A7730000}"/>
    <cellStyle name="Porcentaje 2 2 5 5" xfId="2681" xr:uid="{00000000-0005-0000-0000-0000A8730000}"/>
    <cellStyle name="Porcentaje 2 2 5 5 2" xfId="7613" xr:uid="{00000000-0005-0000-0000-0000A9730000}"/>
    <cellStyle name="Porcentaje 2 2 5 5 2 2" xfId="17473" xr:uid="{00000000-0005-0000-0000-0000AA730000}"/>
    <cellStyle name="Porcentaje 2 2 5 5 2 2 2" xfId="37188" xr:uid="{00000000-0005-0000-0000-0000AB730000}"/>
    <cellStyle name="Porcentaje 2 2 5 5 2 3" xfId="27331" xr:uid="{00000000-0005-0000-0000-0000AC730000}"/>
    <cellStyle name="Porcentaje 2 2 5 5 3" xfId="12545" xr:uid="{00000000-0005-0000-0000-0000AD730000}"/>
    <cellStyle name="Porcentaje 2 2 5 5 3 2" xfId="32260" xr:uid="{00000000-0005-0000-0000-0000AE730000}"/>
    <cellStyle name="Porcentaje 2 2 5 5 4" xfId="22403" xr:uid="{00000000-0005-0000-0000-0000AF730000}"/>
    <cellStyle name="Porcentaje 2 2 5 6" xfId="5149" xr:uid="{00000000-0005-0000-0000-0000B0730000}"/>
    <cellStyle name="Porcentaje 2 2 5 6 2" xfId="15009" xr:uid="{00000000-0005-0000-0000-0000B1730000}"/>
    <cellStyle name="Porcentaje 2 2 5 6 2 2" xfId="34724" xr:uid="{00000000-0005-0000-0000-0000B2730000}"/>
    <cellStyle name="Porcentaje 2 2 5 6 3" xfId="24867" xr:uid="{00000000-0005-0000-0000-0000B3730000}"/>
    <cellStyle name="Porcentaje 2 2 5 7" xfId="10081" xr:uid="{00000000-0005-0000-0000-0000B4730000}"/>
    <cellStyle name="Porcentaje 2 2 5 7 2" xfId="29796" xr:uid="{00000000-0005-0000-0000-0000B5730000}"/>
    <cellStyle name="Porcentaje 2 2 5 8" xfId="19939" xr:uid="{00000000-0005-0000-0000-0000B6730000}"/>
    <cellStyle name="Porcentaje 2 2 6" xfId="361" xr:uid="{00000000-0005-0000-0000-0000B7730000}"/>
    <cellStyle name="Porcentaje 2 2 6 2" xfId="981" xr:uid="{00000000-0005-0000-0000-0000B8730000}"/>
    <cellStyle name="Porcentaje 2 2 6 2 2" xfId="2216" xr:uid="{00000000-0005-0000-0000-0000B9730000}"/>
    <cellStyle name="Porcentaje 2 2 6 2 2 2" xfId="4683" xr:uid="{00000000-0005-0000-0000-0000BA730000}"/>
    <cellStyle name="Porcentaje 2 2 6 2 2 2 2" xfId="9615" xr:uid="{00000000-0005-0000-0000-0000BB730000}"/>
    <cellStyle name="Porcentaje 2 2 6 2 2 2 2 2" xfId="19475" xr:uid="{00000000-0005-0000-0000-0000BC730000}"/>
    <cellStyle name="Porcentaje 2 2 6 2 2 2 2 2 2" xfId="39190" xr:uid="{00000000-0005-0000-0000-0000BD730000}"/>
    <cellStyle name="Porcentaje 2 2 6 2 2 2 2 3" xfId="29333" xr:uid="{00000000-0005-0000-0000-0000BE730000}"/>
    <cellStyle name="Porcentaje 2 2 6 2 2 2 3" xfId="14547" xr:uid="{00000000-0005-0000-0000-0000BF730000}"/>
    <cellStyle name="Porcentaje 2 2 6 2 2 2 3 2" xfId="34262" xr:uid="{00000000-0005-0000-0000-0000C0730000}"/>
    <cellStyle name="Porcentaje 2 2 6 2 2 2 4" xfId="24405" xr:uid="{00000000-0005-0000-0000-0000C1730000}"/>
    <cellStyle name="Porcentaje 2 2 6 2 2 3" xfId="7151" xr:uid="{00000000-0005-0000-0000-0000C2730000}"/>
    <cellStyle name="Porcentaje 2 2 6 2 2 3 2" xfId="17011" xr:uid="{00000000-0005-0000-0000-0000C3730000}"/>
    <cellStyle name="Porcentaje 2 2 6 2 2 3 2 2" xfId="36726" xr:uid="{00000000-0005-0000-0000-0000C4730000}"/>
    <cellStyle name="Porcentaje 2 2 6 2 2 3 3" xfId="26869" xr:uid="{00000000-0005-0000-0000-0000C5730000}"/>
    <cellStyle name="Porcentaje 2 2 6 2 2 4" xfId="12083" xr:uid="{00000000-0005-0000-0000-0000C6730000}"/>
    <cellStyle name="Porcentaje 2 2 6 2 2 4 2" xfId="31798" xr:uid="{00000000-0005-0000-0000-0000C7730000}"/>
    <cellStyle name="Porcentaje 2 2 6 2 2 5" xfId="21941" xr:uid="{00000000-0005-0000-0000-0000C8730000}"/>
    <cellStyle name="Porcentaje 2 2 6 2 3" xfId="3451" xr:uid="{00000000-0005-0000-0000-0000C9730000}"/>
    <cellStyle name="Porcentaje 2 2 6 2 3 2" xfId="8383" xr:uid="{00000000-0005-0000-0000-0000CA730000}"/>
    <cellStyle name="Porcentaje 2 2 6 2 3 2 2" xfId="18243" xr:uid="{00000000-0005-0000-0000-0000CB730000}"/>
    <cellStyle name="Porcentaje 2 2 6 2 3 2 2 2" xfId="37958" xr:uid="{00000000-0005-0000-0000-0000CC730000}"/>
    <cellStyle name="Porcentaje 2 2 6 2 3 2 3" xfId="28101" xr:uid="{00000000-0005-0000-0000-0000CD730000}"/>
    <cellStyle name="Porcentaje 2 2 6 2 3 3" xfId="13315" xr:uid="{00000000-0005-0000-0000-0000CE730000}"/>
    <cellStyle name="Porcentaje 2 2 6 2 3 3 2" xfId="33030" xr:uid="{00000000-0005-0000-0000-0000CF730000}"/>
    <cellStyle name="Porcentaje 2 2 6 2 3 4" xfId="23173" xr:uid="{00000000-0005-0000-0000-0000D0730000}"/>
    <cellStyle name="Porcentaje 2 2 6 2 4" xfId="5919" xr:uid="{00000000-0005-0000-0000-0000D1730000}"/>
    <cellStyle name="Porcentaje 2 2 6 2 4 2" xfId="15779" xr:uid="{00000000-0005-0000-0000-0000D2730000}"/>
    <cellStyle name="Porcentaje 2 2 6 2 4 2 2" xfId="35494" xr:uid="{00000000-0005-0000-0000-0000D3730000}"/>
    <cellStyle name="Porcentaje 2 2 6 2 4 3" xfId="25637" xr:uid="{00000000-0005-0000-0000-0000D4730000}"/>
    <cellStyle name="Porcentaje 2 2 6 2 5" xfId="10851" xr:uid="{00000000-0005-0000-0000-0000D5730000}"/>
    <cellStyle name="Porcentaje 2 2 6 2 5 2" xfId="30566" xr:uid="{00000000-0005-0000-0000-0000D6730000}"/>
    <cellStyle name="Porcentaje 2 2 6 2 6" xfId="20709" xr:uid="{00000000-0005-0000-0000-0000D7730000}"/>
    <cellStyle name="Porcentaje 2 2 6 3" xfId="1600" xr:uid="{00000000-0005-0000-0000-0000D8730000}"/>
    <cellStyle name="Porcentaje 2 2 6 3 2" xfId="4067" xr:uid="{00000000-0005-0000-0000-0000D9730000}"/>
    <cellStyle name="Porcentaje 2 2 6 3 2 2" xfId="8999" xr:uid="{00000000-0005-0000-0000-0000DA730000}"/>
    <cellStyle name="Porcentaje 2 2 6 3 2 2 2" xfId="18859" xr:uid="{00000000-0005-0000-0000-0000DB730000}"/>
    <cellStyle name="Porcentaje 2 2 6 3 2 2 2 2" xfId="38574" xr:uid="{00000000-0005-0000-0000-0000DC730000}"/>
    <cellStyle name="Porcentaje 2 2 6 3 2 2 3" xfId="28717" xr:uid="{00000000-0005-0000-0000-0000DD730000}"/>
    <cellStyle name="Porcentaje 2 2 6 3 2 3" xfId="13931" xr:uid="{00000000-0005-0000-0000-0000DE730000}"/>
    <cellStyle name="Porcentaje 2 2 6 3 2 3 2" xfId="33646" xr:uid="{00000000-0005-0000-0000-0000DF730000}"/>
    <cellStyle name="Porcentaje 2 2 6 3 2 4" xfId="23789" xr:uid="{00000000-0005-0000-0000-0000E0730000}"/>
    <cellStyle name="Porcentaje 2 2 6 3 3" xfId="6535" xr:uid="{00000000-0005-0000-0000-0000E1730000}"/>
    <cellStyle name="Porcentaje 2 2 6 3 3 2" xfId="16395" xr:uid="{00000000-0005-0000-0000-0000E2730000}"/>
    <cellStyle name="Porcentaje 2 2 6 3 3 2 2" xfId="36110" xr:uid="{00000000-0005-0000-0000-0000E3730000}"/>
    <cellStyle name="Porcentaje 2 2 6 3 3 3" xfId="26253" xr:uid="{00000000-0005-0000-0000-0000E4730000}"/>
    <cellStyle name="Porcentaje 2 2 6 3 4" xfId="11467" xr:uid="{00000000-0005-0000-0000-0000E5730000}"/>
    <cellStyle name="Porcentaje 2 2 6 3 4 2" xfId="31182" xr:uid="{00000000-0005-0000-0000-0000E6730000}"/>
    <cellStyle name="Porcentaje 2 2 6 3 5" xfId="21325" xr:uid="{00000000-0005-0000-0000-0000E7730000}"/>
    <cellStyle name="Porcentaje 2 2 6 4" xfId="2835" xr:uid="{00000000-0005-0000-0000-0000E8730000}"/>
    <cellStyle name="Porcentaje 2 2 6 4 2" xfId="7767" xr:uid="{00000000-0005-0000-0000-0000E9730000}"/>
    <cellStyle name="Porcentaje 2 2 6 4 2 2" xfId="17627" xr:uid="{00000000-0005-0000-0000-0000EA730000}"/>
    <cellStyle name="Porcentaje 2 2 6 4 2 2 2" xfId="37342" xr:uid="{00000000-0005-0000-0000-0000EB730000}"/>
    <cellStyle name="Porcentaje 2 2 6 4 2 3" xfId="27485" xr:uid="{00000000-0005-0000-0000-0000EC730000}"/>
    <cellStyle name="Porcentaje 2 2 6 4 3" xfId="12699" xr:uid="{00000000-0005-0000-0000-0000ED730000}"/>
    <cellStyle name="Porcentaje 2 2 6 4 3 2" xfId="32414" xr:uid="{00000000-0005-0000-0000-0000EE730000}"/>
    <cellStyle name="Porcentaje 2 2 6 4 4" xfId="22557" xr:uid="{00000000-0005-0000-0000-0000EF730000}"/>
    <cellStyle name="Porcentaje 2 2 6 5" xfId="5303" xr:uid="{00000000-0005-0000-0000-0000F0730000}"/>
    <cellStyle name="Porcentaje 2 2 6 5 2" xfId="15163" xr:uid="{00000000-0005-0000-0000-0000F1730000}"/>
    <cellStyle name="Porcentaje 2 2 6 5 2 2" xfId="34878" xr:uid="{00000000-0005-0000-0000-0000F2730000}"/>
    <cellStyle name="Porcentaje 2 2 6 5 3" xfId="25021" xr:uid="{00000000-0005-0000-0000-0000F3730000}"/>
    <cellStyle name="Porcentaje 2 2 6 6" xfId="10235" xr:uid="{00000000-0005-0000-0000-0000F4730000}"/>
    <cellStyle name="Porcentaje 2 2 6 6 2" xfId="29950" xr:uid="{00000000-0005-0000-0000-0000F5730000}"/>
    <cellStyle name="Porcentaje 2 2 6 7" xfId="20093" xr:uid="{00000000-0005-0000-0000-0000F6730000}"/>
    <cellStyle name="Porcentaje 2 2 7" xfId="674" xr:uid="{00000000-0005-0000-0000-0000F7730000}"/>
    <cellStyle name="Porcentaje 2 2 7 2" xfId="1910" xr:uid="{00000000-0005-0000-0000-0000F8730000}"/>
    <cellStyle name="Porcentaje 2 2 7 2 2" xfId="4377" xr:uid="{00000000-0005-0000-0000-0000F9730000}"/>
    <cellStyle name="Porcentaje 2 2 7 2 2 2" xfId="9309" xr:uid="{00000000-0005-0000-0000-0000FA730000}"/>
    <cellStyle name="Porcentaje 2 2 7 2 2 2 2" xfId="19169" xr:uid="{00000000-0005-0000-0000-0000FB730000}"/>
    <cellStyle name="Porcentaje 2 2 7 2 2 2 2 2" xfId="38884" xr:uid="{00000000-0005-0000-0000-0000FC730000}"/>
    <cellStyle name="Porcentaje 2 2 7 2 2 2 3" xfId="29027" xr:uid="{00000000-0005-0000-0000-0000FD730000}"/>
    <cellStyle name="Porcentaje 2 2 7 2 2 3" xfId="14241" xr:uid="{00000000-0005-0000-0000-0000FE730000}"/>
    <cellStyle name="Porcentaje 2 2 7 2 2 3 2" xfId="33956" xr:uid="{00000000-0005-0000-0000-0000FF730000}"/>
    <cellStyle name="Porcentaje 2 2 7 2 2 4" xfId="24099" xr:uid="{00000000-0005-0000-0000-000000740000}"/>
    <cellStyle name="Porcentaje 2 2 7 2 3" xfId="6845" xr:uid="{00000000-0005-0000-0000-000001740000}"/>
    <cellStyle name="Porcentaje 2 2 7 2 3 2" xfId="16705" xr:uid="{00000000-0005-0000-0000-000002740000}"/>
    <cellStyle name="Porcentaje 2 2 7 2 3 2 2" xfId="36420" xr:uid="{00000000-0005-0000-0000-000003740000}"/>
    <cellStyle name="Porcentaje 2 2 7 2 3 3" xfId="26563" xr:uid="{00000000-0005-0000-0000-000004740000}"/>
    <cellStyle name="Porcentaje 2 2 7 2 4" xfId="11777" xr:uid="{00000000-0005-0000-0000-000005740000}"/>
    <cellStyle name="Porcentaje 2 2 7 2 4 2" xfId="31492" xr:uid="{00000000-0005-0000-0000-000006740000}"/>
    <cellStyle name="Porcentaje 2 2 7 2 5" xfId="21635" xr:uid="{00000000-0005-0000-0000-000007740000}"/>
    <cellStyle name="Porcentaje 2 2 7 3" xfId="3145" xr:uid="{00000000-0005-0000-0000-000008740000}"/>
    <cellStyle name="Porcentaje 2 2 7 3 2" xfId="8077" xr:uid="{00000000-0005-0000-0000-000009740000}"/>
    <cellStyle name="Porcentaje 2 2 7 3 2 2" xfId="17937" xr:uid="{00000000-0005-0000-0000-00000A740000}"/>
    <cellStyle name="Porcentaje 2 2 7 3 2 2 2" xfId="37652" xr:uid="{00000000-0005-0000-0000-00000B740000}"/>
    <cellStyle name="Porcentaje 2 2 7 3 2 3" xfId="27795" xr:uid="{00000000-0005-0000-0000-00000C740000}"/>
    <cellStyle name="Porcentaje 2 2 7 3 3" xfId="13009" xr:uid="{00000000-0005-0000-0000-00000D740000}"/>
    <cellStyle name="Porcentaje 2 2 7 3 3 2" xfId="32724" xr:uid="{00000000-0005-0000-0000-00000E740000}"/>
    <cellStyle name="Porcentaje 2 2 7 3 4" xfId="22867" xr:uid="{00000000-0005-0000-0000-00000F740000}"/>
    <cellStyle name="Porcentaje 2 2 7 4" xfId="5613" xr:uid="{00000000-0005-0000-0000-000010740000}"/>
    <cellStyle name="Porcentaje 2 2 7 4 2" xfId="15473" xr:uid="{00000000-0005-0000-0000-000011740000}"/>
    <cellStyle name="Porcentaje 2 2 7 4 2 2" xfId="35188" xr:uid="{00000000-0005-0000-0000-000012740000}"/>
    <cellStyle name="Porcentaje 2 2 7 4 3" xfId="25331" xr:uid="{00000000-0005-0000-0000-000013740000}"/>
    <cellStyle name="Porcentaje 2 2 7 5" xfId="10545" xr:uid="{00000000-0005-0000-0000-000014740000}"/>
    <cellStyle name="Porcentaje 2 2 7 5 2" xfId="30260" xr:uid="{00000000-0005-0000-0000-000015740000}"/>
    <cellStyle name="Porcentaje 2 2 7 6" xfId="20403" xr:uid="{00000000-0005-0000-0000-000016740000}"/>
    <cellStyle name="Porcentaje 2 2 8" xfId="1294" xr:uid="{00000000-0005-0000-0000-000017740000}"/>
    <cellStyle name="Porcentaje 2 2 8 2" xfId="3761" xr:uid="{00000000-0005-0000-0000-000018740000}"/>
    <cellStyle name="Porcentaje 2 2 8 2 2" xfId="8693" xr:uid="{00000000-0005-0000-0000-000019740000}"/>
    <cellStyle name="Porcentaje 2 2 8 2 2 2" xfId="18553" xr:uid="{00000000-0005-0000-0000-00001A740000}"/>
    <cellStyle name="Porcentaje 2 2 8 2 2 2 2" xfId="38268" xr:uid="{00000000-0005-0000-0000-00001B740000}"/>
    <cellStyle name="Porcentaje 2 2 8 2 2 3" xfId="28411" xr:uid="{00000000-0005-0000-0000-00001C740000}"/>
    <cellStyle name="Porcentaje 2 2 8 2 3" xfId="13625" xr:uid="{00000000-0005-0000-0000-00001D740000}"/>
    <cellStyle name="Porcentaje 2 2 8 2 3 2" xfId="33340" xr:uid="{00000000-0005-0000-0000-00001E740000}"/>
    <cellStyle name="Porcentaje 2 2 8 2 4" xfId="23483" xr:uid="{00000000-0005-0000-0000-00001F740000}"/>
    <cellStyle name="Porcentaje 2 2 8 3" xfId="6229" xr:uid="{00000000-0005-0000-0000-000020740000}"/>
    <cellStyle name="Porcentaje 2 2 8 3 2" xfId="16089" xr:uid="{00000000-0005-0000-0000-000021740000}"/>
    <cellStyle name="Porcentaje 2 2 8 3 2 2" xfId="35804" xr:uid="{00000000-0005-0000-0000-000022740000}"/>
    <cellStyle name="Porcentaje 2 2 8 3 3" xfId="25947" xr:uid="{00000000-0005-0000-0000-000023740000}"/>
    <cellStyle name="Porcentaje 2 2 8 4" xfId="11161" xr:uid="{00000000-0005-0000-0000-000024740000}"/>
    <cellStyle name="Porcentaje 2 2 8 4 2" xfId="30876" xr:uid="{00000000-0005-0000-0000-000025740000}"/>
    <cellStyle name="Porcentaje 2 2 8 5" xfId="21019" xr:uid="{00000000-0005-0000-0000-000026740000}"/>
    <cellStyle name="Porcentaje 2 2 9" xfId="2529" xr:uid="{00000000-0005-0000-0000-000027740000}"/>
    <cellStyle name="Porcentaje 2 2 9 2" xfId="7461" xr:uid="{00000000-0005-0000-0000-000028740000}"/>
    <cellStyle name="Porcentaje 2 2 9 2 2" xfId="17321" xr:uid="{00000000-0005-0000-0000-000029740000}"/>
    <cellStyle name="Porcentaje 2 2 9 2 2 2" xfId="37036" xr:uid="{00000000-0005-0000-0000-00002A740000}"/>
    <cellStyle name="Porcentaje 2 2 9 2 3" xfId="27179" xr:uid="{00000000-0005-0000-0000-00002B740000}"/>
    <cellStyle name="Porcentaje 2 2 9 3" xfId="12393" xr:uid="{00000000-0005-0000-0000-00002C740000}"/>
    <cellStyle name="Porcentaje 2 2 9 3 2" xfId="32108" xr:uid="{00000000-0005-0000-0000-00002D740000}"/>
    <cellStyle name="Porcentaje 2 2 9 4" xfId="22251" xr:uid="{00000000-0005-0000-0000-00002E740000}"/>
    <cellStyle name="Porcentaje 2 3" xfId="41" xr:uid="{00000000-0005-0000-0000-00002F740000}"/>
    <cellStyle name="Porcentaje 2 3 10" xfId="9939" xr:uid="{00000000-0005-0000-0000-000030740000}"/>
    <cellStyle name="Porcentaje 2 3 10 2" xfId="29654" xr:uid="{00000000-0005-0000-0000-000031740000}"/>
    <cellStyle name="Porcentaje 2 3 11" xfId="19797" xr:uid="{00000000-0005-0000-0000-000032740000}"/>
    <cellStyle name="Porcentaje 2 3 2" xfId="85" xr:uid="{00000000-0005-0000-0000-000033740000}"/>
    <cellStyle name="Porcentaje 2 3 2 10" xfId="19835" xr:uid="{00000000-0005-0000-0000-000034740000}"/>
    <cellStyle name="Porcentaje 2 3 2 2" xfId="166" xr:uid="{00000000-0005-0000-0000-000035740000}"/>
    <cellStyle name="Porcentaje 2 3 2 2 2" xfId="323" xr:uid="{00000000-0005-0000-0000-000036740000}"/>
    <cellStyle name="Porcentaje 2 3 2 2 2 2" xfId="637" xr:uid="{00000000-0005-0000-0000-000037740000}"/>
    <cellStyle name="Porcentaje 2 3 2 2 2 2 2" xfId="1257" xr:uid="{00000000-0005-0000-0000-000038740000}"/>
    <cellStyle name="Porcentaje 2 3 2 2 2 2 2 2" xfId="2492" xr:uid="{00000000-0005-0000-0000-000039740000}"/>
    <cellStyle name="Porcentaje 2 3 2 2 2 2 2 2 2" xfId="4959" xr:uid="{00000000-0005-0000-0000-00003A740000}"/>
    <cellStyle name="Porcentaje 2 3 2 2 2 2 2 2 2 2" xfId="9891" xr:uid="{00000000-0005-0000-0000-00003B740000}"/>
    <cellStyle name="Porcentaje 2 3 2 2 2 2 2 2 2 2 2" xfId="19751" xr:uid="{00000000-0005-0000-0000-00003C740000}"/>
    <cellStyle name="Porcentaje 2 3 2 2 2 2 2 2 2 2 2 2" xfId="39466" xr:uid="{00000000-0005-0000-0000-00003D740000}"/>
    <cellStyle name="Porcentaje 2 3 2 2 2 2 2 2 2 2 3" xfId="29609" xr:uid="{00000000-0005-0000-0000-00003E740000}"/>
    <cellStyle name="Porcentaje 2 3 2 2 2 2 2 2 2 3" xfId="14823" xr:uid="{00000000-0005-0000-0000-00003F740000}"/>
    <cellStyle name="Porcentaje 2 3 2 2 2 2 2 2 2 3 2" xfId="34538" xr:uid="{00000000-0005-0000-0000-000040740000}"/>
    <cellStyle name="Porcentaje 2 3 2 2 2 2 2 2 2 4" xfId="24681" xr:uid="{00000000-0005-0000-0000-000041740000}"/>
    <cellStyle name="Porcentaje 2 3 2 2 2 2 2 2 3" xfId="7427" xr:uid="{00000000-0005-0000-0000-000042740000}"/>
    <cellStyle name="Porcentaje 2 3 2 2 2 2 2 2 3 2" xfId="17287" xr:uid="{00000000-0005-0000-0000-000043740000}"/>
    <cellStyle name="Porcentaje 2 3 2 2 2 2 2 2 3 2 2" xfId="37002" xr:uid="{00000000-0005-0000-0000-000044740000}"/>
    <cellStyle name="Porcentaje 2 3 2 2 2 2 2 2 3 3" xfId="27145" xr:uid="{00000000-0005-0000-0000-000045740000}"/>
    <cellStyle name="Porcentaje 2 3 2 2 2 2 2 2 4" xfId="12359" xr:uid="{00000000-0005-0000-0000-000046740000}"/>
    <cellStyle name="Porcentaje 2 3 2 2 2 2 2 2 4 2" xfId="32074" xr:uid="{00000000-0005-0000-0000-000047740000}"/>
    <cellStyle name="Porcentaje 2 3 2 2 2 2 2 2 5" xfId="22217" xr:uid="{00000000-0005-0000-0000-000048740000}"/>
    <cellStyle name="Porcentaje 2 3 2 2 2 2 2 3" xfId="3727" xr:uid="{00000000-0005-0000-0000-000049740000}"/>
    <cellStyle name="Porcentaje 2 3 2 2 2 2 2 3 2" xfId="8659" xr:uid="{00000000-0005-0000-0000-00004A740000}"/>
    <cellStyle name="Porcentaje 2 3 2 2 2 2 2 3 2 2" xfId="18519" xr:uid="{00000000-0005-0000-0000-00004B740000}"/>
    <cellStyle name="Porcentaje 2 3 2 2 2 2 2 3 2 2 2" xfId="38234" xr:uid="{00000000-0005-0000-0000-00004C740000}"/>
    <cellStyle name="Porcentaje 2 3 2 2 2 2 2 3 2 3" xfId="28377" xr:uid="{00000000-0005-0000-0000-00004D740000}"/>
    <cellStyle name="Porcentaje 2 3 2 2 2 2 2 3 3" xfId="13591" xr:uid="{00000000-0005-0000-0000-00004E740000}"/>
    <cellStyle name="Porcentaje 2 3 2 2 2 2 2 3 3 2" xfId="33306" xr:uid="{00000000-0005-0000-0000-00004F740000}"/>
    <cellStyle name="Porcentaje 2 3 2 2 2 2 2 3 4" xfId="23449" xr:uid="{00000000-0005-0000-0000-000050740000}"/>
    <cellStyle name="Porcentaje 2 3 2 2 2 2 2 4" xfId="6195" xr:uid="{00000000-0005-0000-0000-000051740000}"/>
    <cellStyle name="Porcentaje 2 3 2 2 2 2 2 4 2" xfId="16055" xr:uid="{00000000-0005-0000-0000-000052740000}"/>
    <cellStyle name="Porcentaje 2 3 2 2 2 2 2 4 2 2" xfId="35770" xr:uid="{00000000-0005-0000-0000-000053740000}"/>
    <cellStyle name="Porcentaje 2 3 2 2 2 2 2 4 3" xfId="25913" xr:uid="{00000000-0005-0000-0000-000054740000}"/>
    <cellStyle name="Porcentaje 2 3 2 2 2 2 2 5" xfId="11127" xr:uid="{00000000-0005-0000-0000-000055740000}"/>
    <cellStyle name="Porcentaje 2 3 2 2 2 2 2 5 2" xfId="30842" xr:uid="{00000000-0005-0000-0000-000056740000}"/>
    <cellStyle name="Porcentaje 2 3 2 2 2 2 2 6" xfId="20985" xr:uid="{00000000-0005-0000-0000-000057740000}"/>
    <cellStyle name="Porcentaje 2 3 2 2 2 2 3" xfId="1876" xr:uid="{00000000-0005-0000-0000-000058740000}"/>
    <cellStyle name="Porcentaje 2 3 2 2 2 2 3 2" xfId="4343" xr:uid="{00000000-0005-0000-0000-000059740000}"/>
    <cellStyle name="Porcentaje 2 3 2 2 2 2 3 2 2" xfId="9275" xr:uid="{00000000-0005-0000-0000-00005A740000}"/>
    <cellStyle name="Porcentaje 2 3 2 2 2 2 3 2 2 2" xfId="19135" xr:uid="{00000000-0005-0000-0000-00005B740000}"/>
    <cellStyle name="Porcentaje 2 3 2 2 2 2 3 2 2 2 2" xfId="38850" xr:uid="{00000000-0005-0000-0000-00005C740000}"/>
    <cellStyle name="Porcentaje 2 3 2 2 2 2 3 2 2 3" xfId="28993" xr:uid="{00000000-0005-0000-0000-00005D740000}"/>
    <cellStyle name="Porcentaje 2 3 2 2 2 2 3 2 3" xfId="14207" xr:uid="{00000000-0005-0000-0000-00005E740000}"/>
    <cellStyle name="Porcentaje 2 3 2 2 2 2 3 2 3 2" xfId="33922" xr:uid="{00000000-0005-0000-0000-00005F740000}"/>
    <cellStyle name="Porcentaje 2 3 2 2 2 2 3 2 4" xfId="24065" xr:uid="{00000000-0005-0000-0000-000060740000}"/>
    <cellStyle name="Porcentaje 2 3 2 2 2 2 3 3" xfId="6811" xr:uid="{00000000-0005-0000-0000-000061740000}"/>
    <cellStyle name="Porcentaje 2 3 2 2 2 2 3 3 2" xfId="16671" xr:uid="{00000000-0005-0000-0000-000062740000}"/>
    <cellStyle name="Porcentaje 2 3 2 2 2 2 3 3 2 2" xfId="36386" xr:uid="{00000000-0005-0000-0000-000063740000}"/>
    <cellStyle name="Porcentaje 2 3 2 2 2 2 3 3 3" xfId="26529" xr:uid="{00000000-0005-0000-0000-000064740000}"/>
    <cellStyle name="Porcentaje 2 3 2 2 2 2 3 4" xfId="11743" xr:uid="{00000000-0005-0000-0000-000065740000}"/>
    <cellStyle name="Porcentaje 2 3 2 2 2 2 3 4 2" xfId="31458" xr:uid="{00000000-0005-0000-0000-000066740000}"/>
    <cellStyle name="Porcentaje 2 3 2 2 2 2 3 5" xfId="21601" xr:uid="{00000000-0005-0000-0000-000067740000}"/>
    <cellStyle name="Porcentaje 2 3 2 2 2 2 4" xfId="3111" xr:uid="{00000000-0005-0000-0000-000068740000}"/>
    <cellStyle name="Porcentaje 2 3 2 2 2 2 4 2" xfId="8043" xr:uid="{00000000-0005-0000-0000-000069740000}"/>
    <cellStyle name="Porcentaje 2 3 2 2 2 2 4 2 2" xfId="17903" xr:uid="{00000000-0005-0000-0000-00006A740000}"/>
    <cellStyle name="Porcentaje 2 3 2 2 2 2 4 2 2 2" xfId="37618" xr:uid="{00000000-0005-0000-0000-00006B740000}"/>
    <cellStyle name="Porcentaje 2 3 2 2 2 2 4 2 3" xfId="27761" xr:uid="{00000000-0005-0000-0000-00006C740000}"/>
    <cellStyle name="Porcentaje 2 3 2 2 2 2 4 3" xfId="12975" xr:uid="{00000000-0005-0000-0000-00006D740000}"/>
    <cellStyle name="Porcentaje 2 3 2 2 2 2 4 3 2" xfId="32690" xr:uid="{00000000-0005-0000-0000-00006E740000}"/>
    <cellStyle name="Porcentaje 2 3 2 2 2 2 4 4" xfId="22833" xr:uid="{00000000-0005-0000-0000-00006F740000}"/>
    <cellStyle name="Porcentaje 2 3 2 2 2 2 5" xfId="5579" xr:uid="{00000000-0005-0000-0000-000070740000}"/>
    <cellStyle name="Porcentaje 2 3 2 2 2 2 5 2" xfId="15439" xr:uid="{00000000-0005-0000-0000-000071740000}"/>
    <cellStyle name="Porcentaje 2 3 2 2 2 2 5 2 2" xfId="35154" xr:uid="{00000000-0005-0000-0000-000072740000}"/>
    <cellStyle name="Porcentaje 2 3 2 2 2 2 5 3" xfId="25297" xr:uid="{00000000-0005-0000-0000-000073740000}"/>
    <cellStyle name="Porcentaje 2 3 2 2 2 2 6" xfId="10511" xr:uid="{00000000-0005-0000-0000-000074740000}"/>
    <cellStyle name="Porcentaje 2 3 2 2 2 2 6 2" xfId="30226" xr:uid="{00000000-0005-0000-0000-000075740000}"/>
    <cellStyle name="Porcentaje 2 3 2 2 2 2 7" xfId="20369" xr:uid="{00000000-0005-0000-0000-000076740000}"/>
    <cellStyle name="Porcentaje 2 3 2 2 2 3" xfId="950" xr:uid="{00000000-0005-0000-0000-000077740000}"/>
    <cellStyle name="Porcentaje 2 3 2 2 2 3 2" xfId="2186" xr:uid="{00000000-0005-0000-0000-000078740000}"/>
    <cellStyle name="Porcentaje 2 3 2 2 2 3 2 2" xfId="4653" xr:uid="{00000000-0005-0000-0000-000079740000}"/>
    <cellStyle name="Porcentaje 2 3 2 2 2 3 2 2 2" xfId="9585" xr:uid="{00000000-0005-0000-0000-00007A740000}"/>
    <cellStyle name="Porcentaje 2 3 2 2 2 3 2 2 2 2" xfId="19445" xr:uid="{00000000-0005-0000-0000-00007B740000}"/>
    <cellStyle name="Porcentaje 2 3 2 2 2 3 2 2 2 2 2" xfId="39160" xr:uid="{00000000-0005-0000-0000-00007C740000}"/>
    <cellStyle name="Porcentaje 2 3 2 2 2 3 2 2 2 3" xfId="29303" xr:uid="{00000000-0005-0000-0000-00007D740000}"/>
    <cellStyle name="Porcentaje 2 3 2 2 2 3 2 2 3" xfId="14517" xr:uid="{00000000-0005-0000-0000-00007E740000}"/>
    <cellStyle name="Porcentaje 2 3 2 2 2 3 2 2 3 2" xfId="34232" xr:uid="{00000000-0005-0000-0000-00007F740000}"/>
    <cellStyle name="Porcentaje 2 3 2 2 2 3 2 2 4" xfId="24375" xr:uid="{00000000-0005-0000-0000-000080740000}"/>
    <cellStyle name="Porcentaje 2 3 2 2 2 3 2 3" xfId="7121" xr:uid="{00000000-0005-0000-0000-000081740000}"/>
    <cellStyle name="Porcentaje 2 3 2 2 2 3 2 3 2" xfId="16981" xr:uid="{00000000-0005-0000-0000-000082740000}"/>
    <cellStyle name="Porcentaje 2 3 2 2 2 3 2 3 2 2" xfId="36696" xr:uid="{00000000-0005-0000-0000-000083740000}"/>
    <cellStyle name="Porcentaje 2 3 2 2 2 3 2 3 3" xfId="26839" xr:uid="{00000000-0005-0000-0000-000084740000}"/>
    <cellStyle name="Porcentaje 2 3 2 2 2 3 2 4" xfId="12053" xr:uid="{00000000-0005-0000-0000-000085740000}"/>
    <cellStyle name="Porcentaje 2 3 2 2 2 3 2 4 2" xfId="31768" xr:uid="{00000000-0005-0000-0000-000086740000}"/>
    <cellStyle name="Porcentaje 2 3 2 2 2 3 2 5" xfId="21911" xr:uid="{00000000-0005-0000-0000-000087740000}"/>
    <cellStyle name="Porcentaje 2 3 2 2 2 3 3" xfId="3421" xr:uid="{00000000-0005-0000-0000-000088740000}"/>
    <cellStyle name="Porcentaje 2 3 2 2 2 3 3 2" xfId="8353" xr:uid="{00000000-0005-0000-0000-000089740000}"/>
    <cellStyle name="Porcentaje 2 3 2 2 2 3 3 2 2" xfId="18213" xr:uid="{00000000-0005-0000-0000-00008A740000}"/>
    <cellStyle name="Porcentaje 2 3 2 2 2 3 3 2 2 2" xfId="37928" xr:uid="{00000000-0005-0000-0000-00008B740000}"/>
    <cellStyle name="Porcentaje 2 3 2 2 2 3 3 2 3" xfId="28071" xr:uid="{00000000-0005-0000-0000-00008C740000}"/>
    <cellStyle name="Porcentaje 2 3 2 2 2 3 3 3" xfId="13285" xr:uid="{00000000-0005-0000-0000-00008D740000}"/>
    <cellStyle name="Porcentaje 2 3 2 2 2 3 3 3 2" xfId="33000" xr:uid="{00000000-0005-0000-0000-00008E740000}"/>
    <cellStyle name="Porcentaje 2 3 2 2 2 3 3 4" xfId="23143" xr:uid="{00000000-0005-0000-0000-00008F740000}"/>
    <cellStyle name="Porcentaje 2 3 2 2 2 3 4" xfId="5889" xr:uid="{00000000-0005-0000-0000-000090740000}"/>
    <cellStyle name="Porcentaje 2 3 2 2 2 3 4 2" xfId="15749" xr:uid="{00000000-0005-0000-0000-000091740000}"/>
    <cellStyle name="Porcentaje 2 3 2 2 2 3 4 2 2" xfId="35464" xr:uid="{00000000-0005-0000-0000-000092740000}"/>
    <cellStyle name="Porcentaje 2 3 2 2 2 3 4 3" xfId="25607" xr:uid="{00000000-0005-0000-0000-000093740000}"/>
    <cellStyle name="Porcentaje 2 3 2 2 2 3 5" xfId="10821" xr:uid="{00000000-0005-0000-0000-000094740000}"/>
    <cellStyle name="Porcentaje 2 3 2 2 2 3 5 2" xfId="30536" xr:uid="{00000000-0005-0000-0000-000095740000}"/>
    <cellStyle name="Porcentaje 2 3 2 2 2 3 6" xfId="20679" xr:uid="{00000000-0005-0000-0000-000096740000}"/>
    <cellStyle name="Porcentaje 2 3 2 2 2 4" xfId="1570" xr:uid="{00000000-0005-0000-0000-000097740000}"/>
    <cellStyle name="Porcentaje 2 3 2 2 2 4 2" xfId="4037" xr:uid="{00000000-0005-0000-0000-000098740000}"/>
    <cellStyle name="Porcentaje 2 3 2 2 2 4 2 2" xfId="8969" xr:uid="{00000000-0005-0000-0000-000099740000}"/>
    <cellStyle name="Porcentaje 2 3 2 2 2 4 2 2 2" xfId="18829" xr:uid="{00000000-0005-0000-0000-00009A740000}"/>
    <cellStyle name="Porcentaje 2 3 2 2 2 4 2 2 2 2" xfId="38544" xr:uid="{00000000-0005-0000-0000-00009B740000}"/>
    <cellStyle name="Porcentaje 2 3 2 2 2 4 2 2 3" xfId="28687" xr:uid="{00000000-0005-0000-0000-00009C740000}"/>
    <cellStyle name="Porcentaje 2 3 2 2 2 4 2 3" xfId="13901" xr:uid="{00000000-0005-0000-0000-00009D740000}"/>
    <cellStyle name="Porcentaje 2 3 2 2 2 4 2 3 2" xfId="33616" xr:uid="{00000000-0005-0000-0000-00009E740000}"/>
    <cellStyle name="Porcentaje 2 3 2 2 2 4 2 4" xfId="23759" xr:uid="{00000000-0005-0000-0000-00009F740000}"/>
    <cellStyle name="Porcentaje 2 3 2 2 2 4 3" xfId="6505" xr:uid="{00000000-0005-0000-0000-0000A0740000}"/>
    <cellStyle name="Porcentaje 2 3 2 2 2 4 3 2" xfId="16365" xr:uid="{00000000-0005-0000-0000-0000A1740000}"/>
    <cellStyle name="Porcentaje 2 3 2 2 2 4 3 2 2" xfId="36080" xr:uid="{00000000-0005-0000-0000-0000A2740000}"/>
    <cellStyle name="Porcentaje 2 3 2 2 2 4 3 3" xfId="26223" xr:uid="{00000000-0005-0000-0000-0000A3740000}"/>
    <cellStyle name="Porcentaje 2 3 2 2 2 4 4" xfId="11437" xr:uid="{00000000-0005-0000-0000-0000A4740000}"/>
    <cellStyle name="Porcentaje 2 3 2 2 2 4 4 2" xfId="31152" xr:uid="{00000000-0005-0000-0000-0000A5740000}"/>
    <cellStyle name="Porcentaje 2 3 2 2 2 4 5" xfId="21295" xr:uid="{00000000-0005-0000-0000-0000A6740000}"/>
    <cellStyle name="Porcentaje 2 3 2 2 2 5" xfId="2805" xr:uid="{00000000-0005-0000-0000-0000A7740000}"/>
    <cellStyle name="Porcentaje 2 3 2 2 2 5 2" xfId="7737" xr:uid="{00000000-0005-0000-0000-0000A8740000}"/>
    <cellStyle name="Porcentaje 2 3 2 2 2 5 2 2" xfId="17597" xr:uid="{00000000-0005-0000-0000-0000A9740000}"/>
    <cellStyle name="Porcentaje 2 3 2 2 2 5 2 2 2" xfId="37312" xr:uid="{00000000-0005-0000-0000-0000AA740000}"/>
    <cellStyle name="Porcentaje 2 3 2 2 2 5 2 3" xfId="27455" xr:uid="{00000000-0005-0000-0000-0000AB740000}"/>
    <cellStyle name="Porcentaje 2 3 2 2 2 5 3" xfId="12669" xr:uid="{00000000-0005-0000-0000-0000AC740000}"/>
    <cellStyle name="Porcentaje 2 3 2 2 2 5 3 2" xfId="32384" xr:uid="{00000000-0005-0000-0000-0000AD740000}"/>
    <cellStyle name="Porcentaje 2 3 2 2 2 5 4" xfId="22527" xr:uid="{00000000-0005-0000-0000-0000AE740000}"/>
    <cellStyle name="Porcentaje 2 3 2 2 2 6" xfId="5273" xr:uid="{00000000-0005-0000-0000-0000AF740000}"/>
    <cellStyle name="Porcentaje 2 3 2 2 2 6 2" xfId="15133" xr:uid="{00000000-0005-0000-0000-0000B0740000}"/>
    <cellStyle name="Porcentaje 2 3 2 2 2 6 2 2" xfId="34848" xr:uid="{00000000-0005-0000-0000-0000B1740000}"/>
    <cellStyle name="Porcentaje 2 3 2 2 2 6 3" xfId="24991" xr:uid="{00000000-0005-0000-0000-0000B2740000}"/>
    <cellStyle name="Porcentaje 2 3 2 2 2 7" xfId="10205" xr:uid="{00000000-0005-0000-0000-0000B3740000}"/>
    <cellStyle name="Porcentaje 2 3 2 2 2 7 2" xfId="29920" xr:uid="{00000000-0005-0000-0000-0000B4740000}"/>
    <cellStyle name="Porcentaje 2 3 2 2 2 8" xfId="20063" xr:uid="{00000000-0005-0000-0000-0000B5740000}"/>
    <cellStyle name="Porcentaje 2 3 2 2 3" xfId="485" xr:uid="{00000000-0005-0000-0000-0000B6740000}"/>
    <cellStyle name="Porcentaje 2 3 2 2 3 2" xfId="1105" xr:uid="{00000000-0005-0000-0000-0000B7740000}"/>
    <cellStyle name="Porcentaje 2 3 2 2 3 2 2" xfId="2340" xr:uid="{00000000-0005-0000-0000-0000B8740000}"/>
    <cellStyle name="Porcentaje 2 3 2 2 3 2 2 2" xfId="4807" xr:uid="{00000000-0005-0000-0000-0000B9740000}"/>
    <cellStyle name="Porcentaje 2 3 2 2 3 2 2 2 2" xfId="9739" xr:uid="{00000000-0005-0000-0000-0000BA740000}"/>
    <cellStyle name="Porcentaje 2 3 2 2 3 2 2 2 2 2" xfId="19599" xr:uid="{00000000-0005-0000-0000-0000BB740000}"/>
    <cellStyle name="Porcentaje 2 3 2 2 3 2 2 2 2 2 2" xfId="39314" xr:uid="{00000000-0005-0000-0000-0000BC740000}"/>
    <cellStyle name="Porcentaje 2 3 2 2 3 2 2 2 2 3" xfId="29457" xr:uid="{00000000-0005-0000-0000-0000BD740000}"/>
    <cellStyle name="Porcentaje 2 3 2 2 3 2 2 2 3" xfId="14671" xr:uid="{00000000-0005-0000-0000-0000BE740000}"/>
    <cellStyle name="Porcentaje 2 3 2 2 3 2 2 2 3 2" xfId="34386" xr:uid="{00000000-0005-0000-0000-0000BF740000}"/>
    <cellStyle name="Porcentaje 2 3 2 2 3 2 2 2 4" xfId="24529" xr:uid="{00000000-0005-0000-0000-0000C0740000}"/>
    <cellStyle name="Porcentaje 2 3 2 2 3 2 2 3" xfId="7275" xr:uid="{00000000-0005-0000-0000-0000C1740000}"/>
    <cellStyle name="Porcentaje 2 3 2 2 3 2 2 3 2" xfId="17135" xr:uid="{00000000-0005-0000-0000-0000C2740000}"/>
    <cellStyle name="Porcentaje 2 3 2 2 3 2 2 3 2 2" xfId="36850" xr:uid="{00000000-0005-0000-0000-0000C3740000}"/>
    <cellStyle name="Porcentaje 2 3 2 2 3 2 2 3 3" xfId="26993" xr:uid="{00000000-0005-0000-0000-0000C4740000}"/>
    <cellStyle name="Porcentaje 2 3 2 2 3 2 2 4" xfId="12207" xr:uid="{00000000-0005-0000-0000-0000C5740000}"/>
    <cellStyle name="Porcentaje 2 3 2 2 3 2 2 4 2" xfId="31922" xr:uid="{00000000-0005-0000-0000-0000C6740000}"/>
    <cellStyle name="Porcentaje 2 3 2 2 3 2 2 5" xfId="22065" xr:uid="{00000000-0005-0000-0000-0000C7740000}"/>
    <cellStyle name="Porcentaje 2 3 2 2 3 2 3" xfId="3575" xr:uid="{00000000-0005-0000-0000-0000C8740000}"/>
    <cellStyle name="Porcentaje 2 3 2 2 3 2 3 2" xfId="8507" xr:uid="{00000000-0005-0000-0000-0000C9740000}"/>
    <cellStyle name="Porcentaje 2 3 2 2 3 2 3 2 2" xfId="18367" xr:uid="{00000000-0005-0000-0000-0000CA740000}"/>
    <cellStyle name="Porcentaje 2 3 2 2 3 2 3 2 2 2" xfId="38082" xr:uid="{00000000-0005-0000-0000-0000CB740000}"/>
    <cellStyle name="Porcentaje 2 3 2 2 3 2 3 2 3" xfId="28225" xr:uid="{00000000-0005-0000-0000-0000CC740000}"/>
    <cellStyle name="Porcentaje 2 3 2 2 3 2 3 3" xfId="13439" xr:uid="{00000000-0005-0000-0000-0000CD740000}"/>
    <cellStyle name="Porcentaje 2 3 2 2 3 2 3 3 2" xfId="33154" xr:uid="{00000000-0005-0000-0000-0000CE740000}"/>
    <cellStyle name="Porcentaje 2 3 2 2 3 2 3 4" xfId="23297" xr:uid="{00000000-0005-0000-0000-0000CF740000}"/>
    <cellStyle name="Porcentaje 2 3 2 2 3 2 4" xfId="6043" xr:uid="{00000000-0005-0000-0000-0000D0740000}"/>
    <cellStyle name="Porcentaje 2 3 2 2 3 2 4 2" xfId="15903" xr:uid="{00000000-0005-0000-0000-0000D1740000}"/>
    <cellStyle name="Porcentaje 2 3 2 2 3 2 4 2 2" xfId="35618" xr:uid="{00000000-0005-0000-0000-0000D2740000}"/>
    <cellStyle name="Porcentaje 2 3 2 2 3 2 4 3" xfId="25761" xr:uid="{00000000-0005-0000-0000-0000D3740000}"/>
    <cellStyle name="Porcentaje 2 3 2 2 3 2 5" xfId="10975" xr:uid="{00000000-0005-0000-0000-0000D4740000}"/>
    <cellStyle name="Porcentaje 2 3 2 2 3 2 5 2" xfId="30690" xr:uid="{00000000-0005-0000-0000-0000D5740000}"/>
    <cellStyle name="Porcentaje 2 3 2 2 3 2 6" xfId="20833" xr:uid="{00000000-0005-0000-0000-0000D6740000}"/>
    <cellStyle name="Porcentaje 2 3 2 2 3 3" xfId="1724" xr:uid="{00000000-0005-0000-0000-0000D7740000}"/>
    <cellStyle name="Porcentaje 2 3 2 2 3 3 2" xfId="4191" xr:uid="{00000000-0005-0000-0000-0000D8740000}"/>
    <cellStyle name="Porcentaje 2 3 2 2 3 3 2 2" xfId="9123" xr:uid="{00000000-0005-0000-0000-0000D9740000}"/>
    <cellStyle name="Porcentaje 2 3 2 2 3 3 2 2 2" xfId="18983" xr:uid="{00000000-0005-0000-0000-0000DA740000}"/>
    <cellStyle name="Porcentaje 2 3 2 2 3 3 2 2 2 2" xfId="38698" xr:uid="{00000000-0005-0000-0000-0000DB740000}"/>
    <cellStyle name="Porcentaje 2 3 2 2 3 3 2 2 3" xfId="28841" xr:uid="{00000000-0005-0000-0000-0000DC740000}"/>
    <cellStyle name="Porcentaje 2 3 2 2 3 3 2 3" xfId="14055" xr:uid="{00000000-0005-0000-0000-0000DD740000}"/>
    <cellStyle name="Porcentaje 2 3 2 2 3 3 2 3 2" xfId="33770" xr:uid="{00000000-0005-0000-0000-0000DE740000}"/>
    <cellStyle name="Porcentaje 2 3 2 2 3 3 2 4" xfId="23913" xr:uid="{00000000-0005-0000-0000-0000DF740000}"/>
    <cellStyle name="Porcentaje 2 3 2 2 3 3 3" xfId="6659" xr:uid="{00000000-0005-0000-0000-0000E0740000}"/>
    <cellStyle name="Porcentaje 2 3 2 2 3 3 3 2" xfId="16519" xr:uid="{00000000-0005-0000-0000-0000E1740000}"/>
    <cellStyle name="Porcentaje 2 3 2 2 3 3 3 2 2" xfId="36234" xr:uid="{00000000-0005-0000-0000-0000E2740000}"/>
    <cellStyle name="Porcentaje 2 3 2 2 3 3 3 3" xfId="26377" xr:uid="{00000000-0005-0000-0000-0000E3740000}"/>
    <cellStyle name="Porcentaje 2 3 2 2 3 3 4" xfId="11591" xr:uid="{00000000-0005-0000-0000-0000E4740000}"/>
    <cellStyle name="Porcentaje 2 3 2 2 3 3 4 2" xfId="31306" xr:uid="{00000000-0005-0000-0000-0000E5740000}"/>
    <cellStyle name="Porcentaje 2 3 2 2 3 3 5" xfId="21449" xr:uid="{00000000-0005-0000-0000-0000E6740000}"/>
    <cellStyle name="Porcentaje 2 3 2 2 3 4" xfId="2959" xr:uid="{00000000-0005-0000-0000-0000E7740000}"/>
    <cellStyle name="Porcentaje 2 3 2 2 3 4 2" xfId="7891" xr:uid="{00000000-0005-0000-0000-0000E8740000}"/>
    <cellStyle name="Porcentaje 2 3 2 2 3 4 2 2" xfId="17751" xr:uid="{00000000-0005-0000-0000-0000E9740000}"/>
    <cellStyle name="Porcentaje 2 3 2 2 3 4 2 2 2" xfId="37466" xr:uid="{00000000-0005-0000-0000-0000EA740000}"/>
    <cellStyle name="Porcentaje 2 3 2 2 3 4 2 3" xfId="27609" xr:uid="{00000000-0005-0000-0000-0000EB740000}"/>
    <cellStyle name="Porcentaje 2 3 2 2 3 4 3" xfId="12823" xr:uid="{00000000-0005-0000-0000-0000EC740000}"/>
    <cellStyle name="Porcentaje 2 3 2 2 3 4 3 2" xfId="32538" xr:uid="{00000000-0005-0000-0000-0000ED740000}"/>
    <cellStyle name="Porcentaje 2 3 2 2 3 4 4" xfId="22681" xr:uid="{00000000-0005-0000-0000-0000EE740000}"/>
    <cellStyle name="Porcentaje 2 3 2 2 3 5" xfId="5427" xr:uid="{00000000-0005-0000-0000-0000EF740000}"/>
    <cellStyle name="Porcentaje 2 3 2 2 3 5 2" xfId="15287" xr:uid="{00000000-0005-0000-0000-0000F0740000}"/>
    <cellStyle name="Porcentaje 2 3 2 2 3 5 2 2" xfId="35002" xr:uid="{00000000-0005-0000-0000-0000F1740000}"/>
    <cellStyle name="Porcentaje 2 3 2 2 3 5 3" xfId="25145" xr:uid="{00000000-0005-0000-0000-0000F2740000}"/>
    <cellStyle name="Porcentaje 2 3 2 2 3 6" xfId="10359" xr:uid="{00000000-0005-0000-0000-0000F3740000}"/>
    <cellStyle name="Porcentaje 2 3 2 2 3 6 2" xfId="30074" xr:uid="{00000000-0005-0000-0000-0000F4740000}"/>
    <cellStyle name="Porcentaje 2 3 2 2 3 7" xfId="20217" xr:uid="{00000000-0005-0000-0000-0000F5740000}"/>
    <cellStyle name="Porcentaje 2 3 2 2 4" xfId="798" xr:uid="{00000000-0005-0000-0000-0000F6740000}"/>
    <cellStyle name="Porcentaje 2 3 2 2 4 2" xfId="2034" xr:uid="{00000000-0005-0000-0000-0000F7740000}"/>
    <cellStyle name="Porcentaje 2 3 2 2 4 2 2" xfId="4501" xr:uid="{00000000-0005-0000-0000-0000F8740000}"/>
    <cellStyle name="Porcentaje 2 3 2 2 4 2 2 2" xfId="9433" xr:uid="{00000000-0005-0000-0000-0000F9740000}"/>
    <cellStyle name="Porcentaje 2 3 2 2 4 2 2 2 2" xfId="19293" xr:uid="{00000000-0005-0000-0000-0000FA740000}"/>
    <cellStyle name="Porcentaje 2 3 2 2 4 2 2 2 2 2" xfId="39008" xr:uid="{00000000-0005-0000-0000-0000FB740000}"/>
    <cellStyle name="Porcentaje 2 3 2 2 4 2 2 2 3" xfId="29151" xr:uid="{00000000-0005-0000-0000-0000FC740000}"/>
    <cellStyle name="Porcentaje 2 3 2 2 4 2 2 3" xfId="14365" xr:uid="{00000000-0005-0000-0000-0000FD740000}"/>
    <cellStyle name="Porcentaje 2 3 2 2 4 2 2 3 2" xfId="34080" xr:uid="{00000000-0005-0000-0000-0000FE740000}"/>
    <cellStyle name="Porcentaje 2 3 2 2 4 2 2 4" xfId="24223" xr:uid="{00000000-0005-0000-0000-0000FF740000}"/>
    <cellStyle name="Porcentaje 2 3 2 2 4 2 3" xfId="6969" xr:uid="{00000000-0005-0000-0000-000000750000}"/>
    <cellStyle name="Porcentaje 2 3 2 2 4 2 3 2" xfId="16829" xr:uid="{00000000-0005-0000-0000-000001750000}"/>
    <cellStyle name="Porcentaje 2 3 2 2 4 2 3 2 2" xfId="36544" xr:uid="{00000000-0005-0000-0000-000002750000}"/>
    <cellStyle name="Porcentaje 2 3 2 2 4 2 3 3" xfId="26687" xr:uid="{00000000-0005-0000-0000-000003750000}"/>
    <cellStyle name="Porcentaje 2 3 2 2 4 2 4" xfId="11901" xr:uid="{00000000-0005-0000-0000-000004750000}"/>
    <cellStyle name="Porcentaje 2 3 2 2 4 2 4 2" xfId="31616" xr:uid="{00000000-0005-0000-0000-000005750000}"/>
    <cellStyle name="Porcentaje 2 3 2 2 4 2 5" xfId="21759" xr:uid="{00000000-0005-0000-0000-000006750000}"/>
    <cellStyle name="Porcentaje 2 3 2 2 4 3" xfId="3269" xr:uid="{00000000-0005-0000-0000-000007750000}"/>
    <cellStyle name="Porcentaje 2 3 2 2 4 3 2" xfId="8201" xr:uid="{00000000-0005-0000-0000-000008750000}"/>
    <cellStyle name="Porcentaje 2 3 2 2 4 3 2 2" xfId="18061" xr:uid="{00000000-0005-0000-0000-000009750000}"/>
    <cellStyle name="Porcentaje 2 3 2 2 4 3 2 2 2" xfId="37776" xr:uid="{00000000-0005-0000-0000-00000A750000}"/>
    <cellStyle name="Porcentaje 2 3 2 2 4 3 2 3" xfId="27919" xr:uid="{00000000-0005-0000-0000-00000B750000}"/>
    <cellStyle name="Porcentaje 2 3 2 2 4 3 3" xfId="13133" xr:uid="{00000000-0005-0000-0000-00000C750000}"/>
    <cellStyle name="Porcentaje 2 3 2 2 4 3 3 2" xfId="32848" xr:uid="{00000000-0005-0000-0000-00000D750000}"/>
    <cellStyle name="Porcentaje 2 3 2 2 4 3 4" xfId="22991" xr:uid="{00000000-0005-0000-0000-00000E750000}"/>
    <cellStyle name="Porcentaje 2 3 2 2 4 4" xfId="5737" xr:uid="{00000000-0005-0000-0000-00000F750000}"/>
    <cellStyle name="Porcentaje 2 3 2 2 4 4 2" xfId="15597" xr:uid="{00000000-0005-0000-0000-000010750000}"/>
    <cellStyle name="Porcentaje 2 3 2 2 4 4 2 2" xfId="35312" xr:uid="{00000000-0005-0000-0000-000011750000}"/>
    <cellStyle name="Porcentaje 2 3 2 2 4 4 3" xfId="25455" xr:uid="{00000000-0005-0000-0000-000012750000}"/>
    <cellStyle name="Porcentaje 2 3 2 2 4 5" xfId="10669" xr:uid="{00000000-0005-0000-0000-000013750000}"/>
    <cellStyle name="Porcentaje 2 3 2 2 4 5 2" xfId="30384" xr:uid="{00000000-0005-0000-0000-000014750000}"/>
    <cellStyle name="Porcentaje 2 3 2 2 4 6" xfId="20527" xr:uid="{00000000-0005-0000-0000-000015750000}"/>
    <cellStyle name="Porcentaje 2 3 2 2 5" xfId="1418" xr:uid="{00000000-0005-0000-0000-000016750000}"/>
    <cellStyle name="Porcentaje 2 3 2 2 5 2" xfId="3885" xr:uid="{00000000-0005-0000-0000-000017750000}"/>
    <cellStyle name="Porcentaje 2 3 2 2 5 2 2" xfId="8817" xr:uid="{00000000-0005-0000-0000-000018750000}"/>
    <cellStyle name="Porcentaje 2 3 2 2 5 2 2 2" xfId="18677" xr:uid="{00000000-0005-0000-0000-000019750000}"/>
    <cellStyle name="Porcentaje 2 3 2 2 5 2 2 2 2" xfId="38392" xr:uid="{00000000-0005-0000-0000-00001A750000}"/>
    <cellStyle name="Porcentaje 2 3 2 2 5 2 2 3" xfId="28535" xr:uid="{00000000-0005-0000-0000-00001B750000}"/>
    <cellStyle name="Porcentaje 2 3 2 2 5 2 3" xfId="13749" xr:uid="{00000000-0005-0000-0000-00001C750000}"/>
    <cellStyle name="Porcentaje 2 3 2 2 5 2 3 2" xfId="33464" xr:uid="{00000000-0005-0000-0000-00001D750000}"/>
    <cellStyle name="Porcentaje 2 3 2 2 5 2 4" xfId="23607" xr:uid="{00000000-0005-0000-0000-00001E750000}"/>
    <cellStyle name="Porcentaje 2 3 2 2 5 3" xfId="6353" xr:uid="{00000000-0005-0000-0000-00001F750000}"/>
    <cellStyle name="Porcentaje 2 3 2 2 5 3 2" xfId="16213" xr:uid="{00000000-0005-0000-0000-000020750000}"/>
    <cellStyle name="Porcentaje 2 3 2 2 5 3 2 2" xfId="35928" xr:uid="{00000000-0005-0000-0000-000021750000}"/>
    <cellStyle name="Porcentaje 2 3 2 2 5 3 3" xfId="26071" xr:uid="{00000000-0005-0000-0000-000022750000}"/>
    <cellStyle name="Porcentaje 2 3 2 2 5 4" xfId="11285" xr:uid="{00000000-0005-0000-0000-000023750000}"/>
    <cellStyle name="Porcentaje 2 3 2 2 5 4 2" xfId="31000" xr:uid="{00000000-0005-0000-0000-000024750000}"/>
    <cellStyle name="Porcentaje 2 3 2 2 5 5" xfId="21143" xr:uid="{00000000-0005-0000-0000-000025750000}"/>
    <cellStyle name="Porcentaje 2 3 2 2 6" xfId="2653" xr:uid="{00000000-0005-0000-0000-000026750000}"/>
    <cellStyle name="Porcentaje 2 3 2 2 6 2" xfId="7585" xr:uid="{00000000-0005-0000-0000-000027750000}"/>
    <cellStyle name="Porcentaje 2 3 2 2 6 2 2" xfId="17445" xr:uid="{00000000-0005-0000-0000-000028750000}"/>
    <cellStyle name="Porcentaje 2 3 2 2 6 2 2 2" xfId="37160" xr:uid="{00000000-0005-0000-0000-000029750000}"/>
    <cellStyle name="Porcentaje 2 3 2 2 6 2 3" xfId="27303" xr:uid="{00000000-0005-0000-0000-00002A750000}"/>
    <cellStyle name="Porcentaje 2 3 2 2 6 3" xfId="12517" xr:uid="{00000000-0005-0000-0000-00002B750000}"/>
    <cellStyle name="Porcentaje 2 3 2 2 6 3 2" xfId="32232" xr:uid="{00000000-0005-0000-0000-00002C750000}"/>
    <cellStyle name="Porcentaje 2 3 2 2 6 4" xfId="22375" xr:uid="{00000000-0005-0000-0000-00002D750000}"/>
    <cellStyle name="Porcentaje 2 3 2 2 7" xfId="5121" xr:uid="{00000000-0005-0000-0000-00002E750000}"/>
    <cellStyle name="Porcentaje 2 3 2 2 7 2" xfId="14981" xr:uid="{00000000-0005-0000-0000-00002F750000}"/>
    <cellStyle name="Porcentaje 2 3 2 2 7 2 2" xfId="34696" xr:uid="{00000000-0005-0000-0000-000030750000}"/>
    <cellStyle name="Porcentaje 2 3 2 2 7 3" xfId="24839" xr:uid="{00000000-0005-0000-0000-000031750000}"/>
    <cellStyle name="Porcentaje 2 3 2 2 8" xfId="10053" xr:uid="{00000000-0005-0000-0000-000032750000}"/>
    <cellStyle name="Porcentaje 2 3 2 2 8 2" xfId="29768" xr:uid="{00000000-0005-0000-0000-000033750000}"/>
    <cellStyle name="Porcentaje 2 3 2 2 9" xfId="19911" xr:uid="{00000000-0005-0000-0000-000034750000}"/>
    <cellStyle name="Porcentaje 2 3 2 3" xfId="247" xr:uid="{00000000-0005-0000-0000-000035750000}"/>
    <cellStyle name="Porcentaje 2 3 2 3 2" xfId="561" xr:uid="{00000000-0005-0000-0000-000036750000}"/>
    <cellStyle name="Porcentaje 2 3 2 3 2 2" xfId="1181" xr:uid="{00000000-0005-0000-0000-000037750000}"/>
    <cellStyle name="Porcentaje 2 3 2 3 2 2 2" xfId="2416" xr:uid="{00000000-0005-0000-0000-000038750000}"/>
    <cellStyle name="Porcentaje 2 3 2 3 2 2 2 2" xfId="4883" xr:uid="{00000000-0005-0000-0000-000039750000}"/>
    <cellStyle name="Porcentaje 2 3 2 3 2 2 2 2 2" xfId="9815" xr:uid="{00000000-0005-0000-0000-00003A750000}"/>
    <cellStyle name="Porcentaje 2 3 2 3 2 2 2 2 2 2" xfId="19675" xr:uid="{00000000-0005-0000-0000-00003B750000}"/>
    <cellStyle name="Porcentaje 2 3 2 3 2 2 2 2 2 2 2" xfId="39390" xr:uid="{00000000-0005-0000-0000-00003C750000}"/>
    <cellStyle name="Porcentaje 2 3 2 3 2 2 2 2 2 3" xfId="29533" xr:uid="{00000000-0005-0000-0000-00003D750000}"/>
    <cellStyle name="Porcentaje 2 3 2 3 2 2 2 2 3" xfId="14747" xr:uid="{00000000-0005-0000-0000-00003E750000}"/>
    <cellStyle name="Porcentaje 2 3 2 3 2 2 2 2 3 2" xfId="34462" xr:uid="{00000000-0005-0000-0000-00003F750000}"/>
    <cellStyle name="Porcentaje 2 3 2 3 2 2 2 2 4" xfId="24605" xr:uid="{00000000-0005-0000-0000-000040750000}"/>
    <cellStyle name="Porcentaje 2 3 2 3 2 2 2 3" xfId="7351" xr:uid="{00000000-0005-0000-0000-000041750000}"/>
    <cellStyle name="Porcentaje 2 3 2 3 2 2 2 3 2" xfId="17211" xr:uid="{00000000-0005-0000-0000-000042750000}"/>
    <cellStyle name="Porcentaje 2 3 2 3 2 2 2 3 2 2" xfId="36926" xr:uid="{00000000-0005-0000-0000-000043750000}"/>
    <cellStyle name="Porcentaje 2 3 2 3 2 2 2 3 3" xfId="27069" xr:uid="{00000000-0005-0000-0000-000044750000}"/>
    <cellStyle name="Porcentaje 2 3 2 3 2 2 2 4" xfId="12283" xr:uid="{00000000-0005-0000-0000-000045750000}"/>
    <cellStyle name="Porcentaje 2 3 2 3 2 2 2 4 2" xfId="31998" xr:uid="{00000000-0005-0000-0000-000046750000}"/>
    <cellStyle name="Porcentaje 2 3 2 3 2 2 2 5" xfId="22141" xr:uid="{00000000-0005-0000-0000-000047750000}"/>
    <cellStyle name="Porcentaje 2 3 2 3 2 2 3" xfId="3651" xr:uid="{00000000-0005-0000-0000-000048750000}"/>
    <cellStyle name="Porcentaje 2 3 2 3 2 2 3 2" xfId="8583" xr:uid="{00000000-0005-0000-0000-000049750000}"/>
    <cellStyle name="Porcentaje 2 3 2 3 2 2 3 2 2" xfId="18443" xr:uid="{00000000-0005-0000-0000-00004A750000}"/>
    <cellStyle name="Porcentaje 2 3 2 3 2 2 3 2 2 2" xfId="38158" xr:uid="{00000000-0005-0000-0000-00004B750000}"/>
    <cellStyle name="Porcentaje 2 3 2 3 2 2 3 2 3" xfId="28301" xr:uid="{00000000-0005-0000-0000-00004C750000}"/>
    <cellStyle name="Porcentaje 2 3 2 3 2 2 3 3" xfId="13515" xr:uid="{00000000-0005-0000-0000-00004D750000}"/>
    <cellStyle name="Porcentaje 2 3 2 3 2 2 3 3 2" xfId="33230" xr:uid="{00000000-0005-0000-0000-00004E750000}"/>
    <cellStyle name="Porcentaje 2 3 2 3 2 2 3 4" xfId="23373" xr:uid="{00000000-0005-0000-0000-00004F750000}"/>
    <cellStyle name="Porcentaje 2 3 2 3 2 2 4" xfId="6119" xr:uid="{00000000-0005-0000-0000-000050750000}"/>
    <cellStyle name="Porcentaje 2 3 2 3 2 2 4 2" xfId="15979" xr:uid="{00000000-0005-0000-0000-000051750000}"/>
    <cellStyle name="Porcentaje 2 3 2 3 2 2 4 2 2" xfId="35694" xr:uid="{00000000-0005-0000-0000-000052750000}"/>
    <cellStyle name="Porcentaje 2 3 2 3 2 2 4 3" xfId="25837" xr:uid="{00000000-0005-0000-0000-000053750000}"/>
    <cellStyle name="Porcentaje 2 3 2 3 2 2 5" xfId="11051" xr:uid="{00000000-0005-0000-0000-000054750000}"/>
    <cellStyle name="Porcentaje 2 3 2 3 2 2 5 2" xfId="30766" xr:uid="{00000000-0005-0000-0000-000055750000}"/>
    <cellStyle name="Porcentaje 2 3 2 3 2 2 6" xfId="20909" xr:uid="{00000000-0005-0000-0000-000056750000}"/>
    <cellStyle name="Porcentaje 2 3 2 3 2 3" xfId="1800" xr:uid="{00000000-0005-0000-0000-000057750000}"/>
    <cellStyle name="Porcentaje 2 3 2 3 2 3 2" xfId="4267" xr:uid="{00000000-0005-0000-0000-000058750000}"/>
    <cellStyle name="Porcentaje 2 3 2 3 2 3 2 2" xfId="9199" xr:uid="{00000000-0005-0000-0000-000059750000}"/>
    <cellStyle name="Porcentaje 2 3 2 3 2 3 2 2 2" xfId="19059" xr:uid="{00000000-0005-0000-0000-00005A750000}"/>
    <cellStyle name="Porcentaje 2 3 2 3 2 3 2 2 2 2" xfId="38774" xr:uid="{00000000-0005-0000-0000-00005B750000}"/>
    <cellStyle name="Porcentaje 2 3 2 3 2 3 2 2 3" xfId="28917" xr:uid="{00000000-0005-0000-0000-00005C750000}"/>
    <cellStyle name="Porcentaje 2 3 2 3 2 3 2 3" xfId="14131" xr:uid="{00000000-0005-0000-0000-00005D750000}"/>
    <cellStyle name="Porcentaje 2 3 2 3 2 3 2 3 2" xfId="33846" xr:uid="{00000000-0005-0000-0000-00005E750000}"/>
    <cellStyle name="Porcentaje 2 3 2 3 2 3 2 4" xfId="23989" xr:uid="{00000000-0005-0000-0000-00005F750000}"/>
    <cellStyle name="Porcentaje 2 3 2 3 2 3 3" xfId="6735" xr:uid="{00000000-0005-0000-0000-000060750000}"/>
    <cellStyle name="Porcentaje 2 3 2 3 2 3 3 2" xfId="16595" xr:uid="{00000000-0005-0000-0000-000061750000}"/>
    <cellStyle name="Porcentaje 2 3 2 3 2 3 3 2 2" xfId="36310" xr:uid="{00000000-0005-0000-0000-000062750000}"/>
    <cellStyle name="Porcentaje 2 3 2 3 2 3 3 3" xfId="26453" xr:uid="{00000000-0005-0000-0000-000063750000}"/>
    <cellStyle name="Porcentaje 2 3 2 3 2 3 4" xfId="11667" xr:uid="{00000000-0005-0000-0000-000064750000}"/>
    <cellStyle name="Porcentaje 2 3 2 3 2 3 4 2" xfId="31382" xr:uid="{00000000-0005-0000-0000-000065750000}"/>
    <cellStyle name="Porcentaje 2 3 2 3 2 3 5" xfId="21525" xr:uid="{00000000-0005-0000-0000-000066750000}"/>
    <cellStyle name="Porcentaje 2 3 2 3 2 4" xfId="3035" xr:uid="{00000000-0005-0000-0000-000067750000}"/>
    <cellStyle name="Porcentaje 2 3 2 3 2 4 2" xfId="7967" xr:uid="{00000000-0005-0000-0000-000068750000}"/>
    <cellStyle name="Porcentaje 2 3 2 3 2 4 2 2" xfId="17827" xr:uid="{00000000-0005-0000-0000-000069750000}"/>
    <cellStyle name="Porcentaje 2 3 2 3 2 4 2 2 2" xfId="37542" xr:uid="{00000000-0005-0000-0000-00006A750000}"/>
    <cellStyle name="Porcentaje 2 3 2 3 2 4 2 3" xfId="27685" xr:uid="{00000000-0005-0000-0000-00006B750000}"/>
    <cellStyle name="Porcentaje 2 3 2 3 2 4 3" xfId="12899" xr:uid="{00000000-0005-0000-0000-00006C750000}"/>
    <cellStyle name="Porcentaje 2 3 2 3 2 4 3 2" xfId="32614" xr:uid="{00000000-0005-0000-0000-00006D750000}"/>
    <cellStyle name="Porcentaje 2 3 2 3 2 4 4" xfId="22757" xr:uid="{00000000-0005-0000-0000-00006E750000}"/>
    <cellStyle name="Porcentaje 2 3 2 3 2 5" xfId="5503" xr:uid="{00000000-0005-0000-0000-00006F750000}"/>
    <cellStyle name="Porcentaje 2 3 2 3 2 5 2" xfId="15363" xr:uid="{00000000-0005-0000-0000-000070750000}"/>
    <cellStyle name="Porcentaje 2 3 2 3 2 5 2 2" xfId="35078" xr:uid="{00000000-0005-0000-0000-000071750000}"/>
    <cellStyle name="Porcentaje 2 3 2 3 2 5 3" xfId="25221" xr:uid="{00000000-0005-0000-0000-000072750000}"/>
    <cellStyle name="Porcentaje 2 3 2 3 2 6" xfId="10435" xr:uid="{00000000-0005-0000-0000-000073750000}"/>
    <cellStyle name="Porcentaje 2 3 2 3 2 6 2" xfId="30150" xr:uid="{00000000-0005-0000-0000-000074750000}"/>
    <cellStyle name="Porcentaje 2 3 2 3 2 7" xfId="20293" xr:uid="{00000000-0005-0000-0000-000075750000}"/>
    <cellStyle name="Porcentaje 2 3 2 3 3" xfId="874" xr:uid="{00000000-0005-0000-0000-000076750000}"/>
    <cellStyle name="Porcentaje 2 3 2 3 3 2" xfId="2110" xr:uid="{00000000-0005-0000-0000-000077750000}"/>
    <cellStyle name="Porcentaje 2 3 2 3 3 2 2" xfId="4577" xr:uid="{00000000-0005-0000-0000-000078750000}"/>
    <cellStyle name="Porcentaje 2 3 2 3 3 2 2 2" xfId="9509" xr:uid="{00000000-0005-0000-0000-000079750000}"/>
    <cellStyle name="Porcentaje 2 3 2 3 3 2 2 2 2" xfId="19369" xr:uid="{00000000-0005-0000-0000-00007A750000}"/>
    <cellStyle name="Porcentaje 2 3 2 3 3 2 2 2 2 2" xfId="39084" xr:uid="{00000000-0005-0000-0000-00007B750000}"/>
    <cellStyle name="Porcentaje 2 3 2 3 3 2 2 2 3" xfId="29227" xr:uid="{00000000-0005-0000-0000-00007C750000}"/>
    <cellStyle name="Porcentaje 2 3 2 3 3 2 2 3" xfId="14441" xr:uid="{00000000-0005-0000-0000-00007D750000}"/>
    <cellStyle name="Porcentaje 2 3 2 3 3 2 2 3 2" xfId="34156" xr:uid="{00000000-0005-0000-0000-00007E750000}"/>
    <cellStyle name="Porcentaje 2 3 2 3 3 2 2 4" xfId="24299" xr:uid="{00000000-0005-0000-0000-00007F750000}"/>
    <cellStyle name="Porcentaje 2 3 2 3 3 2 3" xfId="7045" xr:uid="{00000000-0005-0000-0000-000080750000}"/>
    <cellStyle name="Porcentaje 2 3 2 3 3 2 3 2" xfId="16905" xr:uid="{00000000-0005-0000-0000-000081750000}"/>
    <cellStyle name="Porcentaje 2 3 2 3 3 2 3 2 2" xfId="36620" xr:uid="{00000000-0005-0000-0000-000082750000}"/>
    <cellStyle name="Porcentaje 2 3 2 3 3 2 3 3" xfId="26763" xr:uid="{00000000-0005-0000-0000-000083750000}"/>
    <cellStyle name="Porcentaje 2 3 2 3 3 2 4" xfId="11977" xr:uid="{00000000-0005-0000-0000-000084750000}"/>
    <cellStyle name="Porcentaje 2 3 2 3 3 2 4 2" xfId="31692" xr:uid="{00000000-0005-0000-0000-000085750000}"/>
    <cellStyle name="Porcentaje 2 3 2 3 3 2 5" xfId="21835" xr:uid="{00000000-0005-0000-0000-000086750000}"/>
    <cellStyle name="Porcentaje 2 3 2 3 3 3" xfId="3345" xr:uid="{00000000-0005-0000-0000-000087750000}"/>
    <cellStyle name="Porcentaje 2 3 2 3 3 3 2" xfId="8277" xr:uid="{00000000-0005-0000-0000-000088750000}"/>
    <cellStyle name="Porcentaje 2 3 2 3 3 3 2 2" xfId="18137" xr:uid="{00000000-0005-0000-0000-000089750000}"/>
    <cellStyle name="Porcentaje 2 3 2 3 3 3 2 2 2" xfId="37852" xr:uid="{00000000-0005-0000-0000-00008A750000}"/>
    <cellStyle name="Porcentaje 2 3 2 3 3 3 2 3" xfId="27995" xr:uid="{00000000-0005-0000-0000-00008B750000}"/>
    <cellStyle name="Porcentaje 2 3 2 3 3 3 3" xfId="13209" xr:uid="{00000000-0005-0000-0000-00008C750000}"/>
    <cellStyle name="Porcentaje 2 3 2 3 3 3 3 2" xfId="32924" xr:uid="{00000000-0005-0000-0000-00008D750000}"/>
    <cellStyle name="Porcentaje 2 3 2 3 3 3 4" xfId="23067" xr:uid="{00000000-0005-0000-0000-00008E750000}"/>
    <cellStyle name="Porcentaje 2 3 2 3 3 4" xfId="5813" xr:uid="{00000000-0005-0000-0000-00008F750000}"/>
    <cellStyle name="Porcentaje 2 3 2 3 3 4 2" xfId="15673" xr:uid="{00000000-0005-0000-0000-000090750000}"/>
    <cellStyle name="Porcentaje 2 3 2 3 3 4 2 2" xfId="35388" xr:uid="{00000000-0005-0000-0000-000091750000}"/>
    <cellStyle name="Porcentaje 2 3 2 3 3 4 3" xfId="25531" xr:uid="{00000000-0005-0000-0000-000092750000}"/>
    <cellStyle name="Porcentaje 2 3 2 3 3 5" xfId="10745" xr:uid="{00000000-0005-0000-0000-000093750000}"/>
    <cellStyle name="Porcentaje 2 3 2 3 3 5 2" xfId="30460" xr:uid="{00000000-0005-0000-0000-000094750000}"/>
    <cellStyle name="Porcentaje 2 3 2 3 3 6" xfId="20603" xr:uid="{00000000-0005-0000-0000-000095750000}"/>
    <cellStyle name="Porcentaje 2 3 2 3 4" xfId="1494" xr:uid="{00000000-0005-0000-0000-000096750000}"/>
    <cellStyle name="Porcentaje 2 3 2 3 4 2" xfId="3961" xr:uid="{00000000-0005-0000-0000-000097750000}"/>
    <cellStyle name="Porcentaje 2 3 2 3 4 2 2" xfId="8893" xr:uid="{00000000-0005-0000-0000-000098750000}"/>
    <cellStyle name="Porcentaje 2 3 2 3 4 2 2 2" xfId="18753" xr:uid="{00000000-0005-0000-0000-000099750000}"/>
    <cellStyle name="Porcentaje 2 3 2 3 4 2 2 2 2" xfId="38468" xr:uid="{00000000-0005-0000-0000-00009A750000}"/>
    <cellStyle name="Porcentaje 2 3 2 3 4 2 2 3" xfId="28611" xr:uid="{00000000-0005-0000-0000-00009B750000}"/>
    <cellStyle name="Porcentaje 2 3 2 3 4 2 3" xfId="13825" xr:uid="{00000000-0005-0000-0000-00009C750000}"/>
    <cellStyle name="Porcentaje 2 3 2 3 4 2 3 2" xfId="33540" xr:uid="{00000000-0005-0000-0000-00009D750000}"/>
    <cellStyle name="Porcentaje 2 3 2 3 4 2 4" xfId="23683" xr:uid="{00000000-0005-0000-0000-00009E750000}"/>
    <cellStyle name="Porcentaje 2 3 2 3 4 3" xfId="6429" xr:uid="{00000000-0005-0000-0000-00009F750000}"/>
    <cellStyle name="Porcentaje 2 3 2 3 4 3 2" xfId="16289" xr:uid="{00000000-0005-0000-0000-0000A0750000}"/>
    <cellStyle name="Porcentaje 2 3 2 3 4 3 2 2" xfId="36004" xr:uid="{00000000-0005-0000-0000-0000A1750000}"/>
    <cellStyle name="Porcentaje 2 3 2 3 4 3 3" xfId="26147" xr:uid="{00000000-0005-0000-0000-0000A2750000}"/>
    <cellStyle name="Porcentaje 2 3 2 3 4 4" xfId="11361" xr:uid="{00000000-0005-0000-0000-0000A3750000}"/>
    <cellStyle name="Porcentaje 2 3 2 3 4 4 2" xfId="31076" xr:uid="{00000000-0005-0000-0000-0000A4750000}"/>
    <cellStyle name="Porcentaje 2 3 2 3 4 5" xfId="21219" xr:uid="{00000000-0005-0000-0000-0000A5750000}"/>
    <cellStyle name="Porcentaje 2 3 2 3 5" xfId="2729" xr:uid="{00000000-0005-0000-0000-0000A6750000}"/>
    <cellStyle name="Porcentaje 2 3 2 3 5 2" xfId="7661" xr:uid="{00000000-0005-0000-0000-0000A7750000}"/>
    <cellStyle name="Porcentaje 2 3 2 3 5 2 2" xfId="17521" xr:uid="{00000000-0005-0000-0000-0000A8750000}"/>
    <cellStyle name="Porcentaje 2 3 2 3 5 2 2 2" xfId="37236" xr:uid="{00000000-0005-0000-0000-0000A9750000}"/>
    <cellStyle name="Porcentaje 2 3 2 3 5 2 3" xfId="27379" xr:uid="{00000000-0005-0000-0000-0000AA750000}"/>
    <cellStyle name="Porcentaje 2 3 2 3 5 3" xfId="12593" xr:uid="{00000000-0005-0000-0000-0000AB750000}"/>
    <cellStyle name="Porcentaje 2 3 2 3 5 3 2" xfId="32308" xr:uid="{00000000-0005-0000-0000-0000AC750000}"/>
    <cellStyle name="Porcentaje 2 3 2 3 5 4" xfId="22451" xr:uid="{00000000-0005-0000-0000-0000AD750000}"/>
    <cellStyle name="Porcentaje 2 3 2 3 6" xfId="5197" xr:uid="{00000000-0005-0000-0000-0000AE750000}"/>
    <cellStyle name="Porcentaje 2 3 2 3 6 2" xfId="15057" xr:uid="{00000000-0005-0000-0000-0000AF750000}"/>
    <cellStyle name="Porcentaje 2 3 2 3 6 2 2" xfId="34772" xr:uid="{00000000-0005-0000-0000-0000B0750000}"/>
    <cellStyle name="Porcentaje 2 3 2 3 6 3" xfId="24915" xr:uid="{00000000-0005-0000-0000-0000B1750000}"/>
    <cellStyle name="Porcentaje 2 3 2 3 7" xfId="10129" xr:uid="{00000000-0005-0000-0000-0000B2750000}"/>
    <cellStyle name="Porcentaje 2 3 2 3 7 2" xfId="29844" xr:uid="{00000000-0005-0000-0000-0000B3750000}"/>
    <cellStyle name="Porcentaje 2 3 2 3 8" xfId="19987" xr:uid="{00000000-0005-0000-0000-0000B4750000}"/>
    <cellStyle name="Porcentaje 2 3 2 4" xfId="409" xr:uid="{00000000-0005-0000-0000-0000B5750000}"/>
    <cellStyle name="Porcentaje 2 3 2 4 2" xfId="1029" xr:uid="{00000000-0005-0000-0000-0000B6750000}"/>
    <cellStyle name="Porcentaje 2 3 2 4 2 2" xfId="2264" xr:uid="{00000000-0005-0000-0000-0000B7750000}"/>
    <cellStyle name="Porcentaje 2 3 2 4 2 2 2" xfId="4731" xr:uid="{00000000-0005-0000-0000-0000B8750000}"/>
    <cellStyle name="Porcentaje 2 3 2 4 2 2 2 2" xfId="9663" xr:uid="{00000000-0005-0000-0000-0000B9750000}"/>
    <cellStyle name="Porcentaje 2 3 2 4 2 2 2 2 2" xfId="19523" xr:uid="{00000000-0005-0000-0000-0000BA750000}"/>
    <cellStyle name="Porcentaje 2 3 2 4 2 2 2 2 2 2" xfId="39238" xr:uid="{00000000-0005-0000-0000-0000BB750000}"/>
    <cellStyle name="Porcentaje 2 3 2 4 2 2 2 2 3" xfId="29381" xr:uid="{00000000-0005-0000-0000-0000BC750000}"/>
    <cellStyle name="Porcentaje 2 3 2 4 2 2 2 3" xfId="14595" xr:uid="{00000000-0005-0000-0000-0000BD750000}"/>
    <cellStyle name="Porcentaje 2 3 2 4 2 2 2 3 2" xfId="34310" xr:uid="{00000000-0005-0000-0000-0000BE750000}"/>
    <cellStyle name="Porcentaje 2 3 2 4 2 2 2 4" xfId="24453" xr:uid="{00000000-0005-0000-0000-0000BF750000}"/>
    <cellStyle name="Porcentaje 2 3 2 4 2 2 3" xfId="7199" xr:uid="{00000000-0005-0000-0000-0000C0750000}"/>
    <cellStyle name="Porcentaje 2 3 2 4 2 2 3 2" xfId="17059" xr:uid="{00000000-0005-0000-0000-0000C1750000}"/>
    <cellStyle name="Porcentaje 2 3 2 4 2 2 3 2 2" xfId="36774" xr:uid="{00000000-0005-0000-0000-0000C2750000}"/>
    <cellStyle name="Porcentaje 2 3 2 4 2 2 3 3" xfId="26917" xr:uid="{00000000-0005-0000-0000-0000C3750000}"/>
    <cellStyle name="Porcentaje 2 3 2 4 2 2 4" xfId="12131" xr:uid="{00000000-0005-0000-0000-0000C4750000}"/>
    <cellStyle name="Porcentaje 2 3 2 4 2 2 4 2" xfId="31846" xr:uid="{00000000-0005-0000-0000-0000C5750000}"/>
    <cellStyle name="Porcentaje 2 3 2 4 2 2 5" xfId="21989" xr:uid="{00000000-0005-0000-0000-0000C6750000}"/>
    <cellStyle name="Porcentaje 2 3 2 4 2 3" xfId="3499" xr:uid="{00000000-0005-0000-0000-0000C7750000}"/>
    <cellStyle name="Porcentaje 2 3 2 4 2 3 2" xfId="8431" xr:uid="{00000000-0005-0000-0000-0000C8750000}"/>
    <cellStyle name="Porcentaje 2 3 2 4 2 3 2 2" xfId="18291" xr:uid="{00000000-0005-0000-0000-0000C9750000}"/>
    <cellStyle name="Porcentaje 2 3 2 4 2 3 2 2 2" xfId="38006" xr:uid="{00000000-0005-0000-0000-0000CA750000}"/>
    <cellStyle name="Porcentaje 2 3 2 4 2 3 2 3" xfId="28149" xr:uid="{00000000-0005-0000-0000-0000CB750000}"/>
    <cellStyle name="Porcentaje 2 3 2 4 2 3 3" xfId="13363" xr:uid="{00000000-0005-0000-0000-0000CC750000}"/>
    <cellStyle name="Porcentaje 2 3 2 4 2 3 3 2" xfId="33078" xr:uid="{00000000-0005-0000-0000-0000CD750000}"/>
    <cellStyle name="Porcentaje 2 3 2 4 2 3 4" xfId="23221" xr:uid="{00000000-0005-0000-0000-0000CE750000}"/>
    <cellStyle name="Porcentaje 2 3 2 4 2 4" xfId="5967" xr:uid="{00000000-0005-0000-0000-0000CF750000}"/>
    <cellStyle name="Porcentaje 2 3 2 4 2 4 2" xfId="15827" xr:uid="{00000000-0005-0000-0000-0000D0750000}"/>
    <cellStyle name="Porcentaje 2 3 2 4 2 4 2 2" xfId="35542" xr:uid="{00000000-0005-0000-0000-0000D1750000}"/>
    <cellStyle name="Porcentaje 2 3 2 4 2 4 3" xfId="25685" xr:uid="{00000000-0005-0000-0000-0000D2750000}"/>
    <cellStyle name="Porcentaje 2 3 2 4 2 5" xfId="10899" xr:uid="{00000000-0005-0000-0000-0000D3750000}"/>
    <cellStyle name="Porcentaje 2 3 2 4 2 5 2" xfId="30614" xr:uid="{00000000-0005-0000-0000-0000D4750000}"/>
    <cellStyle name="Porcentaje 2 3 2 4 2 6" xfId="20757" xr:uid="{00000000-0005-0000-0000-0000D5750000}"/>
    <cellStyle name="Porcentaje 2 3 2 4 3" xfId="1648" xr:uid="{00000000-0005-0000-0000-0000D6750000}"/>
    <cellStyle name="Porcentaje 2 3 2 4 3 2" xfId="4115" xr:uid="{00000000-0005-0000-0000-0000D7750000}"/>
    <cellStyle name="Porcentaje 2 3 2 4 3 2 2" xfId="9047" xr:uid="{00000000-0005-0000-0000-0000D8750000}"/>
    <cellStyle name="Porcentaje 2 3 2 4 3 2 2 2" xfId="18907" xr:uid="{00000000-0005-0000-0000-0000D9750000}"/>
    <cellStyle name="Porcentaje 2 3 2 4 3 2 2 2 2" xfId="38622" xr:uid="{00000000-0005-0000-0000-0000DA750000}"/>
    <cellStyle name="Porcentaje 2 3 2 4 3 2 2 3" xfId="28765" xr:uid="{00000000-0005-0000-0000-0000DB750000}"/>
    <cellStyle name="Porcentaje 2 3 2 4 3 2 3" xfId="13979" xr:uid="{00000000-0005-0000-0000-0000DC750000}"/>
    <cellStyle name="Porcentaje 2 3 2 4 3 2 3 2" xfId="33694" xr:uid="{00000000-0005-0000-0000-0000DD750000}"/>
    <cellStyle name="Porcentaje 2 3 2 4 3 2 4" xfId="23837" xr:uid="{00000000-0005-0000-0000-0000DE750000}"/>
    <cellStyle name="Porcentaje 2 3 2 4 3 3" xfId="6583" xr:uid="{00000000-0005-0000-0000-0000DF750000}"/>
    <cellStyle name="Porcentaje 2 3 2 4 3 3 2" xfId="16443" xr:uid="{00000000-0005-0000-0000-0000E0750000}"/>
    <cellStyle name="Porcentaje 2 3 2 4 3 3 2 2" xfId="36158" xr:uid="{00000000-0005-0000-0000-0000E1750000}"/>
    <cellStyle name="Porcentaje 2 3 2 4 3 3 3" xfId="26301" xr:uid="{00000000-0005-0000-0000-0000E2750000}"/>
    <cellStyle name="Porcentaje 2 3 2 4 3 4" xfId="11515" xr:uid="{00000000-0005-0000-0000-0000E3750000}"/>
    <cellStyle name="Porcentaje 2 3 2 4 3 4 2" xfId="31230" xr:uid="{00000000-0005-0000-0000-0000E4750000}"/>
    <cellStyle name="Porcentaje 2 3 2 4 3 5" xfId="21373" xr:uid="{00000000-0005-0000-0000-0000E5750000}"/>
    <cellStyle name="Porcentaje 2 3 2 4 4" xfId="2883" xr:uid="{00000000-0005-0000-0000-0000E6750000}"/>
    <cellStyle name="Porcentaje 2 3 2 4 4 2" xfId="7815" xr:uid="{00000000-0005-0000-0000-0000E7750000}"/>
    <cellStyle name="Porcentaje 2 3 2 4 4 2 2" xfId="17675" xr:uid="{00000000-0005-0000-0000-0000E8750000}"/>
    <cellStyle name="Porcentaje 2 3 2 4 4 2 2 2" xfId="37390" xr:uid="{00000000-0005-0000-0000-0000E9750000}"/>
    <cellStyle name="Porcentaje 2 3 2 4 4 2 3" xfId="27533" xr:uid="{00000000-0005-0000-0000-0000EA750000}"/>
    <cellStyle name="Porcentaje 2 3 2 4 4 3" xfId="12747" xr:uid="{00000000-0005-0000-0000-0000EB750000}"/>
    <cellStyle name="Porcentaje 2 3 2 4 4 3 2" xfId="32462" xr:uid="{00000000-0005-0000-0000-0000EC750000}"/>
    <cellStyle name="Porcentaje 2 3 2 4 4 4" xfId="22605" xr:uid="{00000000-0005-0000-0000-0000ED750000}"/>
    <cellStyle name="Porcentaje 2 3 2 4 5" xfId="5351" xr:uid="{00000000-0005-0000-0000-0000EE750000}"/>
    <cellStyle name="Porcentaje 2 3 2 4 5 2" xfId="15211" xr:uid="{00000000-0005-0000-0000-0000EF750000}"/>
    <cellStyle name="Porcentaje 2 3 2 4 5 2 2" xfId="34926" xr:uid="{00000000-0005-0000-0000-0000F0750000}"/>
    <cellStyle name="Porcentaje 2 3 2 4 5 3" xfId="25069" xr:uid="{00000000-0005-0000-0000-0000F1750000}"/>
    <cellStyle name="Porcentaje 2 3 2 4 6" xfId="10283" xr:uid="{00000000-0005-0000-0000-0000F2750000}"/>
    <cellStyle name="Porcentaje 2 3 2 4 6 2" xfId="29998" xr:uid="{00000000-0005-0000-0000-0000F3750000}"/>
    <cellStyle name="Porcentaje 2 3 2 4 7" xfId="20141" xr:uid="{00000000-0005-0000-0000-0000F4750000}"/>
    <cellStyle name="Porcentaje 2 3 2 5" xfId="722" xr:uid="{00000000-0005-0000-0000-0000F5750000}"/>
    <cellStyle name="Porcentaje 2 3 2 5 2" xfId="1958" xr:uid="{00000000-0005-0000-0000-0000F6750000}"/>
    <cellStyle name="Porcentaje 2 3 2 5 2 2" xfId="4425" xr:uid="{00000000-0005-0000-0000-0000F7750000}"/>
    <cellStyle name="Porcentaje 2 3 2 5 2 2 2" xfId="9357" xr:uid="{00000000-0005-0000-0000-0000F8750000}"/>
    <cellStyle name="Porcentaje 2 3 2 5 2 2 2 2" xfId="19217" xr:uid="{00000000-0005-0000-0000-0000F9750000}"/>
    <cellStyle name="Porcentaje 2 3 2 5 2 2 2 2 2" xfId="38932" xr:uid="{00000000-0005-0000-0000-0000FA750000}"/>
    <cellStyle name="Porcentaje 2 3 2 5 2 2 2 3" xfId="29075" xr:uid="{00000000-0005-0000-0000-0000FB750000}"/>
    <cellStyle name="Porcentaje 2 3 2 5 2 2 3" xfId="14289" xr:uid="{00000000-0005-0000-0000-0000FC750000}"/>
    <cellStyle name="Porcentaje 2 3 2 5 2 2 3 2" xfId="34004" xr:uid="{00000000-0005-0000-0000-0000FD750000}"/>
    <cellStyle name="Porcentaje 2 3 2 5 2 2 4" xfId="24147" xr:uid="{00000000-0005-0000-0000-0000FE750000}"/>
    <cellStyle name="Porcentaje 2 3 2 5 2 3" xfId="6893" xr:uid="{00000000-0005-0000-0000-0000FF750000}"/>
    <cellStyle name="Porcentaje 2 3 2 5 2 3 2" xfId="16753" xr:uid="{00000000-0005-0000-0000-000000760000}"/>
    <cellStyle name="Porcentaje 2 3 2 5 2 3 2 2" xfId="36468" xr:uid="{00000000-0005-0000-0000-000001760000}"/>
    <cellStyle name="Porcentaje 2 3 2 5 2 3 3" xfId="26611" xr:uid="{00000000-0005-0000-0000-000002760000}"/>
    <cellStyle name="Porcentaje 2 3 2 5 2 4" xfId="11825" xr:uid="{00000000-0005-0000-0000-000003760000}"/>
    <cellStyle name="Porcentaje 2 3 2 5 2 4 2" xfId="31540" xr:uid="{00000000-0005-0000-0000-000004760000}"/>
    <cellStyle name="Porcentaje 2 3 2 5 2 5" xfId="21683" xr:uid="{00000000-0005-0000-0000-000005760000}"/>
    <cellStyle name="Porcentaje 2 3 2 5 3" xfId="3193" xr:uid="{00000000-0005-0000-0000-000006760000}"/>
    <cellStyle name="Porcentaje 2 3 2 5 3 2" xfId="8125" xr:uid="{00000000-0005-0000-0000-000007760000}"/>
    <cellStyle name="Porcentaje 2 3 2 5 3 2 2" xfId="17985" xr:uid="{00000000-0005-0000-0000-000008760000}"/>
    <cellStyle name="Porcentaje 2 3 2 5 3 2 2 2" xfId="37700" xr:uid="{00000000-0005-0000-0000-000009760000}"/>
    <cellStyle name="Porcentaje 2 3 2 5 3 2 3" xfId="27843" xr:uid="{00000000-0005-0000-0000-00000A760000}"/>
    <cellStyle name="Porcentaje 2 3 2 5 3 3" xfId="13057" xr:uid="{00000000-0005-0000-0000-00000B760000}"/>
    <cellStyle name="Porcentaje 2 3 2 5 3 3 2" xfId="32772" xr:uid="{00000000-0005-0000-0000-00000C760000}"/>
    <cellStyle name="Porcentaje 2 3 2 5 3 4" xfId="22915" xr:uid="{00000000-0005-0000-0000-00000D760000}"/>
    <cellStyle name="Porcentaje 2 3 2 5 4" xfId="5661" xr:uid="{00000000-0005-0000-0000-00000E760000}"/>
    <cellStyle name="Porcentaje 2 3 2 5 4 2" xfId="15521" xr:uid="{00000000-0005-0000-0000-00000F760000}"/>
    <cellStyle name="Porcentaje 2 3 2 5 4 2 2" xfId="35236" xr:uid="{00000000-0005-0000-0000-000010760000}"/>
    <cellStyle name="Porcentaje 2 3 2 5 4 3" xfId="25379" xr:uid="{00000000-0005-0000-0000-000011760000}"/>
    <cellStyle name="Porcentaje 2 3 2 5 5" xfId="10593" xr:uid="{00000000-0005-0000-0000-000012760000}"/>
    <cellStyle name="Porcentaje 2 3 2 5 5 2" xfId="30308" xr:uid="{00000000-0005-0000-0000-000013760000}"/>
    <cellStyle name="Porcentaje 2 3 2 5 6" xfId="20451" xr:uid="{00000000-0005-0000-0000-000014760000}"/>
    <cellStyle name="Porcentaje 2 3 2 6" xfId="1342" xr:uid="{00000000-0005-0000-0000-000015760000}"/>
    <cellStyle name="Porcentaje 2 3 2 6 2" xfId="3809" xr:uid="{00000000-0005-0000-0000-000016760000}"/>
    <cellStyle name="Porcentaje 2 3 2 6 2 2" xfId="8741" xr:uid="{00000000-0005-0000-0000-000017760000}"/>
    <cellStyle name="Porcentaje 2 3 2 6 2 2 2" xfId="18601" xr:uid="{00000000-0005-0000-0000-000018760000}"/>
    <cellStyle name="Porcentaje 2 3 2 6 2 2 2 2" xfId="38316" xr:uid="{00000000-0005-0000-0000-000019760000}"/>
    <cellStyle name="Porcentaje 2 3 2 6 2 2 3" xfId="28459" xr:uid="{00000000-0005-0000-0000-00001A760000}"/>
    <cellStyle name="Porcentaje 2 3 2 6 2 3" xfId="13673" xr:uid="{00000000-0005-0000-0000-00001B760000}"/>
    <cellStyle name="Porcentaje 2 3 2 6 2 3 2" xfId="33388" xr:uid="{00000000-0005-0000-0000-00001C760000}"/>
    <cellStyle name="Porcentaje 2 3 2 6 2 4" xfId="23531" xr:uid="{00000000-0005-0000-0000-00001D760000}"/>
    <cellStyle name="Porcentaje 2 3 2 6 3" xfId="6277" xr:uid="{00000000-0005-0000-0000-00001E760000}"/>
    <cellStyle name="Porcentaje 2 3 2 6 3 2" xfId="16137" xr:uid="{00000000-0005-0000-0000-00001F760000}"/>
    <cellStyle name="Porcentaje 2 3 2 6 3 2 2" xfId="35852" xr:uid="{00000000-0005-0000-0000-000020760000}"/>
    <cellStyle name="Porcentaje 2 3 2 6 3 3" xfId="25995" xr:uid="{00000000-0005-0000-0000-000021760000}"/>
    <cellStyle name="Porcentaje 2 3 2 6 4" xfId="11209" xr:uid="{00000000-0005-0000-0000-000022760000}"/>
    <cellStyle name="Porcentaje 2 3 2 6 4 2" xfId="30924" xr:uid="{00000000-0005-0000-0000-000023760000}"/>
    <cellStyle name="Porcentaje 2 3 2 6 5" xfId="21067" xr:uid="{00000000-0005-0000-0000-000024760000}"/>
    <cellStyle name="Porcentaje 2 3 2 7" xfId="2577" xr:uid="{00000000-0005-0000-0000-000025760000}"/>
    <cellStyle name="Porcentaje 2 3 2 7 2" xfId="7509" xr:uid="{00000000-0005-0000-0000-000026760000}"/>
    <cellStyle name="Porcentaje 2 3 2 7 2 2" xfId="17369" xr:uid="{00000000-0005-0000-0000-000027760000}"/>
    <cellStyle name="Porcentaje 2 3 2 7 2 2 2" xfId="37084" xr:uid="{00000000-0005-0000-0000-000028760000}"/>
    <cellStyle name="Porcentaje 2 3 2 7 2 3" xfId="27227" xr:uid="{00000000-0005-0000-0000-000029760000}"/>
    <cellStyle name="Porcentaje 2 3 2 7 3" xfId="12441" xr:uid="{00000000-0005-0000-0000-00002A760000}"/>
    <cellStyle name="Porcentaje 2 3 2 7 3 2" xfId="32156" xr:uid="{00000000-0005-0000-0000-00002B760000}"/>
    <cellStyle name="Porcentaje 2 3 2 7 4" xfId="22299" xr:uid="{00000000-0005-0000-0000-00002C760000}"/>
    <cellStyle name="Porcentaje 2 3 2 8" xfId="5045" xr:uid="{00000000-0005-0000-0000-00002D760000}"/>
    <cellStyle name="Porcentaje 2 3 2 8 2" xfId="14905" xr:uid="{00000000-0005-0000-0000-00002E760000}"/>
    <cellStyle name="Porcentaje 2 3 2 8 2 2" xfId="34620" xr:uid="{00000000-0005-0000-0000-00002F760000}"/>
    <cellStyle name="Porcentaje 2 3 2 8 3" xfId="24763" xr:uid="{00000000-0005-0000-0000-000030760000}"/>
    <cellStyle name="Porcentaje 2 3 2 9" xfId="9977" xr:uid="{00000000-0005-0000-0000-000031760000}"/>
    <cellStyle name="Porcentaje 2 3 2 9 2" xfId="29692" xr:uid="{00000000-0005-0000-0000-000032760000}"/>
    <cellStyle name="Porcentaje 2 3 3" xfId="128" xr:uid="{00000000-0005-0000-0000-000033760000}"/>
    <cellStyle name="Porcentaje 2 3 3 2" xfId="285" xr:uid="{00000000-0005-0000-0000-000034760000}"/>
    <cellStyle name="Porcentaje 2 3 3 2 2" xfId="599" xr:uid="{00000000-0005-0000-0000-000035760000}"/>
    <cellStyle name="Porcentaje 2 3 3 2 2 2" xfId="1219" xr:uid="{00000000-0005-0000-0000-000036760000}"/>
    <cellStyle name="Porcentaje 2 3 3 2 2 2 2" xfId="2454" xr:uid="{00000000-0005-0000-0000-000037760000}"/>
    <cellStyle name="Porcentaje 2 3 3 2 2 2 2 2" xfId="4921" xr:uid="{00000000-0005-0000-0000-000038760000}"/>
    <cellStyle name="Porcentaje 2 3 3 2 2 2 2 2 2" xfId="9853" xr:uid="{00000000-0005-0000-0000-000039760000}"/>
    <cellStyle name="Porcentaje 2 3 3 2 2 2 2 2 2 2" xfId="19713" xr:uid="{00000000-0005-0000-0000-00003A760000}"/>
    <cellStyle name="Porcentaje 2 3 3 2 2 2 2 2 2 2 2" xfId="39428" xr:uid="{00000000-0005-0000-0000-00003B760000}"/>
    <cellStyle name="Porcentaje 2 3 3 2 2 2 2 2 2 3" xfId="29571" xr:uid="{00000000-0005-0000-0000-00003C760000}"/>
    <cellStyle name="Porcentaje 2 3 3 2 2 2 2 2 3" xfId="14785" xr:uid="{00000000-0005-0000-0000-00003D760000}"/>
    <cellStyle name="Porcentaje 2 3 3 2 2 2 2 2 3 2" xfId="34500" xr:uid="{00000000-0005-0000-0000-00003E760000}"/>
    <cellStyle name="Porcentaje 2 3 3 2 2 2 2 2 4" xfId="24643" xr:uid="{00000000-0005-0000-0000-00003F760000}"/>
    <cellStyle name="Porcentaje 2 3 3 2 2 2 2 3" xfId="7389" xr:uid="{00000000-0005-0000-0000-000040760000}"/>
    <cellStyle name="Porcentaje 2 3 3 2 2 2 2 3 2" xfId="17249" xr:uid="{00000000-0005-0000-0000-000041760000}"/>
    <cellStyle name="Porcentaje 2 3 3 2 2 2 2 3 2 2" xfId="36964" xr:uid="{00000000-0005-0000-0000-000042760000}"/>
    <cellStyle name="Porcentaje 2 3 3 2 2 2 2 3 3" xfId="27107" xr:uid="{00000000-0005-0000-0000-000043760000}"/>
    <cellStyle name="Porcentaje 2 3 3 2 2 2 2 4" xfId="12321" xr:uid="{00000000-0005-0000-0000-000044760000}"/>
    <cellStyle name="Porcentaje 2 3 3 2 2 2 2 4 2" xfId="32036" xr:uid="{00000000-0005-0000-0000-000045760000}"/>
    <cellStyle name="Porcentaje 2 3 3 2 2 2 2 5" xfId="22179" xr:uid="{00000000-0005-0000-0000-000046760000}"/>
    <cellStyle name="Porcentaje 2 3 3 2 2 2 3" xfId="3689" xr:uid="{00000000-0005-0000-0000-000047760000}"/>
    <cellStyle name="Porcentaje 2 3 3 2 2 2 3 2" xfId="8621" xr:uid="{00000000-0005-0000-0000-000048760000}"/>
    <cellStyle name="Porcentaje 2 3 3 2 2 2 3 2 2" xfId="18481" xr:uid="{00000000-0005-0000-0000-000049760000}"/>
    <cellStyle name="Porcentaje 2 3 3 2 2 2 3 2 2 2" xfId="38196" xr:uid="{00000000-0005-0000-0000-00004A760000}"/>
    <cellStyle name="Porcentaje 2 3 3 2 2 2 3 2 3" xfId="28339" xr:uid="{00000000-0005-0000-0000-00004B760000}"/>
    <cellStyle name="Porcentaje 2 3 3 2 2 2 3 3" xfId="13553" xr:uid="{00000000-0005-0000-0000-00004C760000}"/>
    <cellStyle name="Porcentaje 2 3 3 2 2 2 3 3 2" xfId="33268" xr:uid="{00000000-0005-0000-0000-00004D760000}"/>
    <cellStyle name="Porcentaje 2 3 3 2 2 2 3 4" xfId="23411" xr:uid="{00000000-0005-0000-0000-00004E760000}"/>
    <cellStyle name="Porcentaje 2 3 3 2 2 2 4" xfId="6157" xr:uid="{00000000-0005-0000-0000-00004F760000}"/>
    <cellStyle name="Porcentaje 2 3 3 2 2 2 4 2" xfId="16017" xr:uid="{00000000-0005-0000-0000-000050760000}"/>
    <cellStyle name="Porcentaje 2 3 3 2 2 2 4 2 2" xfId="35732" xr:uid="{00000000-0005-0000-0000-000051760000}"/>
    <cellStyle name="Porcentaje 2 3 3 2 2 2 4 3" xfId="25875" xr:uid="{00000000-0005-0000-0000-000052760000}"/>
    <cellStyle name="Porcentaje 2 3 3 2 2 2 5" xfId="11089" xr:uid="{00000000-0005-0000-0000-000053760000}"/>
    <cellStyle name="Porcentaje 2 3 3 2 2 2 5 2" xfId="30804" xr:uid="{00000000-0005-0000-0000-000054760000}"/>
    <cellStyle name="Porcentaje 2 3 3 2 2 2 6" xfId="20947" xr:uid="{00000000-0005-0000-0000-000055760000}"/>
    <cellStyle name="Porcentaje 2 3 3 2 2 3" xfId="1838" xr:uid="{00000000-0005-0000-0000-000056760000}"/>
    <cellStyle name="Porcentaje 2 3 3 2 2 3 2" xfId="4305" xr:uid="{00000000-0005-0000-0000-000057760000}"/>
    <cellStyle name="Porcentaje 2 3 3 2 2 3 2 2" xfId="9237" xr:uid="{00000000-0005-0000-0000-000058760000}"/>
    <cellStyle name="Porcentaje 2 3 3 2 2 3 2 2 2" xfId="19097" xr:uid="{00000000-0005-0000-0000-000059760000}"/>
    <cellStyle name="Porcentaje 2 3 3 2 2 3 2 2 2 2" xfId="38812" xr:uid="{00000000-0005-0000-0000-00005A760000}"/>
    <cellStyle name="Porcentaje 2 3 3 2 2 3 2 2 3" xfId="28955" xr:uid="{00000000-0005-0000-0000-00005B760000}"/>
    <cellStyle name="Porcentaje 2 3 3 2 2 3 2 3" xfId="14169" xr:uid="{00000000-0005-0000-0000-00005C760000}"/>
    <cellStyle name="Porcentaje 2 3 3 2 2 3 2 3 2" xfId="33884" xr:uid="{00000000-0005-0000-0000-00005D760000}"/>
    <cellStyle name="Porcentaje 2 3 3 2 2 3 2 4" xfId="24027" xr:uid="{00000000-0005-0000-0000-00005E760000}"/>
    <cellStyle name="Porcentaje 2 3 3 2 2 3 3" xfId="6773" xr:uid="{00000000-0005-0000-0000-00005F760000}"/>
    <cellStyle name="Porcentaje 2 3 3 2 2 3 3 2" xfId="16633" xr:uid="{00000000-0005-0000-0000-000060760000}"/>
    <cellStyle name="Porcentaje 2 3 3 2 2 3 3 2 2" xfId="36348" xr:uid="{00000000-0005-0000-0000-000061760000}"/>
    <cellStyle name="Porcentaje 2 3 3 2 2 3 3 3" xfId="26491" xr:uid="{00000000-0005-0000-0000-000062760000}"/>
    <cellStyle name="Porcentaje 2 3 3 2 2 3 4" xfId="11705" xr:uid="{00000000-0005-0000-0000-000063760000}"/>
    <cellStyle name="Porcentaje 2 3 3 2 2 3 4 2" xfId="31420" xr:uid="{00000000-0005-0000-0000-000064760000}"/>
    <cellStyle name="Porcentaje 2 3 3 2 2 3 5" xfId="21563" xr:uid="{00000000-0005-0000-0000-000065760000}"/>
    <cellStyle name="Porcentaje 2 3 3 2 2 4" xfId="3073" xr:uid="{00000000-0005-0000-0000-000066760000}"/>
    <cellStyle name="Porcentaje 2 3 3 2 2 4 2" xfId="8005" xr:uid="{00000000-0005-0000-0000-000067760000}"/>
    <cellStyle name="Porcentaje 2 3 3 2 2 4 2 2" xfId="17865" xr:uid="{00000000-0005-0000-0000-000068760000}"/>
    <cellStyle name="Porcentaje 2 3 3 2 2 4 2 2 2" xfId="37580" xr:uid="{00000000-0005-0000-0000-000069760000}"/>
    <cellStyle name="Porcentaje 2 3 3 2 2 4 2 3" xfId="27723" xr:uid="{00000000-0005-0000-0000-00006A760000}"/>
    <cellStyle name="Porcentaje 2 3 3 2 2 4 3" xfId="12937" xr:uid="{00000000-0005-0000-0000-00006B760000}"/>
    <cellStyle name="Porcentaje 2 3 3 2 2 4 3 2" xfId="32652" xr:uid="{00000000-0005-0000-0000-00006C760000}"/>
    <cellStyle name="Porcentaje 2 3 3 2 2 4 4" xfId="22795" xr:uid="{00000000-0005-0000-0000-00006D760000}"/>
    <cellStyle name="Porcentaje 2 3 3 2 2 5" xfId="5541" xr:uid="{00000000-0005-0000-0000-00006E760000}"/>
    <cellStyle name="Porcentaje 2 3 3 2 2 5 2" xfId="15401" xr:uid="{00000000-0005-0000-0000-00006F760000}"/>
    <cellStyle name="Porcentaje 2 3 3 2 2 5 2 2" xfId="35116" xr:uid="{00000000-0005-0000-0000-000070760000}"/>
    <cellStyle name="Porcentaje 2 3 3 2 2 5 3" xfId="25259" xr:uid="{00000000-0005-0000-0000-000071760000}"/>
    <cellStyle name="Porcentaje 2 3 3 2 2 6" xfId="10473" xr:uid="{00000000-0005-0000-0000-000072760000}"/>
    <cellStyle name="Porcentaje 2 3 3 2 2 6 2" xfId="30188" xr:uid="{00000000-0005-0000-0000-000073760000}"/>
    <cellStyle name="Porcentaje 2 3 3 2 2 7" xfId="20331" xr:uid="{00000000-0005-0000-0000-000074760000}"/>
    <cellStyle name="Porcentaje 2 3 3 2 3" xfId="912" xr:uid="{00000000-0005-0000-0000-000075760000}"/>
    <cellStyle name="Porcentaje 2 3 3 2 3 2" xfId="2148" xr:uid="{00000000-0005-0000-0000-000076760000}"/>
    <cellStyle name="Porcentaje 2 3 3 2 3 2 2" xfId="4615" xr:uid="{00000000-0005-0000-0000-000077760000}"/>
    <cellStyle name="Porcentaje 2 3 3 2 3 2 2 2" xfId="9547" xr:uid="{00000000-0005-0000-0000-000078760000}"/>
    <cellStyle name="Porcentaje 2 3 3 2 3 2 2 2 2" xfId="19407" xr:uid="{00000000-0005-0000-0000-000079760000}"/>
    <cellStyle name="Porcentaje 2 3 3 2 3 2 2 2 2 2" xfId="39122" xr:uid="{00000000-0005-0000-0000-00007A760000}"/>
    <cellStyle name="Porcentaje 2 3 3 2 3 2 2 2 3" xfId="29265" xr:uid="{00000000-0005-0000-0000-00007B760000}"/>
    <cellStyle name="Porcentaje 2 3 3 2 3 2 2 3" xfId="14479" xr:uid="{00000000-0005-0000-0000-00007C760000}"/>
    <cellStyle name="Porcentaje 2 3 3 2 3 2 2 3 2" xfId="34194" xr:uid="{00000000-0005-0000-0000-00007D760000}"/>
    <cellStyle name="Porcentaje 2 3 3 2 3 2 2 4" xfId="24337" xr:uid="{00000000-0005-0000-0000-00007E760000}"/>
    <cellStyle name="Porcentaje 2 3 3 2 3 2 3" xfId="7083" xr:uid="{00000000-0005-0000-0000-00007F760000}"/>
    <cellStyle name="Porcentaje 2 3 3 2 3 2 3 2" xfId="16943" xr:uid="{00000000-0005-0000-0000-000080760000}"/>
    <cellStyle name="Porcentaje 2 3 3 2 3 2 3 2 2" xfId="36658" xr:uid="{00000000-0005-0000-0000-000081760000}"/>
    <cellStyle name="Porcentaje 2 3 3 2 3 2 3 3" xfId="26801" xr:uid="{00000000-0005-0000-0000-000082760000}"/>
    <cellStyle name="Porcentaje 2 3 3 2 3 2 4" xfId="12015" xr:uid="{00000000-0005-0000-0000-000083760000}"/>
    <cellStyle name="Porcentaje 2 3 3 2 3 2 4 2" xfId="31730" xr:uid="{00000000-0005-0000-0000-000084760000}"/>
    <cellStyle name="Porcentaje 2 3 3 2 3 2 5" xfId="21873" xr:uid="{00000000-0005-0000-0000-000085760000}"/>
    <cellStyle name="Porcentaje 2 3 3 2 3 3" xfId="3383" xr:uid="{00000000-0005-0000-0000-000086760000}"/>
    <cellStyle name="Porcentaje 2 3 3 2 3 3 2" xfId="8315" xr:uid="{00000000-0005-0000-0000-000087760000}"/>
    <cellStyle name="Porcentaje 2 3 3 2 3 3 2 2" xfId="18175" xr:uid="{00000000-0005-0000-0000-000088760000}"/>
    <cellStyle name="Porcentaje 2 3 3 2 3 3 2 2 2" xfId="37890" xr:uid="{00000000-0005-0000-0000-000089760000}"/>
    <cellStyle name="Porcentaje 2 3 3 2 3 3 2 3" xfId="28033" xr:uid="{00000000-0005-0000-0000-00008A760000}"/>
    <cellStyle name="Porcentaje 2 3 3 2 3 3 3" xfId="13247" xr:uid="{00000000-0005-0000-0000-00008B760000}"/>
    <cellStyle name="Porcentaje 2 3 3 2 3 3 3 2" xfId="32962" xr:uid="{00000000-0005-0000-0000-00008C760000}"/>
    <cellStyle name="Porcentaje 2 3 3 2 3 3 4" xfId="23105" xr:uid="{00000000-0005-0000-0000-00008D760000}"/>
    <cellStyle name="Porcentaje 2 3 3 2 3 4" xfId="5851" xr:uid="{00000000-0005-0000-0000-00008E760000}"/>
    <cellStyle name="Porcentaje 2 3 3 2 3 4 2" xfId="15711" xr:uid="{00000000-0005-0000-0000-00008F760000}"/>
    <cellStyle name="Porcentaje 2 3 3 2 3 4 2 2" xfId="35426" xr:uid="{00000000-0005-0000-0000-000090760000}"/>
    <cellStyle name="Porcentaje 2 3 3 2 3 4 3" xfId="25569" xr:uid="{00000000-0005-0000-0000-000091760000}"/>
    <cellStyle name="Porcentaje 2 3 3 2 3 5" xfId="10783" xr:uid="{00000000-0005-0000-0000-000092760000}"/>
    <cellStyle name="Porcentaje 2 3 3 2 3 5 2" xfId="30498" xr:uid="{00000000-0005-0000-0000-000093760000}"/>
    <cellStyle name="Porcentaje 2 3 3 2 3 6" xfId="20641" xr:uid="{00000000-0005-0000-0000-000094760000}"/>
    <cellStyle name="Porcentaje 2 3 3 2 4" xfId="1532" xr:uid="{00000000-0005-0000-0000-000095760000}"/>
    <cellStyle name="Porcentaje 2 3 3 2 4 2" xfId="3999" xr:uid="{00000000-0005-0000-0000-000096760000}"/>
    <cellStyle name="Porcentaje 2 3 3 2 4 2 2" xfId="8931" xr:uid="{00000000-0005-0000-0000-000097760000}"/>
    <cellStyle name="Porcentaje 2 3 3 2 4 2 2 2" xfId="18791" xr:uid="{00000000-0005-0000-0000-000098760000}"/>
    <cellStyle name="Porcentaje 2 3 3 2 4 2 2 2 2" xfId="38506" xr:uid="{00000000-0005-0000-0000-000099760000}"/>
    <cellStyle name="Porcentaje 2 3 3 2 4 2 2 3" xfId="28649" xr:uid="{00000000-0005-0000-0000-00009A760000}"/>
    <cellStyle name="Porcentaje 2 3 3 2 4 2 3" xfId="13863" xr:uid="{00000000-0005-0000-0000-00009B760000}"/>
    <cellStyle name="Porcentaje 2 3 3 2 4 2 3 2" xfId="33578" xr:uid="{00000000-0005-0000-0000-00009C760000}"/>
    <cellStyle name="Porcentaje 2 3 3 2 4 2 4" xfId="23721" xr:uid="{00000000-0005-0000-0000-00009D760000}"/>
    <cellStyle name="Porcentaje 2 3 3 2 4 3" xfId="6467" xr:uid="{00000000-0005-0000-0000-00009E760000}"/>
    <cellStyle name="Porcentaje 2 3 3 2 4 3 2" xfId="16327" xr:uid="{00000000-0005-0000-0000-00009F760000}"/>
    <cellStyle name="Porcentaje 2 3 3 2 4 3 2 2" xfId="36042" xr:uid="{00000000-0005-0000-0000-0000A0760000}"/>
    <cellStyle name="Porcentaje 2 3 3 2 4 3 3" xfId="26185" xr:uid="{00000000-0005-0000-0000-0000A1760000}"/>
    <cellStyle name="Porcentaje 2 3 3 2 4 4" xfId="11399" xr:uid="{00000000-0005-0000-0000-0000A2760000}"/>
    <cellStyle name="Porcentaje 2 3 3 2 4 4 2" xfId="31114" xr:uid="{00000000-0005-0000-0000-0000A3760000}"/>
    <cellStyle name="Porcentaje 2 3 3 2 4 5" xfId="21257" xr:uid="{00000000-0005-0000-0000-0000A4760000}"/>
    <cellStyle name="Porcentaje 2 3 3 2 5" xfId="2767" xr:uid="{00000000-0005-0000-0000-0000A5760000}"/>
    <cellStyle name="Porcentaje 2 3 3 2 5 2" xfId="7699" xr:uid="{00000000-0005-0000-0000-0000A6760000}"/>
    <cellStyle name="Porcentaje 2 3 3 2 5 2 2" xfId="17559" xr:uid="{00000000-0005-0000-0000-0000A7760000}"/>
    <cellStyle name="Porcentaje 2 3 3 2 5 2 2 2" xfId="37274" xr:uid="{00000000-0005-0000-0000-0000A8760000}"/>
    <cellStyle name="Porcentaje 2 3 3 2 5 2 3" xfId="27417" xr:uid="{00000000-0005-0000-0000-0000A9760000}"/>
    <cellStyle name="Porcentaje 2 3 3 2 5 3" xfId="12631" xr:uid="{00000000-0005-0000-0000-0000AA760000}"/>
    <cellStyle name="Porcentaje 2 3 3 2 5 3 2" xfId="32346" xr:uid="{00000000-0005-0000-0000-0000AB760000}"/>
    <cellStyle name="Porcentaje 2 3 3 2 5 4" xfId="22489" xr:uid="{00000000-0005-0000-0000-0000AC760000}"/>
    <cellStyle name="Porcentaje 2 3 3 2 6" xfId="5235" xr:uid="{00000000-0005-0000-0000-0000AD760000}"/>
    <cellStyle name="Porcentaje 2 3 3 2 6 2" xfId="15095" xr:uid="{00000000-0005-0000-0000-0000AE760000}"/>
    <cellStyle name="Porcentaje 2 3 3 2 6 2 2" xfId="34810" xr:uid="{00000000-0005-0000-0000-0000AF760000}"/>
    <cellStyle name="Porcentaje 2 3 3 2 6 3" xfId="24953" xr:uid="{00000000-0005-0000-0000-0000B0760000}"/>
    <cellStyle name="Porcentaje 2 3 3 2 7" xfId="10167" xr:uid="{00000000-0005-0000-0000-0000B1760000}"/>
    <cellStyle name="Porcentaje 2 3 3 2 7 2" xfId="29882" xr:uid="{00000000-0005-0000-0000-0000B2760000}"/>
    <cellStyle name="Porcentaje 2 3 3 2 8" xfId="20025" xr:uid="{00000000-0005-0000-0000-0000B3760000}"/>
    <cellStyle name="Porcentaje 2 3 3 3" xfId="447" xr:uid="{00000000-0005-0000-0000-0000B4760000}"/>
    <cellStyle name="Porcentaje 2 3 3 3 2" xfId="1067" xr:uid="{00000000-0005-0000-0000-0000B5760000}"/>
    <cellStyle name="Porcentaje 2 3 3 3 2 2" xfId="2302" xr:uid="{00000000-0005-0000-0000-0000B6760000}"/>
    <cellStyle name="Porcentaje 2 3 3 3 2 2 2" xfId="4769" xr:uid="{00000000-0005-0000-0000-0000B7760000}"/>
    <cellStyle name="Porcentaje 2 3 3 3 2 2 2 2" xfId="9701" xr:uid="{00000000-0005-0000-0000-0000B8760000}"/>
    <cellStyle name="Porcentaje 2 3 3 3 2 2 2 2 2" xfId="19561" xr:uid="{00000000-0005-0000-0000-0000B9760000}"/>
    <cellStyle name="Porcentaje 2 3 3 3 2 2 2 2 2 2" xfId="39276" xr:uid="{00000000-0005-0000-0000-0000BA760000}"/>
    <cellStyle name="Porcentaje 2 3 3 3 2 2 2 2 3" xfId="29419" xr:uid="{00000000-0005-0000-0000-0000BB760000}"/>
    <cellStyle name="Porcentaje 2 3 3 3 2 2 2 3" xfId="14633" xr:uid="{00000000-0005-0000-0000-0000BC760000}"/>
    <cellStyle name="Porcentaje 2 3 3 3 2 2 2 3 2" xfId="34348" xr:uid="{00000000-0005-0000-0000-0000BD760000}"/>
    <cellStyle name="Porcentaje 2 3 3 3 2 2 2 4" xfId="24491" xr:uid="{00000000-0005-0000-0000-0000BE760000}"/>
    <cellStyle name="Porcentaje 2 3 3 3 2 2 3" xfId="7237" xr:uid="{00000000-0005-0000-0000-0000BF760000}"/>
    <cellStyle name="Porcentaje 2 3 3 3 2 2 3 2" xfId="17097" xr:uid="{00000000-0005-0000-0000-0000C0760000}"/>
    <cellStyle name="Porcentaje 2 3 3 3 2 2 3 2 2" xfId="36812" xr:uid="{00000000-0005-0000-0000-0000C1760000}"/>
    <cellStyle name="Porcentaje 2 3 3 3 2 2 3 3" xfId="26955" xr:uid="{00000000-0005-0000-0000-0000C2760000}"/>
    <cellStyle name="Porcentaje 2 3 3 3 2 2 4" xfId="12169" xr:uid="{00000000-0005-0000-0000-0000C3760000}"/>
    <cellStyle name="Porcentaje 2 3 3 3 2 2 4 2" xfId="31884" xr:uid="{00000000-0005-0000-0000-0000C4760000}"/>
    <cellStyle name="Porcentaje 2 3 3 3 2 2 5" xfId="22027" xr:uid="{00000000-0005-0000-0000-0000C5760000}"/>
    <cellStyle name="Porcentaje 2 3 3 3 2 3" xfId="3537" xr:uid="{00000000-0005-0000-0000-0000C6760000}"/>
    <cellStyle name="Porcentaje 2 3 3 3 2 3 2" xfId="8469" xr:uid="{00000000-0005-0000-0000-0000C7760000}"/>
    <cellStyle name="Porcentaje 2 3 3 3 2 3 2 2" xfId="18329" xr:uid="{00000000-0005-0000-0000-0000C8760000}"/>
    <cellStyle name="Porcentaje 2 3 3 3 2 3 2 2 2" xfId="38044" xr:uid="{00000000-0005-0000-0000-0000C9760000}"/>
    <cellStyle name="Porcentaje 2 3 3 3 2 3 2 3" xfId="28187" xr:uid="{00000000-0005-0000-0000-0000CA760000}"/>
    <cellStyle name="Porcentaje 2 3 3 3 2 3 3" xfId="13401" xr:uid="{00000000-0005-0000-0000-0000CB760000}"/>
    <cellStyle name="Porcentaje 2 3 3 3 2 3 3 2" xfId="33116" xr:uid="{00000000-0005-0000-0000-0000CC760000}"/>
    <cellStyle name="Porcentaje 2 3 3 3 2 3 4" xfId="23259" xr:uid="{00000000-0005-0000-0000-0000CD760000}"/>
    <cellStyle name="Porcentaje 2 3 3 3 2 4" xfId="6005" xr:uid="{00000000-0005-0000-0000-0000CE760000}"/>
    <cellStyle name="Porcentaje 2 3 3 3 2 4 2" xfId="15865" xr:uid="{00000000-0005-0000-0000-0000CF760000}"/>
    <cellStyle name="Porcentaje 2 3 3 3 2 4 2 2" xfId="35580" xr:uid="{00000000-0005-0000-0000-0000D0760000}"/>
    <cellStyle name="Porcentaje 2 3 3 3 2 4 3" xfId="25723" xr:uid="{00000000-0005-0000-0000-0000D1760000}"/>
    <cellStyle name="Porcentaje 2 3 3 3 2 5" xfId="10937" xr:uid="{00000000-0005-0000-0000-0000D2760000}"/>
    <cellStyle name="Porcentaje 2 3 3 3 2 5 2" xfId="30652" xr:uid="{00000000-0005-0000-0000-0000D3760000}"/>
    <cellStyle name="Porcentaje 2 3 3 3 2 6" xfId="20795" xr:uid="{00000000-0005-0000-0000-0000D4760000}"/>
    <cellStyle name="Porcentaje 2 3 3 3 3" xfId="1686" xr:uid="{00000000-0005-0000-0000-0000D5760000}"/>
    <cellStyle name="Porcentaje 2 3 3 3 3 2" xfId="4153" xr:uid="{00000000-0005-0000-0000-0000D6760000}"/>
    <cellStyle name="Porcentaje 2 3 3 3 3 2 2" xfId="9085" xr:uid="{00000000-0005-0000-0000-0000D7760000}"/>
    <cellStyle name="Porcentaje 2 3 3 3 3 2 2 2" xfId="18945" xr:uid="{00000000-0005-0000-0000-0000D8760000}"/>
    <cellStyle name="Porcentaje 2 3 3 3 3 2 2 2 2" xfId="38660" xr:uid="{00000000-0005-0000-0000-0000D9760000}"/>
    <cellStyle name="Porcentaje 2 3 3 3 3 2 2 3" xfId="28803" xr:uid="{00000000-0005-0000-0000-0000DA760000}"/>
    <cellStyle name="Porcentaje 2 3 3 3 3 2 3" xfId="14017" xr:uid="{00000000-0005-0000-0000-0000DB760000}"/>
    <cellStyle name="Porcentaje 2 3 3 3 3 2 3 2" xfId="33732" xr:uid="{00000000-0005-0000-0000-0000DC760000}"/>
    <cellStyle name="Porcentaje 2 3 3 3 3 2 4" xfId="23875" xr:uid="{00000000-0005-0000-0000-0000DD760000}"/>
    <cellStyle name="Porcentaje 2 3 3 3 3 3" xfId="6621" xr:uid="{00000000-0005-0000-0000-0000DE760000}"/>
    <cellStyle name="Porcentaje 2 3 3 3 3 3 2" xfId="16481" xr:uid="{00000000-0005-0000-0000-0000DF760000}"/>
    <cellStyle name="Porcentaje 2 3 3 3 3 3 2 2" xfId="36196" xr:uid="{00000000-0005-0000-0000-0000E0760000}"/>
    <cellStyle name="Porcentaje 2 3 3 3 3 3 3" xfId="26339" xr:uid="{00000000-0005-0000-0000-0000E1760000}"/>
    <cellStyle name="Porcentaje 2 3 3 3 3 4" xfId="11553" xr:uid="{00000000-0005-0000-0000-0000E2760000}"/>
    <cellStyle name="Porcentaje 2 3 3 3 3 4 2" xfId="31268" xr:uid="{00000000-0005-0000-0000-0000E3760000}"/>
    <cellStyle name="Porcentaje 2 3 3 3 3 5" xfId="21411" xr:uid="{00000000-0005-0000-0000-0000E4760000}"/>
    <cellStyle name="Porcentaje 2 3 3 3 4" xfId="2921" xr:uid="{00000000-0005-0000-0000-0000E5760000}"/>
    <cellStyle name="Porcentaje 2 3 3 3 4 2" xfId="7853" xr:uid="{00000000-0005-0000-0000-0000E6760000}"/>
    <cellStyle name="Porcentaje 2 3 3 3 4 2 2" xfId="17713" xr:uid="{00000000-0005-0000-0000-0000E7760000}"/>
    <cellStyle name="Porcentaje 2 3 3 3 4 2 2 2" xfId="37428" xr:uid="{00000000-0005-0000-0000-0000E8760000}"/>
    <cellStyle name="Porcentaje 2 3 3 3 4 2 3" xfId="27571" xr:uid="{00000000-0005-0000-0000-0000E9760000}"/>
    <cellStyle name="Porcentaje 2 3 3 3 4 3" xfId="12785" xr:uid="{00000000-0005-0000-0000-0000EA760000}"/>
    <cellStyle name="Porcentaje 2 3 3 3 4 3 2" xfId="32500" xr:uid="{00000000-0005-0000-0000-0000EB760000}"/>
    <cellStyle name="Porcentaje 2 3 3 3 4 4" xfId="22643" xr:uid="{00000000-0005-0000-0000-0000EC760000}"/>
    <cellStyle name="Porcentaje 2 3 3 3 5" xfId="5389" xr:uid="{00000000-0005-0000-0000-0000ED760000}"/>
    <cellStyle name="Porcentaje 2 3 3 3 5 2" xfId="15249" xr:uid="{00000000-0005-0000-0000-0000EE760000}"/>
    <cellStyle name="Porcentaje 2 3 3 3 5 2 2" xfId="34964" xr:uid="{00000000-0005-0000-0000-0000EF760000}"/>
    <cellStyle name="Porcentaje 2 3 3 3 5 3" xfId="25107" xr:uid="{00000000-0005-0000-0000-0000F0760000}"/>
    <cellStyle name="Porcentaje 2 3 3 3 6" xfId="10321" xr:uid="{00000000-0005-0000-0000-0000F1760000}"/>
    <cellStyle name="Porcentaje 2 3 3 3 6 2" xfId="30036" xr:uid="{00000000-0005-0000-0000-0000F2760000}"/>
    <cellStyle name="Porcentaje 2 3 3 3 7" xfId="20179" xr:uid="{00000000-0005-0000-0000-0000F3760000}"/>
    <cellStyle name="Porcentaje 2 3 3 4" xfId="760" xr:uid="{00000000-0005-0000-0000-0000F4760000}"/>
    <cellStyle name="Porcentaje 2 3 3 4 2" xfId="1996" xr:uid="{00000000-0005-0000-0000-0000F5760000}"/>
    <cellStyle name="Porcentaje 2 3 3 4 2 2" xfId="4463" xr:uid="{00000000-0005-0000-0000-0000F6760000}"/>
    <cellStyle name="Porcentaje 2 3 3 4 2 2 2" xfId="9395" xr:uid="{00000000-0005-0000-0000-0000F7760000}"/>
    <cellStyle name="Porcentaje 2 3 3 4 2 2 2 2" xfId="19255" xr:uid="{00000000-0005-0000-0000-0000F8760000}"/>
    <cellStyle name="Porcentaje 2 3 3 4 2 2 2 2 2" xfId="38970" xr:uid="{00000000-0005-0000-0000-0000F9760000}"/>
    <cellStyle name="Porcentaje 2 3 3 4 2 2 2 3" xfId="29113" xr:uid="{00000000-0005-0000-0000-0000FA760000}"/>
    <cellStyle name="Porcentaje 2 3 3 4 2 2 3" xfId="14327" xr:uid="{00000000-0005-0000-0000-0000FB760000}"/>
    <cellStyle name="Porcentaje 2 3 3 4 2 2 3 2" xfId="34042" xr:uid="{00000000-0005-0000-0000-0000FC760000}"/>
    <cellStyle name="Porcentaje 2 3 3 4 2 2 4" xfId="24185" xr:uid="{00000000-0005-0000-0000-0000FD760000}"/>
    <cellStyle name="Porcentaje 2 3 3 4 2 3" xfId="6931" xr:uid="{00000000-0005-0000-0000-0000FE760000}"/>
    <cellStyle name="Porcentaje 2 3 3 4 2 3 2" xfId="16791" xr:uid="{00000000-0005-0000-0000-0000FF760000}"/>
    <cellStyle name="Porcentaje 2 3 3 4 2 3 2 2" xfId="36506" xr:uid="{00000000-0005-0000-0000-000000770000}"/>
    <cellStyle name="Porcentaje 2 3 3 4 2 3 3" xfId="26649" xr:uid="{00000000-0005-0000-0000-000001770000}"/>
    <cellStyle name="Porcentaje 2 3 3 4 2 4" xfId="11863" xr:uid="{00000000-0005-0000-0000-000002770000}"/>
    <cellStyle name="Porcentaje 2 3 3 4 2 4 2" xfId="31578" xr:uid="{00000000-0005-0000-0000-000003770000}"/>
    <cellStyle name="Porcentaje 2 3 3 4 2 5" xfId="21721" xr:uid="{00000000-0005-0000-0000-000004770000}"/>
    <cellStyle name="Porcentaje 2 3 3 4 3" xfId="3231" xr:uid="{00000000-0005-0000-0000-000005770000}"/>
    <cellStyle name="Porcentaje 2 3 3 4 3 2" xfId="8163" xr:uid="{00000000-0005-0000-0000-000006770000}"/>
    <cellStyle name="Porcentaje 2 3 3 4 3 2 2" xfId="18023" xr:uid="{00000000-0005-0000-0000-000007770000}"/>
    <cellStyle name="Porcentaje 2 3 3 4 3 2 2 2" xfId="37738" xr:uid="{00000000-0005-0000-0000-000008770000}"/>
    <cellStyle name="Porcentaje 2 3 3 4 3 2 3" xfId="27881" xr:uid="{00000000-0005-0000-0000-000009770000}"/>
    <cellStyle name="Porcentaje 2 3 3 4 3 3" xfId="13095" xr:uid="{00000000-0005-0000-0000-00000A770000}"/>
    <cellStyle name="Porcentaje 2 3 3 4 3 3 2" xfId="32810" xr:uid="{00000000-0005-0000-0000-00000B770000}"/>
    <cellStyle name="Porcentaje 2 3 3 4 3 4" xfId="22953" xr:uid="{00000000-0005-0000-0000-00000C770000}"/>
    <cellStyle name="Porcentaje 2 3 3 4 4" xfId="5699" xr:uid="{00000000-0005-0000-0000-00000D770000}"/>
    <cellStyle name="Porcentaje 2 3 3 4 4 2" xfId="15559" xr:uid="{00000000-0005-0000-0000-00000E770000}"/>
    <cellStyle name="Porcentaje 2 3 3 4 4 2 2" xfId="35274" xr:uid="{00000000-0005-0000-0000-00000F770000}"/>
    <cellStyle name="Porcentaje 2 3 3 4 4 3" xfId="25417" xr:uid="{00000000-0005-0000-0000-000010770000}"/>
    <cellStyle name="Porcentaje 2 3 3 4 5" xfId="10631" xr:uid="{00000000-0005-0000-0000-000011770000}"/>
    <cellStyle name="Porcentaje 2 3 3 4 5 2" xfId="30346" xr:uid="{00000000-0005-0000-0000-000012770000}"/>
    <cellStyle name="Porcentaje 2 3 3 4 6" xfId="20489" xr:uid="{00000000-0005-0000-0000-000013770000}"/>
    <cellStyle name="Porcentaje 2 3 3 5" xfId="1380" xr:uid="{00000000-0005-0000-0000-000014770000}"/>
    <cellStyle name="Porcentaje 2 3 3 5 2" xfId="3847" xr:uid="{00000000-0005-0000-0000-000015770000}"/>
    <cellStyle name="Porcentaje 2 3 3 5 2 2" xfId="8779" xr:uid="{00000000-0005-0000-0000-000016770000}"/>
    <cellStyle name="Porcentaje 2 3 3 5 2 2 2" xfId="18639" xr:uid="{00000000-0005-0000-0000-000017770000}"/>
    <cellStyle name="Porcentaje 2 3 3 5 2 2 2 2" xfId="38354" xr:uid="{00000000-0005-0000-0000-000018770000}"/>
    <cellStyle name="Porcentaje 2 3 3 5 2 2 3" xfId="28497" xr:uid="{00000000-0005-0000-0000-000019770000}"/>
    <cellStyle name="Porcentaje 2 3 3 5 2 3" xfId="13711" xr:uid="{00000000-0005-0000-0000-00001A770000}"/>
    <cellStyle name="Porcentaje 2 3 3 5 2 3 2" xfId="33426" xr:uid="{00000000-0005-0000-0000-00001B770000}"/>
    <cellStyle name="Porcentaje 2 3 3 5 2 4" xfId="23569" xr:uid="{00000000-0005-0000-0000-00001C770000}"/>
    <cellStyle name="Porcentaje 2 3 3 5 3" xfId="6315" xr:uid="{00000000-0005-0000-0000-00001D770000}"/>
    <cellStyle name="Porcentaje 2 3 3 5 3 2" xfId="16175" xr:uid="{00000000-0005-0000-0000-00001E770000}"/>
    <cellStyle name="Porcentaje 2 3 3 5 3 2 2" xfId="35890" xr:uid="{00000000-0005-0000-0000-00001F770000}"/>
    <cellStyle name="Porcentaje 2 3 3 5 3 3" xfId="26033" xr:uid="{00000000-0005-0000-0000-000020770000}"/>
    <cellStyle name="Porcentaje 2 3 3 5 4" xfId="11247" xr:uid="{00000000-0005-0000-0000-000021770000}"/>
    <cellStyle name="Porcentaje 2 3 3 5 4 2" xfId="30962" xr:uid="{00000000-0005-0000-0000-000022770000}"/>
    <cellStyle name="Porcentaje 2 3 3 5 5" xfId="21105" xr:uid="{00000000-0005-0000-0000-000023770000}"/>
    <cellStyle name="Porcentaje 2 3 3 6" xfId="2615" xr:uid="{00000000-0005-0000-0000-000024770000}"/>
    <cellStyle name="Porcentaje 2 3 3 6 2" xfId="7547" xr:uid="{00000000-0005-0000-0000-000025770000}"/>
    <cellStyle name="Porcentaje 2 3 3 6 2 2" xfId="17407" xr:uid="{00000000-0005-0000-0000-000026770000}"/>
    <cellStyle name="Porcentaje 2 3 3 6 2 2 2" xfId="37122" xr:uid="{00000000-0005-0000-0000-000027770000}"/>
    <cellStyle name="Porcentaje 2 3 3 6 2 3" xfId="27265" xr:uid="{00000000-0005-0000-0000-000028770000}"/>
    <cellStyle name="Porcentaje 2 3 3 6 3" xfId="12479" xr:uid="{00000000-0005-0000-0000-000029770000}"/>
    <cellStyle name="Porcentaje 2 3 3 6 3 2" xfId="32194" xr:uid="{00000000-0005-0000-0000-00002A770000}"/>
    <cellStyle name="Porcentaje 2 3 3 6 4" xfId="22337" xr:uid="{00000000-0005-0000-0000-00002B770000}"/>
    <cellStyle name="Porcentaje 2 3 3 7" xfId="5083" xr:uid="{00000000-0005-0000-0000-00002C770000}"/>
    <cellStyle name="Porcentaje 2 3 3 7 2" xfId="14943" xr:uid="{00000000-0005-0000-0000-00002D770000}"/>
    <cellStyle name="Porcentaje 2 3 3 7 2 2" xfId="34658" xr:uid="{00000000-0005-0000-0000-00002E770000}"/>
    <cellStyle name="Porcentaje 2 3 3 7 3" xfId="24801" xr:uid="{00000000-0005-0000-0000-00002F770000}"/>
    <cellStyle name="Porcentaje 2 3 3 8" xfId="10015" xr:uid="{00000000-0005-0000-0000-000030770000}"/>
    <cellStyle name="Porcentaje 2 3 3 8 2" xfId="29730" xr:uid="{00000000-0005-0000-0000-000031770000}"/>
    <cellStyle name="Porcentaje 2 3 3 9" xfId="19873" xr:uid="{00000000-0005-0000-0000-000032770000}"/>
    <cellStyle name="Porcentaje 2 3 4" xfId="209" xr:uid="{00000000-0005-0000-0000-000033770000}"/>
    <cellStyle name="Porcentaje 2 3 4 2" xfId="523" xr:uid="{00000000-0005-0000-0000-000034770000}"/>
    <cellStyle name="Porcentaje 2 3 4 2 2" xfId="1143" xr:uid="{00000000-0005-0000-0000-000035770000}"/>
    <cellStyle name="Porcentaje 2 3 4 2 2 2" xfId="2378" xr:uid="{00000000-0005-0000-0000-000036770000}"/>
    <cellStyle name="Porcentaje 2 3 4 2 2 2 2" xfId="4845" xr:uid="{00000000-0005-0000-0000-000037770000}"/>
    <cellStyle name="Porcentaje 2 3 4 2 2 2 2 2" xfId="9777" xr:uid="{00000000-0005-0000-0000-000038770000}"/>
    <cellStyle name="Porcentaje 2 3 4 2 2 2 2 2 2" xfId="19637" xr:uid="{00000000-0005-0000-0000-000039770000}"/>
    <cellStyle name="Porcentaje 2 3 4 2 2 2 2 2 2 2" xfId="39352" xr:uid="{00000000-0005-0000-0000-00003A770000}"/>
    <cellStyle name="Porcentaje 2 3 4 2 2 2 2 2 3" xfId="29495" xr:uid="{00000000-0005-0000-0000-00003B770000}"/>
    <cellStyle name="Porcentaje 2 3 4 2 2 2 2 3" xfId="14709" xr:uid="{00000000-0005-0000-0000-00003C770000}"/>
    <cellStyle name="Porcentaje 2 3 4 2 2 2 2 3 2" xfId="34424" xr:uid="{00000000-0005-0000-0000-00003D770000}"/>
    <cellStyle name="Porcentaje 2 3 4 2 2 2 2 4" xfId="24567" xr:uid="{00000000-0005-0000-0000-00003E770000}"/>
    <cellStyle name="Porcentaje 2 3 4 2 2 2 3" xfId="7313" xr:uid="{00000000-0005-0000-0000-00003F770000}"/>
    <cellStyle name="Porcentaje 2 3 4 2 2 2 3 2" xfId="17173" xr:uid="{00000000-0005-0000-0000-000040770000}"/>
    <cellStyle name="Porcentaje 2 3 4 2 2 2 3 2 2" xfId="36888" xr:uid="{00000000-0005-0000-0000-000041770000}"/>
    <cellStyle name="Porcentaje 2 3 4 2 2 2 3 3" xfId="27031" xr:uid="{00000000-0005-0000-0000-000042770000}"/>
    <cellStyle name="Porcentaje 2 3 4 2 2 2 4" xfId="12245" xr:uid="{00000000-0005-0000-0000-000043770000}"/>
    <cellStyle name="Porcentaje 2 3 4 2 2 2 4 2" xfId="31960" xr:uid="{00000000-0005-0000-0000-000044770000}"/>
    <cellStyle name="Porcentaje 2 3 4 2 2 2 5" xfId="22103" xr:uid="{00000000-0005-0000-0000-000045770000}"/>
    <cellStyle name="Porcentaje 2 3 4 2 2 3" xfId="3613" xr:uid="{00000000-0005-0000-0000-000046770000}"/>
    <cellStyle name="Porcentaje 2 3 4 2 2 3 2" xfId="8545" xr:uid="{00000000-0005-0000-0000-000047770000}"/>
    <cellStyle name="Porcentaje 2 3 4 2 2 3 2 2" xfId="18405" xr:uid="{00000000-0005-0000-0000-000048770000}"/>
    <cellStyle name="Porcentaje 2 3 4 2 2 3 2 2 2" xfId="38120" xr:uid="{00000000-0005-0000-0000-000049770000}"/>
    <cellStyle name="Porcentaje 2 3 4 2 2 3 2 3" xfId="28263" xr:uid="{00000000-0005-0000-0000-00004A770000}"/>
    <cellStyle name="Porcentaje 2 3 4 2 2 3 3" xfId="13477" xr:uid="{00000000-0005-0000-0000-00004B770000}"/>
    <cellStyle name="Porcentaje 2 3 4 2 2 3 3 2" xfId="33192" xr:uid="{00000000-0005-0000-0000-00004C770000}"/>
    <cellStyle name="Porcentaje 2 3 4 2 2 3 4" xfId="23335" xr:uid="{00000000-0005-0000-0000-00004D770000}"/>
    <cellStyle name="Porcentaje 2 3 4 2 2 4" xfId="6081" xr:uid="{00000000-0005-0000-0000-00004E770000}"/>
    <cellStyle name="Porcentaje 2 3 4 2 2 4 2" xfId="15941" xr:uid="{00000000-0005-0000-0000-00004F770000}"/>
    <cellStyle name="Porcentaje 2 3 4 2 2 4 2 2" xfId="35656" xr:uid="{00000000-0005-0000-0000-000050770000}"/>
    <cellStyle name="Porcentaje 2 3 4 2 2 4 3" xfId="25799" xr:uid="{00000000-0005-0000-0000-000051770000}"/>
    <cellStyle name="Porcentaje 2 3 4 2 2 5" xfId="11013" xr:uid="{00000000-0005-0000-0000-000052770000}"/>
    <cellStyle name="Porcentaje 2 3 4 2 2 5 2" xfId="30728" xr:uid="{00000000-0005-0000-0000-000053770000}"/>
    <cellStyle name="Porcentaje 2 3 4 2 2 6" xfId="20871" xr:uid="{00000000-0005-0000-0000-000054770000}"/>
    <cellStyle name="Porcentaje 2 3 4 2 3" xfId="1762" xr:uid="{00000000-0005-0000-0000-000055770000}"/>
    <cellStyle name="Porcentaje 2 3 4 2 3 2" xfId="4229" xr:uid="{00000000-0005-0000-0000-000056770000}"/>
    <cellStyle name="Porcentaje 2 3 4 2 3 2 2" xfId="9161" xr:uid="{00000000-0005-0000-0000-000057770000}"/>
    <cellStyle name="Porcentaje 2 3 4 2 3 2 2 2" xfId="19021" xr:uid="{00000000-0005-0000-0000-000058770000}"/>
    <cellStyle name="Porcentaje 2 3 4 2 3 2 2 2 2" xfId="38736" xr:uid="{00000000-0005-0000-0000-000059770000}"/>
    <cellStyle name="Porcentaje 2 3 4 2 3 2 2 3" xfId="28879" xr:uid="{00000000-0005-0000-0000-00005A770000}"/>
    <cellStyle name="Porcentaje 2 3 4 2 3 2 3" xfId="14093" xr:uid="{00000000-0005-0000-0000-00005B770000}"/>
    <cellStyle name="Porcentaje 2 3 4 2 3 2 3 2" xfId="33808" xr:uid="{00000000-0005-0000-0000-00005C770000}"/>
    <cellStyle name="Porcentaje 2 3 4 2 3 2 4" xfId="23951" xr:uid="{00000000-0005-0000-0000-00005D770000}"/>
    <cellStyle name="Porcentaje 2 3 4 2 3 3" xfId="6697" xr:uid="{00000000-0005-0000-0000-00005E770000}"/>
    <cellStyle name="Porcentaje 2 3 4 2 3 3 2" xfId="16557" xr:uid="{00000000-0005-0000-0000-00005F770000}"/>
    <cellStyle name="Porcentaje 2 3 4 2 3 3 2 2" xfId="36272" xr:uid="{00000000-0005-0000-0000-000060770000}"/>
    <cellStyle name="Porcentaje 2 3 4 2 3 3 3" xfId="26415" xr:uid="{00000000-0005-0000-0000-000061770000}"/>
    <cellStyle name="Porcentaje 2 3 4 2 3 4" xfId="11629" xr:uid="{00000000-0005-0000-0000-000062770000}"/>
    <cellStyle name="Porcentaje 2 3 4 2 3 4 2" xfId="31344" xr:uid="{00000000-0005-0000-0000-000063770000}"/>
    <cellStyle name="Porcentaje 2 3 4 2 3 5" xfId="21487" xr:uid="{00000000-0005-0000-0000-000064770000}"/>
    <cellStyle name="Porcentaje 2 3 4 2 4" xfId="2997" xr:uid="{00000000-0005-0000-0000-000065770000}"/>
    <cellStyle name="Porcentaje 2 3 4 2 4 2" xfId="7929" xr:uid="{00000000-0005-0000-0000-000066770000}"/>
    <cellStyle name="Porcentaje 2 3 4 2 4 2 2" xfId="17789" xr:uid="{00000000-0005-0000-0000-000067770000}"/>
    <cellStyle name="Porcentaje 2 3 4 2 4 2 2 2" xfId="37504" xr:uid="{00000000-0005-0000-0000-000068770000}"/>
    <cellStyle name="Porcentaje 2 3 4 2 4 2 3" xfId="27647" xr:uid="{00000000-0005-0000-0000-000069770000}"/>
    <cellStyle name="Porcentaje 2 3 4 2 4 3" xfId="12861" xr:uid="{00000000-0005-0000-0000-00006A770000}"/>
    <cellStyle name="Porcentaje 2 3 4 2 4 3 2" xfId="32576" xr:uid="{00000000-0005-0000-0000-00006B770000}"/>
    <cellStyle name="Porcentaje 2 3 4 2 4 4" xfId="22719" xr:uid="{00000000-0005-0000-0000-00006C770000}"/>
    <cellStyle name="Porcentaje 2 3 4 2 5" xfId="5465" xr:uid="{00000000-0005-0000-0000-00006D770000}"/>
    <cellStyle name="Porcentaje 2 3 4 2 5 2" xfId="15325" xr:uid="{00000000-0005-0000-0000-00006E770000}"/>
    <cellStyle name="Porcentaje 2 3 4 2 5 2 2" xfId="35040" xr:uid="{00000000-0005-0000-0000-00006F770000}"/>
    <cellStyle name="Porcentaje 2 3 4 2 5 3" xfId="25183" xr:uid="{00000000-0005-0000-0000-000070770000}"/>
    <cellStyle name="Porcentaje 2 3 4 2 6" xfId="10397" xr:uid="{00000000-0005-0000-0000-000071770000}"/>
    <cellStyle name="Porcentaje 2 3 4 2 6 2" xfId="30112" xr:uid="{00000000-0005-0000-0000-000072770000}"/>
    <cellStyle name="Porcentaje 2 3 4 2 7" xfId="20255" xr:uid="{00000000-0005-0000-0000-000073770000}"/>
    <cellStyle name="Porcentaje 2 3 4 3" xfId="836" xr:uid="{00000000-0005-0000-0000-000074770000}"/>
    <cellStyle name="Porcentaje 2 3 4 3 2" xfId="2072" xr:uid="{00000000-0005-0000-0000-000075770000}"/>
    <cellStyle name="Porcentaje 2 3 4 3 2 2" xfId="4539" xr:uid="{00000000-0005-0000-0000-000076770000}"/>
    <cellStyle name="Porcentaje 2 3 4 3 2 2 2" xfId="9471" xr:uid="{00000000-0005-0000-0000-000077770000}"/>
    <cellStyle name="Porcentaje 2 3 4 3 2 2 2 2" xfId="19331" xr:uid="{00000000-0005-0000-0000-000078770000}"/>
    <cellStyle name="Porcentaje 2 3 4 3 2 2 2 2 2" xfId="39046" xr:uid="{00000000-0005-0000-0000-000079770000}"/>
    <cellStyle name="Porcentaje 2 3 4 3 2 2 2 3" xfId="29189" xr:uid="{00000000-0005-0000-0000-00007A770000}"/>
    <cellStyle name="Porcentaje 2 3 4 3 2 2 3" xfId="14403" xr:uid="{00000000-0005-0000-0000-00007B770000}"/>
    <cellStyle name="Porcentaje 2 3 4 3 2 2 3 2" xfId="34118" xr:uid="{00000000-0005-0000-0000-00007C770000}"/>
    <cellStyle name="Porcentaje 2 3 4 3 2 2 4" xfId="24261" xr:uid="{00000000-0005-0000-0000-00007D770000}"/>
    <cellStyle name="Porcentaje 2 3 4 3 2 3" xfId="7007" xr:uid="{00000000-0005-0000-0000-00007E770000}"/>
    <cellStyle name="Porcentaje 2 3 4 3 2 3 2" xfId="16867" xr:uid="{00000000-0005-0000-0000-00007F770000}"/>
    <cellStyle name="Porcentaje 2 3 4 3 2 3 2 2" xfId="36582" xr:uid="{00000000-0005-0000-0000-000080770000}"/>
    <cellStyle name="Porcentaje 2 3 4 3 2 3 3" xfId="26725" xr:uid="{00000000-0005-0000-0000-000081770000}"/>
    <cellStyle name="Porcentaje 2 3 4 3 2 4" xfId="11939" xr:uid="{00000000-0005-0000-0000-000082770000}"/>
    <cellStyle name="Porcentaje 2 3 4 3 2 4 2" xfId="31654" xr:uid="{00000000-0005-0000-0000-000083770000}"/>
    <cellStyle name="Porcentaje 2 3 4 3 2 5" xfId="21797" xr:uid="{00000000-0005-0000-0000-000084770000}"/>
    <cellStyle name="Porcentaje 2 3 4 3 3" xfId="3307" xr:uid="{00000000-0005-0000-0000-000085770000}"/>
    <cellStyle name="Porcentaje 2 3 4 3 3 2" xfId="8239" xr:uid="{00000000-0005-0000-0000-000086770000}"/>
    <cellStyle name="Porcentaje 2 3 4 3 3 2 2" xfId="18099" xr:uid="{00000000-0005-0000-0000-000087770000}"/>
    <cellStyle name="Porcentaje 2 3 4 3 3 2 2 2" xfId="37814" xr:uid="{00000000-0005-0000-0000-000088770000}"/>
    <cellStyle name="Porcentaje 2 3 4 3 3 2 3" xfId="27957" xr:uid="{00000000-0005-0000-0000-000089770000}"/>
    <cellStyle name="Porcentaje 2 3 4 3 3 3" xfId="13171" xr:uid="{00000000-0005-0000-0000-00008A770000}"/>
    <cellStyle name="Porcentaje 2 3 4 3 3 3 2" xfId="32886" xr:uid="{00000000-0005-0000-0000-00008B770000}"/>
    <cellStyle name="Porcentaje 2 3 4 3 3 4" xfId="23029" xr:uid="{00000000-0005-0000-0000-00008C770000}"/>
    <cellStyle name="Porcentaje 2 3 4 3 4" xfId="5775" xr:uid="{00000000-0005-0000-0000-00008D770000}"/>
    <cellStyle name="Porcentaje 2 3 4 3 4 2" xfId="15635" xr:uid="{00000000-0005-0000-0000-00008E770000}"/>
    <cellStyle name="Porcentaje 2 3 4 3 4 2 2" xfId="35350" xr:uid="{00000000-0005-0000-0000-00008F770000}"/>
    <cellStyle name="Porcentaje 2 3 4 3 4 3" xfId="25493" xr:uid="{00000000-0005-0000-0000-000090770000}"/>
    <cellStyle name="Porcentaje 2 3 4 3 5" xfId="10707" xr:uid="{00000000-0005-0000-0000-000091770000}"/>
    <cellStyle name="Porcentaje 2 3 4 3 5 2" xfId="30422" xr:uid="{00000000-0005-0000-0000-000092770000}"/>
    <cellStyle name="Porcentaje 2 3 4 3 6" xfId="20565" xr:uid="{00000000-0005-0000-0000-000093770000}"/>
    <cellStyle name="Porcentaje 2 3 4 4" xfId="1456" xr:uid="{00000000-0005-0000-0000-000094770000}"/>
    <cellStyle name="Porcentaje 2 3 4 4 2" xfId="3923" xr:uid="{00000000-0005-0000-0000-000095770000}"/>
    <cellStyle name="Porcentaje 2 3 4 4 2 2" xfId="8855" xr:uid="{00000000-0005-0000-0000-000096770000}"/>
    <cellStyle name="Porcentaje 2 3 4 4 2 2 2" xfId="18715" xr:uid="{00000000-0005-0000-0000-000097770000}"/>
    <cellStyle name="Porcentaje 2 3 4 4 2 2 2 2" xfId="38430" xr:uid="{00000000-0005-0000-0000-000098770000}"/>
    <cellStyle name="Porcentaje 2 3 4 4 2 2 3" xfId="28573" xr:uid="{00000000-0005-0000-0000-000099770000}"/>
    <cellStyle name="Porcentaje 2 3 4 4 2 3" xfId="13787" xr:uid="{00000000-0005-0000-0000-00009A770000}"/>
    <cellStyle name="Porcentaje 2 3 4 4 2 3 2" xfId="33502" xr:uid="{00000000-0005-0000-0000-00009B770000}"/>
    <cellStyle name="Porcentaje 2 3 4 4 2 4" xfId="23645" xr:uid="{00000000-0005-0000-0000-00009C770000}"/>
    <cellStyle name="Porcentaje 2 3 4 4 3" xfId="6391" xr:uid="{00000000-0005-0000-0000-00009D770000}"/>
    <cellStyle name="Porcentaje 2 3 4 4 3 2" xfId="16251" xr:uid="{00000000-0005-0000-0000-00009E770000}"/>
    <cellStyle name="Porcentaje 2 3 4 4 3 2 2" xfId="35966" xr:uid="{00000000-0005-0000-0000-00009F770000}"/>
    <cellStyle name="Porcentaje 2 3 4 4 3 3" xfId="26109" xr:uid="{00000000-0005-0000-0000-0000A0770000}"/>
    <cellStyle name="Porcentaje 2 3 4 4 4" xfId="11323" xr:uid="{00000000-0005-0000-0000-0000A1770000}"/>
    <cellStyle name="Porcentaje 2 3 4 4 4 2" xfId="31038" xr:uid="{00000000-0005-0000-0000-0000A2770000}"/>
    <cellStyle name="Porcentaje 2 3 4 4 5" xfId="21181" xr:uid="{00000000-0005-0000-0000-0000A3770000}"/>
    <cellStyle name="Porcentaje 2 3 4 5" xfId="2691" xr:uid="{00000000-0005-0000-0000-0000A4770000}"/>
    <cellStyle name="Porcentaje 2 3 4 5 2" xfId="7623" xr:uid="{00000000-0005-0000-0000-0000A5770000}"/>
    <cellStyle name="Porcentaje 2 3 4 5 2 2" xfId="17483" xr:uid="{00000000-0005-0000-0000-0000A6770000}"/>
    <cellStyle name="Porcentaje 2 3 4 5 2 2 2" xfId="37198" xr:uid="{00000000-0005-0000-0000-0000A7770000}"/>
    <cellStyle name="Porcentaje 2 3 4 5 2 3" xfId="27341" xr:uid="{00000000-0005-0000-0000-0000A8770000}"/>
    <cellStyle name="Porcentaje 2 3 4 5 3" xfId="12555" xr:uid="{00000000-0005-0000-0000-0000A9770000}"/>
    <cellStyle name="Porcentaje 2 3 4 5 3 2" xfId="32270" xr:uid="{00000000-0005-0000-0000-0000AA770000}"/>
    <cellStyle name="Porcentaje 2 3 4 5 4" xfId="22413" xr:uid="{00000000-0005-0000-0000-0000AB770000}"/>
    <cellStyle name="Porcentaje 2 3 4 6" xfId="5159" xr:uid="{00000000-0005-0000-0000-0000AC770000}"/>
    <cellStyle name="Porcentaje 2 3 4 6 2" xfId="15019" xr:uid="{00000000-0005-0000-0000-0000AD770000}"/>
    <cellStyle name="Porcentaje 2 3 4 6 2 2" xfId="34734" xr:uid="{00000000-0005-0000-0000-0000AE770000}"/>
    <cellStyle name="Porcentaje 2 3 4 6 3" xfId="24877" xr:uid="{00000000-0005-0000-0000-0000AF770000}"/>
    <cellStyle name="Porcentaje 2 3 4 7" xfId="10091" xr:uid="{00000000-0005-0000-0000-0000B0770000}"/>
    <cellStyle name="Porcentaje 2 3 4 7 2" xfId="29806" xr:uid="{00000000-0005-0000-0000-0000B1770000}"/>
    <cellStyle name="Porcentaje 2 3 4 8" xfId="19949" xr:uid="{00000000-0005-0000-0000-0000B2770000}"/>
    <cellStyle name="Porcentaje 2 3 5" xfId="371" xr:uid="{00000000-0005-0000-0000-0000B3770000}"/>
    <cellStyle name="Porcentaje 2 3 5 2" xfId="991" xr:uid="{00000000-0005-0000-0000-0000B4770000}"/>
    <cellStyle name="Porcentaje 2 3 5 2 2" xfId="2226" xr:uid="{00000000-0005-0000-0000-0000B5770000}"/>
    <cellStyle name="Porcentaje 2 3 5 2 2 2" xfId="4693" xr:uid="{00000000-0005-0000-0000-0000B6770000}"/>
    <cellStyle name="Porcentaje 2 3 5 2 2 2 2" xfId="9625" xr:uid="{00000000-0005-0000-0000-0000B7770000}"/>
    <cellStyle name="Porcentaje 2 3 5 2 2 2 2 2" xfId="19485" xr:uid="{00000000-0005-0000-0000-0000B8770000}"/>
    <cellStyle name="Porcentaje 2 3 5 2 2 2 2 2 2" xfId="39200" xr:uid="{00000000-0005-0000-0000-0000B9770000}"/>
    <cellStyle name="Porcentaje 2 3 5 2 2 2 2 3" xfId="29343" xr:uid="{00000000-0005-0000-0000-0000BA770000}"/>
    <cellStyle name="Porcentaje 2 3 5 2 2 2 3" xfId="14557" xr:uid="{00000000-0005-0000-0000-0000BB770000}"/>
    <cellStyle name="Porcentaje 2 3 5 2 2 2 3 2" xfId="34272" xr:uid="{00000000-0005-0000-0000-0000BC770000}"/>
    <cellStyle name="Porcentaje 2 3 5 2 2 2 4" xfId="24415" xr:uid="{00000000-0005-0000-0000-0000BD770000}"/>
    <cellStyle name="Porcentaje 2 3 5 2 2 3" xfId="7161" xr:uid="{00000000-0005-0000-0000-0000BE770000}"/>
    <cellStyle name="Porcentaje 2 3 5 2 2 3 2" xfId="17021" xr:uid="{00000000-0005-0000-0000-0000BF770000}"/>
    <cellStyle name="Porcentaje 2 3 5 2 2 3 2 2" xfId="36736" xr:uid="{00000000-0005-0000-0000-0000C0770000}"/>
    <cellStyle name="Porcentaje 2 3 5 2 2 3 3" xfId="26879" xr:uid="{00000000-0005-0000-0000-0000C1770000}"/>
    <cellStyle name="Porcentaje 2 3 5 2 2 4" xfId="12093" xr:uid="{00000000-0005-0000-0000-0000C2770000}"/>
    <cellStyle name="Porcentaje 2 3 5 2 2 4 2" xfId="31808" xr:uid="{00000000-0005-0000-0000-0000C3770000}"/>
    <cellStyle name="Porcentaje 2 3 5 2 2 5" xfId="21951" xr:uid="{00000000-0005-0000-0000-0000C4770000}"/>
    <cellStyle name="Porcentaje 2 3 5 2 3" xfId="3461" xr:uid="{00000000-0005-0000-0000-0000C5770000}"/>
    <cellStyle name="Porcentaje 2 3 5 2 3 2" xfId="8393" xr:uid="{00000000-0005-0000-0000-0000C6770000}"/>
    <cellStyle name="Porcentaje 2 3 5 2 3 2 2" xfId="18253" xr:uid="{00000000-0005-0000-0000-0000C7770000}"/>
    <cellStyle name="Porcentaje 2 3 5 2 3 2 2 2" xfId="37968" xr:uid="{00000000-0005-0000-0000-0000C8770000}"/>
    <cellStyle name="Porcentaje 2 3 5 2 3 2 3" xfId="28111" xr:uid="{00000000-0005-0000-0000-0000C9770000}"/>
    <cellStyle name="Porcentaje 2 3 5 2 3 3" xfId="13325" xr:uid="{00000000-0005-0000-0000-0000CA770000}"/>
    <cellStyle name="Porcentaje 2 3 5 2 3 3 2" xfId="33040" xr:uid="{00000000-0005-0000-0000-0000CB770000}"/>
    <cellStyle name="Porcentaje 2 3 5 2 3 4" xfId="23183" xr:uid="{00000000-0005-0000-0000-0000CC770000}"/>
    <cellStyle name="Porcentaje 2 3 5 2 4" xfId="5929" xr:uid="{00000000-0005-0000-0000-0000CD770000}"/>
    <cellStyle name="Porcentaje 2 3 5 2 4 2" xfId="15789" xr:uid="{00000000-0005-0000-0000-0000CE770000}"/>
    <cellStyle name="Porcentaje 2 3 5 2 4 2 2" xfId="35504" xr:uid="{00000000-0005-0000-0000-0000CF770000}"/>
    <cellStyle name="Porcentaje 2 3 5 2 4 3" xfId="25647" xr:uid="{00000000-0005-0000-0000-0000D0770000}"/>
    <cellStyle name="Porcentaje 2 3 5 2 5" xfId="10861" xr:uid="{00000000-0005-0000-0000-0000D1770000}"/>
    <cellStyle name="Porcentaje 2 3 5 2 5 2" xfId="30576" xr:uid="{00000000-0005-0000-0000-0000D2770000}"/>
    <cellStyle name="Porcentaje 2 3 5 2 6" xfId="20719" xr:uid="{00000000-0005-0000-0000-0000D3770000}"/>
    <cellStyle name="Porcentaje 2 3 5 3" xfId="1610" xr:uid="{00000000-0005-0000-0000-0000D4770000}"/>
    <cellStyle name="Porcentaje 2 3 5 3 2" xfId="4077" xr:uid="{00000000-0005-0000-0000-0000D5770000}"/>
    <cellStyle name="Porcentaje 2 3 5 3 2 2" xfId="9009" xr:uid="{00000000-0005-0000-0000-0000D6770000}"/>
    <cellStyle name="Porcentaje 2 3 5 3 2 2 2" xfId="18869" xr:uid="{00000000-0005-0000-0000-0000D7770000}"/>
    <cellStyle name="Porcentaje 2 3 5 3 2 2 2 2" xfId="38584" xr:uid="{00000000-0005-0000-0000-0000D8770000}"/>
    <cellStyle name="Porcentaje 2 3 5 3 2 2 3" xfId="28727" xr:uid="{00000000-0005-0000-0000-0000D9770000}"/>
    <cellStyle name="Porcentaje 2 3 5 3 2 3" xfId="13941" xr:uid="{00000000-0005-0000-0000-0000DA770000}"/>
    <cellStyle name="Porcentaje 2 3 5 3 2 3 2" xfId="33656" xr:uid="{00000000-0005-0000-0000-0000DB770000}"/>
    <cellStyle name="Porcentaje 2 3 5 3 2 4" xfId="23799" xr:uid="{00000000-0005-0000-0000-0000DC770000}"/>
    <cellStyle name="Porcentaje 2 3 5 3 3" xfId="6545" xr:uid="{00000000-0005-0000-0000-0000DD770000}"/>
    <cellStyle name="Porcentaje 2 3 5 3 3 2" xfId="16405" xr:uid="{00000000-0005-0000-0000-0000DE770000}"/>
    <cellStyle name="Porcentaje 2 3 5 3 3 2 2" xfId="36120" xr:uid="{00000000-0005-0000-0000-0000DF770000}"/>
    <cellStyle name="Porcentaje 2 3 5 3 3 3" xfId="26263" xr:uid="{00000000-0005-0000-0000-0000E0770000}"/>
    <cellStyle name="Porcentaje 2 3 5 3 4" xfId="11477" xr:uid="{00000000-0005-0000-0000-0000E1770000}"/>
    <cellStyle name="Porcentaje 2 3 5 3 4 2" xfId="31192" xr:uid="{00000000-0005-0000-0000-0000E2770000}"/>
    <cellStyle name="Porcentaje 2 3 5 3 5" xfId="21335" xr:uid="{00000000-0005-0000-0000-0000E3770000}"/>
    <cellStyle name="Porcentaje 2 3 5 4" xfId="2845" xr:uid="{00000000-0005-0000-0000-0000E4770000}"/>
    <cellStyle name="Porcentaje 2 3 5 4 2" xfId="7777" xr:uid="{00000000-0005-0000-0000-0000E5770000}"/>
    <cellStyle name="Porcentaje 2 3 5 4 2 2" xfId="17637" xr:uid="{00000000-0005-0000-0000-0000E6770000}"/>
    <cellStyle name="Porcentaje 2 3 5 4 2 2 2" xfId="37352" xr:uid="{00000000-0005-0000-0000-0000E7770000}"/>
    <cellStyle name="Porcentaje 2 3 5 4 2 3" xfId="27495" xr:uid="{00000000-0005-0000-0000-0000E8770000}"/>
    <cellStyle name="Porcentaje 2 3 5 4 3" xfId="12709" xr:uid="{00000000-0005-0000-0000-0000E9770000}"/>
    <cellStyle name="Porcentaje 2 3 5 4 3 2" xfId="32424" xr:uid="{00000000-0005-0000-0000-0000EA770000}"/>
    <cellStyle name="Porcentaje 2 3 5 4 4" xfId="22567" xr:uid="{00000000-0005-0000-0000-0000EB770000}"/>
    <cellStyle name="Porcentaje 2 3 5 5" xfId="5313" xr:uid="{00000000-0005-0000-0000-0000EC770000}"/>
    <cellStyle name="Porcentaje 2 3 5 5 2" xfId="15173" xr:uid="{00000000-0005-0000-0000-0000ED770000}"/>
    <cellStyle name="Porcentaje 2 3 5 5 2 2" xfId="34888" xr:uid="{00000000-0005-0000-0000-0000EE770000}"/>
    <cellStyle name="Porcentaje 2 3 5 5 3" xfId="25031" xr:uid="{00000000-0005-0000-0000-0000EF770000}"/>
    <cellStyle name="Porcentaje 2 3 5 6" xfId="10245" xr:uid="{00000000-0005-0000-0000-0000F0770000}"/>
    <cellStyle name="Porcentaje 2 3 5 6 2" xfId="29960" xr:uid="{00000000-0005-0000-0000-0000F1770000}"/>
    <cellStyle name="Porcentaje 2 3 5 7" xfId="20103" xr:uid="{00000000-0005-0000-0000-0000F2770000}"/>
    <cellStyle name="Porcentaje 2 3 6" xfId="684" xr:uid="{00000000-0005-0000-0000-0000F3770000}"/>
    <cellStyle name="Porcentaje 2 3 6 2" xfId="1920" xr:uid="{00000000-0005-0000-0000-0000F4770000}"/>
    <cellStyle name="Porcentaje 2 3 6 2 2" xfId="4387" xr:uid="{00000000-0005-0000-0000-0000F5770000}"/>
    <cellStyle name="Porcentaje 2 3 6 2 2 2" xfId="9319" xr:uid="{00000000-0005-0000-0000-0000F6770000}"/>
    <cellStyle name="Porcentaje 2 3 6 2 2 2 2" xfId="19179" xr:uid="{00000000-0005-0000-0000-0000F7770000}"/>
    <cellStyle name="Porcentaje 2 3 6 2 2 2 2 2" xfId="38894" xr:uid="{00000000-0005-0000-0000-0000F8770000}"/>
    <cellStyle name="Porcentaje 2 3 6 2 2 2 3" xfId="29037" xr:uid="{00000000-0005-0000-0000-0000F9770000}"/>
    <cellStyle name="Porcentaje 2 3 6 2 2 3" xfId="14251" xr:uid="{00000000-0005-0000-0000-0000FA770000}"/>
    <cellStyle name="Porcentaje 2 3 6 2 2 3 2" xfId="33966" xr:uid="{00000000-0005-0000-0000-0000FB770000}"/>
    <cellStyle name="Porcentaje 2 3 6 2 2 4" xfId="24109" xr:uid="{00000000-0005-0000-0000-0000FC770000}"/>
    <cellStyle name="Porcentaje 2 3 6 2 3" xfId="6855" xr:uid="{00000000-0005-0000-0000-0000FD770000}"/>
    <cellStyle name="Porcentaje 2 3 6 2 3 2" xfId="16715" xr:uid="{00000000-0005-0000-0000-0000FE770000}"/>
    <cellStyle name="Porcentaje 2 3 6 2 3 2 2" xfId="36430" xr:uid="{00000000-0005-0000-0000-0000FF770000}"/>
    <cellStyle name="Porcentaje 2 3 6 2 3 3" xfId="26573" xr:uid="{00000000-0005-0000-0000-000000780000}"/>
    <cellStyle name="Porcentaje 2 3 6 2 4" xfId="11787" xr:uid="{00000000-0005-0000-0000-000001780000}"/>
    <cellStyle name="Porcentaje 2 3 6 2 4 2" xfId="31502" xr:uid="{00000000-0005-0000-0000-000002780000}"/>
    <cellStyle name="Porcentaje 2 3 6 2 5" xfId="21645" xr:uid="{00000000-0005-0000-0000-000003780000}"/>
    <cellStyle name="Porcentaje 2 3 6 3" xfId="3155" xr:uid="{00000000-0005-0000-0000-000004780000}"/>
    <cellStyle name="Porcentaje 2 3 6 3 2" xfId="8087" xr:uid="{00000000-0005-0000-0000-000005780000}"/>
    <cellStyle name="Porcentaje 2 3 6 3 2 2" xfId="17947" xr:uid="{00000000-0005-0000-0000-000006780000}"/>
    <cellStyle name="Porcentaje 2 3 6 3 2 2 2" xfId="37662" xr:uid="{00000000-0005-0000-0000-000007780000}"/>
    <cellStyle name="Porcentaje 2 3 6 3 2 3" xfId="27805" xr:uid="{00000000-0005-0000-0000-000008780000}"/>
    <cellStyle name="Porcentaje 2 3 6 3 3" xfId="13019" xr:uid="{00000000-0005-0000-0000-000009780000}"/>
    <cellStyle name="Porcentaje 2 3 6 3 3 2" xfId="32734" xr:uid="{00000000-0005-0000-0000-00000A780000}"/>
    <cellStyle name="Porcentaje 2 3 6 3 4" xfId="22877" xr:uid="{00000000-0005-0000-0000-00000B780000}"/>
    <cellStyle name="Porcentaje 2 3 6 4" xfId="5623" xr:uid="{00000000-0005-0000-0000-00000C780000}"/>
    <cellStyle name="Porcentaje 2 3 6 4 2" xfId="15483" xr:uid="{00000000-0005-0000-0000-00000D780000}"/>
    <cellStyle name="Porcentaje 2 3 6 4 2 2" xfId="35198" xr:uid="{00000000-0005-0000-0000-00000E780000}"/>
    <cellStyle name="Porcentaje 2 3 6 4 3" xfId="25341" xr:uid="{00000000-0005-0000-0000-00000F780000}"/>
    <cellStyle name="Porcentaje 2 3 6 5" xfId="10555" xr:uid="{00000000-0005-0000-0000-000010780000}"/>
    <cellStyle name="Porcentaje 2 3 6 5 2" xfId="30270" xr:uid="{00000000-0005-0000-0000-000011780000}"/>
    <cellStyle name="Porcentaje 2 3 6 6" xfId="20413" xr:uid="{00000000-0005-0000-0000-000012780000}"/>
    <cellStyle name="Porcentaje 2 3 7" xfId="1304" xr:uid="{00000000-0005-0000-0000-000013780000}"/>
    <cellStyle name="Porcentaje 2 3 7 2" xfId="3771" xr:uid="{00000000-0005-0000-0000-000014780000}"/>
    <cellStyle name="Porcentaje 2 3 7 2 2" xfId="8703" xr:uid="{00000000-0005-0000-0000-000015780000}"/>
    <cellStyle name="Porcentaje 2 3 7 2 2 2" xfId="18563" xr:uid="{00000000-0005-0000-0000-000016780000}"/>
    <cellStyle name="Porcentaje 2 3 7 2 2 2 2" xfId="38278" xr:uid="{00000000-0005-0000-0000-000017780000}"/>
    <cellStyle name="Porcentaje 2 3 7 2 2 3" xfId="28421" xr:uid="{00000000-0005-0000-0000-000018780000}"/>
    <cellStyle name="Porcentaje 2 3 7 2 3" xfId="13635" xr:uid="{00000000-0005-0000-0000-000019780000}"/>
    <cellStyle name="Porcentaje 2 3 7 2 3 2" xfId="33350" xr:uid="{00000000-0005-0000-0000-00001A780000}"/>
    <cellStyle name="Porcentaje 2 3 7 2 4" xfId="23493" xr:uid="{00000000-0005-0000-0000-00001B780000}"/>
    <cellStyle name="Porcentaje 2 3 7 3" xfId="6239" xr:uid="{00000000-0005-0000-0000-00001C780000}"/>
    <cellStyle name="Porcentaje 2 3 7 3 2" xfId="16099" xr:uid="{00000000-0005-0000-0000-00001D780000}"/>
    <cellStyle name="Porcentaje 2 3 7 3 2 2" xfId="35814" xr:uid="{00000000-0005-0000-0000-00001E780000}"/>
    <cellStyle name="Porcentaje 2 3 7 3 3" xfId="25957" xr:uid="{00000000-0005-0000-0000-00001F780000}"/>
    <cellStyle name="Porcentaje 2 3 7 4" xfId="11171" xr:uid="{00000000-0005-0000-0000-000020780000}"/>
    <cellStyle name="Porcentaje 2 3 7 4 2" xfId="30886" xr:uid="{00000000-0005-0000-0000-000021780000}"/>
    <cellStyle name="Porcentaje 2 3 7 5" xfId="21029" xr:uid="{00000000-0005-0000-0000-000022780000}"/>
    <cellStyle name="Porcentaje 2 3 8" xfId="2539" xr:uid="{00000000-0005-0000-0000-000023780000}"/>
    <cellStyle name="Porcentaje 2 3 8 2" xfId="7471" xr:uid="{00000000-0005-0000-0000-000024780000}"/>
    <cellStyle name="Porcentaje 2 3 8 2 2" xfId="17331" xr:uid="{00000000-0005-0000-0000-000025780000}"/>
    <cellStyle name="Porcentaje 2 3 8 2 2 2" xfId="37046" xr:uid="{00000000-0005-0000-0000-000026780000}"/>
    <cellStyle name="Porcentaje 2 3 8 2 3" xfId="27189" xr:uid="{00000000-0005-0000-0000-000027780000}"/>
    <cellStyle name="Porcentaje 2 3 8 3" xfId="12403" xr:uid="{00000000-0005-0000-0000-000028780000}"/>
    <cellStyle name="Porcentaje 2 3 8 3 2" xfId="32118" xr:uid="{00000000-0005-0000-0000-000029780000}"/>
    <cellStyle name="Porcentaje 2 3 8 4" xfId="22261" xr:uid="{00000000-0005-0000-0000-00002A780000}"/>
    <cellStyle name="Porcentaje 2 3 9" xfId="5007" xr:uid="{00000000-0005-0000-0000-00002B780000}"/>
    <cellStyle name="Porcentaje 2 3 9 2" xfId="14867" xr:uid="{00000000-0005-0000-0000-00002C780000}"/>
    <cellStyle name="Porcentaje 2 3 9 2 2" xfId="34582" xr:uid="{00000000-0005-0000-0000-00002D780000}"/>
    <cellStyle name="Porcentaje 2 3 9 3" xfId="24725" xr:uid="{00000000-0005-0000-0000-00002E780000}"/>
    <cellStyle name="Porcentaje 2 4" xfId="65" xr:uid="{00000000-0005-0000-0000-00002F780000}"/>
    <cellStyle name="Porcentaje 2 4 10" xfId="19816" xr:uid="{00000000-0005-0000-0000-000030780000}"/>
    <cellStyle name="Porcentaje 2 4 2" xfId="147" xr:uid="{00000000-0005-0000-0000-000031780000}"/>
    <cellStyle name="Porcentaje 2 4 2 2" xfId="304" xr:uid="{00000000-0005-0000-0000-000032780000}"/>
    <cellStyle name="Porcentaje 2 4 2 2 2" xfId="618" xr:uid="{00000000-0005-0000-0000-000033780000}"/>
    <cellStyle name="Porcentaje 2 4 2 2 2 2" xfId="1238" xr:uid="{00000000-0005-0000-0000-000034780000}"/>
    <cellStyle name="Porcentaje 2 4 2 2 2 2 2" xfId="2473" xr:uid="{00000000-0005-0000-0000-000035780000}"/>
    <cellStyle name="Porcentaje 2 4 2 2 2 2 2 2" xfId="4940" xr:uid="{00000000-0005-0000-0000-000036780000}"/>
    <cellStyle name="Porcentaje 2 4 2 2 2 2 2 2 2" xfId="9872" xr:uid="{00000000-0005-0000-0000-000037780000}"/>
    <cellStyle name="Porcentaje 2 4 2 2 2 2 2 2 2 2" xfId="19732" xr:uid="{00000000-0005-0000-0000-000038780000}"/>
    <cellStyle name="Porcentaje 2 4 2 2 2 2 2 2 2 2 2" xfId="39447" xr:uid="{00000000-0005-0000-0000-000039780000}"/>
    <cellStyle name="Porcentaje 2 4 2 2 2 2 2 2 2 3" xfId="29590" xr:uid="{00000000-0005-0000-0000-00003A780000}"/>
    <cellStyle name="Porcentaje 2 4 2 2 2 2 2 2 3" xfId="14804" xr:uid="{00000000-0005-0000-0000-00003B780000}"/>
    <cellStyle name="Porcentaje 2 4 2 2 2 2 2 2 3 2" xfId="34519" xr:uid="{00000000-0005-0000-0000-00003C780000}"/>
    <cellStyle name="Porcentaje 2 4 2 2 2 2 2 2 4" xfId="24662" xr:uid="{00000000-0005-0000-0000-00003D780000}"/>
    <cellStyle name="Porcentaje 2 4 2 2 2 2 2 3" xfId="7408" xr:uid="{00000000-0005-0000-0000-00003E780000}"/>
    <cellStyle name="Porcentaje 2 4 2 2 2 2 2 3 2" xfId="17268" xr:uid="{00000000-0005-0000-0000-00003F780000}"/>
    <cellStyle name="Porcentaje 2 4 2 2 2 2 2 3 2 2" xfId="36983" xr:uid="{00000000-0005-0000-0000-000040780000}"/>
    <cellStyle name="Porcentaje 2 4 2 2 2 2 2 3 3" xfId="27126" xr:uid="{00000000-0005-0000-0000-000041780000}"/>
    <cellStyle name="Porcentaje 2 4 2 2 2 2 2 4" xfId="12340" xr:uid="{00000000-0005-0000-0000-000042780000}"/>
    <cellStyle name="Porcentaje 2 4 2 2 2 2 2 4 2" xfId="32055" xr:uid="{00000000-0005-0000-0000-000043780000}"/>
    <cellStyle name="Porcentaje 2 4 2 2 2 2 2 5" xfId="22198" xr:uid="{00000000-0005-0000-0000-000044780000}"/>
    <cellStyle name="Porcentaje 2 4 2 2 2 2 3" xfId="3708" xr:uid="{00000000-0005-0000-0000-000045780000}"/>
    <cellStyle name="Porcentaje 2 4 2 2 2 2 3 2" xfId="8640" xr:uid="{00000000-0005-0000-0000-000046780000}"/>
    <cellStyle name="Porcentaje 2 4 2 2 2 2 3 2 2" xfId="18500" xr:uid="{00000000-0005-0000-0000-000047780000}"/>
    <cellStyle name="Porcentaje 2 4 2 2 2 2 3 2 2 2" xfId="38215" xr:uid="{00000000-0005-0000-0000-000048780000}"/>
    <cellStyle name="Porcentaje 2 4 2 2 2 2 3 2 3" xfId="28358" xr:uid="{00000000-0005-0000-0000-000049780000}"/>
    <cellStyle name="Porcentaje 2 4 2 2 2 2 3 3" xfId="13572" xr:uid="{00000000-0005-0000-0000-00004A780000}"/>
    <cellStyle name="Porcentaje 2 4 2 2 2 2 3 3 2" xfId="33287" xr:uid="{00000000-0005-0000-0000-00004B780000}"/>
    <cellStyle name="Porcentaje 2 4 2 2 2 2 3 4" xfId="23430" xr:uid="{00000000-0005-0000-0000-00004C780000}"/>
    <cellStyle name="Porcentaje 2 4 2 2 2 2 4" xfId="6176" xr:uid="{00000000-0005-0000-0000-00004D780000}"/>
    <cellStyle name="Porcentaje 2 4 2 2 2 2 4 2" xfId="16036" xr:uid="{00000000-0005-0000-0000-00004E780000}"/>
    <cellStyle name="Porcentaje 2 4 2 2 2 2 4 2 2" xfId="35751" xr:uid="{00000000-0005-0000-0000-00004F780000}"/>
    <cellStyle name="Porcentaje 2 4 2 2 2 2 4 3" xfId="25894" xr:uid="{00000000-0005-0000-0000-000050780000}"/>
    <cellStyle name="Porcentaje 2 4 2 2 2 2 5" xfId="11108" xr:uid="{00000000-0005-0000-0000-000051780000}"/>
    <cellStyle name="Porcentaje 2 4 2 2 2 2 5 2" xfId="30823" xr:uid="{00000000-0005-0000-0000-000052780000}"/>
    <cellStyle name="Porcentaje 2 4 2 2 2 2 6" xfId="20966" xr:uid="{00000000-0005-0000-0000-000053780000}"/>
    <cellStyle name="Porcentaje 2 4 2 2 2 3" xfId="1857" xr:uid="{00000000-0005-0000-0000-000054780000}"/>
    <cellStyle name="Porcentaje 2 4 2 2 2 3 2" xfId="4324" xr:uid="{00000000-0005-0000-0000-000055780000}"/>
    <cellStyle name="Porcentaje 2 4 2 2 2 3 2 2" xfId="9256" xr:uid="{00000000-0005-0000-0000-000056780000}"/>
    <cellStyle name="Porcentaje 2 4 2 2 2 3 2 2 2" xfId="19116" xr:uid="{00000000-0005-0000-0000-000057780000}"/>
    <cellStyle name="Porcentaje 2 4 2 2 2 3 2 2 2 2" xfId="38831" xr:uid="{00000000-0005-0000-0000-000058780000}"/>
    <cellStyle name="Porcentaje 2 4 2 2 2 3 2 2 3" xfId="28974" xr:uid="{00000000-0005-0000-0000-000059780000}"/>
    <cellStyle name="Porcentaje 2 4 2 2 2 3 2 3" xfId="14188" xr:uid="{00000000-0005-0000-0000-00005A780000}"/>
    <cellStyle name="Porcentaje 2 4 2 2 2 3 2 3 2" xfId="33903" xr:uid="{00000000-0005-0000-0000-00005B780000}"/>
    <cellStyle name="Porcentaje 2 4 2 2 2 3 2 4" xfId="24046" xr:uid="{00000000-0005-0000-0000-00005C780000}"/>
    <cellStyle name="Porcentaje 2 4 2 2 2 3 3" xfId="6792" xr:uid="{00000000-0005-0000-0000-00005D780000}"/>
    <cellStyle name="Porcentaje 2 4 2 2 2 3 3 2" xfId="16652" xr:uid="{00000000-0005-0000-0000-00005E780000}"/>
    <cellStyle name="Porcentaje 2 4 2 2 2 3 3 2 2" xfId="36367" xr:uid="{00000000-0005-0000-0000-00005F780000}"/>
    <cellStyle name="Porcentaje 2 4 2 2 2 3 3 3" xfId="26510" xr:uid="{00000000-0005-0000-0000-000060780000}"/>
    <cellStyle name="Porcentaje 2 4 2 2 2 3 4" xfId="11724" xr:uid="{00000000-0005-0000-0000-000061780000}"/>
    <cellStyle name="Porcentaje 2 4 2 2 2 3 4 2" xfId="31439" xr:uid="{00000000-0005-0000-0000-000062780000}"/>
    <cellStyle name="Porcentaje 2 4 2 2 2 3 5" xfId="21582" xr:uid="{00000000-0005-0000-0000-000063780000}"/>
    <cellStyle name="Porcentaje 2 4 2 2 2 4" xfId="3092" xr:uid="{00000000-0005-0000-0000-000064780000}"/>
    <cellStyle name="Porcentaje 2 4 2 2 2 4 2" xfId="8024" xr:uid="{00000000-0005-0000-0000-000065780000}"/>
    <cellStyle name="Porcentaje 2 4 2 2 2 4 2 2" xfId="17884" xr:uid="{00000000-0005-0000-0000-000066780000}"/>
    <cellStyle name="Porcentaje 2 4 2 2 2 4 2 2 2" xfId="37599" xr:uid="{00000000-0005-0000-0000-000067780000}"/>
    <cellStyle name="Porcentaje 2 4 2 2 2 4 2 3" xfId="27742" xr:uid="{00000000-0005-0000-0000-000068780000}"/>
    <cellStyle name="Porcentaje 2 4 2 2 2 4 3" xfId="12956" xr:uid="{00000000-0005-0000-0000-000069780000}"/>
    <cellStyle name="Porcentaje 2 4 2 2 2 4 3 2" xfId="32671" xr:uid="{00000000-0005-0000-0000-00006A780000}"/>
    <cellStyle name="Porcentaje 2 4 2 2 2 4 4" xfId="22814" xr:uid="{00000000-0005-0000-0000-00006B780000}"/>
    <cellStyle name="Porcentaje 2 4 2 2 2 5" xfId="5560" xr:uid="{00000000-0005-0000-0000-00006C780000}"/>
    <cellStyle name="Porcentaje 2 4 2 2 2 5 2" xfId="15420" xr:uid="{00000000-0005-0000-0000-00006D780000}"/>
    <cellStyle name="Porcentaje 2 4 2 2 2 5 2 2" xfId="35135" xr:uid="{00000000-0005-0000-0000-00006E780000}"/>
    <cellStyle name="Porcentaje 2 4 2 2 2 5 3" xfId="25278" xr:uid="{00000000-0005-0000-0000-00006F780000}"/>
    <cellStyle name="Porcentaje 2 4 2 2 2 6" xfId="10492" xr:uid="{00000000-0005-0000-0000-000070780000}"/>
    <cellStyle name="Porcentaje 2 4 2 2 2 6 2" xfId="30207" xr:uid="{00000000-0005-0000-0000-000071780000}"/>
    <cellStyle name="Porcentaje 2 4 2 2 2 7" xfId="20350" xr:uid="{00000000-0005-0000-0000-000072780000}"/>
    <cellStyle name="Porcentaje 2 4 2 2 3" xfId="931" xr:uid="{00000000-0005-0000-0000-000073780000}"/>
    <cellStyle name="Porcentaje 2 4 2 2 3 2" xfId="2167" xr:uid="{00000000-0005-0000-0000-000074780000}"/>
    <cellStyle name="Porcentaje 2 4 2 2 3 2 2" xfId="4634" xr:uid="{00000000-0005-0000-0000-000075780000}"/>
    <cellStyle name="Porcentaje 2 4 2 2 3 2 2 2" xfId="9566" xr:uid="{00000000-0005-0000-0000-000076780000}"/>
    <cellStyle name="Porcentaje 2 4 2 2 3 2 2 2 2" xfId="19426" xr:uid="{00000000-0005-0000-0000-000077780000}"/>
    <cellStyle name="Porcentaje 2 4 2 2 3 2 2 2 2 2" xfId="39141" xr:uid="{00000000-0005-0000-0000-000078780000}"/>
    <cellStyle name="Porcentaje 2 4 2 2 3 2 2 2 3" xfId="29284" xr:uid="{00000000-0005-0000-0000-000079780000}"/>
    <cellStyle name="Porcentaje 2 4 2 2 3 2 2 3" xfId="14498" xr:uid="{00000000-0005-0000-0000-00007A780000}"/>
    <cellStyle name="Porcentaje 2 4 2 2 3 2 2 3 2" xfId="34213" xr:uid="{00000000-0005-0000-0000-00007B780000}"/>
    <cellStyle name="Porcentaje 2 4 2 2 3 2 2 4" xfId="24356" xr:uid="{00000000-0005-0000-0000-00007C780000}"/>
    <cellStyle name="Porcentaje 2 4 2 2 3 2 3" xfId="7102" xr:uid="{00000000-0005-0000-0000-00007D780000}"/>
    <cellStyle name="Porcentaje 2 4 2 2 3 2 3 2" xfId="16962" xr:uid="{00000000-0005-0000-0000-00007E780000}"/>
    <cellStyle name="Porcentaje 2 4 2 2 3 2 3 2 2" xfId="36677" xr:uid="{00000000-0005-0000-0000-00007F780000}"/>
    <cellStyle name="Porcentaje 2 4 2 2 3 2 3 3" xfId="26820" xr:uid="{00000000-0005-0000-0000-000080780000}"/>
    <cellStyle name="Porcentaje 2 4 2 2 3 2 4" xfId="12034" xr:uid="{00000000-0005-0000-0000-000081780000}"/>
    <cellStyle name="Porcentaje 2 4 2 2 3 2 4 2" xfId="31749" xr:uid="{00000000-0005-0000-0000-000082780000}"/>
    <cellStyle name="Porcentaje 2 4 2 2 3 2 5" xfId="21892" xr:uid="{00000000-0005-0000-0000-000083780000}"/>
    <cellStyle name="Porcentaje 2 4 2 2 3 3" xfId="3402" xr:uid="{00000000-0005-0000-0000-000084780000}"/>
    <cellStyle name="Porcentaje 2 4 2 2 3 3 2" xfId="8334" xr:uid="{00000000-0005-0000-0000-000085780000}"/>
    <cellStyle name="Porcentaje 2 4 2 2 3 3 2 2" xfId="18194" xr:uid="{00000000-0005-0000-0000-000086780000}"/>
    <cellStyle name="Porcentaje 2 4 2 2 3 3 2 2 2" xfId="37909" xr:uid="{00000000-0005-0000-0000-000087780000}"/>
    <cellStyle name="Porcentaje 2 4 2 2 3 3 2 3" xfId="28052" xr:uid="{00000000-0005-0000-0000-000088780000}"/>
    <cellStyle name="Porcentaje 2 4 2 2 3 3 3" xfId="13266" xr:uid="{00000000-0005-0000-0000-000089780000}"/>
    <cellStyle name="Porcentaje 2 4 2 2 3 3 3 2" xfId="32981" xr:uid="{00000000-0005-0000-0000-00008A780000}"/>
    <cellStyle name="Porcentaje 2 4 2 2 3 3 4" xfId="23124" xr:uid="{00000000-0005-0000-0000-00008B780000}"/>
    <cellStyle name="Porcentaje 2 4 2 2 3 4" xfId="5870" xr:uid="{00000000-0005-0000-0000-00008C780000}"/>
    <cellStyle name="Porcentaje 2 4 2 2 3 4 2" xfId="15730" xr:uid="{00000000-0005-0000-0000-00008D780000}"/>
    <cellStyle name="Porcentaje 2 4 2 2 3 4 2 2" xfId="35445" xr:uid="{00000000-0005-0000-0000-00008E780000}"/>
    <cellStyle name="Porcentaje 2 4 2 2 3 4 3" xfId="25588" xr:uid="{00000000-0005-0000-0000-00008F780000}"/>
    <cellStyle name="Porcentaje 2 4 2 2 3 5" xfId="10802" xr:uid="{00000000-0005-0000-0000-000090780000}"/>
    <cellStyle name="Porcentaje 2 4 2 2 3 5 2" xfId="30517" xr:uid="{00000000-0005-0000-0000-000091780000}"/>
    <cellStyle name="Porcentaje 2 4 2 2 3 6" xfId="20660" xr:uid="{00000000-0005-0000-0000-000092780000}"/>
    <cellStyle name="Porcentaje 2 4 2 2 4" xfId="1551" xr:uid="{00000000-0005-0000-0000-000093780000}"/>
    <cellStyle name="Porcentaje 2 4 2 2 4 2" xfId="4018" xr:uid="{00000000-0005-0000-0000-000094780000}"/>
    <cellStyle name="Porcentaje 2 4 2 2 4 2 2" xfId="8950" xr:uid="{00000000-0005-0000-0000-000095780000}"/>
    <cellStyle name="Porcentaje 2 4 2 2 4 2 2 2" xfId="18810" xr:uid="{00000000-0005-0000-0000-000096780000}"/>
    <cellStyle name="Porcentaje 2 4 2 2 4 2 2 2 2" xfId="38525" xr:uid="{00000000-0005-0000-0000-000097780000}"/>
    <cellStyle name="Porcentaje 2 4 2 2 4 2 2 3" xfId="28668" xr:uid="{00000000-0005-0000-0000-000098780000}"/>
    <cellStyle name="Porcentaje 2 4 2 2 4 2 3" xfId="13882" xr:uid="{00000000-0005-0000-0000-000099780000}"/>
    <cellStyle name="Porcentaje 2 4 2 2 4 2 3 2" xfId="33597" xr:uid="{00000000-0005-0000-0000-00009A780000}"/>
    <cellStyle name="Porcentaje 2 4 2 2 4 2 4" xfId="23740" xr:uid="{00000000-0005-0000-0000-00009B780000}"/>
    <cellStyle name="Porcentaje 2 4 2 2 4 3" xfId="6486" xr:uid="{00000000-0005-0000-0000-00009C780000}"/>
    <cellStyle name="Porcentaje 2 4 2 2 4 3 2" xfId="16346" xr:uid="{00000000-0005-0000-0000-00009D780000}"/>
    <cellStyle name="Porcentaje 2 4 2 2 4 3 2 2" xfId="36061" xr:uid="{00000000-0005-0000-0000-00009E780000}"/>
    <cellStyle name="Porcentaje 2 4 2 2 4 3 3" xfId="26204" xr:uid="{00000000-0005-0000-0000-00009F780000}"/>
    <cellStyle name="Porcentaje 2 4 2 2 4 4" xfId="11418" xr:uid="{00000000-0005-0000-0000-0000A0780000}"/>
    <cellStyle name="Porcentaje 2 4 2 2 4 4 2" xfId="31133" xr:uid="{00000000-0005-0000-0000-0000A1780000}"/>
    <cellStyle name="Porcentaje 2 4 2 2 4 5" xfId="21276" xr:uid="{00000000-0005-0000-0000-0000A2780000}"/>
    <cellStyle name="Porcentaje 2 4 2 2 5" xfId="2786" xr:uid="{00000000-0005-0000-0000-0000A3780000}"/>
    <cellStyle name="Porcentaje 2 4 2 2 5 2" xfId="7718" xr:uid="{00000000-0005-0000-0000-0000A4780000}"/>
    <cellStyle name="Porcentaje 2 4 2 2 5 2 2" xfId="17578" xr:uid="{00000000-0005-0000-0000-0000A5780000}"/>
    <cellStyle name="Porcentaje 2 4 2 2 5 2 2 2" xfId="37293" xr:uid="{00000000-0005-0000-0000-0000A6780000}"/>
    <cellStyle name="Porcentaje 2 4 2 2 5 2 3" xfId="27436" xr:uid="{00000000-0005-0000-0000-0000A7780000}"/>
    <cellStyle name="Porcentaje 2 4 2 2 5 3" xfId="12650" xr:uid="{00000000-0005-0000-0000-0000A8780000}"/>
    <cellStyle name="Porcentaje 2 4 2 2 5 3 2" xfId="32365" xr:uid="{00000000-0005-0000-0000-0000A9780000}"/>
    <cellStyle name="Porcentaje 2 4 2 2 5 4" xfId="22508" xr:uid="{00000000-0005-0000-0000-0000AA780000}"/>
    <cellStyle name="Porcentaje 2 4 2 2 6" xfId="5254" xr:uid="{00000000-0005-0000-0000-0000AB780000}"/>
    <cellStyle name="Porcentaje 2 4 2 2 6 2" xfId="15114" xr:uid="{00000000-0005-0000-0000-0000AC780000}"/>
    <cellStyle name="Porcentaje 2 4 2 2 6 2 2" xfId="34829" xr:uid="{00000000-0005-0000-0000-0000AD780000}"/>
    <cellStyle name="Porcentaje 2 4 2 2 6 3" xfId="24972" xr:uid="{00000000-0005-0000-0000-0000AE780000}"/>
    <cellStyle name="Porcentaje 2 4 2 2 7" xfId="10186" xr:uid="{00000000-0005-0000-0000-0000AF780000}"/>
    <cellStyle name="Porcentaje 2 4 2 2 7 2" xfId="29901" xr:uid="{00000000-0005-0000-0000-0000B0780000}"/>
    <cellStyle name="Porcentaje 2 4 2 2 8" xfId="20044" xr:uid="{00000000-0005-0000-0000-0000B1780000}"/>
    <cellStyle name="Porcentaje 2 4 2 3" xfId="466" xr:uid="{00000000-0005-0000-0000-0000B2780000}"/>
    <cellStyle name="Porcentaje 2 4 2 3 2" xfId="1086" xr:uid="{00000000-0005-0000-0000-0000B3780000}"/>
    <cellStyle name="Porcentaje 2 4 2 3 2 2" xfId="2321" xr:uid="{00000000-0005-0000-0000-0000B4780000}"/>
    <cellStyle name="Porcentaje 2 4 2 3 2 2 2" xfId="4788" xr:uid="{00000000-0005-0000-0000-0000B5780000}"/>
    <cellStyle name="Porcentaje 2 4 2 3 2 2 2 2" xfId="9720" xr:uid="{00000000-0005-0000-0000-0000B6780000}"/>
    <cellStyle name="Porcentaje 2 4 2 3 2 2 2 2 2" xfId="19580" xr:uid="{00000000-0005-0000-0000-0000B7780000}"/>
    <cellStyle name="Porcentaje 2 4 2 3 2 2 2 2 2 2" xfId="39295" xr:uid="{00000000-0005-0000-0000-0000B8780000}"/>
    <cellStyle name="Porcentaje 2 4 2 3 2 2 2 2 3" xfId="29438" xr:uid="{00000000-0005-0000-0000-0000B9780000}"/>
    <cellStyle name="Porcentaje 2 4 2 3 2 2 2 3" xfId="14652" xr:uid="{00000000-0005-0000-0000-0000BA780000}"/>
    <cellStyle name="Porcentaje 2 4 2 3 2 2 2 3 2" xfId="34367" xr:uid="{00000000-0005-0000-0000-0000BB780000}"/>
    <cellStyle name="Porcentaje 2 4 2 3 2 2 2 4" xfId="24510" xr:uid="{00000000-0005-0000-0000-0000BC780000}"/>
    <cellStyle name="Porcentaje 2 4 2 3 2 2 3" xfId="7256" xr:uid="{00000000-0005-0000-0000-0000BD780000}"/>
    <cellStyle name="Porcentaje 2 4 2 3 2 2 3 2" xfId="17116" xr:uid="{00000000-0005-0000-0000-0000BE780000}"/>
    <cellStyle name="Porcentaje 2 4 2 3 2 2 3 2 2" xfId="36831" xr:uid="{00000000-0005-0000-0000-0000BF780000}"/>
    <cellStyle name="Porcentaje 2 4 2 3 2 2 3 3" xfId="26974" xr:uid="{00000000-0005-0000-0000-0000C0780000}"/>
    <cellStyle name="Porcentaje 2 4 2 3 2 2 4" xfId="12188" xr:uid="{00000000-0005-0000-0000-0000C1780000}"/>
    <cellStyle name="Porcentaje 2 4 2 3 2 2 4 2" xfId="31903" xr:uid="{00000000-0005-0000-0000-0000C2780000}"/>
    <cellStyle name="Porcentaje 2 4 2 3 2 2 5" xfId="22046" xr:uid="{00000000-0005-0000-0000-0000C3780000}"/>
    <cellStyle name="Porcentaje 2 4 2 3 2 3" xfId="3556" xr:uid="{00000000-0005-0000-0000-0000C4780000}"/>
    <cellStyle name="Porcentaje 2 4 2 3 2 3 2" xfId="8488" xr:uid="{00000000-0005-0000-0000-0000C5780000}"/>
    <cellStyle name="Porcentaje 2 4 2 3 2 3 2 2" xfId="18348" xr:uid="{00000000-0005-0000-0000-0000C6780000}"/>
    <cellStyle name="Porcentaje 2 4 2 3 2 3 2 2 2" xfId="38063" xr:uid="{00000000-0005-0000-0000-0000C7780000}"/>
    <cellStyle name="Porcentaje 2 4 2 3 2 3 2 3" xfId="28206" xr:uid="{00000000-0005-0000-0000-0000C8780000}"/>
    <cellStyle name="Porcentaje 2 4 2 3 2 3 3" xfId="13420" xr:uid="{00000000-0005-0000-0000-0000C9780000}"/>
    <cellStyle name="Porcentaje 2 4 2 3 2 3 3 2" xfId="33135" xr:uid="{00000000-0005-0000-0000-0000CA780000}"/>
    <cellStyle name="Porcentaje 2 4 2 3 2 3 4" xfId="23278" xr:uid="{00000000-0005-0000-0000-0000CB780000}"/>
    <cellStyle name="Porcentaje 2 4 2 3 2 4" xfId="6024" xr:uid="{00000000-0005-0000-0000-0000CC780000}"/>
    <cellStyle name="Porcentaje 2 4 2 3 2 4 2" xfId="15884" xr:uid="{00000000-0005-0000-0000-0000CD780000}"/>
    <cellStyle name="Porcentaje 2 4 2 3 2 4 2 2" xfId="35599" xr:uid="{00000000-0005-0000-0000-0000CE780000}"/>
    <cellStyle name="Porcentaje 2 4 2 3 2 4 3" xfId="25742" xr:uid="{00000000-0005-0000-0000-0000CF780000}"/>
    <cellStyle name="Porcentaje 2 4 2 3 2 5" xfId="10956" xr:uid="{00000000-0005-0000-0000-0000D0780000}"/>
    <cellStyle name="Porcentaje 2 4 2 3 2 5 2" xfId="30671" xr:uid="{00000000-0005-0000-0000-0000D1780000}"/>
    <cellStyle name="Porcentaje 2 4 2 3 2 6" xfId="20814" xr:uid="{00000000-0005-0000-0000-0000D2780000}"/>
    <cellStyle name="Porcentaje 2 4 2 3 3" xfId="1705" xr:uid="{00000000-0005-0000-0000-0000D3780000}"/>
    <cellStyle name="Porcentaje 2 4 2 3 3 2" xfId="4172" xr:uid="{00000000-0005-0000-0000-0000D4780000}"/>
    <cellStyle name="Porcentaje 2 4 2 3 3 2 2" xfId="9104" xr:uid="{00000000-0005-0000-0000-0000D5780000}"/>
    <cellStyle name="Porcentaje 2 4 2 3 3 2 2 2" xfId="18964" xr:uid="{00000000-0005-0000-0000-0000D6780000}"/>
    <cellStyle name="Porcentaje 2 4 2 3 3 2 2 2 2" xfId="38679" xr:uid="{00000000-0005-0000-0000-0000D7780000}"/>
    <cellStyle name="Porcentaje 2 4 2 3 3 2 2 3" xfId="28822" xr:uid="{00000000-0005-0000-0000-0000D8780000}"/>
    <cellStyle name="Porcentaje 2 4 2 3 3 2 3" xfId="14036" xr:uid="{00000000-0005-0000-0000-0000D9780000}"/>
    <cellStyle name="Porcentaje 2 4 2 3 3 2 3 2" xfId="33751" xr:uid="{00000000-0005-0000-0000-0000DA780000}"/>
    <cellStyle name="Porcentaje 2 4 2 3 3 2 4" xfId="23894" xr:uid="{00000000-0005-0000-0000-0000DB780000}"/>
    <cellStyle name="Porcentaje 2 4 2 3 3 3" xfId="6640" xr:uid="{00000000-0005-0000-0000-0000DC780000}"/>
    <cellStyle name="Porcentaje 2 4 2 3 3 3 2" xfId="16500" xr:uid="{00000000-0005-0000-0000-0000DD780000}"/>
    <cellStyle name="Porcentaje 2 4 2 3 3 3 2 2" xfId="36215" xr:uid="{00000000-0005-0000-0000-0000DE780000}"/>
    <cellStyle name="Porcentaje 2 4 2 3 3 3 3" xfId="26358" xr:uid="{00000000-0005-0000-0000-0000DF780000}"/>
    <cellStyle name="Porcentaje 2 4 2 3 3 4" xfId="11572" xr:uid="{00000000-0005-0000-0000-0000E0780000}"/>
    <cellStyle name="Porcentaje 2 4 2 3 3 4 2" xfId="31287" xr:uid="{00000000-0005-0000-0000-0000E1780000}"/>
    <cellStyle name="Porcentaje 2 4 2 3 3 5" xfId="21430" xr:uid="{00000000-0005-0000-0000-0000E2780000}"/>
    <cellStyle name="Porcentaje 2 4 2 3 4" xfId="2940" xr:uid="{00000000-0005-0000-0000-0000E3780000}"/>
    <cellStyle name="Porcentaje 2 4 2 3 4 2" xfId="7872" xr:uid="{00000000-0005-0000-0000-0000E4780000}"/>
    <cellStyle name="Porcentaje 2 4 2 3 4 2 2" xfId="17732" xr:uid="{00000000-0005-0000-0000-0000E5780000}"/>
    <cellStyle name="Porcentaje 2 4 2 3 4 2 2 2" xfId="37447" xr:uid="{00000000-0005-0000-0000-0000E6780000}"/>
    <cellStyle name="Porcentaje 2 4 2 3 4 2 3" xfId="27590" xr:uid="{00000000-0005-0000-0000-0000E7780000}"/>
    <cellStyle name="Porcentaje 2 4 2 3 4 3" xfId="12804" xr:uid="{00000000-0005-0000-0000-0000E8780000}"/>
    <cellStyle name="Porcentaje 2 4 2 3 4 3 2" xfId="32519" xr:uid="{00000000-0005-0000-0000-0000E9780000}"/>
    <cellStyle name="Porcentaje 2 4 2 3 4 4" xfId="22662" xr:uid="{00000000-0005-0000-0000-0000EA780000}"/>
    <cellStyle name="Porcentaje 2 4 2 3 5" xfId="5408" xr:uid="{00000000-0005-0000-0000-0000EB780000}"/>
    <cellStyle name="Porcentaje 2 4 2 3 5 2" xfId="15268" xr:uid="{00000000-0005-0000-0000-0000EC780000}"/>
    <cellStyle name="Porcentaje 2 4 2 3 5 2 2" xfId="34983" xr:uid="{00000000-0005-0000-0000-0000ED780000}"/>
    <cellStyle name="Porcentaje 2 4 2 3 5 3" xfId="25126" xr:uid="{00000000-0005-0000-0000-0000EE780000}"/>
    <cellStyle name="Porcentaje 2 4 2 3 6" xfId="10340" xr:uid="{00000000-0005-0000-0000-0000EF780000}"/>
    <cellStyle name="Porcentaje 2 4 2 3 6 2" xfId="30055" xr:uid="{00000000-0005-0000-0000-0000F0780000}"/>
    <cellStyle name="Porcentaje 2 4 2 3 7" xfId="20198" xr:uid="{00000000-0005-0000-0000-0000F1780000}"/>
    <cellStyle name="Porcentaje 2 4 2 4" xfId="779" xr:uid="{00000000-0005-0000-0000-0000F2780000}"/>
    <cellStyle name="Porcentaje 2 4 2 4 2" xfId="2015" xr:uid="{00000000-0005-0000-0000-0000F3780000}"/>
    <cellStyle name="Porcentaje 2 4 2 4 2 2" xfId="4482" xr:uid="{00000000-0005-0000-0000-0000F4780000}"/>
    <cellStyle name="Porcentaje 2 4 2 4 2 2 2" xfId="9414" xr:uid="{00000000-0005-0000-0000-0000F5780000}"/>
    <cellStyle name="Porcentaje 2 4 2 4 2 2 2 2" xfId="19274" xr:uid="{00000000-0005-0000-0000-0000F6780000}"/>
    <cellStyle name="Porcentaje 2 4 2 4 2 2 2 2 2" xfId="38989" xr:uid="{00000000-0005-0000-0000-0000F7780000}"/>
    <cellStyle name="Porcentaje 2 4 2 4 2 2 2 3" xfId="29132" xr:uid="{00000000-0005-0000-0000-0000F8780000}"/>
    <cellStyle name="Porcentaje 2 4 2 4 2 2 3" xfId="14346" xr:uid="{00000000-0005-0000-0000-0000F9780000}"/>
    <cellStyle name="Porcentaje 2 4 2 4 2 2 3 2" xfId="34061" xr:uid="{00000000-0005-0000-0000-0000FA780000}"/>
    <cellStyle name="Porcentaje 2 4 2 4 2 2 4" xfId="24204" xr:uid="{00000000-0005-0000-0000-0000FB780000}"/>
    <cellStyle name="Porcentaje 2 4 2 4 2 3" xfId="6950" xr:uid="{00000000-0005-0000-0000-0000FC780000}"/>
    <cellStyle name="Porcentaje 2 4 2 4 2 3 2" xfId="16810" xr:uid="{00000000-0005-0000-0000-0000FD780000}"/>
    <cellStyle name="Porcentaje 2 4 2 4 2 3 2 2" xfId="36525" xr:uid="{00000000-0005-0000-0000-0000FE780000}"/>
    <cellStyle name="Porcentaje 2 4 2 4 2 3 3" xfId="26668" xr:uid="{00000000-0005-0000-0000-0000FF780000}"/>
    <cellStyle name="Porcentaje 2 4 2 4 2 4" xfId="11882" xr:uid="{00000000-0005-0000-0000-000000790000}"/>
    <cellStyle name="Porcentaje 2 4 2 4 2 4 2" xfId="31597" xr:uid="{00000000-0005-0000-0000-000001790000}"/>
    <cellStyle name="Porcentaje 2 4 2 4 2 5" xfId="21740" xr:uid="{00000000-0005-0000-0000-000002790000}"/>
    <cellStyle name="Porcentaje 2 4 2 4 3" xfId="3250" xr:uid="{00000000-0005-0000-0000-000003790000}"/>
    <cellStyle name="Porcentaje 2 4 2 4 3 2" xfId="8182" xr:uid="{00000000-0005-0000-0000-000004790000}"/>
    <cellStyle name="Porcentaje 2 4 2 4 3 2 2" xfId="18042" xr:uid="{00000000-0005-0000-0000-000005790000}"/>
    <cellStyle name="Porcentaje 2 4 2 4 3 2 2 2" xfId="37757" xr:uid="{00000000-0005-0000-0000-000006790000}"/>
    <cellStyle name="Porcentaje 2 4 2 4 3 2 3" xfId="27900" xr:uid="{00000000-0005-0000-0000-000007790000}"/>
    <cellStyle name="Porcentaje 2 4 2 4 3 3" xfId="13114" xr:uid="{00000000-0005-0000-0000-000008790000}"/>
    <cellStyle name="Porcentaje 2 4 2 4 3 3 2" xfId="32829" xr:uid="{00000000-0005-0000-0000-000009790000}"/>
    <cellStyle name="Porcentaje 2 4 2 4 3 4" xfId="22972" xr:uid="{00000000-0005-0000-0000-00000A790000}"/>
    <cellStyle name="Porcentaje 2 4 2 4 4" xfId="5718" xr:uid="{00000000-0005-0000-0000-00000B790000}"/>
    <cellStyle name="Porcentaje 2 4 2 4 4 2" xfId="15578" xr:uid="{00000000-0005-0000-0000-00000C790000}"/>
    <cellStyle name="Porcentaje 2 4 2 4 4 2 2" xfId="35293" xr:uid="{00000000-0005-0000-0000-00000D790000}"/>
    <cellStyle name="Porcentaje 2 4 2 4 4 3" xfId="25436" xr:uid="{00000000-0005-0000-0000-00000E790000}"/>
    <cellStyle name="Porcentaje 2 4 2 4 5" xfId="10650" xr:uid="{00000000-0005-0000-0000-00000F790000}"/>
    <cellStyle name="Porcentaje 2 4 2 4 5 2" xfId="30365" xr:uid="{00000000-0005-0000-0000-000010790000}"/>
    <cellStyle name="Porcentaje 2 4 2 4 6" xfId="20508" xr:uid="{00000000-0005-0000-0000-000011790000}"/>
    <cellStyle name="Porcentaje 2 4 2 5" xfId="1399" xr:uid="{00000000-0005-0000-0000-000012790000}"/>
    <cellStyle name="Porcentaje 2 4 2 5 2" xfId="3866" xr:uid="{00000000-0005-0000-0000-000013790000}"/>
    <cellStyle name="Porcentaje 2 4 2 5 2 2" xfId="8798" xr:uid="{00000000-0005-0000-0000-000014790000}"/>
    <cellStyle name="Porcentaje 2 4 2 5 2 2 2" xfId="18658" xr:uid="{00000000-0005-0000-0000-000015790000}"/>
    <cellStyle name="Porcentaje 2 4 2 5 2 2 2 2" xfId="38373" xr:uid="{00000000-0005-0000-0000-000016790000}"/>
    <cellStyle name="Porcentaje 2 4 2 5 2 2 3" xfId="28516" xr:uid="{00000000-0005-0000-0000-000017790000}"/>
    <cellStyle name="Porcentaje 2 4 2 5 2 3" xfId="13730" xr:uid="{00000000-0005-0000-0000-000018790000}"/>
    <cellStyle name="Porcentaje 2 4 2 5 2 3 2" xfId="33445" xr:uid="{00000000-0005-0000-0000-000019790000}"/>
    <cellStyle name="Porcentaje 2 4 2 5 2 4" xfId="23588" xr:uid="{00000000-0005-0000-0000-00001A790000}"/>
    <cellStyle name="Porcentaje 2 4 2 5 3" xfId="6334" xr:uid="{00000000-0005-0000-0000-00001B790000}"/>
    <cellStyle name="Porcentaje 2 4 2 5 3 2" xfId="16194" xr:uid="{00000000-0005-0000-0000-00001C790000}"/>
    <cellStyle name="Porcentaje 2 4 2 5 3 2 2" xfId="35909" xr:uid="{00000000-0005-0000-0000-00001D790000}"/>
    <cellStyle name="Porcentaje 2 4 2 5 3 3" xfId="26052" xr:uid="{00000000-0005-0000-0000-00001E790000}"/>
    <cellStyle name="Porcentaje 2 4 2 5 4" xfId="11266" xr:uid="{00000000-0005-0000-0000-00001F790000}"/>
    <cellStyle name="Porcentaje 2 4 2 5 4 2" xfId="30981" xr:uid="{00000000-0005-0000-0000-000020790000}"/>
    <cellStyle name="Porcentaje 2 4 2 5 5" xfId="21124" xr:uid="{00000000-0005-0000-0000-000021790000}"/>
    <cellStyle name="Porcentaje 2 4 2 6" xfId="2634" xr:uid="{00000000-0005-0000-0000-000022790000}"/>
    <cellStyle name="Porcentaje 2 4 2 6 2" xfId="7566" xr:uid="{00000000-0005-0000-0000-000023790000}"/>
    <cellStyle name="Porcentaje 2 4 2 6 2 2" xfId="17426" xr:uid="{00000000-0005-0000-0000-000024790000}"/>
    <cellStyle name="Porcentaje 2 4 2 6 2 2 2" xfId="37141" xr:uid="{00000000-0005-0000-0000-000025790000}"/>
    <cellStyle name="Porcentaje 2 4 2 6 2 3" xfId="27284" xr:uid="{00000000-0005-0000-0000-000026790000}"/>
    <cellStyle name="Porcentaje 2 4 2 6 3" xfId="12498" xr:uid="{00000000-0005-0000-0000-000027790000}"/>
    <cellStyle name="Porcentaje 2 4 2 6 3 2" xfId="32213" xr:uid="{00000000-0005-0000-0000-000028790000}"/>
    <cellStyle name="Porcentaje 2 4 2 6 4" xfId="22356" xr:uid="{00000000-0005-0000-0000-000029790000}"/>
    <cellStyle name="Porcentaje 2 4 2 7" xfId="5102" xr:uid="{00000000-0005-0000-0000-00002A790000}"/>
    <cellStyle name="Porcentaje 2 4 2 7 2" xfId="14962" xr:uid="{00000000-0005-0000-0000-00002B790000}"/>
    <cellStyle name="Porcentaje 2 4 2 7 2 2" xfId="34677" xr:uid="{00000000-0005-0000-0000-00002C790000}"/>
    <cellStyle name="Porcentaje 2 4 2 7 3" xfId="24820" xr:uid="{00000000-0005-0000-0000-00002D790000}"/>
    <cellStyle name="Porcentaje 2 4 2 8" xfId="10034" xr:uid="{00000000-0005-0000-0000-00002E790000}"/>
    <cellStyle name="Porcentaje 2 4 2 8 2" xfId="29749" xr:uid="{00000000-0005-0000-0000-00002F790000}"/>
    <cellStyle name="Porcentaje 2 4 2 9" xfId="19892" xr:uid="{00000000-0005-0000-0000-000030790000}"/>
    <cellStyle name="Porcentaje 2 4 3" xfId="228" xr:uid="{00000000-0005-0000-0000-000031790000}"/>
    <cellStyle name="Porcentaje 2 4 3 2" xfId="542" xr:uid="{00000000-0005-0000-0000-000032790000}"/>
    <cellStyle name="Porcentaje 2 4 3 2 2" xfId="1162" xr:uid="{00000000-0005-0000-0000-000033790000}"/>
    <cellStyle name="Porcentaje 2 4 3 2 2 2" xfId="2397" xr:uid="{00000000-0005-0000-0000-000034790000}"/>
    <cellStyle name="Porcentaje 2 4 3 2 2 2 2" xfId="4864" xr:uid="{00000000-0005-0000-0000-000035790000}"/>
    <cellStyle name="Porcentaje 2 4 3 2 2 2 2 2" xfId="9796" xr:uid="{00000000-0005-0000-0000-000036790000}"/>
    <cellStyle name="Porcentaje 2 4 3 2 2 2 2 2 2" xfId="19656" xr:uid="{00000000-0005-0000-0000-000037790000}"/>
    <cellStyle name="Porcentaje 2 4 3 2 2 2 2 2 2 2" xfId="39371" xr:uid="{00000000-0005-0000-0000-000038790000}"/>
    <cellStyle name="Porcentaje 2 4 3 2 2 2 2 2 3" xfId="29514" xr:uid="{00000000-0005-0000-0000-000039790000}"/>
    <cellStyle name="Porcentaje 2 4 3 2 2 2 2 3" xfId="14728" xr:uid="{00000000-0005-0000-0000-00003A790000}"/>
    <cellStyle name="Porcentaje 2 4 3 2 2 2 2 3 2" xfId="34443" xr:uid="{00000000-0005-0000-0000-00003B790000}"/>
    <cellStyle name="Porcentaje 2 4 3 2 2 2 2 4" xfId="24586" xr:uid="{00000000-0005-0000-0000-00003C790000}"/>
    <cellStyle name="Porcentaje 2 4 3 2 2 2 3" xfId="7332" xr:uid="{00000000-0005-0000-0000-00003D790000}"/>
    <cellStyle name="Porcentaje 2 4 3 2 2 2 3 2" xfId="17192" xr:uid="{00000000-0005-0000-0000-00003E790000}"/>
    <cellStyle name="Porcentaje 2 4 3 2 2 2 3 2 2" xfId="36907" xr:uid="{00000000-0005-0000-0000-00003F790000}"/>
    <cellStyle name="Porcentaje 2 4 3 2 2 2 3 3" xfId="27050" xr:uid="{00000000-0005-0000-0000-000040790000}"/>
    <cellStyle name="Porcentaje 2 4 3 2 2 2 4" xfId="12264" xr:uid="{00000000-0005-0000-0000-000041790000}"/>
    <cellStyle name="Porcentaje 2 4 3 2 2 2 4 2" xfId="31979" xr:uid="{00000000-0005-0000-0000-000042790000}"/>
    <cellStyle name="Porcentaje 2 4 3 2 2 2 5" xfId="22122" xr:uid="{00000000-0005-0000-0000-000043790000}"/>
    <cellStyle name="Porcentaje 2 4 3 2 2 3" xfId="3632" xr:uid="{00000000-0005-0000-0000-000044790000}"/>
    <cellStyle name="Porcentaje 2 4 3 2 2 3 2" xfId="8564" xr:uid="{00000000-0005-0000-0000-000045790000}"/>
    <cellStyle name="Porcentaje 2 4 3 2 2 3 2 2" xfId="18424" xr:uid="{00000000-0005-0000-0000-000046790000}"/>
    <cellStyle name="Porcentaje 2 4 3 2 2 3 2 2 2" xfId="38139" xr:uid="{00000000-0005-0000-0000-000047790000}"/>
    <cellStyle name="Porcentaje 2 4 3 2 2 3 2 3" xfId="28282" xr:uid="{00000000-0005-0000-0000-000048790000}"/>
    <cellStyle name="Porcentaje 2 4 3 2 2 3 3" xfId="13496" xr:uid="{00000000-0005-0000-0000-000049790000}"/>
    <cellStyle name="Porcentaje 2 4 3 2 2 3 3 2" xfId="33211" xr:uid="{00000000-0005-0000-0000-00004A790000}"/>
    <cellStyle name="Porcentaje 2 4 3 2 2 3 4" xfId="23354" xr:uid="{00000000-0005-0000-0000-00004B790000}"/>
    <cellStyle name="Porcentaje 2 4 3 2 2 4" xfId="6100" xr:uid="{00000000-0005-0000-0000-00004C790000}"/>
    <cellStyle name="Porcentaje 2 4 3 2 2 4 2" xfId="15960" xr:uid="{00000000-0005-0000-0000-00004D790000}"/>
    <cellStyle name="Porcentaje 2 4 3 2 2 4 2 2" xfId="35675" xr:uid="{00000000-0005-0000-0000-00004E790000}"/>
    <cellStyle name="Porcentaje 2 4 3 2 2 4 3" xfId="25818" xr:uid="{00000000-0005-0000-0000-00004F790000}"/>
    <cellStyle name="Porcentaje 2 4 3 2 2 5" xfId="11032" xr:uid="{00000000-0005-0000-0000-000050790000}"/>
    <cellStyle name="Porcentaje 2 4 3 2 2 5 2" xfId="30747" xr:uid="{00000000-0005-0000-0000-000051790000}"/>
    <cellStyle name="Porcentaje 2 4 3 2 2 6" xfId="20890" xr:uid="{00000000-0005-0000-0000-000052790000}"/>
    <cellStyle name="Porcentaje 2 4 3 2 3" xfId="1781" xr:uid="{00000000-0005-0000-0000-000053790000}"/>
    <cellStyle name="Porcentaje 2 4 3 2 3 2" xfId="4248" xr:uid="{00000000-0005-0000-0000-000054790000}"/>
    <cellStyle name="Porcentaje 2 4 3 2 3 2 2" xfId="9180" xr:uid="{00000000-0005-0000-0000-000055790000}"/>
    <cellStyle name="Porcentaje 2 4 3 2 3 2 2 2" xfId="19040" xr:uid="{00000000-0005-0000-0000-000056790000}"/>
    <cellStyle name="Porcentaje 2 4 3 2 3 2 2 2 2" xfId="38755" xr:uid="{00000000-0005-0000-0000-000057790000}"/>
    <cellStyle name="Porcentaje 2 4 3 2 3 2 2 3" xfId="28898" xr:uid="{00000000-0005-0000-0000-000058790000}"/>
    <cellStyle name="Porcentaje 2 4 3 2 3 2 3" xfId="14112" xr:uid="{00000000-0005-0000-0000-000059790000}"/>
    <cellStyle name="Porcentaje 2 4 3 2 3 2 3 2" xfId="33827" xr:uid="{00000000-0005-0000-0000-00005A790000}"/>
    <cellStyle name="Porcentaje 2 4 3 2 3 2 4" xfId="23970" xr:uid="{00000000-0005-0000-0000-00005B790000}"/>
    <cellStyle name="Porcentaje 2 4 3 2 3 3" xfId="6716" xr:uid="{00000000-0005-0000-0000-00005C790000}"/>
    <cellStyle name="Porcentaje 2 4 3 2 3 3 2" xfId="16576" xr:uid="{00000000-0005-0000-0000-00005D790000}"/>
    <cellStyle name="Porcentaje 2 4 3 2 3 3 2 2" xfId="36291" xr:uid="{00000000-0005-0000-0000-00005E790000}"/>
    <cellStyle name="Porcentaje 2 4 3 2 3 3 3" xfId="26434" xr:uid="{00000000-0005-0000-0000-00005F790000}"/>
    <cellStyle name="Porcentaje 2 4 3 2 3 4" xfId="11648" xr:uid="{00000000-0005-0000-0000-000060790000}"/>
    <cellStyle name="Porcentaje 2 4 3 2 3 4 2" xfId="31363" xr:uid="{00000000-0005-0000-0000-000061790000}"/>
    <cellStyle name="Porcentaje 2 4 3 2 3 5" xfId="21506" xr:uid="{00000000-0005-0000-0000-000062790000}"/>
    <cellStyle name="Porcentaje 2 4 3 2 4" xfId="3016" xr:uid="{00000000-0005-0000-0000-000063790000}"/>
    <cellStyle name="Porcentaje 2 4 3 2 4 2" xfId="7948" xr:uid="{00000000-0005-0000-0000-000064790000}"/>
    <cellStyle name="Porcentaje 2 4 3 2 4 2 2" xfId="17808" xr:uid="{00000000-0005-0000-0000-000065790000}"/>
    <cellStyle name="Porcentaje 2 4 3 2 4 2 2 2" xfId="37523" xr:uid="{00000000-0005-0000-0000-000066790000}"/>
    <cellStyle name="Porcentaje 2 4 3 2 4 2 3" xfId="27666" xr:uid="{00000000-0005-0000-0000-000067790000}"/>
    <cellStyle name="Porcentaje 2 4 3 2 4 3" xfId="12880" xr:uid="{00000000-0005-0000-0000-000068790000}"/>
    <cellStyle name="Porcentaje 2 4 3 2 4 3 2" xfId="32595" xr:uid="{00000000-0005-0000-0000-000069790000}"/>
    <cellStyle name="Porcentaje 2 4 3 2 4 4" xfId="22738" xr:uid="{00000000-0005-0000-0000-00006A790000}"/>
    <cellStyle name="Porcentaje 2 4 3 2 5" xfId="5484" xr:uid="{00000000-0005-0000-0000-00006B790000}"/>
    <cellStyle name="Porcentaje 2 4 3 2 5 2" xfId="15344" xr:uid="{00000000-0005-0000-0000-00006C790000}"/>
    <cellStyle name="Porcentaje 2 4 3 2 5 2 2" xfId="35059" xr:uid="{00000000-0005-0000-0000-00006D790000}"/>
    <cellStyle name="Porcentaje 2 4 3 2 5 3" xfId="25202" xr:uid="{00000000-0005-0000-0000-00006E790000}"/>
    <cellStyle name="Porcentaje 2 4 3 2 6" xfId="10416" xr:uid="{00000000-0005-0000-0000-00006F790000}"/>
    <cellStyle name="Porcentaje 2 4 3 2 6 2" xfId="30131" xr:uid="{00000000-0005-0000-0000-000070790000}"/>
    <cellStyle name="Porcentaje 2 4 3 2 7" xfId="20274" xr:uid="{00000000-0005-0000-0000-000071790000}"/>
    <cellStyle name="Porcentaje 2 4 3 3" xfId="855" xr:uid="{00000000-0005-0000-0000-000072790000}"/>
    <cellStyle name="Porcentaje 2 4 3 3 2" xfId="2091" xr:uid="{00000000-0005-0000-0000-000073790000}"/>
    <cellStyle name="Porcentaje 2 4 3 3 2 2" xfId="4558" xr:uid="{00000000-0005-0000-0000-000074790000}"/>
    <cellStyle name="Porcentaje 2 4 3 3 2 2 2" xfId="9490" xr:uid="{00000000-0005-0000-0000-000075790000}"/>
    <cellStyle name="Porcentaje 2 4 3 3 2 2 2 2" xfId="19350" xr:uid="{00000000-0005-0000-0000-000076790000}"/>
    <cellStyle name="Porcentaje 2 4 3 3 2 2 2 2 2" xfId="39065" xr:uid="{00000000-0005-0000-0000-000077790000}"/>
    <cellStyle name="Porcentaje 2 4 3 3 2 2 2 3" xfId="29208" xr:uid="{00000000-0005-0000-0000-000078790000}"/>
    <cellStyle name="Porcentaje 2 4 3 3 2 2 3" xfId="14422" xr:uid="{00000000-0005-0000-0000-000079790000}"/>
    <cellStyle name="Porcentaje 2 4 3 3 2 2 3 2" xfId="34137" xr:uid="{00000000-0005-0000-0000-00007A790000}"/>
    <cellStyle name="Porcentaje 2 4 3 3 2 2 4" xfId="24280" xr:uid="{00000000-0005-0000-0000-00007B790000}"/>
    <cellStyle name="Porcentaje 2 4 3 3 2 3" xfId="7026" xr:uid="{00000000-0005-0000-0000-00007C790000}"/>
    <cellStyle name="Porcentaje 2 4 3 3 2 3 2" xfId="16886" xr:uid="{00000000-0005-0000-0000-00007D790000}"/>
    <cellStyle name="Porcentaje 2 4 3 3 2 3 2 2" xfId="36601" xr:uid="{00000000-0005-0000-0000-00007E790000}"/>
    <cellStyle name="Porcentaje 2 4 3 3 2 3 3" xfId="26744" xr:uid="{00000000-0005-0000-0000-00007F790000}"/>
    <cellStyle name="Porcentaje 2 4 3 3 2 4" xfId="11958" xr:uid="{00000000-0005-0000-0000-000080790000}"/>
    <cellStyle name="Porcentaje 2 4 3 3 2 4 2" xfId="31673" xr:uid="{00000000-0005-0000-0000-000081790000}"/>
    <cellStyle name="Porcentaje 2 4 3 3 2 5" xfId="21816" xr:uid="{00000000-0005-0000-0000-000082790000}"/>
    <cellStyle name="Porcentaje 2 4 3 3 3" xfId="3326" xr:uid="{00000000-0005-0000-0000-000083790000}"/>
    <cellStyle name="Porcentaje 2 4 3 3 3 2" xfId="8258" xr:uid="{00000000-0005-0000-0000-000084790000}"/>
    <cellStyle name="Porcentaje 2 4 3 3 3 2 2" xfId="18118" xr:uid="{00000000-0005-0000-0000-000085790000}"/>
    <cellStyle name="Porcentaje 2 4 3 3 3 2 2 2" xfId="37833" xr:uid="{00000000-0005-0000-0000-000086790000}"/>
    <cellStyle name="Porcentaje 2 4 3 3 3 2 3" xfId="27976" xr:uid="{00000000-0005-0000-0000-000087790000}"/>
    <cellStyle name="Porcentaje 2 4 3 3 3 3" xfId="13190" xr:uid="{00000000-0005-0000-0000-000088790000}"/>
    <cellStyle name="Porcentaje 2 4 3 3 3 3 2" xfId="32905" xr:uid="{00000000-0005-0000-0000-000089790000}"/>
    <cellStyle name="Porcentaje 2 4 3 3 3 4" xfId="23048" xr:uid="{00000000-0005-0000-0000-00008A790000}"/>
    <cellStyle name="Porcentaje 2 4 3 3 4" xfId="5794" xr:uid="{00000000-0005-0000-0000-00008B790000}"/>
    <cellStyle name="Porcentaje 2 4 3 3 4 2" xfId="15654" xr:uid="{00000000-0005-0000-0000-00008C790000}"/>
    <cellStyle name="Porcentaje 2 4 3 3 4 2 2" xfId="35369" xr:uid="{00000000-0005-0000-0000-00008D790000}"/>
    <cellStyle name="Porcentaje 2 4 3 3 4 3" xfId="25512" xr:uid="{00000000-0005-0000-0000-00008E790000}"/>
    <cellStyle name="Porcentaje 2 4 3 3 5" xfId="10726" xr:uid="{00000000-0005-0000-0000-00008F790000}"/>
    <cellStyle name="Porcentaje 2 4 3 3 5 2" xfId="30441" xr:uid="{00000000-0005-0000-0000-000090790000}"/>
    <cellStyle name="Porcentaje 2 4 3 3 6" xfId="20584" xr:uid="{00000000-0005-0000-0000-000091790000}"/>
    <cellStyle name="Porcentaje 2 4 3 4" xfId="1475" xr:uid="{00000000-0005-0000-0000-000092790000}"/>
    <cellStyle name="Porcentaje 2 4 3 4 2" xfId="3942" xr:uid="{00000000-0005-0000-0000-000093790000}"/>
    <cellStyle name="Porcentaje 2 4 3 4 2 2" xfId="8874" xr:uid="{00000000-0005-0000-0000-000094790000}"/>
    <cellStyle name="Porcentaje 2 4 3 4 2 2 2" xfId="18734" xr:uid="{00000000-0005-0000-0000-000095790000}"/>
    <cellStyle name="Porcentaje 2 4 3 4 2 2 2 2" xfId="38449" xr:uid="{00000000-0005-0000-0000-000096790000}"/>
    <cellStyle name="Porcentaje 2 4 3 4 2 2 3" xfId="28592" xr:uid="{00000000-0005-0000-0000-000097790000}"/>
    <cellStyle name="Porcentaje 2 4 3 4 2 3" xfId="13806" xr:uid="{00000000-0005-0000-0000-000098790000}"/>
    <cellStyle name="Porcentaje 2 4 3 4 2 3 2" xfId="33521" xr:uid="{00000000-0005-0000-0000-000099790000}"/>
    <cellStyle name="Porcentaje 2 4 3 4 2 4" xfId="23664" xr:uid="{00000000-0005-0000-0000-00009A790000}"/>
    <cellStyle name="Porcentaje 2 4 3 4 3" xfId="6410" xr:uid="{00000000-0005-0000-0000-00009B790000}"/>
    <cellStyle name="Porcentaje 2 4 3 4 3 2" xfId="16270" xr:uid="{00000000-0005-0000-0000-00009C790000}"/>
    <cellStyle name="Porcentaje 2 4 3 4 3 2 2" xfId="35985" xr:uid="{00000000-0005-0000-0000-00009D790000}"/>
    <cellStyle name="Porcentaje 2 4 3 4 3 3" xfId="26128" xr:uid="{00000000-0005-0000-0000-00009E790000}"/>
    <cellStyle name="Porcentaje 2 4 3 4 4" xfId="11342" xr:uid="{00000000-0005-0000-0000-00009F790000}"/>
    <cellStyle name="Porcentaje 2 4 3 4 4 2" xfId="31057" xr:uid="{00000000-0005-0000-0000-0000A0790000}"/>
    <cellStyle name="Porcentaje 2 4 3 4 5" xfId="21200" xr:uid="{00000000-0005-0000-0000-0000A1790000}"/>
    <cellStyle name="Porcentaje 2 4 3 5" xfId="2710" xr:uid="{00000000-0005-0000-0000-0000A2790000}"/>
    <cellStyle name="Porcentaje 2 4 3 5 2" xfId="7642" xr:uid="{00000000-0005-0000-0000-0000A3790000}"/>
    <cellStyle name="Porcentaje 2 4 3 5 2 2" xfId="17502" xr:uid="{00000000-0005-0000-0000-0000A4790000}"/>
    <cellStyle name="Porcentaje 2 4 3 5 2 2 2" xfId="37217" xr:uid="{00000000-0005-0000-0000-0000A5790000}"/>
    <cellStyle name="Porcentaje 2 4 3 5 2 3" xfId="27360" xr:uid="{00000000-0005-0000-0000-0000A6790000}"/>
    <cellStyle name="Porcentaje 2 4 3 5 3" xfId="12574" xr:uid="{00000000-0005-0000-0000-0000A7790000}"/>
    <cellStyle name="Porcentaje 2 4 3 5 3 2" xfId="32289" xr:uid="{00000000-0005-0000-0000-0000A8790000}"/>
    <cellStyle name="Porcentaje 2 4 3 5 4" xfId="22432" xr:uid="{00000000-0005-0000-0000-0000A9790000}"/>
    <cellStyle name="Porcentaje 2 4 3 6" xfId="5178" xr:uid="{00000000-0005-0000-0000-0000AA790000}"/>
    <cellStyle name="Porcentaje 2 4 3 6 2" xfId="15038" xr:uid="{00000000-0005-0000-0000-0000AB790000}"/>
    <cellStyle name="Porcentaje 2 4 3 6 2 2" xfId="34753" xr:uid="{00000000-0005-0000-0000-0000AC790000}"/>
    <cellStyle name="Porcentaje 2 4 3 6 3" xfId="24896" xr:uid="{00000000-0005-0000-0000-0000AD790000}"/>
    <cellStyle name="Porcentaje 2 4 3 7" xfId="10110" xr:uid="{00000000-0005-0000-0000-0000AE790000}"/>
    <cellStyle name="Porcentaje 2 4 3 7 2" xfId="29825" xr:uid="{00000000-0005-0000-0000-0000AF790000}"/>
    <cellStyle name="Porcentaje 2 4 3 8" xfId="19968" xr:uid="{00000000-0005-0000-0000-0000B0790000}"/>
    <cellStyle name="Porcentaje 2 4 4" xfId="390" xr:uid="{00000000-0005-0000-0000-0000B1790000}"/>
    <cellStyle name="Porcentaje 2 4 4 2" xfId="1010" xr:uid="{00000000-0005-0000-0000-0000B2790000}"/>
    <cellStyle name="Porcentaje 2 4 4 2 2" xfId="2245" xr:uid="{00000000-0005-0000-0000-0000B3790000}"/>
    <cellStyle name="Porcentaje 2 4 4 2 2 2" xfId="4712" xr:uid="{00000000-0005-0000-0000-0000B4790000}"/>
    <cellStyle name="Porcentaje 2 4 4 2 2 2 2" xfId="9644" xr:uid="{00000000-0005-0000-0000-0000B5790000}"/>
    <cellStyle name="Porcentaje 2 4 4 2 2 2 2 2" xfId="19504" xr:uid="{00000000-0005-0000-0000-0000B6790000}"/>
    <cellStyle name="Porcentaje 2 4 4 2 2 2 2 2 2" xfId="39219" xr:uid="{00000000-0005-0000-0000-0000B7790000}"/>
    <cellStyle name="Porcentaje 2 4 4 2 2 2 2 3" xfId="29362" xr:uid="{00000000-0005-0000-0000-0000B8790000}"/>
    <cellStyle name="Porcentaje 2 4 4 2 2 2 3" xfId="14576" xr:uid="{00000000-0005-0000-0000-0000B9790000}"/>
    <cellStyle name="Porcentaje 2 4 4 2 2 2 3 2" xfId="34291" xr:uid="{00000000-0005-0000-0000-0000BA790000}"/>
    <cellStyle name="Porcentaje 2 4 4 2 2 2 4" xfId="24434" xr:uid="{00000000-0005-0000-0000-0000BB790000}"/>
    <cellStyle name="Porcentaje 2 4 4 2 2 3" xfId="7180" xr:uid="{00000000-0005-0000-0000-0000BC790000}"/>
    <cellStyle name="Porcentaje 2 4 4 2 2 3 2" xfId="17040" xr:uid="{00000000-0005-0000-0000-0000BD790000}"/>
    <cellStyle name="Porcentaje 2 4 4 2 2 3 2 2" xfId="36755" xr:uid="{00000000-0005-0000-0000-0000BE790000}"/>
    <cellStyle name="Porcentaje 2 4 4 2 2 3 3" xfId="26898" xr:uid="{00000000-0005-0000-0000-0000BF790000}"/>
    <cellStyle name="Porcentaje 2 4 4 2 2 4" xfId="12112" xr:uid="{00000000-0005-0000-0000-0000C0790000}"/>
    <cellStyle name="Porcentaje 2 4 4 2 2 4 2" xfId="31827" xr:uid="{00000000-0005-0000-0000-0000C1790000}"/>
    <cellStyle name="Porcentaje 2 4 4 2 2 5" xfId="21970" xr:uid="{00000000-0005-0000-0000-0000C2790000}"/>
    <cellStyle name="Porcentaje 2 4 4 2 3" xfId="3480" xr:uid="{00000000-0005-0000-0000-0000C3790000}"/>
    <cellStyle name="Porcentaje 2 4 4 2 3 2" xfId="8412" xr:uid="{00000000-0005-0000-0000-0000C4790000}"/>
    <cellStyle name="Porcentaje 2 4 4 2 3 2 2" xfId="18272" xr:uid="{00000000-0005-0000-0000-0000C5790000}"/>
    <cellStyle name="Porcentaje 2 4 4 2 3 2 2 2" xfId="37987" xr:uid="{00000000-0005-0000-0000-0000C6790000}"/>
    <cellStyle name="Porcentaje 2 4 4 2 3 2 3" xfId="28130" xr:uid="{00000000-0005-0000-0000-0000C7790000}"/>
    <cellStyle name="Porcentaje 2 4 4 2 3 3" xfId="13344" xr:uid="{00000000-0005-0000-0000-0000C8790000}"/>
    <cellStyle name="Porcentaje 2 4 4 2 3 3 2" xfId="33059" xr:uid="{00000000-0005-0000-0000-0000C9790000}"/>
    <cellStyle name="Porcentaje 2 4 4 2 3 4" xfId="23202" xr:uid="{00000000-0005-0000-0000-0000CA790000}"/>
    <cellStyle name="Porcentaje 2 4 4 2 4" xfId="5948" xr:uid="{00000000-0005-0000-0000-0000CB790000}"/>
    <cellStyle name="Porcentaje 2 4 4 2 4 2" xfId="15808" xr:uid="{00000000-0005-0000-0000-0000CC790000}"/>
    <cellStyle name="Porcentaje 2 4 4 2 4 2 2" xfId="35523" xr:uid="{00000000-0005-0000-0000-0000CD790000}"/>
    <cellStyle name="Porcentaje 2 4 4 2 4 3" xfId="25666" xr:uid="{00000000-0005-0000-0000-0000CE790000}"/>
    <cellStyle name="Porcentaje 2 4 4 2 5" xfId="10880" xr:uid="{00000000-0005-0000-0000-0000CF790000}"/>
    <cellStyle name="Porcentaje 2 4 4 2 5 2" xfId="30595" xr:uid="{00000000-0005-0000-0000-0000D0790000}"/>
    <cellStyle name="Porcentaje 2 4 4 2 6" xfId="20738" xr:uid="{00000000-0005-0000-0000-0000D1790000}"/>
    <cellStyle name="Porcentaje 2 4 4 3" xfId="1629" xr:uid="{00000000-0005-0000-0000-0000D2790000}"/>
    <cellStyle name="Porcentaje 2 4 4 3 2" xfId="4096" xr:uid="{00000000-0005-0000-0000-0000D3790000}"/>
    <cellStyle name="Porcentaje 2 4 4 3 2 2" xfId="9028" xr:uid="{00000000-0005-0000-0000-0000D4790000}"/>
    <cellStyle name="Porcentaje 2 4 4 3 2 2 2" xfId="18888" xr:uid="{00000000-0005-0000-0000-0000D5790000}"/>
    <cellStyle name="Porcentaje 2 4 4 3 2 2 2 2" xfId="38603" xr:uid="{00000000-0005-0000-0000-0000D6790000}"/>
    <cellStyle name="Porcentaje 2 4 4 3 2 2 3" xfId="28746" xr:uid="{00000000-0005-0000-0000-0000D7790000}"/>
    <cellStyle name="Porcentaje 2 4 4 3 2 3" xfId="13960" xr:uid="{00000000-0005-0000-0000-0000D8790000}"/>
    <cellStyle name="Porcentaje 2 4 4 3 2 3 2" xfId="33675" xr:uid="{00000000-0005-0000-0000-0000D9790000}"/>
    <cellStyle name="Porcentaje 2 4 4 3 2 4" xfId="23818" xr:uid="{00000000-0005-0000-0000-0000DA790000}"/>
    <cellStyle name="Porcentaje 2 4 4 3 3" xfId="6564" xr:uid="{00000000-0005-0000-0000-0000DB790000}"/>
    <cellStyle name="Porcentaje 2 4 4 3 3 2" xfId="16424" xr:uid="{00000000-0005-0000-0000-0000DC790000}"/>
    <cellStyle name="Porcentaje 2 4 4 3 3 2 2" xfId="36139" xr:uid="{00000000-0005-0000-0000-0000DD790000}"/>
    <cellStyle name="Porcentaje 2 4 4 3 3 3" xfId="26282" xr:uid="{00000000-0005-0000-0000-0000DE790000}"/>
    <cellStyle name="Porcentaje 2 4 4 3 4" xfId="11496" xr:uid="{00000000-0005-0000-0000-0000DF790000}"/>
    <cellStyle name="Porcentaje 2 4 4 3 4 2" xfId="31211" xr:uid="{00000000-0005-0000-0000-0000E0790000}"/>
    <cellStyle name="Porcentaje 2 4 4 3 5" xfId="21354" xr:uid="{00000000-0005-0000-0000-0000E1790000}"/>
    <cellStyle name="Porcentaje 2 4 4 4" xfId="2864" xr:uid="{00000000-0005-0000-0000-0000E2790000}"/>
    <cellStyle name="Porcentaje 2 4 4 4 2" xfId="7796" xr:uid="{00000000-0005-0000-0000-0000E3790000}"/>
    <cellStyle name="Porcentaje 2 4 4 4 2 2" xfId="17656" xr:uid="{00000000-0005-0000-0000-0000E4790000}"/>
    <cellStyle name="Porcentaje 2 4 4 4 2 2 2" xfId="37371" xr:uid="{00000000-0005-0000-0000-0000E5790000}"/>
    <cellStyle name="Porcentaje 2 4 4 4 2 3" xfId="27514" xr:uid="{00000000-0005-0000-0000-0000E6790000}"/>
    <cellStyle name="Porcentaje 2 4 4 4 3" xfId="12728" xr:uid="{00000000-0005-0000-0000-0000E7790000}"/>
    <cellStyle name="Porcentaje 2 4 4 4 3 2" xfId="32443" xr:uid="{00000000-0005-0000-0000-0000E8790000}"/>
    <cellStyle name="Porcentaje 2 4 4 4 4" xfId="22586" xr:uid="{00000000-0005-0000-0000-0000E9790000}"/>
    <cellStyle name="Porcentaje 2 4 4 5" xfId="5332" xr:uid="{00000000-0005-0000-0000-0000EA790000}"/>
    <cellStyle name="Porcentaje 2 4 4 5 2" xfId="15192" xr:uid="{00000000-0005-0000-0000-0000EB790000}"/>
    <cellStyle name="Porcentaje 2 4 4 5 2 2" xfId="34907" xr:uid="{00000000-0005-0000-0000-0000EC790000}"/>
    <cellStyle name="Porcentaje 2 4 4 5 3" xfId="25050" xr:uid="{00000000-0005-0000-0000-0000ED790000}"/>
    <cellStyle name="Porcentaje 2 4 4 6" xfId="10264" xr:uid="{00000000-0005-0000-0000-0000EE790000}"/>
    <cellStyle name="Porcentaje 2 4 4 6 2" xfId="29979" xr:uid="{00000000-0005-0000-0000-0000EF790000}"/>
    <cellStyle name="Porcentaje 2 4 4 7" xfId="20122" xr:uid="{00000000-0005-0000-0000-0000F0790000}"/>
    <cellStyle name="Porcentaje 2 4 5" xfId="703" xr:uid="{00000000-0005-0000-0000-0000F1790000}"/>
    <cellStyle name="Porcentaje 2 4 5 2" xfId="1939" xr:uid="{00000000-0005-0000-0000-0000F2790000}"/>
    <cellStyle name="Porcentaje 2 4 5 2 2" xfId="4406" xr:uid="{00000000-0005-0000-0000-0000F3790000}"/>
    <cellStyle name="Porcentaje 2 4 5 2 2 2" xfId="9338" xr:uid="{00000000-0005-0000-0000-0000F4790000}"/>
    <cellStyle name="Porcentaje 2 4 5 2 2 2 2" xfId="19198" xr:uid="{00000000-0005-0000-0000-0000F5790000}"/>
    <cellStyle name="Porcentaje 2 4 5 2 2 2 2 2" xfId="38913" xr:uid="{00000000-0005-0000-0000-0000F6790000}"/>
    <cellStyle name="Porcentaje 2 4 5 2 2 2 3" xfId="29056" xr:uid="{00000000-0005-0000-0000-0000F7790000}"/>
    <cellStyle name="Porcentaje 2 4 5 2 2 3" xfId="14270" xr:uid="{00000000-0005-0000-0000-0000F8790000}"/>
    <cellStyle name="Porcentaje 2 4 5 2 2 3 2" xfId="33985" xr:uid="{00000000-0005-0000-0000-0000F9790000}"/>
    <cellStyle name="Porcentaje 2 4 5 2 2 4" xfId="24128" xr:uid="{00000000-0005-0000-0000-0000FA790000}"/>
    <cellStyle name="Porcentaje 2 4 5 2 3" xfId="6874" xr:uid="{00000000-0005-0000-0000-0000FB790000}"/>
    <cellStyle name="Porcentaje 2 4 5 2 3 2" xfId="16734" xr:uid="{00000000-0005-0000-0000-0000FC790000}"/>
    <cellStyle name="Porcentaje 2 4 5 2 3 2 2" xfId="36449" xr:uid="{00000000-0005-0000-0000-0000FD790000}"/>
    <cellStyle name="Porcentaje 2 4 5 2 3 3" xfId="26592" xr:uid="{00000000-0005-0000-0000-0000FE790000}"/>
    <cellStyle name="Porcentaje 2 4 5 2 4" xfId="11806" xr:uid="{00000000-0005-0000-0000-0000FF790000}"/>
    <cellStyle name="Porcentaje 2 4 5 2 4 2" xfId="31521" xr:uid="{00000000-0005-0000-0000-0000007A0000}"/>
    <cellStyle name="Porcentaje 2 4 5 2 5" xfId="21664" xr:uid="{00000000-0005-0000-0000-0000017A0000}"/>
    <cellStyle name="Porcentaje 2 4 5 3" xfId="3174" xr:uid="{00000000-0005-0000-0000-0000027A0000}"/>
    <cellStyle name="Porcentaje 2 4 5 3 2" xfId="8106" xr:uid="{00000000-0005-0000-0000-0000037A0000}"/>
    <cellStyle name="Porcentaje 2 4 5 3 2 2" xfId="17966" xr:uid="{00000000-0005-0000-0000-0000047A0000}"/>
    <cellStyle name="Porcentaje 2 4 5 3 2 2 2" xfId="37681" xr:uid="{00000000-0005-0000-0000-0000057A0000}"/>
    <cellStyle name="Porcentaje 2 4 5 3 2 3" xfId="27824" xr:uid="{00000000-0005-0000-0000-0000067A0000}"/>
    <cellStyle name="Porcentaje 2 4 5 3 3" xfId="13038" xr:uid="{00000000-0005-0000-0000-0000077A0000}"/>
    <cellStyle name="Porcentaje 2 4 5 3 3 2" xfId="32753" xr:uid="{00000000-0005-0000-0000-0000087A0000}"/>
    <cellStyle name="Porcentaje 2 4 5 3 4" xfId="22896" xr:uid="{00000000-0005-0000-0000-0000097A0000}"/>
    <cellStyle name="Porcentaje 2 4 5 4" xfId="5642" xr:uid="{00000000-0005-0000-0000-00000A7A0000}"/>
    <cellStyle name="Porcentaje 2 4 5 4 2" xfId="15502" xr:uid="{00000000-0005-0000-0000-00000B7A0000}"/>
    <cellStyle name="Porcentaje 2 4 5 4 2 2" xfId="35217" xr:uid="{00000000-0005-0000-0000-00000C7A0000}"/>
    <cellStyle name="Porcentaje 2 4 5 4 3" xfId="25360" xr:uid="{00000000-0005-0000-0000-00000D7A0000}"/>
    <cellStyle name="Porcentaje 2 4 5 5" xfId="10574" xr:uid="{00000000-0005-0000-0000-00000E7A0000}"/>
    <cellStyle name="Porcentaje 2 4 5 5 2" xfId="30289" xr:uid="{00000000-0005-0000-0000-00000F7A0000}"/>
    <cellStyle name="Porcentaje 2 4 5 6" xfId="20432" xr:uid="{00000000-0005-0000-0000-0000107A0000}"/>
    <cellStyle name="Porcentaje 2 4 6" xfId="1323" xr:uid="{00000000-0005-0000-0000-0000117A0000}"/>
    <cellStyle name="Porcentaje 2 4 6 2" xfId="3790" xr:uid="{00000000-0005-0000-0000-0000127A0000}"/>
    <cellStyle name="Porcentaje 2 4 6 2 2" xfId="8722" xr:uid="{00000000-0005-0000-0000-0000137A0000}"/>
    <cellStyle name="Porcentaje 2 4 6 2 2 2" xfId="18582" xr:uid="{00000000-0005-0000-0000-0000147A0000}"/>
    <cellStyle name="Porcentaje 2 4 6 2 2 2 2" xfId="38297" xr:uid="{00000000-0005-0000-0000-0000157A0000}"/>
    <cellStyle name="Porcentaje 2 4 6 2 2 3" xfId="28440" xr:uid="{00000000-0005-0000-0000-0000167A0000}"/>
    <cellStyle name="Porcentaje 2 4 6 2 3" xfId="13654" xr:uid="{00000000-0005-0000-0000-0000177A0000}"/>
    <cellStyle name="Porcentaje 2 4 6 2 3 2" xfId="33369" xr:uid="{00000000-0005-0000-0000-0000187A0000}"/>
    <cellStyle name="Porcentaje 2 4 6 2 4" xfId="23512" xr:uid="{00000000-0005-0000-0000-0000197A0000}"/>
    <cellStyle name="Porcentaje 2 4 6 3" xfId="6258" xr:uid="{00000000-0005-0000-0000-00001A7A0000}"/>
    <cellStyle name="Porcentaje 2 4 6 3 2" xfId="16118" xr:uid="{00000000-0005-0000-0000-00001B7A0000}"/>
    <cellStyle name="Porcentaje 2 4 6 3 2 2" xfId="35833" xr:uid="{00000000-0005-0000-0000-00001C7A0000}"/>
    <cellStyle name="Porcentaje 2 4 6 3 3" xfId="25976" xr:uid="{00000000-0005-0000-0000-00001D7A0000}"/>
    <cellStyle name="Porcentaje 2 4 6 4" xfId="11190" xr:uid="{00000000-0005-0000-0000-00001E7A0000}"/>
    <cellStyle name="Porcentaje 2 4 6 4 2" xfId="30905" xr:uid="{00000000-0005-0000-0000-00001F7A0000}"/>
    <cellStyle name="Porcentaje 2 4 6 5" xfId="21048" xr:uid="{00000000-0005-0000-0000-0000207A0000}"/>
    <cellStyle name="Porcentaje 2 4 7" xfId="2558" xr:uid="{00000000-0005-0000-0000-0000217A0000}"/>
    <cellStyle name="Porcentaje 2 4 7 2" xfId="7490" xr:uid="{00000000-0005-0000-0000-0000227A0000}"/>
    <cellStyle name="Porcentaje 2 4 7 2 2" xfId="17350" xr:uid="{00000000-0005-0000-0000-0000237A0000}"/>
    <cellStyle name="Porcentaje 2 4 7 2 2 2" xfId="37065" xr:uid="{00000000-0005-0000-0000-0000247A0000}"/>
    <cellStyle name="Porcentaje 2 4 7 2 3" xfId="27208" xr:uid="{00000000-0005-0000-0000-0000257A0000}"/>
    <cellStyle name="Porcentaje 2 4 7 3" xfId="12422" xr:uid="{00000000-0005-0000-0000-0000267A0000}"/>
    <cellStyle name="Porcentaje 2 4 7 3 2" xfId="32137" xr:uid="{00000000-0005-0000-0000-0000277A0000}"/>
    <cellStyle name="Porcentaje 2 4 7 4" xfId="22280" xr:uid="{00000000-0005-0000-0000-0000287A0000}"/>
    <cellStyle name="Porcentaje 2 4 8" xfId="5026" xr:uid="{00000000-0005-0000-0000-0000297A0000}"/>
    <cellStyle name="Porcentaje 2 4 8 2" xfId="14886" xr:uid="{00000000-0005-0000-0000-00002A7A0000}"/>
    <cellStyle name="Porcentaje 2 4 8 2 2" xfId="34601" xr:uid="{00000000-0005-0000-0000-00002B7A0000}"/>
    <cellStyle name="Porcentaje 2 4 8 3" xfId="24744" xr:uid="{00000000-0005-0000-0000-00002C7A0000}"/>
    <cellStyle name="Porcentaje 2 4 9" xfId="9958" xr:uid="{00000000-0005-0000-0000-00002D7A0000}"/>
    <cellStyle name="Porcentaje 2 4 9 2" xfId="29673" xr:uid="{00000000-0005-0000-0000-00002E7A0000}"/>
    <cellStyle name="Porcentaje 2 5" xfId="108" xr:uid="{00000000-0005-0000-0000-00002F7A0000}"/>
    <cellStyle name="Porcentaje 2 5 2" xfId="266" xr:uid="{00000000-0005-0000-0000-0000307A0000}"/>
    <cellStyle name="Porcentaje 2 5 2 2" xfId="580" xr:uid="{00000000-0005-0000-0000-0000317A0000}"/>
    <cellStyle name="Porcentaje 2 5 2 2 2" xfId="1200" xr:uid="{00000000-0005-0000-0000-0000327A0000}"/>
    <cellStyle name="Porcentaje 2 5 2 2 2 2" xfId="2435" xr:uid="{00000000-0005-0000-0000-0000337A0000}"/>
    <cellStyle name="Porcentaje 2 5 2 2 2 2 2" xfId="4902" xr:uid="{00000000-0005-0000-0000-0000347A0000}"/>
    <cellStyle name="Porcentaje 2 5 2 2 2 2 2 2" xfId="9834" xr:uid="{00000000-0005-0000-0000-0000357A0000}"/>
    <cellStyle name="Porcentaje 2 5 2 2 2 2 2 2 2" xfId="19694" xr:uid="{00000000-0005-0000-0000-0000367A0000}"/>
    <cellStyle name="Porcentaje 2 5 2 2 2 2 2 2 2 2" xfId="39409" xr:uid="{00000000-0005-0000-0000-0000377A0000}"/>
    <cellStyle name="Porcentaje 2 5 2 2 2 2 2 2 3" xfId="29552" xr:uid="{00000000-0005-0000-0000-0000387A0000}"/>
    <cellStyle name="Porcentaje 2 5 2 2 2 2 2 3" xfId="14766" xr:uid="{00000000-0005-0000-0000-0000397A0000}"/>
    <cellStyle name="Porcentaje 2 5 2 2 2 2 2 3 2" xfId="34481" xr:uid="{00000000-0005-0000-0000-00003A7A0000}"/>
    <cellStyle name="Porcentaje 2 5 2 2 2 2 2 4" xfId="24624" xr:uid="{00000000-0005-0000-0000-00003B7A0000}"/>
    <cellStyle name="Porcentaje 2 5 2 2 2 2 3" xfId="7370" xr:uid="{00000000-0005-0000-0000-00003C7A0000}"/>
    <cellStyle name="Porcentaje 2 5 2 2 2 2 3 2" xfId="17230" xr:uid="{00000000-0005-0000-0000-00003D7A0000}"/>
    <cellStyle name="Porcentaje 2 5 2 2 2 2 3 2 2" xfId="36945" xr:uid="{00000000-0005-0000-0000-00003E7A0000}"/>
    <cellStyle name="Porcentaje 2 5 2 2 2 2 3 3" xfId="27088" xr:uid="{00000000-0005-0000-0000-00003F7A0000}"/>
    <cellStyle name="Porcentaje 2 5 2 2 2 2 4" xfId="12302" xr:uid="{00000000-0005-0000-0000-0000407A0000}"/>
    <cellStyle name="Porcentaje 2 5 2 2 2 2 4 2" xfId="32017" xr:uid="{00000000-0005-0000-0000-0000417A0000}"/>
    <cellStyle name="Porcentaje 2 5 2 2 2 2 5" xfId="22160" xr:uid="{00000000-0005-0000-0000-0000427A0000}"/>
    <cellStyle name="Porcentaje 2 5 2 2 2 3" xfId="3670" xr:uid="{00000000-0005-0000-0000-0000437A0000}"/>
    <cellStyle name="Porcentaje 2 5 2 2 2 3 2" xfId="8602" xr:uid="{00000000-0005-0000-0000-0000447A0000}"/>
    <cellStyle name="Porcentaje 2 5 2 2 2 3 2 2" xfId="18462" xr:uid="{00000000-0005-0000-0000-0000457A0000}"/>
    <cellStyle name="Porcentaje 2 5 2 2 2 3 2 2 2" xfId="38177" xr:uid="{00000000-0005-0000-0000-0000467A0000}"/>
    <cellStyle name="Porcentaje 2 5 2 2 2 3 2 3" xfId="28320" xr:uid="{00000000-0005-0000-0000-0000477A0000}"/>
    <cellStyle name="Porcentaje 2 5 2 2 2 3 3" xfId="13534" xr:uid="{00000000-0005-0000-0000-0000487A0000}"/>
    <cellStyle name="Porcentaje 2 5 2 2 2 3 3 2" xfId="33249" xr:uid="{00000000-0005-0000-0000-0000497A0000}"/>
    <cellStyle name="Porcentaje 2 5 2 2 2 3 4" xfId="23392" xr:uid="{00000000-0005-0000-0000-00004A7A0000}"/>
    <cellStyle name="Porcentaje 2 5 2 2 2 4" xfId="6138" xr:uid="{00000000-0005-0000-0000-00004B7A0000}"/>
    <cellStyle name="Porcentaje 2 5 2 2 2 4 2" xfId="15998" xr:uid="{00000000-0005-0000-0000-00004C7A0000}"/>
    <cellStyle name="Porcentaje 2 5 2 2 2 4 2 2" xfId="35713" xr:uid="{00000000-0005-0000-0000-00004D7A0000}"/>
    <cellStyle name="Porcentaje 2 5 2 2 2 4 3" xfId="25856" xr:uid="{00000000-0005-0000-0000-00004E7A0000}"/>
    <cellStyle name="Porcentaje 2 5 2 2 2 5" xfId="11070" xr:uid="{00000000-0005-0000-0000-00004F7A0000}"/>
    <cellStyle name="Porcentaje 2 5 2 2 2 5 2" xfId="30785" xr:uid="{00000000-0005-0000-0000-0000507A0000}"/>
    <cellStyle name="Porcentaje 2 5 2 2 2 6" xfId="20928" xr:uid="{00000000-0005-0000-0000-0000517A0000}"/>
    <cellStyle name="Porcentaje 2 5 2 2 3" xfId="1819" xr:uid="{00000000-0005-0000-0000-0000527A0000}"/>
    <cellStyle name="Porcentaje 2 5 2 2 3 2" xfId="4286" xr:uid="{00000000-0005-0000-0000-0000537A0000}"/>
    <cellStyle name="Porcentaje 2 5 2 2 3 2 2" xfId="9218" xr:uid="{00000000-0005-0000-0000-0000547A0000}"/>
    <cellStyle name="Porcentaje 2 5 2 2 3 2 2 2" xfId="19078" xr:uid="{00000000-0005-0000-0000-0000557A0000}"/>
    <cellStyle name="Porcentaje 2 5 2 2 3 2 2 2 2" xfId="38793" xr:uid="{00000000-0005-0000-0000-0000567A0000}"/>
    <cellStyle name="Porcentaje 2 5 2 2 3 2 2 3" xfId="28936" xr:uid="{00000000-0005-0000-0000-0000577A0000}"/>
    <cellStyle name="Porcentaje 2 5 2 2 3 2 3" xfId="14150" xr:uid="{00000000-0005-0000-0000-0000587A0000}"/>
    <cellStyle name="Porcentaje 2 5 2 2 3 2 3 2" xfId="33865" xr:uid="{00000000-0005-0000-0000-0000597A0000}"/>
    <cellStyle name="Porcentaje 2 5 2 2 3 2 4" xfId="24008" xr:uid="{00000000-0005-0000-0000-00005A7A0000}"/>
    <cellStyle name="Porcentaje 2 5 2 2 3 3" xfId="6754" xr:uid="{00000000-0005-0000-0000-00005B7A0000}"/>
    <cellStyle name="Porcentaje 2 5 2 2 3 3 2" xfId="16614" xr:uid="{00000000-0005-0000-0000-00005C7A0000}"/>
    <cellStyle name="Porcentaje 2 5 2 2 3 3 2 2" xfId="36329" xr:uid="{00000000-0005-0000-0000-00005D7A0000}"/>
    <cellStyle name="Porcentaje 2 5 2 2 3 3 3" xfId="26472" xr:uid="{00000000-0005-0000-0000-00005E7A0000}"/>
    <cellStyle name="Porcentaje 2 5 2 2 3 4" xfId="11686" xr:uid="{00000000-0005-0000-0000-00005F7A0000}"/>
    <cellStyle name="Porcentaje 2 5 2 2 3 4 2" xfId="31401" xr:uid="{00000000-0005-0000-0000-0000607A0000}"/>
    <cellStyle name="Porcentaje 2 5 2 2 3 5" xfId="21544" xr:uid="{00000000-0005-0000-0000-0000617A0000}"/>
    <cellStyle name="Porcentaje 2 5 2 2 4" xfId="3054" xr:uid="{00000000-0005-0000-0000-0000627A0000}"/>
    <cellStyle name="Porcentaje 2 5 2 2 4 2" xfId="7986" xr:uid="{00000000-0005-0000-0000-0000637A0000}"/>
    <cellStyle name="Porcentaje 2 5 2 2 4 2 2" xfId="17846" xr:uid="{00000000-0005-0000-0000-0000647A0000}"/>
    <cellStyle name="Porcentaje 2 5 2 2 4 2 2 2" xfId="37561" xr:uid="{00000000-0005-0000-0000-0000657A0000}"/>
    <cellStyle name="Porcentaje 2 5 2 2 4 2 3" xfId="27704" xr:uid="{00000000-0005-0000-0000-0000667A0000}"/>
    <cellStyle name="Porcentaje 2 5 2 2 4 3" xfId="12918" xr:uid="{00000000-0005-0000-0000-0000677A0000}"/>
    <cellStyle name="Porcentaje 2 5 2 2 4 3 2" xfId="32633" xr:uid="{00000000-0005-0000-0000-0000687A0000}"/>
    <cellStyle name="Porcentaje 2 5 2 2 4 4" xfId="22776" xr:uid="{00000000-0005-0000-0000-0000697A0000}"/>
    <cellStyle name="Porcentaje 2 5 2 2 5" xfId="5522" xr:uid="{00000000-0005-0000-0000-00006A7A0000}"/>
    <cellStyle name="Porcentaje 2 5 2 2 5 2" xfId="15382" xr:uid="{00000000-0005-0000-0000-00006B7A0000}"/>
    <cellStyle name="Porcentaje 2 5 2 2 5 2 2" xfId="35097" xr:uid="{00000000-0005-0000-0000-00006C7A0000}"/>
    <cellStyle name="Porcentaje 2 5 2 2 5 3" xfId="25240" xr:uid="{00000000-0005-0000-0000-00006D7A0000}"/>
    <cellStyle name="Porcentaje 2 5 2 2 6" xfId="10454" xr:uid="{00000000-0005-0000-0000-00006E7A0000}"/>
    <cellStyle name="Porcentaje 2 5 2 2 6 2" xfId="30169" xr:uid="{00000000-0005-0000-0000-00006F7A0000}"/>
    <cellStyle name="Porcentaje 2 5 2 2 7" xfId="20312" xr:uid="{00000000-0005-0000-0000-0000707A0000}"/>
    <cellStyle name="Porcentaje 2 5 2 3" xfId="893" xr:uid="{00000000-0005-0000-0000-0000717A0000}"/>
    <cellStyle name="Porcentaje 2 5 2 3 2" xfId="2129" xr:uid="{00000000-0005-0000-0000-0000727A0000}"/>
    <cellStyle name="Porcentaje 2 5 2 3 2 2" xfId="4596" xr:uid="{00000000-0005-0000-0000-0000737A0000}"/>
    <cellStyle name="Porcentaje 2 5 2 3 2 2 2" xfId="9528" xr:uid="{00000000-0005-0000-0000-0000747A0000}"/>
    <cellStyle name="Porcentaje 2 5 2 3 2 2 2 2" xfId="19388" xr:uid="{00000000-0005-0000-0000-0000757A0000}"/>
    <cellStyle name="Porcentaje 2 5 2 3 2 2 2 2 2" xfId="39103" xr:uid="{00000000-0005-0000-0000-0000767A0000}"/>
    <cellStyle name="Porcentaje 2 5 2 3 2 2 2 3" xfId="29246" xr:uid="{00000000-0005-0000-0000-0000777A0000}"/>
    <cellStyle name="Porcentaje 2 5 2 3 2 2 3" xfId="14460" xr:uid="{00000000-0005-0000-0000-0000787A0000}"/>
    <cellStyle name="Porcentaje 2 5 2 3 2 2 3 2" xfId="34175" xr:uid="{00000000-0005-0000-0000-0000797A0000}"/>
    <cellStyle name="Porcentaje 2 5 2 3 2 2 4" xfId="24318" xr:uid="{00000000-0005-0000-0000-00007A7A0000}"/>
    <cellStyle name="Porcentaje 2 5 2 3 2 3" xfId="7064" xr:uid="{00000000-0005-0000-0000-00007B7A0000}"/>
    <cellStyle name="Porcentaje 2 5 2 3 2 3 2" xfId="16924" xr:uid="{00000000-0005-0000-0000-00007C7A0000}"/>
    <cellStyle name="Porcentaje 2 5 2 3 2 3 2 2" xfId="36639" xr:uid="{00000000-0005-0000-0000-00007D7A0000}"/>
    <cellStyle name="Porcentaje 2 5 2 3 2 3 3" xfId="26782" xr:uid="{00000000-0005-0000-0000-00007E7A0000}"/>
    <cellStyle name="Porcentaje 2 5 2 3 2 4" xfId="11996" xr:uid="{00000000-0005-0000-0000-00007F7A0000}"/>
    <cellStyle name="Porcentaje 2 5 2 3 2 4 2" xfId="31711" xr:uid="{00000000-0005-0000-0000-0000807A0000}"/>
    <cellStyle name="Porcentaje 2 5 2 3 2 5" xfId="21854" xr:uid="{00000000-0005-0000-0000-0000817A0000}"/>
    <cellStyle name="Porcentaje 2 5 2 3 3" xfId="3364" xr:uid="{00000000-0005-0000-0000-0000827A0000}"/>
    <cellStyle name="Porcentaje 2 5 2 3 3 2" xfId="8296" xr:uid="{00000000-0005-0000-0000-0000837A0000}"/>
    <cellStyle name="Porcentaje 2 5 2 3 3 2 2" xfId="18156" xr:uid="{00000000-0005-0000-0000-0000847A0000}"/>
    <cellStyle name="Porcentaje 2 5 2 3 3 2 2 2" xfId="37871" xr:uid="{00000000-0005-0000-0000-0000857A0000}"/>
    <cellStyle name="Porcentaje 2 5 2 3 3 2 3" xfId="28014" xr:uid="{00000000-0005-0000-0000-0000867A0000}"/>
    <cellStyle name="Porcentaje 2 5 2 3 3 3" xfId="13228" xr:uid="{00000000-0005-0000-0000-0000877A0000}"/>
    <cellStyle name="Porcentaje 2 5 2 3 3 3 2" xfId="32943" xr:uid="{00000000-0005-0000-0000-0000887A0000}"/>
    <cellStyle name="Porcentaje 2 5 2 3 3 4" xfId="23086" xr:uid="{00000000-0005-0000-0000-0000897A0000}"/>
    <cellStyle name="Porcentaje 2 5 2 3 4" xfId="5832" xr:uid="{00000000-0005-0000-0000-00008A7A0000}"/>
    <cellStyle name="Porcentaje 2 5 2 3 4 2" xfId="15692" xr:uid="{00000000-0005-0000-0000-00008B7A0000}"/>
    <cellStyle name="Porcentaje 2 5 2 3 4 2 2" xfId="35407" xr:uid="{00000000-0005-0000-0000-00008C7A0000}"/>
    <cellStyle name="Porcentaje 2 5 2 3 4 3" xfId="25550" xr:uid="{00000000-0005-0000-0000-00008D7A0000}"/>
    <cellStyle name="Porcentaje 2 5 2 3 5" xfId="10764" xr:uid="{00000000-0005-0000-0000-00008E7A0000}"/>
    <cellStyle name="Porcentaje 2 5 2 3 5 2" xfId="30479" xr:uid="{00000000-0005-0000-0000-00008F7A0000}"/>
    <cellStyle name="Porcentaje 2 5 2 3 6" xfId="20622" xr:uid="{00000000-0005-0000-0000-0000907A0000}"/>
    <cellStyle name="Porcentaje 2 5 2 4" xfId="1513" xr:uid="{00000000-0005-0000-0000-0000917A0000}"/>
    <cellStyle name="Porcentaje 2 5 2 4 2" xfId="3980" xr:uid="{00000000-0005-0000-0000-0000927A0000}"/>
    <cellStyle name="Porcentaje 2 5 2 4 2 2" xfId="8912" xr:uid="{00000000-0005-0000-0000-0000937A0000}"/>
    <cellStyle name="Porcentaje 2 5 2 4 2 2 2" xfId="18772" xr:uid="{00000000-0005-0000-0000-0000947A0000}"/>
    <cellStyle name="Porcentaje 2 5 2 4 2 2 2 2" xfId="38487" xr:uid="{00000000-0005-0000-0000-0000957A0000}"/>
    <cellStyle name="Porcentaje 2 5 2 4 2 2 3" xfId="28630" xr:uid="{00000000-0005-0000-0000-0000967A0000}"/>
    <cellStyle name="Porcentaje 2 5 2 4 2 3" xfId="13844" xr:uid="{00000000-0005-0000-0000-0000977A0000}"/>
    <cellStyle name="Porcentaje 2 5 2 4 2 3 2" xfId="33559" xr:uid="{00000000-0005-0000-0000-0000987A0000}"/>
    <cellStyle name="Porcentaje 2 5 2 4 2 4" xfId="23702" xr:uid="{00000000-0005-0000-0000-0000997A0000}"/>
    <cellStyle name="Porcentaje 2 5 2 4 3" xfId="6448" xr:uid="{00000000-0005-0000-0000-00009A7A0000}"/>
    <cellStyle name="Porcentaje 2 5 2 4 3 2" xfId="16308" xr:uid="{00000000-0005-0000-0000-00009B7A0000}"/>
    <cellStyle name="Porcentaje 2 5 2 4 3 2 2" xfId="36023" xr:uid="{00000000-0005-0000-0000-00009C7A0000}"/>
    <cellStyle name="Porcentaje 2 5 2 4 3 3" xfId="26166" xr:uid="{00000000-0005-0000-0000-00009D7A0000}"/>
    <cellStyle name="Porcentaje 2 5 2 4 4" xfId="11380" xr:uid="{00000000-0005-0000-0000-00009E7A0000}"/>
    <cellStyle name="Porcentaje 2 5 2 4 4 2" xfId="31095" xr:uid="{00000000-0005-0000-0000-00009F7A0000}"/>
    <cellStyle name="Porcentaje 2 5 2 4 5" xfId="21238" xr:uid="{00000000-0005-0000-0000-0000A07A0000}"/>
    <cellStyle name="Porcentaje 2 5 2 5" xfId="2748" xr:uid="{00000000-0005-0000-0000-0000A17A0000}"/>
    <cellStyle name="Porcentaje 2 5 2 5 2" xfId="7680" xr:uid="{00000000-0005-0000-0000-0000A27A0000}"/>
    <cellStyle name="Porcentaje 2 5 2 5 2 2" xfId="17540" xr:uid="{00000000-0005-0000-0000-0000A37A0000}"/>
    <cellStyle name="Porcentaje 2 5 2 5 2 2 2" xfId="37255" xr:uid="{00000000-0005-0000-0000-0000A47A0000}"/>
    <cellStyle name="Porcentaje 2 5 2 5 2 3" xfId="27398" xr:uid="{00000000-0005-0000-0000-0000A57A0000}"/>
    <cellStyle name="Porcentaje 2 5 2 5 3" xfId="12612" xr:uid="{00000000-0005-0000-0000-0000A67A0000}"/>
    <cellStyle name="Porcentaje 2 5 2 5 3 2" xfId="32327" xr:uid="{00000000-0005-0000-0000-0000A77A0000}"/>
    <cellStyle name="Porcentaje 2 5 2 5 4" xfId="22470" xr:uid="{00000000-0005-0000-0000-0000A87A0000}"/>
    <cellStyle name="Porcentaje 2 5 2 6" xfId="5216" xr:uid="{00000000-0005-0000-0000-0000A97A0000}"/>
    <cellStyle name="Porcentaje 2 5 2 6 2" xfId="15076" xr:uid="{00000000-0005-0000-0000-0000AA7A0000}"/>
    <cellStyle name="Porcentaje 2 5 2 6 2 2" xfId="34791" xr:uid="{00000000-0005-0000-0000-0000AB7A0000}"/>
    <cellStyle name="Porcentaje 2 5 2 6 3" xfId="24934" xr:uid="{00000000-0005-0000-0000-0000AC7A0000}"/>
    <cellStyle name="Porcentaje 2 5 2 7" xfId="10148" xr:uid="{00000000-0005-0000-0000-0000AD7A0000}"/>
    <cellStyle name="Porcentaje 2 5 2 7 2" xfId="29863" xr:uid="{00000000-0005-0000-0000-0000AE7A0000}"/>
    <cellStyle name="Porcentaje 2 5 2 8" xfId="20006" xr:uid="{00000000-0005-0000-0000-0000AF7A0000}"/>
    <cellStyle name="Porcentaje 2 5 3" xfId="428" xr:uid="{00000000-0005-0000-0000-0000B07A0000}"/>
    <cellStyle name="Porcentaje 2 5 3 2" xfId="1048" xr:uid="{00000000-0005-0000-0000-0000B17A0000}"/>
    <cellStyle name="Porcentaje 2 5 3 2 2" xfId="2283" xr:uid="{00000000-0005-0000-0000-0000B27A0000}"/>
    <cellStyle name="Porcentaje 2 5 3 2 2 2" xfId="4750" xr:uid="{00000000-0005-0000-0000-0000B37A0000}"/>
    <cellStyle name="Porcentaje 2 5 3 2 2 2 2" xfId="9682" xr:uid="{00000000-0005-0000-0000-0000B47A0000}"/>
    <cellStyle name="Porcentaje 2 5 3 2 2 2 2 2" xfId="19542" xr:uid="{00000000-0005-0000-0000-0000B57A0000}"/>
    <cellStyle name="Porcentaje 2 5 3 2 2 2 2 2 2" xfId="39257" xr:uid="{00000000-0005-0000-0000-0000B67A0000}"/>
    <cellStyle name="Porcentaje 2 5 3 2 2 2 2 3" xfId="29400" xr:uid="{00000000-0005-0000-0000-0000B77A0000}"/>
    <cellStyle name="Porcentaje 2 5 3 2 2 2 3" xfId="14614" xr:uid="{00000000-0005-0000-0000-0000B87A0000}"/>
    <cellStyle name="Porcentaje 2 5 3 2 2 2 3 2" xfId="34329" xr:uid="{00000000-0005-0000-0000-0000B97A0000}"/>
    <cellStyle name="Porcentaje 2 5 3 2 2 2 4" xfId="24472" xr:uid="{00000000-0005-0000-0000-0000BA7A0000}"/>
    <cellStyle name="Porcentaje 2 5 3 2 2 3" xfId="7218" xr:uid="{00000000-0005-0000-0000-0000BB7A0000}"/>
    <cellStyle name="Porcentaje 2 5 3 2 2 3 2" xfId="17078" xr:uid="{00000000-0005-0000-0000-0000BC7A0000}"/>
    <cellStyle name="Porcentaje 2 5 3 2 2 3 2 2" xfId="36793" xr:uid="{00000000-0005-0000-0000-0000BD7A0000}"/>
    <cellStyle name="Porcentaje 2 5 3 2 2 3 3" xfId="26936" xr:uid="{00000000-0005-0000-0000-0000BE7A0000}"/>
    <cellStyle name="Porcentaje 2 5 3 2 2 4" xfId="12150" xr:uid="{00000000-0005-0000-0000-0000BF7A0000}"/>
    <cellStyle name="Porcentaje 2 5 3 2 2 4 2" xfId="31865" xr:uid="{00000000-0005-0000-0000-0000C07A0000}"/>
    <cellStyle name="Porcentaje 2 5 3 2 2 5" xfId="22008" xr:uid="{00000000-0005-0000-0000-0000C17A0000}"/>
    <cellStyle name="Porcentaje 2 5 3 2 3" xfId="3518" xr:uid="{00000000-0005-0000-0000-0000C27A0000}"/>
    <cellStyle name="Porcentaje 2 5 3 2 3 2" xfId="8450" xr:uid="{00000000-0005-0000-0000-0000C37A0000}"/>
    <cellStyle name="Porcentaje 2 5 3 2 3 2 2" xfId="18310" xr:uid="{00000000-0005-0000-0000-0000C47A0000}"/>
    <cellStyle name="Porcentaje 2 5 3 2 3 2 2 2" xfId="38025" xr:uid="{00000000-0005-0000-0000-0000C57A0000}"/>
    <cellStyle name="Porcentaje 2 5 3 2 3 2 3" xfId="28168" xr:uid="{00000000-0005-0000-0000-0000C67A0000}"/>
    <cellStyle name="Porcentaje 2 5 3 2 3 3" xfId="13382" xr:uid="{00000000-0005-0000-0000-0000C77A0000}"/>
    <cellStyle name="Porcentaje 2 5 3 2 3 3 2" xfId="33097" xr:uid="{00000000-0005-0000-0000-0000C87A0000}"/>
    <cellStyle name="Porcentaje 2 5 3 2 3 4" xfId="23240" xr:uid="{00000000-0005-0000-0000-0000C97A0000}"/>
    <cellStyle name="Porcentaje 2 5 3 2 4" xfId="5986" xr:uid="{00000000-0005-0000-0000-0000CA7A0000}"/>
    <cellStyle name="Porcentaje 2 5 3 2 4 2" xfId="15846" xr:uid="{00000000-0005-0000-0000-0000CB7A0000}"/>
    <cellStyle name="Porcentaje 2 5 3 2 4 2 2" xfId="35561" xr:uid="{00000000-0005-0000-0000-0000CC7A0000}"/>
    <cellStyle name="Porcentaje 2 5 3 2 4 3" xfId="25704" xr:uid="{00000000-0005-0000-0000-0000CD7A0000}"/>
    <cellStyle name="Porcentaje 2 5 3 2 5" xfId="10918" xr:uid="{00000000-0005-0000-0000-0000CE7A0000}"/>
    <cellStyle name="Porcentaje 2 5 3 2 5 2" xfId="30633" xr:uid="{00000000-0005-0000-0000-0000CF7A0000}"/>
    <cellStyle name="Porcentaje 2 5 3 2 6" xfId="20776" xr:uid="{00000000-0005-0000-0000-0000D07A0000}"/>
    <cellStyle name="Porcentaje 2 5 3 3" xfId="1667" xr:uid="{00000000-0005-0000-0000-0000D17A0000}"/>
    <cellStyle name="Porcentaje 2 5 3 3 2" xfId="4134" xr:uid="{00000000-0005-0000-0000-0000D27A0000}"/>
    <cellStyle name="Porcentaje 2 5 3 3 2 2" xfId="9066" xr:uid="{00000000-0005-0000-0000-0000D37A0000}"/>
    <cellStyle name="Porcentaje 2 5 3 3 2 2 2" xfId="18926" xr:uid="{00000000-0005-0000-0000-0000D47A0000}"/>
    <cellStyle name="Porcentaje 2 5 3 3 2 2 2 2" xfId="38641" xr:uid="{00000000-0005-0000-0000-0000D57A0000}"/>
    <cellStyle name="Porcentaje 2 5 3 3 2 2 3" xfId="28784" xr:uid="{00000000-0005-0000-0000-0000D67A0000}"/>
    <cellStyle name="Porcentaje 2 5 3 3 2 3" xfId="13998" xr:uid="{00000000-0005-0000-0000-0000D77A0000}"/>
    <cellStyle name="Porcentaje 2 5 3 3 2 3 2" xfId="33713" xr:uid="{00000000-0005-0000-0000-0000D87A0000}"/>
    <cellStyle name="Porcentaje 2 5 3 3 2 4" xfId="23856" xr:uid="{00000000-0005-0000-0000-0000D97A0000}"/>
    <cellStyle name="Porcentaje 2 5 3 3 3" xfId="6602" xr:uid="{00000000-0005-0000-0000-0000DA7A0000}"/>
    <cellStyle name="Porcentaje 2 5 3 3 3 2" xfId="16462" xr:uid="{00000000-0005-0000-0000-0000DB7A0000}"/>
    <cellStyle name="Porcentaje 2 5 3 3 3 2 2" xfId="36177" xr:uid="{00000000-0005-0000-0000-0000DC7A0000}"/>
    <cellStyle name="Porcentaje 2 5 3 3 3 3" xfId="26320" xr:uid="{00000000-0005-0000-0000-0000DD7A0000}"/>
    <cellStyle name="Porcentaje 2 5 3 3 4" xfId="11534" xr:uid="{00000000-0005-0000-0000-0000DE7A0000}"/>
    <cellStyle name="Porcentaje 2 5 3 3 4 2" xfId="31249" xr:uid="{00000000-0005-0000-0000-0000DF7A0000}"/>
    <cellStyle name="Porcentaje 2 5 3 3 5" xfId="21392" xr:uid="{00000000-0005-0000-0000-0000E07A0000}"/>
    <cellStyle name="Porcentaje 2 5 3 4" xfId="2902" xr:uid="{00000000-0005-0000-0000-0000E17A0000}"/>
    <cellStyle name="Porcentaje 2 5 3 4 2" xfId="7834" xr:uid="{00000000-0005-0000-0000-0000E27A0000}"/>
    <cellStyle name="Porcentaje 2 5 3 4 2 2" xfId="17694" xr:uid="{00000000-0005-0000-0000-0000E37A0000}"/>
    <cellStyle name="Porcentaje 2 5 3 4 2 2 2" xfId="37409" xr:uid="{00000000-0005-0000-0000-0000E47A0000}"/>
    <cellStyle name="Porcentaje 2 5 3 4 2 3" xfId="27552" xr:uid="{00000000-0005-0000-0000-0000E57A0000}"/>
    <cellStyle name="Porcentaje 2 5 3 4 3" xfId="12766" xr:uid="{00000000-0005-0000-0000-0000E67A0000}"/>
    <cellStyle name="Porcentaje 2 5 3 4 3 2" xfId="32481" xr:uid="{00000000-0005-0000-0000-0000E77A0000}"/>
    <cellStyle name="Porcentaje 2 5 3 4 4" xfId="22624" xr:uid="{00000000-0005-0000-0000-0000E87A0000}"/>
    <cellStyle name="Porcentaje 2 5 3 5" xfId="5370" xr:uid="{00000000-0005-0000-0000-0000E97A0000}"/>
    <cellStyle name="Porcentaje 2 5 3 5 2" xfId="15230" xr:uid="{00000000-0005-0000-0000-0000EA7A0000}"/>
    <cellStyle name="Porcentaje 2 5 3 5 2 2" xfId="34945" xr:uid="{00000000-0005-0000-0000-0000EB7A0000}"/>
    <cellStyle name="Porcentaje 2 5 3 5 3" xfId="25088" xr:uid="{00000000-0005-0000-0000-0000EC7A0000}"/>
    <cellStyle name="Porcentaje 2 5 3 6" xfId="10302" xr:uid="{00000000-0005-0000-0000-0000ED7A0000}"/>
    <cellStyle name="Porcentaje 2 5 3 6 2" xfId="30017" xr:uid="{00000000-0005-0000-0000-0000EE7A0000}"/>
    <cellStyle name="Porcentaje 2 5 3 7" xfId="20160" xr:uid="{00000000-0005-0000-0000-0000EF7A0000}"/>
    <cellStyle name="Porcentaje 2 5 4" xfId="741" xr:uid="{00000000-0005-0000-0000-0000F07A0000}"/>
    <cellStyle name="Porcentaje 2 5 4 2" xfId="1977" xr:uid="{00000000-0005-0000-0000-0000F17A0000}"/>
    <cellStyle name="Porcentaje 2 5 4 2 2" xfId="4444" xr:uid="{00000000-0005-0000-0000-0000F27A0000}"/>
    <cellStyle name="Porcentaje 2 5 4 2 2 2" xfId="9376" xr:uid="{00000000-0005-0000-0000-0000F37A0000}"/>
    <cellStyle name="Porcentaje 2 5 4 2 2 2 2" xfId="19236" xr:uid="{00000000-0005-0000-0000-0000F47A0000}"/>
    <cellStyle name="Porcentaje 2 5 4 2 2 2 2 2" xfId="38951" xr:uid="{00000000-0005-0000-0000-0000F57A0000}"/>
    <cellStyle name="Porcentaje 2 5 4 2 2 2 3" xfId="29094" xr:uid="{00000000-0005-0000-0000-0000F67A0000}"/>
    <cellStyle name="Porcentaje 2 5 4 2 2 3" xfId="14308" xr:uid="{00000000-0005-0000-0000-0000F77A0000}"/>
    <cellStyle name="Porcentaje 2 5 4 2 2 3 2" xfId="34023" xr:uid="{00000000-0005-0000-0000-0000F87A0000}"/>
    <cellStyle name="Porcentaje 2 5 4 2 2 4" xfId="24166" xr:uid="{00000000-0005-0000-0000-0000F97A0000}"/>
    <cellStyle name="Porcentaje 2 5 4 2 3" xfId="6912" xr:uid="{00000000-0005-0000-0000-0000FA7A0000}"/>
    <cellStyle name="Porcentaje 2 5 4 2 3 2" xfId="16772" xr:uid="{00000000-0005-0000-0000-0000FB7A0000}"/>
    <cellStyle name="Porcentaje 2 5 4 2 3 2 2" xfId="36487" xr:uid="{00000000-0005-0000-0000-0000FC7A0000}"/>
    <cellStyle name="Porcentaje 2 5 4 2 3 3" xfId="26630" xr:uid="{00000000-0005-0000-0000-0000FD7A0000}"/>
    <cellStyle name="Porcentaje 2 5 4 2 4" xfId="11844" xr:uid="{00000000-0005-0000-0000-0000FE7A0000}"/>
    <cellStyle name="Porcentaje 2 5 4 2 4 2" xfId="31559" xr:uid="{00000000-0005-0000-0000-0000FF7A0000}"/>
    <cellStyle name="Porcentaje 2 5 4 2 5" xfId="21702" xr:uid="{00000000-0005-0000-0000-0000007B0000}"/>
    <cellStyle name="Porcentaje 2 5 4 3" xfId="3212" xr:uid="{00000000-0005-0000-0000-0000017B0000}"/>
    <cellStyle name="Porcentaje 2 5 4 3 2" xfId="8144" xr:uid="{00000000-0005-0000-0000-0000027B0000}"/>
    <cellStyle name="Porcentaje 2 5 4 3 2 2" xfId="18004" xr:uid="{00000000-0005-0000-0000-0000037B0000}"/>
    <cellStyle name="Porcentaje 2 5 4 3 2 2 2" xfId="37719" xr:uid="{00000000-0005-0000-0000-0000047B0000}"/>
    <cellStyle name="Porcentaje 2 5 4 3 2 3" xfId="27862" xr:uid="{00000000-0005-0000-0000-0000057B0000}"/>
    <cellStyle name="Porcentaje 2 5 4 3 3" xfId="13076" xr:uid="{00000000-0005-0000-0000-0000067B0000}"/>
    <cellStyle name="Porcentaje 2 5 4 3 3 2" xfId="32791" xr:uid="{00000000-0005-0000-0000-0000077B0000}"/>
    <cellStyle name="Porcentaje 2 5 4 3 4" xfId="22934" xr:uid="{00000000-0005-0000-0000-0000087B0000}"/>
    <cellStyle name="Porcentaje 2 5 4 4" xfId="5680" xr:uid="{00000000-0005-0000-0000-0000097B0000}"/>
    <cellStyle name="Porcentaje 2 5 4 4 2" xfId="15540" xr:uid="{00000000-0005-0000-0000-00000A7B0000}"/>
    <cellStyle name="Porcentaje 2 5 4 4 2 2" xfId="35255" xr:uid="{00000000-0005-0000-0000-00000B7B0000}"/>
    <cellStyle name="Porcentaje 2 5 4 4 3" xfId="25398" xr:uid="{00000000-0005-0000-0000-00000C7B0000}"/>
    <cellStyle name="Porcentaje 2 5 4 5" xfId="10612" xr:uid="{00000000-0005-0000-0000-00000D7B0000}"/>
    <cellStyle name="Porcentaje 2 5 4 5 2" xfId="30327" xr:uid="{00000000-0005-0000-0000-00000E7B0000}"/>
    <cellStyle name="Porcentaje 2 5 4 6" xfId="20470" xr:uid="{00000000-0005-0000-0000-00000F7B0000}"/>
    <cellStyle name="Porcentaje 2 5 5" xfId="1361" xr:uid="{00000000-0005-0000-0000-0000107B0000}"/>
    <cellStyle name="Porcentaje 2 5 5 2" xfId="3828" xr:uid="{00000000-0005-0000-0000-0000117B0000}"/>
    <cellStyle name="Porcentaje 2 5 5 2 2" xfId="8760" xr:uid="{00000000-0005-0000-0000-0000127B0000}"/>
    <cellStyle name="Porcentaje 2 5 5 2 2 2" xfId="18620" xr:uid="{00000000-0005-0000-0000-0000137B0000}"/>
    <cellStyle name="Porcentaje 2 5 5 2 2 2 2" xfId="38335" xr:uid="{00000000-0005-0000-0000-0000147B0000}"/>
    <cellStyle name="Porcentaje 2 5 5 2 2 3" xfId="28478" xr:uid="{00000000-0005-0000-0000-0000157B0000}"/>
    <cellStyle name="Porcentaje 2 5 5 2 3" xfId="13692" xr:uid="{00000000-0005-0000-0000-0000167B0000}"/>
    <cellStyle name="Porcentaje 2 5 5 2 3 2" xfId="33407" xr:uid="{00000000-0005-0000-0000-0000177B0000}"/>
    <cellStyle name="Porcentaje 2 5 5 2 4" xfId="23550" xr:uid="{00000000-0005-0000-0000-0000187B0000}"/>
    <cellStyle name="Porcentaje 2 5 5 3" xfId="6296" xr:uid="{00000000-0005-0000-0000-0000197B0000}"/>
    <cellStyle name="Porcentaje 2 5 5 3 2" xfId="16156" xr:uid="{00000000-0005-0000-0000-00001A7B0000}"/>
    <cellStyle name="Porcentaje 2 5 5 3 2 2" xfId="35871" xr:uid="{00000000-0005-0000-0000-00001B7B0000}"/>
    <cellStyle name="Porcentaje 2 5 5 3 3" xfId="26014" xr:uid="{00000000-0005-0000-0000-00001C7B0000}"/>
    <cellStyle name="Porcentaje 2 5 5 4" xfId="11228" xr:uid="{00000000-0005-0000-0000-00001D7B0000}"/>
    <cellStyle name="Porcentaje 2 5 5 4 2" xfId="30943" xr:uid="{00000000-0005-0000-0000-00001E7B0000}"/>
    <cellStyle name="Porcentaje 2 5 5 5" xfId="21086" xr:uid="{00000000-0005-0000-0000-00001F7B0000}"/>
    <cellStyle name="Porcentaje 2 5 6" xfId="2596" xr:uid="{00000000-0005-0000-0000-0000207B0000}"/>
    <cellStyle name="Porcentaje 2 5 6 2" xfId="7528" xr:uid="{00000000-0005-0000-0000-0000217B0000}"/>
    <cellStyle name="Porcentaje 2 5 6 2 2" xfId="17388" xr:uid="{00000000-0005-0000-0000-0000227B0000}"/>
    <cellStyle name="Porcentaje 2 5 6 2 2 2" xfId="37103" xr:uid="{00000000-0005-0000-0000-0000237B0000}"/>
    <cellStyle name="Porcentaje 2 5 6 2 3" xfId="27246" xr:uid="{00000000-0005-0000-0000-0000247B0000}"/>
    <cellStyle name="Porcentaje 2 5 6 3" xfId="12460" xr:uid="{00000000-0005-0000-0000-0000257B0000}"/>
    <cellStyle name="Porcentaje 2 5 6 3 2" xfId="32175" xr:uid="{00000000-0005-0000-0000-0000267B0000}"/>
    <cellStyle name="Porcentaje 2 5 6 4" xfId="22318" xr:uid="{00000000-0005-0000-0000-0000277B0000}"/>
    <cellStyle name="Porcentaje 2 5 7" xfId="5064" xr:uid="{00000000-0005-0000-0000-0000287B0000}"/>
    <cellStyle name="Porcentaje 2 5 7 2" xfId="14924" xr:uid="{00000000-0005-0000-0000-0000297B0000}"/>
    <cellStyle name="Porcentaje 2 5 7 2 2" xfId="34639" xr:uid="{00000000-0005-0000-0000-00002A7B0000}"/>
    <cellStyle name="Porcentaje 2 5 7 3" xfId="24782" xr:uid="{00000000-0005-0000-0000-00002B7B0000}"/>
    <cellStyle name="Porcentaje 2 5 8" xfId="9996" xr:uid="{00000000-0005-0000-0000-00002C7B0000}"/>
    <cellStyle name="Porcentaje 2 5 8 2" xfId="29711" xr:uid="{00000000-0005-0000-0000-00002D7B0000}"/>
    <cellStyle name="Porcentaje 2 5 9" xfId="19854" xr:uid="{00000000-0005-0000-0000-00002E7B0000}"/>
    <cellStyle name="Porcentaje 2 6" xfId="189" xr:uid="{00000000-0005-0000-0000-00002F7B0000}"/>
    <cellStyle name="Porcentaje 2 6 2" xfId="504" xr:uid="{00000000-0005-0000-0000-0000307B0000}"/>
    <cellStyle name="Porcentaje 2 6 2 2" xfId="1124" xr:uid="{00000000-0005-0000-0000-0000317B0000}"/>
    <cellStyle name="Porcentaje 2 6 2 2 2" xfId="2359" xr:uid="{00000000-0005-0000-0000-0000327B0000}"/>
    <cellStyle name="Porcentaje 2 6 2 2 2 2" xfId="4826" xr:uid="{00000000-0005-0000-0000-0000337B0000}"/>
    <cellStyle name="Porcentaje 2 6 2 2 2 2 2" xfId="9758" xr:uid="{00000000-0005-0000-0000-0000347B0000}"/>
    <cellStyle name="Porcentaje 2 6 2 2 2 2 2 2" xfId="19618" xr:uid="{00000000-0005-0000-0000-0000357B0000}"/>
    <cellStyle name="Porcentaje 2 6 2 2 2 2 2 2 2" xfId="39333" xr:uid="{00000000-0005-0000-0000-0000367B0000}"/>
    <cellStyle name="Porcentaje 2 6 2 2 2 2 2 3" xfId="29476" xr:uid="{00000000-0005-0000-0000-0000377B0000}"/>
    <cellStyle name="Porcentaje 2 6 2 2 2 2 3" xfId="14690" xr:uid="{00000000-0005-0000-0000-0000387B0000}"/>
    <cellStyle name="Porcentaje 2 6 2 2 2 2 3 2" xfId="34405" xr:uid="{00000000-0005-0000-0000-0000397B0000}"/>
    <cellStyle name="Porcentaje 2 6 2 2 2 2 4" xfId="24548" xr:uid="{00000000-0005-0000-0000-00003A7B0000}"/>
    <cellStyle name="Porcentaje 2 6 2 2 2 3" xfId="7294" xr:uid="{00000000-0005-0000-0000-00003B7B0000}"/>
    <cellStyle name="Porcentaje 2 6 2 2 2 3 2" xfId="17154" xr:uid="{00000000-0005-0000-0000-00003C7B0000}"/>
    <cellStyle name="Porcentaje 2 6 2 2 2 3 2 2" xfId="36869" xr:uid="{00000000-0005-0000-0000-00003D7B0000}"/>
    <cellStyle name="Porcentaje 2 6 2 2 2 3 3" xfId="27012" xr:uid="{00000000-0005-0000-0000-00003E7B0000}"/>
    <cellStyle name="Porcentaje 2 6 2 2 2 4" xfId="12226" xr:uid="{00000000-0005-0000-0000-00003F7B0000}"/>
    <cellStyle name="Porcentaje 2 6 2 2 2 4 2" xfId="31941" xr:uid="{00000000-0005-0000-0000-0000407B0000}"/>
    <cellStyle name="Porcentaje 2 6 2 2 2 5" xfId="22084" xr:uid="{00000000-0005-0000-0000-0000417B0000}"/>
    <cellStyle name="Porcentaje 2 6 2 2 3" xfId="3594" xr:uid="{00000000-0005-0000-0000-0000427B0000}"/>
    <cellStyle name="Porcentaje 2 6 2 2 3 2" xfId="8526" xr:uid="{00000000-0005-0000-0000-0000437B0000}"/>
    <cellStyle name="Porcentaje 2 6 2 2 3 2 2" xfId="18386" xr:uid="{00000000-0005-0000-0000-0000447B0000}"/>
    <cellStyle name="Porcentaje 2 6 2 2 3 2 2 2" xfId="38101" xr:uid="{00000000-0005-0000-0000-0000457B0000}"/>
    <cellStyle name="Porcentaje 2 6 2 2 3 2 3" xfId="28244" xr:uid="{00000000-0005-0000-0000-0000467B0000}"/>
    <cellStyle name="Porcentaje 2 6 2 2 3 3" xfId="13458" xr:uid="{00000000-0005-0000-0000-0000477B0000}"/>
    <cellStyle name="Porcentaje 2 6 2 2 3 3 2" xfId="33173" xr:uid="{00000000-0005-0000-0000-0000487B0000}"/>
    <cellStyle name="Porcentaje 2 6 2 2 3 4" xfId="23316" xr:uid="{00000000-0005-0000-0000-0000497B0000}"/>
    <cellStyle name="Porcentaje 2 6 2 2 4" xfId="6062" xr:uid="{00000000-0005-0000-0000-00004A7B0000}"/>
    <cellStyle name="Porcentaje 2 6 2 2 4 2" xfId="15922" xr:uid="{00000000-0005-0000-0000-00004B7B0000}"/>
    <cellStyle name="Porcentaje 2 6 2 2 4 2 2" xfId="35637" xr:uid="{00000000-0005-0000-0000-00004C7B0000}"/>
    <cellStyle name="Porcentaje 2 6 2 2 4 3" xfId="25780" xr:uid="{00000000-0005-0000-0000-00004D7B0000}"/>
    <cellStyle name="Porcentaje 2 6 2 2 5" xfId="10994" xr:uid="{00000000-0005-0000-0000-00004E7B0000}"/>
    <cellStyle name="Porcentaje 2 6 2 2 5 2" xfId="30709" xr:uid="{00000000-0005-0000-0000-00004F7B0000}"/>
    <cellStyle name="Porcentaje 2 6 2 2 6" xfId="20852" xr:uid="{00000000-0005-0000-0000-0000507B0000}"/>
    <cellStyle name="Porcentaje 2 6 2 3" xfId="1743" xr:uid="{00000000-0005-0000-0000-0000517B0000}"/>
    <cellStyle name="Porcentaje 2 6 2 3 2" xfId="4210" xr:uid="{00000000-0005-0000-0000-0000527B0000}"/>
    <cellStyle name="Porcentaje 2 6 2 3 2 2" xfId="9142" xr:uid="{00000000-0005-0000-0000-0000537B0000}"/>
    <cellStyle name="Porcentaje 2 6 2 3 2 2 2" xfId="19002" xr:uid="{00000000-0005-0000-0000-0000547B0000}"/>
    <cellStyle name="Porcentaje 2 6 2 3 2 2 2 2" xfId="38717" xr:uid="{00000000-0005-0000-0000-0000557B0000}"/>
    <cellStyle name="Porcentaje 2 6 2 3 2 2 3" xfId="28860" xr:uid="{00000000-0005-0000-0000-0000567B0000}"/>
    <cellStyle name="Porcentaje 2 6 2 3 2 3" xfId="14074" xr:uid="{00000000-0005-0000-0000-0000577B0000}"/>
    <cellStyle name="Porcentaje 2 6 2 3 2 3 2" xfId="33789" xr:uid="{00000000-0005-0000-0000-0000587B0000}"/>
    <cellStyle name="Porcentaje 2 6 2 3 2 4" xfId="23932" xr:uid="{00000000-0005-0000-0000-0000597B0000}"/>
    <cellStyle name="Porcentaje 2 6 2 3 3" xfId="6678" xr:uid="{00000000-0005-0000-0000-00005A7B0000}"/>
    <cellStyle name="Porcentaje 2 6 2 3 3 2" xfId="16538" xr:uid="{00000000-0005-0000-0000-00005B7B0000}"/>
    <cellStyle name="Porcentaje 2 6 2 3 3 2 2" xfId="36253" xr:uid="{00000000-0005-0000-0000-00005C7B0000}"/>
    <cellStyle name="Porcentaje 2 6 2 3 3 3" xfId="26396" xr:uid="{00000000-0005-0000-0000-00005D7B0000}"/>
    <cellStyle name="Porcentaje 2 6 2 3 4" xfId="11610" xr:uid="{00000000-0005-0000-0000-00005E7B0000}"/>
    <cellStyle name="Porcentaje 2 6 2 3 4 2" xfId="31325" xr:uid="{00000000-0005-0000-0000-00005F7B0000}"/>
    <cellStyle name="Porcentaje 2 6 2 3 5" xfId="21468" xr:uid="{00000000-0005-0000-0000-0000607B0000}"/>
    <cellStyle name="Porcentaje 2 6 2 4" xfId="2978" xr:uid="{00000000-0005-0000-0000-0000617B0000}"/>
    <cellStyle name="Porcentaje 2 6 2 4 2" xfId="7910" xr:uid="{00000000-0005-0000-0000-0000627B0000}"/>
    <cellStyle name="Porcentaje 2 6 2 4 2 2" xfId="17770" xr:uid="{00000000-0005-0000-0000-0000637B0000}"/>
    <cellStyle name="Porcentaje 2 6 2 4 2 2 2" xfId="37485" xr:uid="{00000000-0005-0000-0000-0000647B0000}"/>
    <cellStyle name="Porcentaje 2 6 2 4 2 3" xfId="27628" xr:uid="{00000000-0005-0000-0000-0000657B0000}"/>
    <cellStyle name="Porcentaje 2 6 2 4 3" xfId="12842" xr:uid="{00000000-0005-0000-0000-0000667B0000}"/>
    <cellStyle name="Porcentaje 2 6 2 4 3 2" xfId="32557" xr:uid="{00000000-0005-0000-0000-0000677B0000}"/>
    <cellStyle name="Porcentaje 2 6 2 4 4" xfId="22700" xr:uid="{00000000-0005-0000-0000-0000687B0000}"/>
    <cellStyle name="Porcentaje 2 6 2 5" xfId="5446" xr:uid="{00000000-0005-0000-0000-0000697B0000}"/>
    <cellStyle name="Porcentaje 2 6 2 5 2" xfId="15306" xr:uid="{00000000-0005-0000-0000-00006A7B0000}"/>
    <cellStyle name="Porcentaje 2 6 2 5 2 2" xfId="35021" xr:uid="{00000000-0005-0000-0000-00006B7B0000}"/>
    <cellStyle name="Porcentaje 2 6 2 5 3" xfId="25164" xr:uid="{00000000-0005-0000-0000-00006C7B0000}"/>
    <cellStyle name="Porcentaje 2 6 2 6" xfId="10378" xr:uid="{00000000-0005-0000-0000-00006D7B0000}"/>
    <cellStyle name="Porcentaje 2 6 2 6 2" xfId="30093" xr:uid="{00000000-0005-0000-0000-00006E7B0000}"/>
    <cellStyle name="Porcentaje 2 6 2 7" xfId="20236" xr:uid="{00000000-0005-0000-0000-00006F7B0000}"/>
    <cellStyle name="Porcentaje 2 6 3" xfId="817" xr:uid="{00000000-0005-0000-0000-0000707B0000}"/>
    <cellStyle name="Porcentaje 2 6 3 2" xfId="2053" xr:uid="{00000000-0005-0000-0000-0000717B0000}"/>
    <cellStyle name="Porcentaje 2 6 3 2 2" xfId="4520" xr:uid="{00000000-0005-0000-0000-0000727B0000}"/>
    <cellStyle name="Porcentaje 2 6 3 2 2 2" xfId="9452" xr:uid="{00000000-0005-0000-0000-0000737B0000}"/>
    <cellStyle name="Porcentaje 2 6 3 2 2 2 2" xfId="19312" xr:uid="{00000000-0005-0000-0000-0000747B0000}"/>
    <cellStyle name="Porcentaje 2 6 3 2 2 2 2 2" xfId="39027" xr:uid="{00000000-0005-0000-0000-0000757B0000}"/>
    <cellStyle name="Porcentaje 2 6 3 2 2 2 3" xfId="29170" xr:uid="{00000000-0005-0000-0000-0000767B0000}"/>
    <cellStyle name="Porcentaje 2 6 3 2 2 3" xfId="14384" xr:uid="{00000000-0005-0000-0000-0000777B0000}"/>
    <cellStyle name="Porcentaje 2 6 3 2 2 3 2" xfId="34099" xr:uid="{00000000-0005-0000-0000-0000787B0000}"/>
    <cellStyle name="Porcentaje 2 6 3 2 2 4" xfId="24242" xr:uid="{00000000-0005-0000-0000-0000797B0000}"/>
    <cellStyle name="Porcentaje 2 6 3 2 3" xfId="6988" xr:uid="{00000000-0005-0000-0000-00007A7B0000}"/>
    <cellStyle name="Porcentaje 2 6 3 2 3 2" xfId="16848" xr:uid="{00000000-0005-0000-0000-00007B7B0000}"/>
    <cellStyle name="Porcentaje 2 6 3 2 3 2 2" xfId="36563" xr:uid="{00000000-0005-0000-0000-00007C7B0000}"/>
    <cellStyle name="Porcentaje 2 6 3 2 3 3" xfId="26706" xr:uid="{00000000-0005-0000-0000-00007D7B0000}"/>
    <cellStyle name="Porcentaje 2 6 3 2 4" xfId="11920" xr:uid="{00000000-0005-0000-0000-00007E7B0000}"/>
    <cellStyle name="Porcentaje 2 6 3 2 4 2" xfId="31635" xr:uid="{00000000-0005-0000-0000-00007F7B0000}"/>
    <cellStyle name="Porcentaje 2 6 3 2 5" xfId="21778" xr:uid="{00000000-0005-0000-0000-0000807B0000}"/>
    <cellStyle name="Porcentaje 2 6 3 3" xfId="3288" xr:uid="{00000000-0005-0000-0000-0000817B0000}"/>
    <cellStyle name="Porcentaje 2 6 3 3 2" xfId="8220" xr:uid="{00000000-0005-0000-0000-0000827B0000}"/>
    <cellStyle name="Porcentaje 2 6 3 3 2 2" xfId="18080" xr:uid="{00000000-0005-0000-0000-0000837B0000}"/>
    <cellStyle name="Porcentaje 2 6 3 3 2 2 2" xfId="37795" xr:uid="{00000000-0005-0000-0000-0000847B0000}"/>
    <cellStyle name="Porcentaje 2 6 3 3 2 3" xfId="27938" xr:uid="{00000000-0005-0000-0000-0000857B0000}"/>
    <cellStyle name="Porcentaje 2 6 3 3 3" xfId="13152" xr:uid="{00000000-0005-0000-0000-0000867B0000}"/>
    <cellStyle name="Porcentaje 2 6 3 3 3 2" xfId="32867" xr:uid="{00000000-0005-0000-0000-0000877B0000}"/>
    <cellStyle name="Porcentaje 2 6 3 3 4" xfId="23010" xr:uid="{00000000-0005-0000-0000-0000887B0000}"/>
    <cellStyle name="Porcentaje 2 6 3 4" xfId="5756" xr:uid="{00000000-0005-0000-0000-0000897B0000}"/>
    <cellStyle name="Porcentaje 2 6 3 4 2" xfId="15616" xr:uid="{00000000-0005-0000-0000-00008A7B0000}"/>
    <cellStyle name="Porcentaje 2 6 3 4 2 2" xfId="35331" xr:uid="{00000000-0005-0000-0000-00008B7B0000}"/>
    <cellStyle name="Porcentaje 2 6 3 4 3" xfId="25474" xr:uid="{00000000-0005-0000-0000-00008C7B0000}"/>
    <cellStyle name="Porcentaje 2 6 3 5" xfId="10688" xr:uid="{00000000-0005-0000-0000-00008D7B0000}"/>
    <cellStyle name="Porcentaje 2 6 3 5 2" xfId="30403" xr:uid="{00000000-0005-0000-0000-00008E7B0000}"/>
    <cellStyle name="Porcentaje 2 6 3 6" xfId="20546" xr:uid="{00000000-0005-0000-0000-00008F7B0000}"/>
    <cellStyle name="Porcentaje 2 6 4" xfId="1437" xr:uid="{00000000-0005-0000-0000-0000907B0000}"/>
    <cellStyle name="Porcentaje 2 6 4 2" xfId="3904" xr:uid="{00000000-0005-0000-0000-0000917B0000}"/>
    <cellStyle name="Porcentaje 2 6 4 2 2" xfId="8836" xr:uid="{00000000-0005-0000-0000-0000927B0000}"/>
    <cellStyle name="Porcentaje 2 6 4 2 2 2" xfId="18696" xr:uid="{00000000-0005-0000-0000-0000937B0000}"/>
    <cellStyle name="Porcentaje 2 6 4 2 2 2 2" xfId="38411" xr:uid="{00000000-0005-0000-0000-0000947B0000}"/>
    <cellStyle name="Porcentaje 2 6 4 2 2 3" xfId="28554" xr:uid="{00000000-0005-0000-0000-0000957B0000}"/>
    <cellStyle name="Porcentaje 2 6 4 2 3" xfId="13768" xr:uid="{00000000-0005-0000-0000-0000967B0000}"/>
    <cellStyle name="Porcentaje 2 6 4 2 3 2" xfId="33483" xr:uid="{00000000-0005-0000-0000-0000977B0000}"/>
    <cellStyle name="Porcentaje 2 6 4 2 4" xfId="23626" xr:uid="{00000000-0005-0000-0000-0000987B0000}"/>
    <cellStyle name="Porcentaje 2 6 4 3" xfId="6372" xr:uid="{00000000-0005-0000-0000-0000997B0000}"/>
    <cellStyle name="Porcentaje 2 6 4 3 2" xfId="16232" xr:uid="{00000000-0005-0000-0000-00009A7B0000}"/>
    <cellStyle name="Porcentaje 2 6 4 3 2 2" xfId="35947" xr:uid="{00000000-0005-0000-0000-00009B7B0000}"/>
    <cellStyle name="Porcentaje 2 6 4 3 3" xfId="26090" xr:uid="{00000000-0005-0000-0000-00009C7B0000}"/>
    <cellStyle name="Porcentaje 2 6 4 4" xfId="11304" xr:uid="{00000000-0005-0000-0000-00009D7B0000}"/>
    <cellStyle name="Porcentaje 2 6 4 4 2" xfId="31019" xr:uid="{00000000-0005-0000-0000-00009E7B0000}"/>
    <cellStyle name="Porcentaje 2 6 4 5" xfId="21162" xr:uid="{00000000-0005-0000-0000-00009F7B0000}"/>
    <cellStyle name="Porcentaje 2 6 5" xfId="2672" xr:uid="{00000000-0005-0000-0000-0000A07B0000}"/>
    <cellStyle name="Porcentaje 2 6 5 2" xfId="7604" xr:uid="{00000000-0005-0000-0000-0000A17B0000}"/>
    <cellStyle name="Porcentaje 2 6 5 2 2" xfId="17464" xr:uid="{00000000-0005-0000-0000-0000A27B0000}"/>
    <cellStyle name="Porcentaje 2 6 5 2 2 2" xfId="37179" xr:uid="{00000000-0005-0000-0000-0000A37B0000}"/>
    <cellStyle name="Porcentaje 2 6 5 2 3" xfId="27322" xr:uid="{00000000-0005-0000-0000-0000A47B0000}"/>
    <cellStyle name="Porcentaje 2 6 5 3" xfId="12536" xr:uid="{00000000-0005-0000-0000-0000A57B0000}"/>
    <cellStyle name="Porcentaje 2 6 5 3 2" xfId="32251" xr:uid="{00000000-0005-0000-0000-0000A67B0000}"/>
    <cellStyle name="Porcentaje 2 6 5 4" xfId="22394" xr:uid="{00000000-0005-0000-0000-0000A77B0000}"/>
    <cellStyle name="Porcentaje 2 6 6" xfId="5140" xr:uid="{00000000-0005-0000-0000-0000A87B0000}"/>
    <cellStyle name="Porcentaje 2 6 6 2" xfId="15000" xr:uid="{00000000-0005-0000-0000-0000A97B0000}"/>
    <cellStyle name="Porcentaje 2 6 6 2 2" xfId="34715" xr:uid="{00000000-0005-0000-0000-0000AA7B0000}"/>
    <cellStyle name="Porcentaje 2 6 6 3" xfId="24858" xr:uid="{00000000-0005-0000-0000-0000AB7B0000}"/>
    <cellStyle name="Porcentaje 2 6 7" xfId="10072" xr:uid="{00000000-0005-0000-0000-0000AC7B0000}"/>
    <cellStyle name="Porcentaje 2 6 7 2" xfId="29787" xr:uid="{00000000-0005-0000-0000-0000AD7B0000}"/>
    <cellStyle name="Porcentaje 2 6 8" xfId="19930" xr:uid="{00000000-0005-0000-0000-0000AE7B0000}"/>
    <cellStyle name="Porcentaje 2 7" xfId="351" xr:uid="{00000000-0005-0000-0000-0000AF7B0000}"/>
    <cellStyle name="Porcentaje 2 7 2" xfId="972" xr:uid="{00000000-0005-0000-0000-0000B07B0000}"/>
    <cellStyle name="Porcentaje 2 7 2 2" xfId="2207" xr:uid="{00000000-0005-0000-0000-0000B17B0000}"/>
    <cellStyle name="Porcentaje 2 7 2 2 2" xfId="4674" xr:uid="{00000000-0005-0000-0000-0000B27B0000}"/>
    <cellStyle name="Porcentaje 2 7 2 2 2 2" xfId="9606" xr:uid="{00000000-0005-0000-0000-0000B37B0000}"/>
    <cellStyle name="Porcentaje 2 7 2 2 2 2 2" xfId="19466" xr:uid="{00000000-0005-0000-0000-0000B47B0000}"/>
    <cellStyle name="Porcentaje 2 7 2 2 2 2 2 2" xfId="39181" xr:uid="{00000000-0005-0000-0000-0000B57B0000}"/>
    <cellStyle name="Porcentaje 2 7 2 2 2 2 3" xfId="29324" xr:uid="{00000000-0005-0000-0000-0000B67B0000}"/>
    <cellStyle name="Porcentaje 2 7 2 2 2 3" xfId="14538" xr:uid="{00000000-0005-0000-0000-0000B77B0000}"/>
    <cellStyle name="Porcentaje 2 7 2 2 2 3 2" xfId="34253" xr:uid="{00000000-0005-0000-0000-0000B87B0000}"/>
    <cellStyle name="Porcentaje 2 7 2 2 2 4" xfId="24396" xr:uid="{00000000-0005-0000-0000-0000B97B0000}"/>
    <cellStyle name="Porcentaje 2 7 2 2 3" xfId="7142" xr:uid="{00000000-0005-0000-0000-0000BA7B0000}"/>
    <cellStyle name="Porcentaje 2 7 2 2 3 2" xfId="17002" xr:uid="{00000000-0005-0000-0000-0000BB7B0000}"/>
    <cellStyle name="Porcentaje 2 7 2 2 3 2 2" xfId="36717" xr:uid="{00000000-0005-0000-0000-0000BC7B0000}"/>
    <cellStyle name="Porcentaje 2 7 2 2 3 3" xfId="26860" xr:uid="{00000000-0005-0000-0000-0000BD7B0000}"/>
    <cellStyle name="Porcentaje 2 7 2 2 4" xfId="12074" xr:uid="{00000000-0005-0000-0000-0000BE7B0000}"/>
    <cellStyle name="Porcentaje 2 7 2 2 4 2" xfId="31789" xr:uid="{00000000-0005-0000-0000-0000BF7B0000}"/>
    <cellStyle name="Porcentaje 2 7 2 2 5" xfId="21932" xr:uid="{00000000-0005-0000-0000-0000C07B0000}"/>
    <cellStyle name="Porcentaje 2 7 2 3" xfId="3442" xr:uid="{00000000-0005-0000-0000-0000C17B0000}"/>
    <cellStyle name="Porcentaje 2 7 2 3 2" xfId="8374" xr:uid="{00000000-0005-0000-0000-0000C27B0000}"/>
    <cellStyle name="Porcentaje 2 7 2 3 2 2" xfId="18234" xr:uid="{00000000-0005-0000-0000-0000C37B0000}"/>
    <cellStyle name="Porcentaje 2 7 2 3 2 2 2" xfId="37949" xr:uid="{00000000-0005-0000-0000-0000C47B0000}"/>
    <cellStyle name="Porcentaje 2 7 2 3 2 3" xfId="28092" xr:uid="{00000000-0005-0000-0000-0000C57B0000}"/>
    <cellStyle name="Porcentaje 2 7 2 3 3" xfId="13306" xr:uid="{00000000-0005-0000-0000-0000C67B0000}"/>
    <cellStyle name="Porcentaje 2 7 2 3 3 2" xfId="33021" xr:uid="{00000000-0005-0000-0000-0000C77B0000}"/>
    <cellStyle name="Porcentaje 2 7 2 3 4" xfId="23164" xr:uid="{00000000-0005-0000-0000-0000C87B0000}"/>
    <cellStyle name="Porcentaje 2 7 2 4" xfId="5910" xr:uid="{00000000-0005-0000-0000-0000C97B0000}"/>
    <cellStyle name="Porcentaje 2 7 2 4 2" xfId="15770" xr:uid="{00000000-0005-0000-0000-0000CA7B0000}"/>
    <cellStyle name="Porcentaje 2 7 2 4 2 2" xfId="35485" xr:uid="{00000000-0005-0000-0000-0000CB7B0000}"/>
    <cellStyle name="Porcentaje 2 7 2 4 3" xfId="25628" xr:uid="{00000000-0005-0000-0000-0000CC7B0000}"/>
    <cellStyle name="Porcentaje 2 7 2 5" xfId="10842" xr:uid="{00000000-0005-0000-0000-0000CD7B0000}"/>
    <cellStyle name="Porcentaje 2 7 2 5 2" xfId="30557" xr:uid="{00000000-0005-0000-0000-0000CE7B0000}"/>
    <cellStyle name="Porcentaje 2 7 2 6" xfId="20700" xr:uid="{00000000-0005-0000-0000-0000CF7B0000}"/>
    <cellStyle name="Porcentaje 2 7 3" xfId="1591" xr:uid="{00000000-0005-0000-0000-0000D07B0000}"/>
    <cellStyle name="Porcentaje 2 7 3 2" xfId="4058" xr:uid="{00000000-0005-0000-0000-0000D17B0000}"/>
    <cellStyle name="Porcentaje 2 7 3 2 2" xfId="8990" xr:uid="{00000000-0005-0000-0000-0000D27B0000}"/>
    <cellStyle name="Porcentaje 2 7 3 2 2 2" xfId="18850" xr:uid="{00000000-0005-0000-0000-0000D37B0000}"/>
    <cellStyle name="Porcentaje 2 7 3 2 2 2 2" xfId="38565" xr:uid="{00000000-0005-0000-0000-0000D47B0000}"/>
    <cellStyle name="Porcentaje 2 7 3 2 2 3" xfId="28708" xr:uid="{00000000-0005-0000-0000-0000D57B0000}"/>
    <cellStyle name="Porcentaje 2 7 3 2 3" xfId="13922" xr:uid="{00000000-0005-0000-0000-0000D67B0000}"/>
    <cellStyle name="Porcentaje 2 7 3 2 3 2" xfId="33637" xr:uid="{00000000-0005-0000-0000-0000D77B0000}"/>
    <cellStyle name="Porcentaje 2 7 3 2 4" xfId="23780" xr:uid="{00000000-0005-0000-0000-0000D87B0000}"/>
    <cellStyle name="Porcentaje 2 7 3 3" xfId="6526" xr:uid="{00000000-0005-0000-0000-0000D97B0000}"/>
    <cellStyle name="Porcentaje 2 7 3 3 2" xfId="16386" xr:uid="{00000000-0005-0000-0000-0000DA7B0000}"/>
    <cellStyle name="Porcentaje 2 7 3 3 2 2" xfId="36101" xr:uid="{00000000-0005-0000-0000-0000DB7B0000}"/>
    <cellStyle name="Porcentaje 2 7 3 3 3" xfId="26244" xr:uid="{00000000-0005-0000-0000-0000DC7B0000}"/>
    <cellStyle name="Porcentaje 2 7 3 4" xfId="11458" xr:uid="{00000000-0005-0000-0000-0000DD7B0000}"/>
    <cellStyle name="Porcentaje 2 7 3 4 2" xfId="31173" xr:uid="{00000000-0005-0000-0000-0000DE7B0000}"/>
    <cellStyle name="Porcentaje 2 7 3 5" xfId="21316" xr:uid="{00000000-0005-0000-0000-0000DF7B0000}"/>
    <cellStyle name="Porcentaje 2 7 4" xfId="2826" xr:uid="{00000000-0005-0000-0000-0000E07B0000}"/>
    <cellStyle name="Porcentaje 2 7 4 2" xfId="7758" xr:uid="{00000000-0005-0000-0000-0000E17B0000}"/>
    <cellStyle name="Porcentaje 2 7 4 2 2" xfId="17618" xr:uid="{00000000-0005-0000-0000-0000E27B0000}"/>
    <cellStyle name="Porcentaje 2 7 4 2 2 2" xfId="37333" xr:uid="{00000000-0005-0000-0000-0000E37B0000}"/>
    <cellStyle name="Porcentaje 2 7 4 2 3" xfId="27476" xr:uid="{00000000-0005-0000-0000-0000E47B0000}"/>
    <cellStyle name="Porcentaje 2 7 4 3" xfId="12690" xr:uid="{00000000-0005-0000-0000-0000E57B0000}"/>
    <cellStyle name="Porcentaje 2 7 4 3 2" xfId="32405" xr:uid="{00000000-0005-0000-0000-0000E67B0000}"/>
    <cellStyle name="Porcentaje 2 7 4 4" xfId="22548" xr:uid="{00000000-0005-0000-0000-0000E77B0000}"/>
    <cellStyle name="Porcentaje 2 7 5" xfId="5294" xr:uid="{00000000-0005-0000-0000-0000E87B0000}"/>
    <cellStyle name="Porcentaje 2 7 5 2" xfId="15154" xr:uid="{00000000-0005-0000-0000-0000E97B0000}"/>
    <cellStyle name="Porcentaje 2 7 5 2 2" xfId="34869" xr:uid="{00000000-0005-0000-0000-0000EA7B0000}"/>
    <cellStyle name="Porcentaje 2 7 5 3" xfId="25012" xr:uid="{00000000-0005-0000-0000-0000EB7B0000}"/>
    <cellStyle name="Porcentaje 2 7 6" xfId="10226" xr:uid="{00000000-0005-0000-0000-0000EC7B0000}"/>
    <cellStyle name="Porcentaje 2 7 6 2" xfId="29941" xr:uid="{00000000-0005-0000-0000-0000ED7B0000}"/>
    <cellStyle name="Porcentaje 2 7 7" xfId="20084" xr:uid="{00000000-0005-0000-0000-0000EE7B0000}"/>
    <cellStyle name="Porcentaje 2 8" xfId="664" xr:uid="{00000000-0005-0000-0000-0000EF7B0000}"/>
    <cellStyle name="Porcentaje 2 8 2" xfId="1901" xr:uid="{00000000-0005-0000-0000-0000F07B0000}"/>
    <cellStyle name="Porcentaje 2 8 2 2" xfId="4368" xr:uid="{00000000-0005-0000-0000-0000F17B0000}"/>
    <cellStyle name="Porcentaje 2 8 2 2 2" xfId="9300" xr:uid="{00000000-0005-0000-0000-0000F27B0000}"/>
    <cellStyle name="Porcentaje 2 8 2 2 2 2" xfId="19160" xr:uid="{00000000-0005-0000-0000-0000F37B0000}"/>
    <cellStyle name="Porcentaje 2 8 2 2 2 2 2" xfId="38875" xr:uid="{00000000-0005-0000-0000-0000F47B0000}"/>
    <cellStyle name="Porcentaje 2 8 2 2 2 3" xfId="29018" xr:uid="{00000000-0005-0000-0000-0000F57B0000}"/>
    <cellStyle name="Porcentaje 2 8 2 2 3" xfId="14232" xr:uid="{00000000-0005-0000-0000-0000F67B0000}"/>
    <cellStyle name="Porcentaje 2 8 2 2 3 2" xfId="33947" xr:uid="{00000000-0005-0000-0000-0000F77B0000}"/>
    <cellStyle name="Porcentaje 2 8 2 2 4" xfId="24090" xr:uid="{00000000-0005-0000-0000-0000F87B0000}"/>
    <cellStyle name="Porcentaje 2 8 2 3" xfId="6836" xr:uid="{00000000-0005-0000-0000-0000F97B0000}"/>
    <cellStyle name="Porcentaje 2 8 2 3 2" xfId="16696" xr:uid="{00000000-0005-0000-0000-0000FA7B0000}"/>
    <cellStyle name="Porcentaje 2 8 2 3 2 2" xfId="36411" xr:uid="{00000000-0005-0000-0000-0000FB7B0000}"/>
    <cellStyle name="Porcentaje 2 8 2 3 3" xfId="26554" xr:uid="{00000000-0005-0000-0000-0000FC7B0000}"/>
    <cellStyle name="Porcentaje 2 8 2 4" xfId="11768" xr:uid="{00000000-0005-0000-0000-0000FD7B0000}"/>
    <cellStyle name="Porcentaje 2 8 2 4 2" xfId="31483" xr:uid="{00000000-0005-0000-0000-0000FE7B0000}"/>
    <cellStyle name="Porcentaje 2 8 2 5" xfId="21626" xr:uid="{00000000-0005-0000-0000-0000FF7B0000}"/>
    <cellStyle name="Porcentaje 2 8 3" xfId="3136" xr:uid="{00000000-0005-0000-0000-0000007C0000}"/>
    <cellStyle name="Porcentaje 2 8 3 2" xfId="8068" xr:uid="{00000000-0005-0000-0000-0000017C0000}"/>
    <cellStyle name="Porcentaje 2 8 3 2 2" xfId="17928" xr:uid="{00000000-0005-0000-0000-0000027C0000}"/>
    <cellStyle name="Porcentaje 2 8 3 2 2 2" xfId="37643" xr:uid="{00000000-0005-0000-0000-0000037C0000}"/>
    <cellStyle name="Porcentaje 2 8 3 2 3" xfId="27786" xr:uid="{00000000-0005-0000-0000-0000047C0000}"/>
    <cellStyle name="Porcentaje 2 8 3 3" xfId="13000" xr:uid="{00000000-0005-0000-0000-0000057C0000}"/>
    <cellStyle name="Porcentaje 2 8 3 3 2" xfId="32715" xr:uid="{00000000-0005-0000-0000-0000067C0000}"/>
    <cellStyle name="Porcentaje 2 8 3 4" xfId="22858" xr:uid="{00000000-0005-0000-0000-0000077C0000}"/>
    <cellStyle name="Porcentaje 2 8 4" xfId="5604" xr:uid="{00000000-0005-0000-0000-0000087C0000}"/>
    <cellStyle name="Porcentaje 2 8 4 2" xfId="15464" xr:uid="{00000000-0005-0000-0000-0000097C0000}"/>
    <cellStyle name="Porcentaje 2 8 4 2 2" xfId="35179" xr:uid="{00000000-0005-0000-0000-00000A7C0000}"/>
    <cellStyle name="Porcentaje 2 8 4 3" xfId="25322" xr:uid="{00000000-0005-0000-0000-00000B7C0000}"/>
    <cellStyle name="Porcentaje 2 8 5" xfId="10536" xr:uid="{00000000-0005-0000-0000-00000C7C0000}"/>
    <cellStyle name="Porcentaje 2 8 5 2" xfId="30251" xr:uid="{00000000-0005-0000-0000-00000D7C0000}"/>
    <cellStyle name="Porcentaje 2 8 6" xfId="20394" xr:uid="{00000000-0005-0000-0000-00000E7C0000}"/>
    <cellStyle name="Porcentaje 2 9" xfId="1284" xr:uid="{00000000-0005-0000-0000-00000F7C0000}"/>
    <cellStyle name="Porcentaje 2 9 2" xfId="3752" xr:uid="{00000000-0005-0000-0000-0000107C0000}"/>
    <cellStyle name="Porcentaje 2 9 2 2" xfId="8684" xr:uid="{00000000-0005-0000-0000-0000117C0000}"/>
    <cellStyle name="Porcentaje 2 9 2 2 2" xfId="18544" xr:uid="{00000000-0005-0000-0000-0000127C0000}"/>
    <cellStyle name="Porcentaje 2 9 2 2 2 2" xfId="38259" xr:uid="{00000000-0005-0000-0000-0000137C0000}"/>
    <cellStyle name="Porcentaje 2 9 2 2 3" xfId="28402" xr:uid="{00000000-0005-0000-0000-0000147C0000}"/>
    <cellStyle name="Porcentaje 2 9 2 3" xfId="13616" xr:uid="{00000000-0005-0000-0000-0000157C0000}"/>
    <cellStyle name="Porcentaje 2 9 2 3 2" xfId="33331" xr:uid="{00000000-0005-0000-0000-0000167C0000}"/>
    <cellStyle name="Porcentaje 2 9 2 4" xfId="23474" xr:uid="{00000000-0005-0000-0000-0000177C0000}"/>
    <cellStyle name="Porcentaje 2 9 3" xfId="6220" xr:uid="{00000000-0005-0000-0000-0000187C0000}"/>
    <cellStyle name="Porcentaje 2 9 3 2" xfId="16080" xr:uid="{00000000-0005-0000-0000-0000197C0000}"/>
    <cellStyle name="Porcentaje 2 9 3 2 2" xfId="35795" xr:uid="{00000000-0005-0000-0000-00001A7C0000}"/>
    <cellStyle name="Porcentaje 2 9 3 3" xfId="25938" xr:uid="{00000000-0005-0000-0000-00001B7C0000}"/>
    <cellStyle name="Porcentaje 2 9 4" xfId="11152" xr:uid="{00000000-0005-0000-0000-00001C7C0000}"/>
    <cellStyle name="Porcentaje 2 9 4 2" xfId="30867" xr:uid="{00000000-0005-0000-0000-00001D7C0000}"/>
    <cellStyle name="Porcentaje 2 9 5" xfId="21010" xr:uid="{00000000-0005-0000-0000-00001E7C0000}"/>
    <cellStyle name="Porcentaje 20" xfId="1286" xr:uid="{00000000-0005-0000-0000-00001F7C0000}"/>
    <cellStyle name="Porcentaje 21" xfId="1278" xr:uid="{00000000-0005-0000-0000-0000207C0000}"/>
    <cellStyle name="Porcentaje 21 2" xfId="3748" xr:uid="{00000000-0005-0000-0000-0000217C0000}"/>
    <cellStyle name="Porcentaje 21 2 2" xfId="8680" xr:uid="{00000000-0005-0000-0000-0000227C0000}"/>
    <cellStyle name="Porcentaje 21 2 2 2" xfId="18540" xr:uid="{00000000-0005-0000-0000-0000237C0000}"/>
    <cellStyle name="Porcentaje 21 2 2 2 2" xfId="38255" xr:uid="{00000000-0005-0000-0000-0000247C0000}"/>
    <cellStyle name="Porcentaje 21 2 2 3" xfId="28398" xr:uid="{00000000-0005-0000-0000-0000257C0000}"/>
    <cellStyle name="Porcentaje 21 2 3" xfId="13612" xr:uid="{00000000-0005-0000-0000-0000267C0000}"/>
    <cellStyle name="Porcentaje 21 2 3 2" xfId="33327" xr:uid="{00000000-0005-0000-0000-0000277C0000}"/>
    <cellStyle name="Porcentaje 21 2 4" xfId="23470" xr:uid="{00000000-0005-0000-0000-0000287C0000}"/>
    <cellStyle name="Porcentaje 21 3" xfId="6216" xr:uid="{00000000-0005-0000-0000-0000297C0000}"/>
    <cellStyle name="Porcentaje 21 3 2" xfId="16076" xr:uid="{00000000-0005-0000-0000-00002A7C0000}"/>
    <cellStyle name="Porcentaje 21 3 2 2" xfId="35791" xr:uid="{00000000-0005-0000-0000-00002B7C0000}"/>
    <cellStyle name="Porcentaje 21 3 3" xfId="25934" xr:uid="{00000000-0005-0000-0000-00002C7C0000}"/>
    <cellStyle name="Porcentaje 21 4" xfId="11148" xr:uid="{00000000-0005-0000-0000-00002D7C0000}"/>
    <cellStyle name="Porcentaje 21 4 2" xfId="30863" xr:uid="{00000000-0005-0000-0000-00002E7C0000}"/>
    <cellStyle name="Porcentaje 21 5" xfId="21006" xr:uid="{00000000-0005-0000-0000-00002F7C0000}"/>
    <cellStyle name="Porcentaje 22" xfId="2521" xr:uid="{00000000-0005-0000-0000-0000307C0000}"/>
    <cellStyle name="Porcentaje 23" xfId="2513" xr:uid="{00000000-0005-0000-0000-0000317C0000}"/>
    <cellStyle name="Porcentaje 23 2" xfId="7448" xr:uid="{00000000-0005-0000-0000-0000327C0000}"/>
    <cellStyle name="Porcentaje 23 2 2" xfId="17308" xr:uid="{00000000-0005-0000-0000-0000337C0000}"/>
    <cellStyle name="Porcentaje 23 2 2 2" xfId="37023" xr:uid="{00000000-0005-0000-0000-0000347C0000}"/>
    <cellStyle name="Porcentaje 23 2 3" xfId="27166" xr:uid="{00000000-0005-0000-0000-0000357C0000}"/>
    <cellStyle name="Porcentaje 23 3" xfId="12380" xr:uid="{00000000-0005-0000-0000-0000367C0000}"/>
    <cellStyle name="Porcentaje 23 3 2" xfId="32095" xr:uid="{00000000-0005-0000-0000-0000377C0000}"/>
    <cellStyle name="Porcentaje 23 4" xfId="22238" xr:uid="{00000000-0005-0000-0000-0000387C0000}"/>
    <cellStyle name="Porcentaje 24" xfId="4981" xr:uid="{00000000-0005-0000-0000-0000397C0000}"/>
    <cellStyle name="Porcentaje 24 2" xfId="14844" xr:uid="{00000000-0005-0000-0000-00003A7C0000}"/>
    <cellStyle name="Porcentaje 24 2 2" xfId="34559" xr:uid="{00000000-0005-0000-0000-00003B7C0000}"/>
    <cellStyle name="Porcentaje 24 3" xfId="24702" xr:uid="{00000000-0005-0000-0000-00003C7C0000}"/>
    <cellStyle name="Porcentaje 25" xfId="4989" xr:uid="{00000000-0005-0000-0000-00003D7C0000}"/>
    <cellStyle name="Porcentaje 26" xfId="9921" xr:uid="{00000000-0005-0000-0000-00003E7C0000}"/>
    <cellStyle name="Porcentaje 27" xfId="9913" xr:uid="{00000000-0005-0000-0000-00003F7C0000}"/>
    <cellStyle name="Porcentaje 27 2" xfId="29630" xr:uid="{00000000-0005-0000-0000-0000407C0000}"/>
    <cellStyle name="Porcentaje 28" xfId="19772" xr:uid="{00000000-0005-0000-0000-0000417C0000}"/>
    <cellStyle name="Porcentaje 29" xfId="39488" xr:uid="{00000000-0005-0000-0000-0000427C0000}"/>
    <cellStyle name="Porcentaje 3" xfId="16" xr:uid="{00000000-0005-0000-0000-0000437C0000}"/>
    <cellStyle name="Porcentaje 3 10" xfId="2523" xr:uid="{00000000-0005-0000-0000-0000447C0000}"/>
    <cellStyle name="Porcentaje 3 10 2" xfId="7455" xr:uid="{00000000-0005-0000-0000-0000457C0000}"/>
    <cellStyle name="Porcentaje 3 10 2 2" xfId="17315" xr:uid="{00000000-0005-0000-0000-0000467C0000}"/>
    <cellStyle name="Porcentaje 3 10 2 2 2" xfId="37030" xr:uid="{00000000-0005-0000-0000-0000477C0000}"/>
    <cellStyle name="Porcentaje 3 10 2 3" xfId="27173" xr:uid="{00000000-0005-0000-0000-0000487C0000}"/>
    <cellStyle name="Porcentaje 3 10 3" xfId="12387" xr:uid="{00000000-0005-0000-0000-0000497C0000}"/>
    <cellStyle name="Porcentaje 3 10 3 2" xfId="32102" xr:uid="{00000000-0005-0000-0000-00004A7C0000}"/>
    <cellStyle name="Porcentaje 3 10 4" xfId="22245" xr:uid="{00000000-0005-0000-0000-00004B7C0000}"/>
    <cellStyle name="Porcentaje 3 11" xfId="4991" xr:uid="{00000000-0005-0000-0000-00004C7C0000}"/>
    <cellStyle name="Porcentaje 3 11 2" xfId="14851" xr:uid="{00000000-0005-0000-0000-00004D7C0000}"/>
    <cellStyle name="Porcentaje 3 11 2 2" xfId="34566" xr:uid="{00000000-0005-0000-0000-00004E7C0000}"/>
    <cellStyle name="Porcentaje 3 11 3" xfId="24709" xr:uid="{00000000-0005-0000-0000-00004F7C0000}"/>
    <cellStyle name="Porcentaje 3 12" xfId="9923" xr:uid="{00000000-0005-0000-0000-0000507C0000}"/>
    <cellStyle name="Porcentaje 3 12 2" xfId="29638" xr:uid="{00000000-0005-0000-0000-0000517C0000}"/>
    <cellStyle name="Porcentaje 3 13" xfId="19781" xr:uid="{00000000-0005-0000-0000-0000527C0000}"/>
    <cellStyle name="Porcentaje 3 2" xfId="30" xr:uid="{00000000-0005-0000-0000-0000537C0000}"/>
    <cellStyle name="Porcentaje 3 2 10" xfId="5000" xr:uid="{00000000-0005-0000-0000-0000547C0000}"/>
    <cellStyle name="Porcentaje 3 2 10 2" xfId="14860" xr:uid="{00000000-0005-0000-0000-0000557C0000}"/>
    <cellStyle name="Porcentaje 3 2 10 2 2" xfId="34575" xr:uid="{00000000-0005-0000-0000-0000567C0000}"/>
    <cellStyle name="Porcentaje 3 2 10 3" xfId="24718" xr:uid="{00000000-0005-0000-0000-0000577C0000}"/>
    <cellStyle name="Porcentaje 3 2 11" xfId="9932" xr:uid="{00000000-0005-0000-0000-0000587C0000}"/>
    <cellStyle name="Porcentaje 3 2 11 2" xfId="29647" xr:uid="{00000000-0005-0000-0000-0000597C0000}"/>
    <cellStyle name="Porcentaje 3 2 12" xfId="19790" xr:uid="{00000000-0005-0000-0000-00005A7C0000}"/>
    <cellStyle name="Porcentaje 3 2 2" xfId="54" xr:uid="{00000000-0005-0000-0000-00005B7C0000}"/>
    <cellStyle name="Porcentaje 3 2 2 10" xfId="9951" xr:uid="{00000000-0005-0000-0000-00005C7C0000}"/>
    <cellStyle name="Porcentaje 3 2 2 10 2" xfId="29666" xr:uid="{00000000-0005-0000-0000-00005D7C0000}"/>
    <cellStyle name="Porcentaje 3 2 2 11" xfId="19809" xr:uid="{00000000-0005-0000-0000-00005E7C0000}"/>
    <cellStyle name="Porcentaje 3 2 2 2" xfId="97" xr:uid="{00000000-0005-0000-0000-00005F7C0000}"/>
    <cellStyle name="Porcentaje 3 2 2 2 10" xfId="19847" xr:uid="{00000000-0005-0000-0000-0000607C0000}"/>
    <cellStyle name="Porcentaje 3 2 2 2 2" xfId="178" xr:uid="{00000000-0005-0000-0000-0000617C0000}"/>
    <cellStyle name="Porcentaje 3 2 2 2 2 2" xfId="335" xr:uid="{00000000-0005-0000-0000-0000627C0000}"/>
    <cellStyle name="Porcentaje 3 2 2 2 2 2 2" xfId="649" xr:uid="{00000000-0005-0000-0000-0000637C0000}"/>
    <cellStyle name="Porcentaje 3 2 2 2 2 2 2 2" xfId="1269" xr:uid="{00000000-0005-0000-0000-0000647C0000}"/>
    <cellStyle name="Porcentaje 3 2 2 2 2 2 2 2 2" xfId="2504" xr:uid="{00000000-0005-0000-0000-0000657C0000}"/>
    <cellStyle name="Porcentaje 3 2 2 2 2 2 2 2 2 2" xfId="4971" xr:uid="{00000000-0005-0000-0000-0000667C0000}"/>
    <cellStyle name="Porcentaje 3 2 2 2 2 2 2 2 2 2 2" xfId="9903" xr:uid="{00000000-0005-0000-0000-0000677C0000}"/>
    <cellStyle name="Porcentaje 3 2 2 2 2 2 2 2 2 2 2 2" xfId="19763" xr:uid="{00000000-0005-0000-0000-0000687C0000}"/>
    <cellStyle name="Porcentaje 3 2 2 2 2 2 2 2 2 2 2 2 2" xfId="39478" xr:uid="{00000000-0005-0000-0000-0000697C0000}"/>
    <cellStyle name="Porcentaje 3 2 2 2 2 2 2 2 2 2 2 3" xfId="29621" xr:uid="{00000000-0005-0000-0000-00006A7C0000}"/>
    <cellStyle name="Porcentaje 3 2 2 2 2 2 2 2 2 2 3" xfId="14835" xr:uid="{00000000-0005-0000-0000-00006B7C0000}"/>
    <cellStyle name="Porcentaje 3 2 2 2 2 2 2 2 2 2 3 2" xfId="34550" xr:uid="{00000000-0005-0000-0000-00006C7C0000}"/>
    <cellStyle name="Porcentaje 3 2 2 2 2 2 2 2 2 2 4" xfId="24693" xr:uid="{00000000-0005-0000-0000-00006D7C0000}"/>
    <cellStyle name="Porcentaje 3 2 2 2 2 2 2 2 2 3" xfId="7439" xr:uid="{00000000-0005-0000-0000-00006E7C0000}"/>
    <cellStyle name="Porcentaje 3 2 2 2 2 2 2 2 2 3 2" xfId="17299" xr:uid="{00000000-0005-0000-0000-00006F7C0000}"/>
    <cellStyle name="Porcentaje 3 2 2 2 2 2 2 2 2 3 2 2" xfId="37014" xr:uid="{00000000-0005-0000-0000-0000707C0000}"/>
    <cellStyle name="Porcentaje 3 2 2 2 2 2 2 2 2 3 3" xfId="27157" xr:uid="{00000000-0005-0000-0000-0000717C0000}"/>
    <cellStyle name="Porcentaje 3 2 2 2 2 2 2 2 2 4" xfId="12371" xr:uid="{00000000-0005-0000-0000-0000727C0000}"/>
    <cellStyle name="Porcentaje 3 2 2 2 2 2 2 2 2 4 2" xfId="32086" xr:uid="{00000000-0005-0000-0000-0000737C0000}"/>
    <cellStyle name="Porcentaje 3 2 2 2 2 2 2 2 2 5" xfId="22229" xr:uid="{00000000-0005-0000-0000-0000747C0000}"/>
    <cellStyle name="Porcentaje 3 2 2 2 2 2 2 2 3" xfId="3739" xr:uid="{00000000-0005-0000-0000-0000757C0000}"/>
    <cellStyle name="Porcentaje 3 2 2 2 2 2 2 2 3 2" xfId="8671" xr:uid="{00000000-0005-0000-0000-0000767C0000}"/>
    <cellStyle name="Porcentaje 3 2 2 2 2 2 2 2 3 2 2" xfId="18531" xr:uid="{00000000-0005-0000-0000-0000777C0000}"/>
    <cellStyle name="Porcentaje 3 2 2 2 2 2 2 2 3 2 2 2" xfId="38246" xr:uid="{00000000-0005-0000-0000-0000787C0000}"/>
    <cellStyle name="Porcentaje 3 2 2 2 2 2 2 2 3 2 3" xfId="28389" xr:uid="{00000000-0005-0000-0000-0000797C0000}"/>
    <cellStyle name="Porcentaje 3 2 2 2 2 2 2 2 3 3" xfId="13603" xr:uid="{00000000-0005-0000-0000-00007A7C0000}"/>
    <cellStyle name="Porcentaje 3 2 2 2 2 2 2 2 3 3 2" xfId="33318" xr:uid="{00000000-0005-0000-0000-00007B7C0000}"/>
    <cellStyle name="Porcentaje 3 2 2 2 2 2 2 2 3 4" xfId="23461" xr:uid="{00000000-0005-0000-0000-00007C7C0000}"/>
    <cellStyle name="Porcentaje 3 2 2 2 2 2 2 2 4" xfId="6207" xr:uid="{00000000-0005-0000-0000-00007D7C0000}"/>
    <cellStyle name="Porcentaje 3 2 2 2 2 2 2 2 4 2" xfId="16067" xr:uid="{00000000-0005-0000-0000-00007E7C0000}"/>
    <cellStyle name="Porcentaje 3 2 2 2 2 2 2 2 4 2 2" xfId="35782" xr:uid="{00000000-0005-0000-0000-00007F7C0000}"/>
    <cellStyle name="Porcentaje 3 2 2 2 2 2 2 2 4 3" xfId="25925" xr:uid="{00000000-0005-0000-0000-0000807C0000}"/>
    <cellStyle name="Porcentaje 3 2 2 2 2 2 2 2 5" xfId="11139" xr:uid="{00000000-0005-0000-0000-0000817C0000}"/>
    <cellStyle name="Porcentaje 3 2 2 2 2 2 2 2 5 2" xfId="30854" xr:uid="{00000000-0005-0000-0000-0000827C0000}"/>
    <cellStyle name="Porcentaje 3 2 2 2 2 2 2 2 6" xfId="20997" xr:uid="{00000000-0005-0000-0000-0000837C0000}"/>
    <cellStyle name="Porcentaje 3 2 2 2 2 2 2 3" xfId="1888" xr:uid="{00000000-0005-0000-0000-0000847C0000}"/>
    <cellStyle name="Porcentaje 3 2 2 2 2 2 2 3 2" xfId="4355" xr:uid="{00000000-0005-0000-0000-0000857C0000}"/>
    <cellStyle name="Porcentaje 3 2 2 2 2 2 2 3 2 2" xfId="9287" xr:uid="{00000000-0005-0000-0000-0000867C0000}"/>
    <cellStyle name="Porcentaje 3 2 2 2 2 2 2 3 2 2 2" xfId="19147" xr:uid="{00000000-0005-0000-0000-0000877C0000}"/>
    <cellStyle name="Porcentaje 3 2 2 2 2 2 2 3 2 2 2 2" xfId="38862" xr:uid="{00000000-0005-0000-0000-0000887C0000}"/>
    <cellStyle name="Porcentaje 3 2 2 2 2 2 2 3 2 2 3" xfId="29005" xr:uid="{00000000-0005-0000-0000-0000897C0000}"/>
    <cellStyle name="Porcentaje 3 2 2 2 2 2 2 3 2 3" xfId="14219" xr:uid="{00000000-0005-0000-0000-00008A7C0000}"/>
    <cellStyle name="Porcentaje 3 2 2 2 2 2 2 3 2 3 2" xfId="33934" xr:uid="{00000000-0005-0000-0000-00008B7C0000}"/>
    <cellStyle name="Porcentaje 3 2 2 2 2 2 2 3 2 4" xfId="24077" xr:uid="{00000000-0005-0000-0000-00008C7C0000}"/>
    <cellStyle name="Porcentaje 3 2 2 2 2 2 2 3 3" xfId="6823" xr:uid="{00000000-0005-0000-0000-00008D7C0000}"/>
    <cellStyle name="Porcentaje 3 2 2 2 2 2 2 3 3 2" xfId="16683" xr:uid="{00000000-0005-0000-0000-00008E7C0000}"/>
    <cellStyle name="Porcentaje 3 2 2 2 2 2 2 3 3 2 2" xfId="36398" xr:uid="{00000000-0005-0000-0000-00008F7C0000}"/>
    <cellStyle name="Porcentaje 3 2 2 2 2 2 2 3 3 3" xfId="26541" xr:uid="{00000000-0005-0000-0000-0000907C0000}"/>
    <cellStyle name="Porcentaje 3 2 2 2 2 2 2 3 4" xfId="11755" xr:uid="{00000000-0005-0000-0000-0000917C0000}"/>
    <cellStyle name="Porcentaje 3 2 2 2 2 2 2 3 4 2" xfId="31470" xr:uid="{00000000-0005-0000-0000-0000927C0000}"/>
    <cellStyle name="Porcentaje 3 2 2 2 2 2 2 3 5" xfId="21613" xr:uid="{00000000-0005-0000-0000-0000937C0000}"/>
    <cellStyle name="Porcentaje 3 2 2 2 2 2 2 4" xfId="3123" xr:uid="{00000000-0005-0000-0000-0000947C0000}"/>
    <cellStyle name="Porcentaje 3 2 2 2 2 2 2 4 2" xfId="8055" xr:uid="{00000000-0005-0000-0000-0000957C0000}"/>
    <cellStyle name="Porcentaje 3 2 2 2 2 2 2 4 2 2" xfId="17915" xr:uid="{00000000-0005-0000-0000-0000967C0000}"/>
    <cellStyle name="Porcentaje 3 2 2 2 2 2 2 4 2 2 2" xfId="37630" xr:uid="{00000000-0005-0000-0000-0000977C0000}"/>
    <cellStyle name="Porcentaje 3 2 2 2 2 2 2 4 2 3" xfId="27773" xr:uid="{00000000-0005-0000-0000-0000987C0000}"/>
    <cellStyle name="Porcentaje 3 2 2 2 2 2 2 4 3" xfId="12987" xr:uid="{00000000-0005-0000-0000-0000997C0000}"/>
    <cellStyle name="Porcentaje 3 2 2 2 2 2 2 4 3 2" xfId="32702" xr:uid="{00000000-0005-0000-0000-00009A7C0000}"/>
    <cellStyle name="Porcentaje 3 2 2 2 2 2 2 4 4" xfId="22845" xr:uid="{00000000-0005-0000-0000-00009B7C0000}"/>
    <cellStyle name="Porcentaje 3 2 2 2 2 2 2 5" xfId="5591" xr:uid="{00000000-0005-0000-0000-00009C7C0000}"/>
    <cellStyle name="Porcentaje 3 2 2 2 2 2 2 5 2" xfId="15451" xr:uid="{00000000-0005-0000-0000-00009D7C0000}"/>
    <cellStyle name="Porcentaje 3 2 2 2 2 2 2 5 2 2" xfId="35166" xr:uid="{00000000-0005-0000-0000-00009E7C0000}"/>
    <cellStyle name="Porcentaje 3 2 2 2 2 2 2 5 3" xfId="25309" xr:uid="{00000000-0005-0000-0000-00009F7C0000}"/>
    <cellStyle name="Porcentaje 3 2 2 2 2 2 2 6" xfId="10523" xr:uid="{00000000-0005-0000-0000-0000A07C0000}"/>
    <cellStyle name="Porcentaje 3 2 2 2 2 2 2 6 2" xfId="30238" xr:uid="{00000000-0005-0000-0000-0000A17C0000}"/>
    <cellStyle name="Porcentaje 3 2 2 2 2 2 2 7" xfId="20381" xr:uid="{00000000-0005-0000-0000-0000A27C0000}"/>
    <cellStyle name="Porcentaje 3 2 2 2 2 2 3" xfId="962" xr:uid="{00000000-0005-0000-0000-0000A37C0000}"/>
    <cellStyle name="Porcentaje 3 2 2 2 2 2 3 2" xfId="2198" xr:uid="{00000000-0005-0000-0000-0000A47C0000}"/>
    <cellStyle name="Porcentaje 3 2 2 2 2 2 3 2 2" xfId="4665" xr:uid="{00000000-0005-0000-0000-0000A57C0000}"/>
    <cellStyle name="Porcentaje 3 2 2 2 2 2 3 2 2 2" xfId="9597" xr:uid="{00000000-0005-0000-0000-0000A67C0000}"/>
    <cellStyle name="Porcentaje 3 2 2 2 2 2 3 2 2 2 2" xfId="19457" xr:uid="{00000000-0005-0000-0000-0000A77C0000}"/>
    <cellStyle name="Porcentaje 3 2 2 2 2 2 3 2 2 2 2 2" xfId="39172" xr:uid="{00000000-0005-0000-0000-0000A87C0000}"/>
    <cellStyle name="Porcentaje 3 2 2 2 2 2 3 2 2 2 3" xfId="29315" xr:uid="{00000000-0005-0000-0000-0000A97C0000}"/>
    <cellStyle name="Porcentaje 3 2 2 2 2 2 3 2 2 3" xfId="14529" xr:uid="{00000000-0005-0000-0000-0000AA7C0000}"/>
    <cellStyle name="Porcentaje 3 2 2 2 2 2 3 2 2 3 2" xfId="34244" xr:uid="{00000000-0005-0000-0000-0000AB7C0000}"/>
    <cellStyle name="Porcentaje 3 2 2 2 2 2 3 2 2 4" xfId="24387" xr:uid="{00000000-0005-0000-0000-0000AC7C0000}"/>
    <cellStyle name="Porcentaje 3 2 2 2 2 2 3 2 3" xfId="7133" xr:uid="{00000000-0005-0000-0000-0000AD7C0000}"/>
    <cellStyle name="Porcentaje 3 2 2 2 2 2 3 2 3 2" xfId="16993" xr:uid="{00000000-0005-0000-0000-0000AE7C0000}"/>
    <cellStyle name="Porcentaje 3 2 2 2 2 2 3 2 3 2 2" xfId="36708" xr:uid="{00000000-0005-0000-0000-0000AF7C0000}"/>
    <cellStyle name="Porcentaje 3 2 2 2 2 2 3 2 3 3" xfId="26851" xr:uid="{00000000-0005-0000-0000-0000B07C0000}"/>
    <cellStyle name="Porcentaje 3 2 2 2 2 2 3 2 4" xfId="12065" xr:uid="{00000000-0005-0000-0000-0000B17C0000}"/>
    <cellStyle name="Porcentaje 3 2 2 2 2 2 3 2 4 2" xfId="31780" xr:uid="{00000000-0005-0000-0000-0000B27C0000}"/>
    <cellStyle name="Porcentaje 3 2 2 2 2 2 3 2 5" xfId="21923" xr:uid="{00000000-0005-0000-0000-0000B37C0000}"/>
    <cellStyle name="Porcentaje 3 2 2 2 2 2 3 3" xfId="3433" xr:uid="{00000000-0005-0000-0000-0000B47C0000}"/>
    <cellStyle name="Porcentaje 3 2 2 2 2 2 3 3 2" xfId="8365" xr:uid="{00000000-0005-0000-0000-0000B57C0000}"/>
    <cellStyle name="Porcentaje 3 2 2 2 2 2 3 3 2 2" xfId="18225" xr:uid="{00000000-0005-0000-0000-0000B67C0000}"/>
    <cellStyle name="Porcentaje 3 2 2 2 2 2 3 3 2 2 2" xfId="37940" xr:uid="{00000000-0005-0000-0000-0000B77C0000}"/>
    <cellStyle name="Porcentaje 3 2 2 2 2 2 3 3 2 3" xfId="28083" xr:uid="{00000000-0005-0000-0000-0000B87C0000}"/>
    <cellStyle name="Porcentaje 3 2 2 2 2 2 3 3 3" xfId="13297" xr:uid="{00000000-0005-0000-0000-0000B97C0000}"/>
    <cellStyle name="Porcentaje 3 2 2 2 2 2 3 3 3 2" xfId="33012" xr:uid="{00000000-0005-0000-0000-0000BA7C0000}"/>
    <cellStyle name="Porcentaje 3 2 2 2 2 2 3 3 4" xfId="23155" xr:uid="{00000000-0005-0000-0000-0000BB7C0000}"/>
    <cellStyle name="Porcentaje 3 2 2 2 2 2 3 4" xfId="5901" xr:uid="{00000000-0005-0000-0000-0000BC7C0000}"/>
    <cellStyle name="Porcentaje 3 2 2 2 2 2 3 4 2" xfId="15761" xr:uid="{00000000-0005-0000-0000-0000BD7C0000}"/>
    <cellStyle name="Porcentaje 3 2 2 2 2 2 3 4 2 2" xfId="35476" xr:uid="{00000000-0005-0000-0000-0000BE7C0000}"/>
    <cellStyle name="Porcentaje 3 2 2 2 2 2 3 4 3" xfId="25619" xr:uid="{00000000-0005-0000-0000-0000BF7C0000}"/>
    <cellStyle name="Porcentaje 3 2 2 2 2 2 3 5" xfId="10833" xr:uid="{00000000-0005-0000-0000-0000C07C0000}"/>
    <cellStyle name="Porcentaje 3 2 2 2 2 2 3 5 2" xfId="30548" xr:uid="{00000000-0005-0000-0000-0000C17C0000}"/>
    <cellStyle name="Porcentaje 3 2 2 2 2 2 3 6" xfId="20691" xr:uid="{00000000-0005-0000-0000-0000C27C0000}"/>
    <cellStyle name="Porcentaje 3 2 2 2 2 2 4" xfId="1582" xr:uid="{00000000-0005-0000-0000-0000C37C0000}"/>
    <cellStyle name="Porcentaje 3 2 2 2 2 2 4 2" xfId="4049" xr:uid="{00000000-0005-0000-0000-0000C47C0000}"/>
    <cellStyle name="Porcentaje 3 2 2 2 2 2 4 2 2" xfId="8981" xr:uid="{00000000-0005-0000-0000-0000C57C0000}"/>
    <cellStyle name="Porcentaje 3 2 2 2 2 2 4 2 2 2" xfId="18841" xr:uid="{00000000-0005-0000-0000-0000C67C0000}"/>
    <cellStyle name="Porcentaje 3 2 2 2 2 2 4 2 2 2 2" xfId="38556" xr:uid="{00000000-0005-0000-0000-0000C77C0000}"/>
    <cellStyle name="Porcentaje 3 2 2 2 2 2 4 2 2 3" xfId="28699" xr:uid="{00000000-0005-0000-0000-0000C87C0000}"/>
    <cellStyle name="Porcentaje 3 2 2 2 2 2 4 2 3" xfId="13913" xr:uid="{00000000-0005-0000-0000-0000C97C0000}"/>
    <cellStyle name="Porcentaje 3 2 2 2 2 2 4 2 3 2" xfId="33628" xr:uid="{00000000-0005-0000-0000-0000CA7C0000}"/>
    <cellStyle name="Porcentaje 3 2 2 2 2 2 4 2 4" xfId="23771" xr:uid="{00000000-0005-0000-0000-0000CB7C0000}"/>
    <cellStyle name="Porcentaje 3 2 2 2 2 2 4 3" xfId="6517" xr:uid="{00000000-0005-0000-0000-0000CC7C0000}"/>
    <cellStyle name="Porcentaje 3 2 2 2 2 2 4 3 2" xfId="16377" xr:uid="{00000000-0005-0000-0000-0000CD7C0000}"/>
    <cellStyle name="Porcentaje 3 2 2 2 2 2 4 3 2 2" xfId="36092" xr:uid="{00000000-0005-0000-0000-0000CE7C0000}"/>
    <cellStyle name="Porcentaje 3 2 2 2 2 2 4 3 3" xfId="26235" xr:uid="{00000000-0005-0000-0000-0000CF7C0000}"/>
    <cellStyle name="Porcentaje 3 2 2 2 2 2 4 4" xfId="11449" xr:uid="{00000000-0005-0000-0000-0000D07C0000}"/>
    <cellStyle name="Porcentaje 3 2 2 2 2 2 4 4 2" xfId="31164" xr:uid="{00000000-0005-0000-0000-0000D17C0000}"/>
    <cellStyle name="Porcentaje 3 2 2 2 2 2 4 5" xfId="21307" xr:uid="{00000000-0005-0000-0000-0000D27C0000}"/>
    <cellStyle name="Porcentaje 3 2 2 2 2 2 5" xfId="2817" xr:uid="{00000000-0005-0000-0000-0000D37C0000}"/>
    <cellStyle name="Porcentaje 3 2 2 2 2 2 5 2" xfId="7749" xr:uid="{00000000-0005-0000-0000-0000D47C0000}"/>
    <cellStyle name="Porcentaje 3 2 2 2 2 2 5 2 2" xfId="17609" xr:uid="{00000000-0005-0000-0000-0000D57C0000}"/>
    <cellStyle name="Porcentaje 3 2 2 2 2 2 5 2 2 2" xfId="37324" xr:uid="{00000000-0005-0000-0000-0000D67C0000}"/>
    <cellStyle name="Porcentaje 3 2 2 2 2 2 5 2 3" xfId="27467" xr:uid="{00000000-0005-0000-0000-0000D77C0000}"/>
    <cellStyle name="Porcentaje 3 2 2 2 2 2 5 3" xfId="12681" xr:uid="{00000000-0005-0000-0000-0000D87C0000}"/>
    <cellStyle name="Porcentaje 3 2 2 2 2 2 5 3 2" xfId="32396" xr:uid="{00000000-0005-0000-0000-0000D97C0000}"/>
    <cellStyle name="Porcentaje 3 2 2 2 2 2 5 4" xfId="22539" xr:uid="{00000000-0005-0000-0000-0000DA7C0000}"/>
    <cellStyle name="Porcentaje 3 2 2 2 2 2 6" xfId="5285" xr:uid="{00000000-0005-0000-0000-0000DB7C0000}"/>
    <cellStyle name="Porcentaje 3 2 2 2 2 2 6 2" xfId="15145" xr:uid="{00000000-0005-0000-0000-0000DC7C0000}"/>
    <cellStyle name="Porcentaje 3 2 2 2 2 2 6 2 2" xfId="34860" xr:uid="{00000000-0005-0000-0000-0000DD7C0000}"/>
    <cellStyle name="Porcentaje 3 2 2 2 2 2 6 3" xfId="25003" xr:uid="{00000000-0005-0000-0000-0000DE7C0000}"/>
    <cellStyle name="Porcentaje 3 2 2 2 2 2 7" xfId="10217" xr:uid="{00000000-0005-0000-0000-0000DF7C0000}"/>
    <cellStyle name="Porcentaje 3 2 2 2 2 2 7 2" xfId="29932" xr:uid="{00000000-0005-0000-0000-0000E07C0000}"/>
    <cellStyle name="Porcentaje 3 2 2 2 2 2 8" xfId="20075" xr:uid="{00000000-0005-0000-0000-0000E17C0000}"/>
    <cellStyle name="Porcentaje 3 2 2 2 2 3" xfId="497" xr:uid="{00000000-0005-0000-0000-0000E27C0000}"/>
    <cellStyle name="Porcentaje 3 2 2 2 2 3 2" xfId="1117" xr:uid="{00000000-0005-0000-0000-0000E37C0000}"/>
    <cellStyle name="Porcentaje 3 2 2 2 2 3 2 2" xfId="2352" xr:uid="{00000000-0005-0000-0000-0000E47C0000}"/>
    <cellStyle name="Porcentaje 3 2 2 2 2 3 2 2 2" xfId="4819" xr:uid="{00000000-0005-0000-0000-0000E57C0000}"/>
    <cellStyle name="Porcentaje 3 2 2 2 2 3 2 2 2 2" xfId="9751" xr:uid="{00000000-0005-0000-0000-0000E67C0000}"/>
    <cellStyle name="Porcentaje 3 2 2 2 2 3 2 2 2 2 2" xfId="19611" xr:uid="{00000000-0005-0000-0000-0000E77C0000}"/>
    <cellStyle name="Porcentaje 3 2 2 2 2 3 2 2 2 2 2 2" xfId="39326" xr:uid="{00000000-0005-0000-0000-0000E87C0000}"/>
    <cellStyle name="Porcentaje 3 2 2 2 2 3 2 2 2 2 3" xfId="29469" xr:uid="{00000000-0005-0000-0000-0000E97C0000}"/>
    <cellStyle name="Porcentaje 3 2 2 2 2 3 2 2 2 3" xfId="14683" xr:uid="{00000000-0005-0000-0000-0000EA7C0000}"/>
    <cellStyle name="Porcentaje 3 2 2 2 2 3 2 2 2 3 2" xfId="34398" xr:uid="{00000000-0005-0000-0000-0000EB7C0000}"/>
    <cellStyle name="Porcentaje 3 2 2 2 2 3 2 2 2 4" xfId="24541" xr:uid="{00000000-0005-0000-0000-0000EC7C0000}"/>
    <cellStyle name="Porcentaje 3 2 2 2 2 3 2 2 3" xfId="7287" xr:uid="{00000000-0005-0000-0000-0000ED7C0000}"/>
    <cellStyle name="Porcentaje 3 2 2 2 2 3 2 2 3 2" xfId="17147" xr:uid="{00000000-0005-0000-0000-0000EE7C0000}"/>
    <cellStyle name="Porcentaje 3 2 2 2 2 3 2 2 3 2 2" xfId="36862" xr:uid="{00000000-0005-0000-0000-0000EF7C0000}"/>
    <cellStyle name="Porcentaje 3 2 2 2 2 3 2 2 3 3" xfId="27005" xr:uid="{00000000-0005-0000-0000-0000F07C0000}"/>
    <cellStyle name="Porcentaje 3 2 2 2 2 3 2 2 4" xfId="12219" xr:uid="{00000000-0005-0000-0000-0000F17C0000}"/>
    <cellStyle name="Porcentaje 3 2 2 2 2 3 2 2 4 2" xfId="31934" xr:uid="{00000000-0005-0000-0000-0000F27C0000}"/>
    <cellStyle name="Porcentaje 3 2 2 2 2 3 2 2 5" xfId="22077" xr:uid="{00000000-0005-0000-0000-0000F37C0000}"/>
    <cellStyle name="Porcentaje 3 2 2 2 2 3 2 3" xfId="3587" xr:uid="{00000000-0005-0000-0000-0000F47C0000}"/>
    <cellStyle name="Porcentaje 3 2 2 2 2 3 2 3 2" xfId="8519" xr:uid="{00000000-0005-0000-0000-0000F57C0000}"/>
    <cellStyle name="Porcentaje 3 2 2 2 2 3 2 3 2 2" xfId="18379" xr:uid="{00000000-0005-0000-0000-0000F67C0000}"/>
    <cellStyle name="Porcentaje 3 2 2 2 2 3 2 3 2 2 2" xfId="38094" xr:uid="{00000000-0005-0000-0000-0000F77C0000}"/>
    <cellStyle name="Porcentaje 3 2 2 2 2 3 2 3 2 3" xfId="28237" xr:uid="{00000000-0005-0000-0000-0000F87C0000}"/>
    <cellStyle name="Porcentaje 3 2 2 2 2 3 2 3 3" xfId="13451" xr:uid="{00000000-0005-0000-0000-0000F97C0000}"/>
    <cellStyle name="Porcentaje 3 2 2 2 2 3 2 3 3 2" xfId="33166" xr:uid="{00000000-0005-0000-0000-0000FA7C0000}"/>
    <cellStyle name="Porcentaje 3 2 2 2 2 3 2 3 4" xfId="23309" xr:uid="{00000000-0005-0000-0000-0000FB7C0000}"/>
    <cellStyle name="Porcentaje 3 2 2 2 2 3 2 4" xfId="6055" xr:uid="{00000000-0005-0000-0000-0000FC7C0000}"/>
    <cellStyle name="Porcentaje 3 2 2 2 2 3 2 4 2" xfId="15915" xr:uid="{00000000-0005-0000-0000-0000FD7C0000}"/>
    <cellStyle name="Porcentaje 3 2 2 2 2 3 2 4 2 2" xfId="35630" xr:uid="{00000000-0005-0000-0000-0000FE7C0000}"/>
    <cellStyle name="Porcentaje 3 2 2 2 2 3 2 4 3" xfId="25773" xr:uid="{00000000-0005-0000-0000-0000FF7C0000}"/>
    <cellStyle name="Porcentaje 3 2 2 2 2 3 2 5" xfId="10987" xr:uid="{00000000-0005-0000-0000-0000007D0000}"/>
    <cellStyle name="Porcentaje 3 2 2 2 2 3 2 5 2" xfId="30702" xr:uid="{00000000-0005-0000-0000-0000017D0000}"/>
    <cellStyle name="Porcentaje 3 2 2 2 2 3 2 6" xfId="20845" xr:uid="{00000000-0005-0000-0000-0000027D0000}"/>
    <cellStyle name="Porcentaje 3 2 2 2 2 3 3" xfId="1736" xr:uid="{00000000-0005-0000-0000-0000037D0000}"/>
    <cellStyle name="Porcentaje 3 2 2 2 2 3 3 2" xfId="4203" xr:uid="{00000000-0005-0000-0000-0000047D0000}"/>
    <cellStyle name="Porcentaje 3 2 2 2 2 3 3 2 2" xfId="9135" xr:uid="{00000000-0005-0000-0000-0000057D0000}"/>
    <cellStyle name="Porcentaje 3 2 2 2 2 3 3 2 2 2" xfId="18995" xr:uid="{00000000-0005-0000-0000-0000067D0000}"/>
    <cellStyle name="Porcentaje 3 2 2 2 2 3 3 2 2 2 2" xfId="38710" xr:uid="{00000000-0005-0000-0000-0000077D0000}"/>
    <cellStyle name="Porcentaje 3 2 2 2 2 3 3 2 2 3" xfId="28853" xr:uid="{00000000-0005-0000-0000-0000087D0000}"/>
    <cellStyle name="Porcentaje 3 2 2 2 2 3 3 2 3" xfId="14067" xr:uid="{00000000-0005-0000-0000-0000097D0000}"/>
    <cellStyle name="Porcentaje 3 2 2 2 2 3 3 2 3 2" xfId="33782" xr:uid="{00000000-0005-0000-0000-00000A7D0000}"/>
    <cellStyle name="Porcentaje 3 2 2 2 2 3 3 2 4" xfId="23925" xr:uid="{00000000-0005-0000-0000-00000B7D0000}"/>
    <cellStyle name="Porcentaje 3 2 2 2 2 3 3 3" xfId="6671" xr:uid="{00000000-0005-0000-0000-00000C7D0000}"/>
    <cellStyle name="Porcentaje 3 2 2 2 2 3 3 3 2" xfId="16531" xr:uid="{00000000-0005-0000-0000-00000D7D0000}"/>
    <cellStyle name="Porcentaje 3 2 2 2 2 3 3 3 2 2" xfId="36246" xr:uid="{00000000-0005-0000-0000-00000E7D0000}"/>
    <cellStyle name="Porcentaje 3 2 2 2 2 3 3 3 3" xfId="26389" xr:uid="{00000000-0005-0000-0000-00000F7D0000}"/>
    <cellStyle name="Porcentaje 3 2 2 2 2 3 3 4" xfId="11603" xr:uid="{00000000-0005-0000-0000-0000107D0000}"/>
    <cellStyle name="Porcentaje 3 2 2 2 2 3 3 4 2" xfId="31318" xr:uid="{00000000-0005-0000-0000-0000117D0000}"/>
    <cellStyle name="Porcentaje 3 2 2 2 2 3 3 5" xfId="21461" xr:uid="{00000000-0005-0000-0000-0000127D0000}"/>
    <cellStyle name="Porcentaje 3 2 2 2 2 3 4" xfId="2971" xr:uid="{00000000-0005-0000-0000-0000137D0000}"/>
    <cellStyle name="Porcentaje 3 2 2 2 2 3 4 2" xfId="7903" xr:uid="{00000000-0005-0000-0000-0000147D0000}"/>
    <cellStyle name="Porcentaje 3 2 2 2 2 3 4 2 2" xfId="17763" xr:uid="{00000000-0005-0000-0000-0000157D0000}"/>
    <cellStyle name="Porcentaje 3 2 2 2 2 3 4 2 2 2" xfId="37478" xr:uid="{00000000-0005-0000-0000-0000167D0000}"/>
    <cellStyle name="Porcentaje 3 2 2 2 2 3 4 2 3" xfId="27621" xr:uid="{00000000-0005-0000-0000-0000177D0000}"/>
    <cellStyle name="Porcentaje 3 2 2 2 2 3 4 3" xfId="12835" xr:uid="{00000000-0005-0000-0000-0000187D0000}"/>
    <cellStyle name="Porcentaje 3 2 2 2 2 3 4 3 2" xfId="32550" xr:uid="{00000000-0005-0000-0000-0000197D0000}"/>
    <cellStyle name="Porcentaje 3 2 2 2 2 3 4 4" xfId="22693" xr:uid="{00000000-0005-0000-0000-00001A7D0000}"/>
    <cellStyle name="Porcentaje 3 2 2 2 2 3 5" xfId="5439" xr:uid="{00000000-0005-0000-0000-00001B7D0000}"/>
    <cellStyle name="Porcentaje 3 2 2 2 2 3 5 2" xfId="15299" xr:uid="{00000000-0005-0000-0000-00001C7D0000}"/>
    <cellStyle name="Porcentaje 3 2 2 2 2 3 5 2 2" xfId="35014" xr:uid="{00000000-0005-0000-0000-00001D7D0000}"/>
    <cellStyle name="Porcentaje 3 2 2 2 2 3 5 3" xfId="25157" xr:uid="{00000000-0005-0000-0000-00001E7D0000}"/>
    <cellStyle name="Porcentaje 3 2 2 2 2 3 6" xfId="10371" xr:uid="{00000000-0005-0000-0000-00001F7D0000}"/>
    <cellStyle name="Porcentaje 3 2 2 2 2 3 6 2" xfId="30086" xr:uid="{00000000-0005-0000-0000-0000207D0000}"/>
    <cellStyle name="Porcentaje 3 2 2 2 2 3 7" xfId="20229" xr:uid="{00000000-0005-0000-0000-0000217D0000}"/>
    <cellStyle name="Porcentaje 3 2 2 2 2 4" xfId="810" xr:uid="{00000000-0005-0000-0000-0000227D0000}"/>
    <cellStyle name="Porcentaje 3 2 2 2 2 4 2" xfId="2046" xr:uid="{00000000-0005-0000-0000-0000237D0000}"/>
    <cellStyle name="Porcentaje 3 2 2 2 2 4 2 2" xfId="4513" xr:uid="{00000000-0005-0000-0000-0000247D0000}"/>
    <cellStyle name="Porcentaje 3 2 2 2 2 4 2 2 2" xfId="9445" xr:uid="{00000000-0005-0000-0000-0000257D0000}"/>
    <cellStyle name="Porcentaje 3 2 2 2 2 4 2 2 2 2" xfId="19305" xr:uid="{00000000-0005-0000-0000-0000267D0000}"/>
    <cellStyle name="Porcentaje 3 2 2 2 2 4 2 2 2 2 2" xfId="39020" xr:uid="{00000000-0005-0000-0000-0000277D0000}"/>
    <cellStyle name="Porcentaje 3 2 2 2 2 4 2 2 2 3" xfId="29163" xr:uid="{00000000-0005-0000-0000-0000287D0000}"/>
    <cellStyle name="Porcentaje 3 2 2 2 2 4 2 2 3" xfId="14377" xr:uid="{00000000-0005-0000-0000-0000297D0000}"/>
    <cellStyle name="Porcentaje 3 2 2 2 2 4 2 2 3 2" xfId="34092" xr:uid="{00000000-0005-0000-0000-00002A7D0000}"/>
    <cellStyle name="Porcentaje 3 2 2 2 2 4 2 2 4" xfId="24235" xr:uid="{00000000-0005-0000-0000-00002B7D0000}"/>
    <cellStyle name="Porcentaje 3 2 2 2 2 4 2 3" xfId="6981" xr:uid="{00000000-0005-0000-0000-00002C7D0000}"/>
    <cellStyle name="Porcentaje 3 2 2 2 2 4 2 3 2" xfId="16841" xr:uid="{00000000-0005-0000-0000-00002D7D0000}"/>
    <cellStyle name="Porcentaje 3 2 2 2 2 4 2 3 2 2" xfId="36556" xr:uid="{00000000-0005-0000-0000-00002E7D0000}"/>
    <cellStyle name="Porcentaje 3 2 2 2 2 4 2 3 3" xfId="26699" xr:uid="{00000000-0005-0000-0000-00002F7D0000}"/>
    <cellStyle name="Porcentaje 3 2 2 2 2 4 2 4" xfId="11913" xr:uid="{00000000-0005-0000-0000-0000307D0000}"/>
    <cellStyle name="Porcentaje 3 2 2 2 2 4 2 4 2" xfId="31628" xr:uid="{00000000-0005-0000-0000-0000317D0000}"/>
    <cellStyle name="Porcentaje 3 2 2 2 2 4 2 5" xfId="21771" xr:uid="{00000000-0005-0000-0000-0000327D0000}"/>
    <cellStyle name="Porcentaje 3 2 2 2 2 4 3" xfId="3281" xr:uid="{00000000-0005-0000-0000-0000337D0000}"/>
    <cellStyle name="Porcentaje 3 2 2 2 2 4 3 2" xfId="8213" xr:uid="{00000000-0005-0000-0000-0000347D0000}"/>
    <cellStyle name="Porcentaje 3 2 2 2 2 4 3 2 2" xfId="18073" xr:uid="{00000000-0005-0000-0000-0000357D0000}"/>
    <cellStyle name="Porcentaje 3 2 2 2 2 4 3 2 2 2" xfId="37788" xr:uid="{00000000-0005-0000-0000-0000367D0000}"/>
    <cellStyle name="Porcentaje 3 2 2 2 2 4 3 2 3" xfId="27931" xr:uid="{00000000-0005-0000-0000-0000377D0000}"/>
    <cellStyle name="Porcentaje 3 2 2 2 2 4 3 3" xfId="13145" xr:uid="{00000000-0005-0000-0000-0000387D0000}"/>
    <cellStyle name="Porcentaje 3 2 2 2 2 4 3 3 2" xfId="32860" xr:uid="{00000000-0005-0000-0000-0000397D0000}"/>
    <cellStyle name="Porcentaje 3 2 2 2 2 4 3 4" xfId="23003" xr:uid="{00000000-0005-0000-0000-00003A7D0000}"/>
    <cellStyle name="Porcentaje 3 2 2 2 2 4 4" xfId="5749" xr:uid="{00000000-0005-0000-0000-00003B7D0000}"/>
    <cellStyle name="Porcentaje 3 2 2 2 2 4 4 2" xfId="15609" xr:uid="{00000000-0005-0000-0000-00003C7D0000}"/>
    <cellStyle name="Porcentaje 3 2 2 2 2 4 4 2 2" xfId="35324" xr:uid="{00000000-0005-0000-0000-00003D7D0000}"/>
    <cellStyle name="Porcentaje 3 2 2 2 2 4 4 3" xfId="25467" xr:uid="{00000000-0005-0000-0000-00003E7D0000}"/>
    <cellStyle name="Porcentaje 3 2 2 2 2 4 5" xfId="10681" xr:uid="{00000000-0005-0000-0000-00003F7D0000}"/>
    <cellStyle name="Porcentaje 3 2 2 2 2 4 5 2" xfId="30396" xr:uid="{00000000-0005-0000-0000-0000407D0000}"/>
    <cellStyle name="Porcentaje 3 2 2 2 2 4 6" xfId="20539" xr:uid="{00000000-0005-0000-0000-0000417D0000}"/>
    <cellStyle name="Porcentaje 3 2 2 2 2 5" xfId="1430" xr:uid="{00000000-0005-0000-0000-0000427D0000}"/>
    <cellStyle name="Porcentaje 3 2 2 2 2 5 2" xfId="3897" xr:uid="{00000000-0005-0000-0000-0000437D0000}"/>
    <cellStyle name="Porcentaje 3 2 2 2 2 5 2 2" xfId="8829" xr:uid="{00000000-0005-0000-0000-0000447D0000}"/>
    <cellStyle name="Porcentaje 3 2 2 2 2 5 2 2 2" xfId="18689" xr:uid="{00000000-0005-0000-0000-0000457D0000}"/>
    <cellStyle name="Porcentaje 3 2 2 2 2 5 2 2 2 2" xfId="38404" xr:uid="{00000000-0005-0000-0000-0000467D0000}"/>
    <cellStyle name="Porcentaje 3 2 2 2 2 5 2 2 3" xfId="28547" xr:uid="{00000000-0005-0000-0000-0000477D0000}"/>
    <cellStyle name="Porcentaje 3 2 2 2 2 5 2 3" xfId="13761" xr:uid="{00000000-0005-0000-0000-0000487D0000}"/>
    <cellStyle name="Porcentaje 3 2 2 2 2 5 2 3 2" xfId="33476" xr:uid="{00000000-0005-0000-0000-0000497D0000}"/>
    <cellStyle name="Porcentaje 3 2 2 2 2 5 2 4" xfId="23619" xr:uid="{00000000-0005-0000-0000-00004A7D0000}"/>
    <cellStyle name="Porcentaje 3 2 2 2 2 5 3" xfId="6365" xr:uid="{00000000-0005-0000-0000-00004B7D0000}"/>
    <cellStyle name="Porcentaje 3 2 2 2 2 5 3 2" xfId="16225" xr:uid="{00000000-0005-0000-0000-00004C7D0000}"/>
    <cellStyle name="Porcentaje 3 2 2 2 2 5 3 2 2" xfId="35940" xr:uid="{00000000-0005-0000-0000-00004D7D0000}"/>
    <cellStyle name="Porcentaje 3 2 2 2 2 5 3 3" xfId="26083" xr:uid="{00000000-0005-0000-0000-00004E7D0000}"/>
    <cellStyle name="Porcentaje 3 2 2 2 2 5 4" xfId="11297" xr:uid="{00000000-0005-0000-0000-00004F7D0000}"/>
    <cellStyle name="Porcentaje 3 2 2 2 2 5 4 2" xfId="31012" xr:uid="{00000000-0005-0000-0000-0000507D0000}"/>
    <cellStyle name="Porcentaje 3 2 2 2 2 5 5" xfId="21155" xr:uid="{00000000-0005-0000-0000-0000517D0000}"/>
    <cellStyle name="Porcentaje 3 2 2 2 2 6" xfId="2665" xr:uid="{00000000-0005-0000-0000-0000527D0000}"/>
    <cellStyle name="Porcentaje 3 2 2 2 2 6 2" xfId="7597" xr:uid="{00000000-0005-0000-0000-0000537D0000}"/>
    <cellStyle name="Porcentaje 3 2 2 2 2 6 2 2" xfId="17457" xr:uid="{00000000-0005-0000-0000-0000547D0000}"/>
    <cellStyle name="Porcentaje 3 2 2 2 2 6 2 2 2" xfId="37172" xr:uid="{00000000-0005-0000-0000-0000557D0000}"/>
    <cellStyle name="Porcentaje 3 2 2 2 2 6 2 3" xfId="27315" xr:uid="{00000000-0005-0000-0000-0000567D0000}"/>
    <cellStyle name="Porcentaje 3 2 2 2 2 6 3" xfId="12529" xr:uid="{00000000-0005-0000-0000-0000577D0000}"/>
    <cellStyle name="Porcentaje 3 2 2 2 2 6 3 2" xfId="32244" xr:uid="{00000000-0005-0000-0000-0000587D0000}"/>
    <cellStyle name="Porcentaje 3 2 2 2 2 6 4" xfId="22387" xr:uid="{00000000-0005-0000-0000-0000597D0000}"/>
    <cellStyle name="Porcentaje 3 2 2 2 2 7" xfId="5133" xr:uid="{00000000-0005-0000-0000-00005A7D0000}"/>
    <cellStyle name="Porcentaje 3 2 2 2 2 7 2" xfId="14993" xr:uid="{00000000-0005-0000-0000-00005B7D0000}"/>
    <cellStyle name="Porcentaje 3 2 2 2 2 7 2 2" xfId="34708" xr:uid="{00000000-0005-0000-0000-00005C7D0000}"/>
    <cellStyle name="Porcentaje 3 2 2 2 2 7 3" xfId="24851" xr:uid="{00000000-0005-0000-0000-00005D7D0000}"/>
    <cellStyle name="Porcentaje 3 2 2 2 2 8" xfId="10065" xr:uid="{00000000-0005-0000-0000-00005E7D0000}"/>
    <cellStyle name="Porcentaje 3 2 2 2 2 8 2" xfId="29780" xr:uid="{00000000-0005-0000-0000-00005F7D0000}"/>
    <cellStyle name="Porcentaje 3 2 2 2 2 9" xfId="19923" xr:uid="{00000000-0005-0000-0000-0000607D0000}"/>
    <cellStyle name="Porcentaje 3 2 2 2 3" xfId="259" xr:uid="{00000000-0005-0000-0000-0000617D0000}"/>
    <cellStyle name="Porcentaje 3 2 2 2 3 2" xfId="573" xr:uid="{00000000-0005-0000-0000-0000627D0000}"/>
    <cellStyle name="Porcentaje 3 2 2 2 3 2 2" xfId="1193" xr:uid="{00000000-0005-0000-0000-0000637D0000}"/>
    <cellStyle name="Porcentaje 3 2 2 2 3 2 2 2" xfId="2428" xr:uid="{00000000-0005-0000-0000-0000647D0000}"/>
    <cellStyle name="Porcentaje 3 2 2 2 3 2 2 2 2" xfId="4895" xr:uid="{00000000-0005-0000-0000-0000657D0000}"/>
    <cellStyle name="Porcentaje 3 2 2 2 3 2 2 2 2 2" xfId="9827" xr:uid="{00000000-0005-0000-0000-0000667D0000}"/>
    <cellStyle name="Porcentaje 3 2 2 2 3 2 2 2 2 2 2" xfId="19687" xr:uid="{00000000-0005-0000-0000-0000677D0000}"/>
    <cellStyle name="Porcentaje 3 2 2 2 3 2 2 2 2 2 2 2" xfId="39402" xr:uid="{00000000-0005-0000-0000-0000687D0000}"/>
    <cellStyle name="Porcentaje 3 2 2 2 3 2 2 2 2 2 3" xfId="29545" xr:uid="{00000000-0005-0000-0000-0000697D0000}"/>
    <cellStyle name="Porcentaje 3 2 2 2 3 2 2 2 2 3" xfId="14759" xr:uid="{00000000-0005-0000-0000-00006A7D0000}"/>
    <cellStyle name="Porcentaje 3 2 2 2 3 2 2 2 2 3 2" xfId="34474" xr:uid="{00000000-0005-0000-0000-00006B7D0000}"/>
    <cellStyle name="Porcentaje 3 2 2 2 3 2 2 2 2 4" xfId="24617" xr:uid="{00000000-0005-0000-0000-00006C7D0000}"/>
    <cellStyle name="Porcentaje 3 2 2 2 3 2 2 2 3" xfId="7363" xr:uid="{00000000-0005-0000-0000-00006D7D0000}"/>
    <cellStyle name="Porcentaje 3 2 2 2 3 2 2 2 3 2" xfId="17223" xr:uid="{00000000-0005-0000-0000-00006E7D0000}"/>
    <cellStyle name="Porcentaje 3 2 2 2 3 2 2 2 3 2 2" xfId="36938" xr:uid="{00000000-0005-0000-0000-00006F7D0000}"/>
    <cellStyle name="Porcentaje 3 2 2 2 3 2 2 2 3 3" xfId="27081" xr:uid="{00000000-0005-0000-0000-0000707D0000}"/>
    <cellStyle name="Porcentaje 3 2 2 2 3 2 2 2 4" xfId="12295" xr:uid="{00000000-0005-0000-0000-0000717D0000}"/>
    <cellStyle name="Porcentaje 3 2 2 2 3 2 2 2 4 2" xfId="32010" xr:uid="{00000000-0005-0000-0000-0000727D0000}"/>
    <cellStyle name="Porcentaje 3 2 2 2 3 2 2 2 5" xfId="22153" xr:uid="{00000000-0005-0000-0000-0000737D0000}"/>
    <cellStyle name="Porcentaje 3 2 2 2 3 2 2 3" xfId="3663" xr:uid="{00000000-0005-0000-0000-0000747D0000}"/>
    <cellStyle name="Porcentaje 3 2 2 2 3 2 2 3 2" xfId="8595" xr:uid="{00000000-0005-0000-0000-0000757D0000}"/>
    <cellStyle name="Porcentaje 3 2 2 2 3 2 2 3 2 2" xfId="18455" xr:uid="{00000000-0005-0000-0000-0000767D0000}"/>
    <cellStyle name="Porcentaje 3 2 2 2 3 2 2 3 2 2 2" xfId="38170" xr:uid="{00000000-0005-0000-0000-0000777D0000}"/>
    <cellStyle name="Porcentaje 3 2 2 2 3 2 2 3 2 3" xfId="28313" xr:uid="{00000000-0005-0000-0000-0000787D0000}"/>
    <cellStyle name="Porcentaje 3 2 2 2 3 2 2 3 3" xfId="13527" xr:uid="{00000000-0005-0000-0000-0000797D0000}"/>
    <cellStyle name="Porcentaje 3 2 2 2 3 2 2 3 3 2" xfId="33242" xr:uid="{00000000-0005-0000-0000-00007A7D0000}"/>
    <cellStyle name="Porcentaje 3 2 2 2 3 2 2 3 4" xfId="23385" xr:uid="{00000000-0005-0000-0000-00007B7D0000}"/>
    <cellStyle name="Porcentaje 3 2 2 2 3 2 2 4" xfId="6131" xr:uid="{00000000-0005-0000-0000-00007C7D0000}"/>
    <cellStyle name="Porcentaje 3 2 2 2 3 2 2 4 2" xfId="15991" xr:uid="{00000000-0005-0000-0000-00007D7D0000}"/>
    <cellStyle name="Porcentaje 3 2 2 2 3 2 2 4 2 2" xfId="35706" xr:uid="{00000000-0005-0000-0000-00007E7D0000}"/>
    <cellStyle name="Porcentaje 3 2 2 2 3 2 2 4 3" xfId="25849" xr:uid="{00000000-0005-0000-0000-00007F7D0000}"/>
    <cellStyle name="Porcentaje 3 2 2 2 3 2 2 5" xfId="11063" xr:uid="{00000000-0005-0000-0000-0000807D0000}"/>
    <cellStyle name="Porcentaje 3 2 2 2 3 2 2 5 2" xfId="30778" xr:uid="{00000000-0005-0000-0000-0000817D0000}"/>
    <cellStyle name="Porcentaje 3 2 2 2 3 2 2 6" xfId="20921" xr:uid="{00000000-0005-0000-0000-0000827D0000}"/>
    <cellStyle name="Porcentaje 3 2 2 2 3 2 3" xfId="1812" xr:uid="{00000000-0005-0000-0000-0000837D0000}"/>
    <cellStyle name="Porcentaje 3 2 2 2 3 2 3 2" xfId="4279" xr:uid="{00000000-0005-0000-0000-0000847D0000}"/>
    <cellStyle name="Porcentaje 3 2 2 2 3 2 3 2 2" xfId="9211" xr:uid="{00000000-0005-0000-0000-0000857D0000}"/>
    <cellStyle name="Porcentaje 3 2 2 2 3 2 3 2 2 2" xfId="19071" xr:uid="{00000000-0005-0000-0000-0000867D0000}"/>
    <cellStyle name="Porcentaje 3 2 2 2 3 2 3 2 2 2 2" xfId="38786" xr:uid="{00000000-0005-0000-0000-0000877D0000}"/>
    <cellStyle name="Porcentaje 3 2 2 2 3 2 3 2 2 3" xfId="28929" xr:uid="{00000000-0005-0000-0000-0000887D0000}"/>
    <cellStyle name="Porcentaje 3 2 2 2 3 2 3 2 3" xfId="14143" xr:uid="{00000000-0005-0000-0000-0000897D0000}"/>
    <cellStyle name="Porcentaje 3 2 2 2 3 2 3 2 3 2" xfId="33858" xr:uid="{00000000-0005-0000-0000-00008A7D0000}"/>
    <cellStyle name="Porcentaje 3 2 2 2 3 2 3 2 4" xfId="24001" xr:uid="{00000000-0005-0000-0000-00008B7D0000}"/>
    <cellStyle name="Porcentaje 3 2 2 2 3 2 3 3" xfId="6747" xr:uid="{00000000-0005-0000-0000-00008C7D0000}"/>
    <cellStyle name="Porcentaje 3 2 2 2 3 2 3 3 2" xfId="16607" xr:uid="{00000000-0005-0000-0000-00008D7D0000}"/>
    <cellStyle name="Porcentaje 3 2 2 2 3 2 3 3 2 2" xfId="36322" xr:uid="{00000000-0005-0000-0000-00008E7D0000}"/>
    <cellStyle name="Porcentaje 3 2 2 2 3 2 3 3 3" xfId="26465" xr:uid="{00000000-0005-0000-0000-00008F7D0000}"/>
    <cellStyle name="Porcentaje 3 2 2 2 3 2 3 4" xfId="11679" xr:uid="{00000000-0005-0000-0000-0000907D0000}"/>
    <cellStyle name="Porcentaje 3 2 2 2 3 2 3 4 2" xfId="31394" xr:uid="{00000000-0005-0000-0000-0000917D0000}"/>
    <cellStyle name="Porcentaje 3 2 2 2 3 2 3 5" xfId="21537" xr:uid="{00000000-0005-0000-0000-0000927D0000}"/>
    <cellStyle name="Porcentaje 3 2 2 2 3 2 4" xfId="3047" xr:uid="{00000000-0005-0000-0000-0000937D0000}"/>
    <cellStyle name="Porcentaje 3 2 2 2 3 2 4 2" xfId="7979" xr:uid="{00000000-0005-0000-0000-0000947D0000}"/>
    <cellStyle name="Porcentaje 3 2 2 2 3 2 4 2 2" xfId="17839" xr:uid="{00000000-0005-0000-0000-0000957D0000}"/>
    <cellStyle name="Porcentaje 3 2 2 2 3 2 4 2 2 2" xfId="37554" xr:uid="{00000000-0005-0000-0000-0000967D0000}"/>
    <cellStyle name="Porcentaje 3 2 2 2 3 2 4 2 3" xfId="27697" xr:uid="{00000000-0005-0000-0000-0000977D0000}"/>
    <cellStyle name="Porcentaje 3 2 2 2 3 2 4 3" xfId="12911" xr:uid="{00000000-0005-0000-0000-0000987D0000}"/>
    <cellStyle name="Porcentaje 3 2 2 2 3 2 4 3 2" xfId="32626" xr:uid="{00000000-0005-0000-0000-0000997D0000}"/>
    <cellStyle name="Porcentaje 3 2 2 2 3 2 4 4" xfId="22769" xr:uid="{00000000-0005-0000-0000-00009A7D0000}"/>
    <cellStyle name="Porcentaje 3 2 2 2 3 2 5" xfId="5515" xr:uid="{00000000-0005-0000-0000-00009B7D0000}"/>
    <cellStyle name="Porcentaje 3 2 2 2 3 2 5 2" xfId="15375" xr:uid="{00000000-0005-0000-0000-00009C7D0000}"/>
    <cellStyle name="Porcentaje 3 2 2 2 3 2 5 2 2" xfId="35090" xr:uid="{00000000-0005-0000-0000-00009D7D0000}"/>
    <cellStyle name="Porcentaje 3 2 2 2 3 2 5 3" xfId="25233" xr:uid="{00000000-0005-0000-0000-00009E7D0000}"/>
    <cellStyle name="Porcentaje 3 2 2 2 3 2 6" xfId="10447" xr:uid="{00000000-0005-0000-0000-00009F7D0000}"/>
    <cellStyle name="Porcentaje 3 2 2 2 3 2 6 2" xfId="30162" xr:uid="{00000000-0005-0000-0000-0000A07D0000}"/>
    <cellStyle name="Porcentaje 3 2 2 2 3 2 7" xfId="20305" xr:uid="{00000000-0005-0000-0000-0000A17D0000}"/>
    <cellStyle name="Porcentaje 3 2 2 2 3 3" xfId="886" xr:uid="{00000000-0005-0000-0000-0000A27D0000}"/>
    <cellStyle name="Porcentaje 3 2 2 2 3 3 2" xfId="2122" xr:uid="{00000000-0005-0000-0000-0000A37D0000}"/>
    <cellStyle name="Porcentaje 3 2 2 2 3 3 2 2" xfId="4589" xr:uid="{00000000-0005-0000-0000-0000A47D0000}"/>
    <cellStyle name="Porcentaje 3 2 2 2 3 3 2 2 2" xfId="9521" xr:uid="{00000000-0005-0000-0000-0000A57D0000}"/>
    <cellStyle name="Porcentaje 3 2 2 2 3 3 2 2 2 2" xfId="19381" xr:uid="{00000000-0005-0000-0000-0000A67D0000}"/>
    <cellStyle name="Porcentaje 3 2 2 2 3 3 2 2 2 2 2" xfId="39096" xr:uid="{00000000-0005-0000-0000-0000A77D0000}"/>
    <cellStyle name="Porcentaje 3 2 2 2 3 3 2 2 2 3" xfId="29239" xr:uid="{00000000-0005-0000-0000-0000A87D0000}"/>
    <cellStyle name="Porcentaje 3 2 2 2 3 3 2 2 3" xfId="14453" xr:uid="{00000000-0005-0000-0000-0000A97D0000}"/>
    <cellStyle name="Porcentaje 3 2 2 2 3 3 2 2 3 2" xfId="34168" xr:uid="{00000000-0005-0000-0000-0000AA7D0000}"/>
    <cellStyle name="Porcentaje 3 2 2 2 3 3 2 2 4" xfId="24311" xr:uid="{00000000-0005-0000-0000-0000AB7D0000}"/>
    <cellStyle name="Porcentaje 3 2 2 2 3 3 2 3" xfId="7057" xr:uid="{00000000-0005-0000-0000-0000AC7D0000}"/>
    <cellStyle name="Porcentaje 3 2 2 2 3 3 2 3 2" xfId="16917" xr:uid="{00000000-0005-0000-0000-0000AD7D0000}"/>
    <cellStyle name="Porcentaje 3 2 2 2 3 3 2 3 2 2" xfId="36632" xr:uid="{00000000-0005-0000-0000-0000AE7D0000}"/>
    <cellStyle name="Porcentaje 3 2 2 2 3 3 2 3 3" xfId="26775" xr:uid="{00000000-0005-0000-0000-0000AF7D0000}"/>
    <cellStyle name="Porcentaje 3 2 2 2 3 3 2 4" xfId="11989" xr:uid="{00000000-0005-0000-0000-0000B07D0000}"/>
    <cellStyle name="Porcentaje 3 2 2 2 3 3 2 4 2" xfId="31704" xr:uid="{00000000-0005-0000-0000-0000B17D0000}"/>
    <cellStyle name="Porcentaje 3 2 2 2 3 3 2 5" xfId="21847" xr:uid="{00000000-0005-0000-0000-0000B27D0000}"/>
    <cellStyle name="Porcentaje 3 2 2 2 3 3 3" xfId="3357" xr:uid="{00000000-0005-0000-0000-0000B37D0000}"/>
    <cellStyle name="Porcentaje 3 2 2 2 3 3 3 2" xfId="8289" xr:uid="{00000000-0005-0000-0000-0000B47D0000}"/>
    <cellStyle name="Porcentaje 3 2 2 2 3 3 3 2 2" xfId="18149" xr:uid="{00000000-0005-0000-0000-0000B57D0000}"/>
    <cellStyle name="Porcentaje 3 2 2 2 3 3 3 2 2 2" xfId="37864" xr:uid="{00000000-0005-0000-0000-0000B67D0000}"/>
    <cellStyle name="Porcentaje 3 2 2 2 3 3 3 2 3" xfId="28007" xr:uid="{00000000-0005-0000-0000-0000B77D0000}"/>
    <cellStyle name="Porcentaje 3 2 2 2 3 3 3 3" xfId="13221" xr:uid="{00000000-0005-0000-0000-0000B87D0000}"/>
    <cellStyle name="Porcentaje 3 2 2 2 3 3 3 3 2" xfId="32936" xr:uid="{00000000-0005-0000-0000-0000B97D0000}"/>
    <cellStyle name="Porcentaje 3 2 2 2 3 3 3 4" xfId="23079" xr:uid="{00000000-0005-0000-0000-0000BA7D0000}"/>
    <cellStyle name="Porcentaje 3 2 2 2 3 3 4" xfId="5825" xr:uid="{00000000-0005-0000-0000-0000BB7D0000}"/>
    <cellStyle name="Porcentaje 3 2 2 2 3 3 4 2" xfId="15685" xr:uid="{00000000-0005-0000-0000-0000BC7D0000}"/>
    <cellStyle name="Porcentaje 3 2 2 2 3 3 4 2 2" xfId="35400" xr:uid="{00000000-0005-0000-0000-0000BD7D0000}"/>
    <cellStyle name="Porcentaje 3 2 2 2 3 3 4 3" xfId="25543" xr:uid="{00000000-0005-0000-0000-0000BE7D0000}"/>
    <cellStyle name="Porcentaje 3 2 2 2 3 3 5" xfId="10757" xr:uid="{00000000-0005-0000-0000-0000BF7D0000}"/>
    <cellStyle name="Porcentaje 3 2 2 2 3 3 5 2" xfId="30472" xr:uid="{00000000-0005-0000-0000-0000C07D0000}"/>
    <cellStyle name="Porcentaje 3 2 2 2 3 3 6" xfId="20615" xr:uid="{00000000-0005-0000-0000-0000C17D0000}"/>
    <cellStyle name="Porcentaje 3 2 2 2 3 4" xfId="1506" xr:uid="{00000000-0005-0000-0000-0000C27D0000}"/>
    <cellStyle name="Porcentaje 3 2 2 2 3 4 2" xfId="3973" xr:uid="{00000000-0005-0000-0000-0000C37D0000}"/>
    <cellStyle name="Porcentaje 3 2 2 2 3 4 2 2" xfId="8905" xr:uid="{00000000-0005-0000-0000-0000C47D0000}"/>
    <cellStyle name="Porcentaje 3 2 2 2 3 4 2 2 2" xfId="18765" xr:uid="{00000000-0005-0000-0000-0000C57D0000}"/>
    <cellStyle name="Porcentaje 3 2 2 2 3 4 2 2 2 2" xfId="38480" xr:uid="{00000000-0005-0000-0000-0000C67D0000}"/>
    <cellStyle name="Porcentaje 3 2 2 2 3 4 2 2 3" xfId="28623" xr:uid="{00000000-0005-0000-0000-0000C77D0000}"/>
    <cellStyle name="Porcentaje 3 2 2 2 3 4 2 3" xfId="13837" xr:uid="{00000000-0005-0000-0000-0000C87D0000}"/>
    <cellStyle name="Porcentaje 3 2 2 2 3 4 2 3 2" xfId="33552" xr:uid="{00000000-0005-0000-0000-0000C97D0000}"/>
    <cellStyle name="Porcentaje 3 2 2 2 3 4 2 4" xfId="23695" xr:uid="{00000000-0005-0000-0000-0000CA7D0000}"/>
    <cellStyle name="Porcentaje 3 2 2 2 3 4 3" xfId="6441" xr:uid="{00000000-0005-0000-0000-0000CB7D0000}"/>
    <cellStyle name="Porcentaje 3 2 2 2 3 4 3 2" xfId="16301" xr:uid="{00000000-0005-0000-0000-0000CC7D0000}"/>
    <cellStyle name="Porcentaje 3 2 2 2 3 4 3 2 2" xfId="36016" xr:uid="{00000000-0005-0000-0000-0000CD7D0000}"/>
    <cellStyle name="Porcentaje 3 2 2 2 3 4 3 3" xfId="26159" xr:uid="{00000000-0005-0000-0000-0000CE7D0000}"/>
    <cellStyle name="Porcentaje 3 2 2 2 3 4 4" xfId="11373" xr:uid="{00000000-0005-0000-0000-0000CF7D0000}"/>
    <cellStyle name="Porcentaje 3 2 2 2 3 4 4 2" xfId="31088" xr:uid="{00000000-0005-0000-0000-0000D07D0000}"/>
    <cellStyle name="Porcentaje 3 2 2 2 3 4 5" xfId="21231" xr:uid="{00000000-0005-0000-0000-0000D17D0000}"/>
    <cellStyle name="Porcentaje 3 2 2 2 3 5" xfId="2741" xr:uid="{00000000-0005-0000-0000-0000D27D0000}"/>
    <cellStyle name="Porcentaje 3 2 2 2 3 5 2" xfId="7673" xr:uid="{00000000-0005-0000-0000-0000D37D0000}"/>
    <cellStyle name="Porcentaje 3 2 2 2 3 5 2 2" xfId="17533" xr:uid="{00000000-0005-0000-0000-0000D47D0000}"/>
    <cellStyle name="Porcentaje 3 2 2 2 3 5 2 2 2" xfId="37248" xr:uid="{00000000-0005-0000-0000-0000D57D0000}"/>
    <cellStyle name="Porcentaje 3 2 2 2 3 5 2 3" xfId="27391" xr:uid="{00000000-0005-0000-0000-0000D67D0000}"/>
    <cellStyle name="Porcentaje 3 2 2 2 3 5 3" xfId="12605" xr:uid="{00000000-0005-0000-0000-0000D77D0000}"/>
    <cellStyle name="Porcentaje 3 2 2 2 3 5 3 2" xfId="32320" xr:uid="{00000000-0005-0000-0000-0000D87D0000}"/>
    <cellStyle name="Porcentaje 3 2 2 2 3 5 4" xfId="22463" xr:uid="{00000000-0005-0000-0000-0000D97D0000}"/>
    <cellStyle name="Porcentaje 3 2 2 2 3 6" xfId="5209" xr:uid="{00000000-0005-0000-0000-0000DA7D0000}"/>
    <cellStyle name="Porcentaje 3 2 2 2 3 6 2" xfId="15069" xr:uid="{00000000-0005-0000-0000-0000DB7D0000}"/>
    <cellStyle name="Porcentaje 3 2 2 2 3 6 2 2" xfId="34784" xr:uid="{00000000-0005-0000-0000-0000DC7D0000}"/>
    <cellStyle name="Porcentaje 3 2 2 2 3 6 3" xfId="24927" xr:uid="{00000000-0005-0000-0000-0000DD7D0000}"/>
    <cellStyle name="Porcentaje 3 2 2 2 3 7" xfId="10141" xr:uid="{00000000-0005-0000-0000-0000DE7D0000}"/>
    <cellStyle name="Porcentaje 3 2 2 2 3 7 2" xfId="29856" xr:uid="{00000000-0005-0000-0000-0000DF7D0000}"/>
    <cellStyle name="Porcentaje 3 2 2 2 3 8" xfId="19999" xr:uid="{00000000-0005-0000-0000-0000E07D0000}"/>
    <cellStyle name="Porcentaje 3 2 2 2 4" xfId="421" xr:uid="{00000000-0005-0000-0000-0000E17D0000}"/>
    <cellStyle name="Porcentaje 3 2 2 2 4 2" xfId="1041" xr:uid="{00000000-0005-0000-0000-0000E27D0000}"/>
    <cellStyle name="Porcentaje 3 2 2 2 4 2 2" xfId="2276" xr:uid="{00000000-0005-0000-0000-0000E37D0000}"/>
    <cellStyle name="Porcentaje 3 2 2 2 4 2 2 2" xfId="4743" xr:uid="{00000000-0005-0000-0000-0000E47D0000}"/>
    <cellStyle name="Porcentaje 3 2 2 2 4 2 2 2 2" xfId="9675" xr:uid="{00000000-0005-0000-0000-0000E57D0000}"/>
    <cellStyle name="Porcentaje 3 2 2 2 4 2 2 2 2 2" xfId="19535" xr:uid="{00000000-0005-0000-0000-0000E67D0000}"/>
    <cellStyle name="Porcentaje 3 2 2 2 4 2 2 2 2 2 2" xfId="39250" xr:uid="{00000000-0005-0000-0000-0000E77D0000}"/>
    <cellStyle name="Porcentaje 3 2 2 2 4 2 2 2 2 3" xfId="29393" xr:uid="{00000000-0005-0000-0000-0000E87D0000}"/>
    <cellStyle name="Porcentaje 3 2 2 2 4 2 2 2 3" xfId="14607" xr:uid="{00000000-0005-0000-0000-0000E97D0000}"/>
    <cellStyle name="Porcentaje 3 2 2 2 4 2 2 2 3 2" xfId="34322" xr:uid="{00000000-0005-0000-0000-0000EA7D0000}"/>
    <cellStyle name="Porcentaje 3 2 2 2 4 2 2 2 4" xfId="24465" xr:uid="{00000000-0005-0000-0000-0000EB7D0000}"/>
    <cellStyle name="Porcentaje 3 2 2 2 4 2 2 3" xfId="7211" xr:uid="{00000000-0005-0000-0000-0000EC7D0000}"/>
    <cellStyle name="Porcentaje 3 2 2 2 4 2 2 3 2" xfId="17071" xr:uid="{00000000-0005-0000-0000-0000ED7D0000}"/>
    <cellStyle name="Porcentaje 3 2 2 2 4 2 2 3 2 2" xfId="36786" xr:uid="{00000000-0005-0000-0000-0000EE7D0000}"/>
    <cellStyle name="Porcentaje 3 2 2 2 4 2 2 3 3" xfId="26929" xr:uid="{00000000-0005-0000-0000-0000EF7D0000}"/>
    <cellStyle name="Porcentaje 3 2 2 2 4 2 2 4" xfId="12143" xr:uid="{00000000-0005-0000-0000-0000F07D0000}"/>
    <cellStyle name="Porcentaje 3 2 2 2 4 2 2 4 2" xfId="31858" xr:uid="{00000000-0005-0000-0000-0000F17D0000}"/>
    <cellStyle name="Porcentaje 3 2 2 2 4 2 2 5" xfId="22001" xr:uid="{00000000-0005-0000-0000-0000F27D0000}"/>
    <cellStyle name="Porcentaje 3 2 2 2 4 2 3" xfId="3511" xr:uid="{00000000-0005-0000-0000-0000F37D0000}"/>
    <cellStyle name="Porcentaje 3 2 2 2 4 2 3 2" xfId="8443" xr:uid="{00000000-0005-0000-0000-0000F47D0000}"/>
    <cellStyle name="Porcentaje 3 2 2 2 4 2 3 2 2" xfId="18303" xr:uid="{00000000-0005-0000-0000-0000F57D0000}"/>
    <cellStyle name="Porcentaje 3 2 2 2 4 2 3 2 2 2" xfId="38018" xr:uid="{00000000-0005-0000-0000-0000F67D0000}"/>
    <cellStyle name="Porcentaje 3 2 2 2 4 2 3 2 3" xfId="28161" xr:uid="{00000000-0005-0000-0000-0000F77D0000}"/>
    <cellStyle name="Porcentaje 3 2 2 2 4 2 3 3" xfId="13375" xr:uid="{00000000-0005-0000-0000-0000F87D0000}"/>
    <cellStyle name="Porcentaje 3 2 2 2 4 2 3 3 2" xfId="33090" xr:uid="{00000000-0005-0000-0000-0000F97D0000}"/>
    <cellStyle name="Porcentaje 3 2 2 2 4 2 3 4" xfId="23233" xr:uid="{00000000-0005-0000-0000-0000FA7D0000}"/>
    <cellStyle name="Porcentaje 3 2 2 2 4 2 4" xfId="5979" xr:uid="{00000000-0005-0000-0000-0000FB7D0000}"/>
    <cellStyle name="Porcentaje 3 2 2 2 4 2 4 2" xfId="15839" xr:uid="{00000000-0005-0000-0000-0000FC7D0000}"/>
    <cellStyle name="Porcentaje 3 2 2 2 4 2 4 2 2" xfId="35554" xr:uid="{00000000-0005-0000-0000-0000FD7D0000}"/>
    <cellStyle name="Porcentaje 3 2 2 2 4 2 4 3" xfId="25697" xr:uid="{00000000-0005-0000-0000-0000FE7D0000}"/>
    <cellStyle name="Porcentaje 3 2 2 2 4 2 5" xfId="10911" xr:uid="{00000000-0005-0000-0000-0000FF7D0000}"/>
    <cellStyle name="Porcentaje 3 2 2 2 4 2 5 2" xfId="30626" xr:uid="{00000000-0005-0000-0000-0000007E0000}"/>
    <cellStyle name="Porcentaje 3 2 2 2 4 2 6" xfId="20769" xr:uid="{00000000-0005-0000-0000-0000017E0000}"/>
    <cellStyle name="Porcentaje 3 2 2 2 4 3" xfId="1660" xr:uid="{00000000-0005-0000-0000-0000027E0000}"/>
    <cellStyle name="Porcentaje 3 2 2 2 4 3 2" xfId="4127" xr:uid="{00000000-0005-0000-0000-0000037E0000}"/>
    <cellStyle name="Porcentaje 3 2 2 2 4 3 2 2" xfId="9059" xr:uid="{00000000-0005-0000-0000-0000047E0000}"/>
    <cellStyle name="Porcentaje 3 2 2 2 4 3 2 2 2" xfId="18919" xr:uid="{00000000-0005-0000-0000-0000057E0000}"/>
    <cellStyle name="Porcentaje 3 2 2 2 4 3 2 2 2 2" xfId="38634" xr:uid="{00000000-0005-0000-0000-0000067E0000}"/>
    <cellStyle name="Porcentaje 3 2 2 2 4 3 2 2 3" xfId="28777" xr:uid="{00000000-0005-0000-0000-0000077E0000}"/>
    <cellStyle name="Porcentaje 3 2 2 2 4 3 2 3" xfId="13991" xr:uid="{00000000-0005-0000-0000-0000087E0000}"/>
    <cellStyle name="Porcentaje 3 2 2 2 4 3 2 3 2" xfId="33706" xr:uid="{00000000-0005-0000-0000-0000097E0000}"/>
    <cellStyle name="Porcentaje 3 2 2 2 4 3 2 4" xfId="23849" xr:uid="{00000000-0005-0000-0000-00000A7E0000}"/>
    <cellStyle name="Porcentaje 3 2 2 2 4 3 3" xfId="6595" xr:uid="{00000000-0005-0000-0000-00000B7E0000}"/>
    <cellStyle name="Porcentaje 3 2 2 2 4 3 3 2" xfId="16455" xr:uid="{00000000-0005-0000-0000-00000C7E0000}"/>
    <cellStyle name="Porcentaje 3 2 2 2 4 3 3 2 2" xfId="36170" xr:uid="{00000000-0005-0000-0000-00000D7E0000}"/>
    <cellStyle name="Porcentaje 3 2 2 2 4 3 3 3" xfId="26313" xr:uid="{00000000-0005-0000-0000-00000E7E0000}"/>
    <cellStyle name="Porcentaje 3 2 2 2 4 3 4" xfId="11527" xr:uid="{00000000-0005-0000-0000-00000F7E0000}"/>
    <cellStyle name="Porcentaje 3 2 2 2 4 3 4 2" xfId="31242" xr:uid="{00000000-0005-0000-0000-0000107E0000}"/>
    <cellStyle name="Porcentaje 3 2 2 2 4 3 5" xfId="21385" xr:uid="{00000000-0005-0000-0000-0000117E0000}"/>
    <cellStyle name="Porcentaje 3 2 2 2 4 4" xfId="2895" xr:uid="{00000000-0005-0000-0000-0000127E0000}"/>
    <cellStyle name="Porcentaje 3 2 2 2 4 4 2" xfId="7827" xr:uid="{00000000-0005-0000-0000-0000137E0000}"/>
    <cellStyle name="Porcentaje 3 2 2 2 4 4 2 2" xfId="17687" xr:uid="{00000000-0005-0000-0000-0000147E0000}"/>
    <cellStyle name="Porcentaje 3 2 2 2 4 4 2 2 2" xfId="37402" xr:uid="{00000000-0005-0000-0000-0000157E0000}"/>
    <cellStyle name="Porcentaje 3 2 2 2 4 4 2 3" xfId="27545" xr:uid="{00000000-0005-0000-0000-0000167E0000}"/>
    <cellStyle name="Porcentaje 3 2 2 2 4 4 3" xfId="12759" xr:uid="{00000000-0005-0000-0000-0000177E0000}"/>
    <cellStyle name="Porcentaje 3 2 2 2 4 4 3 2" xfId="32474" xr:uid="{00000000-0005-0000-0000-0000187E0000}"/>
    <cellStyle name="Porcentaje 3 2 2 2 4 4 4" xfId="22617" xr:uid="{00000000-0005-0000-0000-0000197E0000}"/>
    <cellStyle name="Porcentaje 3 2 2 2 4 5" xfId="5363" xr:uid="{00000000-0005-0000-0000-00001A7E0000}"/>
    <cellStyle name="Porcentaje 3 2 2 2 4 5 2" xfId="15223" xr:uid="{00000000-0005-0000-0000-00001B7E0000}"/>
    <cellStyle name="Porcentaje 3 2 2 2 4 5 2 2" xfId="34938" xr:uid="{00000000-0005-0000-0000-00001C7E0000}"/>
    <cellStyle name="Porcentaje 3 2 2 2 4 5 3" xfId="25081" xr:uid="{00000000-0005-0000-0000-00001D7E0000}"/>
    <cellStyle name="Porcentaje 3 2 2 2 4 6" xfId="10295" xr:uid="{00000000-0005-0000-0000-00001E7E0000}"/>
    <cellStyle name="Porcentaje 3 2 2 2 4 6 2" xfId="30010" xr:uid="{00000000-0005-0000-0000-00001F7E0000}"/>
    <cellStyle name="Porcentaje 3 2 2 2 4 7" xfId="20153" xr:uid="{00000000-0005-0000-0000-0000207E0000}"/>
    <cellStyle name="Porcentaje 3 2 2 2 5" xfId="734" xr:uid="{00000000-0005-0000-0000-0000217E0000}"/>
    <cellStyle name="Porcentaje 3 2 2 2 5 2" xfId="1970" xr:uid="{00000000-0005-0000-0000-0000227E0000}"/>
    <cellStyle name="Porcentaje 3 2 2 2 5 2 2" xfId="4437" xr:uid="{00000000-0005-0000-0000-0000237E0000}"/>
    <cellStyle name="Porcentaje 3 2 2 2 5 2 2 2" xfId="9369" xr:uid="{00000000-0005-0000-0000-0000247E0000}"/>
    <cellStyle name="Porcentaje 3 2 2 2 5 2 2 2 2" xfId="19229" xr:uid="{00000000-0005-0000-0000-0000257E0000}"/>
    <cellStyle name="Porcentaje 3 2 2 2 5 2 2 2 2 2" xfId="38944" xr:uid="{00000000-0005-0000-0000-0000267E0000}"/>
    <cellStyle name="Porcentaje 3 2 2 2 5 2 2 2 3" xfId="29087" xr:uid="{00000000-0005-0000-0000-0000277E0000}"/>
    <cellStyle name="Porcentaje 3 2 2 2 5 2 2 3" xfId="14301" xr:uid="{00000000-0005-0000-0000-0000287E0000}"/>
    <cellStyle name="Porcentaje 3 2 2 2 5 2 2 3 2" xfId="34016" xr:uid="{00000000-0005-0000-0000-0000297E0000}"/>
    <cellStyle name="Porcentaje 3 2 2 2 5 2 2 4" xfId="24159" xr:uid="{00000000-0005-0000-0000-00002A7E0000}"/>
    <cellStyle name="Porcentaje 3 2 2 2 5 2 3" xfId="6905" xr:uid="{00000000-0005-0000-0000-00002B7E0000}"/>
    <cellStyle name="Porcentaje 3 2 2 2 5 2 3 2" xfId="16765" xr:uid="{00000000-0005-0000-0000-00002C7E0000}"/>
    <cellStyle name="Porcentaje 3 2 2 2 5 2 3 2 2" xfId="36480" xr:uid="{00000000-0005-0000-0000-00002D7E0000}"/>
    <cellStyle name="Porcentaje 3 2 2 2 5 2 3 3" xfId="26623" xr:uid="{00000000-0005-0000-0000-00002E7E0000}"/>
    <cellStyle name="Porcentaje 3 2 2 2 5 2 4" xfId="11837" xr:uid="{00000000-0005-0000-0000-00002F7E0000}"/>
    <cellStyle name="Porcentaje 3 2 2 2 5 2 4 2" xfId="31552" xr:uid="{00000000-0005-0000-0000-0000307E0000}"/>
    <cellStyle name="Porcentaje 3 2 2 2 5 2 5" xfId="21695" xr:uid="{00000000-0005-0000-0000-0000317E0000}"/>
    <cellStyle name="Porcentaje 3 2 2 2 5 3" xfId="3205" xr:uid="{00000000-0005-0000-0000-0000327E0000}"/>
    <cellStyle name="Porcentaje 3 2 2 2 5 3 2" xfId="8137" xr:uid="{00000000-0005-0000-0000-0000337E0000}"/>
    <cellStyle name="Porcentaje 3 2 2 2 5 3 2 2" xfId="17997" xr:uid="{00000000-0005-0000-0000-0000347E0000}"/>
    <cellStyle name="Porcentaje 3 2 2 2 5 3 2 2 2" xfId="37712" xr:uid="{00000000-0005-0000-0000-0000357E0000}"/>
    <cellStyle name="Porcentaje 3 2 2 2 5 3 2 3" xfId="27855" xr:uid="{00000000-0005-0000-0000-0000367E0000}"/>
    <cellStyle name="Porcentaje 3 2 2 2 5 3 3" xfId="13069" xr:uid="{00000000-0005-0000-0000-0000377E0000}"/>
    <cellStyle name="Porcentaje 3 2 2 2 5 3 3 2" xfId="32784" xr:uid="{00000000-0005-0000-0000-0000387E0000}"/>
    <cellStyle name="Porcentaje 3 2 2 2 5 3 4" xfId="22927" xr:uid="{00000000-0005-0000-0000-0000397E0000}"/>
    <cellStyle name="Porcentaje 3 2 2 2 5 4" xfId="5673" xr:uid="{00000000-0005-0000-0000-00003A7E0000}"/>
    <cellStyle name="Porcentaje 3 2 2 2 5 4 2" xfId="15533" xr:uid="{00000000-0005-0000-0000-00003B7E0000}"/>
    <cellStyle name="Porcentaje 3 2 2 2 5 4 2 2" xfId="35248" xr:uid="{00000000-0005-0000-0000-00003C7E0000}"/>
    <cellStyle name="Porcentaje 3 2 2 2 5 4 3" xfId="25391" xr:uid="{00000000-0005-0000-0000-00003D7E0000}"/>
    <cellStyle name="Porcentaje 3 2 2 2 5 5" xfId="10605" xr:uid="{00000000-0005-0000-0000-00003E7E0000}"/>
    <cellStyle name="Porcentaje 3 2 2 2 5 5 2" xfId="30320" xr:uid="{00000000-0005-0000-0000-00003F7E0000}"/>
    <cellStyle name="Porcentaje 3 2 2 2 5 6" xfId="20463" xr:uid="{00000000-0005-0000-0000-0000407E0000}"/>
    <cellStyle name="Porcentaje 3 2 2 2 6" xfId="1354" xr:uid="{00000000-0005-0000-0000-0000417E0000}"/>
    <cellStyle name="Porcentaje 3 2 2 2 6 2" xfId="3821" xr:uid="{00000000-0005-0000-0000-0000427E0000}"/>
    <cellStyle name="Porcentaje 3 2 2 2 6 2 2" xfId="8753" xr:uid="{00000000-0005-0000-0000-0000437E0000}"/>
    <cellStyle name="Porcentaje 3 2 2 2 6 2 2 2" xfId="18613" xr:uid="{00000000-0005-0000-0000-0000447E0000}"/>
    <cellStyle name="Porcentaje 3 2 2 2 6 2 2 2 2" xfId="38328" xr:uid="{00000000-0005-0000-0000-0000457E0000}"/>
    <cellStyle name="Porcentaje 3 2 2 2 6 2 2 3" xfId="28471" xr:uid="{00000000-0005-0000-0000-0000467E0000}"/>
    <cellStyle name="Porcentaje 3 2 2 2 6 2 3" xfId="13685" xr:uid="{00000000-0005-0000-0000-0000477E0000}"/>
    <cellStyle name="Porcentaje 3 2 2 2 6 2 3 2" xfId="33400" xr:uid="{00000000-0005-0000-0000-0000487E0000}"/>
    <cellStyle name="Porcentaje 3 2 2 2 6 2 4" xfId="23543" xr:uid="{00000000-0005-0000-0000-0000497E0000}"/>
    <cellStyle name="Porcentaje 3 2 2 2 6 3" xfId="6289" xr:uid="{00000000-0005-0000-0000-00004A7E0000}"/>
    <cellStyle name="Porcentaje 3 2 2 2 6 3 2" xfId="16149" xr:uid="{00000000-0005-0000-0000-00004B7E0000}"/>
    <cellStyle name="Porcentaje 3 2 2 2 6 3 2 2" xfId="35864" xr:uid="{00000000-0005-0000-0000-00004C7E0000}"/>
    <cellStyle name="Porcentaje 3 2 2 2 6 3 3" xfId="26007" xr:uid="{00000000-0005-0000-0000-00004D7E0000}"/>
    <cellStyle name="Porcentaje 3 2 2 2 6 4" xfId="11221" xr:uid="{00000000-0005-0000-0000-00004E7E0000}"/>
    <cellStyle name="Porcentaje 3 2 2 2 6 4 2" xfId="30936" xr:uid="{00000000-0005-0000-0000-00004F7E0000}"/>
    <cellStyle name="Porcentaje 3 2 2 2 6 5" xfId="21079" xr:uid="{00000000-0005-0000-0000-0000507E0000}"/>
    <cellStyle name="Porcentaje 3 2 2 2 7" xfId="2589" xr:uid="{00000000-0005-0000-0000-0000517E0000}"/>
    <cellStyle name="Porcentaje 3 2 2 2 7 2" xfId="7521" xr:uid="{00000000-0005-0000-0000-0000527E0000}"/>
    <cellStyle name="Porcentaje 3 2 2 2 7 2 2" xfId="17381" xr:uid="{00000000-0005-0000-0000-0000537E0000}"/>
    <cellStyle name="Porcentaje 3 2 2 2 7 2 2 2" xfId="37096" xr:uid="{00000000-0005-0000-0000-0000547E0000}"/>
    <cellStyle name="Porcentaje 3 2 2 2 7 2 3" xfId="27239" xr:uid="{00000000-0005-0000-0000-0000557E0000}"/>
    <cellStyle name="Porcentaje 3 2 2 2 7 3" xfId="12453" xr:uid="{00000000-0005-0000-0000-0000567E0000}"/>
    <cellStyle name="Porcentaje 3 2 2 2 7 3 2" xfId="32168" xr:uid="{00000000-0005-0000-0000-0000577E0000}"/>
    <cellStyle name="Porcentaje 3 2 2 2 7 4" xfId="22311" xr:uid="{00000000-0005-0000-0000-0000587E0000}"/>
    <cellStyle name="Porcentaje 3 2 2 2 8" xfId="5057" xr:uid="{00000000-0005-0000-0000-0000597E0000}"/>
    <cellStyle name="Porcentaje 3 2 2 2 8 2" xfId="14917" xr:uid="{00000000-0005-0000-0000-00005A7E0000}"/>
    <cellStyle name="Porcentaje 3 2 2 2 8 2 2" xfId="34632" xr:uid="{00000000-0005-0000-0000-00005B7E0000}"/>
    <cellStyle name="Porcentaje 3 2 2 2 8 3" xfId="24775" xr:uid="{00000000-0005-0000-0000-00005C7E0000}"/>
    <cellStyle name="Porcentaje 3 2 2 2 9" xfId="9989" xr:uid="{00000000-0005-0000-0000-00005D7E0000}"/>
    <cellStyle name="Porcentaje 3 2 2 2 9 2" xfId="29704" xr:uid="{00000000-0005-0000-0000-00005E7E0000}"/>
    <cellStyle name="Porcentaje 3 2 2 3" xfId="140" xr:uid="{00000000-0005-0000-0000-00005F7E0000}"/>
    <cellStyle name="Porcentaje 3 2 2 3 2" xfId="297" xr:uid="{00000000-0005-0000-0000-0000607E0000}"/>
    <cellStyle name="Porcentaje 3 2 2 3 2 2" xfId="611" xr:uid="{00000000-0005-0000-0000-0000617E0000}"/>
    <cellStyle name="Porcentaje 3 2 2 3 2 2 2" xfId="1231" xr:uid="{00000000-0005-0000-0000-0000627E0000}"/>
    <cellStyle name="Porcentaje 3 2 2 3 2 2 2 2" xfId="2466" xr:uid="{00000000-0005-0000-0000-0000637E0000}"/>
    <cellStyle name="Porcentaje 3 2 2 3 2 2 2 2 2" xfId="4933" xr:uid="{00000000-0005-0000-0000-0000647E0000}"/>
    <cellStyle name="Porcentaje 3 2 2 3 2 2 2 2 2 2" xfId="9865" xr:uid="{00000000-0005-0000-0000-0000657E0000}"/>
    <cellStyle name="Porcentaje 3 2 2 3 2 2 2 2 2 2 2" xfId="19725" xr:uid="{00000000-0005-0000-0000-0000667E0000}"/>
    <cellStyle name="Porcentaje 3 2 2 3 2 2 2 2 2 2 2 2" xfId="39440" xr:uid="{00000000-0005-0000-0000-0000677E0000}"/>
    <cellStyle name="Porcentaje 3 2 2 3 2 2 2 2 2 2 3" xfId="29583" xr:uid="{00000000-0005-0000-0000-0000687E0000}"/>
    <cellStyle name="Porcentaje 3 2 2 3 2 2 2 2 2 3" xfId="14797" xr:uid="{00000000-0005-0000-0000-0000697E0000}"/>
    <cellStyle name="Porcentaje 3 2 2 3 2 2 2 2 2 3 2" xfId="34512" xr:uid="{00000000-0005-0000-0000-00006A7E0000}"/>
    <cellStyle name="Porcentaje 3 2 2 3 2 2 2 2 2 4" xfId="24655" xr:uid="{00000000-0005-0000-0000-00006B7E0000}"/>
    <cellStyle name="Porcentaje 3 2 2 3 2 2 2 2 3" xfId="7401" xr:uid="{00000000-0005-0000-0000-00006C7E0000}"/>
    <cellStyle name="Porcentaje 3 2 2 3 2 2 2 2 3 2" xfId="17261" xr:uid="{00000000-0005-0000-0000-00006D7E0000}"/>
    <cellStyle name="Porcentaje 3 2 2 3 2 2 2 2 3 2 2" xfId="36976" xr:uid="{00000000-0005-0000-0000-00006E7E0000}"/>
    <cellStyle name="Porcentaje 3 2 2 3 2 2 2 2 3 3" xfId="27119" xr:uid="{00000000-0005-0000-0000-00006F7E0000}"/>
    <cellStyle name="Porcentaje 3 2 2 3 2 2 2 2 4" xfId="12333" xr:uid="{00000000-0005-0000-0000-0000707E0000}"/>
    <cellStyle name="Porcentaje 3 2 2 3 2 2 2 2 4 2" xfId="32048" xr:uid="{00000000-0005-0000-0000-0000717E0000}"/>
    <cellStyle name="Porcentaje 3 2 2 3 2 2 2 2 5" xfId="22191" xr:uid="{00000000-0005-0000-0000-0000727E0000}"/>
    <cellStyle name="Porcentaje 3 2 2 3 2 2 2 3" xfId="3701" xr:uid="{00000000-0005-0000-0000-0000737E0000}"/>
    <cellStyle name="Porcentaje 3 2 2 3 2 2 2 3 2" xfId="8633" xr:uid="{00000000-0005-0000-0000-0000747E0000}"/>
    <cellStyle name="Porcentaje 3 2 2 3 2 2 2 3 2 2" xfId="18493" xr:uid="{00000000-0005-0000-0000-0000757E0000}"/>
    <cellStyle name="Porcentaje 3 2 2 3 2 2 2 3 2 2 2" xfId="38208" xr:uid="{00000000-0005-0000-0000-0000767E0000}"/>
    <cellStyle name="Porcentaje 3 2 2 3 2 2 2 3 2 3" xfId="28351" xr:uid="{00000000-0005-0000-0000-0000777E0000}"/>
    <cellStyle name="Porcentaje 3 2 2 3 2 2 2 3 3" xfId="13565" xr:uid="{00000000-0005-0000-0000-0000787E0000}"/>
    <cellStyle name="Porcentaje 3 2 2 3 2 2 2 3 3 2" xfId="33280" xr:uid="{00000000-0005-0000-0000-0000797E0000}"/>
    <cellStyle name="Porcentaje 3 2 2 3 2 2 2 3 4" xfId="23423" xr:uid="{00000000-0005-0000-0000-00007A7E0000}"/>
    <cellStyle name="Porcentaje 3 2 2 3 2 2 2 4" xfId="6169" xr:uid="{00000000-0005-0000-0000-00007B7E0000}"/>
    <cellStyle name="Porcentaje 3 2 2 3 2 2 2 4 2" xfId="16029" xr:uid="{00000000-0005-0000-0000-00007C7E0000}"/>
    <cellStyle name="Porcentaje 3 2 2 3 2 2 2 4 2 2" xfId="35744" xr:uid="{00000000-0005-0000-0000-00007D7E0000}"/>
    <cellStyle name="Porcentaje 3 2 2 3 2 2 2 4 3" xfId="25887" xr:uid="{00000000-0005-0000-0000-00007E7E0000}"/>
    <cellStyle name="Porcentaje 3 2 2 3 2 2 2 5" xfId="11101" xr:uid="{00000000-0005-0000-0000-00007F7E0000}"/>
    <cellStyle name="Porcentaje 3 2 2 3 2 2 2 5 2" xfId="30816" xr:uid="{00000000-0005-0000-0000-0000807E0000}"/>
    <cellStyle name="Porcentaje 3 2 2 3 2 2 2 6" xfId="20959" xr:uid="{00000000-0005-0000-0000-0000817E0000}"/>
    <cellStyle name="Porcentaje 3 2 2 3 2 2 3" xfId="1850" xr:uid="{00000000-0005-0000-0000-0000827E0000}"/>
    <cellStyle name="Porcentaje 3 2 2 3 2 2 3 2" xfId="4317" xr:uid="{00000000-0005-0000-0000-0000837E0000}"/>
    <cellStyle name="Porcentaje 3 2 2 3 2 2 3 2 2" xfId="9249" xr:uid="{00000000-0005-0000-0000-0000847E0000}"/>
    <cellStyle name="Porcentaje 3 2 2 3 2 2 3 2 2 2" xfId="19109" xr:uid="{00000000-0005-0000-0000-0000857E0000}"/>
    <cellStyle name="Porcentaje 3 2 2 3 2 2 3 2 2 2 2" xfId="38824" xr:uid="{00000000-0005-0000-0000-0000867E0000}"/>
    <cellStyle name="Porcentaje 3 2 2 3 2 2 3 2 2 3" xfId="28967" xr:uid="{00000000-0005-0000-0000-0000877E0000}"/>
    <cellStyle name="Porcentaje 3 2 2 3 2 2 3 2 3" xfId="14181" xr:uid="{00000000-0005-0000-0000-0000887E0000}"/>
    <cellStyle name="Porcentaje 3 2 2 3 2 2 3 2 3 2" xfId="33896" xr:uid="{00000000-0005-0000-0000-0000897E0000}"/>
    <cellStyle name="Porcentaje 3 2 2 3 2 2 3 2 4" xfId="24039" xr:uid="{00000000-0005-0000-0000-00008A7E0000}"/>
    <cellStyle name="Porcentaje 3 2 2 3 2 2 3 3" xfId="6785" xr:uid="{00000000-0005-0000-0000-00008B7E0000}"/>
    <cellStyle name="Porcentaje 3 2 2 3 2 2 3 3 2" xfId="16645" xr:uid="{00000000-0005-0000-0000-00008C7E0000}"/>
    <cellStyle name="Porcentaje 3 2 2 3 2 2 3 3 2 2" xfId="36360" xr:uid="{00000000-0005-0000-0000-00008D7E0000}"/>
    <cellStyle name="Porcentaje 3 2 2 3 2 2 3 3 3" xfId="26503" xr:uid="{00000000-0005-0000-0000-00008E7E0000}"/>
    <cellStyle name="Porcentaje 3 2 2 3 2 2 3 4" xfId="11717" xr:uid="{00000000-0005-0000-0000-00008F7E0000}"/>
    <cellStyle name="Porcentaje 3 2 2 3 2 2 3 4 2" xfId="31432" xr:uid="{00000000-0005-0000-0000-0000907E0000}"/>
    <cellStyle name="Porcentaje 3 2 2 3 2 2 3 5" xfId="21575" xr:uid="{00000000-0005-0000-0000-0000917E0000}"/>
    <cellStyle name="Porcentaje 3 2 2 3 2 2 4" xfId="3085" xr:uid="{00000000-0005-0000-0000-0000927E0000}"/>
    <cellStyle name="Porcentaje 3 2 2 3 2 2 4 2" xfId="8017" xr:uid="{00000000-0005-0000-0000-0000937E0000}"/>
    <cellStyle name="Porcentaje 3 2 2 3 2 2 4 2 2" xfId="17877" xr:uid="{00000000-0005-0000-0000-0000947E0000}"/>
    <cellStyle name="Porcentaje 3 2 2 3 2 2 4 2 2 2" xfId="37592" xr:uid="{00000000-0005-0000-0000-0000957E0000}"/>
    <cellStyle name="Porcentaje 3 2 2 3 2 2 4 2 3" xfId="27735" xr:uid="{00000000-0005-0000-0000-0000967E0000}"/>
    <cellStyle name="Porcentaje 3 2 2 3 2 2 4 3" xfId="12949" xr:uid="{00000000-0005-0000-0000-0000977E0000}"/>
    <cellStyle name="Porcentaje 3 2 2 3 2 2 4 3 2" xfId="32664" xr:uid="{00000000-0005-0000-0000-0000987E0000}"/>
    <cellStyle name="Porcentaje 3 2 2 3 2 2 4 4" xfId="22807" xr:uid="{00000000-0005-0000-0000-0000997E0000}"/>
    <cellStyle name="Porcentaje 3 2 2 3 2 2 5" xfId="5553" xr:uid="{00000000-0005-0000-0000-00009A7E0000}"/>
    <cellStyle name="Porcentaje 3 2 2 3 2 2 5 2" xfId="15413" xr:uid="{00000000-0005-0000-0000-00009B7E0000}"/>
    <cellStyle name="Porcentaje 3 2 2 3 2 2 5 2 2" xfId="35128" xr:uid="{00000000-0005-0000-0000-00009C7E0000}"/>
    <cellStyle name="Porcentaje 3 2 2 3 2 2 5 3" xfId="25271" xr:uid="{00000000-0005-0000-0000-00009D7E0000}"/>
    <cellStyle name="Porcentaje 3 2 2 3 2 2 6" xfId="10485" xr:uid="{00000000-0005-0000-0000-00009E7E0000}"/>
    <cellStyle name="Porcentaje 3 2 2 3 2 2 6 2" xfId="30200" xr:uid="{00000000-0005-0000-0000-00009F7E0000}"/>
    <cellStyle name="Porcentaje 3 2 2 3 2 2 7" xfId="20343" xr:uid="{00000000-0005-0000-0000-0000A07E0000}"/>
    <cellStyle name="Porcentaje 3 2 2 3 2 3" xfId="924" xr:uid="{00000000-0005-0000-0000-0000A17E0000}"/>
    <cellStyle name="Porcentaje 3 2 2 3 2 3 2" xfId="2160" xr:uid="{00000000-0005-0000-0000-0000A27E0000}"/>
    <cellStyle name="Porcentaje 3 2 2 3 2 3 2 2" xfId="4627" xr:uid="{00000000-0005-0000-0000-0000A37E0000}"/>
    <cellStyle name="Porcentaje 3 2 2 3 2 3 2 2 2" xfId="9559" xr:uid="{00000000-0005-0000-0000-0000A47E0000}"/>
    <cellStyle name="Porcentaje 3 2 2 3 2 3 2 2 2 2" xfId="19419" xr:uid="{00000000-0005-0000-0000-0000A57E0000}"/>
    <cellStyle name="Porcentaje 3 2 2 3 2 3 2 2 2 2 2" xfId="39134" xr:uid="{00000000-0005-0000-0000-0000A67E0000}"/>
    <cellStyle name="Porcentaje 3 2 2 3 2 3 2 2 2 3" xfId="29277" xr:uid="{00000000-0005-0000-0000-0000A77E0000}"/>
    <cellStyle name="Porcentaje 3 2 2 3 2 3 2 2 3" xfId="14491" xr:uid="{00000000-0005-0000-0000-0000A87E0000}"/>
    <cellStyle name="Porcentaje 3 2 2 3 2 3 2 2 3 2" xfId="34206" xr:uid="{00000000-0005-0000-0000-0000A97E0000}"/>
    <cellStyle name="Porcentaje 3 2 2 3 2 3 2 2 4" xfId="24349" xr:uid="{00000000-0005-0000-0000-0000AA7E0000}"/>
    <cellStyle name="Porcentaje 3 2 2 3 2 3 2 3" xfId="7095" xr:uid="{00000000-0005-0000-0000-0000AB7E0000}"/>
    <cellStyle name="Porcentaje 3 2 2 3 2 3 2 3 2" xfId="16955" xr:uid="{00000000-0005-0000-0000-0000AC7E0000}"/>
    <cellStyle name="Porcentaje 3 2 2 3 2 3 2 3 2 2" xfId="36670" xr:uid="{00000000-0005-0000-0000-0000AD7E0000}"/>
    <cellStyle name="Porcentaje 3 2 2 3 2 3 2 3 3" xfId="26813" xr:uid="{00000000-0005-0000-0000-0000AE7E0000}"/>
    <cellStyle name="Porcentaje 3 2 2 3 2 3 2 4" xfId="12027" xr:uid="{00000000-0005-0000-0000-0000AF7E0000}"/>
    <cellStyle name="Porcentaje 3 2 2 3 2 3 2 4 2" xfId="31742" xr:uid="{00000000-0005-0000-0000-0000B07E0000}"/>
    <cellStyle name="Porcentaje 3 2 2 3 2 3 2 5" xfId="21885" xr:uid="{00000000-0005-0000-0000-0000B17E0000}"/>
    <cellStyle name="Porcentaje 3 2 2 3 2 3 3" xfId="3395" xr:uid="{00000000-0005-0000-0000-0000B27E0000}"/>
    <cellStyle name="Porcentaje 3 2 2 3 2 3 3 2" xfId="8327" xr:uid="{00000000-0005-0000-0000-0000B37E0000}"/>
    <cellStyle name="Porcentaje 3 2 2 3 2 3 3 2 2" xfId="18187" xr:uid="{00000000-0005-0000-0000-0000B47E0000}"/>
    <cellStyle name="Porcentaje 3 2 2 3 2 3 3 2 2 2" xfId="37902" xr:uid="{00000000-0005-0000-0000-0000B57E0000}"/>
    <cellStyle name="Porcentaje 3 2 2 3 2 3 3 2 3" xfId="28045" xr:uid="{00000000-0005-0000-0000-0000B67E0000}"/>
    <cellStyle name="Porcentaje 3 2 2 3 2 3 3 3" xfId="13259" xr:uid="{00000000-0005-0000-0000-0000B77E0000}"/>
    <cellStyle name="Porcentaje 3 2 2 3 2 3 3 3 2" xfId="32974" xr:uid="{00000000-0005-0000-0000-0000B87E0000}"/>
    <cellStyle name="Porcentaje 3 2 2 3 2 3 3 4" xfId="23117" xr:uid="{00000000-0005-0000-0000-0000B97E0000}"/>
    <cellStyle name="Porcentaje 3 2 2 3 2 3 4" xfId="5863" xr:uid="{00000000-0005-0000-0000-0000BA7E0000}"/>
    <cellStyle name="Porcentaje 3 2 2 3 2 3 4 2" xfId="15723" xr:uid="{00000000-0005-0000-0000-0000BB7E0000}"/>
    <cellStyle name="Porcentaje 3 2 2 3 2 3 4 2 2" xfId="35438" xr:uid="{00000000-0005-0000-0000-0000BC7E0000}"/>
    <cellStyle name="Porcentaje 3 2 2 3 2 3 4 3" xfId="25581" xr:uid="{00000000-0005-0000-0000-0000BD7E0000}"/>
    <cellStyle name="Porcentaje 3 2 2 3 2 3 5" xfId="10795" xr:uid="{00000000-0005-0000-0000-0000BE7E0000}"/>
    <cellStyle name="Porcentaje 3 2 2 3 2 3 5 2" xfId="30510" xr:uid="{00000000-0005-0000-0000-0000BF7E0000}"/>
    <cellStyle name="Porcentaje 3 2 2 3 2 3 6" xfId="20653" xr:uid="{00000000-0005-0000-0000-0000C07E0000}"/>
    <cellStyle name="Porcentaje 3 2 2 3 2 4" xfId="1544" xr:uid="{00000000-0005-0000-0000-0000C17E0000}"/>
    <cellStyle name="Porcentaje 3 2 2 3 2 4 2" xfId="4011" xr:uid="{00000000-0005-0000-0000-0000C27E0000}"/>
    <cellStyle name="Porcentaje 3 2 2 3 2 4 2 2" xfId="8943" xr:uid="{00000000-0005-0000-0000-0000C37E0000}"/>
    <cellStyle name="Porcentaje 3 2 2 3 2 4 2 2 2" xfId="18803" xr:uid="{00000000-0005-0000-0000-0000C47E0000}"/>
    <cellStyle name="Porcentaje 3 2 2 3 2 4 2 2 2 2" xfId="38518" xr:uid="{00000000-0005-0000-0000-0000C57E0000}"/>
    <cellStyle name="Porcentaje 3 2 2 3 2 4 2 2 3" xfId="28661" xr:uid="{00000000-0005-0000-0000-0000C67E0000}"/>
    <cellStyle name="Porcentaje 3 2 2 3 2 4 2 3" xfId="13875" xr:uid="{00000000-0005-0000-0000-0000C77E0000}"/>
    <cellStyle name="Porcentaje 3 2 2 3 2 4 2 3 2" xfId="33590" xr:uid="{00000000-0005-0000-0000-0000C87E0000}"/>
    <cellStyle name="Porcentaje 3 2 2 3 2 4 2 4" xfId="23733" xr:uid="{00000000-0005-0000-0000-0000C97E0000}"/>
    <cellStyle name="Porcentaje 3 2 2 3 2 4 3" xfId="6479" xr:uid="{00000000-0005-0000-0000-0000CA7E0000}"/>
    <cellStyle name="Porcentaje 3 2 2 3 2 4 3 2" xfId="16339" xr:uid="{00000000-0005-0000-0000-0000CB7E0000}"/>
    <cellStyle name="Porcentaje 3 2 2 3 2 4 3 2 2" xfId="36054" xr:uid="{00000000-0005-0000-0000-0000CC7E0000}"/>
    <cellStyle name="Porcentaje 3 2 2 3 2 4 3 3" xfId="26197" xr:uid="{00000000-0005-0000-0000-0000CD7E0000}"/>
    <cellStyle name="Porcentaje 3 2 2 3 2 4 4" xfId="11411" xr:uid="{00000000-0005-0000-0000-0000CE7E0000}"/>
    <cellStyle name="Porcentaje 3 2 2 3 2 4 4 2" xfId="31126" xr:uid="{00000000-0005-0000-0000-0000CF7E0000}"/>
    <cellStyle name="Porcentaje 3 2 2 3 2 4 5" xfId="21269" xr:uid="{00000000-0005-0000-0000-0000D07E0000}"/>
    <cellStyle name="Porcentaje 3 2 2 3 2 5" xfId="2779" xr:uid="{00000000-0005-0000-0000-0000D17E0000}"/>
    <cellStyle name="Porcentaje 3 2 2 3 2 5 2" xfId="7711" xr:uid="{00000000-0005-0000-0000-0000D27E0000}"/>
    <cellStyle name="Porcentaje 3 2 2 3 2 5 2 2" xfId="17571" xr:uid="{00000000-0005-0000-0000-0000D37E0000}"/>
    <cellStyle name="Porcentaje 3 2 2 3 2 5 2 2 2" xfId="37286" xr:uid="{00000000-0005-0000-0000-0000D47E0000}"/>
    <cellStyle name="Porcentaje 3 2 2 3 2 5 2 3" xfId="27429" xr:uid="{00000000-0005-0000-0000-0000D57E0000}"/>
    <cellStyle name="Porcentaje 3 2 2 3 2 5 3" xfId="12643" xr:uid="{00000000-0005-0000-0000-0000D67E0000}"/>
    <cellStyle name="Porcentaje 3 2 2 3 2 5 3 2" xfId="32358" xr:uid="{00000000-0005-0000-0000-0000D77E0000}"/>
    <cellStyle name="Porcentaje 3 2 2 3 2 5 4" xfId="22501" xr:uid="{00000000-0005-0000-0000-0000D87E0000}"/>
    <cellStyle name="Porcentaje 3 2 2 3 2 6" xfId="5247" xr:uid="{00000000-0005-0000-0000-0000D97E0000}"/>
    <cellStyle name="Porcentaje 3 2 2 3 2 6 2" xfId="15107" xr:uid="{00000000-0005-0000-0000-0000DA7E0000}"/>
    <cellStyle name="Porcentaje 3 2 2 3 2 6 2 2" xfId="34822" xr:uid="{00000000-0005-0000-0000-0000DB7E0000}"/>
    <cellStyle name="Porcentaje 3 2 2 3 2 6 3" xfId="24965" xr:uid="{00000000-0005-0000-0000-0000DC7E0000}"/>
    <cellStyle name="Porcentaje 3 2 2 3 2 7" xfId="10179" xr:uid="{00000000-0005-0000-0000-0000DD7E0000}"/>
    <cellStyle name="Porcentaje 3 2 2 3 2 7 2" xfId="29894" xr:uid="{00000000-0005-0000-0000-0000DE7E0000}"/>
    <cellStyle name="Porcentaje 3 2 2 3 2 8" xfId="20037" xr:uid="{00000000-0005-0000-0000-0000DF7E0000}"/>
    <cellStyle name="Porcentaje 3 2 2 3 3" xfId="459" xr:uid="{00000000-0005-0000-0000-0000E07E0000}"/>
    <cellStyle name="Porcentaje 3 2 2 3 3 2" xfId="1079" xr:uid="{00000000-0005-0000-0000-0000E17E0000}"/>
    <cellStyle name="Porcentaje 3 2 2 3 3 2 2" xfId="2314" xr:uid="{00000000-0005-0000-0000-0000E27E0000}"/>
    <cellStyle name="Porcentaje 3 2 2 3 3 2 2 2" xfId="4781" xr:uid="{00000000-0005-0000-0000-0000E37E0000}"/>
    <cellStyle name="Porcentaje 3 2 2 3 3 2 2 2 2" xfId="9713" xr:uid="{00000000-0005-0000-0000-0000E47E0000}"/>
    <cellStyle name="Porcentaje 3 2 2 3 3 2 2 2 2 2" xfId="19573" xr:uid="{00000000-0005-0000-0000-0000E57E0000}"/>
    <cellStyle name="Porcentaje 3 2 2 3 3 2 2 2 2 2 2" xfId="39288" xr:uid="{00000000-0005-0000-0000-0000E67E0000}"/>
    <cellStyle name="Porcentaje 3 2 2 3 3 2 2 2 2 3" xfId="29431" xr:uid="{00000000-0005-0000-0000-0000E77E0000}"/>
    <cellStyle name="Porcentaje 3 2 2 3 3 2 2 2 3" xfId="14645" xr:uid="{00000000-0005-0000-0000-0000E87E0000}"/>
    <cellStyle name="Porcentaje 3 2 2 3 3 2 2 2 3 2" xfId="34360" xr:uid="{00000000-0005-0000-0000-0000E97E0000}"/>
    <cellStyle name="Porcentaje 3 2 2 3 3 2 2 2 4" xfId="24503" xr:uid="{00000000-0005-0000-0000-0000EA7E0000}"/>
    <cellStyle name="Porcentaje 3 2 2 3 3 2 2 3" xfId="7249" xr:uid="{00000000-0005-0000-0000-0000EB7E0000}"/>
    <cellStyle name="Porcentaje 3 2 2 3 3 2 2 3 2" xfId="17109" xr:uid="{00000000-0005-0000-0000-0000EC7E0000}"/>
    <cellStyle name="Porcentaje 3 2 2 3 3 2 2 3 2 2" xfId="36824" xr:uid="{00000000-0005-0000-0000-0000ED7E0000}"/>
    <cellStyle name="Porcentaje 3 2 2 3 3 2 2 3 3" xfId="26967" xr:uid="{00000000-0005-0000-0000-0000EE7E0000}"/>
    <cellStyle name="Porcentaje 3 2 2 3 3 2 2 4" xfId="12181" xr:uid="{00000000-0005-0000-0000-0000EF7E0000}"/>
    <cellStyle name="Porcentaje 3 2 2 3 3 2 2 4 2" xfId="31896" xr:uid="{00000000-0005-0000-0000-0000F07E0000}"/>
    <cellStyle name="Porcentaje 3 2 2 3 3 2 2 5" xfId="22039" xr:uid="{00000000-0005-0000-0000-0000F17E0000}"/>
    <cellStyle name="Porcentaje 3 2 2 3 3 2 3" xfId="3549" xr:uid="{00000000-0005-0000-0000-0000F27E0000}"/>
    <cellStyle name="Porcentaje 3 2 2 3 3 2 3 2" xfId="8481" xr:uid="{00000000-0005-0000-0000-0000F37E0000}"/>
    <cellStyle name="Porcentaje 3 2 2 3 3 2 3 2 2" xfId="18341" xr:uid="{00000000-0005-0000-0000-0000F47E0000}"/>
    <cellStyle name="Porcentaje 3 2 2 3 3 2 3 2 2 2" xfId="38056" xr:uid="{00000000-0005-0000-0000-0000F57E0000}"/>
    <cellStyle name="Porcentaje 3 2 2 3 3 2 3 2 3" xfId="28199" xr:uid="{00000000-0005-0000-0000-0000F67E0000}"/>
    <cellStyle name="Porcentaje 3 2 2 3 3 2 3 3" xfId="13413" xr:uid="{00000000-0005-0000-0000-0000F77E0000}"/>
    <cellStyle name="Porcentaje 3 2 2 3 3 2 3 3 2" xfId="33128" xr:uid="{00000000-0005-0000-0000-0000F87E0000}"/>
    <cellStyle name="Porcentaje 3 2 2 3 3 2 3 4" xfId="23271" xr:uid="{00000000-0005-0000-0000-0000F97E0000}"/>
    <cellStyle name="Porcentaje 3 2 2 3 3 2 4" xfId="6017" xr:uid="{00000000-0005-0000-0000-0000FA7E0000}"/>
    <cellStyle name="Porcentaje 3 2 2 3 3 2 4 2" xfId="15877" xr:uid="{00000000-0005-0000-0000-0000FB7E0000}"/>
    <cellStyle name="Porcentaje 3 2 2 3 3 2 4 2 2" xfId="35592" xr:uid="{00000000-0005-0000-0000-0000FC7E0000}"/>
    <cellStyle name="Porcentaje 3 2 2 3 3 2 4 3" xfId="25735" xr:uid="{00000000-0005-0000-0000-0000FD7E0000}"/>
    <cellStyle name="Porcentaje 3 2 2 3 3 2 5" xfId="10949" xr:uid="{00000000-0005-0000-0000-0000FE7E0000}"/>
    <cellStyle name="Porcentaje 3 2 2 3 3 2 5 2" xfId="30664" xr:uid="{00000000-0005-0000-0000-0000FF7E0000}"/>
    <cellStyle name="Porcentaje 3 2 2 3 3 2 6" xfId="20807" xr:uid="{00000000-0005-0000-0000-0000007F0000}"/>
    <cellStyle name="Porcentaje 3 2 2 3 3 3" xfId="1698" xr:uid="{00000000-0005-0000-0000-0000017F0000}"/>
    <cellStyle name="Porcentaje 3 2 2 3 3 3 2" xfId="4165" xr:uid="{00000000-0005-0000-0000-0000027F0000}"/>
    <cellStyle name="Porcentaje 3 2 2 3 3 3 2 2" xfId="9097" xr:uid="{00000000-0005-0000-0000-0000037F0000}"/>
    <cellStyle name="Porcentaje 3 2 2 3 3 3 2 2 2" xfId="18957" xr:uid="{00000000-0005-0000-0000-0000047F0000}"/>
    <cellStyle name="Porcentaje 3 2 2 3 3 3 2 2 2 2" xfId="38672" xr:uid="{00000000-0005-0000-0000-0000057F0000}"/>
    <cellStyle name="Porcentaje 3 2 2 3 3 3 2 2 3" xfId="28815" xr:uid="{00000000-0005-0000-0000-0000067F0000}"/>
    <cellStyle name="Porcentaje 3 2 2 3 3 3 2 3" xfId="14029" xr:uid="{00000000-0005-0000-0000-0000077F0000}"/>
    <cellStyle name="Porcentaje 3 2 2 3 3 3 2 3 2" xfId="33744" xr:uid="{00000000-0005-0000-0000-0000087F0000}"/>
    <cellStyle name="Porcentaje 3 2 2 3 3 3 2 4" xfId="23887" xr:uid="{00000000-0005-0000-0000-0000097F0000}"/>
    <cellStyle name="Porcentaje 3 2 2 3 3 3 3" xfId="6633" xr:uid="{00000000-0005-0000-0000-00000A7F0000}"/>
    <cellStyle name="Porcentaje 3 2 2 3 3 3 3 2" xfId="16493" xr:uid="{00000000-0005-0000-0000-00000B7F0000}"/>
    <cellStyle name="Porcentaje 3 2 2 3 3 3 3 2 2" xfId="36208" xr:uid="{00000000-0005-0000-0000-00000C7F0000}"/>
    <cellStyle name="Porcentaje 3 2 2 3 3 3 3 3" xfId="26351" xr:uid="{00000000-0005-0000-0000-00000D7F0000}"/>
    <cellStyle name="Porcentaje 3 2 2 3 3 3 4" xfId="11565" xr:uid="{00000000-0005-0000-0000-00000E7F0000}"/>
    <cellStyle name="Porcentaje 3 2 2 3 3 3 4 2" xfId="31280" xr:uid="{00000000-0005-0000-0000-00000F7F0000}"/>
    <cellStyle name="Porcentaje 3 2 2 3 3 3 5" xfId="21423" xr:uid="{00000000-0005-0000-0000-0000107F0000}"/>
    <cellStyle name="Porcentaje 3 2 2 3 3 4" xfId="2933" xr:uid="{00000000-0005-0000-0000-0000117F0000}"/>
    <cellStyle name="Porcentaje 3 2 2 3 3 4 2" xfId="7865" xr:uid="{00000000-0005-0000-0000-0000127F0000}"/>
    <cellStyle name="Porcentaje 3 2 2 3 3 4 2 2" xfId="17725" xr:uid="{00000000-0005-0000-0000-0000137F0000}"/>
    <cellStyle name="Porcentaje 3 2 2 3 3 4 2 2 2" xfId="37440" xr:uid="{00000000-0005-0000-0000-0000147F0000}"/>
    <cellStyle name="Porcentaje 3 2 2 3 3 4 2 3" xfId="27583" xr:uid="{00000000-0005-0000-0000-0000157F0000}"/>
    <cellStyle name="Porcentaje 3 2 2 3 3 4 3" xfId="12797" xr:uid="{00000000-0005-0000-0000-0000167F0000}"/>
    <cellStyle name="Porcentaje 3 2 2 3 3 4 3 2" xfId="32512" xr:uid="{00000000-0005-0000-0000-0000177F0000}"/>
    <cellStyle name="Porcentaje 3 2 2 3 3 4 4" xfId="22655" xr:uid="{00000000-0005-0000-0000-0000187F0000}"/>
    <cellStyle name="Porcentaje 3 2 2 3 3 5" xfId="5401" xr:uid="{00000000-0005-0000-0000-0000197F0000}"/>
    <cellStyle name="Porcentaje 3 2 2 3 3 5 2" xfId="15261" xr:uid="{00000000-0005-0000-0000-00001A7F0000}"/>
    <cellStyle name="Porcentaje 3 2 2 3 3 5 2 2" xfId="34976" xr:uid="{00000000-0005-0000-0000-00001B7F0000}"/>
    <cellStyle name="Porcentaje 3 2 2 3 3 5 3" xfId="25119" xr:uid="{00000000-0005-0000-0000-00001C7F0000}"/>
    <cellStyle name="Porcentaje 3 2 2 3 3 6" xfId="10333" xr:uid="{00000000-0005-0000-0000-00001D7F0000}"/>
    <cellStyle name="Porcentaje 3 2 2 3 3 6 2" xfId="30048" xr:uid="{00000000-0005-0000-0000-00001E7F0000}"/>
    <cellStyle name="Porcentaje 3 2 2 3 3 7" xfId="20191" xr:uid="{00000000-0005-0000-0000-00001F7F0000}"/>
    <cellStyle name="Porcentaje 3 2 2 3 4" xfId="772" xr:uid="{00000000-0005-0000-0000-0000207F0000}"/>
    <cellStyle name="Porcentaje 3 2 2 3 4 2" xfId="2008" xr:uid="{00000000-0005-0000-0000-0000217F0000}"/>
    <cellStyle name="Porcentaje 3 2 2 3 4 2 2" xfId="4475" xr:uid="{00000000-0005-0000-0000-0000227F0000}"/>
    <cellStyle name="Porcentaje 3 2 2 3 4 2 2 2" xfId="9407" xr:uid="{00000000-0005-0000-0000-0000237F0000}"/>
    <cellStyle name="Porcentaje 3 2 2 3 4 2 2 2 2" xfId="19267" xr:uid="{00000000-0005-0000-0000-0000247F0000}"/>
    <cellStyle name="Porcentaje 3 2 2 3 4 2 2 2 2 2" xfId="38982" xr:uid="{00000000-0005-0000-0000-0000257F0000}"/>
    <cellStyle name="Porcentaje 3 2 2 3 4 2 2 2 3" xfId="29125" xr:uid="{00000000-0005-0000-0000-0000267F0000}"/>
    <cellStyle name="Porcentaje 3 2 2 3 4 2 2 3" xfId="14339" xr:uid="{00000000-0005-0000-0000-0000277F0000}"/>
    <cellStyle name="Porcentaje 3 2 2 3 4 2 2 3 2" xfId="34054" xr:uid="{00000000-0005-0000-0000-0000287F0000}"/>
    <cellStyle name="Porcentaje 3 2 2 3 4 2 2 4" xfId="24197" xr:uid="{00000000-0005-0000-0000-0000297F0000}"/>
    <cellStyle name="Porcentaje 3 2 2 3 4 2 3" xfId="6943" xr:uid="{00000000-0005-0000-0000-00002A7F0000}"/>
    <cellStyle name="Porcentaje 3 2 2 3 4 2 3 2" xfId="16803" xr:uid="{00000000-0005-0000-0000-00002B7F0000}"/>
    <cellStyle name="Porcentaje 3 2 2 3 4 2 3 2 2" xfId="36518" xr:uid="{00000000-0005-0000-0000-00002C7F0000}"/>
    <cellStyle name="Porcentaje 3 2 2 3 4 2 3 3" xfId="26661" xr:uid="{00000000-0005-0000-0000-00002D7F0000}"/>
    <cellStyle name="Porcentaje 3 2 2 3 4 2 4" xfId="11875" xr:uid="{00000000-0005-0000-0000-00002E7F0000}"/>
    <cellStyle name="Porcentaje 3 2 2 3 4 2 4 2" xfId="31590" xr:uid="{00000000-0005-0000-0000-00002F7F0000}"/>
    <cellStyle name="Porcentaje 3 2 2 3 4 2 5" xfId="21733" xr:uid="{00000000-0005-0000-0000-0000307F0000}"/>
    <cellStyle name="Porcentaje 3 2 2 3 4 3" xfId="3243" xr:uid="{00000000-0005-0000-0000-0000317F0000}"/>
    <cellStyle name="Porcentaje 3 2 2 3 4 3 2" xfId="8175" xr:uid="{00000000-0005-0000-0000-0000327F0000}"/>
    <cellStyle name="Porcentaje 3 2 2 3 4 3 2 2" xfId="18035" xr:uid="{00000000-0005-0000-0000-0000337F0000}"/>
    <cellStyle name="Porcentaje 3 2 2 3 4 3 2 2 2" xfId="37750" xr:uid="{00000000-0005-0000-0000-0000347F0000}"/>
    <cellStyle name="Porcentaje 3 2 2 3 4 3 2 3" xfId="27893" xr:uid="{00000000-0005-0000-0000-0000357F0000}"/>
    <cellStyle name="Porcentaje 3 2 2 3 4 3 3" xfId="13107" xr:uid="{00000000-0005-0000-0000-0000367F0000}"/>
    <cellStyle name="Porcentaje 3 2 2 3 4 3 3 2" xfId="32822" xr:uid="{00000000-0005-0000-0000-0000377F0000}"/>
    <cellStyle name="Porcentaje 3 2 2 3 4 3 4" xfId="22965" xr:uid="{00000000-0005-0000-0000-0000387F0000}"/>
    <cellStyle name="Porcentaje 3 2 2 3 4 4" xfId="5711" xr:uid="{00000000-0005-0000-0000-0000397F0000}"/>
    <cellStyle name="Porcentaje 3 2 2 3 4 4 2" xfId="15571" xr:uid="{00000000-0005-0000-0000-00003A7F0000}"/>
    <cellStyle name="Porcentaje 3 2 2 3 4 4 2 2" xfId="35286" xr:uid="{00000000-0005-0000-0000-00003B7F0000}"/>
    <cellStyle name="Porcentaje 3 2 2 3 4 4 3" xfId="25429" xr:uid="{00000000-0005-0000-0000-00003C7F0000}"/>
    <cellStyle name="Porcentaje 3 2 2 3 4 5" xfId="10643" xr:uid="{00000000-0005-0000-0000-00003D7F0000}"/>
    <cellStyle name="Porcentaje 3 2 2 3 4 5 2" xfId="30358" xr:uid="{00000000-0005-0000-0000-00003E7F0000}"/>
    <cellStyle name="Porcentaje 3 2 2 3 4 6" xfId="20501" xr:uid="{00000000-0005-0000-0000-00003F7F0000}"/>
    <cellStyle name="Porcentaje 3 2 2 3 5" xfId="1392" xr:uid="{00000000-0005-0000-0000-0000407F0000}"/>
    <cellStyle name="Porcentaje 3 2 2 3 5 2" xfId="3859" xr:uid="{00000000-0005-0000-0000-0000417F0000}"/>
    <cellStyle name="Porcentaje 3 2 2 3 5 2 2" xfId="8791" xr:uid="{00000000-0005-0000-0000-0000427F0000}"/>
    <cellStyle name="Porcentaje 3 2 2 3 5 2 2 2" xfId="18651" xr:uid="{00000000-0005-0000-0000-0000437F0000}"/>
    <cellStyle name="Porcentaje 3 2 2 3 5 2 2 2 2" xfId="38366" xr:uid="{00000000-0005-0000-0000-0000447F0000}"/>
    <cellStyle name="Porcentaje 3 2 2 3 5 2 2 3" xfId="28509" xr:uid="{00000000-0005-0000-0000-0000457F0000}"/>
    <cellStyle name="Porcentaje 3 2 2 3 5 2 3" xfId="13723" xr:uid="{00000000-0005-0000-0000-0000467F0000}"/>
    <cellStyle name="Porcentaje 3 2 2 3 5 2 3 2" xfId="33438" xr:uid="{00000000-0005-0000-0000-0000477F0000}"/>
    <cellStyle name="Porcentaje 3 2 2 3 5 2 4" xfId="23581" xr:uid="{00000000-0005-0000-0000-0000487F0000}"/>
    <cellStyle name="Porcentaje 3 2 2 3 5 3" xfId="6327" xr:uid="{00000000-0005-0000-0000-0000497F0000}"/>
    <cellStyle name="Porcentaje 3 2 2 3 5 3 2" xfId="16187" xr:uid="{00000000-0005-0000-0000-00004A7F0000}"/>
    <cellStyle name="Porcentaje 3 2 2 3 5 3 2 2" xfId="35902" xr:uid="{00000000-0005-0000-0000-00004B7F0000}"/>
    <cellStyle name="Porcentaje 3 2 2 3 5 3 3" xfId="26045" xr:uid="{00000000-0005-0000-0000-00004C7F0000}"/>
    <cellStyle name="Porcentaje 3 2 2 3 5 4" xfId="11259" xr:uid="{00000000-0005-0000-0000-00004D7F0000}"/>
    <cellStyle name="Porcentaje 3 2 2 3 5 4 2" xfId="30974" xr:uid="{00000000-0005-0000-0000-00004E7F0000}"/>
    <cellStyle name="Porcentaje 3 2 2 3 5 5" xfId="21117" xr:uid="{00000000-0005-0000-0000-00004F7F0000}"/>
    <cellStyle name="Porcentaje 3 2 2 3 6" xfId="2627" xr:uid="{00000000-0005-0000-0000-0000507F0000}"/>
    <cellStyle name="Porcentaje 3 2 2 3 6 2" xfId="7559" xr:uid="{00000000-0005-0000-0000-0000517F0000}"/>
    <cellStyle name="Porcentaje 3 2 2 3 6 2 2" xfId="17419" xr:uid="{00000000-0005-0000-0000-0000527F0000}"/>
    <cellStyle name="Porcentaje 3 2 2 3 6 2 2 2" xfId="37134" xr:uid="{00000000-0005-0000-0000-0000537F0000}"/>
    <cellStyle name="Porcentaje 3 2 2 3 6 2 3" xfId="27277" xr:uid="{00000000-0005-0000-0000-0000547F0000}"/>
    <cellStyle name="Porcentaje 3 2 2 3 6 3" xfId="12491" xr:uid="{00000000-0005-0000-0000-0000557F0000}"/>
    <cellStyle name="Porcentaje 3 2 2 3 6 3 2" xfId="32206" xr:uid="{00000000-0005-0000-0000-0000567F0000}"/>
    <cellStyle name="Porcentaje 3 2 2 3 6 4" xfId="22349" xr:uid="{00000000-0005-0000-0000-0000577F0000}"/>
    <cellStyle name="Porcentaje 3 2 2 3 7" xfId="5095" xr:uid="{00000000-0005-0000-0000-0000587F0000}"/>
    <cellStyle name="Porcentaje 3 2 2 3 7 2" xfId="14955" xr:uid="{00000000-0005-0000-0000-0000597F0000}"/>
    <cellStyle name="Porcentaje 3 2 2 3 7 2 2" xfId="34670" xr:uid="{00000000-0005-0000-0000-00005A7F0000}"/>
    <cellStyle name="Porcentaje 3 2 2 3 7 3" xfId="24813" xr:uid="{00000000-0005-0000-0000-00005B7F0000}"/>
    <cellStyle name="Porcentaje 3 2 2 3 8" xfId="10027" xr:uid="{00000000-0005-0000-0000-00005C7F0000}"/>
    <cellStyle name="Porcentaje 3 2 2 3 8 2" xfId="29742" xr:uid="{00000000-0005-0000-0000-00005D7F0000}"/>
    <cellStyle name="Porcentaje 3 2 2 3 9" xfId="19885" xr:uid="{00000000-0005-0000-0000-00005E7F0000}"/>
    <cellStyle name="Porcentaje 3 2 2 4" xfId="221" xr:uid="{00000000-0005-0000-0000-00005F7F0000}"/>
    <cellStyle name="Porcentaje 3 2 2 4 2" xfId="535" xr:uid="{00000000-0005-0000-0000-0000607F0000}"/>
    <cellStyle name="Porcentaje 3 2 2 4 2 2" xfId="1155" xr:uid="{00000000-0005-0000-0000-0000617F0000}"/>
    <cellStyle name="Porcentaje 3 2 2 4 2 2 2" xfId="2390" xr:uid="{00000000-0005-0000-0000-0000627F0000}"/>
    <cellStyle name="Porcentaje 3 2 2 4 2 2 2 2" xfId="4857" xr:uid="{00000000-0005-0000-0000-0000637F0000}"/>
    <cellStyle name="Porcentaje 3 2 2 4 2 2 2 2 2" xfId="9789" xr:uid="{00000000-0005-0000-0000-0000647F0000}"/>
    <cellStyle name="Porcentaje 3 2 2 4 2 2 2 2 2 2" xfId="19649" xr:uid="{00000000-0005-0000-0000-0000657F0000}"/>
    <cellStyle name="Porcentaje 3 2 2 4 2 2 2 2 2 2 2" xfId="39364" xr:uid="{00000000-0005-0000-0000-0000667F0000}"/>
    <cellStyle name="Porcentaje 3 2 2 4 2 2 2 2 2 3" xfId="29507" xr:uid="{00000000-0005-0000-0000-0000677F0000}"/>
    <cellStyle name="Porcentaje 3 2 2 4 2 2 2 2 3" xfId="14721" xr:uid="{00000000-0005-0000-0000-0000687F0000}"/>
    <cellStyle name="Porcentaje 3 2 2 4 2 2 2 2 3 2" xfId="34436" xr:uid="{00000000-0005-0000-0000-0000697F0000}"/>
    <cellStyle name="Porcentaje 3 2 2 4 2 2 2 2 4" xfId="24579" xr:uid="{00000000-0005-0000-0000-00006A7F0000}"/>
    <cellStyle name="Porcentaje 3 2 2 4 2 2 2 3" xfId="7325" xr:uid="{00000000-0005-0000-0000-00006B7F0000}"/>
    <cellStyle name="Porcentaje 3 2 2 4 2 2 2 3 2" xfId="17185" xr:uid="{00000000-0005-0000-0000-00006C7F0000}"/>
    <cellStyle name="Porcentaje 3 2 2 4 2 2 2 3 2 2" xfId="36900" xr:uid="{00000000-0005-0000-0000-00006D7F0000}"/>
    <cellStyle name="Porcentaje 3 2 2 4 2 2 2 3 3" xfId="27043" xr:uid="{00000000-0005-0000-0000-00006E7F0000}"/>
    <cellStyle name="Porcentaje 3 2 2 4 2 2 2 4" xfId="12257" xr:uid="{00000000-0005-0000-0000-00006F7F0000}"/>
    <cellStyle name="Porcentaje 3 2 2 4 2 2 2 4 2" xfId="31972" xr:uid="{00000000-0005-0000-0000-0000707F0000}"/>
    <cellStyle name="Porcentaje 3 2 2 4 2 2 2 5" xfId="22115" xr:uid="{00000000-0005-0000-0000-0000717F0000}"/>
    <cellStyle name="Porcentaje 3 2 2 4 2 2 3" xfId="3625" xr:uid="{00000000-0005-0000-0000-0000727F0000}"/>
    <cellStyle name="Porcentaje 3 2 2 4 2 2 3 2" xfId="8557" xr:uid="{00000000-0005-0000-0000-0000737F0000}"/>
    <cellStyle name="Porcentaje 3 2 2 4 2 2 3 2 2" xfId="18417" xr:uid="{00000000-0005-0000-0000-0000747F0000}"/>
    <cellStyle name="Porcentaje 3 2 2 4 2 2 3 2 2 2" xfId="38132" xr:uid="{00000000-0005-0000-0000-0000757F0000}"/>
    <cellStyle name="Porcentaje 3 2 2 4 2 2 3 2 3" xfId="28275" xr:uid="{00000000-0005-0000-0000-0000767F0000}"/>
    <cellStyle name="Porcentaje 3 2 2 4 2 2 3 3" xfId="13489" xr:uid="{00000000-0005-0000-0000-0000777F0000}"/>
    <cellStyle name="Porcentaje 3 2 2 4 2 2 3 3 2" xfId="33204" xr:uid="{00000000-0005-0000-0000-0000787F0000}"/>
    <cellStyle name="Porcentaje 3 2 2 4 2 2 3 4" xfId="23347" xr:uid="{00000000-0005-0000-0000-0000797F0000}"/>
    <cellStyle name="Porcentaje 3 2 2 4 2 2 4" xfId="6093" xr:uid="{00000000-0005-0000-0000-00007A7F0000}"/>
    <cellStyle name="Porcentaje 3 2 2 4 2 2 4 2" xfId="15953" xr:uid="{00000000-0005-0000-0000-00007B7F0000}"/>
    <cellStyle name="Porcentaje 3 2 2 4 2 2 4 2 2" xfId="35668" xr:uid="{00000000-0005-0000-0000-00007C7F0000}"/>
    <cellStyle name="Porcentaje 3 2 2 4 2 2 4 3" xfId="25811" xr:uid="{00000000-0005-0000-0000-00007D7F0000}"/>
    <cellStyle name="Porcentaje 3 2 2 4 2 2 5" xfId="11025" xr:uid="{00000000-0005-0000-0000-00007E7F0000}"/>
    <cellStyle name="Porcentaje 3 2 2 4 2 2 5 2" xfId="30740" xr:uid="{00000000-0005-0000-0000-00007F7F0000}"/>
    <cellStyle name="Porcentaje 3 2 2 4 2 2 6" xfId="20883" xr:uid="{00000000-0005-0000-0000-0000807F0000}"/>
    <cellStyle name="Porcentaje 3 2 2 4 2 3" xfId="1774" xr:uid="{00000000-0005-0000-0000-0000817F0000}"/>
    <cellStyle name="Porcentaje 3 2 2 4 2 3 2" xfId="4241" xr:uid="{00000000-0005-0000-0000-0000827F0000}"/>
    <cellStyle name="Porcentaje 3 2 2 4 2 3 2 2" xfId="9173" xr:uid="{00000000-0005-0000-0000-0000837F0000}"/>
    <cellStyle name="Porcentaje 3 2 2 4 2 3 2 2 2" xfId="19033" xr:uid="{00000000-0005-0000-0000-0000847F0000}"/>
    <cellStyle name="Porcentaje 3 2 2 4 2 3 2 2 2 2" xfId="38748" xr:uid="{00000000-0005-0000-0000-0000857F0000}"/>
    <cellStyle name="Porcentaje 3 2 2 4 2 3 2 2 3" xfId="28891" xr:uid="{00000000-0005-0000-0000-0000867F0000}"/>
    <cellStyle name="Porcentaje 3 2 2 4 2 3 2 3" xfId="14105" xr:uid="{00000000-0005-0000-0000-0000877F0000}"/>
    <cellStyle name="Porcentaje 3 2 2 4 2 3 2 3 2" xfId="33820" xr:uid="{00000000-0005-0000-0000-0000887F0000}"/>
    <cellStyle name="Porcentaje 3 2 2 4 2 3 2 4" xfId="23963" xr:uid="{00000000-0005-0000-0000-0000897F0000}"/>
    <cellStyle name="Porcentaje 3 2 2 4 2 3 3" xfId="6709" xr:uid="{00000000-0005-0000-0000-00008A7F0000}"/>
    <cellStyle name="Porcentaje 3 2 2 4 2 3 3 2" xfId="16569" xr:uid="{00000000-0005-0000-0000-00008B7F0000}"/>
    <cellStyle name="Porcentaje 3 2 2 4 2 3 3 2 2" xfId="36284" xr:uid="{00000000-0005-0000-0000-00008C7F0000}"/>
    <cellStyle name="Porcentaje 3 2 2 4 2 3 3 3" xfId="26427" xr:uid="{00000000-0005-0000-0000-00008D7F0000}"/>
    <cellStyle name="Porcentaje 3 2 2 4 2 3 4" xfId="11641" xr:uid="{00000000-0005-0000-0000-00008E7F0000}"/>
    <cellStyle name="Porcentaje 3 2 2 4 2 3 4 2" xfId="31356" xr:uid="{00000000-0005-0000-0000-00008F7F0000}"/>
    <cellStyle name="Porcentaje 3 2 2 4 2 3 5" xfId="21499" xr:uid="{00000000-0005-0000-0000-0000907F0000}"/>
    <cellStyle name="Porcentaje 3 2 2 4 2 4" xfId="3009" xr:uid="{00000000-0005-0000-0000-0000917F0000}"/>
    <cellStyle name="Porcentaje 3 2 2 4 2 4 2" xfId="7941" xr:uid="{00000000-0005-0000-0000-0000927F0000}"/>
    <cellStyle name="Porcentaje 3 2 2 4 2 4 2 2" xfId="17801" xr:uid="{00000000-0005-0000-0000-0000937F0000}"/>
    <cellStyle name="Porcentaje 3 2 2 4 2 4 2 2 2" xfId="37516" xr:uid="{00000000-0005-0000-0000-0000947F0000}"/>
    <cellStyle name="Porcentaje 3 2 2 4 2 4 2 3" xfId="27659" xr:uid="{00000000-0005-0000-0000-0000957F0000}"/>
    <cellStyle name="Porcentaje 3 2 2 4 2 4 3" xfId="12873" xr:uid="{00000000-0005-0000-0000-0000967F0000}"/>
    <cellStyle name="Porcentaje 3 2 2 4 2 4 3 2" xfId="32588" xr:uid="{00000000-0005-0000-0000-0000977F0000}"/>
    <cellStyle name="Porcentaje 3 2 2 4 2 4 4" xfId="22731" xr:uid="{00000000-0005-0000-0000-0000987F0000}"/>
    <cellStyle name="Porcentaje 3 2 2 4 2 5" xfId="5477" xr:uid="{00000000-0005-0000-0000-0000997F0000}"/>
    <cellStyle name="Porcentaje 3 2 2 4 2 5 2" xfId="15337" xr:uid="{00000000-0005-0000-0000-00009A7F0000}"/>
    <cellStyle name="Porcentaje 3 2 2 4 2 5 2 2" xfId="35052" xr:uid="{00000000-0005-0000-0000-00009B7F0000}"/>
    <cellStyle name="Porcentaje 3 2 2 4 2 5 3" xfId="25195" xr:uid="{00000000-0005-0000-0000-00009C7F0000}"/>
    <cellStyle name="Porcentaje 3 2 2 4 2 6" xfId="10409" xr:uid="{00000000-0005-0000-0000-00009D7F0000}"/>
    <cellStyle name="Porcentaje 3 2 2 4 2 6 2" xfId="30124" xr:uid="{00000000-0005-0000-0000-00009E7F0000}"/>
    <cellStyle name="Porcentaje 3 2 2 4 2 7" xfId="20267" xr:uid="{00000000-0005-0000-0000-00009F7F0000}"/>
    <cellStyle name="Porcentaje 3 2 2 4 3" xfId="848" xr:uid="{00000000-0005-0000-0000-0000A07F0000}"/>
    <cellStyle name="Porcentaje 3 2 2 4 3 2" xfId="2084" xr:uid="{00000000-0005-0000-0000-0000A17F0000}"/>
    <cellStyle name="Porcentaje 3 2 2 4 3 2 2" xfId="4551" xr:uid="{00000000-0005-0000-0000-0000A27F0000}"/>
    <cellStyle name="Porcentaje 3 2 2 4 3 2 2 2" xfId="9483" xr:uid="{00000000-0005-0000-0000-0000A37F0000}"/>
    <cellStyle name="Porcentaje 3 2 2 4 3 2 2 2 2" xfId="19343" xr:uid="{00000000-0005-0000-0000-0000A47F0000}"/>
    <cellStyle name="Porcentaje 3 2 2 4 3 2 2 2 2 2" xfId="39058" xr:uid="{00000000-0005-0000-0000-0000A57F0000}"/>
    <cellStyle name="Porcentaje 3 2 2 4 3 2 2 2 3" xfId="29201" xr:uid="{00000000-0005-0000-0000-0000A67F0000}"/>
    <cellStyle name="Porcentaje 3 2 2 4 3 2 2 3" xfId="14415" xr:uid="{00000000-0005-0000-0000-0000A77F0000}"/>
    <cellStyle name="Porcentaje 3 2 2 4 3 2 2 3 2" xfId="34130" xr:uid="{00000000-0005-0000-0000-0000A87F0000}"/>
    <cellStyle name="Porcentaje 3 2 2 4 3 2 2 4" xfId="24273" xr:uid="{00000000-0005-0000-0000-0000A97F0000}"/>
    <cellStyle name="Porcentaje 3 2 2 4 3 2 3" xfId="7019" xr:uid="{00000000-0005-0000-0000-0000AA7F0000}"/>
    <cellStyle name="Porcentaje 3 2 2 4 3 2 3 2" xfId="16879" xr:uid="{00000000-0005-0000-0000-0000AB7F0000}"/>
    <cellStyle name="Porcentaje 3 2 2 4 3 2 3 2 2" xfId="36594" xr:uid="{00000000-0005-0000-0000-0000AC7F0000}"/>
    <cellStyle name="Porcentaje 3 2 2 4 3 2 3 3" xfId="26737" xr:uid="{00000000-0005-0000-0000-0000AD7F0000}"/>
    <cellStyle name="Porcentaje 3 2 2 4 3 2 4" xfId="11951" xr:uid="{00000000-0005-0000-0000-0000AE7F0000}"/>
    <cellStyle name="Porcentaje 3 2 2 4 3 2 4 2" xfId="31666" xr:uid="{00000000-0005-0000-0000-0000AF7F0000}"/>
    <cellStyle name="Porcentaje 3 2 2 4 3 2 5" xfId="21809" xr:uid="{00000000-0005-0000-0000-0000B07F0000}"/>
    <cellStyle name="Porcentaje 3 2 2 4 3 3" xfId="3319" xr:uid="{00000000-0005-0000-0000-0000B17F0000}"/>
    <cellStyle name="Porcentaje 3 2 2 4 3 3 2" xfId="8251" xr:uid="{00000000-0005-0000-0000-0000B27F0000}"/>
    <cellStyle name="Porcentaje 3 2 2 4 3 3 2 2" xfId="18111" xr:uid="{00000000-0005-0000-0000-0000B37F0000}"/>
    <cellStyle name="Porcentaje 3 2 2 4 3 3 2 2 2" xfId="37826" xr:uid="{00000000-0005-0000-0000-0000B47F0000}"/>
    <cellStyle name="Porcentaje 3 2 2 4 3 3 2 3" xfId="27969" xr:uid="{00000000-0005-0000-0000-0000B57F0000}"/>
    <cellStyle name="Porcentaje 3 2 2 4 3 3 3" xfId="13183" xr:uid="{00000000-0005-0000-0000-0000B67F0000}"/>
    <cellStyle name="Porcentaje 3 2 2 4 3 3 3 2" xfId="32898" xr:uid="{00000000-0005-0000-0000-0000B77F0000}"/>
    <cellStyle name="Porcentaje 3 2 2 4 3 3 4" xfId="23041" xr:uid="{00000000-0005-0000-0000-0000B87F0000}"/>
    <cellStyle name="Porcentaje 3 2 2 4 3 4" xfId="5787" xr:uid="{00000000-0005-0000-0000-0000B97F0000}"/>
    <cellStyle name="Porcentaje 3 2 2 4 3 4 2" xfId="15647" xr:uid="{00000000-0005-0000-0000-0000BA7F0000}"/>
    <cellStyle name="Porcentaje 3 2 2 4 3 4 2 2" xfId="35362" xr:uid="{00000000-0005-0000-0000-0000BB7F0000}"/>
    <cellStyle name="Porcentaje 3 2 2 4 3 4 3" xfId="25505" xr:uid="{00000000-0005-0000-0000-0000BC7F0000}"/>
    <cellStyle name="Porcentaje 3 2 2 4 3 5" xfId="10719" xr:uid="{00000000-0005-0000-0000-0000BD7F0000}"/>
    <cellStyle name="Porcentaje 3 2 2 4 3 5 2" xfId="30434" xr:uid="{00000000-0005-0000-0000-0000BE7F0000}"/>
    <cellStyle name="Porcentaje 3 2 2 4 3 6" xfId="20577" xr:uid="{00000000-0005-0000-0000-0000BF7F0000}"/>
    <cellStyle name="Porcentaje 3 2 2 4 4" xfId="1468" xr:uid="{00000000-0005-0000-0000-0000C07F0000}"/>
    <cellStyle name="Porcentaje 3 2 2 4 4 2" xfId="3935" xr:uid="{00000000-0005-0000-0000-0000C17F0000}"/>
    <cellStyle name="Porcentaje 3 2 2 4 4 2 2" xfId="8867" xr:uid="{00000000-0005-0000-0000-0000C27F0000}"/>
    <cellStyle name="Porcentaje 3 2 2 4 4 2 2 2" xfId="18727" xr:uid="{00000000-0005-0000-0000-0000C37F0000}"/>
    <cellStyle name="Porcentaje 3 2 2 4 4 2 2 2 2" xfId="38442" xr:uid="{00000000-0005-0000-0000-0000C47F0000}"/>
    <cellStyle name="Porcentaje 3 2 2 4 4 2 2 3" xfId="28585" xr:uid="{00000000-0005-0000-0000-0000C57F0000}"/>
    <cellStyle name="Porcentaje 3 2 2 4 4 2 3" xfId="13799" xr:uid="{00000000-0005-0000-0000-0000C67F0000}"/>
    <cellStyle name="Porcentaje 3 2 2 4 4 2 3 2" xfId="33514" xr:uid="{00000000-0005-0000-0000-0000C77F0000}"/>
    <cellStyle name="Porcentaje 3 2 2 4 4 2 4" xfId="23657" xr:uid="{00000000-0005-0000-0000-0000C87F0000}"/>
    <cellStyle name="Porcentaje 3 2 2 4 4 3" xfId="6403" xr:uid="{00000000-0005-0000-0000-0000C97F0000}"/>
    <cellStyle name="Porcentaje 3 2 2 4 4 3 2" xfId="16263" xr:uid="{00000000-0005-0000-0000-0000CA7F0000}"/>
    <cellStyle name="Porcentaje 3 2 2 4 4 3 2 2" xfId="35978" xr:uid="{00000000-0005-0000-0000-0000CB7F0000}"/>
    <cellStyle name="Porcentaje 3 2 2 4 4 3 3" xfId="26121" xr:uid="{00000000-0005-0000-0000-0000CC7F0000}"/>
    <cellStyle name="Porcentaje 3 2 2 4 4 4" xfId="11335" xr:uid="{00000000-0005-0000-0000-0000CD7F0000}"/>
    <cellStyle name="Porcentaje 3 2 2 4 4 4 2" xfId="31050" xr:uid="{00000000-0005-0000-0000-0000CE7F0000}"/>
    <cellStyle name="Porcentaje 3 2 2 4 4 5" xfId="21193" xr:uid="{00000000-0005-0000-0000-0000CF7F0000}"/>
    <cellStyle name="Porcentaje 3 2 2 4 5" xfId="2703" xr:uid="{00000000-0005-0000-0000-0000D07F0000}"/>
    <cellStyle name="Porcentaje 3 2 2 4 5 2" xfId="7635" xr:uid="{00000000-0005-0000-0000-0000D17F0000}"/>
    <cellStyle name="Porcentaje 3 2 2 4 5 2 2" xfId="17495" xr:uid="{00000000-0005-0000-0000-0000D27F0000}"/>
    <cellStyle name="Porcentaje 3 2 2 4 5 2 2 2" xfId="37210" xr:uid="{00000000-0005-0000-0000-0000D37F0000}"/>
    <cellStyle name="Porcentaje 3 2 2 4 5 2 3" xfId="27353" xr:uid="{00000000-0005-0000-0000-0000D47F0000}"/>
    <cellStyle name="Porcentaje 3 2 2 4 5 3" xfId="12567" xr:uid="{00000000-0005-0000-0000-0000D57F0000}"/>
    <cellStyle name="Porcentaje 3 2 2 4 5 3 2" xfId="32282" xr:uid="{00000000-0005-0000-0000-0000D67F0000}"/>
    <cellStyle name="Porcentaje 3 2 2 4 5 4" xfId="22425" xr:uid="{00000000-0005-0000-0000-0000D77F0000}"/>
    <cellStyle name="Porcentaje 3 2 2 4 6" xfId="5171" xr:uid="{00000000-0005-0000-0000-0000D87F0000}"/>
    <cellStyle name="Porcentaje 3 2 2 4 6 2" xfId="15031" xr:uid="{00000000-0005-0000-0000-0000D97F0000}"/>
    <cellStyle name="Porcentaje 3 2 2 4 6 2 2" xfId="34746" xr:uid="{00000000-0005-0000-0000-0000DA7F0000}"/>
    <cellStyle name="Porcentaje 3 2 2 4 6 3" xfId="24889" xr:uid="{00000000-0005-0000-0000-0000DB7F0000}"/>
    <cellStyle name="Porcentaje 3 2 2 4 7" xfId="10103" xr:uid="{00000000-0005-0000-0000-0000DC7F0000}"/>
    <cellStyle name="Porcentaje 3 2 2 4 7 2" xfId="29818" xr:uid="{00000000-0005-0000-0000-0000DD7F0000}"/>
    <cellStyle name="Porcentaje 3 2 2 4 8" xfId="19961" xr:uid="{00000000-0005-0000-0000-0000DE7F0000}"/>
    <cellStyle name="Porcentaje 3 2 2 5" xfId="383" xr:uid="{00000000-0005-0000-0000-0000DF7F0000}"/>
    <cellStyle name="Porcentaje 3 2 2 5 2" xfId="1003" xr:uid="{00000000-0005-0000-0000-0000E07F0000}"/>
    <cellStyle name="Porcentaje 3 2 2 5 2 2" xfId="2238" xr:uid="{00000000-0005-0000-0000-0000E17F0000}"/>
    <cellStyle name="Porcentaje 3 2 2 5 2 2 2" xfId="4705" xr:uid="{00000000-0005-0000-0000-0000E27F0000}"/>
    <cellStyle name="Porcentaje 3 2 2 5 2 2 2 2" xfId="9637" xr:uid="{00000000-0005-0000-0000-0000E37F0000}"/>
    <cellStyle name="Porcentaje 3 2 2 5 2 2 2 2 2" xfId="19497" xr:uid="{00000000-0005-0000-0000-0000E47F0000}"/>
    <cellStyle name="Porcentaje 3 2 2 5 2 2 2 2 2 2" xfId="39212" xr:uid="{00000000-0005-0000-0000-0000E57F0000}"/>
    <cellStyle name="Porcentaje 3 2 2 5 2 2 2 2 3" xfId="29355" xr:uid="{00000000-0005-0000-0000-0000E67F0000}"/>
    <cellStyle name="Porcentaje 3 2 2 5 2 2 2 3" xfId="14569" xr:uid="{00000000-0005-0000-0000-0000E77F0000}"/>
    <cellStyle name="Porcentaje 3 2 2 5 2 2 2 3 2" xfId="34284" xr:uid="{00000000-0005-0000-0000-0000E87F0000}"/>
    <cellStyle name="Porcentaje 3 2 2 5 2 2 2 4" xfId="24427" xr:uid="{00000000-0005-0000-0000-0000E97F0000}"/>
    <cellStyle name="Porcentaje 3 2 2 5 2 2 3" xfId="7173" xr:uid="{00000000-0005-0000-0000-0000EA7F0000}"/>
    <cellStyle name="Porcentaje 3 2 2 5 2 2 3 2" xfId="17033" xr:uid="{00000000-0005-0000-0000-0000EB7F0000}"/>
    <cellStyle name="Porcentaje 3 2 2 5 2 2 3 2 2" xfId="36748" xr:uid="{00000000-0005-0000-0000-0000EC7F0000}"/>
    <cellStyle name="Porcentaje 3 2 2 5 2 2 3 3" xfId="26891" xr:uid="{00000000-0005-0000-0000-0000ED7F0000}"/>
    <cellStyle name="Porcentaje 3 2 2 5 2 2 4" xfId="12105" xr:uid="{00000000-0005-0000-0000-0000EE7F0000}"/>
    <cellStyle name="Porcentaje 3 2 2 5 2 2 4 2" xfId="31820" xr:uid="{00000000-0005-0000-0000-0000EF7F0000}"/>
    <cellStyle name="Porcentaje 3 2 2 5 2 2 5" xfId="21963" xr:uid="{00000000-0005-0000-0000-0000F07F0000}"/>
    <cellStyle name="Porcentaje 3 2 2 5 2 3" xfId="3473" xr:uid="{00000000-0005-0000-0000-0000F17F0000}"/>
    <cellStyle name="Porcentaje 3 2 2 5 2 3 2" xfId="8405" xr:uid="{00000000-0005-0000-0000-0000F27F0000}"/>
    <cellStyle name="Porcentaje 3 2 2 5 2 3 2 2" xfId="18265" xr:uid="{00000000-0005-0000-0000-0000F37F0000}"/>
    <cellStyle name="Porcentaje 3 2 2 5 2 3 2 2 2" xfId="37980" xr:uid="{00000000-0005-0000-0000-0000F47F0000}"/>
    <cellStyle name="Porcentaje 3 2 2 5 2 3 2 3" xfId="28123" xr:uid="{00000000-0005-0000-0000-0000F57F0000}"/>
    <cellStyle name="Porcentaje 3 2 2 5 2 3 3" xfId="13337" xr:uid="{00000000-0005-0000-0000-0000F67F0000}"/>
    <cellStyle name="Porcentaje 3 2 2 5 2 3 3 2" xfId="33052" xr:uid="{00000000-0005-0000-0000-0000F77F0000}"/>
    <cellStyle name="Porcentaje 3 2 2 5 2 3 4" xfId="23195" xr:uid="{00000000-0005-0000-0000-0000F87F0000}"/>
    <cellStyle name="Porcentaje 3 2 2 5 2 4" xfId="5941" xr:uid="{00000000-0005-0000-0000-0000F97F0000}"/>
    <cellStyle name="Porcentaje 3 2 2 5 2 4 2" xfId="15801" xr:uid="{00000000-0005-0000-0000-0000FA7F0000}"/>
    <cellStyle name="Porcentaje 3 2 2 5 2 4 2 2" xfId="35516" xr:uid="{00000000-0005-0000-0000-0000FB7F0000}"/>
    <cellStyle name="Porcentaje 3 2 2 5 2 4 3" xfId="25659" xr:uid="{00000000-0005-0000-0000-0000FC7F0000}"/>
    <cellStyle name="Porcentaje 3 2 2 5 2 5" xfId="10873" xr:uid="{00000000-0005-0000-0000-0000FD7F0000}"/>
    <cellStyle name="Porcentaje 3 2 2 5 2 5 2" xfId="30588" xr:uid="{00000000-0005-0000-0000-0000FE7F0000}"/>
    <cellStyle name="Porcentaje 3 2 2 5 2 6" xfId="20731" xr:uid="{00000000-0005-0000-0000-0000FF7F0000}"/>
    <cellStyle name="Porcentaje 3 2 2 5 3" xfId="1622" xr:uid="{00000000-0005-0000-0000-000000800000}"/>
    <cellStyle name="Porcentaje 3 2 2 5 3 2" xfId="4089" xr:uid="{00000000-0005-0000-0000-000001800000}"/>
    <cellStyle name="Porcentaje 3 2 2 5 3 2 2" xfId="9021" xr:uid="{00000000-0005-0000-0000-000002800000}"/>
    <cellStyle name="Porcentaje 3 2 2 5 3 2 2 2" xfId="18881" xr:uid="{00000000-0005-0000-0000-000003800000}"/>
    <cellStyle name="Porcentaje 3 2 2 5 3 2 2 2 2" xfId="38596" xr:uid="{00000000-0005-0000-0000-000004800000}"/>
    <cellStyle name="Porcentaje 3 2 2 5 3 2 2 3" xfId="28739" xr:uid="{00000000-0005-0000-0000-000005800000}"/>
    <cellStyle name="Porcentaje 3 2 2 5 3 2 3" xfId="13953" xr:uid="{00000000-0005-0000-0000-000006800000}"/>
    <cellStyle name="Porcentaje 3 2 2 5 3 2 3 2" xfId="33668" xr:uid="{00000000-0005-0000-0000-000007800000}"/>
    <cellStyle name="Porcentaje 3 2 2 5 3 2 4" xfId="23811" xr:uid="{00000000-0005-0000-0000-000008800000}"/>
    <cellStyle name="Porcentaje 3 2 2 5 3 3" xfId="6557" xr:uid="{00000000-0005-0000-0000-000009800000}"/>
    <cellStyle name="Porcentaje 3 2 2 5 3 3 2" xfId="16417" xr:uid="{00000000-0005-0000-0000-00000A800000}"/>
    <cellStyle name="Porcentaje 3 2 2 5 3 3 2 2" xfId="36132" xr:uid="{00000000-0005-0000-0000-00000B800000}"/>
    <cellStyle name="Porcentaje 3 2 2 5 3 3 3" xfId="26275" xr:uid="{00000000-0005-0000-0000-00000C800000}"/>
    <cellStyle name="Porcentaje 3 2 2 5 3 4" xfId="11489" xr:uid="{00000000-0005-0000-0000-00000D800000}"/>
    <cellStyle name="Porcentaje 3 2 2 5 3 4 2" xfId="31204" xr:uid="{00000000-0005-0000-0000-00000E800000}"/>
    <cellStyle name="Porcentaje 3 2 2 5 3 5" xfId="21347" xr:uid="{00000000-0005-0000-0000-00000F800000}"/>
    <cellStyle name="Porcentaje 3 2 2 5 4" xfId="2857" xr:uid="{00000000-0005-0000-0000-000010800000}"/>
    <cellStyle name="Porcentaje 3 2 2 5 4 2" xfId="7789" xr:uid="{00000000-0005-0000-0000-000011800000}"/>
    <cellStyle name="Porcentaje 3 2 2 5 4 2 2" xfId="17649" xr:uid="{00000000-0005-0000-0000-000012800000}"/>
    <cellStyle name="Porcentaje 3 2 2 5 4 2 2 2" xfId="37364" xr:uid="{00000000-0005-0000-0000-000013800000}"/>
    <cellStyle name="Porcentaje 3 2 2 5 4 2 3" xfId="27507" xr:uid="{00000000-0005-0000-0000-000014800000}"/>
    <cellStyle name="Porcentaje 3 2 2 5 4 3" xfId="12721" xr:uid="{00000000-0005-0000-0000-000015800000}"/>
    <cellStyle name="Porcentaje 3 2 2 5 4 3 2" xfId="32436" xr:uid="{00000000-0005-0000-0000-000016800000}"/>
    <cellStyle name="Porcentaje 3 2 2 5 4 4" xfId="22579" xr:uid="{00000000-0005-0000-0000-000017800000}"/>
    <cellStyle name="Porcentaje 3 2 2 5 5" xfId="5325" xr:uid="{00000000-0005-0000-0000-000018800000}"/>
    <cellStyle name="Porcentaje 3 2 2 5 5 2" xfId="15185" xr:uid="{00000000-0005-0000-0000-000019800000}"/>
    <cellStyle name="Porcentaje 3 2 2 5 5 2 2" xfId="34900" xr:uid="{00000000-0005-0000-0000-00001A800000}"/>
    <cellStyle name="Porcentaje 3 2 2 5 5 3" xfId="25043" xr:uid="{00000000-0005-0000-0000-00001B800000}"/>
    <cellStyle name="Porcentaje 3 2 2 5 6" xfId="10257" xr:uid="{00000000-0005-0000-0000-00001C800000}"/>
    <cellStyle name="Porcentaje 3 2 2 5 6 2" xfId="29972" xr:uid="{00000000-0005-0000-0000-00001D800000}"/>
    <cellStyle name="Porcentaje 3 2 2 5 7" xfId="20115" xr:uid="{00000000-0005-0000-0000-00001E800000}"/>
    <cellStyle name="Porcentaje 3 2 2 6" xfId="696" xr:uid="{00000000-0005-0000-0000-00001F800000}"/>
    <cellStyle name="Porcentaje 3 2 2 6 2" xfId="1932" xr:uid="{00000000-0005-0000-0000-000020800000}"/>
    <cellStyle name="Porcentaje 3 2 2 6 2 2" xfId="4399" xr:uid="{00000000-0005-0000-0000-000021800000}"/>
    <cellStyle name="Porcentaje 3 2 2 6 2 2 2" xfId="9331" xr:uid="{00000000-0005-0000-0000-000022800000}"/>
    <cellStyle name="Porcentaje 3 2 2 6 2 2 2 2" xfId="19191" xr:uid="{00000000-0005-0000-0000-000023800000}"/>
    <cellStyle name="Porcentaje 3 2 2 6 2 2 2 2 2" xfId="38906" xr:uid="{00000000-0005-0000-0000-000024800000}"/>
    <cellStyle name="Porcentaje 3 2 2 6 2 2 2 3" xfId="29049" xr:uid="{00000000-0005-0000-0000-000025800000}"/>
    <cellStyle name="Porcentaje 3 2 2 6 2 2 3" xfId="14263" xr:uid="{00000000-0005-0000-0000-000026800000}"/>
    <cellStyle name="Porcentaje 3 2 2 6 2 2 3 2" xfId="33978" xr:uid="{00000000-0005-0000-0000-000027800000}"/>
    <cellStyle name="Porcentaje 3 2 2 6 2 2 4" xfId="24121" xr:uid="{00000000-0005-0000-0000-000028800000}"/>
    <cellStyle name="Porcentaje 3 2 2 6 2 3" xfId="6867" xr:uid="{00000000-0005-0000-0000-000029800000}"/>
    <cellStyle name="Porcentaje 3 2 2 6 2 3 2" xfId="16727" xr:uid="{00000000-0005-0000-0000-00002A800000}"/>
    <cellStyle name="Porcentaje 3 2 2 6 2 3 2 2" xfId="36442" xr:uid="{00000000-0005-0000-0000-00002B800000}"/>
    <cellStyle name="Porcentaje 3 2 2 6 2 3 3" xfId="26585" xr:uid="{00000000-0005-0000-0000-00002C800000}"/>
    <cellStyle name="Porcentaje 3 2 2 6 2 4" xfId="11799" xr:uid="{00000000-0005-0000-0000-00002D800000}"/>
    <cellStyle name="Porcentaje 3 2 2 6 2 4 2" xfId="31514" xr:uid="{00000000-0005-0000-0000-00002E800000}"/>
    <cellStyle name="Porcentaje 3 2 2 6 2 5" xfId="21657" xr:uid="{00000000-0005-0000-0000-00002F800000}"/>
    <cellStyle name="Porcentaje 3 2 2 6 3" xfId="3167" xr:uid="{00000000-0005-0000-0000-000030800000}"/>
    <cellStyle name="Porcentaje 3 2 2 6 3 2" xfId="8099" xr:uid="{00000000-0005-0000-0000-000031800000}"/>
    <cellStyle name="Porcentaje 3 2 2 6 3 2 2" xfId="17959" xr:uid="{00000000-0005-0000-0000-000032800000}"/>
    <cellStyle name="Porcentaje 3 2 2 6 3 2 2 2" xfId="37674" xr:uid="{00000000-0005-0000-0000-000033800000}"/>
    <cellStyle name="Porcentaje 3 2 2 6 3 2 3" xfId="27817" xr:uid="{00000000-0005-0000-0000-000034800000}"/>
    <cellStyle name="Porcentaje 3 2 2 6 3 3" xfId="13031" xr:uid="{00000000-0005-0000-0000-000035800000}"/>
    <cellStyle name="Porcentaje 3 2 2 6 3 3 2" xfId="32746" xr:uid="{00000000-0005-0000-0000-000036800000}"/>
    <cellStyle name="Porcentaje 3 2 2 6 3 4" xfId="22889" xr:uid="{00000000-0005-0000-0000-000037800000}"/>
    <cellStyle name="Porcentaje 3 2 2 6 4" xfId="5635" xr:uid="{00000000-0005-0000-0000-000038800000}"/>
    <cellStyle name="Porcentaje 3 2 2 6 4 2" xfId="15495" xr:uid="{00000000-0005-0000-0000-000039800000}"/>
    <cellStyle name="Porcentaje 3 2 2 6 4 2 2" xfId="35210" xr:uid="{00000000-0005-0000-0000-00003A800000}"/>
    <cellStyle name="Porcentaje 3 2 2 6 4 3" xfId="25353" xr:uid="{00000000-0005-0000-0000-00003B800000}"/>
    <cellStyle name="Porcentaje 3 2 2 6 5" xfId="10567" xr:uid="{00000000-0005-0000-0000-00003C800000}"/>
    <cellStyle name="Porcentaje 3 2 2 6 5 2" xfId="30282" xr:uid="{00000000-0005-0000-0000-00003D800000}"/>
    <cellStyle name="Porcentaje 3 2 2 6 6" xfId="20425" xr:uid="{00000000-0005-0000-0000-00003E800000}"/>
    <cellStyle name="Porcentaje 3 2 2 7" xfId="1316" xr:uid="{00000000-0005-0000-0000-00003F800000}"/>
    <cellStyle name="Porcentaje 3 2 2 7 2" xfId="3783" xr:uid="{00000000-0005-0000-0000-000040800000}"/>
    <cellStyle name="Porcentaje 3 2 2 7 2 2" xfId="8715" xr:uid="{00000000-0005-0000-0000-000041800000}"/>
    <cellStyle name="Porcentaje 3 2 2 7 2 2 2" xfId="18575" xr:uid="{00000000-0005-0000-0000-000042800000}"/>
    <cellStyle name="Porcentaje 3 2 2 7 2 2 2 2" xfId="38290" xr:uid="{00000000-0005-0000-0000-000043800000}"/>
    <cellStyle name="Porcentaje 3 2 2 7 2 2 3" xfId="28433" xr:uid="{00000000-0005-0000-0000-000044800000}"/>
    <cellStyle name="Porcentaje 3 2 2 7 2 3" xfId="13647" xr:uid="{00000000-0005-0000-0000-000045800000}"/>
    <cellStyle name="Porcentaje 3 2 2 7 2 3 2" xfId="33362" xr:uid="{00000000-0005-0000-0000-000046800000}"/>
    <cellStyle name="Porcentaje 3 2 2 7 2 4" xfId="23505" xr:uid="{00000000-0005-0000-0000-000047800000}"/>
    <cellStyle name="Porcentaje 3 2 2 7 3" xfId="6251" xr:uid="{00000000-0005-0000-0000-000048800000}"/>
    <cellStyle name="Porcentaje 3 2 2 7 3 2" xfId="16111" xr:uid="{00000000-0005-0000-0000-000049800000}"/>
    <cellStyle name="Porcentaje 3 2 2 7 3 2 2" xfId="35826" xr:uid="{00000000-0005-0000-0000-00004A800000}"/>
    <cellStyle name="Porcentaje 3 2 2 7 3 3" xfId="25969" xr:uid="{00000000-0005-0000-0000-00004B800000}"/>
    <cellStyle name="Porcentaje 3 2 2 7 4" xfId="11183" xr:uid="{00000000-0005-0000-0000-00004C800000}"/>
    <cellStyle name="Porcentaje 3 2 2 7 4 2" xfId="30898" xr:uid="{00000000-0005-0000-0000-00004D800000}"/>
    <cellStyle name="Porcentaje 3 2 2 7 5" xfId="21041" xr:uid="{00000000-0005-0000-0000-00004E800000}"/>
    <cellStyle name="Porcentaje 3 2 2 8" xfId="2551" xr:uid="{00000000-0005-0000-0000-00004F800000}"/>
    <cellStyle name="Porcentaje 3 2 2 8 2" xfId="7483" xr:uid="{00000000-0005-0000-0000-000050800000}"/>
    <cellStyle name="Porcentaje 3 2 2 8 2 2" xfId="17343" xr:uid="{00000000-0005-0000-0000-000051800000}"/>
    <cellStyle name="Porcentaje 3 2 2 8 2 2 2" xfId="37058" xr:uid="{00000000-0005-0000-0000-000052800000}"/>
    <cellStyle name="Porcentaje 3 2 2 8 2 3" xfId="27201" xr:uid="{00000000-0005-0000-0000-000053800000}"/>
    <cellStyle name="Porcentaje 3 2 2 8 3" xfId="12415" xr:uid="{00000000-0005-0000-0000-000054800000}"/>
    <cellStyle name="Porcentaje 3 2 2 8 3 2" xfId="32130" xr:uid="{00000000-0005-0000-0000-000055800000}"/>
    <cellStyle name="Porcentaje 3 2 2 8 4" xfId="22273" xr:uid="{00000000-0005-0000-0000-000056800000}"/>
    <cellStyle name="Porcentaje 3 2 2 9" xfId="5019" xr:uid="{00000000-0005-0000-0000-000057800000}"/>
    <cellStyle name="Porcentaje 3 2 2 9 2" xfId="14879" xr:uid="{00000000-0005-0000-0000-000058800000}"/>
    <cellStyle name="Porcentaje 3 2 2 9 2 2" xfId="34594" xr:uid="{00000000-0005-0000-0000-000059800000}"/>
    <cellStyle name="Porcentaje 3 2 2 9 3" xfId="24737" xr:uid="{00000000-0005-0000-0000-00005A800000}"/>
    <cellStyle name="Porcentaje 3 2 3" xfId="78" xr:uid="{00000000-0005-0000-0000-00005B800000}"/>
    <cellStyle name="Porcentaje 3 2 3 10" xfId="19828" xr:uid="{00000000-0005-0000-0000-00005C800000}"/>
    <cellStyle name="Porcentaje 3 2 3 2" xfId="159" xr:uid="{00000000-0005-0000-0000-00005D800000}"/>
    <cellStyle name="Porcentaje 3 2 3 2 2" xfId="316" xr:uid="{00000000-0005-0000-0000-00005E800000}"/>
    <cellStyle name="Porcentaje 3 2 3 2 2 2" xfId="630" xr:uid="{00000000-0005-0000-0000-00005F800000}"/>
    <cellStyle name="Porcentaje 3 2 3 2 2 2 2" xfId="1250" xr:uid="{00000000-0005-0000-0000-000060800000}"/>
    <cellStyle name="Porcentaje 3 2 3 2 2 2 2 2" xfId="2485" xr:uid="{00000000-0005-0000-0000-000061800000}"/>
    <cellStyle name="Porcentaje 3 2 3 2 2 2 2 2 2" xfId="4952" xr:uid="{00000000-0005-0000-0000-000062800000}"/>
    <cellStyle name="Porcentaje 3 2 3 2 2 2 2 2 2 2" xfId="9884" xr:uid="{00000000-0005-0000-0000-000063800000}"/>
    <cellStyle name="Porcentaje 3 2 3 2 2 2 2 2 2 2 2" xfId="19744" xr:uid="{00000000-0005-0000-0000-000064800000}"/>
    <cellStyle name="Porcentaje 3 2 3 2 2 2 2 2 2 2 2 2" xfId="39459" xr:uid="{00000000-0005-0000-0000-000065800000}"/>
    <cellStyle name="Porcentaje 3 2 3 2 2 2 2 2 2 2 3" xfId="29602" xr:uid="{00000000-0005-0000-0000-000066800000}"/>
    <cellStyle name="Porcentaje 3 2 3 2 2 2 2 2 2 3" xfId="14816" xr:uid="{00000000-0005-0000-0000-000067800000}"/>
    <cellStyle name="Porcentaje 3 2 3 2 2 2 2 2 2 3 2" xfId="34531" xr:uid="{00000000-0005-0000-0000-000068800000}"/>
    <cellStyle name="Porcentaje 3 2 3 2 2 2 2 2 2 4" xfId="24674" xr:uid="{00000000-0005-0000-0000-000069800000}"/>
    <cellStyle name="Porcentaje 3 2 3 2 2 2 2 2 3" xfId="7420" xr:uid="{00000000-0005-0000-0000-00006A800000}"/>
    <cellStyle name="Porcentaje 3 2 3 2 2 2 2 2 3 2" xfId="17280" xr:uid="{00000000-0005-0000-0000-00006B800000}"/>
    <cellStyle name="Porcentaje 3 2 3 2 2 2 2 2 3 2 2" xfId="36995" xr:uid="{00000000-0005-0000-0000-00006C800000}"/>
    <cellStyle name="Porcentaje 3 2 3 2 2 2 2 2 3 3" xfId="27138" xr:uid="{00000000-0005-0000-0000-00006D800000}"/>
    <cellStyle name="Porcentaje 3 2 3 2 2 2 2 2 4" xfId="12352" xr:uid="{00000000-0005-0000-0000-00006E800000}"/>
    <cellStyle name="Porcentaje 3 2 3 2 2 2 2 2 4 2" xfId="32067" xr:uid="{00000000-0005-0000-0000-00006F800000}"/>
    <cellStyle name="Porcentaje 3 2 3 2 2 2 2 2 5" xfId="22210" xr:uid="{00000000-0005-0000-0000-000070800000}"/>
    <cellStyle name="Porcentaje 3 2 3 2 2 2 2 3" xfId="3720" xr:uid="{00000000-0005-0000-0000-000071800000}"/>
    <cellStyle name="Porcentaje 3 2 3 2 2 2 2 3 2" xfId="8652" xr:uid="{00000000-0005-0000-0000-000072800000}"/>
    <cellStyle name="Porcentaje 3 2 3 2 2 2 2 3 2 2" xfId="18512" xr:uid="{00000000-0005-0000-0000-000073800000}"/>
    <cellStyle name="Porcentaje 3 2 3 2 2 2 2 3 2 2 2" xfId="38227" xr:uid="{00000000-0005-0000-0000-000074800000}"/>
    <cellStyle name="Porcentaje 3 2 3 2 2 2 2 3 2 3" xfId="28370" xr:uid="{00000000-0005-0000-0000-000075800000}"/>
    <cellStyle name="Porcentaje 3 2 3 2 2 2 2 3 3" xfId="13584" xr:uid="{00000000-0005-0000-0000-000076800000}"/>
    <cellStyle name="Porcentaje 3 2 3 2 2 2 2 3 3 2" xfId="33299" xr:uid="{00000000-0005-0000-0000-000077800000}"/>
    <cellStyle name="Porcentaje 3 2 3 2 2 2 2 3 4" xfId="23442" xr:uid="{00000000-0005-0000-0000-000078800000}"/>
    <cellStyle name="Porcentaje 3 2 3 2 2 2 2 4" xfId="6188" xr:uid="{00000000-0005-0000-0000-000079800000}"/>
    <cellStyle name="Porcentaje 3 2 3 2 2 2 2 4 2" xfId="16048" xr:uid="{00000000-0005-0000-0000-00007A800000}"/>
    <cellStyle name="Porcentaje 3 2 3 2 2 2 2 4 2 2" xfId="35763" xr:uid="{00000000-0005-0000-0000-00007B800000}"/>
    <cellStyle name="Porcentaje 3 2 3 2 2 2 2 4 3" xfId="25906" xr:uid="{00000000-0005-0000-0000-00007C800000}"/>
    <cellStyle name="Porcentaje 3 2 3 2 2 2 2 5" xfId="11120" xr:uid="{00000000-0005-0000-0000-00007D800000}"/>
    <cellStyle name="Porcentaje 3 2 3 2 2 2 2 5 2" xfId="30835" xr:uid="{00000000-0005-0000-0000-00007E800000}"/>
    <cellStyle name="Porcentaje 3 2 3 2 2 2 2 6" xfId="20978" xr:uid="{00000000-0005-0000-0000-00007F800000}"/>
    <cellStyle name="Porcentaje 3 2 3 2 2 2 3" xfId="1869" xr:uid="{00000000-0005-0000-0000-000080800000}"/>
    <cellStyle name="Porcentaje 3 2 3 2 2 2 3 2" xfId="4336" xr:uid="{00000000-0005-0000-0000-000081800000}"/>
    <cellStyle name="Porcentaje 3 2 3 2 2 2 3 2 2" xfId="9268" xr:uid="{00000000-0005-0000-0000-000082800000}"/>
    <cellStyle name="Porcentaje 3 2 3 2 2 2 3 2 2 2" xfId="19128" xr:uid="{00000000-0005-0000-0000-000083800000}"/>
    <cellStyle name="Porcentaje 3 2 3 2 2 2 3 2 2 2 2" xfId="38843" xr:uid="{00000000-0005-0000-0000-000084800000}"/>
    <cellStyle name="Porcentaje 3 2 3 2 2 2 3 2 2 3" xfId="28986" xr:uid="{00000000-0005-0000-0000-000085800000}"/>
    <cellStyle name="Porcentaje 3 2 3 2 2 2 3 2 3" xfId="14200" xr:uid="{00000000-0005-0000-0000-000086800000}"/>
    <cellStyle name="Porcentaje 3 2 3 2 2 2 3 2 3 2" xfId="33915" xr:uid="{00000000-0005-0000-0000-000087800000}"/>
    <cellStyle name="Porcentaje 3 2 3 2 2 2 3 2 4" xfId="24058" xr:uid="{00000000-0005-0000-0000-000088800000}"/>
    <cellStyle name="Porcentaje 3 2 3 2 2 2 3 3" xfId="6804" xr:uid="{00000000-0005-0000-0000-000089800000}"/>
    <cellStyle name="Porcentaje 3 2 3 2 2 2 3 3 2" xfId="16664" xr:uid="{00000000-0005-0000-0000-00008A800000}"/>
    <cellStyle name="Porcentaje 3 2 3 2 2 2 3 3 2 2" xfId="36379" xr:uid="{00000000-0005-0000-0000-00008B800000}"/>
    <cellStyle name="Porcentaje 3 2 3 2 2 2 3 3 3" xfId="26522" xr:uid="{00000000-0005-0000-0000-00008C800000}"/>
    <cellStyle name="Porcentaje 3 2 3 2 2 2 3 4" xfId="11736" xr:uid="{00000000-0005-0000-0000-00008D800000}"/>
    <cellStyle name="Porcentaje 3 2 3 2 2 2 3 4 2" xfId="31451" xr:uid="{00000000-0005-0000-0000-00008E800000}"/>
    <cellStyle name="Porcentaje 3 2 3 2 2 2 3 5" xfId="21594" xr:uid="{00000000-0005-0000-0000-00008F800000}"/>
    <cellStyle name="Porcentaje 3 2 3 2 2 2 4" xfId="3104" xr:uid="{00000000-0005-0000-0000-000090800000}"/>
    <cellStyle name="Porcentaje 3 2 3 2 2 2 4 2" xfId="8036" xr:uid="{00000000-0005-0000-0000-000091800000}"/>
    <cellStyle name="Porcentaje 3 2 3 2 2 2 4 2 2" xfId="17896" xr:uid="{00000000-0005-0000-0000-000092800000}"/>
    <cellStyle name="Porcentaje 3 2 3 2 2 2 4 2 2 2" xfId="37611" xr:uid="{00000000-0005-0000-0000-000093800000}"/>
    <cellStyle name="Porcentaje 3 2 3 2 2 2 4 2 3" xfId="27754" xr:uid="{00000000-0005-0000-0000-000094800000}"/>
    <cellStyle name="Porcentaje 3 2 3 2 2 2 4 3" xfId="12968" xr:uid="{00000000-0005-0000-0000-000095800000}"/>
    <cellStyle name="Porcentaje 3 2 3 2 2 2 4 3 2" xfId="32683" xr:uid="{00000000-0005-0000-0000-000096800000}"/>
    <cellStyle name="Porcentaje 3 2 3 2 2 2 4 4" xfId="22826" xr:uid="{00000000-0005-0000-0000-000097800000}"/>
    <cellStyle name="Porcentaje 3 2 3 2 2 2 5" xfId="5572" xr:uid="{00000000-0005-0000-0000-000098800000}"/>
    <cellStyle name="Porcentaje 3 2 3 2 2 2 5 2" xfId="15432" xr:uid="{00000000-0005-0000-0000-000099800000}"/>
    <cellStyle name="Porcentaje 3 2 3 2 2 2 5 2 2" xfId="35147" xr:uid="{00000000-0005-0000-0000-00009A800000}"/>
    <cellStyle name="Porcentaje 3 2 3 2 2 2 5 3" xfId="25290" xr:uid="{00000000-0005-0000-0000-00009B800000}"/>
    <cellStyle name="Porcentaje 3 2 3 2 2 2 6" xfId="10504" xr:uid="{00000000-0005-0000-0000-00009C800000}"/>
    <cellStyle name="Porcentaje 3 2 3 2 2 2 6 2" xfId="30219" xr:uid="{00000000-0005-0000-0000-00009D800000}"/>
    <cellStyle name="Porcentaje 3 2 3 2 2 2 7" xfId="20362" xr:uid="{00000000-0005-0000-0000-00009E800000}"/>
    <cellStyle name="Porcentaje 3 2 3 2 2 3" xfId="943" xr:uid="{00000000-0005-0000-0000-00009F800000}"/>
    <cellStyle name="Porcentaje 3 2 3 2 2 3 2" xfId="2179" xr:uid="{00000000-0005-0000-0000-0000A0800000}"/>
    <cellStyle name="Porcentaje 3 2 3 2 2 3 2 2" xfId="4646" xr:uid="{00000000-0005-0000-0000-0000A1800000}"/>
    <cellStyle name="Porcentaje 3 2 3 2 2 3 2 2 2" xfId="9578" xr:uid="{00000000-0005-0000-0000-0000A2800000}"/>
    <cellStyle name="Porcentaje 3 2 3 2 2 3 2 2 2 2" xfId="19438" xr:uid="{00000000-0005-0000-0000-0000A3800000}"/>
    <cellStyle name="Porcentaje 3 2 3 2 2 3 2 2 2 2 2" xfId="39153" xr:uid="{00000000-0005-0000-0000-0000A4800000}"/>
    <cellStyle name="Porcentaje 3 2 3 2 2 3 2 2 2 3" xfId="29296" xr:uid="{00000000-0005-0000-0000-0000A5800000}"/>
    <cellStyle name="Porcentaje 3 2 3 2 2 3 2 2 3" xfId="14510" xr:uid="{00000000-0005-0000-0000-0000A6800000}"/>
    <cellStyle name="Porcentaje 3 2 3 2 2 3 2 2 3 2" xfId="34225" xr:uid="{00000000-0005-0000-0000-0000A7800000}"/>
    <cellStyle name="Porcentaje 3 2 3 2 2 3 2 2 4" xfId="24368" xr:uid="{00000000-0005-0000-0000-0000A8800000}"/>
    <cellStyle name="Porcentaje 3 2 3 2 2 3 2 3" xfId="7114" xr:uid="{00000000-0005-0000-0000-0000A9800000}"/>
    <cellStyle name="Porcentaje 3 2 3 2 2 3 2 3 2" xfId="16974" xr:uid="{00000000-0005-0000-0000-0000AA800000}"/>
    <cellStyle name="Porcentaje 3 2 3 2 2 3 2 3 2 2" xfId="36689" xr:uid="{00000000-0005-0000-0000-0000AB800000}"/>
    <cellStyle name="Porcentaje 3 2 3 2 2 3 2 3 3" xfId="26832" xr:uid="{00000000-0005-0000-0000-0000AC800000}"/>
    <cellStyle name="Porcentaje 3 2 3 2 2 3 2 4" xfId="12046" xr:uid="{00000000-0005-0000-0000-0000AD800000}"/>
    <cellStyle name="Porcentaje 3 2 3 2 2 3 2 4 2" xfId="31761" xr:uid="{00000000-0005-0000-0000-0000AE800000}"/>
    <cellStyle name="Porcentaje 3 2 3 2 2 3 2 5" xfId="21904" xr:uid="{00000000-0005-0000-0000-0000AF800000}"/>
    <cellStyle name="Porcentaje 3 2 3 2 2 3 3" xfId="3414" xr:uid="{00000000-0005-0000-0000-0000B0800000}"/>
    <cellStyle name="Porcentaje 3 2 3 2 2 3 3 2" xfId="8346" xr:uid="{00000000-0005-0000-0000-0000B1800000}"/>
    <cellStyle name="Porcentaje 3 2 3 2 2 3 3 2 2" xfId="18206" xr:uid="{00000000-0005-0000-0000-0000B2800000}"/>
    <cellStyle name="Porcentaje 3 2 3 2 2 3 3 2 2 2" xfId="37921" xr:uid="{00000000-0005-0000-0000-0000B3800000}"/>
    <cellStyle name="Porcentaje 3 2 3 2 2 3 3 2 3" xfId="28064" xr:uid="{00000000-0005-0000-0000-0000B4800000}"/>
    <cellStyle name="Porcentaje 3 2 3 2 2 3 3 3" xfId="13278" xr:uid="{00000000-0005-0000-0000-0000B5800000}"/>
    <cellStyle name="Porcentaje 3 2 3 2 2 3 3 3 2" xfId="32993" xr:uid="{00000000-0005-0000-0000-0000B6800000}"/>
    <cellStyle name="Porcentaje 3 2 3 2 2 3 3 4" xfId="23136" xr:uid="{00000000-0005-0000-0000-0000B7800000}"/>
    <cellStyle name="Porcentaje 3 2 3 2 2 3 4" xfId="5882" xr:uid="{00000000-0005-0000-0000-0000B8800000}"/>
    <cellStyle name="Porcentaje 3 2 3 2 2 3 4 2" xfId="15742" xr:uid="{00000000-0005-0000-0000-0000B9800000}"/>
    <cellStyle name="Porcentaje 3 2 3 2 2 3 4 2 2" xfId="35457" xr:uid="{00000000-0005-0000-0000-0000BA800000}"/>
    <cellStyle name="Porcentaje 3 2 3 2 2 3 4 3" xfId="25600" xr:uid="{00000000-0005-0000-0000-0000BB800000}"/>
    <cellStyle name="Porcentaje 3 2 3 2 2 3 5" xfId="10814" xr:uid="{00000000-0005-0000-0000-0000BC800000}"/>
    <cellStyle name="Porcentaje 3 2 3 2 2 3 5 2" xfId="30529" xr:uid="{00000000-0005-0000-0000-0000BD800000}"/>
    <cellStyle name="Porcentaje 3 2 3 2 2 3 6" xfId="20672" xr:uid="{00000000-0005-0000-0000-0000BE800000}"/>
    <cellStyle name="Porcentaje 3 2 3 2 2 4" xfId="1563" xr:uid="{00000000-0005-0000-0000-0000BF800000}"/>
    <cellStyle name="Porcentaje 3 2 3 2 2 4 2" xfId="4030" xr:uid="{00000000-0005-0000-0000-0000C0800000}"/>
    <cellStyle name="Porcentaje 3 2 3 2 2 4 2 2" xfId="8962" xr:uid="{00000000-0005-0000-0000-0000C1800000}"/>
    <cellStyle name="Porcentaje 3 2 3 2 2 4 2 2 2" xfId="18822" xr:uid="{00000000-0005-0000-0000-0000C2800000}"/>
    <cellStyle name="Porcentaje 3 2 3 2 2 4 2 2 2 2" xfId="38537" xr:uid="{00000000-0005-0000-0000-0000C3800000}"/>
    <cellStyle name="Porcentaje 3 2 3 2 2 4 2 2 3" xfId="28680" xr:uid="{00000000-0005-0000-0000-0000C4800000}"/>
    <cellStyle name="Porcentaje 3 2 3 2 2 4 2 3" xfId="13894" xr:uid="{00000000-0005-0000-0000-0000C5800000}"/>
    <cellStyle name="Porcentaje 3 2 3 2 2 4 2 3 2" xfId="33609" xr:uid="{00000000-0005-0000-0000-0000C6800000}"/>
    <cellStyle name="Porcentaje 3 2 3 2 2 4 2 4" xfId="23752" xr:uid="{00000000-0005-0000-0000-0000C7800000}"/>
    <cellStyle name="Porcentaje 3 2 3 2 2 4 3" xfId="6498" xr:uid="{00000000-0005-0000-0000-0000C8800000}"/>
    <cellStyle name="Porcentaje 3 2 3 2 2 4 3 2" xfId="16358" xr:uid="{00000000-0005-0000-0000-0000C9800000}"/>
    <cellStyle name="Porcentaje 3 2 3 2 2 4 3 2 2" xfId="36073" xr:uid="{00000000-0005-0000-0000-0000CA800000}"/>
    <cellStyle name="Porcentaje 3 2 3 2 2 4 3 3" xfId="26216" xr:uid="{00000000-0005-0000-0000-0000CB800000}"/>
    <cellStyle name="Porcentaje 3 2 3 2 2 4 4" xfId="11430" xr:uid="{00000000-0005-0000-0000-0000CC800000}"/>
    <cellStyle name="Porcentaje 3 2 3 2 2 4 4 2" xfId="31145" xr:uid="{00000000-0005-0000-0000-0000CD800000}"/>
    <cellStyle name="Porcentaje 3 2 3 2 2 4 5" xfId="21288" xr:uid="{00000000-0005-0000-0000-0000CE800000}"/>
    <cellStyle name="Porcentaje 3 2 3 2 2 5" xfId="2798" xr:uid="{00000000-0005-0000-0000-0000CF800000}"/>
    <cellStyle name="Porcentaje 3 2 3 2 2 5 2" xfId="7730" xr:uid="{00000000-0005-0000-0000-0000D0800000}"/>
    <cellStyle name="Porcentaje 3 2 3 2 2 5 2 2" xfId="17590" xr:uid="{00000000-0005-0000-0000-0000D1800000}"/>
    <cellStyle name="Porcentaje 3 2 3 2 2 5 2 2 2" xfId="37305" xr:uid="{00000000-0005-0000-0000-0000D2800000}"/>
    <cellStyle name="Porcentaje 3 2 3 2 2 5 2 3" xfId="27448" xr:uid="{00000000-0005-0000-0000-0000D3800000}"/>
    <cellStyle name="Porcentaje 3 2 3 2 2 5 3" xfId="12662" xr:uid="{00000000-0005-0000-0000-0000D4800000}"/>
    <cellStyle name="Porcentaje 3 2 3 2 2 5 3 2" xfId="32377" xr:uid="{00000000-0005-0000-0000-0000D5800000}"/>
    <cellStyle name="Porcentaje 3 2 3 2 2 5 4" xfId="22520" xr:uid="{00000000-0005-0000-0000-0000D6800000}"/>
    <cellStyle name="Porcentaje 3 2 3 2 2 6" xfId="5266" xr:uid="{00000000-0005-0000-0000-0000D7800000}"/>
    <cellStyle name="Porcentaje 3 2 3 2 2 6 2" xfId="15126" xr:uid="{00000000-0005-0000-0000-0000D8800000}"/>
    <cellStyle name="Porcentaje 3 2 3 2 2 6 2 2" xfId="34841" xr:uid="{00000000-0005-0000-0000-0000D9800000}"/>
    <cellStyle name="Porcentaje 3 2 3 2 2 6 3" xfId="24984" xr:uid="{00000000-0005-0000-0000-0000DA800000}"/>
    <cellStyle name="Porcentaje 3 2 3 2 2 7" xfId="10198" xr:uid="{00000000-0005-0000-0000-0000DB800000}"/>
    <cellStyle name="Porcentaje 3 2 3 2 2 7 2" xfId="29913" xr:uid="{00000000-0005-0000-0000-0000DC800000}"/>
    <cellStyle name="Porcentaje 3 2 3 2 2 8" xfId="20056" xr:uid="{00000000-0005-0000-0000-0000DD800000}"/>
    <cellStyle name="Porcentaje 3 2 3 2 3" xfId="478" xr:uid="{00000000-0005-0000-0000-0000DE800000}"/>
    <cellStyle name="Porcentaje 3 2 3 2 3 2" xfId="1098" xr:uid="{00000000-0005-0000-0000-0000DF800000}"/>
    <cellStyle name="Porcentaje 3 2 3 2 3 2 2" xfId="2333" xr:uid="{00000000-0005-0000-0000-0000E0800000}"/>
    <cellStyle name="Porcentaje 3 2 3 2 3 2 2 2" xfId="4800" xr:uid="{00000000-0005-0000-0000-0000E1800000}"/>
    <cellStyle name="Porcentaje 3 2 3 2 3 2 2 2 2" xfId="9732" xr:uid="{00000000-0005-0000-0000-0000E2800000}"/>
    <cellStyle name="Porcentaje 3 2 3 2 3 2 2 2 2 2" xfId="19592" xr:uid="{00000000-0005-0000-0000-0000E3800000}"/>
    <cellStyle name="Porcentaje 3 2 3 2 3 2 2 2 2 2 2" xfId="39307" xr:uid="{00000000-0005-0000-0000-0000E4800000}"/>
    <cellStyle name="Porcentaje 3 2 3 2 3 2 2 2 2 3" xfId="29450" xr:uid="{00000000-0005-0000-0000-0000E5800000}"/>
    <cellStyle name="Porcentaje 3 2 3 2 3 2 2 2 3" xfId="14664" xr:uid="{00000000-0005-0000-0000-0000E6800000}"/>
    <cellStyle name="Porcentaje 3 2 3 2 3 2 2 2 3 2" xfId="34379" xr:uid="{00000000-0005-0000-0000-0000E7800000}"/>
    <cellStyle name="Porcentaje 3 2 3 2 3 2 2 2 4" xfId="24522" xr:uid="{00000000-0005-0000-0000-0000E8800000}"/>
    <cellStyle name="Porcentaje 3 2 3 2 3 2 2 3" xfId="7268" xr:uid="{00000000-0005-0000-0000-0000E9800000}"/>
    <cellStyle name="Porcentaje 3 2 3 2 3 2 2 3 2" xfId="17128" xr:uid="{00000000-0005-0000-0000-0000EA800000}"/>
    <cellStyle name="Porcentaje 3 2 3 2 3 2 2 3 2 2" xfId="36843" xr:uid="{00000000-0005-0000-0000-0000EB800000}"/>
    <cellStyle name="Porcentaje 3 2 3 2 3 2 2 3 3" xfId="26986" xr:uid="{00000000-0005-0000-0000-0000EC800000}"/>
    <cellStyle name="Porcentaje 3 2 3 2 3 2 2 4" xfId="12200" xr:uid="{00000000-0005-0000-0000-0000ED800000}"/>
    <cellStyle name="Porcentaje 3 2 3 2 3 2 2 4 2" xfId="31915" xr:uid="{00000000-0005-0000-0000-0000EE800000}"/>
    <cellStyle name="Porcentaje 3 2 3 2 3 2 2 5" xfId="22058" xr:uid="{00000000-0005-0000-0000-0000EF800000}"/>
    <cellStyle name="Porcentaje 3 2 3 2 3 2 3" xfId="3568" xr:uid="{00000000-0005-0000-0000-0000F0800000}"/>
    <cellStyle name="Porcentaje 3 2 3 2 3 2 3 2" xfId="8500" xr:uid="{00000000-0005-0000-0000-0000F1800000}"/>
    <cellStyle name="Porcentaje 3 2 3 2 3 2 3 2 2" xfId="18360" xr:uid="{00000000-0005-0000-0000-0000F2800000}"/>
    <cellStyle name="Porcentaje 3 2 3 2 3 2 3 2 2 2" xfId="38075" xr:uid="{00000000-0005-0000-0000-0000F3800000}"/>
    <cellStyle name="Porcentaje 3 2 3 2 3 2 3 2 3" xfId="28218" xr:uid="{00000000-0005-0000-0000-0000F4800000}"/>
    <cellStyle name="Porcentaje 3 2 3 2 3 2 3 3" xfId="13432" xr:uid="{00000000-0005-0000-0000-0000F5800000}"/>
    <cellStyle name="Porcentaje 3 2 3 2 3 2 3 3 2" xfId="33147" xr:uid="{00000000-0005-0000-0000-0000F6800000}"/>
    <cellStyle name="Porcentaje 3 2 3 2 3 2 3 4" xfId="23290" xr:uid="{00000000-0005-0000-0000-0000F7800000}"/>
    <cellStyle name="Porcentaje 3 2 3 2 3 2 4" xfId="6036" xr:uid="{00000000-0005-0000-0000-0000F8800000}"/>
    <cellStyle name="Porcentaje 3 2 3 2 3 2 4 2" xfId="15896" xr:uid="{00000000-0005-0000-0000-0000F9800000}"/>
    <cellStyle name="Porcentaje 3 2 3 2 3 2 4 2 2" xfId="35611" xr:uid="{00000000-0005-0000-0000-0000FA800000}"/>
    <cellStyle name="Porcentaje 3 2 3 2 3 2 4 3" xfId="25754" xr:uid="{00000000-0005-0000-0000-0000FB800000}"/>
    <cellStyle name="Porcentaje 3 2 3 2 3 2 5" xfId="10968" xr:uid="{00000000-0005-0000-0000-0000FC800000}"/>
    <cellStyle name="Porcentaje 3 2 3 2 3 2 5 2" xfId="30683" xr:uid="{00000000-0005-0000-0000-0000FD800000}"/>
    <cellStyle name="Porcentaje 3 2 3 2 3 2 6" xfId="20826" xr:uid="{00000000-0005-0000-0000-0000FE800000}"/>
    <cellStyle name="Porcentaje 3 2 3 2 3 3" xfId="1717" xr:uid="{00000000-0005-0000-0000-0000FF800000}"/>
    <cellStyle name="Porcentaje 3 2 3 2 3 3 2" xfId="4184" xr:uid="{00000000-0005-0000-0000-000000810000}"/>
    <cellStyle name="Porcentaje 3 2 3 2 3 3 2 2" xfId="9116" xr:uid="{00000000-0005-0000-0000-000001810000}"/>
    <cellStyle name="Porcentaje 3 2 3 2 3 3 2 2 2" xfId="18976" xr:uid="{00000000-0005-0000-0000-000002810000}"/>
    <cellStyle name="Porcentaje 3 2 3 2 3 3 2 2 2 2" xfId="38691" xr:uid="{00000000-0005-0000-0000-000003810000}"/>
    <cellStyle name="Porcentaje 3 2 3 2 3 3 2 2 3" xfId="28834" xr:uid="{00000000-0005-0000-0000-000004810000}"/>
    <cellStyle name="Porcentaje 3 2 3 2 3 3 2 3" xfId="14048" xr:uid="{00000000-0005-0000-0000-000005810000}"/>
    <cellStyle name="Porcentaje 3 2 3 2 3 3 2 3 2" xfId="33763" xr:uid="{00000000-0005-0000-0000-000006810000}"/>
    <cellStyle name="Porcentaje 3 2 3 2 3 3 2 4" xfId="23906" xr:uid="{00000000-0005-0000-0000-000007810000}"/>
    <cellStyle name="Porcentaje 3 2 3 2 3 3 3" xfId="6652" xr:uid="{00000000-0005-0000-0000-000008810000}"/>
    <cellStyle name="Porcentaje 3 2 3 2 3 3 3 2" xfId="16512" xr:uid="{00000000-0005-0000-0000-000009810000}"/>
    <cellStyle name="Porcentaje 3 2 3 2 3 3 3 2 2" xfId="36227" xr:uid="{00000000-0005-0000-0000-00000A810000}"/>
    <cellStyle name="Porcentaje 3 2 3 2 3 3 3 3" xfId="26370" xr:uid="{00000000-0005-0000-0000-00000B810000}"/>
    <cellStyle name="Porcentaje 3 2 3 2 3 3 4" xfId="11584" xr:uid="{00000000-0005-0000-0000-00000C810000}"/>
    <cellStyle name="Porcentaje 3 2 3 2 3 3 4 2" xfId="31299" xr:uid="{00000000-0005-0000-0000-00000D810000}"/>
    <cellStyle name="Porcentaje 3 2 3 2 3 3 5" xfId="21442" xr:uid="{00000000-0005-0000-0000-00000E810000}"/>
    <cellStyle name="Porcentaje 3 2 3 2 3 4" xfId="2952" xr:uid="{00000000-0005-0000-0000-00000F810000}"/>
    <cellStyle name="Porcentaje 3 2 3 2 3 4 2" xfId="7884" xr:uid="{00000000-0005-0000-0000-000010810000}"/>
    <cellStyle name="Porcentaje 3 2 3 2 3 4 2 2" xfId="17744" xr:uid="{00000000-0005-0000-0000-000011810000}"/>
    <cellStyle name="Porcentaje 3 2 3 2 3 4 2 2 2" xfId="37459" xr:uid="{00000000-0005-0000-0000-000012810000}"/>
    <cellStyle name="Porcentaje 3 2 3 2 3 4 2 3" xfId="27602" xr:uid="{00000000-0005-0000-0000-000013810000}"/>
    <cellStyle name="Porcentaje 3 2 3 2 3 4 3" xfId="12816" xr:uid="{00000000-0005-0000-0000-000014810000}"/>
    <cellStyle name="Porcentaje 3 2 3 2 3 4 3 2" xfId="32531" xr:uid="{00000000-0005-0000-0000-000015810000}"/>
    <cellStyle name="Porcentaje 3 2 3 2 3 4 4" xfId="22674" xr:uid="{00000000-0005-0000-0000-000016810000}"/>
    <cellStyle name="Porcentaje 3 2 3 2 3 5" xfId="5420" xr:uid="{00000000-0005-0000-0000-000017810000}"/>
    <cellStyle name="Porcentaje 3 2 3 2 3 5 2" xfId="15280" xr:uid="{00000000-0005-0000-0000-000018810000}"/>
    <cellStyle name="Porcentaje 3 2 3 2 3 5 2 2" xfId="34995" xr:uid="{00000000-0005-0000-0000-000019810000}"/>
    <cellStyle name="Porcentaje 3 2 3 2 3 5 3" xfId="25138" xr:uid="{00000000-0005-0000-0000-00001A810000}"/>
    <cellStyle name="Porcentaje 3 2 3 2 3 6" xfId="10352" xr:uid="{00000000-0005-0000-0000-00001B810000}"/>
    <cellStyle name="Porcentaje 3 2 3 2 3 6 2" xfId="30067" xr:uid="{00000000-0005-0000-0000-00001C810000}"/>
    <cellStyle name="Porcentaje 3 2 3 2 3 7" xfId="20210" xr:uid="{00000000-0005-0000-0000-00001D810000}"/>
    <cellStyle name="Porcentaje 3 2 3 2 4" xfId="791" xr:uid="{00000000-0005-0000-0000-00001E810000}"/>
    <cellStyle name="Porcentaje 3 2 3 2 4 2" xfId="2027" xr:uid="{00000000-0005-0000-0000-00001F810000}"/>
    <cellStyle name="Porcentaje 3 2 3 2 4 2 2" xfId="4494" xr:uid="{00000000-0005-0000-0000-000020810000}"/>
    <cellStyle name="Porcentaje 3 2 3 2 4 2 2 2" xfId="9426" xr:uid="{00000000-0005-0000-0000-000021810000}"/>
    <cellStyle name="Porcentaje 3 2 3 2 4 2 2 2 2" xfId="19286" xr:uid="{00000000-0005-0000-0000-000022810000}"/>
    <cellStyle name="Porcentaje 3 2 3 2 4 2 2 2 2 2" xfId="39001" xr:uid="{00000000-0005-0000-0000-000023810000}"/>
    <cellStyle name="Porcentaje 3 2 3 2 4 2 2 2 3" xfId="29144" xr:uid="{00000000-0005-0000-0000-000024810000}"/>
    <cellStyle name="Porcentaje 3 2 3 2 4 2 2 3" xfId="14358" xr:uid="{00000000-0005-0000-0000-000025810000}"/>
    <cellStyle name="Porcentaje 3 2 3 2 4 2 2 3 2" xfId="34073" xr:uid="{00000000-0005-0000-0000-000026810000}"/>
    <cellStyle name="Porcentaje 3 2 3 2 4 2 2 4" xfId="24216" xr:uid="{00000000-0005-0000-0000-000027810000}"/>
    <cellStyle name="Porcentaje 3 2 3 2 4 2 3" xfId="6962" xr:uid="{00000000-0005-0000-0000-000028810000}"/>
    <cellStyle name="Porcentaje 3 2 3 2 4 2 3 2" xfId="16822" xr:uid="{00000000-0005-0000-0000-000029810000}"/>
    <cellStyle name="Porcentaje 3 2 3 2 4 2 3 2 2" xfId="36537" xr:uid="{00000000-0005-0000-0000-00002A810000}"/>
    <cellStyle name="Porcentaje 3 2 3 2 4 2 3 3" xfId="26680" xr:uid="{00000000-0005-0000-0000-00002B810000}"/>
    <cellStyle name="Porcentaje 3 2 3 2 4 2 4" xfId="11894" xr:uid="{00000000-0005-0000-0000-00002C810000}"/>
    <cellStyle name="Porcentaje 3 2 3 2 4 2 4 2" xfId="31609" xr:uid="{00000000-0005-0000-0000-00002D810000}"/>
    <cellStyle name="Porcentaje 3 2 3 2 4 2 5" xfId="21752" xr:uid="{00000000-0005-0000-0000-00002E810000}"/>
    <cellStyle name="Porcentaje 3 2 3 2 4 3" xfId="3262" xr:uid="{00000000-0005-0000-0000-00002F810000}"/>
    <cellStyle name="Porcentaje 3 2 3 2 4 3 2" xfId="8194" xr:uid="{00000000-0005-0000-0000-000030810000}"/>
    <cellStyle name="Porcentaje 3 2 3 2 4 3 2 2" xfId="18054" xr:uid="{00000000-0005-0000-0000-000031810000}"/>
    <cellStyle name="Porcentaje 3 2 3 2 4 3 2 2 2" xfId="37769" xr:uid="{00000000-0005-0000-0000-000032810000}"/>
    <cellStyle name="Porcentaje 3 2 3 2 4 3 2 3" xfId="27912" xr:uid="{00000000-0005-0000-0000-000033810000}"/>
    <cellStyle name="Porcentaje 3 2 3 2 4 3 3" xfId="13126" xr:uid="{00000000-0005-0000-0000-000034810000}"/>
    <cellStyle name="Porcentaje 3 2 3 2 4 3 3 2" xfId="32841" xr:uid="{00000000-0005-0000-0000-000035810000}"/>
    <cellStyle name="Porcentaje 3 2 3 2 4 3 4" xfId="22984" xr:uid="{00000000-0005-0000-0000-000036810000}"/>
    <cellStyle name="Porcentaje 3 2 3 2 4 4" xfId="5730" xr:uid="{00000000-0005-0000-0000-000037810000}"/>
    <cellStyle name="Porcentaje 3 2 3 2 4 4 2" xfId="15590" xr:uid="{00000000-0005-0000-0000-000038810000}"/>
    <cellStyle name="Porcentaje 3 2 3 2 4 4 2 2" xfId="35305" xr:uid="{00000000-0005-0000-0000-000039810000}"/>
    <cellStyle name="Porcentaje 3 2 3 2 4 4 3" xfId="25448" xr:uid="{00000000-0005-0000-0000-00003A810000}"/>
    <cellStyle name="Porcentaje 3 2 3 2 4 5" xfId="10662" xr:uid="{00000000-0005-0000-0000-00003B810000}"/>
    <cellStyle name="Porcentaje 3 2 3 2 4 5 2" xfId="30377" xr:uid="{00000000-0005-0000-0000-00003C810000}"/>
    <cellStyle name="Porcentaje 3 2 3 2 4 6" xfId="20520" xr:uid="{00000000-0005-0000-0000-00003D810000}"/>
    <cellStyle name="Porcentaje 3 2 3 2 5" xfId="1411" xr:uid="{00000000-0005-0000-0000-00003E810000}"/>
    <cellStyle name="Porcentaje 3 2 3 2 5 2" xfId="3878" xr:uid="{00000000-0005-0000-0000-00003F810000}"/>
    <cellStyle name="Porcentaje 3 2 3 2 5 2 2" xfId="8810" xr:uid="{00000000-0005-0000-0000-000040810000}"/>
    <cellStyle name="Porcentaje 3 2 3 2 5 2 2 2" xfId="18670" xr:uid="{00000000-0005-0000-0000-000041810000}"/>
    <cellStyle name="Porcentaje 3 2 3 2 5 2 2 2 2" xfId="38385" xr:uid="{00000000-0005-0000-0000-000042810000}"/>
    <cellStyle name="Porcentaje 3 2 3 2 5 2 2 3" xfId="28528" xr:uid="{00000000-0005-0000-0000-000043810000}"/>
    <cellStyle name="Porcentaje 3 2 3 2 5 2 3" xfId="13742" xr:uid="{00000000-0005-0000-0000-000044810000}"/>
    <cellStyle name="Porcentaje 3 2 3 2 5 2 3 2" xfId="33457" xr:uid="{00000000-0005-0000-0000-000045810000}"/>
    <cellStyle name="Porcentaje 3 2 3 2 5 2 4" xfId="23600" xr:uid="{00000000-0005-0000-0000-000046810000}"/>
    <cellStyle name="Porcentaje 3 2 3 2 5 3" xfId="6346" xr:uid="{00000000-0005-0000-0000-000047810000}"/>
    <cellStyle name="Porcentaje 3 2 3 2 5 3 2" xfId="16206" xr:uid="{00000000-0005-0000-0000-000048810000}"/>
    <cellStyle name="Porcentaje 3 2 3 2 5 3 2 2" xfId="35921" xr:uid="{00000000-0005-0000-0000-000049810000}"/>
    <cellStyle name="Porcentaje 3 2 3 2 5 3 3" xfId="26064" xr:uid="{00000000-0005-0000-0000-00004A810000}"/>
    <cellStyle name="Porcentaje 3 2 3 2 5 4" xfId="11278" xr:uid="{00000000-0005-0000-0000-00004B810000}"/>
    <cellStyle name="Porcentaje 3 2 3 2 5 4 2" xfId="30993" xr:uid="{00000000-0005-0000-0000-00004C810000}"/>
    <cellStyle name="Porcentaje 3 2 3 2 5 5" xfId="21136" xr:uid="{00000000-0005-0000-0000-00004D810000}"/>
    <cellStyle name="Porcentaje 3 2 3 2 6" xfId="2646" xr:uid="{00000000-0005-0000-0000-00004E810000}"/>
    <cellStyle name="Porcentaje 3 2 3 2 6 2" xfId="7578" xr:uid="{00000000-0005-0000-0000-00004F810000}"/>
    <cellStyle name="Porcentaje 3 2 3 2 6 2 2" xfId="17438" xr:uid="{00000000-0005-0000-0000-000050810000}"/>
    <cellStyle name="Porcentaje 3 2 3 2 6 2 2 2" xfId="37153" xr:uid="{00000000-0005-0000-0000-000051810000}"/>
    <cellStyle name="Porcentaje 3 2 3 2 6 2 3" xfId="27296" xr:uid="{00000000-0005-0000-0000-000052810000}"/>
    <cellStyle name="Porcentaje 3 2 3 2 6 3" xfId="12510" xr:uid="{00000000-0005-0000-0000-000053810000}"/>
    <cellStyle name="Porcentaje 3 2 3 2 6 3 2" xfId="32225" xr:uid="{00000000-0005-0000-0000-000054810000}"/>
    <cellStyle name="Porcentaje 3 2 3 2 6 4" xfId="22368" xr:uid="{00000000-0005-0000-0000-000055810000}"/>
    <cellStyle name="Porcentaje 3 2 3 2 7" xfId="5114" xr:uid="{00000000-0005-0000-0000-000056810000}"/>
    <cellStyle name="Porcentaje 3 2 3 2 7 2" xfId="14974" xr:uid="{00000000-0005-0000-0000-000057810000}"/>
    <cellStyle name="Porcentaje 3 2 3 2 7 2 2" xfId="34689" xr:uid="{00000000-0005-0000-0000-000058810000}"/>
    <cellStyle name="Porcentaje 3 2 3 2 7 3" xfId="24832" xr:uid="{00000000-0005-0000-0000-000059810000}"/>
    <cellStyle name="Porcentaje 3 2 3 2 8" xfId="10046" xr:uid="{00000000-0005-0000-0000-00005A810000}"/>
    <cellStyle name="Porcentaje 3 2 3 2 8 2" xfId="29761" xr:uid="{00000000-0005-0000-0000-00005B810000}"/>
    <cellStyle name="Porcentaje 3 2 3 2 9" xfId="19904" xr:uid="{00000000-0005-0000-0000-00005C810000}"/>
    <cellStyle name="Porcentaje 3 2 3 3" xfId="240" xr:uid="{00000000-0005-0000-0000-00005D810000}"/>
    <cellStyle name="Porcentaje 3 2 3 3 2" xfId="554" xr:uid="{00000000-0005-0000-0000-00005E810000}"/>
    <cellStyle name="Porcentaje 3 2 3 3 2 2" xfId="1174" xr:uid="{00000000-0005-0000-0000-00005F810000}"/>
    <cellStyle name="Porcentaje 3 2 3 3 2 2 2" xfId="2409" xr:uid="{00000000-0005-0000-0000-000060810000}"/>
    <cellStyle name="Porcentaje 3 2 3 3 2 2 2 2" xfId="4876" xr:uid="{00000000-0005-0000-0000-000061810000}"/>
    <cellStyle name="Porcentaje 3 2 3 3 2 2 2 2 2" xfId="9808" xr:uid="{00000000-0005-0000-0000-000062810000}"/>
    <cellStyle name="Porcentaje 3 2 3 3 2 2 2 2 2 2" xfId="19668" xr:uid="{00000000-0005-0000-0000-000063810000}"/>
    <cellStyle name="Porcentaje 3 2 3 3 2 2 2 2 2 2 2" xfId="39383" xr:uid="{00000000-0005-0000-0000-000064810000}"/>
    <cellStyle name="Porcentaje 3 2 3 3 2 2 2 2 2 3" xfId="29526" xr:uid="{00000000-0005-0000-0000-000065810000}"/>
    <cellStyle name="Porcentaje 3 2 3 3 2 2 2 2 3" xfId="14740" xr:uid="{00000000-0005-0000-0000-000066810000}"/>
    <cellStyle name="Porcentaje 3 2 3 3 2 2 2 2 3 2" xfId="34455" xr:uid="{00000000-0005-0000-0000-000067810000}"/>
    <cellStyle name="Porcentaje 3 2 3 3 2 2 2 2 4" xfId="24598" xr:uid="{00000000-0005-0000-0000-000068810000}"/>
    <cellStyle name="Porcentaje 3 2 3 3 2 2 2 3" xfId="7344" xr:uid="{00000000-0005-0000-0000-000069810000}"/>
    <cellStyle name="Porcentaje 3 2 3 3 2 2 2 3 2" xfId="17204" xr:uid="{00000000-0005-0000-0000-00006A810000}"/>
    <cellStyle name="Porcentaje 3 2 3 3 2 2 2 3 2 2" xfId="36919" xr:uid="{00000000-0005-0000-0000-00006B810000}"/>
    <cellStyle name="Porcentaje 3 2 3 3 2 2 2 3 3" xfId="27062" xr:uid="{00000000-0005-0000-0000-00006C810000}"/>
    <cellStyle name="Porcentaje 3 2 3 3 2 2 2 4" xfId="12276" xr:uid="{00000000-0005-0000-0000-00006D810000}"/>
    <cellStyle name="Porcentaje 3 2 3 3 2 2 2 4 2" xfId="31991" xr:uid="{00000000-0005-0000-0000-00006E810000}"/>
    <cellStyle name="Porcentaje 3 2 3 3 2 2 2 5" xfId="22134" xr:uid="{00000000-0005-0000-0000-00006F810000}"/>
    <cellStyle name="Porcentaje 3 2 3 3 2 2 3" xfId="3644" xr:uid="{00000000-0005-0000-0000-000070810000}"/>
    <cellStyle name="Porcentaje 3 2 3 3 2 2 3 2" xfId="8576" xr:uid="{00000000-0005-0000-0000-000071810000}"/>
    <cellStyle name="Porcentaje 3 2 3 3 2 2 3 2 2" xfId="18436" xr:uid="{00000000-0005-0000-0000-000072810000}"/>
    <cellStyle name="Porcentaje 3 2 3 3 2 2 3 2 2 2" xfId="38151" xr:uid="{00000000-0005-0000-0000-000073810000}"/>
    <cellStyle name="Porcentaje 3 2 3 3 2 2 3 2 3" xfId="28294" xr:uid="{00000000-0005-0000-0000-000074810000}"/>
    <cellStyle name="Porcentaje 3 2 3 3 2 2 3 3" xfId="13508" xr:uid="{00000000-0005-0000-0000-000075810000}"/>
    <cellStyle name="Porcentaje 3 2 3 3 2 2 3 3 2" xfId="33223" xr:uid="{00000000-0005-0000-0000-000076810000}"/>
    <cellStyle name="Porcentaje 3 2 3 3 2 2 3 4" xfId="23366" xr:uid="{00000000-0005-0000-0000-000077810000}"/>
    <cellStyle name="Porcentaje 3 2 3 3 2 2 4" xfId="6112" xr:uid="{00000000-0005-0000-0000-000078810000}"/>
    <cellStyle name="Porcentaje 3 2 3 3 2 2 4 2" xfId="15972" xr:uid="{00000000-0005-0000-0000-000079810000}"/>
    <cellStyle name="Porcentaje 3 2 3 3 2 2 4 2 2" xfId="35687" xr:uid="{00000000-0005-0000-0000-00007A810000}"/>
    <cellStyle name="Porcentaje 3 2 3 3 2 2 4 3" xfId="25830" xr:uid="{00000000-0005-0000-0000-00007B810000}"/>
    <cellStyle name="Porcentaje 3 2 3 3 2 2 5" xfId="11044" xr:uid="{00000000-0005-0000-0000-00007C810000}"/>
    <cellStyle name="Porcentaje 3 2 3 3 2 2 5 2" xfId="30759" xr:uid="{00000000-0005-0000-0000-00007D810000}"/>
    <cellStyle name="Porcentaje 3 2 3 3 2 2 6" xfId="20902" xr:uid="{00000000-0005-0000-0000-00007E810000}"/>
    <cellStyle name="Porcentaje 3 2 3 3 2 3" xfId="1793" xr:uid="{00000000-0005-0000-0000-00007F810000}"/>
    <cellStyle name="Porcentaje 3 2 3 3 2 3 2" xfId="4260" xr:uid="{00000000-0005-0000-0000-000080810000}"/>
    <cellStyle name="Porcentaje 3 2 3 3 2 3 2 2" xfId="9192" xr:uid="{00000000-0005-0000-0000-000081810000}"/>
    <cellStyle name="Porcentaje 3 2 3 3 2 3 2 2 2" xfId="19052" xr:uid="{00000000-0005-0000-0000-000082810000}"/>
    <cellStyle name="Porcentaje 3 2 3 3 2 3 2 2 2 2" xfId="38767" xr:uid="{00000000-0005-0000-0000-000083810000}"/>
    <cellStyle name="Porcentaje 3 2 3 3 2 3 2 2 3" xfId="28910" xr:uid="{00000000-0005-0000-0000-000084810000}"/>
    <cellStyle name="Porcentaje 3 2 3 3 2 3 2 3" xfId="14124" xr:uid="{00000000-0005-0000-0000-000085810000}"/>
    <cellStyle name="Porcentaje 3 2 3 3 2 3 2 3 2" xfId="33839" xr:uid="{00000000-0005-0000-0000-000086810000}"/>
    <cellStyle name="Porcentaje 3 2 3 3 2 3 2 4" xfId="23982" xr:uid="{00000000-0005-0000-0000-000087810000}"/>
    <cellStyle name="Porcentaje 3 2 3 3 2 3 3" xfId="6728" xr:uid="{00000000-0005-0000-0000-000088810000}"/>
    <cellStyle name="Porcentaje 3 2 3 3 2 3 3 2" xfId="16588" xr:uid="{00000000-0005-0000-0000-000089810000}"/>
    <cellStyle name="Porcentaje 3 2 3 3 2 3 3 2 2" xfId="36303" xr:uid="{00000000-0005-0000-0000-00008A810000}"/>
    <cellStyle name="Porcentaje 3 2 3 3 2 3 3 3" xfId="26446" xr:uid="{00000000-0005-0000-0000-00008B810000}"/>
    <cellStyle name="Porcentaje 3 2 3 3 2 3 4" xfId="11660" xr:uid="{00000000-0005-0000-0000-00008C810000}"/>
    <cellStyle name="Porcentaje 3 2 3 3 2 3 4 2" xfId="31375" xr:uid="{00000000-0005-0000-0000-00008D810000}"/>
    <cellStyle name="Porcentaje 3 2 3 3 2 3 5" xfId="21518" xr:uid="{00000000-0005-0000-0000-00008E810000}"/>
    <cellStyle name="Porcentaje 3 2 3 3 2 4" xfId="3028" xr:uid="{00000000-0005-0000-0000-00008F810000}"/>
    <cellStyle name="Porcentaje 3 2 3 3 2 4 2" xfId="7960" xr:uid="{00000000-0005-0000-0000-000090810000}"/>
    <cellStyle name="Porcentaje 3 2 3 3 2 4 2 2" xfId="17820" xr:uid="{00000000-0005-0000-0000-000091810000}"/>
    <cellStyle name="Porcentaje 3 2 3 3 2 4 2 2 2" xfId="37535" xr:uid="{00000000-0005-0000-0000-000092810000}"/>
    <cellStyle name="Porcentaje 3 2 3 3 2 4 2 3" xfId="27678" xr:uid="{00000000-0005-0000-0000-000093810000}"/>
    <cellStyle name="Porcentaje 3 2 3 3 2 4 3" xfId="12892" xr:uid="{00000000-0005-0000-0000-000094810000}"/>
    <cellStyle name="Porcentaje 3 2 3 3 2 4 3 2" xfId="32607" xr:uid="{00000000-0005-0000-0000-000095810000}"/>
    <cellStyle name="Porcentaje 3 2 3 3 2 4 4" xfId="22750" xr:uid="{00000000-0005-0000-0000-000096810000}"/>
    <cellStyle name="Porcentaje 3 2 3 3 2 5" xfId="5496" xr:uid="{00000000-0005-0000-0000-000097810000}"/>
    <cellStyle name="Porcentaje 3 2 3 3 2 5 2" xfId="15356" xr:uid="{00000000-0005-0000-0000-000098810000}"/>
    <cellStyle name="Porcentaje 3 2 3 3 2 5 2 2" xfId="35071" xr:uid="{00000000-0005-0000-0000-000099810000}"/>
    <cellStyle name="Porcentaje 3 2 3 3 2 5 3" xfId="25214" xr:uid="{00000000-0005-0000-0000-00009A810000}"/>
    <cellStyle name="Porcentaje 3 2 3 3 2 6" xfId="10428" xr:uid="{00000000-0005-0000-0000-00009B810000}"/>
    <cellStyle name="Porcentaje 3 2 3 3 2 6 2" xfId="30143" xr:uid="{00000000-0005-0000-0000-00009C810000}"/>
    <cellStyle name="Porcentaje 3 2 3 3 2 7" xfId="20286" xr:uid="{00000000-0005-0000-0000-00009D810000}"/>
    <cellStyle name="Porcentaje 3 2 3 3 3" xfId="867" xr:uid="{00000000-0005-0000-0000-00009E810000}"/>
    <cellStyle name="Porcentaje 3 2 3 3 3 2" xfId="2103" xr:uid="{00000000-0005-0000-0000-00009F810000}"/>
    <cellStyle name="Porcentaje 3 2 3 3 3 2 2" xfId="4570" xr:uid="{00000000-0005-0000-0000-0000A0810000}"/>
    <cellStyle name="Porcentaje 3 2 3 3 3 2 2 2" xfId="9502" xr:uid="{00000000-0005-0000-0000-0000A1810000}"/>
    <cellStyle name="Porcentaje 3 2 3 3 3 2 2 2 2" xfId="19362" xr:uid="{00000000-0005-0000-0000-0000A2810000}"/>
    <cellStyle name="Porcentaje 3 2 3 3 3 2 2 2 2 2" xfId="39077" xr:uid="{00000000-0005-0000-0000-0000A3810000}"/>
    <cellStyle name="Porcentaje 3 2 3 3 3 2 2 2 3" xfId="29220" xr:uid="{00000000-0005-0000-0000-0000A4810000}"/>
    <cellStyle name="Porcentaje 3 2 3 3 3 2 2 3" xfId="14434" xr:uid="{00000000-0005-0000-0000-0000A5810000}"/>
    <cellStyle name="Porcentaje 3 2 3 3 3 2 2 3 2" xfId="34149" xr:uid="{00000000-0005-0000-0000-0000A6810000}"/>
    <cellStyle name="Porcentaje 3 2 3 3 3 2 2 4" xfId="24292" xr:uid="{00000000-0005-0000-0000-0000A7810000}"/>
    <cellStyle name="Porcentaje 3 2 3 3 3 2 3" xfId="7038" xr:uid="{00000000-0005-0000-0000-0000A8810000}"/>
    <cellStyle name="Porcentaje 3 2 3 3 3 2 3 2" xfId="16898" xr:uid="{00000000-0005-0000-0000-0000A9810000}"/>
    <cellStyle name="Porcentaje 3 2 3 3 3 2 3 2 2" xfId="36613" xr:uid="{00000000-0005-0000-0000-0000AA810000}"/>
    <cellStyle name="Porcentaje 3 2 3 3 3 2 3 3" xfId="26756" xr:uid="{00000000-0005-0000-0000-0000AB810000}"/>
    <cellStyle name="Porcentaje 3 2 3 3 3 2 4" xfId="11970" xr:uid="{00000000-0005-0000-0000-0000AC810000}"/>
    <cellStyle name="Porcentaje 3 2 3 3 3 2 4 2" xfId="31685" xr:uid="{00000000-0005-0000-0000-0000AD810000}"/>
    <cellStyle name="Porcentaje 3 2 3 3 3 2 5" xfId="21828" xr:uid="{00000000-0005-0000-0000-0000AE810000}"/>
    <cellStyle name="Porcentaje 3 2 3 3 3 3" xfId="3338" xr:uid="{00000000-0005-0000-0000-0000AF810000}"/>
    <cellStyle name="Porcentaje 3 2 3 3 3 3 2" xfId="8270" xr:uid="{00000000-0005-0000-0000-0000B0810000}"/>
    <cellStyle name="Porcentaje 3 2 3 3 3 3 2 2" xfId="18130" xr:uid="{00000000-0005-0000-0000-0000B1810000}"/>
    <cellStyle name="Porcentaje 3 2 3 3 3 3 2 2 2" xfId="37845" xr:uid="{00000000-0005-0000-0000-0000B2810000}"/>
    <cellStyle name="Porcentaje 3 2 3 3 3 3 2 3" xfId="27988" xr:uid="{00000000-0005-0000-0000-0000B3810000}"/>
    <cellStyle name="Porcentaje 3 2 3 3 3 3 3" xfId="13202" xr:uid="{00000000-0005-0000-0000-0000B4810000}"/>
    <cellStyle name="Porcentaje 3 2 3 3 3 3 3 2" xfId="32917" xr:uid="{00000000-0005-0000-0000-0000B5810000}"/>
    <cellStyle name="Porcentaje 3 2 3 3 3 3 4" xfId="23060" xr:uid="{00000000-0005-0000-0000-0000B6810000}"/>
    <cellStyle name="Porcentaje 3 2 3 3 3 4" xfId="5806" xr:uid="{00000000-0005-0000-0000-0000B7810000}"/>
    <cellStyle name="Porcentaje 3 2 3 3 3 4 2" xfId="15666" xr:uid="{00000000-0005-0000-0000-0000B8810000}"/>
    <cellStyle name="Porcentaje 3 2 3 3 3 4 2 2" xfId="35381" xr:uid="{00000000-0005-0000-0000-0000B9810000}"/>
    <cellStyle name="Porcentaje 3 2 3 3 3 4 3" xfId="25524" xr:uid="{00000000-0005-0000-0000-0000BA810000}"/>
    <cellStyle name="Porcentaje 3 2 3 3 3 5" xfId="10738" xr:uid="{00000000-0005-0000-0000-0000BB810000}"/>
    <cellStyle name="Porcentaje 3 2 3 3 3 5 2" xfId="30453" xr:uid="{00000000-0005-0000-0000-0000BC810000}"/>
    <cellStyle name="Porcentaje 3 2 3 3 3 6" xfId="20596" xr:uid="{00000000-0005-0000-0000-0000BD810000}"/>
    <cellStyle name="Porcentaje 3 2 3 3 4" xfId="1487" xr:uid="{00000000-0005-0000-0000-0000BE810000}"/>
    <cellStyle name="Porcentaje 3 2 3 3 4 2" xfId="3954" xr:uid="{00000000-0005-0000-0000-0000BF810000}"/>
    <cellStyle name="Porcentaje 3 2 3 3 4 2 2" xfId="8886" xr:uid="{00000000-0005-0000-0000-0000C0810000}"/>
    <cellStyle name="Porcentaje 3 2 3 3 4 2 2 2" xfId="18746" xr:uid="{00000000-0005-0000-0000-0000C1810000}"/>
    <cellStyle name="Porcentaje 3 2 3 3 4 2 2 2 2" xfId="38461" xr:uid="{00000000-0005-0000-0000-0000C2810000}"/>
    <cellStyle name="Porcentaje 3 2 3 3 4 2 2 3" xfId="28604" xr:uid="{00000000-0005-0000-0000-0000C3810000}"/>
    <cellStyle name="Porcentaje 3 2 3 3 4 2 3" xfId="13818" xr:uid="{00000000-0005-0000-0000-0000C4810000}"/>
    <cellStyle name="Porcentaje 3 2 3 3 4 2 3 2" xfId="33533" xr:uid="{00000000-0005-0000-0000-0000C5810000}"/>
    <cellStyle name="Porcentaje 3 2 3 3 4 2 4" xfId="23676" xr:uid="{00000000-0005-0000-0000-0000C6810000}"/>
    <cellStyle name="Porcentaje 3 2 3 3 4 3" xfId="6422" xr:uid="{00000000-0005-0000-0000-0000C7810000}"/>
    <cellStyle name="Porcentaje 3 2 3 3 4 3 2" xfId="16282" xr:uid="{00000000-0005-0000-0000-0000C8810000}"/>
    <cellStyle name="Porcentaje 3 2 3 3 4 3 2 2" xfId="35997" xr:uid="{00000000-0005-0000-0000-0000C9810000}"/>
    <cellStyle name="Porcentaje 3 2 3 3 4 3 3" xfId="26140" xr:uid="{00000000-0005-0000-0000-0000CA810000}"/>
    <cellStyle name="Porcentaje 3 2 3 3 4 4" xfId="11354" xr:uid="{00000000-0005-0000-0000-0000CB810000}"/>
    <cellStyle name="Porcentaje 3 2 3 3 4 4 2" xfId="31069" xr:uid="{00000000-0005-0000-0000-0000CC810000}"/>
    <cellStyle name="Porcentaje 3 2 3 3 4 5" xfId="21212" xr:uid="{00000000-0005-0000-0000-0000CD810000}"/>
    <cellStyle name="Porcentaje 3 2 3 3 5" xfId="2722" xr:uid="{00000000-0005-0000-0000-0000CE810000}"/>
    <cellStyle name="Porcentaje 3 2 3 3 5 2" xfId="7654" xr:uid="{00000000-0005-0000-0000-0000CF810000}"/>
    <cellStyle name="Porcentaje 3 2 3 3 5 2 2" xfId="17514" xr:uid="{00000000-0005-0000-0000-0000D0810000}"/>
    <cellStyle name="Porcentaje 3 2 3 3 5 2 2 2" xfId="37229" xr:uid="{00000000-0005-0000-0000-0000D1810000}"/>
    <cellStyle name="Porcentaje 3 2 3 3 5 2 3" xfId="27372" xr:uid="{00000000-0005-0000-0000-0000D2810000}"/>
    <cellStyle name="Porcentaje 3 2 3 3 5 3" xfId="12586" xr:uid="{00000000-0005-0000-0000-0000D3810000}"/>
    <cellStyle name="Porcentaje 3 2 3 3 5 3 2" xfId="32301" xr:uid="{00000000-0005-0000-0000-0000D4810000}"/>
    <cellStyle name="Porcentaje 3 2 3 3 5 4" xfId="22444" xr:uid="{00000000-0005-0000-0000-0000D5810000}"/>
    <cellStyle name="Porcentaje 3 2 3 3 6" xfId="5190" xr:uid="{00000000-0005-0000-0000-0000D6810000}"/>
    <cellStyle name="Porcentaje 3 2 3 3 6 2" xfId="15050" xr:uid="{00000000-0005-0000-0000-0000D7810000}"/>
    <cellStyle name="Porcentaje 3 2 3 3 6 2 2" xfId="34765" xr:uid="{00000000-0005-0000-0000-0000D8810000}"/>
    <cellStyle name="Porcentaje 3 2 3 3 6 3" xfId="24908" xr:uid="{00000000-0005-0000-0000-0000D9810000}"/>
    <cellStyle name="Porcentaje 3 2 3 3 7" xfId="10122" xr:uid="{00000000-0005-0000-0000-0000DA810000}"/>
    <cellStyle name="Porcentaje 3 2 3 3 7 2" xfId="29837" xr:uid="{00000000-0005-0000-0000-0000DB810000}"/>
    <cellStyle name="Porcentaje 3 2 3 3 8" xfId="19980" xr:uid="{00000000-0005-0000-0000-0000DC810000}"/>
    <cellStyle name="Porcentaje 3 2 3 4" xfId="402" xr:uid="{00000000-0005-0000-0000-0000DD810000}"/>
    <cellStyle name="Porcentaje 3 2 3 4 2" xfId="1022" xr:uid="{00000000-0005-0000-0000-0000DE810000}"/>
    <cellStyle name="Porcentaje 3 2 3 4 2 2" xfId="2257" xr:uid="{00000000-0005-0000-0000-0000DF810000}"/>
    <cellStyle name="Porcentaje 3 2 3 4 2 2 2" xfId="4724" xr:uid="{00000000-0005-0000-0000-0000E0810000}"/>
    <cellStyle name="Porcentaje 3 2 3 4 2 2 2 2" xfId="9656" xr:uid="{00000000-0005-0000-0000-0000E1810000}"/>
    <cellStyle name="Porcentaje 3 2 3 4 2 2 2 2 2" xfId="19516" xr:uid="{00000000-0005-0000-0000-0000E2810000}"/>
    <cellStyle name="Porcentaje 3 2 3 4 2 2 2 2 2 2" xfId="39231" xr:uid="{00000000-0005-0000-0000-0000E3810000}"/>
    <cellStyle name="Porcentaje 3 2 3 4 2 2 2 2 3" xfId="29374" xr:uid="{00000000-0005-0000-0000-0000E4810000}"/>
    <cellStyle name="Porcentaje 3 2 3 4 2 2 2 3" xfId="14588" xr:uid="{00000000-0005-0000-0000-0000E5810000}"/>
    <cellStyle name="Porcentaje 3 2 3 4 2 2 2 3 2" xfId="34303" xr:uid="{00000000-0005-0000-0000-0000E6810000}"/>
    <cellStyle name="Porcentaje 3 2 3 4 2 2 2 4" xfId="24446" xr:uid="{00000000-0005-0000-0000-0000E7810000}"/>
    <cellStyle name="Porcentaje 3 2 3 4 2 2 3" xfId="7192" xr:uid="{00000000-0005-0000-0000-0000E8810000}"/>
    <cellStyle name="Porcentaje 3 2 3 4 2 2 3 2" xfId="17052" xr:uid="{00000000-0005-0000-0000-0000E9810000}"/>
    <cellStyle name="Porcentaje 3 2 3 4 2 2 3 2 2" xfId="36767" xr:uid="{00000000-0005-0000-0000-0000EA810000}"/>
    <cellStyle name="Porcentaje 3 2 3 4 2 2 3 3" xfId="26910" xr:uid="{00000000-0005-0000-0000-0000EB810000}"/>
    <cellStyle name="Porcentaje 3 2 3 4 2 2 4" xfId="12124" xr:uid="{00000000-0005-0000-0000-0000EC810000}"/>
    <cellStyle name="Porcentaje 3 2 3 4 2 2 4 2" xfId="31839" xr:uid="{00000000-0005-0000-0000-0000ED810000}"/>
    <cellStyle name="Porcentaje 3 2 3 4 2 2 5" xfId="21982" xr:uid="{00000000-0005-0000-0000-0000EE810000}"/>
    <cellStyle name="Porcentaje 3 2 3 4 2 3" xfId="3492" xr:uid="{00000000-0005-0000-0000-0000EF810000}"/>
    <cellStyle name="Porcentaje 3 2 3 4 2 3 2" xfId="8424" xr:uid="{00000000-0005-0000-0000-0000F0810000}"/>
    <cellStyle name="Porcentaje 3 2 3 4 2 3 2 2" xfId="18284" xr:uid="{00000000-0005-0000-0000-0000F1810000}"/>
    <cellStyle name="Porcentaje 3 2 3 4 2 3 2 2 2" xfId="37999" xr:uid="{00000000-0005-0000-0000-0000F2810000}"/>
    <cellStyle name="Porcentaje 3 2 3 4 2 3 2 3" xfId="28142" xr:uid="{00000000-0005-0000-0000-0000F3810000}"/>
    <cellStyle name="Porcentaje 3 2 3 4 2 3 3" xfId="13356" xr:uid="{00000000-0005-0000-0000-0000F4810000}"/>
    <cellStyle name="Porcentaje 3 2 3 4 2 3 3 2" xfId="33071" xr:uid="{00000000-0005-0000-0000-0000F5810000}"/>
    <cellStyle name="Porcentaje 3 2 3 4 2 3 4" xfId="23214" xr:uid="{00000000-0005-0000-0000-0000F6810000}"/>
    <cellStyle name="Porcentaje 3 2 3 4 2 4" xfId="5960" xr:uid="{00000000-0005-0000-0000-0000F7810000}"/>
    <cellStyle name="Porcentaje 3 2 3 4 2 4 2" xfId="15820" xr:uid="{00000000-0005-0000-0000-0000F8810000}"/>
    <cellStyle name="Porcentaje 3 2 3 4 2 4 2 2" xfId="35535" xr:uid="{00000000-0005-0000-0000-0000F9810000}"/>
    <cellStyle name="Porcentaje 3 2 3 4 2 4 3" xfId="25678" xr:uid="{00000000-0005-0000-0000-0000FA810000}"/>
    <cellStyle name="Porcentaje 3 2 3 4 2 5" xfId="10892" xr:uid="{00000000-0005-0000-0000-0000FB810000}"/>
    <cellStyle name="Porcentaje 3 2 3 4 2 5 2" xfId="30607" xr:uid="{00000000-0005-0000-0000-0000FC810000}"/>
    <cellStyle name="Porcentaje 3 2 3 4 2 6" xfId="20750" xr:uid="{00000000-0005-0000-0000-0000FD810000}"/>
    <cellStyle name="Porcentaje 3 2 3 4 3" xfId="1641" xr:uid="{00000000-0005-0000-0000-0000FE810000}"/>
    <cellStyle name="Porcentaje 3 2 3 4 3 2" xfId="4108" xr:uid="{00000000-0005-0000-0000-0000FF810000}"/>
    <cellStyle name="Porcentaje 3 2 3 4 3 2 2" xfId="9040" xr:uid="{00000000-0005-0000-0000-000000820000}"/>
    <cellStyle name="Porcentaje 3 2 3 4 3 2 2 2" xfId="18900" xr:uid="{00000000-0005-0000-0000-000001820000}"/>
    <cellStyle name="Porcentaje 3 2 3 4 3 2 2 2 2" xfId="38615" xr:uid="{00000000-0005-0000-0000-000002820000}"/>
    <cellStyle name="Porcentaje 3 2 3 4 3 2 2 3" xfId="28758" xr:uid="{00000000-0005-0000-0000-000003820000}"/>
    <cellStyle name="Porcentaje 3 2 3 4 3 2 3" xfId="13972" xr:uid="{00000000-0005-0000-0000-000004820000}"/>
    <cellStyle name="Porcentaje 3 2 3 4 3 2 3 2" xfId="33687" xr:uid="{00000000-0005-0000-0000-000005820000}"/>
    <cellStyle name="Porcentaje 3 2 3 4 3 2 4" xfId="23830" xr:uid="{00000000-0005-0000-0000-000006820000}"/>
    <cellStyle name="Porcentaje 3 2 3 4 3 3" xfId="6576" xr:uid="{00000000-0005-0000-0000-000007820000}"/>
    <cellStyle name="Porcentaje 3 2 3 4 3 3 2" xfId="16436" xr:uid="{00000000-0005-0000-0000-000008820000}"/>
    <cellStyle name="Porcentaje 3 2 3 4 3 3 2 2" xfId="36151" xr:uid="{00000000-0005-0000-0000-000009820000}"/>
    <cellStyle name="Porcentaje 3 2 3 4 3 3 3" xfId="26294" xr:uid="{00000000-0005-0000-0000-00000A820000}"/>
    <cellStyle name="Porcentaje 3 2 3 4 3 4" xfId="11508" xr:uid="{00000000-0005-0000-0000-00000B820000}"/>
    <cellStyle name="Porcentaje 3 2 3 4 3 4 2" xfId="31223" xr:uid="{00000000-0005-0000-0000-00000C820000}"/>
    <cellStyle name="Porcentaje 3 2 3 4 3 5" xfId="21366" xr:uid="{00000000-0005-0000-0000-00000D820000}"/>
    <cellStyle name="Porcentaje 3 2 3 4 4" xfId="2876" xr:uid="{00000000-0005-0000-0000-00000E820000}"/>
    <cellStyle name="Porcentaje 3 2 3 4 4 2" xfId="7808" xr:uid="{00000000-0005-0000-0000-00000F820000}"/>
    <cellStyle name="Porcentaje 3 2 3 4 4 2 2" xfId="17668" xr:uid="{00000000-0005-0000-0000-000010820000}"/>
    <cellStyle name="Porcentaje 3 2 3 4 4 2 2 2" xfId="37383" xr:uid="{00000000-0005-0000-0000-000011820000}"/>
    <cellStyle name="Porcentaje 3 2 3 4 4 2 3" xfId="27526" xr:uid="{00000000-0005-0000-0000-000012820000}"/>
    <cellStyle name="Porcentaje 3 2 3 4 4 3" xfId="12740" xr:uid="{00000000-0005-0000-0000-000013820000}"/>
    <cellStyle name="Porcentaje 3 2 3 4 4 3 2" xfId="32455" xr:uid="{00000000-0005-0000-0000-000014820000}"/>
    <cellStyle name="Porcentaje 3 2 3 4 4 4" xfId="22598" xr:uid="{00000000-0005-0000-0000-000015820000}"/>
    <cellStyle name="Porcentaje 3 2 3 4 5" xfId="5344" xr:uid="{00000000-0005-0000-0000-000016820000}"/>
    <cellStyle name="Porcentaje 3 2 3 4 5 2" xfId="15204" xr:uid="{00000000-0005-0000-0000-000017820000}"/>
    <cellStyle name="Porcentaje 3 2 3 4 5 2 2" xfId="34919" xr:uid="{00000000-0005-0000-0000-000018820000}"/>
    <cellStyle name="Porcentaje 3 2 3 4 5 3" xfId="25062" xr:uid="{00000000-0005-0000-0000-000019820000}"/>
    <cellStyle name="Porcentaje 3 2 3 4 6" xfId="10276" xr:uid="{00000000-0005-0000-0000-00001A820000}"/>
    <cellStyle name="Porcentaje 3 2 3 4 6 2" xfId="29991" xr:uid="{00000000-0005-0000-0000-00001B820000}"/>
    <cellStyle name="Porcentaje 3 2 3 4 7" xfId="20134" xr:uid="{00000000-0005-0000-0000-00001C820000}"/>
    <cellStyle name="Porcentaje 3 2 3 5" xfId="715" xr:uid="{00000000-0005-0000-0000-00001D820000}"/>
    <cellStyle name="Porcentaje 3 2 3 5 2" xfId="1951" xr:uid="{00000000-0005-0000-0000-00001E820000}"/>
    <cellStyle name="Porcentaje 3 2 3 5 2 2" xfId="4418" xr:uid="{00000000-0005-0000-0000-00001F820000}"/>
    <cellStyle name="Porcentaje 3 2 3 5 2 2 2" xfId="9350" xr:uid="{00000000-0005-0000-0000-000020820000}"/>
    <cellStyle name="Porcentaje 3 2 3 5 2 2 2 2" xfId="19210" xr:uid="{00000000-0005-0000-0000-000021820000}"/>
    <cellStyle name="Porcentaje 3 2 3 5 2 2 2 2 2" xfId="38925" xr:uid="{00000000-0005-0000-0000-000022820000}"/>
    <cellStyle name="Porcentaje 3 2 3 5 2 2 2 3" xfId="29068" xr:uid="{00000000-0005-0000-0000-000023820000}"/>
    <cellStyle name="Porcentaje 3 2 3 5 2 2 3" xfId="14282" xr:uid="{00000000-0005-0000-0000-000024820000}"/>
    <cellStyle name="Porcentaje 3 2 3 5 2 2 3 2" xfId="33997" xr:uid="{00000000-0005-0000-0000-000025820000}"/>
    <cellStyle name="Porcentaje 3 2 3 5 2 2 4" xfId="24140" xr:uid="{00000000-0005-0000-0000-000026820000}"/>
    <cellStyle name="Porcentaje 3 2 3 5 2 3" xfId="6886" xr:uid="{00000000-0005-0000-0000-000027820000}"/>
    <cellStyle name="Porcentaje 3 2 3 5 2 3 2" xfId="16746" xr:uid="{00000000-0005-0000-0000-000028820000}"/>
    <cellStyle name="Porcentaje 3 2 3 5 2 3 2 2" xfId="36461" xr:uid="{00000000-0005-0000-0000-000029820000}"/>
    <cellStyle name="Porcentaje 3 2 3 5 2 3 3" xfId="26604" xr:uid="{00000000-0005-0000-0000-00002A820000}"/>
    <cellStyle name="Porcentaje 3 2 3 5 2 4" xfId="11818" xr:uid="{00000000-0005-0000-0000-00002B820000}"/>
    <cellStyle name="Porcentaje 3 2 3 5 2 4 2" xfId="31533" xr:uid="{00000000-0005-0000-0000-00002C820000}"/>
    <cellStyle name="Porcentaje 3 2 3 5 2 5" xfId="21676" xr:uid="{00000000-0005-0000-0000-00002D820000}"/>
    <cellStyle name="Porcentaje 3 2 3 5 3" xfId="3186" xr:uid="{00000000-0005-0000-0000-00002E820000}"/>
    <cellStyle name="Porcentaje 3 2 3 5 3 2" xfId="8118" xr:uid="{00000000-0005-0000-0000-00002F820000}"/>
    <cellStyle name="Porcentaje 3 2 3 5 3 2 2" xfId="17978" xr:uid="{00000000-0005-0000-0000-000030820000}"/>
    <cellStyle name="Porcentaje 3 2 3 5 3 2 2 2" xfId="37693" xr:uid="{00000000-0005-0000-0000-000031820000}"/>
    <cellStyle name="Porcentaje 3 2 3 5 3 2 3" xfId="27836" xr:uid="{00000000-0005-0000-0000-000032820000}"/>
    <cellStyle name="Porcentaje 3 2 3 5 3 3" xfId="13050" xr:uid="{00000000-0005-0000-0000-000033820000}"/>
    <cellStyle name="Porcentaje 3 2 3 5 3 3 2" xfId="32765" xr:uid="{00000000-0005-0000-0000-000034820000}"/>
    <cellStyle name="Porcentaje 3 2 3 5 3 4" xfId="22908" xr:uid="{00000000-0005-0000-0000-000035820000}"/>
    <cellStyle name="Porcentaje 3 2 3 5 4" xfId="5654" xr:uid="{00000000-0005-0000-0000-000036820000}"/>
    <cellStyle name="Porcentaje 3 2 3 5 4 2" xfId="15514" xr:uid="{00000000-0005-0000-0000-000037820000}"/>
    <cellStyle name="Porcentaje 3 2 3 5 4 2 2" xfId="35229" xr:uid="{00000000-0005-0000-0000-000038820000}"/>
    <cellStyle name="Porcentaje 3 2 3 5 4 3" xfId="25372" xr:uid="{00000000-0005-0000-0000-000039820000}"/>
    <cellStyle name="Porcentaje 3 2 3 5 5" xfId="10586" xr:uid="{00000000-0005-0000-0000-00003A820000}"/>
    <cellStyle name="Porcentaje 3 2 3 5 5 2" xfId="30301" xr:uid="{00000000-0005-0000-0000-00003B820000}"/>
    <cellStyle name="Porcentaje 3 2 3 5 6" xfId="20444" xr:uid="{00000000-0005-0000-0000-00003C820000}"/>
    <cellStyle name="Porcentaje 3 2 3 6" xfId="1335" xr:uid="{00000000-0005-0000-0000-00003D820000}"/>
    <cellStyle name="Porcentaje 3 2 3 6 2" xfId="3802" xr:uid="{00000000-0005-0000-0000-00003E820000}"/>
    <cellStyle name="Porcentaje 3 2 3 6 2 2" xfId="8734" xr:uid="{00000000-0005-0000-0000-00003F820000}"/>
    <cellStyle name="Porcentaje 3 2 3 6 2 2 2" xfId="18594" xr:uid="{00000000-0005-0000-0000-000040820000}"/>
    <cellStyle name="Porcentaje 3 2 3 6 2 2 2 2" xfId="38309" xr:uid="{00000000-0005-0000-0000-000041820000}"/>
    <cellStyle name="Porcentaje 3 2 3 6 2 2 3" xfId="28452" xr:uid="{00000000-0005-0000-0000-000042820000}"/>
    <cellStyle name="Porcentaje 3 2 3 6 2 3" xfId="13666" xr:uid="{00000000-0005-0000-0000-000043820000}"/>
    <cellStyle name="Porcentaje 3 2 3 6 2 3 2" xfId="33381" xr:uid="{00000000-0005-0000-0000-000044820000}"/>
    <cellStyle name="Porcentaje 3 2 3 6 2 4" xfId="23524" xr:uid="{00000000-0005-0000-0000-000045820000}"/>
    <cellStyle name="Porcentaje 3 2 3 6 3" xfId="6270" xr:uid="{00000000-0005-0000-0000-000046820000}"/>
    <cellStyle name="Porcentaje 3 2 3 6 3 2" xfId="16130" xr:uid="{00000000-0005-0000-0000-000047820000}"/>
    <cellStyle name="Porcentaje 3 2 3 6 3 2 2" xfId="35845" xr:uid="{00000000-0005-0000-0000-000048820000}"/>
    <cellStyle name="Porcentaje 3 2 3 6 3 3" xfId="25988" xr:uid="{00000000-0005-0000-0000-000049820000}"/>
    <cellStyle name="Porcentaje 3 2 3 6 4" xfId="11202" xr:uid="{00000000-0005-0000-0000-00004A820000}"/>
    <cellStyle name="Porcentaje 3 2 3 6 4 2" xfId="30917" xr:uid="{00000000-0005-0000-0000-00004B820000}"/>
    <cellStyle name="Porcentaje 3 2 3 6 5" xfId="21060" xr:uid="{00000000-0005-0000-0000-00004C820000}"/>
    <cellStyle name="Porcentaje 3 2 3 7" xfId="2570" xr:uid="{00000000-0005-0000-0000-00004D820000}"/>
    <cellStyle name="Porcentaje 3 2 3 7 2" xfId="7502" xr:uid="{00000000-0005-0000-0000-00004E820000}"/>
    <cellStyle name="Porcentaje 3 2 3 7 2 2" xfId="17362" xr:uid="{00000000-0005-0000-0000-00004F820000}"/>
    <cellStyle name="Porcentaje 3 2 3 7 2 2 2" xfId="37077" xr:uid="{00000000-0005-0000-0000-000050820000}"/>
    <cellStyle name="Porcentaje 3 2 3 7 2 3" xfId="27220" xr:uid="{00000000-0005-0000-0000-000051820000}"/>
    <cellStyle name="Porcentaje 3 2 3 7 3" xfId="12434" xr:uid="{00000000-0005-0000-0000-000052820000}"/>
    <cellStyle name="Porcentaje 3 2 3 7 3 2" xfId="32149" xr:uid="{00000000-0005-0000-0000-000053820000}"/>
    <cellStyle name="Porcentaje 3 2 3 7 4" xfId="22292" xr:uid="{00000000-0005-0000-0000-000054820000}"/>
    <cellStyle name="Porcentaje 3 2 3 8" xfId="5038" xr:uid="{00000000-0005-0000-0000-000055820000}"/>
    <cellStyle name="Porcentaje 3 2 3 8 2" xfId="14898" xr:uid="{00000000-0005-0000-0000-000056820000}"/>
    <cellStyle name="Porcentaje 3 2 3 8 2 2" xfId="34613" xr:uid="{00000000-0005-0000-0000-000057820000}"/>
    <cellStyle name="Porcentaje 3 2 3 8 3" xfId="24756" xr:uid="{00000000-0005-0000-0000-000058820000}"/>
    <cellStyle name="Porcentaje 3 2 3 9" xfId="9970" xr:uid="{00000000-0005-0000-0000-000059820000}"/>
    <cellStyle name="Porcentaje 3 2 3 9 2" xfId="29685" xr:uid="{00000000-0005-0000-0000-00005A820000}"/>
    <cellStyle name="Porcentaje 3 2 4" xfId="121" xr:uid="{00000000-0005-0000-0000-00005B820000}"/>
    <cellStyle name="Porcentaje 3 2 4 2" xfId="278" xr:uid="{00000000-0005-0000-0000-00005C820000}"/>
    <cellStyle name="Porcentaje 3 2 4 2 2" xfId="592" xr:uid="{00000000-0005-0000-0000-00005D820000}"/>
    <cellStyle name="Porcentaje 3 2 4 2 2 2" xfId="1212" xr:uid="{00000000-0005-0000-0000-00005E820000}"/>
    <cellStyle name="Porcentaje 3 2 4 2 2 2 2" xfId="2447" xr:uid="{00000000-0005-0000-0000-00005F820000}"/>
    <cellStyle name="Porcentaje 3 2 4 2 2 2 2 2" xfId="4914" xr:uid="{00000000-0005-0000-0000-000060820000}"/>
    <cellStyle name="Porcentaje 3 2 4 2 2 2 2 2 2" xfId="9846" xr:uid="{00000000-0005-0000-0000-000061820000}"/>
    <cellStyle name="Porcentaje 3 2 4 2 2 2 2 2 2 2" xfId="19706" xr:uid="{00000000-0005-0000-0000-000062820000}"/>
    <cellStyle name="Porcentaje 3 2 4 2 2 2 2 2 2 2 2" xfId="39421" xr:uid="{00000000-0005-0000-0000-000063820000}"/>
    <cellStyle name="Porcentaje 3 2 4 2 2 2 2 2 2 3" xfId="29564" xr:uid="{00000000-0005-0000-0000-000064820000}"/>
    <cellStyle name="Porcentaje 3 2 4 2 2 2 2 2 3" xfId="14778" xr:uid="{00000000-0005-0000-0000-000065820000}"/>
    <cellStyle name="Porcentaje 3 2 4 2 2 2 2 2 3 2" xfId="34493" xr:uid="{00000000-0005-0000-0000-000066820000}"/>
    <cellStyle name="Porcentaje 3 2 4 2 2 2 2 2 4" xfId="24636" xr:uid="{00000000-0005-0000-0000-000067820000}"/>
    <cellStyle name="Porcentaje 3 2 4 2 2 2 2 3" xfId="7382" xr:uid="{00000000-0005-0000-0000-000068820000}"/>
    <cellStyle name="Porcentaje 3 2 4 2 2 2 2 3 2" xfId="17242" xr:uid="{00000000-0005-0000-0000-000069820000}"/>
    <cellStyle name="Porcentaje 3 2 4 2 2 2 2 3 2 2" xfId="36957" xr:uid="{00000000-0005-0000-0000-00006A820000}"/>
    <cellStyle name="Porcentaje 3 2 4 2 2 2 2 3 3" xfId="27100" xr:uid="{00000000-0005-0000-0000-00006B820000}"/>
    <cellStyle name="Porcentaje 3 2 4 2 2 2 2 4" xfId="12314" xr:uid="{00000000-0005-0000-0000-00006C820000}"/>
    <cellStyle name="Porcentaje 3 2 4 2 2 2 2 4 2" xfId="32029" xr:uid="{00000000-0005-0000-0000-00006D820000}"/>
    <cellStyle name="Porcentaje 3 2 4 2 2 2 2 5" xfId="22172" xr:uid="{00000000-0005-0000-0000-00006E820000}"/>
    <cellStyle name="Porcentaje 3 2 4 2 2 2 3" xfId="3682" xr:uid="{00000000-0005-0000-0000-00006F820000}"/>
    <cellStyle name="Porcentaje 3 2 4 2 2 2 3 2" xfId="8614" xr:uid="{00000000-0005-0000-0000-000070820000}"/>
    <cellStyle name="Porcentaje 3 2 4 2 2 2 3 2 2" xfId="18474" xr:uid="{00000000-0005-0000-0000-000071820000}"/>
    <cellStyle name="Porcentaje 3 2 4 2 2 2 3 2 2 2" xfId="38189" xr:uid="{00000000-0005-0000-0000-000072820000}"/>
    <cellStyle name="Porcentaje 3 2 4 2 2 2 3 2 3" xfId="28332" xr:uid="{00000000-0005-0000-0000-000073820000}"/>
    <cellStyle name="Porcentaje 3 2 4 2 2 2 3 3" xfId="13546" xr:uid="{00000000-0005-0000-0000-000074820000}"/>
    <cellStyle name="Porcentaje 3 2 4 2 2 2 3 3 2" xfId="33261" xr:uid="{00000000-0005-0000-0000-000075820000}"/>
    <cellStyle name="Porcentaje 3 2 4 2 2 2 3 4" xfId="23404" xr:uid="{00000000-0005-0000-0000-000076820000}"/>
    <cellStyle name="Porcentaje 3 2 4 2 2 2 4" xfId="6150" xr:uid="{00000000-0005-0000-0000-000077820000}"/>
    <cellStyle name="Porcentaje 3 2 4 2 2 2 4 2" xfId="16010" xr:uid="{00000000-0005-0000-0000-000078820000}"/>
    <cellStyle name="Porcentaje 3 2 4 2 2 2 4 2 2" xfId="35725" xr:uid="{00000000-0005-0000-0000-000079820000}"/>
    <cellStyle name="Porcentaje 3 2 4 2 2 2 4 3" xfId="25868" xr:uid="{00000000-0005-0000-0000-00007A820000}"/>
    <cellStyle name="Porcentaje 3 2 4 2 2 2 5" xfId="11082" xr:uid="{00000000-0005-0000-0000-00007B820000}"/>
    <cellStyle name="Porcentaje 3 2 4 2 2 2 5 2" xfId="30797" xr:uid="{00000000-0005-0000-0000-00007C820000}"/>
    <cellStyle name="Porcentaje 3 2 4 2 2 2 6" xfId="20940" xr:uid="{00000000-0005-0000-0000-00007D820000}"/>
    <cellStyle name="Porcentaje 3 2 4 2 2 3" xfId="1831" xr:uid="{00000000-0005-0000-0000-00007E820000}"/>
    <cellStyle name="Porcentaje 3 2 4 2 2 3 2" xfId="4298" xr:uid="{00000000-0005-0000-0000-00007F820000}"/>
    <cellStyle name="Porcentaje 3 2 4 2 2 3 2 2" xfId="9230" xr:uid="{00000000-0005-0000-0000-000080820000}"/>
    <cellStyle name="Porcentaje 3 2 4 2 2 3 2 2 2" xfId="19090" xr:uid="{00000000-0005-0000-0000-000081820000}"/>
    <cellStyle name="Porcentaje 3 2 4 2 2 3 2 2 2 2" xfId="38805" xr:uid="{00000000-0005-0000-0000-000082820000}"/>
    <cellStyle name="Porcentaje 3 2 4 2 2 3 2 2 3" xfId="28948" xr:uid="{00000000-0005-0000-0000-000083820000}"/>
    <cellStyle name="Porcentaje 3 2 4 2 2 3 2 3" xfId="14162" xr:uid="{00000000-0005-0000-0000-000084820000}"/>
    <cellStyle name="Porcentaje 3 2 4 2 2 3 2 3 2" xfId="33877" xr:uid="{00000000-0005-0000-0000-000085820000}"/>
    <cellStyle name="Porcentaje 3 2 4 2 2 3 2 4" xfId="24020" xr:uid="{00000000-0005-0000-0000-000086820000}"/>
    <cellStyle name="Porcentaje 3 2 4 2 2 3 3" xfId="6766" xr:uid="{00000000-0005-0000-0000-000087820000}"/>
    <cellStyle name="Porcentaje 3 2 4 2 2 3 3 2" xfId="16626" xr:uid="{00000000-0005-0000-0000-000088820000}"/>
    <cellStyle name="Porcentaje 3 2 4 2 2 3 3 2 2" xfId="36341" xr:uid="{00000000-0005-0000-0000-000089820000}"/>
    <cellStyle name="Porcentaje 3 2 4 2 2 3 3 3" xfId="26484" xr:uid="{00000000-0005-0000-0000-00008A820000}"/>
    <cellStyle name="Porcentaje 3 2 4 2 2 3 4" xfId="11698" xr:uid="{00000000-0005-0000-0000-00008B820000}"/>
    <cellStyle name="Porcentaje 3 2 4 2 2 3 4 2" xfId="31413" xr:uid="{00000000-0005-0000-0000-00008C820000}"/>
    <cellStyle name="Porcentaje 3 2 4 2 2 3 5" xfId="21556" xr:uid="{00000000-0005-0000-0000-00008D820000}"/>
    <cellStyle name="Porcentaje 3 2 4 2 2 4" xfId="3066" xr:uid="{00000000-0005-0000-0000-00008E820000}"/>
    <cellStyle name="Porcentaje 3 2 4 2 2 4 2" xfId="7998" xr:uid="{00000000-0005-0000-0000-00008F820000}"/>
    <cellStyle name="Porcentaje 3 2 4 2 2 4 2 2" xfId="17858" xr:uid="{00000000-0005-0000-0000-000090820000}"/>
    <cellStyle name="Porcentaje 3 2 4 2 2 4 2 2 2" xfId="37573" xr:uid="{00000000-0005-0000-0000-000091820000}"/>
    <cellStyle name="Porcentaje 3 2 4 2 2 4 2 3" xfId="27716" xr:uid="{00000000-0005-0000-0000-000092820000}"/>
    <cellStyle name="Porcentaje 3 2 4 2 2 4 3" xfId="12930" xr:uid="{00000000-0005-0000-0000-000093820000}"/>
    <cellStyle name="Porcentaje 3 2 4 2 2 4 3 2" xfId="32645" xr:uid="{00000000-0005-0000-0000-000094820000}"/>
    <cellStyle name="Porcentaje 3 2 4 2 2 4 4" xfId="22788" xr:uid="{00000000-0005-0000-0000-000095820000}"/>
    <cellStyle name="Porcentaje 3 2 4 2 2 5" xfId="5534" xr:uid="{00000000-0005-0000-0000-000096820000}"/>
    <cellStyle name="Porcentaje 3 2 4 2 2 5 2" xfId="15394" xr:uid="{00000000-0005-0000-0000-000097820000}"/>
    <cellStyle name="Porcentaje 3 2 4 2 2 5 2 2" xfId="35109" xr:uid="{00000000-0005-0000-0000-000098820000}"/>
    <cellStyle name="Porcentaje 3 2 4 2 2 5 3" xfId="25252" xr:uid="{00000000-0005-0000-0000-000099820000}"/>
    <cellStyle name="Porcentaje 3 2 4 2 2 6" xfId="10466" xr:uid="{00000000-0005-0000-0000-00009A820000}"/>
    <cellStyle name="Porcentaje 3 2 4 2 2 6 2" xfId="30181" xr:uid="{00000000-0005-0000-0000-00009B820000}"/>
    <cellStyle name="Porcentaje 3 2 4 2 2 7" xfId="20324" xr:uid="{00000000-0005-0000-0000-00009C820000}"/>
    <cellStyle name="Porcentaje 3 2 4 2 3" xfId="905" xr:uid="{00000000-0005-0000-0000-00009D820000}"/>
    <cellStyle name="Porcentaje 3 2 4 2 3 2" xfId="2141" xr:uid="{00000000-0005-0000-0000-00009E820000}"/>
    <cellStyle name="Porcentaje 3 2 4 2 3 2 2" xfId="4608" xr:uid="{00000000-0005-0000-0000-00009F820000}"/>
    <cellStyle name="Porcentaje 3 2 4 2 3 2 2 2" xfId="9540" xr:uid="{00000000-0005-0000-0000-0000A0820000}"/>
    <cellStyle name="Porcentaje 3 2 4 2 3 2 2 2 2" xfId="19400" xr:uid="{00000000-0005-0000-0000-0000A1820000}"/>
    <cellStyle name="Porcentaje 3 2 4 2 3 2 2 2 2 2" xfId="39115" xr:uid="{00000000-0005-0000-0000-0000A2820000}"/>
    <cellStyle name="Porcentaje 3 2 4 2 3 2 2 2 3" xfId="29258" xr:uid="{00000000-0005-0000-0000-0000A3820000}"/>
    <cellStyle name="Porcentaje 3 2 4 2 3 2 2 3" xfId="14472" xr:uid="{00000000-0005-0000-0000-0000A4820000}"/>
    <cellStyle name="Porcentaje 3 2 4 2 3 2 2 3 2" xfId="34187" xr:uid="{00000000-0005-0000-0000-0000A5820000}"/>
    <cellStyle name="Porcentaje 3 2 4 2 3 2 2 4" xfId="24330" xr:uid="{00000000-0005-0000-0000-0000A6820000}"/>
    <cellStyle name="Porcentaje 3 2 4 2 3 2 3" xfId="7076" xr:uid="{00000000-0005-0000-0000-0000A7820000}"/>
    <cellStyle name="Porcentaje 3 2 4 2 3 2 3 2" xfId="16936" xr:uid="{00000000-0005-0000-0000-0000A8820000}"/>
    <cellStyle name="Porcentaje 3 2 4 2 3 2 3 2 2" xfId="36651" xr:uid="{00000000-0005-0000-0000-0000A9820000}"/>
    <cellStyle name="Porcentaje 3 2 4 2 3 2 3 3" xfId="26794" xr:uid="{00000000-0005-0000-0000-0000AA820000}"/>
    <cellStyle name="Porcentaje 3 2 4 2 3 2 4" xfId="12008" xr:uid="{00000000-0005-0000-0000-0000AB820000}"/>
    <cellStyle name="Porcentaje 3 2 4 2 3 2 4 2" xfId="31723" xr:uid="{00000000-0005-0000-0000-0000AC820000}"/>
    <cellStyle name="Porcentaje 3 2 4 2 3 2 5" xfId="21866" xr:uid="{00000000-0005-0000-0000-0000AD820000}"/>
    <cellStyle name="Porcentaje 3 2 4 2 3 3" xfId="3376" xr:uid="{00000000-0005-0000-0000-0000AE820000}"/>
    <cellStyle name="Porcentaje 3 2 4 2 3 3 2" xfId="8308" xr:uid="{00000000-0005-0000-0000-0000AF820000}"/>
    <cellStyle name="Porcentaje 3 2 4 2 3 3 2 2" xfId="18168" xr:uid="{00000000-0005-0000-0000-0000B0820000}"/>
    <cellStyle name="Porcentaje 3 2 4 2 3 3 2 2 2" xfId="37883" xr:uid="{00000000-0005-0000-0000-0000B1820000}"/>
    <cellStyle name="Porcentaje 3 2 4 2 3 3 2 3" xfId="28026" xr:uid="{00000000-0005-0000-0000-0000B2820000}"/>
    <cellStyle name="Porcentaje 3 2 4 2 3 3 3" xfId="13240" xr:uid="{00000000-0005-0000-0000-0000B3820000}"/>
    <cellStyle name="Porcentaje 3 2 4 2 3 3 3 2" xfId="32955" xr:uid="{00000000-0005-0000-0000-0000B4820000}"/>
    <cellStyle name="Porcentaje 3 2 4 2 3 3 4" xfId="23098" xr:uid="{00000000-0005-0000-0000-0000B5820000}"/>
    <cellStyle name="Porcentaje 3 2 4 2 3 4" xfId="5844" xr:uid="{00000000-0005-0000-0000-0000B6820000}"/>
    <cellStyle name="Porcentaje 3 2 4 2 3 4 2" xfId="15704" xr:uid="{00000000-0005-0000-0000-0000B7820000}"/>
    <cellStyle name="Porcentaje 3 2 4 2 3 4 2 2" xfId="35419" xr:uid="{00000000-0005-0000-0000-0000B8820000}"/>
    <cellStyle name="Porcentaje 3 2 4 2 3 4 3" xfId="25562" xr:uid="{00000000-0005-0000-0000-0000B9820000}"/>
    <cellStyle name="Porcentaje 3 2 4 2 3 5" xfId="10776" xr:uid="{00000000-0005-0000-0000-0000BA820000}"/>
    <cellStyle name="Porcentaje 3 2 4 2 3 5 2" xfId="30491" xr:uid="{00000000-0005-0000-0000-0000BB820000}"/>
    <cellStyle name="Porcentaje 3 2 4 2 3 6" xfId="20634" xr:uid="{00000000-0005-0000-0000-0000BC820000}"/>
    <cellStyle name="Porcentaje 3 2 4 2 4" xfId="1525" xr:uid="{00000000-0005-0000-0000-0000BD820000}"/>
    <cellStyle name="Porcentaje 3 2 4 2 4 2" xfId="3992" xr:uid="{00000000-0005-0000-0000-0000BE820000}"/>
    <cellStyle name="Porcentaje 3 2 4 2 4 2 2" xfId="8924" xr:uid="{00000000-0005-0000-0000-0000BF820000}"/>
    <cellStyle name="Porcentaje 3 2 4 2 4 2 2 2" xfId="18784" xr:uid="{00000000-0005-0000-0000-0000C0820000}"/>
    <cellStyle name="Porcentaje 3 2 4 2 4 2 2 2 2" xfId="38499" xr:uid="{00000000-0005-0000-0000-0000C1820000}"/>
    <cellStyle name="Porcentaje 3 2 4 2 4 2 2 3" xfId="28642" xr:uid="{00000000-0005-0000-0000-0000C2820000}"/>
    <cellStyle name="Porcentaje 3 2 4 2 4 2 3" xfId="13856" xr:uid="{00000000-0005-0000-0000-0000C3820000}"/>
    <cellStyle name="Porcentaje 3 2 4 2 4 2 3 2" xfId="33571" xr:uid="{00000000-0005-0000-0000-0000C4820000}"/>
    <cellStyle name="Porcentaje 3 2 4 2 4 2 4" xfId="23714" xr:uid="{00000000-0005-0000-0000-0000C5820000}"/>
    <cellStyle name="Porcentaje 3 2 4 2 4 3" xfId="6460" xr:uid="{00000000-0005-0000-0000-0000C6820000}"/>
    <cellStyle name="Porcentaje 3 2 4 2 4 3 2" xfId="16320" xr:uid="{00000000-0005-0000-0000-0000C7820000}"/>
    <cellStyle name="Porcentaje 3 2 4 2 4 3 2 2" xfId="36035" xr:uid="{00000000-0005-0000-0000-0000C8820000}"/>
    <cellStyle name="Porcentaje 3 2 4 2 4 3 3" xfId="26178" xr:uid="{00000000-0005-0000-0000-0000C9820000}"/>
    <cellStyle name="Porcentaje 3 2 4 2 4 4" xfId="11392" xr:uid="{00000000-0005-0000-0000-0000CA820000}"/>
    <cellStyle name="Porcentaje 3 2 4 2 4 4 2" xfId="31107" xr:uid="{00000000-0005-0000-0000-0000CB820000}"/>
    <cellStyle name="Porcentaje 3 2 4 2 4 5" xfId="21250" xr:uid="{00000000-0005-0000-0000-0000CC820000}"/>
    <cellStyle name="Porcentaje 3 2 4 2 5" xfId="2760" xr:uid="{00000000-0005-0000-0000-0000CD820000}"/>
    <cellStyle name="Porcentaje 3 2 4 2 5 2" xfId="7692" xr:uid="{00000000-0005-0000-0000-0000CE820000}"/>
    <cellStyle name="Porcentaje 3 2 4 2 5 2 2" xfId="17552" xr:uid="{00000000-0005-0000-0000-0000CF820000}"/>
    <cellStyle name="Porcentaje 3 2 4 2 5 2 2 2" xfId="37267" xr:uid="{00000000-0005-0000-0000-0000D0820000}"/>
    <cellStyle name="Porcentaje 3 2 4 2 5 2 3" xfId="27410" xr:uid="{00000000-0005-0000-0000-0000D1820000}"/>
    <cellStyle name="Porcentaje 3 2 4 2 5 3" xfId="12624" xr:uid="{00000000-0005-0000-0000-0000D2820000}"/>
    <cellStyle name="Porcentaje 3 2 4 2 5 3 2" xfId="32339" xr:uid="{00000000-0005-0000-0000-0000D3820000}"/>
    <cellStyle name="Porcentaje 3 2 4 2 5 4" xfId="22482" xr:uid="{00000000-0005-0000-0000-0000D4820000}"/>
    <cellStyle name="Porcentaje 3 2 4 2 6" xfId="5228" xr:uid="{00000000-0005-0000-0000-0000D5820000}"/>
    <cellStyle name="Porcentaje 3 2 4 2 6 2" xfId="15088" xr:uid="{00000000-0005-0000-0000-0000D6820000}"/>
    <cellStyle name="Porcentaje 3 2 4 2 6 2 2" xfId="34803" xr:uid="{00000000-0005-0000-0000-0000D7820000}"/>
    <cellStyle name="Porcentaje 3 2 4 2 6 3" xfId="24946" xr:uid="{00000000-0005-0000-0000-0000D8820000}"/>
    <cellStyle name="Porcentaje 3 2 4 2 7" xfId="10160" xr:uid="{00000000-0005-0000-0000-0000D9820000}"/>
    <cellStyle name="Porcentaje 3 2 4 2 7 2" xfId="29875" xr:uid="{00000000-0005-0000-0000-0000DA820000}"/>
    <cellStyle name="Porcentaje 3 2 4 2 8" xfId="20018" xr:uid="{00000000-0005-0000-0000-0000DB820000}"/>
    <cellStyle name="Porcentaje 3 2 4 3" xfId="440" xr:uid="{00000000-0005-0000-0000-0000DC820000}"/>
    <cellStyle name="Porcentaje 3 2 4 3 2" xfId="1060" xr:uid="{00000000-0005-0000-0000-0000DD820000}"/>
    <cellStyle name="Porcentaje 3 2 4 3 2 2" xfId="2295" xr:uid="{00000000-0005-0000-0000-0000DE820000}"/>
    <cellStyle name="Porcentaje 3 2 4 3 2 2 2" xfId="4762" xr:uid="{00000000-0005-0000-0000-0000DF820000}"/>
    <cellStyle name="Porcentaje 3 2 4 3 2 2 2 2" xfId="9694" xr:uid="{00000000-0005-0000-0000-0000E0820000}"/>
    <cellStyle name="Porcentaje 3 2 4 3 2 2 2 2 2" xfId="19554" xr:uid="{00000000-0005-0000-0000-0000E1820000}"/>
    <cellStyle name="Porcentaje 3 2 4 3 2 2 2 2 2 2" xfId="39269" xr:uid="{00000000-0005-0000-0000-0000E2820000}"/>
    <cellStyle name="Porcentaje 3 2 4 3 2 2 2 2 3" xfId="29412" xr:uid="{00000000-0005-0000-0000-0000E3820000}"/>
    <cellStyle name="Porcentaje 3 2 4 3 2 2 2 3" xfId="14626" xr:uid="{00000000-0005-0000-0000-0000E4820000}"/>
    <cellStyle name="Porcentaje 3 2 4 3 2 2 2 3 2" xfId="34341" xr:uid="{00000000-0005-0000-0000-0000E5820000}"/>
    <cellStyle name="Porcentaje 3 2 4 3 2 2 2 4" xfId="24484" xr:uid="{00000000-0005-0000-0000-0000E6820000}"/>
    <cellStyle name="Porcentaje 3 2 4 3 2 2 3" xfId="7230" xr:uid="{00000000-0005-0000-0000-0000E7820000}"/>
    <cellStyle name="Porcentaje 3 2 4 3 2 2 3 2" xfId="17090" xr:uid="{00000000-0005-0000-0000-0000E8820000}"/>
    <cellStyle name="Porcentaje 3 2 4 3 2 2 3 2 2" xfId="36805" xr:uid="{00000000-0005-0000-0000-0000E9820000}"/>
    <cellStyle name="Porcentaje 3 2 4 3 2 2 3 3" xfId="26948" xr:uid="{00000000-0005-0000-0000-0000EA820000}"/>
    <cellStyle name="Porcentaje 3 2 4 3 2 2 4" xfId="12162" xr:uid="{00000000-0005-0000-0000-0000EB820000}"/>
    <cellStyle name="Porcentaje 3 2 4 3 2 2 4 2" xfId="31877" xr:uid="{00000000-0005-0000-0000-0000EC820000}"/>
    <cellStyle name="Porcentaje 3 2 4 3 2 2 5" xfId="22020" xr:uid="{00000000-0005-0000-0000-0000ED820000}"/>
    <cellStyle name="Porcentaje 3 2 4 3 2 3" xfId="3530" xr:uid="{00000000-0005-0000-0000-0000EE820000}"/>
    <cellStyle name="Porcentaje 3 2 4 3 2 3 2" xfId="8462" xr:uid="{00000000-0005-0000-0000-0000EF820000}"/>
    <cellStyle name="Porcentaje 3 2 4 3 2 3 2 2" xfId="18322" xr:uid="{00000000-0005-0000-0000-0000F0820000}"/>
    <cellStyle name="Porcentaje 3 2 4 3 2 3 2 2 2" xfId="38037" xr:uid="{00000000-0005-0000-0000-0000F1820000}"/>
    <cellStyle name="Porcentaje 3 2 4 3 2 3 2 3" xfId="28180" xr:uid="{00000000-0005-0000-0000-0000F2820000}"/>
    <cellStyle name="Porcentaje 3 2 4 3 2 3 3" xfId="13394" xr:uid="{00000000-0005-0000-0000-0000F3820000}"/>
    <cellStyle name="Porcentaje 3 2 4 3 2 3 3 2" xfId="33109" xr:uid="{00000000-0005-0000-0000-0000F4820000}"/>
    <cellStyle name="Porcentaje 3 2 4 3 2 3 4" xfId="23252" xr:uid="{00000000-0005-0000-0000-0000F5820000}"/>
    <cellStyle name="Porcentaje 3 2 4 3 2 4" xfId="5998" xr:uid="{00000000-0005-0000-0000-0000F6820000}"/>
    <cellStyle name="Porcentaje 3 2 4 3 2 4 2" xfId="15858" xr:uid="{00000000-0005-0000-0000-0000F7820000}"/>
    <cellStyle name="Porcentaje 3 2 4 3 2 4 2 2" xfId="35573" xr:uid="{00000000-0005-0000-0000-0000F8820000}"/>
    <cellStyle name="Porcentaje 3 2 4 3 2 4 3" xfId="25716" xr:uid="{00000000-0005-0000-0000-0000F9820000}"/>
    <cellStyle name="Porcentaje 3 2 4 3 2 5" xfId="10930" xr:uid="{00000000-0005-0000-0000-0000FA820000}"/>
    <cellStyle name="Porcentaje 3 2 4 3 2 5 2" xfId="30645" xr:uid="{00000000-0005-0000-0000-0000FB820000}"/>
    <cellStyle name="Porcentaje 3 2 4 3 2 6" xfId="20788" xr:uid="{00000000-0005-0000-0000-0000FC820000}"/>
    <cellStyle name="Porcentaje 3 2 4 3 3" xfId="1679" xr:uid="{00000000-0005-0000-0000-0000FD820000}"/>
    <cellStyle name="Porcentaje 3 2 4 3 3 2" xfId="4146" xr:uid="{00000000-0005-0000-0000-0000FE820000}"/>
    <cellStyle name="Porcentaje 3 2 4 3 3 2 2" xfId="9078" xr:uid="{00000000-0005-0000-0000-0000FF820000}"/>
    <cellStyle name="Porcentaje 3 2 4 3 3 2 2 2" xfId="18938" xr:uid="{00000000-0005-0000-0000-000000830000}"/>
    <cellStyle name="Porcentaje 3 2 4 3 3 2 2 2 2" xfId="38653" xr:uid="{00000000-0005-0000-0000-000001830000}"/>
    <cellStyle name="Porcentaje 3 2 4 3 3 2 2 3" xfId="28796" xr:uid="{00000000-0005-0000-0000-000002830000}"/>
    <cellStyle name="Porcentaje 3 2 4 3 3 2 3" xfId="14010" xr:uid="{00000000-0005-0000-0000-000003830000}"/>
    <cellStyle name="Porcentaje 3 2 4 3 3 2 3 2" xfId="33725" xr:uid="{00000000-0005-0000-0000-000004830000}"/>
    <cellStyle name="Porcentaje 3 2 4 3 3 2 4" xfId="23868" xr:uid="{00000000-0005-0000-0000-000005830000}"/>
    <cellStyle name="Porcentaje 3 2 4 3 3 3" xfId="6614" xr:uid="{00000000-0005-0000-0000-000006830000}"/>
    <cellStyle name="Porcentaje 3 2 4 3 3 3 2" xfId="16474" xr:uid="{00000000-0005-0000-0000-000007830000}"/>
    <cellStyle name="Porcentaje 3 2 4 3 3 3 2 2" xfId="36189" xr:uid="{00000000-0005-0000-0000-000008830000}"/>
    <cellStyle name="Porcentaje 3 2 4 3 3 3 3" xfId="26332" xr:uid="{00000000-0005-0000-0000-000009830000}"/>
    <cellStyle name="Porcentaje 3 2 4 3 3 4" xfId="11546" xr:uid="{00000000-0005-0000-0000-00000A830000}"/>
    <cellStyle name="Porcentaje 3 2 4 3 3 4 2" xfId="31261" xr:uid="{00000000-0005-0000-0000-00000B830000}"/>
    <cellStyle name="Porcentaje 3 2 4 3 3 5" xfId="21404" xr:uid="{00000000-0005-0000-0000-00000C830000}"/>
    <cellStyle name="Porcentaje 3 2 4 3 4" xfId="2914" xr:uid="{00000000-0005-0000-0000-00000D830000}"/>
    <cellStyle name="Porcentaje 3 2 4 3 4 2" xfId="7846" xr:uid="{00000000-0005-0000-0000-00000E830000}"/>
    <cellStyle name="Porcentaje 3 2 4 3 4 2 2" xfId="17706" xr:uid="{00000000-0005-0000-0000-00000F830000}"/>
    <cellStyle name="Porcentaje 3 2 4 3 4 2 2 2" xfId="37421" xr:uid="{00000000-0005-0000-0000-000010830000}"/>
    <cellStyle name="Porcentaje 3 2 4 3 4 2 3" xfId="27564" xr:uid="{00000000-0005-0000-0000-000011830000}"/>
    <cellStyle name="Porcentaje 3 2 4 3 4 3" xfId="12778" xr:uid="{00000000-0005-0000-0000-000012830000}"/>
    <cellStyle name="Porcentaje 3 2 4 3 4 3 2" xfId="32493" xr:uid="{00000000-0005-0000-0000-000013830000}"/>
    <cellStyle name="Porcentaje 3 2 4 3 4 4" xfId="22636" xr:uid="{00000000-0005-0000-0000-000014830000}"/>
    <cellStyle name="Porcentaje 3 2 4 3 5" xfId="5382" xr:uid="{00000000-0005-0000-0000-000015830000}"/>
    <cellStyle name="Porcentaje 3 2 4 3 5 2" xfId="15242" xr:uid="{00000000-0005-0000-0000-000016830000}"/>
    <cellStyle name="Porcentaje 3 2 4 3 5 2 2" xfId="34957" xr:uid="{00000000-0005-0000-0000-000017830000}"/>
    <cellStyle name="Porcentaje 3 2 4 3 5 3" xfId="25100" xr:uid="{00000000-0005-0000-0000-000018830000}"/>
    <cellStyle name="Porcentaje 3 2 4 3 6" xfId="10314" xr:uid="{00000000-0005-0000-0000-000019830000}"/>
    <cellStyle name="Porcentaje 3 2 4 3 6 2" xfId="30029" xr:uid="{00000000-0005-0000-0000-00001A830000}"/>
    <cellStyle name="Porcentaje 3 2 4 3 7" xfId="20172" xr:uid="{00000000-0005-0000-0000-00001B830000}"/>
    <cellStyle name="Porcentaje 3 2 4 4" xfId="753" xr:uid="{00000000-0005-0000-0000-00001C830000}"/>
    <cellStyle name="Porcentaje 3 2 4 4 2" xfId="1989" xr:uid="{00000000-0005-0000-0000-00001D830000}"/>
    <cellStyle name="Porcentaje 3 2 4 4 2 2" xfId="4456" xr:uid="{00000000-0005-0000-0000-00001E830000}"/>
    <cellStyle name="Porcentaje 3 2 4 4 2 2 2" xfId="9388" xr:uid="{00000000-0005-0000-0000-00001F830000}"/>
    <cellStyle name="Porcentaje 3 2 4 4 2 2 2 2" xfId="19248" xr:uid="{00000000-0005-0000-0000-000020830000}"/>
    <cellStyle name="Porcentaje 3 2 4 4 2 2 2 2 2" xfId="38963" xr:uid="{00000000-0005-0000-0000-000021830000}"/>
    <cellStyle name="Porcentaje 3 2 4 4 2 2 2 3" xfId="29106" xr:uid="{00000000-0005-0000-0000-000022830000}"/>
    <cellStyle name="Porcentaje 3 2 4 4 2 2 3" xfId="14320" xr:uid="{00000000-0005-0000-0000-000023830000}"/>
    <cellStyle name="Porcentaje 3 2 4 4 2 2 3 2" xfId="34035" xr:uid="{00000000-0005-0000-0000-000024830000}"/>
    <cellStyle name="Porcentaje 3 2 4 4 2 2 4" xfId="24178" xr:uid="{00000000-0005-0000-0000-000025830000}"/>
    <cellStyle name="Porcentaje 3 2 4 4 2 3" xfId="6924" xr:uid="{00000000-0005-0000-0000-000026830000}"/>
    <cellStyle name="Porcentaje 3 2 4 4 2 3 2" xfId="16784" xr:uid="{00000000-0005-0000-0000-000027830000}"/>
    <cellStyle name="Porcentaje 3 2 4 4 2 3 2 2" xfId="36499" xr:uid="{00000000-0005-0000-0000-000028830000}"/>
    <cellStyle name="Porcentaje 3 2 4 4 2 3 3" xfId="26642" xr:uid="{00000000-0005-0000-0000-000029830000}"/>
    <cellStyle name="Porcentaje 3 2 4 4 2 4" xfId="11856" xr:uid="{00000000-0005-0000-0000-00002A830000}"/>
    <cellStyle name="Porcentaje 3 2 4 4 2 4 2" xfId="31571" xr:uid="{00000000-0005-0000-0000-00002B830000}"/>
    <cellStyle name="Porcentaje 3 2 4 4 2 5" xfId="21714" xr:uid="{00000000-0005-0000-0000-00002C830000}"/>
    <cellStyle name="Porcentaje 3 2 4 4 3" xfId="3224" xr:uid="{00000000-0005-0000-0000-00002D830000}"/>
    <cellStyle name="Porcentaje 3 2 4 4 3 2" xfId="8156" xr:uid="{00000000-0005-0000-0000-00002E830000}"/>
    <cellStyle name="Porcentaje 3 2 4 4 3 2 2" xfId="18016" xr:uid="{00000000-0005-0000-0000-00002F830000}"/>
    <cellStyle name="Porcentaje 3 2 4 4 3 2 2 2" xfId="37731" xr:uid="{00000000-0005-0000-0000-000030830000}"/>
    <cellStyle name="Porcentaje 3 2 4 4 3 2 3" xfId="27874" xr:uid="{00000000-0005-0000-0000-000031830000}"/>
    <cellStyle name="Porcentaje 3 2 4 4 3 3" xfId="13088" xr:uid="{00000000-0005-0000-0000-000032830000}"/>
    <cellStyle name="Porcentaje 3 2 4 4 3 3 2" xfId="32803" xr:uid="{00000000-0005-0000-0000-000033830000}"/>
    <cellStyle name="Porcentaje 3 2 4 4 3 4" xfId="22946" xr:uid="{00000000-0005-0000-0000-000034830000}"/>
    <cellStyle name="Porcentaje 3 2 4 4 4" xfId="5692" xr:uid="{00000000-0005-0000-0000-000035830000}"/>
    <cellStyle name="Porcentaje 3 2 4 4 4 2" xfId="15552" xr:uid="{00000000-0005-0000-0000-000036830000}"/>
    <cellStyle name="Porcentaje 3 2 4 4 4 2 2" xfId="35267" xr:uid="{00000000-0005-0000-0000-000037830000}"/>
    <cellStyle name="Porcentaje 3 2 4 4 4 3" xfId="25410" xr:uid="{00000000-0005-0000-0000-000038830000}"/>
    <cellStyle name="Porcentaje 3 2 4 4 5" xfId="10624" xr:uid="{00000000-0005-0000-0000-000039830000}"/>
    <cellStyle name="Porcentaje 3 2 4 4 5 2" xfId="30339" xr:uid="{00000000-0005-0000-0000-00003A830000}"/>
    <cellStyle name="Porcentaje 3 2 4 4 6" xfId="20482" xr:uid="{00000000-0005-0000-0000-00003B830000}"/>
    <cellStyle name="Porcentaje 3 2 4 5" xfId="1373" xr:uid="{00000000-0005-0000-0000-00003C830000}"/>
    <cellStyle name="Porcentaje 3 2 4 5 2" xfId="3840" xr:uid="{00000000-0005-0000-0000-00003D830000}"/>
    <cellStyle name="Porcentaje 3 2 4 5 2 2" xfId="8772" xr:uid="{00000000-0005-0000-0000-00003E830000}"/>
    <cellStyle name="Porcentaje 3 2 4 5 2 2 2" xfId="18632" xr:uid="{00000000-0005-0000-0000-00003F830000}"/>
    <cellStyle name="Porcentaje 3 2 4 5 2 2 2 2" xfId="38347" xr:uid="{00000000-0005-0000-0000-000040830000}"/>
    <cellStyle name="Porcentaje 3 2 4 5 2 2 3" xfId="28490" xr:uid="{00000000-0005-0000-0000-000041830000}"/>
    <cellStyle name="Porcentaje 3 2 4 5 2 3" xfId="13704" xr:uid="{00000000-0005-0000-0000-000042830000}"/>
    <cellStyle name="Porcentaje 3 2 4 5 2 3 2" xfId="33419" xr:uid="{00000000-0005-0000-0000-000043830000}"/>
    <cellStyle name="Porcentaje 3 2 4 5 2 4" xfId="23562" xr:uid="{00000000-0005-0000-0000-000044830000}"/>
    <cellStyle name="Porcentaje 3 2 4 5 3" xfId="6308" xr:uid="{00000000-0005-0000-0000-000045830000}"/>
    <cellStyle name="Porcentaje 3 2 4 5 3 2" xfId="16168" xr:uid="{00000000-0005-0000-0000-000046830000}"/>
    <cellStyle name="Porcentaje 3 2 4 5 3 2 2" xfId="35883" xr:uid="{00000000-0005-0000-0000-000047830000}"/>
    <cellStyle name="Porcentaje 3 2 4 5 3 3" xfId="26026" xr:uid="{00000000-0005-0000-0000-000048830000}"/>
    <cellStyle name="Porcentaje 3 2 4 5 4" xfId="11240" xr:uid="{00000000-0005-0000-0000-000049830000}"/>
    <cellStyle name="Porcentaje 3 2 4 5 4 2" xfId="30955" xr:uid="{00000000-0005-0000-0000-00004A830000}"/>
    <cellStyle name="Porcentaje 3 2 4 5 5" xfId="21098" xr:uid="{00000000-0005-0000-0000-00004B830000}"/>
    <cellStyle name="Porcentaje 3 2 4 6" xfId="2608" xr:uid="{00000000-0005-0000-0000-00004C830000}"/>
    <cellStyle name="Porcentaje 3 2 4 6 2" xfId="7540" xr:uid="{00000000-0005-0000-0000-00004D830000}"/>
    <cellStyle name="Porcentaje 3 2 4 6 2 2" xfId="17400" xr:uid="{00000000-0005-0000-0000-00004E830000}"/>
    <cellStyle name="Porcentaje 3 2 4 6 2 2 2" xfId="37115" xr:uid="{00000000-0005-0000-0000-00004F830000}"/>
    <cellStyle name="Porcentaje 3 2 4 6 2 3" xfId="27258" xr:uid="{00000000-0005-0000-0000-000050830000}"/>
    <cellStyle name="Porcentaje 3 2 4 6 3" xfId="12472" xr:uid="{00000000-0005-0000-0000-000051830000}"/>
    <cellStyle name="Porcentaje 3 2 4 6 3 2" xfId="32187" xr:uid="{00000000-0005-0000-0000-000052830000}"/>
    <cellStyle name="Porcentaje 3 2 4 6 4" xfId="22330" xr:uid="{00000000-0005-0000-0000-000053830000}"/>
    <cellStyle name="Porcentaje 3 2 4 7" xfId="5076" xr:uid="{00000000-0005-0000-0000-000054830000}"/>
    <cellStyle name="Porcentaje 3 2 4 7 2" xfId="14936" xr:uid="{00000000-0005-0000-0000-000055830000}"/>
    <cellStyle name="Porcentaje 3 2 4 7 2 2" xfId="34651" xr:uid="{00000000-0005-0000-0000-000056830000}"/>
    <cellStyle name="Porcentaje 3 2 4 7 3" xfId="24794" xr:uid="{00000000-0005-0000-0000-000057830000}"/>
    <cellStyle name="Porcentaje 3 2 4 8" xfId="10008" xr:uid="{00000000-0005-0000-0000-000058830000}"/>
    <cellStyle name="Porcentaje 3 2 4 8 2" xfId="29723" xr:uid="{00000000-0005-0000-0000-000059830000}"/>
    <cellStyle name="Porcentaje 3 2 4 9" xfId="19866" xr:uid="{00000000-0005-0000-0000-00005A830000}"/>
    <cellStyle name="Porcentaje 3 2 5" xfId="202" xr:uid="{00000000-0005-0000-0000-00005B830000}"/>
    <cellStyle name="Porcentaje 3 2 5 2" xfId="516" xr:uid="{00000000-0005-0000-0000-00005C830000}"/>
    <cellStyle name="Porcentaje 3 2 5 2 2" xfId="1136" xr:uid="{00000000-0005-0000-0000-00005D830000}"/>
    <cellStyle name="Porcentaje 3 2 5 2 2 2" xfId="2371" xr:uid="{00000000-0005-0000-0000-00005E830000}"/>
    <cellStyle name="Porcentaje 3 2 5 2 2 2 2" xfId="4838" xr:uid="{00000000-0005-0000-0000-00005F830000}"/>
    <cellStyle name="Porcentaje 3 2 5 2 2 2 2 2" xfId="9770" xr:uid="{00000000-0005-0000-0000-000060830000}"/>
    <cellStyle name="Porcentaje 3 2 5 2 2 2 2 2 2" xfId="19630" xr:uid="{00000000-0005-0000-0000-000061830000}"/>
    <cellStyle name="Porcentaje 3 2 5 2 2 2 2 2 2 2" xfId="39345" xr:uid="{00000000-0005-0000-0000-000062830000}"/>
    <cellStyle name="Porcentaje 3 2 5 2 2 2 2 2 3" xfId="29488" xr:uid="{00000000-0005-0000-0000-000063830000}"/>
    <cellStyle name="Porcentaje 3 2 5 2 2 2 2 3" xfId="14702" xr:uid="{00000000-0005-0000-0000-000064830000}"/>
    <cellStyle name="Porcentaje 3 2 5 2 2 2 2 3 2" xfId="34417" xr:uid="{00000000-0005-0000-0000-000065830000}"/>
    <cellStyle name="Porcentaje 3 2 5 2 2 2 2 4" xfId="24560" xr:uid="{00000000-0005-0000-0000-000066830000}"/>
    <cellStyle name="Porcentaje 3 2 5 2 2 2 3" xfId="7306" xr:uid="{00000000-0005-0000-0000-000067830000}"/>
    <cellStyle name="Porcentaje 3 2 5 2 2 2 3 2" xfId="17166" xr:uid="{00000000-0005-0000-0000-000068830000}"/>
    <cellStyle name="Porcentaje 3 2 5 2 2 2 3 2 2" xfId="36881" xr:uid="{00000000-0005-0000-0000-000069830000}"/>
    <cellStyle name="Porcentaje 3 2 5 2 2 2 3 3" xfId="27024" xr:uid="{00000000-0005-0000-0000-00006A830000}"/>
    <cellStyle name="Porcentaje 3 2 5 2 2 2 4" xfId="12238" xr:uid="{00000000-0005-0000-0000-00006B830000}"/>
    <cellStyle name="Porcentaje 3 2 5 2 2 2 4 2" xfId="31953" xr:uid="{00000000-0005-0000-0000-00006C830000}"/>
    <cellStyle name="Porcentaje 3 2 5 2 2 2 5" xfId="22096" xr:uid="{00000000-0005-0000-0000-00006D830000}"/>
    <cellStyle name="Porcentaje 3 2 5 2 2 3" xfId="3606" xr:uid="{00000000-0005-0000-0000-00006E830000}"/>
    <cellStyle name="Porcentaje 3 2 5 2 2 3 2" xfId="8538" xr:uid="{00000000-0005-0000-0000-00006F830000}"/>
    <cellStyle name="Porcentaje 3 2 5 2 2 3 2 2" xfId="18398" xr:uid="{00000000-0005-0000-0000-000070830000}"/>
    <cellStyle name="Porcentaje 3 2 5 2 2 3 2 2 2" xfId="38113" xr:uid="{00000000-0005-0000-0000-000071830000}"/>
    <cellStyle name="Porcentaje 3 2 5 2 2 3 2 3" xfId="28256" xr:uid="{00000000-0005-0000-0000-000072830000}"/>
    <cellStyle name="Porcentaje 3 2 5 2 2 3 3" xfId="13470" xr:uid="{00000000-0005-0000-0000-000073830000}"/>
    <cellStyle name="Porcentaje 3 2 5 2 2 3 3 2" xfId="33185" xr:uid="{00000000-0005-0000-0000-000074830000}"/>
    <cellStyle name="Porcentaje 3 2 5 2 2 3 4" xfId="23328" xr:uid="{00000000-0005-0000-0000-000075830000}"/>
    <cellStyle name="Porcentaje 3 2 5 2 2 4" xfId="6074" xr:uid="{00000000-0005-0000-0000-000076830000}"/>
    <cellStyle name="Porcentaje 3 2 5 2 2 4 2" xfId="15934" xr:uid="{00000000-0005-0000-0000-000077830000}"/>
    <cellStyle name="Porcentaje 3 2 5 2 2 4 2 2" xfId="35649" xr:uid="{00000000-0005-0000-0000-000078830000}"/>
    <cellStyle name="Porcentaje 3 2 5 2 2 4 3" xfId="25792" xr:uid="{00000000-0005-0000-0000-000079830000}"/>
    <cellStyle name="Porcentaje 3 2 5 2 2 5" xfId="11006" xr:uid="{00000000-0005-0000-0000-00007A830000}"/>
    <cellStyle name="Porcentaje 3 2 5 2 2 5 2" xfId="30721" xr:uid="{00000000-0005-0000-0000-00007B830000}"/>
    <cellStyle name="Porcentaje 3 2 5 2 2 6" xfId="20864" xr:uid="{00000000-0005-0000-0000-00007C830000}"/>
    <cellStyle name="Porcentaje 3 2 5 2 3" xfId="1755" xr:uid="{00000000-0005-0000-0000-00007D830000}"/>
    <cellStyle name="Porcentaje 3 2 5 2 3 2" xfId="4222" xr:uid="{00000000-0005-0000-0000-00007E830000}"/>
    <cellStyle name="Porcentaje 3 2 5 2 3 2 2" xfId="9154" xr:uid="{00000000-0005-0000-0000-00007F830000}"/>
    <cellStyle name="Porcentaje 3 2 5 2 3 2 2 2" xfId="19014" xr:uid="{00000000-0005-0000-0000-000080830000}"/>
    <cellStyle name="Porcentaje 3 2 5 2 3 2 2 2 2" xfId="38729" xr:uid="{00000000-0005-0000-0000-000081830000}"/>
    <cellStyle name="Porcentaje 3 2 5 2 3 2 2 3" xfId="28872" xr:uid="{00000000-0005-0000-0000-000082830000}"/>
    <cellStyle name="Porcentaje 3 2 5 2 3 2 3" xfId="14086" xr:uid="{00000000-0005-0000-0000-000083830000}"/>
    <cellStyle name="Porcentaje 3 2 5 2 3 2 3 2" xfId="33801" xr:uid="{00000000-0005-0000-0000-000084830000}"/>
    <cellStyle name="Porcentaje 3 2 5 2 3 2 4" xfId="23944" xr:uid="{00000000-0005-0000-0000-000085830000}"/>
    <cellStyle name="Porcentaje 3 2 5 2 3 3" xfId="6690" xr:uid="{00000000-0005-0000-0000-000086830000}"/>
    <cellStyle name="Porcentaje 3 2 5 2 3 3 2" xfId="16550" xr:uid="{00000000-0005-0000-0000-000087830000}"/>
    <cellStyle name="Porcentaje 3 2 5 2 3 3 2 2" xfId="36265" xr:uid="{00000000-0005-0000-0000-000088830000}"/>
    <cellStyle name="Porcentaje 3 2 5 2 3 3 3" xfId="26408" xr:uid="{00000000-0005-0000-0000-000089830000}"/>
    <cellStyle name="Porcentaje 3 2 5 2 3 4" xfId="11622" xr:uid="{00000000-0005-0000-0000-00008A830000}"/>
    <cellStyle name="Porcentaje 3 2 5 2 3 4 2" xfId="31337" xr:uid="{00000000-0005-0000-0000-00008B830000}"/>
    <cellStyle name="Porcentaje 3 2 5 2 3 5" xfId="21480" xr:uid="{00000000-0005-0000-0000-00008C830000}"/>
    <cellStyle name="Porcentaje 3 2 5 2 4" xfId="2990" xr:uid="{00000000-0005-0000-0000-00008D830000}"/>
    <cellStyle name="Porcentaje 3 2 5 2 4 2" xfId="7922" xr:uid="{00000000-0005-0000-0000-00008E830000}"/>
    <cellStyle name="Porcentaje 3 2 5 2 4 2 2" xfId="17782" xr:uid="{00000000-0005-0000-0000-00008F830000}"/>
    <cellStyle name="Porcentaje 3 2 5 2 4 2 2 2" xfId="37497" xr:uid="{00000000-0005-0000-0000-000090830000}"/>
    <cellStyle name="Porcentaje 3 2 5 2 4 2 3" xfId="27640" xr:uid="{00000000-0005-0000-0000-000091830000}"/>
    <cellStyle name="Porcentaje 3 2 5 2 4 3" xfId="12854" xr:uid="{00000000-0005-0000-0000-000092830000}"/>
    <cellStyle name="Porcentaje 3 2 5 2 4 3 2" xfId="32569" xr:uid="{00000000-0005-0000-0000-000093830000}"/>
    <cellStyle name="Porcentaje 3 2 5 2 4 4" xfId="22712" xr:uid="{00000000-0005-0000-0000-000094830000}"/>
    <cellStyle name="Porcentaje 3 2 5 2 5" xfId="5458" xr:uid="{00000000-0005-0000-0000-000095830000}"/>
    <cellStyle name="Porcentaje 3 2 5 2 5 2" xfId="15318" xr:uid="{00000000-0005-0000-0000-000096830000}"/>
    <cellStyle name="Porcentaje 3 2 5 2 5 2 2" xfId="35033" xr:uid="{00000000-0005-0000-0000-000097830000}"/>
    <cellStyle name="Porcentaje 3 2 5 2 5 3" xfId="25176" xr:uid="{00000000-0005-0000-0000-000098830000}"/>
    <cellStyle name="Porcentaje 3 2 5 2 6" xfId="10390" xr:uid="{00000000-0005-0000-0000-000099830000}"/>
    <cellStyle name="Porcentaje 3 2 5 2 6 2" xfId="30105" xr:uid="{00000000-0005-0000-0000-00009A830000}"/>
    <cellStyle name="Porcentaje 3 2 5 2 7" xfId="20248" xr:uid="{00000000-0005-0000-0000-00009B830000}"/>
    <cellStyle name="Porcentaje 3 2 5 3" xfId="829" xr:uid="{00000000-0005-0000-0000-00009C830000}"/>
    <cellStyle name="Porcentaje 3 2 5 3 2" xfId="2065" xr:uid="{00000000-0005-0000-0000-00009D830000}"/>
    <cellStyle name="Porcentaje 3 2 5 3 2 2" xfId="4532" xr:uid="{00000000-0005-0000-0000-00009E830000}"/>
    <cellStyle name="Porcentaje 3 2 5 3 2 2 2" xfId="9464" xr:uid="{00000000-0005-0000-0000-00009F830000}"/>
    <cellStyle name="Porcentaje 3 2 5 3 2 2 2 2" xfId="19324" xr:uid="{00000000-0005-0000-0000-0000A0830000}"/>
    <cellStyle name="Porcentaje 3 2 5 3 2 2 2 2 2" xfId="39039" xr:uid="{00000000-0005-0000-0000-0000A1830000}"/>
    <cellStyle name="Porcentaje 3 2 5 3 2 2 2 3" xfId="29182" xr:uid="{00000000-0005-0000-0000-0000A2830000}"/>
    <cellStyle name="Porcentaje 3 2 5 3 2 2 3" xfId="14396" xr:uid="{00000000-0005-0000-0000-0000A3830000}"/>
    <cellStyle name="Porcentaje 3 2 5 3 2 2 3 2" xfId="34111" xr:uid="{00000000-0005-0000-0000-0000A4830000}"/>
    <cellStyle name="Porcentaje 3 2 5 3 2 2 4" xfId="24254" xr:uid="{00000000-0005-0000-0000-0000A5830000}"/>
    <cellStyle name="Porcentaje 3 2 5 3 2 3" xfId="7000" xr:uid="{00000000-0005-0000-0000-0000A6830000}"/>
    <cellStyle name="Porcentaje 3 2 5 3 2 3 2" xfId="16860" xr:uid="{00000000-0005-0000-0000-0000A7830000}"/>
    <cellStyle name="Porcentaje 3 2 5 3 2 3 2 2" xfId="36575" xr:uid="{00000000-0005-0000-0000-0000A8830000}"/>
    <cellStyle name="Porcentaje 3 2 5 3 2 3 3" xfId="26718" xr:uid="{00000000-0005-0000-0000-0000A9830000}"/>
    <cellStyle name="Porcentaje 3 2 5 3 2 4" xfId="11932" xr:uid="{00000000-0005-0000-0000-0000AA830000}"/>
    <cellStyle name="Porcentaje 3 2 5 3 2 4 2" xfId="31647" xr:uid="{00000000-0005-0000-0000-0000AB830000}"/>
    <cellStyle name="Porcentaje 3 2 5 3 2 5" xfId="21790" xr:uid="{00000000-0005-0000-0000-0000AC830000}"/>
    <cellStyle name="Porcentaje 3 2 5 3 3" xfId="3300" xr:uid="{00000000-0005-0000-0000-0000AD830000}"/>
    <cellStyle name="Porcentaje 3 2 5 3 3 2" xfId="8232" xr:uid="{00000000-0005-0000-0000-0000AE830000}"/>
    <cellStyle name="Porcentaje 3 2 5 3 3 2 2" xfId="18092" xr:uid="{00000000-0005-0000-0000-0000AF830000}"/>
    <cellStyle name="Porcentaje 3 2 5 3 3 2 2 2" xfId="37807" xr:uid="{00000000-0005-0000-0000-0000B0830000}"/>
    <cellStyle name="Porcentaje 3 2 5 3 3 2 3" xfId="27950" xr:uid="{00000000-0005-0000-0000-0000B1830000}"/>
    <cellStyle name="Porcentaje 3 2 5 3 3 3" xfId="13164" xr:uid="{00000000-0005-0000-0000-0000B2830000}"/>
    <cellStyle name="Porcentaje 3 2 5 3 3 3 2" xfId="32879" xr:uid="{00000000-0005-0000-0000-0000B3830000}"/>
    <cellStyle name="Porcentaje 3 2 5 3 3 4" xfId="23022" xr:uid="{00000000-0005-0000-0000-0000B4830000}"/>
    <cellStyle name="Porcentaje 3 2 5 3 4" xfId="5768" xr:uid="{00000000-0005-0000-0000-0000B5830000}"/>
    <cellStyle name="Porcentaje 3 2 5 3 4 2" xfId="15628" xr:uid="{00000000-0005-0000-0000-0000B6830000}"/>
    <cellStyle name="Porcentaje 3 2 5 3 4 2 2" xfId="35343" xr:uid="{00000000-0005-0000-0000-0000B7830000}"/>
    <cellStyle name="Porcentaje 3 2 5 3 4 3" xfId="25486" xr:uid="{00000000-0005-0000-0000-0000B8830000}"/>
    <cellStyle name="Porcentaje 3 2 5 3 5" xfId="10700" xr:uid="{00000000-0005-0000-0000-0000B9830000}"/>
    <cellStyle name="Porcentaje 3 2 5 3 5 2" xfId="30415" xr:uid="{00000000-0005-0000-0000-0000BA830000}"/>
    <cellStyle name="Porcentaje 3 2 5 3 6" xfId="20558" xr:uid="{00000000-0005-0000-0000-0000BB830000}"/>
    <cellStyle name="Porcentaje 3 2 5 4" xfId="1449" xr:uid="{00000000-0005-0000-0000-0000BC830000}"/>
    <cellStyle name="Porcentaje 3 2 5 4 2" xfId="3916" xr:uid="{00000000-0005-0000-0000-0000BD830000}"/>
    <cellStyle name="Porcentaje 3 2 5 4 2 2" xfId="8848" xr:uid="{00000000-0005-0000-0000-0000BE830000}"/>
    <cellStyle name="Porcentaje 3 2 5 4 2 2 2" xfId="18708" xr:uid="{00000000-0005-0000-0000-0000BF830000}"/>
    <cellStyle name="Porcentaje 3 2 5 4 2 2 2 2" xfId="38423" xr:uid="{00000000-0005-0000-0000-0000C0830000}"/>
    <cellStyle name="Porcentaje 3 2 5 4 2 2 3" xfId="28566" xr:uid="{00000000-0005-0000-0000-0000C1830000}"/>
    <cellStyle name="Porcentaje 3 2 5 4 2 3" xfId="13780" xr:uid="{00000000-0005-0000-0000-0000C2830000}"/>
    <cellStyle name="Porcentaje 3 2 5 4 2 3 2" xfId="33495" xr:uid="{00000000-0005-0000-0000-0000C3830000}"/>
    <cellStyle name="Porcentaje 3 2 5 4 2 4" xfId="23638" xr:uid="{00000000-0005-0000-0000-0000C4830000}"/>
    <cellStyle name="Porcentaje 3 2 5 4 3" xfId="6384" xr:uid="{00000000-0005-0000-0000-0000C5830000}"/>
    <cellStyle name="Porcentaje 3 2 5 4 3 2" xfId="16244" xr:uid="{00000000-0005-0000-0000-0000C6830000}"/>
    <cellStyle name="Porcentaje 3 2 5 4 3 2 2" xfId="35959" xr:uid="{00000000-0005-0000-0000-0000C7830000}"/>
    <cellStyle name="Porcentaje 3 2 5 4 3 3" xfId="26102" xr:uid="{00000000-0005-0000-0000-0000C8830000}"/>
    <cellStyle name="Porcentaje 3 2 5 4 4" xfId="11316" xr:uid="{00000000-0005-0000-0000-0000C9830000}"/>
    <cellStyle name="Porcentaje 3 2 5 4 4 2" xfId="31031" xr:uid="{00000000-0005-0000-0000-0000CA830000}"/>
    <cellStyle name="Porcentaje 3 2 5 4 5" xfId="21174" xr:uid="{00000000-0005-0000-0000-0000CB830000}"/>
    <cellStyle name="Porcentaje 3 2 5 5" xfId="2684" xr:uid="{00000000-0005-0000-0000-0000CC830000}"/>
    <cellStyle name="Porcentaje 3 2 5 5 2" xfId="7616" xr:uid="{00000000-0005-0000-0000-0000CD830000}"/>
    <cellStyle name="Porcentaje 3 2 5 5 2 2" xfId="17476" xr:uid="{00000000-0005-0000-0000-0000CE830000}"/>
    <cellStyle name="Porcentaje 3 2 5 5 2 2 2" xfId="37191" xr:uid="{00000000-0005-0000-0000-0000CF830000}"/>
    <cellStyle name="Porcentaje 3 2 5 5 2 3" xfId="27334" xr:uid="{00000000-0005-0000-0000-0000D0830000}"/>
    <cellStyle name="Porcentaje 3 2 5 5 3" xfId="12548" xr:uid="{00000000-0005-0000-0000-0000D1830000}"/>
    <cellStyle name="Porcentaje 3 2 5 5 3 2" xfId="32263" xr:uid="{00000000-0005-0000-0000-0000D2830000}"/>
    <cellStyle name="Porcentaje 3 2 5 5 4" xfId="22406" xr:uid="{00000000-0005-0000-0000-0000D3830000}"/>
    <cellStyle name="Porcentaje 3 2 5 6" xfId="5152" xr:uid="{00000000-0005-0000-0000-0000D4830000}"/>
    <cellStyle name="Porcentaje 3 2 5 6 2" xfId="15012" xr:uid="{00000000-0005-0000-0000-0000D5830000}"/>
    <cellStyle name="Porcentaje 3 2 5 6 2 2" xfId="34727" xr:uid="{00000000-0005-0000-0000-0000D6830000}"/>
    <cellStyle name="Porcentaje 3 2 5 6 3" xfId="24870" xr:uid="{00000000-0005-0000-0000-0000D7830000}"/>
    <cellStyle name="Porcentaje 3 2 5 7" xfId="10084" xr:uid="{00000000-0005-0000-0000-0000D8830000}"/>
    <cellStyle name="Porcentaje 3 2 5 7 2" xfId="29799" xr:uid="{00000000-0005-0000-0000-0000D9830000}"/>
    <cellStyle name="Porcentaje 3 2 5 8" xfId="19942" xr:uid="{00000000-0005-0000-0000-0000DA830000}"/>
    <cellStyle name="Porcentaje 3 2 6" xfId="364" xr:uid="{00000000-0005-0000-0000-0000DB830000}"/>
    <cellStyle name="Porcentaje 3 2 6 2" xfId="984" xr:uid="{00000000-0005-0000-0000-0000DC830000}"/>
    <cellStyle name="Porcentaje 3 2 6 2 2" xfId="2219" xr:uid="{00000000-0005-0000-0000-0000DD830000}"/>
    <cellStyle name="Porcentaje 3 2 6 2 2 2" xfId="4686" xr:uid="{00000000-0005-0000-0000-0000DE830000}"/>
    <cellStyle name="Porcentaje 3 2 6 2 2 2 2" xfId="9618" xr:uid="{00000000-0005-0000-0000-0000DF830000}"/>
    <cellStyle name="Porcentaje 3 2 6 2 2 2 2 2" xfId="19478" xr:uid="{00000000-0005-0000-0000-0000E0830000}"/>
    <cellStyle name="Porcentaje 3 2 6 2 2 2 2 2 2" xfId="39193" xr:uid="{00000000-0005-0000-0000-0000E1830000}"/>
    <cellStyle name="Porcentaje 3 2 6 2 2 2 2 3" xfId="29336" xr:uid="{00000000-0005-0000-0000-0000E2830000}"/>
    <cellStyle name="Porcentaje 3 2 6 2 2 2 3" xfId="14550" xr:uid="{00000000-0005-0000-0000-0000E3830000}"/>
    <cellStyle name="Porcentaje 3 2 6 2 2 2 3 2" xfId="34265" xr:uid="{00000000-0005-0000-0000-0000E4830000}"/>
    <cellStyle name="Porcentaje 3 2 6 2 2 2 4" xfId="24408" xr:uid="{00000000-0005-0000-0000-0000E5830000}"/>
    <cellStyle name="Porcentaje 3 2 6 2 2 3" xfId="7154" xr:uid="{00000000-0005-0000-0000-0000E6830000}"/>
    <cellStyle name="Porcentaje 3 2 6 2 2 3 2" xfId="17014" xr:uid="{00000000-0005-0000-0000-0000E7830000}"/>
    <cellStyle name="Porcentaje 3 2 6 2 2 3 2 2" xfId="36729" xr:uid="{00000000-0005-0000-0000-0000E8830000}"/>
    <cellStyle name="Porcentaje 3 2 6 2 2 3 3" xfId="26872" xr:uid="{00000000-0005-0000-0000-0000E9830000}"/>
    <cellStyle name="Porcentaje 3 2 6 2 2 4" xfId="12086" xr:uid="{00000000-0005-0000-0000-0000EA830000}"/>
    <cellStyle name="Porcentaje 3 2 6 2 2 4 2" xfId="31801" xr:uid="{00000000-0005-0000-0000-0000EB830000}"/>
    <cellStyle name="Porcentaje 3 2 6 2 2 5" xfId="21944" xr:uid="{00000000-0005-0000-0000-0000EC830000}"/>
    <cellStyle name="Porcentaje 3 2 6 2 3" xfId="3454" xr:uid="{00000000-0005-0000-0000-0000ED830000}"/>
    <cellStyle name="Porcentaje 3 2 6 2 3 2" xfId="8386" xr:uid="{00000000-0005-0000-0000-0000EE830000}"/>
    <cellStyle name="Porcentaje 3 2 6 2 3 2 2" xfId="18246" xr:uid="{00000000-0005-0000-0000-0000EF830000}"/>
    <cellStyle name="Porcentaje 3 2 6 2 3 2 2 2" xfId="37961" xr:uid="{00000000-0005-0000-0000-0000F0830000}"/>
    <cellStyle name="Porcentaje 3 2 6 2 3 2 3" xfId="28104" xr:uid="{00000000-0005-0000-0000-0000F1830000}"/>
    <cellStyle name="Porcentaje 3 2 6 2 3 3" xfId="13318" xr:uid="{00000000-0005-0000-0000-0000F2830000}"/>
    <cellStyle name="Porcentaje 3 2 6 2 3 3 2" xfId="33033" xr:uid="{00000000-0005-0000-0000-0000F3830000}"/>
    <cellStyle name="Porcentaje 3 2 6 2 3 4" xfId="23176" xr:uid="{00000000-0005-0000-0000-0000F4830000}"/>
    <cellStyle name="Porcentaje 3 2 6 2 4" xfId="5922" xr:uid="{00000000-0005-0000-0000-0000F5830000}"/>
    <cellStyle name="Porcentaje 3 2 6 2 4 2" xfId="15782" xr:uid="{00000000-0005-0000-0000-0000F6830000}"/>
    <cellStyle name="Porcentaje 3 2 6 2 4 2 2" xfId="35497" xr:uid="{00000000-0005-0000-0000-0000F7830000}"/>
    <cellStyle name="Porcentaje 3 2 6 2 4 3" xfId="25640" xr:uid="{00000000-0005-0000-0000-0000F8830000}"/>
    <cellStyle name="Porcentaje 3 2 6 2 5" xfId="10854" xr:uid="{00000000-0005-0000-0000-0000F9830000}"/>
    <cellStyle name="Porcentaje 3 2 6 2 5 2" xfId="30569" xr:uid="{00000000-0005-0000-0000-0000FA830000}"/>
    <cellStyle name="Porcentaje 3 2 6 2 6" xfId="20712" xr:uid="{00000000-0005-0000-0000-0000FB830000}"/>
    <cellStyle name="Porcentaje 3 2 6 3" xfId="1603" xr:uid="{00000000-0005-0000-0000-0000FC830000}"/>
    <cellStyle name="Porcentaje 3 2 6 3 2" xfId="4070" xr:uid="{00000000-0005-0000-0000-0000FD830000}"/>
    <cellStyle name="Porcentaje 3 2 6 3 2 2" xfId="9002" xr:uid="{00000000-0005-0000-0000-0000FE830000}"/>
    <cellStyle name="Porcentaje 3 2 6 3 2 2 2" xfId="18862" xr:uid="{00000000-0005-0000-0000-0000FF830000}"/>
    <cellStyle name="Porcentaje 3 2 6 3 2 2 2 2" xfId="38577" xr:uid="{00000000-0005-0000-0000-000000840000}"/>
    <cellStyle name="Porcentaje 3 2 6 3 2 2 3" xfId="28720" xr:uid="{00000000-0005-0000-0000-000001840000}"/>
    <cellStyle name="Porcentaje 3 2 6 3 2 3" xfId="13934" xr:uid="{00000000-0005-0000-0000-000002840000}"/>
    <cellStyle name="Porcentaje 3 2 6 3 2 3 2" xfId="33649" xr:uid="{00000000-0005-0000-0000-000003840000}"/>
    <cellStyle name="Porcentaje 3 2 6 3 2 4" xfId="23792" xr:uid="{00000000-0005-0000-0000-000004840000}"/>
    <cellStyle name="Porcentaje 3 2 6 3 3" xfId="6538" xr:uid="{00000000-0005-0000-0000-000005840000}"/>
    <cellStyle name="Porcentaje 3 2 6 3 3 2" xfId="16398" xr:uid="{00000000-0005-0000-0000-000006840000}"/>
    <cellStyle name="Porcentaje 3 2 6 3 3 2 2" xfId="36113" xr:uid="{00000000-0005-0000-0000-000007840000}"/>
    <cellStyle name="Porcentaje 3 2 6 3 3 3" xfId="26256" xr:uid="{00000000-0005-0000-0000-000008840000}"/>
    <cellStyle name="Porcentaje 3 2 6 3 4" xfId="11470" xr:uid="{00000000-0005-0000-0000-000009840000}"/>
    <cellStyle name="Porcentaje 3 2 6 3 4 2" xfId="31185" xr:uid="{00000000-0005-0000-0000-00000A840000}"/>
    <cellStyle name="Porcentaje 3 2 6 3 5" xfId="21328" xr:uid="{00000000-0005-0000-0000-00000B840000}"/>
    <cellStyle name="Porcentaje 3 2 6 4" xfId="2838" xr:uid="{00000000-0005-0000-0000-00000C840000}"/>
    <cellStyle name="Porcentaje 3 2 6 4 2" xfId="7770" xr:uid="{00000000-0005-0000-0000-00000D840000}"/>
    <cellStyle name="Porcentaje 3 2 6 4 2 2" xfId="17630" xr:uid="{00000000-0005-0000-0000-00000E840000}"/>
    <cellStyle name="Porcentaje 3 2 6 4 2 2 2" xfId="37345" xr:uid="{00000000-0005-0000-0000-00000F840000}"/>
    <cellStyle name="Porcentaje 3 2 6 4 2 3" xfId="27488" xr:uid="{00000000-0005-0000-0000-000010840000}"/>
    <cellStyle name="Porcentaje 3 2 6 4 3" xfId="12702" xr:uid="{00000000-0005-0000-0000-000011840000}"/>
    <cellStyle name="Porcentaje 3 2 6 4 3 2" xfId="32417" xr:uid="{00000000-0005-0000-0000-000012840000}"/>
    <cellStyle name="Porcentaje 3 2 6 4 4" xfId="22560" xr:uid="{00000000-0005-0000-0000-000013840000}"/>
    <cellStyle name="Porcentaje 3 2 6 5" xfId="5306" xr:uid="{00000000-0005-0000-0000-000014840000}"/>
    <cellStyle name="Porcentaje 3 2 6 5 2" xfId="15166" xr:uid="{00000000-0005-0000-0000-000015840000}"/>
    <cellStyle name="Porcentaje 3 2 6 5 2 2" xfId="34881" xr:uid="{00000000-0005-0000-0000-000016840000}"/>
    <cellStyle name="Porcentaje 3 2 6 5 3" xfId="25024" xr:uid="{00000000-0005-0000-0000-000017840000}"/>
    <cellStyle name="Porcentaje 3 2 6 6" xfId="10238" xr:uid="{00000000-0005-0000-0000-000018840000}"/>
    <cellStyle name="Porcentaje 3 2 6 6 2" xfId="29953" xr:uid="{00000000-0005-0000-0000-000019840000}"/>
    <cellStyle name="Porcentaje 3 2 6 7" xfId="20096" xr:uid="{00000000-0005-0000-0000-00001A840000}"/>
    <cellStyle name="Porcentaje 3 2 7" xfId="677" xr:uid="{00000000-0005-0000-0000-00001B840000}"/>
    <cellStyle name="Porcentaje 3 2 7 2" xfId="1913" xr:uid="{00000000-0005-0000-0000-00001C840000}"/>
    <cellStyle name="Porcentaje 3 2 7 2 2" xfId="4380" xr:uid="{00000000-0005-0000-0000-00001D840000}"/>
    <cellStyle name="Porcentaje 3 2 7 2 2 2" xfId="9312" xr:uid="{00000000-0005-0000-0000-00001E840000}"/>
    <cellStyle name="Porcentaje 3 2 7 2 2 2 2" xfId="19172" xr:uid="{00000000-0005-0000-0000-00001F840000}"/>
    <cellStyle name="Porcentaje 3 2 7 2 2 2 2 2" xfId="38887" xr:uid="{00000000-0005-0000-0000-000020840000}"/>
    <cellStyle name="Porcentaje 3 2 7 2 2 2 3" xfId="29030" xr:uid="{00000000-0005-0000-0000-000021840000}"/>
    <cellStyle name="Porcentaje 3 2 7 2 2 3" xfId="14244" xr:uid="{00000000-0005-0000-0000-000022840000}"/>
    <cellStyle name="Porcentaje 3 2 7 2 2 3 2" xfId="33959" xr:uid="{00000000-0005-0000-0000-000023840000}"/>
    <cellStyle name="Porcentaje 3 2 7 2 2 4" xfId="24102" xr:uid="{00000000-0005-0000-0000-000024840000}"/>
    <cellStyle name="Porcentaje 3 2 7 2 3" xfId="6848" xr:uid="{00000000-0005-0000-0000-000025840000}"/>
    <cellStyle name="Porcentaje 3 2 7 2 3 2" xfId="16708" xr:uid="{00000000-0005-0000-0000-000026840000}"/>
    <cellStyle name="Porcentaje 3 2 7 2 3 2 2" xfId="36423" xr:uid="{00000000-0005-0000-0000-000027840000}"/>
    <cellStyle name="Porcentaje 3 2 7 2 3 3" xfId="26566" xr:uid="{00000000-0005-0000-0000-000028840000}"/>
    <cellStyle name="Porcentaje 3 2 7 2 4" xfId="11780" xr:uid="{00000000-0005-0000-0000-000029840000}"/>
    <cellStyle name="Porcentaje 3 2 7 2 4 2" xfId="31495" xr:uid="{00000000-0005-0000-0000-00002A840000}"/>
    <cellStyle name="Porcentaje 3 2 7 2 5" xfId="21638" xr:uid="{00000000-0005-0000-0000-00002B840000}"/>
    <cellStyle name="Porcentaje 3 2 7 3" xfId="3148" xr:uid="{00000000-0005-0000-0000-00002C840000}"/>
    <cellStyle name="Porcentaje 3 2 7 3 2" xfId="8080" xr:uid="{00000000-0005-0000-0000-00002D840000}"/>
    <cellStyle name="Porcentaje 3 2 7 3 2 2" xfId="17940" xr:uid="{00000000-0005-0000-0000-00002E840000}"/>
    <cellStyle name="Porcentaje 3 2 7 3 2 2 2" xfId="37655" xr:uid="{00000000-0005-0000-0000-00002F840000}"/>
    <cellStyle name="Porcentaje 3 2 7 3 2 3" xfId="27798" xr:uid="{00000000-0005-0000-0000-000030840000}"/>
    <cellStyle name="Porcentaje 3 2 7 3 3" xfId="13012" xr:uid="{00000000-0005-0000-0000-000031840000}"/>
    <cellStyle name="Porcentaje 3 2 7 3 3 2" xfId="32727" xr:uid="{00000000-0005-0000-0000-000032840000}"/>
    <cellStyle name="Porcentaje 3 2 7 3 4" xfId="22870" xr:uid="{00000000-0005-0000-0000-000033840000}"/>
    <cellStyle name="Porcentaje 3 2 7 4" xfId="5616" xr:uid="{00000000-0005-0000-0000-000034840000}"/>
    <cellStyle name="Porcentaje 3 2 7 4 2" xfId="15476" xr:uid="{00000000-0005-0000-0000-000035840000}"/>
    <cellStyle name="Porcentaje 3 2 7 4 2 2" xfId="35191" xr:uid="{00000000-0005-0000-0000-000036840000}"/>
    <cellStyle name="Porcentaje 3 2 7 4 3" xfId="25334" xr:uid="{00000000-0005-0000-0000-000037840000}"/>
    <cellStyle name="Porcentaje 3 2 7 5" xfId="10548" xr:uid="{00000000-0005-0000-0000-000038840000}"/>
    <cellStyle name="Porcentaje 3 2 7 5 2" xfId="30263" xr:uid="{00000000-0005-0000-0000-000039840000}"/>
    <cellStyle name="Porcentaje 3 2 7 6" xfId="20406" xr:uid="{00000000-0005-0000-0000-00003A840000}"/>
    <cellStyle name="Porcentaje 3 2 8" xfId="1297" xr:uid="{00000000-0005-0000-0000-00003B840000}"/>
    <cellStyle name="Porcentaje 3 2 8 2" xfId="3764" xr:uid="{00000000-0005-0000-0000-00003C840000}"/>
    <cellStyle name="Porcentaje 3 2 8 2 2" xfId="8696" xr:uid="{00000000-0005-0000-0000-00003D840000}"/>
    <cellStyle name="Porcentaje 3 2 8 2 2 2" xfId="18556" xr:uid="{00000000-0005-0000-0000-00003E840000}"/>
    <cellStyle name="Porcentaje 3 2 8 2 2 2 2" xfId="38271" xr:uid="{00000000-0005-0000-0000-00003F840000}"/>
    <cellStyle name="Porcentaje 3 2 8 2 2 3" xfId="28414" xr:uid="{00000000-0005-0000-0000-000040840000}"/>
    <cellStyle name="Porcentaje 3 2 8 2 3" xfId="13628" xr:uid="{00000000-0005-0000-0000-000041840000}"/>
    <cellStyle name="Porcentaje 3 2 8 2 3 2" xfId="33343" xr:uid="{00000000-0005-0000-0000-000042840000}"/>
    <cellStyle name="Porcentaje 3 2 8 2 4" xfId="23486" xr:uid="{00000000-0005-0000-0000-000043840000}"/>
    <cellStyle name="Porcentaje 3 2 8 3" xfId="6232" xr:uid="{00000000-0005-0000-0000-000044840000}"/>
    <cellStyle name="Porcentaje 3 2 8 3 2" xfId="16092" xr:uid="{00000000-0005-0000-0000-000045840000}"/>
    <cellStyle name="Porcentaje 3 2 8 3 2 2" xfId="35807" xr:uid="{00000000-0005-0000-0000-000046840000}"/>
    <cellStyle name="Porcentaje 3 2 8 3 3" xfId="25950" xr:uid="{00000000-0005-0000-0000-000047840000}"/>
    <cellStyle name="Porcentaje 3 2 8 4" xfId="11164" xr:uid="{00000000-0005-0000-0000-000048840000}"/>
    <cellStyle name="Porcentaje 3 2 8 4 2" xfId="30879" xr:uid="{00000000-0005-0000-0000-000049840000}"/>
    <cellStyle name="Porcentaje 3 2 8 5" xfId="21022" xr:uid="{00000000-0005-0000-0000-00004A840000}"/>
    <cellStyle name="Porcentaje 3 2 9" xfId="2532" xr:uid="{00000000-0005-0000-0000-00004B840000}"/>
    <cellStyle name="Porcentaje 3 2 9 2" xfId="7464" xr:uid="{00000000-0005-0000-0000-00004C840000}"/>
    <cellStyle name="Porcentaje 3 2 9 2 2" xfId="17324" xr:uid="{00000000-0005-0000-0000-00004D840000}"/>
    <cellStyle name="Porcentaje 3 2 9 2 2 2" xfId="37039" xr:uid="{00000000-0005-0000-0000-00004E840000}"/>
    <cellStyle name="Porcentaje 3 2 9 2 3" xfId="27182" xr:uid="{00000000-0005-0000-0000-00004F840000}"/>
    <cellStyle name="Porcentaje 3 2 9 3" xfId="12396" xr:uid="{00000000-0005-0000-0000-000050840000}"/>
    <cellStyle name="Porcentaje 3 2 9 3 2" xfId="32111" xr:uid="{00000000-0005-0000-0000-000051840000}"/>
    <cellStyle name="Porcentaje 3 2 9 4" xfId="22254" xr:uid="{00000000-0005-0000-0000-000052840000}"/>
    <cellStyle name="Porcentaje 3 3" xfId="45" xr:uid="{00000000-0005-0000-0000-000053840000}"/>
    <cellStyle name="Porcentaje 3 3 10" xfId="9942" xr:uid="{00000000-0005-0000-0000-000054840000}"/>
    <cellStyle name="Porcentaje 3 3 10 2" xfId="29657" xr:uid="{00000000-0005-0000-0000-000055840000}"/>
    <cellStyle name="Porcentaje 3 3 11" xfId="19800" xr:uid="{00000000-0005-0000-0000-000056840000}"/>
    <cellStyle name="Porcentaje 3 3 2" xfId="88" xr:uid="{00000000-0005-0000-0000-000057840000}"/>
    <cellStyle name="Porcentaje 3 3 2 10" xfId="19838" xr:uid="{00000000-0005-0000-0000-000058840000}"/>
    <cellStyle name="Porcentaje 3 3 2 2" xfId="169" xr:uid="{00000000-0005-0000-0000-000059840000}"/>
    <cellStyle name="Porcentaje 3 3 2 2 2" xfId="326" xr:uid="{00000000-0005-0000-0000-00005A840000}"/>
    <cellStyle name="Porcentaje 3 3 2 2 2 2" xfId="640" xr:uid="{00000000-0005-0000-0000-00005B840000}"/>
    <cellStyle name="Porcentaje 3 3 2 2 2 2 2" xfId="1260" xr:uid="{00000000-0005-0000-0000-00005C840000}"/>
    <cellStyle name="Porcentaje 3 3 2 2 2 2 2 2" xfId="2495" xr:uid="{00000000-0005-0000-0000-00005D840000}"/>
    <cellStyle name="Porcentaje 3 3 2 2 2 2 2 2 2" xfId="4962" xr:uid="{00000000-0005-0000-0000-00005E840000}"/>
    <cellStyle name="Porcentaje 3 3 2 2 2 2 2 2 2 2" xfId="9894" xr:uid="{00000000-0005-0000-0000-00005F840000}"/>
    <cellStyle name="Porcentaje 3 3 2 2 2 2 2 2 2 2 2" xfId="19754" xr:uid="{00000000-0005-0000-0000-000060840000}"/>
    <cellStyle name="Porcentaje 3 3 2 2 2 2 2 2 2 2 2 2" xfId="39469" xr:uid="{00000000-0005-0000-0000-000061840000}"/>
    <cellStyle name="Porcentaje 3 3 2 2 2 2 2 2 2 2 3" xfId="29612" xr:uid="{00000000-0005-0000-0000-000062840000}"/>
    <cellStyle name="Porcentaje 3 3 2 2 2 2 2 2 2 3" xfId="14826" xr:uid="{00000000-0005-0000-0000-000063840000}"/>
    <cellStyle name="Porcentaje 3 3 2 2 2 2 2 2 2 3 2" xfId="34541" xr:uid="{00000000-0005-0000-0000-000064840000}"/>
    <cellStyle name="Porcentaje 3 3 2 2 2 2 2 2 2 4" xfId="24684" xr:uid="{00000000-0005-0000-0000-000065840000}"/>
    <cellStyle name="Porcentaje 3 3 2 2 2 2 2 2 3" xfId="7430" xr:uid="{00000000-0005-0000-0000-000066840000}"/>
    <cellStyle name="Porcentaje 3 3 2 2 2 2 2 2 3 2" xfId="17290" xr:uid="{00000000-0005-0000-0000-000067840000}"/>
    <cellStyle name="Porcentaje 3 3 2 2 2 2 2 2 3 2 2" xfId="37005" xr:uid="{00000000-0005-0000-0000-000068840000}"/>
    <cellStyle name="Porcentaje 3 3 2 2 2 2 2 2 3 3" xfId="27148" xr:uid="{00000000-0005-0000-0000-000069840000}"/>
    <cellStyle name="Porcentaje 3 3 2 2 2 2 2 2 4" xfId="12362" xr:uid="{00000000-0005-0000-0000-00006A840000}"/>
    <cellStyle name="Porcentaje 3 3 2 2 2 2 2 2 4 2" xfId="32077" xr:uid="{00000000-0005-0000-0000-00006B840000}"/>
    <cellStyle name="Porcentaje 3 3 2 2 2 2 2 2 5" xfId="22220" xr:uid="{00000000-0005-0000-0000-00006C840000}"/>
    <cellStyle name="Porcentaje 3 3 2 2 2 2 2 3" xfId="3730" xr:uid="{00000000-0005-0000-0000-00006D840000}"/>
    <cellStyle name="Porcentaje 3 3 2 2 2 2 2 3 2" xfId="8662" xr:uid="{00000000-0005-0000-0000-00006E840000}"/>
    <cellStyle name="Porcentaje 3 3 2 2 2 2 2 3 2 2" xfId="18522" xr:uid="{00000000-0005-0000-0000-00006F840000}"/>
    <cellStyle name="Porcentaje 3 3 2 2 2 2 2 3 2 2 2" xfId="38237" xr:uid="{00000000-0005-0000-0000-000070840000}"/>
    <cellStyle name="Porcentaje 3 3 2 2 2 2 2 3 2 3" xfId="28380" xr:uid="{00000000-0005-0000-0000-000071840000}"/>
    <cellStyle name="Porcentaje 3 3 2 2 2 2 2 3 3" xfId="13594" xr:uid="{00000000-0005-0000-0000-000072840000}"/>
    <cellStyle name="Porcentaje 3 3 2 2 2 2 2 3 3 2" xfId="33309" xr:uid="{00000000-0005-0000-0000-000073840000}"/>
    <cellStyle name="Porcentaje 3 3 2 2 2 2 2 3 4" xfId="23452" xr:uid="{00000000-0005-0000-0000-000074840000}"/>
    <cellStyle name="Porcentaje 3 3 2 2 2 2 2 4" xfId="6198" xr:uid="{00000000-0005-0000-0000-000075840000}"/>
    <cellStyle name="Porcentaje 3 3 2 2 2 2 2 4 2" xfId="16058" xr:uid="{00000000-0005-0000-0000-000076840000}"/>
    <cellStyle name="Porcentaje 3 3 2 2 2 2 2 4 2 2" xfId="35773" xr:uid="{00000000-0005-0000-0000-000077840000}"/>
    <cellStyle name="Porcentaje 3 3 2 2 2 2 2 4 3" xfId="25916" xr:uid="{00000000-0005-0000-0000-000078840000}"/>
    <cellStyle name="Porcentaje 3 3 2 2 2 2 2 5" xfId="11130" xr:uid="{00000000-0005-0000-0000-000079840000}"/>
    <cellStyle name="Porcentaje 3 3 2 2 2 2 2 5 2" xfId="30845" xr:uid="{00000000-0005-0000-0000-00007A840000}"/>
    <cellStyle name="Porcentaje 3 3 2 2 2 2 2 6" xfId="20988" xr:uid="{00000000-0005-0000-0000-00007B840000}"/>
    <cellStyle name="Porcentaje 3 3 2 2 2 2 3" xfId="1879" xr:uid="{00000000-0005-0000-0000-00007C840000}"/>
    <cellStyle name="Porcentaje 3 3 2 2 2 2 3 2" xfId="4346" xr:uid="{00000000-0005-0000-0000-00007D840000}"/>
    <cellStyle name="Porcentaje 3 3 2 2 2 2 3 2 2" xfId="9278" xr:uid="{00000000-0005-0000-0000-00007E840000}"/>
    <cellStyle name="Porcentaje 3 3 2 2 2 2 3 2 2 2" xfId="19138" xr:uid="{00000000-0005-0000-0000-00007F840000}"/>
    <cellStyle name="Porcentaje 3 3 2 2 2 2 3 2 2 2 2" xfId="38853" xr:uid="{00000000-0005-0000-0000-000080840000}"/>
    <cellStyle name="Porcentaje 3 3 2 2 2 2 3 2 2 3" xfId="28996" xr:uid="{00000000-0005-0000-0000-000081840000}"/>
    <cellStyle name="Porcentaje 3 3 2 2 2 2 3 2 3" xfId="14210" xr:uid="{00000000-0005-0000-0000-000082840000}"/>
    <cellStyle name="Porcentaje 3 3 2 2 2 2 3 2 3 2" xfId="33925" xr:uid="{00000000-0005-0000-0000-000083840000}"/>
    <cellStyle name="Porcentaje 3 3 2 2 2 2 3 2 4" xfId="24068" xr:uid="{00000000-0005-0000-0000-000084840000}"/>
    <cellStyle name="Porcentaje 3 3 2 2 2 2 3 3" xfId="6814" xr:uid="{00000000-0005-0000-0000-000085840000}"/>
    <cellStyle name="Porcentaje 3 3 2 2 2 2 3 3 2" xfId="16674" xr:uid="{00000000-0005-0000-0000-000086840000}"/>
    <cellStyle name="Porcentaje 3 3 2 2 2 2 3 3 2 2" xfId="36389" xr:uid="{00000000-0005-0000-0000-000087840000}"/>
    <cellStyle name="Porcentaje 3 3 2 2 2 2 3 3 3" xfId="26532" xr:uid="{00000000-0005-0000-0000-000088840000}"/>
    <cellStyle name="Porcentaje 3 3 2 2 2 2 3 4" xfId="11746" xr:uid="{00000000-0005-0000-0000-000089840000}"/>
    <cellStyle name="Porcentaje 3 3 2 2 2 2 3 4 2" xfId="31461" xr:uid="{00000000-0005-0000-0000-00008A840000}"/>
    <cellStyle name="Porcentaje 3 3 2 2 2 2 3 5" xfId="21604" xr:uid="{00000000-0005-0000-0000-00008B840000}"/>
    <cellStyle name="Porcentaje 3 3 2 2 2 2 4" xfId="3114" xr:uid="{00000000-0005-0000-0000-00008C840000}"/>
    <cellStyle name="Porcentaje 3 3 2 2 2 2 4 2" xfId="8046" xr:uid="{00000000-0005-0000-0000-00008D840000}"/>
    <cellStyle name="Porcentaje 3 3 2 2 2 2 4 2 2" xfId="17906" xr:uid="{00000000-0005-0000-0000-00008E840000}"/>
    <cellStyle name="Porcentaje 3 3 2 2 2 2 4 2 2 2" xfId="37621" xr:uid="{00000000-0005-0000-0000-00008F840000}"/>
    <cellStyle name="Porcentaje 3 3 2 2 2 2 4 2 3" xfId="27764" xr:uid="{00000000-0005-0000-0000-000090840000}"/>
    <cellStyle name="Porcentaje 3 3 2 2 2 2 4 3" xfId="12978" xr:uid="{00000000-0005-0000-0000-000091840000}"/>
    <cellStyle name="Porcentaje 3 3 2 2 2 2 4 3 2" xfId="32693" xr:uid="{00000000-0005-0000-0000-000092840000}"/>
    <cellStyle name="Porcentaje 3 3 2 2 2 2 4 4" xfId="22836" xr:uid="{00000000-0005-0000-0000-000093840000}"/>
    <cellStyle name="Porcentaje 3 3 2 2 2 2 5" xfId="5582" xr:uid="{00000000-0005-0000-0000-000094840000}"/>
    <cellStyle name="Porcentaje 3 3 2 2 2 2 5 2" xfId="15442" xr:uid="{00000000-0005-0000-0000-000095840000}"/>
    <cellStyle name="Porcentaje 3 3 2 2 2 2 5 2 2" xfId="35157" xr:uid="{00000000-0005-0000-0000-000096840000}"/>
    <cellStyle name="Porcentaje 3 3 2 2 2 2 5 3" xfId="25300" xr:uid="{00000000-0005-0000-0000-000097840000}"/>
    <cellStyle name="Porcentaje 3 3 2 2 2 2 6" xfId="10514" xr:uid="{00000000-0005-0000-0000-000098840000}"/>
    <cellStyle name="Porcentaje 3 3 2 2 2 2 6 2" xfId="30229" xr:uid="{00000000-0005-0000-0000-000099840000}"/>
    <cellStyle name="Porcentaje 3 3 2 2 2 2 7" xfId="20372" xr:uid="{00000000-0005-0000-0000-00009A840000}"/>
    <cellStyle name="Porcentaje 3 3 2 2 2 3" xfId="953" xr:uid="{00000000-0005-0000-0000-00009B840000}"/>
    <cellStyle name="Porcentaje 3 3 2 2 2 3 2" xfId="2189" xr:uid="{00000000-0005-0000-0000-00009C840000}"/>
    <cellStyle name="Porcentaje 3 3 2 2 2 3 2 2" xfId="4656" xr:uid="{00000000-0005-0000-0000-00009D840000}"/>
    <cellStyle name="Porcentaje 3 3 2 2 2 3 2 2 2" xfId="9588" xr:uid="{00000000-0005-0000-0000-00009E840000}"/>
    <cellStyle name="Porcentaje 3 3 2 2 2 3 2 2 2 2" xfId="19448" xr:uid="{00000000-0005-0000-0000-00009F840000}"/>
    <cellStyle name="Porcentaje 3 3 2 2 2 3 2 2 2 2 2" xfId="39163" xr:uid="{00000000-0005-0000-0000-0000A0840000}"/>
    <cellStyle name="Porcentaje 3 3 2 2 2 3 2 2 2 3" xfId="29306" xr:uid="{00000000-0005-0000-0000-0000A1840000}"/>
    <cellStyle name="Porcentaje 3 3 2 2 2 3 2 2 3" xfId="14520" xr:uid="{00000000-0005-0000-0000-0000A2840000}"/>
    <cellStyle name="Porcentaje 3 3 2 2 2 3 2 2 3 2" xfId="34235" xr:uid="{00000000-0005-0000-0000-0000A3840000}"/>
    <cellStyle name="Porcentaje 3 3 2 2 2 3 2 2 4" xfId="24378" xr:uid="{00000000-0005-0000-0000-0000A4840000}"/>
    <cellStyle name="Porcentaje 3 3 2 2 2 3 2 3" xfId="7124" xr:uid="{00000000-0005-0000-0000-0000A5840000}"/>
    <cellStyle name="Porcentaje 3 3 2 2 2 3 2 3 2" xfId="16984" xr:uid="{00000000-0005-0000-0000-0000A6840000}"/>
    <cellStyle name="Porcentaje 3 3 2 2 2 3 2 3 2 2" xfId="36699" xr:uid="{00000000-0005-0000-0000-0000A7840000}"/>
    <cellStyle name="Porcentaje 3 3 2 2 2 3 2 3 3" xfId="26842" xr:uid="{00000000-0005-0000-0000-0000A8840000}"/>
    <cellStyle name="Porcentaje 3 3 2 2 2 3 2 4" xfId="12056" xr:uid="{00000000-0005-0000-0000-0000A9840000}"/>
    <cellStyle name="Porcentaje 3 3 2 2 2 3 2 4 2" xfId="31771" xr:uid="{00000000-0005-0000-0000-0000AA840000}"/>
    <cellStyle name="Porcentaje 3 3 2 2 2 3 2 5" xfId="21914" xr:uid="{00000000-0005-0000-0000-0000AB840000}"/>
    <cellStyle name="Porcentaje 3 3 2 2 2 3 3" xfId="3424" xr:uid="{00000000-0005-0000-0000-0000AC840000}"/>
    <cellStyle name="Porcentaje 3 3 2 2 2 3 3 2" xfId="8356" xr:uid="{00000000-0005-0000-0000-0000AD840000}"/>
    <cellStyle name="Porcentaje 3 3 2 2 2 3 3 2 2" xfId="18216" xr:uid="{00000000-0005-0000-0000-0000AE840000}"/>
    <cellStyle name="Porcentaje 3 3 2 2 2 3 3 2 2 2" xfId="37931" xr:uid="{00000000-0005-0000-0000-0000AF840000}"/>
    <cellStyle name="Porcentaje 3 3 2 2 2 3 3 2 3" xfId="28074" xr:uid="{00000000-0005-0000-0000-0000B0840000}"/>
    <cellStyle name="Porcentaje 3 3 2 2 2 3 3 3" xfId="13288" xr:uid="{00000000-0005-0000-0000-0000B1840000}"/>
    <cellStyle name="Porcentaje 3 3 2 2 2 3 3 3 2" xfId="33003" xr:uid="{00000000-0005-0000-0000-0000B2840000}"/>
    <cellStyle name="Porcentaje 3 3 2 2 2 3 3 4" xfId="23146" xr:uid="{00000000-0005-0000-0000-0000B3840000}"/>
    <cellStyle name="Porcentaje 3 3 2 2 2 3 4" xfId="5892" xr:uid="{00000000-0005-0000-0000-0000B4840000}"/>
    <cellStyle name="Porcentaje 3 3 2 2 2 3 4 2" xfId="15752" xr:uid="{00000000-0005-0000-0000-0000B5840000}"/>
    <cellStyle name="Porcentaje 3 3 2 2 2 3 4 2 2" xfId="35467" xr:uid="{00000000-0005-0000-0000-0000B6840000}"/>
    <cellStyle name="Porcentaje 3 3 2 2 2 3 4 3" xfId="25610" xr:uid="{00000000-0005-0000-0000-0000B7840000}"/>
    <cellStyle name="Porcentaje 3 3 2 2 2 3 5" xfId="10824" xr:uid="{00000000-0005-0000-0000-0000B8840000}"/>
    <cellStyle name="Porcentaje 3 3 2 2 2 3 5 2" xfId="30539" xr:uid="{00000000-0005-0000-0000-0000B9840000}"/>
    <cellStyle name="Porcentaje 3 3 2 2 2 3 6" xfId="20682" xr:uid="{00000000-0005-0000-0000-0000BA840000}"/>
    <cellStyle name="Porcentaje 3 3 2 2 2 4" xfId="1573" xr:uid="{00000000-0005-0000-0000-0000BB840000}"/>
    <cellStyle name="Porcentaje 3 3 2 2 2 4 2" xfId="4040" xr:uid="{00000000-0005-0000-0000-0000BC840000}"/>
    <cellStyle name="Porcentaje 3 3 2 2 2 4 2 2" xfId="8972" xr:uid="{00000000-0005-0000-0000-0000BD840000}"/>
    <cellStyle name="Porcentaje 3 3 2 2 2 4 2 2 2" xfId="18832" xr:uid="{00000000-0005-0000-0000-0000BE840000}"/>
    <cellStyle name="Porcentaje 3 3 2 2 2 4 2 2 2 2" xfId="38547" xr:uid="{00000000-0005-0000-0000-0000BF840000}"/>
    <cellStyle name="Porcentaje 3 3 2 2 2 4 2 2 3" xfId="28690" xr:uid="{00000000-0005-0000-0000-0000C0840000}"/>
    <cellStyle name="Porcentaje 3 3 2 2 2 4 2 3" xfId="13904" xr:uid="{00000000-0005-0000-0000-0000C1840000}"/>
    <cellStyle name="Porcentaje 3 3 2 2 2 4 2 3 2" xfId="33619" xr:uid="{00000000-0005-0000-0000-0000C2840000}"/>
    <cellStyle name="Porcentaje 3 3 2 2 2 4 2 4" xfId="23762" xr:uid="{00000000-0005-0000-0000-0000C3840000}"/>
    <cellStyle name="Porcentaje 3 3 2 2 2 4 3" xfId="6508" xr:uid="{00000000-0005-0000-0000-0000C4840000}"/>
    <cellStyle name="Porcentaje 3 3 2 2 2 4 3 2" xfId="16368" xr:uid="{00000000-0005-0000-0000-0000C5840000}"/>
    <cellStyle name="Porcentaje 3 3 2 2 2 4 3 2 2" xfId="36083" xr:uid="{00000000-0005-0000-0000-0000C6840000}"/>
    <cellStyle name="Porcentaje 3 3 2 2 2 4 3 3" xfId="26226" xr:uid="{00000000-0005-0000-0000-0000C7840000}"/>
    <cellStyle name="Porcentaje 3 3 2 2 2 4 4" xfId="11440" xr:uid="{00000000-0005-0000-0000-0000C8840000}"/>
    <cellStyle name="Porcentaje 3 3 2 2 2 4 4 2" xfId="31155" xr:uid="{00000000-0005-0000-0000-0000C9840000}"/>
    <cellStyle name="Porcentaje 3 3 2 2 2 4 5" xfId="21298" xr:uid="{00000000-0005-0000-0000-0000CA840000}"/>
    <cellStyle name="Porcentaje 3 3 2 2 2 5" xfId="2808" xr:uid="{00000000-0005-0000-0000-0000CB840000}"/>
    <cellStyle name="Porcentaje 3 3 2 2 2 5 2" xfId="7740" xr:uid="{00000000-0005-0000-0000-0000CC840000}"/>
    <cellStyle name="Porcentaje 3 3 2 2 2 5 2 2" xfId="17600" xr:uid="{00000000-0005-0000-0000-0000CD840000}"/>
    <cellStyle name="Porcentaje 3 3 2 2 2 5 2 2 2" xfId="37315" xr:uid="{00000000-0005-0000-0000-0000CE840000}"/>
    <cellStyle name="Porcentaje 3 3 2 2 2 5 2 3" xfId="27458" xr:uid="{00000000-0005-0000-0000-0000CF840000}"/>
    <cellStyle name="Porcentaje 3 3 2 2 2 5 3" xfId="12672" xr:uid="{00000000-0005-0000-0000-0000D0840000}"/>
    <cellStyle name="Porcentaje 3 3 2 2 2 5 3 2" xfId="32387" xr:uid="{00000000-0005-0000-0000-0000D1840000}"/>
    <cellStyle name="Porcentaje 3 3 2 2 2 5 4" xfId="22530" xr:uid="{00000000-0005-0000-0000-0000D2840000}"/>
    <cellStyle name="Porcentaje 3 3 2 2 2 6" xfId="5276" xr:uid="{00000000-0005-0000-0000-0000D3840000}"/>
    <cellStyle name="Porcentaje 3 3 2 2 2 6 2" xfId="15136" xr:uid="{00000000-0005-0000-0000-0000D4840000}"/>
    <cellStyle name="Porcentaje 3 3 2 2 2 6 2 2" xfId="34851" xr:uid="{00000000-0005-0000-0000-0000D5840000}"/>
    <cellStyle name="Porcentaje 3 3 2 2 2 6 3" xfId="24994" xr:uid="{00000000-0005-0000-0000-0000D6840000}"/>
    <cellStyle name="Porcentaje 3 3 2 2 2 7" xfId="10208" xr:uid="{00000000-0005-0000-0000-0000D7840000}"/>
    <cellStyle name="Porcentaje 3 3 2 2 2 7 2" xfId="29923" xr:uid="{00000000-0005-0000-0000-0000D8840000}"/>
    <cellStyle name="Porcentaje 3 3 2 2 2 8" xfId="20066" xr:uid="{00000000-0005-0000-0000-0000D9840000}"/>
    <cellStyle name="Porcentaje 3 3 2 2 3" xfId="488" xr:uid="{00000000-0005-0000-0000-0000DA840000}"/>
    <cellStyle name="Porcentaje 3 3 2 2 3 2" xfId="1108" xr:uid="{00000000-0005-0000-0000-0000DB840000}"/>
    <cellStyle name="Porcentaje 3 3 2 2 3 2 2" xfId="2343" xr:uid="{00000000-0005-0000-0000-0000DC840000}"/>
    <cellStyle name="Porcentaje 3 3 2 2 3 2 2 2" xfId="4810" xr:uid="{00000000-0005-0000-0000-0000DD840000}"/>
    <cellStyle name="Porcentaje 3 3 2 2 3 2 2 2 2" xfId="9742" xr:uid="{00000000-0005-0000-0000-0000DE840000}"/>
    <cellStyle name="Porcentaje 3 3 2 2 3 2 2 2 2 2" xfId="19602" xr:uid="{00000000-0005-0000-0000-0000DF840000}"/>
    <cellStyle name="Porcentaje 3 3 2 2 3 2 2 2 2 2 2" xfId="39317" xr:uid="{00000000-0005-0000-0000-0000E0840000}"/>
    <cellStyle name="Porcentaje 3 3 2 2 3 2 2 2 2 3" xfId="29460" xr:uid="{00000000-0005-0000-0000-0000E1840000}"/>
    <cellStyle name="Porcentaje 3 3 2 2 3 2 2 2 3" xfId="14674" xr:uid="{00000000-0005-0000-0000-0000E2840000}"/>
    <cellStyle name="Porcentaje 3 3 2 2 3 2 2 2 3 2" xfId="34389" xr:uid="{00000000-0005-0000-0000-0000E3840000}"/>
    <cellStyle name="Porcentaje 3 3 2 2 3 2 2 2 4" xfId="24532" xr:uid="{00000000-0005-0000-0000-0000E4840000}"/>
    <cellStyle name="Porcentaje 3 3 2 2 3 2 2 3" xfId="7278" xr:uid="{00000000-0005-0000-0000-0000E5840000}"/>
    <cellStyle name="Porcentaje 3 3 2 2 3 2 2 3 2" xfId="17138" xr:uid="{00000000-0005-0000-0000-0000E6840000}"/>
    <cellStyle name="Porcentaje 3 3 2 2 3 2 2 3 2 2" xfId="36853" xr:uid="{00000000-0005-0000-0000-0000E7840000}"/>
    <cellStyle name="Porcentaje 3 3 2 2 3 2 2 3 3" xfId="26996" xr:uid="{00000000-0005-0000-0000-0000E8840000}"/>
    <cellStyle name="Porcentaje 3 3 2 2 3 2 2 4" xfId="12210" xr:uid="{00000000-0005-0000-0000-0000E9840000}"/>
    <cellStyle name="Porcentaje 3 3 2 2 3 2 2 4 2" xfId="31925" xr:uid="{00000000-0005-0000-0000-0000EA840000}"/>
    <cellStyle name="Porcentaje 3 3 2 2 3 2 2 5" xfId="22068" xr:uid="{00000000-0005-0000-0000-0000EB840000}"/>
    <cellStyle name="Porcentaje 3 3 2 2 3 2 3" xfId="3578" xr:uid="{00000000-0005-0000-0000-0000EC840000}"/>
    <cellStyle name="Porcentaje 3 3 2 2 3 2 3 2" xfId="8510" xr:uid="{00000000-0005-0000-0000-0000ED840000}"/>
    <cellStyle name="Porcentaje 3 3 2 2 3 2 3 2 2" xfId="18370" xr:uid="{00000000-0005-0000-0000-0000EE840000}"/>
    <cellStyle name="Porcentaje 3 3 2 2 3 2 3 2 2 2" xfId="38085" xr:uid="{00000000-0005-0000-0000-0000EF840000}"/>
    <cellStyle name="Porcentaje 3 3 2 2 3 2 3 2 3" xfId="28228" xr:uid="{00000000-0005-0000-0000-0000F0840000}"/>
    <cellStyle name="Porcentaje 3 3 2 2 3 2 3 3" xfId="13442" xr:uid="{00000000-0005-0000-0000-0000F1840000}"/>
    <cellStyle name="Porcentaje 3 3 2 2 3 2 3 3 2" xfId="33157" xr:uid="{00000000-0005-0000-0000-0000F2840000}"/>
    <cellStyle name="Porcentaje 3 3 2 2 3 2 3 4" xfId="23300" xr:uid="{00000000-0005-0000-0000-0000F3840000}"/>
    <cellStyle name="Porcentaje 3 3 2 2 3 2 4" xfId="6046" xr:uid="{00000000-0005-0000-0000-0000F4840000}"/>
    <cellStyle name="Porcentaje 3 3 2 2 3 2 4 2" xfId="15906" xr:uid="{00000000-0005-0000-0000-0000F5840000}"/>
    <cellStyle name="Porcentaje 3 3 2 2 3 2 4 2 2" xfId="35621" xr:uid="{00000000-0005-0000-0000-0000F6840000}"/>
    <cellStyle name="Porcentaje 3 3 2 2 3 2 4 3" xfId="25764" xr:uid="{00000000-0005-0000-0000-0000F7840000}"/>
    <cellStyle name="Porcentaje 3 3 2 2 3 2 5" xfId="10978" xr:uid="{00000000-0005-0000-0000-0000F8840000}"/>
    <cellStyle name="Porcentaje 3 3 2 2 3 2 5 2" xfId="30693" xr:uid="{00000000-0005-0000-0000-0000F9840000}"/>
    <cellStyle name="Porcentaje 3 3 2 2 3 2 6" xfId="20836" xr:uid="{00000000-0005-0000-0000-0000FA840000}"/>
    <cellStyle name="Porcentaje 3 3 2 2 3 3" xfId="1727" xr:uid="{00000000-0005-0000-0000-0000FB840000}"/>
    <cellStyle name="Porcentaje 3 3 2 2 3 3 2" xfId="4194" xr:uid="{00000000-0005-0000-0000-0000FC840000}"/>
    <cellStyle name="Porcentaje 3 3 2 2 3 3 2 2" xfId="9126" xr:uid="{00000000-0005-0000-0000-0000FD840000}"/>
    <cellStyle name="Porcentaje 3 3 2 2 3 3 2 2 2" xfId="18986" xr:uid="{00000000-0005-0000-0000-0000FE840000}"/>
    <cellStyle name="Porcentaje 3 3 2 2 3 3 2 2 2 2" xfId="38701" xr:uid="{00000000-0005-0000-0000-0000FF840000}"/>
    <cellStyle name="Porcentaje 3 3 2 2 3 3 2 2 3" xfId="28844" xr:uid="{00000000-0005-0000-0000-000000850000}"/>
    <cellStyle name="Porcentaje 3 3 2 2 3 3 2 3" xfId="14058" xr:uid="{00000000-0005-0000-0000-000001850000}"/>
    <cellStyle name="Porcentaje 3 3 2 2 3 3 2 3 2" xfId="33773" xr:uid="{00000000-0005-0000-0000-000002850000}"/>
    <cellStyle name="Porcentaje 3 3 2 2 3 3 2 4" xfId="23916" xr:uid="{00000000-0005-0000-0000-000003850000}"/>
    <cellStyle name="Porcentaje 3 3 2 2 3 3 3" xfId="6662" xr:uid="{00000000-0005-0000-0000-000004850000}"/>
    <cellStyle name="Porcentaje 3 3 2 2 3 3 3 2" xfId="16522" xr:uid="{00000000-0005-0000-0000-000005850000}"/>
    <cellStyle name="Porcentaje 3 3 2 2 3 3 3 2 2" xfId="36237" xr:uid="{00000000-0005-0000-0000-000006850000}"/>
    <cellStyle name="Porcentaje 3 3 2 2 3 3 3 3" xfId="26380" xr:uid="{00000000-0005-0000-0000-000007850000}"/>
    <cellStyle name="Porcentaje 3 3 2 2 3 3 4" xfId="11594" xr:uid="{00000000-0005-0000-0000-000008850000}"/>
    <cellStyle name="Porcentaje 3 3 2 2 3 3 4 2" xfId="31309" xr:uid="{00000000-0005-0000-0000-000009850000}"/>
    <cellStyle name="Porcentaje 3 3 2 2 3 3 5" xfId="21452" xr:uid="{00000000-0005-0000-0000-00000A850000}"/>
    <cellStyle name="Porcentaje 3 3 2 2 3 4" xfId="2962" xr:uid="{00000000-0005-0000-0000-00000B850000}"/>
    <cellStyle name="Porcentaje 3 3 2 2 3 4 2" xfId="7894" xr:uid="{00000000-0005-0000-0000-00000C850000}"/>
    <cellStyle name="Porcentaje 3 3 2 2 3 4 2 2" xfId="17754" xr:uid="{00000000-0005-0000-0000-00000D850000}"/>
    <cellStyle name="Porcentaje 3 3 2 2 3 4 2 2 2" xfId="37469" xr:uid="{00000000-0005-0000-0000-00000E850000}"/>
    <cellStyle name="Porcentaje 3 3 2 2 3 4 2 3" xfId="27612" xr:uid="{00000000-0005-0000-0000-00000F850000}"/>
    <cellStyle name="Porcentaje 3 3 2 2 3 4 3" xfId="12826" xr:uid="{00000000-0005-0000-0000-000010850000}"/>
    <cellStyle name="Porcentaje 3 3 2 2 3 4 3 2" xfId="32541" xr:uid="{00000000-0005-0000-0000-000011850000}"/>
    <cellStyle name="Porcentaje 3 3 2 2 3 4 4" xfId="22684" xr:uid="{00000000-0005-0000-0000-000012850000}"/>
    <cellStyle name="Porcentaje 3 3 2 2 3 5" xfId="5430" xr:uid="{00000000-0005-0000-0000-000013850000}"/>
    <cellStyle name="Porcentaje 3 3 2 2 3 5 2" xfId="15290" xr:uid="{00000000-0005-0000-0000-000014850000}"/>
    <cellStyle name="Porcentaje 3 3 2 2 3 5 2 2" xfId="35005" xr:uid="{00000000-0005-0000-0000-000015850000}"/>
    <cellStyle name="Porcentaje 3 3 2 2 3 5 3" xfId="25148" xr:uid="{00000000-0005-0000-0000-000016850000}"/>
    <cellStyle name="Porcentaje 3 3 2 2 3 6" xfId="10362" xr:uid="{00000000-0005-0000-0000-000017850000}"/>
    <cellStyle name="Porcentaje 3 3 2 2 3 6 2" xfId="30077" xr:uid="{00000000-0005-0000-0000-000018850000}"/>
    <cellStyle name="Porcentaje 3 3 2 2 3 7" xfId="20220" xr:uid="{00000000-0005-0000-0000-000019850000}"/>
    <cellStyle name="Porcentaje 3 3 2 2 4" xfId="801" xr:uid="{00000000-0005-0000-0000-00001A850000}"/>
    <cellStyle name="Porcentaje 3 3 2 2 4 2" xfId="2037" xr:uid="{00000000-0005-0000-0000-00001B850000}"/>
    <cellStyle name="Porcentaje 3 3 2 2 4 2 2" xfId="4504" xr:uid="{00000000-0005-0000-0000-00001C850000}"/>
    <cellStyle name="Porcentaje 3 3 2 2 4 2 2 2" xfId="9436" xr:uid="{00000000-0005-0000-0000-00001D850000}"/>
    <cellStyle name="Porcentaje 3 3 2 2 4 2 2 2 2" xfId="19296" xr:uid="{00000000-0005-0000-0000-00001E850000}"/>
    <cellStyle name="Porcentaje 3 3 2 2 4 2 2 2 2 2" xfId="39011" xr:uid="{00000000-0005-0000-0000-00001F850000}"/>
    <cellStyle name="Porcentaje 3 3 2 2 4 2 2 2 3" xfId="29154" xr:uid="{00000000-0005-0000-0000-000020850000}"/>
    <cellStyle name="Porcentaje 3 3 2 2 4 2 2 3" xfId="14368" xr:uid="{00000000-0005-0000-0000-000021850000}"/>
    <cellStyle name="Porcentaje 3 3 2 2 4 2 2 3 2" xfId="34083" xr:uid="{00000000-0005-0000-0000-000022850000}"/>
    <cellStyle name="Porcentaje 3 3 2 2 4 2 2 4" xfId="24226" xr:uid="{00000000-0005-0000-0000-000023850000}"/>
    <cellStyle name="Porcentaje 3 3 2 2 4 2 3" xfId="6972" xr:uid="{00000000-0005-0000-0000-000024850000}"/>
    <cellStyle name="Porcentaje 3 3 2 2 4 2 3 2" xfId="16832" xr:uid="{00000000-0005-0000-0000-000025850000}"/>
    <cellStyle name="Porcentaje 3 3 2 2 4 2 3 2 2" xfId="36547" xr:uid="{00000000-0005-0000-0000-000026850000}"/>
    <cellStyle name="Porcentaje 3 3 2 2 4 2 3 3" xfId="26690" xr:uid="{00000000-0005-0000-0000-000027850000}"/>
    <cellStyle name="Porcentaje 3 3 2 2 4 2 4" xfId="11904" xr:uid="{00000000-0005-0000-0000-000028850000}"/>
    <cellStyle name="Porcentaje 3 3 2 2 4 2 4 2" xfId="31619" xr:uid="{00000000-0005-0000-0000-000029850000}"/>
    <cellStyle name="Porcentaje 3 3 2 2 4 2 5" xfId="21762" xr:uid="{00000000-0005-0000-0000-00002A850000}"/>
    <cellStyle name="Porcentaje 3 3 2 2 4 3" xfId="3272" xr:uid="{00000000-0005-0000-0000-00002B850000}"/>
    <cellStyle name="Porcentaje 3 3 2 2 4 3 2" xfId="8204" xr:uid="{00000000-0005-0000-0000-00002C850000}"/>
    <cellStyle name="Porcentaje 3 3 2 2 4 3 2 2" xfId="18064" xr:uid="{00000000-0005-0000-0000-00002D850000}"/>
    <cellStyle name="Porcentaje 3 3 2 2 4 3 2 2 2" xfId="37779" xr:uid="{00000000-0005-0000-0000-00002E850000}"/>
    <cellStyle name="Porcentaje 3 3 2 2 4 3 2 3" xfId="27922" xr:uid="{00000000-0005-0000-0000-00002F850000}"/>
    <cellStyle name="Porcentaje 3 3 2 2 4 3 3" xfId="13136" xr:uid="{00000000-0005-0000-0000-000030850000}"/>
    <cellStyle name="Porcentaje 3 3 2 2 4 3 3 2" xfId="32851" xr:uid="{00000000-0005-0000-0000-000031850000}"/>
    <cellStyle name="Porcentaje 3 3 2 2 4 3 4" xfId="22994" xr:uid="{00000000-0005-0000-0000-000032850000}"/>
    <cellStyle name="Porcentaje 3 3 2 2 4 4" xfId="5740" xr:uid="{00000000-0005-0000-0000-000033850000}"/>
    <cellStyle name="Porcentaje 3 3 2 2 4 4 2" xfId="15600" xr:uid="{00000000-0005-0000-0000-000034850000}"/>
    <cellStyle name="Porcentaje 3 3 2 2 4 4 2 2" xfId="35315" xr:uid="{00000000-0005-0000-0000-000035850000}"/>
    <cellStyle name="Porcentaje 3 3 2 2 4 4 3" xfId="25458" xr:uid="{00000000-0005-0000-0000-000036850000}"/>
    <cellStyle name="Porcentaje 3 3 2 2 4 5" xfId="10672" xr:uid="{00000000-0005-0000-0000-000037850000}"/>
    <cellStyle name="Porcentaje 3 3 2 2 4 5 2" xfId="30387" xr:uid="{00000000-0005-0000-0000-000038850000}"/>
    <cellStyle name="Porcentaje 3 3 2 2 4 6" xfId="20530" xr:uid="{00000000-0005-0000-0000-000039850000}"/>
    <cellStyle name="Porcentaje 3 3 2 2 5" xfId="1421" xr:uid="{00000000-0005-0000-0000-00003A850000}"/>
    <cellStyle name="Porcentaje 3 3 2 2 5 2" xfId="3888" xr:uid="{00000000-0005-0000-0000-00003B850000}"/>
    <cellStyle name="Porcentaje 3 3 2 2 5 2 2" xfId="8820" xr:uid="{00000000-0005-0000-0000-00003C850000}"/>
    <cellStyle name="Porcentaje 3 3 2 2 5 2 2 2" xfId="18680" xr:uid="{00000000-0005-0000-0000-00003D850000}"/>
    <cellStyle name="Porcentaje 3 3 2 2 5 2 2 2 2" xfId="38395" xr:uid="{00000000-0005-0000-0000-00003E850000}"/>
    <cellStyle name="Porcentaje 3 3 2 2 5 2 2 3" xfId="28538" xr:uid="{00000000-0005-0000-0000-00003F850000}"/>
    <cellStyle name="Porcentaje 3 3 2 2 5 2 3" xfId="13752" xr:uid="{00000000-0005-0000-0000-000040850000}"/>
    <cellStyle name="Porcentaje 3 3 2 2 5 2 3 2" xfId="33467" xr:uid="{00000000-0005-0000-0000-000041850000}"/>
    <cellStyle name="Porcentaje 3 3 2 2 5 2 4" xfId="23610" xr:uid="{00000000-0005-0000-0000-000042850000}"/>
    <cellStyle name="Porcentaje 3 3 2 2 5 3" xfId="6356" xr:uid="{00000000-0005-0000-0000-000043850000}"/>
    <cellStyle name="Porcentaje 3 3 2 2 5 3 2" xfId="16216" xr:uid="{00000000-0005-0000-0000-000044850000}"/>
    <cellStyle name="Porcentaje 3 3 2 2 5 3 2 2" xfId="35931" xr:uid="{00000000-0005-0000-0000-000045850000}"/>
    <cellStyle name="Porcentaje 3 3 2 2 5 3 3" xfId="26074" xr:uid="{00000000-0005-0000-0000-000046850000}"/>
    <cellStyle name="Porcentaje 3 3 2 2 5 4" xfId="11288" xr:uid="{00000000-0005-0000-0000-000047850000}"/>
    <cellStyle name="Porcentaje 3 3 2 2 5 4 2" xfId="31003" xr:uid="{00000000-0005-0000-0000-000048850000}"/>
    <cellStyle name="Porcentaje 3 3 2 2 5 5" xfId="21146" xr:uid="{00000000-0005-0000-0000-000049850000}"/>
    <cellStyle name="Porcentaje 3 3 2 2 6" xfId="2656" xr:uid="{00000000-0005-0000-0000-00004A850000}"/>
    <cellStyle name="Porcentaje 3 3 2 2 6 2" xfId="7588" xr:uid="{00000000-0005-0000-0000-00004B850000}"/>
    <cellStyle name="Porcentaje 3 3 2 2 6 2 2" xfId="17448" xr:uid="{00000000-0005-0000-0000-00004C850000}"/>
    <cellStyle name="Porcentaje 3 3 2 2 6 2 2 2" xfId="37163" xr:uid="{00000000-0005-0000-0000-00004D850000}"/>
    <cellStyle name="Porcentaje 3 3 2 2 6 2 3" xfId="27306" xr:uid="{00000000-0005-0000-0000-00004E850000}"/>
    <cellStyle name="Porcentaje 3 3 2 2 6 3" xfId="12520" xr:uid="{00000000-0005-0000-0000-00004F850000}"/>
    <cellStyle name="Porcentaje 3 3 2 2 6 3 2" xfId="32235" xr:uid="{00000000-0005-0000-0000-000050850000}"/>
    <cellStyle name="Porcentaje 3 3 2 2 6 4" xfId="22378" xr:uid="{00000000-0005-0000-0000-000051850000}"/>
    <cellStyle name="Porcentaje 3 3 2 2 7" xfId="5124" xr:uid="{00000000-0005-0000-0000-000052850000}"/>
    <cellStyle name="Porcentaje 3 3 2 2 7 2" xfId="14984" xr:uid="{00000000-0005-0000-0000-000053850000}"/>
    <cellStyle name="Porcentaje 3 3 2 2 7 2 2" xfId="34699" xr:uid="{00000000-0005-0000-0000-000054850000}"/>
    <cellStyle name="Porcentaje 3 3 2 2 7 3" xfId="24842" xr:uid="{00000000-0005-0000-0000-000055850000}"/>
    <cellStyle name="Porcentaje 3 3 2 2 8" xfId="10056" xr:uid="{00000000-0005-0000-0000-000056850000}"/>
    <cellStyle name="Porcentaje 3 3 2 2 8 2" xfId="29771" xr:uid="{00000000-0005-0000-0000-000057850000}"/>
    <cellStyle name="Porcentaje 3 3 2 2 9" xfId="19914" xr:uid="{00000000-0005-0000-0000-000058850000}"/>
    <cellStyle name="Porcentaje 3 3 2 3" xfId="250" xr:uid="{00000000-0005-0000-0000-000059850000}"/>
    <cellStyle name="Porcentaje 3 3 2 3 2" xfId="564" xr:uid="{00000000-0005-0000-0000-00005A850000}"/>
    <cellStyle name="Porcentaje 3 3 2 3 2 2" xfId="1184" xr:uid="{00000000-0005-0000-0000-00005B850000}"/>
    <cellStyle name="Porcentaje 3 3 2 3 2 2 2" xfId="2419" xr:uid="{00000000-0005-0000-0000-00005C850000}"/>
    <cellStyle name="Porcentaje 3 3 2 3 2 2 2 2" xfId="4886" xr:uid="{00000000-0005-0000-0000-00005D850000}"/>
    <cellStyle name="Porcentaje 3 3 2 3 2 2 2 2 2" xfId="9818" xr:uid="{00000000-0005-0000-0000-00005E850000}"/>
    <cellStyle name="Porcentaje 3 3 2 3 2 2 2 2 2 2" xfId="19678" xr:uid="{00000000-0005-0000-0000-00005F850000}"/>
    <cellStyle name="Porcentaje 3 3 2 3 2 2 2 2 2 2 2" xfId="39393" xr:uid="{00000000-0005-0000-0000-000060850000}"/>
    <cellStyle name="Porcentaje 3 3 2 3 2 2 2 2 2 3" xfId="29536" xr:uid="{00000000-0005-0000-0000-000061850000}"/>
    <cellStyle name="Porcentaje 3 3 2 3 2 2 2 2 3" xfId="14750" xr:uid="{00000000-0005-0000-0000-000062850000}"/>
    <cellStyle name="Porcentaje 3 3 2 3 2 2 2 2 3 2" xfId="34465" xr:uid="{00000000-0005-0000-0000-000063850000}"/>
    <cellStyle name="Porcentaje 3 3 2 3 2 2 2 2 4" xfId="24608" xr:uid="{00000000-0005-0000-0000-000064850000}"/>
    <cellStyle name="Porcentaje 3 3 2 3 2 2 2 3" xfId="7354" xr:uid="{00000000-0005-0000-0000-000065850000}"/>
    <cellStyle name="Porcentaje 3 3 2 3 2 2 2 3 2" xfId="17214" xr:uid="{00000000-0005-0000-0000-000066850000}"/>
    <cellStyle name="Porcentaje 3 3 2 3 2 2 2 3 2 2" xfId="36929" xr:uid="{00000000-0005-0000-0000-000067850000}"/>
    <cellStyle name="Porcentaje 3 3 2 3 2 2 2 3 3" xfId="27072" xr:uid="{00000000-0005-0000-0000-000068850000}"/>
    <cellStyle name="Porcentaje 3 3 2 3 2 2 2 4" xfId="12286" xr:uid="{00000000-0005-0000-0000-000069850000}"/>
    <cellStyle name="Porcentaje 3 3 2 3 2 2 2 4 2" xfId="32001" xr:uid="{00000000-0005-0000-0000-00006A850000}"/>
    <cellStyle name="Porcentaje 3 3 2 3 2 2 2 5" xfId="22144" xr:uid="{00000000-0005-0000-0000-00006B850000}"/>
    <cellStyle name="Porcentaje 3 3 2 3 2 2 3" xfId="3654" xr:uid="{00000000-0005-0000-0000-00006C850000}"/>
    <cellStyle name="Porcentaje 3 3 2 3 2 2 3 2" xfId="8586" xr:uid="{00000000-0005-0000-0000-00006D850000}"/>
    <cellStyle name="Porcentaje 3 3 2 3 2 2 3 2 2" xfId="18446" xr:uid="{00000000-0005-0000-0000-00006E850000}"/>
    <cellStyle name="Porcentaje 3 3 2 3 2 2 3 2 2 2" xfId="38161" xr:uid="{00000000-0005-0000-0000-00006F850000}"/>
    <cellStyle name="Porcentaje 3 3 2 3 2 2 3 2 3" xfId="28304" xr:uid="{00000000-0005-0000-0000-000070850000}"/>
    <cellStyle name="Porcentaje 3 3 2 3 2 2 3 3" xfId="13518" xr:uid="{00000000-0005-0000-0000-000071850000}"/>
    <cellStyle name="Porcentaje 3 3 2 3 2 2 3 3 2" xfId="33233" xr:uid="{00000000-0005-0000-0000-000072850000}"/>
    <cellStyle name="Porcentaje 3 3 2 3 2 2 3 4" xfId="23376" xr:uid="{00000000-0005-0000-0000-000073850000}"/>
    <cellStyle name="Porcentaje 3 3 2 3 2 2 4" xfId="6122" xr:uid="{00000000-0005-0000-0000-000074850000}"/>
    <cellStyle name="Porcentaje 3 3 2 3 2 2 4 2" xfId="15982" xr:uid="{00000000-0005-0000-0000-000075850000}"/>
    <cellStyle name="Porcentaje 3 3 2 3 2 2 4 2 2" xfId="35697" xr:uid="{00000000-0005-0000-0000-000076850000}"/>
    <cellStyle name="Porcentaje 3 3 2 3 2 2 4 3" xfId="25840" xr:uid="{00000000-0005-0000-0000-000077850000}"/>
    <cellStyle name="Porcentaje 3 3 2 3 2 2 5" xfId="11054" xr:uid="{00000000-0005-0000-0000-000078850000}"/>
    <cellStyle name="Porcentaje 3 3 2 3 2 2 5 2" xfId="30769" xr:uid="{00000000-0005-0000-0000-000079850000}"/>
    <cellStyle name="Porcentaje 3 3 2 3 2 2 6" xfId="20912" xr:uid="{00000000-0005-0000-0000-00007A850000}"/>
    <cellStyle name="Porcentaje 3 3 2 3 2 3" xfId="1803" xr:uid="{00000000-0005-0000-0000-00007B850000}"/>
    <cellStyle name="Porcentaje 3 3 2 3 2 3 2" xfId="4270" xr:uid="{00000000-0005-0000-0000-00007C850000}"/>
    <cellStyle name="Porcentaje 3 3 2 3 2 3 2 2" xfId="9202" xr:uid="{00000000-0005-0000-0000-00007D850000}"/>
    <cellStyle name="Porcentaje 3 3 2 3 2 3 2 2 2" xfId="19062" xr:uid="{00000000-0005-0000-0000-00007E850000}"/>
    <cellStyle name="Porcentaje 3 3 2 3 2 3 2 2 2 2" xfId="38777" xr:uid="{00000000-0005-0000-0000-00007F850000}"/>
    <cellStyle name="Porcentaje 3 3 2 3 2 3 2 2 3" xfId="28920" xr:uid="{00000000-0005-0000-0000-000080850000}"/>
    <cellStyle name="Porcentaje 3 3 2 3 2 3 2 3" xfId="14134" xr:uid="{00000000-0005-0000-0000-000081850000}"/>
    <cellStyle name="Porcentaje 3 3 2 3 2 3 2 3 2" xfId="33849" xr:uid="{00000000-0005-0000-0000-000082850000}"/>
    <cellStyle name="Porcentaje 3 3 2 3 2 3 2 4" xfId="23992" xr:uid="{00000000-0005-0000-0000-000083850000}"/>
    <cellStyle name="Porcentaje 3 3 2 3 2 3 3" xfId="6738" xr:uid="{00000000-0005-0000-0000-000084850000}"/>
    <cellStyle name="Porcentaje 3 3 2 3 2 3 3 2" xfId="16598" xr:uid="{00000000-0005-0000-0000-000085850000}"/>
    <cellStyle name="Porcentaje 3 3 2 3 2 3 3 2 2" xfId="36313" xr:uid="{00000000-0005-0000-0000-000086850000}"/>
    <cellStyle name="Porcentaje 3 3 2 3 2 3 3 3" xfId="26456" xr:uid="{00000000-0005-0000-0000-000087850000}"/>
    <cellStyle name="Porcentaje 3 3 2 3 2 3 4" xfId="11670" xr:uid="{00000000-0005-0000-0000-000088850000}"/>
    <cellStyle name="Porcentaje 3 3 2 3 2 3 4 2" xfId="31385" xr:uid="{00000000-0005-0000-0000-000089850000}"/>
    <cellStyle name="Porcentaje 3 3 2 3 2 3 5" xfId="21528" xr:uid="{00000000-0005-0000-0000-00008A850000}"/>
    <cellStyle name="Porcentaje 3 3 2 3 2 4" xfId="3038" xr:uid="{00000000-0005-0000-0000-00008B850000}"/>
    <cellStyle name="Porcentaje 3 3 2 3 2 4 2" xfId="7970" xr:uid="{00000000-0005-0000-0000-00008C850000}"/>
    <cellStyle name="Porcentaje 3 3 2 3 2 4 2 2" xfId="17830" xr:uid="{00000000-0005-0000-0000-00008D850000}"/>
    <cellStyle name="Porcentaje 3 3 2 3 2 4 2 2 2" xfId="37545" xr:uid="{00000000-0005-0000-0000-00008E850000}"/>
    <cellStyle name="Porcentaje 3 3 2 3 2 4 2 3" xfId="27688" xr:uid="{00000000-0005-0000-0000-00008F850000}"/>
    <cellStyle name="Porcentaje 3 3 2 3 2 4 3" xfId="12902" xr:uid="{00000000-0005-0000-0000-000090850000}"/>
    <cellStyle name="Porcentaje 3 3 2 3 2 4 3 2" xfId="32617" xr:uid="{00000000-0005-0000-0000-000091850000}"/>
    <cellStyle name="Porcentaje 3 3 2 3 2 4 4" xfId="22760" xr:uid="{00000000-0005-0000-0000-000092850000}"/>
    <cellStyle name="Porcentaje 3 3 2 3 2 5" xfId="5506" xr:uid="{00000000-0005-0000-0000-000093850000}"/>
    <cellStyle name="Porcentaje 3 3 2 3 2 5 2" xfId="15366" xr:uid="{00000000-0005-0000-0000-000094850000}"/>
    <cellStyle name="Porcentaje 3 3 2 3 2 5 2 2" xfId="35081" xr:uid="{00000000-0005-0000-0000-000095850000}"/>
    <cellStyle name="Porcentaje 3 3 2 3 2 5 3" xfId="25224" xr:uid="{00000000-0005-0000-0000-000096850000}"/>
    <cellStyle name="Porcentaje 3 3 2 3 2 6" xfId="10438" xr:uid="{00000000-0005-0000-0000-000097850000}"/>
    <cellStyle name="Porcentaje 3 3 2 3 2 6 2" xfId="30153" xr:uid="{00000000-0005-0000-0000-000098850000}"/>
    <cellStyle name="Porcentaje 3 3 2 3 2 7" xfId="20296" xr:uid="{00000000-0005-0000-0000-000099850000}"/>
    <cellStyle name="Porcentaje 3 3 2 3 3" xfId="877" xr:uid="{00000000-0005-0000-0000-00009A850000}"/>
    <cellStyle name="Porcentaje 3 3 2 3 3 2" xfId="2113" xr:uid="{00000000-0005-0000-0000-00009B850000}"/>
    <cellStyle name="Porcentaje 3 3 2 3 3 2 2" xfId="4580" xr:uid="{00000000-0005-0000-0000-00009C850000}"/>
    <cellStyle name="Porcentaje 3 3 2 3 3 2 2 2" xfId="9512" xr:uid="{00000000-0005-0000-0000-00009D850000}"/>
    <cellStyle name="Porcentaje 3 3 2 3 3 2 2 2 2" xfId="19372" xr:uid="{00000000-0005-0000-0000-00009E850000}"/>
    <cellStyle name="Porcentaje 3 3 2 3 3 2 2 2 2 2" xfId="39087" xr:uid="{00000000-0005-0000-0000-00009F850000}"/>
    <cellStyle name="Porcentaje 3 3 2 3 3 2 2 2 3" xfId="29230" xr:uid="{00000000-0005-0000-0000-0000A0850000}"/>
    <cellStyle name="Porcentaje 3 3 2 3 3 2 2 3" xfId="14444" xr:uid="{00000000-0005-0000-0000-0000A1850000}"/>
    <cellStyle name="Porcentaje 3 3 2 3 3 2 2 3 2" xfId="34159" xr:uid="{00000000-0005-0000-0000-0000A2850000}"/>
    <cellStyle name="Porcentaje 3 3 2 3 3 2 2 4" xfId="24302" xr:uid="{00000000-0005-0000-0000-0000A3850000}"/>
    <cellStyle name="Porcentaje 3 3 2 3 3 2 3" xfId="7048" xr:uid="{00000000-0005-0000-0000-0000A4850000}"/>
    <cellStyle name="Porcentaje 3 3 2 3 3 2 3 2" xfId="16908" xr:uid="{00000000-0005-0000-0000-0000A5850000}"/>
    <cellStyle name="Porcentaje 3 3 2 3 3 2 3 2 2" xfId="36623" xr:uid="{00000000-0005-0000-0000-0000A6850000}"/>
    <cellStyle name="Porcentaje 3 3 2 3 3 2 3 3" xfId="26766" xr:uid="{00000000-0005-0000-0000-0000A7850000}"/>
    <cellStyle name="Porcentaje 3 3 2 3 3 2 4" xfId="11980" xr:uid="{00000000-0005-0000-0000-0000A8850000}"/>
    <cellStyle name="Porcentaje 3 3 2 3 3 2 4 2" xfId="31695" xr:uid="{00000000-0005-0000-0000-0000A9850000}"/>
    <cellStyle name="Porcentaje 3 3 2 3 3 2 5" xfId="21838" xr:uid="{00000000-0005-0000-0000-0000AA850000}"/>
    <cellStyle name="Porcentaje 3 3 2 3 3 3" xfId="3348" xr:uid="{00000000-0005-0000-0000-0000AB850000}"/>
    <cellStyle name="Porcentaje 3 3 2 3 3 3 2" xfId="8280" xr:uid="{00000000-0005-0000-0000-0000AC850000}"/>
    <cellStyle name="Porcentaje 3 3 2 3 3 3 2 2" xfId="18140" xr:uid="{00000000-0005-0000-0000-0000AD850000}"/>
    <cellStyle name="Porcentaje 3 3 2 3 3 3 2 2 2" xfId="37855" xr:uid="{00000000-0005-0000-0000-0000AE850000}"/>
    <cellStyle name="Porcentaje 3 3 2 3 3 3 2 3" xfId="27998" xr:uid="{00000000-0005-0000-0000-0000AF850000}"/>
    <cellStyle name="Porcentaje 3 3 2 3 3 3 3" xfId="13212" xr:uid="{00000000-0005-0000-0000-0000B0850000}"/>
    <cellStyle name="Porcentaje 3 3 2 3 3 3 3 2" xfId="32927" xr:uid="{00000000-0005-0000-0000-0000B1850000}"/>
    <cellStyle name="Porcentaje 3 3 2 3 3 3 4" xfId="23070" xr:uid="{00000000-0005-0000-0000-0000B2850000}"/>
    <cellStyle name="Porcentaje 3 3 2 3 3 4" xfId="5816" xr:uid="{00000000-0005-0000-0000-0000B3850000}"/>
    <cellStyle name="Porcentaje 3 3 2 3 3 4 2" xfId="15676" xr:uid="{00000000-0005-0000-0000-0000B4850000}"/>
    <cellStyle name="Porcentaje 3 3 2 3 3 4 2 2" xfId="35391" xr:uid="{00000000-0005-0000-0000-0000B5850000}"/>
    <cellStyle name="Porcentaje 3 3 2 3 3 4 3" xfId="25534" xr:uid="{00000000-0005-0000-0000-0000B6850000}"/>
    <cellStyle name="Porcentaje 3 3 2 3 3 5" xfId="10748" xr:uid="{00000000-0005-0000-0000-0000B7850000}"/>
    <cellStyle name="Porcentaje 3 3 2 3 3 5 2" xfId="30463" xr:uid="{00000000-0005-0000-0000-0000B8850000}"/>
    <cellStyle name="Porcentaje 3 3 2 3 3 6" xfId="20606" xr:uid="{00000000-0005-0000-0000-0000B9850000}"/>
    <cellStyle name="Porcentaje 3 3 2 3 4" xfId="1497" xr:uid="{00000000-0005-0000-0000-0000BA850000}"/>
    <cellStyle name="Porcentaje 3 3 2 3 4 2" xfId="3964" xr:uid="{00000000-0005-0000-0000-0000BB850000}"/>
    <cellStyle name="Porcentaje 3 3 2 3 4 2 2" xfId="8896" xr:uid="{00000000-0005-0000-0000-0000BC850000}"/>
    <cellStyle name="Porcentaje 3 3 2 3 4 2 2 2" xfId="18756" xr:uid="{00000000-0005-0000-0000-0000BD850000}"/>
    <cellStyle name="Porcentaje 3 3 2 3 4 2 2 2 2" xfId="38471" xr:uid="{00000000-0005-0000-0000-0000BE850000}"/>
    <cellStyle name="Porcentaje 3 3 2 3 4 2 2 3" xfId="28614" xr:uid="{00000000-0005-0000-0000-0000BF850000}"/>
    <cellStyle name="Porcentaje 3 3 2 3 4 2 3" xfId="13828" xr:uid="{00000000-0005-0000-0000-0000C0850000}"/>
    <cellStyle name="Porcentaje 3 3 2 3 4 2 3 2" xfId="33543" xr:uid="{00000000-0005-0000-0000-0000C1850000}"/>
    <cellStyle name="Porcentaje 3 3 2 3 4 2 4" xfId="23686" xr:uid="{00000000-0005-0000-0000-0000C2850000}"/>
    <cellStyle name="Porcentaje 3 3 2 3 4 3" xfId="6432" xr:uid="{00000000-0005-0000-0000-0000C3850000}"/>
    <cellStyle name="Porcentaje 3 3 2 3 4 3 2" xfId="16292" xr:uid="{00000000-0005-0000-0000-0000C4850000}"/>
    <cellStyle name="Porcentaje 3 3 2 3 4 3 2 2" xfId="36007" xr:uid="{00000000-0005-0000-0000-0000C5850000}"/>
    <cellStyle name="Porcentaje 3 3 2 3 4 3 3" xfId="26150" xr:uid="{00000000-0005-0000-0000-0000C6850000}"/>
    <cellStyle name="Porcentaje 3 3 2 3 4 4" xfId="11364" xr:uid="{00000000-0005-0000-0000-0000C7850000}"/>
    <cellStyle name="Porcentaje 3 3 2 3 4 4 2" xfId="31079" xr:uid="{00000000-0005-0000-0000-0000C8850000}"/>
    <cellStyle name="Porcentaje 3 3 2 3 4 5" xfId="21222" xr:uid="{00000000-0005-0000-0000-0000C9850000}"/>
    <cellStyle name="Porcentaje 3 3 2 3 5" xfId="2732" xr:uid="{00000000-0005-0000-0000-0000CA850000}"/>
    <cellStyle name="Porcentaje 3 3 2 3 5 2" xfId="7664" xr:uid="{00000000-0005-0000-0000-0000CB850000}"/>
    <cellStyle name="Porcentaje 3 3 2 3 5 2 2" xfId="17524" xr:uid="{00000000-0005-0000-0000-0000CC850000}"/>
    <cellStyle name="Porcentaje 3 3 2 3 5 2 2 2" xfId="37239" xr:uid="{00000000-0005-0000-0000-0000CD850000}"/>
    <cellStyle name="Porcentaje 3 3 2 3 5 2 3" xfId="27382" xr:uid="{00000000-0005-0000-0000-0000CE850000}"/>
    <cellStyle name="Porcentaje 3 3 2 3 5 3" xfId="12596" xr:uid="{00000000-0005-0000-0000-0000CF850000}"/>
    <cellStyle name="Porcentaje 3 3 2 3 5 3 2" xfId="32311" xr:uid="{00000000-0005-0000-0000-0000D0850000}"/>
    <cellStyle name="Porcentaje 3 3 2 3 5 4" xfId="22454" xr:uid="{00000000-0005-0000-0000-0000D1850000}"/>
    <cellStyle name="Porcentaje 3 3 2 3 6" xfId="5200" xr:uid="{00000000-0005-0000-0000-0000D2850000}"/>
    <cellStyle name="Porcentaje 3 3 2 3 6 2" xfId="15060" xr:uid="{00000000-0005-0000-0000-0000D3850000}"/>
    <cellStyle name="Porcentaje 3 3 2 3 6 2 2" xfId="34775" xr:uid="{00000000-0005-0000-0000-0000D4850000}"/>
    <cellStyle name="Porcentaje 3 3 2 3 6 3" xfId="24918" xr:uid="{00000000-0005-0000-0000-0000D5850000}"/>
    <cellStyle name="Porcentaje 3 3 2 3 7" xfId="10132" xr:uid="{00000000-0005-0000-0000-0000D6850000}"/>
    <cellStyle name="Porcentaje 3 3 2 3 7 2" xfId="29847" xr:uid="{00000000-0005-0000-0000-0000D7850000}"/>
    <cellStyle name="Porcentaje 3 3 2 3 8" xfId="19990" xr:uid="{00000000-0005-0000-0000-0000D8850000}"/>
    <cellStyle name="Porcentaje 3 3 2 4" xfId="412" xr:uid="{00000000-0005-0000-0000-0000D9850000}"/>
    <cellStyle name="Porcentaje 3 3 2 4 2" xfId="1032" xr:uid="{00000000-0005-0000-0000-0000DA850000}"/>
    <cellStyle name="Porcentaje 3 3 2 4 2 2" xfId="2267" xr:uid="{00000000-0005-0000-0000-0000DB850000}"/>
    <cellStyle name="Porcentaje 3 3 2 4 2 2 2" xfId="4734" xr:uid="{00000000-0005-0000-0000-0000DC850000}"/>
    <cellStyle name="Porcentaje 3 3 2 4 2 2 2 2" xfId="9666" xr:uid="{00000000-0005-0000-0000-0000DD850000}"/>
    <cellStyle name="Porcentaje 3 3 2 4 2 2 2 2 2" xfId="19526" xr:uid="{00000000-0005-0000-0000-0000DE850000}"/>
    <cellStyle name="Porcentaje 3 3 2 4 2 2 2 2 2 2" xfId="39241" xr:uid="{00000000-0005-0000-0000-0000DF850000}"/>
    <cellStyle name="Porcentaje 3 3 2 4 2 2 2 2 3" xfId="29384" xr:uid="{00000000-0005-0000-0000-0000E0850000}"/>
    <cellStyle name="Porcentaje 3 3 2 4 2 2 2 3" xfId="14598" xr:uid="{00000000-0005-0000-0000-0000E1850000}"/>
    <cellStyle name="Porcentaje 3 3 2 4 2 2 2 3 2" xfId="34313" xr:uid="{00000000-0005-0000-0000-0000E2850000}"/>
    <cellStyle name="Porcentaje 3 3 2 4 2 2 2 4" xfId="24456" xr:uid="{00000000-0005-0000-0000-0000E3850000}"/>
    <cellStyle name="Porcentaje 3 3 2 4 2 2 3" xfId="7202" xr:uid="{00000000-0005-0000-0000-0000E4850000}"/>
    <cellStyle name="Porcentaje 3 3 2 4 2 2 3 2" xfId="17062" xr:uid="{00000000-0005-0000-0000-0000E5850000}"/>
    <cellStyle name="Porcentaje 3 3 2 4 2 2 3 2 2" xfId="36777" xr:uid="{00000000-0005-0000-0000-0000E6850000}"/>
    <cellStyle name="Porcentaje 3 3 2 4 2 2 3 3" xfId="26920" xr:uid="{00000000-0005-0000-0000-0000E7850000}"/>
    <cellStyle name="Porcentaje 3 3 2 4 2 2 4" xfId="12134" xr:uid="{00000000-0005-0000-0000-0000E8850000}"/>
    <cellStyle name="Porcentaje 3 3 2 4 2 2 4 2" xfId="31849" xr:uid="{00000000-0005-0000-0000-0000E9850000}"/>
    <cellStyle name="Porcentaje 3 3 2 4 2 2 5" xfId="21992" xr:uid="{00000000-0005-0000-0000-0000EA850000}"/>
    <cellStyle name="Porcentaje 3 3 2 4 2 3" xfId="3502" xr:uid="{00000000-0005-0000-0000-0000EB850000}"/>
    <cellStyle name="Porcentaje 3 3 2 4 2 3 2" xfId="8434" xr:uid="{00000000-0005-0000-0000-0000EC850000}"/>
    <cellStyle name="Porcentaje 3 3 2 4 2 3 2 2" xfId="18294" xr:uid="{00000000-0005-0000-0000-0000ED850000}"/>
    <cellStyle name="Porcentaje 3 3 2 4 2 3 2 2 2" xfId="38009" xr:uid="{00000000-0005-0000-0000-0000EE850000}"/>
    <cellStyle name="Porcentaje 3 3 2 4 2 3 2 3" xfId="28152" xr:uid="{00000000-0005-0000-0000-0000EF850000}"/>
    <cellStyle name="Porcentaje 3 3 2 4 2 3 3" xfId="13366" xr:uid="{00000000-0005-0000-0000-0000F0850000}"/>
    <cellStyle name="Porcentaje 3 3 2 4 2 3 3 2" xfId="33081" xr:uid="{00000000-0005-0000-0000-0000F1850000}"/>
    <cellStyle name="Porcentaje 3 3 2 4 2 3 4" xfId="23224" xr:uid="{00000000-0005-0000-0000-0000F2850000}"/>
    <cellStyle name="Porcentaje 3 3 2 4 2 4" xfId="5970" xr:uid="{00000000-0005-0000-0000-0000F3850000}"/>
    <cellStyle name="Porcentaje 3 3 2 4 2 4 2" xfId="15830" xr:uid="{00000000-0005-0000-0000-0000F4850000}"/>
    <cellStyle name="Porcentaje 3 3 2 4 2 4 2 2" xfId="35545" xr:uid="{00000000-0005-0000-0000-0000F5850000}"/>
    <cellStyle name="Porcentaje 3 3 2 4 2 4 3" xfId="25688" xr:uid="{00000000-0005-0000-0000-0000F6850000}"/>
    <cellStyle name="Porcentaje 3 3 2 4 2 5" xfId="10902" xr:uid="{00000000-0005-0000-0000-0000F7850000}"/>
    <cellStyle name="Porcentaje 3 3 2 4 2 5 2" xfId="30617" xr:uid="{00000000-0005-0000-0000-0000F8850000}"/>
    <cellStyle name="Porcentaje 3 3 2 4 2 6" xfId="20760" xr:uid="{00000000-0005-0000-0000-0000F9850000}"/>
    <cellStyle name="Porcentaje 3 3 2 4 3" xfId="1651" xr:uid="{00000000-0005-0000-0000-0000FA850000}"/>
    <cellStyle name="Porcentaje 3 3 2 4 3 2" xfId="4118" xr:uid="{00000000-0005-0000-0000-0000FB850000}"/>
    <cellStyle name="Porcentaje 3 3 2 4 3 2 2" xfId="9050" xr:uid="{00000000-0005-0000-0000-0000FC850000}"/>
    <cellStyle name="Porcentaje 3 3 2 4 3 2 2 2" xfId="18910" xr:uid="{00000000-0005-0000-0000-0000FD850000}"/>
    <cellStyle name="Porcentaje 3 3 2 4 3 2 2 2 2" xfId="38625" xr:uid="{00000000-0005-0000-0000-0000FE850000}"/>
    <cellStyle name="Porcentaje 3 3 2 4 3 2 2 3" xfId="28768" xr:uid="{00000000-0005-0000-0000-0000FF850000}"/>
    <cellStyle name="Porcentaje 3 3 2 4 3 2 3" xfId="13982" xr:uid="{00000000-0005-0000-0000-000000860000}"/>
    <cellStyle name="Porcentaje 3 3 2 4 3 2 3 2" xfId="33697" xr:uid="{00000000-0005-0000-0000-000001860000}"/>
    <cellStyle name="Porcentaje 3 3 2 4 3 2 4" xfId="23840" xr:uid="{00000000-0005-0000-0000-000002860000}"/>
    <cellStyle name="Porcentaje 3 3 2 4 3 3" xfId="6586" xr:uid="{00000000-0005-0000-0000-000003860000}"/>
    <cellStyle name="Porcentaje 3 3 2 4 3 3 2" xfId="16446" xr:uid="{00000000-0005-0000-0000-000004860000}"/>
    <cellStyle name="Porcentaje 3 3 2 4 3 3 2 2" xfId="36161" xr:uid="{00000000-0005-0000-0000-000005860000}"/>
    <cellStyle name="Porcentaje 3 3 2 4 3 3 3" xfId="26304" xr:uid="{00000000-0005-0000-0000-000006860000}"/>
    <cellStyle name="Porcentaje 3 3 2 4 3 4" xfId="11518" xr:uid="{00000000-0005-0000-0000-000007860000}"/>
    <cellStyle name="Porcentaje 3 3 2 4 3 4 2" xfId="31233" xr:uid="{00000000-0005-0000-0000-000008860000}"/>
    <cellStyle name="Porcentaje 3 3 2 4 3 5" xfId="21376" xr:uid="{00000000-0005-0000-0000-000009860000}"/>
    <cellStyle name="Porcentaje 3 3 2 4 4" xfId="2886" xr:uid="{00000000-0005-0000-0000-00000A860000}"/>
    <cellStyle name="Porcentaje 3 3 2 4 4 2" xfId="7818" xr:uid="{00000000-0005-0000-0000-00000B860000}"/>
    <cellStyle name="Porcentaje 3 3 2 4 4 2 2" xfId="17678" xr:uid="{00000000-0005-0000-0000-00000C860000}"/>
    <cellStyle name="Porcentaje 3 3 2 4 4 2 2 2" xfId="37393" xr:uid="{00000000-0005-0000-0000-00000D860000}"/>
    <cellStyle name="Porcentaje 3 3 2 4 4 2 3" xfId="27536" xr:uid="{00000000-0005-0000-0000-00000E860000}"/>
    <cellStyle name="Porcentaje 3 3 2 4 4 3" xfId="12750" xr:uid="{00000000-0005-0000-0000-00000F860000}"/>
    <cellStyle name="Porcentaje 3 3 2 4 4 3 2" xfId="32465" xr:uid="{00000000-0005-0000-0000-000010860000}"/>
    <cellStyle name="Porcentaje 3 3 2 4 4 4" xfId="22608" xr:uid="{00000000-0005-0000-0000-000011860000}"/>
    <cellStyle name="Porcentaje 3 3 2 4 5" xfId="5354" xr:uid="{00000000-0005-0000-0000-000012860000}"/>
    <cellStyle name="Porcentaje 3 3 2 4 5 2" xfId="15214" xr:uid="{00000000-0005-0000-0000-000013860000}"/>
    <cellStyle name="Porcentaje 3 3 2 4 5 2 2" xfId="34929" xr:uid="{00000000-0005-0000-0000-000014860000}"/>
    <cellStyle name="Porcentaje 3 3 2 4 5 3" xfId="25072" xr:uid="{00000000-0005-0000-0000-000015860000}"/>
    <cellStyle name="Porcentaje 3 3 2 4 6" xfId="10286" xr:uid="{00000000-0005-0000-0000-000016860000}"/>
    <cellStyle name="Porcentaje 3 3 2 4 6 2" xfId="30001" xr:uid="{00000000-0005-0000-0000-000017860000}"/>
    <cellStyle name="Porcentaje 3 3 2 4 7" xfId="20144" xr:uid="{00000000-0005-0000-0000-000018860000}"/>
    <cellStyle name="Porcentaje 3 3 2 5" xfId="725" xr:uid="{00000000-0005-0000-0000-000019860000}"/>
    <cellStyle name="Porcentaje 3 3 2 5 2" xfId="1961" xr:uid="{00000000-0005-0000-0000-00001A860000}"/>
    <cellStyle name="Porcentaje 3 3 2 5 2 2" xfId="4428" xr:uid="{00000000-0005-0000-0000-00001B860000}"/>
    <cellStyle name="Porcentaje 3 3 2 5 2 2 2" xfId="9360" xr:uid="{00000000-0005-0000-0000-00001C860000}"/>
    <cellStyle name="Porcentaje 3 3 2 5 2 2 2 2" xfId="19220" xr:uid="{00000000-0005-0000-0000-00001D860000}"/>
    <cellStyle name="Porcentaje 3 3 2 5 2 2 2 2 2" xfId="38935" xr:uid="{00000000-0005-0000-0000-00001E860000}"/>
    <cellStyle name="Porcentaje 3 3 2 5 2 2 2 3" xfId="29078" xr:uid="{00000000-0005-0000-0000-00001F860000}"/>
    <cellStyle name="Porcentaje 3 3 2 5 2 2 3" xfId="14292" xr:uid="{00000000-0005-0000-0000-000020860000}"/>
    <cellStyle name="Porcentaje 3 3 2 5 2 2 3 2" xfId="34007" xr:uid="{00000000-0005-0000-0000-000021860000}"/>
    <cellStyle name="Porcentaje 3 3 2 5 2 2 4" xfId="24150" xr:uid="{00000000-0005-0000-0000-000022860000}"/>
    <cellStyle name="Porcentaje 3 3 2 5 2 3" xfId="6896" xr:uid="{00000000-0005-0000-0000-000023860000}"/>
    <cellStyle name="Porcentaje 3 3 2 5 2 3 2" xfId="16756" xr:uid="{00000000-0005-0000-0000-000024860000}"/>
    <cellStyle name="Porcentaje 3 3 2 5 2 3 2 2" xfId="36471" xr:uid="{00000000-0005-0000-0000-000025860000}"/>
    <cellStyle name="Porcentaje 3 3 2 5 2 3 3" xfId="26614" xr:uid="{00000000-0005-0000-0000-000026860000}"/>
    <cellStyle name="Porcentaje 3 3 2 5 2 4" xfId="11828" xr:uid="{00000000-0005-0000-0000-000027860000}"/>
    <cellStyle name="Porcentaje 3 3 2 5 2 4 2" xfId="31543" xr:uid="{00000000-0005-0000-0000-000028860000}"/>
    <cellStyle name="Porcentaje 3 3 2 5 2 5" xfId="21686" xr:uid="{00000000-0005-0000-0000-000029860000}"/>
    <cellStyle name="Porcentaje 3 3 2 5 3" xfId="3196" xr:uid="{00000000-0005-0000-0000-00002A860000}"/>
    <cellStyle name="Porcentaje 3 3 2 5 3 2" xfId="8128" xr:uid="{00000000-0005-0000-0000-00002B860000}"/>
    <cellStyle name="Porcentaje 3 3 2 5 3 2 2" xfId="17988" xr:uid="{00000000-0005-0000-0000-00002C860000}"/>
    <cellStyle name="Porcentaje 3 3 2 5 3 2 2 2" xfId="37703" xr:uid="{00000000-0005-0000-0000-00002D860000}"/>
    <cellStyle name="Porcentaje 3 3 2 5 3 2 3" xfId="27846" xr:uid="{00000000-0005-0000-0000-00002E860000}"/>
    <cellStyle name="Porcentaje 3 3 2 5 3 3" xfId="13060" xr:uid="{00000000-0005-0000-0000-00002F860000}"/>
    <cellStyle name="Porcentaje 3 3 2 5 3 3 2" xfId="32775" xr:uid="{00000000-0005-0000-0000-000030860000}"/>
    <cellStyle name="Porcentaje 3 3 2 5 3 4" xfId="22918" xr:uid="{00000000-0005-0000-0000-000031860000}"/>
    <cellStyle name="Porcentaje 3 3 2 5 4" xfId="5664" xr:uid="{00000000-0005-0000-0000-000032860000}"/>
    <cellStyle name="Porcentaje 3 3 2 5 4 2" xfId="15524" xr:uid="{00000000-0005-0000-0000-000033860000}"/>
    <cellStyle name="Porcentaje 3 3 2 5 4 2 2" xfId="35239" xr:uid="{00000000-0005-0000-0000-000034860000}"/>
    <cellStyle name="Porcentaje 3 3 2 5 4 3" xfId="25382" xr:uid="{00000000-0005-0000-0000-000035860000}"/>
    <cellStyle name="Porcentaje 3 3 2 5 5" xfId="10596" xr:uid="{00000000-0005-0000-0000-000036860000}"/>
    <cellStyle name="Porcentaje 3 3 2 5 5 2" xfId="30311" xr:uid="{00000000-0005-0000-0000-000037860000}"/>
    <cellStyle name="Porcentaje 3 3 2 5 6" xfId="20454" xr:uid="{00000000-0005-0000-0000-000038860000}"/>
    <cellStyle name="Porcentaje 3 3 2 6" xfId="1345" xr:uid="{00000000-0005-0000-0000-000039860000}"/>
    <cellStyle name="Porcentaje 3 3 2 6 2" xfId="3812" xr:uid="{00000000-0005-0000-0000-00003A860000}"/>
    <cellStyle name="Porcentaje 3 3 2 6 2 2" xfId="8744" xr:uid="{00000000-0005-0000-0000-00003B860000}"/>
    <cellStyle name="Porcentaje 3 3 2 6 2 2 2" xfId="18604" xr:uid="{00000000-0005-0000-0000-00003C860000}"/>
    <cellStyle name="Porcentaje 3 3 2 6 2 2 2 2" xfId="38319" xr:uid="{00000000-0005-0000-0000-00003D860000}"/>
    <cellStyle name="Porcentaje 3 3 2 6 2 2 3" xfId="28462" xr:uid="{00000000-0005-0000-0000-00003E860000}"/>
    <cellStyle name="Porcentaje 3 3 2 6 2 3" xfId="13676" xr:uid="{00000000-0005-0000-0000-00003F860000}"/>
    <cellStyle name="Porcentaje 3 3 2 6 2 3 2" xfId="33391" xr:uid="{00000000-0005-0000-0000-000040860000}"/>
    <cellStyle name="Porcentaje 3 3 2 6 2 4" xfId="23534" xr:uid="{00000000-0005-0000-0000-000041860000}"/>
    <cellStyle name="Porcentaje 3 3 2 6 3" xfId="6280" xr:uid="{00000000-0005-0000-0000-000042860000}"/>
    <cellStyle name="Porcentaje 3 3 2 6 3 2" xfId="16140" xr:uid="{00000000-0005-0000-0000-000043860000}"/>
    <cellStyle name="Porcentaje 3 3 2 6 3 2 2" xfId="35855" xr:uid="{00000000-0005-0000-0000-000044860000}"/>
    <cellStyle name="Porcentaje 3 3 2 6 3 3" xfId="25998" xr:uid="{00000000-0005-0000-0000-000045860000}"/>
    <cellStyle name="Porcentaje 3 3 2 6 4" xfId="11212" xr:uid="{00000000-0005-0000-0000-000046860000}"/>
    <cellStyle name="Porcentaje 3 3 2 6 4 2" xfId="30927" xr:uid="{00000000-0005-0000-0000-000047860000}"/>
    <cellStyle name="Porcentaje 3 3 2 6 5" xfId="21070" xr:uid="{00000000-0005-0000-0000-000048860000}"/>
    <cellStyle name="Porcentaje 3 3 2 7" xfId="2580" xr:uid="{00000000-0005-0000-0000-000049860000}"/>
    <cellStyle name="Porcentaje 3 3 2 7 2" xfId="7512" xr:uid="{00000000-0005-0000-0000-00004A860000}"/>
    <cellStyle name="Porcentaje 3 3 2 7 2 2" xfId="17372" xr:uid="{00000000-0005-0000-0000-00004B860000}"/>
    <cellStyle name="Porcentaje 3 3 2 7 2 2 2" xfId="37087" xr:uid="{00000000-0005-0000-0000-00004C860000}"/>
    <cellStyle name="Porcentaje 3 3 2 7 2 3" xfId="27230" xr:uid="{00000000-0005-0000-0000-00004D860000}"/>
    <cellStyle name="Porcentaje 3 3 2 7 3" xfId="12444" xr:uid="{00000000-0005-0000-0000-00004E860000}"/>
    <cellStyle name="Porcentaje 3 3 2 7 3 2" xfId="32159" xr:uid="{00000000-0005-0000-0000-00004F860000}"/>
    <cellStyle name="Porcentaje 3 3 2 7 4" xfId="22302" xr:uid="{00000000-0005-0000-0000-000050860000}"/>
    <cellStyle name="Porcentaje 3 3 2 8" xfId="5048" xr:uid="{00000000-0005-0000-0000-000051860000}"/>
    <cellStyle name="Porcentaje 3 3 2 8 2" xfId="14908" xr:uid="{00000000-0005-0000-0000-000052860000}"/>
    <cellStyle name="Porcentaje 3 3 2 8 2 2" xfId="34623" xr:uid="{00000000-0005-0000-0000-000053860000}"/>
    <cellStyle name="Porcentaje 3 3 2 8 3" xfId="24766" xr:uid="{00000000-0005-0000-0000-000054860000}"/>
    <cellStyle name="Porcentaje 3 3 2 9" xfId="9980" xr:uid="{00000000-0005-0000-0000-000055860000}"/>
    <cellStyle name="Porcentaje 3 3 2 9 2" xfId="29695" xr:uid="{00000000-0005-0000-0000-000056860000}"/>
    <cellStyle name="Porcentaje 3 3 3" xfId="131" xr:uid="{00000000-0005-0000-0000-000057860000}"/>
    <cellStyle name="Porcentaje 3 3 3 2" xfId="288" xr:uid="{00000000-0005-0000-0000-000058860000}"/>
    <cellStyle name="Porcentaje 3 3 3 2 2" xfId="602" xr:uid="{00000000-0005-0000-0000-000059860000}"/>
    <cellStyle name="Porcentaje 3 3 3 2 2 2" xfId="1222" xr:uid="{00000000-0005-0000-0000-00005A860000}"/>
    <cellStyle name="Porcentaje 3 3 3 2 2 2 2" xfId="2457" xr:uid="{00000000-0005-0000-0000-00005B860000}"/>
    <cellStyle name="Porcentaje 3 3 3 2 2 2 2 2" xfId="4924" xr:uid="{00000000-0005-0000-0000-00005C860000}"/>
    <cellStyle name="Porcentaje 3 3 3 2 2 2 2 2 2" xfId="9856" xr:uid="{00000000-0005-0000-0000-00005D860000}"/>
    <cellStyle name="Porcentaje 3 3 3 2 2 2 2 2 2 2" xfId="19716" xr:uid="{00000000-0005-0000-0000-00005E860000}"/>
    <cellStyle name="Porcentaje 3 3 3 2 2 2 2 2 2 2 2" xfId="39431" xr:uid="{00000000-0005-0000-0000-00005F860000}"/>
    <cellStyle name="Porcentaje 3 3 3 2 2 2 2 2 2 3" xfId="29574" xr:uid="{00000000-0005-0000-0000-000060860000}"/>
    <cellStyle name="Porcentaje 3 3 3 2 2 2 2 2 3" xfId="14788" xr:uid="{00000000-0005-0000-0000-000061860000}"/>
    <cellStyle name="Porcentaje 3 3 3 2 2 2 2 2 3 2" xfId="34503" xr:uid="{00000000-0005-0000-0000-000062860000}"/>
    <cellStyle name="Porcentaje 3 3 3 2 2 2 2 2 4" xfId="24646" xr:uid="{00000000-0005-0000-0000-000063860000}"/>
    <cellStyle name="Porcentaje 3 3 3 2 2 2 2 3" xfId="7392" xr:uid="{00000000-0005-0000-0000-000064860000}"/>
    <cellStyle name="Porcentaje 3 3 3 2 2 2 2 3 2" xfId="17252" xr:uid="{00000000-0005-0000-0000-000065860000}"/>
    <cellStyle name="Porcentaje 3 3 3 2 2 2 2 3 2 2" xfId="36967" xr:uid="{00000000-0005-0000-0000-000066860000}"/>
    <cellStyle name="Porcentaje 3 3 3 2 2 2 2 3 3" xfId="27110" xr:uid="{00000000-0005-0000-0000-000067860000}"/>
    <cellStyle name="Porcentaje 3 3 3 2 2 2 2 4" xfId="12324" xr:uid="{00000000-0005-0000-0000-000068860000}"/>
    <cellStyle name="Porcentaje 3 3 3 2 2 2 2 4 2" xfId="32039" xr:uid="{00000000-0005-0000-0000-000069860000}"/>
    <cellStyle name="Porcentaje 3 3 3 2 2 2 2 5" xfId="22182" xr:uid="{00000000-0005-0000-0000-00006A860000}"/>
    <cellStyle name="Porcentaje 3 3 3 2 2 2 3" xfId="3692" xr:uid="{00000000-0005-0000-0000-00006B860000}"/>
    <cellStyle name="Porcentaje 3 3 3 2 2 2 3 2" xfId="8624" xr:uid="{00000000-0005-0000-0000-00006C860000}"/>
    <cellStyle name="Porcentaje 3 3 3 2 2 2 3 2 2" xfId="18484" xr:uid="{00000000-0005-0000-0000-00006D860000}"/>
    <cellStyle name="Porcentaje 3 3 3 2 2 2 3 2 2 2" xfId="38199" xr:uid="{00000000-0005-0000-0000-00006E860000}"/>
    <cellStyle name="Porcentaje 3 3 3 2 2 2 3 2 3" xfId="28342" xr:uid="{00000000-0005-0000-0000-00006F860000}"/>
    <cellStyle name="Porcentaje 3 3 3 2 2 2 3 3" xfId="13556" xr:uid="{00000000-0005-0000-0000-000070860000}"/>
    <cellStyle name="Porcentaje 3 3 3 2 2 2 3 3 2" xfId="33271" xr:uid="{00000000-0005-0000-0000-000071860000}"/>
    <cellStyle name="Porcentaje 3 3 3 2 2 2 3 4" xfId="23414" xr:uid="{00000000-0005-0000-0000-000072860000}"/>
    <cellStyle name="Porcentaje 3 3 3 2 2 2 4" xfId="6160" xr:uid="{00000000-0005-0000-0000-000073860000}"/>
    <cellStyle name="Porcentaje 3 3 3 2 2 2 4 2" xfId="16020" xr:uid="{00000000-0005-0000-0000-000074860000}"/>
    <cellStyle name="Porcentaje 3 3 3 2 2 2 4 2 2" xfId="35735" xr:uid="{00000000-0005-0000-0000-000075860000}"/>
    <cellStyle name="Porcentaje 3 3 3 2 2 2 4 3" xfId="25878" xr:uid="{00000000-0005-0000-0000-000076860000}"/>
    <cellStyle name="Porcentaje 3 3 3 2 2 2 5" xfId="11092" xr:uid="{00000000-0005-0000-0000-000077860000}"/>
    <cellStyle name="Porcentaje 3 3 3 2 2 2 5 2" xfId="30807" xr:uid="{00000000-0005-0000-0000-000078860000}"/>
    <cellStyle name="Porcentaje 3 3 3 2 2 2 6" xfId="20950" xr:uid="{00000000-0005-0000-0000-000079860000}"/>
    <cellStyle name="Porcentaje 3 3 3 2 2 3" xfId="1841" xr:uid="{00000000-0005-0000-0000-00007A860000}"/>
    <cellStyle name="Porcentaje 3 3 3 2 2 3 2" xfId="4308" xr:uid="{00000000-0005-0000-0000-00007B860000}"/>
    <cellStyle name="Porcentaje 3 3 3 2 2 3 2 2" xfId="9240" xr:uid="{00000000-0005-0000-0000-00007C860000}"/>
    <cellStyle name="Porcentaje 3 3 3 2 2 3 2 2 2" xfId="19100" xr:uid="{00000000-0005-0000-0000-00007D860000}"/>
    <cellStyle name="Porcentaje 3 3 3 2 2 3 2 2 2 2" xfId="38815" xr:uid="{00000000-0005-0000-0000-00007E860000}"/>
    <cellStyle name="Porcentaje 3 3 3 2 2 3 2 2 3" xfId="28958" xr:uid="{00000000-0005-0000-0000-00007F860000}"/>
    <cellStyle name="Porcentaje 3 3 3 2 2 3 2 3" xfId="14172" xr:uid="{00000000-0005-0000-0000-000080860000}"/>
    <cellStyle name="Porcentaje 3 3 3 2 2 3 2 3 2" xfId="33887" xr:uid="{00000000-0005-0000-0000-000081860000}"/>
    <cellStyle name="Porcentaje 3 3 3 2 2 3 2 4" xfId="24030" xr:uid="{00000000-0005-0000-0000-000082860000}"/>
    <cellStyle name="Porcentaje 3 3 3 2 2 3 3" xfId="6776" xr:uid="{00000000-0005-0000-0000-000083860000}"/>
    <cellStyle name="Porcentaje 3 3 3 2 2 3 3 2" xfId="16636" xr:uid="{00000000-0005-0000-0000-000084860000}"/>
    <cellStyle name="Porcentaje 3 3 3 2 2 3 3 2 2" xfId="36351" xr:uid="{00000000-0005-0000-0000-000085860000}"/>
    <cellStyle name="Porcentaje 3 3 3 2 2 3 3 3" xfId="26494" xr:uid="{00000000-0005-0000-0000-000086860000}"/>
    <cellStyle name="Porcentaje 3 3 3 2 2 3 4" xfId="11708" xr:uid="{00000000-0005-0000-0000-000087860000}"/>
    <cellStyle name="Porcentaje 3 3 3 2 2 3 4 2" xfId="31423" xr:uid="{00000000-0005-0000-0000-000088860000}"/>
    <cellStyle name="Porcentaje 3 3 3 2 2 3 5" xfId="21566" xr:uid="{00000000-0005-0000-0000-000089860000}"/>
    <cellStyle name="Porcentaje 3 3 3 2 2 4" xfId="3076" xr:uid="{00000000-0005-0000-0000-00008A860000}"/>
    <cellStyle name="Porcentaje 3 3 3 2 2 4 2" xfId="8008" xr:uid="{00000000-0005-0000-0000-00008B860000}"/>
    <cellStyle name="Porcentaje 3 3 3 2 2 4 2 2" xfId="17868" xr:uid="{00000000-0005-0000-0000-00008C860000}"/>
    <cellStyle name="Porcentaje 3 3 3 2 2 4 2 2 2" xfId="37583" xr:uid="{00000000-0005-0000-0000-00008D860000}"/>
    <cellStyle name="Porcentaje 3 3 3 2 2 4 2 3" xfId="27726" xr:uid="{00000000-0005-0000-0000-00008E860000}"/>
    <cellStyle name="Porcentaje 3 3 3 2 2 4 3" xfId="12940" xr:uid="{00000000-0005-0000-0000-00008F860000}"/>
    <cellStyle name="Porcentaje 3 3 3 2 2 4 3 2" xfId="32655" xr:uid="{00000000-0005-0000-0000-000090860000}"/>
    <cellStyle name="Porcentaje 3 3 3 2 2 4 4" xfId="22798" xr:uid="{00000000-0005-0000-0000-000091860000}"/>
    <cellStyle name="Porcentaje 3 3 3 2 2 5" xfId="5544" xr:uid="{00000000-0005-0000-0000-000092860000}"/>
    <cellStyle name="Porcentaje 3 3 3 2 2 5 2" xfId="15404" xr:uid="{00000000-0005-0000-0000-000093860000}"/>
    <cellStyle name="Porcentaje 3 3 3 2 2 5 2 2" xfId="35119" xr:uid="{00000000-0005-0000-0000-000094860000}"/>
    <cellStyle name="Porcentaje 3 3 3 2 2 5 3" xfId="25262" xr:uid="{00000000-0005-0000-0000-000095860000}"/>
    <cellStyle name="Porcentaje 3 3 3 2 2 6" xfId="10476" xr:uid="{00000000-0005-0000-0000-000096860000}"/>
    <cellStyle name="Porcentaje 3 3 3 2 2 6 2" xfId="30191" xr:uid="{00000000-0005-0000-0000-000097860000}"/>
    <cellStyle name="Porcentaje 3 3 3 2 2 7" xfId="20334" xr:uid="{00000000-0005-0000-0000-000098860000}"/>
    <cellStyle name="Porcentaje 3 3 3 2 3" xfId="915" xr:uid="{00000000-0005-0000-0000-000099860000}"/>
    <cellStyle name="Porcentaje 3 3 3 2 3 2" xfId="2151" xr:uid="{00000000-0005-0000-0000-00009A860000}"/>
    <cellStyle name="Porcentaje 3 3 3 2 3 2 2" xfId="4618" xr:uid="{00000000-0005-0000-0000-00009B860000}"/>
    <cellStyle name="Porcentaje 3 3 3 2 3 2 2 2" xfId="9550" xr:uid="{00000000-0005-0000-0000-00009C860000}"/>
    <cellStyle name="Porcentaje 3 3 3 2 3 2 2 2 2" xfId="19410" xr:uid="{00000000-0005-0000-0000-00009D860000}"/>
    <cellStyle name="Porcentaje 3 3 3 2 3 2 2 2 2 2" xfId="39125" xr:uid="{00000000-0005-0000-0000-00009E860000}"/>
    <cellStyle name="Porcentaje 3 3 3 2 3 2 2 2 3" xfId="29268" xr:uid="{00000000-0005-0000-0000-00009F860000}"/>
    <cellStyle name="Porcentaje 3 3 3 2 3 2 2 3" xfId="14482" xr:uid="{00000000-0005-0000-0000-0000A0860000}"/>
    <cellStyle name="Porcentaje 3 3 3 2 3 2 2 3 2" xfId="34197" xr:uid="{00000000-0005-0000-0000-0000A1860000}"/>
    <cellStyle name="Porcentaje 3 3 3 2 3 2 2 4" xfId="24340" xr:uid="{00000000-0005-0000-0000-0000A2860000}"/>
    <cellStyle name="Porcentaje 3 3 3 2 3 2 3" xfId="7086" xr:uid="{00000000-0005-0000-0000-0000A3860000}"/>
    <cellStyle name="Porcentaje 3 3 3 2 3 2 3 2" xfId="16946" xr:uid="{00000000-0005-0000-0000-0000A4860000}"/>
    <cellStyle name="Porcentaje 3 3 3 2 3 2 3 2 2" xfId="36661" xr:uid="{00000000-0005-0000-0000-0000A5860000}"/>
    <cellStyle name="Porcentaje 3 3 3 2 3 2 3 3" xfId="26804" xr:uid="{00000000-0005-0000-0000-0000A6860000}"/>
    <cellStyle name="Porcentaje 3 3 3 2 3 2 4" xfId="12018" xr:uid="{00000000-0005-0000-0000-0000A7860000}"/>
    <cellStyle name="Porcentaje 3 3 3 2 3 2 4 2" xfId="31733" xr:uid="{00000000-0005-0000-0000-0000A8860000}"/>
    <cellStyle name="Porcentaje 3 3 3 2 3 2 5" xfId="21876" xr:uid="{00000000-0005-0000-0000-0000A9860000}"/>
    <cellStyle name="Porcentaje 3 3 3 2 3 3" xfId="3386" xr:uid="{00000000-0005-0000-0000-0000AA860000}"/>
    <cellStyle name="Porcentaje 3 3 3 2 3 3 2" xfId="8318" xr:uid="{00000000-0005-0000-0000-0000AB860000}"/>
    <cellStyle name="Porcentaje 3 3 3 2 3 3 2 2" xfId="18178" xr:uid="{00000000-0005-0000-0000-0000AC860000}"/>
    <cellStyle name="Porcentaje 3 3 3 2 3 3 2 2 2" xfId="37893" xr:uid="{00000000-0005-0000-0000-0000AD860000}"/>
    <cellStyle name="Porcentaje 3 3 3 2 3 3 2 3" xfId="28036" xr:uid="{00000000-0005-0000-0000-0000AE860000}"/>
    <cellStyle name="Porcentaje 3 3 3 2 3 3 3" xfId="13250" xr:uid="{00000000-0005-0000-0000-0000AF860000}"/>
    <cellStyle name="Porcentaje 3 3 3 2 3 3 3 2" xfId="32965" xr:uid="{00000000-0005-0000-0000-0000B0860000}"/>
    <cellStyle name="Porcentaje 3 3 3 2 3 3 4" xfId="23108" xr:uid="{00000000-0005-0000-0000-0000B1860000}"/>
    <cellStyle name="Porcentaje 3 3 3 2 3 4" xfId="5854" xr:uid="{00000000-0005-0000-0000-0000B2860000}"/>
    <cellStyle name="Porcentaje 3 3 3 2 3 4 2" xfId="15714" xr:uid="{00000000-0005-0000-0000-0000B3860000}"/>
    <cellStyle name="Porcentaje 3 3 3 2 3 4 2 2" xfId="35429" xr:uid="{00000000-0005-0000-0000-0000B4860000}"/>
    <cellStyle name="Porcentaje 3 3 3 2 3 4 3" xfId="25572" xr:uid="{00000000-0005-0000-0000-0000B5860000}"/>
    <cellStyle name="Porcentaje 3 3 3 2 3 5" xfId="10786" xr:uid="{00000000-0005-0000-0000-0000B6860000}"/>
    <cellStyle name="Porcentaje 3 3 3 2 3 5 2" xfId="30501" xr:uid="{00000000-0005-0000-0000-0000B7860000}"/>
    <cellStyle name="Porcentaje 3 3 3 2 3 6" xfId="20644" xr:uid="{00000000-0005-0000-0000-0000B8860000}"/>
    <cellStyle name="Porcentaje 3 3 3 2 4" xfId="1535" xr:uid="{00000000-0005-0000-0000-0000B9860000}"/>
    <cellStyle name="Porcentaje 3 3 3 2 4 2" xfId="4002" xr:uid="{00000000-0005-0000-0000-0000BA860000}"/>
    <cellStyle name="Porcentaje 3 3 3 2 4 2 2" xfId="8934" xr:uid="{00000000-0005-0000-0000-0000BB860000}"/>
    <cellStyle name="Porcentaje 3 3 3 2 4 2 2 2" xfId="18794" xr:uid="{00000000-0005-0000-0000-0000BC860000}"/>
    <cellStyle name="Porcentaje 3 3 3 2 4 2 2 2 2" xfId="38509" xr:uid="{00000000-0005-0000-0000-0000BD860000}"/>
    <cellStyle name="Porcentaje 3 3 3 2 4 2 2 3" xfId="28652" xr:uid="{00000000-0005-0000-0000-0000BE860000}"/>
    <cellStyle name="Porcentaje 3 3 3 2 4 2 3" xfId="13866" xr:uid="{00000000-0005-0000-0000-0000BF860000}"/>
    <cellStyle name="Porcentaje 3 3 3 2 4 2 3 2" xfId="33581" xr:uid="{00000000-0005-0000-0000-0000C0860000}"/>
    <cellStyle name="Porcentaje 3 3 3 2 4 2 4" xfId="23724" xr:uid="{00000000-0005-0000-0000-0000C1860000}"/>
    <cellStyle name="Porcentaje 3 3 3 2 4 3" xfId="6470" xr:uid="{00000000-0005-0000-0000-0000C2860000}"/>
    <cellStyle name="Porcentaje 3 3 3 2 4 3 2" xfId="16330" xr:uid="{00000000-0005-0000-0000-0000C3860000}"/>
    <cellStyle name="Porcentaje 3 3 3 2 4 3 2 2" xfId="36045" xr:uid="{00000000-0005-0000-0000-0000C4860000}"/>
    <cellStyle name="Porcentaje 3 3 3 2 4 3 3" xfId="26188" xr:uid="{00000000-0005-0000-0000-0000C5860000}"/>
    <cellStyle name="Porcentaje 3 3 3 2 4 4" xfId="11402" xr:uid="{00000000-0005-0000-0000-0000C6860000}"/>
    <cellStyle name="Porcentaje 3 3 3 2 4 4 2" xfId="31117" xr:uid="{00000000-0005-0000-0000-0000C7860000}"/>
    <cellStyle name="Porcentaje 3 3 3 2 4 5" xfId="21260" xr:uid="{00000000-0005-0000-0000-0000C8860000}"/>
    <cellStyle name="Porcentaje 3 3 3 2 5" xfId="2770" xr:uid="{00000000-0005-0000-0000-0000C9860000}"/>
    <cellStyle name="Porcentaje 3 3 3 2 5 2" xfId="7702" xr:uid="{00000000-0005-0000-0000-0000CA860000}"/>
    <cellStyle name="Porcentaje 3 3 3 2 5 2 2" xfId="17562" xr:uid="{00000000-0005-0000-0000-0000CB860000}"/>
    <cellStyle name="Porcentaje 3 3 3 2 5 2 2 2" xfId="37277" xr:uid="{00000000-0005-0000-0000-0000CC860000}"/>
    <cellStyle name="Porcentaje 3 3 3 2 5 2 3" xfId="27420" xr:uid="{00000000-0005-0000-0000-0000CD860000}"/>
    <cellStyle name="Porcentaje 3 3 3 2 5 3" xfId="12634" xr:uid="{00000000-0005-0000-0000-0000CE860000}"/>
    <cellStyle name="Porcentaje 3 3 3 2 5 3 2" xfId="32349" xr:uid="{00000000-0005-0000-0000-0000CF860000}"/>
    <cellStyle name="Porcentaje 3 3 3 2 5 4" xfId="22492" xr:uid="{00000000-0005-0000-0000-0000D0860000}"/>
    <cellStyle name="Porcentaje 3 3 3 2 6" xfId="5238" xr:uid="{00000000-0005-0000-0000-0000D1860000}"/>
    <cellStyle name="Porcentaje 3 3 3 2 6 2" xfId="15098" xr:uid="{00000000-0005-0000-0000-0000D2860000}"/>
    <cellStyle name="Porcentaje 3 3 3 2 6 2 2" xfId="34813" xr:uid="{00000000-0005-0000-0000-0000D3860000}"/>
    <cellStyle name="Porcentaje 3 3 3 2 6 3" xfId="24956" xr:uid="{00000000-0005-0000-0000-0000D4860000}"/>
    <cellStyle name="Porcentaje 3 3 3 2 7" xfId="10170" xr:uid="{00000000-0005-0000-0000-0000D5860000}"/>
    <cellStyle name="Porcentaje 3 3 3 2 7 2" xfId="29885" xr:uid="{00000000-0005-0000-0000-0000D6860000}"/>
    <cellStyle name="Porcentaje 3 3 3 2 8" xfId="20028" xr:uid="{00000000-0005-0000-0000-0000D7860000}"/>
    <cellStyle name="Porcentaje 3 3 3 3" xfId="450" xr:uid="{00000000-0005-0000-0000-0000D8860000}"/>
    <cellStyle name="Porcentaje 3 3 3 3 2" xfId="1070" xr:uid="{00000000-0005-0000-0000-0000D9860000}"/>
    <cellStyle name="Porcentaje 3 3 3 3 2 2" xfId="2305" xr:uid="{00000000-0005-0000-0000-0000DA860000}"/>
    <cellStyle name="Porcentaje 3 3 3 3 2 2 2" xfId="4772" xr:uid="{00000000-0005-0000-0000-0000DB860000}"/>
    <cellStyle name="Porcentaje 3 3 3 3 2 2 2 2" xfId="9704" xr:uid="{00000000-0005-0000-0000-0000DC860000}"/>
    <cellStyle name="Porcentaje 3 3 3 3 2 2 2 2 2" xfId="19564" xr:uid="{00000000-0005-0000-0000-0000DD860000}"/>
    <cellStyle name="Porcentaje 3 3 3 3 2 2 2 2 2 2" xfId="39279" xr:uid="{00000000-0005-0000-0000-0000DE860000}"/>
    <cellStyle name="Porcentaje 3 3 3 3 2 2 2 2 3" xfId="29422" xr:uid="{00000000-0005-0000-0000-0000DF860000}"/>
    <cellStyle name="Porcentaje 3 3 3 3 2 2 2 3" xfId="14636" xr:uid="{00000000-0005-0000-0000-0000E0860000}"/>
    <cellStyle name="Porcentaje 3 3 3 3 2 2 2 3 2" xfId="34351" xr:uid="{00000000-0005-0000-0000-0000E1860000}"/>
    <cellStyle name="Porcentaje 3 3 3 3 2 2 2 4" xfId="24494" xr:uid="{00000000-0005-0000-0000-0000E2860000}"/>
    <cellStyle name="Porcentaje 3 3 3 3 2 2 3" xfId="7240" xr:uid="{00000000-0005-0000-0000-0000E3860000}"/>
    <cellStyle name="Porcentaje 3 3 3 3 2 2 3 2" xfId="17100" xr:uid="{00000000-0005-0000-0000-0000E4860000}"/>
    <cellStyle name="Porcentaje 3 3 3 3 2 2 3 2 2" xfId="36815" xr:uid="{00000000-0005-0000-0000-0000E5860000}"/>
    <cellStyle name="Porcentaje 3 3 3 3 2 2 3 3" xfId="26958" xr:uid="{00000000-0005-0000-0000-0000E6860000}"/>
    <cellStyle name="Porcentaje 3 3 3 3 2 2 4" xfId="12172" xr:uid="{00000000-0005-0000-0000-0000E7860000}"/>
    <cellStyle name="Porcentaje 3 3 3 3 2 2 4 2" xfId="31887" xr:uid="{00000000-0005-0000-0000-0000E8860000}"/>
    <cellStyle name="Porcentaje 3 3 3 3 2 2 5" xfId="22030" xr:uid="{00000000-0005-0000-0000-0000E9860000}"/>
    <cellStyle name="Porcentaje 3 3 3 3 2 3" xfId="3540" xr:uid="{00000000-0005-0000-0000-0000EA860000}"/>
    <cellStyle name="Porcentaje 3 3 3 3 2 3 2" xfId="8472" xr:uid="{00000000-0005-0000-0000-0000EB860000}"/>
    <cellStyle name="Porcentaje 3 3 3 3 2 3 2 2" xfId="18332" xr:uid="{00000000-0005-0000-0000-0000EC860000}"/>
    <cellStyle name="Porcentaje 3 3 3 3 2 3 2 2 2" xfId="38047" xr:uid="{00000000-0005-0000-0000-0000ED860000}"/>
    <cellStyle name="Porcentaje 3 3 3 3 2 3 2 3" xfId="28190" xr:uid="{00000000-0005-0000-0000-0000EE860000}"/>
    <cellStyle name="Porcentaje 3 3 3 3 2 3 3" xfId="13404" xr:uid="{00000000-0005-0000-0000-0000EF860000}"/>
    <cellStyle name="Porcentaje 3 3 3 3 2 3 3 2" xfId="33119" xr:uid="{00000000-0005-0000-0000-0000F0860000}"/>
    <cellStyle name="Porcentaje 3 3 3 3 2 3 4" xfId="23262" xr:uid="{00000000-0005-0000-0000-0000F1860000}"/>
    <cellStyle name="Porcentaje 3 3 3 3 2 4" xfId="6008" xr:uid="{00000000-0005-0000-0000-0000F2860000}"/>
    <cellStyle name="Porcentaje 3 3 3 3 2 4 2" xfId="15868" xr:uid="{00000000-0005-0000-0000-0000F3860000}"/>
    <cellStyle name="Porcentaje 3 3 3 3 2 4 2 2" xfId="35583" xr:uid="{00000000-0005-0000-0000-0000F4860000}"/>
    <cellStyle name="Porcentaje 3 3 3 3 2 4 3" xfId="25726" xr:uid="{00000000-0005-0000-0000-0000F5860000}"/>
    <cellStyle name="Porcentaje 3 3 3 3 2 5" xfId="10940" xr:uid="{00000000-0005-0000-0000-0000F6860000}"/>
    <cellStyle name="Porcentaje 3 3 3 3 2 5 2" xfId="30655" xr:uid="{00000000-0005-0000-0000-0000F7860000}"/>
    <cellStyle name="Porcentaje 3 3 3 3 2 6" xfId="20798" xr:uid="{00000000-0005-0000-0000-0000F8860000}"/>
    <cellStyle name="Porcentaje 3 3 3 3 3" xfId="1689" xr:uid="{00000000-0005-0000-0000-0000F9860000}"/>
    <cellStyle name="Porcentaje 3 3 3 3 3 2" xfId="4156" xr:uid="{00000000-0005-0000-0000-0000FA860000}"/>
    <cellStyle name="Porcentaje 3 3 3 3 3 2 2" xfId="9088" xr:uid="{00000000-0005-0000-0000-0000FB860000}"/>
    <cellStyle name="Porcentaje 3 3 3 3 3 2 2 2" xfId="18948" xr:uid="{00000000-0005-0000-0000-0000FC860000}"/>
    <cellStyle name="Porcentaje 3 3 3 3 3 2 2 2 2" xfId="38663" xr:uid="{00000000-0005-0000-0000-0000FD860000}"/>
    <cellStyle name="Porcentaje 3 3 3 3 3 2 2 3" xfId="28806" xr:uid="{00000000-0005-0000-0000-0000FE860000}"/>
    <cellStyle name="Porcentaje 3 3 3 3 3 2 3" xfId="14020" xr:uid="{00000000-0005-0000-0000-0000FF860000}"/>
    <cellStyle name="Porcentaje 3 3 3 3 3 2 3 2" xfId="33735" xr:uid="{00000000-0005-0000-0000-000000870000}"/>
    <cellStyle name="Porcentaje 3 3 3 3 3 2 4" xfId="23878" xr:uid="{00000000-0005-0000-0000-000001870000}"/>
    <cellStyle name="Porcentaje 3 3 3 3 3 3" xfId="6624" xr:uid="{00000000-0005-0000-0000-000002870000}"/>
    <cellStyle name="Porcentaje 3 3 3 3 3 3 2" xfId="16484" xr:uid="{00000000-0005-0000-0000-000003870000}"/>
    <cellStyle name="Porcentaje 3 3 3 3 3 3 2 2" xfId="36199" xr:uid="{00000000-0005-0000-0000-000004870000}"/>
    <cellStyle name="Porcentaje 3 3 3 3 3 3 3" xfId="26342" xr:uid="{00000000-0005-0000-0000-000005870000}"/>
    <cellStyle name="Porcentaje 3 3 3 3 3 4" xfId="11556" xr:uid="{00000000-0005-0000-0000-000006870000}"/>
    <cellStyle name="Porcentaje 3 3 3 3 3 4 2" xfId="31271" xr:uid="{00000000-0005-0000-0000-000007870000}"/>
    <cellStyle name="Porcentaje 3 3 3 3 3 5" xfId="21414" xr:uid="{00000000-0005-0000-0000-000008870000}"/>
    <cellStyle name="Porcentaje 3 3 3 3 4" xfId="2924" xr:uid="{00000000-0005-0000-0000-000009870000}"/>
    <cellStyle name="Porcentaje 3 3 3 3 4 2" xfId="7856" xr:uid="{00000000-0005-0000-0000-00000A870000}"/>
    <cellStyle name="Porcentaje 3 3 3 3 4 2 2" xfId="17716" xr:uid="{00000000-0005-0000-0000-00000B870000}"/>
    <cellStyle name="Porcentaje 3 3 3 3 4 2 2 2" xfId="37431" xr:uid="{00000000-0005-0000-0000-00000C870000}"/>
    <cellStyle name="Porcentaje 3 3 3 3 4 2 3" xfId="27574" xr:uid="{00000000-0005-0000-0000-00000D870000}"/>
    <cellStyle name="Porcentaje 3 3 3 3 4 3" xfId="12788" xr:uid="{00000000-0005-0000-0000-00000E870000}"/>
    <cellStyle name="Porcentaje 3 3 3 3 4 3 2" xfId="32503" xr:uid="{00000000-0005-0000-0000-00000F870000}"/>
    <cellStyle name="Porcentaje 3 3 3 3 4 4" xfId="22646" xr:uid="{00000000-0005-0000-0000-000010870000}"/>
    <cellStyle name="Porcentaje 3 3 3 3 5" xfId="5392" xr:uid="{00000000-0005-0000-0000-000011870000}"/>
    <cellStyle name="Porcentaje 3 3 3 3 5 2" xfId="15252" xr:uid="{00000000-0005-0000-0000-000012870000}"/>
    <cellStyle name="Porcentaje 3 3 3 3 5 2 2" xfId="34967" xr:uid="{00000000-0005-0000-0000-000013870000}"/>
    <cellStyle name="Porcentaje 3 3 3 3 5 3" xfId="25110" xr:uid="{00000000-0005-0000-0000-000014870000}"/>
    <cellStyle name="Porcentaje 3 3 3 3 6" xfId="10324" xr:uid="{00000000-0005-0000-0000-000015870000}"/>
    <cellStyle name="Porcentaje 3 3 3 3 6 2" xfId="30039" xr:uid="{00000000-0005-0000-0000-000016870000}"/>
    <cellStyle name="Porcentaje 3 3 3 3 7" xfId="20182" xr:uid="{00000000-0005-0000-0000-000017870000}"/>
    <cellStyle name="Porcentaje 3 3 3 4" xfId="763" xr:uid="{00000000-0005-0000-0000-000018870000}"/>
    <cellStyle name="Porcentaje 3 3 3 4 2" xfId="1999" xr:uid="{00000000-0005-0000-0000-000019870000}"/>
    <cellStyle name="Porcentaje 3 3 3 4 2 2" xfId="4466" xr:uid="{00000000-0005-0000-0000-00001A870000}"/>
    <cellStyle name="Porcentaje 3 3 3 4 2 2 2" xfId="9398" xr:uid="{00000000-0005-0000-0000-00001B870000}"/>
    <cellStyle name="Porcentaje 3 3 3 4 2 2 2 2" xfId="19258" xr:uid="{00000000-0005-0000-0000-00001C870000}"/>
    <cellStyle name="Porcentaje 3 3 3 4 2 2 2 2 2" xfId="38973" xr:uid="{00000000-0005-0000-0000-00001D870000}"/>
    <cellStyle name="Porcentaje 3 3 3 4 2 2 2 3" xfId="29116" xr:uid="{00000000-0005-0000-0000-00001E870000}"/>
    <cellStyle name="Porcentaje 3 3 3 4 2 2 3" xfId="14330" xr:uid="{00000000-0005-0000-0000-00001F870000}"/>
    <cellStyle name="Porcentaje 3 3 3 4 2 2 3 2" xfId="34045" xr:uid="{00000000-0005-0000-0000-000020870000}"/>
    <cellStyle name="Porcentaje 3 3 3 4 2 2 4" xfId="24188" xr:uid="{00000000-0005-0000-0000-000021870000}"/>
    <cellStyle name="Porcentaje 3 3 3 4 2 3" xfId="6934" xr:uid="{00000000-0005-0000-0000-000022870000}"/>
    <cellStyle name="Porcentaje 3 3 3 4 2 3 2" xfId="16794" xr:uid="{00000000-0005-0000-0000-000023870000}"/>
    <cellStyle name="Porcentaje 3 3 3 4 2 3 2 2" xfId="36509" xr:uid="{00000000-0005-0000-0000-000024870000}"/>
    <cellStyle name="Porcentaje 3 3 3 4 2 3 3" xfId="26652" xr:uid="{00000000-0005-0000-0000-000025870000}"/>
    <cellStyle name="Porcentaje 3 3 3 4 2 4" xfId="11866" xr:uid="{00000000-0005-0000-0000-000026870000}"/>
    <cellStyle name="Porcentaje 3 3 3 4 2 4 2" xfId="31581" xr:uid="{00000000-0005-0000-0000-000027870000}"/>
    <cellStyle name="Porcentaje 3 3 3 4 2 5" xfId="21724" xr:uid="{00000000-0005-0000-0000-000028870000}"/>
    <cellStyle name="Porcentaje 3 3 3 4 3" xfId="3234" xr:uid="{00000000-0005-0000-0000-000029870000}"/>
    <cellStyle name="Porcentaje 3 3 3 4 3 2" xfId="8166" xr:uid="{00000000-0005-0000-0000-00002A870000}"/>
    <cellStyle name="Porcentaje 3 3 3 4 3 2 2" xfId="18026" xr:uid="{00000000-0005-0000-0000-00002B870000}"/>
    <cellStyle name="Porcentaje 3 3 3 4 3 2 2 2" xfId="37741" xr:uid="{00000000-0005-0000-0000-00002C870000}"/>
    <cellStyle name="Porcentaje 3 3 3 4 3 2 3" xfId="27884" xr:uid="{00000000-0005-0000-0000-00002D870000}"/>
    <cellStyle name="Porcentaje 3 3 3 4 3 3" xfId="13098" xr:uid="{00000000-0005-0000-0000-00002E870000}"/>
    <cellStyle name="Porcentaje 3 3 3 4 3 3 2" xfId="32813" xr:uid="{00000000-0005-0000-0000-00002F870000}"/>
    <cellStyle name="Porcentaje 3 3 3 4 3 4" xfId="22956" xr:uid="{00000000-0005-0000-0000-000030870000}"/>
    <cellStyle name="Porcentaje 3 3 3 4 4" xfId="5702" xr:uid="{00000000-0005-0000-0000-000031870000}"/>
    <cellStyle name="Porcentaje 3 3 3 4 4 2" xfId="15562" xr:uid="{00000000-0005-0000-0000-000032870000}"/>
    <cellStyle name="Porcentaje 3 3 3 4 4 2 2" xfId="35277" xr:uid="{00000000-0005-0000-0000-000033870000}"/>
    <cellStyle name="Porcentaje 3 3 3 4 4 3" xfId="25420" xr:uid="{00000000-0005-0000-0000-000034870000}"/>
    <cellStyle name="Porcentaje 3 3 3 4 5" xfId="10634" xr:uid="{00000000-0005-0000-0000-000035870000}"/>
    <cellStyle name="Porcentaje 3 3 3 4 5 2" xfId="30349" xr:uid="{00000000-0005-0000-0000-000036870000}"/>
    <cellStyle name="Porcentaje 3 3 3 4 6" xfId="20492" xr:uid="{00000000-0005-0000-0000-000037870000}"/>
    <cellStyle name="Porcentaje 3 3 3 5" xfId="1383" xr:uid="{00000000-0005-0000-0000-000038870000}"/>
    <cellStyle name="Porcentaje 3 3 3 5 2" xfId="3850" xr:uid="{00000000-0005-0000-0000-000039870000}"/>
    <cellStyle name="Porcentaje 3 3 3 5 2 2" xfId="8782" xr:uid="{00000000-0005-0000-0000-00003A870000}"/>
    <cellStyle name="Porcentaje 3 3 3 5 2 2 2" xfId="18642" xr:uid="{00000000-0005-0000-0000-00003B870000}"/>
    <cellStyle name="Porcentaje 3 3 3 5 2 2 2 2" xfId="38357" xr:uid="{00000000-0005-0000-0000-00003C870000}"/>
    <cellStyle name="Porcentaje 3 3 3 5 2 2 3" xfId="28500" xr:uid="{00000000-0005-0000-0000-00003D870000}"/>
    <cellStyle name="Porcentaje 3 3 3 5 2 3" xfId="13714" xr:uid="{00000000-0005-0000-0000-00003E870000}"/>
    <cellStyle name="Porcentaje 3 3 3 5 2 3 2" xfId="33429" xr:uid="{00000000-0005-0000-0000-00003F870000}"/>
    <cellStyle name="Porcentaje 3 3 3 5 2 4" xfId="23572" xr:uid="{00000000-0005-0000-0000-000040870000}"/>
    <cellStyle name="Porcentaje 3 3 3 5 3" xfId="6318" xr:uid="{00000000-0005-0000-0000-000041870000}"/>
    <cellStyle name="Porcentaje 3 3 3 5 3 2" xfId="16178" xr:uid="{00000000-0005-0000-0000-000042870000}"/>
    <cellStyle name="Porcentaje 3 3 3 5 3 2 2" xfId="35893" xr:uid="{00000000-0005-0000-0000-000043870000}"/>
    <cellStyle name="Porcentaje 3 3 3 5 3 3" xfId="26036" xr:uid="{00000000-0005-0000-0000-000044870000}"/>
    <cellStyle name="Porcentaje 3 3 3 5 4" xfId="11250" xr:uid="{00000000-0005-0000-0000-000045870000}"/>
    <cellStyle name="Porcentaje 3 3 3 5 4 2" xfId="30965" xr:uid="{00000000-0005-0000-0000-000046870000}"/>
    <cellStyle name="Porcentaje 3 3 3 5 5" xfId="21108" xr:uid="{00000000-0005-0000-0000-000047870000}"/>
    <cellStyle name="Porcentaje 3 3 3 6" xfId="2618" xr:uid="{00000000-0005-0000-0000-000048870000}"/>
    <cellStyle name="Porcentaje 3 3 3 6 2" xfId="7550" xr:uid="{00000000-0005-0000-0000-000049870000}"/>
    <cellStyle name="Porcentaje 3 3 3 6 2 2" xfId="17410" xr:uid="{00000000-0005-0000-0000-00004A870000}"/>
    <cellStyle name="Porcentaje 3 3 3 6 2 2 2" xfId="37125" xr:uid="{00000000-0005-0000-0000-00004B870000}"/>
    <cellStyle name="Porcentaje 3 3 3 6 2 3" xfId="27268" xr:uid="{00000000-0005-0000-0000-00004C870000}"/>
    <cellStyle name="Porcentaje 3 3 3 6 3" xfId="12482" xr:uid="{00000000-0005-0000-0000-00004D870000}"/>
    <cellStyle name="Porcentaje 3 3 3 6 3 2" xfId="32197" xr:uid="{00000000-0005-0000-0000-00004E870000}"/>
    <cellStyle name="Porcentaje 3 3 3 6 4" xfId="22340" xr:uid="{00000000-0005-0000-0000-00004F870000}"/>
    <cellStyle name="Porcentaje 3 3 3 7" xfId="5086" xr:uid="{00000000-0005-0000-0000-000050870000}"/>
    <cellStyle name="Porcentaje 3 3 3 7 2" xfId="14946" xr:uid="{00000000-0005-0000-0000-000051870000}"/>
    <cellStyle name="Porcentaje 3 3 3 7 2 2" xfId="34661" xr:uid="{00000000-0005-0000-0000-000052870000}"/>
    <cellStyle name="Porcentaje 3 3 3 7 3" xfId="24804" xr:uid="{00000000-0005-0000-0000-000053870000}"/>
    <cellStyle name="Porcentaje 3 3 3 8" xfId="10018" xr:uid="{00000000-0005-0000-0000-000054870000}"/>
    <cellStyle name="Porcentaje 3 3 3 8 2" xfId="29733" xr:uid="{00000000-0005-0000-0000-000055870000}"/>
    <cellStyle name="Porcentaje 3 3 3 9" xfId="19876" xr:uid="{00000000-0005-0000-0000-000056870000}"/>
    <cellStyle name="Porcentaje 3 3 4" xfId="212" xr:uid="{00000000-0005-0000-0000-000057870000}"/>
    <cellStyle name="Porcentaje 3 3 4 2" xfId="526" xr:uid="{00000000-0005-0000-0000-000058870000}"/>
    <cellStyle name="Porcentaje 3 3 4 2 2" xfId="1146" xr:uid="{00000000-0005-0000-0000-000059870000}"/>
    <cellStyle name="Porcentaje 3 3 4 2 2 2" xfId="2381" xr:uid="{00000000-0005-0000-0000-00005A870000}"/>
    <cellStyle name="Porcentaje 3 3 4 2 2 2 2" xfId="4848" xr:uid="{00000000-0005-0000-0000-00005B870000}"/>
    <cellStyle name="Porcentaje 3 3 4 2 2 2 2 2" xfId="9780" xr:uid="{00000000-0005-0000-0000-00005C870000}"/>
    <cellStyle name="Porcentaje 3 3 4 2 2 2 2 2 2" xfId="19640" xr:uid="{00000000-0005-0000-0000-00005D870000}"/>
    <cellStyle name="Porcentaje 3 3 4 2 2 2 2 2 2 2" xfId="39355" xr:uid="{00000000-0005-0000-0000-00005E870000}"/>
    <cellStyle name="Porcentaje 3 3 4 2 2 2 2 2 3" xfId="29498" xr:uid="{00000000-0005-0000-0000-00005F870000}"/>
    <cellStyle name="Porcentaje 3 3 4 2 2 2 2 3" xfId="14712" xr:uid="{00000000-0005-0000-0000-000060870000}"/>
    <cellStyle name="Porcentaje 3 3 4 2 2 2 2 3 2" xfId="34427" xr:uid="{00000000-0005-0000-0000-000061870000}"/>
    <cellStyle name="Porcentaje 3 3 4 2 2 2 2 4" xfId="24570" xr:uid="{00000000-0005-0000-0000-000062870000}"/>
    <cellStyle name="Porcentaje 3 3 4 2 2 2 3" xfId="7316" xr:uid="{00000000-0005-0000-0000-000063870000}"/>
    <cellStyle name="Porcentaje 3 3 4 2 2 2 3 2" xfId="17176" xr:uid="{00000000-0005-0000-0000-000064870000}"/>
    <cellStyle name="Porcentaje 3 3 4 2 2 2 3 2 2" xfId="36891" xr:uid="{00000000-0005-0000-0000-000065870000}"/>
    <cellStyle name="Porcentaje 3 3 4 2 2 2 3 3" xfId="27034" xr:uid="{00000000-0005-0000-0000-000066870000}"/>
    <cellStyle name="Porcentaje 3 3 4 2 2 2 4" xfId="12248" xr:uid="{00000000-0005-0000-0000-000067870000}"/>
    <cellStyle name="Porcentaje 3 3 4 2 2 2 4 2" xfId="31963" xr:uid="{00000000-0005-0000-0000-000068870000}"/>
    <cellStyle name="Porcentaje 3 3 4 2 2 2 5" xfId="22106" xr:uid="{00000000-0005-0000-0000-000069870000}"/>
    <cellStyle name="Porcentaje 3 3 4 2 2 3" xfId="3616" xr:uid="{00000000-0005-0000-0000-00006A870000}"/>
    <cellStyle name="Porcentaje 3 3 4 2 2 3 2" xfId="8548" xr:uid="{00000000-0005-0000-0000-00006B870000}"/>
    <cellStyle name="Porcentaje 3 3 4 2 2 3 2 2" xfId="18408" xr:uid="{00000000-0005-0000-0000-00006C870000}"/>
    <cellStyle name="Porcentaje 3 3 4 2 2 3 2 2 2" xfId="38123" xr:uid="{00000000-0005-0000-0000-00006D870000}"/>
    <cellStyle name="Porcentaje 3 3 4 2 2 3 2 3" xfId="28266" xr:uid="{00000000-0005-0000-0000-00006E870000}"/>
    <cellStyle name="Porcentaje 3 3 4 2 2 3 3" xfId="13480" xr:uid="{00000000-0005-0000-0000-00006F870000}"/>
    <cellStyle name="Porcentaje 3 3 4 2 2 3 3 2" xfId="33195" xr:uid="{00000000-0005-0000-0000-000070870000}"/>
    <cellStyle name="Porcentaje 3 3 4 2 2 3 4" xfId="23338" xr:uid="{00000000-0005-0000-0000-000071870000}"/>
    <cellStyle name="Porcentaje 3 3 4 2 2 4" xfId="6084" xr:uid="{00000000-0005-0000-0000-000072870000}"/>
    <cellStyle name="Porcentaje 3 3 4 2 2 4 2" xfId="15944" xr:uid="{00000000-0005-0000-0000-000073870000}"/>
    <cellStyle name="Porcentaje 3 3 4 2 2 4 2 2" xfId="35659" xr:uid="{00000000-0005-0000-0000-000074870000}"/>
    <cellStyle name="Porcentaje 3 3 4 2 2 4 3" xfId="25802" xr:uid="{00000000-0005-0000-0000-000075870000}"/>
    <cellStyle name="Porcentaje 3 3 4 2 2 5" xfId="11016" xr:uid="{00000000-0005-0000-0000-000076870000}"/>
    <cellStyle name="Porcentaje 3 3 4 2 2 5 2" xfId="30731" xr:uid="{00000000-0005-0000-0000-000077870000}"/>
    <cellStyle name="Porcentaje 3 3 4 2 2 6" xfId="20874" xr:uid="{00000000-0005-0000-0000-000078870000}"/>
    <cellStyle name="Porcentaje 3 3 4 2 3" xfId="1765" xr:uid="{00000000-0005-0000-0000-000079870000}"/>
    <cellStyle name="Porcentaje 3 3 4 2 3 2" xfId="4232" xr:uid="{00000000-0005-0000-0000-00007A870000}"/>
    <cellStyle name="Porcentaje 3 3 4 2 3 2 2" xfId="9164" xr:uid="{00000000-0005-0000-0000-00007B870000}"/>
    <cellStyle name="Porcentaje 3 3 4 2 3 2 2 2" xfId="19024" xr:uid="{00000000-0005-0000-0000-00007C870000}"/>
    <cellStyle name="Porcentaje 3 3 4 2 3 2 2 2 2" xfId="38739" xr:uid="{00000000-0005-0000-0000-00007D870000}"/>
    <cellStyle name="Porcentaje 3 3 4 2 3 2 2 3" xfId="28882" xr:uid="{00000000-0005-0000-0000-00007E870000}"/>
    <cellStyle name="Porcentaje 3 3 4 2 3 2 3" xfId="14096" xr:uid="{00000000-0005-0000-0000-00007F870000}"/>
    <cellStyle name="Porcentaje 3 3 4 2 3 2 3 2" xfId="33811" xr:uid="{00000000-0005-0000-0000-000080870000}"/>
    <cellStyle name="Porcentaje 3 3 4 2 3 2 4" xfId="23954" xr:uid="{00000000-0005-0000-0000-000081870000}"/>
    <cellStyle name="Porcentaje 3 3 4 2 3 3" xfId="6700" xr:uid="{00000000-0005-0000-0000-000082870000}"/>
    <cellStyle name="Porcentaje 3 3 4 2 3 3 2" xfId="16560" xr:uid="{00000000-0005-0000-0000-000083870000}"/>
    <cellStyle name="Porcentaje 3 3 4 2 3 3 2 2" xfId="36275" xr:uid="{00000000-0005-0000-0000-000084870000}"/>
    <cellStyle name="Porcentaje 3 3 4 2 3 3 3" xfId="26418" xr:uid="{00000000-0005-0000-0000-000085870000}"/>
    <cellStyle name="Porcentaje 3 3 4 2 3 4" xfId="11632" xr:uid="{00000000-0005-0000-0000-000086870000}"/>
    <cellStyle name="Porcentaje 3 3 4 2 3 4 2" xfId="31347" xr:uid="{00000000-0005-0000-0000-000087870000}"/>
    <cellStyle name="Porcentaje 3 3 4 2 3 5" xfId="21490" xr:uid="{00000000-0005-0000-0000-000088870000}"/>
    <cellStyle name="Porcentaje 3 3 4 2 4" xfId="3000" xr:uid="{00000000-0005-0000-0000-000089870000}"/>
    <cellStyle name="Porcentaje 3 3 4 2 4 2" xfId="7932" xr:uid="{00000000-0005-0000-0000-00008A870000}"/>
    <cellStyle name="Porcentaje 3 3 4 2 4 2 2" xfId="17792" xr:uid="{00000000-0005-0000-0000-00008B870000}"/>
    <cellStyle name="Porcentaje 3 3 4 2 4 2 2 2" xfId="37507" xr:uid="{00000000-0005-0000-0000-00008C870000}"/>
    <cellStyle name="Porcentaje 3 3 4 2 4 2 3" xfId="27650" xr:uid="{00000000-0005-0000-0000-00008D870000}"/>
    <cellStyle name="Porcentaje 3 3 4 2 4 3" xfId="12864" xr:uid="{00000000-0005-0000-0000-00008E870000}"/>
    <cellStyle name="Porcentaje 3 3 4 2 4 3 2" xfId="32579" xr:uid="{00000000-0005-0000-0000-00008F870000}"/>
    <cellStyle name="Porcentaje 3 3 4 2 4 4" xfId="22722" xr:uid="{00000000-0005-0000-0000-000090870000}"/>
    <cellStyle name="Porcentaje 3 3 4 2 5" xfId="5468" xr:uid="{00000000-0005-0000-0000-000091870000}"/>
    <cellStyle name="Porcentaje 3 3 4 2 5 2" xfId="15328" xr:uid="{00000000-0005-0000-0000-000092870000}"/>
    <cellStyle name="Porcentaje 3 3 4 2 5 2 2" xfId="35043" xr:uid="{00000000-0005-0000-0000-000093870000}"/>
    <cellStyle name="Porcentaje 3 3 4 2 5 3" xfId="25186" xr:uid="{00000000-0005-0000-0000-000094870000}"/>
    <cellStyle name="Porcentaje 3 3 4 2 6" xfId="10400" xr:uid="{00000000-0005-0000-0000-000095870000}"/>
    <cellStyle name="Porcentaje 3 3 4 2 6 2" xfId="30115" xr:uid="{00000000-0005-0000-0000-000096870000}"/>
    <cellStyle name="Porcentaje 3 3 4 2 7" xfId="20258" xr:uid="{00000000-0005-0000-0000-000097870000}"/>
    <cellStyle name="Porcentaje 3 3 4 3" xfId="839" xr:uid="{00000000-0005-0000-0000-000098870000}"/>
    <cellStyle name="Porcentaje 3 3 4 3 2" xfId="2075" xr:uid="{00000000-0005-0000-0000-000099870000}"/>
    <cellStyle name="Porcentaje 3 3 4 3 2 2" xfId="4542" xr:uid="{00000000-0005-0000-0000-00009A870000}"/>
    <cellStyle name="Porcentaje 3 3 4 3 2 2 2" xfId="9474" xr:uid="{00000000-0005-0000-0000-00009B870000}"/>
    <cellStyle name="Porcentaje 3 3 4 3 2 2 2 2" xfId="19334" xr:uid="{00000000-0005-0000-0000-00009C870000}"/>
    <cellStyle name="Porcentaje 3 3 4 3 2 2 2 2 2" xfId="39049" xr:uid="{00000000-0005-0000-0000-00009D870000}"/>
    <cellStyle name="Porcentaje 3 3 4 3 2 2 2 3" xfId="29192" xr:uid="{00000000-0005-0000-0000-00009E870000}"/>
    <cellStyle name="Porcentaje 3 3 4 3 2 2 3" xfId="14406" xr:uid="{00000000-0005-0000-0000-00009F870000}"/>
    <cellStyle name="Porcentaje 3 3 4 3 2 2 3 2" xfId="34121" xr:uid="{00000000-0005-0000-0000-0000A0870000}"/>
    <cellStyle name="Porcentaje 3 3 4 3 2 2 4" xfId="24264" xr:uid="{00000000-0005-0000-0000-0000A1870000}"/>
    <cellStyle name="Porcentaje 3 3 4 3 2 3" xfId="7010" xr:uid="{00000000-0005-0000-0000-0000A2870000}"/>
    <cellStyle name="Porcentaje 3 3 4 3 2 3 2" xfId="16870" xr:uid="{00000000-0005-0000-0000-0000A3870000}"/>
    <cellStyle name="Porcentaje 3 3 4 3 2 3 2 2" xfId="36585" xr:uid="{00000000-0005-0000-0000-0000A4870000}"/>
    <cellStyle name="Porcentaje 3 3 4 3 2 3 3" xfId="26728" xr:uid="{00000000-0005-0000-0000-0000A5870000}"/>
    <cellStyle name="Porcentaje 3 3 4 3 2 4" xfId="11942" xr:uid="{00000000-0005-0000-0000-0000A6870000}"/>
    <cellStyle name="Porcentaje 3 3 4 3 2 4 2" xfId="31657" xr:uid="{00000000-0005-0000-0000-0000A7870000}"/>
    <cellStyle name="Porcentaje 3 3 4 3 2 5" xfId="21800" xr:uid="{00000000-0005-0000-0000-0000A8870000}"/>
    <cellStyle name="Porcentaje 3 3 4 3 3" xfId="3310" xr:uid="{00000000-0005-0000-0000-0000A9870000}"/>
    <cellStyle name="Porcentaje 3 3 4 3 3 2" xfId="8242" xr:uid="{00000000-0005-0000-0000-0000AA870000}"/>
    <cellStyle name="Porcentaje 3 3 4 3 3 2 2" xfId="18102" xr:uid="{00000000-0005-0000-0000-0000AB870000}"/>
    <cellStyle name="Porcentaje 3 3 4 3 3 2 2 2" xfId="37817" xr:uid="{00000000-0005-0000-0000-0000AC870000}"/>
    <cellStyle name="Porcentaje 3 3 4 3 3 2 3" xfId="27960" xr:uid="{00000000-0005-0000-0000-0000AD870000}"/>
    <cellStyle name="Porcentaje 3 3 4 3 3 3" xfId="13174" xr:uid="{00000000-0005-0000-0000-0000AE870000}"/>
    <cellStyle name="Porcentaje 3 3 4 3 3 3 2" xfId="32889" xr:uid="{00000000-0005-0000-0000-0000AF870000}"/>
    <cellStyle name="Porcentaje 3 3 4 3 3 4" xfId="23032" xr:uid="{00000000-0005-0000-0000-0000B0870000}"/>
    <cellStyle name="Porcentaje 3 3 4 3 4" xfId="5778" xr:uid="{00000000-0005-0000-0000-0000B1870000}"/>
    <cellStyle name="Porcentaje 3 3 4 3 4 2" xfId="15638" xr:uid="{00000000-0005-0000-0000-0000B2870000}"/>
    <cellStyle name="Porcentaje 3 3 4 3 4 2 2" xfId="35353" xr:uid="{00000000-0005-0000-0000-0000B3870000}"/>
    <cellStyle name="Porcentaje 3 3 4 3 4 3" xfId="25496" xr:uid="{00000000-0005-0000-0000-0000B4870000}"/>
    <cellStyle name="Porcentaje 3 3 4 3 5" xfId="10710" xr:uid="{00000000-0005-0000-0000-0000B5870000}"/>
    <cellStyle name="Porcentaje 3 3 4 3 5 2" xfId="30425" xr:uid="{00000000-0005-0000-0000-0000B6870000}"/>
    <cellStyle name="Porcentaje 3 3 4 3 6" xfId="20568" xr:uid="{00000000-0005-0000-0000-0000B7870000}"/>
    <cellStyle name="Porcentaje 3 3 4 4" xfId="1459" xr:uid="{00000000-0005-0000-0000-0000B8870000}"/>
    <cellStyle name="Porcentaje 3 3 4 4 2" xfId="3926" xr:uid="{00000000-0005-0000-0000-0000B9870000}"/>
    <cellStyle name="Porcentaje 3 3 4 4 2 2" xfId="8858" xr:uid="{00000000-0005-0000-0000-0000BA870000}"/>
    <cellStyle name="Porcentaje 3 3 4 4 2 2 2" xfId="18718" xr:uid="{00000000-0005-0000-0000-0000BB870000}"/>
    <cellStyle name="Porcentaje 3 3 4 4 2 2 2 2" xfId="38433" xr:uid="{00000000-0005-0000-0000-0000BC870000}"/>
    <cellStyle name="Porcentaje 3 3 4 4 2 2 3" xfId="28576" xr:uid="{00000000-0005-0000-0000-0000BD870000}"/>
    <cellStyle name="Porcentaje 3 3 4 4 2 3" xfId="13790" xr:uid="{00000000-0005-0000-0000-0000BE870000}"/>
    <cellStyle name="Porcentaje 3 3 4 4 2 3 2" xfId="33505" xr:uid="{00000000-0005-0000-0000-0000BF870000}"/>
    <cellStyle name="Porcentaje 3 3 4 4 2 4" xfId="23648" xr:uid="{00000000-0005-0000-0000-0000C0870000}"/>
    <cellStyle name="Porcentaje 3 3 4 4 3" xfId="6394" xr:uid="{00000000-0005-0000-0000-0000C1870000}"/>
    <cellStyle name="Porcentaje 3 3 4 4 3 2" xfId="16254" xr:uid="{00000000-0005-0000-0000-0000C2870000}"/>
    <cellStyle name="Porcentaje 3 3 4 4 3 2 2" xfId="35969" xr:uid="{00000000-0005-0000-0000-0000C3870000}"/>
    <cellStyle name="Porcentaje 3 3 4 4 3 3" xfId="26112" xr:uid="{00000000-0005-0000-0000-0000C4870000}"/>
    <cellStyle name="Porcentaje 3 3 4 4 4" xfId="11326" xr:uid="{00000000-0005-0000-0000-0000C5870000}"/>
    <cellStyle name="Porcentaje 3 3 4 4 4 2" xfId="31041" xr:uid="{00000000-0005-0000-0000-0000C6870000}"/>
    <cellStyle name="Porcentaje 3 3 4 4 5" xfId="21184" xr:uid="{00000000-0005-0000-0000-0000C7870000}"/>
    <cellStyle name="Porcentaje 3 3 4 5" xfId="2694" xr:uid="{00000000-0005-0000-0000-0000C8870000}"/>
    <cellStyle name="Porcentaje 3 3 4 5 2" xfId="7626" xr:uid="{00000000-0005-0000-0000-0000C9870000}"/>
    <cellStyle name="Porcentaje 3 3 4 5 2 2" xfId="17486" xr:uid="{00000000-0005-0000-0000-0000CA870000}"/>
    <cellStyle name="Porcentaje 3 3 4 5 2 2 2" xfId="37201" xr:uid="{00000000-0005-0000-0000-0000CB870000}"/>
    <cellStyle name="Porcentaje 3 3 4 5 2 3" xfId="27344" xr:uid="{00000000-0005-0000-0000-0000CC870000}"/>
    <cellStyle name="Porcentaje 3 3 4 5 3" xfId="12558" xr:uid="{00000000-0005-0000-0000-0000CD870000}"/>
    <cellStyle name="Porcentaje 3 3 4 5 3 2" xfId="32273" xr:uid="{00000000-0005-0000-0000-0000CE870000}"/>
    <cellStyle name="Porcentaje 3 3 4 5 4" xfId="22416" xr:uid="{00000000-0005-0000-0000-0000CF870000}"/>
    <cellStyle name="Porcentaje 3 3 4 6" xfId="5162" xr:uid="{00000000-0005-0000-0000-0000D0870000}"/>
    <cellStyle name="Porcentaje 3 3 4 6 2" xfId="15022" xr:uid="{00000000-0005-0000-0000-0000D1870000}"/>
    <cellStyle name="Porcentaje 3 3 4 6 2 2" xfId="34737" xr:uid="{00000000-0005-0000-0000-0000D2870000}"/>
    <cellStyle name="Porcentaje 3 3 4 6 3" xfId="24880" xr:uid="{00000000-0005-0000-0000-0000D3870000}"/>
    <cellStyle name="Porcentaje 3 3 4 7" xfId="10094" xr:uid="{00000000-0005-0000-0000-0000D4870000}"/>
    <cellStyle name="Porcentaje 3 3 4 7 2" xfId="29809" xr:uid="{00000000-0005-0000-0000-0000D5870000}"/>
    <cellStyle name="Porcentaje 3 3 4 8" xfId="19952" xr:uid="{00000000-0005-0000-0000-0000D6870000}"/>
    <cellStyle name="Porcentaje 3 3 5" xfId="374" xr:uid="{00000000-0005-0000-0000-0000D7870000}"/>
    <cellStyle name="Porcentaje 3 3 5 2" xfId="994" xr:uid="{00000000-0005-0000-0000-0000D8870000}"/>
    <cellStyle name="Porcentaje 3 3 5 2 2" xfId="2229" xr:uid="{00000000-0005-0000-0000-0000D9870000}"/>
    <cellStyle name="Porcentaje 3 3 5 2 2 2" xfId="4696" xr:uid="{00000000-0005-0000-0000-0000DA870000}"/>
    <cellStyle name="Porcentaje 3 3 5 2 2 2 2" xfId="9628" xr:uid="{00000000-0005-0000-0000-0000DB870000}"/>
    <cellStyle name="Porcentaje 3 3 5 2 2 2 2 2" xfId="19488" xr:uid="{00000000-0005-0000-0000-0000DC870000}"/>
    <cellStyle name="Porcentaje 3 3 5 2 2 2 2 2 2" xfId="39203" xr:uid="{00000000-0005-0000-0000-0000DD870000}"/>
    <cellStyle name="Porcentaje 3 3 5 2 2 2 2 3" xfId="29346" xr:uid="{00000000-0005-0000-0000-0000DE870000}"/>
    <cellStyle name="Porcentaje 3 3 5 2 2 2 3" xfId="14560" xr:uid="{00000000-0005-0000-0000-0000DF870000}"/>
    <cellStyle name="Porcentaje 3 3 5 2 2 2 3 2" xfId="34275" xr:uid="{00000000-0005-0000-0000-0000E0870000}"/>
    <cellStyle name="Porcentaje 3 3 5 2 2 2 4" xfId="24418" xr:uid="{00000000-0005-0000-0000-0000E1870000}"/>
    <cellStyle name="Porcentaje 3 3 5 2 2 3" xfId="7164" xr:uid="{00000000-0005-0000-0000-0000E2870000}"/>
    <cellStyle name="Porcentaje 3 3 5 2 2 3 2" xfId="17024" xr:uid="{00000000-0005-0000-0000-0000E3870000}"/>
    <cellStyle name="Porcentaje 3 3 5 2 2 3 2 2" xfId="36739" xr:uid="{00000000-0005-0000-0000-0000E4870000}"/>
    <cellStyle name="Porcentaje 3 3 5 2 2 3 3" xfId="26882" xr:uid="{00000000-0005-0000-0000-0000E5870000}"/>
    <cellStyle name="Porcentaje 3 3 5 2 2 4" xfId="12096" xr:uid="{00000000-0005-0000-0000-0000E6870000}"/>
    <cellStyle name="Porcentaje 3 3 5 2 2 4 2" xfId="31811" xr:uid="{00000000-0005-0000-0000-0000E7870000}"/>
    <cellStyle name="Porcentaje 3 3 5 2 2 5" xfId="21954" xr:uid="{00000000-0005-0000-0000-0000E8870000}"/>
    <cellStyle name="Porcentaje 3 3 5 2 3" xfId="3464" xr:uid="{00000000-0005-0000-0000-0000E9870000}"/>
    <cellStyle name="Porcentaje 3 3 5 2 3 2" xfId="8396" xr:uid="{00000000-0005-0000-0000-0000EA870000}"/>
    <cellStyle name="Porcentaje 3 3 5 2 3 2 2" xfId="18256" xr:uid="{00000000-0005-0000-0000-0000EB870000}"/>
    <cellStyle name="Porcentaje 3 3 5 2 3 2 2 2" xfId="37971" xr:uid="{00000000-0005-0000-0000-0000EC870000}"/>
    <cellStyle name="Porcentaje 3 3 5 2 3 2 3" xfId="28114" xr:uid="{00000000-0005-0000-0000-0000ED870000}"/>
    <cellStyle name="Porcentaje 3 3 5 2 3 3" xfId="13328" xr:uid="{00000000-0005-0000-0000-0000EE870000}"/>
    <cellStyle name="Porcentaje 3 3 5 2 3 3 2" xfId="33043" xr:uid="{00000000-0005-0000-0000-0000EF870000}"/>
    <cellStyle name="Porcentaje 3 3 5 2 3 4" xfId="23186" xr:uid="{00000000-0005-0000-0000-0000F0870000}"/>
    <cellStyle name="Porcentaje 3 3 5 2 4" xfId="5932" xr:uid="{00000000-0005-0000-0000-0000F1870000}"/>
    <cellStyle name="Porcentaje 3 3 5 2 4 2" xfId="15792" xr:uid="{00000000-0005-0000-0000-0000F2870000}"/>
    <cellStyle name="Porcentaje 3 3 5 2 4 2 2" xfId="35507" xr:uid="{00000000-0005-0000-0000-0000F3870000}"/>
    <cellStyle name="Porcentaje 3 3 5 2 4 3" xfId="25650" xr:uid="{00000000-0005-0000-0000-0000F4870000}"/>
    <cellStyle name="Porcentaje 3 3 5 2 5" xfId="10864" xr:uid="{00000000-0005-0000-0000-0000F5870000}"/>
    <cellStyle name="Porcentaje 3 3 5 2 5 2" xfId="30579" xr:uid="{00000000-0005-0000-0000-0000F6870000}"/>
    <cellStyle name="Porcentaje 3 3 5 2 6" xfId="20722" xr:uid="{00000000-0005-0000-0000-0000F7870000}"/>
    <cellStyle name="Porcentaje 3 3 5 3" xfId="1613" xr:uid="{00000000-0005-0000-0000-0000F8870000}"/>
    <cellStyle name="Porcentaje 3 3 5 3 2" xfId="4080" xr:uid="{00000000-0005-0000-0000-0000F9870000}"/>
    <cellStyle name="Porcentaje 3 3 5 3 2 2" xfId="9012" xr:uid="{00000000-0005-0000-0000-0000FA870000}"/>
    <cellStyle name="Porcentaje 3 3 5 3 2 2 2" xfId="18872" xr:uid="{00000000-0005-0000-0000-0000FB870000}"/>
    <cellStyle name="Porcentaje 3 3 5 3 2 2 2 2" xfId="38587" xr:uid="{00000000-0005-0000-0000-0000FC870000}"/>
    <cellStyle name="Porcentaje 3 3 5 3 2 2 3" xfId="28730" xr:uid="{00000000-0005-0000-0000-0000FD870000}"/>
    <cellStyle name="Porcentaje 3 3 5 3 2 3" xfId="13944" xr:uid="{00000000-0005-0000-0000-0000FE870000}"/>
    <cellStyle name="Porcentaje 3 3 5 3 2 3 2" xfId="33659" xr:uid="{00000000-0005-0000-0000-0000FF870000}"/>
    <cellStyle name="Porcentaje 3 3 5 3 2 4" xfId="23802" xr:uid="{00000000-0005-0000-0000-000000880000}"/>
    <cellStyle name="Porcentaje 3 3 5 3 3" xfId="6548" xr:uid="{00000000-0005-0000-0000-000001880000}"/>
    <cellStyle name="Porcentaje 3 3 5 3 3 2" xfId="16408" xr:uid="{00000000-0005-0000-0000-000002880000}"/>
    <cellStyle name="Porcentaje 3 3 5 3 3 2 2" xfId="36123" xr:uid="{00000000-0005-0000-0000-000003880000}"/>
    <cellStyle name="Porcentaje 3 3 5 3 3 3" xfId="26266" xr:uid="{00000000-0005-0000-0000-000004880000}"/>
    <cellStyle name="Porcentaje 3 3 5 3 4" xfId="11480" xr:uid="{00000000-0005-0000-0000-000005880000}"/>
    <cellStyle name="Porcentaje 3 3 5 3 4 2" xfId="31195" xr:uid="{00000000-0005-0000-0000-000006880000}"/>
    <cellStyle name="Porcentaje 3 3 5 3 5" xfId="21338" xr:uid="{00000000-0005-0000-0000-000007880000}"/>
    <cellStyle name="Porcentaje 3 3 5 4" xfId="2848" xr:uid="{00000000-0005-0000-0000-000008880000}"/>
    <cellStyle name="Porcentaje 3 3 5 4 2" xfId="7780" xr:uid="{00000000-0005-0000-0000-000009880000}"/>
    <cellStyle name="Porcentaje 3 3 5 4 2 2" xfId="17640" xr:uid="{00000000-0005-0000-0000-00000A880000}"/>
    <cellStyle name="Porcentaje 3 3 5 4 2 2 2" xfId="37355" xr:uid="{00000000-0005-0000-0000-00000B880000}"/>
    <cellStyle name="Porcentaje 3 3 5 4 2 3" xfId="27498" xr:uid="{00000000-0005-0000-0000-00000C880000}"/>
    <cellStyle name="Porcentaje 3 3 5 4 3" xfId="12712" xr:uid="{00000000-0005-0000-0000-00000D880000}"/>
    <cellStyle name="Porcentaje 3 3 5 4 3 2" xfId="32427" xr:uid="{00000000-0005-0000-0000-00000E880000}"/>
    <cellStyle name="Porcentaje 3 3 5 4 4" xfId="22570" xr:uid="{00000000-0005-0000-0000-00000F880000}"/>
    <cellStyle name="Porcentaje 3 3 5 5" xfId="5316" xr:uid="{00000000-0005-0000-0000-000010880000}"/>
    <cellStyle name="Porcentaje 3 3 5 5 2" xfId="15176" xr:uid="{00000000-0005-0000-0000-000011880000}"/>
    <cellStyle name="Porcentaje 3 3 5 5 2 2" xfId="34891" xr:uid="{00000000-0005-0000-0000-000012880000}"/>
    <cellStyle name="Porcentaje 3 3 5 5 3" xfId="25034" xr:uid="{00000000-0005-0000-0000-000013880000}"/>
    <cellStyle name="Porcentaje 3 3 5 6" xfId="10248" xr:uid="{00000000-0005-0000-0000-000014880000}"/>
    <cellStyle name="Porcentaje 3 3 5 6 2" xfId="29963" xr:uid="{00000000-0005-0000-0000-000015880000}"/>
    <cellStyle name="Porcentaje 3 3 5 7" xfId="20106" xr:uid="{00000000-0005-0000-0000-000016880000}"/>
    <cellStyle name="Porcentaje 3 3 6" xfId="687" xr:uid="{00000000-0005-0000-0000-000017880000}"/>
    <cellStyle name="Porcentaje 3 3 6 2" xfId="1923" xr:uid="{00000000-0005-0000-0000-000018880000}"/>
    <cellStyle name="Porcentaje 3 3 6 2 2" xfId="4390" xr:uid="{00000000-0005-0000-0000-000019880000}"/>
    <cellStyle name="Porcentaje 3 3 6 2 2 2" xfId="9322" xr:uid="{00000000-0005-0000-0000-00001A880000}"/>
    <cellStyle name="Porcentaje 3 3 6 2 2 2 2" xfId="19182" xr:uid="{00000000-0005-0000-0000-00001B880000}"/>
    <cellStyle name="Porcentaje 3 3 6 2 2 2 2 2" xfId="38897" xr:uid="{00000000-0005-0000-0000-00001C880000}"/>
    <cellStyle name="Porcentaje 3 3 6 2 2 2 3" xfId="29040" xr:uid="{00000000-0005-0000-0000-00001D880000}"/>
    <cellStyle name="Porcentaje 3 3 6 2 2 3" xfId="14254" xr:uid="{00000000-0005-0000-0000-00001E880000}"/>
    <cellStyle name="Porcentaje 3 3 6 2 2 3 2" xfId="33969" xr:uid="{00000000-0005-0000-0000-00001F880000}"/>
    <cellStyle name="Porcentaje 3 3 6 2 2 4" xfId="24112" xr:uid="{00000000-0005-0000-0000-000020880000}"/>
    <cellStyle name="Porcentaje 3 3 6 2 3" xfId="6858" xr:uid="{00000000-0005-0000-0000-000021880000}"/>
    <cellStyle name="Porcentaje 3 3 6 2 3 2" xfId="16718" xr:uid="{00000000-0005-0000-0000-000022880000}"/>
    <cellStyle name="Porcentaje 3 3 6 2 3 2 2" xfId="36433" xr:uid="{00000000-0005-0000-0000-000023880000}"/>
    <cellStyle name="Porcentaje 3 3 6 2 3 3" xfId="26576" xr:uid="{00000000-0005-0000-0000-000024880000}"/>
    <cellStyle name="Porcentaje 3 3 6 2 4" xfId="11790" xr:uid="{00000000-0005-0000-0000-000025880000}"/>
    <cellStyle name="Porcentaje 3 3 6 2 4 2" xfId="31505" xr:uid="{00000000-0005-0000-0000-000026880000}"/>
    <cellStyle name="Porcentaje 3 3 6 2 5" xfId="21648" xr:uid="{00000000-0005-0000-0000-000027880000}"/>
    <cellStyle name="Porcentaje 3 3 6 3" xfId="3158" xr:uid="{00000000-0005-0000-0000-000028880000}"/>
    <cellStyle name="Porcentaje 3 3 6 3 2" xfId="8090" xr:uid="{00000000-0005-0000-0000-000029880000}"/>
    <cellStyle name="Porcentaje 3 3 6 3 2 2" xfId="17950" xr:uid="{00000000-0005-0000-0000-00002A880000}"/>
    <cellStyle name="Porcentaje 3 3 6 3 2 2 2" xfId="37665" xr:uid="{00000000-0005-0000-0000-00002B880000}"/>
    <cellStyle name="Porcentaje 3 3 6 3 2 3" xfId="27808" xr:uid="{00000000-0005-0000-0000-00002C880000}"/>
    <cellStyle name="Porcentaje 3 3 6 3 3" xfId="13022" xr:uid="{00000000-0005-0000-0000-00002D880000}"/>
    <cellStyle name="Porcentaje 3 3 6 3 3 2" xfId="32737" xr:uid="{00000000-0005-0000-0000-00002E880000}"/>
    <cellStyle name="Porcentaje 3 3 6 3 4" xfId="22880" xr:uid="{00000000-0005-0000-0000-00002F880000}"/>
    <cellStyle name="Porcentaje 3 3 6 4" xfId="5626" xr:uid="{00000000-0005-0000-0000-000030880000}"/>
    <cellStyle name="Porcentaje 3 3 6 4 2" xfId="15486" xr:uid="{00000000-0005-0000-0000-000031880000}"/>
    <cellStyle name="Porcentaje 3 3 6 4 2 2" xfId="35201" xr:uid="{00000000-0005-0000-0000-000032880000}"/>
    <cellStyle name="Porcentaje 3 3 6 4 3" xfId="25344" xr:uid="{00000000-0005-0000-0000-000033880000}"/>
    <cellStyle name="Porcentaje 3 3 6 5" xfId="10558" xr:uid="{00000000-0005-0000-0000-000034880000}"/>
    <cellStyle name="Porcentaje 3 3 6 5 2" xfId="30273" xr:uid="{00000000-0005-0000-0000-000035880000}"/>
    <cellStyle name="Porcentaje 3 3 6 6" xfId="20416" xr:uid="{00000000-0005-0000-0000-000036880000}"/>
    <cellStyle name="Porcentaje 3 3 7" xfId="1307" xr:uid="{00000000-0005-0000-0000-000037880000}"/>
    <cellStyle name="Porcentaje 3 3 7 2" xfId="3774" xr:uid="{00000000-0005-0000-0000-000038880000}"/>
    <cellStyle name="Porcentaje 3 3 7 2 2" xfId="8706" xr:uid="{00000000-0005-0000-0000-000039880000}"/>
    <cellStyle name="Porcentaje 3 3 7 2 2 2" xfId="18566" xr:uid="{00000000-0005-0000-0000-00003A880000}"/>
    <cellStyle name="Porcentaje 3 3 7 2 2 2 2" xfId="38281" xr:uid="{00000000-0005-0000-0000-00003B880000}"/>
    <cellStyle name="Porcentaje 3 3 7 2 2 3" xfId="28424" xr:uid="{00000000-0005-0000-0000-00003C880000}"/>
    <cellStyle name="Porcentaje 3 3 7 2 3" xfId="13638" xr:uid="{00000000-0005-0000-0000-00003D880000}"/>
    <cellStyle name="Porcentaje 3 3 7 2 3 2" xfId="33353" xr:uid="{00000000-0005-0000-0000-00003E880000}"/>
    <cellStyle name="Porcentaje 3 3 7 2 4" xfId="23496" xr:uid="{00000000-0005-0000-0000-00003F880000}"/>
    <cellStyle name="Porcentaje 3 3 7 3" xfId="6242" xr:uid="{00000000-0005-0000-0000-000040880000}"/>
    <cellStyle name="Porcentaje 3 3 7 3 2" xfId="16102" xr:uid="{00000000-0005-0000-0000-000041880000}"/>
    <cellStyle name="Porcentaje 3 3 7 3 2 2" xfId="35817" xr:uid="{00000000-0005-0000-0000-000042880000}"/>
    <cellStyle name="Porcentaje 3 3 7 3 3" xfId="25960" xr:uid="{00000000-0005-0000-0000-000043880000}"/>
    <cellStyle name="Porcentaje 3 3 7 4" xfId="11174" xr:uid="{00000000-0005-0000-0000-000044880000}"/>
    <cellStyle name="Porcentaje 3 3 7 4 2" xfId="30889" xr:uid="{00000000-0005-0000-0000-000045880000}"/>
    <cellStyle name="Porcentaje 3 3 7 5" xfId="21032" xr:uid="{00000000-0005-0000-0000-000046880000}"/>
    <cellStyle name="Porcentaje 3 3 8" xfId="2542" xr:uid="{00000000-0005-0000-0000-000047880000}"/>
    <cellStyle name="Porcentaje 3 3 8 2" xfId="7474" xr:uid="{00000000-0005-0000-0000-000048880000}"/>
    <cellStyle name="Porcentaje 3 3 8 2 2" xfId="17334" xr:uid="{00000000-0005-0000-0000-000049880000}"/>
    <cellStyle name="Porcentaje 3 3 8 2 2 2" xfId="37049" xr:uid="{00000000-0005-0000-0000-00004A880000}"/>
    <cellStyle name="Porcentaje 3 3 8 2 3" xfId="27192" xr:uid="{00000000-0005-0000-0000-00004B880000}"/>
    <cellStyle name="Porcentaje 3 3 8 3" xfId="12406" xr:uid="{00000000-0005-0000-0000-00004C880000}"/>
    <cellStyle name="Porcentaje 3 3 8 3 2" xfId="32121" xr:uid="{00000000-0005-0000-0000-00004D880000}"/>
    <cellStyle name="Porcentaje 3 3 8 4" xfId="22264" xr:uid="{00000000-0005-0000-0000-00004E880000}"/>
    <cellStyle name="Porcentaje 3 3 9" xfId="5010" xr:uid="{00000000-0005-0000-0000-00004F880000}"/>
    <cellStyle name="Porcentaje 3 3 9 2" xfId="14870" xr:uid="{00000000-0005-0000-0000-000050880000}"/>
    <cellStyle name="Porcentaje 3 3 9 2 2" xfId="34585" xr:uid="{00000000-0005-0000-0000-000051880000}"/>
    <cellStyle name="Porcentaje 3 3 9 3" xfId="24728" xr:uid="{00000000-0005-0000-0000-000052880000}"/>
    <cellStyle name="Porcentaje 3 4" xfId="69" xr:uid="{00000000-0005-0000-0000-000053880000}"/>
    <cellStyle name="Porcentaje 3 4 10" xfId="19819" xr:uid="{00000000-0005-0000-0000-000054880000}"/>
    <cellStyle name="Porcentaje 3 4 2" xfId="150" xr:uid="{00000000-0005-0000-0000-000055880000}"/>
    <cellStyle name="Porcentaje 3 4 2 2" xfId="307" xr:uid="{00000000-0005-0000-0000-000056880000}"/>
    <cellStyle name="Porcentaje 3 4 2 2 2" xfId="621" xr:uid="{00000000-0005-0000-0000-000057880000}"/>
    <cellStyle name="Porcentaje 3 4 2 2 2 2" xfId="1241" xr:uid="{00000000-0005-0000-0000-000058880000}"/>
    <cellStyle name="Porcentaje 3 4 2 2 2 2 2" xfId="2476" xr:uid="{00000000-0005-0000-0000-000059880000}"/>
    <cellStyle name="Porcentaje 3 4 2 2 2 2 2 2" xfId="4943" xr:uid="{00000000-0005-0000-0000-00005A880000}"/>
    <cellStyle name="Porcentaje 3 4 2 2 2 2 2 2 2" xfId="9875" xr:uid="{00000000-0005-0000-0000-00005B880000}"/>
    <cellStyle name="Porcentaje 3 4 2 2 2 2 2 2 2 2" xfId="19735" xr:uid="{00000000-0005-0000-0000-00005C880000}"/>
    <cellStyle name="Porcentaje 3 4 2 2 2 2 2 2 2 2 2" xfId="39450" xr:uid="{00000000-0005-0000-0000-00005D880000}"/>
    <cellStyle name="Porcentaje 3 4 2 2 2 2 2 2 2 3" xfId="29593" xr:uid="{00000000-0005-0000-0000-00005E880000}"/>
    <cellStyle name="Porcentaje 3 4 2 2 2 2 2 2 3" xfId="14807" xr:uid="{00000000-0005-0000-0000-00005F880000}"/>
    <cellStyle name="Porcentaje 3 4 2 2 2 2 2 2 3 2" xfId="34522" xr:uid="{00000000-0005-0000-0000-000060880000}"/>
    <cellStyle name="Porcentaje 3 4 2 2 2 2 2 2 4" xfId="24665" xr:uid="{00000000-0005-0000-0000-000061880000}"/>
    <cellStyle name="Porcentaje 3 4 2 2 2 2 2 3" xfId="7411" xr:uid="{00000000-0005-0000-0000-000062880000}"/>
    <cellStyle name="Porcentaje 3 4 2 2 2 2 2 3 2" xfId="17271" xr:uid="{00000000-0005-0000-0000-000063880000}"/>
    <cellStyle name="Porcentaje 3 4 2 2 2 2 2 3 2 2" xfId="36986" xr:uid="{00000000-0005-0000-0000-000064880000}"/>
    <cellStyle name="Porcentaje 3 4 2 2 2 2 2 3 3" xfId="27129" xr:uid="{00000000-0005-0000-0000-000065880000}"/>
    <cellStyle name="Porcentaje 3 4 2 2 2 2 2 4" xfId="12343" xr:uid="{00000000-0005-0000-0000-000066880000}"/>
    <cellStyle name="Porcentaje 3 4 2 2 2 2 2 4 2" xfId="32058" xr:uid="{00000000-0005-0000-0000-000067880000}"/>
    <cellStyle name="Porcentaje 3 4 2 2 2 2 2 5" xfId="22201" xr:uid="{00000000-0005-0000-0000-000068880000}"/>
    <cellStyle name="Porcentaje 3 4 2 2 2 2 3" xfId="3711" xr:uid="{00000000-0005-0000-0000-000069880000}"/>
    <cellStyle name="Porcentaje 3 4 2 2 2 2 3 2" xfId="8643" xr:uid="{00000000-0005-0000-0000-00006A880000}"/>
    <cellStyle name="Porcentaje 3 4 2 2 2 2 3 2 2" xfId="18503" xr:uid="{00000000-0005-0000-0000-00006B880000}"/>
    <cellStyle name="Porcentaje 3 4 2 2 2 2 3 2 2 2" xfId="38218" xr:uid="{00000000-0005-0000-0000-00006C880000}"/>
    <cellStyle name="Porcentaje 3 4 2 2 2 2 3 2 3" xfId="28361" xr:uid="{00000000-0005-0000-0000-00006D880000}"/>
    <cellStyle name="Porcentaje 3 4 2 2 2 2 3 3" xfId="13575" xr:uid="{00000000-0005-0000-0000-00006E880000}"/>
    <cellStyle name="Porcentaje 3 4 2 2 2 2 3 3 2" xfId="33290" xr:uid="{00000000-0005-0000-0000-00006F880000}"/>
    <cellStyle name="Porcentaje 3 4 2 2 2 2 3 4" xfId="23433" xr:uid="{00000000-0005-0000-0000-000070880000}"/>
    <cellStyle name="Porcentaje 3 4 2 2 2 2 4" xfId="6179" xr:uid="{00000000-0005-0000-0000-000071880000}"/>
    <cellStyle name="Porcentaje 3 4 2 2 2 2 4 2" xfId="16039" xr:uid="{00000000-0005-0000-0000-000072880000}"/>
    <cellStyle name="Porcentaje 3 4 2 2 2 2 4 2 2" xfId="35754" xr:uid="{00000000-0005-0000-0000-000073880000}"/>
    <cellStyle name="Porcentaje 3 4 2 2 2 2 4 3" xfId="25897" xr:uid="{00000000-0005-0000-0000-000074880000}"/>
    <cellStyle name="Porcentaje 3 4 2 2 2 2 5" xfId="11111" xr:uid="{00000000-0005-0000-0000-000075880000}"/>
    <cellStyle name="Porcentaje 3 4 2 2 2 2 5 2" xfId="30826" xr:uid="{00000000-0005-0000-0000-000076880000}"/>
    <cellStyle name="Porcentaje 3 4 2 2 2 2 6" xfId="20969" xr:uid="{00000000-0005-0000-0000-000077880000}"/>
    <cellStyle name="Porcentaje 3 4 2 2 2 3" xfId="1860" xr:uid="{00000000-0005-0000-0000-000078880000}"/>
    <cellStyle name="Porcentaje 3 4 2 2 2 3 2" xfId="4327" xr:uid="{00000000-0005-0000-0000-000079880000}"/>
    <cellStyle name="Porcentaje 3 4 2 2 2 3 2 2" xfId="9259" xr:uid="{00000000-0005-0000-0000-00007A880000}"/>
    <cellStyle name="Porcentaje 3 4 2 2 2 3 2 2 2" xfId="19119" xr:uid="{00000000-0005-0000-0000-00007B880000}"/>
    <cellStyle name="Porcentaje 3 4 2 2 2 3 2 2 2 2" xfId="38834" xr:uid="{00000000-0005-0000-0000-00007C880000}"/>
    <cellStyle name="Porcentaje 3 4 2 2 2 3 2 2 3" xfId="28977" xr:uid="{00000000-0005-0000-0000-00007D880000}"/>
    <cellStyle name="Porcentaje 3 4 2 2 2 3 2 3" xfId="14191" xr:uid="{00000000-0005-0000-0000-00007E880000}"/>
    <cellStyle name="Porcentaje 3 4 2 2 2 3 2 3 2" xfId="33906" xr:uid="{00000000-0005-0000-0000-00007F880000}"/>
    <cellStyle name="Porcentaje 3 4 2 2 2 3 2 4" xfId="24049" xr:uid="{00000000-0005-0000-0000-000080880000}"/>
    <cellStyle name="Porcentaje 3 4 2 2 2 3 3" xfId="6795" xr:uid="{00000000-0005-0000-0000-000081880000}"/>
    <cellStyle name="Porcentaje 3 4 2 2 2 3 3 2" xfId="16655" xr:uid="{00000000-0005-0000-0000-000082880000}"/>
    <cellStyle name="Porcentaje 3 4 2 2 2 3 3 2 2" xfId="36370" xr:uid="{00000000-0005-0000-0000-000083880000}"/>
    <cellStyle name="Porcentaje 3 4 2 2 2 3 3 3" xfId="26513" xr:uid="{00000000-0005-0000-0000-000084880000}"/>
    <cellStyle name="Porcentaje 3 4 2 2 2 3 4" xfId="11727" xr:uid="{00000000-0005-0000-0000-000085880000}"/>
    <cellStyle name="Porcentaje 3 4 2 2 2 3 4 2" xfId="31442" xr:uid="{00000000-0005-0000-0000-000086880000}"/>
    <cellStyle name="Porcentaje 3 4 2 2 2 3 5" xfId="21585" xr:uid="{00000000-0005-0000-0000-000087880000}"/>
    <cellStyle name="Porcentaje 3 4 2 2 2 4" xfId="3095" xr:uid="{00000000-0005-0000-0000-000088880000}"/>
    <cellStyle name="Porcentaje 3 4 2 2 2 4 2" xfId="8027" xr:uid="{00000000-0005-0000-0000-000089880000}"/>
    <cellStyle name="Porcentaje 3 4 2 2 2 4 2 2" xfId="17887" xr:uid="{00000000-0005-0000-0000-00008A880000}"/>
    <cellStyle name="Porcentaje 3 4 2 2 2 4 2 2 2" xfId="37602" xr:uid="{00000000-0005-0000-0000-00008B880000}"/>
    <cellStyle name="Porcentaje 3 4 2 2 2 4 2 3" xfId="27745" xr:uid="{00000000-0005-0000-0000-00008C880000}"/>
    <cellStyle name="Porcentaje 3 4 2 2 2 4 3" xfId="12959" xr:uid="{00000000-0005-0000-0000-00008D880000}"/>
    <cellStyle name="Porcentaje 3 4 2 2 2 4 3 2" xfId="32674" xr:uid="{00000000-0005-0000-0000-00008E880000}"/>
    <cellStyle name="Porcentaje 3 4 2 2 2 4 4" xfId="22817" xr:uid="{00000000-0005-0000-0000-00008F880000}"/>
    <cellStyle name="Porcentaje 3 4 2 2 2 5" xfId="5563" xr:uid="{00000000-0005-0000-0000-000090880000}"/>
    <cellStyle name="Porcentaje 3 4 2 2 2 5 2" xfId="15423" xr:uid="{00000000-0005-0000-0000-000091880000}"/>
    <cellStyle name="Porcentaje 3 4 2 2 2 5 2 2" xfId="35138" xr:uid="{00000000-0005-0000-0000-000092880000}"/>
    <cellStyle name="Porcentaje 3 4 2 2 2 5 3" xfId="25281" xr:uid="{00000000-0005-0000-0000-000093880000}"/>
    <cellStyle name="Porcentaje 3 4 2 2 2 6" xfId="10495" xr:uid="{00000000-0005-0000-0000-000094880000}"/>
    <cellStyle name="Porcentaje 3 4 2 2 2 6 2" xfId="30210" xr:uid="{00000000-0005-0000-0000-000095880000}"/>
    <cellStyle name="Porcentaje 3 4 2 2 2 7" xfId="20353" xr:uid="{00000000-0005-0000-0000-000096880000}"/>
    <cellStyle name="Porcentaje 3 4 2 2 3" xfId="934" xr:uid="{00000000-0005-0000-0000-000097880000}"/>
    <cellStyle name="Porcentaje 3 4 2 2 3 2" xfId="2170" xr:uid="{00000000-0005-0000-0000-000098880000}"/>
    <cellStyle name="Porcentaje 3 4 2 2 3 2 2" xfId="4637" xr:uid="{00000000-0005-0000-0000-000099880000}"/>
    <cellStyle name="Porcentaje 3 4 2 2 3 2 2 2" xfId="9569" xr:uid="{00000000-0005-0000-0000-00009A880000}"/>
    <cellStyle name="Porcentaje 3 4 2 2 3 2 2 2 2" xfId="19429" xr:uid="{00000000-0005-0000-0000-00009B880000}"/>
    <cellStyle name="Porcentaje 3 4 2 2 3 2 2 2 2 2" xfId="39144" xr:uid="{00000000-0005-0000-0000-00009C880000}"/>
    <cellStyle name="Porcentaje 3 4 2 2 3 2 2 2 3" xfId="29287" xr:uid="{00000000-0005-0000-0000-00009D880000}"/>
    <cellStyle name="Porcentaje 3 4 2 2 3 2 2 3" xfId="14501" xr:uid="{00000000-0005-0000-0000-00009E880000}"/>
    <cellStyle name="Porcentaje 3 4 2 2 3 2 2 3 2" xfId="34216" xr:uid="{00000000-0005-0000-0000-00009F880000}"/>
    <cellStyle name="Porcentaje 3 4 2 2 3 2 2 4" xfId="24359" xr:uid="{00000000-0005-0000-0000-0000A0880000}"/>
    <cellStyle name="Porcentaje 3 4 2 2 3 2 3" xfId="7105" xr:uid="{00000000-0005-0000-0000-0000A1880000}"/>
    <cellStyle name="Porcentaje 3 4 2 2 3 2 3 2" xfId="16965" xr:uid="{00000000-0005-0000-0000-0000A2880000}"/>
    <cellStyle name="Porcentaje 3 4 2 2 3 2 3 2 2" xfId="36680" xr:uid="{00000000-0005-0000-0000-0000A3880000}"/>
    <cellStyle name="Porcentaje 3 4 2 2 3 2 3 3" xfId="26823" xr:uid="{00000000-0005-0000-0000-0000A4880000}"/>
    <cellStyle name="Porcentaje 3 4 2 2 3 2 4" xfId="12037" xr:uid="{00000000-0005-0000-0000-0000A5880000}"/>
    <cellStyle name="Porcentaje 3 4 2 2 3 2 4 2" xfId="31752" xr:uid="{00000000-0005-0000-0000-0000A6880000}"/>
    <cellStyle name="Porcentaje 3 4 2 2 3 2 5" xfId="21895" xr:uid="{00000000-0005-0000-0000-0000A7880000}"/>
    <cellStyle name="Porcentaje 3 4 2 2 3 3" xfId="3405" xr:uid="{00000000-0005-0000-0000-0000A8880000}"/>
    <cellStyle name="Porcentaje 3 4 2 2 3 3 2" xfId="8337" xr:uid="{00000000-0005-0000-0000-0000A9880000}"/>
    <cellStyle name="Porcentaje 3 4 2 2 3 3 2 2" xfId="18197" xr:uid="{00000000-0005-0000-0000-0000AA880000}"/>
    <cellStyle name="Porcentaje 3 4 2 2 3 3 2 2 2" xfId="37912" xr:uid="{00000000-0005-0000-0000-0000AB880000}"/>
    <cellStyle name="Porcentaje 3 4 2 2 3 3 2 3" xfId="28055" xr:uid="{00000000-0005-0000-0000-0000AC880000}"/>
    <cellStyle name="Porcentaje 3 4 2 2 3 3 3" xfId="13269" xr:uid="{00000000-0005-0000-0000-0000AD880000}"/>
    <cellStyle name="Porcentaje 3 4 2 2 3 3 3 2" xfId="32984" xr:uid="{00000000-0005-0000-0000-0000AE880000}"/>
    <cellStyle name="Porcentaje 3 4 2 2 3 3 4" xfId="23127" xr:uid="{00000000-0005-0000-0000-0000AF880000}"/>
    <cellStyle name="Porcentaje 3 4 2 2 3 4" xfId="5873" xr:uid="{00000000-0005-0000-0000-0000B0880000}"/>
    <cellStyle name="Porcentaje 3 4 2 2 3 4 2" xfId="15733" xr:uid="{00000000-0005-0000-0000-0000B1880000}"/>
    <cellStyle name="Porcentaje 3 4 2 2 3 4 2 2" xfId="35448" xr:uid="{00000000-0005-0000-0000-0000B2880000}"/>
    <cellStyle name="Porcentaje 3 4 2 2 3 4 3" xfId="25591" xr:uid="{00000000-0005-0000-0000-0000B3880000}"/>
    <cellStyle name="Porcentaje 3 4 2 2 3 5" xfId="10805" xr:uid="{00000000-0005-0000-0000-0000B4880000}"/>
    <cellStyle name="Porcentaje 3 4 2 2 3 5 2" xfId="30520" xr:uid="{00000000-0005-0000-0000-0000B5880000}"/>
    <cellStyle name="Porcentaje 3 4 2 2 3 6" xfId="20663" xr:uid="{00000000-0005-0000-0000-0000B6880000}"/>
    <cellStyle name="Porcentaje 3 4 2 2 4" xfId="1554" xr:uid="{00000000-0005-0000-0000-0000B7880000}"/>
    <cellStyle name="Porcentaje 3 4 2 2 4 2" xfId="4021" xr:uid="{00000000-0005-0000-0000-0000B8880000}"/>
    <cellStyle name="Porcentaje 3 4 2 2 4 2 2" xfId="8953" xr:uid="{00000000-0005-0000-0000-0000B9880000}"/>
    <cellStyle name="Porcentaje 3 4 2 2 4 2 2 2" xfId="18813" xr:uid="{00000000-0005-0000-0000-0000BA880000}"/>
    <cellStyle name="Porcentaje 3 4 2 2 4 2 2 2 2" xfId="38528" xr:uid="{00000000-0005-0000-0000-0000BB880000}"/>
    <cellStyle name="Porcentaje 3 4 2 2 4 2 2 3" xfId="28671" xr:uid="{00000000-0005-0000-0000-0000BC880000}"/>
    <cellStyle name="Porcentaje 3 4 2 2 4 2 3" xfId="13885" xr:uid="{00000000-0005-0000-0000-0000BD880000}"/>
    <cellStyle name="Porcentaje 3 4 2 2 4 2 3 2" xfId="33600" xr:uid="{00000000-0005-0000-0000-0000BE880000}"/>
    <cellStyle name="Porcentaje 3 4 2 2 4 2 4" xfId="23743" xr:uid="{00000000-0005-0000-0000-0000BF880000}"/>
    <cellStyle name="Porcentaje 3 4 2 2 4 3" xfId="6489" xr:uid="{00000000-0005-0000-0000-0000C0880000}"/>
    <cellStyle name="Porcentaje 3 4 2 2 4 3 2" xfId="16349" xr:uid="{00000000-0005-0000-0000-0000C1880000}"/>
    <cellStyle name="Porcentaje 3 4 2 2 4 3 2 2" xfId="36064" xr:uid="{00000000-0005-0000-0000-0000C2880000}"/>
    <cellStyle name="Porcentaje 3 4 2 2 4 3 3" xfId="26207" xr:uid="{00000000-0005-0000-0000-0000C3880000}"/>
    <cellStyle name="Porcentaje 3 4 2 2 4 4" xfId="11421" xr:uid="{00000000-0005-0000-0000-0000C4880000}"/>
    <cellStyle name="Porcentaje 3 4 2 2 4 4 2" xfId="31136" xr:uid="{00000000-0005-0000-0000-0000C5880000}"/>
    <cellStyle name="Porcentaje 3 4 2 2 4 5" xfId="21279" xr:uid="{00000000-0005-0000-0000-0000C6880000}"/>
    <cellStyle name="Porcentaje 3 4 2 2 5" xfId="2789" xr:uid="{00000000-0005-0000-0000-0000C7880000}"/>
    <cellStyle name="Porcentaje 3 4 2 2 5 2" xfId="7721" xr:uid="{00000000-0005-0000-0000-0000C8880000}"/>
    <cellStyle name="Porcentaje 3 4 2 2 5 2 2" xfId="17581" xr:uid="{00000000-0005-0000-0000-0000C9880000}"/>
    <cellStyle name="Porcentaje 3 4 2 2 5 2 2 2" xfId="37296" xr:uid="{00000000-0005-0000-0000-0000CA880000}"/>
    <cellStyle name="Porcentaje 3 4 2 2 5 2 3" xfId="27439" xr:uid="{00000000-0005-0000-0000-0000CB880000}"/>
    <cellStyle name="Porcentaje 3 4 2 2 5 3" xfId="12653" xr:uid="{00000000-0005-0000-0000-0000CC880000}"/>
    <cellStyle name="Porcentaje 3 4 2 2 5 3 2" xfId="32368" xr:uid="{00000000-0005-0000-0000-0000CD880000}"/>
    <cellStyle name="Porcentaje 3 4 2 2 5 4" xfId="22511" xr:uid="{00000000-0005-0000-0000-0000CE880000}"/>
    <cellStyle name="Porcentaje 3 4 2 2 6" xfId="5257" xr:uid="{00000000-0005-0000-0000-0000CF880000}"/>
    <cellStyle name="Porcentaje 3 4 2 2 6 2" xfId="15117" xr:uid="{00000000-0005-0000-0000-0000D0880000}"/>
    <cellStyle name="Porcentaje 3 4 2 2 6 2 2" xfId="34832" xr:uid="{00000000-0005-0000-0000-0000D1880000}"/>
    <cellStyle name="Porcentaje 3 4 2 2 6 3" xfId="24975" xr:uid="{00000000-0005-0000-0000-0000D2880000}"/>
    <cellStyle name="Porcentaje 3 4 2 2 7" xfId="10189" xr:uid="{00000000-0005-0000-0000-0000D3880000}"/>
    <cellStyle name="Porcentaje 3 4 2 2 7 2" xfId="29904" xr:uid="{00000000-0005-0000-0000-0000D4880000}"/>
    <cellStyle name="Porcentaje 3 4 2 2 8" xfId="20047" xr:uid="{00000000-0005-0000-0000-0000D5880000}"/>
    <cellStyle name="Porcentaje 3 4 2 3" xfId="469" xr:uid="{00000000-0005-0000-0000-0000D6880000}"/>
    <cellStyle name="Porcentaje 3 4 2 3 2" xfId="1089" xr:uid="{00000000-0005-0000-0000-0000D7880000}"/>
    <cellStyle name="Porcentaje 3 4 2 3 2 2" xfId="2324" xr:uid="{00000000-0005-0000-0000-0000D8880000}"/>
    <cellStyle name="Porcentaje 3 4 2 3 2 2 2" xfId="4791" xr:uid="{00000000-0005-0000-0000-0000D9880000}"/>
    <cellStyle name="Porcentaje 3 4 2 3 2 2 2 2" xfId="9723" xr:uid="{00000000-0005-0000-0000-0000DA880000}"/>
    <cellStyle name="Porcentaje 3 4 2 3 2 2 2 2 2" xfId="19583" xr:uid="{00000000-0005-0000-0000-0000DB880000}"/>
    <cellStyle name="Porcentaje 3 4 2 3 2 2 2 2 2 2" xfId="39298" xr:uid="{00000000-0005-0000-0000-0000DC880000}"/>
    <cellStyle name="Porcentaje 3 4 2 3 2 2 2 2 3" xfId="29441" xr:uid="{00000000-0005-0000-0000-0000DD880000}"/>
    <cellStyle name="Porcentaje 3 4 2 3 2 2 2 3" xfId="14655" xr:uid="{00000000-0005-0000-0000-0000DE880000}"/>
    <cellStyle name="Porcentaje 3 4 2 3 2 2 2 3 2" xfId="34370" xr:uid="{00000000-0005-0000-0000-0000DF880000}"/>
    <cellStyle name="Porcentaje 3 4 2 3 2 2 2 4" xfId="24513" xr:uid="{00000000-0005-0000-0000-0000E0880000}"/>
    <cellStyle name="Porcentaje 3 4 2 3 2 2 3" xfId="7259" xr:uid="{00000000-0005-0000-0000-0000E1880000}"/>
    <cellStyle name="Porcentaje 3 4 2 3 2 2 3 2" xfId="17119" xr:uid="{00000000-0005-0000-0000-0000E2880000}"/>
    <cellStyle name="Porcentaje 3 4 2 3 2 2 3 2 2" xfId="36834" xr:uid="{00000000-0005-0000-0000-0000E3880000}"/>
    <cellStyle name="Porcentaje 3 4 2 3 2 2 3 3" xfId="26977" xr:uid="{00000000-0005-0000-0000-0000E4880000}"/>
    <cellStyle name="Porcentaje 3 4 2 3 2 2 4" xfId="12191" xr:uid="{00000000-0005-0000-0000-0000E5880000}"/>
    <cellStyle name="Porcentaje 3 4 2 3 2 2 4 2" xfId="31906" xr:uid="{00000000-0005-0000-0000-0000E6880000}"/>
    <cellStyle name="Porcentaje 3 4 2 3 2 2 5" xfId="22049" xr:uid="{00000000-0005-0000-0000-0000E7880000}"/>
    <cellStyle name="Porcentaje 3 4 2 3 2 3" xfId="3559" xr:uid="{00000000-0005-0000-0000-0000E8880000}"/>
    <cellStyle name="Porcentaje 3 4 2 3 2 3 2" xfId="8491" xr:uid="{00000000-0005-0000-0000-0000E9880000}"/>
    <cellStyle name="Porcentaje 3 4 2 3 2 3 2 2" xfId="18351" xr:uid="{00000000-0005-0000-0000-0000EA880000}"/>
    <cellStyle name="Porcentaje 3 4 2 3 2 3 2 2 2" xfId="38066" xr:uid="{00000000-0005-0000-0000-0000EB880000}"/>
    <cellStyle name="Porcentaje 3 4 2 3 2 3 2 3" xfId="28209" xr:uid="{00000000-0005-0000-0000-0000EC880000}"/>
    <cellStyle name="Porcentaje 3 4 2 3 2 3 3" xfId="13423" xr:uid="{00000000-0005-0000-0000-0000ED880000}"/>
    <cellStyle name="Porcentaje 3 4 2 3 2 3 3 2" xfId="33138" xr:uid="{00000000-0005-0000-0000-0000EE880000}"/>
    <cellStyle name="Porcentaje 3 4 2 3 2 3 4" xfId="23281" xr:uid="{00000000-0005-0000-0000-0000EF880000}"/>
    <cellStyle name="Porcentaje 3 4 2 3 2 4" xfId="6027" xr:uid="{00000000-0005-0000-0000-0000F0880000}"/>
    <cellStyle name="Porcentaje 3 4 2 3 2 4 2" xfId="15887" xr:uid="{00000000-0005-0000-0000-0000F1880000}"/>
    <cellStyle name="Porcentaje 3 4 2 3 2 4 2 2" xfId="35602" xr:uid="{00000000-0005-0000-0000-0000F2880000}"/>
    <cellStyle name="Porcentaje 3 4 2 3 2 4 3" xfId="25745" xr:uid="{00000000-0005-0000-0000-0000F3880000}"/>
    <cellStyle name="Porcentaje 3 4 2 3 2 5" xfId="10959" xr:uid="{00000000-0005-0000-0000-0000F4880000}"/>
    <cellStyle name="Porcentaje 3 4 2 3 2 5 2" xfId="30674" xr:uid="{00000000-0005-0000-0000-0000F5880000}"/>
    <cellStyle name="Porcentaje 3 4 2 3 2 6" xfId="20817" xr:uid="{00000000-0005-0000-0000-0000F6880000}"/>
    <cellStyle name="Porcentaje 3 4 2 3 3" xfId="1708" xr:uid="{00000000-0005-0000-0000-0000F7880000}"/>
    <cellStyle name="Porcentaje 3 4 2 3 3 2" xfId="4175" xr:uid="{00000000-0005-0000-0000-0000F8880000}"/>
    <cellStyle name="Porcentaje 3 4 2 3 3 2 2" xfId="9107" xr:uid="{00000000-0005-0000-0000-0000F9880000}"/>
    <cellStyle name="Porcentaje 3 4 2 3 3 2 2 2" xfId="18967" xr:uid="{00000000-0005-0000-0000-0000FA880000}"/>
    <cellStyle name="Porcentaje 3 4 2 3 3 2 2 2 2" xfId="38682" xr:uid="{00000000-0005-0000-0000-0000FB880000}"/>
    <cellStyle name="Porcentaje 3 4 2 3 3 2 2 3" xfId="28825" xr:uid="{00000000-0005-0000-0000-0000FC880000}"/>
    <cellStyle name="Porcentaje 3 4 2 3 3 2 3" xfId="14039" xr:uid="{00000000-0005-0000-0000-0000FD880000}"/>
    <cellStyle name="Porcentaje 3 4 2 3 3 2 3 2" xfId="33754" xr:uid="{00000000-0005-0000-0000-0000FE880000}"/>
    <cellStyle name="Porcentaje 3 4 2 3 3 2 4" xfId="23897" xr:uid="{00000000-0005-0000-0000-0000FF880000}"/>
    <cellStyle name="Porcentaje 3 4 2 3 3 3" xfId="6643" xr:uid="{00000000-0005-0000-0000-000000890000}"/>
    <cellStyle name="Porcentaje 3 4 2 3 3 3 2" xfId="16503" xr:uid="{00000000-0005-0000-0000-000001890000}"/>
    <cellStyle name="Porcentaje 3 4 2 3 3 3 2 2" xfId="36218" xr:uid="{00000000-0005-0000-0000-000002890000}"/>
    <cellStyle name="Porcentaje 3 4 2 3 3 3 3" xfId="26361" xr:uid="{00000000-0005-0000-0000-000003890000}"/>
    <cellStyle name="Porcentaje 3 4 2 3 3 4" xfId="11575" xr:uid="{00000000-0005-0000-0000-000004890000}"/>
    <cellStyle name="Porcentaje 3 4 2 3 3 4 2" xfId="31290" xr:uid="{00000000-0005-0000-0000-000005890000}"/>
    <cellStyle name="Porcentaje 3 4 2 3 3 5" xfId="21433" xr:uid="{00000000-0005-0000-0000-000006890000}"/>
    <cellStyle name="Porcentaje 3 4 2 3 4" xfId="2943" xr:uid="{00000000-0005-0000-0000-000007890000}"/>
    <cellStyle name="Porcentaje 3 4 2 3 4 2" xfId="7875" xr:uid="{00000000-0005-0000-0000-000008890000}"/>
    <cellStyle name="Porcentaje 3 4 2 3 4 2 2" xfId="17735" xr:uid="{00000000-0005-0000-0000-000009890000}"/>
    <cellStyle name="Porcentaje 3 4 2 3 4 2 2 2" xfId="37450" xr:uid="{00000000-0005-0000-0000-00000A890000}"/>
    <cellStyle name="Porcentaje 3 4 2 3 4 2 3" xfId="27593" xr:uid="{00000000-0005-0000-0000-00000B890000}"/>
    <cellStyle name="Porcentaje 3 4 2 3 4 3" xfId="12807" xr:uid="{00000000-0005-0000-0000-00000C890000}"/>
    <cellStyle name="Porcentaje 3 4 2 3 4 3 2" xfId="32522" xr:uid="{00000000-0005-0000-0000-00000D890000}"/>
    <cellStyle name="Porcentaje 3 4 2 3 4 4" xfId="22665" xr:uid="{00000000-0005-0000-0000-00000E890000}"/>
    <cellStyle name="Porcentaje 3 4 2 3 5" xfId="5411" xr:uid="{00000000-0005-0000-0000-00000F890000}"/>
    <cellStyle name="Porcentaje 3 4 2 3 5 2" xfId="15271" xr:uid="{00000000-0005-0000-0000-000010890000}"/>
    <cellStyle name="Porcentaje 3 4 2 3 5 2 2" xfId="34986" xr:uid="{00000000-0005-0000-0000-000011890000}"/>
    <cellStyle name="Porcentaje 3 4 2 3 5 3" xfId="25129" xr:uid="{00000000-0005-0000-0000-000012890000}"/>
    <cellStyle name="Porcentaje 3 4 2 3 6" xfId="10343" xr:uid="{00000000-0005-0000-0000-000013890000}"/>
    <cellStyle name="Porcentaje 3 4 2 3 6 2" xfId="30058" xr:uid="{00000000-0005-0000-0000-000014890000}"/>
    <cellStyle name="Porcentaje 3 4 2 3 7" xfId="20201" xr:uid="{00000000-0005-0000-0000-000015890000}"/>
    <cellStyle name="Porcentaje 3 4 2 4" xfId="782" xr:uid="{00000000-0005-0000-0000-000016890000}"/>
    <cellStyle name="Porcentaje 3 4 2 4 2" xfId="2018" xr:uid="{00000000-0005-0000-0000-000017890000}"/>
    <cellStyle name="Porcentaje 3 4 2 4 2 2" xfId="4485" xr:uid="{00000000-0005-0000-0000-000018890000}"/>
    <cellStyle name="Porcentaje 3 4 2 4 2 2 2" xfId="9417" xr:uid="{00000000-0005-0000-0000-000019890000}"/>
    <cellStyle name="Porcentaje 3 4 2 4 2 2 2 2" xfId="19277" xr:uid="{00000000-0005-0000-0000-00001A890000}"/>
    <cellStyle name="Porcentaje 3 4 2 4 2 2 2 2 2" xfId="38992" xr:uid="{00000000-0005-0000-0000-00001B890000}"/>
    <cellStyle name="Porcentaje 3 4 2 4 2 2 2 3" xfId="29135" xr:uid="{00000000-0005-0000-0000-00001C890000}"/>
    <cellStyle name="Porcentaje 3 4 2 4 2 2 3" xfId="14349" xr:uid="{00000000-0005-0000-0000-00001D890000}"/>
    <cellStyle name="Porcentaje 3 4 2 4 2 2 3 2" xfId="34064" xr:uid="{00000000-0005-0000-0000-00001E890000}"/>
    <cellStyle name="Porcentaje 3 4 2 4 2 2 4" xfId="24207" xr:uid="{00000000-0005-0000-0000-00001F890000}"/>
    <cellStyle name="Porcentaje 3 4 2 4 2 3" xfId="6953" xr:uid="{00000000-0005-0000-0000-000020890000}"/>
    <cellStyle name="Porcentaje 3 4 2 4 2 3 2" xfId="16813" xr:uid="{00000000-0005-0000-0000-000021890000}"/>
    <cellStyle name="Porcentaje 3 4 2 4 2 3 2 2" xfId="36528" xr:uid="{00000000-0005-0000-0000-000022890000}"/>
    <cellStyle name="Porcentaje 3 4 2 4 2 3 3" xfId="26671" xr:uid="{00000000-0005-0000-0000-000023890000}"/>
    <cellStyle name="Porcentaje 3 4 2 4 2 4" xfId="11885" xr:uid="{00000000-0005-0000-0000-000024890000}"/>
    <cellStyle name="Porcentaje 3 4 2 4 2 4 2" xfId="31600" xr:uid="{00000000-0005-0000-0000-000025890000}"/>
    <cellStyle name="Porcentaje 3 4 2 4 2 5" xfId="21743" xr:uid="{00000000-0005-0000-0000-000026890000}"/>
    <cellStyle name="Porcentaje 3 4 2 4 3" xfId="3253" xr:uid="{00000000-0005-0000-0000-000027890000}"/>
    <cellStyle name="Porcentaje 3 4 2 4 3 2" xfId="8185" xr:uid="{00000000-0005-0000-0000-000028890000}"/>
    <cellStyle name="Porcentaje 3 4 2 4 3 2 2" xfId="18045" xr:uid="{00000000-0005-0000-0000-000029890000}"/>
    <cellStyle name="Porcentaje 3 4 2 4 3 2 2 2" xfId="37760" xr:uid="{00000000-0005-0000-0000-00002A890000}"/>
    <cellStyle name="Porcentaje 3 4 2 4 3 2 3" xfId="27903" xr:uid="{00000000-0005-0000-0000-00002B890000}"/>
    <cellStyle name="Porcentaje 3 4 2 4 3 3" xfId="13117" xr:uid="{00000000-0005-0000-0000-00002C890000}"/>
    <cellStyle name="Porcentaje 3 4 2 4 3 3 2" xfId="32832" xr:uid="{00000000-0005-0000-0000-00002D890000}"/>
    <cellStyle name="Porcentaje 3 4 2 4 3 4" xfId="22975" xr:uid="{00000000-0005-0000-0000-00002E890000}"/>
    <cellStyle name="Porcentaje 3 4 2 4 4" xfId="5721" xr:uid="{00000000-0005-0000-0000-00002F890000}"/>
    <cellStyle name="Porcentaje 3 4 2 4 4 2" xfId="15581" xr:uid="{00000000-0005-0000-0000-000030890000}"/>
    <cellStyle name="Porcentaje 3 4 2 4 4 2 2" xfId="35296" xr:uid="{00000000-0005-0000-0000-000031890000}"/>
    <cellStyle name="Porcentaje 3 4 2 4 4 3" xfId="25439" xr:uid="{00000000-0005-0000-0000-000032890000}"/>
    <cellStyle name="Porcentaje 3 4 2 4 5" xfId="10653" xr:uid="{00000000-0005-0000-0000-000033890000}"/>
    <cellStyle name="Porcentaje 3 4 2 4 5 2" xfId="30368" xr:uid="{00000000-0005-0000-0000-000034890000}"/>
    <cellStyle name="Porcentaje 3 4 2 4 6" xfId="20511" xr:uid="{00000000-0005-0000-0000-000035890000}"/>
    <cellStyle name="Porcentaje 3 4 2 5" xfId="1402" xr:uid="{00000000-0005-0000-0000-000036890000}"/>
    <cellStyle name="Porcentaje 3 4 2 5 2" xfId="3869" xr:uid="{00000000-0005-0000-0000-000037890000}"/>
    <cellStyle name="Porcentaje 3 4 2 5 2 2" xfId="8801" xr:uid="{00000000-0005-0000-0000-000038890000}"/>
    <cellStyle name="Porcentaje 3 4 2 5 2 2 2" xfId="18661" xr:uid="{00000000-0005-0000-0000-000039890000}"/>
    <cellStyle name="Porcentaje 3 4 2 5 2 2 2 2" xfId="38376" xr:uid="{00000000-0005-0000-0000-00003A890000}"/>
    <cellStyle name="Porcentaje 3 4 2 5 2 2 3" xfId="28519" xr:uid="{00000000-0005-0000-0000-00003B890000}"/>
    <cellStyle name="Porcentaje 3 4 2 5 2 3" xfId="13733" xr:uid="{00000000-0005-0000-0000-00003C890000}"/>
    <cellStyle name="Porcentaje 3 4 2 5 2 3 2" xfId="33448" xr:uid="{00000000-0005-0000-0000-00003D890000}"/>
    <cellStyle name="Porcentaje 3 4 2 5 2 4" xfId="23591" xr:uid="{00000000-0005-0000-0000-00003E890000}"/>
    <cellStyle name="Porcentaje 3 4 2 5 3" xfId="6337" xr:uid="{00000000-0005-0000-0000-00003F890000}"/>
    <cellStyle name="Porcentaje 3 4 2 5 3 2" xfId="16197" xr:uid="{00000000-0005-0000-0000-000040890000}"/>
    <cellStyle name="Porcentaje 3 4 2 5 3 2 2" xfId="35912" xr:uid="{00000000-0005-0000-0000-000041890000}"/>
    <cellStyle name="Porcentaje 3 4 2 5 3 3" xfId="26055" xr:uid="{00000000-0005-0000-0000-000042890000}"/>
    <cellStyle name="Porcentaje 3 4 2 5 4" xfId="11269" xr:uid="{00000000-0005-0000-0000-000043890000}"/>
    <cellStyle name="Porcentaje 3 4 2 5 4 2" xfId="30984" xr:uid="{00000000-0005-0000-0000-000044890000}"/>
    <cellStyle name="Porcentaje 3 4 2 5 5" xfId="21127" xr:uid="{00000000-0005-0000-0000-000045890000}"/>
    <cellStyle name="Porcentaje 3 4 2 6" xfId="2637" xr:uid="{00000000-0005-0000-0000-000046890000}"/>
    <cellStyle name="Porcentaje 3 4 2 6 2" xfId="7569" xr:uid="{00000000-0005-0000-0000-000047890000}"/>
    <cellStyle name="Porcentaje 3 4 2 6 2 2" xfId="17429" xr:uid="{00000000-0005-0000-0000-000048890000}"/>
    <cellStyle name="Porcentaje 3 4 2 6 2 2 2" xfId="37144" xr:uid="{00000000-0005-0000-0000-000049890000}"/>
    <cellStyle name="Porcentaje 3 4 2 6 2 3" xfId="27287" xr:uid="{00000000-0005-0000-0000-00004A890000}"/>
    <cellStyle name="Porcentaje 3 4 2 6 3" xfId="12501" xr:uid="{00000000-0005-0000-0000-00004B890000}"/>
    <cellStyle name="Porcentaje 3 4 2 6 3 2" xfId="32216" xr:uid="{00000000-0005-0000-0000-00004C890000}"/>
    <cellStyle name="Porcentaje 3 4 2 6 4" xfId="22359" xr:uid="{00000000-0005-0000-0000-00004D890000}"/>
    <cellStyle name="Porcentaje 3 4 2 7" xfId="5105" xr:uid="{00000000-0005-0000-0000-00004E890000}"/>
    <cellStyle name="Porcentaje 3 4 2 7 2" xfId="14965" xr:uid="{00000000-0005-0000-0000-00004F890000}"/>
    <cellStyle name="Porcentaje 3 4 2 7 2 2" xfId="34680" xr:uid="{00000000-0005-0000-0000-000050890000}"/>
    <cellStyle name="Porcentaje 3 4 2 7 3" xfId="24823" xr:uid="{00000000-0005-0000-0000-000051890000}"/>
    <cellStyle name="Porcentaje 3 4 2 8" xfId="10037" xr:uid="{00000000-0005-0000-0000-000052890000}"/>
    <cellStyle name="Porcentaje 3 4 2 8 2" xfId="29752" xr:uid="{00000000-0005-0000-0000-000053890000}"/>
    <cellStyle name="Porcentaje 3 4 2 9" xfId="19895" xr:uid="{00000000-0005-0000-0000-000054890000}"/>
    <cellStyle name="Porcentaje 3 4 3" xfId="231" xr:uid="{00000000-0005-0000-0000-000055890000}"/>
    <cellStyle name="Porcentaje 3 4 3 2" xfId="545" xr:uid="{00000000-0005-0000-0000-000056890000}"/>
    <cellStyle name="Porcentaje 3 4 3 2 2" xfId="1165" xr:uid="{00000000-0005-0000-0000-000057890000}"/>
    <cellStyle name="Porcentaje 3 4 3 2 2 2" xfId="2400" xr:uid="{00000000-0005-0000-0000-000058890000}"/>
    <cellStyle name="Porcentaje 3 4 3 2 2 2 2" xfId="4867" xr:uid="{00000000-0005-0000-0000-000059890000}"/>
    <cellStyle name="Porcentaje 3 4 3 2 2 2 2 2" xfId="9799" xr:uid="{00000000-0005-0000-0000-00005A890000}"/>
    <cellStyle name="Porcentaje 3 4 3 2 2 2 2 2 2" xfId="19659" xr:uid="{00000000-0005-0000-0000-00005B890000}"/>
    <cellStyle name="Porcentaje 3 4 3 2 2 2 2 2 2 2" xfId="39374" xr:uid="{00000000-0005-0000-0000-00005C890000}"/>
    <cellStyle name="Porcentaje 3 4 3 2 2 2 2 2 3" xfId="29517" xr:uid="{00000000-0005-0000-0000-00005D890000}"/>
    <cellStyle name="Porcentaje 3 4 3 2 2 2 2 3" xfId="14731" xr:uid="{00000000-0005-0000-0000-00005E890000}"/>
    <cellStyle name="Porcentaje 3 4 3 2 2 2 2 3 2" xfId="34446" xr:uid="{00000000-0005-0000-0000-00005F890000}"/>
    <cellStyle name="Porcentaje 3 4 3 2 2 2 2 4" xfId="24589" xr:uid="{00000000-0005-0000-0000-000060890000}"/>
    <cellStyle name="Porcentaje 3 4 3 2 2 2 3" xfId="7335" xr:uid="{00000000-0005-0000-0000-000061890000}"/>
    <cellStyle name="Porcentaje 3 4 3 2 2 2 3 2" xfId="17195" xr:uid="{00000000-0005-0000-0000-000062890000}"/>
    <cellStyle name="Porcentaje 3 4 3 2 2 2 3 2 2" xfId="36910" xr:uid="{00000000-0005-0000-0000-000063890000}"/>
    <cellStyle name="Porcentaje 3 4 3 2 2 2 3 3" xfId="27053" xr:uid="{00000000-0005-0000-0000-000064890000}"/>
    <cellStyle name="Porcentaje 3 4 3 2 2 2 4" xfId="12267" xr:uid="{00000000-0005-0000-0000-000065890000}"/>
    <cellStyle name="Porcentaje 3 4 3 2 2 2 4 2" xfId="31982" xr:uid="{00000000-0005-0000-0000-000066890000}"/>
    <cellStyle name="Porcentaje 3 4 3 2 2 2 5" xfId="22125" xr:uid="{00000000-0005-0000-0000-000067890000}"/>
    <cellStyle name="Porcentaje 3 4 3 2 2 3" xfId="3635" xr:uid="{00000000-0005-0000-0000-000068890000}"/>
    <cellStyle name="Porcentaje 3 4 3 2 2 3 2" xfId="8567" xr:uid="{00000000-0005-0000-0000-000069890000}"/>
    <cellStyle name="Porcentaje 3 4 3 2 2 3 2 2" xfId="18427" xr:uid="{00000000-0005-0000-0000-00006A890000}"/>
    <cellStyle name="Porcentaje 3 4 3 2 2 3 2 2 2" xfId="38142" xr:uid="{00000000-0005-0000-0000-00006B890000}"/>
    <cellStyle name="Porcentaje 3 4 3 2 2 3 2 3" xfId="28285" xr:uid="{00000000-0005-0000-0000-00006C890000}"/>
    <cellStyle name="Porcentaje 3 4 3 2 2 3 3" xfId="13499" xr:uid="{00000000-0005-0000-0000-00006D890000}"/>
    <cellStyle name="Porcentaje 3 4 3 2 2 3 3 2" xfId="33214" xr:uid="{00000000-0005-0000-0000-00006E890000}"/>
    <cellStyle name="Porcentaje 3 4 3 2 2 3 4" xfId="23357" xr:uid="{00000000-0005-0000-0000-00006F890000}"/>
    <cellStyle name="Porcentaje 3 4 3 2 2 4" xfId="6103" xr:uid="{00000000-0005-0000-0000-000070890000}"/>
    <cellStyle name="Porcentaje 3 4 3 2 2 4 2" xfId="15963" xr:uid="{00000000-0005-0000-0000-000071890000}"/>
    <cellStyle name="Porcentaje 3 4 3 2 2 4 2 2" xfId="35678" xr:uid="{00000000-0005-0000-0000-000072890000}"/>
    <cellStyle name="Porcentaje 3 4 3 2 2 4 3" xfId="25821" xr:uid="{00000000-0005-0000-0000-000073890000}"/>
    <cellStyle name="Porcentaje 3 4 3 2 2 5" xfId="11035" xr:uid="{00000000-0005-0000-0000-000074890000}"/>
    <cellStyle name="Porcentaje 3 4 3 2 2 5 2" xfId="30750" xr:uid="{00000000-0005-0000-0000-000075890000}"/>
    <cellStyle name="Porcentaje 3 4 3 2 2 6" xfId="20893" xr:uid="{00000000-0005-0000-0000-000076890000}"/>
    <cellStyle name="Porcentaje 3 4 3 2 3" xfId="1784" xr:uid="{00000000-0005-0000-0000-000077890000}"/>
    <cellStyle name="Porcentaje 3 4 3 2 3 2" xfId="4251" xr:uid="{00000000-0005-0000-0000-000078890000}"/>
    <cellStyle name="Porcentaje 3 4 3 2 3 2 2" xfId="9183" xr:uid="{00000000-0005-0000-0000-000079890000}"/>
    <cellStyle name="Porcentaje 3 4 3 2 3 2 2 2" xfId="19043" xr:uid="{00000000-0005-0000-0000-00007A890000}"/>
    <cellStyle name="Porcentaje 3 4 3 2 3 2 2 2 2" xfId="38758" xr:uid="{00000000-0005-0000-0000-00007B890000}"/>
    <cellStyle name="Porcentaje 3 4 3 2 3 2 2 3" xfId="28901" xr:uid="{00000000-0005-0000-0000-00007C890000}"/>
    <cellStyle name="Porcentaje 3 4 3 2 3 2 3" xfId="14115" xr:uid="{00000000-0005-0000-0000-00007D890000}"/>
    <cellStyle name="Porcentaje 3 4 3 2 3 2 3 2" xfId="33830" xr:uid="{00000000-0005-0000-0000-00007E890000}"/>
    <cellStyle name="Porcentaje 3 4 3 2 3 2 4" xfId="23973" xr:uid="{00000000-0005-0000-0000-00007F890000}"/>
    <cellStyle name="Porcentaje 3 4 3 2 3 3" xfId="6719" xr:uid="{00000000-0005-0000-0000-000080890000}"/>
    <cellStyle name="Porcentaje 3 4 3 2 3 3 2" xfId="16579" xr:uid="{00000000-0005-0000-0000-000081890000}"/>
    <cellStyle name="Porcentaje 3 4 3 2 3 3 2 2" xfId="36294" xr:uid="{00000000-0005-0000-0000-000082890000}"/>
    <cellStyle name="Porcentaje 3 4 3 2 3 3 3" xfId="26437" xr:uid="{00000000-0005-0000-0000-000083890000}"/>
    <cellStyle name="Porcentaje 3 4 3 2 3 4" xfId="11651" xr:uid="{00000000-0005-0000-0000-000084890000}"/>
    <cellStyle name="Porcentaje 3 4 3 2 3 4 2" xfId="31366" xr:uid="{00000000-0005-0000-0000-000085890000}"/>
    <cellStyle name="Porcentaje 3 4 3 2 3 5" xfId="21509" xr:uid="{00000000-0005-0000-0000-000086890000}"/>
    <cellStyle name="Porcentaje 3 4 3 2 4" xfId="3019" xr:uid="{00000000-0005-0000-0000-000087890000}"/>
    <cellStyle name="Porcentaje 3 4 3 2 4 2" xfId="7951" xr:uid="{00000000-0005-0000-0000-000088890000}"/>
    <cellStyle name="Porcentaje 3 4 3 2 4 2 2" xfId="17811" xr:uid="{00000000-0005-0000-0000-000089890000}"/>
    <cellStyle name="Porcentaje 3 4 3 2 4 2 2 2" xfId="37526" xr:uid="{00000000-0005-0000-0000-00008A890000}"/>
    <cellStyle name="Porcentaje 3 4 3 2 4 2 3" xfId="27669" xr:uid="{00000000-0005-0000-0000-00008B890000}"/>
    <cellStyle name="Porcentaje 3 4 3 2 4 3" xfId="12883" xr:uid="{00000000-0005-0000-0000-00008C890000}"/>
    <cellStyle name="Porcentaje 3 4 3 2 4 3 2" xfId="32598" xr:uid="{00000000-0005-0000-0000-00008D890000}"/>
    <cellStyle name="Porcentaje 3 4 3 2 4 4" xfId="22741" xr:uid="{00000000-0005-0000-0000-00008E890000}"/>
    <cellStyle name="Porcentaje 3 4 3 2 5" xfId="5487" xr:uid="{00000000-0005-0000-0000-00008F890000}"/>
    <cellStyle name="Porcentaje 3 4 3 2 5 2" xfId="15347" xr:uid="{00000000-0005-0000-0000-000090890000}"/>
    <cellStyle name="Porcentaje 3 4 3 2 5 2 2" xfId="35062" xr:uid="{00000000-0005-0000-0000-000091890000}"/>
    <cellStyle name="Porcentaje 3 4 3 2 5 3" xfId="25205" xr:uid="{00000000-0005-0000-0000-000092890000}"/>
    <cellStyle name="Porcentaje 3 4 3 2 6" xfId="10419" xr:uid="{00000000-0005-0000-0000-000093890000}"/>
    <cellStyle name="Porcentaje 3 4 3 2 6 2" xfId="30134" xr:uid="{00000000-0005-0000-0000-000094890000}"/>
    <cellStyle name="Porcentaje 3 4 3 2 7" xfId="20277" xr:uid="{00000000-0005-0000-0000-000095890000}"/>
    <cellStyle name="Porcentaje 3 4 3 3" xfId="858" xr:uid="{00000000-0005-0000-0000-000096890000}"/>
    <cellStyle name="Porcentaje 3 4 3 3 2" xfId="2094" xr:uid="{00000000-0005-0000-0000-000097890000}"/>
    <cellStyle name="Porcentaje 3 4 3 3 2 2" xfId="4561" xr:uid="{00000000-0005-0000-0000-000098890000}"/>
    <cellStyle name="Porcentaje 3 4 3 3 2 2 2" xfId="9493" xr:uid="{00000000-0005-0000-0000-000099890000}"/>
    <cellStyle name="Porcentaje 3 4 3 3 2 2 2 2" xfId="19353" xr:uid="{00000000-0005-0000-0000-00009A890000}"/>
    <cellStyle name="Porcentaje 3 4 3 3 2 2 2 2 2" xfId="39068" xr:uid="{00000000-0005-0000-0000-00009B890000}"/>
    <cellStyle name="Porcentaje 3 4 3 3 2 2 2 3" xfId="29211" xr:uid="{00000000-0005-0000-0000-00009C890000}"/>
    <cellStyle name="Porcentaje 3 4 3 3 2 2 3" xfId="14425" xr:uid="{00000000-0005-0000-0000-00009D890000}"/>
    <cellStyle name="Porcentaje 3 4 3 3 2 2 3 2" xfId="34140" xr:uid="{00000000-0005-0000-0000-00009E890000}"/>
    <cellStyle name="Porcentaje 3 4 3 3 2 2 4" xfId="24283" xr:uid="{00000000-0005-0000-0000-00009F890000}"/>
    <cellStyle name="Porcentaje 3 4 3 3 2 3" xfId="7029" xr:uid="{00000000-0005-0000-0000-0000A0890000}"/>
    <cellStyle name="Porcentaje 3 4 3 3 2 3 2" xfId="16889" xr:uid="{00000000-0005-0000-0000-0000A1890000}"/>
    <cellStyle name="Porcentaje 3 4 3 3 2 3 2 2" xfId="36604" xr:uid="{00000000-0005-0000-0000-0000A2890000}"/>
    <cellStyle name="Porcentaje 3 4 3 3 2 3 3" xfId="26747" xr:uid="{00000000-0005-0000-0000-0000A3890000}"/>
    <cellStyle name="Porcentaje 3 4 3 3 2 4" xfId="11961" xr:uid="{00000000-0005-0000-0000-0000A4890000}"/>
    <cellStyle name="Porcentaje 3 4 3 3 2 4 2" xfId="31676" xr:uid="{00000000-0005-0000-0000-0000A5890000}"/>
    <cellStyle name="Porcentaje 3 4 3 3 2 5" xfId="21819" xr:uid="{00000000-0005-0000-0000-0000A6890000}"/>
    <cellStyle name="Porcentaje 3 4 3 3 3" xfId="3329" xr:uid="{00000000-0005-0000-0000-0000A7890000}"/>
    <cellStyle name="Porcentaje 3 4 3 3 3 2" xfId="8261" xr:uid="{00000000-0005-0000-0000-0000A8890000}"/>
    <cellStyle name="Porcentaje 3 4 3 3 3 2 2" xfId="18121" xr:uid="{00000000-0005-0000-0000-0000A9890000}"/>
    <cellStyle name="Porcentaje 3 4 3 3 3 2 2 2" xfId="37836" xr:uid="{00000000-0005-0000-0000-0000AA890000}"/>
    <cellStyle name="Porcentaje 3 4 3 3 3 2 3" xfId="27979" xr:uid="{00000000-0005-0000-0000-0000AB890000}"/>
    <cellStyle name="Porcentaje 3 4 3 3 3 3" xfId="13193" xr:uid="{00000000-0005-0000-0000-0000AC890000}"/>
    <cellStyle name="Porcentaje 3 4 3 3 3 3 2" xfId="32908" xr:uid="{00000000-0005-0000-0000-0000AD890000}"/>
    <cellStyle name="Porcentaje 3 4 3 3 3 4" xfId="23051" xr:uid="{00000000-0005-0000-0000-0000AE890000}"/>
    <cellStyle name="Porcentaje 3 4 3 3 4" xfId="5797" xr:uid="{00000000-0005-0000-0000-0000AF890000}"/>
    <cellStyle name="Porcentaje 3 4 3 3 4 2" xfId="15657" xr:uid="{00000000-0005-0000-0000-0000B0890000}"/>
    <cellStyle name="Porcentaje 3 4 3 3 4 2 2" xfId="35372" xr:uid="{00000000-0005-0000-0000-0000B1890000}"/>
    <cellStyle name="Porcentaje 3 4 3 3 4 3" xfId="25515" xr:uid="{00000000-0005-0000-0000-0000B2890000}"/>
    <cellStyle name="Porcentaje 3 4 3 3 5" xfId="10729" xr:uid="{00000000-0005-0000-0000-0000B3890000}"/>
    <cellStyle name="Porcentaje 3 4 3 3 5 2" xfId="30444" xr:uid="{00000000-0005-0000-0000-0000B4890000}"/>
    <cellStyle name="Porcentaje 3 4 3 3 6" xfId="20587" xr:uid="{00000000-0005-0000-0000-0000B5890000}"/>
    <cellStyle name="Porcentaje 3 4 3 4" xfId="1478" xr:uid="{00000000-0005-0000-0000-0000B6890000}"/>
    <cellStyle name="Porcentaje 3 4 3 4 2" xfId="3945" xr:uid="{00000000-0005-0000-0000-0000B7890000}"/>
    <cellStyle name="Porcentaje 3 4 3 4 2 2" xfId="8877" xr:uid="{00000000-0005-0000-0000-0000B8890000}"/>
    <cellStyle name="Porcentaje 3 4 3 4 2 2 2" xfId="18737" xr:uid="{00000000-0005-0000-0000-0000B9890000}"/>
    <cellStyle name="Porcentaje 3 4 3 4 2 2 2 2" xfId="38452" xr:uid="{00000000-0005-0000-0000-0000BA890000}"/>
    <cellStyle name="Porcentaje 3 4 3 4 2 2 3" xfId="28595" xr:uid="{00000000-0005-0000-0000-0000BB890000}"/>
    <cellStyle name="Porcentaje 3 4 3 4 2 3" xfId="13809" xr:uid="{00000000-0005-0000-0000-0000BC890000}"/>
    <cellStyle name="Porcentaje 3 4 3 4 2 3 2" xfId="33524" xr:uid="{00000000-0005-0000-0000-0000BD890000}"/>
    <cellStyle name="Porcentaje 3 4 3 4 2 4" xfId="23667" xr:uid="{00000000-0005-0000-0000-0000BE890000}"/>
    <cellStyle name="Porcentaje 3 4 3 4 3" xfId="6413" xr:uid="{00000000-0005-0000-0000-0000BF890000}"/>
    <cellStyle name="Porcentaje 3 4 3 4 3 2" xfId="16273" xr:uid="{00000000-0005-0000-0000-0000C0890000}"/>
    <cellStyle name="Porcentaje 3 4 3 4 3 2 2" xfId="35988" xr:uid="{00000000-0005-0000-0000-0000C1890000}"/>
    <cellStyle name="Porcentaje 3 4 3 4 3 3" xfId="26131" xr:uid="{00000000-0005-0000-0000-0000C2890000}"/>
    <cellStyle name="Porcentaje 3 4 3 4 4" xfId="11345" xr:uid="{00000000-0005-0000-0000-0000C3890000}"/>
    <cellStyle name="Porcentaje 3 4 3 4 4 2" xfId="31060" xr:uid="{00000000-0005-0000-0000-0000C4890000}"/>
    <cellStyle name="Porcentaje 3 4 3 4 5" xfId="21203" xr:uid="{00000000-0005-0000-0000-0000C5890000}"/>
    <cellStyle name="Porcentaje 3 4 3 5" xfId="2713" xr:uid="{00000000-0005-0000-0000-0000C6890000}"/>
    <cellStyle name="Porcentaje 3 4 3 5 2" xfId="7645" xr:uid="{00000000-0005-0000-0000-0000C7890000}"/>
    <cellStyle name="Porcentaje 3 4 3 5 2 2" xfId="17505" xr:uid="{00000000-0005-0000-0000-0000C8890000}"/>
    <cellStyle name="Porcentaje 3 4 3 5 2 2 2" xfId="37220" xr:uid="{00000000-0005-0000-0000-0000C9890000}"/>
    <cellStyle name="Porcentaje 3 4 3 5 2 3" xfId="27363" xr:uid="{00000000-0005-0000-0000-0000CA890000}"/>
    <cellStyle name="Porcentaje 3 4 3 5 3" xfId="12577" xr:uid="{00000000-0005-0000-0000-0000CB890000}"/>
    <cellStyle name="Porcentaje 3 4 3 5 3 2" xfId="32292" xr:uid="{00000000-0005-0000-0000-0000CC890000}"/>
    <cellStyle name="Porcentaje 3 4 3 5 4" xfId="22435" xr:uid="{00000000-0005-0000-0000-0000CD890000}"/>
    <cellStyle name="Porcentaje 3 4 3 6" xfId="5181" xr:uid="{00000000-0005-0000-0000-0000CE890000}"/>
    <cellStyle name="Porcentaje 3 4 3 6 2" xfId="15041" xr:uid="{00000000-0005-0000-0000-0000CF890000}"/>
    <cellStyle name="Porcentaje 3 4 3 6 2 2" xfId="34756" xr:uid="{00000000-0005-0000-0000-0000D0890000}"/>
    <cellStyle name="Porcentaje 3 4 3 6 3" xfId="24899" xr:uid="{00000000-0005-0000-0000-0000D1890000}"/>
    <cellStyle name="Porcentaje 3 4 3 7" xfId="10113" xr:uid="{00000000-0005-0000-0000-0000D2890000}"/>
    <cellStyle name="Porcentaje 3 4 3 7 2" xfId="29828" xr:uid="{00000000-0005-0000-0000-0000D3890000}"/>
    <cellStyle name="Porcentaje 3 4 3 8" xfId="19971" xr:uid="{00000000-0005-0000-0000-0000D4890000}"/>
    <cellStyle name="Porcentaje 3 4 4" xfId="393" xr:uid="{00000000-0005-0000-0000-0000D5890000}"/>
    <cellStyle name="Porcentaje 3 4 4 2" xfId="1013" xr:uid="{00000000-0005-0000-0000-0000D6890000}"/>
    <cellStyle name="Porcentaje 3 4 4 2 2" xfId="2248" xr:uid="{00000000-0005-0000-0000-0000D7890000}"/>
    <cellStyle name="Porcentaje 3 4 4 2 2 2" xfId="4715" xr:uid="{00000000-0005-0000-0000-0000D8890000}"/>
    <cellStyle name="Porcentaje 3 4 4 2 2 2 2" xfId="9647" xr:uid="{00000000-0005-0000-0000-0000D9890000}"/>
    <cellStyle name="Porcentaje 3 4 4 2 2 2 2 2" xfId="19507" xr:uid="{00000000-0005-0000-0000-0000DA890000}"/>
    <cellStyle name="Porcentaje 3 4 4 2 2 2 2 2 2" xfId="39222" xr:uid="{00000000-0005-0000-0000-0000DB890000}"/>
    <cellStyle name="Porcentaje 3 4 4 2 2 2 2 3" xfId="29365" xr:uid="{00000000-0005-0000-0000-0000DC890000}"/>
    <cellStyle name="Porcentaje 3 4 4 2 2 2 3" xfId="14579" xr:uid="{00000000-0005-0000-0000-0000DD890000}"/>
    <cellStyle name="Porcentaje 3 4 4 2 2 2 3 2" xfId="34294" xr:uid="{00000000-0005-0000-0000-0000DE890000}"/>
    <cellStyle name="Porcentaje 3 4 4 2 2 2 4" xfId="24437" xr:uid="{00000000-0005-0000-0000-0000DF890000}"/>
    <cellStyle name="Porcentaje 3 4 4 2 2 3" xfId="7183" xr:uid="{00000000-0005-0000-0000-0000E0890000}"/>
    <cellStyle name="Porcentaje 3 4 4 2 2 3 2" xfId="17043" xr:uid="{00000000-0005-0000-0000-0000E1890000}"/>
    <cellStyle name="Porcentaje 3 4 4 2 2 3 2 2" xfId="36758" xr:uid="{00000000-0005-0000-0000-0000E2890000}"/>
    <cellStyle name="Porcentaje 3 4 4 2 2 3 3" xfId="26901" xr:uid="{00000000-0005-0000-0000-0000E3890000}"/>
    <cellStyle name="Porcentaje 3 4 4 2 2 4" xfId="12115" xr:uid="{00000000-0005-0000-0000-0000E4890000}"/>
    <cellStyle name="Porcentaje 3 4 4 2 2 4 2" xfId="31830" xr:uid="{00000000-0005-0000-0000-0000E5890000}"/>
    <cellStyle name="Porcentaje 3 4 4 2 2 5" xfId="21973" xr:uid="{00000000-0005-0000-0000-0000E6890000}"/>
    <cellStyle name="Porcentaje 3 4 4 2 3" xfId="3483" xr:uid="{00000000-0005-0000-0000-0000E7890000}"/>
    <cellStyle name="Porcentaje 3 4 4 2 3 2" xfId="8415" xr:uid="{00000000-0005-0000-0000-0000E8890000}"/>
    <cellStyle name="Porcentaje 3 4 4 2 3 2 2" xfId="18275" xr:uid="{00000000-0005-0000-0000-0000E9890000}"/>
    <cellStyle name="Porcentaje 3 4 4 2 3 2 2 2" xfId="37990" xr:uid="{00000000-0005-0000-0000-0000EA890000}"/>
    <cellStyle name="Porcentaje 3 4 4 2 3 2 3" xfId="28133" xr:uid="{00000000-0005-0000-0000-0000EB890000}"/>
    <cellStyle name="Porcentaje 3 4 4 2 3 3" xfId="13347" xr:uid="{00000000-0005-0000-0000-0000EC890000}"/>
    <cellStyle name="Porcentaje 3 4 4 2 3 3 2" xfId="33062" xr:uid="{00000000-0005-0000-0000-0000ED890000}"/>
    <cellStyle name="Porcentaje 3 4 4 2 3 4" xfId="23205" xr:uid="{00000000-0005-0000-0000-0000EE890000}"/>
    <cellStyle name="Porcentaje 3 4 4 2 4" xfId="5951" xr:uid="{00000000-0005-0000-0000-0000EF890000}"/>
    <cellStyle name="Porcentaje 3 4 4 2 4 2" xfId="15811" xr:uid="{00000000-0005-0000-0000-0000F0890000}"/>
    <cellStyle name="Porcentaje 3 4 4 2 4 2 2" xfId="35526" xr:uid="{00000000-0005-0000-0000-0000F1890000}"/>
    <cellStyle name="Porcentaje 3 4 4 2 4 3" xfId="25669" xr:uid="{00000000-0005-0000-0000-0000F2890000}"/>
    <cellStyle name="Porcentaje 3 4 4 2 5" xfId="10883" xr:uid="{00000000-0005-0000-0000-0000F3890000}"/>
    <cellStyle name="Porcentaje 3 4 4 2 5 2" xfId="30598" xr:uid="{00000000-0005-0000-0000-0000F4890000}"/>
    <cellStyle name="Porcentaje 3 4 4 2 6" xfId="20741" xr:uid="{00000000-0005-0000-0000-0000F5890000}"/>
    <cellStyle name="Porcentaje 3 4 4 3" xfId="1632" xr:uid="{00000000-0005-0000-0000-0000F6890000}"/>
    <cellStyle name="Porcentaje 3 4 4 3 2" xfId="4099" xr:uid="{00000000-0005-0000-0000-0000F7890000}"/>
    <cellStyle name="Porcentaje 3 4 4 3 2 2" xfId="9031" xr:uid="{00000000-0005-0000-0000-0000F8890000}"/>
    <cellStyle name="Porcentaje 3 4 4 3 2 2 2" xfId="18891" xr:uid="{00000000-0005-0000-0000-0000F9890000}"/>
    <cellStyle name="Porcentaje 3 4 4 3 2 2 2 2" xfId="38606" xr:uid="{00000000-0005-0000-0000-0000FA890000}"/>
    <cellStyle name="Porcentaje 3 4 4 3 2 2 3" xfId="28749" xr:uid="{00000000-0005-0000-0000-0000FB890000}"/>
    <cellStyle name="Porcentaje 3 4 4 3 2 3" xfId="13963" xr:uid="{00000000-0005-0000-0000-0000FC890000}"/>
    <cellStyle name="Porcentaje 3 4 4 3 2 3 2" xfId="33678" xr:uid="{00000000-0005-0000-0000-0000FD890000}"/>
    <cellStyle name="Porcentaje 3 4 4 3 2 4" xfId="23821" xr:uid="{00000000-0005-0000-0000-0000FE890000}"/>
    <cellStyle name="Porcentaje 3 4 4 3 3" xfId="6567" xr:uid="{00000000-0005-0000-0000-0000FF890000}"/>
    <cellStyle name="Porcentaje 3 4 4 3 3 2" xfId="16427" xr:uid="{00000000-0005-0000-0000-0000008A0000}"/>
    <cellStyle name="Porcentaje 3 4 4 3 3 2 2" xfId="36142" xr:uid="{00000000-0005-0000-0000-0000018A0000}"/>
    <cellStyle name="Porcentaje 3 4 4 3 3 3" xfId="26285" xr:uid="{00000000-0005-0000-0000-0000028A0000}"/>
    <cellStyle name="Porcentaje 3 4 4 3 4" xfId="11499" xr:uid="{00000000-0005-0000-0000-0000038A0000}"/>
    <cellStyle name="Porcentaje 3 4 4 3 4 2" xfId="31214" xr:uid="{00000000-0005-0000-0000-0000048A0000}"/>
    <cellStyle name="Porcentaje 3 4 4 3 5" xfId="21357" xr:uid="{00000000-0005-0000-0000-0000058A0000}"/>
    <cellStyle name="Porcentaje 3 4 4 4" xfId="2867" xr:uid="{00000000-0005-0000-0000-0000068A0000}"/>
    <cellStyle name="Porcentaje 3 4 4 4 2" xfId="7799" xr:uid="{00000000-0005-0000-0000-0000078A0000}"/>
    <cellStyle name="Porcentaje 3 4 4 4 2 2" xfId="17659" xr:uid="{00000000-0005-0000-0000-0000088A0000}"/>
    <cellStyle name="Porcentaje 3 4 4 4 2 2 2" xfId="37374" xr:uid="{00000000-0005-0000-0000-0000098A0000}"/>
    <cellStyle name="Porcentaje 3 4 4 4 2 3" xfId="27517" xr:uid="{00000000-0005-0000-0000-00000A8A0000}"/>
    <cellStyle name="Porcentaje 3 4 4 4 3" xfId="12731" xr:uid="{00000000-0005-0000-0000-00000B8A0000}"/>
    <cellStyle name="Porcentaje 3 4 4 4 3 2" xfId="32446" xr:uid="{00000000-0005-0000-0000-00000C8A0000}"/>
    <cellStyle name="Porcentaje 3 4 4 4 4" xfId="22589" xr:uid="{00000000-0005-0000-0000-00000D8A0000}"/>
    <cellStyle name="Porcentaje 3 4 4 5" xfId="5335" xr:uid="{00000000-0005-0000-0000-00000E8A0000}"/>
    <cellStyle name="Porcentaje 3 4 4 5 2" xfId="15195" xr:uid="{00000000-0005-0000-0000-00000F8A0000}"/>
    <cellStyle name="Porcentaje 3 4 4 5 2 2" xfId="34910" xr:uid="{00000000-0005-0000-0000-0000108A0000}"/>
    <cellStyle name="Porcentaje 3 4 4 5 3" xfId="25053" xr:uid="{00000000-0005-0000-0000-0000118A0000}"/>
    <cellStyle name="Porcentaje 3 4 4 6" xfId="10267" xr:uid="{00000000-0005-0000-0000-0000128A0000}"/>
    <cellStyle name="Porcentaje 3 4 4 6 2" xfId="29982" xr:uid="{00000000-0005-0000-0000-0000138A0000}"/>
    <cellStyle name="Porcentaje 3 4 4 7" xfId="20125" xr:uid="{00000000-0005-0000-0000-0000148A0000}"/>
    <cellStyle name="Porcentaje 3 4 5" xfId="706" xr:uid="{00000000-0005-0000-0000-0000158A0000}"/>
    <cellStyle name="Porcentaje 3 4 5 2" xfId="1942" xr:uid="{00000000-0005-0000-0000-0000168A0000}"/>
    <cellStyle name="Porcentaje 3 4 5 2 2" xfId="4409" xr:uid="{00000000-0005-0000-0000-0000178A0000}"/>
    <cellStyle name="Porcentaje 3 4 5 2 2 2" xfId="9341" xr:uid="{00000000-0005-0000-0000-0000188A0000}"/>
    <cellStyle name="Porcentaje 3 4 5 2 2 2 2" xfId="19201" xr:uid="{00000000-0005-0000-0000-0000198A0000}"/>
    <cellStyle name="Porcentaje 3 4 5 2 2 2 2 2" xfId="38916" xr:uid="{00000000-0005-0000-0000-00001A8A0000}"/>
    <cellStyle name="Porcentaje 3 4 5 2 2 2 3" xfId="29059" xr:uid="{00000000-0005-0000-0000-00001B8A0000}"/>
    <cellStyle name="Porcentaje 3 4 5 2 2 3" xfId="14273" xr:uid="{00000000-0005-0000-0000-00001C8A0000}"/>
    <cellStyle name="Porcentaje 3 4 5 2 2 3 2" xfId="33988" xr:uid="{00000000-0005-0000-0000-00001D8A0000}"/>
    <cellStyle name="Porcentaje 3 4 5 2 2 4" xfId="24131" xr:uid="{00000000-0005-0000-0000-00001E8A0000}"/>
    <cellStyle name="Porcentaje 3 4 5 2 3" xfId="6877" xr:uid="{00000000-0005-0000-0000-00001F8A0000}"/>
    <cellStyle name="Porcentaje 3 4 5 2 3 2" xfId="16737" xr:uid="{00000000-0005-0000-0000-0000208A0000}"/>
    <cellStyle name="Porcentaje 3 4 5 2 3 2 2" xfId="36452" xr:uid="{00000000-0005-0000-0000-0000218A0000}"/>
    <cellStyle name="Porcentaje 3 4 5 2 3 3" xfId="26595" xr:uid="{00000000-0005-0000-0000-0000228A0000}"/>
    <cellStyle name="Porcentaje 3 4 5 2 4" xfId="11809" xr:uid="{00000000-0005-0000-0000-0000238A0000}"/>
    <cellStyle name="Porcentaje 3 4 5 2 4 2" xfId="31524" xr:uid="{00000000-0005-0000-0000-0000248A0000}"/>
    <cellStyle name="Porcentaje 3 4 5 2 5" xfId="21667" xr:uid="{00000000-0005-0000-0000-0000258A0000}"/>
    <cellStyle name="Porcentaje 3 4 5 3" xfId="3177" xr:uid="{00000000-0005-0000-0000-0000268A0000}"/>
    <cellStyle name="Porcentaje 3 4 5 3 2" xfId="8109" xr:uid="{00000000-0005-0000-0000-0000278A0000}"/>
    <cellStyle name="Porcentaje 3 4 5 3 2 2" xfId="17969" xr:uid="{00000000-0005-0000-0000-0000288A0000}"/>
    <cellStyle name="Porcentaje 3 4 5 3 2 2 2" xfId="37684" xr:uid="{00000000-0005-0000-0000-0000298A0000}"/>
    <cellStyle name="Porcentaje 3 4 5 3 2 3" xfId="27827" xr:uid="{00000000-0005-0000-0000-00002A8A0000}"/>
    <cellStyle name="Porcentaje 3 4 5 3 3" xfId="13041" xr:uid="{00000000-0005-0000-0000-00002B8A0000}"/>
    <cellStyle name="Porcentaje 3 4 5 3 3 2" xfId="32756" xr:uid="{00000000-0005-0000-0000-00002C8A0000}"/>
    <cellStyle name="Porcentaje 3 4 5 3 4" xfId="22899" xr:uid="{00000000-0005-0000-0000-00002D8A0000}"/>
    <cellStyle name="Porcentaje 3 4 5 4" xfId="5645" xr:uid="{00000000-0005-0000-0000-00002E8A0000}"/>
    <cellStyle name="Porcentaje 3 4 5 4 2" xfId="15505" xr:uid="{00000000-0005-0000-0000-00002F8A0000}"/>
    <cellStyle name="Porcentaje 3 4 5 4 2 2" xfId="35220" xr:uid="{00000000-0005-0000-0000-0000308A0000}"/>
    <cellStyle name="Porcentaje 3 4 5 4 3" xfId="25363" xr:uid="{00000000-0005-0000-0000-0000318A0000}"/>
    <cellStyle name="Porcentaje 3 4 5 5" xfId="10577" xr:uid="{00000000-0005-0000-0000-0000328A0000}"/>
    <cellStyle name="Porcentaje 3 4 5 5 2" xfId="30292" xr:uid="{00000000-0005-0000-0000-0000338A0000}"/>
    <cellStyle name="Porcentaje 3 4 5 6" xfId="20435" xr:uid="{00000000-0005-0000-0000-0000348A0000}"/>
    <cellStyle name="Porcentaje 3 4 6" xfId="1326" xr:uid="{00000000-0005-0000-0000-0000358A0000}"/>
    <cellStyle name="Porcentaje 3 4 6 2" xfId="3793" xr:uid="{00000000-0005-0000-0000-0000368A0000}"/>
    <cellStyle name="Porcentaje 3 4 6 2 2" xfId="8725" xr:uid="{00000000-0005-0000-0000-0000378A0000}"/>
    <cellStyle name="Porcentaje 3 4 6 2 2 2" xfId="18585" xr:uid="{00000000-0005-0000-0000-0000388A0000}"/>
    <cellStyle name="Porcentaje 3 4 6 2 2 2 2" xfId="38300" xr:uid="{00000000-0005-0000-0000-0000398A0000}"/>
    <cellStyle name="Porcentaje 3 4 6 2 2 3" xfId="28443" xr:uid="{00000000-0005-0000-0000-00003A8A0000}"/>
    <cellStyle name="Porcentaje 3 4 6 2 3" xfId="13657" xr:uid="{00000000-0005-0000-0000-00003B8A0000}"/>
    <cellStyle name="Porcentaje 3 4 6 2 3 2" xfId="33372" xr:uid="{00000000-0005-0000-0000-00003C8A0000}"/>
    <cellStyle name="Porcentaje 3 4 6 2 4" xfId="23515" xr:uid="{00000000-0005-0000-0000-00003D8A0000}"/>
    <cellStyle name="Porcentaje 3 4 6 3" xfId="6261" xr:uid="{00000000-0005-0000-0000-00003E8A0000}"/>
    <cellStyle name="Porcentaje 3 4 6 3 2" xfId="16121" xr:uid="{00000000-0005-0000-0000-00003F8A0000}"/>
    <cellStyle name="Porcentaje 3 4 6 3 2 2" xfId="35836" xr:uid="{00000000-0005-0000-0000-0000408A0000}"/>
    <cellStyle name="Porcentaje 3 4 6 3 3" xfId="25979" xr:uid="{00000000-0005-0000-0000-0000418A0000}"/>
    <cellStyle name="Porcentaje 3 4 6 4" xfId="11193" xr:uid="{00000000-0005-0000-0000-0000428A0000}"/>
    <cellStyle name="Porcentaje 3 4 6 4 2" xfId="30908" xr:uid="{00000000-0005-0000-0000-0000438A0000}"/>
    <cellStyle name="Porcentaje 3 4 6 5" xfId="21051" xr:uid="{00000000-0005-0000-0000-0000448A0000}"/>
    <cellStyle name="Porcentaje 3 4 7" xfId="2561" xr:uid="{00000000-0005-0000-0000-0000458A0000}"/>
    <cellStyle name="Porcentaje 3 4 7 2" xfId="7493" xr:uid="{00000000-0005-0000-0000-0000468A0000}"/>
    <cellStyle name="Porcentaje 3 4 7 2 2" xfId="17353" xr:uid="{00000000-0005-0000-0000-0000478A0000}"/>
    <cellStyle name="Porcentaje 3 4 7 2 2 2" xfId="37068" xr:uid="{00000000-0005-0000-0000-0000488A0000}"/>
    <cellStyle name="Porcentaje 3 4 7 2 3" xfId="27211" xr:uid="{00000000-0005-0000-0000-0000498A0000}"/>
    <cellStyle name="Porcentaje 3 4 7 3" xfId="12425" xr:uid="{00000000-0005-0000-0000-00004A8A0000}"/>
    <cellStyle name="Porcentaje 3 4 7 3 2" xfId="32140" xr:uid="{00000000-0005-0000-0000-00004B8A0000}"/>
    <cellStyle name="Porcentaje 3 4 7 4" xfId="22283" xr:uid="{00000000-0005-0000-0000-00004C8A0000}"/>
    <cellStyle name="Porcentaje 3 4 8" xfId="5029" xr:uid="{00000000-0005-0000-0000-00004D8A0000}"/>
    <cellStyle name="Porcentaje 3 4 8 2" xfId="14889" xr:uid="{00000000-0005-0000-0000-00004E8A0000}"/>
    <cellStyle name="Porcentaje 3 4 8 2 2" xfId="34604" xr:uid="{00000000-0005-0000-0000-00004F8A0000}"/>
    <cellStyle name="Porcentaje 3 4 8 3" xfId="24747" xr:uid="{00000000-0005-0000-0000-0000508A0000}"/>
    <cellStyle name="Porcentaje 3 4 9" xfId="9961" xr:uid="{00000000-0005-0000-0000-0000518A0000}"/>
    <cellStyle name="Porcentaje 3 4 9 2" xfId="29676" xr:uid="{00000000-0005-0000-0000-0000528A0000}"/>
    <cellStyle name="Porcentaje 3 5" xfId="112" xr:uid="{00000000-0005-0000-0000-0000538A0000}"/>
    <cellStyle name="Porcentaje 3 5 2" xfId="269" xr:uid="{00000000-0005-0000-0000-0000548A0000}"/>
    <cellStyle name="Porcentaje 3 5 2 2" xfId="583" xr:uid="{00000000-0005-0000-0000-0000558A0000}"/>
    <cellStyle name="Porcentaje 3 5 2 2 2" xfId="1203" xr:uid="{00000000-0005-0000-0000-0000568A0000}"/>
    <cellStyle name="Porcentaje 3 5 2 2 2 2" xfId="2438" xr:uid="{00000000-0005-0000-0000-0000578A0000}"/>
    <cellStyle name="Porcentaje 3 5 2 2 2 2 2" xfId="4905" xr:uid="{00000000-0005-0000-0000-0000588A0000}"/>
    <cellStyle name="Porcentaje 3 5 2 2 2 2 2 2" xfId="9837" xr:uid="{00000000-0005-0000-0000-0000598A0000}"/>
    <cellStyle name="Porcentaje 3 5 2 2 2 2 2 2 2" xfId="19697" xr:uid="{00000000-0005-0000-0000-00005A8A0000}"/>
    <cellStyle name="Porcentaje 3 5 2 2 2 2 2 2 2 2" xfId="39412" xr:uid="{00000000-0005-0000-0000-00005B8A0000}"/>
    <cellStyle name="Porcentaje 3 5 2 2 2 2 2 2 3" xfId="29555" xr:uid="{00000000-0005-0000-0000-00005C8A0000}"/>
    <cellStyle name="Porcentaje 3 5 2 2 2 2 2 3" xfId="14769" xr:uid="{00000000-0005-0000-0000-00005D8A0000}"/>
    <cellStyle name="Porcentaje 3 5 2 2 2 2 2 3 2" xfId="34484" xr:uid="{00000000-0005-0000-0000-00005E8A0000}"/>
    <cellStyle name="Porcentaje 3 5 2 2 2 2 2 4" xfId="24627" xr:uid="{00000000-0005-0000-0000-00005F8A0000}"/>
    <cellStyle name="Porcentaje 3 5 2 2 2 2 3" xfId="7373" xr:uid="{00000000-0005-0000-0000-0000608A0000}"/>
    <cellStyle name="Porcentaje 3 5 2 2 2 2 3 2" xfId="17233" xr:uid="{00000000-0005-0000-0000-0000618A0000}"/>
    <cellStyle name="Porcentaje 3 5 2 2 2 2 3 2 2" xfId="36948" xr:uid="{00000000-0005-0000-0000-0000628A0000}"/>
    <cellStyle name="Porcentaje 3 5 2 2 2 2 3 3" xfId="27091" xr:uid="{00000000-0005-0000-0000-0000638A0000}"/>
    <cellStyle name="Porcentaje 3 5 2 2 2 2 4" xfId="12305" xr:uid="{00000000-0005-0000-0000-0000648A0000}"/>
    <cellStyle name="Porcentaje 3 5 2 2 2 2 4 2" xfId="32020" xr:uid="{00000000-0005-0000-0000-0000658A0000}"/>
    <cellStyle name="Porcentaje 3 5 2 2 2 2 5" xfId="22163" xr:uid="{00000000-0005-0000-0000-0000668A0000}"/>
    <cellStyle name="Porcentaje 3 5 2 2 2 3" xfId="3673" xr:uid="{00000000-0005-0000-0000-0000678A0000}"/>
    <cellStyle name="Porcentaje 3 5 2 2 2 3 2" xfId="8605" xr:uid="{00000000-0005-0000-0000-0000688A0000}"/>
    <cellStyle name="Porcentaje 3 5 2 2 2 3 2 2" xfId="18465" xr:uid="{00000000-0005-0000-0000-0000698A0000}"/>
    <cellStyle name="Porcentaje 3 5 2 2 2 3 2 2 2" xfId="38180" xr:uid="{00000000-0005-0000-0000-00006A8A0000}"/>
    <cellStyle name="Porcentaje 3 5 2 2 2 3 2 3" xfId="28323" xr:uid="{00000000-0005-0000-0000-00006B8A0000}"/>
    <cellStyle name="Porcentaje 3 5 2 2 2 3 3" xfId="13537" xr:uid="{00000000-0005-0000-0000-00006C8A0000}"/>
    <cellStyle name="Porcentaje 3 5 2 2 2 3 3 2" xfId="33252" xr:uid="{00000000-0005-0000-0000-00006D8A0000}"/>
    <cellStyle name="Porcentaje 3 5 2 2 2 3 4" xfId="23395" xr:uid="{00000000-0005-0000-0000-00006E8A0000}"/>
    <cellStyle name="Porcentaje 3 5 2 2 2 4" xfId="6141" xr:uid="{00000000-0005-0000-0000-00006F8A0000}"/>
    <cellStyle name="Porcentaje 3 5 2 2 2 4 2" xfId="16001" xr:uid="{00000000-0005-0000-0000-0000708A0000}"/>
    <cellStyle name="Porcentaje 3 5 2 2 2 4 2 2" xfId="35716" xr:uid="{00000000-0005-0000-0000-0000718A0000}"/>
    <cellStyle name="Porcentaje 3 5 2 2 2 4 3" xfId="25859" xr:uid="{00000000-0005-0000-0000-0000728A0000}"/>
    <cellStyle name="Porcentaje 3 5 2 2 2 5" xfId="11073" xr:uid="{00000000-0005-0000-0000-0000738A0000}"/>
    <cellStyle name="Porcentaje 3 5 2 2 2 5 2" xfId="30788" xr:uid="{00000000-0005-0000-0000-0000748A0000}"/>
    <cellStyle name="Porcentaje 3 5 2 2 2 6" xfId="20931" xr:uid="{00000000-0005-0000-0000-0000758A0000}"/>
    <cellStyle name="Porcentaje 3 5 2 2 3" xfId="1822" xr:uid="{00000000-0005-0000-0000-0000768A0000}"/>
    <cellStyle name="Porcentaje 3 5 2 2 3 2" xfId="4289" xr:uid="{00000000-0005-0000-0000-0000778A0000}"/>
    <cellStyle name="Porcentaje 3 5 2 2 3 2 2" xfId="9221" xr:uid="{00000000-0005-0000-0000-0000788A0000}"/>
    <cellStyle name="Porcentaje 3 5 2 2 3 2 2 2" xfId="19081" xr:uid="{00000000-0005-0000-0000-0000798A0000}"/>
    <cellStyle name="Porcentaje 3 5 2 2 3 2 2 2 2" xfId="38796" xr:uid="{00000000-0005-0000-0000-00007A8A0000}"/>
    <cellStyle name="Porcentaje 3 5 2 2 3 2 2 3" xfId="28939" xr:uid="{00000000-0005-0000-0000-00007B8A0000}"/>
    <cellStyle name="Porcentaje 3 5 2 2 3 2 3" xfId="14153" xr:uid="{00000000-0005-0000-0000-00007C8A0000}"/>
    <cellStyle name="Porcentaje 3 5 2 2 3 2 3 2" xfId="33868" xr:uid="{00000000-0005-0000-0000-00007D8A0000}"/>
    <cellStyle name="Porcentaje 3 5 2 2 3 2 4" xfId="24011" xr:uid="{00000000-0005-0000-0000-00007E8A0000}"/>
    <cellStyle name="Porcentaje 3 5 2 2 3 3" xfId="6757" xr:uid="{00000000-0005-0000-0000-00007F8A0000}"/>
    <cellStyle name="Porcentaje 3 5 2 2 3 3 2" xfId="16617" xr:uid="{00000000-0005-0000-0000-0000808A0000}"/>
    <cellStyle name="Porcentaje 3 5 2 2 3 3 2 2" xfId="36332" xr:uid="{00000000-0005-0000-0000-0000818A0000}"/>
    <cellStyle name="Porcentaje 3 5 2 2 3 3 3" xfId="26475" xr:uid="{00000000-0005-0000-0000-0000828A0000}"/>
    <cellStyle name="Porcentaje 3 5 2 2 3 4" xfId="11689" xr:uid="{00000000-0005-0000-0000-0000838A0000}"/>
    <cellStyle name="Porcentaje 3 5 2 2 3 4 2" xfId="31404" xr:uid="{00000000-0005-0000-0000-0000848A0000}"/>
    <cellStyle name="Porcentaje 3 5 2 2 3 5" xfId="21547" xr:uid="{00000000-0005-0000-0000-0000858A0000}"/>
    <cellStyle name="Porcentaje 3 5 2 2 4" xfId="3057" xr:uid="{00000000-0005-0000-0000-0000868A0000}"/>
    <cellStyle name="Porcentaje 3 5 2 2 4 2" xfId="7989" xr:uid="{00000000-0005-0000-0000-0000878A0000}"/>
    <cellStyle name="Porcentaje 3 5 2 2 4 2 2" xfId="17849" xr:uid="{00000000-0005-0000-0000-0000888A0000}"/>
    <cellStyle name="Porcentaje 3 5 2 2 4 2 2 2" xfId="37564" xr:uid="{00000000-0005-0000-0000-0000898A0000}"/>
    <cellStyle name="Porcentaje 3 5 2 2 4 2 3" xfId="27707" xr:uid="{00000000-0005-0000-0000-00008A8A0000}"/>
    <cellStyle name="Porcentaje 3 5 2 2 4 3" xfId="12921" xr:uid="{00000000-0005-0000-0000-00008B8A0000}"/>
    <cellStyle name="Porcentaje 3 5 2 2 4 3 2" xfId="32636" xr:uid="{00000000-0005-0000-0000-00008C8A0000}"/>
    <cellStyle name="Porcentaje 3 5 2 2 4 4" xfId="22779" xr:uid="{00000000-0005-0000-0000-00008D8A0000}"/>
    <cellStyle name="Porcentaje 3 5 2 2 5" xfId="5525" xr:uid="{00000000-0005-0000-0000-00008E8A0000}"/>
    <cellStyle name="Porcentaje 3 5 2 2 5 2" xfId="15385" xr:uid="{00000000-0005-0000-0000-00008F8A0000}"/>
    <cellStyle name="Porcentaje 3 5 2 2 5 2 2" xfId="35100" xr:uid="{00000000-0005-0000-0000-0000908A0000}"/>
    <cellStyle name="Porcentaje 3 5 2 2 5 3" xfId="25243" xr:uid="{00000000-0005-0000-0000-0000918A0000}"/>
    <cellStyle name="Porcentaje 3 5 2 2 6" xfId="10457" xr:uid="{00000000-0005-0000-0000-0000928A0000}"/>
    <cellStyle name="Porcentaje 3 5 2 2 6 2" xfId="30172" xr:uid="{00000000-0005-0000-0000-0000938A0000}"/>
    <cellStyle name="Porcentaje 3 5 2 2 7" xfId="20315" xr:uid="{00000000-0005-0000-0000-0000948A0000}"/>
    <cellStyle name="Porcentaje 3 5 2 3" xfId="896" xr:uid="{00000000-0005-0000-0000-0000958A0000}"/>
    <cellStyle name="Porcentaje 3 5 2 3 2" xfId="2132" xr:uid="{00000000-0005-0000-0000-0000968A0000}"/>
    <cellStyle name="Porcentaje 3 5 2 3 2 2" xfId="4599" xr:uid="{00000000-0005-0000-0000-0000978A0000}"/>
    <cellStyle name="Porcentaje 3 5 2 3 2 2 2" xfId="9531" xr:uid="{00000000-0005-0000-0000-0000988A0000}"/>
    <cellStyle name="Porcentaje 3 5 2 3 2 2 2 2" xfId="19391" xr:uid="{00000000-0005-0000-0000-0000998A0000}"/>
    <cellStyle name="Porcentaje 3 5 2 3 2 2 2 2 2" xfId="39106" xr:uid="{00000000-0005-0000-0000-00009A8A0000}"/>
    <cellStyle name="Porcentaje 3 5 2 3 2 2 2 3" xfId="29249" xr:uid="{00000000-0005-0000-0000-00009B8A0000}"/>
    <cellStyle name="Porcentaje 3 5 2 3 2 2 3" xfId="14463" xr:uid="{00000000-0005-0000-0000-00009C8A0000}"/>
    <cellStyle name="Porcentaje 3 5 2 3 2 2 3 2" xfId="34178" xr:uid="{00000000-0005-0000-0000-00009D8A0000}"/>
    <cellStyle name="Porcentaje 3 5 2 3 2 2 4" xfId="24321" xr:uid="{00000000-0005-0000-0000-00009E8A0000}"/>
    <cellStyle name="Porcentaje 3 5 2 3 2 3" xfId="7067" xr:uid="{00000000-0005-0000-0000-00009F8A0000}"/>
    <cellStyle name="Porcentaje 3 5 2 3 2 3 2" xfId="16927" xr:uid="{00000000-0005-0000-0000-0000A08A0000}"/>
    <cellStyle name="Porcentaje 3 5 2 3 2 3 2 2" xfId="36642" xr:uid="{00000000-0005-0000-0000-0000A18A0000}"/>
    <cellStyle name="Porcentaje 3 5 2 3 2 3 3" xfId="26785" xr:uid="{00000000-0005-0000-0000-0000A28A0000}"/>
    <cellStyle name="Porcentaje 3 5 2 3 2 4" xfId="11999" xr:uid="{00000000-0005-0000-0000-0000A38A0000}"/>
    <cellStyle name="Porcentaje 3 5 2 3 2 4 2" xfId="31714" xr:uid="{00000000-0005-0000-0000-0000A48A0000}"/>
    <cellStyle name="Porcentaje 3 5 2 3 2 5" xfId="21857" xr:uid="{00000000-0005-0000-0000-0000A58A0000}"/>
    <cellStyle name="Porcentaje 3 5 2 3 3" xfId="3367" xr:uid="{00000000-0005-0000-0000-0000A68A0000}"/>
    <cellStyle name="Porcentaje 3 5 2 3 3 2" xfId="8299" xr:uid="{00000000-0005-0000-0000-0000A78A0000}"/>
    <cellStyle name="Porcentaje 3 5 2 3 3 2 2" xfId="18159" xr:uid="{00000000-0005-0000-0000-0000A88A0000}"/>
    <cellStyle name="Porcentaje 3 5 2 3 3 2 2 2" xfId="37874" xr:uid="{00000000-0005-0000-0000-0000A98A0000}"/>
    <cellStyle name="Porcentaje 3 5 2 3 3 2 3" xfId="28017" xr:uid="{00000000-0005-0000-0000-0000AA8A0000}"/>
    <cellStyle name="Porcentaje 3 5 2 3 3 3" xfId="13231" xr:uid="{00000000-0005-0000-0000-0000AB8A0000}"/>
    <cellStyle name="Porcentaje 3 5 2 3 3 3 2" xfId="32946" xr:uid="{00000000-0005-0000-0000-0000AC8A0000}"/>
    <cellStyle name="Porcentaje 3 5 2 3 3 4" xfId="23089" xr:uid="{00000000-0005-0000-0000-0000AD8A0000}"/>
    <cellStyle name="Porcentaje 3 5 2 3 4" xfId="5835" xr:uid="{00000000-0005-0000-0000-0000AE8A0000}"/>
    <cellStyle name="Porcentaje 3 5 2 3 4 2" xfId="15695" xr:uid="{00000000-0005-0000-0000-0000AF8A0000}"/>
    <cellStyle name="Porcentaje 3 5 2 3 4 2 2" xfId="35410" xr:uid="{00000000-0005-0000-0000-0000B08A0000}"/>
    <cellStyle name="Porcentaje 3 5 2 3 4 3" xfId="25553" xr:uid="{00000000-0005-0000-0000-0000B18A0000}"/>
    <cellStyle name="Porcentaje 3 5 2 3 5" xfId="10767" xr:uid="{00000000-0005-0000-0000-0000B28A0000}"/>
    <cellStyle name="Porcentaje 3 5 2 3 5 2" xfId="30482" xr:uid="{00000000-0005-0000-0000-0000B38A0000}"/>
    <cellStyle name="Porcentaje 3 5 2 3 6" xfId="20625" xr:uid="{00000000-0005-0000-0000-0000B48A0000}"/>
    <cellStyle name="Porcentaje 3 5 2 4" xfId="1516" xr:uid="{00000000-0005-0000-0000-0000B58A0000}"/>
    <cellStyle name="Porcentaje 3 5 2 4 2" xfId="3983" xr:uid="{00000000-0005-0000-0000-0000B68A0000}"/>
    <cellStyle name="Porcentaje 3 5 2 4 2 2" xfId="8915" xr:uid="{00000000-0005-0000-0000-0000B78A0000}"/>
    <cellStyle name="Porcentaje 3 5 2 4 2 2 2" xfId="18775" xr:uid="{00000000-0005-0000-0000-0000B88A0000}"/>
    <cellStyle name="Porcentaje 3 5 2 4 2 2 2 2" xfId="38490" xr:uid="{00000000-0005-0000-0000-0000B98A0000}"/>
    <cellStyle name="Porcentaje 3 5 2 4 2 2 3" xfId="28633" xr:uid="{00000000-0005-0000-0000-0000BA8A0000}"/>
    <cellStyle name="Porcentaje 3 5 2 4 2 3" xfId="13847" xr:uid="{00000000-0005-0000-0000-0000BB8A0000}"/>
    <cellStyle name="Porcentaje 3 5 2 4 2 3 2" xfId="33562" xr:uid="{00000000-0005-0000-0000-0000BC8A0000}"/>
    <cellStyle name="Porcentaje 3 5 2 4 2 4" xfId="23705" xr:uid="{00000000-0005-0000-0000-0000BD8A0000}"/>
    <cellStyle name="Porcentaje 3 5 2 4 3" xfId="6451" xr:uid="{00000000-0005-0000-0000-0000BE8A0000}"/>
    <cellStyle name="Porcentaje 3 5 2 4 3 2" xfId="16311" xr:uid="{00000000-0005-0000-0000-0000BF8A0000}"/>
    <cellStyle name="Porcentaje 3 5 2 4 3 2 2" xfId="36026" xr:uid="{00000000-0005-0000-0000-0000C08A0000}"/>
    <cellStyle name="Porcentaje 3 5 2 4 3 3" xfId="26169" xr:uid="{00000000-0005-0000-0000-0000C18A0000}"/>
    <cellStyle name="Porcentaje 3 5 2 4 4" xfId="11383" xr:uid="{00000000-0005-0000-0000-0000C28A0000}"/>
    <cellStyle name="Porcentaje 3 5 2 4 4 2" xfId="31098" xr:uid="{00000000-0005-0000-0000-0000C38A0000}"/>
    <cellStyle name="Porcentaje 3 5 2 4 5" xfId="21241" xr:uid="{00000000-0005-0000-0000-0000C48A0000}"/>
    <cellStyle name="Porcentaje 3 5 2 5" xfId="2751" xr:uid="{00000000-0005-0000-0000-0000C58A0000}"/>
    <cellStyle name="Porcentaje 3 5 2 5 2" xfId="7683" xr:uid="{00000000-0005-0000-0000-0000C68A0000}"/>
    <cellStyle name="Porcentaje 3 5 2 5 2 2" xfId="17543" xr:uid="{00000000-0005-0000-0000-0000C78A0000}"/>
    <cellStyle name="Porcentaje 3 5 2 5 2 2 2" xfId="37258" xr:uid="{00000000-0005-0000-0000-0000C88A0000}"/>
    <cellStyle name="Porcentaje 3 5 2 5 2 3" xfId="27401" xr:uid="{00000000-0005-0000-0000-0000C98A0000}"/>
    <cellStyle name="Porcentaje 3 5 2 5 3" xfId="12615" xr:uid="{00000000-0005-0000-0000-0000CA8A0000}"/>
    <cellStyle name="Porcentaje 3 5 2 5 3 2" xfId="32330" xr:uid="{00000000-0005-0000-0000-0000CB8A0000}"/>
    <cellStyle name="Porcentaje 3 5 2 5 4" xfId="22473" xr:uid="{00000000-0005-0000-0000-0000CC8A0000}"/>
    <cellStyle name="Porcentaje 3 5 2 6" xfId="5219" xr:uid="{00000000-0005-0000-0000-0000CD8A0000}"/>
    <cellStyle name="Porcentaje 3 5 2 6 2" xfId="15079" xr:uid="{00000000-0005-0000-0000-0000CE8A0000}"/>
    <cellStyle name="Porcentaje 3 5 2 6 2 2" xfId="34794" xr:uid="{00000000-0005-0000-0000-0000CF8A0000}"/>
    <cellStyle name="Porcentaje 3 5 2 6 3" xfId="24937" xr:uid="{00000000-0005-0000-0000-0000D08A0000}"/>
    <cellStyle name="Porcentaje 3 5 2 7" xfId="10151" xr:uid="{00000000-0005-0000-0000-0000D18A0000}"/>
    <cellStyle name="Porcentaje 3 5 2 7 2" xfId="29866" xr:uid="{00000000-0005-0000-0000-0000D28A0000}"/>
    <cellStyle name="Porcentaje 3 5 2 8" xfId="20009" xr:uid="{00000000-0005-0000-0000-0000D38A0000}"/>
    <cellStyle name="Porcentaje 3 5 3" xfId="431" xr:uid="{00000000-0005-0000-0000-0000D48A0000}"/>
    <cellStyle name="Porcentaje 3 5 3 2" xfId="1051" xr:uid="{00000000-0005-0000-0000-0000D58A0000}"/>
    <cellStyle name="Porcentaje 3 5 3 2 2" xfId="2286" xr:uid="{00000000-0005-0000-0000-0000D68A0000}"/>
    <cellStyle name="Porcentaje 3 5 3 2 2 2" xfId="4753" xr:uid="{00000000-0005-0000-0000-0000D78A0000}"/>
    <cellStyle name="Porcentaje 3 5 3 2 2 2 2" xfId="9685" xr:uid="{00000000-0005-0000-0000-0000D88A0000}"/>
    <cellStyle name="Porcentaje 3 5 3 2 2 2 2 2" xfId="19545" xr:uid="{00000000-0005-0000-0000-0000D98A0000}"/>
    <cellStyle name="Porcentaje 3 5 3 2 2 2 2 2 2" xfId="39260" xr:uid="{00000000-0005-0000-0000-0000DA8A0000}"/>
    <cellStyle name="Porcentaje 3 5 3 2 2 2 2 3" xfId="29403" xr:uid="{00000000-0005-0000-0000-0000DB8A0000}"/>
    <cellStyle name="Porcentaje 3 5 3 2 2 2 3" xfId="14617" xr:uid="{00000000-0005-0000-0000-0000DC8A0000}"/>
    <cellStyle name="Porcentaje 3 5 3 2 2 2 3 2" xfId="34332" xr:uid="{00000000-0005-0000-0000-0000DD8A0000}"/>
    <cellStyle name="Porcentaje 3 5 3 2 2 2 4" xfId="24475" xr:uid="{00000000-0005-0000-0000-0000DE8A0000}"/>
    <cellStyle name="Porcentaje 3 5 3 2 2 3" xfId="7221" xr:uid="{00000000-0005-0000-0000-0000DF8A0000}"/>
    <cellStyle name="Porcentaje 3 5 3 2 2 3 2" xfId="17081" xr:uid="{00000000-0005-0000-0000-0000E08A0000}"/>
    <cellStyle name="Porcentaje 3 5 3 2 2 3 2 2" xfId="36796" xr:uid="{00000000-0005-0000-0000-0000E18A0000}"/>
    <cellStyle name="Porcentaje 3 5 3 2 2 3 3" xfId="26939" xr:uid="{00000000-0005-0000-0000-0000E28A0000}"/>
    <cellStyle name="Porcentaje 3 5 3 2 2 4" xfId="12153" xr:uid="{00000000-0005-0000-0000-0000E38A0000}"/>
    <cellStyle name="Porcentaje 3 5 3 2 2 4 2" xfId="31868" xr:uid="{00000000-0005-0000-0000-0000E48A0000}"/>
    <cellStyle name="Porcentaje 3 5 3 2 2 5" xfId="22011" xr:uid="{00000000-0005-0000-0000-0000E58A0000}"/>
    <cellStyle name="Porcentaje 3 5 3 2 3" xfId="3521" xr:uid="{00000000-0005-0000-0000-0000E68A0000}"/>
    <cellStyle name="Porcentaje 3 5 3 2 3 2" xfId="8453" xr:uid="{00000000-0005-0000-0000-0000E78A0000}"/>
    <cellStyle name="Porcentaje 3 5 3 2 3 2 2" xfId="18313" xr:uid="{00000000-0005-0000-0000-0000E88A0000}"/>
    <cellStyle name="Porcentaje 3 5 3 2 3 2 2 2" xfId="38028" xr:uid="{00000000-0005-0000-0000-0000E98A0000}"/>
    <cellStyle name="Porcentaje 3 5 3 2 3 2 3" xfId="28171" xr:uid="{00000000-0005-0000-0000-0000EA8A0000}"/>
    <cellStyle name="Porcentaje 3 5 3 2 3 3" xfId="13385" xr:uid="{00000000-0005-0000-0000-0000EB8A0000}"/>
    <cellStyle name="Porcentaje 3 5 3 2 3 3 2" xfId="33100" xr:uid="{00000000-0005-0000-0000-0000EC8A0000}"/>
    <cellStyle name="Porcentaje 3 5 3 2 3 4" xfId="23243" xr:uid="{00000000-0005-0000-0000-0000ED8A0000}"/>
    <cellStyle name="Porcentaje 3 5 3 2 4" xfId="5989" xr:uid="{00000000-0005-0000-0000-0000EE8A0000}"/>
    <cellStyle name="Porcentaje 3 5 3 2 4 2" xfId="15849" xr:uid="{00000000-0005-0000-0000-0000EF8A0000}"/>
    <cellStyle name="Porcentaje 3 5 3 2 4 2 2" xfId="35564" xr:uid="{00000000-0005-0000-0000-0000F08A0000}"/>
    <cellStyle name="Porcentaje 3 5 3 2 4 3" xfId="25707" xr:uid="{00000000-0005-0000-0000-0000F18A0000}"/>
    <cellStyle name="Porcentaje 3 5 3 2 5" xfId="10921" xr:uid="{00000000-0005-0000-0000-0000F28A0000}"/>
    <cellStyle name="Porcentaje 3 5 3 2 5 2" xfId="30636" xr:uid="{00000000-0005-0000-0000-0000F38A0000}"/>
    <cellStyle name="Porcentaje 3 5 3 2 6" xfId="20779" xr:uid="{00000000-0005-0000-0000-0000F48A0000}"/>
    <cellStyle name="Porcentaje 3 5 3 3" xfId="1670" xr:uid="{00000000-0005-0000-0000-0000F58A0000}"/>
    <cellStyle name="Porcentaje 3 5 3 3 2" xfId="4137" xr:uid="{00000000-0005-0000-0000-0000F68A0000}"/>
    <cellStyle name="Porcentaje 3 5 3 3 2 2" xfId="9069" xr:uid="{00000000-0005-0000-0000-0000F78A0000}"/>
    <cellStyle name="Porcentaje 3 5 3 3 2 2 2" xfId="18929" xr:uid="{00000000-0005-0000-0000-0000F88A0000}"/>
    <cellStyle name="Porcentaje 3 5 3 3 2 2 2 2" xfId="38644" xr:uid="{00000000-0005-0000-0000-0000F98A0000}"/>
    <cellStyle name="Porcentaje 3 5 3 3 2 2 3" xfId="28787" xr:uid="{00000000-0005-0000-0000-0000FA8A0000}"/>
    <cellStyle name="Porcentaje 3 5 3 3 2 3" xfId="14001" xr:uid="{00000000-0005-0000-0000-0000FB8A0000}"/>
    <cellStyle name="Porcentaje 3 5 3 3 2 3 2" xfId="33716" xr:uid="{00000000-0005-0000-0000-0000FC8A0000}"/>
    <cellStyle name="Porcentaje 3 5 3 3 2 4" xfId="23859" xr:uid="{00000000-0005-0000-0000-0000FD8A0000}"/>
    <cellStyle name="Porcentaje 3 5 3 3 3" xfId="6605" xr:uid="{00000000-0005-0000-0000-0000FE8A0000}"/>
    <cellStyle name="Porcentaje 3 5 3 3 3 2" xfId="16465" xr:uid="{00000000-0005-0000-0000-0000FF8A0000}"/>
    <cellStyle name="Porcentaje 3 5 3 3 3 2 2" xfId="36180" xr:uid="{00000000-0005-0000-0000-0000008B0000}"/>
    <cellStyle name="Porcentaje 3 5 3 3 3 3" xfId="26323" xr:uid="{00000000-0005-0000-0000-0000018B0000}"/>
    <cellStyle name="Porcentaje 3 5 3 3 4" xfId="11537" xr:uid="{00000000-0005-0000-0000-0000028B0000}"/>
    <cellStyle name="Porcentaje 3 5 3 3 4 2" xfId="31252" xr:uid="{00000000-0005-0000-0000-0000038B0000}"/>
    <cellStyle name="Porcentaje 3 5 3 3 5" xfId="21395" xr:uid="{00000000-0005-0000-0000-0000048B0000}"/>
    <cellStyle name="Porcentaje 3 5 3 4" xfId="2905" xr:uid="{00000000-0005-0000-0000-0000058B0000}"/>
    <cellStyle name="Porcentaje 3 5 3 4 2" xfId="7837" xr:uid="{00000000-0005-0000-0000-0000068B0000}"/>
    <cellStyle name="Porcentaje 3 5 3 4 2 2" xfId="17697" xr:uid="{00000000-0005-0000-0000-0000078B0000}"/>
    <cellStyle name="Porcentaje 3 5 3 4 2 2 2" xfId="37412" xr:uid="{00000000-0005-0000-0000-0000088B0000}"/>
    <cellStyle name="Porcentaje 3 5 3 4 2 3" xfId="27555" xr:uid="{00000000-0005-0000-0000-0000098B0000}"/>
    <cellStyle name="Porcentaje 3 5 3 4 3" xfId="12769" xr:uid="{00000000-0005-0000-0000-00000A8B0000}"/>
    <cellStyle name="Porcentaje 3 5 3 4 3 2" xfId="32484" xr:uid="{00000000-0005-0000-0000-00000B8B0000}"/>
    <cellStyle name="Porcentaje 3 5 3 4 4" xfId="22627" xr:uid="{00000000-0005-0000-0000-00000C8B0000}"/>
    <cellStyle name="Porcentaje 3 5 3 5" xfId="5373" xr:uid="{00000000-0005-0000-0000-00000D8B0000}"/>
    <cellStyle name="Porcentaje 3 5 3 5 2" xfId="15233" xr:uid="{00000000-0005-0000-0000-00000E8B0000}"/>
    <cellStyle name="Porcentaje 3 5 3 5 2 2" xfId="34948" xr:uid="{00000000-0005-0000-0000-00000F8B0000}"/>
    <cellStyle name="Porcentaje 3 5 3 5 3" xfId="25091" xr:uid="{00000000-0005-0000-0000-0000108B0000}"/>
    <cellStyle name="Porcentaje 3 5 3 6" xfId="10305" xr:uid="{00000000-0005-0000-0000-0000118B0000}"/>
    <cellStyle name="Porcentaje 3 5 3 6 2" xfId="30020" xr:uid="{00000000-0005-0000-0000-0000128B0000}"/>
    <cellStyle name="Porcentaje 3 5 3 7" xfId="20163" xr:uid="{00000000-0005-0000-0000-0000138B0000}"/>
    <cellStyle name="Porcentaje 3 5 4" xfId="744" xr:uid="{00000000-0005-0000-0000-0000148B0000}"/>
    <cellStyle name="Porcentaje 3 5 4 2" xfId="1980" xr:uid="{00000000-0005-0000-0000-0000158B0000}"/>
    <cellStyle name="Porcentaje 3 5 4 2 2" xfId="4447" xr:uid="{00000000-0005-0000-0000-0000168B0000}"/>
    <cellStyle name="Porcentaje 3 5 4 2 2 2" xfId="9379" xr:uid="{00000000-0005-0000-0000-0000178B0000}"/>
    <cellStyle name="Porcentaje 3 5 4 2 2 2 2" xfId="19239" xr:uid="{00000000-0005-0000-0000-0000188B0000}"/>
    <cellStyle name="Porcentaje 3 5 4 2 2 2 2 2" xfId="38954" xr:uid="{00000000-0005-0000-0000-0000198B0000}"/>
    <cellStyle name="Porcentaje 3 5 4 2 2 2 3" xfId="29097" xr:uid="{00000000-0005-0000-0000-00001A8B0000}"/>
    <cellStyle name="Porcentaje 3 5 4 2 2 3" xfId="14311" xr:uid="{00000000-0005-0000-0000-00001B8B0000}"/>
    <cellStyle name="Porcentaje 3 5 4 2 2 3 2" xfId="34026" xr:uid="{00000000-0005-0000-0000-00001C8B0000}"/>
    <cellStyle name="Porcentaje 3 5 4 2 2 4" xfId="24169" xr:uid="{00000000-0005-0000-0000-00001D8B0000}"/>
    <cellStyle name="Porcentaje 3 5 4 2 3" xfId="6915" xr:uid="{00000000-0005-0000-0000-00001E8B0000}"/>
    <cellStyle name="Porcentaje 3 5 4 2 3 2" xfId="16775" xr:uid="{00000000-0005-0000-0000-00001F8B0000}"/>
    <cellStyle name="Porcentaje 3 5 4 2 3 2 2" xfId="36490" xr:uid="{00000000-0005-0000-0000-0000208B0000}"/>
    <cellStyle name="Porcentaje 3 5 4 2 3 3" xfId="26633" xr:uid="{00000000-0005-0000-0000-0000218B0000}"/>
    <cellStyle name="Porcentaje 3 5 4 2 4" xfId="11847" xr:uid="{00000000-0005-0000-0000-0000228B0000}"/>
    <cellStyle name="Porcentaje 3 5 4 2 4 2" xfId="31562" xr:uid="{00000000-0005-0000-0000-0000238B0000}"/>
    <cellStyle name="Porcentaje 3 5 4 2 5" xfId="21705" xr:uid="{00000000-0005-0000-0000-0000248B0000}"/>
    <cellStyle name="Porcentaje 3 5 4 3" xfId="3215" xr:uid="{00000000-0005-0000-0000-0000258B0000}"/>
    <cellStyle name="Porcentaje 3 5 4 3 2" xfId="8147" xr:uid="{00000000-0005-0000-0000-0000268B0000}"/>
    <cellStyle name="Porcentaje 3 5 4 3 2 2" xfId="18007" xr:uid="{00000000-0005-0000-0000-0000278B0000}"/>
    <cellStyle name="Porcentaje 3 5 4 3 2 2 2" xfId="37722" xr:uid="{00000000-0005-0000-0000-0000288B0000}"/>
    <cellStyle name="Porcentaje 3 5 4 3 2 3" xfId="27865" xr:uid="{00000000-0005-0000-0000-0000298B0000}"/>
    <cellStyle name="Porcentaje 3 5 4 3 3" xfId="13079" xr:uid="{00000000-0005-0000-0000-00002A8B0000}"/>
    <cellStyle name="Porcentaje 3 5 4 3 3 2" xfId="32794" xr:uid="{00000000-0005-0000-0000-00002B8B0000}"/>
    <cellStyle name="Porcentaje 3 5 4 3 4" xfId="22937" xr:uid="{00000000-0005-0000-0000-00002C8B0000}"/>
    <cellStyle name="Porcentaje 3 5 4 4" xfId="5683" xr:uid="{00000000-0005-0000-0000-00002D8B0000}"/>
    <cellStyle name="Porcentaje 3 5 4 4 2" xfId="15543" xr:uid="{00000000-0005-0000-0000-00002E8B0000}"/>
    <cellStyle name="Porcentaje 3 5 4 4 2 2" xfId="35258" xr:uid="{00000000-0005-0000-0000-00002F8B0000}"/>
    <cellStyle name="Porcentaje 3 5 4 4 3" xfId="25401" xr:uid="{00000000-0005-0000-0000-0000308B0000}"/>
    <cellStyle name="Porcentaje 3 5 4 5" xfId="10615" xr:uid="{00000000-0005-0000-0000-0000318B0000}"/>
    <cellStyle name="Porcentaje 3 5 4 5 2" xfId="30330" xr:uid="{00000000-0005-0000-0000-0000328B0000}"/>
    <cellStyle name="Porcentaje 3 5 4 6" xfId="20473" xr:uid="{00000000-0005-0000-0000-0000338B0000}"/>
    <cellStyle name="Porcentaje 3 5 5" xfId="1364" xr:uid="{00000000-0005-0000-0000-0000348B0000}"/>
    <cellStyle name="Porcentaje 3 5 5 2" xfId="3831" xr:uid="{00000000-0005-0000-0000-0000358B0000}"/>
    <cellStyle name="Porcentaje 3 5 5 2 2" xfId="8763" xr:uid="{00000000-0005-0000-0000-0000368B0000}"/>
    <cellStyle name="Porcentaje 3 5 5 2 2 2" xfId="18623" xr:uid="{00000000-0005-0000-0000-0000378B0000}"/>
    <cellStyle name="Porcentaje 3 5 5 2 2 2 2" xfId="38338" xr:uid="{00000000-0005-0000-0000-0000388B0000}"/>
    <cellStyle name="Porcentaje 3 5 5 2 2 3" xfId="28481" xr:uid="{00000000-0005-0000-0000-0000398B0000}"/>
    <cellStyle name="Porcentaje 3 5 5 2 3" xfId="13695" xr:uid="{00000000-0005-0000-0000-00003A8B0000}"/>
    <cellStyle name="Porcentaje 3 5 5 2 3 2" xfId="33410" xr:uid="{00000000-0005-0000-0000-00003B8B0000}"/>
    <cellStyle name="Porcentaje 3 5 5 2 4" xfId="23553" xr:uid="{00000000-0005-0000-0000-00003C8B0000}"/>
    <cellStyle name="Porcentaje 3 5 5 3" xfId="6299" xr:uid="{00000000-0005-0000-0000-00003D8B0000}"/>
    <cellStyle name="Porcentaje 3 5 5 3 2" xfId="16159" xr:uid="{00000000-0005-0000-0000-00003E8B0000}"/>
    <cellStyle name="Porcentaje 3 5 5 3 2 2" xfId="35874" xr:uid="{00000000-0005-0000-0000-00003F8B0000}"/>
    <cellStyle name="Porcentaje 3 5 5 3 3" xfId="26017" xr:uid="{00000000-0005-0000-0000-0000408B0000}"/>
    <cellStyle name="Porcentaje 3 5 5 4" xfId="11231" xr:uid="{00000000-0005-0000-0000-0000418B0000}"/>
    <cellStyle name="Porcentaje 3 5 5 4 2" xfId="30946" xr:uid="{00000000-0005-0000-0000-0000428B0000}"/>
    <cellStyle name="Porcentaje 3 5 5 5" xfId="21089" xr:uid="{00000000-0005-0000-0000-0000438B0000}"/>
    <cellStyle name="Porcentaje 3 5 6" xfId="2599" xr:uid="{00000000-0005-0000-0000-0000448B0000}"/>
    <cellStyle name="Porcentaje 3 5 6 2" xfId="7531" xr:uid="{00000000-0005-0000-0000-0000458B0000}"/>
    <cellStyle name="Porcentaje 3 5 6 2 2" xfId="17391" xr:uid="{00000000-0005-0000-0000-0000468B0000}"/>
    <cellStyle name="Porcentaje 3 5 6 2 2 2" xfId="37106" xr:uid="{00000000-0005-0000-0000-0000478B0000}"/>
    <cellStyle name="Porcentaje 3 5 6 2 3" xfId="27249" xr:uid="{00000000-0005-0000-0000-0000488B0000}"/>
    <cellStyle name="Porcentaje 3 5 6 3" xfId="12463" xr:uid="{00000000-0005-0000-0000-0000498B0000}"/>
    <cellStyle name="Porcentaje 3 5 6 3 2" xfId="32178" xr:uid="{00000000-0005-0000-0000-00004A8B0000}"/>
    <cellStyle name="Porcentaje 3 5 6 4" xfId="22321" xr:uid="{00000000-0005-0000-0000-00004B8B0000}"/>
    <cellStyle name="Porcentaje 3 5 7" xfId="5067" xr:uid="{00000000-0005-0000-0000-00004C8B0000}"/>
    <cellStyle name="Porcentaje 3 5 7 2" xfId="14927" xr:uid="{00000000-0005-0000-0000-00004D8B0000}"/>
    <cellStyle name="Porcentaje 3 5 7 2 2" xfId="34642" xr:uid="{00000000-0005-0000-0000-00004E8B0000}"/>
    <cellStyle name="Porcentaje 3 5 7 3" xfId="24785" xr:uid="{00000000-0005-0000-0000-00004F8B0000}"/>
    <cellStyle name="Porcentaje 3 5 8" xfId="9999" xr:uid="{00000000-0005-0000-0000-0000508B0000}"/>
    <cellStyle name="Porcentaje 3 5 8 2" xfId="29714" xr:uid="{00000000-0005-0000-0000-0000518B0000}"/>
    <cellStyle name="Porcentaje 3 5 9" xfId="19857" xr:uid="{00000000-0005-0000-0000-0000528B0000}"/>
    <cellStyle name="Porcentaje 3 6" xfId="193" xr:uid="{00000000-0005-0000-0000-0000538B0000}"/>
    <cellStyle name="Porcentaje 3 6 2" xfId="507" xr:uid="{00000000-0005-0000-0000-0000548B0000}"/>
    <cellStyle name="Porcentaje 3 6 2 2" xfId="1127" xr:uid="{00000000-0005-0000-0000-0000558B0000}"/>
    <cellStyle name="Porcentaje 3 6 2 2 2" xfId="2362" xr:uid="{00000000-0005-0000-0000-0000568B0000}"/>
    <cellStyle name="Porcentaje 3 6 2 2 2 2" xfId="4829" xr:uid="{00000000-0005-0000-0000-0000578B0000}"/>
    <cellStyle name="Porcentaje 3 6 2 2 2 2 2" xfId="9761" xr:uid="{00000000-0005-0000-0000-0000588B0000}"/>
    <cellStyle name="Porcentaje 3 6 2 2 2 2 2 2" xfId="19621" xr:uid="{00000000-0005-0000-0000-0000598B0000}"/>
    <cellStyle name="Porcentaje 3 6 2 2 2 2 2 2 2" xfId="39336" xr:uid="{00000000-0005-0000-0000-00005A8B0000}"/>
    <cellStyle name="Porcentaje 3 6 2 2 2 2 2 3" xfId="29479" xr:uid="{00000000-0005-0000-0000-00005B8B0000}"/>
    <cellStyle name="Porcentaje 3 6 2 2 2 2 3" xfId="14693" xr:uid="{00000000-0005-0000-0000-00005C8B0000}"/>
    <cellStyle name="Porcentaje 3 6 2 2 2 2 3 2" xfId="34408" xr:uid="{00000000-0005-0000-0000-00005D8B0000}"/>
    <cellStyle name="Porcentaje 3 6 2 2 2 2 4" xfId="24551" xr:uid="{00000000-0005-0000-0000-00005E8B0000}"/>
    <cellStyle name="Porcentaje 3 6 2 2 2 3" xfId="7297" xr:uid="{00000000-0005-0000-0000-00005F8B0000}"/>
    <cellStyle name="Porcentaje 3 6 2 2 2 3 2" xfId="17157" xr:uid="{00000000-0005-0000-0000-0000608B0000}"/>
    <cellStyle name="Porcentaje 3 6 2 2 2 3 2 2" xfId="36872" xr:uid="{00000000-0005-0000-0000-0000618B0000}"/>
    <cellStyle name="Porcentaje 3 6 2 2 2 3 3" xfId="27015" xr:uid="{00000000-0005-0000-0000-0000628B0000}"/>
    <cellStyle name="Porcentaje 3 6 2 2 2 4" xfId="12229" xr:uid="{00000000-0005-0000-0000-0000638B0000}"/>
    <cellStyle name="Porcentaje 3 6 2 2 2 4 2" xfId="31944" xr:uid="{00000000-0005-0000-0000-0000648B0000}"/>
    <cellStyle name="Porcentaje 3 6 2 2 2 5" xfId="22087" xr:uid="{00000000-0005-0000-0000-0000658B0000}"/>
    <cellStyle name="Porcentaje 3 6 2 2 3" xfId="3597" xr:uid="{00000000-0005-0000-0000-0000668B0000}"/>
    <cellStyle name="Porcentaje 3 6 2 2 3 2" xfId="8529" xr:uid="{00000000-0005-0000-0000-0000678B0000}"/>
    <cellStyle name="Porcentaje 3 6 2 2 3 2 2" xfId="18389" xr:uid="{00000000-0005-0000-0000-0000688B0000}"/>
    <cellStyle name="Porcentaje 3 6 2 2 3 2 2 2" xfId="38104" xr:uid="{00000000-0005-0000-0000-0000698B0000}"/>
    <cellStyle name="Porcentaje 3 6 2 2 3 2 3" xfId="28247" xr:uid="{00000000-0005-0000-0000-00006A8B0000}"/>
    <cellStyle name="Porcentaje 3 6 2 2 3 3" xfId="13461" xr:uid="{00000000-0005-0000-0000-00006B8B0000}"/>
    <cellStyle name="Porcentaje 3 6 2 2 3 3 2" xfId="33176" xr:uid="{00000000-0005-0000-0000-00006C8B0000}"/>
    <cellStyle name="Porcentaje 3 6 2 2 3 4" xfId="23319" xr:uid="{00000000-0005-0000-0000-00006D8B0000}"/>
    <cellStyle name="Porcentaje 3 6 2 2 4" xfId="6065" xr:uid="{00000000-0005-0000-0000-00006E8B0000}"/>
    <cellStyle name="Porcentaje 3 6 2 2 4 2" xfId="15925" xr:uid="{00000000-0005-0000-0000-00006F8B0000}"/>
    <cellStyle name="Porcentaje 3 6 2 2 4 2 2" xfId="35640" xr:uid="{00000000-0005-0000-0000-0000708B0000}"/>
    <cellStyle name="Porcentaje 3 6 2 2 4 3" xfId="25783" xr:uid="{00000000-0005-0000-0000-0000718B0000}"/>
    <cellStyle name="Porcentaje 3 6 2 2 5" xfId="10997" xr:uid="{00000000-0005-0000-0000-0000728B0000}"/>
    <cellStyle name="Porcentaje 3 6 2 2 5 2" xfId="30712" xr:uid="{00000000-0005-0000-0000-0000738B0000}"/>
    <cellStyle name="Porcentaje 3 6 2 2 6" xfId="20855" xr:uid="{00000000-0005-0000-0000-0000748B0000}"/>
    <cellStyle name="Porcentaje 3 6 2 3" xfId="1746" xr:uid="{00000000-0005-0000-0000-0000758B0000}"/>
    <cellStyle name="Porcentaje 3 6 2 3 2" xfId="4213" xr:uid="{00000000-0005-0000-0000-0000768B0000}"/>
    <cellStyle name="Porcentaje 3 6 2 3 2 2" xfId="9145" xr:uid="{00000000-0005-0000-0000-0000778B0000}"/>
    <cellStyle name="Porcentaje 3 6 2 3 2 2 2" xfId="19005" xr:uid="{00000000-0005-0000-0000-0000788B0000}"/>
    <cellStyle name="Porcentaje 3 6 2 3 2 2 2 2" xfId="38720" xr:uid="{00000000-0005-0000-0000-0000798B0000}"/>
    <cellStyle name="Porcentaje 3 6 2 3 2 2 3" xfId="28863" xr:uid="{00000000-0005-0000-0000-00007A8B0000}"/>
    <cellStyle name="Porcentaje 3 6 2 3 2 3" xfId="14077" xr:uid="{00000000-0005-0000-0000-00007B8B0000}"/>
    <cellStyle name="Porcentaje 3 6 2 3 2 3 2" xfId="33792" xr:uid="{00000000-0005-0000-0000-00007C8B0000}"/>
    <cellStyle name="Porcentaje 3 6 2 3 2 4" xfId="23935" xr:uid="{00000000-0005-0000-0000-00007D8B0000}"/>
    <cellStyle name="Porcentaje 3 6 2 3 3" xfId="6681" xr:uid="{00000000-0005-0000-0000-00007E8B0000}"/>
    <cellStyle name="Porcentaje 3 6 2 3 3 2" xfId="16541" xr:uid="{00000000-0005-0000-0000-00007F8B0000}"/>
    <cellStyle name="Porcentaje 3 6 2 3 3 2 2" xfId="36256" xr:uid="{00000000-0005-0000-0000-0000808B0000}"/>
    <cellStyle name="Porcentaje 3 6 2 3 3 3" xfId="26399" xr:uid="{00000000-0005-0000-0000-0000818B0000}"/>
    <cellStyle name="Porcentaje 3 6 2 3 4" xfId="11613" xr:uid="{00000000-0005-0000-0000-0000828B0000}"/>
    <cellStyle name="Porcentaje 3 6 2 3 4 2" xfId="31328" xr:uid="{00000000-0005-0000-0000-0000838B0000}"/>
    <cellStyle name="Porcentaje 3 6 2 3 5" xfId="21471" xr:uid="{00000000-0005-0000-0000-0000848B0000}"/>
    <cellStyle name="Porcentaje 3 6 2 4" xfId="2981" xr:uid="{00000000-0005-0000-0000-0000858B0000}"/>
    <cellStyle name="Porcentaje 3 6 2 4 2" xfId="7913" xr:uid="{00000000-0005-0000-0000-0000868B0000}"/>
    <cellStyle name="Porcentaje 3 6 2 4 2 2" xfId="17773" xr:uid="{00000000-0005-0000-0000-0000878B0000}"/>
    <cellStyle name="Porcentaje 3 6 2 4 2 2 2" xfId="37488" xr:uid="{00000000-0005-0000-0000-0000888B0000}"/>
    <cellStyle name="Porcentaje 3 6 2 4 2 3" xfId="27631" xr:uid="{00000000-0005-0000-0000-0000898B0000}"/>
    <cellStyle name="Porcentaje 3 6 2 4 3" xfId="12845" xr:uid="{00000000-0005-0000-0000-00008A8B0000}"/>
    <cellStyle name="Porcentaje 3 6 2 4 3 2" xfId="32560" xr:uid="{00000000-0005-0000-0000-00008B8B0000}"/>
    <cellStyle name="Porcentaje 3 6 2 4 4" xfId="22703" xr:uid="{00000000-0005-0000-0000-00008C8B0000}"/>
    <cellStyle name="Porcentaje 3 6 2 5" xfId="5449" xr:uid="{00000000-0005-0000-0000-00008D8B0000}"/>
    <cellStyle name="Porcentaje 3 6 2 5 2" xfId="15309" xr:uid="{00000000-0005-0000-0000-00008E8B0000}"/>
    <cellStyle name="Porcentaje 3 6 2 5 2 2" xfId="35024" xr:uid="{00000000-0005-0000-0000-00008F8B0000}"/>
    <cellStyle name="Porcentaje 3 6 2 5 3" xfId="25167" xr:uid="{00000000-0005-0000-0000-0000908B0000}"/>
    <cellStyle name="Porcentaje 3 6 2 6" xfId="10381" xr:uid="{00000000-0005-0000-0000-0000918B0000}"/>
    <cellStyle name="Porcentaje 3 6 2 6 2" xfId="30096" xr:uid="{00000000-0005-0000-0000-0000928B0000}"/>
    <cellStyle name="Porcentaje 3 6 2 7" xfId="20239" xr:uid="{00000000-0005-0000-0000-0000938B0000}"/>
    <cellStyle name="Porcentaje 3 6 3" xfId="820" xr:uid="{00000000-0005-0000-0000-0000948B0000}"/>
    <cellStyle name="Porcentaje 3 6 3 2" xfId="2056" xr:uid="{00000000-0005-0000-0000-0000958B0000}"/>
    <cellStyle name="Porcentaje 3 6 3 2 2" xfId="4523" xr:uid="{00000000-0005-0000-0000-0000968B0000}"/>
    <cellStyle name="Porcentaje 3 6 3 2 2 2" xfId="9455" xr:uid="{00000000-0005-0000-0000-0000978B0000}"/>
    <cellStyle name="Porcentaje 3 6 3 2 2 2 2" xfId="19315" xr:uid="{00000000-0005-0000-0000-0000988B0000}"/>
    <cellStyle name="Porcentaje 3 6 3 2 2 2 2 2" xfId="39030" xr:uid="{00000000-0005-0000-0000-0000998B0000}"/>
    <cellStyle name="Porcentaje 3 6 3 2 2 2 3" xfId="29173" xr:uid="{00000000-0005-0000-0000-00009A8B0000}"/>
    <cellStyle name="Porcentaje 3 6 3 2 2 3" xfId="14387" xr:uid="{00000000-0005-0000-0000-00009B8B0000}"/>
    <cellStyle name="Porcentaje 3 6 3 2 2 3 2" xfId="34102" xr:uid="{00000000-0005-0000-0000-00009C8B0000}"/>
    <cellStyle name="Porcentaje 3 6 3 2 2 4" xfId="24245" xr:uid="{00000000-0005-0000-0000-00009D8B0000}"/>
    <cellStyle name="Porcentaje 3 6 3 2 3" xfId="6991" xr:uid="{00000000-0005-0000-0000-00009E8B0000}"/>
    <cellStyle name="Porcentaje 3 6 3 2 3 2" xfId="16851" xr:uid="{00000000-0005-0000-0000-00009F8B0000}"/>
    <cellStyle name="Porcentaje 3 6 3 2 3 2 2" xfId="36566" xr:uid="{00000000-0005-0000-0000-0000A08B0000}"/>
    <cellStyle name="Porcentaje 3 6 3 2 3 3" xfId="26709" xr:uid="{00000000-0005-0000-0000-0000A18B0000}"/>
    <cellStyle name="Porcentaje 3 6 3 2 4" xfId="11923" xr:uid="{00000000-0005-0000-0000-0000A28B0000}"/>
    <cellStyle name="Porcentaje 3 6 3 2 4 2" xfId="31638" xr:uid="{00000000-0005-0000-0000-0000A38B0000}"/>
    <cellStyle name="Porcentaje 3 6 3 2 5" xfId="21781" xr:uid="{00000000-0005-0000-0000-0000A48B0000}"/>
    <cellStyle name="Porcentaje 3 6 3 3" xfId="3291" xr:uid="{00000000-0005-0000-0000-0000A58B0000}"/>
    <cellStyle name="Porcentaje 3 6 3 3 2" xfId="8223" xr:uid="{00000000-0005-0000-0000-0000A68B0000}"/>
    <cellStyle name="Porcentaje 3 6 3 3 2 2" xfId="18083" xr:uid="{00000000-0005-0000-0000-0000A78B0000}"/>
    <cellStyle name="Porcentaje 3 6 3 3 2 2 2" xfId="37798" xr:uid="{00000000-0005-0000-0000-0000A88B0000}"/>
    <cellStyle name="Porcentaje 3 6 3 3 2 3" xfId="27941" xr:uid="{00000000-0005-0000-0000-0000A98B0000}"/>
    <cellStyle name="Porcentaje 3 6 3 3 3" xfId="13155" xr:uid="{00000000-0005-0000-0000-0000AA8B0000}"/>
    <cellStyle name="Porcentaje 3 6 3 3 3 2" xfId="32870" xr:uid="{00000000-0005-0000-0000-0000AB8B0000}"/>
    <cellStyle name="Porcentaje 3 6 3 3 4" xfId="23013" xr:uid="{00000000-0005-0000-0000-0000AC8B0000}"/>
    <cellStyle name="Porcentaje 3 6 3 4" xfId="5759" xr:uid="{00000000-0005-0000-0000-0000AD8B0000}"/>
    <cellStyle name="Porcentaje 3 6 3 4 2" xfId="15619" xr:uid="{00000000-0005-0000-0000-0000AE8B0000}"/>
    <cellStyle name="Porcentaje 3 6 3 4 2 2" xfId="35334" xr:uid="{00000000-0005-0000-0000-0000AF8B0000}"/>
    <cellStyle name="Porcentaje 3 6 3 4 3" xfId="25477" xr:uid="{00000000-0005-0000-0000-0000B08B0000}"/>
    <cellStyle name="Porcentaje 3 6 3 5" xfId="10691" xr:uid="{00000000-0005-0000-0000-0000B18B0000}"/>
    <cellStyle name="Porcentaje 3 6 3 5 2" xfId="30406" xr:uid="{00000000-0005-0000-0000-0000B28B0000}"/>
    <cellStyle name="Porcentaje 3 6 3 6" xfId="20549" xr:uid="{00000000-0005-0000-0000-0000B38B0000}"/>
    <cellStyle name="Porcentaje 3 6 4" xfId="1440" xr:uid="{00000000-0005-0000-0000-0000B48B0000}"/>
    <cellStyle name="Porcentaje 3 6 4 2" xfId="3907" xr:uid="{00000000-0005-0000-0000-0000B58B0000}"/>
    <cellStyle name="Porcentaje 3 6 4 2 2" xfId="8839" xr:uid="{00000000-0005-0000-0000-0000B68B0000}"/>
    <cellStyle name="Porcentaje 3 6 4 2 2 2" xfId="18699" xr:uid="{00000000-0005-0000-0000-0000B78B0000}"/>
    <cellStyle name="Porcentaje 3 6 4 2 2 2 2" xfId="38414" xr:uid="{00000000-0005-0000-0000-0000B88B0000}"/>
    <cellStyle name="Porcentaje 3 6 4 2 2 3" xfId="28557" xr:uid="{00000000-0005-0000-0000-0000B98B0000}"/>
    <cellStyle name="Porcentaje 3 6 4 2 3" xfId="13771" xr:uid="{00000000-0005-0000-0000-0000BA8B0000}"/>
    <cellStyle name="Porcentaje 3 6 4 2 3 2" xfId="33486" xr:uid="{00000000-0005-0000-0000-0000BB8B0000}"/>
    <cellStyle name="Porcentaje 3 6 4 2 4" xfId="23629" xr:uid="{00000000-0005-0000-0000-0000BC8B0000}"/>
    <cellStyle name="Porcentaje 3 6 4 3" xfId="6375" xr:uid="{00000000-0005-0000-0000-0000BD8B0000}"/>
    <cellStyle name="Porcentaje 3 6 4 3 2" xfId="16235" xr:uid="{00000000-0005-0000-0000-0000BE8B0000}"/>
    <cellStyle name="Porcentaje 3 6 4 3 2 2" xfId="35950" xr:uid="{00000000-0005-0000-0000-0000BF8B0000}"/>
    <cellStyle name="Porcentaje 3 6 4 3 3" xfId="26093" xr:uid="{00000000-0005-0000-0000-0000C08B0000}"/>
    <cellStyle name="Porcentaje 3 6 4 4" xfId="11307" xr:uid="{00000000-0005-0000-0000-0000C18B0000}"/>
    <cellStyle name="Porcentaje 3 6 4 4 2" xfId="31022" xr:uid="{00000000-0005-0000-0000-0000C28B0000}"/>
    <cellStyle name="Porcentaje 3 6 4 5" xfId="21165" xr:uid="{00000000-0005-0000-0000-0000C38B0000}"/>
    <cellStyle name="Porcentaje 3 6 5" xfId="2675" xr:uid="{00000000-0005-0000-0000-0000C48B0000}"/>
    <cellStyle name="Porcentaje 3 6 5 2" xfId="7607" xr:uid="{00000000-0005-0000-0000-0000C58B0000}"/>
    <cellStyle name="Porcentaje 3 6 5 2 2" xfId="17467" xr:uid="{00000000-0005-0000-0000-0000C68B0000}"/>
    <cellStyle name="Porcentaje 3 6 5 2 2 2" xfId="37182" xr:uid="{00000000-0005-0000-0000-0000C78B0000}"/>
    <cellStyle name="Porcentaje 3 6 5 2 3" xfId="27325" xr:uid="{00000000-0005-0000-0000-0000C88B0000}"/>
    <cellStyle name="Porcentaje 3 6 5 3" xfId="12539" xr:uid="{00000000-0005-0000-0000-0000C98B0000}"/>
    <cellStyle name="Porcentaje 3 6 5 3 2" xfId="32254" xr:uid="{00000000-0005-0000-0000-0000CA8B0000}"/>
    <cellStyle name="Porcentaje 3 6 5 4" xfId="22397" xr:uid="{00000000-0005-0000-0000-0000CB8B0000}"/>
    <cellStyle name="Porcentaje 3 6 6" xfId="5143" xr:uid="{00000000-0005-0000-0000-0000CC8B0000}"/>
    <cellStyle name="Porcentaje 3 6 6 2" xfId="15003" xr:uid="{00000000-0005-0000-0000-0000CD8B0000}"/>
    <cellStyle name="Porcentaje 3 6 6 2 2" xfId="34718" xr:uid="{00000000-0005-0000-0000-0000CE8B0000}"/>
    <cellStyle name="Porcentaje 3 6 6 3" xfId="24861" xr:uid="{00000000-0005-0000-0000-0000CF8B0000}"/>
    <cellStyle name="Porcentaje 3 6 7" xfId="10075" xr:uid="{00000000-0005-0000-0000-0000D08B0000}"/>
    <cellStyle name="Porcentaje 3 6 7 2" xfId="29790" xr:uid="{00000000-0005-0000-0000-0000D18B0000}"/>
    <cellStyle name="Porcentaje 3 6 8" xfId="19933" xr:uid="{00000000-0005-0000-0000-0000D28B0000}"/>
    <cellStyle name="Porcentaje 3 7" xfId="355" xr:uid="{00000000-0005-0000-0000-0000D38B0000}"/>
    <cellStyle name="Porcentaje 3 7 2" xfId="975" xr:uid="{00000000-0005-0000-0000-0000D48B0000}"/>
    <cellStyle name="Porcentaje 3 7 2 2" xfId="2210" xr:uid="{00000000-0005-0000-0000-0000D58B0000}"/>
    <cellStyle name="Porcentaje 3 7 2 2 2" xfId="4677" xr:uid="{00000000-0005-0000-0000-0000D68B0000}"/>
    <cellStyle name="Porcentaje 3 7 2 2 2 2" xfId="9609" xr:uid="{00000000-0005-0000-0000-0000D78B0000}"/>
    <cellStyle name="Porcentaje 3 7 2 2 2 2 2" xfId="19469" xr:uid="{00000000-0005-0000-0000-0000D88B0000}"/>
    <cellStyle name="Porcentaje 3 7 2 2 2 2 2 2" xfId="39184" xr:uid="{00000000-0005-0000-0000-0000D98B0000}"/>
    <cellStyle name="Porcentaje 3 7 2 2 2 2 3" xfId="29327" xr:uid="{00000000-0005-0000-0000-0000DA8B0000}"/>
    <cellStyle name="Porcentaje 3 7 2 2 2 3" xfId="14541" xr:uid="{00000000-0005-0000-0000-0000DB8B0000}"/>
    <cellStyle name="Porcentaje 3 7 2 2 2 3 2" xfId="34256" xr:uid="{00000000-0005-0000-0000-0000DC8B0000}"/>
    <cellStyle name="Porcentaje 3 7 2 2 2 4" xfId="24399" xr:uid="{00000000-0005-0000-0000-0000DD8B0000}"/>
    <cellStyle name="Porcentaje 3 7 2 2 3" xfId="7145" xr:uid="{00000000-0005-0000-0000-0000DE8B0000}"/>
    <cellStyle name="Porcentaje 3 7 2 2 3 2" xfId="17005" xr:uid="{00000000-0005-0000-0000-0000DF8B0000}"/>
    <cellStyle name="Porcentaje 3 7 2 2 3 2 2" xfId="36720" xr:uid="{00000000-0005-0000-0000-0000E08B0000}"/>
    <cellStyle name="Porcentaje 3 7 2 2 3 3" xfId="26863" xr:uid="{00000000-0005-0000-0000-0000E18B0000}"/>
    <cellStyle name="Porcentaje 3 7 2 2 4" xfId="12077" xr:uid="{00000000-0005-0000-0000-0000E28B0000}"/>
    <cellStyle name="Porcentaje 3 7 2 2 4 2" xfId="31792" xr:uid="{00000000-0005-0000-0000-0000E38B0000}"/>
    <cellStyle name="Porcentaje 3 7 2 2 5" xfId="21935" xr:uid="{00000000-0005-0000-0000-0000E48B0000}"/>
    <cellStyle name="Porcentaje 3 7 2 3" xfId="3445" xr:uid="{00000000-0005-0000-0000-0000E58B0000}"/>
    <cellStyle name="Porcentaje 3 7 2 3 2" xfId="8377" xr:uid="{00000000-0005-0000-0000-0000E68B0000}"/>
    <cellStyle name="Porcentaje 3 7 2 3 2 2" xfId="18237" xr:uid="{00000000-0005-0000-0000-0000E78B0000}"/>
    <cellStyle name="Porcentaje 3 7 2 3 2 2 2" xfId="37952" xr:uid="{00000000-0005-0000-0000-0000E88B0000}"/>
    <cellStyle name="Porcentaje 3 7 2 3 2 3" xfId="28095" xr:uid="{00000000-0005-0000-0000-0000E98B0000}"/>
    <cellStyle name="Porcentaje 3 7 2 3 3" xfId="13309" xr:uid="{00000000-0005-0000-0000-0000EA8B0000}"/>
    <cellStyle name="Porcentaje 3 7 2 3 3 2" xfId="33024" xr:uid="{00000000-0005-0000-0000-0000EB8B0000}"/>
    <cellStyle name="Porcentaje 3 7 2 3 4" xfId="23167" xr:uid="{00000000-0005-0000-0000-0000EC8B0000}"/>
    <cellStyle name="Porcentaje 3 7 2 4" xfId="5913" xr:uid="{00000000-0005-0000-0000-0000ED8B0000}"/>
    <cellStyle name="Porcentaje 3 7 2 4 2" xfId="15773" xr:uid="{00000000-0005-0000-0000-0000EE8B0000}"/>
    <cellStyle name="Porcentaje 3 7 2 4 2 2" xfId="35488" xr:uid="{00000000-0005-0000-0000-0000EF8B0000}"/>
    <cellStyle name="Porcentaje 3 7 2 4 3" xfId="25631" xr:uid="{00000000-0005-0000-0000-0000F08B0000}"/>
    <cellStyle name="Porcentaje 3 7 2 5" xfId="10845" xr:uid="{00000000-0005-0000-0000-0000F18B0000}"/>
    <cellStyle name="Porcentaje 3 7 2 5 2" xfId="30560" xr:uid="{00000000-0005-0000-0000-0000F28B0000}"/>
    <cellStyle name="Porcentaje 3 7 2 6" xfId="20703" xr:uid="{00000000-0005-0000-0000-0000F38B0000}"/>
    <cellStyle name="Porcentaje 3 7 3" xfId="1594" xr:uid="{00000000-0005-0000-0000-0000F48B0000}"/>
    <cellStyle name="Porcentaje 3 7 3 2" xfId="4061" xr:uid="{00000000-0005-0000-0000-0000F58B0000}"/>
    <cellStyle name="Porcentaje 3 7 3 2 2" xfId="8993" xr:uid="{00000000-0005-0000-0000-0000F68B0000}"/>
    <cellStyle name="Porcentaje 3 7 3 2 2 2" xfId="18853" xr:uid="{00000000-0005-0000-0000-0000F78B0000}"/>
    <cellStyle name="Porcentaje 3 7 3 2 2 2 2" xfId="38568" xr:uid="{00000000-0005-0000-0000-0000F88B0000}"/>
    <cellStyle name="Porcentaje 3 7 3 2 2 3" xfId="28711" xr:uid="{00000000-0005-0000-0000-0000F98B0000}"/>
    <cellStyle name="Porcentaje 3 7 3 2 3" xfId="13925" xr:uid="{00000000-0005-0000-0000-0000FA8B0000}"/>
    <cellStyle name="Porcentaje 3 7 3 2 3 2" xfId="33640" xr:uid="{00000000-0005-0000-0000-0000FB8B0000}"/>
    <cellStyle name="Porcentaje 3 7 3 2 4" xfId="23783" xr:uid="{00000000-0005-0000-0000-0000FC8B0000}"/>
    <cellStyle name="Porcentaje 3 7 3 3" xfId="6529" xr:uid="{00000000-0005-0000-0000-0000FD8B0000}"/>
    <cellStyle name="Porcentaje 3 7 3 3 2" xfId="16389" xr:uid="{00000000-0005-0000-0000-0000FE8B0000}"/>
    <cellStyle name="Porcentaje 3 7 3 3 2 2" xfId="36104" xr:uid="{00000000-0005-0000-0000-0000FF8B0000}"/>
    <cellStyle name="Porcentaje 3 7 3 3 3" xfId="26247" xr:uid="{00000000-0005-0000-0000-0000008C0000}"/>
    <cellStyle name="Porcentaje 3 7 3 4" xfId="11461" xr:uid="{00000000-0005-0000-0000-0000018C0000}"/>
    <cellStyle name="Porcentaje 3 7 3 4 2" xfId="31176" xr:uid="{00000000-0005-0000-0000-0000028C0000}"/>
    <cellStyle name="Porcentaje 3 7 3 5" xfId="21319" xr:uid="{00000000-0005-0000-0000-0000038C0000}"/>
    <cellStyle name="Porcentaje 3 7 4" xfId="2829" xr:uid="{00000000-0005-0000-0000-0000048C0000}"/>
    <cellStyle name="Porcentaje 3 7 4 2" xfId="7761" xr:uid="{00000000-0005-0000-0000-0000058C0000}"/>
    <cellStyle name="Porcentaje 3 7 4 2 2" xfId="17621" xr:uid="{00000000-0005-0000-0000-0000068C0000}"/>
    <cellStyle name="Porcentaje 3 7 4 2 2 2" xfId="37336" xr:uid="{00000000-0005-0000-0000-0000078C0000}"/>
    <cellStyle name="Porcentaje 3 7 4 2 3" xfId="27479" xr:uid="{00000000-0005-0000-0000-0000088C0000}"/>
    <cellStyle name="Porcentaje 3 7 4 3" xfId="12693" xr:uid="{00000000-0005-0000-0000-0000098C0000}"/>
    <cellStyle name="Porcentaje 3 7 4 3 2" xfId="32408" xr:uid="{00000000-0005-0000-0000-00000A8C0000}"/>
    <cellStyle name="Porcentaje 3 7 4 4" xfId="22551" xr:uid="{00000000-0005-0000-0000-00000B8C0000}"/>
    <cellStyle name="Porcentaje 3 7 5" xfId="5297" xr:uid="{00000000-0005-0000-0000-00000C8C0000}"/>
    <cellStyle name="Porcentaje 3 7 5 2" xfId="15157" xr:uid="{00000000-0005-0000-0000-00000D8C0000}"/>
    <cellStyle name="Porcentaje 3 7 5 2 2" xfId="34872" xr:uid="{00000000-0005-0000-0000-00000E8C0000}"/>
    <cellStyle name="Porcentaje 3 7 5 3" xfId="25015" xr:uid="{00000000-0005-0000-0000-00000F8C0000}"/>
    <cellStyle name="Porcentaje 3 7 6" xfId="10229" xr:uid="{00000000-0005-0000-0000-0000108C0000}"/>
    <cellStyle name="Porcentaje 3 7 6 2" xfId="29944" xr:uid="{00000000-0005-0000-0000-0000118C0000}"/>
    <cellStyle name="Porcentaje 3 7 7" xfId="20087" xr:uid="{00000000-0005-0000-0000-0000128C0000}"/>
    <cellStyle name="Porcentaje 3 8" xfId="668" xr:uid="{00000000-0005-0000-0000-0000138C0000}"/>
    <cellStyle name="Porcentaje 3 8 2" xfId="1904" xr:uid="{00000000-0005-0000-0000-0000148C0000}"/>
    <cellStyle name="Porcentaje 3 8 2 2" xfId="4371" xr:uid="{00000000-0005-0000-0000-0000158C0000}"/>
    <cellStyle name="Porcentaje 3 8 2 2 2" xfId="9303" xr:uid="{00000000-0005-0000-0000-0000168C0000}"/>
    <cellStyle name="Porcentaje 3 8 2 2 2 2" xfId="19163" xr:uid="{00000000-0005-0000-0000-0000178C0000}"/>
    <cellStyle name="Porcentaje 3 8 2 2 2 2 2" xfId="38878" xr:uid="{00000000-0005-0000-0000-0000188C0000}"/>
    <cellStyle name="Porcentaje 3 8 2 2 2 3" xfId="29021" xr:uid="{00000000-0005-0000-0000-0000198C0000}"/>
    <cellStyle name="Porcentaje 3 8 2 2 3" xfId="14235" xr:uid="{00000000-0005-0000-0000-00001A8C0000}"/>
    <cellStyle name="Porcentaje 3 8 2 2 3 2" xfId="33950" xr:uid="{00000000-0005-0000-0000-00001B8C0000}"/>
    <cellStyle name="Porcentaje 3 8 2 2 4" xfId="24093" xr:uid="{00000000-0005-0000-0000-00001C8C0000}"/>
    <cellStyle name="Porcentaje 3 8 2 3" xfId="6839" xr:uid="{00000000-0005-0000-0000-00001D8C0000}"/>
    <cellStyle name="Porcentaje 3 8 2 3 2" xfId="16699" xr:uid="{00000000-0005-0000-0000-00001E8C0000}"/>
    <cellStyle name="Porcentaje 3 8 2 3 2 2" xfId="36414" xr:uid="{00000000-0005-0000-0000-00001F8C0000}"/>
    <cellStyle name="Porcentaje 3 8 2 3 3" xfId="26557" xr:uid="{00000000-0005-0000-0000-0000208C0000}"/>
    <cellStyle name="Porcentaje 3 8 2 4" xfId="11771" xr:uid="{00000000-0005-0000-0000-0000218C0000}"/>
    <cellStyle name="Porcentaje 3 8 2 4 2" xfId="31486" xr:uid="{00000000-0005-0000-0000-0000228C0000}"/>
    <cellStyle name="Porcentaje 3 8 2 5" xfId="21629" xr:uid="{00000000-0005-0000-0000-0000238C0000}"/>
    <cellStyle name="Porcentaje 3 8 3" xfId="3139" xr:uid="{00000000-0005-0000-0000-0000248C0000}"/>
    <cellStyle name="Porcentaje 3 8 3 2" xfId="8071" xr:uid="{00000000-0005-0000-0000-0000258C0000}"/>
    <cellStyle name="Porcentaje 3 8 3 2 2" xfId="17931" xr:uid="{00000000-0005-0000-0000-0000268C0000}"/>
    <cellStyle name="Porcentaje 3 8 3 2 2 2" xfId="37646" xr:uid="{00000000-0005-0000-0000-0000278C0000}"/>
    <cellStyle name="Porcentaje 3 8 3 2 3" xfId="27789" xr:uid="{00000000-0005-0000-0000-0000288C0000}"/>
    <cellStyle name="Porcentaje 3 8 3 3" xfId="13003" xr:uid="{00000000-0005-0000-0000-0000298C0000}"/>
    <cellStyle name="Porcentaje 3 8 3 3 2" xfId="32718" xr:uid="{00000000-0005-0000-0000-00002A8C0000}"/>
    <cellStyle name="Porcentaje 3 8 3 4" xfId="22861" xr:uid="{00000000-0005-0000-0000-00002B8C0000}"/>
    <cellStyle name="Porcentaje 3 8 4" xfId="5607" xr:uid="{00000000-0005-0000-0000-00002C8C0000}"/>
    <cellStyle name="Porcentaje 3 8 4 2" xfId="15467" xr:uid="{00000000-0005-0000-0000-00002D8C0000}"/>
    <cellStyle name="Porcentaje 3 8 4 2 2" xfId="35182" xr:uid="{00000000-0005-0000-0000-00002E8C0000}"/>
    <cellStyle name="Porcentaje 3 8 4 3" xfId="25325" xr:uid="{00000000-0005-0000-0000-00002F8C0000}"/>
    <cellStyle name="Porcentaje 3 8 5" xfId="10539" xr:uid="{00000000-0005-0000-0000-0000308C0000}"/>
    <cellStyle name="Porcentaje 3 8 5 2" xfId="30254" xr:uid="{00000000-0005-0000-0000-0000318C0000}"/>
    <cellStyle name="Porcentaje 3 8 6" xfId="20397" xr:uid="{00000000-0005-0000-0000-0000328C0000}"/>
    <cellStyle name="Porcentaje 3 9" xfId="1288" xr:uid="{00000000-0005-0000-0000-0000338C0000}"/>
    <cellStyle name="Porcentaje 3 9 2" xfId="3755" xr:uid="{00000000-0005-0000-0000-0000348C0000}"/>
    <cellStyle name="Porcentaje 3 9 2 2" xfId="8687" xr:uid="{00000000-0005-0000-0000-0000358C0000}"/>
    <cellStyle name="Porcentaje 3 9 2 2 2" xfId="18547" xr:uid="{00000000-0005-0000-0000-0000368C0000}"/>
    <cellStyle name="Porcentaje 3 9 2 2 2 2" xfId="38262" xr:uid="{00000000-0005-0000-0000-0000378C0000}"/>
    <cellStyle name="Porcentaje 3 9 2 2 3" xfId="28405" xr:uid="{00000000-0005-0000-0000-0000388C0000}"/>
    <cellStyle name="Porcentaje 3 9 2 3" xfId="13619" xr:uid="{00000000-0005-0000-0000-0000398C0000}"/>
    <cellStyle name="Porcentaje 3 9 2 3 2" xfId="33334" xr:uid="{00000000-0005-0000-0000-00003A8C0000}"/>
    <cellStyle name="Porcentaje 3 9 2 4" xfId="23477" xr:uid="{00000000-0005-0000-0000-00003B8C0000}"/>
    <cellStyle name="Porcentaje 3 9 3" xfId="6223" xr:uid="{00000000-0005-0000-0000-00003C8C0000}"/>
    <cellStyle name="Porcentaje 3 9 3 2" xfId="16083" xr:uid="{00000000-0005-0000-0000-00003D8C0000}"/>
    <cellStyle name="Porcentaje 3 9 3 2 2" xfId="35798" xr:uid="{00000000-0005-0000-0000-00003E8C0000}"/>
    <cellStyle name="Porcentaje 3 9 3 3" xfId="25941" xr:uid="{00000000-0005-0000-0000-00003F8C0000}"/>
    <cellStyle name="Porcentaje 3 9 4" xfId="11155" xr:uid="{00000000-0005-0000-0000-0000408C0000}"/>
    <cellStyle name="Porcentaje 3 9 4 2" xfId="30870" xr:uid="{00000000-0005-0000-0000-0000418C0000}"/>
    <cellStyle name="Porcentaje 3 9 5" xfId="21013" xr:uid="{00000000-0005-0000-0000-0000428C0000}"/>
    <cellStyle name="Porcentaje 4" xfId="18" xr:uid="{00000000-0005-0000-0000-0000438C0000}"/>
    <cellStyle name="Porcentaje 4 10" xfId="4993" xr:uid="{00000000-0005-0000-0000-0000448C0000}"/>
    <cellStyle name="Porcentaje 4 10 2" xfId="14853" xr:uid="{00000000-0005-0000-0000-0000458C0000}"/>
    <cellStyle name="Porcentaje 4 10 2 2" xfId="34568" xr:uid="{00000000-0005-0000-0000-0000468C0000}"/>
    <cellStyle name="Porcentaje 4 10 3" xfId="24711" xr:uid="{00000000-0005-0000-0000-0000478C0000}"/>
    <cellStyle name="Porcentaje 4 11" xfId="9925" xr:uid="{00000000-0005-0000-0000-0000488C0000}"/>
    <cellStyle name="Porcentaje 4 11 2" xfId="29640" xr:uid="{00000000-0005-0000-0000-0000498C0000}"/>
    <cellStyle name="Porcentaje 4 12" xfId="19783" xr:uid="{00000000-0005-0000-0000-00004A8C0000}"/>
    <cellStyle name="Porcentaje 4 2" xfId="47" xr:uid="{00000000-0005-0000-0000-00004B8C0000}"/>
    <cellStyle name="Porcentaje 4 2 10" xfId="9944" xr:uid="{00000000-0005-0000-0000-00004C8C0000}"/>
    <cellStyle name="Porcentaje 4 2 10 2" xfId="29659" xr:uid="{00000000-0005-0000-0000-00004D8C0000}"/>
    <cellStyle name="Porcentaje 4 2 11" xfId="19802" xr:uid="{00000000-0005-0000-0000-00004E8C0000}"/>
    <cellStyle name="Porcentaje 4 2 2" xfId="90" xr:uid="{00000000-0005-0000-0000-00004F8C0000}"/>
    <cellStyle name="Porcentaje 4 2 2 10" xfId="19840" xr:uid="{00000000-0005-0000-0000-0000508C0000}"/>
    <cellStyle name="Porcentaje 4 2 2 2" xfId="171" xr:uid="{00000000-0005-0000-0000-0000518C0000}"/>
    <cellStyle name="Porcentaje 4 2 2 2 2" xfId="328" xr:uid="{00000000-0005-0000-0000-0000528C0000}"/>
    <cellStyle name="Porcentaje 4 2 2 2 2 2" xfId="642" xr:uid="{00000000-0005-0000-0000-0000538C0000}"/>
    <cellStyle name="Porcentaje 4 2 2 2 2 2 2" xfId="1262" xr:uid="{00000000-0005-0000-0000-0000548C0000}"/>
    <cellStyle name="Porcentaje 4 2 2 2 2 2 2 2" xfId="2497" xr:uid="{00000000-0005-0000-0000-0000558C0000}"/>
    <cellStyle name="Porcentaje 4 2 2 2 2 2 2 2 2" xfId="4964" xr:uid="{00000000-0005-0000-0000-0000568C0000}"/>
    <cellStyle name="Porcentaje 4 2 2 2 2 2 2 2 2 2" xfId="9896" xr:uid="{00000000-0005-0000-0000-0000578C0000}"/>
    <cellStyle name="Porcentaje 4 2 2 2 2 2 2 2 2 2 2" xfId="19756" xr:uid="{00000000-0005-0000-0000-0000588C0000}"/>
    <cellStyle name="Porcentaje 4 2 2 2 2 2 2 2 2 2 2 2" xfId="39471" xr:uid="{00000000-0005-0000-0000-0000598C0000}"/>
    <cellStyle name="Porcentaje 4 2 2 2 2 2 2 2 2 2 3" xfId="29614" xr:uid="{00000000-0005-0000-0000-00005A8C0000}"/>
    <cellStyle name="Porcentaje 4 2 2 2 2 2 2 2 2 3" xfId="14828" xr:uid="{00000000-0005-0000-0000-00005B8C0000}"/>
    <cellStyle name="Porcentaje 4 2 2 2 2 2 2 2 2 3 2" xfId="34543" xr:uid="{00000000-0005-0000-0000-00005C8C0000}"/>
    <cellStyle name="Porcentaje 4 2 2 2 2 2 2 2 2 4" xfId="24686" xr:uid="{00000000-0005-0000-0000-00005D8C0000}"/>
    <cellStyle name="Porcentaje 4 2 2 2 2 2 2 2 3" xfId="7432" xr:uid="{00000000-0005-0000-0000-00005E8C0000}"/>
    <cellStyle name="Porcentaje 4 2 2 2 2 2 2 2 3 2" xfId="17292" xr:uid="{00000000-0005-0000-0000-00005F8C0000}"/>
    <cellStyle name="Porcentaje 4 2 2 2 2 2 2 2 3 2 2" xfId="37007" xr:uid="{00000000-0005-0000-0000-0000608C0000}"/>
    <cellStyle name="Porcentaje 4 2 2 2 2 2 2 2 3 3" xfId="27150" xr:uid="{00000000-0005-0000-0000-0000618C0000}"/>
    <cellStyle name="Porcentaje 4 2 2 2 2 2 2 2 4" xfId="12364" xr:uid="{00000000-0005-0000-0000-0000628C0000}"/>
    <cellStyle name="Porcentaje 4 2 2 2 2 2 2 2 4 2" xfId="32079" xr:uid="{00000000-0005-0000-0000-0000638C0000}"/>
    <cellStyle name="Porcentaje 4 2 2 2 2 2 2 2 5" xfId="22222" xr:uid="{00000000-0005-0000-0000-0000648C0000}"/>
    <cellStyle name="Porcentaje 4 2 2 2 2 2 2 3" xfId="3732" xr:uid="{00000000-0005-0000-0000-0000658C0000}"/>
    <cellStyle name="Porcentaje 4 2 2 2 2 2 2 3 2" xfId="8664" xr:uid="{00000000-0005-0000-0000-0000668C0000}"/>
    <cellStyle name="Porcentaje 4 2 2 2 2 2 2 3 2 2" xfId="18524" xr:uid="{00000000-0005-0000-0000-0000678C0000}"/>
    <cellStyle name="Porcentaje 4 2 2 2 2 2 2 3 2 2 2" xfId="38239" xr:uid="{00000000-0005-0000-0000-0000688C0000}"/>
    <cellStyle name="Porcentaje 4 2 2 2 2 2 2 3 2 3" xfId="28382" xr:uid="{00000000-0005-0000-0000-0000698C0000}"/>
    <cellStyle name="Porcentaje 4 2 2 2 2 2 2 3 3" xfId="13596" xr:uid="{00000000-0005-0000-0000-00006A8C0000}"/>
    <cellStyle name="Porcentaje 4 2 2 2 2 2 2 3 3 2" xfId="33311" xr:uid="{00000000-0005-0000-0000-00006B8C0000}"/>
    <cellStyle name="Porcentaje 4 2 2 2 2 2 2 3 4" xfId="23454" xr:uid="{00000000-0005-0000-0000-00006C8C0000}"/>
    <cellStyle name="Porcentaje 4 2 2 2 2 2 2 4" xfId="6200" xr:uid="{00000000-0005-0000-0000-00006D8C0000}"/>
    <cellStyle name="Porcentaje 4 2 2 2 2 2 2 4 2" xfId="16060" xr:uid="{00000000-0005-0000-0000-00006E8C0000}"/>
    <cellStyle name="Porcentaje 4 2 2 2 2 2 2 4 2 2" xfId="35775" xr:uid="{00000000-0005-0000-0000-00006F8C0000}"/>
    <cellStyle name="Porcentaje 4 2 2 2 2 2 2 4 3" xfId="25918" xr:uid="{00000000-0005-0000-0000-0000708C0000}"/>
    <cellStyle name="Porcentaje 4 2 2 2 2 2 2 5" xfId="11132" xr:uid="{00000000-0005-0000-0000-0000718C0000}"/>
    <cellStyle name="Porcentaje 4 2 2 2 2 2 2 5 2" xfId="30847" xr:uid="{00000000-0005-0000-0000-0000728C0000}"/>
    <cellStyle name="Porcentaje 4 2 2 2 2 2 2 6" xfId="20990" xr:uid="{00000000-0005-0000-0000-0000738C0000}"/>
    <cellStyle name="Porcentaje 4 2 2 2 2 2 3" xfId="1881" xr:uid="{00000000-0005-0000-0000-0000748C0000}"/>
    <cellStyle name="Porcentaje 4 2 2 2 2 2 3 2" xfId="4348" xr:uid="{00000000-0005-0000-0000-0000758C0000}"/>
    <cellStyle name="Porcentaje 4 2 2 2 2 2 3 2 2" xfId="9280" xr:uid="{00000000-0005-0000-0000-0000768C0000}"/>
    <cellStyle name="Porcentaje 4 2 2 2 2 2 3 2 2 2" xfId="19140" xr:uid="{00000000-0005-0000-0000-0000778C0000}"/>
    <cellStyle name="Porcentaje 4 2 2 2 2 2 3 2 2 2 2" xfId="38855" xr:uid="{00000000-0005-0000-0000-0000788C0000}"/>
    <cellStyle name="Porcentaje 4 2 2 2 2 2 3 2 2 3" xfId="28998" xr:uid="{00000000-0005-0000-0000-0000798C0000}"/>
    <cellStyle name="Porcentaje 4 2 2 2 2 2 3 2 3" xfId="14212" xr:uid="{00000000-0005-0000-0000-00007A8C0000}"/>
    <cellStyle name="Porcentaje 4 2 2 2 2 2 3 2 3 2" xfId="33927" xr:uid="{00000000-0005-0000-0000-00007B8C0000}"/>
    <cellStyle name="Porcentaje 4 2 2 2 2 2 3 2 4" xfId="24070" xr:uid="{00000000-0005-0000-0000-00007C8C0000}"/>
    <cellStyle name="Porcentaje 4 2 2 2 2 2 3 3" xfId="6816" xr:uid="{00000000-0005-0000-0000-00007D8C0000}"/>
    <cellStyle name="Porcentaje 4 2 2 2 2 2 3 3 2" xfId="16676" xr:uid="{00000000-0005-0000-0000-00007E8C0000}"/>
    <cellStyle name="Porcentaje 4 2 2 2 2 2 3 3 2 2" xfId="36391" xr:uid="{00000000-0005-0000-0000-00007F8C0000}"/>
    <cellStyle name="Porcentaje 4 2 2 2 2 2 3 3 3" xfId="26534" xr:uid="{00000000-0005-0000-0000-0000808C0000}"/>
    <cellStyle name="Porcentaje 4 2 2 2 2 2 3 4" xfId="11748" xr:uid="{00000000-0005-0000-0000-0000818C0000}"/>
    <cellStyle name="Porcentaje 4 2 2 2 2 2 3 4 2" xfId="31463" xr:uid="{00000000-0005-0000-0000-0000828C0000}"/>
    <cellStyle name="Porcentaje 4 2 2 2 2 2 3 5" xfId="21606" xr:uid="{00000000-0005-0000-0000-0000838C0000}"/>
    <cellStyle name="Porcentaje 4 2 2 2 2 2 4" xfId="3116" xr:uid="{00000000-0005-0000-0000-0000848C0000}"/>
    <cellStyle name="Porcentaje 4 2 2 2 2 2 4 2" xfId="8048" xr:uid="{00000000-0005-0000-0000-0000858C0000}"/>
    <cellStyle name="Porcentaje 4 2 2 2 2 2 4 2 2" xfId="17908" xr:uid="{00000000-0005-0000-0000-0000868C0000}"/>
    <cellStyle name="Porcentaje 4 2 2 2 2 2 4 2 2 2" xfId="37623" xr:uid="{00000000-0005-0000-0000-0000878C0000}"/>
    <cellStyle name="Porcentaje 4 2 2 2 2 2 4 2 3" xfId="27766" xr:uid="{00000000-0005-0000-0000-0000888C0000}"/>
    <cellStyle name="Porcentaje 4 2 2 2 2 2 4 3" xfId="12980" xr:uid="{00000000-0005-0000-0000-0000898C0000}"/>
    <cellStyle name="Porcentaje 4 2 2 2 2 2 4 3 2" xfId="32695" xr:uid="{00000000-0005-0000-0000-00008A8C0000}"/>
    <cellStyle name="Porcentaje 4 2 2 2 2 2 4 4" xfId="22838" xr:uid="{00000000-0005-0000-0000-00008B8C0000}"/>
    <cellStyle name="Porcentaje 4 2 2 2 2 2 5" xfId="5584" xr:uid="{00000000-0005-0000-0000-00008C8C0000}"/>
    <cellStyle name="Porcentaje 4 2 2 2 2 2 5 2" xfId="15444" xr:uid="{00000000-0005-0000-0000-00008D8C0000}"/>
    <cellStyle name="Porcentaje 4 2 2 2 2 2 5 2 2" xfId="35159" xr:uid="{00000000-0005-0000-0000-00008E8C0000}"/>
    <cellStyle name="Porcentaje 4 2 2 2 2 2 5 3" xfId="25302" xr:uid="{00000000-0005-0000-0000-00008F8C0000}"/>
    <cellStyle name="Porcentaje 4 2 2 2 2 2 6" xfId="10516" xr:uid="{00000000-0005-0000-0000-0000908C0000}"/>
    <cellStyle name="Porcentaje 4 2 2 2 2 2 6 2" xfId="30231" xr:uid="{00000000-0005-0000-0000-0000918C0000}"/>
    <cellStyle name="Porcentaje 4 2 2 2 2 2 7" xfId="20374" xr:uid="{00000000-0005-0000-0000-0000928C0000}"/>
    <cellStyle name="Porcentaje 4 2 2 2 2 3" xfId="955" xr:uid="{00000000-0005-0000-0000-0000938C0000}"/>
    <cellStyle name="Porcentaje 4 2 2 2 2 3 2" xfId="2191" xr:uid="{00000000-0005-0000-0000-0000948C0000}"/>
    <cellStyle name="Porcentaje 4 2 2 2 2 3 2 2" xfId="4658" xr:uid="{00000000-0005-0000-0000-0000958C0000}"/>
    <cellStyle name="Porcentaje 4 2 2 2 2 3 2 2 2" xfId="9590" xr:uid="{00000000-0005-0000-0000-0000968C0000}"/>
    <cellStyle name="Porcentaje 4 2 2 2 2 3 2 2 2 2" xfId="19450" xr:uid="{00000000-0005-0000-0000-0000978C0000}"/>
    <cellStyle name="Porcentaje 4 2 2 2 2 3 2 2 2 2 2" xfId="39165" xr:uid="{00000000-0005-0000-0000-0000988C0000}"/>
    <cellStyle name="Porcentaje 4 2 2 2 2 3 2 2 2 3" xfId="29308" xr:uid="{00000000-0005-0000-0000-0000998C0000}"/>
    <cellStyle name="Porcentaje 4 2 2 2 2 3 2 2 3" xfId="14522" xr:uid="{00000000-0005-0000-0000-00009A8C0000}"/>
    <cellStyle name="Porcentaje 4 2 2 2 2 3 2 2 3 2" xfId="34237" xr:uid="{00000000-0005-0000-0000-00009B8C0000}"/>
    <cellStyle name="Porcentaje 4 2 2 2 2 3 2 2 4" xfId="24380" xr:uid="{00000000-0005-0000-0000-00009C8C0000}"/>
    <cellStyle name="Porcentaje 4 2 2 2 2 3 2 3" xfId="7126" xr:uid="{00000000-0005-0000-0000-00009D8C0000}"/>
    <cellStyle name="Porcentaje 4 2 2 2 2 3 2 3 2" xfId="16986" xr:uid="{00000000-0005-0000-0000-00009E8C0000}"/>
    <cellStyle name="Porcentaje 4 2 2 2 2 3 2 3 2 2" xfId="36701" xr:uid="{00000000-0005-0000-0000-00009F8C0000}"/>
    <cellStyle name="Porcentaje 4 2 2 2 2 3 2 3 3" xfId="26844" xr:uid="{00000000-0005-0000-0000-0000A08C0000}"/>
    <cellStyle name="Porcentaje 4 2 2 2 2 3 2 4" xfId="12058" xr:uid="{00000000-0005-0000-0000-0000A18C0000}"/>
    <cellStyle name="Porcentaje 4 2 2 2 2 3 2 4 2" xfId="31773" xr:uid="{00000000-0005-0000-0000-0000A28C0000}"/>
    <cellStyle name="Porcentaje 4 2 2 2 2 3 2 5" xfId="21916" xr:uid="{00000000-0005-0000-0000-0000A38C0000}"/>
    <cellStyle name="Porcentaje 4 2 2 2 2 3 3" xfId="3426" xr:uid="{00000000-0005-0000-0000-0000A48C0000}"/>
    <cellStyle name="Porcentaje 4 2 2 2 2 3 3 2" xfId="8358" xr:uid="{00000000-0005-0000-0000-0000A58C0000}"/>
    <cellStyle name="Porcentaje 4 2 2 2 2 3 3 2 2" xfId="18218" xr:uid="{00000000-0005-0000-0000-0000A68C0000}"/>
    <cellStyle name="Porcentaje 4 2 2 2 2 3 3 2 2 2" xfId="37933" xr:uid="{00000000-0005-0000-0000-0000A78C0000}"/>
    <cellStyle name="Porcentaje 4 2 2 2 2 3 3 2 3" xfId="28076" xr:uid="{00000000-0005-0000-0000-0000A88C0000}"/>
    <cellStyle name="Porcentaje 4 2 2 2 2 3 3 3" xfId="13290" xr:uid="{00000000-0005-0000-0000-0000A98C0000}"/>
    <cellStyle name="Porcentaje 4 2 2 2 2 3 3 3 2" xfId="33005" xr:uid="{00000000-0005-0000-0000-0000AA8C0000}"/>
    <cellStyle name="Porcentaje 4 2 2 2 2 3 3 4" xfId="23148" xr:uid="{00000000-0005-0000-0000-0000AB8C0000}"/>
    <cellStyle name="Porcentaje 4 2 2 2 2 3 4" xfId="5894" xr:uid="{00000000-0005-0000-0000-0000AC8C0000}"/>
    <cellStyle name="Porcentaje 4 2 2 2 2 3 4 2" xfId="15754" xr:uid="{00000000-0005-0000-0000-0000AD8C0000}"/>
    <cellStyle name="Porcentaje 4 2 2 2 2 3 4 2 2" xfId="35469" xr:uid="{00000000-0005-0000-0000-0000AE8C0000}"/>
    <cellStyle name="Porcentaje 4 2 2 2 2 3 4 3" xfId="25612" xr:uid="{00000000-0005-0000-0000-0000AF8C0000}"/>
    <cellStyle name="Porcentaje 4 2 2 2 2 3 5" xfId="10826" xr:uid="{00000000-0005-0000-0000-0000B08C0000}"/>
    <cellStyle name="Porcentaje 4 2 2 2 2 3 5 2" xfId="30541" xr:uid="{00000000-0005-0000-0000-0000B18C0000}"/>
    <cellStyle name="Porcentaje 4 2 2 2 2 3 6" xfId="20684" xr:uid="{00000000-0005-0000-0000-0000B28C0000}"/>
    <cellStyle name="Porcentaje 4 2 2 2 2 4" xfId="1575" xr:uid="{00000000-0005-0000-0000-0000B38C0000}"/>
    <cellStyle name="Porcentaje 4 2 2 2 2 4 2" xfId="4042" xr:uid="{00000000-0005-0000-0000-0000B48C0000}"/>
    <cellStyle name="Porcentaje 4 2 2 2 2 4 2 2" xfId="8974" xr:uid="{00000000-0005-0000-0000-0000B58C0000}"/>
    <cellStyle name="Porcentaje 4 2 2 2 2 4 2 2 2" xfId="18834" xr:uid="{00000000-0005-0000-0000-0000B68C0000}"/>
    <cellStyle name="Porcentaje 4 2 2 2 2 4 2 2 2 2" xfId="38549" xr:uid="{00000000-0005-0000-0000-0000B78C0000}"/>
    <cellStyle name="Porcentaje 4 2 2 2 2 4 2 2 3" xfId="28692" xr:uid="{00000000-0005-0000-0000-0000B88C0000}"/>
    <cellStyle name="Porcentaje 4 2 2 2 2 4 2 3" xfId="13906" xr:uid="{00000000-0005-0000-0000-0000B98C0000}"/>
    <cellStyle name="Porcentaje 4 2 2 2 2 4 2 3 2" xfId="33621" xr:uid="{00000000-0005-0000-0000-0000BA8C0000}"/>
    <cellStyle name="Porcentaje 4 2 2 2 2 4 2 4" xfId="23764" xr:uid="{00000000-0005-0000-0000-0000BB8C0000}"/>
    <cellStyle name="Porcentaje 4 2 2 2 2 4 3" xfId="6510" xr:uid="{00000000-0005-0000-0000-0000BC8C0000}"/>
    <cellStyle name="Porcentaje 4 2 2 2 2 4 3 2" xfId="16370" xr:uid="{00000000-0005-0000-0000-0000BD8C0000}"/>
    <cellStyle name="Porcentaje 4 2 2 2 2 4 3 2 2" xfId="36085" xr:uid="{00000000-0005-0000-0000-0000BE8C0000}"/>
    <cellStyle name="Porcentaje 4 2 2 2 2 4 3 3" xfId="26228" xr:uid="{00000000-0005-0000-0000-0000BF8C0000}"/>
    <cellStyle name="Porcentaje 4 2 2 2 2 4 4" xfId="11442" xr:uid="{00000000-0005-0000-0000-0000C08C0000}"/>
    <cellStyle name="Porcentaje 4 2 2 2 2 4 4 2" xfId="31157" xr:uid="{00000000-0005-0000-0000-0000C18C0000}"/>
    <cellStyle name="Porcentaje 4 2 2 2 2 4 5" xfId="21300" xr:uid="{00000000-0005-0000-0000-0000C28C0000}"/>
    <cellStyle name="Porcentaje 4 2 2 2 2 5" xfId="2810" xr:uid="{00000000-0005-0000-0000-0000C38C0000}"/>
    <cellStyle name="Porcentaje 4 2 2 2 2 5 2" xfId="7742" xr:uid="{00000000-0005-0000-0000-0000C48C0000}"/>
    <cellStyle name="Porcentaje 4 2 2 2 2 5 2 2" xfId="17602" xr:uid="{00000000-0005-0000-0000-0000C58C0000}"/>
    <cellStyle name="Porcentaje 4 2 2 2 2 5 2 2 2" xfId="37317" xr:uid="{00000000-0005-0000-0000-0000C68C0000}"/>
    <cellStyle name="Porcentaje 4 2 2 2 2 5 2 3" xfId="27460" xr:uid="{00000000-0005-0000-0000-0000C78C0000}"/>
    <cellStyle name="Porcentaje 4 2 2 2 2 5 3" xfId="12674" xr:uid="{00000000-0005-0000-0000-0000C88C0000}"/>
    <cellStyle name="Porcentaje 4 2 2 2 2 5 3 2" xfId="32389" xr:uid="{00000000-0005-0000-0000-0000C98C0000}"/>
    <cellStyle name="Porcentaje 4 2 2 2 2 5 4" xfId="22532" xr:uid="{00000000-0005-0000-0000-0000CA8C0000}"/>
    <cellStyle name="Porcentaje 4 2 2 2 2 6" xfId="5278" xr:uid="{00000000-0005-0000-0000-0000CB8C0000}"/>
    <cellStyle name="Porcentaje 4 2 2 2 2 6 2" xfId="15138" xr:uid="{00000000-0005-0000-0000-0000CC8C0000}"/>
    <cellStyle name="Porcentaje 4 2 2 2 2 6 2 2" xfId="34853" xr:uid="{00000000-0005-0000-0000-0000CD8C0000}"/>
    <cellStyle name="Porcentaje 4 2 2 2 2 6 3" xfId="24996" xr:uid="{00000000-0005-0000-0000-0000CE8C0000}"/>
    <cellStyle name="Porcentaje 4 2 2 2 2 7" xfId="10210" xr:uid="{00000000-0005-0000-0000-0000CF8C0000}"/>
    <cellStyle name="Porcentaje 4 2 2 2 2 7 2" xfId="29925" xr:uid="{00000000-0005-0000-0000-0000D08C0000}"/>
    <cellStyle name="Porcentaje 4 2 2 2 2 8" xfId="20068" xr:uid="{00000000-0005-0000-0000-0000D18C0000}"/>
    <cellStyle name="Porcentaje 4 2 2 2 3" xfId="490" xr:uid="{00000000-0005-0000-0000-0000D28C0000}"/>
    <cellStyle name="Porcentaje 4 2 2 2 3 2" xfId="1110" xr:uid="{00000000-0005-0000-0000-0000D38C0000}"/>
    <cellStyle name="Porcentaje 4 2 2 2 3 2 2" xfId="2345" xr:uid="{00000000-0005-0000-0000-0000D48C0000}"/>
    <cellStyle name="Porcentaje 4 2 2 2 3 2 2 2" xfId="4812" xr:uid="{00000000-0005-0000-0000-0000D58C0000}"/>
    <cellStyle name="Porcentaje 4 2 2 2 3 2 2 2 2" xfId="9744" xr:uid="{00000000-0005-0000-0000-0000D68C0000}"/>
    <cellStyle name="Porcentaje 4 2 2 2 3 2 2 2 2 2" xfId="19604" xr:uid="{00000000-0005-0000-0000-0000D78C0000}"/>
    <cellStyle name="Porcentaje 4 2 2 2 3 2 2 2 2 2 2" xfId="39319" xr:uid="{00000000-0005-0000-0000-0000D88C0000}"/>
    <cellStyle name="Porcentaje 4 2 2 2 3 2 2 2 2 3" xfId="29462" xr:uid="{00000000-0005-0000-0000-0000D98C0000}"/>
    <cellStyle name="Porcentaje 4 2 2 2 3 2 2 2 3" xfId="14676" xr:uid="{00000000-0005-0000-0000-0000DA8C0000}"/>
    <cellStyle name="Porcentaje 4 2 2 2 3 2 2 2 3 2" xfId="34391" xr:uid="{00000000-0005-0000-0000-0000DB8C0000}"/>
    <cellStyle name="Porcentaje 4 2 2 2 3 2 2 2 4" xfId="24534" xr:uid="{00000000-0005-0000-0000-0000DC8C0000}"/>
    <cellStyle name="Porcentaje 4 2 2 2 3 2 2 3" xfId="7280" xr:uid="{00000000-0005-0000-0000-0000DD8C0000}"/>
    <cellStyle name="Porcentaje 4 2 2 2 3 2 2 3 2" xfId="17140" xr:uid="{00000000-0005-0000-0000-0000DE8C0000}"/>
    <cellStyle name="Porcentaje 4 2 2 2 3 2 2 3 2 2" xfId="36855" xr:uid="{00000000-0005-0000-0000-0000DF8C0000}"/>
    <cellStyle name="Porcentaje 4 2 2 2 3 2 2 3 3" xfId="26998" xr:uid="{00000000-0005-0000-0000-0000E08C0000}"/>
    <cellStyle name="Porcentaje 4 2 2 2 3 2 2 4" xfId="12212" xr:uid="{00000000-0005-0000-0000-0000E18C0000}"/>
    <cellStyle name="Porcentaje 4 2 2 2 3 2 2 4 2" xfId="31927" xr:uid="{00000000-0005-0000-0000-0000E28C0000}"/>
    <cellStyle name="Porcentaje 4 2 2 2 3 2 2 5" xfId="22070" xr:uid="{00000000-0005-0000-0000-0000E38C0000}"/>
    <cellStyle name="Porcentaje 4 2 2 2 3 2 3" xfId="3580" xr:uid="{00000000-0005-0000-0000-0000E48C0000}"/>
    <cellStyle name="Porcentaje 4 2 2 2 3 2 3 2" xfId="8512" xr:uid="{00000000-0005-0000-0000-0000E58C0000}"/>
    <cellStyle name="Porcentaje 4 2 2 2 3 2 3 2 2" xfId="18372" xr:uid="{00000000-0005-0000-0000-0000E68C0000}"/>
    <cellStyle name="Porcentaje 4 2 2 2 3 2 3 2 2 2" xfId="38087" xr:uid="{00000000-0005-0000-0000-0000E78C0000}"/>
    <cellStyle name="Porcentaje 4 2 2 2 3 2 3 2 3" xfId="28230" xr:uid="{00000000-0005-0000-0000-0000E88C0000}"/>
    <cellStyle name="Porcentaje 4 2 2 2 3 2 3 3" xfId="13444" xr:uid="{00000000-0005-0000-0000-0000E98C0000}"/>
    <cellStyle name="Porcentaje 4 2 2 2 3 2 3 3 2" xfId="33159" xr:uid="{00000000-0005-0000-0000-0000EA8C0000}"/>
    <cellStyle name="Porcentaje 4 2 2 2 3 2 3 4" xfId="23302" xr:uid="{00000000-0005-0000-0000-0000EB8C0000}"/>
    <cellStyle name="Porcentaje 4 2 2 2 3 2 4" xfId="6048" xr:uid="{00000000-0005-0000-0000-0000EC8C0000}"/>
    <cellStyle name="Porcentaje 4 2 2 2 3 2 4 2" xfId="15908" xr:uid="{00000000-0005-0000-0000-0000ED8C0000}"/>
    <cellStyle name="Porcentaje 4 2 2 2 3 2 4 2 2" xfId="35623" xr:uid="{00000000-0005-0000-0000-0000EE8C0000}"/>
    <cellStyle name="Porcentaje 4 2 2 2 3 2 4 3" xfId="25766" xr:uid="{00000000-0005-0000-0000-0000EF8C0000}"/>
    <cellStyle name="Porcentaje 4 2 2 2 3 2 5" xfId="10980" xr:uid="{00000000-0005-0000-0000-0000F08C0000}"/>
    <cellStyle name="Porcentaje 4 2 2 2 3 2 5 2" xfId="30695" xr:uid="{00000000-0005-0000-0000-0000F18C0000}"/>
    <cellStyle name="Porcentaje 4 2 2 2 3 2 6" xfId="20838" xr:uid="{00000000-0005-0000-0000-0000F28C0000}"/>
    <cellStyle name="Porcentaje 4 2 2 2 3 3" xfId="1729" xr:uid="{00000000-0005-0000-0000-0000F38C0000}"/>
    <cellStyle name="Porcentaje 4 2 2 2 3 3 2" xfId="4196" xr:uid="{00000000-0005-0000-0000-0000F48C0000}"/>
    <cellStyle name="Porcentaje 4 2 2 2 3 3 2 2" xfId="9128" xr:uid="{00000000-0005-0000-0000-0000F58C0000}"/>
    <cellStyle name="Porcentaje 4 2 2 2 3 3 2 2 2" xfId="18988" xr:uid="{00000000-0005-0000-0000-0000F68C0000}"/>
    <cellStyle name="Porcentaje 4 2 2 2 3 3 2 2 2 2" xfId="38703" xr:uid="{00000000-0005-0000-0000-0000F78C0000}"/>
    <cellStyle name="Porcentaje 4 2 2 2 3 3 2 2 3" xfId="28846" xr:uid="{00000000-0005-0000-0000-0000F88C0000}"/>
    <cellStyle name="Porcentaje 4 2 2 2 3 3 2 3" xfId="14060" xr:uid="{00000000-0005-0000-0000-0000F98C0000}"/>
    <cellStyle name="Porcentaje 4 2 2 2 3 3 2 3 2" xfId="33775" xr:uid="{00000000-0005-0000-0000-0000FA8C0000}"/>
    <cellStyle name="Porcentaje 4 2 2 2 3 3 2 4" xfId="23918" xr:uid="{00000000-0005-0000-0000-0000FB8C0000}"/>
    <cellStyle name="Porcentaje 4 2 2 2 3 3 3" xfId="6664" xr:uid="{00000000-0005-0000-0000-0000FC8C0000}"/>
    <cellStyle name="Porcentaje 4 2 2 2 3 3 3 2" xfId="16524" xr:uid="{00000000-0005-0000-0000-0000FD8C0000}"/>
    <cellStyle name="Porcentaje 4 2 2 2 3 3 3 2 2" xfId="36239" xr:uid="{00000000-0005-0000-0000-0000FE8C0000}"/>
    <cellStyle name="Porcentaje 4 2 2 2 3 3 3 3" xfId="26382" xr:uid="{00000000-0005-0000-0000-0000FF8C0000}"/>
    <cellStyle name="Porcentaje 4 2 2 2 3 3 4" xfId="11596" xr:uid="{00000000-0005-0000-0000-0000008D0000}"/>
    <cellStyle name="Porcentaje 4 2 2 2 3 3 4 2" xfId="31311" xr:uid="{00000000-0005-0000-0000-0000018D0000}"/>
    <cellStyle name="Porcentaje 4 2 2 2 3 3 5" xfId="21454" xr:uid="{00000000-0005-0000-0000-0000028D0000}"/>
    <cellStyle name="Porcentaje 4 2 2 2 3 4" xfId="2964" xr:uid="{00000000-0005-0000-0000-0000038D0000}"/>
    <cellStyle name="Porcentaje 4 2 2 2 3 4 2" xfId="7896" xr:uid="{00000000-0005-0000-0000-0000048D0000}"/>
    <cellStyle name="Porcentaje 4 2 2 2 3 4 2 2" xfId="17756" xr:uid="{00000000-0005-0000-0000-0000058D0000}"/>
    <cellStyle name="Porcentaje 4 2 2 2 3 4 2 2 2" xfId="37471" xr:uid="{00000000-0005-0000-0000-0000068D0000}"/>
    <cellStyle name="Porcentaje 4 2 2 2 3 4 2 3" xfId="27614" xr:uid="{00000000-0005-0000-0000-0000078D0000}"/>
    <cellStyle name="Porcentaje 4 2 2 2 3 4 3" xfId="12828" xr:uid="{00000000-0005-0000-0000-0000088D0000}"/>
    <cellStyle name="Porcentaje 4 2 2 2 3 4 3 2" xfId="32543" xr:uid="{00000000-0005-0000-0000-0000098D0000}"/>
    <cellStyle name="Porcentaje 4 2 2 2 3 4 4" xfId="22686" xr:uid="{00000000-0005-0000-0000-00000A8D0000}"/>
    <cellStyle name="Porcentaje 4 2 2 2 3 5" xfId="5432" xr:uid="{00000000-0005-0000-0000-00000B8D0000}"/>
    <cellStyle name="Porcentaje 4 2 2 2 3 5 2" xfId="15292" xr:uid="{00000000-0005-0000-0000-00000C8D0000}"/>
    <cellStyle name="Porcentaje 4 2 2 2 3 5 2 2" xfId="35007" xr:uid="{00000000-0005-0000-0000-00000D8D0000}"/>
    <cellStyle name="Porcentaje 4 2 2 2 3 5 3" xfId="25150" xr:uid="{00000000-0005-0000-0000-00000E8D0000}"/>
    <cellStyle name="Porcentaje 4 2 2 2 3 6" xfId="10364" xr:uid="{00000000-0005-0000-0000-00000F8D0000}"/>
    <cellStyle name="Porcentaje 4 2 2 2 3 6 2" xfId="30079" xr:uid="{00000000-0005-0000-0000-0000108D0000}"/>
    <cellStyle name="Porcentaje 4 2 2 2 3 7" xfId="20222" xr:uid="{00000000-0005-0000-0000-0000118D0000}"/>
    <cellStyle name="Porcentaje 4 2 2 2 4" xfId="803" xr:uid="{00000000-0005-0000-0000-0000128D0000}"/>
    <cellStyle name="Porcentaje 4 2 2 2 4 2" xfId="2039" xr:uid="{00000000-0005-0000-0000-0000138D0000}"/>
    <cellStyle name="Porcentaje 4 2 2 2 4 2 2" xfId="4506" xr:uid="{00000000-0005-0000-0000-0000148D0000}"/>
    <cellStyle name="Porcentaje 4 2 2 2 4 2 2 2" xfId="9438" xr:uid="{00000000-0005-0000-0000-0000158D0000}"/>
    <cellStyle name="Porcentaje 4 2 2 2 4 2 2 2 2" xfId="19298" xr:uid="{00000000-0005-0000-0000-0000168D0000}"/>
    <cellStyle name="Porcentaje 4 2 2 2 4 2 2 2 2 2" xfId="39013" xr:uid="{00000000-0005-0000-0000-0000178D0000}"/>
    <cellStyle name="Porcentaje 4 2 2 2 4 2 2 2 3" xfId="29156" xr:uid="{00000000-0005-0000-0000-0000188D0000}"/>
    <cellStyle name="Porcentaje 4 2 2 2 4 2 2 3" xfId="14370" xr:uid="{00000000-0005-0000-0000-0000198D0000}"/>
    <cellStyle name="Porcentaje 4 2 2 2 4 2 2 3 2" xfId="34085" xr:uid="{00000000-0005-0000-0000-00001A8D0000}"/>
    <cellStyle name="Porcentaje 4 2 2 2 4 2 2 4" xfId="24228" xr:uid="{00000000-0005-0000-0000-00001B8D0000}"/>
    <cellStyle name="Porcentaje 4 2 2 2 4 2 3" xfId="6974" xr:uid="{00000000-0005-0000-0000-00001C8D0000}"/>
    <cellStyle name="Porcentaje 4 2 2 2 4 2 3 2" xfId="16834" xr:uid="{00000000-0005-0000-0000-00001D8D0000}"/>
    <cellStyle name="Porcentaje 4 2 2 2 4 2 3 2 2" xfId="36549" xr:uid="{00000000-0005-0000-0000-00001E8D0000}"/>
    <cellStyle name="Porcentaje 4 2 2 2 4 2 3 3" xfId="26692" xr:uid="{00000000-0005-0000-0000-00001F8D0000}"/>
    <cellStyle name="Porcentaje 4 2 2 2 4 2 4" xfId="11906" xr:uid="{00000000-0005-0000-0000-0000208D0000}"/>
    <cellStyle name="Porcentaje 4 2 2 2 4 2 4 2" xfId="31621" xr:uid="{00000000-0005-0000-0000-0000218D0000}"/>
    <cellStyle name="Porcentaje 4 2 2 2 4 2 5" xfId="21764" xr:uid="{00000000-0005-0000-0000-0000228D0000}"/>
    <cellStyle name="Porcentaje 4 2 2 2 4 3" xfId="3274" xr:uid="{00000000-0005-0000-0000-0000238D0000}"/>
    <cellStyle name="Porcentaje 4 2 2 2 4 3 2" xfId="8206" xr:uid="{00000000-0005-0000-0000-0000248D0000}"/>
    <cellStyle name="Porcentaje 4 2 2 2 4 3 2 2" xfId="18066" xr:uid="{00000000-0005-0000-0000-0000258D0000}"/>
    <cellStyle name="Porcentaje 4 2 2 2 4 3 2 2 2" xfId="37781" xr:uid="{00000000-0005-0000-0000-0000268D0000}"/>
    <cellStyle name="Porcentaje 4 2 2 2 4 3 2 3" xfId="27924" xr:uid="{00000000-0005-0000-0000-0000278D0000}"/>
    <cellStyle name="Porcentaje 4 2 2 2 4 3 3" xfId="13138" xr:uid="{00000000-0005-0000-0000-0000288D0000}"/>
    <cellStyle name="Porcentaje 4 2 2 2 4 3 3 2" xfId="32853" xr:uid="{00000000-0005-0000-0000-0000298D0000}"/>
    <cellStyle name="Porcentaje 4 2 2 2 4 3 4" xfId="22996" xr:uid="{00000000-0005-0000-0000-00002A8D0000}"/>
    <cellStyle name="Porcentaje 4 2 2 2 4 4" xfId="5742" xr:uid="{00000000-0005-0000-0000-00002B8D0000}"/>
    <cellStyle name="Porcentaje 4 2 2 2 4 4 2" xfId="15602" xr:uid="{00000000-0005-0000-0000-00002C8D0000}"/>
    <cellStyle name="Porcentaje 4 2 2 2 4 4 2 2" xfId="35317" xr:uid="{00000000-0005-0000-0000-00002D8D0000}"/>
    <cellStyle name="Porcentaje 4 2 2 2 4 4 3" xfId="25460" xr:uid="{00000000-0005-0000-0000-00002E8D0000}"/>
    <cellStyle name="Porcentaje 4 2 2 2 4 5" xfId="10674" xr:uid="{00000000-0005-0000-0000-00002F8D0000}"/>
    <cellStyle name="Porcentaje 4 2 2 2 4 5 2" xfId="30389" xr:uid="{00000000-0005-0000-0000-0000308D0000}"/>
    <cellStyle name="Porcentaje 4 2 2 2 4 6" xfId="20532" xr:uid="{00000000-0005-0000-0000-0000318D0000}"/>
    <cellStyle name="Porcentaje 4 2 2 2 5" xfId="1423" xr:uid="{00000000-0005-0000-0000-0000328D0000}"/>
    <cellStyle name="Porcentaje 4 2 2 2 5 2" xfId="3890" xr:uid="{00000000-0005-0000-0000-0000338D0000}"/>
    <cellStyle name="Porcentaje 4 2 2 2 5 2 2" xfId="8822" xr:uid="{00000000-0005-0000-0000-0000348D0000}"/>
    <cellStyle name="Porcentaje 4 2 2 2 5 2 2 2" xfId="18682" xr:uid="{00000000-0005-0000-0000-0000358D0000}"/>
    <cellStyle name="Porcentaje 4 2 2 2 5 2 2 2 2" xfId="38397" xr:uid="{00000000-0005-0000-0000-0000368D0000}"/>
    <cellStyle name="Porcentaje 4 2 2 2 5 2 2 3" xfId="28540" xr:uid="{00000000-0005-0000-0000-0000378D0000}"/>
    <cellStyle name="Porcentaje 4 2 2 2 5 2 3" xfId="13754" xr:uid="{00000000-0005-0000-0000-0000388D0000}"/>
    <cellStyle name="Porcentaje 4 2 2 2 5 2 3 2" xfId="33469" xr:uid="{00000000-0005-0000-0000-0000398D0000}"/>
    <cellStyle name="Porcentaje 4 2 2 2 5 2 4" xfId="23612" xr:uid="{00000000-0005-0000-0000-00003A8D0000}"/>
    <cellStyle name="Porcentaje 4 2 2 2 5 3" xfId="6358" xr:uid="{00000000-0005-0000-0000-00003B8D0000}"/>
    <cellStyle name="Porcentaje 4 2 2 2 5 3 2" xfId="16218" xr:uid="{00000000-0005-0000-0000-00003C8D0000}"/>
    <cellStyle name="Porcentaje 4 2 2 2 5 3 2 2" xfId="35933" xr:uid="{00000000-0005-0000-0000-00003D8D0000}"/>
    <cellStyle name="Porcentaje 4 2 2 2 5 3 3" xfId="26076" xr:uid="{00000000-0005-0000-0000-00003E8D0000}"/>
    <cellStyle name="Porcentaje 4 2 2 2 5 4" xfId="11290" xr:uid="{00000000-0005-0000-0000-00003F8D0000}"/>
    <cellStyle name="Porcentaje 4 2 2 2 5 4 2" xfId="31005" xr:uid="{00000000-0005-0000-0000-0000408D0000}"/>
    <cellStyle name="Porcentaje 4 2 2 2 5 5" xfId="21148" xr:uid="{00000000-0005-0000-0000-0000418D0000}"/>
    <cellStyle name="Porcentaje 4 2 2 2 6" xfId="2658" xr:uid="{00000000-0005-0000-0000-0000428D0000}"/>
    <cellStyle name="Porcentaje 4 2 2 2 6 2" xfId="7590" xr:uid="{00000000-0005-0000-0000-0000438D0000}"/>
    <cellStyle name="Porcentaje 4 2 2 2 6 2 2" xfId="17450" xr:uid="{00000000-0005-0000-0000-0000448D0000}"/>
    <cellStyle name="Porcentaje 4 2 2 2 6 2 2 2" xfId="37165" xr:uid="{00000000-0005-0000-0000-0000458D0000}"/>
    <cellStyle name="Porcentaje 4 2 2 2 6 2 3" xfId="27308" xr:uid="{00000000-0005-0000-0000-0000468D0000}"/>
    <cellStyle name="Porcentaje 4 2 2 2 6 3" xfId="12522" xr:uid="{00000000-0005-0000-0000-0000478D0000}"/>
    <cellStyle name="Porcentaje 4 2 2 2 6 3 2" xfId="32237" xr:uid="{00000000-0005-0000-0000-0000488D0000}"/>
    <cellStyle name="Porcentaje 4 2 2 2 6 4" xfId="22380" xr:uid="{00000000-0005-0000-0000-0000498D0000}"/>
    <cellStyle name="Porcentaje 4 2 2 2 7" xfId="5126" xr:uid="{00000000-0005-0000-0000-00004A8D0000}"/>
    <cellStyle name="Porcentaje 4 2 2 2 7 2" xfId="14986" xr:uid="{00000000-0005-0000-0000-00004B8D0000}"/>
    <cellStyle name="Porcentaje 4 2 2 2 7 2 2" xfId="34701" xr:uid="{00000000-0005-0000-0000-00004C8D0000}"/>
    <cellStyle name="Porcentaje 4 2 2 2 7 3" xfId="24844" xr:uid="{00000000-0005-0000-0000-00004D8D0000}"/>
    <cellStyle name="Porcentaje 4 2 2 2 8" xfId="10058" xr:uid="{00000000-0005-0000-0000-00004E8D0000}"/>
    <cellStyle name="Porcentaje 4 2 2 2 8 2" xfId="29773" xr:uid="{00000000-0005-0000-0000-00004F8D0000}"/>
    <cellStyle name="Porcentaje 4 2 2 2 9" xfId="19916" xr:uid="{00000000-0005-0000-0000-0000508D0000}"/>
    <cellStyle name="Porcentaje 4 2 2 3" xfId="252" xr:uid="{00000000-0005-0000-0000-0000518D0000}"/>
    <cellStyle name="Porcentaje 4 2 2 3 2" xfId="566" xr:uid="{00000000-0005-0000-0000-0000528D0000}"/>
    <cellStyle name="Porcentaje 4 2 2 3 2 2" xfId="1186" xr:uid="{00000000-0005-0000-0000-0000538D0000}"/>
    <cellStyle name="Porcentaje 4 2 2 3 2 2 2" xfId="2421" xr:uid="{00000000-0005-0000-0000-0000548D0000}"/>
    <cellStyle name="Porcentaje 4 2 2 3 2 2 2 2" xfId="4888" xr:uid="{00000000-0005-0000-0000-0000558D0000}"/>
    <cellStyle name="Porcentaje 4 2 2 3 2 2 2 2 2" xfId="9820" xr:uid="{00000000-0005-0000-0000-0000568D0000}"/>
    <cellStyle name="Porcentaje 4 2 2 3 2 2 2 2 2 2" xfId="19680" xr:uid="{00000000-0005-0000-0000-0000578D0000}"/>
    <cellStyle name="Porcentaje 4 2 2 3 2 2 2 2 2 2 2" xfId="39395" xr:uid="{00000000-0005-0000-0000-0000588D0000}"/>
    <cellStyle name="Porcentaje 4 2 2 3 2 2 2 2 2 3" xfId="29538" xr:uid="{00000000-0005-0000-0000-0000598D0000}"/>
    <cellStyle name="Porcentaje 4 2 2 3 2 2 2 2 3" xfId="14752" xr:uid="{00000000-0005-0000-0000-00005A8D0000}"/>
    <cellStyle name="Porcentaje 4 2 2 3 2 2 2 2 3 2" xfId="34467" xr:uid="{00000000-0005-0000-0000-00005B8D0000}"/>
    <cellStyle name="Porcentaje 4 2 2 3 2 2 2 2 4" xfId="24610" xr:uid="{00000000-0005-0000-0000-00005C8D0000}"/>
    <cellStyle name="Porcentaje 4 2 2 3 2 2 2 3" xfId="7356" xr:uid="{00000000-0005-0000-0000-00005D8D0000}"/>
    <cellStyle name="Porcentaje 4 2 2 3 2 2 2 3 2" xfId="17216" xr:uid="{00000000-0005-0000-0000-00005E8D0000}"/>
    <cellStyle name="Porcentaje 4 2 2 3 2 2 2 3 2 2" xfId="36931" xr:uid="{00000000-0005-0000-0000-00005F8D0000}"/>
    <cellStyle name="Porcentaje 4 2 2 3 2 2 2 3 3" xfId="27074" xr:uid="{00000000-0005-0000-0000-0000608D0000}"/>
    <cellStyle name="Porcentaje 4 2 2 3 2 2 2 4" xfId="12288" xr:uid="{00000000-0005-0000-0000-0000618D0000}"/>
    <cellStyle name="Porcentaje 4 2 2 3 2 2 2 4 2" xfId="32003" xr:uid="{00000000-0005-0000-0000-0000628D0000}"/>
    <cellStyle name="Porcentaje 4 2 2 3 2 2 2 5" xfId="22146" xr:uid="{00000000-0005-0000-0000-0000638D0000}"/>
    <cellStyle name="Porcentaje 4 2 2 3 2 2 3" xfId="3656" xr:uid="{00000000-0005-0000-0000-0000648D0000}"/>
    <cellStyle name="Porcentaje 4 2 2 3 2 2 3 2" xfId="8588" xr:uid="{00000000-0005-0000-0000-0000658D0000}"/>
    <cellStyle name="Porcentaje 4 2 2 3 2 2 3 2 2" xfId="18448" xr:uid="{00000000-0005-0000-0000-0000668D0000}"/>
    <cellStyle name="Porcentaje 4 2 2 3 2 2 3 2 2 2" xfId="38163" xr:uid="{00000000-0005-0000-0000-0000678D0000}"/>
    <cellStyle name="Porcentaje 4 2 2 3 2 2 3 2 3" xfId="28306" xr:uid="{00000000-0005-0000-0000-0000688D0000}"/>
    <cellStyle name="Porcentaje 4 2 2 3 2 2 3 3" xfId="13520" xr:uid="{00000000-0005-0000-0000-0000698D0000}"/>
    <cellStyle name="Porcentaje 4 2 2 3 2 2 3 3 2" xfId="33235" xr:uid="{00000000-0005-0000-0000-00006A8D0000}"/>
    <cellStyle name="Porcentaje 4 2 2 3 2 2 3 4" xfId="23378" xr:uid="{00000000-0005-0000-0000-00006B8D0000}"/>
    <cellStyle name="Porcentaje 4 2 2 3 2 2 4" xfId="6124" xr:uid="{00000000-0005-0000-0000-00006C8D0000}"/>
    <cellStyle name="Porcentaje 4 2 2 3 2 2 4 2" xfId="15984" xr:uid="{00000000-0005-0000-0000-00006D8D0000}"/>
    <cellStyle name="Porcentaje 4 2 2 3 2 2 4 2 2" xfId="35699" xr:uid="{00000000-0005-0000-0000-00006E8D0000}"/>
    <cellStyle name="Porcentaje 4 2 2 3 2 2 4 3" xfId="25842" xr:uid="{00000000-0005-0000-0000-00006F8D0000}"/>
    <cellStyle name="Porcentaje 4 2 2 3 2 2 5" xfId="11056" xr:uid="{00000000-0005-0000-0000-0000708D0000}"/>
    <cellStyle name="Porcentaje 4 2 2 3 2 2 5 2" xfId="30771" xr:uid="{00000000-0005-0000-0000-0000718D0000}"/>
    <cellStyle name="Porcentaje 4 2 2 3 2 2 6" xfId="20914" xr:uid="{00000000-0005-0000-0000-0000728D0000}"/>
    <cellStyle name="Porcentaje 4 2 2 3 2 3" xfId="1805" xr:uid="{00000000-0005-0000-0000-0000738D0000}"/>
    <cellStyle name="Porcentaje 4 2 2 3 2 3 2" xfId="4272" xr:uid="{00000000-0005-0000-0000-0000748D0000}"/>
    <cellStyle name="Porcentaje 4 2 2 3 2 3 2 2" xfId="9204" xr:uid="{00000000-0005-0000-0000-0000758D0000}"/>
    <cellStyle name="Porcentaje 4 2 2 3 2 3 2 2 2" xfId="19064" xr:uid="{00000000-0005-0000-0000-0000768D0000}"/>
    <cellStyle name="Porcentaje 4 2 2 3 2 3 2 2 2 2" xfId="38779" xr:uid="{00000000-0005-0000-0000-0000778D0000}"/>
    <cellStyle name="Porcentaje 4 2 2 3 2 3 2 2 3" xfId="28922" xr:uid="{00000000-0005-0000-0000-0000788D0000}"/>
    <cellStyle name="Porcentaje 4 2 2 3 2 3 2 3" xfId="14136" xr:uid="{00000000-0005-0000-0000-0000798D0000}"/>
    <cellStyle name="Porcentaje 4 2 2 3 2 3 2 3 2" xfId="33851" xr:uid="{00000000-0005-0000-0000-00007A8D0000}"/>
    <cellStyle name="Porcentaje 4 2 2 3 2 3 2 4" xfId="23994" xr:uid="{00000000-0005-0000-0000-00007B8D0000}"/>
    <cellStyle name="Porcentaje 4 2 2 3 2 3 3" xfId="6740" xr:uid="{00000000-0005-0000-0000-00007C8D0000}"/>
    <cellStyle name="Porcentaje 4 2 2 3 2 3 3 2" xfId="16600" xr:uid="{00000000-0005-0000-0000-00007D8D0000}"/>
    <cellStyle name="Porcentaje 4 2 2 3 2 3 3 2 2" xfId="36315" xr:uid="{00000000-0005-0000-0000-00007E8D0000}"/>
    <cellStyle name="Porcentaje 4 2 2 3 2 3 3 3" xfId="26458" xr:uid="{00000000-0005-0000-0000-00007F8D0000}"/>
    <cellStyle name="Porcentaje 4 2 2 3 2 3 4" xfId="11672" xr:uid="{00000000-0005-0000-0000-0000808D0000}"/>
    <cellStyle name="Porcentaje 4 2 2 3 2 3 4 2" xfId="31387" xr:uid="{00000000-0005-0000-0000-0000818D0000}"/>
    <cellStyle name="Porcentaje 4 2 2 3 2 3 5" xfId="21530" xr:uid="{00000000-0005-0000-0000-0000828D0000}"/>
    <cellStyle name="Porcentaje 4 2 2 3 2 4" xfId="3040" xr:uid="{00000000-0005-0000-0000-0000838D0000}"/>
    <cellStyle name="Porcentaje 4 2 2 3 2 4 2" xfId="7972" xr:uid="{00000000-0005-0000-0000-0000848D0000}"/>
    <cellStyle name="Porcentaje 4 2 2 3 2 4 2 2" xfId="17832" xr:uid="{00000000-0005-0000-0000-0000858D0000}"/>
    <cellStyle name="Porcentaje 4 2 2 3 2 4 2 2 2" xfId="37547" xr:uid="{00000000-0005-0000-0000-0000868D0000}"/>
    <cellStyle name="Porcentaje 4 2 2 3 2 4 2 3" xfId="27690" xr:uid="{00000000-0005-0000-0000-0000878D0000}"/>
    <cellStyle name="Porcentaje 4 2 2 3 2 4 3" xfId="12904" xr:uid="{00000000-0005-0000-0000-0000888D0000}"/>
    <cellStyle name="Porcentaje 4 2 2 3 2 4 3 2" xfId="32619" xr:uid="{00000000-0005-0000-0000-0000898D0000}"/>
    <cellStyle name="Porcentaje 4 2 2 3 2 4 4" xfId="22762" xr:uid="{00000000-0005-0000-0000-00008A8D0000}"/>
    <cellStyle name="Porcentaje 4 2 2 3 2 5" xfId="5508" xr:uid="{00000000-0005-0000-0000-00008B8D0000}"/>
    <cellStyle name="Porcentaje 4 2 2 3 2 5 2" xfId="15368" xr:uid="{00000000-0005-0000-0000-00008C8D0000}"/>
    <cellStyle name="Porcentaje 4 2 2 3 2 5 2 2" xfId="35083" xr:uid="{00000000-0005-0000-0000-00008D8D0000}"/>
    <cellStyle name="Porcentaje 4 2 2 3 2 5 3" xfId="25226" xr:uid="{00000000-0005-0000-0000-00008E8D0000}"/>
    <cellStyle name="Porcentaje 4 2 2 3 2 6" xfId="10440" xr:uid="{00000000-0005-0000-0000-00008F8D0000}"/>
    <cellStyle name="Porcentaje 4 2 2 3 2 6 2" xfId="30155" xr:uid="{00000000-0005-0000-0000-0000908D0000}"/>
    <cellStyle name="Porcentaje 4 2 2 3 2 7" xfId="20298" xr:uid="{00000000-0005-0000-0000-0000918D0000}"/>
    <cellStyle name="Porcentaje 4 2 2 3 3" xfId="879" xr:uid="{00000000-0005-0000-0000-0000928D0000}"/>
    <cellStyle name="Porcentaje 4 2 2 3 3 2" xfId="2115" xr:uid="{00000000-0005-0000-0000-0000938D0000}"/>
    <cellStyle name="Porcentaje 4 2 2 3 3 2 2" xfId="4582" xr:uid="{00000000-0005-0000-0000-0000948D0000}"/>
    <cellStyle name="Porcentaje 4 2 2 3 3 2 2 2" xfId="9514" xr:uid="{00000000-0005-0000-0000-0000958D0000}"/>
    <cellStyle name="Porcentaje 4 2 2 3 3 2 2 2 2" xfId="19374" xr:uid="{00000000-0005-0000-0000-0000968D0000}"/>
    <cellStyle name="Porcentaje 4 2 2 3 3 2 2 2 2 2" xfId="39089" xr:uid="{00000000-0005-0000-0000-0000978D0000}"/>
    <cellStyle name="Porcentaje 4 2 2 3 3 2 2 2 3" xfId="29232" xr:uid="{00000000-0005-0000-0000-0000988D0000}"/>
    <cellStyle name="Porcentaje 4 2 2 3 3 2 2 3" xfId="14446" xr:uid="{00000000-0005-0000-0000-0000998D0000}"/>
    <cellStyle name="Porcentaje 4 2 2 3 3 2 2 3 2" xfId="34161" xr:uid="{00000000-0005-0000-0000-00009A8D0000}"/>
    <cellStyle name="Porcentaje 4 2 2 3 3 2 2 4" xfId="24304" xr:uid="{00000000-0005-0000-0000-00009B8D0000}"/>
    <cellStyle name="Porcentaje 4 2 2 3 3 2 3" xfId="7050" xr:uid="{00000000-0005-0000-0000-00009C8D0000}"/>
    <cellStyle name="Porcentaje 4 2 2 3 3 2 3 2" xfId="16910" xr:uid="{00000000-0005-0000-0000-00009D8D0000}"/>
    <cellStyle name="Porcentaje 4 2 2 3 3 2 3 2 2" xfId="36625" xr:uid="{00000000-0005-0000-0000-00009E8D0000}"/>
    <cellStyle name="Porcentaje 4 2 2 3 3 2 3 3" xfId="26768" xr:uid="{00000000-0005-0000-0000-00009F8D0000}"/>
    <cellStyle name="Porcentaje 4 2 2 3 3 2 4" xfId="11982" xr:uid="{00000000-0005-0000-0000-0000A08D0000}"/>
    <cellStyle name="Porcentaje 4 2 2 3 3 2 4 2" xfId="31697" xr:uid="{00000000-0005-0000-0000-0000A18D0000}"/>
    <cellStyle name="Porcentaje 4 2 2 3 3 2 5" xfId="21840" xr:uid="{00000000-0005-0000-0000-0000A28D0000}"/>
    <cellStyle name="Porcentaje 4 2 2 3 3 3" xfId="3350" xr:uid="{00000000-0005-0000-0000-0000A38D0000}"/>
    <cellStyle name="Porcentaje 4 2 2 3 3 3 2" xfId="8282" xr:uid="{00000000-0005-0000-0000-0000A48D0000}"/>
    <cellStyle name="Porcentaje 4 2 2 3 3 3 2 2" xfId="18142" xr:uid="{00000000-0005-0000-0000-0000A58D0000}"/>
    <cellStyle name="Porcentaje 4 2 2 3 3 3 2 2 2" xfId="37857" xr:uid="{00000000-0005-0000-0000-0000A68D0000}"/>
    <cellStyle name="Porcentaje 4 2 2 3 3 3 2 3" xfId="28000" xr:uid="{00000000-0005-0000-0000-0000A78D0000}"/>
    <cellStyle name="Porcentaje 4 2 2 3 3 3 3" xfId="13214" xr:uid="{00000000-0005-0000-0000-0000A88D0000}"/>
    <cellStyle name="Porcentaje 4 2 2 3 3 3 3 2" xfId="32929" xr:uid="{00000000-0005-0000-0000-0000A98D0000}"/>
    <cellStyle name="Porcentaje 4 2 2 3 3 3 4" xfId="23072" xr:uid="{00000000-0005-0000-0000-0000AA8D0000}"/>
    <cellStyle name="Porcentaje 4 2 2 3 3 4" xfId="5818" xr:uid="{00000000-0005-0000-0000-0000AB8D0000}"/>
    <cellStyle name="Porcentaje 4 2 2 3 3 4 2" xfId="15678" xr:uid="{00000000-0005-0000-0000-0000AC8D0000}"/>
    <cellStyle name="Porcentaje 4 2 2 3 3 4 2 2" xfId="35393" xr:uid="{00000000-0005-0000-0000-0000AD8D0000}"/>
    <cellStyle name="Porcentaje 4 2 2 3 3 4 3" xfId="25536" xr:uid="{00000000-0005-0000-0000-0000AE8D0000}"/>
    <cellStyle name="Porcentaje 4 2 2 3 3 5" xfId="10750" xr:uid="{00000000-0005-0000-0000-0000AF8D0000}"/>
    <cellStyle name="Porcentaje 4 2 2 3 3 5 2" xfId="30465" xr:uid="{00000000-0005-0000-0000-0000B08D0000}"/>
    <cellStyle name="Porcentaje 4 2 2 3 3 6" xfId="20608" xr:uid="{00000000-0005-0000-0000-0000B18D0000}"/>
    <cellStyle name="Porcentaje 4 2 2 3 4" xfId="1499" xr:uid="{00000000-0005-0000-0000-0000B28D0000}"/>
    <cellStyle name="Porcentaje 4 2 2 3 4 2" xfId="3966" xr:uid="{00000000-0005-0000-0000-0000B38D0000}"/>
    <cellStyle name="Porcentaje 4 2 2 3 4 2 2" xfId="8898" xr:uid="{00000000-0005-0000-0000-0000B48D0000}"/>
    <cellStyle name="Porcentaje 4 2 2 3 4 2 2 2" xfId="18758" xr:uid="{00000000-0005-0000-0000-0000B58D0000}"/>
    <cellStyle name="Porcentaje 4 2 2 3 4 2 2 2 2" xfId="38473" xr:uid="{00000000-0005-0000-0000-0000B68D0000}"/>
    <cellStyle name="Porcentaje 4 2 2 3 4 2 2 3" xfId="28616" xr:uid="{00000000-0005-0000-0000-0000B78D0000}"/>
    <cellStyle name="Porcentaje 4 2 2 3 4 2 3" xfId="13830" xr:uid="{00000000-0005-0000-0000-0000B88D0000}"/>
    <cellStyle name="Porcentaje 4 2 2 3 4 2 3 2" xfId="33545" xr:uid="{00000000-0005-0000-0000-0000B98D0000}"/>
    <cellStyle name="Porcentaje 4 2 2 3 4 2 4" xfId="23688" xr:uid="{00000000-0005-0000-0000-0000BA8D0000}"/>
    <cellStyle name="Porcentaje 4 2 2 3 4 3" xfId="6434" xr:uid="{00000000-0005-0000-0000-0000BB8D0000}"/>
    <cellStyle name="Porcentaje 4 2 2 3 4 3 2" xfId="16294" xr:uid="{00000000-0005-0000-0000-0000BC8D0000}"/>
    <cellStyle name="Porcentaje 4 2 2 3 4 3 2 2" xfId="36009" xr:uid="{00000000-0005-0000-0000-0000BD8D0000}"/>
    <cellStyle name="Porcentaje 4 2 2 3 4 3 3" xfId="26152" xr:uid="{00000000-0005-0000-0000-0000BE8D0000}"/>
    <cellStyle name="Porcentaje 4 2 2 3 4 4" xfId="11366" xr:uid="{00000000-0005-0000-0000-0000BF8D0000}"/>
    <cellStyle name="Porcentaje 4 2 2 3 4 4 2" xfId="31081" xr:uid="{00000000-0005-0000-0000-0000C08D0000}"/>
    <cellStyle name="Porcentaje 4 2 2 3 4 5" xfId="21224" xr:uid="{00000000-0005-0000-0000-0000C18D0000}"/>
    <cellStyle name="Porcentaje 4 2 2 3 5" xfId="2734" xr:uid="{00000000-0005-0000-0000-0000C28D0000}"/>
    <cellStyle name="Porcentaje 4 2 2 3 5 2" xfId="7666" xr:uid="{00000000-0005-0000-0000-0000C38D0000}"/>
    <cellStyle name="Porcentaje 4 2 2 3 5 2 2" xfId="17526" xr:uid="{00000000-0005-0000-0000-0000C48D0000}"/>
    <cellStyle name="Porcentaje 4 2 2 3 5 2 2 2" xfId="37241" xr:uid="{00000000-0005-0000-0000-0000C58D0000}"/>
    <cellStyle name="Porcentaje 4 2 2 3 5 2 3" xfId="27384" xr:uid="{00000000-0005-0000-0000-0000C68D0000}"/>
    <cellStyle name="Porcentaje 4 2 2 3 5 3" xfId="12598" xr:uid="{00000000-0005-0000-0000-0000C78D0000}"/>
    <cellStyle name="Porcentaje 4 2 2 3 5 3 2" xfId="32313" xr:uid="{00000000-0005-0000-0000-0000C88D0000}"/>
    <cellStyle name="Porcentaje 4 2 2 3 5 4" xfId="22456" xr:uid="{00000000-0005-0000-0000-0000C98D0000}"/>
    <cellStyle name="Porcentaje 4 2 2 3 6" xfId="5202" xr:uid="{00000000-0005-0000-0000-0000CA8D0000}"/>
    <cellStyle name="Porcentaje 4 2 2 3 6 2" xfId="15062" xr:uid="{00000000-0005-0000-0000-0000CB8D0000}"/>
    <cellStyle name="Porcentaje 4 2 2 3 6 2 2" xfId="34777" xr:uid="{00000000-0005-0000-0000-0000CC8D0000}"/>
    <cellStyle name="Porcentaje 4 2 2 3 6 3" xfId="24920" xr:uid="{00000000-0005-0000-0000-0000CD8D0000}"/>
    <cellStyle name="Porcentaje 4 2 2 3 7" xfId="10134" xr:uid="{00000000-0005-0000-0000-0000CE8D0000}"/>
    <cellStyle name="Porcentaje 4 2 2 3 7 2" xfId="29849" xr:uid="{00000000-0005-0000-0000-0000CF8D0000}"/>
    <cellStyle name="Porcentaje 4 2 2 3 8" xfId="19992" xr:uid="{00000000-0005-0000-0000-0000D08D0000}"/>
    <cellStyle name="Porcentaje 4 2 2 4" xfId="414" xr:uid="{00000000-0005-0000-0000-0000D18D0000}"/>
    <cellStyle name="Porcentaje 4 2 2 4 2" xfId="1034" xr:uid="{00000000-0005-0000-0000-0000D28D0000}"/>
    <cellStyle name="Porcentaje 4 2 2 4 2 2" xfId="2269" xr:uid="{00000000-0005-0000-0000-0000D38D0000}"/>
    <cellStyle name="Porcentaje 4 2 2 4 2 2 2" xfId="4736" xr:uid="{00000000-0005-0000-0000-0000D48D0000}"/>
    <cellStyle name="Porcentaje 4 2 2 4 2 2 2 2" xfId="9668" xr:uid="{00000000-0005-0000-0000-0000D58D0000}"/>
    <cellStyle name="Porcentaje 4 2 2 4 2 2 2 2 2" xfId="19528" xr:uid="{00000000-0005-0000-0000-0000D68D0000}"/>
    <cellStyle name="Porcentaje 4 2 2 4 2 2 2 2 2 2" xfId="39243" xr:uid="{00000000-0005-0000-0000-0000D78D0000}"/>
    <cellStyle name="Porcentaje 4 2 2 4 2 2 2 2 3" xfId="29386" xr:uid="{00000000-0005-0000-0000-0000D88D0000}"/>
    <cellStyle name="Porcentaje 4 2 2 4 2 2 2 3" xfId="14600" xr:uid="{00000000-0005-0000-0000-0000D98D0000}"/>
    <cellStyle name="Porcentaje 4 2 2 4 2 2 2 3 2" xfId="34315" xr:uid="{00000000-0005-0000-0000-0000DA8D0000}"/>
    <cellStyle name="Porcentaje 4 2 2 4 2 2 2 4" xfId="24458" xr:uid="{00000000-0005-0000-0000-0000DB8D0000}"/>
    <cellStyle name="Porcentaje 4 2 2 4 2 2 3" xfId="7204" xr:uid="{00000000-0005-0000-0000-0000DC8D0000}"/>
    <cellStyle name="Porcentaje 4 2 2 4 2 2 3 2" xfId="17064" xr:uid="{00000000-0005-0000-0000-0000DD8D0000}"/>
    <cellStyle name="Porcentaje 4 2 2 4 2 2 3 2 2" xfId="36779" xr:uid="{00000000-0005-0000-0000-0000DE8D0000}"/>
    <cellStyle name="Porcentaje 4 2 2 4 2 2 3 3" xfId="26922" xr:uid="{00000000-0005-0000-0000-0000DF8D0000}"/>
    <cellStyle name="Porcentaje 4 2 2 4 2 2 4" xfId="12136" xr:uid="{00000000-0005-0000-0000-0000E08D0000}"/>
    <cellStyle name="Porcentaje 4 2 2 4 2 2 4 2" xfId="31851" xr:uid="{00000000-0005-0000-0000-0000E18D0000}"/>
    <cellStyle name="Porcentaje 4 2 2 4 2 2 5" xfId="21994" xr:uid="{00000000-0005-0000-0000-0000E28D0000}"/>
    <cellStyle name="Porcentaje 4 2 2 4 2 3" xfId="3504" xr:uid="{00000000-0005-0000-0000-0000E38D0000}"/>
    <cellStyle name="Porcentaje 4 2 2 4 2 3 2" xfId="8436" xr:uid="{00000000-0005-0000-0000-0000E48D0000}"/>
    <cellStyle name="Porcentaje 4 2 2 4 2 3 2 2" xfId="18296" xr:uid="{00000000-0005-0000-0000-0000E58D0000}"/>
    <cellStyle name="Porcentaje 4 2 2 4 2 3 2 2 2" xfId="38011" xr:uid="{00000000-0005-0000-0000-0000E68D0000}"/>
    <cellStyle name="Porcentaje 4 2 2 4 2 3 2 3" xfId="28154" xr:uid="{00000000-0005-0000-0000-0000E78D0000}"/>
    <cellStyle name="Porcentaje 4 2 2 4 2 3 3" xfId="13368" xr:uid="{00000000-0005-0000-0000-0000E88D0000}"/>
    <cellStyle name="Porcentaje 4 2 2 4 2 3 3 2" xfId="33083" xr:uid="{00000000-0005-0000-0000-0000E98D0000}"/>
    <cellStyle name="Porcentaje 4 2 2 4 2 3 4" xfId="23226" xr:uid="{00000000-0005-0000-0000-0000EA8D0000}"/>
    <cellStyle name="Porcentaje 4 2 2 4 2 4" xfId="5972" xr:uid="{00000000-0005-0000-0000-0000EB8D0000}"/>
    <cellStyle name="Porcentaje 4 2 2 4 2 4 2" xfId="15832" xr:uid="{00000000-0005-0000-0000-0000EC8D0000}"/>
    <cellStyle name="Porcentaje 4 2 2 4 2 4 2 2" xfId="35547" xr:uid="{00000000-0005-0000-0000-0000ED8D0000}"/>
    <cellStyle name="Porcentaje 4 2 2 4 2 4 3" xfId="25690" xr:uid="{00000000-0005-0000-0000-0000EE8D0000}"/>
    <cellStyle name="Porcentaje 4 2 2 4 2 5" xfId="10904" xr:uid="{00000000-0005-0000-0000-0000EF8D0000}"/>
    <cellStyle name="Porcentaje 4 2 2 4 2 5 2" xfId="30619" xr:uid="{00000000-0005-0000-0000-0000F08D0000}"/>
    <cellStyle name="Porcentaje 4 2 2 4 2 6" xfId="20762" xr:uid="{00000000-0005-0000-0000-0000F18D0000}"/>
    <cellStyle name="Porcentaje 4 2 2 4 3" xfId="1653" xr:uid="{00000000-0005-0000-0000-0000F28D0000}"/>
    <cellStyle name="Porcentaje 4 2 2 4 3 2" xfId="4120" xr:uid="{00000000-0005-0000-0000-0000F38D0000}"/>
    <cellStyle name="Porcentaje 4 2 2 4 3 2 2" xfId="9052" xr:uid="{00000000-0005-0000-0000-0000F48D0000}"/>
    <cellStyle name="Porcentaje 4 2 2 4 3 2 2 2" xfId="18912" xr:uid="{00000000-0005-0000-0000-0000F58D0000}"/>
    <cellStyle name="Porcentaje 4 2 2 4 3 2 2 2 2" xfId="38627" xr:uid="{00000000-0005-0000-0000-0000F68D0000}"/>
    <cellStyle name="Porcentaje 4 2 2 4 3 2 2 3" xfId="28770" xr:uid="{00000000-0005-0000-0000-0000F78D0000}"/>
    <cellStyle name="Porcentaje 4 2 2 4 3 2 3" xfId="13984" xr:uid="{00000000-0005-0000-0000-0000F88D0000}"/>
    <cellStyle name="Porcentaje 4 2 2 4 3 2 3 2" xfId="33699" xr:uid="{00000000-0005-0000-0000-0000F98D0000}"/>
    <cellStyle name="Porcentaje 4 2 2 4 3 2 4" xfId="23842" xr:uid="{00000000-0005-0000-0000-0000FA8D0000}"/>
    <cellStyle name="Porcentaje 4 2 2 4 3 3" xfId="6588" xr:uid="{00000000-0005-0000-0000-0000FB8D0000}"/>
    <cellStyle name="Porcentaje 4 2 2 4 3 3 2" xfId="16448" xr:uid="{00000000-0005-0000-0000-0000FC8D0000}"/>
    <cellStyle name="Porcentaje 4 2 2 4 3 3 2 2" xfId="36163" xr:uid="{00000000-0005-0000-0000-0000FD8D0000}"/>
    <cellStyle name="Porcentaje 4 2 2 4 3 3 3" xfId="26306" xr:uid="{00000000-0005-0000-0000-0000FE8D0000}"/>
    <cellStyle name="Porcentaje 4 2 2 4 3 4" xfId="11520" xr:uid="{00000000-0005-0000-0000-0000FF8D0000}"/>
    <cellStyle name="Porcentaje 4 2 2 4 3 4 2" xfId="31235" xr:uid="{00000000-0005-0000-0000-0000008E0000}"/>
    <cellStyle name="Porcentaje 4 2 2 4 3 5" xfId="21378" xr:uid="{00000000-0005-0000-0000-0000018E0000}"/>
    <cellStyle name="Porcentaje 4 2 2 4 4" xfId="2888" xr:uid="{00000000-0005-0000-0000-0000028E0000}"/>
    <cellStyle name="Porcentaje 4 2 2 4 4 2" xfId="7820" xr:uid="{00000000-0005-0000-0000-0000038E0000}"/>
    <cellStyle name="Porcentaje 4 2 2 4 4 2 2" xfId="17680" xr:uid="{00000000-0005-0000-0000-0000048E0000}"/>
    <cellStyle name="Porcentaje 4 2 2 4 4 2 2 2" xfId="37395" xr:uid="{00000000-0005-0000-0000-0000058E0000}"/>
    <cellStyle name="Porcentaje 4 2 2 4 4 2 3" xfId="27538" xr:uid="{00000000-0005-0000-0000-0000068E0000}"/>
    <cellStyle name="Porcentaje 4 2 2 4 4 3" xfId="12752" xr:uid="{00000000-0005-0000-0000-0000078E0000}"/>
    <cellStyle name="Porcentaje 4 2 2 4 4 3 2" xfId="32467" xr:uid="{00000000-0005-0000-0000-0000088E0000}"/>
    <cellStyle name="Porcentaje 4 2 2 4 4 4" xfId="22610" xr:uid="{00000000-0005-0000-0000-0000098E0000}"/>
    <cellStyle name="Porcentaje 4 2 2 4 5" xfId="5356" xr:uid="{00000000-0005-0000-0000-00000A8E0000}"/>
    <cellStyle name="Porcentaje 4 2 2 4 5 2" xfId="15216" xr:uid="{00000000-0005-0000-0000-00000B8E0000}"/>
    <cellStyle name="Porcentaje 4 2 2 4 5 2 2" xfId="34931" xr:uid="{00000000-0005-0000-0000-00000C8E0000}"/>
    <cellStyle name="Porcentaje 4 2 2 4 5 3" xfId="25074" xr:uid="{00000000-0005-0000-0000-00000D8E0000}"/>
    <cellStyle name="Porcentaje 4 2 2 4 6" xfId="10288" xr:uid="{00000000-0005-0000-0000-00000E8E0000}"/>
    <cellStyle name="Porcentaje 4 2 2 4 6 2" xfId="30003" xr:uid="{00000000-0005-0000-0000-00000F8E0000}"/>
    <cellStyle name="Porcentaje 4 2 2 4 7" xfId="20146" xr:uid="{00000000-0005-0000-0000-0000108E0000}"/>
    <cellStyle name="Porcentaje 4 2 2 5" xfId="727" xr:uid="{00000000-0005-0000-0000-0000118E0000}"/>
    <cellStyle name="Porcentaje 4 2 2 5 2" xfId="1963" xr:uid="{00000000-0005-0000-0000-0000128E0000}"/>
    <cellStyle name="Porcentaje 4 2 2 5 2 2" xfId="4430" xr:uid="{00000000-0005-0000-0000-0000138E0000}"/>
    <cellStyle name="Porcentaje 4 2 2 5 2 2 2" xfId="9362" xr:uid="{00000000-0005-0000-0000-0000148E0000}"/>
    <cellStyle name="Porcentaje 4 2 2 5 2 2 2 2" xfId="19222" xr:uid="{00000000-0005-0000-0000-0000158E0000}"/>
    <cellStyle name="Porcentaje 4 2 2 5 2 2 2 2 2" xfId="38937" xr:uid="{00000000-0005-0000-0000-0000168E0000}"/>
    <cellStyle name="Porcentaje 4 2 2 5 2 2 2 3" xfId="29080" xr:uid="{00000000-0005-0000-0000-0000178E0000}"/>
    <cellStyle name="Porcentaje 4 2 2 5 2 2 3" xfId="14294" xr:uid="{00000000-0005-0000-0000-0000188E0000}"/>
    <cellStyle name="Porcentaje 4 2 2 5 2 2 3 2" xfId="34009" xr:uid="{00000000-0005-0000-0000-0000198E0000}"/>
    <cellStyle name="Porcentaje 4 2 2 5 2 2 4" xfId="24152" xr:uid="{00000000-0005-0000-0000-00001A8E0000}"/>
    <cellStyle name="Porcentaje 4 2 2 5 2 3" xfId="6898" xr:uid="{00000000-0005-0000-0000-00001B8E0000}"/>
    <cellStyle name="Porcentaje 4 2 2 5 2 3 2" xfId="16758" xr:uid="{00000000-0005-0000-0000-00001C8E0000}"/>
    <cellStyle name="Porcentaje 4 2 2 5 2 3 2 2" xfId="36473" xr:uid="{00000000-0005-0000-0000-00001D8E0000}"/>
    <cellStyle name="Porcentaje 4 2 2 5 2 3 3" xfId="26616" xr:uid="{00000000-0005-0000-0000-00001E8E0000}"/>
    <cellStyle name="Porcentaje 4 2 2 5 2 4" xfId="11830" xr:uid="{00000000-0005-0000-0000-00001F8E0000}"/>
    <cellStyle name="Porcentaje 4 2 2 5 2 4 2" xfId="31545" xr:uid="{00000000-0005-0000-0000-0000208E0000}"/>
    <cellStyle name="Porcentaje 4 2 2 5 2 5" xfId="21688" xr:uid="{00000000-0005-0000-0000-0000218E0000}"/>
    <cellStyle name="Porcentaje 4 2 2 5 3" xfId="3198" xr:uid="{00000000-0005-0000-0000-0000228E0000}"/>
    <cellStyle name="Porcentaje 4 2 2 5 3 2" xfId="8130" xr:uid="{00000000-0005-0000-0000-0000238E0000}"/>
    <cellStyle name="Porcentaje 4 2 2 5 3 2 2" xfId="17990" xr:uid="{00000000-0005-0000-0000-0000248E0000}"/>
    <cellStyle name="Porcentaje 4 2 2 5 3 2 2 2" xfId="37705" xr:uid="{00000000-0005-0000-0000-0000258E0000}"/>
    <cellStyle name="Porcentaje 4 2 2 5 3 2 3" xfId="27848" xr:uid="{00000000-0005-0000-0000-0000268E0000}"/>
    <cellStyle name="Porcentaje 4 2 2 5 3 3" xfId="13062" xr:uid="{00000000-0005-0000-0000-0000278E0000}"/>
    <cellStyle name="Porcentaje 4 2 2 5 3 3 2" xfId="32777" xr:uid="{00000000-0005-0000-0000-0000288E0000}"/>
    <cellStyle name="Porcentaje 4 2 2 5 3 4" xfId="22920" xr:uid="{00000000-0005-0000-0000-0000298E0000}"/>
    <cellStyle name="Porcentaje 4 2 2 5 4" xfId="5666" xr:uid="{00000000-0005-0000-0000-00002A8E0000}"/>
    <cellStyle name="Porcentaje 4 2 2 5 4 2" xfId="15526" xr:uid="{00000000-0005-0000-0000-00002B8E0000}"/>
    <cellStyle name="Porcentaje 4 2 2 5 4 2 2" xfId="35241" xr:uid="{00000000-0005-0000-0000-00002C8E0000}"/>
    <cellStyle name="Porcentaje 4 2 2 5 4 3" xfId="25384" xr:uid="{00000000-0005-0000-0000-00002D8E0000}"/>
    <cellStyle name="Porcentaje 4 2 2 5 5" xfId="10598" xr:uid="{00000000-0005-0000-0000-00002E8E0000}"/>
    <cellStyle name="Porcentaje 4 2 2 5 5 2" xfId="30313" xr:uid="{00000000-0005-0000-0000-00002F8E0000}"/>
    <cellStyle name="Porcentaje 4 2 2 5 6" xfId="20456" xr:uid="{00000000-0005-0000-0000-0000308E0000}"/>
    <cellStyle name="Porcentaje 4 2 2 6" xfId="1347" xr:uid="{00000000-0005-0000-0000-0000318E0000}"/>
    <cellStyle name="Porcentaje 4 2 2 6 2" xfId="3814" xr:uid="{00000000-0005-0000-0000-0000328E0000}"/>
    <cellStyle name="Porcentaje 4 2 2 6 2 2" xfId="8746" xr:uid="{00000000-0005-0000-0000-0000338E0000}"/>
    <cellStyle name="Porcentaje 4 2 2 6 2 2 2" xfId="18606" xr:uid="{00000000-0005-0000-0000-0000348E0000}"/>
    <cellStyle name="Porcentaje 4 2 2 6 2 2 2 2" xfId="38321" xr:uid="{00000000-0005-0000-0000-0000358E0000}"/>
    <cellStyle name="Porcentaje 4 2 2 6 2 2 3" xfId="28464" xr:uid="{00000000-0005-0000-0000-0000368E0000}"/>
    <cellStyle name="Porcentaje 4 2 2 6 2 3" xfId="13678" xr:uid="{00000000-0005-0000-0000-0000378E0000}"/>
    <cellStyle name="Porcentaje 4 2 2 6 2 3 2" xfId="33393" xr:uid="{00000000-0005-0000-0000-0000388E0000}"/>
    <cellStyle name="Porcentaje 4 2 2 6 2 4" xfId="23536" xr:uid="{00000000-0005-0000-0000-0000398E0000}"/>
    <cellStyle name="Porcentaje 4 2 2 6 3" xfId="6282" xr:uid="{00000000-0005-0000-0000-00003A8E0000}"/>
    <cellStyle name="Porcentaje 4 2 2 6 3 2" xfId="16142" xr:uid="{00000000-0005-0000-0000-00003B8E0000}"/>
    <cellStyle name="Porcentaje 4 2 2 6 3 2 2" xfId="35857" xr:uid="{00000000-0005-0000-0000-00003C8E0000}"/>
    <cellStyle name="Porcentaje 4 2 2 6 3 3" xfId="26000" xr:uid="{00000000-0005-0000-0000-00003D8E0000}"/>
    <cellStyle name="Porcentaje 4 2 2 6 4" xfId="11214" xr:uid="{00000000-0005-0000-0000-00003E8E0000}"/>
    <cellStyle name="Porcentaje 4 2 2 6 4 2" xfId="30929" xr:uid="{00000000-0005-0000-0000-00003F8E0000}"/>
    <cellStyle name="Porcentaje 4 2 2 6 5" xfId="21072" xr:uid="{00000000-0005-0000-0000-0000408E0000}"/>
    <cellStyle name="Porcentaje 4 2 2 7" xfId="2582" xr:uid="{00000000-0005-0000-0000-0000418E0000}"/>
    <cellStyle name="Porcentaje 4 2 2 7 2" xfId="7514" xr:uid="{00000000-0005-0000-0000-0000428E0000}"/>
    <cellStyle name="Porcentaje 4 2 2 7 2 2" xfId="17374" xr:uid="{00000000-0005-0000-0000-0000438E0000}"/>
    <cellStyle name="Porcentaje 4 2 2 7 2 2 2" xfId="37089" xr:uid="{00000000-0005-0000-0000-0000448E0000}"/>
    <cellStyle name="Porcentaje 4 2 2 7 2 3" xfId="27232" xr:uid="{00000000-0005-0000-0000-0000458E0000}"/>
    <cellStyle name="Porcentaje 4 2 2 7 3" xfId="12446" xr:uid="{00000000-0005-0000-0000-0000468E0000}"/>
    <cellStyle name="Porcentaje 4 2 2 7 3 2" xfId="32161" xr:uid="{00000000-0005-0000-0000-0000478E0000}"/>
    <cellStyle name="Porcentaje 4 2 2 7 4" xfId="22304" xr:uid="{00000000-0005-0000-0000-0000488E0000}"/>
    <cellStyle name="Porcentaje 4 2 2 8" xfId="5050" xr:uid="{00000000-0005-0000-0000-0000498E0000}"/>
    <cellStyle name="Porcentaje 4 2 2 8 2" xfId="14910" xr:uid="{00000000-0005-0000-0000-00004A8E0000}"/>
    <cellStyle name="Porcentaje 4 2 2 8 2 2" xfId="34625" xr:uid="{00000000-0005-0000-0000-00004B8E0000}"/>
    <cellStyle name="Porcentaje 4 2 2 8 3" xfId="24768" xr:uid="{00000000-0005-0000-0000-00004C8E0000}"/>
    <cellStyle name="Porcentaje 4 2 2 9" xfId="9982" xr:uid="{00000000-0005-0000-0000-00004D8E0000}"/>
    <cellStyle name="Porcentaje 4 2 2 9 2" xfId="29697" xr:uid="{00000000-0005-0000-0000-00004E8E0000}"/>
    <cellStyle name="Porcentaje 4 2 3" xfId="133" xr:uid="{00000000-0005-0000-0000-00004F8E0000}"/>
    <cellStyle name="Porcentaje 4 2 3 2" xfId="290" xr:uid="{00000000-0005-0000-0000-0000508E0000}"/>
    <cellStyle name="Porcentaje 4 2 3 2 2" xfId="604" xr:uid="{00000000-0005-0000-0000-0000518E0000}"/>
    <cellStyle name="Porcentaje 4 2 3 2 2 2" xfId="1224" xr:uid="{00000000-0005-0000-0000-0000528E0000}"/>
    <cellStyle name="Porcentaje 4 2 3 2 2 2 2" xfId="2459" xr:uid="{00000000-0005-0000-0000-0000538E0000}"/>
    <cellStyle name="Porcentaje 4 2 3 2 2 2 2 2" xfId="4926" xr:uid="{00000000-0005-0000-0000-0000548E0000}"/>
    <cellStyle name="Porcentaje 4 2 3 2 2 2 2 2 2" xfId="9858" xr:uid="{00000000-0005-0000-0000-0000558E0000}"/>
    <cellStyle name="Porcentaje 4 2 3 2 2 2 2 2 2 2" xfId="19718" xr:uid="{00000000-0005-0000-0000-0000568E0000}"/>
    <cellStyle name="Porcentaje 4 2 3 2 2 2 2 2 2 2 2" xfId="39433" xr:uid="{00000000-0005-0000-0000-0000578E0000}"/>
    <cellStyle name="Porcentaje 4 2 3 2 2 2 2 2 2 3" xfId="29576" xr:uid="{00000000-0005-0000-0000-0000588E0000}"/>
    <cellStyle name="Porcentaje 4 2 3 2 2 2 2 2 3" xfId="14790" xr:uid="{00000000-0005-0000-0000-0000598E0000}"/>
    <cellStyle name="Porcentaje 4 2 3 2 2 2 2 2 3 2" xfId="34505" xr:uid="{00000000-0005-0000-0000-00005A8E0000}"/>
    <cellStyle name="Porcentaje 4 2 3 2 2 2 2 2 4" xfId="24648" xr:uid="{00000000-0005-0000-0000-00005B8E0000}"/>
    <cellStyle name="Porcentaje 4 2 3 2 2 2 2 3" xfId="7394" xr:uid="{00000000-0005-0000-0000-00005C8E0000}"/>
    <cellStyle name="Porcentaje 4 2 3 2 2 2 2 3 2" xfId="17254" xr:uid="{00000000-0005-0000-0000-00005D8E0000}"/>
    <cellStyle name="Porcentaje 4 2 3 2 2 2 2 3 2 2" xfId="36969" xr:uid="{00000000-0005-0000-0000-00005E8E0000}"/>
    <cellStyle name="Porcentaje 4 2 3 2 2 2 2 3 3" xfId="27112" xr:uid="{00000000-0005-0000-0000-00005F8E0000}"/>
    <cellStyle name="Porcentaje 4 2 3 2 2 2 2 4" xfId="12326" xr:uid="{00000000-0005-0000-0000-0000608E0000}"/>
    <cellStyle name="Porcentaje 4 2 3 2 2 2 2 4 2" xfId="32041" xr:uid="{00000000-0005-0000-0000-0000618E0000}"/>
    <cellStyle name="Porcentaje 4 2 3 2 2 2 2 5" xfId="22184" xr:uid="{00000000-0005-0000-0000-0000628E0000}"/>
    <cellStyle name="Porcentaje 4 2 3 2 2 2 3" xfId="3694" xr:uid="{00000000-0005-0000-0000-0000638E0000}"/>
    <cellStyle name="Porcentaje 4 2 3 2 2 2 3 2" xfId="8626" xr:uid="{00000000-0005-0000-0000-0000648E0000}"/>
    <cellStyle name="Porcentaje 4 2 3 2 2 2 3 2 2" xfId="18486" xr:uid="{00000000-0005-0000-0000-0000658E0000}"/>
    <cellStyle name="Porcentaje 4 2 3 2 2 2 3 2 2 2" xfId="38201" xr:uid="{00000000-0005-0000-0000-0000668E0000}"/>
    <cellStyle name="Porcentaje 4 2 3 2 2 2 3 2 3" xfId="28344" xr:uid="{00000000-0005-0000-0000-0000678E0000}"/>
    <cellStyle name="Porcentaje 4 2 3 2 2 2 3 3" xfId="13558" xr:uid="{00000000-0005-0000-0000-0000688E0000}"/>
    <cellStyle name="Porcentaje 4 2 3 2 2 2 3 3 2" xfId="33273" xr:uid="{00000000-0005-0000-0000-0000698E0000}"/>
    <cellStyle name="Porcentaje 4 2 3 2 2 2 3 4" xfId="23416" xr:uid="{00000000-0005-0000-0000-00006A8E0000}"/>
    <cellStyle name="Porcentaje 4 2 3 2 2 2 4" xfId="6162" xr:uid="{00000000-0005-0000-0000-00006B8E0000}"/>
    <cellStyle name="Porcentaje 4 2 3 2 2 2 4 2" xfId="16022" xr:uid="{00000000-0005-0000-0000-00006C8E0000}"/>
    <cellStyle name="Porcentaje 4 2 3 2 2 2 4 2 2" xfId="35737" xr:uid="{00000000-0005-0000-0000-00006D8E0000}"/>
    <cellStyle name="Porcentaje 4 2 3 2 2 2 4 3" xfId="25880" xr:uid="{00000000-0005-0000-0000-00006E8E0000}"/>
    <cellStyle name="Porcentaje 4 2 3 2 2 2 5" xfId="11094" xr:uid="{00000000-0005-0000-0000-00006F8E0000}"/>
    <cellStyle name="Porcentaje 4 2 3 2 2 2 5 2" xfId="30809" xr:uid="{00000000-0005-0000-0000-0000708E0000}"/>
    <cellStyle name="Porcentaje 4 2 3 2 2 2 6" xfId="20952" xr:uid="{00000000-0005-0000-0000-0000718E0000}"/>
    <cellStyle name="Porcentaje 4 2 3 2 2 3" xfId="1843" xr:uid="{00000000-0005-0000-0000-0000728E0000}"/>
    <cellStyle name="Porcentaje 4 2 3 2 2 3 2" xfId="4310" xr:uid="{00000000-0005-0000-0000-0000738E0000}"/>
    <cellStyle name="Porcentaje 4 2 3 2 2 3 2 2" xfId="9242" xr:uid="{00000000-0005-0000-0000-0000748E0000}"/>
    <cellStyle name="Porcentaje 4 2 3 2 2 3 2 2 2" xfId="19102" xr:uid="{00000000-0005-0000-0000-0000758E0000}"/>
    <cellStyle name="Porcentaje 4 2 3 2 2 3 2 2 2 2" xfId="38817" xr:uid="{00000000-0005-0000-0000-0000768E0000}"/>
    <cellStyle name="Porcentaje 4 2 3 2 2 3 2 2 3" xfId="28960" xr:uid="{00000000-0005-0000-0000-0000778E0000}"/>
    <cellStyle name="Porcentaje 4 2 3 2 2 3 2 3" xfId="14174" xr:uid="{00000000-0005-0000-0000-0000788E0000}"/>
    <cellStyle name="Porcentaje 4 2 3 2 2 3 2 3 2" xfId="33889" xr:uid="{00000000-0005-0000-0000-0000798E0000}"/>
    <cellStyle name="Porcentaje 4 2 3 2 2 3 2 4" xfId="24032" xr:uid="{00000000-0005-0000-0000-00007A8E0000}"/>
    <cellStyle name="Porcentaje 4 2 3 2 2 3 3" xfId="6778" xr:uid="{00000000-0005-0000-0000-00007B8E0000}"/>
    <cellStyle name="Porcentaje 4 2 3 2 2 3 3 2" xfId="16638" xr:uid="{00000000-0005-0000-0000-00007C8E0000}"/>
    <cellStyle name="Porcentaje 4 2 3 2 2 3 3 2 2" xfId="36353" xr:uid="{00000000-0005-0000-0000-00007D8E0000}"/>
    <cellStyle name="Porcentaje 4 2 3 2 2 3 3 3" xfId="26496" xr:uid="{00000000-0005-0000-0000-00007E8E0000}"/>
    <cellStyle name="Porcentaje 4 2 3 2 2 3 4" xfId="11710" xr:uid="{00000000-0005-0000-0000-00007F8E0000}"/>
    <cellStyle name="Porcentaje 4 2 3 2 2 3 4 2" xfId="31425" xr:uid="{00000000-0005-0000-0000-0000808E0000}"/>
    <cellStyle name="Porcentaje 4 2 3 2 2 3 5" xfId="21568" xr:uid="{00000000-0005-0000-0000-0000818E0000}"/>
    <cellStyle name="Porcentaje 4 2 3 2 2 4" xfId="3078" xr:uid="{00000000-0005-0000-0000-0000828E0000}"/>
    <cellStyle name="Porcentaje 4 2 3 2 2 4 2" xfId="8010" xr:uid="{00000000-0005-0000-0000-0000838E0000}"/>
    <cellStyle name="Porcentaje 4 2 3 2 2 4 2 2" xfId="17870" xr:uid="{00000000-0005-0000-0000-0000848E0000}"/>
    <cellStyle name="Porcentaje 4 2 3 2 2 4 2 2 2" xfId="37585" xr:uid="{00000000-0005-0000-0000-0000858E0000}"/>
    <cellStyle name="Porcentaje 4 2 3 2 2 4 2 3" xfId="27728" xr:uid="{00000000-0005-0000-0000-0000868E0000}"/>
    <cellStyle name="Porcentaje 4 2 3 2 2 4 3" xfId="12942" xr:uid="{00000000-0005-0000-0000-0000878E0000}"/>
    <cellStyle name="Porcentaje 4 2 3 2 2 4 3 2" xfId="32657" xr:uid="{00000000-0005-0000-0000-0000888E0000}"/>
    <cellStyle name="Porcentaje 4 2 3 2 2 4 4" xfId="22800" xr:uid="{00000000-0005-0000-0000-0000898E0000}"/>
    <cellStyle name="Porcentaje 4 2 3 2 2 5" xfId="5546" xr:uid="{00000000-0005-0000-0000-00008A8E0000}"/>
    <cellStyle name="Porcentaje 4 2 3 2 2 5 2" xfId="15406" xr:uid="{00000000-0005-0000-0000-00008B8E0000}"/>
    <cellStyle name="Porcentaje 4 2 3 2 2 5 2 2" xfId="35121" xr:uid="{00000000-0005-0000-0000-00008C8E0000}"/>
    <cellStyle name="Porcentaje 4 2 3 2 2 5 3" xfId="25264" xr:uid="{00000000-0005-0000-0000-00008D8E0000}"/>
    <cellStyle name="Porcentaje 4 2 3 2 2 6" xfId="10478" xr:uid="{00000000-0005-0000-0000-00008E8E0000}"/>
    <cellStyle name="Porcentaje 4 2 3 2 2 6 2" xfId="30193" xr:uid="{00000000-0005-0000-0000-00008F8E0000}"/>
    <cellStyle name="Porcentaje 4 2 3 2 2 7" xfId="20336" xr:uid="{00000000-0005-0000-0000-0000908E0000}"/>
    <cellStyle name="Porcentaje 4 2 3 2 3" xfId="917" xr:uid="{00000000-0005-0000-0000-0000918E0000}"/>
    <cellStyle name="Porcentaje 4 2 3 2 3 2" xfId="2153" xr:uid="{00000000-0005-0000-0000-0000928E0000}"/>
    <cellStyle name="Porcentaje 4 2 3 2 3 2 2" xfId="4620" xr:uid="{00000000-0005-0000-0000-0000938E0000}"/>
    <cellStyle name="Porcentaje 4 2 3 2 3 2 2 2" xfId="9552" xr:uid="{00000000-0005-0000-0000-0000948E0000}"/>
    <cellStyle name="Porcentaje 4 2 3 2 3 2 2 2 2" xfId="19412" xr:uid="{00000000-0005-0000-0000-0000958E0000}"/>
    <cellStyle name="Porcentaje 4 2 3 2 3 2 2 2 2 2" xfId="39127" xr:uid="{00000000-0005-0000-0000-0000968E0000}"/>
    <cellStyle name="Porcentaje 4 2 3 2 3 2 2 2 3" xfId="29270" xr:uid="{00000000-0005-0000-0000-0000978E0000}"/>
    <cellStyle name="Porcentaje 4 2 3 2 3 2 2 3" xfId="14484" xr:uid="{00000000-0005-0000-0000-0000988E0000}"/>
    <cellStyle name="Porcentaje 4 2 3 2 3 2 2 3 2" xfId="34199" xr:uid="{00000000-0005-0000-0000-0000998E0000}"/>
    <cellStyle name="Porcentaje 4 2 3 2 3 2 2 4" xfId="24342" xr:uid="{00000000-0005-0000-0000-00009A8E0000}"/>
    <cellStyle name="Porcentaje 4 2 3 2 3 2 3" xfId="7088" xr:uid="{00000000-0005-0000-0000-00009B8E0000}"/>
    <cellStyle name="Porcentaje 4 2 3 2 3 2 3 2" xfId="16948" xr:uid="{00000000-0005-0000-0000-00009C8E0000}"/>
    <cellStyle name="Porcentaje 4 2 3 2 3 2 3 2 2" xfId="36663" xr:uid="{00000000-0005-0000-0000-00009D8E0000}"/>
    <cellStyle name="Porcentaje 4 2 3 2 3 2 3 3" xfId="26806" xr:uid="{00000000-0005-0000-0000-00009E8E0000}"/>
    <cellStyle name="Porcentaje 4 2 3 2 3 2 4" xfId="12020" xr:uid="{00000000-0005-0000-0000-00009F8E0000}"/>
    <cellStyle name="Porcentaje 4 2 3 2 3 2 4 2" xfId="31735" xr:uid="{00000000-0005-0000-0000-0000A08E0000}"/>
    <cellStyle name="Porcentaje 4 2 3 2 3 2 5" xfId="21878" xr:uid="{00000000-0005-0000-0000-0000A18E0000}"/>
    <cellStyle name="Porcentaje 4 2 3 2 3 3" xfId="3388" xr:uid="{00000000-0005-0000-0000-0000A28E0000}"/>
    <cellStyle name="Porcentaje 4 2 3 2 3 3 2" xfId="8320" xr:uid="{00000000-0005-0000-0000-0000A38E0000}"/>
    <cellStyle name="Porcentaje 4 2 3 2 3 3 2 2" xfId="18180" xr:uid="{00000000-0005-0000-0000-0000A48E0000}"/>
    <cellStyle name="Porcentaje 4 2 3 2 3 3 2 2 2" xfId="37895" xr:uid="{00000000-0005-0000-0000-0000A58E0000}"/>
    <cellStyle name="Porcentaje 4 2 3 2 3 3 2 3" xfId="28038" xr:uid="{00000000-0005-0000-0000-0000A68E0000}"/>
    <cellStyle name="Porcentaje 4 2 3 2 3 3 3" xfId="13252" xr:uid="{00000000-0005-0000-0000-0000A78E0000}"/>
    <cellStyle name="Porcentaje 4 2 3 2 3 3 3 2" xfId="32967" xr:uid="{00000000-0005-0000-0000-0000A88E0000}"/>
    <cellStyle name="Porcentaje 4 2 3 2 3 3 4" xfId="23110" xr:uid="{00000000-0005-0000-0000-0000A98E0000}"/>
    <cellStyle name="Porcentaje 4 2 3 2 3 4" xfId="5856" xr:uid="{00000000-0005-0000-0000-0000AA8E0000}"/>
    <cellStyle name="Porcentaje 4 2 3 2 3 4 2" xfId="15716" xr:uid="{00000000-0005-0000-0000-0000AB8E0000}"/>
    <cellStyle name="Porcentaje 4 2 3 2 3 4 2 2" xfId="35431" xr:uid="{00000000-0005-0000-0000-0000AC8E0000}"/>
    <cellStyle name="Porcentaje 4 2 3 2 3 4 3" xfId="25574" xr:uid="{00000000-0005-0000-0000-0000AD8E0000}"/>
    <cellStyle name="Porcentaje 4 2 3 2 3 5" xfId="10788" xr:uid="{00000000-0005-0000-0000-0000AE8E0000}"/>
    <cellStyle name="Porcentaje 4 2 3 2 3 5 2" xfId="30503" xr:uid="{00000000-0005-0000-0000-0000AF8E0000}"/>
    <cellStyle name="Porcentaje 4 2 3 2 3 6" xfId="20646" xr:uid="{00000000-0005-0000-0000-0000B08E0000}"/>
    <cellStyle name="Porcentaje 4 2 3 2 4" xfId="1537" xr:uid="{00000000-0005-0000-0000-0000B18E0000}"/>
    <cellStyle name="Porcentaje 4 2 3 2 4 2" xfId="4004" xr:uid="{00000000-0005-0000-0000-0000B28E0000}"/>
    <cellStyle name="Porcentaje 4 2 3 2 4 2 2" xfId="8936" xr:uid="{00000000-0005-0000-0000-0000B38E0000}"/>
    <cellStyle name="Porcentaje 4 2 3 2 4 2 2 2" xfId="18796" xr:uid="{00000000-0005-0000-0000-0000B48E0000}"/>
    <cellStyle name="Porcentaje 4 2 3 2 4 2 2 2 2" xfId="38511" xr:uid="{00000000-0005-0000-0000-0000B58E0000}"/>
    <cellStyle name="Porcentaje 4 2 3 2 4 2 2 3" xfId="28654" xr:uid="{00000000-0005-0000-0000-0000B68E0000}"/>
    <cellStyle name="Porcentaje 4 2 3 2 4 2 3" xfId="13868" xr:uid="{00000000-0005-0000-0000-0000B78E0000}"/>
    <cellStyle name="Porcentaje 4 2 3 2 4 2 3 2" xfId="33583" xr:uid="{00000000-0005-0000-0000-0000B88E0000}"/>
    <cellStyle name="Porcentaje 4 2 3 2 4 2 4" xfId="23726" xr:uid="{00000000-0005-0000-0000-0000B98E0000}"/>
    <cellStyle name="Porcentaje 4 2 3 2 4 3" xfId="6472" xr:uid="{00000000-0005-0000-0000-0000BA8E0000}"/>
    <cellStyle name="Porcentaje 4 2 3 2 4 3 2" xfId="16332" xr:uid="{00000000-0005-0000-0000-0000BB8E0000}"/>
    <cellStyle name="Porcentaje 4 2 3 2 4 3 2 2" xfId="36047" xr:uid="{00000000-0005-0000-0000-0000BC8E0000}"/>
    <cellStyle name="Porcentaje 4 2 3 2 4 3 3" xfId="26190" xr:uid="{00000000-0005-0000-0000-0000BD8E0000}"/>
    <cellStyle name="Porcentaje 4 2 3 2 4 4" xfId="11404" xr:uid="{00000000-0005-0000-0000-0000BE8E0000}"/>
    <cellStyle name="Porcentaje 4 2 3 2 4 4 2" xfId="31119" xr:uid="{00000000-0005-0000-0000-0000BF8E0000}"/>
    <cellStyle name="Porcentaje 4 2 3 2 4 5" xfId="21262" xr:uid="{00000000-0005-0000-0000-0000C08E0000}"/>
    <cellStyle name="Porcentaje 4 2 3 2 5" xfId="2772" xr:uid="{00000000-0005-0000-0000-0000C18E0000}"/>
    <cellStyle name="Porcentaje 4 2 3 2 5 2" xfId="7704" xr:uid="{00000000-0005-0000-0000-0000C28E0000}"/>
    <cellStyle name="Porcentaje 4 2 3 2 5 2 2" xfId="17564" xr:uid="{00000000-0005-0000-0000-0000C38E0000}"/>
    <cellStyle name="Porcentaje 4 2 3 2 5 2 2 2" xfId="37279" xr:uid="{00000000-0005-0000-0000-0000C48E0000}"/>
    <cellStyle name="Porcentaje 4 2 3 2 5 2 3" xfId="27422" xr:uid="{00000000-0005-0000-0000-0000C58E0000}"/>
    <cellStyle name="Porcentaje 4 2 3 2 5 3" xfId="12636" xr:uid="{00000000-0005-0000-0000-0000C68E0000}"/>
    <cellStyle name="Porcentaje 4 2 3 2 5 3 2" xfId="32351" xr:uid="{00000000-0005-0000-0000-0000C78E0000}"/>
    <cellStyle name="Porcentaje 4 2 3 2 5 4" xfId="22494" xr:uid="{00000000-0005-0000-0000-0000C88E0000}"/>
    <cellStyle name="Porcentaje 4 2 3 2 6" xfId="5240" xr:uid="{00000000-0005-0000-0000-0000C98E0000}"/>
    <cellStyle name="Porcentaje 4 2 3 2 6 2" xfId="15100" xr:uid="{00000000-0005-0000-0000-0000CA8E0000}"/>
    <cellStyle name="Porcentaje 4 2 3 2 6 2 2" xfId="34815" xr:uid="{00000000-0005-0000-0000-0000CB8E0000}"/>
    <cellStyle name="Porcentaje 4 2 3 2 6 3" xfId="24958" xr:uid="{00000000-0005-0000-0000-0000CC8E0000}"/>
    <cellStyle name="Porcentaje 4 2 3 2 7" xfId="10172" xr:uid="{00000000-0005-0000-0000-0000CD8E0000}"/>
    <cellStyle name="Porcentaje 4 2 3 2 7 2" xfId="29887" xr:uid="{00000000-0005-0000-0000-0000CE8E0000}"/>
    <cellStyle name="Porcentaje 4 2 3 2 8" xfId="20030" xr:uid="{00000000-0005-0000-0000-0000CF8E0000}"/>
    <cellStyle name="Porcentaje 4 2 3 3" xfId="452" xr:uid="{00000000-0005-0000-0000-0000D08E0000}"/>
    <cellStyle name="Porcentaje 4 2 3 3 2" xfId="1072" xr:uid="{00000000-0005-0000-0000-0000D18E0000}"/>
    <cellStyle name="Porcentaje 4 2 3 3 2 2" xfId="2307" xr:uid="{00000000-0005-0000-0000-0000D28E0000}"/>
    <cellStyle name="Porcentaje 4 2 3 3 2 2 2" xfId="4774" xr:uid="{00000000-0005-0000-0000-0000D38E0000}"/>
    <cellStyle name="Porcentaje 4 2 3 3 2 2 2 2" xfId="9706" xr:uid="{00000000-0005-0000-0000-0000D48E0000}"/>
    <cellStyle name="Porcentaje 4 2 3 3 2 2 2 2 2" xfId="19566" xr:uid="{00000000-0005-0000-0000-0000D58E0000}"/>
    <cellStyle name="Porcentaje 4 2 3 3 2 2 2 2 2 2" xfId="39281" xr:uid="{00000000-0005-0000-0000-0000D68E0000}"/>
    <cellStyle name="Porcentaje 4 2 3 3 2 2 2 2 3" xfId="29424" xr:uid="{00000000-0005-0000-0000-0000D78E0000}"/>
    <cellStyle name="Porcentaje 4 2 3 3 2 2 2 3" xfId="14638" xr:uid="{00000000-0005-0000-0000-0000D88E0000}"/>
    <cellStyle name="Porcentaje 4 2 3 3 2 2 2 3 2" xfId="34353" xr:uid="{00000000-0005-0000-0000-0000D98E0000}"/>
    <cellStyle name="Porcentaje 4 2 3 3 2 2 2 4" xfId="24496" xr:uid="{00000000-0005-0000-0000-0000DA8E0000}"/>
    <cellStyle name="Porcentaje 4 2 3 3 2 2 3" xfId="7242" xr:uid="{00000000-0005-0000-0000-0000DB8E0000}"/>
    <cellStyle name="Porcentaje 4 2 3 3 2 2 3 2" xfId="17102" xr:uid="{00000000-0005-0000-0000-0000DC8E0000}"/>
    <cellStyle name="Porcentaje 4 2 3 3 2 2 3 2 2" xfId="36817" xr:uid="{00000000-0005-0000-0000-0000DD8E0000}"/>
    <cellStyle name="Porcentaje 4 2 3 3 2 2 3 3" xfId="26960" xr:uid="{00000000-0005-0000-0000-0000DE8E0000}"/>
    <cellStyle name="Porcentaje 4 2 3 3 2 2 4" xfId="12174" xr:uid="{00000000-0005-0000-0000-0000DF8E0000}"/>
    <cellStyle name="Porcentaje 4 2 3 3 2 2 4 2" xfId="31889" xr:uid="{00000000-0005-0000-0000-0000E08E0000}"/>
    <cellStyle name="Porcentaje 4 2 3 3 2 2 5" xfId="22032" xr:uid="{00000000-0005-0000-0000-0000E18E0000}"/>
    <cellStyle name="Porcentaje 4 2 3 3 2 3" xfId="3542" xr:uid="{00000000-0005-0000-0000-0000E28E0000}"/>
    <cellStyle name="Porcentaje 4 2 3 3 2 3 2" xfId="8474" xr:uid="{00000000-0005-0000-0000-0000E38E0000}"/>
    <cellStyle name="Porcentaje 4 2 3 3 2 3 2 2" xfId="18334" xr:uid="{00000000-0005-0000-0000-0000E48E0000}"/>
    <cellStyle name="Porcentaje 4 2 3 3 2 3 2 2 2" xfId="38049" xr:uid="{00000000-0005-0000-0000-0000E58E0000}"/>
    <cellStyle name="Porcentaje 4 2 3 3 2 3 2 3" xfId="28192" xr:uid="{00000000-0005-0000-0000-0000E68E0000}"/>
    <cellStyle name="Porcentaje 4 2 3 3 2 3 3" xfId="13406" xr:uid="{00000000-0005-0000-0000-0000E78E0000}"/>
    <cellStyle name="Porcentaje 4 2 3 3 2 3 3 2" xfId="33121" xr:uid="{00000000-0005-0000-0000-0000E88E0000}"/>
    <cellStyle name="Porcentaje 4 2 3 3 2 3 4" xfId="23264" xr:uid="{00000000-0005-0000-0000-0000E98E0000}"/>
    <cellStyle name="Porcentaje 4 2 3 3 2 4" xfId="6010" xr:uid="{00000000-0005-0000-0000-0000EA8E0000}"/>
    <cellStyle name="Porcentaje 4 2 3 3 2 4 2" xfId="15870" xr:uid="{00000000-0005-0000-0000-0000EB8E0000}"/>
    <cellStyle name="Porcentaje 4 2 3 3 2 4 2 2" xfId="35585" xr:uid="{00000000-0005-0000-0000-0000EC8E0000}"/>
    <cellStyle name="Porcentaje 4 2 3 3 2 4 3" xfId="25728" xr:uid="{00000000-0005-0000-0000-0000ED8E0000}"/>
    <cellStyle name="Porcentaje 4 2 3 3 2 5" xfId="10942" xr:uid="{00000000-0005-0000-0000-0000EE8E0000}"/>
    <cellStyle name="Porcentaje 4 2 3 3 2 5 2" xfId="30657" xr:uid="{00000000-0005-0000-0000-0000EF8E0000}"/>
    <cellStyle name="Porcentaje 4 2 3 3 2 6" xfId="20800" xr:uid="{00000000-0005-0000-0000-0000F08E0000}"/>
    <cellStyle name="Porcentaje 4 2 3 3 3" xfId="1691" xr:uid="{00000000-0005-0000-0000-0000F18E0000}"/>
    <cellStyle name="Porcentaje 4 2 3 3 3 2" xfId="4158" xr:uid="{00000000-0005-0000-0000-0000F28E0000}"/>
    <cellStyle name="Porcentaje 4 2 3 3 3 2 2" xfId="9090" xr:uid="{00000000-0005-0000-0000-0000F38E0000}"/>
    <cellStyle name="Porcentaje 4 2 3 3 3 2 2 2" xfId="18950" xr:uid="{00000000-0005-0000-0000-0000F48E0000}"/>
    <cellStyle name="Porcentaje 4 2 3 3 3 2 2 2 2" xfId="38665" xr:uid="{00000000-0005-0000-0000-0000F58E0000}"/>
    <cellStyle name="Porcentaje 4 2 3 3 3 2 2 3" xfId="28808" xr:uid="{00000000-0005-0000-0000-0000F68E0000}"/>
    <cellStyle name="Porcentaje 4 2 3 3 3 2 3" xfId="14022" xr:uid="{00000000-0005-0000-0000-0000F78E0000}"/>
    <cellStyle name="Porcentaje 4 2 3 3 3 2 3 2" xfId="33737" xr:uid="{00000000-0005-0000-0000-0000F88E0000}"/>
    <cellStyle name="Porcentaje 4 2 3 3 3 2 4" xfId="23880" xr:uid="{00000000-0005-0000-0000-0000F98E0000}"/>
    <cellStyle name="Porcentaje 4 2 3 3 3 3" xfId="6626" xr:uid="{00000000-0005-0000-0000-0000FA8E0000}"/>
    <cellStyle name="Porcentaje 4 2 3 3 3 3 2" xfId="16486" xr:uid="{00000000-0005-0000-0000-0000FB8E0000}"/>
    <cellStyle name="Porcentaje 4 2 3 3 3 3 2 2" xfId="36201" xr:uid="{00000000-0005-0000-0000-0000FC8E0000}"/>
    <cellStyle name="Porcentaje 4 2 3 3 3 3 3" xfId="26344" xr:uid="{00000000-0005-0000-0000-0000FD8E0000}"/>
    <cellStyle name="Porcentaje 4 2 3 3 3 4" xfId="11558" xr:uid="{00000000-0005-0000-0000-0000FE8E0000}"/>
    <cellStyle name="Porcentaje 4 2 3 3 3 4 2" xfId="31273" xr:uid="{00000000-0005-0000-0000-0000FF8E0000}"/>
    <cellStyle name="Porcentaje 4 2 3 3 3 5" xfId="21416" xr:uid="{00000000-0005-0000-0000-0000008F0000}"/>
    <cellStyle name="Porcentaje 4 2 3 3 4" xfId="2926" xr:uid="{00000000-0005-0000-0000-0000018F0000}"/>
    <cellStyle name="Porcentaje 4 2 3 3 4 2" xfId="7858" xr:uid="{00000000-0005-0000-0000-0000028F0000}"/>
    <cellStyle name="Porcentaje 4 2 3 3 4 2 2" xfId="17718" xr:uid="{00000000-0005-0000-0000-0000038F0000}"/>
    <cellStyle name="Porcentaje 4 2 3 3 4 2 2 2" xfId="37433" xr:uid="{00000000-0005-0000-0000-0000048F0000}"/>
    <cellStyle name="Porcentaje 4 2 3 3 4 2 3" xfId="27576" xr:uid="{00000000-0005-0000-0000-0000058F0000}"/>
    <cellStyle name="Porcentaje 4 2 3 3 4 3" xfId="12790" xr:uid="{00000000-0005-0000-0000-0000068F0000}"/>
    <cellStyle name="Porcentaje 4 2 3 3 4 3 2" xfId="32505" xr:uid="{00000000-0005-0000-0000-0000078F0000}"/>
    <cellStyle name="Porcentaje 4 2 3 3 4 4" xfId="22648" xr:uid="{00000000-0005-0000-0000-0000088F0000}"/>
    <cellStyle name="Porcentaje 4 2 3 3 5" xfId="5394" xr:uid="{00000000-0005-0000-0000-0000098F0000}"/>
    <cellStyle name="Porcentaje 4 2 3 3 5 2" xfId="15254" xr:uid="{00000000-0005-0000-0000-00000A8F0000}"/>
    <cellStyle name="Porcentaje 4 2 3 3 5 2 2" xfId="34969" xr:uid="{00000000-0005-0000-0000-00000B8F0000}"/>
    <cellStyle name="Porcentaje 4 2 3 3 5 3" xfId="25112" xr:uid="{00000000-0005-0000-0000-00000C8F0000}"/>
    <cellStyle name="Porcentaje 4 2 3 3 6" xfId="10326" xr:uid="{00000000-0005-0000-0000-00000D8F0000}"/>
    <cellStyle name="Porcentaje 4 2 3 3 6 2" xfId="30041" xr:uid="{00000000-0005-0000-0000-00000E8F0000}"/>
    <cellStyle name="Porcentaje 4 2 3 3 7" xfId="20184" xr:uid="{00000000-0005-0000-0000-00000F8F0000}"/>
    <cellStyle name="Porcentaje 4 2 3 4" xfId="765" xr:uid="{00000000-0005-0000-0000-0000108F0000}"/>
    <cellStyle name="Porcentaje 4 2 3 4 2" xfId="2001" xr:uid="{00000000-0005-0000-0000-0000118F0000}"/>
    <cellStyle name="Porcentaje 4 2 3 4 2 2" xfId="4468" xr:uid="{00000000-0005-0000-0000-0000128F0000}"/>
    <cellStyle name="Porcentaje 4 2 3 4 2 2 2" xfId="9400" xr:uid="{00000000-0005-0000-0000-0000138F0000}"/>
    <cellStyle name="Porcentaje 4 2 3 4 2 2 2 2" xfId="19260" xr:uid="{00000000-0005-0000-0000-0000148F0000}"/>
    <cellStyle name="Porcentaje 4 2 3 4 2 2 2 2 2" xfId="38975" xr:uid="{00000000-0005-0000-0000-0000158F0000}"/>
    <cellStyle name="Porcentaje 4 2 3 4 2 2 2 3" xfId="29118" xr:uid="{00000000-0005-0000-0000-0000168F0000}"/>
    <cellStyle name="Porcentaje 4 2 3 4 2 2 3" xfId="14332" xr:uid="{00000000-0005-0000-0000-0000178F0000}"/>
    <cellStyle name="Porcentaje 4 2 3 4 2 2 3 2" xfId="34047" xr:uid="{00000000-0005-0000-0000-0000188F0000}"/>
    <cellStyle name="Porcentaje 4 2 3 4 2 2 4" xfId="24190" xr:uid="{00000000-0005-0000-0000-0000198F0000}"/>
    <cellStyle name="Porcentaje 4 2 3 4 2 3" xfId="6936" xr:uid="{00000000-0005-0000-0000-00001A8F0000}"/>
    <cellStyle name="Porcentaje 4 2 3 4 2 3 2" xfId="16796" xr:uid="{00000000-0005-0000-0000-00001B8F0000}"/>
    <cellStyle name="Porcentaje 4 2 3 4 2 3 2 2" xfId="36511" xr:uid="{00000000-0005-0000-0000-00001C8F0000}"/>
    <cellStyle name="Porcentaje 4 2 3 4 2 3 3" xfId="26654" xr:uid="{00000000-0005-0000-0000-00001D8F0000}"/>
    <cellStyle name="Porcentaje 4 2 3 4 2 4" xfId="11868" xr:uid="{00000000-0005-0000-0000-00001E8F0000}"/>
    <cellStyle name="Porcentaje 4 2 3 4 2 4 2" xfId="31583" xr:uid="{00000000-0005-0000-0000-00001F8F0000}"/>
    <cellStyle name="Porcentaje 4 2 3 4 2 5" xfId="21726" xr:uid="{00000000-0005-0000-0000-0000208F0000}"/>
    <cellStyle name="Porcentaje 4 2 3 4 3" xfId="3236" xr:uid="{00000000-0005-0000-0000-0000218F0000}"/>
    <cellStyle name="Porcentaje 4 2 3 4 3 2" xfId="8168" xr:uid="{00000000-0005-0000-0000-0000228F0000}"/>
    <cellStyle name="Porcentaje 4 2 3 4 3 2 2" xfId="18028" xr:uid="{00000000-0005-0000-0000-0000238F0000}"/>
    <cellStyle name="Porcentaje 4 2 3 4 3 2 2 2" xfId="37743" xr:uid="{00000000-0005-0000-0000-0000248F0000}"/>
    <cellStyle name="Porcentaje 4 2 3 4 3 2 3" xfId="27886" xr:uid="{00000000-0005-0000-0000-0000258F0000}"/>
    <cellStyle name="Porcentaje 4 2 3 4 3 3" xfId="13100" xr:uid="{00000000-0005-0000-0000-0000268F0000}"/>
    <cellStyle name="Porcentaje 4 2 3 4 3 3 2" xfId="32815" xr:uid="{00000000-0005-0000-0000-0000278F0000}"/>
    <cellStyle name="Porcentaje 4 2 3 4 3 4" xfId="22958" xr:uid="{00000000-0005-0000-0000-0000288F0000}"/>
    <cellStyle name="Porcentaje 4 2 3 4 4" xfId="5704" xr:uid="{00000000-0005-0000-0000-0000298F0000}"/>
    <cellStyle name="Porcentaje 4 2 3 4 4 2" xfId="15564" xr:uid="{00000000-0005-0000-0000-00002A8F0000}"/>
    <cellStyle name="Porcentaje 4 2 3 4 4 2 2" xfId="35279" xr:uid="{00000000-0005-0000-0000-00002B8F0000}"/>
    <cellStyle name="Porcentaje 4 2 3 4 4 3" xfId="25422" xr:uid="{00000000-0005-0000-0000-00002C8F0000}"/>
    <cellStyle name="Porcentaje 4 2 3 4 5" xfId="10636" xr:uid="{00000000-0005-0000-0000-00002D8F0000}"/>
    <cellStyle name="Porcentaje 4 2 3 4 5 2" xfId="30351" xr:uid="{00000000-0005-0000-0000-00002E8F0000}"/>
    <cellStyle name="Porcentaje 4 2 3 4 6" xfId="20494" xr:uid="{00000000-0005-0000-0000-00002F8F0000}"/>
    <cellStyle name="Porcentaje 4 2 3 5" xfId="1385" xr:uid="{00000000-0005-0000-0000-0000308F0000}"/>
    <cellStyle name="Porcentaje 4 2 3 5 2" xfId="3852" xr:uid="{00000000-0005-0000-0000-0000318F0000}"/>
    <cellStyle name="Porcentaje 4 2 3 5 2 2" xfId="8784" xr:uid="{00000000-0005-0000-0000-0000328F0000}"/>
    <cellStyle name="Porcentaje 4 2 3 5 2 2 2" xfId="18644" xr:uid="{00000000-0005-0000-0000-0000338F0000}"/>
    <cellStyle name="Porcentaje 4 2 3 5 2 2 2 2" xfId="38359" xr:uid="{00000000-0005-0000-0000-0000348F0000}"/>
    <cellStyle name="Porcentaje 4 2 3 5 2 2 3" xfId="28502" xr:uid="{00000000-0005-0000-0000-0000358F0000}"/>
    <cellStyle name="Porcentaje 4 2 3 5 2 3" xfId="13716" xr:uid="{00000000-0005-0000-0000-0000368F0000}"/>
    <cellStyle name="Porcentaje 4 2 3 5 2 3 2" xfId="33431" xr:uid="{00000000-0005-0000-0000-0000378F0000}"/>
    <cellStyle name="Porcentaje 4 2 3 5 2 4" xfId="23574" xr:uid="{00000000-0005-0000-0000-0000388F0000}"/>
    <cellStyle name="Porcentaje 4 2 3 5 3" xfId="6320" xr:uid="{00000000-0005-0000-0000-0000398F0000}"/>
    <cellStyle name="Porcentaje 4 2 3 5 3 2" xfId="16180" xr:uid="{00000000-0005-0000-0000-00003A8F0000}"/>
    <cellStyle name="Porcentaje 4 2 3 5 3 2 2" xfId="35895" xr:uid="{00000000-0005-0000-0000-00003B8F0000}"/>
    <cellStyle name="Porcentaje 4 2 3 5 3 3" xfId="26038" xr:uid="{00000000-0005-0000-0000-00003C8F0000}"/>
    <cellStyle name="Porcentaje 4 2 3 5 4" xfId="11252" xr:uid="{00000000-0005-0000-0000-00003D8F0000}"/>
    <cellStyle name="Porcentaje 4 2 3 5 4 2" xfId="30967" xr:uid="{00000000-0005-0000-0000-00003E8F0000}"/>
    <cellStyle name="Porcentaje 4 2 3 5 5" xfId="21110" xr:uid="{00000000-0005-0000-0000-00003F8F0000}"/>
    <cellStyle name="Porcentaje 4 2 3 6" xfId="2620" xr:uid="{00000000-0005-0000-0000-0000408F0000}"/>
    <cellStyle name="Porcentaje 4 2 3 6 2" xfId="7552" xr:uid="{00000000-0005-0000-0000-0000418F0000}"/>
    <cellStyle name="Porcentaje 4 2 3 6 2 2" xfId="17412" xr:uid="{00000000-0005-0000-0000-0000428F0000}"/>
    <cellStyle name="Porcentaje 4 2 3 6 2 2 2" xfId="37127" xr:uid="{00000000-0005-0000-0000-0000438F0000}"/>
    <cellStyle name="Porcentaje 4 2 3 6 2 3" xfId="27270" xr:uid="{00000000-0005-0000-0000-0000448F0000}"/>
    <cellStyle name="Porcentaje 4 2 3 6 3" xfId="12484" xr:uid="{00000000-0005-0000-0000-0000458F0000}"/>
    <cellStyle name="Porcentaje 4 2 3 6 3 2" xfId="32199" xr:uid="{00000000-0005-0000-0000-0000468F0000}"/>
    <cellStyle name="Porcentaje 4 2 3 6 4" xfId="22342" xr:uid="{00000000-0005-0000-0000-0000478F0000}"/>
    <cellStyle name="Porcentaje 4 2 3 7" xfId="5088" xr:uid="{00000000-0005-0000-0000-0000488F0000}"/>
    <cellStyle name="Porcentaje 4 2 3 7 2" xfId="14948" xr:uid="{00000000-0005-0000-0000-0000498F0000}"/>
    <cellStyle name="Porcentaje 4 2 3 7 2 2" xfId="34663" xr:uid="{00000000-0005-0000-0000-00004A8F0000}"/>
    <cellStyle name="Porcentaje 4 2 3 7 3" xfId="24806" xr:uid="{00000000-0005-0000-0000-00004B8F0000}"/>
    <cellStyle name="Porcentaje 4 2 3 8" xfId="10020" xr:uid="{00000000-0005-0000-0000-00004C8F0000}"/>
    <cellStyle name="Porcentaje 4 2 3 8 2" xfId="29735" xr:uid="{00000000-0005-0000-0000-00004D8F0000}"/>
    <cellStyle name="Porcentaje 4 2 3 9" xfId="19878" xr:uid="{00000000-0005-0000-0000-00004E8F0000}"/>
    <cellStyle name="Porcentaje 4 2 4" xfId="214" xr:uid="{00000000-0005-0000-0000-00004F8F0000}"/>
    <cellStyle name="Porcentaje 4 2 4 2" xfId="528" xr:uid="{00000000-0005-0000-0000-0000508F0000}"/>
    <cellStyle name="Porcentaje 4 2 4 2 2" xfId="1148" xr:uid="{00000000-0005-0000-0000-0000518F0000}"/>
    <cellStyle name="Porcentaje 4 2 4 2 2 2" xfId="2383" xr:uid="{00000000-0005-0000-0000-0000528F0000}"/>
    <cellStyle name="Porcentaje 4 2 4 2 2 2 2" xfId="4850" xr:uid="{00000000-0005-0000-0000-0000538F0000}"/>
    <cellStyle name="Porcentaje 4 2 4 2 2 2 2 2" xfId="9782" xr:uid="{00000000-0005-0000-0000-0000548F0000}"/>
    <cellStyle name="Porcentaje 4 2 4 2 2 2 2 2 2" xfId="19642" xr:uid="{00000000-0005-0000-0000-0000558F0000}"/>
    <cellStyle name="Porcentaje 4 2 4 2 2 2 2 2 2 2" xfId="39357" xr:uid="{00000000-0005-0000-0000-0000568F0000}"/>
    <cellStyle name="Porcentaje 4 2 4 2 2 2 2 2 3" xfId="29500" xr:uid="{00000000-0005-0000-0000-0000578F0000}"/>
    <cellStyle name="Porcentaje 4 2 4 2 2 2 2 3" xfId="14714" xr:uid="{00000000-0005-0000-0000-0000588F0000}"/>
    <cellStyle name="Porcentaje 4 2 4 2 2 2 2 3 2" xfId="34429" xr:uid="{00000000-0005-0000-0000-0000598F0000}"/>
    <cellStyle name="Porcentaje 4 2 4 2 2 2 2 4" xfId="24572" xr:uid="{00000000-0005-0000-0000-00005A8F0000}"/>
    <cellStyle name="Porcentaje 4 2 4 2 2 2 3" xfId="7318" xr:uid="{00000000-0005-0000-0000-00005B8F0000}"/>
    <cellStyle name="Porcentaje 4 2 4 2 2 2 3 2" xfId="17178" xr:uid="{00000000-0005-0000-0000-00005C8F0000}"/>
    <cellStyle name="Porcentaje 4 2 4 2 2 2 3 2 2" xfId="36893" xr:uid="{00000000-0005-0000-0000-00005D8F0000}"/>
    <cellStyle name="Porcentaje 4 2 4 2 2 2 3 3" xfId="27036" xr:uid="{00000000-0005-0000-0000-00005E8F0000}"/>
    <cellStyle name="Porcentaje 4 2 4 2 2 2 4" xfId="12250" xr:uid="{00000000-0005-0000-0000-00005F8F0000}"/>
    <cellStyle name="Porcentaje 4 2 4 2 2 2 4 2" xfId="31965" xr:uid="{00000000-0005-0000-0000-0000608F0000}"/>
    <cellStyle name="Porcentaje 4 2 4 2 2 2 5" xfId="22108" xr:uid="{00000000-0005-0000-0000-0000618F0000}"/>
    <cellStyle name="Porcentaje 4 2 4 2 2 3" xfId="3618" xr:uid="{00000000-0005-0000-0000-0000628F0000}"/>
    <cellStyle name="Porcentaje 4 2 4 2 2 3 2" xfId="8550" xr:uid="{00000000-0005-0000-0000-0000638F0000}"/>
    <cellStyle name="Porcentaje 4 2 4 2 2 3 2 2" xfId="18410" xr:uid="{00000000-0005-0000-0000-0000648F0000}"/>
    <cellStyle name="Porcentaje 4 2 4 2 2 3 2 2 2" xfId="38125" xr:uid="{00000000-0005-0000-0000-0000658F0000}"/>
    <cellStyle name="Porcentaje 4 2 4 2 2 3 2 3" xfId="28268" xr:uid="{00000000-0005-0000-0000-0000668F0000}"/>
    <cellStyle name="Porcentaje 4 2 4 2 2 3 3" xfId="13482" xr:uid="{00000000-0005-0000-0000-0000678F0000}"/>
    <cellStyle name="Porcentaje 4 2 4 2 2 3 3 2" xfId="33197" xr:uid="{00000000-0005-0000-0000-0000688F0000}"/>
    <cellStyle name="Porcentaje 4 2 4 2 2 3 4" xfId="23340" xr:uid="{00000000-0005-0000-0000-0000698F0000}"/>
    <cellStyle name="Porcentaje 4 2 4 2 2 4" xfId="6086" xr:uid="{00000000-0005-0000-0000-00006A8F0000}"/>
    <cellStyle name="Porcentaje 4 2 4 2 2 4 2" xfId="15946" xr:uid="{00000000-0005-0000-0000-00006B8F0000}"/>
    <cellStyle name="Porcentaje 4 2 4 2 2 4 2 2" xfId="35661" xr:uid="{00000000-0005-0000-0000-00006C8F0000}"/>
    <cellStyle name="Porcentaje 4 2 4 2 2 4 3" xfId="25804" xr:uid="{00000000-0005-0000-0000-00006D8F0000}"/>
    <cellStyle name="Porcentaje 4 2 4 2 2 5" xfId="11018" xr:uid="{00000000-0005-0000-0000-00006E8F0000}"/>
    <cellStyle name="Porcentaje 4 2 4 2 2 5 2" xfId="30733" xr:uid="{00000000-0005-0000-0000-00006F8F0000}"/>
    <cellStyle name="Porcentaje 4 2 4 2 2 6" xfId="20876" xr:uid="{00000000-0005-0000-0000-0000708F0000}"/>
    <cellStyle name="Porcentaje 4 2 4 2 3" xfId="1767" xr:uid="{00000000-0005-0000-0000-0000718F0000}"/>
    <cellStyle name="Porcentaje 4 2 4 2 3 2" xfId="4234" xr:uid="{00000000-0005-0000-0000-0000728F0000}"/>
    <cellStyle name="Porcentaje 4 2 4 2 3 2 2" xfId="9166" xr:uid="{00000000-0005-0000-0000-0000738F0000}"/>
    <cellStyle name="Porcentaje 4 2 4 2 3 2 2 2" xfId="19026" xr:uid="{00000000-0005-0000-0000-0000748F0000}"/>
    <cellStyle name="Porcentaje 4 2 4 2 3 2 2 2 2" xfId="38741" xr:uid="{00000000-0005-0000-0000-0000758F0000}"/>
    <cellStyle name="Porcentaje 4 2 4 2 3 2 2 3" xfId="28884" xr:uid="{00000000-0005-0000-0000-0000768F0000}"/>
    <cellStyle name="Porcentaje 4 2 4 2 3 2 3" xfId="14098" xr:uid="{00000000-0005-0000-0000-0000778F0000}"/>
    <cellStyle name="Porcentaje 4 2 4 2 3 2 3 2" xfId="33813" xr:uid="{00000000-0005-0000-0000-0000788F0000}"/>
    <cellStyle name="Porcentaje 4 2 4 2 3 2 4" xfId="23956" xr:uid="{00000000-0005-0000-0000-0000798F0000}"/>
    <cellStyle name="Porcentaje 4 2 4 2 3 3" xfId="6702" xr:uid="{00000000-0005-0000-0000-00007A8F0000}"/>
    <cellStyle name="Porcentaje 4 2 4 2 3 3 2" xfId="16562" xr:uid="{00000000-0005-0000-0000-00007B8F0000}"/>
    <cellStyle name="Porcentaje 4 2 4 2 3 3 2 2" xfId="36277" xr:uid="{00000000-0005-0000-0000-00007C8F0000}"/>
    <cellStyle name="Porcentaje 4 2 4 2 3 3 3" xfId="26420" xr:uid="{00000000-0005-0000-0000-00007D8F0000}"/>
    <cellStyle name="Porcentaje 4 2 4 2 3 4" xfId="11634" xr:uid="{00000000-0005-0000-0000-00007E8F0000}"/>
    <cellStyle name="Porcentaje 4 2 4 2 3 4 2" xfId="31349" xr:uid="{00000000-0005-0000-0000-00007F8F0000}"/>
    <cellStyle name="Porcentaje 4 2 4 2 3 5" xfId="21492" xr:uid="{00000000-0005-0000-0000-0000808F0000}"/>
    <cellStyle name="Porcentaje 4 2 4 2 4" xfId="3002" xr:uid="{00000000-0005-0000-0000-0000818F0000}"/>
    <cellStyle name="Porcentaje 4 2 4 2 4 2" xfId="7934" xr:uid="{00000000-0005-0000-0000-0000828F0000}"/>
    <cellStyle name="Porcentaje 4 2 4 2 4 2 2" xfId="17794" xr:uid="{00000000-0005-0000-0000-0000838F0000}"/>
    <cellStyle name="Porcentaje 4 2 4 2 4 2 2 2" xfId="37509" xr:uid="{00000000-0005-0000-0000-0000848F0000}"/>
    <cellStyle name="Porcentaje 4 2 4 2 4 2 3" xfId="27652" xr:uid="{00000000-0005-0000-0000-0000858F0000}"/>
    <cellStyle name="Porcentaje 4 2 4 2 4 3" xfId="12866" xr:uid="{00000000-0005-0000-0000-0000868F0000}"/>
    <cellStyle name="Porcentaje 4 2 4 2 4 3 2" xfId="32581" xr:uid="{00000000-0005-0000-0000-0000878F0000}"/>
    <cellStyle name="Porcentaje 4 2 4 2 4 4" xfId="22724" xr:uid="{00000000-0005-0000-0000-0000888F0000}"/>
    <cellStyle name="Porcentaje 4 2 4 2 5" xfId="5470" xr:uid="{00000000-0005-0000-0000-0000898F0000}"/>
    <cellStyle name="Porcentaje 4 2 4 2 5 2" xfId="15330" xr:uid="{00000000-0005-0000-0000-00008A8F0000}"/>
    <cellStyle name="Porcentaje 4 2 4 2 5 2 2" xfId="35045" xr:uid="{00000000-0005-0000-0000-00008B8F0000}"/>
    <cellStyle name="Porcentaje 4 2 4 2 5 3" xfId="25188" xr:uid="{00000000-0005-0000-0000-00008C8F0000}"/>
    <cellStyle name="Porcentaje 4 2 4 2 6" xfId="10402" xr:uid="{00000000-0005-0000-0000-00008D8F0000}"/>
    <cellStyle name="Porcentaje 4 2 4 2 6 2" xfId="30117" xr:uid="{00000000-0005-0000-0000-00008E8F0000}"/>
    <cellStyle name="Porcentaje 4 2 4 2 7" xfId="20260" xr:uid="{00000000-0005-0000-0000-00008F8F0000}"/>
    <cellStyle name="Porcentaje 4 2 4 3" xfId="841" xr:uid="{00000000-0005-0000-0000-0000908F0000}"/>
    <cellStyle name="Porcentaje 4 2 4 3 2" xfId="2077" xr:uid="{00000000-0005-0000-0000-0000918F0000}"/>
    <cellStyle name="Porcentaje 4 2 4 3 2 2" xfId="4544" xr:uid="{00000000-0005-0000-0000-0000928F0000}"/>
    <cellStyle name="Porcentaje 4 2 4 3 2 2 2" xfId="9476" xr:uid="{00000000-0005-0000-0000-0000938F0000}"/>
    <cellStyle name="Porcentaje 4 2 4 3 2 2 2 2" xfId="19336" xr:uid="{00000000-0005-0000-0000-0000948F0000}"/>
    <cellStyle name="Porcentaje 4 2 4 3 2 2 2 2 2" xfId="39051" xr:uid="{00000000-0005-0000-0000-0000958F0000}"/>
    <cellStyle name="Porcentaje 4 2 4 3 2 2 2 3" xfId="29194" xr:uid="{00000000-0005-0000-0000-0000968F0000}"/>
    <cellStyle name="Porcentaje 4 2 4 3 2 2 3" xfId="14408" xr:uid="{00000000-0005-0000-0000-0000978F0000}"/>
    <cellStyle name="Porcentaje 4 2 4 3 2 2 3 2" xfId="34123" xr:uid="{00000000-0005-0000-0000-0000988F0000}"/>
    <cellStyle name="Porcentaje 4 2 4 3 2 2 4" xfId="24266" xr:uid="{00000000-0005-0000-0000-0000998F0000}"/>
    <cellStyle name="Porcentaje 4 2 4 3 2 3" xfId="7012" xr:uid="{00000000-0005-0000-0000-00009A8F0000}"/>
    <cellStyle name="Porcentaje 4 2 4 3 2 3 2" xfId="16872" xr:uid="{00000000-0005-0000-0000-00009B8F0000}"/>
    <cellStyle name="Porcentaje 4 2 4 3 2 3 2 2" xfId="36587" xr:uid="{00000000-0005-0000-0000-00009C8F0000}"/>
    <cellStyle name="Porcentaje 4 2 4 3 2 3 3" xfId="26730" xr:uid="{00000000-0005-0000-0000-00009D8F0000}"/>
    <cellStyle name="Porcentaje 4 2 4 3 2 4" xfId="11944" xr:uid="{00000000-0005-0000-0000-00009E8F0000}"/>
    <cellStyle name="Porcentaje 4 2 4 3 2 4 2" xfId="31659" xr:uid="{00000000-0005-0000-0000-00009F8F0000}"/>
    <cellStyle name="Porcentaje 4 2 4 3 2 5" xfId="21802" xr:uid="{00000000-0005-0000-0000-0000A08F0000}"/>
    <cellStyle name="Porcentaje 4 2 4 3 3" xfId="3312" xr:uid="{00000000-0005-0000-0000-0000A18F0000}"/>
    <cellStyle name="Porcentaje 4 2 4 3 3 2" xfId="8244" xr:uid="{00000000-0005-0000-0000-0000A28F0000}"/>
    <cellStyle name="Porcentaje 4 2 4 3 3 2 2" xfId="18104" xr:uid="{00000000-0005-0000-0000-0000A38F0000}"/>
    <cellStyle name="Porcentaje 4 2 4 3 3 2 2 2" xfId="37819" xr:uid="{00000000-0005-0000-0000-0000A48F0000}"/>
    <cellStyle name="Porcentaje 4 2 4 3 3 2 3" xfId="27962" xr:uid="{00000000-0005-0000-0000-0000A58F0000}"/>
    <cellStyle name="Porcentaje 4 2 4 3 3 3" xfId="13176" xr:uid="{00000000-0005-0000-0000-0000A68F0000}"/>
    <cellStyle name="Porcentaje 4 2 4 3 3 3 2" xfId="32891" xr:uid="{00000000-0005-0000-0000-0000A78F0000}"/>
    <cellStyle name="Porcentaje 4 2 4 3 3 4" xfId="23034" xr:uid="{00000000-0005-0000-0000-0000A88F0000}"/>
    <cellStyle name="Porcentaje 4 2 4 3 4" xfId="5780" xr:uid="{00000000-0005-0000-0000-0000A98F0000}"/>
    <cellStyle name="Porcentaje 4 2 4 3 4 2" xfId="15640" xr:uid="{00000000-0005-0000-0000-0000AA8F0000}"/>
    <cellStyle name="Porcentaje 4 2 4 3 4 2 2" xfId="35355" xr:uid="{00000000-0005-0000-0000-0000AB8F0000}"/>
    <cellStyle name="Porcentaje 4 2 4 3 4 3" xfId="25498" xr:uid="{00000000-0005-0000-0000-0000AC8F0000}"/>
    <cellStyle name="Porcentaje 4 2 4 3 5" xfId="10712" xr:uid="{00000000-0005-0000-0000-0000AD8F0000}"/>
    <cellStyle name="Porcentaje 4 2 4 3 5 2" xfId="30427" xr:uid="{00000000-0005-0000-0000-0000AE8F0000}"/>
    <cellStyle name="Porcentaje 4 2 4 3 6" xfId="20570" xr:uid="{00000000-0005-0000-0000-0000AF8F0000}"/>
    <cellStyle name="Porcentaje 4 2 4 4" xfId="1461" xr:uid="{00000000-0005-0000-0000-0000B08F0000}"/>
    <cellStyle name="Porcentaje 4 2 4 4 2" xfId="3928" xr:uid="{00000000-0005-0000-0000-0000B18F0000}"/>
    <cellStyle name="Porcentaje 4 2 4 4 2 2" xfId="8860" xr:uid="{00000000-0005-0000-0000-0000B28F0000}"/>
    <cellStyle name="Porcentaje 4 2 4 4 2 2 2" xfId="18720" xr:uid="{00000000-0005-0000-0000-0000B38F0000}"/>
    <cellStyle name="Porcentaje 4 2 4 4 2 2 2 2" xfId="38435" xr:uid="{00000000-0005-0000-0000-0000B48F0000}"/>
    <cellStyle name="Porcentaje 4 2 4 4 2 2 3" xfId="28578" xr:uid="{00000000-0005-0000-0000-0000B58F0000}"/>
    <cellStyle name="Porcentaje 4 2 4 4 2 3" xfId="13792" xr:uid="{00000000-0005-0000-0000-0000B68F0000}"/>
    <cellStyle name="Porcentaje 4 2 4 4 2 3 2" xfId="33507" xr:uid="{00000000-0005-0000-0000-0000B78F0000}"/>
    <cellStyle name="Porcentaje 4 2 4 4 2 4" xfId="23650" xr:uid="{00000000-0005-0000-0000-0000B88F0000}"/>
    <cellStyle name="Porcentaje 4 2 4 4 3" xfId="6396" xr:uid="{00000000-0005-0000-0000-0000B98F0000}"/>
    <cellStyle name="Porcentaje 4 2 4 4 3 2" xfId="16256" xr:uid="{00000000-0005-0000-0000-0000BA8F0000}"/>
    <cellStyle name="Porcentaje 4 2 4 4 3 2 2" xfId="35971" xr:uid="{00000000-0005-0000-0000-0000BB8F0000}"/>
    <cellStyle name="Porcentaje 4 2 4 4 3 3" xfId="26114" xr:uid="{00000000-0005-0000-0000-0000BC8F0000}"/>
    <cellStyle name="Porcentaje 4 2 4 4 4" xfId="11328" xr:uid="{00000000-0005-0000-0000-0000BD8F0000}"/>
    <cellStyle name="Porcentaje 4 2 4 4 4 2" xfId="31043" xr:uid="{00000000-0005-0000-0000-0000BE8F0000}"/>
    <cellStyle name="Porcentaje 4 2 4 4 5" xfId="21186" xr:uid="{00000000-0005-0000-0000-0000BF8F0000}"/>
    <cellStyle name="Porcentaje 4 2 4 5" xfId="2696" xr:uid="{00000000-0005-0000-0000-0000C08F0000}"/>
    <cellStyle name="Porcentaje 4 2 4 5 2" xfId="7628" xr:uid="{00000000-0005-0000-0000-0000C18F0000}"/>
    <cellStyle name="Porcentaje 4 2 4 5 2 2" xfId="17488" xr:uid="{00000000-0005-0000-0000-0000C28F0000}"/>
    <cellStyle name="Porcentaje 4 2 4 5 2 2 2" xfId="37203" xr:uid="{00000000-0005-0000-0000-0000C38F0000}"/>
    <cellStyle name="Porcentaje 4 2 4 5 2 3" xfId="27346" xr:uid="{00000000-0005-0000-0000-0000C48F0000}"/>
    <cellStyle name="Porcentaje 4 2 4 5 3" xfId="12560" xr:uid="{00000000-0005-0000-0000-0000C58F0000}"/>
    <cellStyle name="Porcentaje 4 2 4 5 3 2" xfId="32275" xr:uid="{00000000-0005-0000-0000-0000C68F0000}"/>
    <cellStyle name="Porcentaje 4 2 4 5 4" xfId="22418" xr:uid="{00000000-0005-0000-0000-0000C78F0000}"/>
    <cellStyle name="Porcentaje 4 2 4 6" xfId="5164" xr:uid="{00000000-0005-0000-0000-0000C88F0000}"/>
    <cellStyle name="Porcentaje 4 2 4 6 2" xfId="15024" xr:uid="{00000000-0005-0000-0000-0000C98F0000}"/>
    <cellStyle name="Porcentaje 4 2 4 6 2 2" xfId="34739" xr:uid="{00000000-0005-0000-0000-0000CA8F0000}"/>
    <cellStyle name="Porcentaje 4 2 4 6 3" xfId="24882" xr:uid="{00000000-0005-0000-0000-0000CB8F0000}"/>
    <cellStyle name="Porcentaje 4 2 4 7" xfId="10096" xr:uid="{00000000-0005-0000-0000-0000CC8F0000}"/>
    <cellStyle name="Porcentaje 4 2 4 7 2" xfId="29811" xr:uid="{00000000-0005-0000-0000-0000CD8F0000}"/>
    <cellStyle name="Porcentaje 4 2 4 8" xfId="19954" xr:uid="{00000000-0005-0000-0000-0000CE8F0000}"/>
    <cellStyle name="Porcentaje 4 2 5" xfId="376" xr:uid="{00000000-0005-0000-0000-0000CF8F0000}"/>
    <cellStyle name="Porcentaje 4 2 5 2" xfId="996" xr:uid="{00000000-0005-0000-0000-0000D08F0000}"/>
    <cellStyle name="Porcentaje 4 2 5 2 2" xfId="2231" xr:uid="{00000000-0005-0000-0000-0000D18F0000}"/>
    <cellStyle name="Porcentaje 4 2 5 2 2 2" xfId="4698" xr:uid="{00000000-0005-0000-0000-0000D28F0000}"/>
    <cellStyle name="Porcentaje 4 2 5 2 2 2 2" xfId="9630" xr:uid="{00000000-0005-0000-0000-0000D38F0000}"/>
    <cellStyle name="Porcentaje 4 2 5 2 2 2 2 2" xfId="19490" xr:uid="{00000000-0005-0000-0000-0000D48F0000}"/>
    <cellStyle name="Porcentaje 4 2 5 2 2 2 2 2 2" xfId="39205" xr:uid="{00000000-0005-0000-0000-0000D58F0000}"/>
    <cellStyle name="Porcentaje 4 2 5 2 2 2 2 3" xfId="29348" xr:uid="{00000000-0005-0000-0000-0000D68F0000}"/>
    <cellStyle name="Porcentaje 4 2 5 2 2 2 3" xfId="14562" xr:uid="{00000000-0005-0000-0000-0000D78F0000}"/>
    <cellStyle name="Porcentaje 4 2 5 2 2 2 3 2" xfId="34277" xr:uid="{00000000-0005-0000-0000-0000D88F0000}"/>
    <cellStyle name="Porcentaje 4 2 5 2 2 2 4" xfId="24420" xr:uid="{00000000-0005-0000-0000-0000D98F0000}"/>
    <cellStyle name="Porcentaje 4 2 5 2 2 3" xfId="7166" xr:uid="{00000000-0005-0000-0000-0000DA8F0000}"/>
    <cellStyle name="Porcentaje 4 2 5 2 2 3 2" xfId="17026" xr:uid="{00000000-0005-0000-0000-0000DB8F0000}"/>
    <cellStyle name="Porcentaje 4 2 5 2 2 3 2 2" xfId="36741" xr:uid="{00000000-0005-0000-0000-0000DC8F0000}"/>
    <cellStyle name="Porcentaje 4 2 5 2 2 3 3" xfId="26884" xr:uid="{00000000-0005-0000-0000-0000DD8F0000}"/>
    <cellStyle name="Porcentaje 4 2 5 2 2 4" xfId="12098" xr:uid="{00000000-0005-0000-0000-0000DE8F0000}"/>
    <cellStyle name="Porcentaje 4 2 5 2 2 4 2" xfId="31813" xr:uid="{00000000-0005-0000-0000-0000DF8F0000}"/>
    <cellStyle name="Porcentaje 4 2 5 2 2 5" xfId="21956" xr:uid="{00000000-0005-0000-0000-0000E08F0000}"/>
    <cellStyle name="Porcentaje 4 2 5 2 3" xfId="3466" xr:uid="{00000000-0005-0000-0000-0000E18F0000}"/>
    <cellStyle name="Porcentaje 4 2 5 2 3 2" xfId="8398" xr:uid="{00000000-0005-0000-0000-0000E28F0000}"/>
    <cellStyle name="Porcentaje 4 2 5 2 3 2 2" xfId="18258" xr:uid="{00000000-0005-0000-0000-0000E38F0000}"/>
    <cellStyle name="Porcentaje 4 2 5 2 3 2 2 2" xfId="37973" xr:uid="{00000000-0005-0000-0000-0000E48F0000}"/>
    <cellStyle name="Porcentaje 4 2 5 2 3 2 3" xfId="28116" xr:uid="{00000000-0005-0000-0000-0000E58F0000}"/>
    <cellStyle name="Porcentaje 4 2 5 2 3 3" xfId="13330" xr:uid="{00000000-0005-0000-0000-0000E68F0000}"/>
    <cellStyle name="Porcentaje 4 2 5 2 3 3 2" xfId="33045" xr:uid="{00000000-0005-0000-0000-0000E78F0000}"/>
    <cellStyle name="Porcentaje 4 2 5 2 3 4" xfId="23188" xr:uid="{00000000-0005-0000-0000-0000E88F0000}"/>
    <cellStyle name="Porcentaje 4 2 5 2 4" xfId="5934" xr:uid="{00000000-0005-0000-0000-0000E98F0000}"/>
    <cellStyle name="Porcentaje 4 2 5 2 4 2" xfId="15794" xr:uid="{00000000-0005-0000-0000-0000EA8F0000}"/>
    <cellStyle name="Porcentaje 4 2 5 2 4 2 2" xfId="35509" xr:uid="{00000000-0005-0000-0000-0000EB8F0000}"/>
    <cellStyle name="Porcentaje 4 2 5 2 4 3" xfId="25652" xr:uid="{00000000-0005-0000-0000-0000EC8F0000}"/>
    <cellStyle name="Porcentaje 4 2 5 2 5" xfId="10866" xr:uid="{00000000-0005-0000-0000-0000ED8F0000}"/>
    <cellStyle name="Porcentaje 4 2 5 2 5 2" xfId="30581" xr:uid="{00000000-0005-0000-0000-0000EE8F0000}"/>
    <cellStyle name="Porcentaje 4 2 5 2 6" xfId="20724" xr:uid="{00000000-0005-0000-0000-0000EF8F0000}"/>
    <cellStyle name="Porcentaje 4 2 5 3" xfId="1615" xr:uid="{00000000-0005-0000-0000-0000F08F0000}"/>
    <cellStyle name="Porcentaje 4 2 5 3 2" xfId="4082" xr:uid="{00000000-0005-0000-0000-0000F18F0000}"/>
    <cellStyle name="Porcentaje 4 2 5 3 2 2" xfId="9014" xr:uid="{00000000-0005-0000-0000-0000F28F0000}"/>
    <cellStyle name="Porcentaje 4 2 5 3 2 2 2" xfId="18874" xr:uid="{00000000-0005-0000-0000-0000F38F0000}"/>
    <cellStyle name="Porcentaje 4 2 5 3 2 2 2 2" xfId="38589" xr:uid="{00000000-0005-0000-0000-0000F48F0000}"/>
    <cellStyle name="Porcentaje 4 2 5 3 2 2 3" xfId="28732" xr:uid="{00000000-0005-0000-0000-0000F58F0000}"/>
    <cellStyle name="Porcentaje 4 2 5 3 2 3" xfId="13946" xr:uid="{00000000-0005-0000-0000-0000F68F0000}"/>
    <cellStyle name="Porcentaje 4 2 5 3 2 3 2" xfId="33661" xr:uid="{00000000-0005-0000-0000-0000F78F0000}"/>
    <cellStyle name="Porcentaje 4 2 5 3 2 4" xfId="23804" xr:uid="{00000000-0005-0000-0000-0000F88F0000}"/>
    <cellStyle name="Porcentaje 4 2 5 3 3" xfId="6550" xr:uid="{00000000-0005-0000-0000-0000F98F0000}"/>
    <cellStyle name="Porcentaje 4 2 5 3 3 2" xfId="16410" xr:uid="{00000000-0005-0000-0000-0000FA8F0000}"/>
    <cellStyle name="Porcentaje 4 2 5 3 3 2 2" xfId="36125" xr:uid="{00000000-0005-0000-0000-0000FB8F0000}"/>
    <cellStyle name="Porcentaje 4 2 5 3 3 3" xfId="26268" xr:uid="{00000000-0005-0000-0000-0000FC8F0000}"/>
    <cellStyle name="Porcentaje 4 2 5 3 4" xfId="11482" xr:uid="{00000000-0005-0000-0000-0000FD8F0000}"/>
    <cellStyle name="Porcentaje 4 2 5 3 4 2" xfId="31197" xr:uid="{00000000-0005-0000-0000-0000FE8F0000}"/>
    <cellStyle name="Porcentaje 4 2 5 3 5" xfId="21340" xr:uid="{00000000-0005-0000-0000-0000FF8F0000}"/>
    <cellStyle name="Porcentaje 4 2 5 4" xfId="2850" xr:uid="{00000000-0005-0000-0000-000000900000}"/>
    <cellStyle name="Porcentaje 4 2 5 4 2" xfId="7782" xr:uid="{00000000-0005-0000-0000-000001900000}"/>
    <cellStyle name="Porcentaje 4 2 5 4 2 2" xfId="17642" xr:uid="{00000000-0005-0000-0000-000002900000}"/>
    <cellStyle name="Porcentaje 4 2 5 4 2 2 2" xfId="37357" xr:uid="{00000000-0005-0000-0000-000003900000}"/>
    <cellStyle name="Porcentaje 4 2 5 4 2 3" xfId="27500" xr:uid="{00000000-0005-0000-0000-000004900000}"/>
    <cellStyle name="Porcentaje 4 2 5 4 3" xfId="12714" xr:uid="{00000000-0005-0000-0000-000005900000}"/>
    <cellStyle name="Porcentaje 4 2 5 4 3 2" xfId="32429" xr:uid="{00000000-0005-0000-0000-000006900000}"/>
    <cellStyle name="Porcentaje 4 2 5 4 4" xfId="22572" xr:uid="{00000000-0005-0000-0000-000007900000}"/>
    <cellStyle name="Porcentaje 4 2 5 5" xfId="5318" xr:uid="{00000000-0005-0000-0000-000008900000}"/>
    <cellStyle name="Porcentaje 4 2 5 5 2" xfId="15178" xr:uid="{00000000-0005-0000-0000-000009900000}"/>
    <cellStyle name="Porcentaje 4 2 5 5 2 2" xfId="34893" xr:uid="{00000000-0005-0000-0000-00000A900000}"/>
    <cellStyle name="Porcentaje 4 2 5 5 3" xfId="25036" xr:uid="{00000000-0005-0000-0000-00000B900000}"/>
    <cellStyle name="Porcentaje 4 2 5 6" xfId="10250" xr:uid="{00000000-0005-0000-0000-00000C900000}"/>
    <cellStyle name="Porcentaje 4 2 5 6 2" xfId="29965" xr:uid="{00000000-0005-0000-0000-00000D900000}"/>
    <cellStyle name="Porcentaje 4 2 5 7" xfId="20108" xr:uid="{00000000-0005-0000-0000-00000E900000}"/>
    <cellStyle name="Porcentaje 4 2 6" xfId="689" xr:uid="{00000000-0005-0000-0000-00000F900000}"/>
    <cellStyle name="Porcentaje 4 2 6 2" xfId="1925" xr:uid="{00000000-0005-0000-0000-000010900000}"/>
    <cellStyle name="Porcentaje 4 2 6 2 2" xfId="4392" xr:uid="{00000000-0005-0000-0000-000011900000}"/>
    <cellStyle name="Porcentaje 4 2 6 2 2 2" xfId="9324" xr:uid="{00000000-0005-0000-0000-000012900000}"/>
    <cellStyle name="Porcentaje 4 2 6 2 2 2 2" xfId="19184" xr:uid="{00000000-0005-0000-0000-000013900000}"/>
    <cellStyle name="Porcentaje 4 2 6 2 2 2 2 2" xfId="38899" xr:uid="{00000000-0005-0000-0000-000014900000}"/>
    <cellStyle name="Porcentaje 4 2 6 2 2 2 3" xfId="29042" xr:uid="{00000000-0005-0000-0000-000015900000}"/>
    <cellStyle name="Porcentaje 4 2 6 2 2 3" xfId="14256" xr:uid="{00000000-0005-0000-0000-000016900000}"/>
    <cellStyle name="Porcentaje 4 2 6 2 2 3 2" xfId="33971" xr:uid="{00000000-0005-0000-0000-000017900000}"/>
    <cellStyle name="Porcentaje 4 2 6 2 2 4" xfId="24114" xr:uid="{00000000-0005-0000-0000-000018900000}"/>
    <cellStyle name="Porcentaje 4 2 6 2 3" xfId="6860" xr:uid="{00000000-0005-0000-0000-000019900000}"/>
    <cellStyle name="Porcentaje 4 2 6 2 3 2" xfId="16720" xr:uid="{00000000-0005-0000-0000-00001A900000}"/>
    <cellStyle name="Porcentaje 4 2 6 2 3 2 2" xfId="36435" xr:uid="{00000000-0005-0000-0000-00001B900000}"/>
    <cellStyle name="Porcentaje 4 2 6 2 3 3" xfId="26578" xr:uid="{00000000-0005-0000-0000-00001C900000}"/>
    <cellStyle name="Porcentaje 4 2 6 2 4" xfId="11792" xr:uid="{00000000-0005-0000-0000-00001D900000}"/>
    <cellStyle name="Porcentaje 4 2 6 2 4 2" xfId="31507" xr:uid="{00000000-0005-0000-0000-00001E900000}"/>
    <cellStyle name="Porcentaje 4 2 6 2 5" xfId="21650" xr:uid="{00000000-0005-0000-0000-00001F900000}"/>
    <cellStyle name="Porcentaje 4 2 6 3" xfId="3160" xr:uid="{00000000-0005-0000-0000-000020900000}"/>
    <cellStyle name="Porcentaje 4 2 6 3 2" xfId="8092" xr:uid="{00000000-0005-0000-0000-000021900000}"/>
    <cellStyle name="Porcentaje 4 2 6 3 2 2" xfId="17952" xr:uid="{00000000-0005-0000-0000-000022900000}"/>
    <cellStyle name="Porcentaje 4 2 6 3 2 2 2" xfId="37667" xr:uid="{00000000-0005-0000-0000-000023900000}"/>
    <cellStyle name="Porcentaje 4 2 6 3 2 3" xfId="27810" xr:uid="{00000000-0005-0000-0000-000024900000}"/>
    <cellStyle name="Porcentaje 4 2 6 3 3" xfId="13024" xr:uid="{00000000-0005-0000-0000-000025900000}"/>
    <cellStyle name="Porcentaje 4 2 6 3 3 2" xfId="32739" xr:uid="{00000000-0005-0000-0000-000026900000}"/>
    <cellStyle name="Porcentaje 4 2 6 3 4" xfId="22882" xr:uid="{00000000-0005-0000-0000-000027900000}"/>
    <cellStyle name="Porcentaje 4 2 6 4" xfId="5628" xr:uid="{00000000-0005-0000-0000-000028900000}"/>
    <cellStyle name="Porcentaje 4 2 6 4 2" xfId="15488" xr:uid="{00000000-0005-0000-0000-000029900000}"/>
    <cellStyle name="Porcentaje 4 2 6 4 2 2" xfId="35203" xr:uid="{00000000-0005-0000-0000-00002A900000}"/>
    <cellStyle name="Porcentaje 4 2 6 4 3" xfId="25346" xr:uid="{00000000-0005-0000-0000-00002B900000}"/>
    <cellStyle name="Porcentaje 4 2 6 5" xfId="10560" xr:uid="{00000000-0005-0000-0000-00002C900000}"/>
    <cellStyle name="Porcentaje 4 2 6 5 2" xfId="30275" xr:uid="{00000000-0005-0000-0000-00002D900000}"/>
    <cellStyle name="Porcentaje 4 2 6 6" xfId="20418" xr:uid="{00000000-0005-0000-0000-00002E900000}"/>
    <cellStyle name="Porcentaje 4 2 7" xfId="1309" xr:uid="{00000000-0005-0000-0000-00002F900000}"/>
    <cellStyle name="Porcentaje 4 2 7 2" xfId="3776" xr:uid="{00000000-0005-0000-0000-000030900000}"/>
    <cellStyle name="Porcentaje 4 2 7 2 2" xfId="8708" xr:uid="{00000000-0005-0000-0000-000031900000}"/>
    <cellStyle name="Porcentaje 4 2 7 2 2 2" xfId="18568" xr:uid="{00000000-0005-0000-0000-000032900000}"/>
    <cellStyle name="Porcentaje 4 2 7 2 2 2 2" xfId="38283" xr:uid="{00000000-0005-0000-0000-000033900000}"/>
    <cellStyle name="Porcentaje 4 2 7 2 2 3" xfId="28426" xr:uid="{00000000-0005-0000-0000-000034900000}"/>
    <cellStyle name="Porcentaje 4 2 7 2 3" xfId="13640" xr:uid="{00000000-0005-0000-0000-000035900000}"/>
    <cellStyle name="Porcentaje 4 2 7 2 3 2" xfId="33355" xr:uid="{00000000-0005-0000-0000-000036900000}"/>
    <cellStyle name="Porcentaje 4 2 7 2 4" xfId="23498" xr:uid="{00000000-0005-0000-0000-000037900000}"/>
    <cellStyle name="Porcentaje 4 2 7 3" xfId="6244" xr:uid="{00000000-0005-0000-0000-000038900000}"/>
    <cellStyle name="Porcentaje 4 2 7 3 2" xfId="16104" xr:uid="{00000000-0005-0000-0000-000039900000}"/>
    <cellStyle name="Porcentaje 4 2 7 3 2 2" xfId="35819" xr:uid="{00000000-0005-0000-0000-00003A900000}"/>
    <cellStyle name="Porcentaje 4 2 7 3 3" xfId="25962" xr:uid="{00000000-0005-0000-0000-00003B900000}"/>
    <cellStyle name="Porcentaje 4 2 7 4" xfId="11176" xr:uid="{00000000-0005-0000-0000-00003C900000}"/>
    <cellStyle name="Porcentaje 4 2 7 4 2" xfId="30891" xr:uid="{00000000-0005-0000-0000-00003D900000}"/>
    <cellStyle name="Porcentaje 4 2 7 5" xfId="21034" xr:uid="{00000000-0005-0000-0000-00003E900000}"/>
    <cellStyle name="Porcentaje 4 2 8" xfId="2544" xr:uid="{00000000-0005-0000-0000-00003F900000}"/>
    <cellStyle name="Porcentaje 4 2 8 2" xfId="7476" xr:uid="{00000000-0005-0000-0000-000040900000}"/>
    <cellStyle name="Porcentaje 4 2 8 2 2" xfId="17336" xr:uid="{00000000-0005-0000-0000-000041900000}"/>
    <cellStyle name="Porcentaje 4 2 8 2 2 2" xfId="37051" xr:uid="{00000000-0005-0000-0000-000042900000}"/>
    <cellStyle name="Porcentaje 4 2 8 2 3" xfId="27194" xr:uid="{00000000-0005-0000-0000-000043900000}"/>
    <cellStyle name="Porcentaje 4 2 8 3" xfId="12408" xr:uid="{00000000-0005-0000-0000-000044900000}"/>
    <cellStyle name="Porcentaje 4 2 8 3 2" xfId="32123" xr:uid="{00000000-0005-0000-0000-000045900000}"/>
    <cellStyle name="Porcentaje 4 2 8 4" xfId="22266" xr:uid="{00000000-0005-0000-0000-000046900000}"/>
    <cellStyle name="Porcentaje 4 2 9" xfId="5012" xr:uid="{00000000-0005-0000-0000-000047900000}"/>
    <cellStyle name="Porcentaje 4 2 9 2" xfId="14872" xr:uid="{00000000-0005-0000-0000-000048900000}"/>
    <cellStyle name="Porcentaje 4 2 9 2 2" xfId="34587" xr:uid="{00000000-0005-0000-0000-000049900000}"/>
    <cellStyle name="Porcentaje 4 2 9 3" xfId="24730" xr:uid="{00000000-0005-0000-0000-00004A900000}"/>
    <cellStyle name="Porcentaje 4 3" xfId="71" xr:uid="{00000000-0005-0000-0000-00004B900000}"/>
    <cellStyle name="Porcentaje 4 3 10" xfId="19821" xr:uid="{00000000-0005-0000-0000-00004C900000}"/>
    <cellStyle name="Porcentaje 4 3 2" xfId="152" xr:uid="{00000000-0005-0000-0000-00004D900000}"/>
    <cellStyle name="Porcentaje 4 3 2 2" xfId="309" xr:uid="{00000000-0005-0000-0000-00004E900000}"/>
    <cellStyle name="Porcentaje 4 3 2 2 2" xfId="623" xr:uid="{00000000-0005-0000-0000-00004F900000}"/>
    <cellStyle name="Porcentaje 4 3 2 2 2 2" xfId="1243" xr:uid="{00000000-0005-0000-0000-000050900000}"/>
    <cellStyle name="Porcentaje 4 3 2 2 2 2 2" xfId="2478" xr:uid="{00000000-0005-0000-0000-000051900000}"/>
    <cellStyle name="Porcentaje 4 3 2 2 2 2 2 2" xfId="4945" xr:uid="{00000000-0005-0000-0000-000052900000}"/>
    <cellStyle name="Porcentaje 4 3 2 2 2 2 2 2 2" xfId="9877" xr:uid="{00000000-0005-0000-0000-000053900000}"/>
    <cellStyle name="Porcentaje 4 3 2 2 2 2 2 2 2 2" xfId="19737" xr:uid="{00000000-0005-0000-0000-000054900000}"/>
    <cellStyle name="Porcentaje 4 3 2 2 2 2 2 2 2 2 2" xfId="39452" xr:uid="{00000000-0005-0000-0000-000055900000}"/>
    <cellStyle name="Porcentaje 4 3 2 2 2 2 2 2 2 3" xfId="29595" xr:uid="{00000000-0005-0000-0000-000056900000}"/>
    <cellStyle name="Porcentaje 4 3 2 2 2 2 2 2 3" xfId="14809" xr:uid="{00000000-0005-0000-0000-000057900000}"/>
    <cellStyle name="Porcentaje 4 3 2 2 2 2 2 2 3 2" xfId="34524" xr:uid="{00000000-0005-0000-0000-000058900000}"/>
    <cellStyle name="Porcentaje 4 3 2 2 2 2 2 2 4" xfId="24667" xr:uid="{00000000-0005-0000-0000-000059900000}"/>
    <cellStyle name="Porcentaje 4 3 2 2 2 2 2 3" xfId="7413" xr:uid="{00000000-0005-0000-0000-00005A900000}"/>
    <cellStyle name="Porcentaje 4 3 2 2 2 2 2 3 2" xfId="17273" xr:uid="{00000000-0005-0000-0000-00005B900000}"/>
    <cellStyle name="Porcentaje 4 3 2 2 2 2 2 3 2 2" xfId="36988" xr:uid="{00000000-0005-0000-0000-00005C900000}"/>
    <cellStyle name="Porcentaje 4 3 2 2 2 2 2 3 3" xfId="27131" xr:uid="{00000000-0005-0000-0000-00005D900000}"/>
    <cellStyle name="Porcentaje 4 3 2 2 2 2 2 4" xfId="12345" xr:uid="{00000000-0005-0000-0000-00005E900000}"/>
    <cellStyle name="Porcentaje 4 3 2 2 2 2 2 4 2" xfId="32060" xr:uid="{00000000-0005-0000-0000-00005F900000}"/>
    <cellStyle name="Porcentaje 4 3 2 2 2 2 2 5" xfId="22203" xr:uid="{00000000-0005-0000-0000-000060900000}"/>
    <cellStyle name="Porcentaje 4 3 2 2 2 2 3" xfId="3713" xr:uid="{00000000-0005-0000-0000-000061900000}"/>
    <cellStyle name="Porcentaje 4 3 2 2 2 2 3 2" xfId="8645" xr:uid="{00000000-0005-0000-0000-000062900000}"/>
    <cellStyle name="Porcentaje 4 3 2 2 2 2 3 2 2" xfId="18505" xr:uid="{00000000-0005-0000-0000-000063900000}"/>
    <cellStyle name="Porcentaje 4 3 2 2 2 2 3 2 2 2" xfId="38220" xr:uid="{00000000-0005-0000-0000-000064900000}"/>
    <cellStyle name="Porcentaje 4 3 2 2 2 2 3 2 3" xfId="28363" xr:uid="{00000000-0005-0000-0000-000065900000}"/>
    <cellStyle name="Porcentaje 4 3 2 2 2 2 3 3" xfId="13577" xr:uid="{00000000-0005-0000-0000-000066900000}"/>
    <cellStyle name="Porcentaje 4 3 2 2 2 2 3 3 2" xfId="33292" xr:uid="{00000000-0005-0000-0000-000067900000}"/>
    <cellStyle name="Porcentaje 4 3 2 2 2 2 3 4" xfId="23435" xr:uid="{00000000-0005-0000-0000-000068900000}"/>
    <cellStyle name="Porcentaje 4 3 2 2 2 2 4" xfId="6181" xr:uid="{00000000-0005-0000-0000-000069900000}"/>
    <cellStyle name="Porcentaje 4 3 2 2 2 2 4 2" xfId="16041" xr:uid="{00000000-0005-0000-0000-00006A900000}"/>
    <cellStyle name="Porcentaje 4 3 2 2 2 2 4 2 2" xfId="35756" xr:uid="{00000000-0005-0000-0000-00006B900000}"/>
    <cellStyle name="Porcentaje 4 3 2 2 2 2 4 3" xfId="25899" xr:uid="{00000000-0005-0000-0000-00006C900000}"/>
    <cellStyle name="Porcentaje 4 3 2 2 2 2 5" xfId="11113" xr:uid="{00000000-0005-0000-0000-00006D900000}"/>
    <cellStyle name="Porcentaje 4 3 2 2 2 2 5 2" xfId="30828" xr:uid="{00000000-0005-0000-0000-00006E900000}"/>
    <cellStyle name="Porcentaje 4 3 2 2 2 2 6" xfId="20971" xr:uid="{00000000-0005-0000-0000-00006F900000}"/>
    <cellStyle name="Porcentaje 4 3 2 2 2 3" xfId="1862" xr:uid="{00000000-0005-0000-0000-000070900000}"/>
    <cellStyle name="Porcentaje 4 3 2 2 2 3 2" xfId="4329" xr:uid="{00000000-0005-0000-0000-000071900000}"/>
    <cellStyle name="Porcentaje 4 3 2 2 2 3 2 2" xfId="9261" xr:uid="{00000000-0005-0000-0000-000072900000}"/>
    <cellStyle name="Porcentaje 4 3 2 2 2 3 2 2 2" xfId="19121" xr:uid="{00000000-0005-0000-0000-000073900000}"/>
    <cellStyle name="Porcentaje 4 3 2 2 2 3 2 2 2 2" xfId="38836" xr:uid="{00000000-0005-0000-0000-000074900000}"/>
    <cellStyle name="Porcentaje 4 3 2 2 2 3 2 2 3" xfId="28979" xr:uid="{00000000-0005-0000-0000-000075900000}"/>
    <cellStyle name="Porcentaje 4 3 2 2 2 3 2 3" xfId="14193" xr:uid="{00000000-0005-0000-0000-000076900000}"/>
    <cellStyle name="Porcentaje 4 3 2 2 2 3 2 3 2" xfId="33908" xr:uid="{00000000-0005-0000-0000-000077900000}"/>
    <cellStyle name="Porcentaje 4 3 2 2 2 3 2 4" xfId="24051" xr:uid="{00000000-0005-0000-0000-000078900000}"/>
    <cellStyle name="Porcentaje 4 3 2 2 2 3 3" xfId="6797" xr:uid="{00000000-0005-0000-0000-000079900000}"/>
    <cellStyle name="Porcentaje 4 3 2 2 2 3 3 2" xfId="16657" xr:uid="{00000000-0005-0000-0000-00007A900000}"/>
    <cellStyle name="Porcentaje 4 3 2 2 2 3 3 2 2" xfId="36372" xr:uid="{00000000-0005-0000-0000-00007B900000}"/>
    <cellStyle name="Porcentaje 4 3 2 2 2 3 3 3" xfId="26515" xr:uid="{00000000-0005-0000-0000-00007C900000}"/>
    <cellStyle name="Porcentaje 4 3 2 2 2 3 4" xfId="11729" xr:uid="{00000000-0005-0000-0000-00007D900000}"/>
    <cellStyle name="Porcentaje 4 3 2 2 2 3 4 2" xfId="31444" xr:uid="{00000000-0005-0000-0000-00007E900000}"/>
    <cellStyle name="Porcentaje 4 3 2 2 2 3 5" xfId="21587" xr:uid="{00000000-0005-0000-0000-00007F900000}"/>
    <cellStyle name="Porcentaje 4 3 2 2 2 4" xfId="3097" xr:uid="{00000000-0005-0000-0000-000080900000}"/>
    <cellStyle name="Porcentaje 4 3 2 2 2 4 2" xfId="8029" xr:uid="{00000000-0005-0000-0000-000081900000}"/>
    <cellStyle name="Porcentaje 4 3 2 2 2 4 2 2" xfId="17889" xr:uid="{00000000-0005-0000-0000-000082900000}"/>
    <cellStyle name="Porcentaje 4 3 2 2 2 4 2 2 2" xfId="37604" xr:uid="{00000000-0005-0000-0000-000083900000}"/>
    <cellStyle name="Porcentaje 4 3 2 2 2 4 2 3" xfId="27747" xr:uid="{00000000-0005-0000-0000-000084900000}"/>
    <cellStyle name="Porcentaje 4 3 2 2 2 4 3" xfId="12961" xr:uid="{00000000-0005-0000-0000-000085900000}"/>
    <cellStyle name="Porcentaje 4 3 2 2 2 4 3 2" xfId="32676" xr:uid="{00000000-0005-0000-0000-000086900000}"/>
    <cellStyle name="Porcentaje 4 3 2 2 2 4 4" xfId="22819" xr:uid="{00000000-0005-0000-0000-000087900000}"/>
    <cellStyle name="Porcentaje 4 3 2 2 2 5" xfId="5565" xr:uid="{00000000-0005-0000-0000-000088900000}"/>
    <cellStyle name="Porcentaje 4 3 2 2 2 5 2" xfId="15425" xr:uid="{00000000-0005-0000-0000-000089900000}"/>
    <cellStyle name="Porcentaje 4 3 2 2 2 5 2 2" xfId="35140" xr:uid="{00000000-0005-0000-0000-00008A900000}"/>
    <cellStyle name="Porcentaje 4 3 2 2 2 5 3" xfId="25283" xr:uid="{00000000-0005-0000-0000-00008B900000}"/>
    <cellStyle name="Porcentaje 4 3 2 2 2 6" xfId="10497" xr:uid="{00000000-0005-0000-0000-00008C900000}"/>
    <cellStyle name="Porcentaje 4 3 2 2 2 6 2" xfId="30212" xr:uid="{00000000-0005-0000-0000-00008D900000}"/>
    <cellStyle name="Porcentaje 4 3 2 2 2 7" xfId="20355" xr:uid="{00000000-0005-0000-0000-00008E900000}"/>
    <cellStyle name="Porcentaje 4 3 2 2 3" xfId="936" xr:uid="{00000000-0005-0000-0000-00008F900000}"/>
    <cellStyle name="Porcentaje 4 3 2 2 3 2" xfId="2172" xr:uid="{00000000-0005-0000-0000-000090900000}"/>
    <cellStyle name="Porcentaje 4 3 2 2 3 2 2" xfId="4639" xr:uid="{00000000-0005-0000-0000-000091900000}"/>
    <cellStyle name="Porcentaje 4 3 2 2 3 2 2 2" xfId="9571" xr:uid="{00000000-0005-0000-0000-000092900000}"/>
    <cellStyle name="Porcentaje 4 3 2 2 3 2 2 2 2" xfId="19431" xr:uid="{00000000-0005-0000-0000-000093900000}"/>
    <cellStyle name="Porcentaje 4 3 2 2 3 2 2 2 2 2" xfId="39146" xr:uid="{00000000-0005-0000-0000-000094900000}"/>
    <cellStyle name="Porcentaje 4 3 2 2 3 2 2 2 3" xfId="29289" xr:uid="{00000000-0005-0000-0000-000095900000}"/>
    <cellStyle name="Porcentaje 4 3 2 2 3 2 2 3" xfId="14503" xr:uid="{00000000-0005-0000-0000-000096900000}"/>
    <cellStyle name="Porcentaje 4 3 2 2 3 2 2 3 2" xfId="34218" xr:uid="{00000000-0005-0000-0000-000097900000}"/>
    <cellStyle name="Porcentaje 4 3 2 2 3 2 2 4" xfId="24361" xr:uid="{00000000-0005-0000-0000-000098900000}"/>
    <cellStyle name="Porcentaje 4 3 2 2 3 2 3" xfId="7107" xr:uid="{00000000-0005-0000-0000-000099900000}"/>
    <cellStyle name="Porcentaje 4 3 2 2 3 2 3 2" xfId="16967" xr:uid="{00000000-0005-0000-0000-00009A900000}"/>
    <cellStyle name="Porcentaje 4 3 2 2 3 2 3 2 2" xfId="36682" xr:uid="{00000000-0005-0000-0000-00009B900000}"/>
    <cellStyle name="Porcentaje 4 3 2 2 3 2 3 3" xfId="26825" xr:uid="{00000000-0005-0000-0000-00009C900000}"/>
    <cellStyle name="Porcentaje 4 3 2 2 3 2 4" xfId="12039" xr:uid="{00000000-0005-0000-0000-00009D900000}"/>
    <cellStyle name="Porcentaje 4 3 2 2 3 2 4 2" xfId="31754" xr:uid="{00000000-0005-0000-0000-00009E900000}"/>
    <cellStyle name="Porcentaje 4 3 2 2 3 2 5" xfId="21897" xr:uid="{00000000-0005-0000-0000-00009F900000}"/>
    <cellStyle name="Porcentaje 4 3 2 2 3 3" xfId="3407" xr:uid="{00000000-0005-0000-0000-0000A0900000}"/>
    <cellStyle name="Porcentaje 4 3 2 2 3 3 2" xfId="8339" xr:uid="{00000000-0005-0000-0000-0000A1900000}"/>
    <cellStyle name="Porcentaje 4 3 2 2 3 3 2 2" xfId="18199" xr:uid="{00000000-0005-0000-0000-0000A2900000}"/>
    <cellStyle name="Porcentaje 4 3 2 2 3 3 2 2 2" xfId="37914" xr:uid="{00000000-0005-0000-0000-0000A3900000}"/>
    <cellStyle name="Porcentaje 4 3 2 2 3 3 2 3" xfId="28057" xr:uid="{00000000-0005-0000-0000-0000A4900000}"/>
    <cellStyle name="Porcentaje 4 3 2 2 3 3 3" xfId="13271" xr:uid="{00000000-0005-0000-0000-0000A5900000}"/>
    <cellStyle name="Porcentaje 4 3 2 2 3 3 3 2" xfId="32986" xr:uid="{00000000-0005-0000-0000-0000A6900000}"/>
    <cellStyle name="Porcentaje 4 3 2 2 3 3 4" xfId="23129" xr:uid="{00000000-0005-0000-0000-0000A7900000}"/>
    <cellStyle name="Porcentaje 4 3 2 2 3 4" xfId="5875" xr:uid="{00000000-0005-0000-0000-0000A8900000}"/>
    <cellStyle name="Porcentaje 4 3 2 2 3 4 2" xfId="15735" xr:uid="{00000000-0005-0000-0000-0000A9900000}"/>
    <cellStyle name="Porcentaje 4 3 2 2 3 4 2 2" xfId="35450" xr:uid="{00000000-0005-0000-0000-0000AA900000}"/>
    <cellStyle name="Porcentaje 4 3 2 2 3 4 3" xfId="25593" xr:uid="{00000000-0005-0000-0000-0000AB900000}"/>
    <cellStyle name="Porcentaje 4 3 2 2 3 5" xfId="10807" xr:uid="{00000000-0005-0000-0000-0000AC900000}"/>
    <cellStyle name="Porcentaje 4 3 2 2 3 5 2" xfId="30522" xr:uid="{00000000-0005-0000-0000-0000AD900000}"/>
    <cellStyle name="Porcentaje 4 3 2 2 3 6" xfId="20665" xr:uid="{00000000-0005-0000-0000-0000AE900000}"/>
    <cellStyle name="Porcentaje 4 3 2 2 4" xfId="1556" xr:uid="{00000000-0005-0000-0000-0000AF900000}"/>
    <cellStyle name="Porcentaje 4 3 2 2 4 2" xfId="4023" xr:uid="{00000000-0005-0000-0000-0000B0900000}"/>
    <cellStyle name="Porcentaje 4 3 2 2 4 2 2" xfId="8955" xr:uid="{00000000-0005-0000-0000-0000B1900000}"/>
    <cellStyle name="Porcentaje 4 3 2 2 4 2 2 2" xfId="18815" xr:uid="{00000000-0005-0000-0000-0000B2900000}"/>
    <cellStyle name="Porcentaje 4 3 2 2 4 2 2 2 2" xfId="38530" xr:uid="{00000000-0005-0000-0000-0000B3900000}"/>
    <cellStyle name="Porcentaje 4 3 2 2 4 2 2 3" xfId="28673" xr:uid="{00000000-0005-0000-0000-0000B4900000}"/>
    <cellStyle name="Porcentaje 4 3 2 2 4 2 3" xfId="13887" xr:uid="{00000000-0005-0000-0000-0000B5900000}"/>
    <cellStyle name="Porcentaje 4 3 2 2 4 2 3 2" xfId="33602" xr:uid="{00000000-0005-0000-0000-0000B6900000}"/>
    <cellStyle name="Porcentaje 4 3 2 2 4 2 4" xfId="23745" xr:uid="{00000000-0005-0000-0000-0000B7900000}"/>
    <cellStyle name="Porcentaje 4 3 2 2 4 3" xfId="6491" xr:uid="{00000000-0005-0000-0000-0000B8900000}"/>
    <cellStyle name="Porcentaje 4 3 2 2 4 3 2" xfId="16351" xr:uid="{00000000-0005-0000-0000-0000B9900000}"/>
    <cellStyle name="Porcentaje 4 3 2 2 4 3 2 2" xfId="36066" xr:uid="{00000000-0005-0000-0000-0000BA900000}"/>
    <cellStyle name="Porcentaje 4 3 2 2 4 3 3" xfId="26209" xr:uid="{00000000-0005-0000-0000-0000BB900000}"/>
    <cellStyle name="Porcentaje 4 3 2 2 4 4" xfId="11423" xr:uid="{00000000-0005-0000-0000-0000BC900000}"/>
    <cellStyle name="Porcentaje 4 3 2 2 4 4 2" xfId="31138" xr:uid="{00000000-0005-0000-0000-0000BD900000}"/>
    <cellStyle name="Porcentaje 4 3 2 2 4 5" xfId="21281" xr:uid="{00000000-0005-0000-0000-0000BE900000}"/>
    <cellStyle name="Porcentaje 4 3 2 2 5" xfId="2791" xr:uid="{00000000-0005-0000-0000-0000BF900000}"/>
    <cellStyle name="Porcentaje 4 3 2 2 5 2" xfId="7723" xr:uid="{00000000-0005-0000-0000-0000C0900000}"/>
    <cellStyle name="Porcentaje 4 3 2 2 5 2 2" xfId="17583" xr:uid="{00000000-0005-0000-0000-0000C1900000}"/>
    <cellStyle name="Porcentaje 4 3 2 2 5 2 2 2" xfId="37298" xr:uid="{00000000-0005-0000-0000-0000C2900000}"/>
    <cellStyle name="Porcentaje 4 3 2 2 5 2 3" xfId="27441" xr:uid="{00000000-0005-0000-0000-0000C3900000}"/>
    <cellStyle name="Porcentaje 4 3 2 2 5 3" xfId="12655" xr:uid="{00000000-0005-0000-0000-0000C4900000}"/>
    <cellStyle name="Porcentaje 4 3 2 2 5 3 2" xfId="32370" xr:uid="{00000000-0005-0000-0000-0000C5900000}"/>
    <cellStyle name="Porcentaje 4 3 2 2 5 4" xfId="22513" xr:uid="{00000000-0005-0000-0000-0000C6900000}"/>
    <cellStyle name="Porcentaje 4 3 2 2 6" xfId="5259" xr:uid="{00000000-0005-0000-0000-0000C7900000}"/>
    <cellStyle name="Porcentaje 4 3 2 2 6 2" xfId="15119" xr:uid="{00000000-0005-0000-0000-0000C8900000}"/>
    <cellStyle name="Porcentaje 4 3 2 2 6 2 2" xfId="34834" xr:uid="{00000000-0005-0000-0000-0000C9900000}"/>
    <cellStyle name="Porcentaje 4 3 2 2 6 3" xfId="24977" xr:uid="{00000000-0005-0000-0000-0000CA900000}"/>
    <cellStyle name="Porcentaje 4 3 2 2 7" xfId="10191" xr:uid="{00000000-0005-0000-0000-0000CB900000}"/>
    <cellStyle name="Porcentaje 4 3 2 2 7 2" xfId="29906" xr:uid="{00000000-0005-0000-0000-0000CC900000}"/>
    <cellStyle name="Porcentaje 4 3 2 2 8" xfId="20049" xr:uid="{00000000-0005-0000-0000-0000CD900000}"/>
    <cellStyle name="Porcentaje 4 3 2 3" xfId="471" xr:uid="{00000000-0005-0000-0000-0000CE900000}"/>
    <cellStyle name="Porcentaje 4 3 2 3 2" xfId="1091" xr:uid="{00000000-0005-0000-0000-0000CF900000}"/>
    <cellStyle name="Porcentaje 4 3 2 3 2 2" xfId="2326" xr:uid="{00000000-0005-0000-0000-0000D0900000}"/>
    <cellStyle name="Porcentaje 4 3 2 3 2 2 2" xfId="4793" xr:uid="{00000000-0005-0000-0000-0000D1900000}"/>
    <cellStyle name="Porcentaje 4 3 2 3 2 2 2 2" xfId="9725" xr:uid="{00000000-0005-0000-0000-0000D2900000}"/>
    <cellStyle name="Porcentaje 4 3 2 3 2 2 2 2 2" xfId="19585" xr:uid="{00000000-0005-0000-0000-0000D3900000}"/>
    <cellStyle name="Porcentaje 4 3 2 3 2 2 2 2 2 2" xfId="39300" xr:uid="{00000000-0005-0000-0000-0000D4900000}"/>
    <cellStyle name="Porcentaje 4 3 2 3 2 2 2 2 3" xfId="29443" xr:uid="{00000000-0005-0000-0000-0000D5900000}"/>
    <cellStyle name="Porcentaje 4 3 2 3 2 2 2 3" xfId="14657" xr:uid="{00000000-0005-0000-0000-0000D6900000}"/>
    <cellStyle name="Porcentaje 4 3 2 3 2 2 2 3 2" xfId="34372" xr:uid="{00000000-0005-0000-0000-0000D7900000}"/>
    <cellStyle name="Porcentaje 4 3 2 3 2 2 2 4" xfId="24515" xr:uid="{00000000-0005-0000-0000-0000D8900000}"/>
    <cellStyle name="Porcentaje 4 3 2 3 2 2 3" xfId="7261" xr:uid="{00000000-0005-0000-0000-0000D9900000}"/>
    <cellStyle name="Porcentaje 4 3 2 3 2 2 3 2" xfId="17121" xr:uid="{00000000-0005-0000-0000-0000DA900000}"/>
    <cellStyle name="Porcentaje 4 3 2 3 2 2 3 2 2" xfId="36836" xr:uid="{00000000-0005-0000-0000-0000DB900000}"/>
    <cellStyle name="Porcentaje 4 3 2 3 2 2 3 3" xfId="26979" xr:uid="{00000000-0005-0000-0000-0000DC900000}"/>
    <cellStyle name="Porcentaje 4 3 2 3 2 2 4" xfId="12193" xr:uid="{00000000-0005-0000-0000-0000DD900000}"/>
    <cellStyle name="Porcentaje 4 3 2 3 2 2 4 2" xfId="31908" xr:uid="{00000000-0005-0000-0000-0000DE900000}"/>
    <cellStyle name="Porcentaje 4 3 2 3 2 2 5" xfId="22051" xr:uid="{00000000-0005-0000-0000-0000DF900000}"/>
    <cellStyle name="Porcentaje 4 3 2 3 2 3" xfId="3561" xr:uid="{00000000-0005-0000-0000-0000E0900000}"/>
    <cellStyle name="Porcentaje 4 3 2 3 2 3 2" xfId="8493" xr:uid="{00000000-0005-0000-0000-0000E1900000}"/>
    <cellStyle name="Porcentaje 4 3 2 3 2 3 2 2" xfId="18353" xr:uid="{00000000-0005-0000-0000-0000E2900000}"/>
    <cellStyle name="Porcentaje 4 3 2 3 2 3 2 2 2" xfId="38068" xr:uid="{00000000-0005-0000-0000-0000E3900000}"/>
    <cellStyle name="Porcentaje 4 3 2 3 2 3 2 3" xfId="28211" xr:uid="{00000000-0005-0000-0000-0000E4900000}"/>
    <cellStyle name="Porcentaje 4 3 2 3 2 3 3" xfId="13425" xr:uid="{00000000-0005-0000-0000-0000E5900000}"/>
    <cellStyle name="Porcentaje 4 3 2 3 2 3 3 2" xfId="33140" xr:uid="{00000000-0005-0000-0000-0000E6900000}"/>
    <cellStyle name="Porcentaje 4 3 2 3 2 3 4" xfId="23283" xr:uid="{00000000-0005-0000-0000-0000E7900000}"/>
    <cellStyle name="Porcentaje 4 3 2 3 2 4" xfId="6029" xr:uid="{00000000-0005-0000-0000-0000E8900000}"/>
    <cellStyle name="Porcentaje 4 3 2 3 2 4 2" xfId="15889" xr:uid="{00000000-0005-0000-0000-0000E9900000}"/>
    <cellStyle name="Porcentaje 4 3 2 3 2 4 2 2" xfId="35604" xr:uid="{00000000-0005-0000-0000-0000EA900000}"/>
    <cellStyle name="Porcentaje 4 3 2 3 2 4 3" xfId="25747" xr:uid="{00000000-0005-0000-0000-0000EB900000}"/>
    <cellStyle name="Porcentaje 4 3 2 3 2 5" xfId="10961" xr:uid="{00000000-0005-0000-0000-0000EC900000}"/>
    <cellStyle name="Porcentaje 4 3 2 3 2 5 2" xfId="30676" xr:uid="{00000000-0005-0000-0000-0000ED900000}"/>
    <cellStyle name="Porcentaje 4 3 2 3 2 6" xfId="20819" xr:uid="{00000000-0005-0000-0000-0000EE900000}"/>
    <cellStyle name="Porcentaje 4 3 2 3 3" xfId="1710" xr:uid="{00000000-0005-0000-0000-0000EF900000}"/>
    <cellStyle name="Porcentaje 4 3 2 3 3 2" xfId="4177" xr:uid="{00000000-0005-0000-0000-0000F0900000}"/>
    <cellStyle name="Porcentaje 4 3 2 3 3 2 2" xfId="9109" xr:uid="{00000000-0005-0000-0000-0000F1900000}"/>
    <cellStyle name="Porcentaje 4 3 2 3 3 2 2 2" xfId="18969" xr:uid="{00000000-0005-0000-0000-0000F2900000}"/>
    <cellStyle name="Porcentaje 4 3 2 3 3 2 2 2 2" xfId="38684" xr:uid="{00000000-0005-0000-0000-0000F3900000}"/>
    <cellStyle name="Porcentaje 4 3 2 3 3 2 2 3" xfId="28827" xr:uid="{00000000-0005-0000-0000-0000F4900000}"/>
    <cellStyle name="Porcentaje 4 3 2 3 3 2 3" xfId="14041" xr:uid="{00000000-0005-0000-0000-0000F5900000}"/>
    <cellStyle name="Porcentaje 4 3 2 3 3 2 3 2" xfId="33756" xr:uid="{00000000-0005-0000-0000-0000F6900000}"/>
    <cellStyle name="Porcentaje 4 3 2 3 3 2 4" xfId="23899" xr:uid="{00000000-0005-0000-0000-0000F7900000}"/>
    <cellStyle name="Porcentaje 4 3 2 3 3 3" xfId="6645" xr:uid="{00000000-0005-0000-0000-0000F8900000}"/>
    <cellStyle name="Porcentaje 4 3 2 3 3 3 2" xfId="16505" xr:uid="{00000000-0005-0000-0000-0000F9900000}"/>
    <cellStyle name="Porcentaje 4 3 2 3 3 3 2 2" xfId="36220" xr:uid="{00000000-0005-0000-0000-0000FA900000}"/>
    <cellStyle name="Porcentaje 4 3 2 3 3 3 3" xfId="26363" xr:uid="{00000000-0005-0000-0000-0000FB900000}"/>
    <cellStyle name="Porcentaje 4 3 2 3 3 4" xfId="11577" xr:uid="{00000000-0005-0000-0000-0000FC900000}"/>
    <cellStyle name="Porcentaje 4 3 2 3 3 4 2" xfId="31292" xr:uid="{00000000-0005-0000-0000-0000FD900000}"/>
    <cellStyle name="Porcentaje 4 3 2 3 3 5" xfId="21435" xr:uid="{00000000-0005-0000-0000-0000FE900000}"/>
    <cellStyle name="Porcentaje 4 3 2 3 4" xfId="2945" xr:uid="{00000000-0005-0000-0000-0000FF900000}"/>
    <cellStyle name="Porcentaje 4 3 2 3 4 2" xfId="7877" xr:uid="{00000000-0005-0000-0000-000000910000}"/>
    <cellStyle name="Porcentaje 4 3 2 3 4 2 2" xfId="17737" xr:uid="{00000000-0005-0000-0000-000001910000}"/>
    <cellStyle name="Porcentaje 4 3 2 3 4 2 2 2" xfId="37452" xr:uid="{00000000-0005-0000-0000-000002910000}"/>
    <cellStyle name="Porcentaje 4 3 2 3 4 2 3" xfId="27595" xr:uid="{00000000-0005-0000-0000-000003910000}"/>
    <cellStyle name="Porcentaje 4 3 2 3 4 3" xfId="12809" xr:uid="{00000000-0005-0000-0000-000004910000}"/>
    <cellStyle name="Porcentaje 4 3 2 3 4 3 2" xfId="32524" xr:uid="{00000000-0005-0000-0000-000005910000}"/>
    <cellStyle name="Porcentaje 4 3 2 3 4 4" xfId="22667" xr:uid="{00000000-0005-0000-0000-000006910000}"/>
    <cellStyle name="Porcentaje 4 3 2 3 5" xfId="5413" xr:uid="{00000000-0005-0000-0000-000007910000}"/>
    <cellStyle name="Porcentaje 4 3 2 3 5 2" xfId="15273" xr:uid="{00000000-0005-0000-0000-000008910000}"/>
    <cellStyle name="Porcentaje 4 3 2 3 5 2 2" xfId="34988" xr:uid="{00000000-0005-0000-0000-000009910000}"/>
    <cellStyle name="Porcentaje 4 3 2 3 5 3" xfId="25131" xr:uid="{00000000-0005-0000-0000-00000A910000}"/>
    <cellStyle name="Porcentaje 4 3 2 3 6" xfId="10345" xr:uid="{00000000-0005-0000-0000-00000B910000}"/>
    <cellStyle name="Porcentaje 4 3 2 3 6 2" xfId="30060" xr:uid="{00000000-0005-0000-0000-00000C910000}"/>
    <cellStyle name="Porcentaje 4 3 2 3 7" xfId="20203" xr:uid="{00000000-0005-0000-0000-00000D910000}"/>
    <cellStyle name="Porcentaje 4 3 2 4" xfId="784" xr:uid="{00000000-0005-0000-0000-00000E910000}"/>
    <cellStyle name="Porcentaje 4 3 2 4 2" xfId="2020" xr:uid="{00000000-0005-0000-0000-00000F910000}"/>
    <cellStyle name="Porcentaje 4 3 2 4 2 2" xfId="4487" xr:uid="{00000000-0005-0000-0000-000010910000}"/>
    <cellStyle name="Porcentaje 4 3 2 4 2 2 2" xfId="9419" xr:uid="{00000000-0005-0000-0000-000011910000}"/>
    <cellStyle name="Porcentaje 4 3 2 4 2 2 2 2" xfId="19279" xr:uid="{00000000-0005-0000-0000-000012910000}"/>
    <cellStyle name="Porcentaje 4 3 2 4 2 2 2 2 2" xfId="38994" xr:uid="{00000000-0005-0000-0000-000013910000}"/>
    <cellStyle name="Porcentaje 4 3 2 4 2 2 2 3" xfId="29137" xr:uid="{00000000-0005-0000-0000-000014910000}"/>
    <cellStyle name="Porcentaje 4 3 2 4 2 2 3" xfId="14351" xr:uid="{00000000-0005-0000-0000-000015910000}"/>
    <cellStyle name="Porcentaje 4 3 2 4 2 2 3 2" xfId="34066" xr:uid="{00000000-0005-0000-0000-000016910000}"/>
    <cellStyle name="Porcentaje 4 3 2 4 2 2 4" xfId="24209" xr:uid="{00000000-0005-0000-0000-000017910000}"/>
    <cellStyle name="Porcentaje 4 3 2 4 2 3" xfId="6955" xr:uid="{00000000-0005-0000-0000-000018910000}"/>
    <cellStyle name="Porcentaje 4 3 2 4 2 3 2" xfId="16815" xr:uid="{00000000-0005-0000-0000-000019910000}"/>
    <cellStyle name="Porcentaje 4 3 2 4 2 3 2 2" xfId="36530" xr:uid="{00000000-0005-0000-0000-00001A910000}"/>
    <cellStyle name="Porcentaje 4 3 2 4 2 3 3" xfId="26673" xr:uid="{00000000-0005-0000-0000-00001B910000}"/>
    <cellStyle name="Porcentaje 4 3 2 4 2 4" xfId="11887" xr:uid="{00000000-0005-0000-0000-00001C910000}"/>
    <cellStyle name="Porcentaje 4 3 2 4 2 4 2" xfId="31602" xr:uid="{00000000-0005-0000-0000-00001D910000}"/>
    <cellStyle name="Porcentaje 4 3 2 4 2 5" xfId="21745" xr:uid="{00000000-0005-0000-0000-00001E910000}"/>
    <cellStyle name="Porcentaje 4 3 2 4 3" xfId="3255" xr:uid="{00000000-0005-0000-0000-00001F910000}"/>
    <cellStyle name="Porcentaje 4 3 2 4 3 2" xfId="8187" xr:uid="{00000000-0005-0000-0000-000020910000}"/>
    <cellStyle name="Porcentaje 4 3 2 4 3 2 2" xfId="18047" xr:uid="{00000000-0005-0000-0000-000021910000}"/>
    <cellStyle name="Porcentaje 4 3 2 4 3 2 2 2" xfId="37762" xr:uid="{00000000-0005-0000-0000-000022910000}"/>
    <cellStyle name="Porcentaje 4 3 2 4 3 2 3" xfId="27905" xr:uid="{00000000-0005-0000-0000-000023910000}"/>
    <cellStyle name="Porcentaje 4 3 2 4 3 3" xfId="13119" xr:uid="{00000000-0005-0000-0000-000024910000}"/>
    <cellStyle name="Porcentaje 4 3 2 4 3 3 2" xfId="32834" xr:uid="{00000000-0005-0000-0000-000025910000}"/>
    <cellStyle name="Porcentaje 4 3 2 4 3 4" xfId="22977" xr:uid="{00000000-0005-0000-0000-000026910000}"/>
    <cellStyle name="Porcentaje 4 3 2 4 4" xfId="5723" xr:uid="{00000000-0005-0000-0000-000027910000}"/>
    <cellStyle name="Porcentaje 4 3 2 4 4 2" xfId="15583" xr:uid="{00000000-0005-0000-0000-000028910000}"/>
    <cellStyle name="Porcentaje 4 3 2 4 4 2 2" xfId="35298" xr:uid="{00000000-0005-0000-0000-000029910000}"/>
    <cellStyle name="Porcentaje 4 3 2 4 4 3" xfId="25441" xr:uid="{00000000-0005-0000-0000-00002A910000}"/>
    <cellStyle name="Porcentaje 4 3 2 4 5" xfId="10655" xr:uid="{00000000-0005-0000-0000-00002B910000}"/>
    <cellStyle name="Porcentaje 4 3 2 4 5 2" xfId="30370" xr:uid="{00000000-0005-0000-0000-00002C910000}"/>
    <cellStyle name="Porcentaje 4 3 2 4 6" xfId="20513" xr:uid="{00000000-0005-0000-0000-00002D910000}"/>
    <cellStyle name="Porcentaje 4 3 2 5" xfId="1404" xr:uid="{00000000-0005-0000-0000-00002E910000}"/>
    <cellStyle name="Porcentaje 4 3 2 5 2" xfId="3871" xr:uid="{00000000-0005-0000-0000-00002F910000}"/>
    <cellStyle name="Porcentaje 4 3 2 5 2 2" xfId="8803" xr:uid="{00000000-0005-0000-0000-000030910000}"/>
    <cellStyle name="Porcentaje 4 3 2 5 2 2 2" xfId="18663" xr:uid="{00000000-0005-0000-0000-000031910000}"/>
    <cellStyle name="Porcentaje 4 3 2 5 2 2 2 2" xfId="38378" xr:uid="{00000000-0005-0000-0000-000032910000}"/>
    <cellStyle name="Porcentaje 4 3 2 5 2 2 3" xfId="28521" xr:uid="{00000000-0005-0000-0000-000033910000}"/>
    <cellStyle name="Porcentaje 4 3 2 5 2 3" xfId="13735" xr:uid="{00000000-0005-0000-0000-000034910000}"/>
    <cellStyle name="Porcentaje 4 3 2 5 2 3 2" xfId="33450" xr:uid="{00000000-0005-0000-0000-000035910000}"/>
    <cellStyle name="Porcentaje 4 3 2 5 2 4" xfId="23593" xr:uid="{00000000-0005-0000-0000-000036910000}"/>
    <cellStyle name="Porcentaje 4 3 2 5 3" xfId="6339" xr:uid="{00000000-0005-0000-0000-000037910000}"/>
    <cellStyle name="Porcentaje 4 3 2 5 3 2" xfId="16199" xr:uid="{00000000-0005-0000-0000-000038910000}"/>
    <cellStyle name="Porcentaje 4 3 2 5 3 2 2" xfId="35914" xr:uid="{00000000-0005-0000-0000-000039910000}"/>
    <cellStyle name="Porcentaje 4 3 2 5 3 3" xfId="26057" xr:uid="{00000000-0005-0000-0000-00003A910000}"/>
    <cellStyle name="Porcentaje 4 3 2 5 4" xfId="11271" xr:uid="{00000000-0005-0000-0000-00003B910000}"/>
    <cellStyle name="Porcentaje 4 3 2 5 4 2" xfId="30986" xr:uid="{00000000-0005-0000-0000-00003C910000}"/>
    <cellStyle name="Porcentaje 4 3 2 5 5" xfId="21129" xr:uid="{00000000-0005-0000-0000-00003D910000}"/>
    <cellStyle name="Porcentaje 4 3 2 6" xfId="2639" xr:uid="{00000000-0005-0000-0000-00003E910000}"/>
    <cellStyle name="Porcentaje 4 3 2 6 2" xfId="7571" xr:uid="{00000000-0005-0000-0000-00003F910000}"/>
    <cellStyle name="Porcentaje 4 3 2 6 2 2" xfId="17431" xr:uid="{00000000-0005-0000-0000-000040910000}"/>
    <cellStyle name="Porcentaje 4 3 2 6 2 2 2" xfId="37146" xr:uid="{00000000-0005-0000-0000-000041910000}"/>
    <cellStyle name="Porcentaje 4 3 2 6 2 3" xfId="27289" xr:uid="{00000000-0005-0000-0000-000042910000}"/>
    <cellStyle name="Porcentaje 4 3 2 6 3" xfId="12503" xr:uid="{00000000-0005-0000-0000-000043910000}"/>
    <cellStyle name="Porcentaje 4 3 2 6 3 2" xfId="32218" xr:uid="{00000000-0005-0000-0000-000044910000}"/>
    <cellStyle name="Porcentaje 4 3 2 6 4" xfId="22361" xr:uid="{00000000-0005-0000-0000-000045910000}"/>
    <cellStyle name="Porcentaje 4 3 2 7" xfId="5107" xr:uid="{00000000-0005-0000-0000-000046910000}"/>
    <cellStyle name="Porcentaje 4 3 2 7 2" xfId="14967" xr:uid="{00000000-0005-0000-0000-000047910000}"/>
    <cellStyle name="Porcentaje 4 3 2 7 2 2" xfId="34682" xr:uid="{00000000-0005-0000-0000-000048910000}"/>
    <cellStyle name="Porcentaje 4 3 2 7 3" xfId="24825" xr:uid="{00000000-0005-0000-0000-000049910000}"/>
    <cellStyle name="Porcentaje 4 3 2 8" xfId="10039" xr:uid="{00000000-0005-0000-0000-00004A910000}"/>
    <cellStyle name="Porcentaje 4 3 2 8 2" xfId="29754" xr:uid="{00000000-0005-0000-0000-00004B910000}"/>
    <cellStyle name="Porcentaje 4 3 2 9" xfId="19897" xr:uid="{00000000-0005-0000-0000-00004C910000}"/>
    <cellStyle name="Porcentaje 4 3 3" xfId="233" xr:uid="{00000000-0005-0000-0000-00004D910000}"/>
    <cellStyle name="Porcentaje 4 3 3 2" xfId="547" xr:uid="{00000000-0005-0000-0000-00004E910000}"/>
    <cellStyle name="Porcentaje 4 3 3 2 2" xfId="1167" xr:uid="{00000000-0005-0000-0000-00004F910000}"/>
    <cellStyle name="Porcentaje 4 3 3 2 2 2" xfId="2402" xr:uid="{00000000-0005-0000-0000-000050910000}"/>
    <cellStyle name="Porcentaje 4 3 3 2 2 2 2" xfId="4869" xr:uid="{00000000-0005-0000-0000-000051910000}"/>
    <cellStyle name="Porcentaje 4 3 3 2 2 2 2 2" xfId="9801" xr:uid="{00000000-0005-0000-0000-000052910000}"/>
    <cellStyle name="Porcentaje 4 3 3 2 2 2 2 2 2" xfId="19661" xr:uid="{00000000-0005-0000-0000-000053910000}"/>
    <cellStyle name="Porcentaje 4 3 3 2 2 2 2 2 2 2" xfId="39376" xr:uid="{00000000-0005-0000-0000-000054910000}"/>
    <cellStyle name="Porcentaje 4 3 3 2 2 2 2 2 3" xfId="29519" xr:uid="{00000000-0005-0000-0000-000055910000}"/>
    <cellStyle name="Porcentaje 4 3 3 2 2 2 2 3" xfId="14733" xr:uid="{00000000-0005-0000-0000-000056910000}"/>
    <cellStyle name="Porcentaje 4 3 3 2 2 2 2 3 2" xfId="34448" xr:uid="{00000000-0005-0000-0000-000057910000}"/>
    <cellStyle name="Porcentaje 4 3 3 2 2 2 2 4" xfId="24591" xr:uid="{00000000-0005-0000-0000-000058910000}"/>
    <cellStyle name="Porcentaje 4 3 3 2 2 2 3" xfId="7337" xr:uid="{00000000-0005-0000-0000-000059910000}"/>
    <cellStyle name="Porcentaje 4 3 3 2 2 2 3 2" xfId="17197" xr:uid="{00000000-0005-0000-0000-00005A910000}"/>
    <cellStyle name="Porcentaje 4 3 3 2 2 2 3 2 2" xfId="36912" xr:uid="{00000000-0005-0000-0000-00005B910000}"/>
    <cellStyle name="Porcentaje 4 3 3 2 2 2 3 3" xfId="27055" xr:uid="{00000000-0005-0000-0000-00005C910000}"/>
    <cellStyle name="Porcentaje 4 3 3 2 2 2 4" xfId="12269" xr:uid="{00000000-0005-0000-0000-00005D910000}"/>
    <cellStyle name="Porcentaje 4 3 3 2 2 2 4 2" xfId="31984" xr:uid="{00000000-0005-0000-0000-00005E910000}"/>
    <cellStyle name="Porcentaje 4 3 3 2 2 2 5" xfId="22127" xr:uid="{00000000-0005-0000-0000-00005F910000}"/>
    <cellStyle name="Porcentaje 4 3 3 2 2 3" xfId="3637" xr:uid="{00000000-0005-0000-0000-000060910000}"/>
    <cellStyle name="Porcentaje 4 3 3 2 2 3 2" xfId="8569" xr:uid="{00000000-0005-0000-0000-000061910000}"/>
    <cellStyle name="Porcentaje 4 3 3 2 2 3 2 2" xfId="18429" xr:uid="{00000000-0005-0000-0000-000062910000}"/>
    <cellStyle name="Porcentaje 4 3 3 2 2 3 2 2 2" xfId="38144" xr:uid="{00000000-0005-0000-0000-000063910000}"/>
    <cellStyle name="Porcentaje 4 3 3 2 2 3 2 3" xfId="28287" xr:uid="{00000000-0005-0000-0000-000064910000}"/>
    <cellStyle name="Porcentaje 4 3 3 2 2 3 3" xfId="13501" xr:uid="{00000000-0005-0000-0000-000065910000}"/>
    <cellStyle name="Porcentaje 4 3 3 2 2 3 3 2" xfId="33216" xr:uid="{00000000-0005-0000-0000-000066910000}"/>
    <cellStyle name="Porcentaje 4 3 3 2 2 3 4" xfId="23359" xr:uid="{00000000-0005-0000-0000-000067910000}"/>
    <cellStyle name="Porcentaje 4 3 3 2 2 4" xfId="6105" xr:uid="{00000000-0005-0000-0000-000068910000}"/>
    <cellStyle name="Porcentaje 4 3 3 2 2 4 2" xfId="15965" xr:uid="{00000000-0005-0000-0000-000069910000}"/>
    <cellStyle name="Porcentaje 4 3 3 2 2 4 2 2" xfId="35680" xr:uid="{00000000-0005-0000-0000-00006A910000}"/>
    <cellStyle name="Porcentaje 4 3 3 2 2 4 3" xfId="25823" xr:uid="{00000000-0005-0000-0000-00006B910000}"/>
    <cellStyle name="Porcentaje 4 3 3 2 2 5" xfId="11037" xr:uid="{00000000-0005-0000-0000-00006C910000}"/>
    <cellStyle name="Porcentaje 4 3 3 2 2 5 2" xfId="30752" xr:uid="{00000000-0005-0000-0000-00006D910000}"/>
    <cellStyle name="Porcentaje 4 3 3 2 2 6" xfId="20895" xr:uid="{00000000-0005-0000-0000-00006E910000}"/>
    <cellStyle name="Porcentaje 4 3 3 2 3" xfId="1786" xr:uid="{00000000-0005-0000-0000-00006F910000}"/>
    <cellStyle name="Porcentaje 4 3 3 2 3 2" xfId="4253" xr:uid="{00000000-0005-0000-0000-000070910000}"/>
    <cellStyle name="Porcentaje 4 3 3 2 3 2 2" xfId="9185" xr:uid="{00000000-0005-0000-0000-000071910000}"/>
    <cellStyle name="Porcentaje 4 3 3 2 3 2 2 2" xfId="19045" xr:uid="{00000000-0005-0000-0000-000072910000}"/>
    <cellStyle name="Porcentaje 4 3 3 2 3 2 2 2 2" xfId="38760" xr:uid="{00000000-0005-0000-0000-000073910000}"/>
    <cellStyle name="Porcentaje 4 3 3 2 3 2 2 3" xfId="28903" xr:uid="{00000000-0005-0000-0000-000074910000}"/>
    <cellStyle name="Porcentaje 4 3 3 2 3 2 3" xfId="14117" xr:uid="{00000000-0005-0000-0000-000075910000}"/>
    <cellStyle name="Porcentaje 4 3 3 2 3 2 3 2" xfId="33832" xr:uid="{00000000-0005-0000-0000-000076910000}"/>
    <cellStyle name="Porcentaje 4 3 3 2 3 2 4" xfId="23975" xr:uid="{00000000-0005-0000-0000-000077910000}"/>
    <cellStyle name="Porcentaje 4 3 3 2 3 3" xfId="6721" xr:uid="{00000000-0005-0000-0000-000078910000}"/>
    <cellStyle name="Porcentaje 4 3 3 2 3 3 2" xfId="16581" xr:uid="{00000000-0005-0000-0000-000079910000}"/>
    <cellStyle name="Porcentaje 4 3 3 2 3 3 2 2" xfId="36296" xr:uid="{00000000-0005-0000-0000-00007A910000}"/>
    <cellStyle name="Porcentaje 4 3 3 2 3 3 3" xfId="26439" xr:uid="{00000000-0005-0000-0000-00007B910000}"/>
    <cellStyle name="Porcentaje 4 3 3 2 3 4" xfId="11653" xr:uid="{00000000-0005-0000-0000-00007C910000}"/>
    <cellStyle name="Porcentaje 4 3 3 2 3 4 2" xfId="31368" xr:uid="{00000000-0005-0000-0000-00007D910000}"/>
    <cellStyle name="Porcentaje 4 3 3 2 3 5" xfId="21511" xr:uid="{00000000-0005-0000-0000-00007E910000}"/>
    <cellStyle name="Porcentaje 4 3 3 2 4" xfId="3021" xr:uid="{00000000-0005-0000-0000-00007F910000}"/>
    <cellStyle name="Porcentaje 4 3 3 2 4 2" xfId="7953" xr:uid="{00000000-0005-0000-0000-000080910000}"/>
    <cellStyle name="Porcentaje 4 3 3 2 4 2 2" xfId="17813" xr:uid="{00000000-0005-0000-0000-000081910000}"/>
    <cellStyle name="Porcentaje 4 3 3 2 4 2 2 2" xfId="37528" xr:uid="{00000000-0005-0000-0000-000082910000}"/>
    <cellStyle name="Porcentaje 4 3 3 2 4 2 3" xfId="27671" xr:uid="{00000000-0005-0000-0000-000083910000}"/>
    <cellStyle name="Porcentaje 4 3 3 2 4 3" xfId="12885" xr:uid="{00000000-0005-0000-0000-000084910000}"/>
    <cellStyle name="Porcentaje 4 3 3 2 4 3 2" xfId="32600" xr:uid="{00000000-0005-0000-0000-000085910000}"/>
    <cellStyle name="Porcentaje 4 3 3 2 4 4" xfId="22743" xr:uid="{00000000-0005-0000-0000-000086910000}"/>
    <cellStyle name="Porcentaje 4 3 3 2 5" xfId="5489" xr:uid="{00000000-0005-0000-0000-000087910000}"/>
    <cellStyle name="Porcentaje 4 3 3 2 5 2" xfId="15349" xr:uid="{00000000-0005-0000-0000-000088910000}"/>
    <cellStyle name="Porcentaje 4 3 3 2 5 2 2" xfId="35064" xr:uid="{00000000-0005-0000-0000-000089910000}"/>
    <cellStyle name="Porcentaje 4 3 3 2 5 3" xfId="25207" xr:uid="{00000000-0005-0000-0000-00008A910000}"/>
    <cellStyle name="Porcentaje 4 3 3 2 6" xfId="10421" xr:uid="{00000000-0005-0000-0000-00008B910000}"/>
    <cellStyle name="Porcentaje 4 3 3 2 6 2" xfId="30136" xr:uid="{00000000-0005-0000-0000-00008C910000}"/>
    <cellStyle name="Porcentaje 4 3 3 2 7" xfId="20279" xr:uid="{00000000-0005-0000-0000-00008D910000}"/>
    <cellStyle name="Porcentaje 4 3 3 3" xfId="860" xr:uid="{00000000-0005-0000-0000-00008E910000}"/>
    <cellStyle name="Porcentaje 4 3 3 3 2" xfId="2096" xr:uid="{00000000-0005-0000-0000-00008F910000}"/>
    <cellStyle name="Porcentaje 4 3 3 3 2 2" xfId="4563" xr:uid="{00000000-0005-0000-0000-000090910000}"/>
    <cellStyle name="Porcentaje 4 3 3 3 2 2 2" xfId="9495" xr:uid="{00000000-0005-0000-0000-000091910000}"/>
    <cellStyle name="Porcentaje 4 3 3 3 2 2 2 2" xfId="19355" xr:uid="{00000000-0005-0000-0000-000092910000}"/>
    <cellStyle name="Porcentaje 4 3 3 3 2 2 2 2 2" xfId="39070" xr:uid="{00000000-0005-0000-0000-000093910000}"/>
    <cellStyle name="Porcentaje 4 3 3 3 2 2 2 3" xfId="29213" xr:uid="{00000000-0005-0000-0000-000094910000}"/>
    <cellStyle name="Porcentaje 4 3 3 3 2 2 3" xfId="14427" xr:uid="{00000000-0005-0000-0000-000095910000}"/>
    <cellStyle name="Porcentaje 4 3 3 3 2 2 3 2" xfId="34142" xr:uid="{00000000-0005-0000-0000-000096910000}"/>
    <cellStyle name="Porcentaje 4 3 3 3 2 2 4" xfId="24285" xr:uid="{00000000-0005-0000-0000-000097910000}"/>
    <cellStyle name="Porcentaje 4 3 3 3 2 3" xfId="7031" xr:uid="{00000000-0005-0000-0000-000098910000}"/>
    <cellStyle name="Porcentaje 4 3 3 3 2 3 2" xfId="16891" xr:uid="{00000000-0005-0000-0000-000099910000}"/>
    <cellStyle name="Porcentaje 4 3 3 3 2 3 2 2" xfId="36606" xr:uid="{00000000-0005-0000-0000-00009A910000}"/>
    <cellStyle name="Porcentaje 4 3 3 3 2 3 3" xfId="26749" xr:uid="{00000000-0005-0000-0000-00009B910000}"/>
    <cellStyle name="Porcentaje 4 3 3 3 2 4" xfId="11963" xr:uid="{00000000-0005-0000-0000-00009C910000}"/>
    <cellStyle name="Porcentaje 4 3 3 3 2 4 2" xfId="31678" xr:uid="{00000000-0005-0000-0000-00009D910000}"/>
    <cellStyle name="Porcentaje 4 3 3 3 2 5" xfId="21821" xr:uid="{00000000-0005-0000-0000-00009E910000}"/>
    <cellStyle name="Porcentaje 4 3 3 3 3" xfId="3331" xr:uid="{00000000-0005-0000-0000-00009F910000}"/>
    <cellStyle name="Porcentaje 4 3 3 3 3 2" xfId="8263" xr:uid="{00000000-0005-0000-0000-0000A0910000}"/>
    <cellStyle name="Porcentaje 4 3 3 3 3 2 2" xfId="18123" xr:uid="{00000000-0005-0000-0000-0000A1910000}"/>
    <cellStyle name="Porcentaje 4 3 3 3 3 2 2 2" xfId="37838" xr:uid="{00000000-0005-0000-0000-0000A2910000}"/>
    <cellStyle name="Porcentaje 4 3 3 3 3 2 3" xfId="27981" xr:uid="{00000000-0005-0000-0000-0000A3910000}"/>
    <cellStyle name="Porcentaje 4 3 3 3 3 3" xfId="13195" xr:uid="{00000000-0005-0000-0000-0000A4910000}"/>
    <cellStyle name="Porcentaje 4 3 3 3 3 3 2" xfId="32910" xr:uid="{00000000-0005-0000-0000-0000A5910000}"/>
    <cellStyle name="Porcentaje 4 3 3 3 3 4" xfId="23053" xr:uid="{00000000-0005-0000-0000-0000A6910000}"/>
    <cellStyle name="Porcentaje 4 3 3 3 4" xfId="5799" xr:uid="{00000000-0005-0000-0000-0000A7910000}"/>
    <cellStyle name="Porcentaje 4 3 3 3 4 2" xfId="15659" xr:uid="{00000000-0005-0000-0000-0000A8910000}"/>
    <cellStyle name="Porcentaje 4 3 3 3 4 2 2" xfId="35374" xr:uid="{00000000-0005-0000-0000-0000A9910000}"/>
    <cellStyle name="Porcentaje 4 3 3 3 4 3" xfId="25517" xr:uid="{00000000-0005-0000-0000-0000AA910000}"/>
    <cellStyle name="Porcentaje 4 3 3 3 5" xfId="10731" xr:uid="{00000000-0005-0000-0000-0000AB910000}"/>
    <cellStyle name="Porcentaje 4 3 3 3 5 2" xfId="30446" xr:uid="{00000000-0005-0000-0000-0000AC910000}"/>
    <cellStyle name="Porcentaje 4 3 3 3 6" xfId="20589" xr:uid="{00000000-0005-0000-0000-0000AD910000}"/>
    <cellStyle name="Porcentaje 4 3 3 4" xfId="1480" xr:uid="{00000000-0005-0000-0000-0000AE910000}"/>
    <cellStyle name="Porcentaje 4 3 3 4 2" xfId="3947" xr:uid="{00000000-0005-0000-0000-0000AF910000}"/>
    <cellStyle name="Porcentaje 4 3 3 4 2 2" xfId="8879" xr:uid="{00000000-0005-0000-0000-0000B0910000}"/>
    <cellStyle name="Porcentaje 4 3 3 4 2 2 2" xfId="18739" xr:uid="{00000000-0005-0000-0000-0000B1910000}"/>
    <cellStyle name="Porcentaje 4 3 3 4 2 2 2 2" xfId="38454" xr:uid="{00000000-0005-0000-0000-0000B2910000}"/>
    <cellStyle name="Porcentaje 4 3 3 4 2 2 3" xfId="28597" xr:uid="{00000000-0005-0000-0000-0000B3910000}"/>
    <cellStyle name="Porcentaje 4 3 3 4 2 3" xfId="13811" xr:uid="{00000000-0005-0000-0000-0000B4910000}"/>
    <cellStyle name="Porcentaje 4 3 3 4 2 3 2" xfId="33526" xr:uid="{00000000-0005-0000-0000-0000B5910000}"/>
    <cellStyle name="Porcentaje 4 3 3 4 2 4" xfId="23669" xr:uid="{00000000-0005-0000-0000-0000B6910000}"/>
    <cellStyle name="Porcentaje 4 3 3 4 3" xfId="6415" xr:uid="{00000000-0005-0000-0000-0000B7910000}"/>
    <cellStyle name="Porcentaje 4 3 3 4 3 2" xfId="16275" xr:uid="{00000000-0005-0000-0000-0000B8910000}"/>
    <cellStyle name="Porcentaje 4 3 3 4 3 2 2" xfId="35990" xr:uid="{00000000-0005-0000-0000-0000B9910000}"/>
    <cellStyle name="Porcentaje 4 3 3 4 3 3" xfId="26133" xr:uid="{00000000-0005-0000-0000-0000BA910000}"/>
    <cellStyle name="Porcentaje 4 3 3 4 4" xfId="11347" xr:uid="{00000000-0005-0000-0000-0000BB910000}"/>
    <cellStyle name="Porcentaje 4 3 3 4 4 2" xfId="31062" xr:uid="{00000000-0005-0000-0000-0000BC910000}"/>
    <cellStyle name="Porcentaje 4 3 3 4 5" xfId="21205" xr:uid="{00000000-0005-0000-0000-0000BD910000}"/>
    <cellStyle name="Porcentaje 4 3 3 5" xfId="2715" xr:uid="{00000000-0005-0000-0000-0000BE910000}"/>
    <cellStyle name="Porcentaje 4 3 3 5 2" xfId="7647" xr:uid="{00000000-0005-0000-0000-0000BF910000}"/>
    <cellStyle name="Porcentaje 4 3 3 5 2 2" xfId="17507" xr:uid="{00000000-0005-0000-0000-0000C0910000}"/>
    <cellStyle name="Porcentaje 4 3 3 5 2 2 2" xfId="37222" xr:uid="{00000000-0005-0000-0000-0000C1910000}"/>
    <cellStyle name="Porcentaje 4 3 3 5 2 3" xfId="27365" xr:uid="{00000000-0005-0000-0000-0000C2910000}"/>
    <cellStyle name="Porcentaje 4 3 3 5 3" xfId="12579" xr:uid="{00000000-0005-0000-0000-0000C3910000}"/>
    <cellStyle name="Porcentaje 4 3 3 5 3 2" xfId="32294" xr:uid="{00000000-0005-0000-0000-0000C4910000}"/>
    <cellStyle name="Porcentaje 4 3 3 5 4" xfId="22437" xr:uid="{00000000-0005-0000-0000-0000C5910000}"/>
    <cellStyle name="Porcentaje 4 3 3 6" xfId="5183" xr:uid="{00000000-0005-0000-0000-0000C6910000}"/>
    <cellStyle name="Porcentaje 4 3 3 6 2" xfId="15043" xr:uid="{00000000-0005-0000-0000-0000C7910000}"/>
    <cellStyle name="Porcentaje 4 3 3 6 2 2" xfId="34758" xr:uid="{00000000-0005-0000-0000-0000C8910000}"/>
    <cellStyle name="Porcentaje 4 3 3 6 3" xfId="24901" xr:uid="{00000000-0005-0000-0000-0000C9910000}"/>
    <cellStyle name="Porcentaje 4 3 3 7" xfId="10115" xr:uid="{00000000-0005-0000-0000-0000CA910000}"/>
    <cellStyle name="Porcentaje 4 3 3 7 2" xfId="29830" xr:uid="{00000000-0005-0000-0000-0000CB910000}"/>
    <cellStyle name="Porcentaje 4 3 3 8" xfId="19973" xr:uid="{00000000-0005-0000-0000-0000CC910000}"/>
    <cellStyle name="Porcentaje 4 3 4" xfId="395" xr:uid="{00000000-0005-0000-0000-0000CD910000}"/>
    <cellStyle name="Porcentaje 4 3 4 2" xfId="1015" xr:uid="{00000000-0005-0000-0000-0000CE910000}"/>
    <cellStyle name="Porcentaje 4 3 4 2 2" xfId="2250" xr:uid="{00000000-0005-0000-0000-0000CF910000}"/>
    <cellStyle name="Porcentaje 4 3 4 2 2 2" xfId="4717" xr:uid="{00000000-0005-0000-0000-0000D0910000}"/>
    <cellStyle name="Porcentaje 4 3 4 2 2 2 2" xfId="9649" xr:uid="{00000000-0005-0000-0000-0000D1910000}"/>
    <cellStyle name="Porcentaje 4 3 4 2 2 2 2 2" xfId="19509" xr:uid="{00000000-0005-0000-0000-0000D2910000}"/>
    <cellStyle name="Porcentaje 4 3 4 2 2 2 2 2 2" xfId="39224" xr:uid="{00000000-0005-0000-0000-0000D3910000}"/>
    <cellStyle name="Porcentaje 4 3 4 2 2 2 2 3" xfId="29367" xr:uid="{00000000-0005-0000-0000-0000D4910000}"/>
    <cellStyle name="Porcentaje 4 3 4 2 2 2 3" xfId="14581" xr:uid="{00000000-0005-0000-0000-0000D5910000}"/>
    <cellStyle name="Porcentaje 4 3 4 2 2 2 3 2" xfId="34296" xr:uid="{00000000-0005-0000-0000-0000D6910000}"/>
    <cellStyle name="Porcentaje 4 3 4 2 2 2 4" xfId="24439" xr:uid="{00000000-0005-0000-0000-0000D7910000}"/>
    <cellStyle name="Porcentaje 4 3 4 2 2 3" xfId="7185" xr:uid="{00000000-0005-0000-0000-0000D8910000}"/>
    <cellStyle name="Porcentaje 4 3 4 2 2 3 2" xfId="17045" xr:uid="{00000000-0005-0000-0000-0000D9910000}"/>
    <cellStyle name="Porcentaje 4 3 4 2 2 3 2 2" xfId="36760" xr:uid="{00000000-0005-0000-0000-0000DA910000}"/>
    <cellStyle name="Porcentaje 4 3 4 2 2 3 3" xfId="26903" xr:uid="{00000000-0005-0000-0000-0000DB910000}"/>
    <cellStyle name="Porcentaje 4 3 4 2 2 4" xfId="12117" xr:uid="{00000000-0005-0000-0000-0000DC910000}"/>
    <cellStyle name="Porcentaje 4 3 4 2 2 4 2" xfId="31832" xr:uid="{00000000-0005-0000-0000-0000DD910000}"/>
    <cellStyle name="Porcentaje 4 3 4 2 2 5" xfId="21975" xr:uid="{00000000-0005-0000-0000-0000DE910000}"/>
    <cellStyle name="Porcentaje 4 3 4 2 3" xfId="3485" xr:uid="{00000000-0005-0000-0000-0000DF910000}"/>
    <cellStyle name="Porcentaje 4 3 4 2 3 2" xfId="8417" xr:uid="{00000000-0005-0000-0000-0000E0910000}"/>
    <cellStyle name="Porcentaje 4 3 4 2 3 2 2" xfId="18277" xr:uid="{00000000-0005-0000-0000-0000E1910000}"/>
    <cellStyle name="Porcentaje 4 3 4 2 3 2 2 2" xfId="37992" xr:uid="{00000000-0005-0000-0000-0000E2910000}"/>
    <cellStyle name="Porcentaje 4 3 4 2 3 2 3" xfId="28135" xr:uid="{00000000-0005-0000-0000-0000E3910000}"/>
    <cellStyle name="Porcentaje 4 3 4 2 3 3" xfId="13349" xr:uid="{00000000-0005-0000-0000-0000E4910000}"/>
    <cellStyle name="Porcentaje 4 3 4 2 3 3 2" xfId="33064" xr:uid="{00000000-0005-0000-0000-0000E5910000}"/>
    <cellStyle name="Porcentaje 4 3 4 2 3 4" xfId="23207" xr:uid="{00000000-0005-0000-0000-0000E6910000}"/>
    <cellStyle name="Porcentaje 4 3 4 2 4" xfId="5953" xr:uid="{00000000-0005-0000-0000-0000E7910000}"/>
    <cellStyle name="Porcentaje 4 3 4 2 4 2" xfId="15813" xr:uid="{00000000-0005-0000-0000-0000E8910000}"/>
    <cellStyle name="Porcentaje 4 3 4 2 4 2 2" xfId="35528" xr:uid="{00000000-0005-0000-0000-0000E9910000}"/>
    <cellStyle name="Porcentaje 4 3 4 2 4 3" xfId="25671" xr:uid="{00000000-0005-0000-0000-0000EA910000}"/>
    <cellStyle name="Porcentaje 4 3 4 2 5" xfId="10885" xr:uid="{00000000-0005-0000-0000-0000EB910000}"/>
    <cellStyle name="Porcentaje 4 3 4 2 5 2" xfId="30600" xr:uid="{00000000-0005-0000-0000-0000EC910000}"/>
    <cellStyle name="Porcentaje 4 3 4 2 6" xfId="20743" xr:uid="{00000000-0005-0000-0000-0000ED910000}"/>
    <cellStyle name="Porcentaje 4 3 4 3" xfId="1634" xr:uid="{00000000-0005-0000-0000-0000EE910000}"/>
    <cellStyle name="Porcentaje 4 3 4 3 2" xfId="4101" xr:uid="{00000000-0005-0000-0000-0000EF910000}"/>
    <cellStyle name="Porcentaje 4 3 4 3 2 2" xfId="9033" xr:uid="{00000000-0005-0000-0000-0000F0910000}"/>
    <cellStyle name="Porcentaje 4 3 4 3 2 2 2" xfId="18893" xr:uid="{00000000-0005-0000-0000-0000F1910000}"/>
    <cellStyle name="Porcentaje 4 3 4 3 2 2 2 2" xfId="38608" xr:uid="{00000000-0005-0000-0000-0000F2910000}"/>
    <cellStyle name="Porcentaje 4 3 4 3 2 2 3" xfId="28751" xr:uid="{00000000-0005-0000-0000-0000F3910000}"/>
    <cellStyle name="Porcentaje 4 3 4 3 2 3" xfId="13965" xr:uid="{00000000-0005-0000-0000-0000F4910000}"/>
    <cellStyle name="Porcentaje 4 3 4 3 2 3 2" xfId="33680" xr:uid="{00000000-0005-0000-0000-0000F5910000}"/>
    <cellStyle name="Porcentaje 4 3 4 3 2 4" xfId="23823" xr:uid="{00000000-0005-0000-0000-0000F6910000}"/>
    <cellStyle name="Porcentaje 4 3 4 3 3" xfId="6569" xr:uid="{00000000-0005-0000-0000-0000F7910000}"/>
    <cellStyle name="Porcentaje 4 3 4 3 3 2" xfId="16429" xr:uid="{00000000-0005-0000-0000-0000F8910000}"/>
    <cellStyle name="Porcentaje 4 3 4 3 3 2 2" xfId="36144" xr:uid="{00000000-0005-0000-0000-0000F9910000}"/>
    <cellStyle name="Porcentaje 4 3 4 3 3 3" xfId="26287" xr:uid="{00000000-0005-0000-0000-0000FA910000}"/>
    <cellStyle name="Porcentaje 4 3 4 3 4" xfId="11501" xr:uid="{00000000-0005-0000-0000-0000FB910000}"/>
    <cellStyle name="Porcentaje 4 3 4 3 4 2" xfId="31216" xr:uid="{00000000-0005-0000-0000-0000FC910000}"/>
    <cellStyle name="Porcentaje 4 3 4 3 5" xfId="21359" xr:uid="{00000000-0005-0000-0000-0000FD910000}"/>
    <cellStyle name="Porcentaje 4 3 4 4" xfId="2869" xr:uid="{00000000-0005-0000-0000-0000FE910000}"/>
    <cellStyle name="Porcentaje 4 3 4 4 2" xfId="7801" xr:uid="{00000000-0005-0000-0000-0000FF910000}"/>
    <cellStyle name="Porcentaje 4 3 4 4 2 2" xfId="17661" xr:uid="{00000000-0005-0000-0000-000000920000}"/>
    <cellStyle name="Porcentaje 4 3 4 4 2 2 2" xfId="37376" xr:uid="{00000000-0005-0000-0000-000001920000}"/>
    <cellStyle name="Porcentaje 4 3 4 4 2 3" xfId="27519" xr:uid="{00000000-0005-0000-0000-000002920000}"/>
    <cellStyle name="Porcentaje 4 3 4 4 3" xfId="12733" xr:uid="{00000000-0005-0000-0000-000003920000}"/>
    <cellStyle name="Porcentaje 4 3 4 4 3 2" xfId="32448" xr:uid="{00000000-0005-0000-0000-000004920000}"/>
    <cellStyle name="Porcentaje 4 3 4 4 4" xfId="22591" xr:uid="{00000000-0005-0000-0000-000005920000}"/>
    <cellStyle name="Porcentaje 4 3 4 5" xfId="5337" xr:uid="{00000000-0005-0000-0000-000006920000}"/>
    <cellStyle name="Porcentaje 4 3 4 5 2" xfId="15197" xr:uid="{00000000-0005-0000-0000-000007920000}"/>
    <cellStyle name="Porcentaje 4 3 4 5 2 2" xfId="34912" xr:uid="{00000000-0005-0000-0000-000008920000}"/>
    <cellStyle name="Porcentaje 4 3 4 5 3" xfId="25055" xr:uid="{00000000-0005-0000-0000-000009920000}"/>
    <cellStyle name="Porcentaje 4 3 4 6" xfId="10269" xr:uid="{00000000-0005-0000-0000-00000A920000}"/>
    <cellStyle name="Porcentaje 4 3 4 6 2" xfId="29984" xr:uid="{00000000-0005-0000-0000-00000B920000}"/>
    <cellStyle name="Porcentaje 4 3 4 7" xfId="20127" xr:uid="{00000000-0005-0000-0000-00000C920000}"/>
    <cellStyle name="Porcentaje 4 3 5" xfId="708" xr:uid="{00000000-0005-0000-0000-00000D920000}"/>
    <cellStyle name="Porcentaje 4 3 5 2" xfId="1944" xr:uid="{00000000-0005-0000-0000-00000E920000}"/>
    <cellStyle name="Porcentaje 4 3 5 2 2" xfId="4411" xr:uid="{00000000-0005-0000-0000-00000F920000}"/>
    <cellStyle name="Porcentaje 4 3 5 2 2 2" xfId="9343" xr:uid="{00000000-0005-0000-0000-000010920000}"/>
    <cellStyle name="Porcentaje 4 3 5 2 2 2 2" xfId="19203" xr:uid="{00000000-0005-0000-0000-000011920000}"/>
    <cellStyle name="Porcentaje 4 3 5 2 2 2 2 2" xfId="38918" xr:uid="{00000000-0005-0000-0000-000012920000}"/>
    <cellStyle name="Porcentaje 4 3 5 2 2 2 3" xfId="29061" xr:uid="{00000000-0005-0000-0000-000013920000}"/>
    <cellStyle name="Porcentaje 4 3 5 2 2 3" xfId="14275" xr:uid="{00000000-0005-0000-0000-000014920000}"/>
    <cellStyle name="Porcentaje 4 3 5 2 2 3 2" xfId="33990" xr:uid="{00000000-0005-0000-0000-000015920000}"/>
    <cellStyle name="Porcentaje 4 3 5 2 2 4" xfId="24133" xr:uid="{00000000-0005-0000-0000-000016920000}"/>
    <cellStyle name="Porcentaje 4 3 5 2 3" xfId="6879" xr:uid="{00000000-0005-0000-0000-000017920000}"/>
    <cellStyle name="Porcentaje 4 3 5 2 3 2" xfId="16739" xr:uid="{00000000-0005-0000-0000-000018920000}"/>
    <cellStyle name="Porcentaje 4 3 5 2 3 2 2" xfId="36454" xr:uid="{00000000-0005-0000-0000-000019920000}"/>
    <cellStyle name="Porcentaje 4 3 5 2 3 3" xfId="26597" xr:uid="{00000000-0005-0000-0000-00001A920000}"/>
    <cellStyle name="Porcentaje 4 3 5 2 4" xfId="11811" xr:uid="{00000000-0005-0000-0000-00001B920000}"/>
    <cellStyle name="Porcentaje 4 3 5 2 4 2" xfId="31526" xr:uid="{00000000-0005-0000-0000-00001C920000}"/>
    <cellStyle name="Porcentaje 4 3 5 2 5" xfId="21669" xr:uid="{00000000-0005-0000-0000-00001D920000}"/>
    <cellStyle name="Porcentaje 4 3 5 3" xfId="3179" xr:uid="{00000000-0005-0000-0000-00001E920000}"/>
    <cellStyle name="Porcentaje 4 3 5 3 2" xfId="8111" xr:uid="{00000000-0005-0000-0000-00001F920000}"/>
    <cellStyle name="Porcentaje 4 3 5 3 2 2" xfId="17971" xr:uid="{00000000-0005-0000-0000-000020920000}"/>
    <cellStyle name="Porcentaje 4 3 5 3 2 2 2" xfId="37686" xr:uid="{00000000-0005-0000-0000-000021920000}"/>
    <cellStyle name="Porcentaje 4 3 5 3 2 3" xfId="27829" xr:uid="{00000000-0005-0000-0000-000022920000}"/>
    <cellStyle name="Porcentaje 4 3 5 3 3" xfId="13043" xr:uid="{00000000-0005-0000-0000-000023920000}"/>
    <cellStyle name="Porcentaje 4 3 5 3 3 2" xfId="32758" xr:uid="{00000000-0005-0000-0000-000024920000}"/>
    <cellStyle name="Porcentaje 4 3 5 3 4" xfId="22901" xr:uid="{00000000-0005-0000-0000-000025920000}"/>
    <cellStyle name="Porcentaje 4 3 5 4" xfId="5647" xr:uid="{00000000-0005-0000-0000-000026920000}"/>
    <cellStyle name="Porcentaje 4 3 5 4 2" xfId="15507" xr:uid="{00000000-0005-0000-0000-000027920000}"/>
    <cellStyle name="Porcentaje 4 3 5 4 2 2" xfId="35222" xr:uid="{00000000-0005-0000-0000-000028920000}"/>
    <cellStyle name="Porcentaje 4 3 5 4 3" xfId="25365" xr:uid="{00000000-0005-0000-0000-000029920000}"/>
    <cellStyle name="Porcentaje 4 3 5 5" xfId="10579" xr:uid="{00000000-0005-0000-0000-00002A920000}"/>
    <cellStyle name="Porcentaje 4 3 5 5 2" xfId="30294" xr:uid="{00000000-0005-0000-0000-00002B920000}"/>
    <cellStyle name="Porcentaje 4 3 5 6" xfId="20437" xr:uid="{00000000-0005-0000-0000-00002C920000}"/>
    <cellStyle name="Porcentaje 4 3 6" xfId="1328" xr:uid="{00000000-0005-0000-0000-00002D920000}"/>
    <cellStyle name="Porcentaje 4 3 6 2" xfId="3795" xr:uid="{00000000-0005-0000-0000-00002E920000}"/>
    <cellStyle name="Porcentaje 4 3 6 2 2" xfId="8727" xr:uid="{00000000-0005-0000-0000-00002F920000}"/>
    <cellStyle name="Porcentaje 4 3 6 2 2 2" xfId="18587" xr:uid="{00000000-0005-0000-0000-000030920000}"/>
    <cellStyle name="Porcentaje 4 3 6 2 2 2 2" xfId="38302" xr:uid="{00000000-0005-0000-0000-000031920000}"/>
    <cellStyle name="Porcentaje 4 3 6 2 2 3" xfId="28445" xr:uid="{00000000-0005-0000-0000-000032920000}"/>
    <cellStyle name="Porcentaje 4 3 6 2 3" xfId="13659" xr:uid="{00000000-0005-0000-0000-000033920000}"/>
    <cellStyle name="Porcentaje 4 3 6 2 3 2" xfId="33374" xr:uid="{00000000-0005-0000-0000-000034920000}"/>
    <cellStyle name="Porcentaje 4 3 6 2 4" xfId="23517" xr:uid="{00000000-0005-0000-0000-000035920000}"/>
    <cellStyle name="Porcentaje 4 3 6 3" xfId="6263" xr:uid="{00000000-0005-0000-0000-000036920000}"/>
    <cellStyle name="Porcentaje 4 3 6 3 2" xfId="16123" xr:uid="{00000000-0005-0000-0000-000037920000}"/>
    <cellStyle name="Porcentaje 4 3 6 3 2 2" xfId="35838" xr:uid="{00000000-0005-0000-0000-000038920000}"/>
    <cellStyle name="Porcentaje 4 3 6 3 3" xfId="25981" xr:uid="{00000000-0005-0000-0000-000039920000}"/>
    <cellStyle name="Porcentaje 4 3 6 4" xfId="11195" xr:uid="{00000000-0005-0000-0000-00003A920000}"/>
    <cellStyle name="Porcentaje 4 3 6 4 2" xfId="30910" xr:uid="{00000000-0005-0000-0000-00003B920000}"/>
    <cellStyle name="Porcentaje 4 3 6 5" xfId="21053" xr:uid="{00000000-0005-0000-0000-00003C920000}"/>
    <cellStyle name="Porcentaje 4 3 7" xfId="2563" xr:uid="{00000000-0005-0000-0000-00003D920000}"/>
    <cellStyle name="Porcentaje 4 3 7 2" xfId="7495" xr:uid="{00000000-0005-0000-0000-00003E920000}"/>
    <cellStyle name="Porcentaje 4 3 7 2 2" xfId="17355" xr:uid="{00000000-0005-0000-0000-00003F920000}"/>
    <cellStyle name="Porcentaje 4 3 7 2 2 2" xfId="37070" xr:uid="{00000000-0005-0000-0000-000040920000}"/>
    <cellStyle name="Porcentaje 4 3 7 2 3" xfId="27213" xr:uid="{00000000-0005-0000-0000-000041920000}"/>
    <cellStyle name="Porcentaje 4 3 7 3" xfId="12427" xr:uid="{00000000-0005-0000-0000-000042920000}"/>
    <cellStyle name="Porcentaje 4 3 7 3 2" xfId="32142" xr:uid="{00000000-0005-0000-0000-000043920000}"/>
    <cellStyle name="Porcentaje 4 3 7 4" xfId="22285" xr:uid="{00000000-0005-0000-0000-000044920000}"/>
    <cellStyle name="Porcentaje 4 3 8" xfId="5031" xr:uid="{00000000-0005-0000-0000-000045920000}"/>
    <cellStyle name="Porcentaje 4 3 8 2" xfId="14891" xr:uid="{00000000-0005-0000-0000-000046920000}"/>
    <cellStyle name="Porcentaje 4 3 8 2 2" xfId="34606" xr:uid="{00000000-0005-0000-0000-000047920000}"/>
    <cellStyle name="Porcentaje 4 3 8 3" xfId="24749" xr:uid="{00000000-0005-0000-0000-000048920000}"/>
    <cellStyle name="Porcentaje 4 3 9" xfId="9963" xr:uid="{00000000-0005-0000-0000-000049920000}"/>
    <cellStyle name="Porcentaje 4 3 9 2" xfId="29678" xr:uid="{00000000-0005-0000-0000-00004A920000}"/>
    <cellStyle name="Porcentaje 4 4" xfId="114" xr:uid="{00000000-0005-0000-0000-00004B920000}"/>
    <cellStyle name="Porcentaje 4 4 2" xfId="271" xr:uid="{00000000-0005-0000-0000-00004C920000}"/>
    <cellStyle name="Porcentaje 4 4 2 2" xfId="585" xr:uid="{00000000-0005-0000-0000-00004D920000}"/>
    <cellStyle name="Porcentaje 4 4 2 2 2" xfId="1205" xr:uid="{00000000-0005-0000-0000-00004E920000}"/>
    <cellStyle name="Porcentaje 4 4 2 2 2 2" xfId="2440" xr:uid="{00000000-0005-0000-0000-00004F920000}"/>
    <cellStyle name="Porcentaje 4 4 2 2 2 2 2" xfId="4907" xr:uid="{00000000-0005-0000-0000-000050920000}"/>
    <cellStyle name="Porcentaje 4 4 2 2 2 2 2 2" xfId="9839" xr:uid="{00000000-0005-0000-0000-000051920000}"/>
    <cellStyle name="Porcentaje 4 4 2 2 2 2 2 2 2" xfId="19699" xr:uid="{00000000-0005-0000-0000-000052920000}"/>
    <cellStyle name="Porcentaje 4 4 2 2 2 2 2 2 2 2" xfId="39414" xr:uid="{00000000-0005-0000-0000-000053920000}"/>
    <cellStyle name="Porcentaje 4 4 2 2 2 2 2 2 3" xfId="29557" xr:uid="{00000000-0005-0000-0000-000054920000}"/>
    <cellStyle name="Porcentaje 4 4 2 2 2 2 2 3" xfId="14771" xr:uid="{00000000-0005-0000-0000-000055920000}"/>
    <cellStyle name="Porcentaje 4 4 2 2 2 2 2 3 2" xfId="34486" xr:uid="{00000000-0005-0000-0000-000056920000}"/>
    <cellStyle name="Porcentaje 4 4 2 2 2 2 2 4" xfId="24629" xr:uid="{00000000-0005-0000-0000-000057920000}"/>
    <cellStyle name="Porcentaje 4 4 2 2 2 2 3" xfId="7375" xr:uid="{00000000-0005-0000-0000-000058920000}"/>
    <cellStyle name="Porcentaje 4 4 2 2 2 2 3 2" xfId="17235" xr:uid="{00000000-0005-0000-0000-000059920000}"/>
    <cellStyle name="Porcentaje 4 4 2 2 2 2 3 2 2" xfId="36950" xr:uid="{00000000-0005-0000-0000-00005A920000}"/>
    <cellStyle name="Porcentaje 4 4 2 2 2 2 3 3" xfId="27093" xr:uid="{00000000-0005-0000-0000-00005B920000}"/>
    <cellStyle name="Porcentaje 4 4 2 2 2 2 4" xfId="12307" xr:uid="{00000000-0005-0000-0000-00005C920000}"/>
    <cellStyle name="Porcentaje 4 4 2 2 2 2 4 2" xfId="32022" xr:uid="{00000000-0005-0000-0000-00005D920000}"/>
    <cellStyle name="Porcentaje 4 4 2 2 2 2 5" xfId="22165" xr:uid="{00000000-0005-0000-0000-00005E920000}"/>
    <cellStyle name="Porcentaje 4 4 2 2 2 3" xfId="3675" xr:uid="{00000000-0005-0000-0000-00005F920000}"/>
    <cellStyle name="Porcentaje 4 4 2 2 2 3 2" xfId="8607" xr:uid="{00000000-0005-0000-0000-000060920000}"/>
    <cellStyle name="Porcentaje 4 4 2 2 2 3 2 2" xfId="18467" xr:uid="{00000000-0005-0000-0000-000061920000}"/>
    <cellStyle name="Porcentaje 4 4 2 2 2 3 2 2 2" xfId="38182" xr:uid="{00000000-0005-0000-0000-000062920000}"/>
    <cellStyle name="Porcentaje 4 4 2 2 2 3 2 3" xfId="28325" xr:uid="{00000000-0005-0000-0000-000063920000}"/>
    <cellStyle name="Porcentaje 4 4 2 2 2 3 3" xfId="13539" xr:uid="{00000000-0005-0000-0000-000064920000}"/>
    <cellStyle name="Porcentaje 4 4 2 2 2 3 3 2" xfId="33254" xr:uid="{00000000-0005-0000-0000-000065920000}"/>
    <cellStyle name="Porcentaje 4 4 2 2 2 3 4" xfId="23397" xr:uid="{00000000-0005-0000-0000-000066920000}"/>
    <cellStyle name="Porcentaje 4 4 2 2 2 4" xfId="6143" xr:uid="{00000000-0005-0000-0000-000067920000}"/>
    <cellStyle name="Porcentaje 4 4 2 2 2 4 2" xfId="16003" xr:uid="{00000000-0005-0000-0000-000068920000}"/>
    <cellStyle name="Porcentaje 4 4 2 2 2 4 2 2" xfId="35718" xr:uid="{00000000-0005-0000-0000-000069920000}"/>
    <cellStyle name="Porcentaje 4 4 2 2 2 4 3" xfId="25861" xr:uid="{00000000-0005-0000-0000-00006A920000}"/>
    <cellStyle name="Porcentaje 4 4 2 2 2 5" xfId="11075" xr:uid="{00000000-0005-0000-0000-00006B920000}"/>
    <cellStyle name="Porcentaje 4 4 2 2 2 5 2" xfId="30790" xr:uid="{00000000-0005-0000-0000-00006C920000}"/>
    <cellStyle name="Porcentaje 4 4 2 2 2 6" xfId="20933" xr:uid="{00000000-0005-0000-0000-00006D920000}"/>
    <cellStyle name="Porcentaje 4 4 2 2 3" xfId="1824" xr:uid="{00000000-0005-0000-0000-00006E920000}"/>
    <cellStyle name="Porcentaje 4 4 2 2 3 2" xfId="4291" xr:uid="{00000000-0005-0000-0000-00006F920000}"/>
    <cellStyle name="Porcentaje 4 4 2 2 3 2 2" xfId="9223" xr:uid="{00000000-0005-0000-0000-000070920000}"/>
    <cellStyle name="Porcentaje 4 4 2 2 3 2 2 2" xfId="19083" xr:uid="{00000000-0005-0000-0000-000071920000}"/>
    <cellStyle name="Porcentaje 4 4 2 2 3 2 2 2 2" xfId="38798" xr:uid="{00000000-0005-0000-0000-000072920000}"/>
    <cellStyle name="Porcentaje 4 4 2 2 3 2 2 3" xfId="28941" xr:uid="{00000000-0005-0000-0000-000073920000}"/>
    <cellStyle name="Porcentaje 4 4 2 2 3 2 3" xfId="14155" xr:uid="{00000000-0005-0000-0000-000074920000}"/>
    <cellStyle name="Porcentaje 4 4 2 2 3 2 3 2" xfId="33870" xr:uid="{00000000-0005-0000-0000-000075920000}"/>
    <cellStyle name="Porcentaje 4 4 2 2 3 2 4" xfId="24013" xr:uid="{00000000-0005-0000-0000-000076920000}"/>
    <cellStyle name="Porcentaje 4 4 2 2 3 3" xfId="6759" xr:uid="{00000000-0005-0000-0000-000077920000}"/>
    <cellStyle name="Porcentaje 4 4 2 2 3 3 2" xfId="16619" xr:uid="{00000000-0005-0000-0000-000078920000}"/>
    <cellStyle name="Porcentaje 4 4 2 2 3 3 2 2" xfId="36334" xr:uid="{00000000-0005-0000-0000-000079920000}"/>
    <cellStyle name="Porcentaje 4 4 2 2 3 3 3" xfId="26477" xr:uid="{00000000-0005-0000-0000-00007A920000}"/>
    <cellStyle name="Porcentaje 4 4 2 2 3 4" xfId="11691" xr:uid="{00000000-0005-0000-0000-00007B920000}"/>
    <cellStyle name="Porcentaje 4 4 2 2 3 4 2" xfId="31406" xr:uid="{00000000-0005-0000-0000-00007C920000}"/>
    <cellStyle name="Porcentaje 4 4 2 2 3 5" xfId="21549" xr:uid="{00000000-0005-0000-0000-00007D920000}"/>
    <cellStyle name="Porcentaje 4 4 2 2 4" xfId="3059" xr:uid="{00000000-0005-0000-0000-00007E920000}"/>
    <cellStyle name="Porcentaje 4 4 2 2 4 2" xfId="7991" xr:uid="{00000000-0005-0000-0000-00007F920000}"/>
    <cellStyle name="Porcentaje 4 4 2 2 4 2 2" xfId="17851" xr:uid="{00000000-0005-0000-0000-000080920000}"/>
    <cellStyle name="Porcentaje 4 4 2 2 4 2 2 2" xfId="37566" xr:uid="{00000000-0005-0000-0000-000081920000}"/>
    <cellStyle name="Porcentaje 4 4 2 2 4 2 3" xfId="27709" xr:uid="{00000000-0005-0000-0000-000082920000}"/>
    <cellStyle name="Porcentaje 4 4 2 2 4 3" xfId="12923" xr:uid="{00000000-0005-0000-0000-000083920000}"/>
    <cellStyle name="Porcentaje 4 4 2 2 4 3 2" xfId="32638" xr:uid="{00000000-0005-0000-0000-000084920000}"/>
    <cellStyle name="Porcentaje 4 4 2 2 4 4" xfId="22781" xr:uid="{00000000-0005-0000-0000-000085920000}"/>
    <cellStyle name="Porcentaje 4 4 2 2 5" xfId="5527" xr:uid="{00000000-0005-0000-0000-000086920000}"/>
    <cellStyle name="Porcentaje 4 4 2 2 5 2" xfId="15387" xr:uid="{00000000-0005-0000-0000-000087920000}"/>
    <cellStyle name="Porcentaje 4 4 2 2 5 2 2" xfId="35102" xr:uid="{00000000-0005-0000-0000-000088920000}"/>
    <cellStyle name="Porcentaje 4 4 2 2 5 3" xfId="25245" xr:uid="{00000000-0005-0000-0000-000089920000}"/>
    <cellStyle name="Porcentaje 4 4 2 2 6" xfId="10459" xr:uid="{00000000-0005-0000-0000-00008A920000}"/>
    <cellStyle name="Porcentaje 4 4 2 2 6 2" xfId="30174" xr:uid="{00000000-0005-0000-0000-00008B920000}"/>
    <cellStyle name="Porcentaje 4 4 2 2 7" xfId="20317" xr:uid="{00000000-0005-0000-0000-00008C920000}"/>
    <cellStyle name="Porcentaje 4 4 2 3" xfId="898" xr:uid="{00000000-0005-0000-0000-00008D920000}"/>
    <cellStyle name="Porcentaje 4 4 2 3 2" xfId="2134" xr:uid="{00000000-0005-0000-0000-00008E920000}"/>
    <cellStyle name="Porcentaje 4 4 2 3 2 2" xfId="4601" xr:uid="{00000000-0005-0000-0000-00008F920000}"/>
    <cellStyle name="Porcentaje 4 4 2 3 2 2 2" xfId="9533" xr:uid="{00000000-0005-0000-0000-000090920000}"/>
    <cellStyle name="Porcentaje 4 4 2 3 2 2 2 2" xfId="19393" xr:uid="{00000000-0005-0000-0000-000091920000}"/>
    <cellStyle name="Porcentaje 4 4 2 3 2 2 2 2 2" xfId="39108" xr:uid="{00000000-0005-0000-0000-000092920000}"/>
    <cellStyle name="Porcentaje 4 4 2 3 2 2 2 3" xfId="29251" xr:uid="{00000000-0005-0000-0000-000093920000}"/>
    <cellStyle name="Porcentaje 4 4 2 3 2 2 3" xfId="14465" xr:uid="{00000000-0005-0000-0000-000094920000}"/>
    <cellStyle name="Porcentaje 4 4 2 3 2 2 3 2" xfId="34180" xr:uid="{00000000-0005-0000-0000-000095920000}"/>
    <cellStyle name="Porcentaje 4 4 2 3 2 2 4" xfId="24323" xr:uid="{00000000-0005-0000-0000-000096920000}"/>
    <cellStyle name="Porcentaje 4 4 2 3 2 3" xfId="7069" xr:uid="{00000000-0005-0000-0000-000097920000}"/>
    <cellStyle name="Porcentaje 4 4 2 3 2 3 2" xfId="16929" xr:uid="{00000000-0005-0000-0000-000098920000}"/>
    <cellStyle name="Porcentaje 4 4 2 3 2 3 2 2" xfId="36644" xr:uid="{00000000-0005-0000-0000-000099920000}"/>
    <cellStyle name="Porcentaje 4 4 2 3 2 3 3" xfId="26787" xr:uid="{00000000-0005-0000-0000-00009A920000}"/>
    <cellStyle name="Porcentaje 4 4 2 3 2 4" xfId="12001" xr:uid="{00000000-0005-0000-0000-00009B920000}"/>
    <cellStyle name="Porcentaje 4 4 2 3 2 4 2" xfId="31716" xr:uid="{00000000-0005-0000-0000-00009C920000}"/>
    <cellStyle name="Porcentaje 4 4 2 3 2 5" xfId="21859" xr:uid="{00000000-0005-0000-0000-00009D920000}"/>
    <cellStyle name="Porcentaje 4 4 2 3 3" xfId="3369" xr:uid="{00000000-0005-0000-0000-00009E920000}"/>
    <cellStyle name="Porcentaje 4 4 2 3 3 2" xfId="8301" xr:uid="{00000000-0005-0000-0000-00009F920000}"/>
    <cellStyle name="Porcentaje 4 4 2 3 3 2 2" xfId="18161" xr:uid="{00000000-0005-0000-0000-0000A0920000}"/>
    <cellStyle name="Porcentaje 4 4 2 3 3 2 2 2" xfId="37876" xr:uid="{00000000-0005-0000-0000-0000A1920000}"/>
    <cellStyle name="Porcentaje 4 4 2 3 3 2 3" xfId="28019" xr:uid="{00000000-0005-0000-0000-0000A2920000}"/>
    <cellStyle name="Porcentaje 4 4 2 3 3 3" xfId="13233" xr:uid="{00000000-0005-0000-0000-0000A3920000}"/>
    <cellStyle name="Porcentaje 4 4 2 3 3 3 2" xfId="32948" xr:uid="{00000000-0005-0000-0000-0000A4920000}"/>
    <cellStyle name="Porcentaje 4 4 2 3 3 4" xfId="23091" xr:uid="{00000000-0005-0000-0000-0000A5920000}"/>
    <cellStyle name="Porcentaje 4 4 2 3 4" xfId="5837" xr:uid="{00000000-0005-0000-0000-0000A6920000}"/>
    <cellStyle name="Porcentaje 4 4 2 3 4 2" xfId="15697" xr:uid="{00000000-0005-0000-0000-0000A7920000}"/>
    <cellStyle name="Porcentaje 4 4 2 3 4 2 2" xfId="35412" xr:uid="{00000000-0005-0000-0000-0000A8920000}"/>
    <cellStyle name="Porcentaje 4 4 2 3 4 3" xfId="25555" xr:uid="{00000000-0005-0000-0000-0000A9920000}"/>
    <cellStyle name="Porcentaje 4 4 2 3 5" xfId="10769" xr:uid="{00000000-0005-0000-0000-0000AA920000}"/>
    <cellStyle name="Porcentaje 4 4 2 3 5 2" xfId="30484" xr:uid="{00000000-0005-0000-0000-0000AB920000}"/>
    <cellStyle name="Porcentaje 4 4 2 3 6" xfId="20627" xr:uid="{00000000-0005-0000-0000-0000AC920000}"/>
    <cellStyle name="Porcentaje 4 4 2 4" xfId="1518" xr:uid="{00000000-0005-0000-0000-0000AD920000}"/>
    <cellStyle name="Porcentaje 4 4 2 4 2" xfId="3985" xr:uid="{00000000-0005-0000-0000-0000AE920000}"/>
    <cellStyle name="Porcentaje 4 4 2 4 2 2" xfId="8917" xr:uid="{00000000-0005-0000-0000-0000AF920000}"/>
    <cellStyle name="Porcentaje 4 4 2 4 2 2 2" xfId="18777" xr:uid="{00000000-0005-0000-0000-0000B0920000}"/>
    <cellStyle name="Porcentaje 4 4 2 4 2 2 2 2" xfId="38492" xr:uid="{00000000-0005-0000-0000-0000B1920000}"/>
    <cellStyle name="Porcentaje 4 4 2 4 2 2 3" xfId="28635" xr:uid="{00000000-0005-0000-0000-0000B2920000}"/>
    <cellStyle name="Porcentaje 4 4 2 4 2 3" xfId="13849" xr:uid="{00000000-0005-0000-0000-0000B3920000}"/>
    <cellStyle name="Porcentaje 4 4 2 4 2 3 2" xfId="33564" xr:uid="{00000000-0005-0000-0000-0000B4920000}"/>
    <cellStyle name="Porcentaje 4 4 2 4 2 4" xfId="23707" xr:uid="{00000000-0005-0000-0000-0000B5920000}"/>
    <cellStyle name="Porcentaje 4 4 2 4 3" xfId="6453" xr:uid="{00000000-0005-0000-0000-0000B6920000}"/>
    <cellStyle name="Porcentaje 4 4 2 4 3 2" xfId="16313" xr:uid="{00000000-0005-0000-0000-0000B7920000}"/>
    <cellStyle name="Porcentaje 4 4 2 4 3 2 2" xfId="36028" xr:uid="{00000000-0005-0000-0000-0000B8920000}"/>
    <cellStyle name="Porcentaje 4 4 2 4 3 3" xfId="26171" xr:uid="{00000000-0005-0000-0000-0000B9920000}"/>
    <cellStyle name="Porcentaje 4 4 2 4 4" xfId="11385" xr:uid="{00000000-0005-0000-0000-0000BA920000}"/>
    <cellStyle name="Porcentaje 4 4 2 4 4 2" xfId="31100" xr:uid="{00000000-0005-0000-0000-0000BB920000}"/>
    <cellStyle name="Porcentaje 4 4 2 4 5" xfId="21243" xr:uid="{00000000-0005-0000-0000-0000BC920000}"/>
    <cellStyle name="Porcentaje 4 4 2 5" xfId="2753" xr:uid="{00000000-0005-0000-0000-0000BD920000}"/>
    <cellStyle name="Porcentaje 4 4 2 5 2" xfId="7685" xr:uid="{00000000-0005-0000-0000-0000BE920000}"/>
    <cellStyle name="Porcentaje 4 4 2 5 2 2" xfId="17545" xr:uid="{00000000-0005-0000-0000-0000BF920000}"/>
    <cellStyle name="Porcentaje 4 4 2 5 2 2 2" xfId="37260" xr:uid="{00000000-0005-0000-0000-0000C0920000}"/>
    <cellStyle name="Porcentaje 4 4 2 5 2 3" xfId="27403" xr:uid="{00000000-0005-0000-0000-0000C1920000}"/>
    <cellStyle name="Porcentaje 4 4 2 5 3" xfId="12617" xr:uid="{00000000-0005-0000-0000-0000C2920000}"/>
    <cellStyle name="Porcentaje 4 4 2 5 3 2" xfId="32332" xr:uid="{00000000-0005-0000-0000-0000C3920000}"/>
    <cellStyle name="Porcentaje 4 4 2 5 4" xfId="22475" xr:uid="{00000000-0005-0000-0000-0000C4920000}"/>
    <cellStyle name="Porcentaje 4 4 2 6" xfId="5221" xr:uid="{00000000-0005-0000-0000-0000C5920000}"/>
    <cellStyle name="Porcentaje 4 4 2 6 2" xfId="15081" xr:uid="{00000000-0005-0000-0000-0000C6920000}"/>
    <cellStyle name="Porcentaje 4 4 2 6 2 2" xfId="34796" xr:uid="{00000000-0005-0000-0000-0000C7920000}"/>
    <cellStyle name="Porcentaje 4 4 2 6 3" xfId="24939" xr:uid="{00000000-0005-0000-0000-0000C8920000}"/>
    <cellStyle name="Porcentaje 4 4 2 7" xfId="10153" xr:uid="{00000000-0005-0000-0000-0000C9920000}"/>
    <cellStyle name="Porcentaje 4 4 2 7 2" xfId="29868" xr:uid="{00000000-0005-0000-0000-0000CA920000}"/>
    <cellStyle name="Porcentaje 4 4 2 8" xfId="20011" xr:uid="{00000000-0005-0000-0000-0000CB920000}"/>
    <cellStyle name="Porcentaje 4 4 3" xfId="433" xr:uid="{00000000-0005-0000-0000-0000CC920000}"/>
    <cellStyle name="Porcentaje 4 4 3 2" xfId="1053" xr:uid="{00000000-0005-0000-0000-0000CD920000}"/>
    <cellStyle name="Porcentaje 4 4 3 2 2" xfId="2288" xr:uid="{00000000-0005-0000-0000-0000CE920000}"/>
    <cellStyle name="Porcentaje 4 4 3 2 2 2" xfId="4755" xr:uid="{00000000-0005-0000-0000-0000CF920000}"/>
    <cellStyle name="Porcentaje 4 4 3 2 2 2 2" xfId="9687" xr:uid="{00000000-0005-0000-0000-0000D0920000}"/>
    <cellStyle name="Porcentaje 4 4 3 2 2 2 2 2" xfId="19547" xr:uid="{00000000-0005-0000-0000-0000D1920000}"/>
    <cellStyle name="Porcentaje 4 4 3 2 2 2 2 2 2" xfId="39262" xr:uid="{00000000-0005-0000-0000-0000D2920000}"/>
    <cellStyle name="Porcentaje 4 4 3 2 2 2 2 3" xfId="29405" xr:uid="{00000000-0005-0000-0000-0000D3920000}"/>
    <cellStyle name="Porcentaje 4 4 3 2 2 2 3" xfId="14619" xr:uid="{00000000-0005-0000-0000-0000D4920000}"/>
    <cellStyle name="Porcentaje 4 4 3 2 2 2 3 2" xfId="34334" xr:uid="{00000000-0005-0000-0000-0000D5920000}"/>
    <cellStyle name="Porcentaje 4 4 3 2 2 2 4" xfId="24477" xr:uid="{00000000-0005-0000-0000-0000D6920000}"/>
    <cellStyle name="Porcentaje 4 4 3 2 2 3" xfId="7223" xr:uid="{00000000-0005-0000-0000-0000D7920000}"/>
    <cellStyle name="Porcentaje 4 4 3 2 2 3 2" xfId="17083" xr:uid="{00000000-0005-0000-0000-0000D8920000}"/>
    <cellStyle name="Porcentaje 4 4 3 2 2 3 2 2" xfId="36798" xr:uid="{00000000-0005-0000-0000-0000D9920000}"/>
    <cellStyle name="Porcentaje 4 4 3 2 2 3 3" xfId="26941" xr:uid="{00000000-0005-0000-0000-0000DA920000}"/>
    <cellStyle name="Porcentaje 4 4 3 2 2 4" xfId="12155" xr:uid="{00000000-0005-0000-0000-0000DB920000}"/>
    <cellStyle name="Porcentaje 4 4 3 2 2 4 2" xfId="31870" xr:uid="{00000000-0005-0000-0000-0000DC920000}"/>
    <cellStyle name="Porcentaje 4 4 3 2 2 5" xfId="22013" xr:uid="{00000000-0005-0000-0000-0000DD920000}"/>
    <cellStyle name="Porcentaje 4 4 3 2 3" xfId="3523" xr:uid="{00000000-0005-0000-0000-0000DE920000}"/>
    <cellStyle name="Porcentaje 4 4 3 2 3 2" xfId="8455" xr:uid="{00000000-0005-0000-0000-0000DF920000}"/>
    <cellStyle name="Porcentaje 4 4 3 2 3 2 2" xfId="18315" xr:uid="{00000000-0005-0000-0000-0000E0920000}"/>
    <cellStyle name="Porcentaje 4 4 3 2 3 2 2 2" xfId="38030" xr:uid="{00000000-0005-0000-0000-0000E1920000}"/>
    <cellStyle name="Porcentaje 4 4 3 2 3 2 3" xfId="28173" xr:uid="{00000000-0005-0000-0000-0000E2920000}"/>
    <cellStyle name="Porcentaje 4 4 3 2 3 3" xfId="13387" xr:uid="{00000000-0005-0000-0000-0000E3920000}"/>
    <cellStyle name="Porcentaje 4 4 3 2 3 3 2" xfId="33102" xr:uid="{00000000-0005-0000-0000-0000E4920000}"/>
    <cellStyle name="Porcentaje 4 4 3 2 3 4" xfId="23245" xr:uid="{00000000-0005-0000-0000-0000E5920000}"/>
    <cellStyle name="Porcentaje 4 4 3 2 4" xfId="5991" xr:uid="{00000000-0005-0000-0000-0000E6920000}"/>
    <cellStyle name="Porcentaje 4 4 3 2 4 2" xfId="15851" xr:uid="{00000000-0005-0000-0000-0000E7920000}"/>
    <cellStyle name="Porcentaje 4 4 3 2 4 2 2" xfId="35566" xr:uid="{00000000-0005-0000-0000-0000E8920000}"/>
    <cellStyle name="Porcentaje 4 4 3 2 4 3" xfId="25709" xr:uid="{00000000-0005-0000-0000-0000E9920000}"/>
    <cellStyle name="Porcentaje 4 4 3 2 5" xfId="10923" xr:uid="{00000000-0005-0000-0000-0000EA920000}"/>
    <cellStyle name="Porcentaje 4 4 3 2 5 2" xfId="30638" xr:uid="{00000000-0005-0000-0000-0000EB920000}"/>
    <cellStyle name="Porcentaje 4 4 3 2 6" xfId="20781" xr:uid="{00000000-0005-0000-0000-0000EC920000}"/>
    <cellStyle name="Porcentaje 4 4 3 3" xfId="1672" xr:uid="{00000000-0005-0000-0000-0000ED920000}"/>
    <cellStyle name="Porcentaje 4 4 3 3 2" xfId="4139" xr:uid="{00000000-0005-0000-0000-0000EE920000}"/>
    <cellStyle name="Porcentaje 4 4 3 3 2 2" xfId="9071" xr:uid="{00000000-0005-0000-0000-0000EF920000}"/>
    <cellStyle name="Porcentaje 4 4 3 3 2 2 2" xfId="18931" xr:uid="{00000000-0005-0000-0000-0000F0920000}"/>
    <cellStyle name="Porcentaje 4 4 3 3 2 2 2 2" xfId="38646" xr:uid="{00000000-0005-0000-0000-0000F1920000}"/>
    <cellStyle name="Porcentaje 4 4 3 3 2 2 3" xfId="28789" xr:uid="{00000000-0005-0000-0000-0000F2920000}"/>
    <cellStyle name="Porcentaje 4 4 3 3 2 3" xfId="14003" xr:uid="{00000000-0005-0000-0000-0000F3920000}"/>
    <cellStyle name="Porcentaje 4 4 3 3 2 3 2" xfId="33718" xr:uid="{00000000-0005-0000-0000-0000F4920000}"/>
    <cellStyle name="Porcentaje 4 4 3 3 2 4" xfId="23861" xr:uid="{00000000-0005-0000-0000-0000F5920000}"/>
    <cellStyle name="Porcentaje 4 4 3 3 3" xfId="6607" xr:uid="{00000000-0005-0000-0000-0000F6920000}"/>
    <cellStyle name="Porcentaje 4 4 3 3 3 2" xfId="16467" xr:uid="{00000000-0005-0000-0000-0000F7920000}"/>
    <cellStyle name="Porcentaje 4 4 3 3 3 2 2" xfId="36182" xr:uid="{00000000-0005-0000-0000-0000F8920000}"/>
    <cellStyle name="Porcentaje 4 4 3 3 3 3" xfId="26325" xr:uid="{00000000-0005-0000-0000-0000F9920000}"/>
    <cellStyle name="Porcentaje 4 4 3 3 4" xfId="11539" xr:uid="{00000000-0005-0000-0000-0000FA920000}"/>
    <cellStyle name="Porcentaje 4 4 3 3 4 2" xfId="31254" xr:uid="{00000000-0005-0000-0000-0000FB920000}"/>
    <cellStyle name="Porcentaje 4 4 3 3 5" xfId="21397" xr:uid="{00000000-0005-0000-0000-0000FC920000}"/>
    <cellStyle name="Porcentaje 4 4 3 4" xfId="2907" xr:uid="{00000000-0005-0000-0000-0000FD920000}"/>
    <cellStyle name="Porcentaje 4 4 3 4 2" xfId="7839" xr:uid="{00000000-0005-0000-0000-0000FE920000}"/>
    <cellStyle name="Porcentaje 4 4 3 4 2 2" xfId="17699" xr:uid="{00000000-0005-0000-0000-0000FF920000}"/>
    <cellStyle name="Porcentaje 4 4 3 4 2 2 2" xfId="37414" xr:uid="{00000000-0005-0000-0000-000000930000}"/>
    <cellStyle name="Porcentaje 4 4 3 4 2 3" xfId="27557" xr:uid="{00000000-0005-0000-0000-000001930000}"/>
    <cellStyle name="Porcentaje 4 4 3 4 3" xfId="12771" xr:uid="{00000000-0005-0000-0000-000002930000}"/>
    <cellStyle name="Porcentaje 4 4 3 4 3 2" xfId="32486" xr:uid="{00000000-0005-0000-0000-000003930000}"/>
    <cellStyle name="Porcentaje 4 4 3 4 4" xfId="22629" xr:uid="{00000000-0005-0000-0000-000004930000}"/>
    <cellStyle name="Porcentaje 4 4 3 5" xfId="5375" xr:uid="{00000000-0005-0000-0000-000005930000}"/>
    <cellStyle name="Porcentaje 4 4 3 5 2" xfId="15235" xr:uid="{00000000-0005-0000-0000-000006930000}"/>
    <cellStyle name="Porcentaje 4 4 3 5 2 2" xfId="34950" xr:uid="{00000000-0005-0000-0000-000007930000}"/>
    <cellStyle name="Porcentaje 4 4 3 5 3" xfId="25093" xr:uid="{00000000-0005-0000-0000-000008930000}"/>
    <cellStyle name="Porcentaje 4 4 3 6" xfId="10307" xr:uid="{00000000-0005-0000-0000-000009930000}"/>
    <cellStyle name="Porcentaje 4 4 3 6 2" xfId="30022" xr:uid="{00000000-0005-0000-0000-00000A930000}"/>
    <cellStyle name="Porcentaje 4 4 3 7" xfId="20165" xr:uid="{00000000-0005-0000-0000-00000B930000}"/>
    <cellStyle name="Porcentaje 4 4 4" xfId="746" xr:uid="{00000000-0005-0000-0000-00000C930000}"/>
    <cellStyle name="Porcentaje 4 4 4 2" xfId="1982" xr:uid="{00000000-0005-0000-0000-00000D930000}"/>
    <cellStyle name="Porcentaje 4 4 4 2 2" xfId="4449" xr:uid="{00000000-0005-0000-0000-00000E930000}"/>
    <cellStyle name="Porcentaje 4 4 4 2 2 2" xfId="9381" xr:uid="{00000000-0005-0000-0000-00000F930000}"/>
    <cellStyle name="Porcentaje 4 4 4 2 2 2 2" xfId="19241" xr:uid="{00000000-0005-0000-0000-000010930000}"/>
    <cellStyle name="Porcentaje 4 4 4 2 2 2 2 2" xfId="38956" xr:uid="{00000000-0005-0000-0000-000011930000}"/>
    <cellStyle name="Porcentaje 4 4 4 2 2 2 3" xfId="29099" xr:uid="{00000000-0005-0000-0000-000012930000}"/>
    <cellStyle name="Porcentaje 4 4 4 2 2 3" xfId="14313" xr:uid="{00000000-0005-0000-0000-000013930000}"/>
    <cellStyle name="Porcentaje 4 4 4 2 2 3 2" xfId="34028" xr:uid="{00000000-0005-0000-0000-000014930000}"/>
    <cellStyle name="Porcentaje 4 4 4 2 2 4" xfId="24171" xr:uid="{00000000-0005-0000-0000-000015930000}"/>
    <cellStyle name="Porcentaje 4 4 4 2 3" xfId="6917" xr:uid="{00000000-0005-0000-0000-000016930000}"/>
    <cellStyle name="Porcentaje 4 4 4 2 3 2" xfId="16777" xr:uid="{00000000-0005-0000-0000-000017930000}"/>
    <cellStyle name="Porcentaje 4 4 4 2 3 2 2" xfId="36492" xr:uid="{00000000-0005-0000-0000-000018930000}"/>
    <cellStyle name="Porcentaje 4 4 4 2 3 3" xfId="26635" xr:uid="{00000000-0005-0000-0000-000019930000}"/>
    <cellStyle name="Porcentaje 4 4 4 2 4" xfId="11849" xr:uid="{00000000-0005-0000-0000-00001A930000}"/>
    <cellStyle name="Porcentaje 4 4 4 2 4 2" xfId="31564" xr:uid="{00000000-0005-0000-0000-00001B930000}"/>
    <cellStyle name="Porcentaje 4 4 4 2 5" xfId="21707" xr:uid="{00000000-0005-0000-0000-00001C930000}"/>
    <cellStyle name="Porcentaje 4 4 4 3" xfId="3217" xr:uid="{00000000-0005-0000-0000-00001D930000}"/>
    <cellStyle name="Porcentaje 4 4 4 3 2" xfId="8149" xr:uid="{00000000-0005-0000-0000-00001E930000}"/>
    <cellStyle name="Porcentaje 4 4 4 3 2 2" xfId="18009" xr:uid="{00000000-0005-0000-0000-00001F930000}"/>
    <cellStyle name="Porcentaje 4 4 4 3 2 2 2" xfId="37724" xr:uid="{00000000-0005-0000-0000-000020930000}"/>
    <cellStyle name="Porcentaje 4 4 4 3 2 3" xfId="27867" xr:uid="{00000000-0005-0000-0000-000021930000}"/>
    <cellStyle name="Porcentaje 4 4 4 3 3" xfId="13081" xr:uid="{00000000-0005-0000-0000-000022930000}"/>
    <cellStyle name="Porcentaje 4 4 4 3 3 2" xfId="32796" xr:uid="{00000000-0005-0000-0000-000023930000}"/>
    <cellStyle name="Porcentaje 4 4 4 3 4" xfId="22939" xr:uid="{00000000-0005-0000-0000-000024930000}"/>
    <cellStyle name="Porcentaje 4 4 4 4" xfId="5685" xr:uid="{00000000-0005-0000-0000-000025930000}"/>
    <cellStyle name="Porcentaje 4 4 4 4 2" xfId="15545" xr:uid="{00000000-0005-0000-0000-000026930000}"/>
    <cellStyle name="Porcentaje 4 4 4 4 2 2" xfId="35260" xr:uid="{00000000-0005-0000-0000-000027930000}"/>
    <cellStyle name="Porcentaje 4 4 4 4 3" xfId="25403" xr:uid="{00000000-0005-0000-0000-000028930000}"/>
    <cellStyle name="Porcentaje 4 4 4 5" xfId="10617" xr:uid="{00000000-0005-0000-0000-000029930000}"/>
    <cellStyle name="Porcentaje 4 4 4 5 2" xfId="30332" xr:uid="{00000000-0005-0000-0000-00002A930000}"/>
    <cellStyle name="Porcentaje 4 4 4 6" xfId="20475" xr:uid="{00000000-0005-0000-0000-00002B930000}"/>
    <cellStyle name="Porcentaje 4 4 5" xfId="1366" xr:uid="{00000000-0005-0000-0000-00002C930000}"/>
    <cellStyle name="Porcentaje 4 4 5 2" xfId="3833" xr:uid="{00000000-0005-0000-0000-00002D930000}"/>
    <cellStyle name="Porcentaje 4 4 5 2 2" xfId="8765" xr:uid="{00000000-0005-0000-0000-00002E930000}"/>
    <cellStyle name="Porcentaje 4 4 5 2 2 2" xfId="18625" xr:uid="{00000000-0005-0000-0000-00002F930000}"/>
    <cellStyle name="Porcentaje 4 4 5 2 2 2 2" xfId="38340" xr:uid="{00000000-0005-0000-0000-000030930000}"/>
    <cellStyle name="Porcentaje 4 4 5 2 2 3" xfId="28483" xr:uid="{00000000-0005-0000-0000-000031930000}"/>
    <cellStyle name="Porcentaje 4 4 5 2 3" xfId="13697" xr:uid="{00000000-0005-0000-0000-000032930000}"/>
    <cellStyle name="Porcentaje 4 4 5 2 3 2" xfId="33412" xr:uid="{00000000-0005-0000-0000-000033930000}"/>
    <cellStyle name="Porcentaje 4 4 5 2 4" xfId="23555" xr:uid="{00000000-0005-0000-0000-000034930000}"/>
    <cellStyle name="Porcentaje 4 4 5 3" xfId="6301" xr:uid="{00000000-0005-0000-0000-000035930000}"/>
    <cellStyle name="Porcentaje 4 4 5 3 2" xfId="16161" xr:uid="{00000000-0005-0000-0000-000036930000}"/>
    <cellStyle name="Porcentaje 4 4 5 3 2 2" xfId="35876" xr:uid="{00000000-0005-0000-0000-000037930000}"/>
    <cellStyle name="Porcentaje 4 4 5 3 3" xfId="26019" xr:uid="{00000000-0005-0000-0000-000038930000}"/>
    <cellStyle name="Porcentaje 4 4 5 4" xfId="11233" xr:uid="{00000000-0005-0000-0000-000039930000}"/>
    <cellStyle name="Porcentaje 4 4 5 4 2" xfId="30948" xr:uid="{00000000-0005-0000-0000-00003A930000}"/>
    <cellStyle name="Porcentaje 4 4 5 5" xfId="21091" xr:uid="{00000000-0005-0000-0000-00003B930000}"/>
    <cellStyle name="Porcentaje 4 4 6" xfId="2601" xr:uid="{00000000-0005-0000-0000-00003C930000}"/>
    <cellStyle name="Porcentaje 4 4 6 2" xfId="7533" xr:uid="{00000000-0005-0000-0000-00003D930000}"/>
    <cellStyle name="Porcentaje 4 4 6 2 2" xfId="17393" xr:uid="{00000000-0005-0000-0000-00003E930000}"/>
    <cellStyle name="Porcentaje 4 4 6 2 2 2" xfId="37108" xr:uid="{00000000-0005-0000-0000-00003F930000}"/>
    <cellStyle name="Porcentaje 4 4 6 2 3" xfId="27251" xr:uid="{00000000-0005-0000-0000-000040930000}"/>
    <cellStyle name="Porcentaje 4 4 6 3" xfId="12465" xr:uid="{00000000-0005-0000-0000-000041930000}"/>
    <cellStyle name="Porcentaje 4 4 6 3 2" xfId="32180" xr:uid="{00000000-0005-0000-0000-000042930000}"/>
    <cellStyle name="Porcentaje 4 4 6 4" xfId="22323" xr:uid="{00000000-0005-0000-0000-000043930000}"/>
    <cellStyle name="Porcentaje 4 4 7" xfId="5069" xr:uid="{00000000-0005-0000-0000-000044930000}"/>
    <cellStyle name="Porcentaje 4 4 7 2" xfId="14929" xr:uid="{00000000-0005-0000-0000-000045930000}"/>
    <cellStyle name="Porcentaje 4 4 7 2 2" xfId="34644" xr:uid="{00000000-0005-0000-0000-000046930000}"/>
    <cellStyle name="Porcentaje 4 4 7 3" xfId="24787" xr:uid="{00000000-0005-0000-0000-000047930000}"/>
    <cellStyle name="Porcentaje 4 4 8" xfId="10001" xr:uid="{00000000-0005-0000-0000-000048930000}"/>
    <cellStyle name="Porcentaje 4 4 8 2" xfId="29716" xr:uid="{00000000-0005-0000-0000-000049930000}"/>
    <cellStyle name="Porcentaje 4 4 9" xfId="19859" xr:uid="{00000000-0005-0000-0000-00004A930000}"/>
    <cellStyle name="Porcentaje 4 5" xfId="195" xr:uid="{00000000-0005-0000-0000-00004B930000}"/>
    <cellStyle name="Porcentaje 4 5 2" xfId="509" xr:uid="{00000000-0005-0000-0000-00004C930000}"/>
    <cellStyle name="Porcentaje 4 5 2 2" xfId="1129" xr:uid="{00000000-0005-0000-0000-00004D930000}"/>
    <cellStyle name="Porcentaje 4 5 2 2 2" xfId="2364" xr:uid="{00000000-0005-0000-0000-00004E930000}"/>
    <cellStyle name="Porcentaje 4 5 2 2 2 2" xfId="4831" xr:uid="{00000000-0005-0000-0000-00004F930000}"/>
    <cellStyle name="Porcentaje 4 5 2 2 2 2 2" xfId="9763" xr:uid="{00000000-0005-0000-0000-000050930000}"/>
    <cellStyle name="Porcentaje 4 5 2 2 2 2 2 2" xfId="19623" xr:uid="{00000000-0005-0000-0000-000051930000}"/>
    <cellStyle name="Porcentaje 4 5 2 2 2 2 2 2 2" xfId="39338" xr:uid="{00000000-0005-0000-0000-000052930000}"/>
    <cellStyle name="Porcentaje 4 5 2 2 2 2 2 3" xfId="29481" xr:uid="{00000000-0005-0000-0000-000053930000}"/>
    <cellStyle name="Porcentaje 4 5 2 2 2 2 3" xfId="14695" xr:uid="{00000000-0005-0000-0000-000054930000}"/>
    <cellStyle name="Porcentaje 4 5 2 2 2 2 3 2" xfId="34410" xr:uid="{00000000-0005-0000-0000-000055930000}"/>
    <cellStyle name="Porcentaje 4 5 2 2 2 2 4" xfId="24553" xr:uid="{00000000-0005-0000-0000-000056930000}"/>
    <cellStyle name="Porcentaje 4 5 2 2 2 3" xfId="7299" xr:uid="{00000000-0005-0000-0000-000057930000}"/>
    <cellStyle name="Porcentaje 4 5 2 2 2 3 2" xfId="17159" xr:uid="{00000000-0005-0000-0000-000058930000}"/>
    <cellStyle name="Porcentaje 4 5 2 2 2 3 2 2" xfId="36874" xr:uid="{00000000-0005-0000-0000-000059930000}"/>
    <cellStyle name="Porcentaje 4 5 2 2 2 3 3" xfId="27017" xr:uid="{00000000-0005-0000-0000-00005A930000}"/>
    <cellStyle name="Porcentaje 4 5 2 2 2 4" xfId="12231" xr:uid="{00000000-0005-0000-0000-00005B930000}"/>
    <cellStyle name="Porcentaje 4 5 2 2 2 4 2" xfId="31946" xr:uid="{00000000-0005-0000-0000-00005C930000}"/>
    <cellStyle name="Porcentaje 4 5 2 2 2 5" xfId="22089" xr:uid="{00000000-0005-0000-0000-00005D930000}"/>
    <cellStyle name="Porcentaje 4 5 2 2 3" xfId="3599" xr:uid="{00000000-0005-0000-0000-00005E930000}"/>
    <cellStyle name="Porcentaje 4 5 2 2 3 2" xfId="8531" xr:uid="{00000000-0005-0000-0000-00005F930000}"/>
    <cellStyle name="Porcentaje 4 5 2 2 3 2 2" xfId="18391" xr:uid="{00000000-0005-0000-0000-000060930000}"/>
    <cellStyle name="Porcentaje 4 5 2 2 3 2 2 2" xfId="38106" xr:uid="{00000000-0005-0000-0000-000061930000}"/>
    <cellStyle name="Porcentaje 4 5 2 2 3 2 3" xfId="28249" xr:uid="{00000000-0005-0000-0000-000062930000}"/>
    <cellStyle name="Porcentaje 4 5 2 2 3 3" xfId="13463" xr:uid="{00000000-0005-0000-0000-000063930000}"/>
    <cellStyle name="Porcentaje 4 5 2 2 3 3 2" xfId="33178" xr:uid="{00000000-0005-0000-0000-000064930000}"/>
    <cellStyle name="Porcentaje 4 5 2 2 3 4" xfId="23321" xr:uid="{00000000-0005-0000-0000-000065930000}"/>
    <cellStyle name="Porcentaje 4 5 2 2 4" xfId="6067" xr:uid="{00000000-0005-0000-0000-000066930000}"/>
    <cellStyle name="Porcentaje 4 5 2 2 4 2" xfId="15927" xr:uid="{00000000-0005-0000-0000-000067930000}"/>
    <cellStyle name="Porcentaje 4 5 2 2 4 2 2" xfId="35642" xr:uid="{00000000-0005-0000-0000-000068930000}"/>
    <cellStyle name="Porcentaje 4 5 2 2 4 3" xfId="25785" xr:uid="{00000000-0005-0000-0000-000069930000}"/>
    <cellStyle name="Porcentaje 4 5 2 2 5" xfId="10999" xr:uid="{00000000-0005-0000-0000-00006A930000}"/>
    <cellStyle name="Porcentaje 4 5 2 2 5 2" xfId="30714" xr:uid="{00000000-0005-0000-0000-00006B930000}"/>
    <cellStyle name="Porcentaje 4 5 2 2 6" xfId="20857" xr:uid="{00000000-0005-0000-0000-00006C930000}"/>
    <cellStyle name="Porcentaje 4 5 2 3" xfId="1748" xr:uid="{00000000-0005-0000-0000-00006D930000}"/>
    <cellStyle name="Porcentaje 4 5 2 3 2" xfId="4215" xr:uid="{00000000-0005-0000-0000-00006E930000}"/>
    <cellStyle name="Porcentaje 4 5 2 3 2 2" xfId="9147" xr:uid="{00000000-0005-0000-0000-00006F930000}"/>
    <cellStyle name="Porcentaje 4 5 2 3 2 2 2" xfId="19007" xr:uid="{00000000-0005-0000-0000-000070930000}"/>
    <cellStyle name="Porcentaje 4 5 2 3 2 2 2 2" xfId="38722" xr:uid="{00000000-0005-0000-0000-000071930000}"/>
    <cellStyle name="Porcentaje 4 5 2 3 2 2 3" xfId="28865" xr:uid="{00000000-0005-0000-0000-000072930000}"/>
    <cellStyle name="Porcentaje 4 5 2 3 2 3" xfId="14079" xr:uid="{00000000-0005-0000-0000-000073930000}"/>
    <cellStyle name="Porcentaje 4 5 2 3 2 3 2" xfId="33794" xr:uid="{00000000-0005-0000-0000-000074930000}"/>
    <cellStyle name="Porcentaje 4 5 2 3 2 4" xfId="23937" xr:uid="{00000000-0005-0000-0000-000075930000}"/>
    <cellStyle name="Porcentaje 4 5 2 3 3" xfId="6683" xr:uid="{00000000-0005-0000-0000-000076930000}"/>
    <cellStyle name="Porcentaje 4 5 2 3 3 2" xfId="16543" xr:uid="{00000000-0005-0000-0000-000077930000}"/>
    <cellStyle name="Porcentaje 4 5 2 3 3 2 2" xfId="36258" xr:uid="{00000000-0005-0000-0000-000078930000}"/>
    <cellStyle name="Porcentaje 4 5 2 3 3 3" xfId="26401" xr:uid="{00000000-0005-0000-0000-000079930000}"/>
    <cellStyle name="Porcentaje 4 5 2 3 4" xfId="11615" xr:uid="{00000000-0005-0000-0000-00007A930000}"/>
    <cellStyle name="Porcentaje 4 5 2 3 4 2" xfId="31330" xr:uid="{00000000-0005-0000-0000-00007B930000}"/>
    <cellStyle name="Porcentaje 4 5 2 3 5" xfId="21473" xr:uid="{00000000-0005-0000-0000-00007C930000}"/>
    <cellStyle name="Porcentaje 4 5 2 4" xfId="2983" xr:uid="{00000000-0005-0000-0000-00007D930000}"/>
    <cellStyle name="Porcentaje 4 5 2 4 2" xfId="7915" xr:uid="{00000000-0005-0000-0000-00007E930000}"/>
    <cellStyle name="Porcentaje 4 5 2 4 2 2" xfId="17775" xr:uid="{00000000-0005-0000-0000-00007F930000}"/>
    <cellStyle name="Porcentaje 4 5 2 4 2 2 2" xfId="37490" xr:uid="{00000000-0005-0000-0000-000080930000}"/>
    <cellStyle name="Porcentaje 4 5 2 4 2 3" xfId="27633" xr:uid="{00000000-0005-0000-0000-000081930000}"/>
    <cellStyle name="Porcentaje 4 5 2 4 3" xfId="12847" xr:uid="{00000000-0005-0000-0000-000082930000}"/>
    <cellStyle name="Porcentaje 4 5 2 4 3 2" xfId="32562" xr:uid="{00000000-0005-0000-0000-000083930000}"/>
    <cellStyle name="Porcentaje 4 5 2 4 4" xfId="22705" xr:uid="{00000000-0005-0000-0000-000084930000}"/>
    <cellStyle name="Porcentaje 4 5 2 5" xfId="5451" xr:uid="{00000000-0005-0000-0000-000085930000}"/>
    <cellStyle name="Porcentaje 4 5 2 5 2" xfId="15311" xr:uid="{00000000-0005-0000-0000-000086930000}"/>
    <cellStyle name="Porcentaje 4 5 2 5 2 2" xfId="35026" xr:uid="{00000000-0005-0000-0000-000087930000}"/>
    <cellStyle name="Porcentaje 4 5 2 5 3" xfId="25169" xr:uid="{00000000-0005-0000-0000-000088930000}"/>
    <cellStyle name="Porcentaje 4 5 2 6" xfId="10383" xr:uid="{00000000-0005-0000-0000-000089930000}"/>
    <cellStyle name="Porcentaje 4 5 2 6 2" xfId="30098" xr:uid="{00000000-0005-0000-0000-00008A930000}"/>
    <cellStyle name="Porcentaje 4 5 2 7" xfId="20241" xr:uid="{00000000-0005-0000-0000-00008B930000}"/>
    <cellStyle name="Porcentaje 4 5 3" xfId="822" xr:uid="{00000000-0005-0000-0000-00008C930000}"/>
    <cellStyle name="Porcentaje 4 5 3 2" xfId="2058" xr:uid="{00000000-0005-0000-0000-00008D930000}"/>
    <cellStyle name="Porcentaje 4 5 3 2 2" xfId="4525" xr:uid="{00000000-0005-0000-0000-00008E930000}"/>
    <cellStyle name="Porcentaje 4 5 3 2 2 2" xfId="9457" xr:uid="{00000000-0005-0000-0000-00008F930000}"/>
    <cellStyle name="Porcentaje 4 5 3 2 2 2 2" xfId="19317" xr:uid="{00000000-0005-0000-0000-000090930000}"/>
    <cellStyle name="Porcentaje 4 5 3 2 2 2 2 2" xfId="39032" xr:uid="{00000000-0005-0000-0000-000091930000}"/>
    <cellStyle name="Porcentaje 4 5 3 2 2 2 3" xfId="29175" xr:uid="{00000000-0005-0000-0000-000092930000}"/>
    <cellStyle name="Porcentaje 4 5 3 2 2 3" xfId="14389" xr:uid="{00000000-0005-0000-0000-000093930000}"/>
    <cellStyle name="Porcentaje 4 5 3 2 2 3 2" xfId="34104" xr:uid="{00000000-0005-0000-0000-000094930000}"/>
    <cellStyle name="Porcentaje 4 5 3 2 2 4" xfId="24247" xr:uid="{00000000-0005-0000-0000-000095930000}"/>
    <cellStyle name="Porcentaje 4 5 3 2 3" xfId="6993" xr:uid="{00000000-0005-0000-0000-000096930000}"/>
    <cellStyle name="Porcentaje 4 5 3 2 3 2" xfId="16853" xr:uid="{00000000-0005-0000-0000-000097930000}"/>
    <cellStyle name="Porcentaje 4 5 3 2 3 2 2" xfId="36568" xr:uid="{00000000-0005-0000-0000-000098930000}"/>
    <cellStyle name="Porcentaje 4 5 3 2 3 3" xfId="26711" xr:uid="{00000000-0005-0000-0000-000099930000}"/>
    <cellStyle name="Porcentaje 4 5 3 2 4" xfId="11925" xr:uid="{00000000-0005-0000-0000-00009A930000}"/>
    <cellStyle name="Porcentaje 4 5 3 2 4 2" xfId="31640" xr:uid="{00000000-0005-0000-0000-00009B930000}"/>
    <cellStyle name="Porcentaje 4 5 3 2 5" xfId="21783" xr:uid="{00000000-0005-0000-0000-00009C930000}"/>
    <cellStyle name="Porcentaje 4 5 3 3" xfId="3293" xr:uid="{00000000-0005-0000-0000-00009D930000}"/>
    <cellStyle name="Porcentaje 4 5 3 3 2" xfId="8225" xr:uid="{00000000-0005-0000-0000-00009E930000}"/>
    <cellStyle name="Porcentaje 4 5 3 3 2 2" xfId="18085" xr:uid="{00000000-0005-0000-0000-00009F930000}"/>
    <cellStyle name="Porcentaje 4 5 3 3 2 2 2" xfId="37800" xr:uid="{00000000-0005-0000-0000-0000A0930000}"/>
    <cellStyle name="Porcentaje 4 5 3 3 2 3" xfId="27943" xr:uid="{00000000-0005-0000-0000-0000A1930000}"/>
    <cellStyle name="Porcentaje 4 5 3 3 3" xfId="13157" xr:uid="{00000000-0005-0000-0000-0000A2930000}"/>
    <cellStyle name="Porcentaje 4 5 3 3 3 2" xfId="32872" xr:uid="{00000000-0005-0000-0000-0000A3930000}"/>
    <cellStyle name="Porcentaje 4 5 3 3 4" xfId="23015" xr:uid="{00000000-0005-0000-0000-0000A4930000}"/>
    <cellStyle name="Porcentaje 4 5 3 4" xfId="5761" xr:uid="{00000000-0005-0000-0000-0000A5930000}"/>
    <cellStyle name="Porcentaje 4 5 3 4 2" xfId="15621" xr:uid="{00000000-0005-0000-0000-0000A6930000}"/>
    <cellStyle name="Porcentaje 4 5 3 4 2 2" xfId="35336" xr:uid="{00000000-0005-0000-0000-0000A7930000}"/>
    <cellStyle name="Porcentaje 4 5 3 4 3" xfId="25479" xr:uid="{00000000-0005-0000-0000-0000A8930000}"/>
    <cellStyle name="Porcentaje 4 5 3 5" xfId="10693" xr:uid="{00000000-0005-0000-0000-0000A9930000}"/>
    <cellStyle name="Porcentaje 4 5 3 5 2" xfId="30408" xr:uid="{00000000-0005-0000-0000-0000AA930000}"/>
    <cellStyle name="Porcentaje 4 5 3 6" xfId="20551" xr:uid="{00000000-0005-0000-0000-0000AB930000}"/>
    <cellStyle name="Porcentaje 4 5 4" xfId="1442" xr:uid="{00000000-0005-0000-0000-0000AC930000}"/>
    <cellStyle name="Porcentaje 4 5 4 2" xfId="3909" xr:uid="{00000000-0005-0000-0000-0000AD930000}"/>
    <cellStyle name="Porcentaje 4 5 4 2 2" xfId="8841" xr:uid="{00000000-0005-0000-0000-0000AE930000}"/>
    <cellStyle name="Porcentaje 4 5 4 2 2 2" xfId="18701" xr:uid="{00000000-0005-0000-0000-0000AF930000}"/>
    <cellStyle name="Porcentaje 4 5 4 2 2 2 2" xfId="38416" xr:uid="{00000000-0005-0000-0000-0000B0930000}"/>
    <cellStyle name="Porcentaje 4 5 4 2 2 3" xfId="28559" xr:uid="{00000000-0005-0000-0000-0000B1930000}"/>
    <cellStyle name="Porcentaje 4 5 4 2 3" xfId="13773" xr:uid="{00000000-0005-0000-0000-0000B2930000}"/>
    <cellStyle name="Porcentaje 4 5 4 2 3 2" xfId="33488" xr:uid="{00000000-0005-0000-0000-0000B3930000}"/>
    <cellStyle name="Porcentaje 4 5 4 2 4" xfId="23631" xr:uid="{00000000-0005-0000-0000-0000B4930000}"/>
    <cellStyle name="Porcentaje 4 5 4 3" xfId="6377" xr:uid="{00000000-0005-0000-0000-0000B5930000}"/>
    <cellStyle name="Porcentaje 4 5 4 3 2" xfId="16237" xr:uid="{00000000-0005-0000-0000-0000B6930000}"/>
    <cellStyle name="Porcentaje 4 5 4 3 2 2" xfId="35952" xr:uid="{00000000-0005-0000-0000-0000B7930000}"/>
    <cellStyle name="Porcentaje 4 5 4 3 3" xfId="26095" xr:uid="{00000000-0005-0000-0000-0000B8930000}"/>
    <cellStyle name="Porcentaje 4 5 4 4" xfId="11309" xr:uid="{00000000-0005-0000-0000-0000B9930000}"/>
    <cellStyle name="Porcentaje 4 5 4 4 2" xfId="31024" xr:uid="{00000000-0005-0000-0000-0000BA930000}"/>
    <cellStyle name="Porcentaje 4 5 4 5" xfId="21167" xr:uid="{00000000-0005-0000-0000-0000BB930000}"/>
    <cellStyle name="Porcentaje 4 5 5" xfId="2677" xr:uid="{00000000-0005-0000-0000-0000BC930000}"/>
    <cellStyle name="Porcentaje 4 5 5 2" xfId="7609" xr:uid="{00000000-0005-0000-0000-0000BD930000}"/>
    <cellStyle name="Porcentaje 4 5 5 2 2" xfId="17469" xr:uid="{00000000-0005-0000-0000-0000BE930000}"/>
    <cellStyle name="Porcentaje 4 5 5 2 2 2" xfId="37184" xr:uid="{00000000-0005-0000-0000-0000BF930000}"/>
    <cellStyle name="Porcentaje 4 5 5 2 3" xfId="27327" xr:uid="{00000000-0005-0000-0000-0000C0930000}"/>
    <cellStyle name="Porcentaje 4 5 5 3" xfId="12541" xr:uid="{00000000-0005-0000-0000-0000C1930000}"/>
    <cellStyle name="Porcentaje 4 5 5 3 2" xfId="32256" xr:uid="{00000000-0005-0000-0000-0000C2930000}"/>
    <cellStyle name="Porcentaje 4 5 5 4" xfId="22399" xr:uid="{00000000-0005-0000-0000-0000C3930000}"/>
    <cellStyle name="Porcentaje 4 5 6" xfId="5145" xr:uid="{00000000-0005-0000-0000-0000C4930000}"/>
    <cellStyle name="Porcentaje 4 5 6 2" xfId="15005" xr:uid="{00000000-0005-0000-0000-0000C5930000}"/>
    <cellStyle name="Porcentaje 4 5 6 2 2" xfId="34720" xr:uid="{00000000-0005-0000-0000-0000C6930000}"/>
    <cellStyle name="Porcentaje 4 5 6 3" xfId="24863" xr:uid="{00000000-0005-0000-0000-0000C7930000}"/>
    <cellStyle name="Porcentaje 4 5 7" xfId="10077" xr:uid="{00000000-0005-0000-0000-0000C8930000}"/>
    <cellStyle name="Porcentaje 4 5 7 2" xfId="29792" xr:uid="{00000000-0005-0000-0000-0000C9930000}"/>
    <cellStyle name="Porcentaje 4 5 8" xfId="19935" xr:uid="{00000000-0005-0000-0000-0000CA930000}"/>
    <cellStyle name="Porcentaje 4 6" xfId="357" xr:uid="{00000000-0005-0000-0000-0000CB930000}"/>
    <cellStyle name="Porcentaje 4 6 2" xfId="977" xr:uid="{00000000-0005-0000-0000-0000CC930000}"/>
    <cellStyle name="Porcentaje 4 6 2 2" xfId="2212" xr:uid="{00000000-0005-0000-0000-0000CD930000}"/>
    <cellStyle name="Porcentaje 4 6 2 2 2" xfId="4679" xr:uid="{00000000-0005-0000-0000-0000CE930000}"/>
    <cellStyle name="Porcentaje 4 6 2 2 2 2" xfId="9611" xr:uid="{00000000-0005-0000-0000-0000CF930000}"/>
    <cellStyle name="Porcentaje 4 6 2 2 2 2 2" xfId="19471" xr:uid="{00000000-0005-0000-0000-0000D0930000}"/>
    <cellStyle name="Porcentaje 4 6 2 2 2 2 2 2" xfId="39186" xr:uid="{00000000-0005-0000-0000-0000D1930000}"/>
    <cellStyle name="Porcentaje 4 6 2 2 2 2 3" xfId="29329" xr:uid="{00000000-0005-0000-0000-0000D2930000}"/>
    <cellStyle name="Porcentaje 4 6 2 2 2 3" xfId="14543" xr:uid="{00000000-0005-0000-0000-0000D3930000}"/>
    <cellStyle name="Porcentaje 4 6 2 2 2 3 2" xfId="34258" xr:uid="{00000000-0005-0000-0000-0000D4930000}"/>
    <cellStyle name="Porcentaje 4 6 2 2 2 4" xfId="24401" xr:uid="{00000000-0005-0000-0000-0000D5930000}"/>
    <cellStyle name="Porcentaje 4 6 2 2 3" xfId="7147" xr:uid="{00000000-0005-0000-0000-0000D6930000}"/>
    <cellStyle name="Porcentaje 4 6 2 2 3 2" xfId="17007" xr:uid="{00000000-0005-0000-0000-0000D7930000}"/>
    <cellStyle name="Porcentaje 4 6 2 2 3 2 2" xfId="36722" xr:uid="{00000000-0005-0000-0000-0000D8930000}"/>
    <cellStyle name="Porcentaje 4 6 2 2 3 3" xfId="26865" xr:uid="{00000000-0005-0000-0000-0000D9930000}"/>
    <cellStyle name="Porcentaje 4 6 2 2 4" xfId="12079" xr:uid="{00000000-0005-0000-0000-0000DA930000}"/>
    <cellStyle name="Porcentaje 4 6 2 2 4 2" xfId="31794" xr:uid="{00000000-0005-0000-0000-0000DB930000}"/>
    <cellStyle name="Porcentaje 4 6 2 2 5" xfId="21937" xr:uid="{00000000-0005-0000-0000-0000DC930000}"/>
    <cellStyle name="Porcentaje 4 6 2 3" xfId="3447" xr:uid="{00000000-0005-0000-0000-0000DD930000}"/>
    <cellStyle name="Porcentaje 4 6 2 3 2" xfId="8379" xr:uid="{00000000-0005-0000-0000-0000DE930000}"/>
    <cellStyle name="Porcentaje 4 6 2 3 2 2" xfId="18239" xr:uid="{00000000-0005-0000-0000-0000DF930000}"/>
    <cellStyle name="Porcentaje 4 6 2 3 2 2 2" xfId="37954" xr:uid="{00000000-0005-0000-0000-0000E0930000}"/>
    <cellStyle name="Porcentaje 4 6 2 3 2 3" xfId="28097" xr:uid="{00000000-0005-0000-0000-0000E1930000}"/>
    <cellStyle name="Porcentaje 4 6 2 3 3" xfId="13311" xr:uid="{00000000-0005-0000-0000-0000E2930000}"/>
    <cellStyle name="Porcentaje 4 6 2 3 3 2" xfId="33026" xr:uid="{00000000-0005-0000-0000-0000E3930000}"/>
    <cellStyle name="Porcentaje 4 6 2 3 4" xfId="23169" xr:uid="{00000000-0005-0000-0000-0000E4930000}"/>
    <cellStyle name="Porcentaje 4 6 2 4" xfId="5915" xr:uid="{00000000-0005-0000-0000-0000E5930000}"/>
    <cellStyle name="Porcentaje 4 6 2 4 2" xfId="15775" xr:uid="{00000000-0005-0000-0000-0000E6930000}"/>
    <cellStyle name="Porcentaje 4 6 2 4 2 2" xfId="35490" xr:uid="{00000000-0005-0000-0000-0000E7930000}"/>
    <cellStyle name="Porcentaje 4 6 2 4 3" xfId="25633" xr:uid="{00000000-0005-0000-0000-0000E8930000}"/>
    <cellStyle name="Porcentaje 4 6 2 5" xfId="10847" xr:uid="{00000000-0005-0000-0000-0000E9930000}"/>
    <cellStyle name="Porcentaje 4 6 2 5 2" xfId="30562" xr:uid="{00000000-0005-0000-0000-0000EA930000}"/>
    <cellStyle name="Porcentaje 4 6 2 6" xfId="20705" xr:uid="{00000000-0005-0000-0000-0000EB930000}"/>
    <cellStyle name="Porcentaje 4 6 3" xfId="1596" xr:uid="{00000000-0005-0000-0000-0000EC930000}"/>
    <cellStyle name="Porcentaje 4 6 3 2" xfId="4063" xr:uid="{00000000-0005-0000-0000-0000ED930000}"/>
    <cellStyle name="Porcentaje 4 6 3 2 2" xfId="8995" xr:uid="{00000000-0005-0000-0000-0000EE930000}"/>
    <cellStyle name="Porcentaje 4 6 3 2 2 2" xfId="18855" xr:uid="{00000000-0005-0000-0000-0000EF930000}"/>
    <cellStyle name="Porcentaje 4 6 3 2 2 2 2" xfId="38570" xr:uid="{00000000-0005-0000-0000-0000F0930000}"/>
    <cellStyle name="Porcentaje 4 6 3 2 2 3" xfId="28713" xr:uid="{00000000-0005-0000-0000-0000F1930000}"/>
    <cellStyle name="Porcentaje 4 6 3 2 3" xfId="13927" xr:uid="{00000000-0005-0000-0000-0000F2930000}"/>
    <cellStyle name="Porcentaje 4 6 3 2 3 2" xfId="33642" xr:uid="{00000000-0005-0000-0000-0000F3930000}"/>
    <cellStyle name="Porcentaje 4 6 3 2 4" xfId="23785" xr:uid="{00000000-0005-0000-0000-0000F4930000}"/>
    <cellStyle name="Porcentaje 4 6 3 3" xfId="6531" xr:uid="{00000000-0005-0000-0000-0000F5930000}"/>
    <cellStyle name="Porcentaje 4 6 3 3 2" xfId="16391" xr:uid="{00000000-0005-0000-0000-0000F6930000}"/>
    <cellStyle name="Porcentaje 4 6 3 3 2 2" xfId="36106" xr:uid="{00000000-0005-0000-0000-0000F7930000}"/>
    <cellStyle name="Porcentaje 4 6 3 3 3" xfId="26249" xr:uid="{00000000-0005-0000-0000-0000F8930000}"/>
    <cellStyle name="Porcentaje 4 6 3 4" xfId="11463" xr:uid="{00000000-0005-0000-0000-0000F9930000}"/>
    <cellStyle name="Porcentaje 4 6 3 4 2" xfId="31178" xr:uid="{00000000-0005-0000-0000-0000FA930000}"/>
    <cellStyle name="Porcentaje 4 6 3 5" xfId="21321" xr:uid="{00000000-0005-0000-0000-0000FB930000}"/>
    <cellStyle name="Porcentaje 4 6 4" xfId="2831" xr:uid="{00000000-0005-0000-0000-0000FC930000}"/>
    <cellStyle name="Porcentaje 4 6 4 2" xfId="7763" xr:uid="{00000000-0005-0000-0000-0000FD930000}"/>
    <cellStyle name="Porcentaje 4 6 4 2 2" xfId="17623" xr:uid="{00000000-0005-0000-0000-0000FE930000}"/>
    <cellStyle name="Porcentaje 4 6 4 2 2 2" xfId="37338" xr:uid="{00000000-0005-0000-0000-0000FF930000}"/>
    <cellStyle name="Porcentaje 4 6 4 2 3" xfId="27481" xr:uid="{00000000-0005-0000-0000-000000940000}"/>
    <cellStyle name="Porcentaje 4 6 4 3" xfId="12695" xr:uid="{00000000-0005-0000-0000-000001940000}"/>
    <cellStyle name="Porcentaje 4 6 4 3 2" xfId="32410" xr:uid="{00000000-0005-0000-0000-000002940000}"/>
    <cellStyle name="Porcentaje 4 6 4 4" xfId="22553" xr:uid="{00000000-0005-0000-0000-000003940000}"/>
    <cellStyle name="Porcentaje 4 6 5" xfId="5299" xr:uid="{00000000-0005-0000-0000-000004940000}"/>
    <cellStyle name="Porcentaje 4 6 5 2" xfId="15159" xr:uid="{00000000-0005-0000-0000-000005940000}"/>
    <cellStyle name="Porcentaje 4 6 5 2 2" xfId="34874" xr:uid="{00000000-0005-0000-0000-000006940000}"/>
    <cellStyle name="Porcentaje 4 6 5 3" xfId="25017" xr:uid="{00000000-0005-0000-0000-000007940000}"/>
    <cellStyle name="Porcentaje 4 6 6" xfId="10231" xr:uid="{00000000-0005-0000-0000-000008940000}"/>
    <cellStyle name="Porcentaje 4 6 6 2" xfId="29946" xr:uid="{00000000-0005-0000-0000-000009940000}"/>
    <cellStyle name="Porcentaje 4 6 7" xfId="20089" xr:uid="{00000000-0005-0000-0000-00000A940000}"/>
    <cellStyle name="Porcentaje 4 7" xfId="670" xr:uid="{00000000-0005-0000-0000-00000B940000}"/>
    <cellStyle name="Porcentaje 4 7 2" xfId="1906" xr:uid="{00000000-0005-0000-0000-00000C940000}"/>
    <cellStyle name="Porcentaje 4 7 2 2" xfId="4373" xr:uid="{00000000-0005-0000-0000-00000D940000}"/>
    <cellStyle name="Porcentaje 4 7 2 2 2" xfId="9305" xr:uid="{00000000-0005-0000-0000-00000E940000}"/>
    <cellStyle name="Porcentaje 4 7 2 2 2 2" xfId="19165" xr:uid="{00000000-0005-0000-0000-00000F940000}"/>
    <cellStyle name="Porcentaje 4 7 2 2 2 2 2" xfId="38880" xr:uid="{00000000-0005-0000-0000-000010940000}"/>
    <cellStyle name="Porcentaje 4 7 2 2 2 3" xfId="29023" xr:uid="{00000000-0005-0000-0000-000011940000}"/>
    <cellStyle name="Porcentaje 4 7 2 2 3" xfId="14237" xr:uid="{00000000-0005-0000-0000-000012940000}"/>
    <cellStyle name="Porcentaje 4 7 2 2 3 2" xfId="33952" xr:uid="{00000000-0005-0000-0000-000013940000}"/>
    <cellStyle name="Porcentaje 4 7 2 2 4" xfId="24095" xr:uid="{00000000-0005-0000-0000-000014940000}"/>
    <cellStyle name="Porcentaje 4 7 2 3" xfId="6841" xr:uid="{00000000-0005-0000-0000-000015940000}"/>
    <cellStyle name="Porcentaje 4 7 2 3 2" xfId="16701" xr:uid="{00000000-0005-0000-0000-000016940000}"/>
    <cellStyle name="Porcentaje 4 7 2 3 2 2" xfId="36416" xr:uid="{00000000-0005-0000-0000-000017940000}"/>
    <cellStyle name="Porcentaje 4 7 2 3 3" xfId="26559" xr:uid="{00000000-0005-0000-0000-000018940000}"/>
    <cellStyle name="Porcentaje 4 7 2 4" xfId="11773" xr:uid="{00000000-0005-0000-0000-000019940000}"/>
    <cellStyle name="Porcentaje 4 7 2 4 2" xfId="31488" xr:uid="{00000000-0005-0000-0000-00001A940000}"/>
    <cellStyle name="Porcentaje 4 7 2 5" xfId="21631" xr:uid="{00000000-0005-0000-0000-00001B940000}"/>
    <cellStyle name="Porcentaje 4 7 3" xfId="3141" xr:uid="{00000000-0005-0000-0000-00001C940000}"/>
    <cellStyle name="Porcentaje 4 7 3 2" xfId="8073" xr:uid="{00000000-0005-0000-0000-00001D940000}"/>
    <cellStyle name="Porcentaje 4 7 3 2 2" xfId="17933" xr:uid="{00000000-0005-0000-0000-00001E940000}"/>
    <cellStyle name="Porcentaje 4 7 3 2 2 2" xfId="37648" xr:uid="{00000000-0005-0000-0000-00001F940000}"/>
    <cellStyle name="Porcentaje 4 7 3 2 3" xfId="27791" xr:uid="{00000000-0005-0000-0000-000020940000}"/>
    <cellStyle name="Porcentaje 4 7 3 3" xfId="13005" xr:uid="{00000000-0005-0000-0000-000021940000}"/>
    <cellStyle name="Porcentaje 4 7 3 3 2" xfId="32720" xr:uid="{00000000-0005-0000-0000-000022940000}"/>
    <cellStyle name="Porcentaje 4 7 3 4" xfId="22863" xr:uid="{00000000-0005-0000-0000-000023940000}"/>
    <cellStyle name="Porcentaje 4 7 4" xfId="5609" xr:uid="{00000000-0005-0000-0000-000024940000}"/>
    <cellStyle name="Porcentaje 4 7 4 2" xfId="15469" xr:uid="{00000000-0005-0000-0000-000025940000}"/>
    <cellStyle name="Porcentaje 4 7 4 2 2" xfId="35184" xr:uid="{00000000-0005-0000-0000-000026940000}"/>
    <cellStyle name="Porcentaje 4 7 4 3" xfId="25327" xr:uid="{00000000-0005-0000-0000-000027940000}"/>
    <cellStyle name="Porcentaje 4 7 5" xfId="10541" xr:uid="{00000000-0005-0000-0000-000028940000}"/>
    <cellStyle name="Porcentaje 4 7 5 2" xfId="30256" xr:uid="{00000000-0005-0000-0000-000029940000}"/>
    <cellStyle name="Porcentaje 4 7 6" xfId="20399" xr:uid="{00000000-0005-0000-0000-00002A940000}"/>
    <cellStyle name="Porcentaje 4 8" xfId="1290" xr:uid="{00000000-0005-0000-0000-00002B940000}"/>
    <cellStyle name="Porcentaje 4 8 2" xfId="3757" xr:uid="{00000000-0005-0000-0000-00002C940000}"/>
    <cellStyle name="Porcentaje 4 8 2 2" xfId="8689" xr:uid="{00000000-0005-0000-0000-00002D940000}"/>
    <cellStyle name="Porcentaje 4 8 2 2 2" xfId="18549" xr:uid="{00000000-0005-0000-0000-00002E940000}"/>
    <cellStyle name="Porcentaje 4 8 2 2 2 2" xfId="38264" xr:uid="{00000000-0005-0000-0000-00002F940000}"/>
    <cellStyle name="Porcentaje 4 8 2 2 3" xfId="28407" xr:uid="{00000000-0005-0000-0000-000030940000}"/>
    <cellStyle name="Porcentaje 4 8 2 3" xfId="13621" xr:uid="{00000000-0005-0000-0000-000031940000}"/>
    <cellStyle name="Porcentaje 4 8 2 3 2" xfId="33336" xr:uid="{00000000-0005-0000-0000-000032940000}"/>
    <cellStyle name="Porcentaje 4 8 2 4" xfId="23479" xr:uid="{00000000-0005-0000-0000-000033940000}"/>
    <cellStyle name="Porcentaje 4 8 3" xfId="6225" xr:uid="{00000000-0005-0000-0000-000034940000}"/>
    <cellStyle name="Porcentaje 4 8 3 2" xfId="16085" xr:uid="{00000000-0005-0000-0000-000035940000}"/>
    <cellStyle name="Porcentaje 4 8 3 2 2" xfId="35800" xr:uid="{00000000-0005-0000-0000-000036940000}"/>
    <cellStyle name="Porcentaje 4 8 3 3" xfId="25943" xr:uid="{00000000-0005-0000-0000-000037940000}"/>
    <cellStyle name="Porcentaje 4 8 4" xfId="11157" xr:uid="{00000000-0005-0000-0000-000038940000}"/>
    <cellStyle name="Porcentaje 4 8 4 2" xfId="30872" xr:uid="{00000000-0005-0000-0000-000039940000}"/>
    <cellStyle name="Porcentaje 4 8 5" xfId="21015" xr:uid="{00000000-0005-0000-0000-00003A940000}"/>
    <cellStyle name="Porcentaje 4 9" xfId="2525" xr:uid="{00000000-0005-0000-0000-00003B940000}"/>
    <cellStyle name="Porcentaje 4 9 2" xfId="7457" xr:uid="{00000000-0005-0000-0000-00003C940000}"/>
    <cellStyle name="Porcentaje 4 9 2 2" xfId="17317" xr:uid="{00000000-0005-0000-0000-00003D940000}"/>
    <cellStyle name="Porcentaje 4 9 2 2 2" xfId="37032" xr:uid="{00000000-0005-0000-0000-00003E940000}"/>
    <cellStyle name="Porcentaje 4 9 2 3" xfId="27175" xr:uid="{00000000-0005-0000-0000-00003F940000}"/>
    <cellStyle name="Porcentaje 4 9 3" xfId="12389" xr:uid="{00000000-0005-0000-0000-000040940000}"/>
    <cellStyle name="Porcentaje 4 9 3 2" xfId="32104" xr:uid="{00000000-0005-0000-0000-000041940000}"/>
    <cellStyle name="Porcentaje 4 9 4" xfId="22247" xr:uid="{00000000-0005-0000-0000-000042940000}"/>
    <cellStyle name="Porcentaje 5" xfId="28" xr:uid="{00000000-0005-0000-0000-000043940000}"/>
    <cellStyle name="Porcentaje 5 2" xfId="32" xr:uid="{00000000-0005-0000-0000-000044940000}"/>
    <cellStyle name="Porcentaje 6" xfId="43" xr:uid="{00000000-0005-0000-0000-000045940000}"/>
    <cellStyle name="Porcentaje 6 2" xfId="56" xr:uid="{00000000-0005-0000-0000-000046940000}"/>
    <cellStyle name="Porcentaje 7" xfId="35" xr:uid="{00000000-0005-0000-0000-000047940000}"/>
    <cellStyle name="Porcentaje 7 10" xfId="9935" xr:uid="{00000000-0005-0000-0000-000048940000}"/>
    <cellStyle name="Porcentaje 7 10 2" xfId="29650" xr:uid="{00000000-0005-0000-0000-000049940000}"/>
    <cellStyle name="Porcentaje 7 11" xfId="19793" xr:uid="{00000000-0005-0000-0000-00004A940000}"/>
    <cellStyle name="Porcentaje 7 2" xfId="81" xr:uid="{00000000-0005-0000-0000-00004B940000}"/>
    <cellStyle name="Porcentaje 7 2 10" xfId="19831" xr:uid="{00000000-0005-0000-0000-00004C940000}"/>
    <cellStyle name="Porcentaje 7 2 2" xfId="162" xr:uid="{00000000-0005-0000-0000-00004D940000}"/>
    <cellStyle name="Porcentaje 7 2 2 2" xfId="319" xr:uid="{00000000-0005-0000-0000-00004E940000}"/>
    <cellStyle name="Porcentaje 7 2 2 2 2" xfId="633" xr:uid="{00000000-0005-0000-0000-00004F940000}"/>
    <cellStyle name="Porcentaje 7 2 2 2 2 2" xfId="1253" xr:uid="{00000000-0005-0000-0000-000050940000}"/>
    <cellStyle name="Porcentaje 7 2 2 2 2 2 2" xfId="2488" xr:uid="{00000000-0005-0000-0000-000051940000}"/>
    <cellStyle name="Porcentaje 7 2 2 2 2 2 2 2" xfId="4955" xr:uid="{00000000-0005-0000-0000-000052940000}"/>
    <cellStyle name="Porcentaje 7 2 2 2 2 2 2 2 2" xfId="9887" xr:uid="{00000000-0005-0000-0000-000053940000}"/>
    <cellStyle name="Porcentaje 7 2 2 2 2 2 2 2 2 2" xfId="19747" xr:uid="{00000000-0005-0000-0000-000054940000}"/>
    <cellStyle name="Porcentaje 7 2 2 2 2 2 2 2 2 2 2" xfId="39462" xr:uid="{00000000-0005-0000-0000-000055940000}"/>
    <cellStyle name="Porcentaje 7 2 2 2 2 2 2 2 2 3" xfId="29605" xr:uid="{00000000-0005-0000-0000-000056940000}"/>
    <cellStyle name="Porcentaje 7 2 2 2 2 2 2 2 3" xfId="14819" xr:uid="{00000000-0005-0000-0000-000057940000}"/>
    <cellStyle name="Porcentaje 7 2 2 2 2 2 2 2 3 2" xfId="34534" xr:uid="{00000000-0005-0000-0000-000058940000}"/>
    <cellStyle name="Porcentaje 7 2 2 2 2 2 2 2 4" xfId="24677" xr:uid="{00000000-0005-0000-0000-000059940000}"/>
    <cellStyle name="Porcentaje 7 2 2 2 2 2 2 3" xfId="7423" xr:uid="{00000000-0005-0000-0000-00005A940000}"/>
    <cellStyle name="Porcentaje 7 2 2 2 2 2 2 3 2" xfId="17283" xr:uid="{00000000-0005-0000-0000-00005B940000}"/>
    <cellStyle name="Porcentaje 7 2 2 2 2 2 2 3 2 2" xfId="36998" xr:uid="{00000000-0005-0000-0000-00005C940000}"/>
    <cellStyle name="Porcentaje 7 2 2 2 2 2 2 3 3" xfId="27141" xr:uid="{00000000-0005-0000-0000-00005D940000}"/>
    <cellStyle name="Porcentaje 7 2 2 2 2 2 2 4" xfId="12355" xr:uid="{00000000-0005-0000-0000-00005E940000}"/>
    <cellStyle name="Porcentaje 7 2 2 2 2 2 2 4 2" xfId="32070" xr:uid="{00000000-0005-0000-0000-00005F940000}"/>
    <cellStyle name="Porcentaje 7 2 2 2 2 2 2 5" xfId="22213" xr:uid="{00000000-0005-0000-0000-000060940000}"/>
    <cellStyle name="Porcentaje 7 2 2 2 2 2 3" xfId="3723" xr:uid="{00000000-0005-0000-0000-000061940000}"/>
    <cellStyle name="Porcentaje 7 2 2 2 2 2 3 2" xfId="8655" xr:uid="{00000000-0005-0000-0000-000062940000}"/>
    <cellStyle name="Porcentaje 7 2 2 2 2 2 3 2 2" xfId="18515" xr:uid="{00000000-0005-0000-0000-000063940000}"/>
    <cellStyle name="Porcentaje 7 2 2 2 2 2 3 2 2 2" xfId="38230" xr:uid="{00000000-0005-0000-0000-000064940000}"/>
    <cellStyle name="Porcentaje 7 2 2 2 2 2 3 2 3" xfId="28373" xr:uid="{00000000-0005-0000-0000-000065940000}"/>
    <cellStyle name="Porcentaje 7 2 2 2 2 2 3 3" xfId="13587" xr:uid="{00000000-0005-0000-0000-000066940000}"/>
    <cellStyle name="Porcentaje 7 2 2 2 2 2 3 3 2" xfId="33302" xr:uid="{00000000-0005-0000-0000-000067940000}"/>
    <cellStyle name="Porcentaje 7 2 2 2 2 2 3 4" xfId="23445" xr:uid="{00000000-0005-0000-0000-000068940000}"/>
    <cellStyle name="Porcentaje 7 2 2 2 2 2 4" xfId="6191" xr:uid="{00000000-0005-0000-0000-000069940000}"/>
    <cellStyle name="Porcentaje 7 2 2 2 2 2 4 2" xfId="16051" xr:uid="{00000000-0005-0000-0000-00006A940000}"/>
    <cellStyle name="Porcentaje 7 2 2 2 2 2 4 2 2" xfId="35766" xr:uid="{00000000-0005-0000-0000-00006B940000}"/>
    <cellStyle name="Porcentaje 7 2 2 2 2 2 4 3" xfId="25909" xr:uid="{00000000-0005-0000-0000-00006C940000}"/>
    <cellStyle name="Porcentaje 7 2 2 2 2 2 5" xfId="11123" xr:uid="{00000000-0005-0000-0000-00006D940000}"/>
    <cellStyle name="Porcentaje 7 2 2 2 2 2 5 2" xfId="30838" xr:uid="{00000000-0005-0000-0000-00006E940000}"/>
    <cellStyle name="Porcentaje 7 2 2 2 2 2 6" xfId="20981" xr:uid="{00000000-0005-0000-0000-00006F940000}"/>
    <cellStyle name="Porcentaje 7 2 2 2 2 3" xfId="1872" xr:uid="{00000000-0005-0000-0000-000070940000}"/>
    <cellStyle name="Porcentaje 7 2 2 2 2 3 2" xfId="4339" xr:uid="{00000000-0005-0000-0000-000071940000}"/>
    <cellStyle name="Porcentaje 7 2 2 2 2 3 2 2" xfId="9271" xr:uid="{00000000-0005-0000-0000-000072940000}"/>
    <cellStyle name="Porcentaje 7 2 2 2 2 3 2 2 2" xfId="19131" xr:uid="{00000000-0005-0000-0000-000073940000}"/>
    <cellStyle name="Porcentaje 7 2 2 2 2 3 2 2 2 2" xfId="38846" xr:uid="{00000000-0005-0000-0000-000074940000}"/>
    <cellStyle name="Porcentaje 7 2 2 2 2 3 2 2 3" xfId="28989" xr:uid="{00000000-0005-0000-0000-000075940000}"/>
    <cellStyle name="Porcentaje 7 2 2 2 2 3 2 3" xfId="14203" xr:uid="{00000000-0005-0000-0000-000076940000}"/>
    <cellStyle name="Porcentaje 7 2 2 2 2 3 2 3 2" xfId="33918" xr:uid="{00000000-0005-0000-0000-000077940000}"/>
    <cellStyle name="Porcentaje 7 2 2 2 2 3 2 4" xfId="24061" xr:uid="{00000000-0005-0000-0000-000078940000}"/>
    <cellStyle name="Porcentaje 7 2 2 2 2 3 3" xfId="6807" xr:uid="{00000000-0005-0000-0000-000079940000}"/>
    <cellStyle name="Porcentaje 7 2 2 2 2 3 3 2" xfId="16667" xr:uid="{00000000-0005-0000-0000-00007A940000}"/>
    <cellStyle name="Porcentaje 7 2 2 2 2 3 3 2 2" xfId="36382" xr:uid="{00000000-0005-0000-0000-00007B940000}"/>
    <cellStyle name="Porcentaje 7 2 2 2 2 3 3 3" xfId="26525" xr:uid="{00000000-0005-0000-0000-00007C940000}"/>
    <cellStyle name="Porcentaje 7 2 2 2 2 3 4" xfId="11739" xr:uid="{00000000-0005-0000-0000-00007D940000}"/>
    <cellStyle name="Porcentaje 7 2 2 2 2 3 4 2" xfId="31454" xr:uid="{00000000-0005-0000-0000-00007E940000}"/>
    <cellStyle name="Porcentaje 7 2 2 2 2 3 5" xfId="21597" xr:uid="{00000000-0005-0000-0000-00007F940000}"/>
    <cellStyle name="Porcentaje 7 2 2 2 2 4" xfId="3107" xr:uid="{00000000-0005-0000-0000-000080940000}"/>
    <cellStyle name="Porcentaje 7 2 2 2 2 4 2" xfId="8039" xr:uid="{00000000-0005-0000-0000-000081940000}"/>
    <cellStyle name="Porcentaje 7 2 2 2 2 4 2 2" xfId="17899" xr:uid="{00000000-0005-0000-0000-000082940000}"/>
    <cellStyle name="Porcentaje 7 2 2 2 2 4 2 2 2" xfId="37614" xr:uid="{00000000-0005-0000-0000-000083940000}"/>
    <cellStyle name="Porcentaje 7 2 2 2 2 4 2 3" xfId="27757" xr:uid="{00000000-0005-0000-0000-000084940000}"/>
    <cellStyle name="Porcentaje 7 2 2 2 2 4 3" xfId="12971" xr:uid="{00000000-0005-0000-0000-000085940000}"/>
    <cellStyle name="Porcentaje 7 2 2 2 2 4 3 2" xfId="32686" xr:uid="{00000000-0005-0000-0000-000086940000}"/>
    <cellStyle name="Porcentaje 7 2 2 2 2 4 4" xfId="22829" xr:uid="{00000000-0005-0000-0000-000087940000}"/>
    <cellStyle name="Porcentaje 7 2 2 2 2 5" xfId="5575" xr:uid="{00000000-0005-0000-0000-000088940000}"/>
    <cellStyle name="Porcentaje 7 2 2 2 2 5 2" xfId="15435" xr:uid="{00000000-0005-0000-0000-000089940000}"/>
    <cellStyle name="Porcentaje 7 2 2 2 2 5 2 2" xfId="35150" xr:uid="{00000000-0005-0000-0000-00008A940000}"/>
    <cellStyle name="Porcentaje 7 2 2 2 2 5 3" xfId="25293" xr:uid="{00000000-0005-0000-0000-00008B940000}"/>
    <cellStyle name="Porcentaje 7 2 2 2 2 6" xfId="10507" xr:uid="{00000000-0005-0000-0000-00008C940000}"/>
    <cellStyle name="Porcentaje 7 2 2 2 2 6 2" xfId="30222" xr:uid="{00000000-0005-0000-0000-00008D940000}"/>
    <cellStyle name="Porcentaje 7 2 2 2 2 7" xfId="20365" xr:uid="{00000000-0005-0000-0000-00008E940000}"/>
    <cellStyle name="Porcentaje 7 2 2 2 3" xfId="946" xr:uid="{00000000-0005-0000-0000-00008F940000}"/>
    <cellStyle name="Porcentaje 7 2 2 2 3 2" xfId="2182" xr:uid="{00000000-0005-0000-0000-000090940000}"/>
    <cellStyle name="Porcentaje 7 2 2 2 3 2 2" xfId="4649" xr:uid="{00000000-0005-0000-0000-000091940000}"/>
    <cellStyle name="Porcentaje 7 2 2 2 3 2 2 2" xfId="9581" xr:uid="{00000000-0005-0000-0000-000092940000}"/>
    <cellStyle name="Porcentaje 7 2 2 2 3 2 2 2 2" xfId="19441" xr:uid="{00000000-0005-0000-0000-000093940000}"/>
    <cellStyle name="Porcentaje 7 2 2 2 3 2 2 2 2 2" xfId="39156" xr:uid="{00000000-0005-0000-0000-000094940000}"/>
    <cellStyle name="Porcentaje 7 2 2 2 3 2 2 2 3" xfId="29299" xr:uid="{00000000-0005-0000-0000-000095940000}"/>
    <cellStyle name="Porcentaje 7 2 2 2 3 2 2 3" xfId="14513" xr:uid="{00000000-0005-0000-0000-000096940000}"/>
    <cellStyle name="Porcentaje 7 2 2 2 3 2 2 3 2" xfId="34228" xr:uid="{00000000-0005-0000-0000-000097940000}"/>
    <cellStyle name="Porcentaje 7 2 2 2 3 2 2 4" xfId="24371" xr:uid="{00000000-0005-0000-0000-000098940000}"/>
    <cellStyle name="Porcentaje 7 2 2 2 3 2 3" xfId="7117" xr:uid="{00000000-0005-0000-0000-000099940000}"/>
    <cellStyle name="Porcentaje 7 2 2 2 3 2 3 2" xfId="16977" xr:uid="{00000000-0005-0000-0000-00009A940000}"/>
    <cellStyle name="Porcentaje 7 2 2 2 3 2 3 2 2" xfId="36692" xr:uid="{00000000-0005-0000-0000-00009B940000}"/>
    <cellStyle name="Porcentaje 7 2 2 2 3 2 3 3" xfId="26835" xr:uid="{00000000-0005-0000-0000-00009C940000}"/>
    <cellStyle name="Porcentaje 7 2 2 2 3 2 4" xfId="12049" xr:uid="{00000000-0005-0000-0000-00009D940000}"/>
    <cellStyle name="Porcentaje 7 2 2 2 3 2 4 2" xfId="31764" xr:uid="{00000000-0005-0000-0000-00009E940000}"/>
    <cellStyle name="Porcentaje 7 2 2 2 3 2 5" xfId="21907" xr:uid="{00000000-0005-0000-0000-00009F940000}"/>
    <cellStyle name="Porcentaje 7 2 2 2 3 3" xfId="3417" xr:uid="{00000000-0005-0000-0000-0000A0940000}"/>
    <cellStyle name="Porcentaje 7 2 2 2 3 3 2" xfId="8349" xr:uid="{00000000-0005-0000-0000-0000A1940000}"/>
    <cellStyle name="Porcentaje 7 2 2 2 3 3 2 2" xfId="18209" xr:uid="{00000000-0005-0000-0000-0000A2940000}"/>
    <cellStyle name="Porcentaje 7 2 2 2 3 3 2 2 2" xfId="37924" xr:uid="{00000000-0005-0000-0000-0000A3940000}"/>
    <cellStyle name="Porcentaje 7 2 2 2 3 3 2 3" xfId="28067" xr:uid="{00000000-0005-0000-0000-0000A4940000}"/>
    <cellStyle name="Porcentaje 7 2 2 2 3 3 3" xfId="13281" xr:uid="{00000000-0005-0000-0000-0000A5940000}"/>
    <cellStyle name="Porcentaje 7 2 2 2 3 3 3 2" xfId="32996" xr:uid="{00000000-0005-0000-0000-0000A6940000}"/>
    <cellStyle name="Porcentaje 7 2 2 2 3 3 4" xfId="23139" xr:uid="{00000000-0005-0000-0000-0000A7940000}"/>
    <cellStyle name="Porcentaje 7 2 2 2 3 4" xfId="5885" xr:uid="{00000000-0005-0000-0000-0000A8940000}"/>
    <cellStyle name="Porcentaje 7 2 2 2 3 4 2" xfId="15745" xr:uid="{00000000-0005-0000-0000-0000A9940000}"/>
    <cellStyle name="Porcentaje 7 2 2 2 3 4 2 2" xfId="35460" xr:uid="{00000000-0005-0000-0000-0000AA940000}"/>
    <cellStyle name="Porcentaje 7 2 2 2 3 4 3" xfId="25603" xr:uid="{00000000-0005-0000-0000-0000AB940000}"/>
    <cellStyle name="Porcentaje 7 2 2 2 3 5" xfId="10817" xr:uid="{00000000-0005-0000-0000-0000AC940000}"/>
    <cellStyle name="Porcentaje 7 2 2 2 3 5 2" xfId="30532" xr:uid="{00000000-0005-0000-0000-0000AD940000}"/>
    <cellStyle name="Porcentaje 7 2 2 2 3 6" xfId="20675" xr:uid="{00000000-0005-0000-0000-0000AE940000}"/>
    <cellStyle name="Porcentaje 7 2 2 2 4" xfId="1566" xr:uid="{00000000-0005-0000-0000-0000AF940000}"/>
    <cellStyle name="Porcentaje 7 2 2 2 4 2" xfId="4033" xr:uid="{00000000-0005-0000-0000-0000B0940000}"/>
    <cellStyle name="Porcentaje 7 2 2 2 4 2 2" xfId="8965" xr:uid="{00000000-0005-0000-0000-0000B1940000}"/>
    <cellStyle name="Porcentaje 7 2 2 2 4 2 2 2" xfId="18825" xr:uid="{00000000-0005-0000-0000-0000B2940000}"/>
    <cellStyle name="Porcentaje 7 2 2 2 4 2 2 2 2" xfId="38540" xr:uid="{00000000-0005-0000-0000-0000B3940000}"/>
    <cellStyle name="Porcentaje 7 2 2 2 4 2 2 3" xfId="28683" xr:uid="{00000000-0005-0000-0000-0000B4940000}"/>
    <cellStyle name="Porcentaje 7 2 2 2 4 2 3" xfId="13897" xr:uid="{00000000-0005-0000-0000-0000B5940000}"/>
    <cellStyle name="Porcentaje 7 2 2 2 4 2 3 2" xfId="33612" xr:uid="{00000000-0005-0000-0000-0000B6940000}"/>
    <cellStyle name="Porcentaje 7 2 2 2 4 2 4" xfId="23755" xr:uid="{00000000-0005-0000-0000-0000B7940000}"/>
    <cellStyle name="Porcentaje 7 2 2 2 4 3" xfId="6501" xr:uid="{00000000-0005-0000-0000-0000B8940000}"/>
    <cellStyle name="Porcentaje 7 2 2 2 4 3 2" xfId="16361" xr:uid="{00000000-0005-0000-0000-0000B9940000}"/>
    <cellStyle name="Porcentaje 7 2 2 2 4 3 2 2" xfId="36076" xr:uid="{00000000-0005-0000-0000-0000BA940000}"/>
    <cellStyle name="Porcentaje 7 2 2 2 4 3 3" xfId="26219" xr:uid="{00000000-0005-0000-0000-0000BB940000}"/>
    <cellStyle name="Porcentaje 7 2 2 2 4 4" xfId="11433" xr:uid="{00000000-0005-0000-0000-0000BC940000}"/>
    <cellStyle name="Porcentaje 7 2 2 2 4 4 2" xfId="31148" xr:uid="{00000000-0005-0000-0000-0000BD940000}"/>
    <cellStyle name="Porcentaje 7 2 2 2 4 5" xfId="21291" xr:uid="{00000000-0005-0000-0000-0000BE940000}"/>
    <cellStyle name="Porcentaje 7 2 2 2 5" xfId="2801" xr:uid="{00000000-0005-0000-0000-0000BF940000}"/>
    <cellStyle name="Porcentaje 7 2 2 2 5 2" xfId="7733" xr:uid="{00000000-0005-0000-0000-0000C0940000}"/>
    <cellStyle name="Porcentaje 7 2 2 2 5 2 2" xfId="17593" xr:uid="{00000000-0005-0000-0000-0000C1940000}"/>
    <cellStyle name="Porcentaje 7 2 2 2 5 2 2 2" xfId="37308" xr:uid="{00000000-0005-0000-0000-0000C2940000}"/>
    <cellStyle name="Porcentaje 7 2 2 2 5 2 3" xfId="27451" xr:uid="{00000000-0005-0000-0000-0000C3940000}"/>
    <cellStyle name="Porcentaje 7 2 2 2 5 3" xfId="12665" xr:uid="{00000000-0005-0000-0000-0000C4940000}"/>
    <cellStyle name="Porcentaje 7 2 2 2 5 3 2" xfId="32380" xr:uid="{00000000-0005-0000-0000-0000C5940000}"/>
    <cellStyle name="Porcentaje 7 2 2 2 5 4" xfId="22523" xr:uid="{00000000-0005-0000-0000-0000C6940000}"/>
    <cellStyle name="Porcentaje 7 2 2 2 6" xfId="5269" xr:uid="{00000000-0005-0000-0000-0000C7940000}"/>
    <cellStyle name="Porcentaje 7 2 2 2 6 2" xfId="15129" xr:uid="{00000000-0005-0000-0000-0000C8940000}"/>
    <cellStyle name="Porcentaje 7 2 2 2 6 2 2" xfId="34844" xr:uid="{00000000-0005-0000-0000-0000C9940000}"/>
    <cellStyle name="Porcentaje 7 2 2 2 6 3" xfId="24987" xr:uid="{00000000-0005-0000-0000-0000CA940000}"/>
    <cellStyle name="Porcentaje 7 2 2 2 7" xfId="10201" xr:uid="{00000000-0005-0000-0000-0000CB940000}"/>
    <cellStyle name="Porcentaje 7 2 2 2 7 2" xfId="29916" xr:uid="{00000000-0005-0000-0000-0000CC940000}"/>
    <cellStyle name="Porcentaje 7 2 2 2 8" xfId="20059" xr:uid="{00000000-0005-0000-0000-0000CD940000}"/>
    <cellStyle name="Porcentaje 7 2 2 3" xfId="481" xr:uid="{00000000-0005-0000-0000-0000CE940000}"/>
    <cellStyle name="Porcentaje 7 2 2 3 2" xfId="1101" xr:uid="{00000000-0005-0000-0000-0000CF940000}"/>
    <cellStyle name="Porcentaje 7 2 2 3 2 2" xfId="2336" xr:uid="{00000000-0005-0000-0000-0000D0940000}"/>
    <cellStyle name="Porcentaje 7 2 2 3 2 2 2" xfId="4803" xr:uid="{00000000-0005-0000-0000-0000D1940000}"/>
    <cellStyle name="Porcentaje 7 2 2 3 2 2 2 2" xfId="9735" xr:uid="{00000000-0005-0000-0000-0000D2940000}"/>
    <cellStyle name="Porcentaje 7 2 2 3 2 2 2 2 2" xfId="19595" xr:uid="{00000000-0005-0000-0000-0000D3940000}"/>
    <cellStyle name="Porcentaje 7 2 2 3 2 2 2 2 2 2" xfId="39310" xr:uid="{00000000-0005-0000-0000-0000D4940000}"/>
    <cellStyle name="Porcentaje 7 2 2 3 2 2 2 2 3" xfId="29453" xr:uid="{00000000-0005-0000-0000-0000D5940000}"/>
    <cellStyle name="Porcentaje 7 2 2 3 2 2 2 3" xfId="14667" xr:uid="{00000000-0005-0000-0000-0000D6940000}"/>
    <cellStyle name="Porcentaje 7 2 2 3 2 2 2 3 2" xfId="34382" xr:uid="{00000000-0005-0000-0000-0000D7940000}"/>
    <cellStyle name="Porcentaje 7 2 2 3 2 2 2 4" xfId="24525" xr:uid="{00000000-0005-0000-0000-0000D8940000}"/>
    <cellStyle name="Porcentaje 7 2 2 3 2 2 3" xfId="7271" xr:uid="{00000000-0005-0000-0000-0000D9940000}"/>
    <cellStyle name="Porcentaje 7 2 2 3 2 2 3 2" xfId="17131" xr:uid="{00000000-0005-0000-0000-0000DA940000}"/>
    <cellStyle name="Porcentaje 7 2 2 3 2 2 3 2 2" xfId="36846" xr:uid="{00000000-0005-0000-0000-0000DB940000}"/>
    <cellStyle name="Porcentaje 7 2 2 3 2 2 3 3" xfId="26989" xr:uid="{00000000-0005-0000-0000-0000DC940000}"/>
    <cellStyle name="Porcentaje 7 2 2 3 2 2 4" xfId="12203" xr:uid="{00000000-0005-0000-0000-0000DD940000}"/>
    <cellStyle name="Porcentaje 7 2 2 3 2 2 4 2" xfId="31918" xr:uid="{00000000-0005-0000-0000-0000DE940000}"/>
    <cellStyle name="Porcentaje 7 2 2 3 2 2 5" xfId="22061" xr:uid="{00000000-0005-0000-0000-0000DF940000}"/>
    <cellStyle name="Porcentaje 7 2 2 3 2 3" xfId="3571" xr:uid="{00000000-0005-0000-0000-0000E0940000}"/>
    <cellStyle name="Porcentaje 7 2 2 3 2 3 2" xfId="8503" xr:uid="{00000000-0005-0000-0000-0000E1940000}"/>
    <cellStyle name="Porcentaje 7 2 2 3 2 3 2 2" xfId="18363" xr:uid="{00000000-0005-0000-0000-0000E2940000}"/>
    <cellStyle name="Porcentaje 7 2 2 3 2 3 2 2 2" xfId="38078" xr:uid="{00000000-0005-0000-0000-0000E3940000}"/>
    <cellStyle name="Porcentaje 7 2 2 3 2 3 2 3" xfId="28221" xr:uid="{00000000-0005-0000-0000-0000E4940000}"/>
    <cellStyle name="Porcentaje 7 2 2 3 2 3 3" xfId="13435" xr:uid="{00000000-0005-0000-0000-0000E5940000}"/>
    <cellStyle name="Porcentaje 7 2 2 3 2 3 3 2" xfId="33150" xr:uid="{00000000-0005-0000-0000-0000E6940000}"/>
    <cellStyle name="Porcentaje 7 2 2 3 2 3 4" xfId="23293" xr:uid="{00000000-0005-0000-0000-0000E7940000}"/>
    <cellStyle name="Porcentaje 7 2 2 3 2 4" xfId="6039" xr:uid="{00000000-0005-0000-0000-0000E8940000}"/>
    <cellStyle name="Porcentaje 7 2 2 3 2 4 2" xfId="15899" xr:uid="{00000000-0005-0000-0000-0000E9940000}"/>
    <cellStyle name="Porcentaje 7 2 2 3 2 4 2 2" xfId="35614" xr:uid="{00000000-0005-0000-0000-0000EA940000}"/>
    <cellStyle name="Porcentaje 7 2 2 3 2 4 3" xfId="25757" xr:uid="{00000000-0005-0000-0000-0000EB940000}"/>
    <cellStyle name="Porcentaje 7 2 2 3 2 5" xfId="10971" xr:uid="{00000000-0005-0000-0000-0000EC940000}"/>
    <cellStyle name="Porcentaje 7 2 2 3 2 5 2" xfId="30686" xr:uid="{00000000-0005-0000-0000-0000ED940000}"/>
    <cellStyle name="Porcentaje 7 2 2 3 2 6" xfId="20829" xr:uid="{00000000-0005-0000-0000-0000EE940000}"/>
    <cellStyle name="Porcentaje 7 2 2 3 3" xfId="1720" xr:uid="{00000000-0005-0000-0000-0000EF940000}"/>
    <cellStyle name="Porcentaje 7 2 2 3 3 2" xfId="4187" xr:uid="{00000000-0005-0000-0000-0000F0940000}"/>
    <cellStyle name="Porcentaje 7 2 2 3 3 2 2" xfId="9119" xr:uid="{00000000-0005-0000-0000-0000F1940000}"/>
    <cellStyle name="Porcentaje 7 2 2 3 3 2 2 2" xfId="18979" xr:uid="{00000000-0005-0000-0000-0000F2940000}"/>
    <cellStyle name="Porcentaje 7 2 2 3 3 2 2 2 2" xfId="38694" xr:uid="{00000000-0005-0000-0000-0000F3940000}"/>
    <cellStyle name="Porcentaje 7 2 2 3 3 2 2 3" xfId="28837" xr:uid="{00000000-0005-0000-0000-0000F4940000}"/>
    <cellStyle name="Porcentaje 7 2 2 3 3 2 3" xfId="14051" xr:uid="{00000000-0005-0000-0000-0000F5940000}"/>
    <cellStyle name="Porcentaje 7 2 2 3 3 2 3 2" xfId="33766" xr:uid="{00000000-0005-0000-0000-0000F6940000}"/>
    <cellStyle name="Porcentaje 7 2 2 3 3 2 4" xfId="23909" xr:uid="{00000000-0005-0000-0000-0000F7940000}"/>
    <cellStyle name="Porcentaje 7 2 2 3 3 3" xfId="6655" xr:uid="{00000000-0005-0000-0000-0000F8940000}"/>
    <cellStyle name="Porcentaje 7 2 2 3 3 3 2" xfId="16515" xr:uid="{00000000-0005-0000-0000-0000F9940000}"/>
    <cellStyle name="Porcentaje 7 2 2 3 3 3 2 2" xfId="36230" xr:uid="{00000000-0005-0000-0000-0000FA940000}"/>
    <cellStyle name="Porcentaje 7 2 2 3 3 3 3" xfId="26373" xr:uid="{00000000-0005-0000-0000-0000FB940000}"/>
    <cellStyle name="Porcentaje 7 2 2 3 3 4" xfId="11587" xr:uid="{00000000-0005-0000-0000-0000FC940000}"/>
    <cellStyle name="Porcentaje 7 2 2 3 3 4 2" xfId="31302" xr:uid="{00000000-0005-0000-0000-0000FD940000}"/>
    <cellStyle name="Porcentaje 7 2 2 3 3 5" xfId="21445" xr:uid="{00000000-0005-0000-0000-0000FE940000}"/>
    <cellStyle name="Porcentaje 7 2 2 3 4" xfId="2955" xr:uid="{00000000-0005-0000-0000-0000FF940000}"/>
    <cellStyle name="Porcentaje 7 2 2 3 4 2" xfId="7887" xr:uid="{00000000-0005-0000-0000-000000950000}"/>
    <cellStyle name="Porcentaje 7 2 2 3 4 2 2" xfId="17747" xr:uid="{00000000-0005-0000-0000-000001950000}"/>
    <cellStyle name="Porcentaje 7 2 2 3 4 2 2 2" xfId="37462" xr:uid="{00000000-0005-0000-0000-000002950000}"/>
    <cellStyle name="Porcentaje 7 2 2 3 4 2 3" xfId="27605" xr:uid="{00000000-0005-0000-0000-000003950000}"/>
    <cellStyle name="Porcentaje 7 2 2 3 4 3" xfId="12819" xr:uid="{00000000-0005-0000-0000-000004950000}"/>
    <cellStyle name="Porcentaje 7 2 2 3 4 3 2" xfId="32534" xr:uid="{00000000-0005-0000-0000-000005950000}"/>
    <cellStyle name="Porcentaje 7 2 2 3 4 4" xfId="22677" xr:uid="{00000000-0005-0000-0000-000006950000}"/>
    <cellStyle name="Porcentaje 7 2 2 3 5" xfId="5423" xr:uid="{00000000-0005-0000-0000-000007950000}"/>
    <cellStyle name="Porcentaje 7 2 2 3 5 2" xfId="15283" xr:uid="{00000000-0005-0000-0000-000008950000}"/>
    <cellStyle name="Porcentaje 7 2 2 3 5 2 2" xfId="34998" xr:uid="{00000000-0005-0000-0000-000009950000}"/>
    <cellStyle name="Porcentaje 7 2 2 3 5 3" xfId="25141" xr:uid="{00000000-0005-0000-0000-00000A950000}"/>
    <cellStyle name="Porcentaje 7 2 2 3 6" xfId="10355" xr:uid="{00000000-0005-0000-0000-00000B950000}"/>
    <cellStyle name="Porcentaje 7 2 2 3 6 2" xfId="30070" xr:uid="{00000000-0005-0000-0000-00000C950000}"/>
    <cellStyle name="Porcentaje 7 2 2 3 7" xfId="20213" xr:uid="{00000000-0005-0000-0000-00000D950000}"/>
    <cellStyle name="Porcentaje 7 2 2 4" xfId="794" xr:uid="{00000000-0005-0000-0000-00000E950000}"/>
    <cellStyle name="Porcentaje 7 2 2 4 2" xfId="2030" xr:uid="{00000000-0005-0000-0000-00000F950000}"/>
    <cellStyle name="Porcentaje 7 2 2 4 2 2" xfId="4497" xr:uid="{00000000-0005-0000-0000-000010950000}"/>
    <cellStyle name="Porcentaje 7 2 2 4 2 2 2" xfId="9429" xr:uid="{00000000-0005-0000-0000-000011950000}"/>
    <cellStyle name="Porcentaje 7 2 2 4 2 2 2 2" xfId="19289" xr:uid="{00000000-0005-0000-0000-000012950000}"/>
    <cellStyle name="Porcentaje 7 2 2 4 2 2 2 2 2" xfId="39004" xr:uid="{00000000-0005-0000-0000-000013950000}"/>
    <cellStyle name="Porcentaje 7 2 2 4 2 2 2 3" xfId="29147" xr:uid="{00000000-0005-0000-0000-000014950000}"/>
    <cellStyle name="Porcentaje 7 2 2 4 2 2 3" xfId="14361" xr:uid="{00000000-0005-0000-0000-000015950000}"/>
    <cellStyle name="Porcentaje 7 2 2 4 2 2 3 2" xfId="34076" xr:uid="{00000000-0005-0000-0000-000016950000}"/>
    <cellStyle name="Porcentaje 7 2 2 4 2 2 4" xfId="24219" xr:uid="{00000000-0005-0000-0000-000017950000}"/>
    <cellStyle name="Porcentaje 7 2 2 4 2 3" xfId="6965" xr:uid="{00000000-0005-0000-0000-000018950000}"/>
    <cellStyle name="Porcentaje 7 2 2 4 2 3 2" xfId="16825" xr:uid="{00000000-0005-0000-0000-000019950000}"/>
    <cellStyle name="Porcentaje 7 2 2 4 2 3 2 2" xfId="36540" xr:uid="{00000000-0005-0000-0000-00001A950000}"/>
    <cellStyle name="Porcentaje 7 2 2 4 2 3 3" xfId="26683" xr:uid="{00000000-0005-0000-0000-00001B950000}"/>
    <cellStyle name="Porcentaje 7 2 2 4 2 4" xfId="11897" xr:uid="{00000000-0005-0000-0000-00001C950000}"/>
    <cellStyle name="Porcentaje 7 2 2 4 2 4 2" xfId="31612" xr:uid="{00000000-0005-0000-0000-00001D950000}"/>
    <cellStyle name="Porcentaje 7 2 2 4 2 5" xfId="21755" xr:uid="{00000000-0005-0000-0000-00001E950000}"/>
    <cellStyle name="Porcentaje 7 2 2 4 3" xfId="3265" xr:uid="{00000000-0005-0000-0000-00001F950000}"/>
    <cellStyle name="Porcentaje 7 2 2 4 3 2" xfId="8197" xr:uid="{00000000-0005-0000-0000-000020950000}"/>
    <cellStyle name="Porcentaje 7 2 2 4 3 2 2" xfId="18057" xr:uid="{00000000-0005-0000-0000-000021950000}"/>
    <cellStyle name="Porcentaje 7 2 2 4 3 2 2 2" xfId="37772" xr:uid="{00000000-0005-0000-0000-000022950000}"/>
    <cellStyle name="Porcentaje 7 2 2 4 3 2 3" xfId="27915" xr:uid="{00000000-0005-0000-0000-000023950000}"/>
    <cellStyle name="Porcentaje 7 2 2 4 3 3" xfId="13129" xr:uid="{00000000-0005-0000-0000-000024950000}"/>
    <cellStyle name="Porcentaje 7 2 2 4 3 3 2" xfId="32844" xr:uid="{00000000-0005-0000-0000-000025950000}"/>
    <cellStyle name="Porcentaje 7 2 2 4 3 4" xfId="22987" xr:uid="{00000000-0005-0000-0000-000026950000}"/>
    <cellStyle name="Porcentaje 7 2 2 4 4" xfId="5733" xr:uid="{00000000-0005-0000-0000-000027950000}"/>
    <cellStyle name="Porcentaje 7 2 2 4 4 2" xfId="15593" xr:uid="{00000000-0005-0000-0000-000028950000}"/>
    <cellStyle name="Porcentaje 7 2 2 4 4 2 2" xfId="35308" xr:uid="{00000000-0005-0000-0000-000029950000}"/>
    <cellStyle name="Porcentaje 7 2 2 4 4 3" xfId="25451" xr:uid="{00000000-0005-0000-0000-00002A950000}"/>
    <cellStyle name="Porcentaje 7 2 2 4 5" xfId="10665" xr:uid="{00000000-0005-0000-0000-00002B950000}"/>
    <cellStyle name="Porcentaje 7 2 2 4 5 2" xfId="30380" xr:uid="{00000000-0005-0000-0000-00002C950000}"/>
    <cellStyle name="Porcentaje 7 2 2 4 6" xfId="20523" xr:uid="{00000000-0005-0000-0000-00002D950000}"/>
    <cellStyle name="Porcentaje 7 2 2 5" xfId="1414" xr:uid="{00000000-0005-0000-0000-00002E950000}"/>
    <cellStyle name="Porcentaje 7 2 2 5 2" xfId="3881" xr:uid="{00000000-0005-0000-0000-00002F950000}"/>
    <cellStyle name="Porcentaje 7 2 2 5 2 2" xfId="8813" xr:uid="{00000000-0005-0000-0000-000030950000}"/>
    <cellStyle name="Porcentaje 7 2 2 5 2 2 2" xfId="18673" xr:uid="{00000000-0005-0000-0000-000031950000}"/>
    <cellStyle name="Porcentaje 7 2 2 5 2 2 2 2" xfId="38388" xr:uid="{00000000-0005-0000-0000-000032950000}"/>
    <cellStyle name="Porcentaje 7 2 2 5 2 2 3" xfId="28531" xr:uid="{00000000-0005-0000-0000-000033950000}"/>
    <cellStyle name="Porcentaje 7 2 2 5 2 3" xfId="13745" xr:uid="{00000000-0005-0000-0000-000034950000}"/>
    <cellStyle name="Porcentaje 7 2 2 5 2 3 2" xfId="33460" xr:uid="{00000000-0005-0000-0000-000035950000}"/>
    <cellStyle name="Porcentaje 7 2 2 5 2 4" xfId="23603" xr:uid="{00000000-0005-0000-0000-000036950000}"/>
    <cellStyle name="Porcentaje 7 2 2 5 3" xfId="6349" xr:uid="{00000000-0005-0000-0000-000037950000}"/>
    <cellStyle name="Porcentaje 7 2 2 5 3 2" xfId="16209" xr:uid="{00000000-0005-0000-0000-000038950000}"/>
    <cellStyle name="Porcentaje 7 2 2 5 3 2 2" xfId="35924" xr:uid="{00000000-0005-0000-0000-000039950000}"/>
    <cellStyle name="Porcentaje 7 2 2 5 3 3" xfId="26067" xr:uid="{00000000-0005-0000-0000-00003A950000}"/>
    <cellStyle name="Porcentaje 7 2 2 5 4" xfId="11281" xr:uid="{00000000-0005-0000-0000-00003B950000}"/>
    <cellStyle name="Porcentaje 7 2 2 5 4 2" xfId="30996" xr:uid="{00000000-0005-0000-0000-00003C950000}"/>
    <cellStyle name="Porcentaje 7 2 2 5 5" xfId="21139" xr:uid="{00000000-0005-0000-0000-00003D950000}"/>
    <cellStyle name="Porcentaje 7 2 2 6" xfId="2649" xr:uid="{00000000-0005-0000-0000-00003E950000}"/>
    <cellStyle name="Porcentaje 7 2 2 6 2" xfId="7581" xr:uid="{00000000-0005-0000-0000-00003F950000}"/>
    <cellStyle name="Porcentaje 7 2 2 6 2 2" xfId="17441" xr:uid="{00000000-0005-0000-0000-000040950000}"/>
    <cellStyle name="Porcentaje 7 2 2 6 2 2 2" xfId="37156" xr:uid="{00000000-0005-0000-0000-000041950000}"/>
    <cellStyle name="Porcentaje 7 2 2 6 2 3" xfId="27299" xr:uid="{00000000-0005-0000-0000-000042950000}"/>
    <cellStyle name="Porcentaje 7 2 2 6 3" xfId="12513" xr:uid="{00000000-0005-0000-0000-000043950000}"/>
    <cellStyle name="Porcentaje 7 2 2 6 3 2" xfId="32228" xr:uid="{00000000-0005-0000-0000-000044950000}"/>
    <cellStyle name="Porcentaje 7 2 2 6 4" xfId="22371" xr:uid="{00000000-0005-0000-0000-000045950000}"/>
    <cellStyle name="Porcentaje 7 2 2 7" xfId="5117" xr:uid="{00000000-0005-0000-0000-000046950000}"/>
    <cellStyle name="Porcentaje 7 2 2 7 2" xfId="14977" xr:uid="{00000000-0005-0000-0000-000047950000}"/>
    <cellStyle name="Porcentaje 7 2 2 7 2 2" xfId="34692" xr:uid="{00000000-0005-0000-0000-000048950000}"/>
    <cellStyle name="Porcentaje 7 2 2 7 3" xfId="24835" xr:uid="{00000000-0005-0000-0000-000049950000}"/>
    <cellStyle name="Porcentaje 7 2 2 8" xfId="10049" xr:uid="{00000000-0005-0000-0000-00004A950000}"/>
    <cellStyle name="Porcentaje 7 2 2 8 2" xfId="29764" xr:uid="{00000000-0005-0000-0000-00004B950000}"/>
    <cellStyle name="Porcentaje 7 2 2 9" xfId="19907" xr:uid="{00000000-0005-0000-0000-00004C950000}"/>
    <cellStyle name="Porcentaje 7 2 3" xfId="243" xr:uid="{00000000-0005-0000-0000-00004D950000}"/>
    <cellStyle name="Porcentaje 7 2 3 2" xfId="557" xr:uid="{00000000-0005-0000-0000-00004E950000}"/>
    <cellStyle name="Porcentaje 7 2 3 2 2" xfId="1177" xr:uid="{00000000-0005-0000-0000-00004F950000}"/>
    <cellStyle name="Porcentaje 7 2 3 2 2 2" xfId="2412" xr:uid="{00000000-0005-0000-0000-000050950000}"/>
    <cellStyle name="Porcentaje 7 2 3 2 2 2 2" xfId="4879" xr:uid="{00000000-0005-0000-0000-000051950000}"/>
    <cellStyle name="Porcentaje 7 2 3 2 2 2 2 2" xfId="9811" xr:uid="{00000000-0005-0000-0000-000052950000}"/>
    <cellStyle name="Porcentaje 7 2 3 2 2 2 2 2 2" xfId="19671" xr:uid="{00000000-0005-0000-0000-000053950000}"/>
    <cellStyle name="Porcentaje 7 2 3 2 2 2 2 2 2 2" xfId="39386" xr:uid="{00000000-0005-0000-0000-000054950000}"/>
    <cellStyle name="Porcentaje 7 2 3 2 2 2 2 2 3" xfId="29529" xr:uid="{00000000-0005-0000-0000-000055950000}"/>
    <cellStyle name="Porcentaje 7 2 3 2 2 2 2 3" xfId="14743" xr:uid="{00000000-0005-0000-0000-000056950000}"/>
    <cellStyle name="Porcentaje 7 2 3 2 2 2 2 3 2" xfId="34458" xr:uid="{00000000-0005-0000-0000-000057950000}"/>
    <cellStyle name="Porcentaje 7 2 3 2 2 2 2 4" xfId="24601" xr:uid="{00000000-0005-0000-0000-000058950000}"/>
    <cellStyle name="Porcentaje 7 2 3 2 2 2 3" xfId="7347" xr:uid="{00000000-0005-0000-0000-000059950000}"/>
    <cellStyle name="Porcentaje 7 2 3 2 2 2 3 2" xfId="17207" xr:uid="{00000000-0005-0000-0000-00005A950000}"/>
    <cellStyle name="Porcentaje 7 2 3 2 2 2 3 2 2" xfId="36922" xr:uid="{00000000-0005-0000-0000-00005B950000}"/>
    <cellStyle name="Porcentaje 7 2 3 2 2 2 3 3" xfId="27065" xr:uid="{00000000-0005-0000-0000-00005C950000}"/>
    <cellStyle name="Porcentaje 7 2 3 2 2 2 4" xfId="12279" xr:uid="{00000000-0005-0000-0000-00005D950000}"/>
    <cellStyle name="Porcentaje 7 2 3 2 2 2 4 2" xfId="31994" xr:uid="{00000000-0005-0000-0000-00005E950000}"/>
    <cellStyle name="Porcentaje 7 2 3 2 2 2 5" xfId="22137" xr:uid="{00000000-0005-0000-0000-00005F950000}"/>
    <cellStyle name="Porcentaje 7 2 3 2 2 3" xfId="3647" xr:uid="{00000000-0005-0000-0000-000060950000}"/>
    <cellStyle name="Porcentaje 7 2 3 2 2 3 2" xfId="8579" xr:uid="{00000000-0005-0000-0000-000061950000}"/>
    <cellStyle name="Porcentaje 7 2 3 2 2 3 2 2" xfId="18439" xr:uid="{00000000-0005-0000-0000-000062950000}"/>
    <cellStyle name="Porcentaje 7 2 3 2 2 3 2 2 2" xfId="38154" xr:uid="{00000000-0005-0000-0000-000063950000}"/>
    <cellStyle name="Porcentaje 7 2 3 2 2 3 2 3" xfId="28297" xr:uid="{00000000-0005-0000-0000-000064950000}"/>
    <cellStyle name="Porcentaje 7 2 3 2 2 3 3" xfId="13511" xr:uid="{00000000-0005-0000-0000-000065950000}"/>
    <cellStyle name="Porcentaje 7 2 3 2 2 3 3 2" xfId="33226" xr:uid="{00000000-0005-0000-0000-000066950000}"/>
    <cellStyle name="Porcentaje 7 2 3 2 2 3 4" xfId="23369" xr:uid="{00000000-0005-0000-0000-000067950000}"/>
    <cellStyle name="Porcentaje 7 2 3 2 2 4" xfId="6115" xr:uid="{00000000-0005-0000-0000-000068950000}"/>
    <cellStyle name="Porcentaje 7 2 3 2 2 4 2" xfId="15975" xr:uid="{00000000-0005-0000-0000-000069950000}"/>
    <cellStyle name="Porcentaje 7 2 3 2 2 4 2 2" xfId="35690" xr:uid="{00000000-0005-0000-0000-00006A950000}"/>
    <cellStyle name="Porcentaje 7 2 3 2 2 4 3" xfId="25833" xr:uid="{00000000-0005-0000-0000-00006B950000}"/>
    <cellStyle name="Porcentaje 7 2 3 2 2 5" xfId="11047" xr:uid="{00000000-0005-0000-0000-00006C950000}"/>
    <cellStyle name="Porcentaje 7 2 3 2 2 5 2" xfId="30762" xr:uid="{00000000-0005-0000-0000-00006D950000}"/>
    <cellStyle name="Porcentaje 7 2 3 2 2 6" xfId="20905" xr:uid="{00000000-0005-0000-0000-00006E950000}"/>
    <cellStyle name="Porcentaje 7 2 3 2 3" xfId="1796" xr:uid="{00000000-0005-0000-0000-00006F950000}"/>
    <cellStyle name="Porcentaje 7 2 3 2 3 2" xfId="4263" xr:uid="{00000000-0005-0000-0000-000070950000}"/>
    <cellStyle name="Porcentaje 7 2 3 2 3 2 2" xfId="9195" xr:uid="{00000000-0005-0000-0000-000071950000}"/>
    <cellStyle name="Porcentaje 7 2 3 2 3 2 2 2" xfId="19055" xr:uid="{00000000-0005-0000-0000-000072950000}"/>
    <cellStyle name="Porcentaje 7 2 3 2 3 2 2 2 2" xfId="38770" xr:uid="{00000000-0005-0000-0000-000073950000}"/>
    <cellStyle name="Porcentaje 7 2 3 2 3 2 2 3" xfId="28913" xr:uid="{00000000-0005-0000-0000-000074950000}"/>
    <cellStyle name="Porcentaje 7 2 3 2 3 2 3" xfId="14127" xr:uid="{00000000-0005-0000-0000-000075950000}"/>
    <cellStyle name="Porcentaje 7 2 3 2 3 2 3 2" xfId="33842" xr:uid="{00000000-0005-0000-0000-000076950000}"/>
    <cellStyle name="Porcentaje 7 2 3 2 3 2 4" xfId="23985" xr:uid="{00000000-0005-0000-0000-000077950000}"/>
    <cellStyle name="Porcentaje 7 2 3 2 3 3" xfId="6731" xr:uid="{00000000-0005-0000-0000-000078950000}"/>
    <cellStyle name="Porcentaje 7 2 3 2 3 3 2" xfId="16591" xr:uid="{00000000-0005-0000-0000-000079950000}"/>
    <cellStyle name="Porcentaje 7 2 3 2 3 3 2 2" xfId="36306" xr:uid="{00000000-0005-0000-0000-00007A950000}"/>
    <cellStyle name="Porcentaje 7 2 3 2 3 3 3" xfId="26449" xr:uid="{00000000-0005-0000-0000-00007B950000}"/>
    <cellStyle name="Porcentaje 7 2 3 2 3 4" xfId="11663" xr:uid="{00000000-0005-0000-0000-00007C950000}"/>
    <cellStyle name="Porcentaje 7 2 3 2 3 4 2" xfId="31378" xr:uid="{00000000-0005-0000-0000-00007D950000}"/>
    <cellStyle name="Porcentaje 7 2 3 2 3 5" xfId="21521" xr:uid="{00000000-0005-0000-0000-00007E950000}"/>
    <cellStyle name="Porcentaje 7 2 3 2 4" xfId="3031" xr:uid="{00000000-0005-0000-0000-00007F950000}"/>
    <cellStyle name="Porcentaje 7 2 3 2 4 2" xfId="7963" xr:uid="{00000000-0005-0000-0000-000080950000}"/>
    <cellStyle name="Porcentaje 7 2 3 2 4 2 2" xfId="17823" xr:uid="{00000000-0005-0000-0000-000081950000}"/>
    <cellStyle name="Porcentaje 7 2 3 2 4 2 2 2" xfId="37538" xr:uid="{00000000-0005-0000-0000-000082950000}"/>
    <cellStyle name="Porcentaje 7 2 3 2 4 2 3" xfId="27681" xr:uid="{00000000-0005-0000-0000-000083950000}"/>
    <cellStyle name="Porcentaje 7 2 3 2 4 3" xfId="12895" xr:uid="{00000000-0005-0000-0000-000084950000}"/>
    <cellStyle name="Porcentaje 7 2 3 2 4 3 2" xfId="32610" xr:uid="{00000000-0005-0000-0000-000085950000}"/>
    <cellStyle name="Porcentaje 7 2 3 2 4 4" xfId="22753" xr:uid="{00000000-0005-0000-0000-000086950000}"/>
    <cellStyle name="Porcentaje 7 2 3 2 5" xfId="5499" xr:uid="{00000000-0005-0000-0000-000087950000}"/>
    <cellStyle name="Porcentaje 7 2 3 2 5 2" xfId="15359" xr:uid="{00000000-0005-0000-0000-000088950000}"/>
    <cellStyle name="Porcentaje 7 2 3 2 5 2 2" xfId="35074" xr:uid="{00000000-0005-0000-0000-000089950000}"/>
    <cellStyle name="Porcentaje 7 2 3 2 5 3" xfId="25217" xr:uid="{00000000-0005-0000-0000-00008A950000}"/>
    <cellStyle name="Porcentaje 7 2 3 2 6" xfId="10431" xr:uid="{00000000-0005-0000-0000-00008B950000}"/>
    <cellStyle name="Porcentaje 7 2 3 2 6 2" xfId="30146" xr:uid="{00000000-0005-0000-0000-00008C950000}"/>
    <cellStyle name="Porcentaje 7 2 3 2 7" xfId="20289" xr:uid="{00000000-0005-0000-0000-00008D950000}"/>
    <cellStyle name="Porcentaje 7 2 3 3" xfId="870" xr:uid="{00000000-0005-0000-0000-00008E950000}"/>
    <cellStyle name="Porcentaje 7 2 3 3 2" xfId="2106" xr:uid="{00000000-0005-0000-0000-00008F950000}"/>
    <cellStyle name="Porcentaje 7 2 3 3 2 2" xfId="4573" xr:uid="{00000000-0005-0000-0000-000090950000}"/>
    <cellStyle name="Porcentaje 7 2 3 3 2 2 2" xfId="9505" xr:uid="{00000000-0005-0000-0000-000091950000}"/>
    <cellStyle name="Porcentaje 7 2 3 3 2 2 2 2" xfId="19365" xr:uid="{00000000-0005-0000-0000-000092950000}"/>
    <cellStyle name="Porcentaje 7 2 3 3 2 2 2 2 2" xfId="39080" xr:uid="{00000000-0005-0000-0000-000093950000}"/>
    <cellStyle name="Porcentaje 7 2 3 3 2 2 2 3" xfId="29223" xr:uid="{00000000-0005-0000-0000-000094950000}"/>
    <cellStyle name="Porcentaje 7 2 3 3 2 2 3" xfId="14437" xr:uid="{00000000-0005-0000-0000-000095950000}"/>
    <cellStyle name="Porcentaje 7 2 3 3 2 2 3 2" xfId="34152" xr:uid="{00000000-0005-0000-0000-000096950000}"/>
    <cellStyle name="Porcentaje 7 2 3 3 2 2 4" xfId="24295" xr:uid="{00000000-0005-0000-0000-000097950000}"/>
    <cellStyle name="Porcentaje 7 2 3 3 2 3" xfId="7041" xr:uid="{00000000-0005-0000-0000-000098950000}"/>
    <cellStyle name="Porcentaje 7 2 3 3 2 3 2" xfId="16901" xr:uid="{00000000-0005-0000-0000-000099950000}"/>
    <cellStyle name="Porcentaje 7 2 3 3 2 3 2 2" xfId="36616" xr:uid="{00000000-0005-0000-0000-00009A950000}"/>
    <cellStyle name="Porcentaje 7 2 3 3 2 3 3" xfId="26759" xr:uid="{00000000-0005-0000-0000-00009B950000}"/>
    <cellStyle name="Porcentaje 7 2 3 3 2 4" xfId="11973" xr:uid="{00000000-0005-0000-0000-00009C950000}"/>
    <cellStyle name="Porcentaje 7 2 3 3 2 4 2" xfId="31688" xr:uid="{00000000-0005-0000-0000-00009D950000}"/>
    <cellStyle name="Porcentaje 7 2 3 3 2 5" xfId="21831" xr:uid="{00000000-0005-0000-0000-00009E950000}"/>
    <cellStyle name="Porcentaje 7 2 3 3 3" xfId="3341" xr:uid="{00000000-0005-0000-0000-00009F950000}"/>
    <cellStyle name="Porcentaje 7 2 3 3 3 2" xfId="8273" xr:uid="{00000000-0005-0000-0000-0000A0950000}"/>
    <cellStyle name="Porcentaje 7 2 3 3 3 2 2" xfId="18133" xr:uid="{00000000-0005-0000-0000-0000A1950000}"/>
    <cellStyle name="Porcentaje 7 2 3 3 3 2 2 2" xfId="37848" xr:uid="{00000000-0005-0000-0000-0000A2950000}"/>
    <cellStyle name="Porcentaje 7 2 3 3 3 2 3" xfId="27991" xr:uid="{00000000-0005-0000-0000-0000A3950000}"/>
    <cellStyle name="Porcentaje 7 2 3 3 3 3" xfId="13205" xr:uid="{00000000-0005-0000-0000-0000A4950000}"/>
    <cellStyle name="Porcentaje 7 2 3 3 3 3 2" xfId="32920" xr:uid="{00000000-0005-0000-0000-0000A5950000}"/>
    <cellStyle name="Porcentaje 7 2 3 3 3 4" xfId="23063" xr:uid="{00000000-0005-0000-0000-0000A6950000}"/>
    <cellStyle name="Porcentaje 7 2 3 3 4" xfId="5809" xr:uid="{00000000-0005-0000-0000-0000A7950000}"/>
    <cellStyle name="Porcentaje 7 2 3 3 4 2" xfId="15669" xr:uid="{00000000-0005-0000-0000-0000A8950000}"/>
    <cellStyle name="Porcentaje 7 2 3 3 4 2 2" xfId="35384" xr:uid="{00000000-0005-0000-0000-0000A9950000}"/>
    <cellStyle name="Porcentaje 7 2 3 3 4 3" xfId="25527" xr:uid="{00000000-0005-0000-0000-0000AA950000}"/>
    <cellStyle name="Porcentaje 7 2 3 3 5" xfId="10741" xr:uid="{00000000-0005-0000-0000-0000AB950000}"/>
    <cellStyle name="Porcentaje 7 2 3 3 5 2" xfId="30456" xr:uid="{00000000-0005-0000-0000-0000AC950000}"/>
    <cellStyle name="Porcentaje 7 2 3 3 6" xfId="20599" xr:uid="{00000000-0005-0000-0000-0000AD950000}"/>
    <cellStyle name="Porcentaje 7 2 3 4" xfId="1490" xr:uid="{00000000-0005-0000-0000-0000AE950000}"/>
    <cellStyle name="Porcentaje 7 2 3 4 2" xfId="3957" xr:uid="{00000000-0005-0000-0000-0000AF950000}"/>
    <cellStyle name="Porcentaje 7 2 3 4 2 2" xfId="8889" xr:uid="{00000000-0005-0000-0000-0000B0950000}"/>
    <cellStyle name="Porcentaje 7 2 3 4 2 2 2" xfId="18749" xr:uid="{00000000-0005-0000-0000-0000B1950000}"/>
    <cellStyle name="Porcentaje 7 2 3 4 2 2 2 2" xfId="38464" xr:uid="{00000000-0005-0000-0000-0000B2950000}"/>
    <cellStyle name="Porcentaje 7 2 3 4 2 2 3" xfId="28607" xr:uid="{00000000-0005-0000-0000-0000B3950000}"/>
    <cellStyle name="Porcentaje 7 2 3 4 2 3" xfId="13821" xr:uid="{00000000-0005-0000-0000-0000B4950000}"/>
    <cellStyle name="Porcentaje 7 2 3 4 2 3 2" xfId="33536" xr:uid="{00000000-0005-0000-0000-0000B5950000}"/>
    <cellStyle name="Porcentaje 7 2 3 4 2 4" xfId="23679" xr:uid="{00000000-0005-0000-0000-0000B6950000}"/>
    <cellStyle name="Porcentaje 7 2 3 4 3" xfId="6425" xr:uid="{00000000-0005-0000-0000-0000B7950000}"/>
    <cellStyle name="Porcentaje 7 2 3 4 3 2" xfId="16285" xr:uid="{00000000-0005-0000-0000-0000B8950000}"/>
    <cellStyle name="Porcentaje 7 2 3 4 3 2 2" xfId="36000" xr:uid="{00000000-0005-0000-0000-0000B9950000}"/>
    <cellStyle name="Porcentaje 7 2 3 4 3 3" xfId="26143" xr:uid="{00000000-0005-0000-0000-0000BA950000}"/>
    <cellStyle name="Porcentaje 7 2 3 4 4" xfId="11357" xr:uid="{00000000-0005-0000-0000-0000BB950000}"/>
    <cellStyle name="Porcentaje 7 2 3 4 4 2" xfId="31072" xr:uid="{00000000-0005-0000-0000-0000BC950000}"/>
    <cellStyle name="Porcentaje 7 2 3 4 5" xfId="21215" xr:uid="{00000000-0005-0000-0000-0000BD950000}"/>
    <cellStyle name="Porcentaje 7 2 3 5" xfId="2725" xr:uid="{00000000-0005-0000-0000-0000BE950000}"/>
    <cellStyle name="Porcentaje 7 2 3 5 2" xfId="7657" xr:uid="{00000000-0005-0000-0000-0000BF950000}"/>
    <cellStyle name="Porcentaje 7 2 3 5 2 2" xfId="17517" xr:uid="{00000000-0005-0000-0000-0000C0950000}"/>
    <cellStyle name="Porcentaje 7 2 3 5 2 2 2" xfId="37232" xr:uid="{00000000-0005-0000-0000-0000C1950000}"/>
    <cellStyle name="Porcentaje 7 2 3 5 2 3" xfId="27375" xr:uid="{00000000-0005-0000-0000-0000C2950000}"/>
    <cellStyle name="Porcentaje 7 2 3 5 3" xfId="12589" xr:uid="{00000000-0005-0000-0000-0000C3950000}"/>
    <cellStyle name="Porcentaje 7 2 3 5 3 2" xfId="32304" xr:uid="{00000000-0005-0000-0000-0000C4950000}"/>
    <cellStyle name="Porcentaje 7 2 3 5 4" xfId="22447" xr:uid="{00000000-0005-0000-0000-0000C5950000}"/>
    <cellStyle name="Porcentaje 7 2 3 6" xfId="5193" xr:uid="{00000000-0005-0000-0000-0000C6950000}"/>
    <cellStyle name="Porcentaje 7 2 3 6 2" xfId="15053" xr:uid="{00000000-0005-0000-0000-0000C7950000}"/>
    <cellStyle name="Porcentaje 7 2 3 6 2 2" xfId="34768" xr:uid="{00000000-0005-0000-0000-0000C8950000}"/>
    <cellStyle name="Porcentaje 7 2 3 6 3" xfId="24911" xr:uid="{00000000-0005-0000-0000-0000C9950000}"/>
    <cellStyle name="Porcentaje 7 2 3 7" xfId="10125" xr:uid="{00000000-0005-0000-0000-0000CA950000}"/>
    <cellStyle name="Porcentaje 7 2 3 7 2" xfId="29840" xr:uid="{00000000-0005-0000-0000-0000CB950000}"/>
    <cellStyle name="Porcentaje 7 2 3 8" xfId="19983" xr:uid="{00000000-0005-0000-0000-0000CC950000}"/>
    <cellStyle name="Porcentaje 7 2 4" xfId="405" xr:uid="{00000000-0005-0000-0000-0000CD950000}"/>
    <cellStyle name="Porcentaje 7 2 4 2" xfId="1025" xr:uid="{00000000-0005-0000-0000-0000CE950000}"/>
    <cellStyle name="Porcentaje 7 2 4 2 2" xfId="2260" xr:uid="{00000000-0005-0000-0000-0000CF950000}"/>
    <cellStyle name="Porcentaje 7 2 4 2 2 2" xfId="4727" xr:uid="{00000000-0005-0000-0000-0000D0950000}"/>
    <cellStyle name="Porcentaje 7 2 4 2 2 2 2" xfId="9659" xr:uid="{00000000-0005-0000-0000-0000D1950000}"/>
    <cellStyle name="Porcentaje 7 2 4 2 2 2 2 2" xfId="19519" xr:uid="{00000000-0005-0000-0000-0000D2950000}"/>
    <cellStyle name="Porcentaje 7 2 4 2 2 2 2 2 2" xfId="39234" xr:uid="{00000000-0005-0000-0000-0000D3950000}"/>
    <cellStyle name="Porcentaje 7 2 4 2 2 2 2 3" xfId="29377" xr:uid="{00000000-0005-0000-0000-0000D4950000}"/>
    <cellStyle name="Porcentaje 7 2 4 2 2 2 3" xfId="14591" xr:uid="{00000000-0005-0000-0000-0000D5950000}"/>
    <cellStyle name="Porcentaje 7 2 4 2 2 2 3 2" xfId="34306" xr:uid="{00000000-0005-0000-0000-0000D6950000}"/>
    <cellStyle name="Porcentaje 7 2 4 2 2 2 4" xfId="24449" xr:uid="{00000000-0005-0000-0000-0000D7950000}"/>
    <cellStyle name="Porcentaje 7 2 4 2 2 3" xfId="7195" xr:uid="{00000000-0005-0000-0000-0000D8950000}"/>
    <cellStyle name="Porcentaje 7 2 4 2 2 3 2" xfId="17055" xr:uid="{00000000-0005-0000-0000-0000D9950000}"/>
    <cellStyle name="Porcentaje 7 2 4 2 2 3 2 2" xfId="36770" xr:uid="{00000000-0005-0000-0000-0000DA950000}"/>
    <cellStyle name="Porcentaje 7 2 4 2 2 3 3" xfId="26913" xr:uid="{00000000-0005-0000-0000-0000DB950000}"/>
    <cellStyle name="Porcentaje 7 2 4 2 2 4" xfId="12127" xr:uid="{00000000-0005-0000-0000-0000DC950000}"/>
    <cellStyle name="Porcentaje 7 2 4 2 2 4 2" xfId="31842" xr:uid="{00000000-0005-0000-0000-0000DD950000}"/>
    <cellStyle name="Porcentaje 7 2 4 2 2 5" xfId="21985" xr:uid="{00000000-0005-0000-0000-0000DE950000}"/>
    <cellStyle name="Porcentaje 7 2 4 2 3" xfId="3495" xr:uid="{00000000-0005-0000-0000-0000DF950000}"/>
    <cellStyle name="Porcentaje 7 2 4 2 3 2" xfId="8427" xr:uid="{00000000-0005-0000-0000-0000E0950000}"/>
    <cellStyle name="Porcentaje 7 2 4 2 3 2 2" xfId="18287" xr:uid="{00000000-0005-0000-0000-0000E1950000}"/>
    <cellStyle name="Porcentaje 7 2 4 2 3 2 2 2" xfId="38002" xr:uid="{00000000-0005-0000-0000-0000E2950000}"/>
    <cellStyle name="Porcentaje 7 2 4 2 3 2 3" xfId="28145" xr:uid="{00000000-0005-0000-0000-0000E3950000}"/>
    <cellStyle name="Porcentaje 7 2 4 2 3 3" xfId="13359" xr:uid="{00000000-0005-0000-0000-0000E4950000}"/>
    <cellStyle name="Porcentaje 7 2 4 2 3 3 2" xfId="33074" xr:uid="{00000000-0005-0000-0000-0000E5950000}"/>
    <cellStyle name="Porcentaje 7 2 4 2 3 4" xfId="23217" xr:uid="{00000000-0005-0000-0000-0000E6950000}"/>
    <cellStyle name="Porcentaje 7 2 4 2 4" xfId="5963" xr:uid="{00000000-0005-0000-0000-0000E7950000}"/>
    <cellStyle name="Porcentaje 7 2 4 2 4 2" xfId="15823" xr:uid="{00000000-0005-0000-0000-0000E8950000}"/>
    <cellStyle name="Porcentaje 7 2 4 2 4 2 2" xfId="35538" xr:uid="{00000000-0005-0000-0000-0000E9950000}"/>
    <cellStyle name="Porcentaje 7 2 4 2 4 3" xfId="25681" xr:uid="{00000000-0005-0000-0000-0000EA950000}"/>
    <cellStyle name="Porcentaje 7 2 4 2 5" xfId="10895" xr:uid="{00000000-0005-0000-0000-0000EB950000}"/>
    <cellStyle name="Porcentaje 7 2 4 2 5 2" xfId="30610" xr:uid="{00000000-0005-0000-0000-0000EC950000}"/>
    <cellStyle name="Porcentaje 7 2 4 2 6" xfId="20753" xr:uid="{00000000-0005-0000-0000-0000ED950000}"/>
    <cellStyle name="Porcentaje 7 2 4 3" xfId="1644" xr:uid="{00000000-0005-0000-0000-0000EE950000}"/>
    <cellStyle name="Porcentaje 7 2 4 3 2" xfId="4111" xr:uid="{00000000-0005-0000-0000-0000EF950000}"/>
    <cellStyle name="Porcentaje 7 2 4 3 2 2" xfId="9043" xr:uid="{00000000-0005-0000-0000-0000F0950000}"/>
    <cellStyle name="Porcentaje 7 2 4 3 2 2 2" xfId="18903" xr:uid="{00000000-0005-0000-0000-0000F1950000}"/>
    <cellStyle name="Porcentaje 7 2 4 3 2 2 2 2" xfId="38618" xr:uid="{00000000-0005-0000-0000-0000F2950000}"/>
    <cellStyle name="Porcentaje 7 2 4 3 2 2 3" xfId="28761" xr:uid="{00000000-0005-0000-0000-0000F3950000}"/>
    <cellStyle name="Porcentaje 7 2 4 3 2 3" xfId="13975" xr:uid="{00000000-0005-0000-0000-0000F4950000}"/>
    <cellStyle name="Porcentaje 7 2 4 3 2 3 2" xfId="33690" xr:uid="{00000000-0005-0000-0000-0000F5950000}"/>
    <cellStyle name="Porcentaje 7 2 4 3 2 4" xfId="23833" xr:uid="{00000000-0005-0000-0000-0000F6950000}"/>
    <cellStyle name="Porcentaje 7 2 4 3 3" xfId="6579" xr:uid="{00000000-0005-0000-0000-0000F7950000}"/>
    <cellStyle name="Porcentaje 7 2 4 3 3 2" xfId="16439" xr:uid="{00000000-0005-0000-0000-0000F8950000}"/>
    <cellStyle name="Porcentaje 7 2 4 3 3 2 2" xfId="36154" xr:uid="{00000000-0005-0000-0000-0000F9950000}"/>
    <cellStyle name="Porcentaje 7 2 4 3 3 3" xfId="26297" xr:uid="{00000000-0005-0000-0000-0000FA950000}"/>
    <cellStyle name="Porcentaje 7 2 4 3 4" xfId="11511" xr:uid="{00000000-0005-0000-0000-0000FB950000}"/>
    <cellStyle name="Porcentaje 7 2 4 3 4 2" xfId="31226" xr:uid="{00000000-0005-0000-0000-0000FC950000}"/>
    <cellStyle name="Porcentaje 7 2 4 3 5" xfId="21369" xr:uid="{00000000-0005-0000-0000-0000FD950000}"/>
    <cellStyle name="Porcentaje 7 2 4 4" xfId="2879" xr:uid="{00000000-0005-0000-0000-0000FE950000}"/>
    <cellStyle name="Porcentaje 7 2 4 4 2" xfId="7811" xr:uid="{00000000-0005-0000-0000-0000FF950000}"/>
    <cellStyle name="Porcentaje 7 2 4 4 2 2" xfId="17671" xr:uid="{00000000-0005-0000-0000-000000960000}"/>
    <cellStyle name="Porcentaje 7 2 4 4 2 2 2" xfId="37386" xr:uid="{00000000-0005-0000-0000-000001960000}"/>
    <cellStyle name="Porcentaje 7 2 4 4 2 3" xfId="27529" xr:uid="{00000000-0005-0000-0000-000002960000}"/>
    <cellStyle name="Porcentaje 7 2 4 4 3" xfId="12743" xr:uid="{00000000-0005-0000-0000-000003960000}"/>
    <cellStyle name="Porcentaje 7 2 4 4 3 2" xfId="32458" xr:uid="{00000000-0005-0000-0000-000004960000}"/>
    <cellStyle name="Porcentaje 7 2 4 4 4" xfId="22601" xr:uid="{00000000-0005-0000-0000-000005960000}"/>
    <cellStyle name="Porcentaje 7 2 4 5" xfId="5347" xr:uid="{00000000-0005-0000-0000-000006960000}"/>
    <cellStyle name="Porcentaje 7 2 4 5 2" xfId="15207" xr:uid="{00000000-0005-0000-0000-000007960000}"/>
    <cellStyle name="Porcentaje 7 2 4 5 2 2" xfId="34922" xr:uid="{00000000-0005-0000-0000-000008960000}"/>
    <cellStyle name="Porcentaje 7 2 4 5 3" xfId="25065" xr:uid="{00000000-0005-0000-0000-000009960000}"/>
    <cellStyle name="Porcentaje 7 2 4 6" xfId="10279" xr:uid="{00000000-0005-0000-0000-00000A960000}"/>
    <cellStyle name="Porcentaje 7 2 4 6 2" xfId="29994" xr:uid="{00000000-0005-0000-0000-00000B960000}"/>
    <cellStyle name="Porcentaje 7 2 4 7" xfId="20137" xr:uid="{00000000-0005-0000-0000-00000C960000}"/>
    <cellStyle name="Porcentaje 7 2 5" xfId="718" xr:uid="{00000000-0005-0000-0000-00000D960000}"/>
    <cellStyle name="Porcentaje 7 2 5 2" xfId="1954" xr:uid="{00000000-0005-0000-0000-00000E960000}"/>
    <cellStyle name="Porcentaje 7 2 5 2 2" xfId="4421" xr:uid="{00000000-0005-0000-0000-00000F960000}"/>
    <cellStyle name="Porcentaje 7 2 5 2 2 2" xfId="9353" xr:uid="{00000000-0005-0000-0000-000010960000}"/>
    <cellStyle name="Porcentaje 7 2 5 2 2 2 2" xfId="19213" xr:uid="{00000000-0005-0000-0000-000011960000}"/>
    <cellStyle name="Porcentaje 7 2 5 2 2 2 2 2" xfId="38928" xr:uid="{00000000-0005-0000-0000-000012960000}"/>
    <cellStyle name="Porcentaje 7 2 5 2 2 2 3" xfId="29071" xr:uid="{00000000-0005-0000-0000-000013960000}"/>
    <cellStyle name="Porcentaje 7 2 5 2 2 3" xfId="14285" xr:uid="{00000000-0005-0000-0000-000014960000}"/>
    <cellStyle name="Porcentaje 7 2 5 2 2 3 2" xfId="34000" xr:uid="{00000000-0005-0000-0000-000015960000}"/>
    <cellStyle name="Porcentaje 7 2 5 2 2 4" xfId="24143" xr:uid="{00000000-0005-0000-0000-000016960000}"/>
    <cellStyle name="Porcentaje 7 2 5 2 3" xfId="6889" xr:uid="{00000000-0005-0000-0000-000017960000}"/>
    <cellStyle name="Porcentaje 7 2 5 2 3 2" xfId="16749" xr:uid="{00000000-0005-0000-0000-000018960000}"/>
    <cellStyle name="Porcentaje 7 2 5 2 3 2 2" xfId="36464" xr:uid="{00000000-0005-0000-0000-000019960000}"/>
    <cellStyle name="Porcentaje 7 2 5 2 3 3" xfId="26607" xr:uid="{00000000-0005-0000-0000-00001A960000}"/>
    <cellStyle name="Porcentaje 7 2 5 2 4" xfId="11821" xr:uid="{00000000-0005-0000-0000-00001B960000}"/>
    <cellStyle name="Porcentaje 7 2 5 2 4 2" xfId="31536" xr:uid="{00000000-0005-0000-0000-00001C960000}"/>
    <cellStyle name="Porcentaje 7 2 5 2 5" xfId="21679" xr:uid="{00000000-0005-0000-0000-00001D960000}"/>
    <cellStyle name="Porcentaje 7 2 5 3" xfId="3189" xr:uid="{00000000-0005-0000-0000-00001E960000}"/>
    <cellStyle name="Porcentaje 7 2 5 3 2" xfId="8121" xr:uid="{00000000-0005-0000-0000-00001F960000}"/>
    <cellStyle name="Porcentaje 7 2 5 3 2 2" xfId="17981" xr:uid="{00000000-0005-0000-0000-000020960000}"/>
    <cellStyle name="Porcentaje 7 2 5 3 2 2 2" xfId="37696" xr:uid="{00000000-0005-0000-0000-000021960000}"/>
    <cellStyle name="Porcentaje 7 2 5 3 2 3" xfId="27839" xr:uid="{00000000-0005-0000-0000-000022960000}"/>
    <cellStyle name="Porcentaje 7 2 5 3 3" xfId="13053" xr:uid="{00000000-0005-0000-0000-000023960000}"/>
    <cellStyle name="Porcentaje 7 2 5 3 3 2" xfId="32768" xr:uid="{00000000-0005-0000-0000-000024960000}"/>
    <cellStyle name="Porcentaje 7 2 5 3 4" xfId="22911" xr:uid="{00000000-0005-0000-0000-000025960000}"/>
    <cellStyle name="Porcentaje 7 2 5 4" xfId="5657" xr:uid="{00000000-0005-0000-0000-000026960000}"/>
    <cellStyle name="Porcentaje 7 2 5 4 2" xfId="15517" xr:uid="{00000000-0005-0000-0000-000027960000}"/>
    <cellStyle name="Porcentaje 7 2 5 4 2 2" xfId="35232" xr:uid="{00000000-0005-0000-0000-000028960000}"/>
    <cellStyle name="Porcentaje 7 2 5 4 3" xfId="25375" xr:uid="{00000000-0005-0000-0000-000029960000}"/>
    <cellStyle name="Porcentaje 7 2 5 5" xfId="10589" xr:uid="{00000000-0005-0000-0000-00002A960000}"/>
    <cellStyle name="Porcentaje 7 2 5 5 2" xfId="30304" xr:uid="{00000000-0005-0000-0000-00002B960000}"/>
    <cellStyle name="Porcentaje 7 2 5 6" xfId="20447" xr:uid="{00000000-0005-0000-0000-00002C960000}"/>
    <cellStyle name="Porcentaje 7 2 6" xfId="1338" xr:uid="{00000000-0005-0000-0000-00002D960000}"/>
    <cellStyle name="Porcentaje 7 2 6 2" xfId="3805" xr:uid="{00000000-0005-0000-0000-00002E960000}"/>
    <cellStyle name="Porcentaje 7 2 6 2 2" xfId="8737" xr:uid="{00000000-0005-0000-0000-00002F960000}"/>
    <cellStyle name="Porcentaje 7 2 6 2 2 2" xfId="18597" xr:uid="{00000000-0005-0000-0000-000030960000}"/>
    <cellStyle name="Porcentaje 7 2 6 2 2 2 2" xfId="38312" xr:uid="{00000000-0005-0000-0000-000031960000}"/>
    <cellStyle name="Porcentaje 7 2 6 2 2 3" xfId="28455" xr:uid="{00000000-0005-0000-0000-000032960000}"/>
    <cellStyle name="Porcentaje 7 2 6 2 3" xfId="13669" xr:uid="{00000000-0005-0000-0000-000033960000}"/>
    <cellStyle name="Porcentaje 7 2 6 2 3 2" xfId="33384" xr:uid="{00000000-0005-0000-0000-000034960000}"/>
    <cellStyle name="Porcentaje 7 2 6 2 4" xfId="23527" xr:uid="{00000000-0005-0000-0000-000035960000}"/>
    <cellStyle name="Porcentaje 7 2 6 3" xfId="6273" xr:uid="{00000000-0005-0000-0000-000036960000}"/>
    <cellStyle name="Porcentaje 7 2 6 3 2" xfId="16133" xr:uid="{00000000-0005-0000-0000-000037960000}"/>
    <cellStyle name="Porcentaje 7 2 6 3 2 2" xfId="35848" xr:uid="{00000000-0005-0000-0000-000038960000}"/>
    <cellStyle name="Porcentaje 7 2 6 3 3" xfId="25991" xr:uid="{00000000-0005-0000-0000-000039960000}"/>
    <cellStyle name="Porcentaje 7 2 6 4" xfId="11205" xr:uid="{00000000-0005-0000-0000-00003A960000}"/>
    <cellStyle name="Porcentaje 7 2 6 4 2" xfId="30920" xr:uid="{00000000-0005-0000-0000-00003B960000}"/>
    <cellStyle name="Porcentaje 7 2 6 5" xfId="21063" xr:uid="{00000000-0005-0000-0000-00003C960000}"/>
    <cellStyle name="Porcentaje 7 2 7" xfId="2573" xr:uid="{00000000-0005-0000-0000-00003D960000}"/>
    <cellStyle name="Porcentaje 7 2 7 2" xfId="7505" xr:uid="{00000000-0005-0000-0000-00003E960000}"/>
    <cellStyle name="Porcentaje 7 2 7 2 2" xfId="17365" xr:uid="{00000000-0005-0000-0000-00003F960000}"/>
    <cellStyle name="Porcentaje 7 2 7 2 2 2" xfId="37080" xr:uid="{00000000-0005-0000-0000-000040960000}"/>
    <cellStyle name="Porcentaje 7 2 7 2 3" xfId="27223" xr:uid="{00000000-0005-0000-0000-000041960000}"/>
    <cellStyle name="Porcentaje 7 2 7 3" xfId="12437" xr:uid="{00000000-0005-0000-0000-000042960000}"/>
    <cellStyle name="Porcentaje 7 2 7 3 2" xfId="32152" xr:uid="{00000000-0005-0000-0000-000043960000}"/>
    <cellStyle name="Porcentaje 7 2 7 4" xfId="22295" xr:uid="{00000000-0005-0000-0000-000044960000}"/>
    <cellStyle name="Porcentaje 7 2 8" xfId="5041" xr:uid="{00000000-0005-0000-0000-000045960000}"/>
    <cellStyle name="Porcentaje 7 2 8 2" xfId="14901" xr:uid="{00000000-0005-0000-0000-000046960000}"/>
    <cellStyle name="Porcentaje 7 2 8 2 2" xfId="34616" xr:uid="{00000000-0005-0000-0000-000047960000}"/>
    <cellStyle name="Porcentaje 7 2 8 3" xfId="24759" xr:uid="{00000000-0005-0000-0000-000048960000}"/>
    <cellStyle name="Porcentaje 7 2 9" xfId="9973" xr:uid="{00000000-0005-0000-0000-000049960000}"/>
    <cellStyle name="Porcentaje 7 2 9 2" xfId="29688" xr:uid="{00000000-0005-0000-0000-00004A960000}"/>
    <cellStyle name="Porcentaje 7 3" xfId="124" xr:uid="{00000000-0005-0000-0000-00004B960000}"/>
    <cellStyle name="Porcentaje 7 3 2" xfId="281" xr:uid="{00000000-0005-0000-0000-00004C960000}"/>
    <cellStyle name="Porcentaje 7 3 2 2" xfId="595" xr:uid="{00000000-0005-0000-0000-00004D960000}"/>
    <cellStyle name="Porcentaje 7 3 2 2 2" xfId="1215" xr:uid="{00000000-0005-0000-0000-00004E960000}"/>
    <cellStyle name="Porcentaje 7 3 2 2 2 2" xfId="2450" xr:uid="{00000000-0005-0000-0000-00004F960000}"/>
    <cellStyle name="Porcentaje 7 3 2 2 2 2 2" xfId="4917" xr:uid="{00000000-0005-0000-0000-000050960000}"/>
    <cellStyle name="Porcentaje 7 3 2 2 2 2 2 2" xfId="9849" xr:uid="{00000000-0005-0000-0000-000051960000}"/>
    <cellStyle name="Porcentaje 7 3 2 2 2 2 2 2 2" xfId="19709" xr:uid="{00000000-0005-0000-0000-000052960000}"/>
    <cellStyle name="Porcentaje 7 3 2 2 2 2 2 2 2 2" xfId="39424" xr:uid="{00000000-0005-0000-0000-000053960000}"/>
    <cellStyle name="Porcentaje 7 3 2 2 2 2 2 2 3" xfId="29567" xr:uid="{00000000-0005-0000-0000-000054960000}"/>
    <cellStyle name="Porcentaje 7 3 2 2 2 2 2 3" xfId="14781" xr:uid="{00000000-0005-0000-0000-000055960000}"/>
    <cellStyle name="Porcentaje 7 3 2 2 2 2 2 3 2" xfId="34496" xr:uid="{00000000-0005-0000-0000-000056960000}"/>
    <cellStyle name="Porcentaje 7 3 2 2 2 2 2 4" xfId="24639" xr:uid="{00000000-0005-0000-0000-000057960000}"/>
    <cellStyle name="Porcentaje 7 3 2 2 2 2 3" xfId="7385" xr:uid="{00000000-0005-0000-0000-000058960000}"/>
    <cellStyle name="Porcentaje 7 3 2 2 2 2 3 2" xfId="17245" xr:uid="{00000000-0005-0000-0000-000059960000}"/>
    <cellStyle name="Porcentaje 7 3 2 2 2 2 3 2 2" xfId="36960" xr:uid="{00000000-0005-0000-0000-00005A960000}"/>
    <cellStyle name="Porcentaje 7 3 2 2 2 2 3 3" xfId="27103" xr:uid="{00000000-0005-0000-0000-00005B960000}"/>
    <cellStyle name="Porcentaje 7 3 2 2 2 2 4" xfId="12317" xr:uid="{00000000-0005-0000-0000-00005C960000}"/>
    <cellStyle name="Porcentaje 7 3 2 2 2 2 4 2" xfId="32032" xr:uid="{00000000-0005-0000-0000-00005D960000}"/>
    <cellStyle name="Porcentaje 7 3 2 2 2 2 5" xfId="22175" xr:uid="{00000000-0005-0000-0000-00005E960000}"/>
    <cellStyle name="Porcentaje 7 3 2 2 2 3" xfId="3685" xr:uid="{00000000-0005-0000-0000-00005F960000}"/>
    <cellStyle name="Porcentaje 7 3 2 2 2 3 2" xfId="8617" xr:uid="{00000000-0005-0000-0000-000060960000}"/>
    <cellStyle name="Porcentaje 7 3 2 2 2 3 2 2" xfId="18477" xr:uid="{00000000-0005-0000-0000-000061960000}"/>
    <cellStyle name="Porcentaje 7 3 2 2 2 3 2 2 2" xfId="38192" xr:uid="{00000000-0005-0000-0000-000062960000}"/>
    <cellStyle name="Porcentaje 7 3 2 2 2 3 2 3" xfId="28335" xr:uid="{00000000-0005-0000-0000-000063960000}"/>
    <cellStyle name="Porcentaje 7 3 2 2 2 3 3" xfId="13549" xr:uid="{00000000-0005-0000-0000-000064960000}"/>
    <cellStyle name="Porcentaje 7 3 2 2 2 3 3 2" xfId="33264" xr:uid="{00000000-0005-0000-0000-000065960000}"/>
    <cellStyle name="Porcentaje 7 3 2 2 2 3 4" xfId="23407" xr:uid="{00000000-0005-0000-0000-000066960000}"/>
    <cellStyle name="Porcentaje 7 3 2 2 2 4" xfId="6153" xr:uid="{00000000-0005-0000-0000-000067960000}"/>
    <cellStyle name="Porcentaje 7 3 2 2 2 4 2" xfId="16013" xr:uid="{00000000-0005-0000-0000-000068960000}"/>
    <cellStyle name="Porcentaje 7 3 2 2 2 4 2 2" xfId="35728" xr:uid="{00000000-0005-0000-0000-000069960000}"/>
    <cellStyle name="Porcentaje 7 3 2 2 2 4 3" xfId="25871" xr:uid="{00000000-0005-0000-0000-00006A960000}"/>
    <cellStyle name="Porcentaje 7 3 2 2 2 5" xfId="11085" xr:uid="{00000000-0005-0000-0000-00006B960000}"/>
    <cellStyle name="Porcentaje 7 3 2 2 2 5 2" xfId="30800" xr:uid="{00000000-0005-0000-0000-00006C960000}"/>
    <cellStyle name="Porcentaje 7 3 2 2 2 6" xfId="20943" xr:uid="{00000000-0005-0000-0000-00006D960000}"/>
    <cellStyle name="Porcentaje 7 3 2 2 3" xfId="1834" xr:uid="{00000000-0005-0000-0000-00006E960000}"/>
    <cellStyle name="Porcentaje 7 3 2 2 3 2" xfId="4301" xr:uid="{00000000-0005-0000-0000-00006F960000}"/>
    <cellStyle name="Porcentaje 7 3 2 2 3 2 2" xfId="9233" xr:uid="{00000000-0005-0000-0000-000070960000}"/>
    <cellStyle name="Porcentaje 7 3 2 2 3 2 2 2" xfId="19093" xr:uid="{00000000-0005-0000-0000-000071960000}"/>
    <cellStyle name="Porcentaje 7 3 2 2 3 2 2 2 2" xfId="38808" xr:uid="{00000000-0005-0000-0000-000072960000}"/>
    <cellStyle name="Porcentaje 7 3 2 2 3 2 2 3" xfId="28951" xr:uid="{00000000-0005-0000-0000-000073960000}"/>
    <cellStyle name="Porcentaje 7 3 2 2 3 2 3" xfId="14165" xr:uid="{00000000-0005-0000-0000-000074960000}"/>
    <cellStyle name="Porcentaje 7 3 2 2 3 2 3 2" xfId="33880" xr:uid="{00000000-0005-0000-0000-000075960000}"/>
    <cellStyle name="Porcentaje 7 3 2 2 3 2 4" xfId="24023" xr:uid="{00000000-0005-0000-0000-000076960000}"/>
    <cellStyle name="Porcentaje 7 3 2 2 3 3" xfId="6769" xr:uid="{00000000-0005-0000-0000-000077960000}"/>
    <cellStyle name="Porcentaje 7 3 2 2 3 3 2" xfId="16629" xr:uid="{00000000-0005-0000-0000-000078960000}"/>
    <cellStyle name="Porcentaje 7 3 2 2 3 3 2 2" xfId="36344" xr:uid="{00000000-0005-0000-0000-000079960000}"/>
    <cellStyle name="Porcentaje 7 3 2 2 3 3 3" xfId="26487" xr:uid="{00000000-0005-0000-0000-00007A960000}"/>
    <cellStyle name="Porcentaje 7 3 2 2 3 4" xfId="11701" xr:uid="{00000000-0005-0000-0000-00007B960000}"/>
    <cellStyle name="Porcentaje 7 3 2 2 3 4 2" xfId="31416" xr:uid="{00000000-0005-0000-0000-00007C960000}"/>
    <cellStyle name="Porcentaje 7 3 2 2 3 5" xfId="21559" xr:uid="{00000000-0005-0000-0000-00007D960000}"/>
    <cellStyle name="Porcentaje 7 3 2 2 4" xfId="3069" xr:uid="{00000000-0005-0000-0000-00007E960000}"/>
    <cellStyle name="Porcentaje 7 3 2 2 4 2" xfId="8001" xr:uid="{00000000-0005-0000-0000-00007F960000}"/>
    <cellStyle name="Porcentaje 7 3 2 2 4 2 2" xfId="17861" xr:uid="{00000000-0005-0000-0000-000080960000}"/>
    <cellStyle name="Porcentaje 7 3 2 2 4 2 2 2" xfId="37576" xr:uid="{00000000-0005-0000-0000-000081960000}"/>
    <cellStyle name="Porcentaje 7 3 2 2 4 2 3" xfId="27719" xr:uid="{00000000-0005-0000-0000-000082960000}"/>
    <cellStyle name="Porcentaje 7 3 2 2 4 3" xfId="12933" xr:uid="{00000000-0005-0000-0000-000083960000}"/>
    <cellStyle name="Porcentaje 7 3 2 2 4 3 2" xfId="32648" xr:uid="{00000000-0005-0000-0000-000084960000}"/>
    <cellStyle name="Porcentaje 7 3 2 2 4 4" xfId="22791" xr:uid="{00000000-0005-0000-0000-000085960000}"/>
    <cellStyle name="Porcentaje 7 3 2 2 5" xfId="5537" xr:uid="{00000000-0005-0000-0000-000086960000}"/>
    <cellStyle name="Porcentaje 7 3 2 2 5 2" xfId="15397" xr:uid="{00000000-0005-0000-0000-000087960000}"/>
    <cellStyle name="Porcentaje 7 3 2 2 5 2 2" xfId="35112" xr:uid="{00000000-0005-0000-0000-000088960000}"/>
    <cellStyle name="Porcentaje 7 3 2 2 5 3" xfId="25255" xr:uid="{00000000-0005-0000-0000-000089960000}"/>
    <cellStyle name="Porcentaje 7 3 2 2 6" xfId="10469" xr:uid="{00000000-0005-0000-0000-00008A960000}"/>
    <cellStyle name="Porcentaje 7 3 2 2 6 2" xfId="30184" xr:uid="{00000000-0005-0000-0000-00008B960000}"/>
    <cellStyle name="Porcentaje 7 3 2 2 7" xfId="20327" xr:uid="{00000000-0005-0000-0000-00008C960000}"/>
    <cellStyle name="Porcentaje 7 3 2 3" xfId="908" xr:uid="{00000000-0005-0000-0000-00008D960000}"/>
    <cellStyle name="Porcentaje 7 3 2 3 2" xfId="2144" xr:uid="{00000000-0005-0000-0000-00008E960000}"/>
    <cellStyle name="Porcentaje 7 3 2 3 2 2" xfId="4611" xr:uid="{00000000-0005-0000-0000-00008F960000}"/>
    <cellStyle name="Porcentaje 7 3 2 3 2 2 2" xfId="9543" xr:uid="{00000000-0005-0000-0000-000090960000}"/>
    <cellStyle name="Porcentaje 7 3 2 3 2 2 2 2" xfId="19403" xr:uid="{00000000-0005-0000-0000-000091960000}"/>
    <cellStyle name="Porcentaje 7 3 2 3 2 2 2 2 2" xfId="39118" xr:uid="{00000000-0005-0000-0000-000092960000}"/>
    <cellStyle name="Porcentaje 7 3 2 3 2 2 2 3" xfId="29261" xr:uid="{00000000-0005-0000-0000-000093960000}"/>
    <cellStyle name="Porcentaje 7 3 2 3 2 2 3" xfId="14475" xr:uid="{00000000-0005-0000-0000-000094960000}"/>
    <cellStyle name="Porcentaje 7 3 2 3 2 2 3 2" xfId="34190" xr:uid="{00000000-0005-0000-0000-000095960000}"/>
    <cellStyle name="Porcentaje 7 3 2 3 2 2 4" xfId="24333" xr:uid="{00000000-0005-0000-0000-000096960000}"/>
    <cellStyle name="Porcentaje 7 3 2 3 2 3" xfId="7079" xr:uid="{00000000-0005-0000-0000-000097960000}"/>
    <cellStyle name="Porcentaje 7 3 2 3 2 3 2" xfId="16939" xr:uid="{00000000-0005-0000-0000-000098960000}"/>
    <cellStyle name="Porcentaje 7 3 2 3 2 3 2 2" xfId="36654" xr:uid="{00000000-0005-0000-0000-000099960000}"/>
    <cellStyle name="Porcentaje 7 3 2 3 2 3 3" xfId="26797" xr:uid="{00000000-0005-0000-0000-00009A960000}"/>
    <cellStyle name="Porcentaje 7 3 2 3 2 4" xfId="12011" xr:uid="{00000000-0005-0000-0000-00009B960000}"/>
    <cellStyle name="Porcentaje 7 3 2 3 2 4 2" xfId="31726" xr:uid="{00000000-0005-0000-0000-00009C960000}"/>
    <cellStyle name="Porcentaje 7 3 2 3 2 5" xfId="21869" xr:uid="{00000000-0005-0000-0000-00009D960000}"/>
    <cellStyle name="Porcentaje 7 3 2 3 3" xfId="3379" xr:uid="{00000000-0005-0000-0000-00009E960000}"/>
    <cellStyle name="Porcentaje 7 3 2 3 3 2" xfId="8311" xr:uid="{00000000-0005-0000-0000-00009F960000}"/>
    <cellStyle name="Porcentaje 7 3 2 3 3 2 2" xfId="18171" xr:uid="{00000000-0005-0000-0000-0000A0960000}"/>
    <cellStyle name="Porcentaje 7 3 2 3 3 2 2 2" xfId="37886" xr:uid="{00000000-0005-0000-0000-0000A1960000}"/>
    <cellStyle name="Porcentaje 7 3 2 3 3 2 3" xfId="28029" xr:uid="{00000000-0005-0000-0000-0000A2960000}"/>
    <cellStyle name="Porcentaje 7 3 2 3 3 3" xfId="13243" xr:uid="{00000000-0005-0000-0000-0000A3960000}"/>
    <cellStyle name="Porcentaje 7 3 2 3 3 3 2" xfId="32958" xr:uid="{00000000-0005-0000-0000-0000A4960000}"/>
    <cellStyle name="Porcentaje 7 3 2 3 3 4" xfId="23101" xr:uid="{00000000-0005-0000-0000-0000A5960000}"/>
    <cellStyle name="Porcentaje 7 3 2 3 4" xfId="5847" xr:uid="{00000000-0005-0000-0000-0000A6960000}"/>
    <cellStyle name="Porcentaje 7 3 2 3 4 2" xfId="15707" xr:uid="{00000000-0005-0000-0000-0000A7960000}"/>
    <cellStyle name="Porcentaje 7 3 2 3 4 2 2" xfId="35422" xr:uid="{00000000-0005-0000-0000-0000A8960000}"/>
    <cellStyle name="Porcentaje 7 3 2 3 4 3" xfId="25565" xr:uid="{00000000-0005-0000-0000-0000A9960000}"/>
    <cellStyle name="Porcentaje 7 3 2 3 5" xfId="10779" xr:uid="{00000000-0005-0000-0000-0000AA960000}"/>
    <cellStyle name="Porcentaje 7 3 2 3 5 2" xfId="30494" xr:uid="{00000000-0005-0000-0000-0000AB960000}"/>
    <cellStyle name="Porcentaje 7 3 2 3 6" xfId="20637" xr:uid="{00000000-0005-0000-0000-0000AC960000}"/>
    <cellStyle name="Porcentaje 7 3 2 4" xfId="1528" xr:uid="{00000000-0005-0000-0000-0000AD960000}"/>
    <cellStyle name="Porcentaje 7 3 2 4 2" xfId="3995" xr:uid="{00000000-0005-0000-0000-0000AE960000}"/>
    <cellStyle name="Porcentaje 7 3 2 4 2 2" xfId="8927" xr:uid="{00000000-0005-0000-0000-0000AF960000}"/>
    <cellStyle name="Porcentaje 7 3 2 4 2 2 2" xfId="18787" xr:uid="{00000000-0005-0000-0000-0000B0960000}"/>
    <cellStyle name="Porcentaje 7 3 2 4 2 2 2 2" xfId="38502" xr:uid="{00000000-0005-0000-0000-0000B1960000}"/>
    <cellStyle name="Porcentaje 7 3 2 4 2 2 3" xfId="28645" xr:uid="{00000000-0005-0000-0000-0000B2960000}"/>
    <cellStyle name="Porcentaje 7 3 2 4 2 3" xfId="13859" xr:uid="{00000000-0005-0000-0000-0000B3960000}"/>
    <cellStyle name="Porcentaje 7 3 2 4 2 3 2" xfId="33574" xr:uid="{00000000-0005-0000-0000-0000B4960000}"/>
    <cellStyle name="Porcentaje 7 3 2 4 2 4" xfId="23717" xr:uid="{00000000-0005-0000-0000-0000B5960000}"/>
    <cellStyle name="Porcentaje 7 3 2 4 3" xfId="6463" xr:uid="{00000000-0005-0000-0000-0000B6960000}"/>
    <cellStyle name="Porcentaje 7 3 2 4 3 2" xfId="16323" xr:uid="{00000000-0005-0000-0000-0000B7960000}"/>
    <cellStyle name="Porcentaje 7 3 2 4 3 2 2" xfId="36038" xr:uid="{00000000-0005-0000-0000-0000B8960000}"/>
    <cellStyle name="Porcentaje 7 3 2 4 3 3" xfId="26181" xr:uid="{00000000-0005-0000-0000-0000B9960000}"/>
    <cellStyle name="Porcentaje 7 3 2 4 4" xfId="11395" xr:uid="{00000000-0005-0000-0000-0000BA960000}"/>
    <cellStyle name="Porcentaje 7 3 2 4 4 2" xfId="31110" xr:uid="{00000000-0005-0000-0000-0000BB960000}"/>
    <cellStyle name="Porcentaje 7 3 2 4 5" xfId="21253" xr:uid="{00000000-0005-0000-0000-0000BC960000}"/>
    <cellStyle name="Porcentaje 7 3 2 5" xfId="2763" xr:uid="{00000000-0005-0000-0000-0000BD960000}"/>
    <cellStyle name="Porcentaje 7 3 2 5 2" xfId="7695" xr:uid="{00000000-0005-0000-0000-0000BE960000}"/>
    <cellStyle name="Porcentaje 7 3 2 5 2 2" xfId="17555" xr:uid="{00000000-0005-0000-0000-0000BF960000}"/>
    <cellStyle name="Porcentaje 7 3 2 5 2 2 2" xfId="37270" xr:uid="{00000000-0005-0000-0000-0000C0960000}"/>
    <cellStyle name="Porcentaje 7 3 2 5 2 3" xfId="27413" xr:uid="{00000000-0005-0000-0000-0000C1960000}"/>
    <cellStyle name="Porcentaje 7 3 2 5 3" xfId="12627" xr:uid="{00000000-0005-0000-0000-0000C2960000}"/>
    <cellStyle name="Porcentaje 7 3 2 5 3 2" xfId="32342" xr:uid="{00000000-0005-0000-0000-0000C3960000}"/>
    <cellStyle name="Porcentaje 7 3 2 5 4" xfId="22485" xr:uid="{00000000-0005-0000-0000-0000C4960000}"/>
    <cellStyle name="Porcentaje 7 3 2 6" xfId="5231" xr:uid="{00000000-0005-0000-0000-0000C5960000}"/>
    <cellStyle name="Porcentaje 7 3 2 6 2" xfId="15091" xr:uid="{00000000-0005-0000-0000-0000C6960000}"/>
    <cellStyle name="Porcentaje 7 3 2 6 2 2" xfId="34806" xr:uid="{00000000-0005-0000-0000-0000C7960000}"/>
    <cellStyle name="Porcentaje 7 3 2 6 3" xfId="24949" xr:uid="{00000000-0005-0000-0000-0000C8960000}"/>
    <cellStyle name="Porcentaje 7 3 2 7" xfId="10163" xr:uid="{00000000-0005-0000-0000-0000C9960000}"/>
    <cellStyle name="Porcentaje 7 3 2 7 2" xfId="29878" xr:uid="{00000000-0005-0000-0000-0000CA960000}"/>
    <cellStyle name="Porcentaje 7 3 2 8" xfId="20021" xr:uid="{00000000-0005-0000-0000-0000CB960000}"/>
    <cellStyle name="Porcentaje 7 3 3" xfId="443" xr:uid="{00000000-0005-0000-0000-0000CC960000}"/>
    <cellStyle name="Porcentaje 7 3 3 2" xfId="1063" xr:uid="{00000000-0005-0000-0000-0000CD960000}"/>
    <cellStyle name="Porcentaje 7 3 3 2 2" xfId="2298" xr:uid="{00000000-0005-0000-0000-0000CE960000}"/>
    <cellStyle name="Porcentaje 7 3 3 2 2 2" xfId="4765" xr:uid="{00000000-0005-0000-0000-0000CF960000}"/>
    <cellStyle name="Porcentaje 7 3 3 2 2 2 2" xfId="9697" xr:uid="{00000000-0005-0000-0000-0000D0960000}"/>
    <cellStyle name="Porcentaje 7 3 3 2 2 2 2 2" xfId="19557" xr:uid="{00000000-0005-0000-0000-0000D1960000}"/>
    <cellStyle name="Porcentaje 7 3 3 2 2 2 2 2 2" xfId="39272" xr:uid="{00000000-0005-0000-0000-0000D2960000}"/>
    <cellStyle name="Porcentaje 7 3 3 2 2 2 2 3" xfId="29415" xr:uid="{00000000-0005-0000-0000-0000D3960000}"/>
    <cellStyle name="Porcentaje 7 3 3 2 2 2 3" xfId="14629" xr:uid="{00000000-0005-0000-0000-0000D4960000}"/>
    <cellStyle name="Porcentaje 7 3 3 2 2 2 3 2" xfId="34344" xr:uid="{00000000-0005-0000-0000-0000D5960000}"/>
    <cellStyle name="Porcentaje 7 3 3 2 2 2 4" xfId="24487" xr:uid="{00000000-0005-0000-0000-0000D6960000}"/>
    <cellStyle name="Porcentaje 7 3 3 2 2 3" xfId="7233" xr:uid="{00000000-0005-0000-0000-0000D7960000}"/>
    <cellStyle name="Porcentaje 7 3 3 2 2 3 2" xfId="17093" xr:uid="{00000000-0005-0000-0000-0000D8960000}"/>
    <cellStyle name="Porcentaje 7 3 3 2 2 3 2 2" xfId="36808" xr:uid="{00000000-0005-0000-0000-0000D9960000}"/>
    <cellStyle name="Porcentaje 7 3 3 2 2 3 3" xfId="26951" xr:uid="{00000000-0005-0000-0000-0000DA960000}"/>
    <cellStyle name="Porcentaje 7 3 3 2 2 4" xfId="12165" xr:uid="{00000000-0005-0000-0000-0000DB960000}"/>
    <cellStyle name="Porcentaje 7 3 3 2 2 4 2" xfId="31880" xr:uid="{00000000-0005-0000-0000-0000DC960000}"/>
    <cellStyle name="Porcentaje 7 3 3 2 2 5" xfId="22023" xr:uid="{00000000-0005-0000-0000-0000DD960000}"/>
    <cellStyle name="Porcentaje 7 3 3 2 3" xfId="3533" xr:uid="{00000000-0005-0000-0000-0000DE960000}"/>
    <cellStyle name="Porcentaje 7 3 3 2 3 2" xfId="8465" xr:uid="{00000000-0005-0000-0000-0000DF960000}"/>
    <cellStyle name="Porcentaje 7 3 3 2 3 2 2" xfId="18325" xr:uid="{00000000-0005-0000-0000-0000E0960000}"/>
    <cellStyle name="Porcentaje 7 3 3 2 3 2 2 2" xfId="38040" xr:uid="{00000000-0005-0000-0000-0000E1960000}"/>
    <cellStyle name="Porcentaje 7 3 3 2 3 2 3" xfId="28183" xr:uid="{00000000-0005-0000-0000-0000E2960000}"/>
    <cellStyle name="Porcentaje 7 3 3 2 3 3" xfId="13397" xr:uid="{00000000-0005-0000-0000-0000E3960000}"/>
    <cellStyle name="Porcentaje 7 3 3 2 3 3 2" xfId="33112" xr:uid="{00000000-0005-0000-0000-0000E4960000}"/>
    <cellStyle name="Porcentaje 7 3 3 2 3 4" xfId="23255" xr:uid="{00000000-0005-0000-0000-0000E5960000}"/>
    <cellStyle name="Porcentaje 7 3 3 2 4" xfId="6001" xr:uid="{00000000-0005-0000-0000-0000E6960000}"/>
    <cellStyle name="Porcentaje 7 3 3 2 4 2" xfId="15861" xr:uid="{00000000-0005-0000-0000-0000E7960000}"/>
    <cellStyle name="Porcentaje 7 3 3 2 4 2 2" xfId="35576" xr:uid="{00000000-0005-0000-0000-0000E8960000}"/>
    <cellStyle name="Porcentaje 7 3 3 2 4 3" xfId="25719" xr:uid="{00000000-0005-0000-0000-0000E9960000}"/>
    <cellStyle name="Porcentaje 7 3 3 2 5" xfId="10933" xr:uid="{00000000-0005-0000-0000-0000EA960000}"/>
    <cellStyle name="Porcentaje 7 3 3 2 5 2" xfId="30648" xr:uid="{00000000-0005-0000-0000-0000EB960000}"/>
    <cellStyle name="Porcentaje 7 3 3 2 6" xfId="20791" xr:uid="{00000000-0005-0000-0000-0000EC960000}"/>
    <cellStyle name="Porcentaje 7 3 3 3" xfId="1682" xr:uid="{00000000-0005-0000-0000-0000ED960000}"/>
    <cellStyle name="Porcentaje 7 3 3 3 2" xfId="4149" xr:uid="{00000000-0005-0000-0000-0000EE960000}"/>
    <cellStyle name="Porcentaje 7 3 3 3 2 2" xfId="9081" xr:uid="{00000000-0005-0000-0000-0000EF960000}"/>
    <cellStyle name="Porcentaje 7 3 3 3 2 2 2" xfId="18941" xr:uid="{00000000-0005-0000-0000-0000F0960000}"/>
    <cellStyle name="Porcentaje 7 3 3 3 2 2 2 2" xfId="38656" xr:uid="{00000000-0005-0000-0000-0000F1960000}"/>
    <cellStyle name="Porcentaje 7 3 3 3 2 2 3" xfId="28799" xr:uid="{00000000-0005-0000-0000-0000F2960000}"/>
    <cellStyle name="Porcentaje 7 3 3 3 2 3" xfId="14013" xr:uid="{00000000-0005-0000-0000-0000F3960000}"/>
    <cellStyle name="Porcentaje 7 3 3 3 2 3 2" xfId="33728" xr:uid="{00000000-0005-0000-0000-0000F4960000}"/>
    <cellStyle name="Porcentaje 7 3 3 3 2 4" xfId="23871" xr:uid="{00000000-0005-0000-0000-0000F5960000}"/>
    <cellStyle name="Porcentaje 7 3 3 3 3" xfId="6617" xr:uid="{00000000-0005-0000-0000-0000F6960000}"/>
    <cellStyle name="Porcentaje 7 3 3 3 3 2" xfId="16477" xr:uid="{00000000-0005-0000-0000-0000F7960000}"/>
    <cellStyle name="Porcentaje 7 3 3 3 3 2 2" xfId="36192" xr:uid="{00000000-0005-0000-0000-0000F8960000}"/>
    <cellStyle name="Porcentaje 7 3 3 3 3 3" xfId="26335" xr:uid="{00000000-0005-0000-0000-0000F9960000}"/>
    <cellStyle name="Porcentaje 7 3 3 3 4" xfId="11549" xr:uid="{00000000-0005-0000-0000-0000FA960000}"/>
    <cellStyle name="Porcentaje 7 3 3 3 4 2" xfId="31264" xr:uid="{00000000-0005-0000-0000-0000FB960000}"/>
    <cellStyle name="Porcentaje 7 3 3 3 5" xfId="21407" xr:uid="{00000000-0005-0000-0000-0000FC960000}"/>
    <cellStyle name="Porcentaje 7 3 3 4" xfId="2917" xr:uid="{00000000-0005-0000-0000-0000FD960000}"/>
    <cellStyle name="Porcentaje 7 3 3 4 2" xfId="7849" xr:uid="{00000000-0005-0000-0000-0000FE960000}"/>
    <cellStyle name="Porcentaje 7 3 3 4 2 2" xfId="17709" xr:uid="{00000000-0005-0000-0000-0000FF960000}"/>
    <cellStyle name="Porcentaje 7 3 3 4 2 2 2" xfId="37424" xr:uid="{00000000-0005-0000-0000-000000970000}"/>
    <cellStyle name="Porcentaje 7 3 3 4 2 3" xfId="27567" xr:uid="{00000000-0005-0000-0000-000001970000}"/>
    <cellStyle name="Porcentaje 7 3 3 4 3" xfId="12781" xr:uid="{00000000-0005-0000-0000-000002970000}"/>
    <cellStyle name="Porcentaje 7 3 3 4 3 2" xfId="32496" xr:uid="{00000000-0005-0000-0000-000003970000}"/>
    <cellStyle name="Porcentaje 7 3 3 4 4" xfId="22639" xr:uid="{00000000-0005-0000-0000-000004970000}"/>
    <cellStyle name="Porcentaje 7 3 3 5" xfId="5385" xr:uid="{00000000-0005-0000-0000-000005970000}"/>
    <cellStyle name="Porcentaje 7 3 3 5 2" xfId="15245" xr:uid="{00000000-0005-0000-0000-000006970000}"/>
    <cellStyle name="Porcentaje 7 3 3 5 2 2" xfId="34960" xr:uid="{00000000-0005-0000-0000-000007970000}"/>
    <cellStyle name="Porcentaje 7 3 3 5 3" xfId="25103" xr:uid="{00000000-0005-0000-0000-000008970000}"/>
    <cellStyle name="Porcentaje 7 3 3 6" xfId="10317" xr:uid="{00000000-0005-0000-0000-000009970000}"/>
    <cellStyle name="Porcentaje 7 3 3 6 2" xfId="30032" xr:uid="{00000000-0005-0000-0000-00000A970000}"/>
    <cellStyle name="Porcentaje 7 3 3 7" xfId="20175" xr:uid="{00000000-0005-0000-0000-00000B970000}"/>
    <cellStyle name="Porcentaje 7 3 4" xfId="756" xr:uid="{00000000-0005-0000-0000-00000C970000}"/>
    <cellStyle name="Porcentaje 7 3 4 2" xfId="1992" xr:uid="{00000000-0005-0000-0000-00000D970000}"/>
    <cellStyle name="Porcentaje 7 3 4 2 2" xfId="4459" xr:uid="{00000000-0005-0000-0000-00000E970000}"/>
    <cellStyle name="Porcentaje 7 3 4 2 2 2" xfId="9391" xr:uid="{00000000-0005-0000-0000-00000F970000}"/>
    <cellStyle name="Porcentaje 7 3 4 2 2 2 2" xfId="19251" xr:uid="{00000000-0005-0000-0000-000010970000}"/>
    <cellStyle name="Porcentaje 7 3 4 2 2 2 2 2" xfId="38966" xr:uid="{00000000-0005-0000-0000-000011970000}"/>
    <cellStyle name="Porcentaje 7 3 4 2 2 2 3" xfId="29109" xr:uid="{00000000-0005-0000-0000-000012970000}"/>
    <cellStyle name="Porcentaje 7 3 4 2 2 3" xfId="14323" xr:uid="{00000000-0005-0000-0000-000013970000}"/>
    <cellStyle name="Porcentaje 7 3 4 2 2 3 2" xfId="34038" xr:uid="{00000000-0005-0000-0000-000014970000}"/>
    <cellStyle name="Porcentaje 7 3 4 2 2 4" xfId="24181" xr:uid="{00000000-0005-0000-0000-000015970000}"/>
    <cellStyle name="Porcentaje 7 3 4 2 3" xfId="6927" xr:uid="{00000000-0005-0000-0000-000016970000}"/>
    <cellStyle name="Porcentaje 7 3 4 2 3 2" xfId="16787" xr:uid="{00000000-0005-0000-0000-000017970000}"/>
    <cellStyle name="Porcentaje 7 3 4 2 3 2 2" xfId="36502" xr:uid="{00000000-0005-0000-0000-000018970000}"/>
    <cellStyle name="Porcentaje 7 3 4 2 3 3" xfId="26645" xr:uid="{00000000-0005-0000-0000-000019970000}"/>
    <cellStyle name="Porcentaje 7 3 4 2 4" xfId="11859" xr:uid="{00000000-0005-0000-0000-00001A970000}"/>
    <cellStyle name="Porcentaje 7 3 4 2 4 2" xfId="31574" xr:uid="{00000000-0005-0000-0000-00001B970000}"/>
    <cellStyle name="Porcentaje 7 3 4 2 5" xfId="21717" xr:uid="{00000000-0005-0000-0000-00001C970000}"/>
    <cellStyle name="Porcentaje 7 3 4 3" xfId="3227" xr:uid="{00000000-0005-0000-0000-00001D970000}"/>
    <cellStyle name="Porcentaje 7 3 4 3 2" xfId="8159" xr:uid="{00000000-0005-0000-0000-00001E970000}"/>
    <cellStyle name="Porcentaje 7 3 4 3 2 2" xfId="18019" xr:uid="{00000000-0005-0000-0000-00001F970000}"/>
    <cellStyle name="Porcentaje 7 3 4 3 2 2 2" xfId="37734" xr:uid="{00000000-0005-0000-0000-000020970000}"/>
    <cellStyle name="Porcentaje 7 3 4 3 2 3" xfId="27877" xr:uid="{00000000-0005-0000-0000-000021970000}"/>
    <cellStyle name="Porcentaje 7 3 4 3 3" xfId="13091" xr:uid="{00000000-0005-0000-0000-000022970000}"/>
    <cellStyle name="Porcentaje 7 3 4 3 3 2" xfId="32806" xr:uid="{00000000-0005-0000-0000-000023970000}"/>
    <cellStyle name="Porcentaje 7 3 4 3 4" xfId="22949" xr:uid="{00000000-0005-0000-0000-000024970000}"/>
    <cellStyle name="Porcentaje 7 3 4 4" xfId="5695" xr:uid="{00000000-0005-0000-0000-000025970000}"/>
    <cellStyle name="Porcentaje 7 3 4 4 2" xfId="15555" xr:uid="{00000000-0005-0000-0000-000026970000}"/>
    <cellStyle name="Porcentaje 7 3 4 4 2 2" xfId="35270" xr:uid="{00000000-0005-0000-0000-000027970000}"/>
    <cellStyle name="Porcentaje 7 3 4 4 3" xfId="25413" xr:uid="{00000000-0005-0000-0000-000028970000}"/>
    <cellStyle name="Porcentaje 7 3 4 5" xfId="10627" xr:uid="{00000000-0005-0000-0000-000029970000}"/>
    <cellStyle name="Porcentaje 7 3 4 5 2" xfId="30342" xr:uid="{00000000-0005-0000-0000-00002A970000}"/>
    <cellStyle name="Porcentaje 7 3 4 6" xfId="20485" xr:uid="{00000000-0005-0000-0000-00002B970000}"/>
    <cellStyle name="Porcentaje 7 3 5" xfId="1376" xr:uid="{00000000-0005-0000-0000-00002C970000}"/>
    <cellStyle name="Porcentaje 7 3 5 2" xfId="3843" xr:uid="{00000000-0005-0000-0000-00002D970000}"/>
    <cellStyle name="Porcentaje 7 3 5 2 2" xfId="8775" xr:uid="{00000000-0005-0000-0000-00002E970000}"/>
    <cellStyle name="Porcentaje 7 3 5 2 2 2" xfId="18635" xr:uid="{00000000-0005-0000-0000-00002F970000}"/>
    <cellStyle name="Porcentaje 7 3 5 2 2 2 2" xfId="38350" xr:uid="{00000000-0005-0000-0000-000030970000}"/>
    <cellStyle name="Porcentaje 7 3 5 2 2 3" xfId="28493" xr:uid="{00000000-0005-0000-0000-000031970000}"/>
    <cellStyle name="Porcentaje 7 3 5 2 3" xfId="13707" xr:uid="{00000000-0005-0000-0000-000032970000}"/>
    <cellStyle name="Porcentaje 7 3 5 2 3 2" xfId="33422" xr:uid="{00000000-0005-0000-0000-000033970000}"/>
    <cellStyle name="Porcentaje 7 3 5 2 4" xfId="23565" xr:uid="{00000000-0005-0000-0000-000034970000}"/>
    <cellStyle name="Porcentaje 7 3 5 3" xfId="6311" xr:uid="{00000000-0005-0000-0000-000035970000}"/>
    <cellStyle name="Porcentaje 7 3 5 3 2" xfId="16171" xr:uid="{00000000-0005-0000-0000-000036970000}"/>
    <cellStyle name="Porcentaje 7 3 5 3 2 2" xfId="35886" xr:uid="{00000000-0005-0000-0000-000037970000}"/>
    <cellStyle name="Porcentaje 7 3 5 3 3" xfId="26029" xr:uid="{00000000-0005-0000-0000-000038970000}"/>
    <cellStyle name="Porcentaje 7 3 5 4" xfId="11243" xr:uid="{00000000-0005-0000-0000-000039970000}"/>
    <cellStyle name="Porcentaje 7 3 5 4 2" xfId="30958" xr:uid="{00000000-0005-0000-0000-00003A970000}"/>
    <cellStyle name="Porcentaje 7 3 5 5" xfId="21101" xr:uid="{00000000-0005-0000-0000-00003B970000}"/>
    <cellStyle name="Porcentaje 7 3 6" xfId="2611" xr:uid="{00000000-0005-0000-0000-00003C970000}"/>
    <cellStyle name="Porcentaje 7 3 6 2" xfId="7543" xr:uid="{00000000-0005-0000-0000-00003D970000}"/>
    <cellStyle name="Porcentaje 7 3 6 2 2" xfId="17403" xr:uid="{00000000-0005-0000-0000-00003E970000}"/>
    <cellStyle name="Porcentaje 7 3 6 2 2 2" xfId="37118" xr:uid="{00000000-0005-0000-0000-00003F970000}"/>
    <cellStyle name="Porcentaje 7 3 6 2 3" xfId="27261" xr:uid="{00000000-0005-0000-0000-000040970000}"/>
    <cellStyle name="Porcentaje 7 3 6 3" xfId="12475" xr:uid="{00000000-0005-0000-0000-000041970000}"/>
    <cellStyle name="Porcentaje 7 3 6 3 2" xfId="32190" xr:uid="{00000000-0005-0000-0000-000042970000}"/>
    <cellStyle name="Porcentaje 7 3 6 4" xfId="22333" xr:uid="{00000000-0005-0000-0000-000043970000}"/>
    <cellStyle name="Porcentaje 7 3 7" xfId="5079" xr:uid="{00000000-0005-0000-0000-000044970000}"/>
    <cellStyle name="Porcentaje 7 3 7 2" xfId="14939" xr:uid="{00000000-0005-0000-0000-000045970000}"/>
    <cellStyle name="Porcentaje 7 3 7 2 2" xfId="34654" xr:uid="{00000000-0005-0000-0000-000046970000}"/>
    <cellStyle name="Porcentaje 7 3 7 3" xfId="24797" xr:uid="{00000000-0005-0000-0000-000047970000}"/>
    <cellStyle name="Porcentaje 7 3 8" xfId="10011" xr:uid="{00000000-0005-0000-0000-000048970000}"/>
    <cellStyle name="Porcentaje 7 3 8 2" xfId="29726" xr:uid="{00000000-0005-0000-0000-000049970000}"/>
    <cellStyle name="Porcentaje 7 3 9" xfId="19869" xr:uid="{00000000-0005-0000-0000-00004A970000}"/>
    <cellStyle name="Porcentaje 7 4" xfId="205" xr:uid="{00000000-0005-0000-0000-00004B970000}"/>
    <cellStyle name="Porcentaje 7 4 2" xfId="519" xr:uid="{00000000-0005-0000-0000-00004C970000}"/>
    <cellStyle name="Porcentaje 7 4 2 2" xfId="1139" xr:uid="{00000000-0005-0000-0000-00004D970000}"/>
    <cellStyle name="Porcentaje 7 4 2 2 2" xfId="2374" xr:uid="{00000000-0005-0000-0000-00004E970000}"/>
    <cellStyle name="Porcentaje 7 4 2 2 2 2" xfId="4841" xr:uid="{00000000-0005-0000-0000-00004F970000}"/>
    <cellStyle name="Porcentaje 7 4 2 2 2 2 2" xfId="9773" xr:uid="{00000000-0005-0000-0000-000050970000}"/>
    <cellStyle name="Porcentaje 7 4 2 2 2 2 2 2" xfId="19633" xr:uid="{00000000-0005-0000-0000-000051970000}"/>
    <cellStyle name="Porcentaje 7 4 2 2 2 2 2 2 2" xfId="39348" xr:uid="{00000000-0005-0000-0000-000052970000}"/>
    <cellStyle name="Porcentaje 7 4 2 2 2 2 2 3" xfId="29491" xr:uid="{00000000-0005-0000-0000-000053970000}"/>
    <cellStyle name="Porcentaje 7 4 2 2 2 2 3" xfId="14705" xr:uid="{00000000-0005-0000-0000-000054970000}"/>
    <cellStyle name="Porcentaje 7 4 2 2 2 2 3 2" xfId="34420" xr:uid="{00000000-0005-0000-0000-000055970000}"/>
    <cellStyle name="Porcentaje 7 4 2 2 2 2 4" xfId="24563" xr:uid="{00000000-0005-0000-0000-000056970000}"/>
    <cellStyle name="Porcentaje 7 4 2 2 2 3" xfId="7309" xr:uid="{00000000-0005-0000-0000-000057970000}"/>
    <cellStyle name="Porcentaje 7 4 2 2 2 3 2" xfId="17169" xr:uid="{00000000-0005-0000-0000-000058970000}"/>
    <cellStyle name="Porcentaje 7 4 2 2 2 3 2 2" xfId="36884" xr:uid="{00000000-0005-0000-0000-000059970000}"/>
    <cellStyle name="Porcentaje 7 4 2 2 2 3 3" xfId="27027" xr:uid="{00000000-0005-0000-0000-00005A970000}"/>
    <cellStyle name="Porcentaje 7 4 2 2 2 4" xfId="12241" xr:uid="{00000000-0005-0000-0000-00005B970000}"/>
    <cellStyle name="Porcentaje 7 4 2 2 2 4 2" xfId="31956" xr:uid="{00000000-0005-0000-0000-00005C970000}"/>
    <cellStyle name="Porcentaje 7 4 2 2 2 5" xfId="22099" xr:uid="{00000000-0005-0000-0000-00005D970000}"/>
    <cellStyle name="Porcentaje 7 4 2 2 3" xfId="3609" xr:uid="{00000000-0005-0000-0000-00005E970000}"/>
    <cellStyle name="Porcentaje 7 4 2 2 3 2" xfId="8541" xr:uid="{00000000-0005-0000-0000-00005F970000}"/>
    <cellStyle name="Porcentaje 7 4 2 2 3 2 2" xfId="18401" xr:uid="{00000000-0005-0000-0000-000060970000}"/>
    <cellStyle name="Porcentaje 7 4 2 2 3 2 2 2" xfId="38116" xr:uid="{00000000-0005-0000-0000-000061970000}"/>
    <cellStyle name="Porcentaje 7 4 2 2 3 2 3" xfId="28259" xr:uid="{00000000-0005-0000-0000-000062970000}"/>
    <cellStyle name="Porcentaje 7 4 2 2 3 3" xfId="13473" xr:uid="{00000000-0005-0000-0000-000063970000}"/>
    <cellStyle name="Porcentaje 7 4 2 2 3 3 2" xfId="33188" xr:uid="{00000000-0005-0000-0000-000064970000}"/>
    <cellStyle name="Porcentaje 7 4 2 2 3 4" xfId="23331" xr:uid="{00000000-0005-0000-0000-000065970000}"/>
    <cellStyle name="Porcentaje 7 4 2 2 4" xfId="6077" xr:uid="{00000000-0005-0000-0000-000066970000}"/>
    <cellStyle name="Porcentaje 7 4 2 2 4 2" xfId="15937" xr:uid="{00000000-0005-0000-0000-000067970000}"/>
    <cellStyle name="Porcentaje 7 4 2 2 4 2 2" xfId="35652" xr:uid="{00000000-0005-0000-0000-000068970000}"/>
    <cellStyle name="Porcentaje 7 4 2 2 4 3" xfId="25795" xr:uid="{00000000-0005-0000-0000-000069970000}"/>
    <cellStyle name="Porcentaje 7 4 2 2 5" xfId="11009" xr:uid="{00000000-0005-0000-0000-00006A970000}"/>
    <cellStyle name="Porcentaje 7 4 2 2 5 2" xfId="30724" xr:uid="{00000000-0005-0000-0000-00006B970000}"/>
    <cellStyle name="Porcentaje 7 4 2 2 6" xfId="20867" xr:uid="{00000000-0005-0000-0000-00006C970000}"/>
    <cellStyle name="Porcentaje 7 4 2 3" xfId="1758" xr:uid="{00000000-0005-0000-0000-00006D970000}"/>
    <cellStyle name="Porcentaje 7 4 2 3 2" xfId="4225" xr:uid="{00000000-0005-0000-0000-00006E970000}"/>
    <cellStyle name="Porcentaje 7 4 2 3 2 2" xfId="9157" xr:uid="{00000000-0005-0000-0000-00006F970000}"/>
    <cellStyle name="Porcentaje 7 4 2 3 2 2 2" xfId="19017" xr:uid="{00000000-0005-0000-0000-000070970000}"/>
    <cellStyle name="Porcentaje 7 4 2 3 2 2 2 2" xfId="38732" xr:uid="{00000000-0005-0000-0000-000071970000}"/>
    <cellStyle name="Porcentaje 7 4 2 3 2 2 3" xfId="28875" xr:uid="{00000000-0005-0000-0000-000072970000}"/>
    <cellStyle name="Porcentaje 7 4 2 3 2 3" xfId="14089" xr:uid="{00000000-0005-0000-0000-000073970000}"/>
    <cellStyle name="Porcentaje 7 4 2 3 2 3 2" xfId="33804" xr:uid="{00000000-0005-0000-0000-000074970000}"/>
    <cellStyle name="Porcentaje 7 4 2 3 2 4" xfId="23947" xr:uid="{00000000-0005-0000-0000-000075970000}"/>
    <cellStyle name="Porcentaje 7 4 2 3 3" xfId="6693" xr:uid="{00000000-0005-0000-0000-000076970000}"/>
    <cellStyle name="Porcentaje 7 4 2 3 3 2" xfId="16553" xr:uid="{00000000-0005-0000-0000-000077970000}"/>
    <cellStyle name="Porcentaje 7 4 2 3 3 2 2" xfId="36268" xr:uid="{00000000-0005-0000-0000-000078970000}"/>
    <cellStyle name="Porcentaje 7 4 2 3 3 3" xfId="26411" xr:uid="{00000000-0005-0000-0000-000079970000}"/>
    <cellStyle name="Porcentaje 7 4 2 3 4" xfId="11625" xr:uid="{00000000-0005-0000-0000-00007A970000}"/>
    <cellStyle name="Porcentaje 7 4 2 3 4 2" xfId="31340" xr:uid="{00000000-0005-0000-0000-00007B970000}"/>
    <cellStyle name="Porcentaje 7 4 2 3 5" xfId="21483" xr:uid="{00000000-0005-0000-0000-00007C970000}"/>
    <cellStyle name="Porcentaje 7 4 2 4" xfId="2993" xr:uid="{00000000-0005-0000-0000-00007D970000}"/>
    <cellStyle name="Porcentaje 7 4 2 4 2" xfId="7925" xr:uid="{00000000-0005-0000-0000-00007E970000}"/>
    <cellStyle name="Porcentaje 7 4 2 4 2 2" xfId="17785" xr:uid="{00000000-0005-0000-0000-00007F970000}"/>
    <cellStyle name="Porcentaje 7 4 2 4 2 2 2" xfId="37500" xr:uid="{00000000-0005-0000-0000-000080970000}"/>
    <cellStyle name="Porcentaje 7 4 2 4 2 3" xfId="27643" xr:uid="{00000000-0005-0000-0000-000081970000}"/>
    <cellStyle name="Porcentaje 7 4 2 4 3" xfId="12857" xr:uid="{00000000-0005-0000-0000-000082970000}"/>
    <cellStyle name="Porcentaje 7 4 2 4 3 2" xfId="32572" xr:uid="{00000000-0005-0000-0000-000083970000}"/>
    <cellStyle name="Porcentaje 7 4 2 4 4" xfId="22715" xr:uid="{00000000-0005-0000-0000-000084970000}"/>
    <cellStyle name="Porcentaje 7 4 2 5" xfId="5461" xr:uid="{00000000-0005-0000-0000-000085970000}"/>
    <cellStyle name="Porcentaje 7 4 2 5 2" xfId="15321" xr:uid="{00000000-0005-0000-0000-000086970000}"/>
    <cellStyle name="Porcentaje 7 4 2 5 2 2" xfId="35036" xr:uid="{00000000-0005-0000-0000-000087970000}"/>
    <cellStyle name="Porcentaje 7 4 2 5 3" xfId="25179" xr:uid="{00000000-0005-0000-0000-000088970000}"/>
    <cellStyle name="Porcentaje 7 4 2 6" xfId="10393" xr:uid="{00000000-0005-0000-0000-000089970000}"/>
    <cellStyle name="Porcentaje 7 4 2 6 2" xfId="30108" xr:uid="{00000000-0005-0000-0000-00008A970000}"/>
    <cellStyle name="Porcentaje 7 4 2 7" xfId="20251" xr:uid="{00000000-0005-0000-0000-00008B970000}"/>
    <cellStyle name="Porcentaje 7 4 3" xfId="832" xr:uid="{00000000-0005-0000-0000-00008C970000}"/>
    <cellStyle name="Porcentaje 7 4 3 2" xfId="2068" xr:uid="{00000000-0005-0000-0000-00008D970000}"/>
    <cellStyle name="Porcentaje 7 4 3 2 2" xfId="4535" xr:uid="{00000000-0005-0000-0000-00008E970000}"/>
    <cellStyle name="Porcentaje 7 4 3 2 2 2" xfId="9467" xr:uid="{00000000-0005-0000-0000-00008F970000}"/>
    <cellStyle name="Porcentaje 7 4 3 2 2 2 2" xfId="19327" xr:uid="{00000000-0005-0000-0000-000090970000}"/>
    <cellStyle name="Porcentaje 7 4 3 2 2 2 2 2" xfId="39042" xr:uid="{00000000-0005-0000-0000-000091970000}"/>
    <cellStyle name="Porcentaje 7 4 3 2 2 2 3" xfId="29185" xr:uid="{00000000-0005-0000-0000-000092970000}"/>
    <cellStyle name="Porcentaje 7 4 3 2 2 3" xfId="14399" xr:uid="{00000000-0005-0000-0000-000093970000}"/>
    <cellStyle name="Porcentaje 7 4 3 2 2 3 2" xfId="34114" xr:uid="{00000000-0005-0000-0000-000094970000}"/>
    <cellStyle name="Porcentaje 7 4 3 2 2 4" xfId="24257" xr:uid="{00000000-0005-0000-0000-000095970000}"/>
    <cellStyle name="Porcentaje 7 4 3 2 3" xfId="7003" xr:uid="{00000000-0005-0000-0000-000096970000}"/>
    <cellStyle name="Porcentaje 7 4 3 2 3 2" xfId="16863" xr:uid="{00000000-0005-0000-0000-000097970000}"/>
    <cellStyle name="Porcentaje 7 4 3 2 3 2 2" xfId="36578" xr:uid="{00000000-0005-0000-0000-000098970000}"/>
    <cellStyle name="Porcentaje 7 4 3 2 3 3" xfId="26721" xr:uid="{00000000-0005-0000-0000-000099970000}"/>
    <cellStyle name="Porcentaje 7 4 3 2 4" xfId="11935" xr:uid="{00000000-0005-0000-0000-00009A970000}"/>
    <cellStyle name="Porcentaje 7 4 3 2 4 2" xfId="31650" xr:uid="{00000000-0005-0000-0000-00009B970000}"/>
    <cellStyle name="Porcentaje 7 4 3 2 5" xfId="21793" xr:uid="{00000000-0005-0000-0000-00009C970000}"/>
    <cellStyle name="Porcentaje 7 4 3 3" xfId="3303" xr:uid="{00000000-0005-0000-0000-00009D970000}"/>
    <cellStyle name="Porcentaje 7 4 3 3 2" xfId="8235" xr:uid="{00000000-0005-0000-0000-00009E970000}"/>
    <cellStyle name="Porcentaje 7 4 3 3 2 2" xfId="18095" xr:uid="{00000000-0005-0000-0000-00009F970000}"/>
    <cellStyle name="Porcentaje 7 4 3 3 2 2 2" xfId="37810" xr:uid="{00000000-0005-0000-0000-0000A0970000}"/>
    <cellStyle name="Porcentaje 7 4 3 3 2 3" xfId="27953" xr:uid="{00000000-0005-0000-0000-0000A1970000}"/>
    <cellStyle name="Porcentaje 7 4 3 3 3" xfId="13167" xr:uid="{00000000-0005-0000-0000-0000A2970000}"/>
    <cellStyle name="Porcentaje 7 4 3 3 3 2" xfId="32882" xr:uid="{00000000-0005-0000-0000-0000A3970000}"/>
    <cellStyle name="Porcentaje 7 4 3 3 4" xfId="23025" xr:uid="{00000000-0005-0000-0000-0000A4970000}"/>
    <cellStyle name="Porcentaje 7 4 3 4" xfId="5771" xr:uid="{00000000-0005-0000-0000-0000A5970000}"/>
    <cellStyle name="Porcentaje 7 4 3 4 2" xfId="15631" xr:uid="{00000000-0005-0000-0000-0000A6970000}"/>
    <cellStyle name="Porcentaje 7 4 3 4 2 2" xfId="35346" xr:uid="{00000000-0005-0000-0000-0000A7970000}"/>
    <cellStyle name="Porcentaje 7 4 3 4 3" xfId="25489" xr:uid="{00000000-0005-0000-0000-0000A8970000}"/>
    <cellStyle name="Porcentaje 7 4 3 5" xfId="10703" xr:uid="{00000000-0005-0000-0000-0000A9970000}"/>
    <cellStyle name="Porcentaje 7 4 3 5 2" xfId="30418" xr:uid="{00000000-0005-0000-0000-0000AA970000}"/>
    <cellStyle name="Porcentaje 7 4 3 6" xfId="20561" xr:uid="{00000000-0005-0000-0000-0000AB970000}"/>
    <cellStyle name="Porcentaje 7 4 4" xfId="1452" xr:uid="{00000000-0005-0000-0000-0000AC970000}"/>
    <cellStyle name="Porcentaje 7 4 4 2" xfId="3919" xr:uid="{00000000-0005-0000-0000-0000AD970000}"/>
    <cellStyle name="Porcentaje 7 4 4 2 2" xfId="8851" xr:uid="{00000000-0005-0000-0000-0000AE970000}"/>
    <cellStyle name="Porcentaje 7 4 4 2 2 2" xfId="18711" xr:uid="{00000000-0005-0000-0000-0000AF970000}"/>
    <cellStyle name="Porcentaje 7 4 4 2 2 2 2" xfId="38426" xr:uid="{00000000-0005-0000-0000-0000B0970000}"/>
    <cellStyle name="Porcentaje 7 4 4 2 2 3" xfId="28569" xr:uid="{00000000-0005-0000-0000-0000B1970000}"/>
    <cellStyle name="Porcentaje 7 4 4 2 3" xfId="13783" xr:uid="{00000000-0005-0000-0000-0000B2970000}"/>
    <cellStyle name="Porcentaje 7 4 4 2 3 2" xfId="33498" xr:uid="{00000000-0005-0000-0000-0000B3970000}"/>
    <cellStyle name="Porcentaje 7 4 4 2 4" xfId="23641" xr:uid="{00000000-0005-0000-0000-0000B4970000}"/>
    <cellStyle name="Porcentaje 7 4 4 3" xfId="6387" xr:uid="{00000000-0005-0000-0000-0000B5970000}"/>
    <cellStyle name="Porcentaje 7 4 4 3 2" xfId="16247" xr:uid="{00000000-0005-0000-0000-0000B6970000}"/>
    <cellStyle name="Porcentaje 7 4 4 3 2 2" xfId="35962" xr:uid="{00000000-0005-0000-0000-0000B7970000}"/>
    <cellStyle name="Porcentaje 7 4 4 3 3" xfId="26105" xr:uid="{00000000-0005-0000-0000-0000B8970000}"/>
    <cellStyle name="Porcentaje 7 4 4 4" xfId="11319" xr:uid="{00000000-0005-0000-0000-0000B9970000}"/>
    <cellStyle name="Porcentaje 7 4 4 4 2" xfId="31034" xr:uid="{00000000-0005-0000-0000-0000BA970000}"/>
    <cellStyle name="Porcentaje 7 4 4 5" xfId="21177" xr:uid="{00000000-0005-0000-0000-0000BB970000}"/>
    <cellStyle name="Porcentaje 7 4 5" xfId="2687" xr:uid="{00000000-0005-0000-0000-0000BC970000}"/>
    <cellStyle name="Porcentaje 7 4 5 2" xfId="7619" xr:uid="{00000000-0005-0000-0000-0000BD970000}"/>
    <cellStyle name="Porcentaje 7 4 5 2 2" xfId="17479" xr:uid="{00000000-0005-0000-0000-0000BE970000}"/>
    <cellStyle name="Porcentaje 7 4 5 2 2 2" xfId="37194" xr:uid="{00000000-0005-0000-0000-0000BF970000}"/>
    <cellStyle name="Porcentaje 7 4 5 2 3" xfId="27337" xr:uid="{00000000-0005-0000-0000-0000C0970000}"/>
    <cellStyle name="Porcentaje 7 4 5 3" xfId="12551" xr:uid="{00000000-0005-0000-0000-0000C1970000}"/>
    <cellStyle name="Porcentaje 7 4 5 3 2" xfId="32266" xr:uid="{00000000-0005-0000-0000-0000C2970000}"/>
    <cellStyle name="Porcentaje 7 4 5 4" xfId="22409" xr:uid="{00000000-0005-0000-0000-0000C3970000}"/>
    <cellStyle name="Porcentaje 7 4 6" xfId="5155" xr:uid="{00000000-0005-0000-0000-0000C4970000}"/>
    <cellStyle name="Porcentaje 7 4 6 2" xfId="15015" xr:uid="{00000000-0005-0000-0000-0000C5970000}"/>
    <cellStyle name="Porcentaje 7 4 6 2 2" xfId="34730" xr:uid="{00000000-0005-0000-0000-0000C6970000}"/>
    <cellStyle name="Porcentaje 7 4 6 3" xfId="24873" xr:uid="{00000000-0005-0000-0000-0000C7970000}"/>
    <cellStyle name="Porcentaje 7 4 7" xfId="10087" xr:uid="{00000000-0005-0000-0000-0000C8970000}"/>
    <cellStyle name="Porcentaje 7 4 7 2" xfId="29802" xr:uid="{00000000-0005-0000-0000-0000C9970000}"/>
    <cellStyle name="Porcentaje 7 4 8" xfId="19945" xr:uid="{00000000-0005-0000-0000-0000CA970000}"/>
    <cellStyle name="Porcentaje 7 5" xfId="367" xr:uid="{00000000-0005-0000-0000-0000CB970000}"/>
    <cellStyle name="Porcentaje 7 5 2" xfId="987" xr:uid="{00000000-0005-0000-0000-0000CC970000}"/>
    <cellStyle name="Porcentaje 7 5 2 2" xfId="2222" xr:uid="{00000000-0005-0000-0000-0000CD970000}"/>
    <cellStyle name="Porcentaje 7 5 2 2 2" xfId="4689" xr:uid="{00000000-0005-0000-0000-0000CE970000}"/>
    <cellStyle name="Porcentaje 7 5 2 2 2 2" xfId="9621" xr:uid="{00000000-0005-0000-0000-0000CF970000}"/>
    <cellStyle name="Porcentaje 7 5 2 2 2 2 2" xfId="19481" xr:uid="{00000000-0005-0000-0000-0000D0970000}"/>
    <cellStyle name="Porcentaje 7 5 2 2 2 2 2 2" xfId="39196" xr:uid="{00000000-0005-0000-0000-0000D1970000}"/>
    <cellStyle name="Porcentaje 7 5 2 2 2 2 3" xfId="29339" xr:uid="{00000000-0005-0000-0000-0000D2970000}"/>
    <cellStyle name="Porcentaje 7 5 2 2 2 3" xfId="14553" xr:uid="{00000000-0005-0000-0000-0000D3970000}"/>
    <cellStyle name="Porcentaje 7 5 2 2 2 3 2" xfId="34268" xr:uid="{00000000-0005-0000-0000-0000D4970000}"/>
    <cellStyle name="Porcentaje 7 5 2 2 2 4" xfId="24411" xr:uid="{00000000-0005-0000-0000-0000D5970000}"/>
    <cellStyle name="Porcentaje 7 5 2 2 3" xfId="7157" xr:uid="{00000000-0005-0000-0000-0000D6970000}"/>
    <cellStyle name="Porcentaje 7 5 2 2 3 2" xfId="17017" xr:uid="{00000000-0005-0000-0000-0000D7970000}"/>
    <cellStyle name="Porcentaje 7 5 2 2 3 2 2" xfId="36732" xr:uid="{00000000-0005-0000-0000-0000D8970000}"/>
    <cellStyle name="Porcentaje 7 5 2 2 3 3" xfId="26875" xr:uid="{00000000-0005-0000-0000-0000D9970000}"/>
    <cellStyle name="Porcentaje 7 5 2 2 4" xfId="12089" xr:uid="{00000000-0005-0000-0000-0000DA970000}"/>
    <cellStyle name="Porcentaje 7 5 2 2 4 2" xfId="31804" xr:uid="{00000000-0005-0000-0000-0000DB970000}"/>
    <cellStyle name="Porcentaje 7 5 2 2 5" xfId="21947" xr:uid="{00000000-0005-0000-0000-0000DC970000}"/>
    <cellStyle name="Porcentaje 7 5 2 3" xfId="3457" xr:uid="{00000000-0005-0000-0000-0000DD970000}"/>
    <cellStyle name="Porcentaje 7 5 2 3 2" xfId="8389" xr:uid="{00000000-0005-0000-0000-0000DE970000}"/>
    <cellStyle name="Porcentaje 7 5 2 3 2 2" xfId="18249" xr:uid="{00000000-0005-0000-0000-0000DF970000}"/>
    <cellStyle name="Porcentaje 7 5 2 3 2 2 2" xfId="37964" xr:uid="{00000000-0005-0000-0000-0000E0970000}"/>
    <cellStyle name="Porcentaje 7 5 2 3 2 3" xfId="28107" xr:uid="{00000000-0005-0000-0000-0000E1970000}"/>
    <cellStyle name="Porcentaje 7 5 2 3 3" xfId="13321" xr:uid="{00000000-0005-0000-0000-0000E2970000}"/>
    <cellStyle name="Porcentaje 7 5 2 3 3 2" xfId="33036" xr:uid="{00000000-0005-0000-0000-0000E3970000}"/>
    <cellStyle name="Porcentaje 7 5 2 3 4" xfId="23179" xr:uid="{00000000-0005-0000-0000-0000E4970000}"/>
    <cellStyle name="Porcentaje 7 5 2 4" xfId="5925" xr:uid="{00000000-0005-0000-0000-0000E5970000}"/>
    <cellStyle name="Porcentaje 7 5 2 4 2" xfId="15785" xr:uid="{00000000-0005-0000-0000-0000E6970000}"/>
    <cellStyle name="Porcentaje 7 5 2 4 2 2" xfId="35500" xr:uid="{00000000-0005-0000-0000-0000E7970000}"/>
    <cellStyle name="Porcentaje 7 5 2 4 3" xfId="25643" xr:uid="{00000000-0005-0000-0000-0000E8970000}"/>
    <cellStyle name="Porcentaje 7 5 2 5" xfId="10857" xr:uid="{00000000-0005-0000-0000-0000E9970000}"/>
    <cellStyle name="Porcentaje 7 5 2 5 2" xfId="30572" xr:uid="{00000000-0005-0000-0000-0000EA970000}"/>
    <cellStyle name="Porcentaje 7 5 2 6" xfId="20715" xr:uid="{00000000-0005-0000-0000-0000EB970000}"/>
    <cellStyle name="Porcentaje 7 5 3" xfId="1606" xr:uid="{00000000-0005-0000-0000-0000EC970000}"/>
    <cellStyle name="Porcentaje 7 5 3 2" xfId="4073" xr:uid="{00000000-0005-0000-0000-0000ED970000}"/>
    <cellStyle name="Porcentaje 7 5 3 2 2" xfId="9005" xr:uid="{00000000-0005-0000-0000-0000EE970000}"/>
    <cellStyle name="Porcentaje 7 5 3 2 2 2" xfId="18865" xr:uid="{00000000-0005-0000-0000-0000EF970000}"/>
    <cellStyle name="Porcentaje 7 5 3 2 2 2 2" xfId="38580" xr:uid="{00000000-0005-0000-0000-0000F0970000}"/>
    <cellStyle name="Porcentaje 7 5 3 2 2 3" xfId="28723" xr:uid="{00000000-0005-0000-0000-0000F1970000}"/>
    <cellStyle name="Porcentaje 7 5 3 2 3" xfId="13937" xr:uid="{00000000-0005-0000-0000-0000F2970000}"/>
    <cellStyle name="Porcentaje 7 5 3 2 3 2" xfId="33652" xr:uid="{00000000-0005-0000-0000-0000F3970000}"/>
    <cellStyle name="Porcentaje 7 5 3 2 4" xfId="23795" xr:uid="{00000000-0005-0000-0000-0000F4970000}"/>
    <cellStyle name="Porcentaje 7 5 3 3" xfId="6541" xr:uid="{00000000-0005-0000-0000-0000F5970000}"/>
    <cellStyle name="Porcentaje 7 5 3 3 2" xfId="16401" xr:uid="{00000000-0005-0000-0000-0000F6970000}"/>
    <cellStyle name="Porcentaje 7 5 3 3 2 2" xfId="36116" xr:uid="{00000000-0005-0000-0000-0000F7970000}"/>
    <cellStyle name="Porcentaje 7 5 3 3 3" xfId="26259" xr:uid="{00000000-0005-0000-0000-0000F8970000}"/>
    <cellStyle name="Porcentaje 7 5 3 4" xfId="11473" xr:uid="{00000000-0005-0000-0000-0000F9970000}"/>
    <cellStyle name="Porcentaje 7 5 3 4 2" xfId="31188" xr:uid="{00000000-0005-0000-0000-0000FA970000}"/>
    <cellStyle name="Porcentaje 7 5 3 5" xfId="21331" xr:uid="{00000000-0005-0000-0000-0000FB970000}"/>
    <cellStyle name="Porcentaje 7 5 4" xfId="2841" xr:uid="{00000000-0005-0000-0000-0000FC970000}"/>
    <cellStyle name="Porcentaje 7 5 4 2" xfId="7773" xr:uid="{00000000-0005-0000-0000-0000FD970000}"/>
    <cellStyle name="Porcentaje 7 5 4 2 2" xfId="17633" xr:uid="{00000000-0005-0000-0000-0000FE970000}"/>
    <cellStyle name="Porcentaje 7 5 4 2 2 2" xfId="37348" xr:uid="{00000000-0005-0000-0000-0000FF970000}"/>
    <cellStyle name="Porcentaje 7 5 4 2 3" xfId="27491" xr:uid="{00000000-0005-0000-0000-000000980000}"/>
    <cellStyle name="Porcentaje 7 5 4 3" xfId="12705" xr:uid="{00000000-0005-0000-0000-000001980000}"/>
    <cellStyle name="Porcentaje 7 5 4 3 2" xfId="32420" xr:uid="{00000000-0005-0000-0000-000002980000}"/>
    <cellStyle name="Porcentaje 7 5 4 4" xfId="22563" xr:uid="{00000000-0005-0000-0000-000003980000}"/>
    <cellStyle name="Porcentaje 7 5 5" xfId="5309" xr:uid="{00000000-0005-0000-0000-000004980000}"/>
    <cellStyle name="Porcentaje 7 5 5 2" xfId="15169" xr:uid="{00000000-0005-0000-0000-000005980000}"/>
    <cellStyle name="Porcentaje 7 5 5 2 2" xfId="34884" xr:uid="{00000000-0005-0000-0000-000006980000}"/>
    <cellStyle name="Porcentaje 7 5 5 3" xfId="25027" xr:uid="{00000000-0005-0000-0000-000007980000}"/>
    <cellStyle name="Porcentaje 7 5 6" xfId="10241" xr:uid="{00000000-0005-0000-0000-000008980000}"/>
    <cellStyle name="Porcentaje 7 5 6 2" xfId="29956" xr:uid="{00000000-0005-0000-0000-000009980000}"/>
    <cellStyle name="Porcentaje 7 5 7" xfId="20099" xr:uid="{00000000-0005-0000-0000-00000A980000}"/>
    <cellStyle name="Porcentaje 7 6" xfId="680" xr:uid="{00000000-0005-0000-0000-00000B980000}"/>
    <cellStyle name="Porcentaje 7 6 2" xfId="1916" xr:uid="{00000000-0005-0000-0000-00000C980000}"/>
    <cellStyle name="Porcentaje 7 6 2 2" xfId="4383" xr:uid="{00000000-0005-0000-0000-00000D980000}"/>
    <cellStyle name="Porcentaje 7 6 2 2 2" xfId="9315" xr:uid="{00000000-0005-0000-0000-00000E980000}"/>
    <cellStyle name="Porcentaje 7 6 2 2 2 2" xfId="19175" xr:uid="{00000000-0005-0000-0000-00000F980000}"/>
    <cellStyle name="Porcentaje 7 6 2 2 2 2 2" xfId="38890" xr:uid="{00000000-0005-0000-0000-000010980000}"/>
    <cellStyle name="Porcentaje 7 6 2 2 2 3" xfId="29033" xr:uid="{00000000-0005-0000-0000-000011980000}"/>
    <cellStyle name="Porcentaje 7 6 2 2 3" xfId="14247" xr:uid="{00000000-0005-0000-0000-000012980000}"/>
    <cellStyle name="Porcentaje 7 6 2 2 3 2" xfId="33962" xr:uid="{00000000-0005-0000-0000-000013980000}"/>
    <cellStyle name="Porcentaje 7 6 2 2 4" xfId="24105" xr:uid="{00000000-0005-0000-0000-000014980000}"/>
    <cellStyle name="Porcentaje 7 6 2 3" xfId="6851" xr:uid="{00000000-0005-0000-0000-000015980000}"/>
    <cellStyle name="Porcentaje 7 6 2 3 2" xfId="16711" xr:uid="{00000000-0005-0000-0000-000016980000}"/>
    <cellStyle name="Porcentaje 7 6 2 3 2 2" xfId="36426" xr:uid="{00000000-0005-0000-0000-000017980000}"/>
    <cellStyle name="Porcentaje 7 6 2 3 3" xfId="26569" xr:uid="{00000000-0005-0000-0000-000018980000}"/>
    <cellStyle name="Porcentaje 7 6 2 4" xfId="11783" xr:uid="{00000000-0005-0000-0000-000019980000}"/>
    <cellStyle name="Porcentaje 7 6 2 4 2" xfId="31498" xr:uid="{00000000-0005-0000-0000-00001A980000}"/>
    <cellStyle name="Porcentaje 7 6 2 5" xfId="21641" xr:uid="{00000000-0005-0000-0000-00001B980000}"/>
    <cellStyle name="Porcentaje 7 6 3" xfId="3151" xr:uid="{00000000-0005-0000-0000-00001C980000}"/>
    <cellStyle name="Porcentaje 7 6 3 2" xfId="8083" xr:uid="{00000000-0005-0000-0000-00001D980000}"/>
    <cellStyle name="Porcentaje 7 6 3 2 2" xfId="17943" xr:uid="{00000000-0005-0000-0000-00001E980000}"/>
    <cellStyle name="Porcentaje 7 6 3 2 2 2" xfId="37658" xr:uid="{00000000-0005-0000-0000-00001F980000}"/>
    <cellStyle name="Porcentaje 7 6 3 2 3" xfId="27801" xr:uid="{00000000-0005-0000-0000-000020980000}"/>
    <cellStyle name="Porcentaje 7 6 3 3" xfId="13015" xr:uid="{00000000-0005-0000-0000-000021980000}"/>
    <cellStyle name="Porcentaje 7 6 3 3 2" xfId="32730" xr:uid="{00000000-0005-0000-0000-000022980000}"/>
    <cellStyle name="Porcentaje 7 6 3 4" xfId="22873" xr:uid="{00000000-0005-0000-0000-000023980000}"/>
    <cellStyle name="Porcentaje 7 6 4" xfId="5619" xr:uid="{00000000-0005-0000-0000-000024980000}"/>
    <cellStyle name="Porcentaje 7 6 4 2" xfId="15479" xr:uid="{00000000-0005-0000-0000-000025980000}"/>
    <cellStyle name="Porcentaje 7 6 4 2 2" xfId="35194" xr:uid="{00000000-0005-0000-0000-000026980000}"/>
    <cellStyle name="Porcentaje 7 6 4 3" xfId="25337" xr:uid="{00000000-0005-0000-0000-000027980000}"/>
    <cellStyle name="Porcentaje 7 6 5" xfId="10551" xr:uid="{00000000-0005-0000-0000-000028980000}"/>
    <cellStyle name="Porcentaje 7 6 5 2" xfId="30266" xr:uid="{00000000-0005-0000-0000-000029980000}"/>
    <cellStyle name="Porcentaje 7 6 6" xfId="20409" xr:uid="{00000000-0005-0000-0000-00002A980000}"/>
    <cellStyle name="Porcentaje 7 7" xfId="1300" xr:uid="{00000000-0005-0000-0000-00002B980000}"/>
    <cellStyle name="Porcentaje 7 7 2" xfId="3767" xr:uid="{00000000-0005-0000-0000-00002C980000}"/>
    <cellStyle name="Porcentaje 7 7 2 2" xfId="8699" xr:uid="{00000000-0005-0000-0000-00002D980000}"/>
    <cellStyle name="Porcentaje 7 7 2 2 2" xfId="18559" xr:uid="{00000000-0005-0000-0000-00002E980000}"/>
    <cellStyle name="Porcentaje 7 7 2 2 2 2" xfId="38274" xr:uid="{00000000-0005-0000-0000-00002F980000}"/>
    <cellStyle name="Porcentaje 7 7 2 2 3" xfId="28417" xr:uid="{00000000-0005-0000-0000-000030980000}"/>
    <cellStyle name="Porcentaje 7 7 2 3" xfId="13631" xr:uid="{00000000-0005-0000-0000-000031980000}"/>
    <cellStyle name="Porcentaje 7 7 2 3 2" xfId="33346" xr:uid="{00000000-0005-0000-0000-000032980000}"/>
    <cellStyle name="Porcentaje 7 7 2 4" xfId="23489" xr:uid="{00000000-0005-0000-0000-000033980000}"/>
    <cellStyle name="Porcentaje 7 7 3" xfId="6235" xr:uid="{00000000-0005-0000-0000-000034980000}"/>
    <cellStyle name="Porcentaje 7 7 3 2" xfId="16095" xr:uid="{00000000-0005-0000-0000-000035980000}"/>
    <cellStyle name="Porcentaje 7 7 3 2 2" xfId="35810" xr:uid="{00000000-0005-0000-0000-000036980000}"/>
    <cellStyle name="Porcentaje 7 7 3 3" xfId="25953" xr:uid="{00000000-0005-0000-0000-000037980000}"/>
    <cellStyle name="Porcentaje 7 7 4" xfId="11167" xr:uid="{00000000-0005-0000-0000-000038980000}"/>
    <cellStyle name="Porcentaje 7 7 4 2" xfId="30882" xr:uid="{00000000-0005-0000-0000-000039980000}"/>
    <cellStyle name="Porcentaje 7 7 5" xfId="21025" xr:uid="{00000000-0005-0000-0000-00003A980000}"/>
    <cellStyle name="Porcentaje 7 8" xfId="2535" xr:uid="{00000000-0005-0000-0000-00003B980000}"/>
    <cellStyle name="Porcentaje 7 8 2" xfId="7467" xr:uid="{00000000-0005-0000-0000-00003C980000}"/>
    <cellStyle name="Porcentaje 7 8 2 2" xfId="17327" xr:uid="{00000000-0005-0000-0000-00003D980000}"/>
    <cellStyle name="Porcentaje 7 8 2 2 2" xfId="37042" xr:uid="{00000000-0005-0000-0000-00003E980000}"/>
    <cellStyle name="Porcentaje 7 8 2 3" xfId="27185" xr:uid="{00000000-0005-0000-0000-00003F980000}"/>
    <cellStyle name="Porcentaje 7 8 3" xfId="12399" xr:uid="{00000000-0005-0000-0000-000040980000}"/>
    <cellStyle name="Porcentaje 7 8 3 2" xfId="32114" xr:uid="{00000000-0005-0000-0000-000041980000}"/>
    <cellStyle name="Porcentaje 7 8 4" xfId="22257" xr:uid="{00000000-0005-0000-0000-000042980000}"/>
    <cellStyle name="Porcentaje 7 9" xfId="5003" xr:uid="{00000000-0005-0000-0000-000043980000}"/>
    <cellStyle name="Porcentaje 7 9 2" xfId="14863" xr:uid="{00000000-0005-0000-0000-000044980000}"/>
    <cellStyle name="Porcentaje 7 9 2 2" xfId="34578" xr:uid="{00000000-0005-0000-0000-000045980000}"/>
    <cellStyle name="Porcentaje 7 9 3" xfId="24721" xr:uid="{00000000-0005-0000-0000-000046980000}"/>
    <cellStyle name="Porcentaje 8" xfId="67" xr:uid="{00000000-0005-0000-0000-000047980000}"/>
    <cellStyle name="Porcentaje 8 2" xfId="99" xr:uid="{00000000-0005-0000-0000-000048980000}"/>
    <cellStyle name="Porcentaje 9" xfId="59" xr:uid="{00000000-0005-0000-0000-000049980000}"/>
    <cellStyle name="Porcentaje 9 10" xfId="19812" xr:uid="{00000000-0005-0000-0000-00004A980000}"/>
    <cellStyle name="Porcentaje 9 2" xfId="143" xr:uid="{00000000-0005-0000-0000-00004B980000}"/>
    <cellStyle name="Porcentaje 9 2 2" xfId="300" xr:uid="{00000000-0005-0000-0000-00004C980000}"/>
    <cellStyle name="Porcentaje 9 2 2 2" xfId="614" xr:uid="{00000000-0005-0000-0000-00004D980000}"/>
    <cellStyle name="Porcentaje 9 2 2 2 2" xfId="1234" xr:uid="{00000000-0005-0000-0000-00004E980000}"/>
    <cellStyle name="Porcentaje 9 2 2 2 2 2" xfId="2469" xr:uid="{00000000-0005-0000-0000-00004F980000}"/>
    <cellStyle name="Porcentaje 9 2 2 2 2 2 2" xfId="4936" xr:uid="{00000000-0005-0000-0000-000050980000}"/>
    <cellStyle name="Porcentaje 9 2 2 2 2 2 2 2" xfId="9868" xr:uid="{00000000-0005-0000-0000-000051980000}"/>
    <cellStyle name="Porcentaje 9 2 2 2 2 2 2 2 2" xfId="19728" xr:uid="{00000000-0005-0000-0000-000052980000}"/>
    <cellStyle name="Porcentaje 9 2 2 2 2 2 2 2 2 2" xfId="39443" xr:uid="{00000000-0005-0000-0000-000053980000}"/>
    <cellStyle name="Porcentaje 9 2 2 2 2 2 2 2 3" xfId="29586" xr:uid="{00000000-0005-0000-0000-000054980000}"/>
    <cellStyle name="Porcentaje 9 2 2 2 2 2 2 3" xfId="14800" xr:uid="{00000000-0005-0000-0000-000055980000}"/>
    <cellStyle name="Porcentaje 9 2 2 2 2 2 2 3 2" xfId="34515" xr:uid="{00000000-0005-0000-0000-000056980000}"/>
    <cellStyle name="Porcentaje 9 2 2 2 2 2 2 4" xfId="24658" xr:uid="{00000000-0005-0000-0000-000057980000}"/>
    <cellStyle name="Porcentaje 9 2 2 2 2 2 3" xfId="7404" xr:uid="{00000000-0005-0000-0000-000058980000}"/>
    <cellStyle name="Porcentaje 9 2 2 2 2 2 3 2" xfId="17264" xr:uid="{00000000-0005-0000-0000-000059980000}"/>
    <cellStyle name="Porcentaje 9 2 2 2 2 2 3 2 2" xfId="36979" xr:uid="{00000000-0005-0000-0000-00005A980000}"/>
    <cellStyle name="Porcentaje 9 2 2 2 2 2 3 3" xfId="27122" xr:uid="{00000000-0005-0000-0000-00005B980000}"/>
    <cellStyle name="Porcentaje 9 2 2 2 2 2 4" xfId="12336" xr:uid="{00000000-0005-0000-0000-00005C980000}"/>
    <cellStyle name="Porcentaje 9 2 2 2 2 2 4 2" xfId="32051" xr:uid="{00000000-0005-0000-0000-00005D980000}"/>
    <cellStyle name="Porcentaje 9 2 2 2 2 2 5" xfId="22194" xr:uid="{00000000-0005-0000-0000-00005E980000}"/>
    <cellStyle name="Porcentaje 9 2 2 2 2 3" xfId="3704" xr:uid="{00000000-0005-0000-0000-00005F980000}"/>
    <cellStyle name="Porcentaje 9 2 2 2 2 3 2" xfId="8636" xr:uid="{00000000-0005-0000-0000-000060980000}"/>
    <cellStyle name="Porcentaje 9 2 2 2 2 3 2 2" xfId="18496" xr:uid="{00000000-0005-0000-0000-000061980000}"/>
    <cellStyle name="Porcentaje 9 2 2 2 2 3 2 2 2" xfId="38211" xr:uid="{00000000-0005-0000-0000-000062980000}"/>
    <cellStyle name="Porcentaje 9 2 2 2 2 3 2 3" xfId="28354" xr:uid="{00000000-0005-0000-0000-000063980000}"/>
    <cellStyle name="Porcentaje 9 2 2 2 2 3 3" xfId="13568" xr:uid="{00000000-0005-0000-0000-000064980000}"/>
    <cellStyle name="Porcentaje 9 2 2 2 2 3 3 2" xfId="33283" xr:uid="{00000000-0005-0000-0000-000065980000}"/>
    <cellStyle name="Porcentaje 9 2 2 2 2 3 4" xfId="23426" xr:uid="{00000000-0005-0000-0000-000066980000}"/>
    <cellStyle name="Porcentaje 9 2 2 2 2 4" xfId="6172" xr:uid="{00000000-0005-0000-0000-000067980000}"/>
    <cellStyle name="Porcentaje 9 2 2 2 2 4 2" xfId="16032" xr:uid="{00000000-0005-0000-0000-000068980000}"/>
    <cellStyle name="Porcentaje 9 2 2 2 2 4 2 2" xfId="35747" xr:uid="{00000000-0005-0000-0000-000069980000}"/>
    <cellStyle name="Porcentaje 9 2 2 2 2 4 3" xfId="25890" xr:uid="{00000000-0005-0000-0000-00006A980000}"/>
    <cellStyle name="Porcentaje 9 2 2 2 2 5" xfId="11104" xr:uid="{00000000-0005-0000-0000-00006B980000}"/>
    <cellStyle name="Porcentaje 9 2 2 2 2 5 2" xfId="30819" xr:uid="{00000000-0005-0000-0000-00006C980000}"/>
    <cellStyle name="Porcentaje 9 2 2 2 2 6" xfId="20962" xr:uid="{00000000-0005-0000-0000-00006D980000}"/>
    <cellStyle name="Porcentaje 9 2 2 2 3" xfId="1853" xr:uid="{00000000-0005-0000-0000-00006E980000}"/>
    <cellStyle name="Porcentaje 9 2 2 2 3 2" xfId="4320" xr:uid="{00000000-0005-0000-0000-00006F980000}"/>
    <cellStyle name="Porcentaje 9 2 2 2 3 2 2" xfId="9252" xr:uid="{00000000-0005-0000-0000-000070980000}"/>
    <cellStyle name="Porcentaje 9 2 2 2 3 2 2 2" xfId="19112" xr:uid="{00000000-0005-0000-0000-000071980000}"/>
    <cellStyle name="Porcentaje 9 2 2 2 3 2 2 2 2" xfId="38827" xr:uid="{00000000-0005-0000-0000-000072980000}"/>
    <cellStyle name="Porcentaje 9 2 2 2 3 2 2 3" xfId="28970" xr:uid="{00000000-0005-0000-0000-000073980000}"/>
    <cellStyle name="Porcentaje 9 2 2 2 3 2 3" xfId="14184" xr:uid="{00000000-0005-0000-0000-000074980000}"/>
    <cellStyle name="Porcentaje 9 2 2 2 3 2 3 2" xfId="33899" xr:uid="{00000000-0005-0000-0000-000075980000}"/>
    <cellStyle name="Porcentaje 9 2 2 2 3 2 4" xfId="24042" xr:uid="{00000000-0005-0000-0000-000076980000}"/>
    <cellStyle name="Porcentaje 9 2 2 2 3 3" xfId="6788" xr:uid="{00000000-0005-0000-0000-000077980000}"/>
    <cellStyle name="Porcentaje 9 2 2 2 3 3 2" xfId="16648" xr:uid="{00000000-0005-0000-0000-000078980000}"/>
    <cellStyle name="Porcentaje 9 2 2 2 3 3 2 2" xfId="36363" xr:uid="{00000000-0005-0000-0000-000079980000}"/>
    <cellStyle name="Porcentaje 9 2 2 2 3 3 3" xfId="26506" xr:uid="{00000000-0005-0000-0000-00007A980000}"/>
    <cellStyle name="Porcentaje 9 2 2 2 3 4" xfId="11720" xr:uid="{00000000-0005-0000-0000-00007B980000}"/>
    <cellStyle name="Porcentaje 9 2 2 2 3 4 2" xfId="31435" xr:uid="{00000000-0005-0000-0000-00007C980000}"/>
    <cellStyle name="Porcentaje 9 2 2 2 3 5" xfId="21578" xr:uid="{00000000-0005-0000-0000-00007D980000}"/>
    <cellStyle name="Porcentaje 9 2 2 2 4" xfId="3088" xr:uid="{00000000-0005-0000-0000-00007E980000}"/>
    <cellStyle name="Porcentaje 9 2 2 2 4 2" xfId="8020" xr:uid="{00000000-0005-0000-0000-00007F980000}"/>
    <cellStyle name="Porcentaje 9 2 2 2 4 2 2" xfId="17880" xr:uid="{00000000-0005-0000-0000-000080980000}"/>
    <cellStyle name="Porcentaje 9 2 2 2 4 2 2 2" xfId="37595" xr:uid="{00000000-0005-0000-0000-000081980000}"/>
    <cellStyle name="Porcentaje 9 2 2 2 4 2 3" xfId="27738" xr:uid="{00000000-0005-0000-0000-000082980000}"/>
    <cellStyle name="Porcentaje 9 2 2 2 4 3" xfId="12952" xr:uid="{00000000-0005-0000-0000-000083980000}"/>
    <cellStyle name="Porcentaje 9 2 2 2 4 3 2" xfId="32667" xr:uid="{00000000-0005-0000-0000-000084980000}"/>
    <cellStyle name="Porcentaje 9 2 2 2 4 4" xfId="22810" xr:uid="{00000000-0005-0000-0000-000085980000}"/>
    <cellStyle name="Porcentaje 9 2 2 2 5" xfId="5556" xr:uid="{00000000-0005-0000-0000-000086980000}"/>
    <cellStyle name="Porcentaje 9 2 2 2 5 2" xfId="15416" xr:uid="{00000000-0005-0000-0000-000087980000}"/>
    <cellStyle name="Porcentaje 9 2 2 2 5 2 2" xfId="35131" xr:uid="{00000000-0005-0000-0000-000088980000}"/>
    <cellStyle name="Porcentaje 9 2 2 2 5 3" xfId="25274" xr:uid="{00000000-0005-0000-0000-000089980000}"/>
    <cellStyle name="Porcentaje 9 2 2 2 6" xfId="10488" xr:uid="{00000000-0005-0000-0000-00008A980000}"/>
    <cellStyle name="Porcentaje 9 2 2 2 6 2" xfId="30203" xr:uid="{00000000-0005-0000-0000-00008B980000}"/>
    <cellStyle name="Porcentaje 9 2 2 2 7" xfId="20346" xr:uid="{00000000-0005-0000-0000-00008C980000}"/>
    <cellStyle name="Porcentaje 9 2 2 3" xfId="927" xr:uid="{00000000-0005-0000-0000-00008D980000}"/>
    <cellStyle name="Porcentaje 9 2 2 3 2" xfId="2163" xr:uid="{00000000-0005-0000-0000-00008E980000}"/>
    <cellStyle name="Porcentaje 9 2 2 3 2 2" xfId="4630" xr:uid="{00000000-0005-0000-0000-00008F980000}"/>
    <cellStyle name="Porcentaje 9 2 2 3 2 2 2" xfId="9562" xr:uid="{00000000-0005-0000-0000-000090980000}"/>
    <cellStyle name="Porcentaje 9 2 2 3 2 2 2 2" xfId="19422" xr:uid="{00000000-0005-0000-0000-000091980000}"/>
    <cellStyle name="Porcentaje 9 2 2 3 2 2 2 2 2" xfId="39137" xr:uid="{00000000-0005-0000-0000-000092980000}"/>
    <cellStyle name="Porcentaje 9 2 2 3 2 2 2 3" xfId="29280" xr:uid="{00000000-0005-0000-0000-000093980000}"/>
    <cellStyle name="Porcentaje 9 2 2 3 2 2 3" xfId="14494" xr:uid="{00000000-0005-0000-0000-000094980000}"/>
    <cellStyle name="Porcentaje 9 2 2 3 2 2 3 2" xfId="34209" xr:uid="{00000000-0005-0000-0000-000095980000}"/>
    <cellStyle name="Porcentaje 9 2 2 3 2 2 4" xfId="24352" xr:uid="{00000000-0005-0000-0000-000096980000}"/>
    <cellStyle name="Porcentaje 9 2 2 3 2 3" xfId="7098" xr:uid="{00000000-0005-0000-0000-000097980000}"/>
    <cellStyle name="Porcentaje 9 2 2 3 2 3 2" xfId="16958" xr:uid="{00000000-0005-0000-0000-000098980000}"/>
    <cellStyle name="Porcentaje 9 2 2 3 2 3 2 2" xfId="36673" xr:uid="{00000000-0005-0000-0000-000099980000}"/>
    <cellStyle name="Porcentaje 9 2 2 3 2 3 3" xfId="26816" xr:uid="{00000000-0005-0000-0000-00009A980000}"/>
    <cellStyle name="Porcentaje 9 2 2 3 2 4" xfId="12030" xr:uid="{00000000-0005-0000-0000-00009B980000}"/>
    <cellStyle name="Porcentaje 9 2 2 3 2 4 2" xfId="31745" xr:uid="{00000000-0005-0000-0000-00009C980000}"/>
    <cellStyle name="Porcentaje 9 2 2 3 2 5" xfId="21888" xr:uid="{00000000-0005-0000-0000-00009D980000}"/>
    <cellStyle name="Porcentaje 9 2 2 3 3" xfId="3398" xr:uid="{00000000-0005-0000-0000-00009E980000}"/>
    <cellStyle name="Porcentaje 9 2 2 3 3 2" xfId="8330" xr:uid="{00000000-0005-0000-0000-00009F980000}"/>
    <cellStyle name="Porcentaje 9 2 2 3 3 2 2" xfId="18190" xr:uid="{00000000-0005-0000-0000-0000A0980000}"/>
    <cellStyle name="Porcentaje 9 2 2 3 3 2 2 2" xfId="37905" xr:uid="{00000000-0005-0000-0000-0000A1980000}"/>
    <cellStyle name="Porcentaje 9 2 2 3 3 2 3" xfId="28048" xr:uid="{00000000-0005-0000-0000-0000A2980000}"/>
    <cellStyle name="Porcentaje 9 2 2 3 3 3" xfId="13262" xr:uid="{00000000-0005-0000-0000-0000A3980000}"/>
    <cellStyle name="Porcentaje 9 2 2 3 3 3 2" xfId="32977" xr:uid="{00000000-0005-0000-0000-0000A4980000}"/>
    <cellStyle name="Porcentaje 9 2 2 3 3 4" xfId="23120" xr:uid="{00000000-0005-0000-0000-0000A5980000}"/>
    <cellStyle name="Porcentaje 9 2 2 3 4" xfId="5866" xr:uid="{00000000-0005-0000-0000-0000A6980000}"/>
    <cellStyle name="Porcentaje 9 2 2 3 4 2" xfId="15726" xr:uid="{00000000-0005-0000-0000-0000A7980000}"/>
    <cellStyle name="Porcentaje 9 2 2 3 4 2 2" xfId="35441" xr:uid="{00000000-0005-0000-0000-0000A8980000}"/>
    <cellStyle name="Porcentaje 9 2 2 3 4 3" xfId="25584" xr:uid="{00000000-0005-0000-0000-0000A9980000}"/>
    <cellStyle name="Porcentaje 9 2 2 3 5" xfId="10798" xr:uid="{00000000-0005-0000-0000-0000AA980000}"/>
    <cellStyle name="Porcentaje 9 2 2 3 5 2" xfId="30513" xr:uid="{00000000-0005-0000-0000-0000AB980000}"/>
    <cellStyle name="Porcentaje 9 2 2 3 6" xfId="20656" xr:uid="{00000000-0005-0000-0000-0000AC980000}"/>
    <cellStyle name="Porcentaje 9 2 2 4" xfId="1547" xr:uid="{00000000-0005-0000-0000-0000AD980000}"/>
    <cellStyle name="Porcentaje 9 2 2 4 2" xfId="4014" xr:uid="{00000000-0005-0000-0000-0000AE980000}"/>
    <cellStyle name="Porcentaje 9 2 2 4 2 2" xfId="8946" xr:uid="{00000000-0005-0000-0000-0000AF980000}"/>
    <cellStyle name="Porcentaje 9 2 2 4 2 2 2" xfId="18806" xr:uid="{00000000-0005-0000-0000-0000B0980000}"/>
    <cellStyle name="Porcentaje 9 2 2 4 2 2 2 2" xfId="38521" xr:uid="{00000000-0005-0000-0000-0000B1980000}"/>
    <cellStyle name="Porcentaje 9 2 2 4 2 2 3" xfId="28664" xr:uid="{00000000-0005-0000-0000-0000B2980000}"/>
    <cellStyle name="Porcentaje 9 2 2 4 2 3" xfId="13878" xr:uid="{00000000-0005-0000-0000-0000B3980000}"/>
    <cellStyle name="Porcentaje 9 2 2 4 2 3 2" xfId="33593" xr:uid="{00000000-0005-0000-0000-0000B4980000}"/>
    <cellStyle name="Porcentaje 9 2 2 4 2 4" xfId="23736" xr:uid="{00000000-0005-0000-0000-0000B5980000}"/>
    <cellStyle name="Porcentaje 9 2 2 4 3" xfId="6482" xr:uid="{00000000-0005-0000-0000-0000B6980000}"/>
    <cellStyle name="Porcentaje 9 2 2 4 3 2" xfId="16342" xr:uid="{00000000-0005-0000-0000-0000B7980000}"/>
    <cellStyle name="Porcentaje 9 2 2 4 3 2 2" xfId="36057" xr:uid="{00000000-0005-0000-0000-0000B8980000}"/>
    <cellStyle name="Porcentaje 9 2 2 4 3 3" xfId="26200" xr:uid="{00000000-0005-0000-0000-0000B9980000}"/>
    <cellStyle name="Porcentaje 9 2 2 4 4" xfId="11414" xr:uid="{00000000-0005-0000-0000-0000BA980000}"/>
    <cellStyle name="Porcentaje 9 2 2 4 4 2" xfId="31129" xr:uid="{00000000-0005-0000-0000-0000BB980000}"/>
    <cellStyle name="Porcentaje 9 2 2 4 5" xfId="21272" xr:uid="{00000000-0005-0000-0000-0000BC980000}"/>
    <cellStyle name="Porcentaje 9 2 2 5" xfId="2782" xr:uid="{00000000-0005-0000-0000-0000BD980000}"/>
    <cellStyle name="Porcentaje 9 2 2 5 2" xfId="7714" xr:uid="{00000000-0005-0000-0000-0000BE980000}"/>
    <cellStyle name="Porcentaje 9 2 2 5 2 2" xfId="17574" xr:uid="{00000000-0005-0000-0000-0000BF980000}"/>
    <cellStyle name="Porcentaje 9 2 2 5 2 2 2" xfId="37289" xr:uid="{00000000-0005-0000-0000-0000C0980000}"/>
    <cellStyle name="Porcentaje 9 2 2 5 2 3" xfId="27432" xr:uid="{00000000-0005-0000-0000-0000C1980000}"/>
    <cellStyle name="Porcentaje 9 2 2 5 3" xfId="12646" xr:uid="{00000000-0005-0000-0000-0000C2980000}"/>
    <cellStyle name="Porcentaje 9 2 2 5 3 2" xfId="32361" xr:uid="{00000000-0005-0000-0000-0000C3980000}"/>
    <cellStyle name="Porcentaje 9 2 2 5 4" xfId="22504" xr:uid="{00000000-0005-0000-0000-0000C4980000}"/>
    <cellStyle name="Porcentaje 9 2 2 6" xfId="5250" xr:uid="{00000000-0005-0000-0000-0000C5980000}"/>
    <cellStyle name="Porcentaje 9 2 2 6 2" xfId="15110" xr:uid="{00000000-0005-0000-0000-0000C6980000}"/>
    <cellStyle name="Porcentaje 9 2 2 6 2 2" xfId="34825" xr:uid="{00000000-0005-0000-0000-0000C7980000}"/>
    <cellStyle name="Porcentaje 9 2 2 6 3" xfId="24968" xr:uid="{00000000-0005-0000-0000-0000C8980000}"/>
    <cellStyle name="Porcentaje 9 2 2 7" xfId="10182" xr:uid="{00000000-0005-0000-0000-0000C9980000}"/>
    <cellStyle name="Porcentaje 9 2 2 7 2" xfId="29897" xr:uid="{00000000-0005-0000-0000-0000CA980000}"/>
    <cellStyle name="Porcentaje 9 2 2 8" xfId="20040" xr:uid="{00000000-0005-0000-0000-0000CB980000}"/>
    <cellStyle name="Porcentaje 9 2 3" xfId="462" xr:uid="{00000000-0005-0000-0000-0000CC980000}"/>
    <cellStyle name="Porcentaje 9 2 3 2" xfId="1082" xr:uid="{00000000-0005-0000-0000-0000CD980000}"/>
    <cellStyle name="Porcentaje 9 2 3 2 2" xfId="2317" xr:uid="{00000000-0005-0000-0000-0000CE980000}"/>
    <cellStyle name="Porcentaje 9 2 3 2 2 2" xfId="4784" xr:uid="{00000000-0005-0000-0000-0000CF980000}"/>
    <cellStyle name="Porcentaje 9 2 3 2 2 2 2" xfId="9716" xr:uid="{00000000-0005-0000-0000-0000D0980000}"/>
    <cellStyle name="Porcentaje 9 2 3 2 2 2 2 2" xfId="19576" xr:uid="{00000000-0005-0000-0000-0000D1980000}"/>
    <cellStyle name="Porcentaje 9 2 3 2 2 2 2 2 2" xfId="39291" xr:uid="{00000000-0005-0000-0000-0000D2980000}"/>
    <cellStyle name="Porcentaje 9 2 3 2 2 2 2 3" xfId="29434" xr:uid="{00000000-0005-0000-0000-0000D3980000}"/>
    <cellStyle name="Porcentaje 9 2 3 2 2 2 3" xfId="14648" xr:uid="{00000000-0005-0000-0000-0000D4980000}"/>
    <cellStyle name="Porcentaje 9 2 3 2 2 2 3 2" xfId="34363" xr:uid="{00000000-0005-0000-0000-0000D5980000}"/>
    <cellStyle name="Porcentaje 9 2 3 2 2 2 4" xfId="24506" xr:uid="{00000000-0005-0000-0000-0000D6980000}"/>
    <cellStyle name="Porcentaje 9 2 3 2 2 3" xfId="7252" xr:uid="{00000000-0005-0000-0000-0000D7980000}"/>
    <cellStyle name="Porcentaje 9 2 3 2 2 3 2" xfId="17112" xr:uid="{00000000-0005-0000-0000-0000D8980000}"/>
    <cellStyle name="Porcentaje 9 2 3 2 2 3 2 2" xfId="36827" xr:uid="{00000000-0005-0000-0000-0000D9980000}"/>
    <cellStyle name="Porcentaje 9 2 3 2 2 3 3" xfId="26970" xr:uid="{00000000-0005-0000-0000-0000DA980000}"/>
    <cellStyle name="Porcentaje 9 2 3 2 2 4" xfId="12184" xr:uid="{00000000-0005-0000-0000-0000DB980000}"/>
    <cellStyle name="Porcentaje 9 2 3 2 2 4 2" xfId="31899" xr:uid="{00000000-0005-0000-0000-0000DC980000}"/>
    <cellStyle name="Porcentaje 9 2 3 2 2 5" xfId="22042" xr:uid="{00000000-0005-0000-0000-0000DD980000}"/>
    <cellStyle name="Porcentaje 9 2 3 2 3" xfId="3552" xr:uid="{00000000-0005-0000-0000-0000DE980000}"/>
    <cellStyle name="Porcentaje 9 2 3 2 3 2" xfId="8484" xr:uid="{00000000-0005-0000-0000-0000DF980000}"/>
    <cellStyle name="Porcentaje 9 2 3 2 3 2 2" xfId="18344" xr:uid="{00000000-0005-0000-0000-0000E0980000}"/>
    <cellStyle name="Porcentaje 9 2 3 2 3 2 2 2" xfId="38059" xr:uid="{00000000-0005-0000-0000-0000E1980000}"/>
    <cellStyle name="Porcentaje 9 2 3 2 3 2 3" xfId="28202" xr:uid="{00000000-0005-0000-0000-0000E2980000}"/>
    <cellStyle name="Porcentaje 9 2 3 2 3 3" xfId="13416" xr:uid="{00000000-0005-0000-0000-0000E3980000}"/>
    <cellStyle name="Porcentaje 9 2 3 2 3 3 2" xfId="33131" xr:uid="{00000000-0005-0000-0000-0000E4980000}"/>
    <cellStyle name="Porcentaje 9 2 3 2 3 4" xfId="23274" xr:uid="{00000000-0005-0000-0000-0000E5980000}"/>
    <cellStyle name="Porcentaje 9 2 3 2 4" xfId="6020" xr:uid="{00000000-0005-0000-0000-0000E6980000}"/>
    <cellStyle name="Porcentaje 9 2 3 2 4 2" xfId="15880" xr:uid="{00000000-0005-0000-0000-0000E7980000}"/>
    <cellStyle name="Porcentaje 9 2 3 2 4 2 2" xfId="35595" xr:uid="{00000000-0005-0000-0000-0000E8980000}"/>
    <cellStyle name="Porcentaje 9 2 3 2 4 3" xfId="25738" xr:uid="{00000000-0005-0000-0000-0000E9980000}"/>
    <cellStyle name="Porcentaje 9 2 3 2 5" xfId="10952" xr:uid="{00000000-0005-0000-0000-0000EA980000}"/>
    <cellStyle name="Porcentaje 9 2 3 2 5 2" xfId="30667" xr:uid="{00000000-0005-0000-0000-0000EB980000}"/>
    <cellStyle name="Porcentaje 9 2 3 2 6" xfId="20810" xr:uid="{00000000-0005-0000-0000-0000EC980000}"/>
    <cellStyle name="Porcentaje 9 2 3 3" xfId="1701" xr:uid="{00000000-0005-0000-0000-0000ED980000}"/>
    <cellStyle name="Porcentaje 9 2 3 3 2" xfId="4168" xr:uid="{00000000-0005-0000-0000-0000EE980000}"/>
    <cellStyle name="Porcentaje 9 2 3 3 2 2" xfId="9100" xr:uid="{00000000-0005-0000-0000-0000EF980000}"/>
    <cellStyle name="Porcentaje 9 2 3 3 2 2 2" xfId="18960" xr:uid="{00000000-0005-0000-0000-0000F0980000}"/>
    <cellStyle name="Porcentaje 9 2 3 3 2 2 2 2" xfId="38675" xr:uid="{00000000-0005-0000-0000-0000F1980000}"/>
    <cellStyle name="Porcentaje 9 2 3 3 2 2 3" xfId="28818" xr:uid="{00000000-0005-0000-0000-0000F2980000}"/>
    <cellStyle name="Porcentaje 9 2 3 3 2 3" xfId="14032" xr:uid="{00000000-0005-0000-0000-0000F3980000}"/>
    <cellStyle name="Porcentaje 9 2 3 3 2 3 2" xfId="33747" xr:uid="{00000000-0005-0000-0000-0000F4980000}"/>
    <cellStyle name="Porcentaje 9 2 3 3 2 4" xfId="23890" xr:uid="{00000000-0005-0000-0000-0000F5980000}"/>
    <cellStyle name="Porcentaje 9 2 3 3 3" xfId="6636" xr:uid="{00000000-0005-0000-0000-0000F6980000}"/>
    <cellStyle name="Porcentaje 9 2 3 3 3 2" xfId="16496" xr:uid="{00000000-0005-0000-0000-0000F7980000}"/>
    <cellStyle name="Porcentaje 9 2 3 3 3 2 2" xfId="36211" xr:uid="{00000000-0005-0000-0000-0000F8980000}"/>
    <cellStyle name="Porcentaje 9 2 3 3 3 3" xfId="26354" xr:uid="{00000000-0005-0000-0000-0000F9980000}"/>
    <cellStyle name="Porcentaje 9 2 3 3 4" xfId="11568" xr:uid="{00000000-0005-0000-0000-0000FA980000}"/>
    <cellStyle name="Porcentaje 9 2 3 3 4 2" xfId="31283" xr:uid="{00000000-0005-0000-0000-0000FB980000}"/>
    <cellStyle name="Porcentaje 9 2 3 3 5" xfId="21426" xr:uid="{00000000-0005-0000-0000-0000FC980000}"/>
    <cellStyle name="Porcentaje 9 2 3 4" xfId="2936" xr:uid="{00000000-0005-0000-0000-0000FD980000}"/>
    <cellStyle name="Porcentaje 9 2 3 4 2" xfId="7868" xr:uid="{00000000-0005-0000-0000-0000FE980000}"/>
    <cellStyle name="Porcentaje 9 2 3 4 2 2" xfId="17728" xr:uid="{00000000-0005-0000-0000-0000FF980000}"/>
    <cellStyle name="Porcentaje 9 2 3 4 2 2 2" xfId="37443" xr:uid="{00000000-0005-0000-0000-000000990000}"/>
    <cellStyle name="Porcentaje 9 2 3 4 2 3" xfId="27586" xr:uid="{00000000-0005-0000-0000-000001990000}"/>
    <cellStyle name="Porcentaje 9 2 3 4 3" xfId="12800" xr:uid="{00000000-0005-0000-0000-000002990000}"/>
    <cellStyle name="Porcentaje 9 2 3 4 3 2" xfId="32515" xr:uid="{00000000-0005-0000-0000-000003990000}"/>
    <cellStyle name="Porcentaje 9 2 3 4 4" xfId="22658" xr:uid="{00000000-0005-0000-0000-000004990000}"/>
    <cellStyle name="Porcentaje 9 2 3 5" xfId="5404" xr:uid="{00000000-0005-0000-0000-000005990000}"/>
    <cellStyle name="Porcentaje 9 2 3 5 2" xfId="15264" xr:uid="{00000000-0005-0000-0000-000006990000}"/>
    <cellStyle name="Porcentaje 9 2 3 5 2 2" xfId="34979" xr:uid="{00000000-0005-0000-0000-000007990000}"/>
    <cellStyle name="Porcentaje 9 2 3 5 3" xfId="25122" xr:uid="{00000000-0005-0000-0000-000008990000}"/>
    <cellStyle name="Porcentaje 9 2 3 6" xfId="10336" xr:uid="{00000000-0005-0000-0000-000009990000}"/>
    <cellStyle name="Porcentaje 9 2 3 6 2" xfId="30051" xr:uid="{00000000-0005-0000-0000-00000A990000}"/>
    <cellStyle name="Porcentaje 9 2 3 7" xfId="20194" xr:uid="{00000000-0005-0000-0000-00000B990000}"/>
    <cellStyle name="Porcentaje 9 2 4" xfId="775" xr:uid="{00000000-0005-0000-0000-00000C990000}"/>
    <cellStyle name="Porcentaje 9 2 4 2" xfId="2011" xr:uid="{00000000-0005-0000-0000-00000D990000}"/>
    <cellStyle name="Porcentaje 9 2 4 2 2" xfId="4478" xr:uid="{00000000-0005-0000-0000-00000E990000}"/>
    <cellStyle name="Porcentaje 9 2 4 2 2 2" xfId="9410" xr:uid="{00000000-0005-0000-0000-00000F990000}"/>
    <cellStyle name="Porcentaje 9 2 4 2 2 2 2" xfId="19270" xr:uid="{00000000-0005-0000-0000-000010990000}"/>
    <cellStyle name="Porcentaje 9 2 4 2 2 2 2 2" xfId="38985" xr:uid="{00000000-0005-0000-0000-000011990000}"/>
    <cellStyle name="Porcentaje 9 2 4 2 2 2 3" xfId="29128" xr:uid="{00000000-0005-0000-0000-000012990000}"/>
    <cellStyle name="Porcentaje 9 2 4 2 2 3" xfId="14342" xr:uid="{00000000-0005-0000-0000-000013990000}"/>
    <cellStyle name="Porcentaje 9 2 4 2 2 3 2" xfId="34057" xr:uid="{00000000-0005-0000-0000-000014990000}"/>
    <cellStyle name="Porcentaje 9 2 4 2 2 4" xfId="24200" xr:uid="{00000000-0005-0000-0000-000015990000}"/>
    <cellStyle name="Porcentaje 9 2 4 2 3" xfId="6946" xr:uid="{00000000-0005-0000-0000-000016990000}"/>
    <cellStyle name="Porcentaje 9 2 4 2 3 2" xfId="16806" xr:uid="{00000000-0005-0000-0000-000017990000}"/>
    <cellStyle name="Porcentaje 9 2 4 2 3 2 2" xfId="36521" xr:uid="{00000000-0005-0000-0000-000018990000}"/>
    <cellStyle name="Porcentaje 9 2 4 2 3 3" xfId="26664" xr:uid="{00000000-0005-0000-0000-000019990000}"/>
    <cellStyle name="Porcentaje 9 2 4 2 4" xfId="11878" xr:uid="{00000000-0005-0000-0000-00001A990000}"/>
    <cellStyle name="Porcentaje 9 2 4 2 4 2" xfId="31593" xr:uid="{00000000-0005-0000-0000-00001B990000}"/>
    <cellStyle name="Porcentaje 9 2 4 2 5" xfId="21736" xr:uid="{00000000-0005-0000-0000-00001C990000}"/>
    <cellStyle name="Porcentaje 9 2 4 3" xfId="3246" xr:uid="{00000000-0005-0000-0000-00001D990000}"/>
    <cellStyle name="Porcentaje 9 2 4 3 2" xfId="8178" xr:uid="{00000000-0005-0000-0000-00001E990000}"/>
    <cellStyle name="Porcentaje 9 2 4 3 2 2" xfId="18038" xr:uid="{00000000-0005-0000-0000-00001F990000}"/>
    <cellStyle name="Porcentaje 9 2 4 3 2 2 2" xfId="37753" xr:uid="{00000000-0005-0000-0000-000020990000}"/>
    <cellStyle name="Porcentaje 9 2 4 3 2 3" xfId="27896" xr:uid="{00000000-0005-0000-0000-000021990000}"/>
    <cellStyle name="Porcentaje 9 2 4 3 3" xfId="13110" xr:uid="{00000000-0005-0000-0000-000022990000}"/>
    <cellStyle name="Porcentaje 9 2 4 3 3 2" xfId="32825" xr:uid="{00000000-0005-0000-0000-000023990000}"/>
    <cellStyle name="Porcentaje 9 2 4 3 4" xfId="22968" xr:uid="{00000000-0005-0000-0000-000024990000}"/>
    <cellStyle name="Porcentaje 9 2 4 4" xfId="5714" xr:uid="{00000000-0005-0000-0000-000025990000}"/>
    <cellStyle name="Porcentaje 9 2 4 4 2" xfId="15574" xr:uid="{00000000-0005-0000-0000-000026990000}"/>
    <cellStyle name="Porcentaje 9 2 4 4 2 2" xfId="35289" xr:uid="{00000000-0005-0000-0000-000027990000}"/>
    <cellStyle name="Porcentaje 9 2 4 4 3" xfId="25432" xr:uid="{00000000-0005-0000-0000-000028990000}"/>
    <cellStyle name="Porcentaje 9 2 4 5" xfId="10646" xr:uid="{00000000-0005-0000-0000-000029990000}"/>
    <cellStyle name="Porcentaje 9 2 4 5 2" xfId="30361" xr:uid="{00000000-0005-0000-0000-00002A990000}"/>
    <cellStyle name="Porcentaje 9 2 4 6" xfId="20504" xr:uid="{00000000-0005-0000-0000-00002B990000}"/>
    <cellStyle name="Porcentaje 9 2 5" xfId="1395" xr:uid="{00000000-0005-0000-0000-00002C990000}"/>
    <cellStyle name="Porcentaje 9 2 5 2" xfId="3862" xr:uid="{00000000-0005-0000-0000-00002D990000}"/>
    <cellStyle name="Porcentaje 9 2 5 2 2" xfId="8794" xr:uid="{00000000-0005-0000-0000-00002E990000}"/>
    <cellStyle name="Porcentaje 9 2 5 2 2 2" xfId="18654" xr:uid="{00000000-0005-0000-0000-00002F990000}"/>
    <cellStyle name="Porcentaje 9 2 5 2 2 2 2" xfId="38369" xr:uid="{00000000-0005-0000-0000-000030990000}"/>
    <cellStyle name="Porcentaje 9 2 5 2 2 3" xfId="28512" xr:uid="{00000000-0005-0000-0000-000031990000}"/>
    <cellStyle name="Porcentaje 9 2 5 2 3" xfId="13726" xr:uid="{00000000-0005-0000-0000-000032990000}"/>
    <cellStyle name="Porcentaje 9 2 5 2 3 2" xfId="33441" xr:uid="{00000000-0005-0000-0000-000033990000}"/>
    <cellStyle name="Porcentaje 9 2 5 2 4" xfId="23584" xr:uid="{00000000-0005-0000-0000-000034990000}"/>
    <cellStyle name="Porcentaje 9 2 5 3" xfId="6330" xr:uid="{00000000-0005-0000-0000-000035990000}"/>
    <cellStyle name="Porcentaje 9 2 5 3 2" xfId="16190" xr:uid="{00000000-0005-0000-0000-000036990000}"/>
    <cellStyle name="Porcentaje 9 2 5 3 2 2" xfId="35905" xr:uid="{00000000-0005-0000-0000-000037990000}"/>
    <cellStyle name="Porcentaje 9 2 5 3 3" xfId="26048" xr:uid="{00000000-0005-0000-0000-000038990000}"/>
    <cellStyle name="Porcentaje 9 2 5 4" xfId="11262" xr:uid="{00000000-0005-0000-0000-000039990000}"/>
    <cellStyle name="Porcentaje 9 2 5 4 2" xfId="30977" xr:uid="{00000000-0005-0000-0000-00003A990000}"/>
    <cellStyle name="Porcentaje 9 2 5 5" xfId="21120" xr:uid="{00000000-0005-0000-0000-00003B990000}"/>
    <cellStyle name="Porcentaje 9 2 6" xfId="2630" xr:uid="{00000000-0005-0000-0000-00003C990000}"/>
    <cellStyle name="Porcentaje 9 2 6 2" xfId="7562" xr:uid="{00000000-0005-0000-0000-00003D990000}"/>
    <cellStyle name="Porcentaje 9 2 6 2 2" xfId="17422" xr:uid="{00000000-0005-0000-0000-00003E990000}"/>
    <cellStyle name="Porcentaje 9 2 6 2 2 2" xfId="37137" xr:uid="{00000000-0005-0000-0000-00003F990000}"/>
    <cellStyle name="Porcentaje 9 2 6 2 3" xfId="27280" xr:uid="{00000000-0005-0000-0000-000040990000}"/>
    <cellStyle name="Porcentaje 9 2 6 3" xfId="12494" xr:uid="{00000000-0005-0000-0000-000041990000}"/>
    <cellStyle name="Porcentaje 9 2 6 3 2" xfId="32209" xr:uid="{00000000-0005-0000-0000-000042990000}"/>
    <cellStyle name="Porcentaje 9 2 6 4" xfId="22352" xr:uid="{00000000-0005-0000-0000-000043990000}"/>
    <cellStyle name="Porcentaje 9 2 7" xfId="5098" xr:uid="{00000000-0005-0000-0000-000044990000}"/>
    <cellStyle name="Porcentaje 9 2 7 2" xfId="14958" xr:uid="{00000000-0005-0000-0000-000045990000}"/>
    <cellStyle name="Porcentaje 9 2 7 2 2" xfId="34673" xr:uid="{00000000-0005-0000-0000-000046990000}"/>
    <cellStyle name="Porcentaje 9 2 7 3" xfId="24816" xr:uid="{00000000-0005-0000-0000-000047990000}"/>
    <cellStyle name="Porcentaje 9 2 8" xfId="10030" xr:uid="{00000000-0005-0000-0000-000048990000}"/>
    <cellStyle name="Porcentaje 9 2 8 2" xfId="29745" xr:uid="{00000000-0005-0000-0000-000049990000}"/>
    <cellStyle name="Porcentaje 9 2 9" xfId="19888" xr:uid="{00000000-0005-0000-0000-00004A990000}"/>
    <cellStyle name="Porcentaje 9 3" xfId="224" xr:uid="{00000000-0005-0000-0000-00004B990000}"/>
    <cellStyle name="Porcentaje 9 3 2" xfId="538" xr:uid="{00000000-0005-0000-0000-00004C990000}"/>
    <cellStyle name="Porcentaje 9 3 2 2" xfId="1158" xr:uid="{00000000-0005-0000-0000-00004D990000}"/>
    <cellStyle name="Porcentaje 9 3 2 2 2" xfId="2393" xr:uid="{00000000-0005-0000-0000-00004E990000}"/>
    <cellStyle name="Porcentaje 9 3 2 2 2 2" xfId="4860" xr:uid="{00000000-0005-0000-0000-00004F990000}"/>
    <cellStyle name="Porcentaje 9 3 2 2 2 2 2" xfId="9792" xr:uid="{00000000-0005-0000-0000-000050990000}"/>
    <cellStyle name="Porcentaje 9 3 2 2 2 2 2 2" xfId="19652" xr:uid="{00000000-0005-0000-0000-000051990000}"/>
    <cellStyle name="Porcentaje 9 3 2 2 2 2 2 2 2" xfId="39367" xr:uid="{00000000-0005-0000-0000-000052990000}"/>
    <cellStyle name="Porcentaje 9 3 2 2 2 2 2 3" xfId="29510" xr:uid="{00000000-0005-0000-0000-000053990000}"/>
    <cellStyle name="Porcentaje 9 3 2 2 2 2 3" xfId="14724" xr:uid="{00000000-0005-0000-0000-000054990000}"/>
    <cellStyle name="Porcentaje 9 3 2 2 2 2 3 2" xfId="34439" xr:uid="{00000000-0005-0000-0000-000055990000}"/>
    <cellStyle name="Porcentaje 9 3 2 2 2 2 4" xfId="24582" xr:uid="{00000000-0005-0000-0000-000056990000}"/>
    <cellStyle name="Porcentaje 9 3 2 2 2 3" xfId="7328" xr:uid="{00000000-0005-0000-0000-000057990000}"/>
    <cellStyle name="Porcentaje 9 3 2 2 2 3 2" xfId="17188" xr:uid="{00000000-0005-0000-0000-000058990000}"/>
    <cellStyle name="Porcentaje 9 3 2 2 2 3 2 2" xfId="36903" xr:uid="{00000000-0005-0000-0000-000059990000}"/>
    <cellStyle name="Porcentaje 9 3 2 2 2 3 3" xfId="27046" xr:uid="{00000000-0005-0000-0000-00005A990000}"/>
    <cellStyle name="Porcentaje 9 3 2 2 2 4" xfId="12260" xr:uid="{00000000-0005-0000-0000-00005B990000}"/>
    <cellStyle name="Porcentaje 9 3 2 2 2 4 2" xfId="31975" xr:uid="{00000000-0005-0000-0000-00005C990000}"/>
    <cellStyle name="Porcentaje 9 3 2 2 2 5" xfId="22118" xr:uid="{00000000-0005-0000-0000-00005D990000}"/>
    <cellStyle name="Porcentaje 9 3 2 2 3" xfId="3628" xr:uid="{00000000-0005-0000-0000-00005E990000}"/>
    <cellStyle name="Porcentaje 9 3 2 2 3 2" xfId="8560" xr:uid="{00000000-0005-0000-0000-00005F990000}"/>
    <cellStyle name="Porcentaje 9 3 2 2 3 2 2" xfId="18420" xr:uid="{00000000-0005-0000-0000-000060990000}"/>
    <cellStyle name="Porcentaje 9 3 2 2 3 2 2 2" xfId="38135" xr:uid="{00000000-0005-0000-0000-000061990000}"/>
    <cellStyle name="Porcentaje 9 3 2 2 3 2 3" xfId="28278" xr:uid="{00000000-0005-0000-0000-000062990000}"/>
    <cellStyle name="Porcentaje 9 3 2 2 3 3" xfId="13492" xr:uid="{00000000-0005-0000-0000-000063990000}"/>
    <cellStyle name="Porcentaje 9 3 2 2 3 3 2" xfId="33207" xr:uid="{00000000-0005-0000-0000-000064990000}"/>
    <cellStyle name="Porcentaje 9 3 2 2 3 4" xfId="23350" xr:uid="{00000000-0005-0000-0000-000065990000}"/>
    <cellStyle name="Porcentaje 9 3 2 2 4" xfId="6096" xr:uid="{00000000-0005-0000-0000-000066990000}"/>
    <cellStyle name="Porcentaje 9 3 2 2 4 2" xfId="15956" xr:uid="{00000000-0005-0000-0000-000067990000}"/>
    <cellStyle name="Porcentaje 9 3 2 2 4 2 2" xfId="35671" xr:uid="{00000000-0005-0000-0000-000068990000}"/>
    <cellStyle name="Porcentaje 9 3 2 2 4 3" xfId="25814" xr:uid="{00000000-0005-0000-0000-000069990000}"/>
    <cellStyle name="Porcentaje 9 3 2 2 5" xfId="11028" xr:uid="{00000000-0005-0000-0000-00006A990000}"/>
    <cellStyle name="Porcentaje 9 3 2 2 5 2" xfId="30743" xr:uid="{00000000-0005-0000-0000-00006B990000}"/>
    <cellStyle name="Porcentaje 9 3 2 2 6" xfId="20886" xr:uid="{00000000-0005-0000-0000-00006C990000}"/>
    <cellStyle name="Porcentaje 9 3 2 3" xfId="1777" xr:uid="{00000000-0005-0000-0000-00006D990000}"/>
    <cellStyle name="Porcentaje 9 3 2 3 2" xfId="4244" xr:uid="{00000000-0005-0000-0000-00006E990000}"/>
    <cellStyle name="Porcentaje 9 3 2 3 2 2" xfId="9176" xr:uid="{00000000-0005-0000-0000-00006F990000}"/>
    <cellStyle name="Porcentaje 9 3 2 3 2 2 2" xfId="19036" xr:uid="{00000000-0005-0000-0000-000070990000}"/>
    <cellStyle name="Porcentaje 9 3 2 3 2 2 2 2" xfId="38751" xr:uid="{00000000-0005-0000-0000-000071990000}"/>
    <cellStyle name="Porcentaje 9 3 2 3 2 2 3" xfId="28894" xr:uid="{00000000-0005-0000-0000-000072990000}"/>
    <cellStyle name="Porcentaje 9 3 2 3 2 3" xfId="14108" xr:uid="{00000000-0005-0000-0000-000073990000}"/>
    <cellStyle name="Porcentaje 9 3 2 3 2 3 2" xfId="33823" xr:uid="{00000000-0005-0000-0000-000074990000}"/>
    <cellStyle name="Porcentaje 9 3 2 3 2 4" xfId="23966" xr:uid="{00000000-0005-0000-0000-000075990000}"/>
    <cellStyle name="Porcentaje 9 3 2 3 3" xfId="6712" xr:uid="{00000000-0005-0000-0000-000076990000}"/>
    <cellStyle name="Porcentaje 9 3 2 3 3 2" xfId="16572" xr:uid="{00000000-0005-0000-0000-000077990000}"/>
    <cellStyle name="Porcentaje 9 3 2 3 3 2 2" xfId="36287" xr:uid="{00000000-0005-0000-0000-000078990000}"/>
    <cellStyle name="Porcentaje 9 3 2 3 3 3" xfId="26430" xr:uid="{00000000-0005-0000-0000-000079990000}"/>
    <cellStyle name="Porcentaje 9 3 2 3 4" xfId="11644" xr:uid="{00000000-0005-0000-0000-00007A990000}"/>
    <cellStyle name="Porcentaje 9 3 2 3 4 2" xfId="31359" xr:uid="{00000000-0005-0000-0000-00007B990000}"/>
    <cellStyle name="Porcentaje 9 3 2 3 5" xfId="21502" xr:uid="{00000000-0005-0000-0000-00007C990000}"/>
    <cellStyle name="Porcentaje 9 3 2 4" xfId="3012" xr:uid="{00000000-0005-0000-0000-00007D990000}"/>
    <cellStyle name="Porcentaje 9 3 2 4 2" xfId="7944" xr:uid="{00000000-0005-0000-0000-00007E990000}"/>
    <cellStyle name="Porcentaje 9 3 2 4 2 2" xfId="17804" xr:uid="{00000000-0005-0000-0000-00007F990000}"/>
    <cellStyle name="Porcentaje 9 3 2 4 2 2 2" xfId="37519" xr:uid="{00000000-0005-0000-0000-000080990000}"/>
    <cellStyle name="Porcentaje 9 3 2 4 2 3" xfId="27662" xr:uid="{00000000-0005-0000-0000-000081990000}"/>
    <cellStyle name="Porcentaje 9 3 2 4 3" xfId="12876" xr:uid="{00000000-0005-0000-0000-000082990000}"/>
    <cellStyle name="Porcentaje 9 3 2 4 3 2" xfId="32591" xr:uid="{00000000-0005-0000-0000-000083990000}"/>
    <cellStyle name="Porcentaje 9 3 2 4 4" xfId="22734" xr:uid="{00000000-0005-0000-0000-000084990000}"/>
    <cellStyle name="Porcentaje 9 3 2 5" xfId="5480" xr:uid="{00000000-0005-0000-0000-000085990000}"/>
    <cellStyle name="Porcentaje 9 3 2 5 2" xfId="15340" xr:uid="{00000000-0005-0000-0000-000086990000}"/>
    <cellStyle name="Porcentaje 9 3 2 5 2 2" xfId="35055" xr:uid="{00000000-0005-0000-0000-000087990000}"/>
    <cellStyle name="Porcentaje 9 3 2 5 3" xfId="25198" xr:uid="{00000000-0005-0000-0000-000088990000}"/>
    <cellStyle name="Porcentaje 9 3 2 6" xfId="10412" xr:uid="{00000000-0005-0000-0000-000089990000}"/>
    <cellStyle name="Porcentaje 9 3 2 6 2" xfId="30127" xr:uid="{00000000-0005-0000-0000-00008A990000}"/>
    <cellStyle name="Porcentaje 9 3 2 7" xfId="20270" xr:uid="{00000000-0005-0000-0000-00008B990000}"/>
    <cellStyle name="Porcentaje 9 3 3" xfId="851" xr:uid="{00000000-0005-0000-0000-00008C990000}"/>
    <cellStyle name="Porcentaje 9 3 3 2" xfId="2087" xr:uid="{00000000-0005-0000-0000-00008D990000}"/>
    <cellStyle name="Porcentaje 9 3 3 2 2" xfId="4554" xr:uid="{00000000-0005-0000-0000-00008E990000}"/>
    <cellStyle name="Porcentaje 9 3 3 2 2 2" xfId="9486" xr:uid="{00000000-0005-0000-0000-00008F990000}"/>
    <cellStyle name="Porcentaje 9 3 3 2 2 2 2" xfId="19346" xr:uid="{00000000-0005-0000-0000-000090990000}"/>
    <cellStyle name="Porcentaje 9 3 3 2 2 2 2 2" xfId="39061" xr:uid="{00000000-0005-0000-0000-000091990000}"/>
    <cellStyle name="Porcentaje 9 3 3 2 2 2 3" xfId="29204" xr:uid="{00000000-0005-0000-0000-000092990000}"/>
    <cellStyle name="Porcentaje 9 3 3 2 2 3" xfId="14418" xr:uid="{00000000-0005-0000-0000-000093990000}"/>
    <cellStyle name="Porcentaje 9 3 3 2 2 3 2" xfId="34133" xr:uid="{00000000-0005-0000-0000-000094990000}"/>
    <cellStyle name="Porcentaje 9 3 3 2 2 4" xfId="24276" xr:uid="{00000000-0005-0000-0000-000095990000}"/>
    <cellStyle name="Porcentaje 9 3 3 2 3" xfId="7022" xr:uid="{00000000-0005-0000-0000-000096990000}"/>
    <cellStyle name="Porcentaje 9 3 3 2 3 2" xfId="16882" xr:uid="{00000000-0005-0000-0000-000097990000}"/>
    <cellStyle name="Porcentaje 9 3 3 2 3 2 2" xfId="36597" xr:uid="{00000000-0005-0000-0000-000098990000}"/>
    <cellStyle name="Porcentaje 9 3 3 2 3 3" xfId="26740" xr:uid="{00000000-0005-0000-0000-000099990000}"/>
    <cellStyle name="Porcentaje 9 3 3 2 4" xfId="11954" xr:uid="{00000000-0005-0000-0000-00009A990000}"/>
    <cellStyle name="Porcentaje 9 3 3 2 4 2" xfId="31669" xr:uid="{00000000-0005-0000-0000-00009B990000}"/>
    <cellStyle name="Porcentaje 9 3 3 2 5" xfId="21812" xr:uid="{00000000-0005-0000-0000-00009C990000}"/>
    <cellStyle name="Porcentaje 9 3 3 3" xfId="3322" xr:uid="{00000000-0005-0000-0000-00009D990000}"/>
    <cellStyle name="Porcentaje 9 3 3 3 2" xfId="8254" xr:uid="{00000000-0005-0000-0000-00009E990000}"/>
    <cellStyle name="Porcentaje 9 3 3 3 2 2" xfId="18114" xr:uid="{00000000-0005-0000-0000-00009F990000}"/>
    <cellStyle name="Porcentaje 9 3 3 3 2 2 2" xfId="37829" xr:uid="{00000000-0005-0000-0000-0000A0990000}"/>
    <cellStyle name="Porcentaje 9 3 3 3 2 3" xfId="27972" xr:uid="{00000000-0005-0000-0000-0000A1990000}"/>
    <cellStyle name="Porcentaje 9 3 3 3 3" xfId="13186" xr:uid="{00000000-0005-0000-0000-0000A2990000}"/>
    <cellStyle name="Porcentaje 9 3 3 3 3 2" xfId="32901" xr:uid="{00000000-0005-0000-0000-0000A3990000}"/>
    <cellStyle name="Porcentaje 9 3 3 3 4" xfId="23044" xr:uid="{00000000-0005-0000-0000-0000A4990000}"/>
    <cellStyle name="Porcentaje 9 3 3 4" xfId="5790" xr:uid="{00000000-0005-0000-0000-0000A5990000}"/>
    <cellStyle name="Porcentaje 9 3 3 4 2" xfId="15650" xr:uid="{00000000-0005-0000-0000-0000A6990000}"/>
    <cellStyle name="Porcentaje 9 3 3 4 2 2" xfId="35365" xr:uid="{00000000-0005-0000-0000-0000A7990000}"/>
    <cellStyle name="Porcentaje 9 3 3 4 3" xfId="25508" xr:uid="{00000000-0005-0000-0000-0000A8990000}"/>
    <cellStyle name="Porcentaje 9 3 3 5" xfId="10722" xr:uid="{00000000-0005-0000-0000-0000A9990000}"/>
    <cellStyle name="Porcentaje 9 3 3 5 2" xfId="30437" xr:uid="{00000000-0005-0000-0000-0000AA990000}"/>
    <cellStyle name="Porcentaje 9 3 3 6" xfId="20580" xr:uid="{00000000-0005-0000-0000-0000AB990000}"/>
    <cellStyle name="Porcentaje 9 3 4" xfId="1471" xr:uid="{00000000-0005-0000-0000-0000AC990000}"/>
    <cellStyle name="Porcentaje 9 3 4 2" xfId="3938" xr:uid="{00000000-0005-0000-0000-0000AD990000}"/>
    <cellStyle name="Porcentaje 9 3 4 2 2" xfId="8870" xr:uid="{00000000-0005-0000-0000-0000AE990000}"/>
    <cellStyle name="Porcentaje 9 3 4 2 2 2" xfId="18730" xr:uid="{00000000-0005-0000-0000-0000AF990000}"/>
    <cellStyle name="Porcentaje 9 3 4 2 2 2 2" xfId="38445" xr:uid="{00000000-0005-0000-0000-0000B0990000}"/>
    <cellStyle name="Porcentaje 9 3 4 2 2 3" xfId="28588" xr:uid="{00000000-0005-0000-0000-0000B1990000}"/>
    <cellStyle name="Porcentaje 9 3 4 2 3" xfId="13802" xr:uid="{00000000-0005-0000-0000-0000B2990000}"/>
    <cellStyle name="Porcentaje 9 3 4 2 3 2" xfId="33517" xr:uid="{00000000-0005-0000-0000-0000B3990000}"/>
    <cellStyle name="Porcentaje 9 3 4 2 4" xfId="23660" xr:uid="{00000000-0005-0000-0000-0000B4990000}"/>
    <cellStyle name="Porcentaje 9 3 4 3" xfId="6406" xr:uid="{00000000-0005-0000-0000-0000B5990000}"/>
    <cellStyle name="Porcentaje 9 3 4 3 2" xfId="16266" xr:uid="{00000000-0005-0000-0000-0000B6990000}"/>
    <cellStyle name="Porcentaje 9 3 4 3 2 2" xfId="35981" xr:uid="{00000000-0005-0000-0000-0000B7990000}"/>
    <cellStyle name="Porcentaje 9 3 4 3 3" xfId="26124" xr:uid="{00000000-0005-0000-0000-0000B8990000}"/>
    <cellStyle name="Porcentaje 9 3 4 4" xfId="11338" xr:uid="{00000000-0005-0000-0000-0000B9990000}"/>
    <cellStyle name="Porcentaje 9 3 4 4 2" xfId="31053" xr:uid="{00000000-0005-0000-0000-0000BA990000}"/>
    <cellStyle name="Porcentaje 9 3 4 5" xfId="21196" xr:uid="{00000000-0005-0000-0000-0000BB990000}"/>
    <cellStyle name="Porcentaje 9 3 5" xfId="2706" xr:uid="{00000000-0005-0000-0000-0000BC990000}"/>
    <cellStyle name="Porcentaje 9 3 5 2" xfId="7638" xr:uid="{00000000-0005-0000-0000-0000BD990000}"/>
    <cellStyle name="Porcentaje 9 3 5 2 2" xfId="17498" xr:uid="{00000000-0005-0000-0000-0000BE990000}"/>
    <cellStyle name="Porcentaje 9 3 5 2 2 2" xfId="37213" xr:uid="{00000000-0005-0000-0000-0000BF990000}"/>
    <cellStyle name="Porcentaje 9 3 5 2 3" xfId="27356" xr:uid="{00000000-0005-0000-0000-0000C0990000}"/>
    <cellStyle name="Porcentaje 9 3 5 3" xfId="12570" xr:uid="{00000000-0005-0000-0000-0000C1990000}"/>
    <cellStyle name="Porcentaje 9 3 5 3 2" xfId="32285" xr:uid="{00000000-0005-0000-0000-0000C2990000}"/>
    <cellStyle name="Porcentaje 9 3 5 4" xfId="22428" xr:uid="{00000000-0005-0000-0000-0000C3990000}"/>
    <cellStyle name="Porcentaje 9 3 6" xfId="5174" xr:uid="{00000000-0005-0000-0000-0000C4990000}"/>
    <cellStyle name="Porcentaje 9 3 6 2" xfId="15034" xr:uid="{00000000-0005-0000-0000-0000C5990000}"/>
    <cellStyle name="Porcentaje 9 3 6 2 2" xfId="34749" xr:uid="{00000000-0005-0000-0000-0000C6990000}"/>
    <cellStyle name="Porcentaje 9 3 6 3" xfId="24892" xr:uid="{00000000-0005-0000-0000-0000C7990000}"/>
    <cellStyle name="Porcentaje 9 3 7" xfId="10106" xr:uid="{00000000-0005-0000-0000-0000C8990000}"/>
    <cellStyle name="Porcentaje 9 3 7 2" xfId="29821" xr:uid="{00000000-0005-0000-0000-0000C9990000}"/>
    <cellStyle name="Porcentaje 9 3 8" xfId="19964" xr:uid="{00000000-0005-0000-0000-0000CA990000}"/>
    <cellStyle name="Porcentaje 9 4" xfId="386" xr:uid="{00000000-0005-0000-0000-0000CB990000}"/>
    <cellStyle name="Porcentaje 9 4 2" xfId="1006" xr:uid="{00000000-0005-0000-0000-0000CC990000}"/>
    <cellStyle name="Porcentaje 9 4 2 2" xfId="2241" xr:uid="{00000000-0005-0000-0000-0000CD990000}"/>
    <cellStyle name="Porcentaje 9 4 2 2 2" xfId="4708" xr:uid="{00000000-0005-0000-0000-0000CE990000}"/>
    <cellStyle name="Porcentaje 9 4 2 2 2 2" xfId="9640" xr:uid="{00000000-0005-0000-0000-0000CF990000}"/>
    <cellStyle name="Porcentaje 9 4 2 2 2 2 2" xfId="19500" xr:uid="{00000000-0005-0000-0000-0000D0990000}"/>
    <cellStyle name="Porcentaje 9 4 2 2 2 2 2 2" xfId="39215" xr:uid="{00000000-0005-0000-0000-0000D1990000}"/>
    <cellStyle name="Porcentaje 9 4 2 2 2 2 3" xfId="29358" xr:uid="{00000000-0005-0000-0000-0000D2990000}"/>
    <cellStyle name="Porcentaje 9 4 2 2 2 3" xfId="14572" xr:uid="{00000000-0005-0000-0000-0000D3990000}"/>
    <cellStyle name="Porcentaje 9 4 2 2 2 3 2" xfId="34287" xr:uid="{00000000-0005-0000-0000-0000D4990000}"/>
    <cellStyle name="Porcentaje 9 4 2 2 2 4" xfId="24430" xr:uid="{00000000-0005-0000-0000-0000D5990000}"/>
    <cellStyle name="Porcentaje 9 4 2 2 3" xfId="7176" xr:uid="{00000000-0005-0000-0000-0000D6990000}"/>
    <cellStyle name="Porcentaje 9 4 2 2 3 2" xfId="17036" xr:uid="{00000000-0005-0000-0000-0000D7990000}"/>
    <cellStyle name="Porcentaje 9 4 2 2 3 2 2" xfId="36751" xr:uid="{00000000-0005-0000-0000-0000D8990000}"/>
    <cellStyle name="Porcentaje 9 4 2 2 3 3" xfId="26894" xr:uid="{00000000-0005-0000-0000-0000D9990000}"/>
    <cellStyle name="Porcentaje 9 4 2 2 4" xfId="12108" xr:uid="{00000000-0005-0000-0000-0000DA990000}"/>
    <cellStyle name="Porcentaje 9 4 2 2 4 2" xfId="31823" xr:uid="{00000000-0005-0000-0000-0000DB990000}"/>
    <cellStyle name="Porcentaje 9 4 2 2 5" xfId="21966" xr:uid="{00000000-0005-0000-0000-0000DC990000}"/>
    <cellStyle name="Porcentaje 9 4 2 3" xfId="3476" xr:uid="{00000000-0005-0000-0000-0000DD990000}"/>
    <cellStyle name="Porcentaje 9 4 2 3 2" xfId="8408" xr:uid="{00000000-0005-0000-0000-0000DE990000}"/>
    <cellStyle name="Porcentaje 9 4 2 3 2 2" xfId="18268" xr:uid="{00000000-0005-0000-0000-0000DF990000}"/>
    <cellStyle name="Porcentaje 9 4 2 3 2 2 2" xfId="37983" xr:uid="{00000000-0005-0000-0000-0000E0990000}"/>
    <cellStyle name="Porcentaje 9 4 2 3 2 3" xfId="28126" xr:uid="{00000000-0005-0000-0000-0000E1990000}"/>
    <cellStyle name="Porcentaje 9 4 2 3 3" xfId="13340" xr:uid="{00000000-0005-0000-0000-0000E2990000}"/>
    <cellStyle name="Porcentaje 9 4 2 3 3 2" xfId="33055" xr:uid="{00000000-0005-0000-0000-0000E3990000}"/>
    <cellStyle name="Porcentaje 9 4 2 3 4" xfId="23198" xr:uid="{00000000-0005-0000-0000-0000E4990000}"/>
    <cellStyle name="Porcentaje 9 4 2 4" xfId="5944" xr:uid="{00000000-0005-0000-0000-0000E5990000}"/>
    <cellStyle name="Porcentaje 9 4 2 4 2" xfId="15804" xr:uid="{00000000-0005-0000-0000-0000E6990000}"/>
    <cellStyle name="Porcentaje 9 4 2 4 2 2" xfId="35519" xr:uid="{00000000-0005-0000-0000-0000E7990000}"/>
    <cellStyle name="Porcentaje 9 4 2 4 3" xfId="25662" xr:uid="{00000000-0005-0000-0000-0000E8990000}"/>
    <cellStyle name="Porcentaje 9 4 2 5" xfId="10876" xr:uid="{00000000-0005-0000-0000-0000E9990000}"/>
    <cellStyle name="Porcentaje 9 4 2 5 2" xfId="30591" xr:uid="{00000000-0005-0000-0000-0000EA990000}"/>
    <cellStyle name="Porcentaje 9 4 2 6" xfId="20734" xr:uid="{00000000-0005-0000-0000-0000EB990000}"/>
    <cellStyle name="Porcentaje 9 4 3" xfId="1625" xr:uid="{00000000-0005-0000-0000-0000EC990000}"/>
    <cellStyle name="Porcentaje 9 4 3 2" xfId="4092" xr:uid="{00000000-0005-0000-0000-0000ED990000}"/>
    <cellStyle name="Porcentaje 9 4 3 2 2" xfId="9024" xr:uid="{00000000-0005-0000-0000-0000EE990000}"/>
    <cellStyle name="Porcentaje 9 4 3 2 2 2" xfId="18884" xr:uid="{00000000-0005-0000-0000-0000EF990000}"/>
    <cellStyle name="Porcentaje 9 4 3 2 2 2 2" xfId="38599" xr:uid="{00000000-0005-0000-0000-0000F0990000}"/>
    <cellStyle name="Porcentaje 9 4 3 2 2 3" xfId="28742" xr:uid="{00000000-0005-0000-0000-0000F1990000}"/>
    <cellStyle name="Porcentaje 9 4 3 2 3" xfId="13956" xr:uid="{00000000-0005-0000-0000-0000F2990000}"/>
    <cellStyle name="Porcentaje 9 4 3 2 3 2" xfId="33671" xr:uid="{00000000-0005-0000-0000-0000F3990000}"/>
    <cellStyle name="Porcentaje 9 4 3 2 4" xfId="23814" xr:uid="{00000000-0005-0000-0000-0000F4990000}"/>
    <cellStyle name="Porcentaje 9 4 3 3" xfId="6560" xr:uid="{00000000-0005-0000-0000-0000F5990000}"/>
    <cellStyle name="Porcentaje 9 4 3 3 2" xfId="16420" xr:uid="{00000000-0005-0000-0000-0000F6990000}"/>
    <cellStyle name="Porcentaje 9 4 3 3 2 2" xfId="36135" xr:uid="{00000000-0005-0000-0000-0000F7990000}"/>
    <cellStyle name="Porcentaje 9 4 3 3 3" xfId="26278" xr:uid="{00000000-0005-0000-0000-0000F8990000}"/>
    <cellStyle name="Porcentaje 9 4 3 4" xfId="11492" xr:uid="{00000000-0005-0000-0000-0000F9990000}"/>
    <cellStyle name="Porcentaje 9 4 3 4 2" xfId="31207" xr:uid="{00000000-0005-0000-0000-0000FA990000}"/>
    <cellStyle name="Porcentaje 9 4 3 5" xfId="21350" xr:uid="{00000000-0005-0000-0000-0000FB990000}"/>
    <cellStyle name="Porcentaje 9 4 4" xfId="2860" xr:uid="{00000000-0005-0000-0000-0000FC990000}"/>
    <cellStyle name="Porcentaje 9 4 4 2" xfId="7792" xr:uid="{00000000-0005-0000-0000-0000FD990000}"/>
    <cellStyle name="Porcentaje 9 4 4 2 2" xfId="17652" xr:uid="{00000000-0005-0000-0000-0000FE990000}"/>
    <cellStyle name="Porcentaje 9 4 4 2 2 2" xfId="37367" xr:uid="{00000000-0005-0000-0000-0000FF990000}"/>
    <cellStyle name="Porcentaje 9 4 4 2 3" xfId="27510" xr:uid="{00000000-0005-0000-0000-0000009A0000}"/>
    <cellStyle name="Porcentaje 9 4 4 3" xfId="12724" xr:uid="{00000000-0005-0000-0000-0000019A0000}"/>
    <cellStyle name="Porcentaje 9 4 4 3 2" xfId="32439" xr:uid="{00000000-0005-0000-0000-0000029A0000}"/>
    <cellStyle name="Porcentaje 9 4 4 4" xfId="22582" xr:uid="{00000000-0005-0000-0000-0000039A0000}"/>
    <cellStyle name="Porcentaje 9 4 5" xfId="5328" xr:uid="{00000000-0005-0000-0000-0000049A0000}"/>
    <cellStyle name="Porcentaje 9 4 5 2" xfId="15188" xr:uid="{00000000-0005-0000-0000-0000059A0000}"/>
    <cellStyle name="Porcentaje 9 4 5 2 2" xfId="34903" xr:uid="{00000000-0005-0000-0000-0000069A0000}"/>
    <cellStyle name="Porcentaje 9 4 5 3" xfId="25046" xr:uid="{00000000-0005-0000-0000-0000079A0000}"/>
    <cellStyle name="Porcentaje 9 4 6" xfId="10260" xr:uid="{00000000-0005-0000-0000-0000089A0000}"/>
    <cellStyle name="Porcentaje 9 4 6 2" xfId="29975" xr:uid="{00000000-0005-0000-0000-0000099A0000}"/>
    <cellStyle name="Porcentaje 9 4 7" xfId="20118" xr:uid="{00000000-0005-0000-0000-00000A9A0000}"/>
    <cellStyle name="Porcentaje 9 5" xfId="699" xr:uid="{00000000-0005-0000-0000-00000B9A0000}"/>
    <cellStyle name="Porcentaje 9 5 2" xfId="1935" xr:uid="{00000000-0005-0000-0000-00000C9A0000}"/>
    <cellStyle name="Porcentaje 9 5 2 2" xfId="4402" xr:uid="{00000000-0005-0000-0000-00000D9A0000}"/>
    <cellStyle name="Porcentaje 9 5 2 2 2" xfId="9334" xr:uid="{00000000-0005-0000-0000-00000E9A0000}"/>
    <cellStyle name="Porcentaje 9 5 2 2 2 2" xfId="19194" xr:uid="{00000000-0005-0000-0000-00000F9A0000}"/>
    <cellStyle name="Porcentaje 9 5 2 2 2 2 2" xfId="38909" xr:uid="{00000000-0005-0000-0000-0000109A0000}"/>
    <cellStyle name="Porcentaje 9 5 2 2 2 3" xfId="29052" xr:uid="{00000000-0005-0000-0000-0000119A0000}"/>
    <cellStyle name="Porcentaje 9 5 2 2 3" xfId="14266" xr:uid="{00000000-0005-0000-0000-0000129A0000}"/>
    <cellStyle name="Porcentaje 9 5 2 2 3 2" xfId="33981" xr:uid="{00000000-0005-0000-0000-0000139A0000}"/>
    <cellStyle name="Porcentaje 9 5 2 2 4" xfId="24124" xr:uid="{00000000-0005-0000-0000-0000149A0000}"/>
    <cellStyle name="Porcentaje 9 5 2 3" xfId="6870" xr:uid="{00000000-0005-0000-0000-0000159A0000}"/>
    <cellStyle name="Porcentaje 9 5 2 3 2" xfId="16730" xr:uid="{00000000-0005-0000-0000-0000169A0000}"/>
    <cellStyle name="Porcentaje 9 5 2 3 2 2" xfId="36445" xr:uid="{00000000-0005-0000-0000-0000179A0000}"/>
    <cellStyle name="Porcentaje 9 5 2 3 3" xfId="26588" xr:uid="{00000000-0005-0000-0000-0000189A0000}"/>
    <cellStyle name="Porcentaje 9 5 2 4" xfId="11802" xr:uid="{00000000-0005-0000-0000-0000199A0000}"/>
    <cellStyle name="Porcentaje 9 5 2 4 2" xfId="31517" xr:uid="{00000000-0005-0000-0000-00001A9A0000}"/>
    <cellStyle name="Porcentaje 9 5 2 5" xfId="21660" xr:uid="{00000000-0005-0000-0000-00001B9A0000}"/>
    <cellStyle name="Porcentaje 9 5 3" xfId="3170" xr:uid="{00000000-0005-0000-0000-00001C9A0000}"/>
    <cellStyle name="Porcentaje 9 5 3 2" xfId="8102" xr:uid="{00000000-0005-0000-0000-00001D9A0000}"/>
    <cellStyle name="Porcentaje 9 5 3 2 2" xfId="17962" xr:uid="{00000000-0005-0000-0000-00001E9A0000}"/>
    <cellStyle name="Porcentaje 9 5 3 2 2 2" xfId="37677" xr:uid="{00000000-0005-0000-0000-00001F9A0000}"/>
    <cellStyle name="Porcentaje 9 5 3 2 3" xfId="27820" xr:uid="{00000000-0005-0000-0000-0000209A0000}"/>
    <cellStyle name="Porcentaje 9 5 3 3" xfId="13034" xr:uid="{00000000-0005-0000-0000-0000219A0000}"/>
    <cellStyle name="Porcentaje 9 5 3 3 2" xfId="32749" xr:uid="{00000000-0005-0000-0000-0000229A0000}"/>
    <cellStyle name="Porcentaje 9 5 3 4" xfId="22892" xr:uid="{00000000-0005-0000-0000-0000239A0000}"/>
    <cellStyle name="Porcentaje 9 5 4" xfId="5638" xr:uid="{00000000-0005-0000-0000-0000249A0000}"/>
    <cellStyle name="Porcentaje 9 5 4 2" xfId="15498" xr:uid="{00000000-0005-0000-0000-0000259A0000}"/>
    <cellStyle name="Porcentaje 9 5 4 2 2" xfId="35213" xr:uid="{00000000-0005-0000-0000-0000269A0000}"/>
    <cellStyle name="Porcentaje 9 5 4 3" xfId="25356" xr:uid="{00000000-0005-0000-0000-0000279A0000}"/>
    <cellStyle name="Porcentaje 9 5 5" xfId="10570" xr:uid="{00000000-0005-0000-0000-0000289A0000}"/>
    <cellStyle name="Porcentaje 9 5 5 2" xfId="30285" xr:uid="{00000000-0005-0000-0000-0000299A0000}"/>
    <cellStyle name="Porcentaje 9 5 6" xfId="20428" xr:uid="{00000000-0005-0000-0000-00002A9A0000}"/>
    <cellStyle name="Porcentaje 9 6" xfId="1319" xr:uid="{00000000-0005-0000-0000-00002B9A0000}"/>
    <cellStyle name="Porcentaje 9 6 2" xfId="3786" xr:uid="{00000000-0005-0000-0000-00002C9A0000}"/>
    <cellStyle name="Porcentaje 9 6 2 2" xfId="8718" xr:uid="{00000000-0005-0000-0000-00002D9A0000}"/>
    <cellStyle name="Porcentaje 9 6 2 2 2" xfId="18578" xr:uid="{00000000-0005-0000-0000-00002E9A0000}"/>
    <cellStyle name="Porcentaje 9 6 2 2 2 2" xfId="38293" xr:uid="{00000000-0005-0000-0000-00002F9A0000}"/>
    <cellStyle name="Porcentaje 9 6 2 2 3" xfId="28436" xr:uid="{00000000-0005-0000-0000-0000309A0000}"/>
    <cellStyle name="Porcentaje 9 6 2 3" xfId="13650" xr:uid="{00000000-0005-0000-0000-0000319A0000}"/>
    <cellStyle name="Porcentaje 9 6 2 3 2" xfId="33365" xr:uid="{00000000-0005-0000-0000-0000329A0000}"/>
    <cellStyle name="Porcentaje 9 6 2 4" xfId="23508" xr:uid="{00000000-0005-0000-0000-0000339A0000}"/>
    <cellStyle name="Porcentaje 9 6 3" xfId="6254" xr:uid="{00000000-0005-0000-0000-0000349A0000}"/>
    <cellStyle name="Porcentaje 9 6 3 2" xfId="16114" xr:uid="{00000000-0005-0000-0000-0000359A0000}"/>
    <cellStyle name="Porcentaje 9 6 3 2 2" xfId="35829" xr:uid="{00000000-0005-0000-0000-0000369A0000}"/>
    <cellStyle name="Porcentaje 9 6 3 3" xfId="25972" xr:uid="{00000000-0005-0000-0000-0000379A0000}"/>
    <cellStyle name="Porcentaje 9 6 4" xfId="11186" xr:uid="{00000000-0005-0000-0000-0000389A0000}"/>
    <cellStyle name="Porcentaje 9 6 4 2" xfId="30901" xr:uid="{00000000-0005-0000-0000-0000399A0000}"/>
    <cellStyle name="Porcentaje 9 6 5" xfId="21044" xr:uid="{00000000-0005-0000-0000-00003A9A0000}"/>
    <cellStyle name="Porcentaje 9 7" xfId="2554" xr:uid="{00000000-0005-0000-0000-00003B9A0000}"/>
    <cellStyle name="Porcentaje 9 7 2" xfId="7486" xr:uid="{00000000-0005-0000-0000-00003C9A0000}"/>
    <cellStyle name="Porcentaje 9 7 2 2" xfId="17346" xr:uid="{00000000-0005-0000-0000-00003D9A0000}"/>
    <cellStyle name="Porcentaje 9 7 2 2 2" xfId="37061" xr:uid="{00000000-0005-0000-0000-00003E9A0000}"/>
    <cellStyle name="Porcentaje 9 7 2 3" xfId="27204" xr:uid="{00000000-0005-0000-0000-00003F9A0000}"/>
    <cellStyle name="Porcentaje 9 7 3" xfId="12418" xr:uid="{00000000-0005-0000-0000-0000409A0000}"/>
    <cellStyle name="Porcentaje 9 7 3 2" xfId="32133" xr:uid="{00000000-0005-0000-0000-0000419A0000}"/>
    <cellStyle name="Porcentaje 9 7 4" xfId="22276" xr:uid="{00000000-0005-0000-0000-0000429A0000}"/>
    <cellStyle name="Porcentaje 9 8" xfId="5022" xr:uid="{00000000-0005-0000-0000-0000439A0000}"/>
    <cellStyle name="Porcentaje 9 8 2" xfId="14882" xr:uid="{00000000-0005-0000-0000-0000449A0000}"/>
    <cellStyle name="Porcentaje 9 8 2 2" xfId="34597" xr:uid="{00000000-0005-0000-0000-0000459A0000}"/>
    <cellStyle name="Porcentaje 9 8 3" xfId="24740" xr:uid="{00000000-0005-0000-0000-0000469A0000}"/>
    <cellStyle name="Porcentaje 9 9" xfId="9954" xr:uid="{00000000-0005-0000-0000-0000479A0000}"/>
    <cellStyle name="Porcentaje 9 9 2" xfId="29669" xr:uid="{00000000-0005-0000-0000-0000489A0000}"/>
  </cellStyles>
  <dxfs count="187">
    <dxf>
      <alignment horizontal="center" readingOrder="0"/>
    </dxf>
    <dxf>
      <alignment horizontal="center" readingOrder="0"/>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font>
        <color rgb="FFFF0000"/>
      </font>
      <fill>
        <patternFill>
          <bgColor theme="5" tint="0.79998168889431442"/>
        </patternFill>
      </fill>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font>
        <color rgb="FF9C0006"/>
      </font>
      <fill>
        <patternFill>
          <bgColor rgb="FFFFC7CE"/>
        </patternFill>
      </fill>
    </dxf>
    <dxf>
      <font>
        <color rgb="FF9C0006"/>
      </font>
      <fill>
        <patternFill>
          <bgColor rgb="FFFFC7CE"/>
        </patternFill>
      </fill>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4" formatCode="_ &quot;S/.&quot;\ * #,##0.00_ ;_ &quot;S/.&quot;\ * \-#,##0.00_ ;_ &quot;S/.&quot;\ * &quot;-&quot;??_ ;_ @_ "/>
    </dxf>
    <dxf>
      <numFmt numFmtId="34" formatCode="_ &quot;S/.&quot;\ * #,##0.00_ ;_ &quot;S/.&quot;\ * \-#,##0.00_ ;_ &quot;S/.&quot;\ * &quot;-&quot;??_ ;_ @_ "/>
    </dxf>
    <dxf>
      <font>
        <color rgb="FF9C0006"/>
      </font>
      <fill>
        <patternFill>
          <bgColor rgb="FFFFC7CE"/>
        </patternFill>
      </fill>
    </dxf>
    <dxf>
      <font>
        <color rgb="FF9C0006"/>
      </font>
      <fill>
        <patternFill>
          <bgColor rgb="FFFFC7CE"/>
        </patternFill>
      </fill>
    </dxf>
    <dxf>
      <numFmt numFmtId="34" formatCode="_ &quot;S/.&quot;\ * #,##0.00_ ;_ &quot;S/.&quot;\ * \-#,##0.00_ ;_ &quot;S/.&quot;\ * &quot;-&quot;??_ ;_ @_ "/>
    </dxf>
    <dxf>
      <font>
        <color rgb="FF9C0006"/>
      </font>
      <fill>
        <patternFill>
          <bgColor rgb="FFFFC7CE"/>
        </patternFill>
      </fill>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numFmt numFmtId="34" formatCode="_ &quot;S/.&quot;\ * #,##0.00_ ;_ &quot;S/.&quot;\ * \-#,##0.00_ ;_ &quot;S/.&quot;\ * &quot;-&quot;??_ ;_ @_ "/>
    </dxf>
    <dxf>
      <font>
        <color rgb="FF9C0006"/>
      </font>
      <fill>
        <patternFill>
          <bgColor rgb="FFFFC7CE"/>
        </patternFill>
      </fill>
    </dxf>
    <dxf>
      <numFmt numFmtId="34" formatCode="_ &quot;S/.&quot;\ * #,##0.00_ ;_ &quot;S/.&quot;\ * \-#,##0.00_ ;_ &quot;S/.&quot;\ * &quot;-&quot;??_ ;_ @_ "/>
    </dxf>
    <dxf>
      <font>
        <color rgb="FFC00000"/>
      </font>
    </dxf>
    <dxf>
      <font>
        <color rgb="FFC00000"/>
      </font>
    </dxf>
    <dxf>
      <font>
        <color rgb="FFC00000"/>
      </font>
    </dxf>
    <dxf>
      <numFmt numFmtId="34" formatCode="_ &quot;S/.&quot;\ * #,##0.00_ ;_ &quot;S/.&quot;\ * \-#,##0.00_ ;_ &quot;S/.&quot;\ * &quot;-&quot;??_ ;_ @_ "/>
    </dxf>
    <dxf>
      <font>
        <color rgb="FFC00000"/>
      </font>
    </dxf>
    <dxf>
      <font>
        <color theme="0"/>
      </font>
    </dxf>
    <dxf>
      <numFmt numFmtId="34" formatCode="_ &quot;S/.&quot;\ * #,##0.00_ ;_ &quot;S/.&quot;\ * \-#,##0.00_ ;_ &quot;S/.&quot;\ * &quot;-&quot;??_ ;_ @_ "/>
    </dxf>
  </dxfs>
  <tableStyles count="0" defaultTableStyle="TableStyleMedium9" defaultPivotStyle="PivotStyleLight16"/>
  <colors>
    <mruColors>
      <color rgb="FFFFFF99"/>
      <color rgb="FF66869A"/>
      <color rgb="FF000066"/>
      <color rgb="FF0033CC"/>
      <color rgb="FF32587A"/>
      <color rgb="FF314659"/>
      <color rgb="FFFFCC00"/>
      <color rgb="FFA0ABBC"/>
      <color rgb="FF666699"/>
      <color rgb="FF546B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6.png"/></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13.emf"/><Relationship Id="rId3" Type="http://schemas.openxmlformats.org/officeDocument/2006/relationships/image" Target="../media/image17.emf"/><Relationship Id="rId7" Type="http://schemas.openxmlformats.org/officeDocument/2006/relationships/image" Target="../media/image21.emf"/><Relationship Id="rId12" Type="http://schemas.openxmlformats.org/officeDocument/2006/relationships/image" Target="../media/image14.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25.emf"/><Relationship Id="rId5" Type="http://schemas.openxmlformats.org/officeDocument/2006/relationships/image" Target="../media/image19.emf"/><Relationship Id="rId10" Type="http://schemas.openxmlformats.org/officeDocument/2006/relationships/image" Target="../media/image24.emf"/><Relationship Id="rId4" Type="http://schemas.openxmlformats.org/officeDocument/2006/relationships/image" Target="../media/image18.emf"/><Relationship Id="rId9"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0</xdr:row>
          <xdr:rowOff>76200</xdr:rowOff>
        </xdr:from>
        <xdr:to>
          <xdr:col>5</xdr:col>
          <xdr:colOff>466725</xdr:colOff>
          <xdr:row>3</xdr:row>
          <xdr:rowOff>161925</xdr:rowOff>
        </xdr:to>
        <xdr:sp macro="" textlink="">
          <xdr:nvSpPr>
            <xdr:cNvPr id="44078" name="RedPre_Button" hidden="1">
              <a:extLst>
                <a:ext uri="{63B3BB69-23CF-44E3-9099-C40C66FF867C}">
                  <a14:compatExt spid="_x0000_s44078"/>
                </a:ext>
                <a:ext uri="{FF2B5EF4-FFF2-40B4-BE49-F238E27FC236}">
                  <a16:creationId xmlns:a16="http://schemas.microsoft.com/office/drawing/2014/main" id="{00000000-0008-0000-0000-00002E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17</xdr:col>
      <xdr:colOff>0</xdr:colOff>
      <xdr:row>882</xdr:row>
      <xdr:rowOff>0</xdr:rowOff>
    </xdr:from>
    <xdr:to>
      <xdr:col>20</xdr:col>
      <xdr:colOff>512677</xdr:colOff>
      <xdr:row>897</xdr:row>
      <xdr:rowOff>63633</xdr:rowOff>
    </xdr:to>
    <xdr:pic>
      <xdr:nvPicPr>
        <xdr:cNvPr id="5" name="4 Imagen">
          <a:extLst>
            <a:ext uri="{FF2B5EF4-FFF2-40B4-BE49-F238E27FC236}">
              <a16:creationId xmlns:a16="http://schemas.microsoft.com/office/drawing/2014/main" id="{00000000-0008-0000-00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6441400" y="472457930"/>
          <a:ext cx="2798677" cy="25129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504825</xdr:colOff>
          <xdr:row>0</xdr:row>
          <xdr:rowOff>66675</xdr:rowOff>
        </xdr:from>
        <xdr:to>
          <xdr:col>7</xdr:col>
          <xdr:colOff>142875</xdr:colOff>
          <xdr:row>2</xdr:row>
          <xdr:rowOff>76200</xdr:rowOff>
        </xdr:to>
        <xdr:sp macro="" textlink="">
          <xdr:nvSpPr>
            <xdr:cNvPr id="44755" name="CambMarca_Button" hidden="1">
              <a:extLst>
                <a:ext uri="{63B3BB69-23CF-44E3-9099-C40C66FF867C}">
                  <a14:compatExt spid="_x0000_s44755"/>
                </a:ext>
                <a:ext uri="{FF2B5EF4-FFF2-40B4-BE49-F238E27FC236}">
                  <a16:creationId xmlns:a16="http://schemas.microsoft.com/office/drawing/2014/main" id="{00000000-0008-0000-0000-0000D3A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523875</xdr:colOff>
          <xdr:row>2</xdr:row>
          <xdr:rowOff>123825</xdr:rowOff>
        </xdr:from>
        <xdr:to>
          <xdr:col>7</xdr:col>
          <xdr:colOff>161925</xdr:colOff>
          <xdr:row>3</xdr:row>
          <xdr:rowOff>123825</xdr:rowOff>
        </xdr:to>
        <xdr:sp macro="" textlink="">
          <xdr:nvSpPr>
            <xdr:cNvPr id="44757" name="Marca_ComboBox" hidden="1">
              <a:extLst>
                <a:ext uri="{63B3BB69-23CF-44E3-9099-C40C66FF867C}">
                  <a14:compatExt spid="_x0000_s44757"/>
                </a:ext>
                <a:ext uri="{FF2B5EF4-FFF2-40B4-BE49-F238E27FC236}">
                  <a16:creationId xmlns:a16="http://schemas.microsoft.com/office/drawing/2014/main" id="{00000000-0008-0000-0000-0000D5A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0</xdr:row>
          <xdr:rowOff>66675</xdr:rowOff>
        </xdr:from>
        <xdr:to>
          <xdr:col>3</xdr:col>
          <xdr:colOff>933450</xdr:colOff>
          <xdr:row>3</xdr:row>
          <xdr:rowOff>161925</xdr:rowOff>
        </xdr:to>
        <xdr:sp macro="" textlink="">
          <xdr:nvSpPr>
            <xdr:cNvPr id="44906" name="ActBase_Button" hidden="1">
              <a:extLst>
                <a:ext uri="{63B3BB69-23CF-44E3-9099-C40C66FF867C}">
                  <a14:compatExt spid="_x0000_s44906"/>
                </a:ext>
                <a:ext uri="{FF2B5EF4-FFF2-40B4-BE49-F238E27FC236}">
                  <a16:creationId xmlns:a16="http://schemas.microsoft.com/office/drawing/2014/main" id="{00000000-0008-0000-0000-00006AA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971550</xdr:colOff>
          <xdr:row>0</xdr:row>
          <xdr:rowOff>76200</xdr:rowOff>
        </xdr:from>
        <xdr:to>
          <xdr:col>4</xdr:col>
          <xdr:colOff>0</xdr:colOff>
          <xdr:row>1</xdr:row>
          <xdr:rowOff>161925</xdr:rowOff>
        </xdr:to>
        <xdr:sp macro="" textlink="">
          <xdr:nvSpPr>
            <xdr:cNvPr id="44909" name="Enumerar_Button" hidden="1">
              <a:extLst>
                <a:ext uri="{63B3BB69-23CF-44E3-9099-C40C66FF867C}">
                  <a14:compatExt spid="_x0000_s44909"/>
                </a:ext>
                <a:ext uri="{FF2B5EF4-FFF2-40B4-BE49-F238E27FC236}">
                  <a16:creationId xmlns:a16="http://schemas.microsoft.com/office/drawing/2014/main" id="{00000000-0008-0000-0000-00006DA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17</xdr:col>
      <xdr:colOff>0</xdr:colOff>
      <xdr:row>882</xdr:row>
      <xdr:rowOff>0</xdr:rowOff>
    </xdr:from>
    <xdr:to>
      <xdr:col>20</xdr:col>
      <xdr:colOff>512677</xdr:colOff>
      <xdr:row>897</xdr:row>
      <xdr:rowOff>52428</xdr:rowOff>
    </xdr:to>
    <xdr:pic>
      <xdr:nvPicPr>
        <xdr:cNvPr id="9" name="8 Imagen">
          <a:extLst>
            <a:ext uri="{FF2B5EF4-FFF2-40B4-BE49-F238E27FC236}">
              <a16:creationId xmlns:a16="http://schemas.microsoft.com/office/drawing/2014/main" id="{00000000-0008-0000-0000-000009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5250775" y="288283650"/>
          <a:ext cx="2798677" cy="2490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882</xdr:row>
      <xdr:rowOff>0</xdr:rowOff>
    </xdr:from>
    <xdr:to>
      <xdr:col>20</xdr:col>
      <xdr:colOff>512677</xdr:colOff>
      <xdr:row>897</xdr:row>
      <xdr:rowOff>52427</xdr:rowOff>
    </xdr:to>
    <xdr:pic>
      <xdr:nvPicPr>
        <xdr:cNvPr id="11" name="10 Imagen">
          <a:extLst>
            <a:ext uri="{FF2B5EF4-FFF2-40B4-BE49-F238E27FC236}">
              <a16:creationId xmlns:a16="http://schemas.microsoft.com/office/drawing/2014/main" id="{00000000-0008-0000-0000-00000B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5250775" y="288283650"/>
          <a:ext cx="2798677" cy="2490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882</xdr:row>
      <xdr:rowOff>0</xdr:rowOff>
    </xdr:from>
    <xdr:to>
      <xdr:col>20</xdr:col>
      <xdr:colOff>512677</xdr:colOff>
      <xdr:row>897</xdr:row>
      <xdr:rowOff>52427</xdr:rowOff>
    </xdr:to>
    <xdr:pic>
      <xdr:nvPicPr>
        <xdr:cNvPr id="13" name="12 Imagen">
          <a:extLst>
            <a:ext uri="{FF2B5EF4-FFF2-40B4-BE49-F238E27FC236}">
              <a16:creationId xmlns:a16="http://schemas.microsoft.com/office/drawing/2014/main" id="{00000000-0008-0000-0000-00000D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5250775" y="288283650"/>
          <a:ext cx="2798677" cy="2490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1445558</xdr:colOff>
      <xdr:row>882</xdr:row>
      <xdr:rowOff>0</xdr:rowOff>
    </xdr:from>
    <xdr:to>
      <xdr:col>2</xdr:col>
      <xdr:colOff>1447231</xdr:colOff>
      <xdr:row>897</xdr:row>
      <xdr:rowOff>52427</xdr:rowOff>
    </xdr:to>
    <xdr:pic>
      <xdr:nvPicPr>
        <xdr:cNvPr id="14" name="13 Imagen">
          <a:extLst>
            <a:ext uri="{FF2B5EF4-FFF2-40B4-BE49-F238E27FC236}">
              <a16:creationId xmlns:a16="http://schemas.microsoft.com/office/drawing/2014/main" id="{00000000-0008-0000-0000-00000E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678" t="3252" r="10409" b="23043"/>
        <a:stretch/>
      </xdr:blipFill>
      <xdr:spPr bwMode="auto">
        <a:xfrm>
          <a:off x="3188633" y="288283650"/>
          <a:ext cx="1673" cy="2490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962025</xdr:colOff>
          <xdr:row>1</xdr:row>
          <xdr:rowOff>180975</xdr:rowOff>
        </xdr:from>
        <xdr:to>
          <xdr:col>4</xdr:col>
          <xdr:colOff>9525</xdr:colOff>
          <xdr:row>3</xdr:row>
          <xdr:rowOff>152400</xdr:rowOff>
        </xdr:to>
        <xdr:sp macro="" textlink="">
          <xdr:nvSpPr>
            <xdr:cNvPr id="524484" name="Contabilizar_Button" hidden="1">
              <a:extLst>
                <a:ext uri="{63B3BB69-23CF-44E3-9099-C40C66FF867C}">
                  <a14:compatExt spid="_x0000_s524484"/>
                </a:ext>
                <a:ext uri="{FF2B5EF4-FFF2-40B4-BE49-F238E27FC236}">
                  <a16:creationId xmlns:a16="http://schemas.microsoft.com/office/drawing/2014/main" id="{00000000-0008-0000-0000-0000C40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17</xdr:col>
      <xdr:colOff>0</xdr:colOff>
      <xdr:row>882</xdr:row>
      <xdr:rowOff>0</xdr:rowOff>
    </xdr:from>
    <xdr:to>
      <xdr:col>20</xdr:col>
      <xdr:colOff>512677</xdr:colOff>
      <xdr:row>897</xdr:row>
      <xdr:rowOff>63634</xdr:rowOff>
    </xdr:to>
    <xdr:pic>
      <xdr:nvPicPr>
        <xdr:cNvPr id="15" name="14 Imagen">
          <a:extLst>
            <a:ext uri="{FF2B5EF4-FFF2-40B4-BE49-F238E27FC236}">
              <a16:creationId xmlns:a16="http://schemas.microsoft.com/office/drawing/2014/main" id="{00000000-0008-0000-0000-00000F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6927175" y="304047525"/>
          <a:ext cx="2798677" cy="24925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882</xdr:row>
      <xdr:rowOff>0</xdr:rowOff>
    </xdr:from>
    <xdr:to>
      <xdr:col>20</xdr:col>
      <xdr:colOff>512677</xdr:colOff>
      <xdr:row>897</xdr:row>
      <xdr:rowOff>52429</xdr:rowOff>
    </xdr:to>
    <xdr:pic>
      <xdr:nvPicPr>
        <xdr:cNvPr id="16" name="15 Imagen">
          <a:extLst>
            <a:ext uri="{FF2B5EF4-FFF2-40B4-BE49-F238E27FC236}">
              <a16:creationId xmlns:a16="http://schemas.microsoft.com/office/drawing/2014/main" id="{00000000-0008-0000-0000-000010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6927175" y="304047525"/>
          <a:ext cx="2798677" cy="2481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882</xdr:row>
      <xdr:rowOff>0</xdr:rowOff>
    </xdr:from>
    <xdr:to>
      <xdr:col>20</xdr:col>
      <xdr:colOff>512677</xdr:colOff>
      <xdr:row>897</xdr:row>
      <xdr:rowOff>52428</xdr:rowOff>
    </xdr:to>
    <xdr:pic>
      <xdr:nvPicPr>
        <xdr:cNvPr id="17" name="16 Imagen">
          <a:extLst>
            <a:ext uri="{FF2B5EF4-FFF2-40B4-BE49-F238E27FC236}">
              <a16:creationId xmlns:a16="http://schemas.microsoft.com/office/drawing/2014/main" id="{00000000-0008-0000-0000-000011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6927175" y="304047525"/>
          <a:ext cx="2798677" cy="248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882</xdr:row>
      <xdr:rowOff>0</xdr:rowOff>
    </xdr:from>
    <xdr:to>
      <xdr:col>20</xdr:col>
      <xdr:colOff>512677</xdr:colOff>
      <xdr:row>897</xdr:row>
      <xdr:rowOff>52428</xdr:rowOff>
    </xdr:to>
    <xdr:pic>
      <xdr:nvPicPr>
        <xdr:cNvPr id="18" name="17 Imagen">
          <a:extLst>
            <a:ext uri="{FF2B5EF4-FFF2-40B4-BE49-F238E27FC236}">
              <a16:creationId xmlns:a16="http://schemas.microsoft.com/office/drawing/2014/main" id="{00000000-0008-0000-0000-00001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6927175" y="304047525"/>
          <a:ext cx="2798677" cy="248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882</xdr:row>
      <xdr:rowOff>0</xdr:rowOff>
    </xdr:from>
    <xdr:to>
      <xdr:col>20</xdr:col>
      <xdr:colOff>512677</xdr:colOff>
      <xdr:row>897</xdr:row>
      <xdr:rowOff>41220</xdr:rowOff>
    </xdr:to>
    <xdr:pic>
      <xdr:nvPicPr>
        <xdr:cNvPr id="22" name="21 Imagen">
          <a:extLst>
            <a:ext uri="{FF2B5EF4-FFF2-40B4-BE49-F238E27FC236}">
              <a16:creationId xmlns:a16="http://schemas.microsoft.com/office/drawing/2014/main" id="{00000000-0008-0000-0000-000016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5346025" y="288617025"/>
          <a:ext cx="2798677" cy="24796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1445558</xdr:colOff>
      <xdr:row>882</xdr:row>
      <xdr:rowOff>0</xdr:rowOff>
    </xdr:from>
    <xdr:to>
      <xdr:col>2</xdr:col>
      <xdr:colOff>1447231</xdr:colOff>
      <xdr:row>897</xdr:row>
      <xdr:rowOff>41220</xdr:rowOff>
    </xdr:to>
    <xdr:pic>
      <xdr:nvPicPr>
        <xdr:cNvPr id="23" name="22 Imagen">
          <a:extLst>
            <a:ext uri="{FF2B5EF4-FFF2-40B4-BE49-F238E27FC236}">
              <a16:creationId xmlns:a16="http://schemas.microsoft.com/office/drawing/2014/main" id="{00000000-0008-0000-0000-000017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678" t="3252" r="10409" b="23043"/>
        <a:stretch/>
      </xdr:blipFill>
      <xdr:spPr bwMode="auto">
        <a:xfrm>
          <a:off x="3188633" y="288617025"/>
          <a:ext cx="1673" cy="24796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882</xdr:row>
      <xdr:rowOff>0</xdr:rowOff>
    </xdr:from>
    <xdr:to>
      <xdr:col>20</xdr:col>
      <xdr:colOff>512677</xdr:colOff>
      <xdr:row>897</xdr:row>
      <xdr:rowOff>63630</xdr:rowOff>
    </xdr:to>
    <xdr:pic>
      <xdr:nvPicPr>
        <xdr:cNvPr id="19" name="18 Imagen">
          <a:extLst>
            <a:ext uri="{FF2B5EF4-FFF2-40B4-BE49-F238E27FC236}">
              <a16:creationId xmlns:a16="http://schemas.microsoft.com/office/drawing/2014/main" id="{00000000-0008-0000-0000-00001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5346025" y="352472625"/>
          <a:ext cx="2798677" cy="24925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882</xdr:row>
      <xdr:rowOff>0</xdr:rowOff>
    </xdr:from>
    <xdr:to>
      <xdr:col>20</xdr:col>
      <xdr:colOff>512677</xdr:colOff>
      <xdr:row>897</xdr:row>
      <xdr:rowOff>52425</xdr:rowOff>
    </xdr:to>
    <xdr:pic>
      <xdr:nvPicPr>
        <xdr:cNvPr id="20" name="19 Imagen">
          <a:extLst>
            <a:ext uri="{FF2B5EF4-FFF2-40B4-BE49-F238E27FC236}">
              <a16:creationId xmlns:a16="http://schemas.microsoft.com/office/drawing/2014/main" id="{00000000-0008-0000-0000-000014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5346025" y="352472625"/>
          <a:ext cx="2798677" cy="24813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882</xdr:row>
      <xdr:rowOff>0</xdr:rowOff>
    </xdr:from>
    <xdr:to>
      <xdr:col>20</xdr:col>
      <xdr:colOff>512677</xdr:colOff>
      <xdr:row>897</xdr:row>
      <xdr:rowOff>52424</xdr:rowOff>
    </xdr:to>
    <xdr:pic>
      <xdr:nvPicPr>
        <xdr:cNvPr id="21" name="20 Imagen">
          <a:extLst>
            <a:ext uri="{FF2B5EF4-FFF2-40B4-BE49-F238E27FC236}">
              <a16:creationId xmlns:a16="http://schemas.microsoft.com/office/drawing/2014/main" id="{00000000-0008-0000-0000-00001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5346025" y="352472625"/>
          <a:ext cx="2798677" cy="2481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882</xdr:row>
      <xdr:rowOff>0</xdr:rowOff>
    </xdr:from>
    <xdr:to>
      <xdr:col>20</xdr:col>
      <xdr:colOff>512677</xdr:colOff>
      <xdr:row>897</xdr:row>
      <xdr:rowOff>52424</xdr:rowOff>
    </xdr:to>
    <xdr:pic>
      <xdr:nvPicPr>
        <xdr:cNvPr id="24" name="23 Imagen">
          <a:extLst>
            <a:ext uri="{FF2B5EF4-FFF2-40B4-BE49-F238E27FC236}">
              <a16:creationId xmlns:a16="http://schemas.microsoft.com/office/drawing/2014/main" id="{00000000-0008-0000-0000-000018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5346025" y="352472625"/>
          <a:ext cx="2798677" cy="2481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849</xdr:row>
      <xdr:rowOff>0</xdr:rowOff>
    </xdr:from>
    <xdr:to>
      <xdr:col>20</xdr:col>
      <xdr:colOff>512677</xdr:colOff>
      <xdr:row>864</xdr:row>
      <xdr:rowOff>63636</xdr:rowOff>
    </xdr:to>
    <xdr:pic>
      <xdr:nvPicPr>
        <xdr:cNvPr id="25" name="24 Imagen">
          <a:extLst>
            <a:ext uri="{FF2B5EF4-FFF2-40B4-BE49-F238E27FC236}">
              <a16:creationId xmlns:a16="http://schemas.microsoft.com/office/drawing/2014/main" id="{00000000-0008-0000-0000-000019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5346025" y="142255875"/>
          <a:ext cx="2798677" cy="24925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849</xdr:row>
      <xdr:rowOff>0</xdr:rowOff>
    </xdr:from>
    <xdr:to>
      <xdr:col>20</xdr:col>
      <xdr:colOff>512677</xdr:colOff>
      <xdr:row>864</xdr:row>
      <xdr:rowOff>52431</xdr:rowOff>
    </xdr:to>
    <xdr:pic>
      <xdr:nvPicPr>
        <xdr:cNvPr id="26" name="25 Imagen">
          <a:extLst>
            <a:ext uri="{FF2B5EF4-FFF2-40B4-BE49-F238E27FC236}">
              <a16:creationId xmlns:a16="http://schemas.microsoft.com/office/drawing/2014/main" id="{00000000-0008-0000-0000-00001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5346025" y="142255875"/>
          <a:ext cx="2798677" cy="24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849</xdr:row>
      <xdr:rowOff>0</xdr:rowOff>
    </xdr:from>
    <xdr:to>
      <xdr:col>20</xdr:col>
      <xdr:colOff>512677</xdr:colOff>
      <xdr:row>864</xdr:row>
      <xdr:rowOff>52430</xdr:rowOff>
    </xdr:to>
    <xdr:pic>
      <xdr:nvPicPr>
        <xdr:cNvPr id="27" name="26 Imagen">
          <a:extLst>
            <a:ext uri="{FF2B5EF4-FFF2-40B4-BE49-F238E27FC236}">
              <a16:creationId xmlns:a16="http://schemas.microsoft.com/office/drawing/2014/main" id="{00000000-0008-0000-0000-00001B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5346025" y="142255875"/>
          <a:ext cx="2798677" cy="2481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849</xdr:row>
      <xdr:rowOff>0</xdr:rowOff>
    </xdr:from>
    <xdr:to>
      <xdr:col>20</xdr:col>
      <xdr:colOff>512677</xdr:colOff>
      <xdr:row>864</xdr:row>
      <xdr:rowOff>52430</xdr:rowOff>
    </xdr:to>
    <xdr:pic>
      <xdr:nvPicPr>
        <xdr:cNvPr id="28" name="27 Imagen">
          <a:extLst>
            <a:ext uri="{FF2B5EF4-FFF2-40B4-BE49-F238E27FC236}">
              <a16:creationId xmlns:a16="http://schemas.microsoft.com/office/drawing/2014/main" id="{00000000-0008-0000-0000-00001C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5346025" y="142255875"/>
          <a:ext cx="2798677" cy="2481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1266825</xdr:colOff>
          <xdr:row>11</xdr:row>
          <xdr:rowOff>133350</xdr:rowOff>
        </xdr:from>
        <xdr:to>
          <xdr:col>6</xdr:col>
          <xdr:colOff>2152650</xdr:colOff>
          <xdr:row>16</xdr:row>
          <xdr:rowOff>152400</xdr:rowOff>
        </xdr:to>
        <xdr:sp macro="" textlink="">
          <xdr:nvSpPr>
            <xdr:cNvPr id="332952" name="ActBase2_Button" hidden="1">
              <a:extLst>
                <a:ext uri="{63B3BB69-23CF-44E3-9099-C40C66FF867C}">
                  <a14:compatExt spid="_x0000_s332952"/>
                </a:ext>
                <a:ext uri="{FF2B5EF4-FFF2-40B4-BE49-F238E27FC236}">
                  <a16:creationId xmlns:a16="http://schemas.microsoft.com/office/drawing/2014/main" id="{00000000-0008-0000-0100-0000981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14</xdr:col>
      <xdr:colOff>561975</xdr:colOff>
      <xdr:row>0</xdr:row>
      <xdr:rowOff>47625</xdr:rowOff>
    </xdr:from>
    <xdr:to>
      <xdr:col>16</xdr:col>
      <xdr:colOff>323850</xdr:colOff>
      <xdr:row>3</xdr:row>
      <xdr:rowOff>152400</xdr:rowOff>
    </xdr:to>
    <xdr:sp macro="[0]!calculo02" textlink="">
      <xdr:nvSpPr>
        <xdr:cNvPr id="4" name="3 Flecha derecha">
          <a:extLst>
            <a:ext uri="{FF2B5EF4-FFF2-40B4-BE49-F238E27FC236}">
              <a16:creationId xmlns:a16="http://schemas.microsoft.com/office/drawing/2014/main" id="{00000000-0008-0000-0300-000004000000}"/>
            </a:ext>
          </a:extLst>
        </xdr:cNvPr>
        <xdr:cNvSpPr/>
      </xdr:nvSpPr>
      <xdr:spPr>
        <a:xfrm rot="10800000" flipH="1" flipV="1">
          <a:off x="8429625" y="47625"/>
          <a:ext cx="1285875" cy="752475"/>
        </a:xfrm>
        <a:prstGeom prst="rightArrow">
          <a:avLst>
            <a:gd name="adj1" fmla="val 60851"/>
            <a:gd name="adj2" fmla="val 50000"/>
          </a:avLst>
        </a:prstGeom>
        <a:gradFill>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threePt" dir="t"/>
        </a:scene3d>
        <a:sp3d prstMaterial="flat">
          <a:bevelT prst="relaxedInset"/>
          <a:bevelB w="139700" prst="cross"/>
        </a:sp3d>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200" b="1"/>
            <a:t>CALCULO</a:t>
          </a:r>
        </a:p>
      </xdr:txBody>
    </xdr:sp>
    <xdr:clientData/>
  </xdr:twoCellAnchor>
  <xdr:twoCellAnchor>
    <xdr:from>
      <xdr:col>12</xdr:col>
      <xdr:colOff>323851</xdr:colOff>
      <xdr:row>0</xdr:row>
      <xdr:rowOff>47625</xdr:rowOff>
    </xdr:from>
    <xdr:to>
      <xdr:col>14</xdr:col>
      <xdr:colOff>371475</xdr:colOff>
      <xdr:row>3</xdr:row>
      <xdr:rowOff>152400</xdr:rowOff>
    </xdr:to>
    <xdr:sp macro="[0]!CALCULOBARRAS01" textlink="">
      <xdr:nvSpPr>
        <xdr:cNvPr id="5" name="4 Flecha derecha">
          <a:extLst>
            <a:ext uri="{FF2B5EF4-FFF2-40B4-BE49-F238E27FC236}">
              <a16:creationId xmlns:a16="http://schemas.microsoft.com/office/drawing/2014/main" id="{00000000-0008-0000-0300-000005000000}"/>
            </a:ext>
          </a:extLst>
        </xdr:cNvPr>
        <xdr:cNvSpPr/>
      </xdr:nvSpPr>
      <xdr:spPr>
        <a:xfrm rot="10800000" flipV="1">
          <a:off x="6667501" y="47625"/>
          <a:ext cx="1571624" cy="752475"/>
        </a:xfrm>
        <a:prstGeom prst="rightArrow">
          <a:avLst>
            <a:gd name="adj1" fmla="val 60851"/>
            <a:gd name="adj2" fmla="val 50000"/>
          </a:avLst>
        </a:prstGeom>
        <a:gradFill>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threePt" dir="t"/>
        </a:scene3d>
        <a:sp3d prstMaterial="flat">
          <a:bevelT prst="relaxedInset"/>
          <a:bevelB w="139700" prst="cross"/>
        </a:sp3d>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200" b="1"/>
            <a:t>CAL-BARRAS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1871465</xdr:colOff>
      <xdr:row>0</xdr:row>
      <xdr:rowOff>155043</xdr:rowOff>
    </xdr:from>
    <xdr:to>
      <xdr:col>4</xdr:col>
      <xdr:colOff>3990097</xdr:colOff>
      <xdr:row>4</xdr:row>
      <xdr:rowOff>44824</xdr:rowOff>
    </xdr:to>
    <xdr:pic>
      <xdr:nvPicPr>
        <xdr:cNvPr id="22492" name="Picture 1">
          <a:extLst>
            <a:ext uri="{FF2B5EF4-FFF2-40B4-BE49-F238E27FC236}">
              <a16:creationId xmlns:a16="http://schemas.microsoft.com/office/drawing/2014/main" id="{00000000-0008-0000-0900-0000DC57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49789" y="155043"/>
          <a:ext cx="2118632" cy="5173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2176742</xdr:colOff>
      <xdr:row>7</xdr:row>
      <xdr:rowOff>151840</xdr:rowOff>
    </xdr:from>
    <xdr:to>
      <xdr:col>2</xdr:col>
      <xdr:colOff>4975419</xdr:colOff>
      <xdr:row>20</xdr:row>
      <xdr:rowOff>42022</xdr:rowOff>
    </xdr:to>
    <xdr:pic>
      <xdr:nvPicPr>
        <xdr:cNvPr id="4" name="3 Imagen">
          <a:extLst>
            <a:ext uri="{FF2B5EF4-FFF2-40B4-BE49-F238E27FC236}">
              <a16:creationId xmlns:a16="http://schemas.microsoft.com/office/drawing/2014/main" id="{00000000-0008-0000-0D00-000004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3186392" y="1371040"/>
          <a:ext cx="2798677" cy="21190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2</xdr:col>
          <xdr:colOff>0</xdr:colOff>
          <xdr:row>15</xdr:row>
          <xdr:rowOff>0</xdr:rowOff>
        </xdr:to>
        <xdr:sp macro="" textlink="">
          <xdr:nvSpPr>
            <xdr:cNvPr id="251510" name="IPAut_ComboBox" hidden="1">
              <a:extLst>
                <a:ext uri="{63B3BB69-23CF-44E3-9099-C40C66FF867C}">
                  <a14:compatExt spid="_x0000_s251510"/>
                </a:ext>
                <a:ext uri="{FF2B5EF4-FFF2-40B4-BE49-F238E27FC236}">
                  <a16:creationId xmlns:a16="http://schemas.microsoft.com/office/drawing/2014/main" id="{00000000-0008-0000-1300-000076D6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2</xdr:col>
          <xdr:colOff>0</xdr:colOff>
          <xdr:row>19</xdr:row>
          <xdr:rowOff>0</xdr:rowOff>
        </xdr:to>
        <xdr:sp macro="" textlink="">
          <xdr:nvSpPr>
            <xdr:cNvPr id="251511" name="ColorAut_ComboBox" hidden="1">
              <a:extLst>
                <a:ext uri="{63B3BB69-23CF-44E3-9099-C40C66FF867C}">
                  <a14:compatExt spid="_x0000_s251511"/>
                </a:ext>
                <a:ext uri="{FF2B5EF4-FFF2-40B4-BE49-F238E27FC236}">
                  <a16:creationId xmlns:a16="http://schemas.microsoft.com/office/drawing/2014/main" id="{00000000-0008-0000-1300-000077D6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0</xdr:rowOff>
        </xdr:from>
        <xdr:to>
          <xdr:col>2</xdr:col>
          <xdr:colOff>0</xdr:colOff>
          <xdr:row>8</xdr:row>
          <xdr:rowOff>0</xdr:rowOff>
        </xdr:to>
        <xdr:sp macro="" textlink="">
          <xdr:nvSpPr>
            <xdr:cNvPr id="251512" name="MarcaRed_ComboBox" hidden="1">
              <a:extLst>
                <a:ext uri="{63B3BB69-23CF-44E3-9099-C40C66FF867C}">
                  <a14:compatExt spid="_x0000_s251512"/>
                </a:ext>
                <a:ext uri="{FF2B5EF4-FFF2-40B4-BE49-F238E27FC236}">
                  <a16:creationId xmlns:a16="http://schemas.microsoft.com/office/drawing/2014/main" id="{00000000-0008-0000-1300-000078D6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2</xdr:col>
          <xdr:colOff>0</xdr:colOff>
          <xdr:row>23</xdr:row>
          <xdr:rowOff>0</xdr:rowOff>
        </xdr:to>
        <xdr:sp macro="" textlink="">
          <xdr:nvSpPr>
            <xdr:cNvPr id="251513" name="TenAut_ComboBox" hidden="1">
              <a:extLst>
                <a:ext uri="{63B3BB69-23CF-44E3-9099-C40C66FF867C}">
                  <a14:compatExt spid="_x0000_s251513"/>
                </a:ext>
                <a:ext uri="{FF2B5EF4-FFF2-40B4-BE49-F238E27FC236}">
                  <a16:creationId xmlns:a16="http://schemas.microsoft.com/office/drawing/2014/main" id="{00000000-0008-0000-1300-000079D6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0</xdr:colOff>
          <xdr:row>4</xdr:row>
          <xdr:rowOff>0</xdr:rowOff>
        </xdr:to>
        <xdr:sp macro="" textlink="">
          <xdr:nvSpPr>
            <xdr:cNvPr id="251514" name="Vendedor_ComboBox" hidden="1">
              <a:extLst>
                <a:ext uri="{63B3BB69-23CF-44E3-9099-C40C66FF867C}">
                  <a14:compatExt spid="_x0000_s251514"/>
                </a:ext>
                <a:ext uri="{FF2B5EF4-FFF2-40B4-BE49-F238E27FC236}">
                  <a16:creationId xmlns:a16="http://schemas.microsoft.com/office/drawing/2014/main" id="{00000000-0008-0000-1300-00007AD6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2000250</xdr:colOff>
          <xdr:row>8</xdr:row>
          <xdr:rowOff>76200</xdr:rowOff>
        </xdr:from>
        <xdr:to>
          <xdr:col>2</xdr:col>
          <xdr:colOff>3486150</xdr:colOff>
          <xdr:row>12</xdr:row>
          <xdr:rowOff>57150</xdr:rowOff>
        </xdr:to>
        <xdr:sp macro="" textlink="">
          <xdr:nvSpPr>
            <xdr:cNvPr id="251515" name="Redactar_Button" hidden="1">
              <a:extLst>
                <a:ext uri="{63B3BB69-23CF-44E3-9099-C40C66FF867C}">
                  <a14:compatExt spid="_x0000_s251515"/>
                </a:ext>
                <a:ext uri="{FF2B5EF4-FFF2-40B4-BE49-F238E27FC236}">
                  <a16:creationId xmlns:a16="http://schemas.microsoft.com/office/drawing/2014/main" id="{00000000-0008-0000-1300-00007BD60300}"/>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1">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5</xdr:col>
          <xdr:colOff>161925</xdr:colOff>
          <xdr:row>15</xdr:row>
          <xdr:rowOff>0</xdr:rowOff>
        </xdr:to>
        <xdr:sp macro="" textlink="">
          <xdr:nvSpPr>
            <xdr:cNvPr id="266797" name="IPDist_ComboBox" hidden="1">
              <a:extLst>
                <a:ext uri="{63B3BB69-23CF-44E3-9099-C40C66FF867C}">
                  <a14:compatExt spid="_x0000_s266797"/>
                </a:ext>
                <a:ext uri="{FF2B5EF4-FFF2-40B4-BE49-F238E27FC236}">
                  <a16:creationId xmlns:a16="http://schemas.microsoft.com/office/drawing/2014/main" id="{00000000-0008-0000-1300-00002D12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161925</xdr:colOff>
          <xdr:row>19</xdr:row>
          <xdr:rowOff>0</xdr:rowOff>
        </xdr:to>
        <xdr:sp macro="" textlink="">
          <xdr:nvSpPr>
            <xdr:cNvPr id="266798" name="ColorDist_ComboBox" hidden="1">
              <a:extLst>
                <a:ext uri="{63B3BB69-23CF-44E3-9099-C40C66FF867C}">
                  <a14:compatExt spid="_x0000_s266798"/>
                </a:ext>
                <a:ext uri="{FF2B5EF4-FFF2-40B4-BE49-F238E27FC236}">
                  <a16:creationId xmlns:a16="http://schemas.microsoft.com/office/drawing/2014/main" id="{00000000-0008-0000-1300-00002E12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5</xdr:col>
          <xdr:colOff>200025</xdr:colOff>
          <xdr:row>23</xdr:row>
          <xdr:rowOff>0</xdr:rowOff>
        </xdr:to>
        <xdr:sp macro="" textlink="">
          <xdr:nvSpPr>
            <xdr:cNvPr id="266800" name="TenDist_ComboBox" hidden="1">
              <a:extLst>
                <a:ext uri="{63B3BB69-23CF-44E3-9099-C40C66FF867C}">
                  <a14:compatExt spid="_x0000_s266800"/>
                </a:ext>
                <a:ext uri="{FF2B5EF4-FFF2-40B4-BE49-F238E27FC236}">
                  <a16:creationId xmlns:a16="http://schemas.microsoft.com/office/drawing/2014/main" id="{00000000-0008-0000-1300-00003012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2</xdr:col>
          <xdr:colOff>0</xdr:colOff>
          <xdr:row>27</xdr:row>
          <xdr:rowOff>0</xdr:rowOff>
        </xdr:to>
        <xdr:sp macro="" textlink="">
          <xdr:nvSpPr>
            <xdr:cNvPr id="283399" name="EspAut_ComboBox" hidden="1">
              <a:extLst>
                <a:ext uri="{63B3BB69-23CF-44E3-9099-C40C66FF867C}">
                  <a14:compatExt spid="_x0000_s283399"/>
                </a:ext>
                <a:ext uri="{FF2B5EF4-FFF2-40B4-BE49-F238E27FC236}">
                  <a16:creationId xmlns:a16="http://schemas.microsoft.com/office/drawing/2014/main" id="{00000000-0008-0000-1300-00000753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190500</xdr:colOff>
          <xdr:row>27</xdr:row>
          <xdr:rowOff>0</xdr:rowOff>
        </xdr:to>
        <xdr:sp macro="" textlink="">
          <xdr:nvSpPr>
            <xdr:cNvPr id="283400" name="EspDist_ComboBox" hidden="1">
              <a:extLst>
                <a:ext uri="{63B3BB69-23CF-44E3-9099-C40C66FF867C}">
                  <a14:compatExt spid="_x0000_s283400"/>
                </a:ext>
                <a:ext uri="{FF2B5EF4-FFF2-40B4-BE49-F238E27FC236}">
                  <a16:creationId xmlns:a16="http://schemas.microsoft.com/office/drawing/2014/main" id="{00000000-0008-0000-1300-00000853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6</xdr:col>
          <xdr:colOff>0</xdr:colOff>
          <xdr:row>4</xdr:row>
          <xdr:rowOff>0</xdr:rowOff>
        </xdr:to>
        <xdr:sp macro="" textlink="">
          <xdr:nvSpPr>
            <xdr:cNvPr id="393808" name="Plazo_ComboBox" hidden="1">
              <a:extLst>
                <a:ext uri="{63B3BB69-23CF-44E3-9099-C40C66FF867C}">
                  <a14:compatExt spid="_x0000_s393808"/>
                </a:ext>
                <a:ext uri="{FF2B5EF4-FFF2-40B4-BE49-F238E27FC236}">
                  <a16:creationId xmlns:a16="http://schemas.microsoft.com/office/drawing/2014/main" id="{00000000-0008-0000-1300-000050020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6</xdr:col>
          <xdr:colOff>0</xdr:colOff>
          <xdr:row>8</xdr:row>
          <xdr:rowOff>0</xdr:rowOff>
        </xdr:to>
        <xdr:sp macro="" textlink="">
          <xdr:nvSpPr>
            <xdr:cNvPr id="393809" name="FormaPago_ComboBox" hidden="1">
              <a:extLst>
                <a:ext uri="{63B3BB69-23CF-44E3-9099-C40C66FF867C}">
                  <a14:compatExt spid="_x0000_s393809"/>
                </a:ext>
                <a:ext uri="{FF2B5EF4-FFF2-40B4-BE49-F238E27FC236}">
                  <a16:creationId xmlns:a16="http://schemas.microsoft.com/office/drawing/2014/main" id="{00000000-0008-0000-1300-000051020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89647</xdr:colOff>
      <xdr:row>0</xdr:row>
      <xdr:rowOff>35549</xdr:rowOff>
    </xdr:from>
    <xdr:to>
      <xdr:col>1</xdr:col>
      <xdr:colOff>296564</xdr:colOff>
      <xdr:row>1</xdr:row>
      <xdr:rowOff>259179</xdr:rowOff>
    </xdr:to>
    <xdr:pic>
      <xdr:nvPicPr>
        <xdr:cNvPr id="2" name="Picture 2">
          <a:extLst>
            <a:ext uri="{FF2B5EF4-FFF2-40B4-BE49-F238E27FC236}">
              <a16:creationId xmlns:a16="http://schemas.microsoft.com/office/drawing/2014/main" id="{00000000-0008-0000-1400-000002000000}"/>
            </a:ext>
          </a:extLst>
        </xdr:cNvPr>
        <xdr:cNvPicPr>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7870" b="6866"/>
        <a:stretch/>
      </xdr:blipFill>
      <xdr:spPr bwMode="auto">
        <a:xfrm>
          <a:off x="89647" y="35549"/>
          <a:ext cx="1586400" cy="5389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91257</xdr:colOff>
      <xdr:row>0</xdr:row>
      <xdr:rowOff>41413</xdr:rowOff>
    </xdr:from>
    <xdr:to>
      <xdr:col>1</xdr:col>
      <xdr:colOff>298174</xdr:colOff>
      <xdr:row>1</xdr:row>
      <xdr:rowOff>265043</xdr:rowOff>
    </xdr:to>
    <xdr:pic>
      <xdr:nvPicPr>
        <xdr:cNvPr id="2" name="Picture 2">
          <a:extLst>
            <a:ext uri="{FF2B5EF4-FFF2-40B4-BE49-F238E27FC236}">
              <a16:creationId xmlns:a16="http://schemas.microsoft.com/office/drawing/2014/main" id="{00000000-0008-0000-1500-000002000000}"/>
            </a:ext>
          </a:extLst>
        </xdr:cNvPr>
        <xdr:cNvPicPr>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7870" b="6866"/>
        <a:stretch/>
      </xdr:blipFill>
      <xdr:spPr bwMode="auto">
        <a:xfrm>
          <a:off x="91257" y="41413"/>
          <a:ext cx="1607092" cy="5379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046.510265856479" createdVersion="4" refreshedVersion="6" minRefreshableVersion="3" recordCount="873" xr:uid="{00000000-000A-0000-FFFF-FFFF2A000000}">
  <cacheSource type="worksheet">
    <worksheetSource ref="N8:Q882" sheet="Cotizacion"/>
  </cacheSource>
  <cacheFields count="4">
    <cacheField name="CANT." numFmtId="0">
      <sharedItems containsBlank="1" containsMixedTypes="1" containsNumber="1" containsInteger="1" minValue="0" maxValue="114"/>
    </cacheField>
    <cacheField name="CÓDIGO" numFmtId="0">
      <sharedItems containsBlank="1"/>
    </cacheField>
    <cacheField name="DESCRIPCION" numFmtId="0">
      <sharedItems containsBlank="1"/>
    </cacheField>
    <cacheField name="MODELO" numFmtId="0">
      <sharedItems containsBlank="1" count="212">
        <m/>
        <s v=""/>
        <s v="T5N630-630A-3P-PR221DS-LS/I"/>
        <s v="MOE_T4-T5"/>
        <s v="1Q+1SY_T4-T5-T6"/>
        <s v="D2PR4B+D2PA6"/>
        <s v="A1B125-32A-3P-TMF"/>
        <s v="FC-CuAl_T5_3t"/>
        <s v="CVM-C10"/>
        <s v="LAMP_ROJO_220V"/>
        <s v="OTM_I-0-II_3p_630A"/>
        <s v="1Q_OTM_160-2500A"/>
        <s v="ATS022"/>
        <s v="SH203-C-10A"/>
        <s v="XTRM10A22B"/>
        <s v="T5N400-400A-3P-PR221DS-LS/I"/>
        <s v="XT1B160-160A-3P-TMD"/>
        <s v="FC-CuAl_T5_3t_400A"/>
        <s v="XT1B160-100A-3P-TMD"/>
        <s v="A1B125-40A-3P-TMF"/>
        <s v="FC-CuAl_XT1_3t"/>
        <s v="FC-CuAl_A1_3t"/>
        <s v="T5N630-630A-3P-PR221DS-I"/>
        <s v="T5N400-400A-3P-PR221DS-I"/>
        <s v="XT2N160-32A-3P-MA"/>
        <s v="SH202-C-63A"/>
        <s v="SH202-C-20A"/>
        <s v="FH202-AC-25A-30mA"/>
        <s v="SOLERA 40MODULOS"/>
        <s v="SOLERA 28MODULOS"/>
        <s v="SH203-C-32A"/>
        <s v="SH203-C-20A"/>
        <s v="IH_GRASSLIN"/>
        <s v="AF09-30-10-13_3p"/>
        <s v="XT1B160-125A-3P-TMD"/>
        <s v="SH203-C-63A"/>
        <s v="SH202-C-40A"/>
        <s v="SH202-C-32A"/>
        <s v="FH202-AC-40A-30mA"/>
        <s v="AF26-30-10-13_3p"/>
        <s v="SH203-C-40A"/>
        <s v="FH204-AC-25A-30mA"/>
        <s v="A1B125-100A-3P-TMF"/>
        <s v="A1B125-80A-3P-TMF"/>
        <s v="FPF15KUG-100" u="1"/>
        <s v="BASE_FUSIBLE_NH" u="1"/>
        <s v="S202-C-32A" u="1"/>
        <s v="S203-C-63A" u="1"/>
        <s v="YU_T4-T5-T6_48V" u="1"/>
        <s v="S202-C-10A" u="1"/>
        <s v="2CMA170540R1000" u="1"/>
        <s v="1Q/1SY_XT1..XT4" u="1"/>
        <s v="XT2N160-32A-3P-TMD" u="1"/>
        <s v="KLF-D_T4-T5" u="1"/>
        <s v="REACT_40kVAR/380V_p7" u="1"/>
        <s v="REACT_60kVAR/380V_p7" u="1"/>
        <s v="REACT_80kVAR/380V_p7" u="1"/>
        <s v="S203-C-16A" u="1"/>
        <s v="F204-A APR-63A-30mA" u="1"/>
        <s v="RELE_TENSION_230Vac" u="1"/>
        <s v="ZS50" u="1"/>
        <s v="FC-Cu_XT4_3t" u="1"/>
        <s v="XT2N160-63A-3P-TMA" u="1"/>
        <s v="1SDA060398R1" u="1"/>
        <s v="CMC_80kVAR/400V" u="1"/>
        <s v="XT1C160-32A-3P-TMD" u="1"/>
        <s v="S201-C-32A" u="1"/>
        <s v="1SDA062883R1" u="1"/>
        <s v="CMC_10kVAR/230V" u="1"/>
        <s v="VENT+REJ+FILT-15K" u="1"/>
        <s v="1S51_E1.2" u="1"/>
        <s v="1SDA051369R1" u="1"/>
        <s v="LA ST240 3Y2" u="1"/>
        <s v="1SBN030111R1000" u="1"/>
        <s v="REJ+FILT-15K" u="1"/>
        <s v="S202-C-16A" u="1"/>
        <s v="S203-C-25A" u="1"/>
        <s v="1SDA067411R1" u="1"/>
        <s v="1SFA611210P1206" u="1"/>
        <s v="XT1C160-63A-3P-TMD" u="1"/>
        <s v="XT2S160-25A-4P-TMD" u="1"/>
        <s v="FUSIBLE_NH" u="1"/>
        <s v="T4N250-250A-3P-PR222DS/P-LSIG" u="1"/>
        <s v="XT2N160-50A-4P-TMA" u="1"/>
        <s v="XT2N160-80A-4P-TMA" u="1"/>
        <s v="XT1C160-125A-3P-TMD" u="1"/>
        <s v="T4N320-320A-4P-PR222DS/P-LSI" u="1"/>
        <s v="S202-C-50A" u="1"/>
        <s v="XT2N160-100A-3P-TMA" u="1"/>
        <s v="XT2N160-160A-3P-TMA" u="1"/>
        <s v="E1.2C-1250A-3P-Ekip Touch LSIG" u="1"/>
        <s v="E1.2N-1250A-3P-Ekip Touch LSIG" u="1"/>
        <s v="E1.2N-1600A-3P-Ekip Touch LSIG" u="1"/>
        <s v="2Q_T7" u="1"/>
        <s v="MEC_E2.2" u="1"/>
        <s v="N00408242432C" u="1"/>
        <s v="CALEFACT-60W_FAND" u="1"/>
        <s v="S202-C-25A" u="1"/>
        <s v="T7S1250(M)-1250A-3P-PR232/P-LSI" u="1"/>
        <s v="XT4N160-160A-3P-TMA" u="1"/>
        <s v="XT4N250-200A-3P-TMA" u="1"/>
        <s v="XT4N250-250A-3P-TMA" u="1"/>
        <s v="LA ST180 3Y2" u="1"/>
        <s v="KIT-CAB_E2.2-E6.2_C/HB" u="1"/>
        <s v="IDM-G5" u="1"/>
        <s v="T7S1600-1600A-3P-PR232/P-LSI" u="1"/>
        <s v="S203-C-40A" u="1"/>
        <s v="FC-CuAl_T4_3t" u="1"/>
        <s v="LAMP_VERDE_220V" u="1"/>
        <s v="A1B125-63A-3P-TMF" u="1"/>
        <s v="1SBL137001R1310" u="1"/>
        <s v="CMC_60kVAR/400V" u="1"/>
        <s v="F204-A APR-25A-30mA" u="1"/>
        <s v="SWITCH_I-0-II_3p_100A" u="1"/>
        <s v="EQ_A44-452_100_Oro(Gold)" u="1"/>
        <s v="1SDA063548R1" u="1"/>
        <s v="YM_E1.2_220V" u="1"/>
        <s v="S202-C-40A" u="1"/>
        <s v="1SDA063550R1" u="1"/>
        <s v="1SDA067414R1" u="1"/>
        <s v="T5N630-630A-3P-PR222DS/P-LSI" u="1"/>
        <s v="1SBL137001R1301" u="1"/>
        <s v="F204-A-25A-30mA" u="1"/>
        <s v="1S51_T7M" u="1"/>
        <s v="1SDA068090R1" u="1"/>
        <s v="D2PR2B+D2PA6" u="1"/>
        <s v="1S51_E2.2-E6.2" u="1"/>
        <s v="FH204-AC-40A-30mA" u="1"/>
        <s v="TEMP_TRK" u="1"/>
        <s v="REG_SMART_III" u="1"/>
        <s v="1SDA067415R1" u="1"/>
        <s v="T5N400-400A-3P-PR222DS/P-LSIG" u="1"/>
        <s v="ZS35" u="1"/>
        <s v="REACT_10kVAR/220V_p7" u="1"/>
        <s v="REACT_15kVAR/220V_p7" u="1"/>
        <s v="COND_10kVAR/220V_p7" u="1"/>
        <s v="COND_15kVAR/220V_p7" u="1"/>
        <s v="SEL_1-0-2" u="1"/>
        <s v="XT1N160-100A-3P-TMD" u="1"/>
        <s v="XT1N160-160A-3P-TMD" u="1"/>
        <s v="E4.2N-3200A-3P-Ekip Touch LSI" u="1"/>
        <s v="E4.2N-4000A-3P-Ekip Touch LSI" u="1"/>
        <s v="TRT-1NA" u="1"/>
        <s v="REG_SMART_III_6p" u="1"/>
        <s v="1SFA611100P310610" u="1"/>
        <s v="F202-A APR-25A-30mA" u="1"/>
        <s v="XT3N250-200A-3P-TMD" u="1"/>
        <s v="XT3N250-250A-3P-TMD" u="1"/>
        <s v="T5N400-400A-3P-PR222DS/P-LSI" u="1"/>
        <s v="1SDA060539R1" u="1"/>
        <s v="F202-A-25A-30mA" u="1"/>
        <s v="SOP_fijo_E1.2_A" u="1"/>
        <s v="XT1C160-100A-3P-TMD" u="1"/>
        <s v="XT1C160-160A-3P-TMD" u="1"/>
        <s v="OVRHSP802203Y" u="1"/>
        <s v="T5S400-400A-4P-PR222DS/P-LSIG" u="1"/>
        <s v="YC_Emax2_220V" u="1"/>
        <s v="SOP_E2.2..E6.2_A" u="1"/>
        <s v="XT2N160-25A-4P-TMD" u="1"/>
        <s v="1SDA062127R1" u="1"/>
        <s v="YO_T7" u="1"/>
        <s v="FC-Cu_XT2_3t" u="1"/>
        <s v="GJH1211001R8400" u="1"/>
        <s v="KIT-CAB_E1.2-E6.2_A/VB" u="1"/>
        <s v="CA4-10" u="1"/>
        <s v="YC_T7M" u="1"/>
        <s v="CMC_40kVAR/400V" u="1"/>
        <s v="YM_E2.2-6.2_220V" u="1"/>
        <s v="XT2S160-50A-4P-TMA" u="1"/>
        <s v="F204-A APR-40A-30mA" u="1"/>
        <s v="S203-C-20A" u="1"/>
        <s v="RELE_TENSION_400Vac" u="1"/>
        <s v="1SFA619402R5231" u="1"/>
        <s v="XT4N160-100A-3P-Ekip LS/I" u="1"/>
        <s v="XT4N250-250A-3P-Ekip LS/I" u="1"/>
        <s v="OVRHSP2002773Y" u="1"/>
        <s v="1SNK516010R0000" u="1"/>
        <s v="3Q+1SY_T4-T5-T6" u="1"/>
        <s v="E2.2N-2000A-4P-Ekip Touch LSIG" u="1"/>
        <s v="E2.2N-2500A-4P-Ekip Touch LSIG" u="1"/>
        <s v="1SDA068124R1" u="1"/>
        <s v="OVR-T2_3N_40-440_P-QS_3P+N" u="1"/>
        <s v="TRT-10A230V-NO" u="1"/>
        <s v="AF16-30-10-13_3p" u="1"/>
        <s v="XT2N160-125A-3P-TMA" u="1"/>
        <s v="1SDA065524R1" u="1"/>
        <s v="REJ+FILT-12K" u="1"/>
        <s v="mMCM-C10/3-MW" u="1"/>
        <s v="FPF15KU230BE-110" u="1"/>
        <s v="S202-C-20A" u="1"/>
        <s v="XT2N160-40A-3P-TMA" u="1"/>
        <s v="XT2N160-50A-3P-TMA" u="1"/>
        <s v="XT2N160-80A-3P-TMA" u="1"/>
        <s v="TEMP_TRL04" u="1"/>
        <s v="1SNK516011R0000" u="1"/>
        <s v="1SDA062129R1" u="1"/>
        <s v="XT2N160-20A-3P-TMD" u="1"/>
        <s v="KLC-D E1.2" u="1"/>
        <s v="1SDA062102R1" u="1"/>
        <s v="1SDA066422R1" u="1"/>
        <s v="S203-C-32A" u="1"/>
        <s v="F202-A APR-40A-30mA" u="1"/>
        <s v="YM_T7M" u="1"/>
        <s v="S201-C-20A" u="1"/>
        <s v="S203-C-10A" u="1"/>
        <s v="YO_Emax2_220V" u="1"/>
        <s v="XT1C160-40A-3P-TMD" u="1"/>
        <s v="XT1C160-50A-3P-TMD" u="1"/>
        <s v="XT1C160-80A-3P-TMD" u="1"/>
        <s v="COND_30kVAR/380V_p7" u="1"/>
        <s v="COND_40kVAR/380V_p7" u="1"/>
        <s v="1SFA619402R5232"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3">
  <r>
    <m/>
    <m/>
    <m/>
    <x v="0"/>
  </r>
  <r>
    <m/>
    <m/>
    <m/>
    <x v="0"/>
  </r>
  <r>
    <m/>
    <m/>
    <m/>
    <x v="1"/>
  </r>
  <r>
    <s v=""/>
    <s v=""/>
    <s v=""/>
    <x v="1"/>
  </r>
  <r>
    <s v=""/>
    <s v=""/>
    <s v=""/>
    <x v="1"/>
  </r>
  <r>
    <n v="1"/>
    <s v="1SDA054396R1"/>
    <s v="ITM Caja Moldeada 3x630A (electrónico [0.4-1.0] In) - T5N630-630A-3P-PR221DS-LS/I - 70kA@230Vac, 36kA@415Vac - marca ABB."/>
    <x v="2"/>
  </r>
  <r>
    <s v=""/>
    <s v=""/>
    <s v=""/>
    <x v="1"/>
  </r>
  <r>
    <s v=""/>
    <s v=""/>
    <s v=""/>
    <x v="1"/>
  </r>
  <r>
    <s v=""/>
    <s v=""/>
    <s v=""/>
    <x v="1"/>
  </r>
  <r>
    <s v=""/>
    <s v=""/>
    <s v=""/>
    <x v="1"/>
  </r>
  <r>
    <s v=""/>
    <s v=""/>
    <s v=""/>
    <x v="1"/>
  </r>
  <r>
    <s v=""/>
    <s v=""/>
    <s v=""/>
    <x v="1"/>
  </r>
  <r>
    <s v=""/>
    <s v=""/>
    <s v=""/>
    <x v="1"/>
  </r>
  <r>
    <s v=""/>
    <s v=""/>
    <s v=""/>
    <x v="1"/>
  </r>
  <r>
    <n v="1"/>
    <s v="1SDA054897R1"/>
    <s v="Mando motor (MOE) - T4-T5 - 220-250V AC/DC - (YM+YO+YC) - marca ABB."/>
    <x v="3"/>
  </r>
  <r>
    <n v="1"/>
    <s v="1SDA051368R1"/>
    <s v="1(Q) contacto conmutado de estado (NA/NC) + 1(SY) contacto por disparo de interruptor - T4-T5-T6 - version no cableada - marca ABB."/>
    <x v="4"/>
  </r>
  <r>
    <s v=""/>
    <s v=""/>
    <s v=""/>
    <x v="1"/>
  </r>
  <r>
    <s v=""/>
    <s v=""/>
    <s v=""/>
    <x v="1"/>
  </r>
  <r>
    <s v=""/>
    <s v=""/>
    <s v=""/>
    <x v="1"/>
  </r>
  <r>
    <s v=""/>
    <s v=""/>
    <s v=""/>
    <x v="1"/>
  </r>
  <r>
    <n v="2"/>
    <s v="D2PR4B+D2PA6"/>
    <s v="Rele auxiliar enchufable +4NA/NC (D2PR4B + base D2PA6), 220Vac - marca EATON."/>
    <x v="5"/>
  </r>
  <r>
    <s v=""/>
    <s v=""/>
    <s v=""/>
    <x v="1"/>
  </r>
  <r>
    <s v=""/>
    <s v=""/>
    <s v=""/>
    <x v="1"/>
  </r>
  <r>
    <s v=""/>
    <s v=""/>
    <s v=""/>
    <x v="1"/>
  </r>
  <r>
    <s v=""/>
    <s v=""/>
    <s v=""/>
    <x v="1"/>
  </r>
  <r>
    <n v="1"/>
    <s v="1SDA054396R1"/>
    <s v="ITM Caja Moldeada 3x630A (electrónico [0.4-1.0] In) - T5N630-630A-3P-PR221DS-LS/I - 70kA@230Vac, 36kA@415Vac - marca ABB."/>
    <x v="2"/>
  </r>
  <r>
    <n v="6"/>
    <s v="1SDA068758R1"/>
    <s v="ITM Caja Moldeada 3x32A - A1B125-32A-3P-TMF - 25kA@230Vac, 18kA@400Vac - marca ABB."/>
    <x v="6"/>
  </r>
  <r>
    <s v=""/>
    <s v=""/>
    <s v=""/>
    <x v="1"/>
  </r>
  <r>
    <s v=""/>
    <s v=""/>
    <s v=""/>
    <x v="1"/>
  </r>
  <r>
    <s v=""/>
    <s v=""/>
    <s v=""/>
    <x v="1"/>
  </r>
  <r>
    <n v="1"/>
    <s v="1SDA055032R1"/>
    <s v="FC-CuAl_T5 - Terminales + Cubrebornes - cables de cobre/aluminio hasta 2x240mm2 - 3 terminales (externos)."/>
    <x v="7"/>
  </r>
  <r>
    <s v=""/>
    <s v=""/>
    <s v=""/>
    <x v="1"/>
  </r>
  <r>
    <n v="1"/>
    <s v="1SDA055032R1"/>
    <s v="FC-CuAl_T5 - Terminales + Cubrebornes - cables de cobre/aluminio hasta 2x240mm2 - 3 terminales (externos)."/>
    <x v="7"/>
  </r>
  <r>
    <s v=""/>
    <s v=""/>
    <s v=""/>
    <x v="1"/>
  </r>
  <r>
    <s v=""/>
    <s v=""/>
    <s v=""/>
    <x v="1"/>
  </r>
  <r>
    <n v="1"/>
    <s v="CVM-C10-ITF-485-ICT2"/>
    <s v="Medidor multifunción - Modelo CVM-C10 - presición 0.5% - RS485, Modbus RTU - marca CIRCUTOR."/>
    <x v="8"/>
  </r>
  <r>
    <s v=""/>
    <s v=""/>
    <s v=""/>
    <x v="1"/>
  </r>
  <r>
    <s v=""/>
    <s v=""/>
    <s v=""/>
    <x v="1"/>
  </r>
  <r>
    <s v=""/>
    <s v=""/>
    <s v=""/>
    <x v="1"/>
  </r>
  <r>
    <s v=""/>
    <s v=""/>
    <s v=""/>
    <x v="1"/>
  </r>
  <r>
    <s v=""/>
    <s v=""/>
    <s v=""/>
    <x v="1"/>
  </r>
  <r>
    <s v=""/>
    <s v=""/>
    <s v=""/>
    <x v="1"/>
  </r>
  <r>
    <s v=""/>
    <s v=""/>
    <s v=""/>
    <x v="1"/>
  </r>
  <r>
    <s v=""/>
    <s v=""/>
    <s v=""/>
    <x v="1"/>
  </r>
  <r>
    <s v=""/>
    <s v=""/>
    <s v=""/>
    <x v="1"/>
  </r>
  <r>
    <s v=""/>
    <s v=""/>
    <s v=""/>
    <x v="1"/>
  </r>
  <r>
    <s v=""/>
    <s v=""/>
    <s v=""/>
    <x v="1"/>
  </r>
  <r>
    <n v="3"/>
    <s v="1SFA619403R5231"/>
    <s v="Portalámpara + lampara tipo LED - color Rojo - alimentacion: 220-230Vac, d=22mm. - CL2-523R - línea compacta - marca ABB."/>
    <x v="9"/>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2"/>
    <s v="1SDA054396R1"/>
    <s v="ITM Caja Moldeada 3x630A (electrónico [0.4-1.0] In) - T5N630-630A-3P-PR221DS-LS/I - 70kA@230Vac, 36kA@415Vac - marca ABB."/>
    <x v="2"/>
  </r>
  <r>
    <s v=""/>
    <s v=""/>
    <s v=""/>
    <x v="1"/>
  </r>
  <r>
    <n v="1"/>
    <s v="1SCA103567R1001"/>
    <s v="Conmutador motorizado bajo carga (I-0-II), modelo OTM-C, 3p, 630A (AC21..AC22) / 630A (AC23) - marca ABB."/>
    <x v="10"/>
  </r>
  <r>
    <s v=""/>
    <s v=""/>
    <s v=""/>
    <x v="1"/>
  </r>
  <r>
    <n v="2"/>
    <s v="1SCA022353R4970"/>
    <s v="1(Q) contacto conmutado de estado 1NA para OTM160..2500A - marca ABB."/>
    <x v="11"/>
  </r>
  <r>
    <s v=""/>
    <s v=""/>
    <s v=""/>
    <x v="1"/>
  </r>
  <r>
    <n v="1"/>
    <s v="1SDA065524R1"/>
    <s v="Controlador de Conmutación Automática ATS022 - pantalla digital, con módulo de com. Modbus-RS485 para monitoreo - marca ABB."/>
    <x v="12"/>
  </r>
  <r>
    <n v="2"/>
    <s v="2CDS213001R0104"/>
    <s v="ITM Riel-Din 3x10A - SH203-C-10A - 10kA@230Vac, 6kA@400Vac-IEC60898 - marca ABB."/>
    <x v="13"/>
  </r>
  <r>
    <n v="1"/>
    <s v="XTRM10A22B"/>
    <s v="Minicontactor de control DILER-22 / XTRM10A22B, 10A, 2NA+2NC, bobina 220Vac, marca EATON."/>
    <x v="14"/>
  </r>
  <r>
    <s v=""/>
    <s v=""/>
    <s v=""/>
    <x v="1"/>
  </r>
  <r>
    <n v="0"/>
    <s v="D2PR4B+D2PA6"/>
    <s v="Rele auxiliar enchufable +4NA/NC (D2PR4B + base D2PA6), 220Vac - marca EATON."/>
    <x v="5"/>
  </r>
  <r>
    <s v=""/>
    <s v=""/>
    <s v=""/>
    <x v="1"/>
  </r>
  <r>
    <s v=""/>
    <s v=""/>
    <s v=""/>
    <x v="1"/>
  </r>
  <r>
    <s v=""/>
    <s v=""/>
    <s v=""/>
    <x v="1"/>
  </r>
  <r>
    <s v=""/>
    <s v=""/>
    <s v=""/>
    <x v="1"/>
  </r>
  <r>
    <s v=""/>
    <s v=""/>
    <s v=""/>
    <x v="1"/>
  </r>
  <r>
    <n v="1"/>
    <s v="1SDA054317R1"/>
    <s v="ITM Caja Moldeada 3x400A (electrónico [0.4-1.0] In) - T5N400-400A-3P-PR221DS-LS/I - 70kA@230Vac, 36kA@415Vac - marca ABB."/>
    <x v="15"/>
  </r>
  <r>
    <n v="2"/>
    <s v="1SDA066809R1"/>
    <s v="ITM Caja Moldeada 3x160A (reg.[0.7-1.0] In) - XT1B160-160A-3P-TMD - 25kA@230Vac, 18kA@415Vac, 18kA@250Vdc - marca ABB."/>
    <x v="16"/>
  </r>
  <r>
    <n v="1"/>
    <s v="1SDA068758R1"/>
    <s v="ITM Caja Moldeada 3x32A - A1B125-32A-3P-TMF - 25kA@230Vac, 18kA@400Vac - marca ABB."/>
    <x v="6"/>
  </r>
  <r>
    <s v=""/>
    <s v=""/>
    <s v=""/>
    <x v="1"/>
  </r>
  <r>
    <s v=""/>
    <s v=""/>
    <s v=""/>
    <x v="1"/>
  </r>
  <r>
    <s v=""/>
    <s v=""/>
    <s v=""/>
    <x v="1"/>
  </r>
  <r>
    <n v="2"/>
    <s v="1SDA055032R1"/>
    <s v="FC-CuAl_T5 - Terminales + Cubrebornes - cables de cobre/aluminio hasta 2x240mm2 - 3 terminales (externos)."/>
    <x v="7"/>
  </r>
  <r>
    <n v="1"/>
    <s v="1SDA055024R1"/>
    <s v="FC-CuAl_T5-400A - Terminales - cables de cobre/aluminio hasta 1x300mm2 - 3 terminales (internos)."/>
    <x v="17"/>
  </r>
  <r>
    <s v=""/>
    <s v=""/>
    <s v=""/>
    <x v="1"/>
  </r>
  <r>
    <s v=""/>
    <s v=""/>
    <s v=""/>
    <x v="1"/>
  </r>
  <r>
    <n v="6"/>
    <s v="1SFA619403R5231"/>
    <s v="Portalámpara + lampara tipo LED - color Rojo - alimentacion: 220-230Vac, d=22mm. - CL2-523R - línea compacta - marca ABB."/>
    <x v="9"/>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1SDA054317R1"/>
    <s v="ITM Caja Moldeada 3x400A (electrónico [0.4-1.0] In) - T5N400-400A-3P-PR221DS-LS/I - 70kA@230Vac, 36kA@415Vac - marca ABB."/>
    <x v="15"/>
  </r>
  <r>
    <s v=""/>
    <s v=""/>
    <s v=""/>
    <x v="1"/>
  </r>
  <r>
    <s v=""/>
    <s v=""/>
    <s v=""/>
    <x v="1"/>
  </r>
  <r>
    <s v=""/>
    <s v=""/>
    <s v=""/>
    <x v="1"/>
  </r>
  <r>
    <s v=""/>
    <s v=""/>
    <s v=""/>
    <x v="1"/>
  </r>
  <r>
    <s v=""/>
    <s v=""/>
    <s v=""/>
    <x v="1"/>
  </r>
  <r>
    <s v=""/>
    <s v=""/>
    <s v=""/>
    <x v="1"/>
  </r>
  <r>
    <s v=""/>
    <s v=""/>
    <s v=""/>
    <x v="1"/>
  </r>
  <r>
    <n v="1"/>
    <s v="1SDA054897R1"/>
    <s v="Mando motor (MOE) - T4-T5 - 220-250V AC/DC - (YM+YO+YC) - marca ABB."/>
    <x v="3"/>
  </r>
  <r>
    <n v="1"/>
    <s v="1SDA051368R1"/>
    <s v="1(Q) contacto conmutado de estado (NA/NC) + 1(SY) contacto por disparo de interruptor - T4-T5-T6 - version no cableada - marca ABB."/>
    <x v="4"/>
  </r>
  <r>
    <s v=""/>
    <s v=""/>
    <s v=""/>
    <x v="1"/>
  </r>
  <r>
    <s v=""/>
    <s v=""/>
    <s v=""/>
    <x v="1"/>
  </r>
  <r>
    <s v=""/>
    <s v=""/>
    <s v=""/>
    <x v="1"/>
  </r>
  <r>
    <s v=""/>
    <s v=""/>
    <s v=""/>
    <x v="1"/>
  </r>
  <r>
    <n v="2"/>
    <s v="D2PR4B+D2PA6"/>
    <s v="Rele auxiliar enchufable +4NA/NC (D2PR4B + base D2PA6), 220Vac - marca EATON."/>
    <x v="5"/>
  </r>
  <r>
    <s v=""/>
    <s v=""/>
    <s v=""/>
    <x v="1"/>
  </r>
  <r>
    <s v=""/>
    <s v=""/>
    <s v=""/>
    <x v="1"/>
  </r>
  <r>
    <s v=""/>
    <s v=""/>
    <s v=""/>
    <x v="1"/>
  </r>
  <r>
    <s v=""/>
    <s v=""/>
    <s v=""/>
    <x v="1"/>
  </r>
  <r>
    <n v="1"/>
    <s v="1SDA066809R1"/>
    <s v="ITM Caja Moldeada 3x160A (reg.[0.7-1.0] In) - XT1B160-160A-3P-TMD - 25kA@230Vac, 18kA@415Vac, 18kA@250Vdc - marca ABB."/>
    <x v="16"/>
  </r>
  <r>
    <n v="2"/>
    <s v="1SDA066807R1"/>
    <s v="ITM Caja Moldeada 3x100A (reg.[0.7-1.0] In) - XT1B160-100A-3P-TMD - 25kA@230Vac, 18kA@415Vac, 18kA@250Vdc - marca ABB."/>
    <x v="18"/>
  </r>
  <r>
    <n v="2"/>
    <s v="1SDA066701R1"/>
    <s v="ITM Caja Moldeada 3x40A - A1B125-40A-3P-TMF - 25kA@230Vac, 18kA@400Vac - marca ABB."/>
    <x v="19"/>
  </r>
  <r>
    <n v="6"/>
    <s v="1SDA068758R1"/>
    <s v="ITM Caja Moldeada 3x32A - A1B125-32A-3P-TMF - 25kA@230Vac, 18kA@400Vac - marca ABB."/>
    <x v="6"/>
  </r>
  <r>
    <s v=""/>
    <s v=""/>
    <s v=""/>
    <x v="1"/>
  </r>
  <r>
    <s v=""/>
    <s v=""/>
    <s v=""/>
    <x v="1"/>
  </r>
  <r>
    <s v=""/>
    <s v=""/>
    <s v=""/>
    <x v="1"/>
  </r>
  <r>
    <n v="1"/>
    <s v="1SDA055024R1"/>
    <s v="FC-CuAl_T5-400A - Terminales - cables de cobre/aluminio hasta 1x300mm2 - 3 terminales (internos)."/>
    <x v="17"/>
  </r>
  <r>
    <s v=""/>
    <s v=""/>
    <s v=""/>
    <x v="1"/>
  </r>
  <r>
    <s v=""/>
    <s v=""/>
    <s v=""/>
    <x v="1"/>
  </r>
  <r>
    <n v="1"/>
    <s v="1SDA067155R1"/>
    <s v="FC-CuAl_XT1 - Terminales + Cubrebornes - cables de cobre/aluminio hasta 1x95mm2 - 3 terminales (externos)"/>
    <x v="20"/>
  </r>
  <r>
    <n v="2"/>
    <s v="1SDA066242R1"/>
    <s v="FC-CuAl_A1 - Terminales + Cubrebornes - cables de cobre/aluminio hasta 1x50mm2 - 3 terminales (internos)"/>
    <x v="21"/>
  </r>
  <r>
    <s v=""/>
    <s v=""/>
    <s v=""/>
    <x v="1"/>
  </r>
  <r>
    <s v=""/>
    <s v=""/>
    <s v=""/>
    <x v="1"/>
  </r>
  <r>
    <n v="1"/>
    <s v="CVM-C10-ITF-485-ICT2"/>
    <s v="Medidor multifunción - Modelo CVM-C10 - presición 0.5% - RS485, Modbus RTU - marca CIRCUTOR."/>
    <x v="8"/>
  </r>
  <r>
    <s v=""/>
    <s v=""/>
    <s v=""/>
    <x v="1"/>
  </r>
  <r>
    <s v=""/>
    <s v=""/>
    <s v=""/>
    <x v="1"/>
  </r>
  <r>
    <s v=""/>
    <s v=""/>
    <s v=""/>
    <x v="1"/>
  </r>
  <r>
    <s v=""/>
    <s v=""/>
    <s v=""/>
    <x v="1"/>
  </r>
  <r>
    <s v=""/>
    <s v=""/>
    <s v=""/>
    <x v="1"/>
  </r>
  <r>
    <s v=""/>
    <s v=""/>
    <s v=""/>
    <x v="1"/>
  </r>
  <r>
    <s v=""/>
    <s v=""/>
    <s v=""/>
    <x v="1"/>
  </r>
  <r>
    <s v=""/>
    <s v=""/>
    <s v=""/>
    <x v="1"/>
  </r>
  <r>
    <s v=""/>
    <s v=""/>
    <s v=""/>
    <x v="1"/>
  </r>
  <r>
    <s v=""/>
    <s v=""/>
    <s v=""/>
    <x v="1"/>
  </r>
  <r>
    <s v=""/>
    <s v=""/>
    <s v=""/>
    <x v="1"/>
  </r>
  <r>
    <n v="3"/>
    <s v="1SFA619403R5231"/>
    <s v="Portalámpara + lampara tipo LED - color Rojo - alimentacion: 220-230Vac, d=22mm. - CL2-523R - línea compacta - marca ABB."/>
    <x v="9"/>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2"/>
    <s v="1SDA054397R1"/>
    <s v="IM Caja Moldeada 3x630A (electrónico [0.4-1.0] In) - T5N630-630A-3P-PR221DS-I - 70kA@230Vac, 36kA@415Vac - marca ABB."/>
    <x v="22"/>
  </r>
  <r>
    <s v=""/>
    <s v=""/>
    <s v=""/>
    <x v="1"/>
  </r>
  <r>
    <n v="1"/>
    <s v="1SCA103567R1001"/>
    <s v="Conmutador motorizado bajo carga (I-0-II), modelo OTM-C, 3p, 630A (AC21..AC22) / 630A (AC23) - marca ABB."/>
    <x v="10"/>
  </r>
  <r>
    <s v=""/>
    <s v=""/>
    <s v=""/>
    <x v="1"/>
  </r>
  <r>
    <n v="2"/>
    <s v="1SCA022353R4970"/>
    <s v="1(Q) contacto conmutado de estado 1NA para OTM160..2500A - marca ABB."/>
    <x v="11"/>
  </r>
  <r>
    <s v=""/>
    <s v=""/>
    <s v=""/>
    <x v="1"/>
  </r>
  <r>
    <n v="1"/>
    <s v="1SDA065524R1"/>
    <s v="Controlador de Conmutación Automática ATS022 - pantalla digital, con módulo de com. Modbus-RS485 para monitoreo - marca ABB."/>
    <x v="12"/>
  </r>
  <r>
    <n v="2"/>
    <s v="2CDS213001R0104"/>
    <s v="ITM Riel-Din 3x10A - SH203-C-10A - 10kA@230Vac, 6kA@400Vac-IEC60898 - marca ABB."/>
    <x v="13"/>
  </r>
  <r>
    <n v="1"/>
    <s v="XTRM10A22B"/>
    <s v="Minicontactor de control DILER-22 / XTRM10A22B, 10A, 2NA+2NC, bobina 220Vac, marca EATON."/>
    <x v="14"/>
  </r>
  <r>
    <s v=""/>
    <s v=""/>
    <s v=""/>
    <x v="1"/>
  </r>
  <r>
    <n v="0"/>
    <s v="D2PR4B+D2PA6"/>
    <s v="Rele auxiliar enchufable +4NA/NC (D2PR4B + base D2PA6), 220Vac - marca EATON."/>
    <x v="5"/>
  </r>
  <r>
    <s v=""/>
    <s v=""/>
    <s v=""/>
    <x v="1"/>
  </r>
  <r>
    <s v=""/>
    <s v=""/>
    <s v=""/>
    <x v="1"/>
  </r>
  <r>
    <s v=""/>
    <s v=""/>
    <s v=""/>
    <x v="1"/>
  </r>
  <r>
    <s v=""/>
    <s v=""/>
    <s v=""/>
    <x v="1"/>
  </r>
  <r>
    <s v=""/>
    <s v=""/>
    <s v=""/>
    <x v="1"/>
  </r>
  <r>
    <n v="1"/>
    <s v="1SDA054319R1"/>
    <s v="IM Caja Moldeada 3x400A (electrónico [0.4-1.0] In) - T5N400-400A-3P-PR221DS-I - 70kA@230Vac, 36kA@415Vac - marca ABB."/>
    <x v="23"/>
  </r>
  <r>
    <n v="1"/>
    <s v="1SDA067050R1"/>
    <s v="IM Caja Moldeada 3x32A - XT2N160-32A-3P-MA - 65kA@230Vac, 36kA@415Vac - marca ABB."/>
    <x v="24"/>
  </r>
  <r>
    <s v=""/>
    <s v=""/>
    <s v=""/>
    <x v="1"/>
  </r>
  <r>
    <s v=""/>
    <s v=""/>
    <s v=""/>
    <x v="1"/>
  </r>
  <r>
    <n v="2"/>
    <s v="1SDA055032R1"/>
    <s v="FC-CuAl_T5 - Terminales + Cubrebornes - cables de cobre/aluminio hasta 2x240mm2 - 3 terminales (externos)."/>
    <x v="7"/>
  </r>
  <r>
    <n v="1"/>
    <s v="1SDA055024R1"/>
    <s v="FC-CuAl_T5-400A - Terminales - cables de cobre/aluminio hasta 1x300mm2 - 3 terminales (internos)."/>
    <x v="17"/>
  </r>
  <r>
    <s v=""/>
    <s v=""/>
    <s v=""/>
    <x v="1"/>
  </r>
  <r>
    <s v=""/>
    <s v=""/>
    <s v=""/>
    <x v="1"/>
  </r>
  <r>
    <n v="6"/>
    <s v="1SFA619403R5231"/>
    <s v="Portalámpara + lampara tipo LED - color Rojo - alimentacion: 220-230Vac, d=22mm. - CL2-523R - línea compacta - marca ABB."/>
    <x v="9"/>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9"/>
    <s v="2CDS212001R0634"/>
    <s v="ITM Riel-Din 2x63A - SH202-C-63A - 10kA@230Vac, 6kA@400Vac-IEC60898 - marca ABB."/>
    <x v="25"/>
  </r>
  <r>
    <s v=""/>
    <s v=""/>
    <s v=""/>
    <x v="1"/>
  </r>
  <r>
    <s v=""/>
    <s v=""/>
    <s v=""/>
    <x v="1"/>
  </r>
  <r>
    <n v="114"/>
    <s v="2CDS212001R0204"/>
    <s v="ITM Riel-Din 2x20A - SH202-C-20A - 10kA@230Vac, 6kA@400Vac-IEC60898 - marca ABB."/>
    <x v="26"/>
  </r>
  <r>
    <n v="114"/>
    <s v="1TMF202006R1250"/>
    <s v="Interruptor Diferencial 2x25A - 30mA - clase AC - FH202-AC-25A-30mA - marca ABB."/>
    <x v="27"/>
  </r>
  <r>
    <s v=""/>
    <s v=""/>
    <s v=""/>
    <x v="1"/>
  </r>
  <r>
    <s v=""/>
    <s v=""/>
    <s v=""/>
    <x v="1"/>
  </r>
  <r>
    <s v=""/>
    <s v=""/>
    <s v=""/>
    <x v="1"/>
  </r>
  <r>
    <s v=""/>
    <s v=""/>
    <s v=""/>
    <x v="1"/>
  </r>
  <r>
    <s v=""/>
    <s v=""/>
    <s v=""/>
    <x v="1"/>
  </r>
  <r>
    <s v=""/>
    <s v=""/>
    <s v=""/>
    <x v="1"/>
  </r>
  <r>
    <s v=""/>
    <s v=""/>
    <s v=""/>
    <x v="1"/>
  </r>
  <r>
    <n v="19"/>
    <s v="SOLERA 40MODULOS"/>
    <s v="TABLERO EMPO. L/HALOG. 40 POLOS C/BORNE A/H PVC /8206PFR1"/>
    <x v="28"/>
  </r>
  <r>
    <s v=""/>
    <s v=""/>
    <s v=""/>
    <x v="1"/>
  </r>
  <r>
    <s v=""/>
    <s v=""/>
    <s v=""/>
    <x v="1"/>
  </r>
  <r>
    <s v=""/>
    <s v=""/>
    <s v=""/>
    <x v="1"/>
  </r>
  <r>
    <s v=""/>
    <s v=""/>
    <s v=""/>
    <x v="1"/>
  </r>
  <r>
    <n v="23"/>
    <s v="2CDS212001R0634"/>
    <s v="ITM Riel-Din 2x63A - SH202-C-63A - 10kA@230Vac, 6kA@400Vac-IEC60898 - marca ABB."/>
    <x v="25"/>
  </r>
  <r>
    <s v=""/>
    <s v=""/>
    <s v=""/>
    <x v="1"/>
  </r>
  <r>
    <s v=""/>
    <s v=""/>
    <s v=""/>
    <x v="1"/>
  </r>
  <r>
    <n v="92"/>
    <s v="2CDS212001R0204"/>
    <s v="ITM Riel-Din 2x20A - SH202-C-20A - 10kA@230Vac, 6kA@400Vac-IEC60898 - marca ABB."/>
    <x v="26"/>
  </r>
  <r>
    <n v="92"/>
    <s v="1TMF202006R1250"/>
    <s v="Interruptor Diferencial 2x25A - 30mA - clase AC - FH202-AC-25A-30mA - marca ABB."/>
    <x v="27"/>
  </r>
  <r>
    <s v=""/>
    <s v=""/>
    <s v=""/>
    <x v="1"/>
  </r>
  <r>
    <s v=""/>
    <s v=""/>
    <s v=""/>
    <x v="1"/>
  </r>
  <r>
    <s v=""/>
    <s v=""/>
    <s v=""/>
    <x v="1"/>
  </r>
  <r>
    <s v=""/>
    <s v=""/>
    <s v=""/>
    <x v="1"/>
  </r>
  <r>
    <s v=""/>
    <s v=""/>
    <s v=""/>
    <x v="1"/>
  </r>
  <r>
    <s v=""/>
    <s v=""/>
    <s v=""/>
    <x v="1"/>
  </r>
  <r>
    <s v=""/>
    <s v=""/>
    <s v=""/>
    <x v="1"/>
  </r>
  <r>
    <n v="23"/>
    <s v="SOLERA 28MODULOS"/>
    <s v="TABLERO EMPO. L/HALOG. 28 POLOS C/BORNE A/H PVC /5250PFR1"/>
    <x v="29"/>
  </r>
  <r>
    <s v=""/>
    <s v=""/>
    <s v=""/>
    <x v="1"/>
  </r>
  <r>
    <s v=""/>
    <s v=""/>
    <s v=""/>
    <x v="1"/>
  </r>
  <r>
    <s v=""/>
    <s v=""/>
    <s v=""/>
    <x v="1"/>
  </r>
  <r>
    <s v=""/>
    <s v=""/>
    <s v=""/>
    <x v="1"/>
  </r>
  <r>
    <n v="19"/>
    <s v="2CDS212001R0634"/>
    <s v="ITM Riel-Din 2x63A - SH202-C-63A - 10kA@230Vac, 6kA@400Vac-IEC60898 - marca ABB."/>
    <x v="25"/>
  </r>
  <r>
    <s v=""/>
    <s v=""/>
    <s v=""/>
    <x v="1"/>
  </r>
  <r>
    <s v=""/>
    <s v=""/>
    <s v=""/>
    <x v="1"/>
  </r>
  <r>
    <n v="95"/>
    <s v="2CDS212001R0204"/>
    <s v="ITM Riel-Din 2x20A - SH202-C-20A - 10kA@230Vac, 6kA@400Vac-IEC60898 - marca ABB."/>
    <x v="26"/>
  </r>
  <r>
    <n v="95"/>
    <s v="1TMF202006R1250"/>
    <s v="Interruptor Diferencial 2x25A - 30mA - clase AC - FH202-AC-25A-30mA - marca ABB."/>
    <x v="27"/>
  </r>
  <r>
    <s v=""/>
    <s v=""/>
    <s v=""/>
    <x v="1"/>
  </r>
  <r>
    <s v=""/>
    <s v=""/>
    <s v=""/>
    <x v="1"/>
  </r>
  <r>
    <s v=""/>
    <s v=""/>
    <s v=""/>
    <x v="1"/>
  </r>
  <r>
    <s v=""/>
    <s v=""/>
    <s v=""/>
    <x v="1"/>
  </r>
  <r>
    <s v=""/>
    <s v=""/>
    <s v=""/>
    <x v="1"/>
  </r>
  <r>
    <s v=""/>
    <s v=""/>
    <s v=""/>
    <x v="1"/>
  </r>
  <r>
    <s v=""/>
    <s v=""/>
    <s v=""/>
    <x v="1"/>
  </r>
  <r>
    <n v="19"/>
    <s v="SOLERA 28MODULOS"/>
    <s v="TABLERO EMPO. L/HALOG. 28 POLOS C/BORNE A/H PVC /5250PFR1"/>
    <x v="29"/>
  </r>
  <r>
    <s v=""/>
    <s v=""/>
    <s v=""/>
    <x v="1"/>
  </r>
  <r>
    <s v=""/>
    <s v=""/>
    <s v=""/>
    <x v="1"/>
  </r>
  <r>
    <s v=""/>
    <s v=""/>
    <s v=""/>
    <x v="1"/>
  </r>
  <r>
    <s v=""/>
    <s v=""/>
    <s v=""/>
    <x v="1"/>
  </r>
  <r>
    <n v="6"/>
    <s v="2CDS212001R0634"/>
    <s v="ITM Riel-Din 2x63A - SH202-C-63A - 10kA@230Vac, 6kA@400Vac-IEC60898 - marca ABB."/>
    <x v="25"/>
  </r>
  <r>
    <s v=""/>
    <s v=""/>
    <s v=""/>
    <x v="1"/>
  </r>
  <r>
    <s v=""/>
    <s v=""/>
    <s v=""/>
    <x v="1"/>
  </r>
  <r>
    <n v="42"/>
    <s v="2CDS212001R0204"/>
    <s v="ITM Riel-Din 2x20A - SH202-C-20A - 10kA@230Vac, 6kA@400Vac-IEC60898 - marca ABB."/>
    <x v="26"/>
  </r>
  <r>
    <n v="42"/>
    <s v="1TMF202006R1250"/>
    <s v="Interruptor Diferencial 2x25A - 30mA - clase AC - FH202-AC-25A-30mA - marca ABB."/>
    <x v="27"/>
  </r>
  <r>
    <s v=""/>
    <s v=""/>
    <s v=""/>
    <x v="1"/>
  </r>
  <r>
    <s v=""/>
    <s v=""/>
    <s v=""/>
    <x v="1"/>
  </r>
  <r>
    <s v=""/>
    <s v=""/>
    <s v=""/>
    <x v="1"/>
  </r>
  <r>
    <s v=""/>
    <s v=""/>
    <s v=""/>
    <x v="1"/>
  </r>
  <r>
    <s v=""/>
    <s v=""/>
    <s v=""/>
    <x v="1"/>
  </r>
  <r>
    <s v=""/>
    <s v=""/>
    <s v=""/>
    <x v="1"/>
  </r>
  <r>
    <s v=""/>
    <s v=""/>
    <s v=""/>
    <x v="1"/>
  </r>
  <r>
    <n v="6"/>
    <s v="SOLERA 40MODULOS"/>
    <s v="TABLERO EMPO. L/HALOG. 40 POLOS C/BORNE A/H PVC /8206PFR1"/>
    <x v="28"/>
  </r>
  <r>
    <s v=""/>
    <s v=""/>
    <s v=""/>
    <x v="1"/>
  </r>
  <r>
    <s v=""/>
    <s v=""/>
    <s v=""/>
    <x v="1"/>
  </r>
  <r>
    <s v=""/>
    <s v=""/>
    <s v=""/>
    <x v="1"/>
  </r>
  <r>
    <s v=""/>
    <s v=""/>
    <s v=""/>
    <x v="1"/>
  </r>
  <r>
    <n v="12"/>
    <s v="2CDS212001R0634"/>
    <s v="ITM Riel-Din 2x63A - SH202-C-63A - 10kA@230Vac, 6kA@400Vac-IEC60898 - marca ABB."/>
    <x v="25"/>
  </r>
  <r>
    <s v=""/>
    <s v=""/>
    <s v=""/>
    <x v="1"/>
  </r>
  <r>
    <s v=""/>
    <s v=""/>
    <s v=""/>
    <x v="1"/>
  </r>
  <r>
    <n v="48"/>
    <s v="2CDS212001R0204"/>
    <s v="ITM Riel-Din 2x20A - SH202-C-20A - 10kA@230Vac, 6kA@400Vac-IEC60898 - marca ABB."/>
    <x v="26"/>
  </r>
  <r>
    <n v="48"/>
    <s v="1TMF202006R1250"/>
    <s v="Interruptor Diferencial 2x25A - 30mA - clase AC - FH202-AC-25A-30mA - marca ABB."/>
    <x v="27"/>
  </r>
  <r>
    <s v=""/>
    <s v=""/>
    <s v=""/>
    <x v="1"/>
  </r>
  <r>
    <s v=""/>
    <s v=""/>
    <s v=""/>
    <x v="1"/>
  </r>
  <r>
    <s v=""/>
    <s v=""/>
    <s v=""/>
    <x v="1"/>
  </r>
  <r>
    <s v=""/>
    <s v=""/>
    <s v=""/>
    <x v="1"/>
  </r>
  <r>
    <s v=""/>
    <s v=""/>
    <s v=""/>
    <x v="1"/>
  </r>
  <r>
    <s v=""/>
    <s v=""/>
    <s v=""/>
    <x v="1"/>
  </r>
  <r>
    <s v=""/>
    <s v=""/>
    <s v=""/>
    <x v="1"/>
  </r>
  <r>
    <n v="12"/>
    <s v="SOLERA 28MODULOS"/>
    <s v="TABLERO EMPO. L/HALOG. 28 POLOS C/BORNE A/H PVC /5250PFR1"/>
    <x v="29"/>
  </r>
  <r>
    <s v=""/>
    <s v=""/>
    <s v=""/>
    <x v="1"/>
  </r>
  <r>
    <s v=""/>
    <s v=""/>
    <s v=""/>
    <x v="1"/>
  </r>
  <r>
    <s v=""/>
    <s v=""/>
    <s v=""/>
    <x v="1"/>
  </r>
  <r>
    <s v=""/>
    <s v=""/>
    <s v=""/>
    <x v="1"/>
  </r>
  <r>
    <n v="8"/>
    <s v="2CDS212001R0634"/>
    <s v="ITM Riel-Din 2x63A - SH202-C-63A - 10kA@230Vac, 6kA@400Vac-IEC60898 - marca ABB."/>
    <x v="25"/>
  </r>
  <r>
    <s v=""/>
    <s v=""/>
    <s v=""/>
    <x v="1"/>
  </r>
  <r>
    <s v=""/>
    <s v=""/>
    <s v=""/>
    <x v="1"/>
  </r>
  <r>
    <n v="48"/>
    <s v="2CDS212001R0204"/>
    <s v="ITM Riel-Din 2x20A - SH202-C-20A - 10kA@230Vac, 6kA@400Vac-IEC60898 - marca ABB."/>
    <x v="26"/>
  </r>
  <r>
    <n v="48"/>
    <s v="1TMF202006R1250"/>
    <s v="Interruptor Diferencial 2x25A - 30mA - clase AC - FH202-AC-25A-30mA - marca ABB."/>
    <x v="27"/>
  </r>
  <r>
    <s v=""/>
    <s v=""/>
    <s v=""/>
    <x v="1"/>
  </r>
  <r>
    <s v=""/>
    <s v=""/>
    <s v=""/>
    <x v="1"/>
  </r>
  <r>
    <s v=""/>
    <s v=""/>
    <s v=""/>
    <x v="1"/>
  </r>
  <r>
    <s v=""/>
    <s v=""/>
    <s v=""/>
    <x v="1"/>
  </r>
  <r>
    <s v=""/>
    <s v=""/>
    <s v=""/>
    <x v="1"/>
  </r>
  <r>
    <s v=""/>
    <s v=""/>
    <s v=""/>
    <x v="1"/>
  </r>
  <r>
    <s v=""/>
    <s v=""/>
    <s v=""/>
    <x v="1"/>
  </r>
  <r>
    <n v="8"/>
    <s v="SOLERA 40MODULOS"/>
    <s v="TABLERO EMPO. L/HALOG. 40 POLOS C/BORNE A/H PVC /8206PFR1"/>
    <x v="28"/>
  </r>
  <r>
    <s v=""/>
    <s v=""/>
    <s v=""/>
    <x v="1"/>
  </r>
  <r>
    <s v=""/>
    <s v=""/>
    <s v=""/>
    <x v="1"/>
  </r>
  <r>
    <s v=""/>
    <s v=""/>
    <s v=""/>
    <x v="1"/>
  </r>
  <r>
    <s v=""/>
    <s v=""/>
    <s v=""/>
    <x v="1"/>
  </r>
  <r>
    <n v="1"/>
    <s v="2CDS213001R0324"/>
    <s v="ITM Riel-Din 3x32A - SH203-C-32A - 10kA@230Vac, 6kA@400Vac-IEC60898 - marca ABB."/>
    <x v="30"/>
  </r>
  <r>
    <s v=""/>
    <s v=""/>
    <s v=""/>
    <x v="1"/>
  </r>
  <r>
    <s v=""/>
    <s v=""/>
    <s v=""/>
    <x v="1"/>
  </r>
  <r>
    <n v="2"/>
    <s v="2CDS213001R0204"/>
    <s v="ITM Riel-Din 3x20A - SH203-C-20A - 10kA@230Vac, 6kA@400Vac-IEC60898 - marca ABB."/>
    <x v="31"/>
  </r>
  <r>
    <n v="2"/>
    <s v="2CDS212001R0204"/>
    <s v="ITM Riel-Din 2x20A - SH202-C-20A - 10kA@230Vac, 6kA@400Vac-IEC60898 - marca ABB."/>
    <x v="26"/>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2CDS213001R0324"/>
    <s v="ITM Riel-Din 3x32A - SH203-C-32A - 10kA@230Vac, 6kA@400Vac-IEC60898 - marca ABB."/>
    <x v="30"/>
  </r>
  <r>
    <s v=""/>
    <s v=""/>
    <s v=""/>
    <x v="1"/>
  </r>
  <r>
    <s v=""/>
    <s v=""/>
    <s v=""/>
    <x v="1"/>
  </r>
  <r>
    <n v="3"/>
    <s v="2CDS212001R0204"/>
    <s v="ITM Riel-Din 2x20A - SH202-C-20A - 10kA@230Vac, 6kA@400Vac-IEC60898 - marca ABB."/>
    <x v="26"/>
  </r>
  <r>
    <n v="3"/>
    <s v="1TMF202006R1250"/>
    <s v="Interruptor Diferencial 2x25A - 30mA - clase AC - FH202-AC-25A-30mA - marca ABB."/>
    <x v="27"/>
  </r>
  <r>
    <s v=""/>
    <s v=""/>
    <s v=""/>
    <x v="1"/>
  </r>
  <r>
    <s v=""/>
    <s v=""/>
    <s v=""/>
    <x v="1"/>
  </r>
  <r>
    <s v=""/>
    <s v=""/>
    <s v=""/>
    <x v="1"/>
  </r>
  <r>
    <s v=""/>
    <s v=""/>
    <s v=""/>
    <x v="1"/>
  </r>
  <r>
    <n v="1"/>
    <s v="IH_GRASSLIN"/>
    <s v="Interruptor Horario Digital - marca GRASSLIN."/>
    <x v="32"/>
  </r>
  <r>
    <n v="1"/>
    <s v="1SBL137001R1310"/>
    <s v="Contactor 3x09A(AC-3) / 3x25A(AC-1) +1NA - AF09-30-10-13 - bobina 100-250Vac/dc - marca ABB."/>
    <x v="33"/>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2CDS213001R0324"/>
    <s v="ITM Riel-Din 3x32A - SH203-C-32A - 10kA@230Vac, 6kA@400Vac-IEC60898 - marca ABB."/>
    <x v="30"/>
  </r>
  <r>
    <s v=""/>
    <s v=""/>
    <s v=""/>
    <x v="1"/>
  </r>
  <r>
    <s v=""/>
    <s v=""/>
    <s v=""/>
    <x v="1"/>
  </r>
  <r>
    <n v="1"/>
    <s v="2CDS212001R0204"/>
    <s v="ITM Riel-Din 2x20A - SH202-C-20A - 10kA@230Vac, 6kA@400Vac-IEC60898 - marca ABB."/>
    <x v="26"/>
  </r>
  <r>
    <n v="1"/>
    <s v="1TMF202006R1250"/>
    <s v="Interruptor Diferencial 2x25A - 30mA - clase AC - FH202-AC-25A-30mA - marca ABB."/>
    <x v="27"/>
  </r>
  <r>
    <s v=""/>
    <s v=""/>
    <s v=""/>
    <x v="1"/>
  </r>
  <r>
    <s v=""/>
    <s v=""/>
    <s v=""/>
    <x v="1"/>
  </r>
  <r>
    <s v=""/>
    <s v=""/>
    <s v=""/>
    <x v="1"/>
  </r>
  <r>
    <s v=""/>
    <s v=""/>
    <s v=""/>
    <x v="1"/>
  </r>
  <r>
    <n v="1"/>
    <s v="IH_GRASSLIN"/>
    <s v="Interruptor Horario Digital - marca GRASSLIN."/>
    <x v="32"/>
  </r>
  <r>
    <n v="1"/>
    <s v="1SBL137001R1310"/>
    <s v="Contactor 3x09A(AC-3) / 3x25A(AC-1) +1NA - AF09-30-10-13 - bobina 100-250Vac/dc - marca ABB."/>
    <x v="33"/>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2CDS213001R0324"/>
    <s v="ITM Riel-Din 3x32A - SH203-C-32A - 10kA@230Vac, 6kA@400Vac-IEC60898 - marca ABB."/>
    <x v="30"/>
  </r>
  <r>
    <s v=""/>
    <s v=""/>
    <s v=""/>
    <x v="1"/>
  </r>
  <r>
    <s v=""/>
    <s v=""/>
    <s v=""/>
    <x v="1"/>
  </r>
  <r>
    <n v="2"/>
    <s v="2CDS212001R0204"/>
    <s v="ITM Riel-Din 2x20A - SH202-C-20A - 10kA@230Vac, 6kA@400Vac-IEC60898 - marca ABB."/>
    <x v="26"/>
  </r>
  <r>
    <n v="1"/>
    <s v="1TMF202006R1250"/>
    <s v="Interruptor Diferencial 2x25A - 30mA - clase AC - FH202-AC-25A-30mA - marca ABB."/>
    <x v="27"/>
  </r>
  <r>
    <s v=""/>
    <s v=""/>
    <s v=""/>
    <x v="1"/>
  </r>
  <r>
    <s v=""/>
    <s v=""/>
    <s v=""/>
    <x v="1"/>
  </r>
  <r>
    <s v=""/>
    <s v=""/>
    <s v=""/>
    <x v="1"/>
  </r>
  <r>
    <s v=""/>
    <s v=""/>
    <s v=""/>
    <x v="1"/>
  </r>
  <r>
    <n v="1"/>
    <s v="IH_GRASSLIN"/>
    <s v="Interruptor Horario Digital - marca GRASSLIN."/>
    <x v="32"/>
  </r>
  <r>
    <n v="1"/>
    <s v="1SBL137001R1310"/>
    <s v="Contactor 3x09A(AC-3) / 3x25A(AC-1) +1NA - AF09-30-10-13 - bobina 100-250Vac/dc - marca ABB."/>
    <x v="33"/>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2CDS213001R0324"/>
    <s v="ITM Riel-Din 3x32A - SH203-C-32A - 10kA@230Vac, 6kA@400Vac-IEC60898 - marca ABB."/>
    <x v="30"/>
  </r>
  <r>
    <s v=""/>
    <s v=""/>
    <s v=""/>
    <x v="1"/>
  </r>
  <r>
    <s v=""/>
    <s v=""/>
    <s v=""/>
    <x v="1"/>
  </r>
  <r>
    <n v="4"/>
    <s v="2CDS212001R0204"/>
    <s v="ITM Riel-Din 2x20A - SH202-C-20A - 10kA@230Vac, 6kA@400Vac-IEC60898 - marca ABB."/>
    <x v="26"/>
  </r>
  <r>
    <n v="4"/>
    <s v="1TMF202006R1250"/>
    <s v="Interruptor Diferencial 2x25A - 30mA - clase AC - FH202-AC-25A-30mA - marca ABB."/>
    <x v="27"/>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1SDA066809R1"/>
    <s v="ITM Caja Moldeada 3x160A (reg.[0.7-1.0] In) - XT1B160-160A-3P-TMD - 25kA@230Vac, 18kA@415Vac, 18kA@250Vdc - marca ABB."/>
    <x v="16"/>
  </r>
  <r>
    <s v=""/>
    <s v=""/>
    <s v=""/>
    <x v="1"/>
  </r>
  <r>
    <s v=""/>
    <s v=""/>
    <s v=""/>
    <x v="1"/>
  </r>
  <r>
    <n v="1"/>
    <s v="1SDA066808R1"/>
    <s v="ITM Caja Moldeada 3x125A (reg.[0.7-1.0] In) - XT1B160-125A-3P-TMD - 25kA@230Vac, 18kA@415Vac, 18kA@250Vdc - marca ABB."/>
    <x v="34"/>
  </r>
  <r>
    <n v="1"/>
    <s v="2CDS213001R0634"/>
    <s v="ITM Riel-Din 3x63A - SH203-C-63A - 10kA@230Vac, 6kA@400Vac-IEC60898 - marca ABB."/>
    <x v="35"/>
  </r>
  <r>
    <n v="1"/>
    <s v="2CDS213001R0204"/>
    <s v="ITM Riel-Din 3x20A - SH203-C-20A - 10kA@230Vac, 6kA@400Vac-IEC60898 - marca ABB."/>
    <x v="31"/>
  </r>
  <r>
    <n v="1"/>
    <s v="2CDS212001R0404"/>
    <s v="ITM Riel-Din 2x40A - SH202-C-40A - 10kA@230Vac, 6kA@400Vac-IEC60898 - marca ABB."/>
    <x v="36"/>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2CDS213001R0324"/>
    <s v="ITM Riel-Din 3x32A - SH203-C-32A - 10kA@230Vac, 6kA@400Vac-IEC60898 - marca ABB."/>
    <x v="30"/>
  </r>
  <r>
    <s v=""/>
    <s v=""/>
    <s v=""/>
    <x v="1"/>
  </r>
  <r>
    <s v=""/>
    <s v=""/>
    <s v=""/>
    <x v="1"/>
  </r>
  <r>
    <n v="3"/>
    <s v="2CDS212001R0324"/>
    <s v="ITM Riel-Din 2x32A - SH202-C-32A - 10kA@230Vac, 6kA@400Vac-IEC60898 - marca ABB."/>
    <x v="37"/>
  </r>
  <r>
    <n v="6"/>
    <s v="2CDS212001R0204"/>
    <s v="ITM Riel-Din 2x20A - SH202-C-20A - 10kA@230Vac, 6kA@400Vac-IEC60898 - marca ABB."/>
    <x v="26"/>
  </r>
  <r>
    <n v="3"/>
    <s v="1TMF202006R1400"/>
    <s v="Interruptor Diferencial 2x40A -  30mA - clase AC - FH202-AC-40A-30mA - marca ABB."/>
    <x v="38"/>
  </r>
  <r>
    <n v="6"/>
    <s v="1TMF202006R1250"/>
    <s v="Interruptor Diferencial 2x25A - 30mA - clase AC - FH202-AC-25A-30mA - marca ABB."/>
    <x v="27"/>
  </r>
  <r>
    <s v=""/>
    <s v=""/>
    <s v=""/>
    <x v="1"/>
  </r>
  <r>
    <s v=""/>
    <s v=""/>
    <s v=""/>
    <x v="1"/>
  </r>
  <r>
    <s v=""/>
    <s v=""/>
    <s v=""/>
    <x v="1"/>
  </r>
  <r>
    <s v=""/>
    <s v=""/>
    <s v=""/>
    <x v="1"/>
  </r>
  <r>
    <n v="2"/>
    <s v="IH_GRASSLIN"/>
    <s v="Interruptor Horario Digital - marca GRASSLIN."/>
    <x v="32"/>
  </r>
  <r>
    <n v="1"/>
    <s v="1SBL237001P1310"/>
    <s v="Contactor 3x26A(AC-3) / 3x45A(AC-1) +1NA - AF26-30-10-13 - bobina 100-250Vac/dc - marca ABB."/>
    <x v="39"/>
  </r>
  <r>
    <n v="1"/>
    <s v="1SBL137001R1310"/>
    <s v="Contactor 3x09A(AC-3) / 3x25A(AC-1) +1NA - AF09-30-10-13 - bobina 100-250Vac/dc - marca ABB."/>
    <x v="33"/>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2CDS213001R0324"/>
    <s v="ITM Riel-Din 3x32A - SH203-C-32A - 10kA@230Vac, 6kA@400Vac-IEC60898 - marca ABB."/>
    <x v="30"/>
  </r>
  <r>
    <s v=""/>
    <s v=""/>
    <s v=""/>
    <x v="1"/>
  </r>
  <r>
    <s v=""/>
    <s v=""/>
    <s v=""/>
    <x v="1"/>
  </r>
  <r>
    <n v="4"/>
    <s v="2CDS212001R0204"/>
    <s v="ITM Riel-Din 2x20A - SH202-C-20A - 10kA@230Vac, 6kA@400Vac-IEC60898 - marca ABB."/>
    <x v="26"/>
  </r>
  <r>
    <n v="4"/>
    <s v="1TMF202006R1250"/>
    <s v="Interruptor Diferencial 2x25A - 30mA - clase AC - FH202-AC-25A-30mA - marca ABB."/>
    <x v="27"/>
  </r>
  <r>
    <s v=""/>
    <s v=""/>
    <s v=""/>
    <x v="1"/>
  </r>
  <r>
    <s v=""/>
    <s v=""/>
    <s v=""/>
    <x v="1"/>
  </r>
  <r>
    <s v=""/>
    <s v=""/>
    <s v=""/>
    <x v="1"/>
  </r>
  <r>
    <s v=""/>
    <s v=""/>
    <s v=""/>
    <x v="1"/>
  </r>
  <r>
    <n v="2"/>
    <s v="IH_GRASSLIN"/>
    <s v="Interruptor Horario Digital - marca GRASSLIN."/>
    <x v="32"/>
  </r>
  <r>
    <n v="1"/>
    <s v="1SBL237001P1310"/>
    <s v="Contactor 3x26A(AC-3) / 3x45A(AC-1) +1NA - AF26-30-10-13 - bobina 100-250Vac/dc - marca ABB."/>
    <x v="39"/>
  </r>
  <r>
    <n v="1"/>
    <s v="1SBL137001R1310"/>
    <s v="Contactor 3x09A(AC-3) / 3x25A(AC-1) +1NA - AF09-30-10-13 - bobina 100-250Vac/dc - marca ABB."/>
    <x v="33"/>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2CDS213001R0324"/>
    <s v="ITM Riel-Din 3x32A - SH203-C-32A - 10kA@230Vac, 6kA@400Vac-IEC60898 - marca ABB."/>
    <x v="30"/>
  </r>
  <r>
    <s v=""/>
    <s v=""/>
    <s v=""/>
    <x v="1"/>
  </r>
  <r>
    <s v=""/>
    <s v=""/>
    <s v=""/>
    <x v="1"/>
  </r>
  <r>
    <n v="3"/>
    <s v="2CDS212001R0204"/>
    <s v="ITM Riel-Din 2x20A - SH202-C-20A - 10kA@230Vac, 6kA@400Vac-IEC60898 - marca ABB."/>
    <x v="26"/>
  </r>
  <r>
    <n v="3"/>
    <s v="1TMF202006R1250"/>
    <s v="Interruptor Diferencial 2x25A - 30mA - clase AC - FH202-AC-25A-30mA - marca ABB."/>
    <x v="27"/>
  </r>
  <r>
    <s v=""/>
    <s v=""/>
    <s v=""/>
    <x v="1"/>
  </r>
  <r>
    <s v=""/>
    <s v=""/>
    <s v=""/>
    <x v="1"/>
  </r>
  <r>
    <s v=""/>
    <s v=""/>
    <s v=""/>
    <x v="1"/>
  </r>
  <r>
    <s v=""/>
    <s v=""/>
    <s v=""/>
    <x v="1"/>
  </r>
  <r>
    <n v="1"/>
    <s v="IH_GRASSLIN"/>
    <s v="Interruptor Horario Digital - marca GRASSLIN."/>
    <x v="32"/>
  </r>
  <r>
    <n v="1"/>
    <s v="1SBL137001R1310"/>
    <s v="Contactor 3x09A(AC-3) / 3x25A(AC-1) +1NA - AF09-30-10-13 - bobina 100-250Vac/dc - marca ABB."/>
    <x v="33"/>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2CDS213001R0324"/>
    <s v="ITM Riel-Din 3x32A - SH203-C-32A - 10kA@230Vac, 6kA@400Vac-IEC60898 - marca ABB."/>
    <x v="30"/>
  </r>
  <r>
    <s v=""/>
    <s v=""/>
    <s v=""/>
    <x v="1"/>
  </r>
  <r>
    <s v=""/>
    <s v=""/>
    <s v=""/>
    <x v="1"/>
  </r>
  <r>
    <n v="6"/>
    <s v="2CDS212001R0204"/>
    <s v="ITM Riel-Din 2x20A - SH202-C-20A - 10kA@230Vac, 6kA@400Vac-IEC60898 - marca ABB."/>
    <x v="26"/>
  </r>
  <r>
    <n v="6"/>
    <s v="1TMF202006R1250"/>
    <s v="Interruptor Diferencial 2x25A - 30mA - clase AC - FH202-AC-25A-30mA - marca ABB."/>
    <x v="27"/>
  </r>
  <r>
    <s v=""/>
    <s v=""/>
    <s v=""/>
    <x v="1"/>
  </r>
  <r>
    <s v=""/>
    <s v=""/>
    <s v=""/>
    <x v="1"/>
  </r>
  <r>
    <s v=""/>
    <s v=""/>
    <s v=""/>
    <x v="1"/>
  </r>
  <r>
    <s v=""/>
    <s v=""/>
    <s v=""/>
    <x v="1"/>
  </r>
  <r>
    <n v="1"/>
    <s v="IH_GRASSLIN"/>
    <s v="Interruptor Horario Digital - marca GRASSLIN."/>
    <x v="32"/>
  </r>
  <r>
    <n v="2"/>
    <s v="1SBL137001R1310"/>
    <s v="Contactor 3x09A(AC-3) / 3x25A(AC-1) +1NA - AF09-30-10-13 - bobina 100-250Vac/dc - marca ABB."/>
    <x v="33"/>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2CDS213001R0324"/>
    <s v="ITM Riel-Din 3x32A - SH203-C-32A - 10kA@230Vac, 6kA@400Vac-IEC60898 - marca ABB."/>
    <x v="30"/>
  </r>
  <r>
    <s v=""/>
    <s v=""/>
    <s v=""/>
    <x v="1"/>
  </r>
  <r>
    <s v=""/>
    <s v=""/>
    <s v=""/>
    <x v="1"/>
  </r>
  <r>
    <n v="5"/>
    <s v="2CDS212001R0204"/>
    <s v="ITM Riel-Din 2x20A - SH202-C-20A - 10kA@230Vac, 6kA@400Vac-IEC60898 - marca ABB."/>
    <x v="26"/>
  </r>
  <r>
    <n v="5"/>
    <s v="1TMF202006R1250"/>
    <s v="Interruptor Diferencial 2x25A - 30mA - clase AC - FH202-AC-25A-30mA - marca ABB."/>
    <x v="27"/>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2CDS213001R0404"/>
    <s v="ITM Riel-Din 3x40A - SH203-C-40A - 10kA@230Vac, 6kA@400Vac-IEC60898 - marca ABB."/>
    <x v="40"/>
  </r>
  <r>
    <s v=""/>
    <s v=""/>
    <s v=""/>
    <x v="1"/>
  </r>
  <r>
    <s v=""/>
    <s v=""/>
    <s v=""/>
    <x v="1"/>
  </r>
  <r>
    <n v="1"/>
    <s v="2CDS213001R0204"/>
    <s v="ITM Riel-Din 3x20A - SH203-C-20A - 10kA@230Vac, 6kA@400Vac-IEC60898 - marca ABB."/>
    <x v="31"/>
  </r>
  <r>
    <n v="12"/>
    <s v="2CDS212001R0204"/>
    <s v="ITM Riel-Din 2x20A - SH202-C-20A - 10kA@230Vac, 6kA@400Vac-IEC60898 - marca ABB."/>
    <x v="26"/>
  </r>
  <r>
    <n v="1"/>
    <s v="1TMF204006R1250"/>
    <s v="Interruptor Diferencial 4x25A - 30mA - clase AC - FH204-AC-25A-30mA - marca ABB."/>
    <x v="41"/>
  </r>
  <r>
    <n v="12"/>
    <s v="1TMF202006R1250"/>
    <s v="Interruptor Diferencial 2x25A - 30mA - clase AC - FH202-AC-25A-30mA - marca ABB."/>
    <x v="27"/>
  </r>
  <r>
    <s v=""/>
    <s v=""/>
    <s v=""/>
    <x v="1"/>
  </r>
  <r>
    <s v=""/>
    <s v=""/>
    <s v=""/>
    <x v="1"/>
  </r>
  <r>
    <s v=""/>
    <s v=""/>
    <s v=""/>
    <x v="1"/>
  </r>
  <r>
    <s v=""/>
    <s v=""/>
    <s v=""/>
    <x v="1"/>
  </r>
  <r>
    <n v="2"/>
    <s v="IH_GRASSLIN"/>
    <s v="Interruptor Horario Digital - marca GRASSLIN."/>
    <x v="32"/>
  </r>
  <r>
    <n v="2"/>
    <s v="1SBL137001R1310"/>
    <s v="Contactor 3x09A(AC-3) / 3x25A(AC-1) +1NA - AF09-30-10-13 - bobina 100-250Vac/dc - marca ABB."/>
    <x v="33"/>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2CDS213001R0324"/>
    <s v="ITM Riel-Din 3x32A - SH203-C-32A - 10kA@230Vac, 6kA@400Vac-IEC60898 - marca ABB."/>
    <x v="30"/>
  </r>
  <r>
    <s v=""/>
    <s v=""/>
    <s v=""/>
    <x v="1"/>
  </r>
  <r>
    <s v=""/>
    <s v=""/>
    <s v=""/>
    <x v="1"/>
  </r>
  <r>
    <n v="7"/>
    <s v="2CDS212001R0204"/>
    <s v="ITM Riel-Din 2x20A - SH202-C-20A - 10kA@230Vac, 6kA@400Vac-IEC60898 - marca ABB."/>
    <x v="26"/>
  </r>
  <r>
    <n v="7"/>
    <s v="1TMF202006R1250"/>
    <s v="Interruptor Diferencial 2x25A - 30mA - clase AC - FH202-AC-25A-30mA - marca ABB."/>
    <x v="27"/>
  </r>
  <r>
    <s v=""/>
    <s v=""/>
    <s v=""/>
    <x v="1"/>
  </r>
  <r>
    <s v=""/>
    <s v=""/>
    <s v=""/>
    <x v="1"/>
  </r>
  <r>
    <s v=""/>
    <s v=""/>
    <s v=""/>
    <x v="1"/>
  </r>
  <r>
    <s v=""/>
    <s v=""/>
    <s v=""/>
    <x v="1"/>
  </r>
  <r>
    <n v="2"/>
    <s v="IH_GRASSLIN"/>
    <s v="Interruptor Horario Digital - marca GRASSLIN."/>
    <x v="32"/>
  </r>
  <r>
    <n v="2"/>
    <s v="1SBL137001R1310"/>
    <s v="Contactor 3x09A(AC-3) / 3x25A(AC-1) +1NA - AF09-30-10-13 - bobina 100-250Vac/dc - marca ABB."/>
    <x v="33"/>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2CDS213001R0404"/>
    <s v="ITM Riel-Din 3x40A - SH203-C-40A - 10kA@230Vac, 6kA@400Vac-IEC60898 - marca ABB."/>
    <x v="40"/>
  </r>
  <r>
    <s v=""/>
    <s v=""/>
    <s v=""/>
    <x v="1"/>
  </r>
  <r>
    <s v=""/>
    <s v=""/>
    <s v=""/>
    <x v="1"/>
  </r>
  <r>
    <n v="7"/>
    <s v="2CDS212001R0204"/>
    <s v="ITM Riel-Din 2x20A - SH202-C-20A - 10kA@230Vac, 6kA@400Vac-IEC60898 - marca ABB."/>
    <x v="26"/>
  </r>
  <r>
    <n v="7"/>
    <s v="1TMF202006R1250"/>
    <s v="Interruptor Diferencial 2x25A - 30mA - clase AC - FH202-AC-25A-30mA - marca ABB."/>
    <x v="27"/>
  </r>
  <r>
    <s v=""/>
    <s v=""/>
    <s v=""/>
    <x v="1"/>
  </r>
  <r>
    <s v=""/>
    <s v=""/>
    <s v=""/>
    <x v="1"/>
  </r>
  <r>
    <s v=""/>
    <s v=""/>
    <s v=""/>
    <x v="1"/>
  </r>
  <r>
    <s v=""/>
    <s v=""/>
    <s v=""/>
    <x v="1"/>
  </r>
  <r>
    <n v="2"/>
    <s v="IH_GRASSLIN"/>
    <s v="Interruptor Horario Digital - marca GRASSLIN."/>
    <x v="32"/>
  </r>
  <r>
    <n v="2"/>
    <s v="1SBL137001R1310"/>
    <s v="Contactor 3x09A(AC-3) / 3x25A(AC-1) +1NA - AF09-30-10-13 - bobina 100-250Vac/dc - marca ABB."/>
    <x v="33"/>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1SDA066809R1"/>
    <s v="ITM Caja Moldeada 3x160A (reg.[0.7-1.0] In) - XT1B160-160A-3P-TMD - 25kA@230Vac, 18kA@415Vac, 18kA@250Vdc - marca ABB."/>
    <x v="16"/>
  </r>
  <r>
    <s v=""/>
    <s v=""/>
    <s v=""/>
    <x v="1"/>
  </r>
  <r>
    <s v=""/>
    <s v=""/>
    <s v=""/>
    <x v="1"/>
  </r>
  <r>
    <n v="1"/>
    <s v="1SDA066808R1"/>
    <s v="ITM Caja Moldeada 3x125A (reg.[0.7-1.0] In) - XT1B160-125A-3P-TMD - 25kA@230Vac, 18kA@415Vac, 18kA@250Vdc - marca ABB."/>
    <x v="34"/>
  </r>
  <r>
    <n v="1"/>
    <s v="2CDS213001R0404"/>
    <s v="ITM Riel-Din 3x40A - SH203-C-40A - 10kA@230Vac, 6kA@400Vac-IEC60898 - marca ABB."/>
    <x v="40"/>
  </r>
  <r>
    <n v="2"/>
    <s v="2CDS212001R0204"/>
    <s v="ITM Riel-Din 2x20A - SH202-C-20A - 10kA@230Vac, 6kA@400Vac-IEC60898 - marca ABB."/>
    <x v="26"/>
  </r>
  <r>
    <n v="2"/>
    <s v="1TMF202006R1250"/>
    <s v="Interruptor Diferencial 2x25A - 30mA - clase AC - FH202-AC-25A-30mA - marca ABB."/>
    <x v="27"/>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2CDS213001R0324"/>
    <s v="ITM Riel-Din 3x32A - SH203-C-32A - 10kA@230Vac, 6kA@400Vac-IEC60898 - marca ABB."/>
    <x v="30"/>
  </r>
  <r>
    <s v=""/>
    <s v=""/>
    <s v=""/>
    <x v="1"/>
  </r>
  <r>
    <s v=""/>
    <s v=""/>
    <s v=""/>
    <x v="1"/>
  </r>
  <r>
    <n v="6"/>
    <s v="2CDS212001R0204"/>
    <s v="ITM Riel-Din 2x20A - SH202-C-20A - 10kA@230Vac, 6kA@400Vac-IEC60898 - marca ABB."/>
    <x v="26"/>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1SDA066707R1"/>
    <s v="ITM Caja Moldeada 3x100A - A1B125-100A-3P-TMF - 25kA@230Vac, 18kA@400Vac - marca ABB."/>
    <x v="42"/>
  </r>
  <r>
    <s v=""/>
    <s v=""/>
    <s v=""/>
    <x v="1"/>
  </r>
  <r>
    <s v=""/>
    <s v=""/>
    <s v=""/>
    <x v="1"/>
  </r>
  <r>
    <n v="1"/>
    <s v="1SDA066705R1"/>
    <s v="ITM Caja Moldeada 3x80A - A1B125-80A-3P-TMF - 25kA@230Vac, 18kA@400Vac - marca ABB."/>
    <x v="43"/>
  </r>
  <r>
    <n v="3"/>
    <s v="2CDS212001R0204"/>
    <s v="ITM Riel-Din 2x20A - SH202-C-20A - 10kA@230Vac, 6kA@400Vac-IEC60898 - marca ABB."/>
    <x v="26"/>
  </r>
  <r>
    <n v="3"/>
    <s v="1TMF202006R1250"/>
    <s v="Interruptor Diferencial 2x25A - 30mA - clase AC - FH202-AC-25A-30mA - marca ABB."/>
    <x v="27"/>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1SDA066707R1"/>
    <s v="ITM Caja Moldeada 3x100A - A1B125-100A-3P-TMF - 25kA@230Vac, 18kA@400Vac - marca ABB."/>
    <x v="42"/>
  </r>
  <r>
    <s v=""/>
    <s v=""/>
    <s v=""/>
    <x v="1"/>
  </r>
  <r>
    <s v=""/>
    <s v=""/>
    <s v=""/>
    <x v="1"/>
  </r>
  <r>
    <n v="1"/>
    <s v="1SDA066705R1"/>
    <s v="ITM Caja Moldeada 3x80A - A1B125-80A-3P-TMF - 25kA@230Vac, 18kA@400Vac - marca ABB."/>
    <x v="43"/>
  </r>
  <r>
    <n v="3"/>
    <s v="2CDS212001R0204"/>
    <s v="ITM Riel-Din 2x20A - SH202-C-20A - 10kA@230Vac, 6kA@400Vac-IEC60898 - marca ABB."/>
    <x v="26"/>
  </r>
  <r>
    <n v="3"/>
    <s v="1TMF202006R1250"/>
    <s v="Interruptor Diferencial 2x25A - 30mA - clase AC - FH202-AC-25A-30mA - marca ABB."/>
    <x v="27"/>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1SDA066809R1"/>
    <s v="ITM Caja Moldeada 3x160A (reg.[0.7-1.0] In) - XT1B160-160A-3P-TMD - 25kA@230Vac, 18kA@415Vac, 18kA@250Vdc - marca ABB."/>
    <x v="16"/>
  </r>
  <r>
    <s v=""/>
    <s v=""/>
    <s v=""/>
    <x v="1"/>
  </r>
  <r>
    <s v=""/>
    <s v=""/>
    <s v=""/>
    <x v="1"/>
  </r>
  <r>
    <s v=""/>
    <s v=""/>
    <s v=""/>
    <x v="1"/>
  </r>
  <r>
    <n v="1"/>
    <s v="1SDA066705R1"/>
    <s v="ITM Caja Moldeada 3x80A - A1B125-80A-3P-TMF - 25kA@230Vac, 18kA@400Vac - marca ABB."/>
    <x v="43"/>
  </r>
  <r>
    <n v="7"/>
    <s v="2CDS212001R0204"/>
    <s v="ITM Riel-Din 2x20A - SH202-C-20A - 10kA@230Vac, 6kA@400Vac-IEC60898 - marca ABB."/>
    <x v="26"/>
  </r>
  <r>
    <s v=""/>
    <s v=""/>
    <s v=""/>
    <x v="1"/>
  </r>
  <r>
    <s v=""/>
    <s v=""/>
    <s v=""/>
    <x v="1"/>
  </r>
  <r>
    <s v=""/>
    <s v=""/>
    <s v=""/>
    <x v="1"/>
  </r>
  <r>
    <s v=""/>
    <s v=""/>
    <s v=""/>
    <x v="1"/>
  </r>
  <r>
    <s v=""/>
    <s v=""/>
    <s v=""/>
    <x v="1"/>
  </r>
  <r>
    <s v=""/>
    <s v=""/>
    <s v=""/>
    <x v="1"/>
  </r>
  <r>
    <s v=""/>
    <s v=""/>
    <s v=""/>
    <x v="1"/>
  </r>
  <r>
    <s v=""/>
    <s v=""/>
    <s v=""/>
    <x v="1"/>
  </r>
  <r>
    <s v=""/>
    <s v=""/>
    <s v=""/>
    <x v="1"/>
  </r>
  <r>
    <s v=""/>
    <s v=""/>
    <s v=""/>
    <x v="1"/>
  </r>
  <r>
    <s v=""/>
    <s v=""/>
    <s v=""/>
    <x v="1"/>
  </r>
  <r>
    <s v=""/>
    <s v=""/>
    <s v=""/>
    <x v="1"/>
  </r>
  <r>
    <s v=""/>
    <s v=""/>
    <s v=""/>
    <x v="1"/>
  </r>
  <r>
    <n v="1"/>
    <s v="2CDS212001R0324"/>
    <s v="ITM Riel-Din 2x32A - SH202-C-32A - 10kA@230Vac, 6kA@400Vac-IEC60898 - marca ABB."/>
    <x v="37"/>
  </r>
  <r>
    <s v=""/>
    <s v=""/>
    <s v=""/>
    <x v="1"/>
  </r>
  <r>
    <s v=""/>
    <s v=""/>
    <s v=""/>
    <x v="1"/>
  </r>
  <r>
    <n v="2"/>
    <s v="2CDS212001R0204"/>
    <s v="ITM Riel-Din 2x20A - SH202-C-20A - 10kA@230Vac, 6kA@400Vac-IEC60898 - marca ABB."/>
    <x v="26"/>
  </r>
  <r>
    <n v="2"/>
    <s v="1TMF202006R1250"/>
    <s v="Interruptor Diferencial 2x25A - 30mA - clase AC - FH202-AC-25A-30mA - marca ABB."/>
    <x v="27"/>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s v=""/>
    <s v=""/>
    <s v=""/>
    <x v="1"/>
  </r>
  <r>
    <m/>
    <m/>
    <m/>
    <x v="0"/>
  </r>
  <r>
    <m/>
    <m/>
    <m/>
    <x v="0"/>
  </r>
  <r>
    <m/>
    <m/>
    <m/>
    <x v="0"/>
  </r>
  <r>
    <m/>
    <m/>
    <m/>
    <x v="0"/>
  </r>
  <r>
    <m/>
    <m/>
    <m/>
    <x v="0"/>
  </r>
  <r>
    <m/>
    <m/>
    <m/>
    <x v="0"/>
  </r>
  <r>
    <m/>
    <m/>
    <m/>
    <x v="0"/>
  </r>
  <r>
    <m/>
    <m/>
    <m/>
    <x v="0"/>
  </r>
  <r>
    <m/>
    <m/>
    <m/>
    <x v="0"/>
  </r>
  <r>
    <m/>
    <m/>
    <m/>
    <x v="0"/>
  </r>
  <r>
    <m/>
    <m/>
    <m/>
    <x v="0"/>
  </r>
  <r>
    <m/>
    <m/>
    <m/>
    <x v="0"/>
  </r>
  <r>
    <m/>
    <m/>
    <m/>
    <x v="0"/>
  </r>
  <r>
    <m/>
    <m/>
    <m/>
    <x v="0"/>
  </r>
  <r>
    <m/>
    <m/>
    <m/>
    <x v="0"/>
  </r>
  <r>
    <m/>
    <m/>
    <m/>
    <x v="0"/>
  </r>
  <r>
    <m/>
    <m/>
    <m/>
    <x v="0"/>
  </r>
  <r>
    <m/>
    <m/>
    <m/>
    <x v="0"/>
  </r>
  <r>
    <m/>
    <m/>
    <m/>
    <x v="0"/>
  </r>
  <r>
    <m/>
    <m/>
    <m/>
    <x v="0"/>
  </r>
  <r>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 dinámica1" cacheId="9"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location ref="A2:B47" firstHeaderRow="1" firstDataRow="1" firstDataCol="1"/>
  <pivotFields count="4">
    <pivotField dataField="1" showAll="0"/>
    <pivotField showAll="0"/>
    <pivotField showAll="0"/>
    <pivotField axis="axisRow" showAll="0">
      <items count="213">
        <item x="1"/>
        <item x="33"/>
        <item m="1" x="150"/>
        <item m="1" x="170"/>
        <item m="1" x="200"/>
        <item x="0"/>
        <item m="1" x="65"/>
        <item m="1" x="187"/>
        <item x="14"/>
        <item m="1" x="205"/>
        <item m="1" x="156"/>
        <item m="1" x="167"/>
        <item m="1" x="202"/>
        <item m="1" x="160"/>
        <item m="1" x="165"/>
        <item x="3"/>
        <item x="4"/>
        <item x="27"/>
        <item m="1" x="127"/>
        <item x="41"/>
        <item m="1" x="89"/>
        <item m="1" x="100"/>
        <item m="1" x="79"/>
        <item m="1" x="207"/>
        <item m="1" x="192"/>
        <item m="1" x="137"/>
        <item x="5"/>
        <item m="1" x="209"/>
        <item m="1" x="129"/>
        <item m="1" x="191"/>
        <item m="1" x="52"/>
        <item x="9"/>
        <item m="1" x="69"/>
        <item m="1" x="74"/>
        <item m="1" x="142"/>
        <item m="1" x="190"/>
        <item m="1" x="120"/>
        <item m="1" x="88"/>
        <item m="1" x="62"/>
        <item m="1" x="203"/>
        <item m="1" x="66"/>
        <item x="38"/>
        <item m="1" x="113"/>
        <item m="1" x="105"/>
        <item m="1" x="138"/>
        <item m="1" x="54"/>
        <item m="1" x="210"/>
        <item m="1" x="166"/>
        <item m="1" x="139"/>
        <item m="1" x="55"/>
        <item m="1" x="111"/>
        <item m="1" x="45"/>
        <item m="1" x="81"/>
        <item m="1" x="146"/>
        <item m="1" x="56"/>
        <item m="1" x="64"/>
        <item m="1" x="141"/>
        <item m="1" x="148"/>
        <item m="1" x="140"/>
        <item m="1" x="184"/>
        <item m="1" x="72"/>
        <item m="1" x="114"/>
        <item m="1" x="104"/>
        <item m="1" x="60"/>
        <item m="1" x="132"/>
        <item m="1" x="177"/>
        <item m="1" x="108"/>
        <item m="1" x="51"/>
        <item m="1" x="98"/>
        <item m="1" x="93"/>
        <item m="1" x="123"/>
        <item m="1" x="173"/>
        <item m="1" x="206"/>
        <item m="1" x="102"/>
        <item m="1" x="147"/>
        <item m="1" x="152"/>
        <item m="1" x="208"/>
        <item m="1" x="153"/>
        <item m="1" x="85"/>
        <item m="1" x="186"/>
        <item m="1" x="174"/>
        <item m="1" x="99"/>
        <item m="1" x="122"/>
        <item m="1" x="67"/>
        <item m="1" x="195"/>
        <item m="1" x="159"/>
        <item m="1" x="115"/>
        <item m="1" x="118"/>
        <item m="1" x="198"/>
        <item m="1" x="185"/>
        <item m="1" x="149"/>
        <item m="1" x="124"/>
        <item m="1" x="180"/>
        <item m="1" x="130"/>
        <item m="1" x="119"/>
        <item m="1" x="77"/>
        <item m="1" x="194"/>
        <item m="1" x="176"/>
        <item m="1" x="63"/>
        <item m="1" x="71"/>
        <item m="1" x="211"/>
        <item m="1" x="78"/>
        <item m="1" x="199"/>
        <item m="1" x="95"/>
        <item m="1" x="50"/>
        <item m="1" x="172"/>
        <item m="1" x="162"/>
        <item m="1" x="144"/>
        <item m="1" x="188"/>
        <item m="1" x="44"/>
        <item m="1" x="182"/>
        <item m="1" x="110"/>
        <item m="1" x="92"/>
        <item m="1" x="197"/>
        <item m="1" x="91"/>
        <item m="1" x="131"/>
        <item m="1" x="161"/>
        <item x="7"/>
        <item m="1" x="53"/>
        <item m="1" x="48"/>
        <item m="1" x="175"/>
        <item x="8"/>
        <item m="1" x="96"/>
        <item x="15"/>
        <item m="1" x="109"/>
        <item m="1" x="134"/>
        <item m="1" x="136"/>
        <item x="19"/>
        <item m="1" x="68"/>
        <item m="1" x="133"/>
        <item m="1" x="135"/>
        <item m="1" x="143"/>
        <item m="1" x="76"/>
        <item m="1" x="57"/>
        <item m="1" x="46"/>
        <item m="1" x="75"/>
        <item m="1" x="112"/>
        <item m="1" x="201"/>
        <item m="1" x="183"/>
        <item m="1" x="125"/>
        <item m="1" x="181"/>
        <item m="1" x="106"/>
        <item m="1" x="189"/>
        <item m="1" x="145"/>
        <item m="1" x="49"/>
        <item m="1" x="97"/>
        <item m="1" x="169"/>
        <item m="1" x="117"/>
        <item x="39"/>
        <item m="1" x="204"/>
        <item m="1" x="90"/>
        <item m="1" x="116"/>
        <item m="1" x="70"/>
        <item m="1" x="151"/>
        <item m="1" x="121"/>
        <item m="1" x="164"/>
        <item m="1" x="73"/>
        <item m="1" x="163"/>
        <item x="12"/>
        <item m="1" x="82"/>
        <item m="1" x="101"/>
        <item m="1" x="61"/>
        <item m="1" x="196"/>
        <item m="1" x="47"/>
        <item m="1" x="58"/>
        <item m="1" x="179"/>
        <item m="1" x="94"/>
        <item m="1" x="157"/>
        <item m="1" x="126"/>
        <item m="1" x="193"/>
        <item m="1" x="128"/>
        <item m="1" x="59"/>
        <item m="1" x="178"/>
        <item m="1" x="168"/>
        <item m="1" x="154"/>
        <item m="1" x="103"/>
        <item m="1" x="171"/>
        <item m="1" x="155"/>
        <item m="1" x="80"/>
        <item m="1" x="86"/>
        <item m="1" x="107"/>
        <item m="1" x="83"/>
        <item m="1" x="84"/>
        <item m="1" x="158"/>
        <item m="1" x="87"/>
        <item x="2"/>
        <item x="6"/>
        <item x="10"/>
        <item x="11"/>
        <item x="13"/>
        <item x="16"/>
        <item x="17"/>
        <item x="18"/>
        <item x="20"/>
        <item x="21"/>
        <item x="22"/>
        <item x="23"/>
        <item x="24"/>
        <item x="25"/>
        <item x="26"/>
        <item x="28"/>
        <item x="29"/>
        <item x="30"/>
        <item x="31"/>
        <item x="32"/>
        <item x="34"/>
        <item x="35"/>
        <item x="36"/>
        <item x="37"/>
        <item x="40"/>
        <item x="42"/>
        <item x="43"/>
        <item t="default"/>
      </items>
    </pivotField>
  </pivotFields>
  <rowFields count="1">
    <field x="3"/>
  </rowFields>
  <rowItems count="45">
    <i>
      <x/>
    </i>
    <i>
      <x v="1"/>
    </i>
    <i>
      <x v="5"/>
    </i>
    <i>
      <x v="8"/>
    </i>
    <i>
      <x v="15"/>
    </i>
    <i>
      <x v="16"/>
    </i>
    <i>
      <x v="17"/>
    </i>
    <i>
      <x v="19"/>
    </i>
    <i>
      <x v="26"/>
    </i>
    <i>
      <x v="31"/>
    </i>
    <i>
      <x v="41"/>
    </i>
    <i>
      <x v="117"/>
    </i>
    <i>
      <x v="121"/>
    </i>
    <i>
      <x v="123"/>
    </i>
    <i>
      <x v="127"/>
    </i>
    <i>
      <x v="148"/>
    </i>
    <i>
      <x v="158"/>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t="grand">
      <x/>
    </i>
  </rowItems>
  <colItems count="1">
    <i/>
  </colItems>
  <dataFields count="1">
    <dataField name="Suma de CANT." fld="0" baseField="3" baseItem="6"/>
  </dataFields>
  <formats count="2">
    <format dxfId="1">
      <pivotArea outline="0" collapsedLevelsAreSubtotals="1"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image" Target="../media/image6.emf"/><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7.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7.emf"/><Relationship Id="rId18" Type="http://schemas.openxmlformats.org/officeDocument/2006/relationships/control" Target="../activeX/activeX15.xml"/><Relationship Id="rId26" Type="http://schemas.openxmlformats.org/officeDocument/2006/relationships/control" Target="../activeX/activeX19.xml"/><Relationship Id="rId3" Type="http://schemas.openxmlformats.org/officeDocument/2006/relationships/vmlDrawing" Target="../drawings/vmlDrawing8.vml"/><Relationship Id="rId21" Type="http://schemas.openxmlformats.org/officeDocument/2006/relationships/image" Target="../media/image21.emf"/><Relationship Id="rId7" Type="http://schemas.openxmlformats.org/officeDocument/2006/relationships/image" Target="../media/image14.emf"/><Relationship Id="rId12" Type="http://schemas.openxmlformats.org/officeDocument/2006/relationships/control" Target="../activeX/activeX12.xml"/><Relationship Id="rId17" Type="http://schemas.openxmlformats.org/officeDocument/2006/relationships/image" Target="../media/image19.emf"/><Relationship Id="rId25" Type="http://schemas.openxmlformats.org/officeDocument/2006/relationships/image" Target="../media/image23.emf"/><Relationship Id="rId2" Type="http://schemas.openxmlformats.org/officeDocument/2006/relationships/drawing" Target="../drawings/drawing6.xml"/><Relationship Id="rId16" Type="http://schemas.openxmlformats.org/officeDocument/2006/relationships/control" Target="../activeX/activeX14.xml"/><Relationship Id="rId20" Type="http://schemas.openxmlformats.org/officeDocument/2006/relationships/control" Target="../activeX/activeX16.xml"/><Relationship Id="rId29" Type="http://schemas.openxmlformats.org/officeDocument/2006/relationships/image" Target="../media/image25.emf"/><Relationship Id="rId1" Type="http://schemas.openxmlformats.org/officeDocument/2006/relationships/printerSettings" Target="../printerSettings/printerSettings11.bin"/><Relationship Id="rId6" Type="http://schemas.openxmlformats.org/officeDocument/2006/relationships/control" Target="../activeX/activeX9.xml"/><Relationship Id="rId11" Type="http://schemas.openxmlformats.org/officeDocument/2006/relationships/image" Target="../media/image16.emf"/><Relationship Id="rId24" Type="http://schemas.openxmlformats.org/officeDocument/2006/relationships/control" Target="../activeX/activeX18.xml"/><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2.emf"/><Relationship Id="rId28" Type="http://schemas.openxmlformats.org/officeDocument/2006/relationships/control" Target="../activeX/activeX20.xml"/><Relationship Id="rId10" Type="http://schemas.openxmlformats.org/officeDocument/2006/relationships/control" Target="../activeX/activeX11.xml"/><Relationship Id="rId19" Type="http://schemas.openxmlformats.org/officeDocument/2006/relationships/image" Target="../media/image20.emf"/><Relationship Id="rId4" Type="http://schemas.openxmlformats.org/officeDocument/2006/relationships/control" Target="../activeX/activeX8.xml"/><Relationship Id="rId9" Type="http://schemas.openxmlformats.org/officeDocument/2006/relationships/image" Target="../media/image15.emf"/><Relationship Id="rId14" Type="http://schemas.openxmlformats.org/officeDocument/2006/relationships/control" Target="../activeX/activeX13.xml"/><Relationship Id="rId22" Type="http://schemas.openxmlformats.org/officeDocument/2006/relationships/control" Target="../activeX/activeX17.xml"/><Relationship Id="rId27" Type="http://schemas.openxmlformats.org/officeDocument/2006/relationships/image" Target="../media/image24.emf"/><Relationship Id="rId30" Type="http://schemas.openxmlformats.org/officeDocument/2006/relationships/comments" Target="../comments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4" Type="http://schemas.openxmlformats.org/officeDocument/2006/relationships/comments" Target="../comments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omments" Target="../comments9.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
    <pageSetUpPr fitToPage="1"/>
  </sheetPr>
  <dimension ref="A1:ATO880"/>
  <sheetViews>
    <sheetView showGridLines="0" tabSelected="1" zoomScale="70" zoomScaleNormal="70" zoomScaleSheetLayoutView="87" workbookViewId="0">
      <selection activeCell="J14" sqref="G14:J14"/>
    </sheetView>
  </sheetViews>
  <sheetFormatPr baseColWidth="10" defaultRowHeight="12.75"/>
  <cols>
    <col min="1" max="1" width="27" style="884" customWidth="1"/>
    <col min="2" max="2" width="5.28515625" style="885" customWidth="1"/>
    <col min="3" max="3" width="95.7109375" style="883" customWidth="1"/>
    <col min="4" max="4" width="25.7109375" style="171" customWidth="1"/>
    <col min="5" max="5" width="9.140625" style="886" customWidth="1"/>
    <col min="6" max="6" width="9.28515625" style="1217" customWidth="1"/>
    <col min="7" max="7" width="10.140625" style="882" customWidth="1"/>
    <col min="8" max="8" width="9.5703125" style="882" customWidth="1"/>
    <col min="9" max="9" width="11.7109375" style="882" customWidth="1"/>
    <col min="10" max="10" width="17.28515625" style="887" customWidth="1"/>
    <col min="11" max="11" width="3" style="1094" customWidth="1"/>
    <col min="12" max="12" width="3" style="412" customWidth="1"/>
    <col min="13" max="13" width="3" style="1094" customWidth="1"/>
    <col min="14" max="14" width="5.85546875" style="411" customWidth="1"/>
    <col min="15" max="15" width="19.85546875" style="652" bestFit="1" customWidth="1"/>
    <col min="16" max="16" width="104.5703125" style="126" customWidth="1"/>
    <col min="17" max="17" width="26.140625" style="1481" customWidth="1"/>
    <col min="18" max="1211" width="11.42578125" style="126"/>
    <col min="1212" max="16384" width="11.42578125" style="171"/>
  </cols>
  <sheetData>
    <row r="1" spans="1:1211" s="346" customFormat="1" ht="21.75" customHeight="1">
      <c r="A1" s="1624" t="s">
        <v>4200</v>
      </c>
      <c r="B1" s="2582" t="s">
        <v>10973</v>
      </c>
      <c r="C1" s="2583"/>
      <c r="D1" s="1482"/>
      <c r="E1" s="1483"/>
      <c r="F1" s="1483"/>
      <c r="G1" s="1483"/>
      <c r="H1" s="1473"/>
      <c r="I1" s="2592" t="s">
        <v>14300</v>
      </c>
      <c r="J1" s="2593"/>
      <c r="K1" s="2600">
        <v>6</v>
      </c>
      <c r="L1" s="2601"/>
      <c r="M1" s="1630" t="s">
        <v>4948</v>
      </c>
      <c r="N1" s="1630"/>
      <c r="O1" s="1629"/>
      <c r="P1" s="345"/>
      <c r="Q1" s="1480"/>
      <c r="R1" s="345"/>
      <c r="S1" s="345"/>
      <c r="T1" s="345"/>
      <c r="U1" s="345"/>
      <c r="V1" s="345"/>
      <c r="W1" s="345"/>
      <c r="X1" s="345"/>
      <c r="Y1" s="345"/>
      <c r="Z1" s="345"/>
      <c r="AA1" s="345"/>
      <c r="AB1" s="345"/>
      <c r="AC1" s="345"/>
      <c r="AD1" s="345"/>
      <c r="AE1" s="345"/>
      <c r="AF1" s="345"/>
      <c r="AG1" s="345"/>
      <c r="AH1" s="345"/>
      <c r="AI1" s="345"/>
      <c r="AJ1" s="345"/>
      <c r="AK1" s="345"/>
      <c r="AL1" s="345"/>
      <c r="AM1" s="345"/>
      <c r="AN1" s="345"/>
      <c r="AO1" s="345"/>
      <c r="AP1" s="345"/>
      <c r="AQ1" s="345"/>
      <c r="AR1" s="345"/>
      <c r="AS1" s="345"/>
      <c r="AT1" s="345"/>
      <c r="AU1" s="345"/>
      <c r="AV1" s="345"/>
      <c r="AW1" s="345"/>
      <c r="AX1" s="345"/>
      <c r="AY1" s="345"/>
      <c r="AZ1" s="345"/>
      <c r="BA1" s="345"/>
      <c r="BB1" s="345"/>
      <c r="BC1" s="345"/>
      <c r="BD1" s="345"/>
      <c r="BE1" s="345"/>
      <c r="BF1" s="345"/>
      <c r="BG1" s="345"/>
      <c r="BH1" s="345"/>
      <c r="BI1" s="345"/>
      <c r="BJ1" s="345"/>
      <c r="BK1" s="345"/>
      <c r="BL1" s="345"/>
      <c r="BM1" s="345"/>
      <c r="BN1" s="345"/>
      <c r="BO1" s="345"/>
      <c r="BP1" s="345"/>
      <c r="BQ1" s="345"/>
      <c r="BR1" s="345"/>
      <c r="BS1" s="345"/>
      <c r="BT1" s="345"/>
      <c r="BU1" s="345"/>
      <c r="BV1" s="345"/>
      <c r="BW1" s="345"/>
      <c r="BX1" s="345"/>
      <c r="BY1" s="345"/>
      <c r="BZ1" s="345"/>
      <c r="CA1" s="345"/>
      <c r="CB1" s="345"/>
      <c r="CC1" s="345"/>
      <c r="CD1" s="345"/>
      <c r="CE1" s="345"/>
      <c r="CF1" s="345"/>
      <c r="CG1" s="345"/>
      <c r="CH1" s="345"/>
      <c r="CI1" s="345"/>
      <c r="CJ1" s="345"/>
      <c r="CK1" s="345"/>
      <c r="CL1" s="345"/>
      <c r="CM1" s="345"/>
      <c r="CN1" s="345"/>
      <c r="CO1" s="345"/>
      <c r="CP1" s="345"/>
      <c r="CQ1" s="345"/>
      <c r="CR1" s="345"/>
      <c r="CS1" s="345"/>
      <c r="CT1" s="345"/>
      <c r="CU1" s="345"/>
      <c r="CV1" s="345"/>
      <c r="CW1" s="345"/>
      <c r="CX1" s="345"/>
      <c r="CY1" s="345"/>
      <c r="CZ1" s="345"/>
      <c r="DA1" s="345"/>
      <c r="DB1" s="345"/>
      <c r="DC1" s="345"/>
      <c r="DD1" s="345"/>
      <c r="DE1" s="345"/>
      <c r="DF1" s="345"/>
      <c r="DG1" s="345"/>
      <c r="DH1" s="345"/>
      <c r="DI1" s="345"/>
      <c r="DJ1" s="345"/>
      <c r="DK1" s="345"/>
      <c r="DL1" s="345"/>
      <c r="DM1" s="345"/>
      <c r="DN1" s="345"/>
      <c r="DO1" s="345"/>
      <c r="DP1" s="345"/>
      <c r="DQ1" s="345"/>
      <c r="DR1" s="345"/>
      <c r="DS1" s="345"/>
      <c r="DT1" s="345"/>
      <c r="DU1" s="345"/>
      <c r="DV1" s="345"/>
      <c r="DW1" s="345"/>
      <c r="DX1" s="345"/>
      <c r="DY1" s="345"/>
      <c r="DZ1" s="345"/>
      <c r="EA1" s="345"/>
      <c r="EB1" s="345"/>
      <c r="EC1" s="345"/>
      <c r="ED1" s="345"/>
      <c r="EE1" s="345"/>
      <c r="EF1" s="345"/>
      <c r="EG1" s="345"/>
      <c r="EH1" s="345"/>
      <c r="EI1" s="345"/>
      <c r="EJ1" s="345"/>
      <c r="EK1" s="345"/>
      <c r="EL1" s="345"/>
      <c r="EM1" s="345"/>
      <c r="EN1" s="345"/>
      <c r="EO1" s="345"/>
      <c r="EP1" s="345"/>
      <c r="EQ1" s="345"/>
      <c r="ER1" s="345"/>
      <c r="ES1" s="345"/>
      <c r="ET1" s="345"/>
      <c r="EU1" s="345"/>
      <c r="EV1" s="345"/>
      <c r="EW1" s="345"/>
      <c r="EX1" s="345"/>
      <c r="EY1" s="345"/>
      <c r="EZ1" s="345"/>
      <c r="FA1" s="345"/>
      <c r="FB1" s="345"/>
      <c r="FC1" s="345"/>
      <c r="FD1" s="345"/>
      <c r="FE1" s="345"/>
      <c r="FF1" s="345"/>
      <c r="FG1" s="345"/>
      <c r="FH1" s="345"/>
      <c r="FI1" s="345"/>
      <c r="FJ1" s="345"/>
      <c r="FK1" s="345"/>
      <c r="FL1" s="345"/>
      <c r="FM1" s="345"/>
      <c r="FN1" s="345"/>
      <c r="FO1" s="345"/>
      <c r="FP1" s="345"/>
      <c r="FQ1" s="345"/>
      <c r="FR1" s="345"/>
      <c r="FS1" s="345"/>
      <c r="FT1" s="345"/>
      <c r="FU1" s="345"/>
      <c r="FV1" s="345"/>
      <c r="FW1" s="345"/>
      <c r="FX1" s="345"/>
      <c r="FY1" s="345"/>
      <c r="FZ1" s="345"/>
      <c r="GA1" s="345"/>
      <c r="GB1" s="345"/>
      <c r="GC1" s="345"/>
      <c r="GD1" s="345"/>
      <c r="GE1" s="345"/>
      <c r="GF1" s="345"/>
      <c r="GG1" s="345"/>
      <c r="GH1" s="345"/>
      <c r="GI1" s="345"/>
      <c r="GJ1" s="345"/>
      <c r="GK1" s="345"/>
      <c r="GL1" s="345"/>
      <c r="GM1" s="345"/>
      <c r="GN1" s="345"/>
      <c r="GO1" s="345"/>
      <c r="GP1" s="345"/>
      <c r="GQ1" s="345"/>
      <c r="GR1" s="345"/>
      <c r="GS1" s="345"/>
      <c r="GT1" s="345"/>
      <c r="GU1" s="345"/>
      <c r="GV1" s="345"/>
      <c r="GW1" s="345"/>
      <c r="GX1" s="345"/>
      <c r="GY1" s="345"/>
      <c r="GZ1" s="345"/>
      <c r="HA1" s="345"/>
      <c r="HB1" s="345"/>
      <c r="HC1" s="345"/>
      <c r="HD1" s="345"/>
      <c r="HE1" s="345"/>
      <c r="HF1" s="345"/>
      <c r="HG1" s="345"/>
      <c r="HH1" s="345"/>
      <c r="HI1" s="345"/>
      <c r="HJ1" s="345"/>
      <c r="HK1" s="345"/>
      <c r="HL1" s="345"/>
      <c r="HM1" s="345"/>
      <c r="HN1" s="345"/>
      <c r="HO1" s="345"/>
      <c r="HP1" s="345"/>
      <c r="HQ1" s="345"/>
      <c r="HR1" s="345"/>
      <c r="HS1" s="345"/>
      <c r="HT1" s="345"/>
      <c r="HU1" s="345"/>
      <c r="HV1" s="345"/>
      <c r="HW1" s="345"/>
      <c r="HX1" s="345"/>
      <c r="HY1" s="345"/>
      <c r="HZ1" s="345"/>
      <c r="IA1" s="345"/>
      <c r="IB1" s="345"/>
      <c r="IC1" s="345"/>
      <c r="ID1" s="345"/>
      <c r="IE1" s="345"/>
      <c r="IF1" s="345"/>
      <c r="IG1" s="345"/>
      <c r="IH1" s="345"/>
      <c r="II1" s="345"/>
      <c r="IJ1" s="345"/>
      <c r="IK1" s="345"/>
      <c r="IL1" s="345"/>
      <c r="IM1" s="345"/>
      <c r="IN1" s="345"/>
      <c r="IO1" s="345"/>
      <c r="IP1" s="345"/>
      <c r="IQ1" s="345"/>
      <c r="IR1" s="345"/>
      <c r="IS1" s="345"/>
      <c r="IT1" s="345"/>
      <c r="IU1" s="345"/>
      <c r="IV1" s="345"/>
      <c r="IW1" s="345"/>
      <c r="IX1" s="345"/>
      <c r="IY1" s="345"/>
      <c r="IZ1" s="345"/>
      <c r="JA1" s="345"/>
      <c r="JB1" s="345"/>
      <c r="JC1" s="345"/>
      <c r="JD1" s="345"/>
      <c r="JE1" s="345"/>
      <c r="JF1" s="345"/>
      <c r="JG1" s="345"/>
      <c r="JH1" s="345"/>
      <c r="JI1" s="345"/>
      <c r="JJ1" s="345"/>
      <c r="JK1" s="345"/>
      <c r="JL1" s="345"/>
      <c r="JM1" s="345"/>
      <c r="JN1" s="345"/>
      <c r="JO1" s="345"/>
      <c r="JP1" s="345"/>
      <c r="JQ1" s="345"/>
      <c r="JR1" s="345"/>
      <c r="JS1" s="345"/>
      <c r="JT1" s="345"/>
      <c r="JU1" s="345"/>
      <c r="JV1" s="345"/>
      <c r="JW1" s="345"/>
      <c r="JX1" s="345"/>
      <c r="JY1" s="345"/>
      <c r="JZ1" s="345"/>
      <c r="KA1" s="345"/>
      <c r="KB1" s="345"/>
      <c r="KC1" s="345"/>
      <c r="KD1" s="345"/>
      <c r="KE1" s="345"/>
      <c r="KF1" s="345"/>
      <c r="KG1" s="345"/>
      <c r="KH1" s="345"/>
      <c r="KI1" s="345"/>
      <c r="KJ1" s="345"/>
      <c r="KK1" s="345"/>
      <c r="KL1" s="345"/>
      <c r="KM1" s="345"/>
      <c r="KN1" s="345"/>
      <c r="KO1" s="345"/>
      <c r="KP1" s="345"/>
      <c r="KQ1" s="345"/>
      <c r="KR1" s="345"/>
      <c r="KS1" s="345"/>
      <c r="KT1" s="345"/>
      <c r="KU1" s="345"/>
      <c r="KV1" s="345"/>
      <c r="KW1" s="345"/>
      <c r="KX1" s="345"/>
      <c r="KY1" s="345"/>
      <c r="KZ1" s="345"/>
      <c r="LA1" s="345"/>
      <c r="LB1" s="345"/>
      <c r="LC1" s="345"/>
      <c r="LD1" s="345"/>
      <c r="LE1" s="345"/>
      <c r="LF1" s="345"/>
      <c r="LG1" s="345"/>
      <c r="LH1" s="345"/>
      <c r="LI1" s="345"/>
      <c r="LJ1" s="345"/>
      <c r="LK1" s="345"/>
      <c r="LL1" s="345"/>
      <c r="LM1" s="345"/>
      <c r="LN1" s="345"/>
      <c r="LO1" s="345"/>
      <c r="LP1" s="345"/>
      <c r="LQ1" s="345"/>
      <c r="LR1" s="345"/>
      <c r="LS1" s="345"/>
      <c r="LT1" s="345"/>
      <c r="LU1" s="345"/>
      <c r="LV1" s="345"/>
      <c r="LW1" s="345"/>
      <c r="LX1" s="345"/>
      <c r="LY1" s="345"/>
      <c r="LZ1" s="345"/>
      <c r="MA1" s="345"/>
      <c r="MB1" s="345"/>
      <c r="MC1" s="345"/>
      <c r="MD1" s="345"/>
      <c r="ME1" s="345"/>
      <c r="MF1" s="345"/>
      <c r="MG1" s="345"/>
      <c r="MH1" s="345"/>
      <c r="MI1" s="345"/>
      <c r="MJ1" s="345"/>
      <c r="MK1" s="345"/>
      <c r="ML1" s="345"/>
      <c r="MM1" s="345"/>
      <c r="MN1" s="345"/>
      <c r="MO1" s="345"/>
      <c r="MP1" s="345"/>
      <c r="MQ1" s="345"/>
      <c r="MR1" s="345"/>
      <c r="MS1" s="345"/>
      <c r="MT1" s="345"/>
      <c r="MU1" s="345"/>
      <c r="MV1" s="345"/>
      <c r="MW1" s="345"/>
      <c r="MX1" s="345"/>
      <c r="MY1" s="345"/>
      <c r="MZ1" s="345"/>
      <c r="NA1" s="345"/>
      <c r="NB1" s="345"/>
      <c r="NC1" s="345"/>
      <c r="ND1" s="345"/>
      <c r="NE1" s="345"/>
      <c r="NF1" s="345"/>
      <c r="NG1" s="345"/>
      <c r="NH1" s="345"/>
      <c r="NI1" s="345"/>
      <c r="NJ1" s="345"/>
      <c r="NK1" s="345"/>
      <c r="NL1" s="345"/>
      <c r="NM1" s="345"/>
      <c r="NN1" s="345"/>
      <c r="NO1" s="345"/>
      <c r="NP1" s="345"/>
      <c r="NQ1" s="345"/>
      <c r="NR1" s="345"/>
      <c r="NS1" s="345"/>
      <c r="NT1" s="345"/>
      <c r="NU1" s="345"/>
      <c r="NV1" s="345"/>
      <c r="NW1" s="345"/>
      <c r="NX1" s="345"/>
      <c r="NY1" s="345"/>
      <c r="NZ1" s="345"/>
      <c r="OA1" s="345"/>
      <c r="OB1" s="345"/>
      <c r="OC1" s="345"/>
      <c r="OD1" s="345"/>
      <c r="OE1" s="345"/>
      <c r="OF1" s="345"/>
      <c r="OG1" s="345"/>
      <c r="OH1" s="345"/>
      <c r="OI1" s="345"/>
      <c r="OJ1" s="345"/>
      <c r="OK1" s="345"/>
      <c r="OL1" s="345"/>
      <c r="OM1" s="345"/>
      <c r="ON1" s="345"/>
      <c r="OO1" s="345"/>
      <c r="OP1" s="345"/>
      <c r="OQ1" s="345"/>
      <c r="OR1" s="345"/>
      <c r="OS1" s="345"/>
      <c r="OT1" s="345"/>
      <c r="OU1" s="345"/>
      <c r="OV1" s="345"/>
      <c r="OW1" s="345"/>
      <c r="OX1" s="345"/>
      <c r="OY1" s="345"/>
      <c r="OZ1" s="345"/>
      <c r="PA1" s="345"/>
      <c r="PB1" s="345"/>
      <c r="PC1" s="345"/>
      <c r="PD1" s="345"/>
      <c r="PE1" s="345"/>
      <c r="PF1" s="345"/>
      <c r="PG1" s="345"/>
      <c r="PH1" s="345"/>
      <c r="PI1" s="345"/>
      <c r="PJ1" s="345"/>
      <c r="PK1" s="345"/>
      <c r="PL1" s="345"/>
      <c r="PM1" s="345"/>
      <c r="PN1" s="345"/>
      <c r="PO1" s="345"/>
      <c r="PP1" s="345"/>
      <c r="PQ1" s="345"/>
      <c r="PR1" s="345"/>
      <c r="PS1" s="345"/>
      <c r="PT1" s="345"/>
      <c r="PU1" s="345"/>
      <c r="PV1" s="345"/>
      <c r="PW1" s="345"/>
      <c r="PX1" s="345"/>
      <c r="PY1" s="345"/>
      <c r="PZ1" s="345"/>
      <c r="QA1" s="345"/>
      <c r="QB1" s="345"/>
      <c r="QC1" s="345"/>
      <c r="QD1" s="345"/>
      <c r="QE1" s="345"/>
      <c r="QF1" s="345"/>
      <c r="QG1" s="345"/>
      <c r="QH1" s="345"/>
      <c r="QI1" s="345"/>
      <c r="QJ1" s="345"/>
      <c r="QK1" s="345"/>
      <c r="QL1" s="345"/>
      <c r="QM1" s="345"/>
      <c r="QN1" s="345"/>
      <c r="QO1" s="345"/>
      <c r="QP1" s="345"/>
      <c r="QQ1" s="345"/>
      <c r="QR1" s="345"/>
      <c r="QS1" s="345"/>
      <c r="QT1" s="345"/>
      <c r="QU1" s="345"/>
      <c r="QV1" s="345"/>
      <c r="QW1" s="345"/>
      <c r="QX1" s="345"/>
      <c r="QY1" s="345"/>
      <c r="QZ1" s="345"/>
      <c r="RA1" s="345"/>
      <c r="RB1" s="345"/>
      <c r="RC1" s="345"/>
      <c r="RD1" s="345"/>
      <c r="RE1" s="345"/>
      <c r="RF1" s="345"/>
      <c r="RG1" s="345"/>
      <c r="RH1" s="345"/>
      <c r="RI1" s="345"/>
      <c r="RJ1" s="345"/>
      <c r="RK1" s="345"/>
      <c r="RL1" s="345"/>
      <c r="RM1" s="345"/>
      <c r="RN1" s="345"/>
      <c r="RO1" s="345"/>
      <c r="RP1" s="345"/>
      <c r="RQ1" s="345"/>
      <c r="RR1" s="345"/>
      <c r="RS1" s="345"/>
      <c r="RT1" s="345"/>
      <c r="RU1" s="345"/>
      <c r="RV1" s="345"/>
      <c r="RW1" s="345"/>
      <c r="RX1" s="345"/>
      <c r="RY1" s="345"/>
      <c r="RZ1" s="345"/>
      <c r="SA1" s="345"/>
      <c r="SB1" s="345"/>
      <c r="SC1" s="345"/>
      <c r="SD1" s="345"/>
      <c r="SE1" s="345"/>
      <c r="SF1" s="345"/>
      <c r="SG1" s="345"/>
      <c r="SH1" s="345"/>
      <c r="SI1" s="345"/>
      <c r="SJ1" s="345"/>
      <c r="SK1" s="345"/>
      <c r="SL1" s="345"/>
      <c r="SM1" s="345"/>
      <c r="SN1" s="345"/>
      <c r="SO1" s="345"/>
      <c r="SP1" s="345"/>
      <c r="SQ1" s="345"/>
      <c r="SR1" s="345"/>
      <c r="SS1" s="345"/>
      <c r="ST1" s="345"/>
      <c r="SU1" s="345"/>
      <c r="SV1" s="345"/>
      <c r="SW1" s="345"/>
      <c r="SX1" s="345"/>
      <c r="SY1" s="345"/>
      <c r="SZ1" s="345"/>
      <c r="TA1" s="345"/>
      <c r="TB1" s="345"/>
      <c r="TC1" s="345"/>
      <c r="TD1" s="345"/>
      <c r="TE1" s="345"/>
      <c r="TF1" s="345"/>
      <c r="TG1" s="345"/>
      <c r="TH1" s="345"/>
      <c r="TI1" s="345"/>
      <c r="TJ1" s="345"/>
      <c r="TK1" s="345"/>
      <c r="TL1" s="345"/>
      <c r="TM1" s="345"/>
      <c r="TN1" s="345"/>
      <c r="TO1" s="345"/>
      <c r="TP1" s="345"/>
      <c r="TQ1" s="345"/>
      <c r="TR1" s="345"/>
      <c r="TS1" s="345"/>
      <c r="TT1" s="345"/>
      <c r="TU1" s="345"/>
      <c r="TV1" s="345"/>
      <c r="TW1" s="345"/>
      <c r="TX1" s="345"/>
      <c r="TY1" s="345"/>
      <c r="TZ1" s="345"/>
      <c r="UA1" s="345"/>
      <c r="UB1" s="345"/>
      <c r="UC1" s="345"/>
      <c r="UD1" s="345"/>
      <c r="UE1" s="345"/>
      <c r="UF1" s="345"/>
      <c r="UG1" s="345"/>
      <c r="UH1" s="345"/>
      <c r="UI1" s="345"/>
      <c r="UJ1" s="345"/>
      <c r="UK1" s="345"/>
      <c r="UL1" s="345"/>
      <c r="UM1" s="345"/>
      <c r="UN1" s="345"/>
      <c r="UO1" s="345"/>
      <c r="UP1" s="345"/>
      <c r="UQ1" s="345"/>
      <c r="UR1" s="345"/>
      <c r="US1" s="345"/>
      <c r="UT1" s="345"/>
      <c r="UU1" s="345"/>
      <c r="UV1" s="345"/>
      <c r="UW1" s="345"/>
      <c r="UX1" s="345"/>
      <c r="UY1" s="345"/>
      <c r="UZ1" s="345"/>
      <c r="VA1" s="345"/>
      <c r="VB1" s="345"/>
      <c r="VC1" s="345"/>
      <c r="VD1" s="345"/>
      <c r="VE1" s="345"/>
      <c r="VF1" s="345"/>
      <c r="VG1" s="345"/>
      <c r="VH1" s="345"/>
      <c r="VI1" s="345"/>
      <c r="VJ1" s="345"/>
      <c r="VK1" s="345"/>
      <c r="VL1" s="345"/>
      <c r="VM1" s="345"/>
      <c r="VN1" s="345"/>
      <c r="VO1" s="345"/>
      <c r="VP1" s="345"/>
      <c r="VQ1" s="345"/>
      <c r="VR1" s="345"/>
      <c r="VS1" s="345"/>
      <c r="VT1" s="345"/>
      <c r="VU1" s="345"/>
      <c r="VV1" s="345"/>
      <c r="VW1" s="345"/>
      <c r="VX1" s="345"/>
      <c r="VY1" s="345"/>
      <c r="VZ1" s="345"/>
      <c r="WA1" s="345"/>
      <c r="WB1" s="345"/>
      <c r="WC1" s="345"/>
      <c r="WD1" s="345"/>
      <c r="WE1" s="345"/>
      <c r="WF1" s="345"/>
      <c r="WG1" s="345"/>
      <c r="WH1" s="345"/>
      <c r="WI1" s="345"/>
      <c r="WJ1" s="345"/>
      <c r="WK1" s="345"/>
      <c r="WL1" s="345"/>
      <c r="WM1" s="345"/>
      <c r="WN1" s="345"/>
      <c r="WO1" s="345"/>
      <c r="WP1" s="345"/>
      <c r="WQ1" s="345"/>
      <c r="WR1" s="345"/>
      <c r="WS1" s="345"/>
      <c r="WT1" s="345"/>
      <c r="WU1" s="345"/>
      <c r="WV1" s="345"/>
      <c r="WW1" s="345"/>
      <c r="WX1" s="345"/>
      <c r="WY1" s="345"/>
      <c r="WZ1" s="345"/>
      <c r="XA1" s="345"/>
      <c r="XB1" s="345"/>
      <c r="XC1" s="345"/>
      <c r="XD1" s="345"/>
      <c r="XE1" s="345"/>
      <c r="XF1" s="345"/>
      <c r="XG1" s="345"/>
      <c r="XH1" s="345"/>
      <c r="XI1" s="345"/>
      <c r="XJ1" s="345"/>
      <c r="XK1" s="345"/>
      <c r="XL1" s="345"/>
      <c r="XM1" s="345"/>
      <c r="XN1" s="345"/>
      <c r="XO1" s="345"/>
      <c r="XP1" s="345"/>
      <c r="XQ1" s="345"/>
      <c r="XR1" s="345"/>
      <c r="XS1" s="345"/>
      <c r="XT1" s="345"/>
      <c r="XU1" s="345"/>
      <c r="XV1" s="345"/>
      <c r="XW1" s="345"/>
      <c r="XX1" s="345"/>
      <c r="XY1" s="345"/>
      <c r="XZ1" s="345"/>
      <c r="YA1" s="345"/>
      <c r="YB1" s="345"/>
      <c r="YC1" s="345"/>
      <c r="YD1" s="345"/>
      <c r="YE1" s="345"/>
      <c r="YF1" s="345"/>
      <c r="YG1" s="345"/>
      <c r="YH1" s="345"/>
      <c r="YI1" s="345"/>
      <c r="YJ1" s="345"/>
      <c r="YK1" s="345"/>
      <c r="YL1" s="345"/>
      <c r="YM1" s="345"/>
      <c r="YN1" s="345"/>
      <c r="YO1" s="345"/>
      <c r="YP1" s="345"/>
      <c r="YQ1" s="345"/>
      <c r="YR1" s="345"/>
      <c r="YS1" s="345"/>
      <c r="YT1" s="345"/>
      <c r="YU1" s="345"/>
      <c r="YV1" s="345"/>
      <c r="YW1" s="345"/>
      <c r="YX1" s="345"/>
      <c r="YY1" s="345"/>
      <c r="YZ1" s="345"/>
      <c r="ZA1" s="345"/>
      <c r="ZB1" s="345"/>
      <c r="ZC1" s="345"/>
      <c r="ZD1" s="345"/>
      <c r="ZE1" s="345"/>
      <c r="ZF1" s="345"/>
      <c r="ZG1" s="345"/>
      <c r="ZH1" s="345"/>
      <c r="ZI1" s="345"/>
      <c r="ZJ1" s="345"/>
      <c r="ZK1" s="345"/>
      <c r="ZL1" s="345"/>
      <c r="ZM1" s="345"/>
      <c r="ZN1" s="345"/>
      <c r="ZO1" s="345"/>
      <c r="ZP1" s="345"/>
      <c r="ZQ1" s="345"/>
      <c r="ZR1" s="345"/>
      <c r="ZS1" s="345"/>
      <c r="ZT1" s="345"/>
      <c r="ZU1" s="345"/>
      <c r="ZV1" s="345"/>
      <c r="ZW1" s="345"/>
      <c r="ZX1" s="345"/>
      <c r="ZY1" s="345"/>
      <c r="ZZ1" s="345"/>
      <c r="AAA1" s="345"/>
      <c r="AAB1" s="345"/>
      <c r="AAC1" s="345"/>
      <c r="AAD1" s="345"/>
      <c r="AAE1" s="345"/>
      <c r="AAF1" s="345"/>
      <c r="AAG1" s="345"/>
      <c r="AAH1" s="345"/>
      <c r="AAI1" s="345"/>
      <c r="AAJ1" s="345"/>
      <c r="AAK1" s="345"/>
      <c r="AAL1" s="345"/>
      <c r="AAM1" s="345"/>
      <c r="AAN1" s="345"/>
      <c r="AAO1" s="345"/>
      <c r="AAP1" s="345"/>
      <c r="AAQ1" s="345"/>
      <c r="AAR1" s="345"/>
      <c r="AAS1" s="345"/>
      <c r="AAT1" s="345"/>
      <c r="AAU1" s="345"/>
      <c r="AAV1" s="345"/>
      <c r="AAW1" s="345"/>
      <c r="AAX1" s="345"/>
      <c r="AAY1" s="345"/>
      <c r="AAZ1" s="345"/>
      <c r="ABA1" s="345"/>
      <c r="ABB1" s="345"/>
      <c r="ABC1" s="345"/>
      <c r="ABD1" s="345"/>
      <c r="ABE1" s="345"/>
      <c r="ABF1" s="345"/>
      <c r="ABG1" s="345"/>
      <c r="ABH1" s="345"/>
      <c r="ABI1" s="345"/>
      <c r="ABJ1" s="345"/>
      <c r="ABK1" s="345"/>
      <c r="ABL1" s="345"/>
      <c r="ABM1" s="345"/>
      <c r="ABN1" s="345"/>
      <c r="ABO1" s="345"/>
      <c r="ABP1" s="345"/>
      <c r="ABQ1" s="345"/>
      <c r="ABR1" s="345"/>
      <c r="ABS1" s="345"/>
      <c r="ABT1" s="345"/>
      <c r="ABU1" s="345"/>
      <c r="ABV1" s="345"/>
      <c r="ABW1" s="345"/>
      <c r="ABX1" s="345"/>
      <c r="ABY1" s="345"/>
      <c r="ABZ1" s="345"/>
      <c r="ACA1" s="345"/>
      <c r="ACB1" s="345"/>
      <c r="ACC1" s="345"/>
      <c r="ACD1" s="345"/>
      <c r="ACE1" s="345"/>
      <c r="ACF1" s="345"/>
      <c r="ACG1" s="345"/>
      <c r="ACH1" s="345"/>
      <c r="ACI1" s="345"/>
      <c r="ACJ1" s="345"/>
      <c r="ACK1" s="345"/>
      <c r="ACL1" s="345"/>
      <c r="ACM1" s="345"/>
      <c r="ACN1" s="345"/>
      <c r="ACO1" s="345"/>
      <c r="ACP1" s="345"/>
      <c r="ACQ1" s="345"/>
      <c r="ACR1" s="345"/>
      <c r="ACS1" s="345"/>
      <c r="ACT1" s="345"/>
      <c r="ACU1" s="345"/>
      <c r="ACV1" s="345"/>
      <c r="ACW1" s="345"/>
      <c r="ACX1" s="345"/>
      <c r="ACY1" s="345"/>
      <c r="ACZ1" s="345"/>
      <c r="ADA1" s="345"/>
      <c r="ADB1" s="345"/>
      <c r="ADC1" s="345"/>
      <c r="ADD1" s="345"/>
      <c r="ADE1" s="345"/>
      <c r="ADF1" s="345"/>
      <c r="ADG1" s="345"/>
      <c r="ADH1" s="345"/>
      <c r="ADI1" s="345"/>
      <c r="ADJ1" s="345"/>
      <c r="ADK1" s="345"/>
      <c r="ADL1" s="345"/>
      <c r="ADM1" s="345"/>
      <c r="ADN1" s="345"/>
      <c r="ADO1" s="345"/>
      <c r="ADP1" s="345"/>
      <c r="ADQ1" s="345"/>
      <c r="ADR1" s="345"/>
      <c r="ADS1" s="345"/>
      <c r="ADT1" s="345"/>
      <c r="ADU1" s="345"/>
      <c r="ADV1" s="345"/>
      <c r="ADW1" s="345"/>
      <c r="ADX1" s="345"/>
      <c r="ADY1" s="345"/>
      <c r="ADZ1" s="345"/>
      <c r="AEA1" s="345"/>
      <c r="AEB1" s="345"/>
      <c r="AEC1" s="345"/>
      <c r="AED1" s="345"/>
      <c r="AEE1" s="345"/>
      <c r="AEF1" s="345"/>
      <c r="AEG1" s="345"/>
      <c r="AEH1" s="345"/>
      <c r="AEI1" s="345"/>
      <c r="AEJ1" s="345"/>
      <c r="AEK1" s="345"/>
      <c r="AEL1" s="345"/>
      <c r="AEM1" s="345"/>
      <c r="AEN1" s="345"/>
      <c r="AEO1" s="345"/>
      <c r="AEP1" s="345"/>
      <c r="AEQ1" s="345"/>
      <c r="AER1" s="345"/>
      <c r="AES1" s="345"/>
      <c r="AET1" s="345"/>
      <c r="AEU1" s="345"/>
      <c r="AEV1" s="345"/>
      <c r="AEW1" s="345"/>
      <c r="AEX1" s="345"/>
      <c r="AEY1" s="345"/>
      <c r="AEZ1" s="345"/>
      <c r="AFA1" s="345"/>
      <c r="AFB1" s="345"/>
      <c r="AFC1" s="345"/>
      <c r="AFD1" s="345"/>
      <c r="AFE1" s="345"/>
      <c r="AFF1" s="345"/>
      <c r="AFG1" s="345"/>
      <c r="AFH1" s="345"/>
      <c r="AFI1" s="345"/>
      <c r="AFJ1" s="345"/>
      <c r="AFK1" s="345"/>
      <c r="AFL1" s="345"/>
      <c r="AFM1" s="345"/>
      <c r="AFN1" s="345"/>
      <c r="AFO1" s="345"/>
      <c r="AFP1" s="345"/>
      <c r="AFQ1" s="345"/>
      <c r="AFR1" s="345"/>
      <c r="AFS1" s="345"/>
      <c r="AFT1" s="345"/>
      <c r="AFU1" s="345"/>
      <c r="AFV1" s="345"/>
      <c r="AFW1" s="345"/>
      <c r="AFX1" s="345"/>
      <c r="AFY1" s="345"/>
      <c r="AFZ1" s="345"/>
      <c r="AGA1" s="345"/>
      <c r="AGB1" s="345"/>
      <c r="AGC1" s="345"/>
      <c r="AGD1" s="345"/>
      <c r="AGE1" s="345"/>
      <c r="AGF1" s="345"/>
      <c r="AGG1" s="345"/>
      <c r="AGH1" s="345"/>
      <c r="AGI1" s="345"/>
      <c r="AGJ1" s="345"/>
      <c r="AGK1" s="345"/>
      <c r="AGL1" s="345"/>
      <c r="AGM1" s="345"/>
      <c r="AGN1" s="345"/>
      <c r="AGO1" s="345"/>
      <c r="AGP1" s="345"/>
      <c r="AGQ1" s="345"/>
      <c r="AGR1" s="345"/>
      <c r="AGS1" s="345"/>
      <c r="AGT1" s="345"/>
      <c r="AGU1" s="345"/>
      <c r="AGV1" s="345"/>
      <c r="AGW1" s="345"/>
      <c r="AGX1" s="345"/>
      <c r="AGY1" s="345"/>
      <c r="AGZ1" s="345"/>
      <c r="AHA1" s="345"/>
      <c r="AHB1" s="345"/>
      <c r="AHC1" s="345"/>
      <c r="AHD1" s="345"/>
      <c r="AHE1" s="345"/>
      <c r="AHF1" s="345"/>
      <c r="AHG1" s="345"/>
      <c r="AHH1" s="345"/>
      <c r="AHI1" s="345"/>
      <c r="AHJ1" s="345"/>
      <c r="AHK1" s="345"/>
      <c r="AHL1" s="345"/>
      <c r="AHM1" s="345"/>
      <c r="AHN1" s="345"/>
      <c r="AHO1" s="345"/>
      <c r="AHP1" s="345"/>
      <c r="AHQ1" s="345"/>
      <c r="AHR1" s="345"/>
      <c r="AHS1" s="345"/>
      <c r="AHT1" s="345"/>
      <c r="AHU1" s="345"/>
      <c r="AHV1" s="345"/>
      <c r="AHW1" s="345"/>
      <c r="AHX1" s="345"/>
      <c r="AHY1" s="345"/>
      <c r="AHZ1" s="345"/>
      <c r="AIA1" s="345"/>
      <c r="AIB1" s="345"/>
      <c r="AIC1" s="345"/>
      <c r="AID1" s="345"/>
      <c r="AIE1" s="345"/>
      <c r="AIF1" s="345"/>
      <c r="AIG1" s="345"/>
      <c r="AIH1" s="345"/>
      <c r="AII1" s="345"/>
      <c r="AIJ1" s="345"/>
      <c r="AIK1" s="345"/>
      <c r="AIL1" s="345"/>
      <c r="AIM1" s="345"/>
      <c r="AIN1" s="345"/>
      <c r="AIO1" s="345"/>
      <c r="AIP1" s="345"/>
      <c r="AIQ1" s="345"/>
      <c r="AIR1" s="345"/>
      <c r="AIS1" s="345"/>
      <c r="AIT1" s="345"/>
      <c r="AIU1" s="345"/>
      <c r="AIV1" s="345"/>
      <c r="AIW1" s="345"/>
      <c r="AIX1" s="345"/>
      <c r="AIY1" s="345"/>
      <c r="AIZ1" s="345"/>
      <c r="AJA1" s="345"/>
      <c r="AJB1" s="345"/>
      <c r="AJC1" s="345"/>
      <c r="AJD1" s="345"/>
      <c r="AJE1" s="345"/>
      <c r="AJF1" s="345"/>
      <c r="AJG1" s="345"/>
      <c r="AJH1" s="345"/>
      <c r="AJI1" s="345"/>
      <c r="AJJ1" s="345"/>
      <c r="AJK1" s="345"/>
      <c r="AJL1" s="345"/>
      <c r="AJM1" s="345"/>
      <c r="AJN1" s="345"/>
      <c r="AJO1" s="345"/>
      <c r="AJP1" s="345"/>
      <c r="AJQ1" s="345"/>
      <c r="AJR1" s="345"/>
      <c r="AJS1" s="345"/>
      <c r="AJT1" s="345"/>
      <c r="AJU1" s="345"/>
      <c r="AJV1" s="345"/>
      <c r="AJW1" s="345"/>
      <c r="AJX1" s="345"/>
      <c r="AJY1" s="345"/>
      <c r="AJZ1" s="345"/>
      <c r="AKA1" s="345"/>
      <c r="AKB1" s="345"/>
      <c r="AKC1" s="345"/>
      <c r="AKD1" s="345"/>
      <c r="AKE1" s="345"/>
      <c r="AKF1" s="345"/>
      <c r="AKG1" s="345"/>
      <c r="AKH1" s="345"/>
      <c r="AKI1" s="345"/>
      <c r="AKJ1" s="345"/>
      <c r="AKK1" s="345"/>
      <c r="AKL1" s="345"/>
      <c r="AKM1" s="345"/>
      <c r="AKN1" s="345"/>
      <c r="AKO1" s="345"/>
      <c r="AKP1" s="345"/>
      <c r="AKQ1" s="345"/>
      <c r="AKR1" s="345"/>
      <c r="AKS1" s="345"/>
      <c r="AKT1" s="345"/>
      <c r="AKU1" s="345"/>
      <c r="AKV1" s="345"/>
      <c r="AKW1" s="345"/>
      <c r="AKX1" s="345"/>
      <c r="AKY1" s="345"/>
      <c r="AKZ1" s="345"/>
      <c r="ALA1" s="345"/>
      <c r="ALB1" s="345"/>
      <c r="ALC1" s="345"/>
      <c r="ALD1" s="345"/>
      <c r="ALE1" s="345"/>
      <c r="ALF1" s="345"/>
      <c r="ALG1" s="345"/>
      <c r="ALH1" s="345"/>
      <c r="ALI1" s="345"/>
      <c r="ALJ1" s="345"/>
      <c r="ALK1" s="345"/>
      <c r="ALL1" s="345"/>
      <c r="ALM1" s="345"/>
      <c r="ALN1" s="345"/>
      <c r="ALO1" s="345"/>
      <c r="ALP1" s="345"/>
      <c r="ALQ1" s="345"/>
      <c r="ALR1" s="345"/>
      <c r="ALS1" s="345"/>
      <c r="ALT1" s="345"/>
      <c r="ALU1" s="345"/>
      <c r="ALV1" s="345"/>
      <c r="ALW1" s="345"/>
      <c r="ALX1" s="345"/>
      <c r="ALY1" s="345"/>
      <c r="ALZ1" s="345"/>
      <c r="AMA1" s="345"/>
      <c r="AMB1" s="345"/>
      <c r="AMC1" s="345"/>
      <c r="AMD1" s="345"/>
      <c r="AME1" s="345"/>
      <c r="AMF1" s="345"/>
      <c r="AMG1" s="345"/>
      <c r="AMH1" s="345"/>
      <c r="AMI1" s="345"/>
      <c r="AMJ1" s="345"/>
      <c r="AMK1" s="345"/>
      <c r="AML1" s="345"/>
      <c r="AMM1" s="345"/>
      <c r="AMN1" s="345"/>
      <c r="AMO1" s="345"/>
      <c r="AMP1" s="345"/>
      <c r="AMQ1" s="345"/>
      <c r="AMR1" s="345"/>
      <c r="AMS1" s="345"/>
      <c r="AMT1" s="345"/>
      <c r="AMU1" s="345"/>
      <c r="AMV1" s="345"/>
      <c r="AMW1" s="345"/>
      <c r="AMX1" s="345"/>
      <c r="AMY1" s="345"/>
      <c r="AMZ1" s="345"/>
      <c r="ANA1" s="345"/>
      <c r="ANB1" s="345"/>
      <c r="ANC1" s="345"/>
      <c r="AND1" s="345"/>
      <c r="ANE1" s="345"/>
      <c r="ANF1" s="345"/>
      <c r="ANG1" s="345"/>
      <c r="ANH1" s="345"/>
      <c r="ANI1" s="345"/>
      <c r="ANJ1" s="345"/>
      <c r="ANK1" s="345"/>
      <c r="ANL1" s="345"/>
      <c r="ANM1" s="345"/>
      <c r="ANN1" s="345"/>
      <c r="ANO1" s="345"/>
      <c r="ANP1" s="345"/>
      <c r="ANQ1" s="345"/>
      <c r="ANR1" s="345"/>
      <c r="ANS1" s="345"/>
      <c r="ANT1" s="345"/>
      <c r="ANU1" s="345"/>
      <c r="ANV1" s="345"/>
      <c r="ANW1" s="345"/>
      <c r="ANX1" s="345"/>
      <c r="ANY1" s="345"/>
      <c r="ANZ1" s="345"/>
      <c r="AOA1" s="345"/>
      <c r="AOB1" s="345"/>
      <c r="AOC1" s="345"/>
      <c r="AOD1" s="345"/>
      <c r="AOE1" s="345"/>
      <c r="AOF1" s="345"/>
      <c r="AOG1" s="345"/>
      <c r="AOH1" s="345"/>
      <c r="AOI1" s="345"/>
      <c r="AOJ1" s="345"/>
      <c r="AOK1" s="345"/>
      <c r="AOL1" s="345"/>
      <c r="AOM1" s="345"/>
      <c r="AON1" s="345"/>
      <c r="AOO1" s="345"/>
      <c r="AOP1" s="345"/>
      <c r="AOQ1" s="345"/>
      <c r="AOR1" s="345"/>
      <c r="AOS1" s="345"/>
      <c r="AOT1" s="345"/>
      <c r="AOU1" s="345"/>
      <c r="AOV1" s="345"/>
      <c r="AOW1" s="345"/>
      <c r="AOX1" s="345"/>
      <c r="AOY1" s="345"/>
      <c r="AOZ1" s="345"/>
      <c r="APA1" s="345"/>
      <c r="APB1" s="345"/>
      <c r="APC1" s="345"/>
      <c r="APD1" s="345"/>
      <c r="APE1" s="345"/>
      <c r="APF1" s="345"/>
      <c r="APG1" s="345"/>
      <c r="APH1" s="345"/>
      <c r="API1" s="345"/>
      <c r="APJ1" s="345"/>
      <c r="APK1" s="345"/>
      <c r="APL1" s="345"/>
      <c r="APM1" s="345"/>
      <c r="APN1" s="345"/>
      <c r="APO1" s="345"/>
      <c r="APP1" s="345"/>
      <c r="APQ1" s="345"/>
      <c r="APR1" s="345"/>
      <c r="APS1" s="345"/>
      <c r="APT1" s="345"/>
      <c r="APU1" s="345"/>
      <c r="APV1" s="345"/>
      <c r="APW1" s="345"/>
      <c r="APX1" s="345"/>
      <c r="APY1" s="345"/>
      <c r="APZ1" s="345"/>
      <c r="AQA1" s="345"/>
      <c r="AQB1" s="345"/>
      <c r="AQC1" s="345"/>
      <c r="AQD1" s="345"/>
      <c r="AQE1" s="345"/>
      <c r="AQF1" s="345"/>
      <c r="AQG1" s="345"/>
      <c r="AQH1" s="345"/>
      <c r="AQI1" s="345"/>
      <c r="AQJ1" s="345"/>
      <c r="AQK1" s="345"/>
      <c r="AQL1" s="345"/>
      <c r="AQM1" s="345"/>
      <c r="AQN1" s="345"/>
      <c r="AQO1" s="345"/>
      <c r="AQP1" s="345"/>
      <c r="AQQ1" s="345"/>
      <c r="AQR1" s="345"/>
      <c r="AQS1" s="345"/>
      <c r="AQT1" s="345"/>
      <c r="AQU1" s="345"/>
      <c r="AQV1" s="345"/>
      <c r="AQW1" s="345"/>
      <c r="AQX1" s="345"/>
      <c r="AQY1" s="345"/>
      <c r="AQZ1" s="345"/>
      <c r="ARA1" s="345"/>
      <c r="ARB1" s="345"/>
      <c r="ARC1" s="345"/>
      <c r="ARD1" s="345"/>
      <c r="ARE1" s="345"/>
      <c r="ARF1" s="345"/>
      <c r="ARG1" s="345"/>
      <c r="ARH1" s="345"/>
      <c r="ARI1" s="345"/>
      <c r="ARJ1" s="345"/>
      <c r="ARK1" s="345"/>
      <c r="ARL1" s="345"/>
      <c r="ARM1" s="345"/>
      <c r="ARN1" s="345"/>
      <c r="ARO1" s="345"/>
      <c r="ARP1" s="345"/>
      <c r="ARQ1" s="345"/>
      <c r="ARR1" s="345"/>
      <c r="ARS1" s="345"/>
      <c r="ART1" s="345"/>
      <c r="ARU1" s="345"/>
      <c r="ARV1" s="345"/>
      <c r="ARW1" s="345"/>
      <c r="ARX1" s="345"/>
      <c r="ARY1" s="345"/>
      <c r="ARZ1" s="345"/>
      <c r="ASA1" s="345"/>
      <c r="ASB1" s="345"/>
      <c r="ASC1" s="345"/>
      <c r="ASD1" s="345"/>
      <c r="ASE1" s="345"/>
      <c r="ASF1" s="345"/>
      <c r="ASG1" s="345"/>
      <c r="ASH1" s="345"/>
      <c r="ASI1" s="345"/>
      <c r="ASJ1" s="345"/>
      <c r="ASK1" s="345"/>
      <c r="ASL1" s="345"/>
      <c r="ASM1" s="345"/>
      <c r="ASN1" s="345"/>
      <c r="ASO1" s="345"/>
      <c r="ASP1" s="345"/>
      <c r="ASQ1" s="345"/>
      <c r="ASR1" s="345"/>
      <c r="ASS1" s="345"/>
      <c r="AST1" s="345"/>
      <c r="ASU1" s="345"/>
      <c r="ASV1" s="345"/>
      <c r="ASW1" s="345"/>
      <c r="ASX1" s="345"/>
      <c r="ASY1" s="345"/>
      <c r="ASZ1" s="345"/>
      <c r="ATA1" s="345"/>
      <c r="ATB1" s="345"/>
      <c r="ATC1" s="345"/>
      <c r="ATD1" s="345"/>
      <c r="ATE1" s="345"/>
      <c r="ATF1" s="345"/>
      <c r="ATG1" s="345"/>
      <c r="ATH1" s="345"/>
      <c r="ATI1" s="345"/>
      <c r="ATJ1" s="345"/>
      <c r="ATK1" s="345"/>
      <c r="ATL1" s="345"/>
      <c r="ATM1" s="345"/>
      <c r="ATN1" s="345"/>
      <c r="ATO1" s="345"/>
    </row>
    <row r="2" spans="1:1211" s="346" customFormat="1" ht="18.75" customHeight="1">
      <c r="A2" s="1625" t="s">
        <v>4201</v>
      </c>
      <c r="B2" s="2598" t="s">
        <v>14230</v>
      </c>
      <c r="C2" s="2599"/>
      <c r="D2" s="1484"/>
      <c r="E2" s="107"/>
      <c r="F2" s="107"/>
      <c r="G2" s="107"/>
      <c r="H2" s="1474"/>
      <c r="I2" s="2594"/>
      <c r="J2" s="2595"/>
      <c r="K2" s="2600">
        <v>21</v>
      </c>
      <c r="L2" s="2601"/>
      <c r="M2" s="1630" t="s">
        <v>4949</v>
      </c>
      <c r="N2" s="1630"/>
      <c r="O2" s="1629"/>
      <c r="P2" s="345"/>
      <c r="Q2" s="1480"/>
      <c r="R2" s="345"/>
      <c r="S2" s="345"/>
      <c r="T2" s="345"/>
      <c r="U2" s="345"/>
      <c r="V2" s="345"/>
      <c r="W2" s="345"/>
      <c r="X2" s="345"/>
      <c r="Y2" s="345"/>
      <c r="Z2" s="345"/>
      <c r="AA2" s="345"/>
      <c r="AB2" s="345"/>
      <c r="AC2" s="345"/>
      <c r="AD2" s="345"/>
      <c r="AE2" s="345"/>
      <c r="AF2" s="345"/>
      <c r="AG2" s="345"/>
      <c r="AH2" s="345"/>
      <c r="AI2" s="345"/>
      <c r="AJ2" s="345"/>
      <c r="AK2" s="345"/>
      <c r="AL2" s="345"/>
      <c r="AM2" s="345"/>
      <c r="AN2" s="345"/>
      <c r="AO2" s="345"/>
      <c r="AP2" s="345"/>
      <c r="AQ2" s="345"/>
      <c r="AR2" s="345"/>
      <c r="AS2" s="345"/>
      <c r="AT2" s="345"/>
      <c r="AU2" s="345"/>
      <c r="AV2" s="345"/>
      <c r="AW2" s="345"/>
      <c r="AX2" s="345"/>
      <c r="AY2" s="345"/>
      <c r="AZ2" s="345"/>
      <c r="BA2" s="345"/>
      <c r="BB2" s="345"/>
      <c r="BC2" s="345"/>
      <c r="BD2" s="345"/>
      <c r="BE2" s="345"/>
      <c r="BF2" s="345"/>
      <c r="BG2" s="345"/>
      <c r="BH2" s="345"/>
      <c r="BI2" s="345"/>
      <c r="BJ2" s="345"/>
      <c r="BK2" s="345"/>
      <c r="BL2" s="345"/>
      <c r="BM2" s="345"/>
      <c r="BN2" s="345"/>
      <c r="BO2" s="345"/>
      <c r="BP2" s="345"/>
      <c r="BQ2" s="345"/>
      <c r="BR2" s="345"/>
      <c r="BS2" s="345"/>
      <c r="BT2" s="345"/>
      <c r="BU2" s="345"/>
      <c r="BV2" s="345"/>
      <c r="BW2" s="345"/>
      <c r="BX2" s="345"/>
      <c r="BY2" s="345"/>
      <c r="BZ2" s="345"/>
      <c r="CA2" s="345"/>
      <c r="CB2" s="345"/>
      <c r="CC2" s="345"/>
      <c r="CD2" s="345"/>
      <c r="CE2" s="345"/>
      <c r="CF2" s="345"/>
      <c r="CG2" s="345"/>
      <c r="CH2" s="345"/>
      <c r="CI2" s="345"/>
      <c r="CJ2" s="345"/>
      <c r="CK2" s="345"/>
      <c r="CL2" s="345"/>
      <c r="CM2" s="345"/>
      <c r="CN2" s="345"/>
      <c r="CO2" s="345"/>
      <c r="CP2" s="345"/>
      <c r="CQ2" s="345"/>
      <c r="CR2" s="345"/>
      <c r="CS2" s="345"/>
      <c r="CT2" s="345"/>
      <c r="CU2" s="345"/>
      <c r="CV2" s="345"/>
      <c r="CW2" s="345"/>
      <c r="CX2" s="345"/>
      <c r="CY2" s="345"/>
      <c r="CZ2" s="345"/>
      <c r="DA2" s="345"/>
      <c r="DB2" s="345"/>
      <c r="DC2" s="345"/>
      <c r="DD2" s="345"/>
      <c r="DE2" s="345"/>
      <c r="DF2" s="345"/>
      <c r="DG2" s="345"/>
      <c r="DH2" s="345"/>
      <c r="DI2" s="345"/>
      <c r="DJ2" s="345"/>
      <c r="DK2" s="345"/>
      <c r="DL2" s="345"/>
      <c r="DM2" s="345"/>
      <c r="DN2" s="345"/>
      <c r="DO2" s="345"/>
      <c r="DP2" s="345"/>
      <c r="DQ2" s="345"/>
      <c r="DR2" s="345"/>
      <c r="DS2" s="345"/>
      <c r="DT2" s="345"/>
      <c r="DU2" s="345"/>
      <c r="DV2" s="345"/>
      <c r="DW2" s="345"/>
      <c r="DX2" s="345"/>
      <c r="DY2" s="345"/>
      <c r="DZ2" s="345"/>
      <c r="EA2" s="345"/>
      <c r="EB2" s="345"/>
      <c r="EC2" s="345"/>
      <c r="ED2" s="345"/>
      <c r="EE2" s="345"/>
      <c r="EF2" s="345"/>
      <c r="EG2" s="345"/>
      <c r="EH2" s="345"/>
      <c r="EI2" s="345"/>
      <c r="EJ2" s="345"/>
      <c r="EK2" s="345"/>
      <c r="EL2" s="345"/>
      <c r="EM2" s="345"/>
      <c r="EN2" s="345"/>
      <c r="EO2" s="345"/>
      <c r="EP2" s="345"/>
      <c r="EQ2" s="345"/>
      <c r="ER2" s="345"/>
      <c r="ES2" s="345"/>
      <c r="ET2" s="345"/>
      <c r="EU2" s="345"/>
      <c r="EV2" s="345"/>
      <c r="EW2" s="345"/>
      <c r="EX2" s="345"/>
      <c r="EY2" s="345"/>
      <c r="EZ2" s="345"/>
      <c r="FA2" s="345"/>
      <c r="FB2" s="345"/>
      <c r="FC2" s="345"/>
      <c r="FD2" s="345"/>
      <c r="FE2" s="345"/>
      <c r="FF2" s="345"/>
      <c r="FG2" s="345"/>
      <c r="FH2" s="345"/>
      <c r="FI2" s="345"/>
      <c r="FJ2" s="345"/>
      <c r="FK2" s="345"/>
      <c r="FL2" s="345"/>
      <c r="FM2" s="345"/>
      <c r="FN2" s="345"/>
      <c r="FO2" s="345"/>
      <c r="FP2" s="345"/>
      <c r="FQ2" s="345"/>
      <c r="FR2" s="345"/>
      <c r="FS2" s="345"/>
      <c r="FT2" s="345"/>
      <c r="FU2" s="345"/>
      <c r="FV2" s="345"/>
      <c r="FW2" s="345"/>
      <c r="FX2" s="345"/>
      <c r="FY2" s="345"/>
      <c r="FZ2" s="345"/>
      <c r="GA2" s="345"/>
      <c r="GB2" s="345"/>
      <c r="GC2" s="345"/>
      <c r="GD2" s="345"/>
      <c r="GE2" s="345"/>
      <c r="GF2" s="345"/>
      <c r="GG2" s="345"/>
      <c r="GH2" s="345"/>
      <c r="GI2" s="345"/>
      <c r="GJ2" s="345"/>
      <c r="GK2" s="345"/>
      <c r="GL2" s="345"/>
      <c r="GM2" s="345"/>
      <c r="GN2" s="345"/>
      <c r="GO2" s="345"/>
      <c r="GP2" s="345"/>
      <c r="GQ2" s="345"/>
      <c r="GR2" s="345"/>
      <c r="GS2" s="345"/>
      <c r="GT2" s="345"/>
      <c r="GU2" s="345"/>
      <c r="GV2" s="345"/>
      <c r="GW2" s="345"/>
      <c r="GX2" s="345"/>
      <c r="GY2" s="345"/>
      <c r="GZ2" s="345"/>
      <c r="HA2" s="345"/>
      <c r="HB2" s="345"/>
      <c r="HC2" s="345"/>
      <c r="HD2" s="345"/>
      <c r="HE2" s="345"/>
      <c r="HF2" s="345"/>
      <c r="HG2" s="345"/>
      <c r="HH2" s="345"/>
      <c r="HI2" s="345"/>
      <c r="HJ2" s="345"/>
      <c r="HK2" s="345"/>
      <c r="HL2" s="345"/>
      <c r="HM2" s="345"/>
      <c r="HN2" s="345"/>
      <c r="HO2" s="345"/>
      <c r="HP2" s="345"/>
      <c r="HQ2" s="345"/>
      <c r="HR2" s="345"/>
      <c r="HS2" s="345"/>
      <c r="HT2" s="345"/>
      <c r="HU2" s="345"/>
      <c r="HV2" s="345"/>
      <c r="HW2" s="345"/>
      <c r="HX2" s="345"/>
      <c r="HY2" s="345"/>
      <c r="HZ2" s="345"/>
      <c r="IA2" s="345"/>
      <c r="IB2" s="345"/>
      <c r="IC2" s="345"/>
      <c r="ID2" s="345"/>
      <c r="IE2" s="345"/>
      <c r="IF2" s="345"/>
      <c r="IG2" s="345"/>
      <c r="IH2" s="345"/>
      <c r="II2" s="345"/>
      <c r="IJ2" s="345"/>
      <c r="IK2" s="345"/>
      <c r="IL2" s="345"/>
      <c r="IM2" s="345"/>
      <c r="IN2" s="345"/>
      <c r="IO2" s="345"/>
      <c r="IP2" s="345"/>
      <c r="IQ2" s="345"/>
      <c r="IR2" s="345"/>
      <c r="IS2" s="345"/>
      <c r="IT2" s="345"/>
      <c r="IU2" s="345"/>
      <c r="IV2" s="345"/>
      <c r="IW2" s="345"/>
      <c r="IX2" s="345"/>
      <c r="IY2" s="345"/>
      <c r="IZ2" s="345"/>
      <c r="JA2" s="345"/>
      <c r="JB2" s="345"/>
      <c r="JC2" s="345"/>
      <c r="JD2" s="345"/>
      <c r="JE2" s="345"/>
      <c r="JF2" s="345"/>
      <c r="JG2" s="345"/>
      <c r="JH2" s="345"/>
      <c r="JI2" s="345"/>
      <c r="JJ2" s="345"/>
      <c r="JK2" s="345"/>
      <c r="JL2" s="345"/>
      <c r="JM2" s="345"/>
      <c r="JN2" s="345"/>
      <c r="JO2" s="345"/>
      <c r="JP2" s="345"/>
      <c r="JQ2" s="345"/>
      <c r="JR2" s="345"/>
      <c r="JS2" s="345"/>
      <c r="JT2" s="345"/>
      <c r="JU2" s="345"/>
      <c r="JV2" s="345"/>
      <c r="JW2" s="345"/>
      <c r="JX2" s="345"/>
      <c r="JY2" s="345"/>
      <c r="JZ2" s="345"/>
      <c r="KA2" s="345"/>
      <c r="KB2" s="345"/>
      <c r="KC2" s="345"/>
      <c r="KD2" s="345"/>
      <c r="KE2" s="345"/>
      <c r="KF2" s="345"/>
      <c r="KG2" s="345"/>
      <c r="KH2" s="345"/>
      <c r="KI2" s="345"/>
      <c r="KJ2" s="345"/>
      <c r="KK2" s="345"/>
      <c r="KL2" s="345"/>
      <c r="KM2" s="345"/>
      <c r="KN2" s="345"/>
      <c r="KO2" s="345"/>
      <c r="KP2" s="345"/>
      <c r="KQ2" s="345"/>
      <c r="KR2" s="345"/>
      <c r="KS2" s="345"/>
      <c r="KT2" s="345"/>
      <c r="KU2" s="345"/>
      <c r="KV2" s="345"/>
      <c r="KW2" s="345"/>
      <c r="KX2" s="345"/>
      <c r="KY2" s="345"/>
      <c r="KZ2" s="345"/>
      <c r="LA2" s="345"/>
      <c r="LB2" s="345"/>
      <c r="LC2" s="345"/>
      <c r="LD2" s="345"/>
      <c r="LE2" s="345"/>
      <c r="LF2" s="345"/>
      <c r="LG2" s="345"/>
      <c r="LH2" s="345"/>
      <c r="LI2" s="345"/>
      <c r="LJ2" s="345"/>
      <c r="LK2" s="345"/>
      <c r="LL2" s="345"/>
      <c r="LM2" s="345"/>
      <c r="LN2" s="345"/>
      <c r="LO2" s="345"/>
      <c r="LP2" s="345"/>
      <c r="LQ2" s="345"/>
      <c r="LR2" s="345"/>
      <c r="LS2" s="345"/>
      <c r="LT2" s="345"/>
      <c r="LU2" s="345"/>
      <c r="LV2" s="345"/>
      <c r="LW2" s="345"/>
      <c r="LX2" s="345"/>
      <c r="LY2" s="345"/>
      <c r="LZ2" s="345"/>
      <c r="MA2" s="345"/>
      <c r="MB2" s="345"/>
      <c r="MC2" s="345"/>
      <c r="MD2" s="345"/>
      <c r="ME2" s="345"/>
      <c r="MF2" s="345"/>
      <c r="MG2" s="345"/>
      <c r="MH2" s="345"/>
      <c r="MI2" s="345"/>
      <c r="MJ2" s="345"/>
      <c r="MK2" s="345"/>
      <c r="ML2" s="345"/>
      <c r="MM2" s="345"/>
      <c r="MN2" s="345"/>
      <c r="MO2" s="345"/>
      <c r="MP2" s="345"/>
      <c r="MQ2" s="345"/>
      <c r="MR2" s="345"/>
      <c r="MS2" s="345"/>
      <c r="MT2" s="345"/>
      <c r="MU2" s="345"/>
      <c r="MV2" s="345"/>
      <c r="MW2" s="345"/>
      <c r="MX2" s="345"/>
      <c r="MY2" s="345"/>
      <c r="MZ2" s="345"/>
      <c r="NA2" s="345"/>
      <c r="NB2" s="345"/>
      <c r="NC2" s="345"/>
      <c r="ND2" s="345"/>
      <c r="NE2" s="345"/>
      <c r="NF2" s="345"/>
      <c r="NG2" s="345"/>
      <c r="NH2" s="345"/>
      <c r="NI2" s="345"/>
      <c r="NJ2" s="345"/>
      <c r="NK2" s="345"/>
      <c r="NL2" s="345"/>
      <c r="NM2" s="345"/>
      <c r="NN2" s="345"/>
      <c r="NO2" s="345"/>
      <c r="NP2" s="345"/>
      <c r="NQ2" s="345"/>
      <c r="NR2" s="345"/>
      <c r="NS2" s="345"/>
      <c r="NT2" s="345"/>
      <c r="NU2" s="345"/>
      <c r="NV2" s="345"/>
      <c r="NW2" s="345"/>
      <c r="NX2" s="345"/>
      <c r="NY2" s="345"/>
      <c r="NZ2" s="345"/>
      <c r="OA2" s="345"/>
      <c r="OB2" s="345"/>
      <c r="OC2" s="345"/>
      <c r="OD2" s="345"/>
      <c r="OE2" s="345"/>
      <c r="OF2" s="345"/>
      <c r="OG2" s="345"/>
      <c r="OH2" s="345"/>
      <c r="OI2" s="345"/>
      <c r="OJ2" s="345"/>
      <c r="OK2" s="345"/>
      <c r="OL2" s="345"/>
      <c r="OM2" s="345"/>
      <c r="ON2" s="345"/>
      <c r="OO2" s="345"/>
      <c r="OP2" s="345"/>
      <c r="OQ2" s="345"/>
      <c r="OR2" s="345"/>
      <c r="OS2" s="345"/>
      <c r="OT2" s="345"/>
      <c r="OU2" s="345"/>
      <c r="OV2" s="345"/>
      <c r="OW2" s="345"/>
      <c r="OX2" s="345"/>
      <c r="OY2" s="345"/>
      <c r="OZ2" s="345"/>
      <c r="PA2" s="345"/>
      <c r="PB2" s="345"/>
      <c r="PC2" s="345"/>
      <c r="PD2" s="345"/>
      <c r="PE2" s="345"/>
      <c r="PF2" s="345"/>
      <c r="PG2" s="345"/>
      <c r="PH2" s="345"/>
      <c r="PI2" s="345"/>
      <c r="PJ2" s="345"/>
      <c r="PK2" s="345"/>
      <c r="PL2" s="345"/>
      <c r="PM2" s="345"/>
      <c r="PN2" s="345"/>
      <c r="PO2" s="345"/>
      <c r="PP2" s="345"/>
      <c r="PQ2" s="345"/>
      <c r="PR2" s="345"/>
      <c r="PS2" s="345"/>
      <c r="PT2" s="345"/>
      <c r="PU2" s="345"/>
      <c r="PV2" s="345"/>
      <c r="PW2" s="345"/>
      <c r="PX2" s="345"/>
      <c r="PY2" s="345"/>
      <c r="PZ2" s="345"/>
      <c r="QA2" s="345"/>
      <c r="QB2" s="345"/>
      <c r="QC2" s="345"/>
      <c r="QD2" s="345"/>
      <c r="QE2" s="345"/>
      <c r="QF2" s="345"/>
      <c r="QG2" s="345"/>
      <c r="QH2" s="345"/>
      <c r="QI2" s="345"/>
      <c r="QJ2" s="345"/>
      <c r="QK2" s="345"/>
      <c r="QL2" s="345"/>
      <c r="QM2" s="345"/>
      <c r="QN2" s="345"/>
      <c r="QO2" s="345"/>
      <c r="QP2" s="345"/>
      <c r="QQ2" s="345"/>
      <c r="QR2" s="345"/>
      <c r="QS2" s="345"/>
      <c r="QT2" s="345"/>
      <c r="QU2" s="345"/>
      <c r="QV2" s="345"/>
      <c r="QW2" s="345"/>
      <c r="QX2" s="345"/>
      <c r="QY2" s="345"/>
      <c r="QZ2" s="345"/>
      <c r="RA2" s="345"/>
      <c r="RB2" s="345"/>
      <c r="RC2" s="345"/>
      <c r="RD2" s="345"/>
      <c r="RE2" s="345"/>
      <c r="RF2" s="345"/>
      <c r="RG2" s="345"/>
      <c r="RH2" s="345"/>
      <c r="RI2" s="345"/>
      <c r="RJ2" s="345"/>
      <c r="RK2" s="345"/>
      <c r="RL2" s="345"/>
      <c r="RM2" s="345"/>
      <c r="RN2" s="345"/>
      <c r="RO2" s="345"/>
      <c r="RP2" s="345"/>
      <c r="RQ2" s="345"/>
      <c r="RR2" s="345"/>
      <c r="RS2" s="345"/>
      <c r="RT2" s="345"/>
      <c r="RU2" s="345"/>
      <c r="RV2" s="345"/>
      <c r="RW2" s="345"/>
      <c r="RX2" s="345"/>
      <c r="RY2" s="345"/>
      <c r="RZ2" s="345"/>
      <c r="SA2" s="345"/>
      <c r="SB2" s="345"/>
      <c r="SC2" s="345"/>
      <c r="SD2" s="345"/>
      <c r="SE2" s="345"/>
      <c r="SF2" s="345"/>
      <c r="SG2" s="345"/>
      <c r="SH2" s="345"/>
      <c r="SI2" s="345"/>
      <c r="SJ2" s="345"/>
      <c r="SK2" s="345"/>
      <c r="SL2" s="345"/>
      <c r="SM2" s="345"/>
      <c r="SN2" s="345"/>
      <c r="SO2" s="345"/>
      <c r="SP2" s="345"/>
      <c r="SQ2" s="345"/>
      <c r="SR2" s="345"/>
      <c r="SS2" s="345"/>
      <c r="ST2" s="345"/>
      <c r="SU2" s="345"/>
      <c r="SV2" s="345"/>
      <c r="SW2" s="345"/>
      <c r="SX2" s="345"/>
      <c r="SY2" s="345"/>
      <c r="SZ2" s="345"/>
      <c r="TA2" s="345"/>
      <c r="TB2" s="345"/>
      <c r="TC2" s="345"/>
      <c r="TD2" s="345"/>
      <c r="TE2" s="345"/>
      <c r="TF2" s="345"/>
      <c r="TG2" s="345"/>
      <c r="TH2" s="345"/>
      <c r="TI2" s="345"/>
      <c r="TJ2" s="345"/>
      <c r="TK2" s="345"/>
      <c r="TL2" s="345"/>
      <c r="TM2" s="345"/>
      <c r="TN2" s="345"/>
      <c r="TO2" s="345"/>
      <c r="TP2" s="345"/>
      <c r="TQ2" s="345"/>
      <c r="TR2" s="345"/>
      <c r="TS2" s="345"/>
      <c r="TT2" s="345"/>
      <c r="TU2" s="345"/>
      <c r="TV2" s="345"/>
      <c r="TW2" s="345"/>
      <c r="TX2" s="345"/>
      <c r="TY2" s="345"/>
      <c r="TZ2" s="345"/>
      <c r="UA2" s="345"/>
      <c r="UB2" s="345"/>
      <c r="UC2" s="345"/>
      <c r="UD2" s="345"/>
      <c r="UE2" s="345"/>
      <c r="UF2" s="345"/>
      <c r="UG2" s="345"/>
      <c r="UH2" s="345"/>
      <c r="UI2" s="345"/>
      <c r="UJ2" s="345"/>
      <c r="UK2" s="345"/>
      <c r="UL2" s="345"/>
      <c r="UM2" s="345"/>
      <c r="UN2" s="345"/>
      <c r="UO2" s="345"/>
      <c r="UP2" s="345"/>
      <c r="UQ2" s="345"/>
      <c r="UR2" s="345"/>
      <c r="US2" s="345"/>
      <c r="UT2" s="345"/>
      <c r="UU2" s="345"/>
      <c r="UV2" s="345"/>
      <c r="UW2" s="345"/>
      <c r="UX2" s="345"/>
      <c r="UY2" s="345"/>
      <c r="UZ2" s="345"/>
      <c r="VA2" s="345"/>
      <c r="VB2" s="345"/>
      <c r="VC2" s="345"/>
      <c r="VD2" s="345"/>
      <c r="VE2" s="345"/>
      <c r="VF2" s="345"/>
      <c r="VG2" s="345"/>
      <c r="VH2" s="345"/>
      <c r="VI2" s="345"/>
      <c r="VJ2" s="345"/>
      <c r="VK2" s="345"/>
      <c r="VL2" s="345"/>
      <c r="VM2" s="345"/>
      <c r="VN2" s="345"/>
      <c r="VO2" s="345"/>
      <c r="VP2" s="345"/>
      <c r="VQ2" s="345"/>
      <c r="VR2" s="345"/>
      <c r="VS2" s="345"/>
      <c r="VT2" s="345"/>
      <c r="VU2" s="345"/>
      <c r="VV2" s="345"/>
      <c r="VW2" s="345"/>
      <c r="VX2" s="345"/>
      <c r="VY2" s="345"/>
      <c r="VZ2" s="345"/>
      <c r="WA2" s="345"/>
      <c r="WB2" s="345"/>
      <c r="WC2" s="345"/>
      <c r="WD2" s="345"/>
      <c r="WE2" s="345"/>
      <c r="WF2" s="345"/>
      <c r="WG2" s="345"/>
      <c r="WH2" s="345"/>
      <c r="WI2" s="345"/>
      <c r="WJ2" s="345"/>
      <c r="WK2" s="345"/>
      <c r="WL2" s="345"/>
      <c r="WM2" s="345"/>
      <c r="WN2" s="345"/>
      <c r="WO2" s="345"/>
      <c r="WP2" s="345"/>
      <c r="WQ2" s="345"/>
      <c r="WR2" s="345"/>
      <c r="WS2" s="345"/>
      <c r="WT2" s="345"/>
      <c r="WU2" s="345"/>
      <c r="WV2" s="345"/>
      <c r="WW2" s="345"/>
      <c r="WX2" s="345"/>
      <c r="WY2" s="345"/>
      <c r="WZ2" s="345"/>
      <c r="XA2" s="345"/>
      <c r="XB2" s="345"/>
      <c r="XC2" s="345"/>
      <c r="XD2" s="345"/>
      <c r="XE2" s="345"/>
      <c r="XF2" s="345"/>
      <c r="XG2" s="345"/>
      <c r="XH2" s="345"/>
      <c r="XI2" s="345"/>
      <c r="XJ2" s="345"/>
      <c r="XK2" s="345"/>
      <c r="XL2" s="345"/>
      <c r="XM2" s="345"/>
      <c r="XN2" s="345"/>
      <c r="XO2" s="345"/>
      <c r="XP2" s="345"/>
      <c r="XQ2" s="345"/>
      <c r="XR2" s="345"/>
      <c r="XS2" s="345"/>
      <c r="XT2" s="345"/>
      <c r="XU2" s="345"/>
      <c r="XV2" s="345"/>
      <c r="XW2" s="345"/>
      <c r="XX2" s="345"/>
      <c r="XY2" s="345"/>
      <c r="XZ2" s="345"/>
      <c r="YA2" s="345"/>
      <c r="YB2" s="345"/>
      <c r="YC2" s="345"/>
      <c r="YD2" s="345"/>
      <c r="YE2" s="345"/>
      <c r="YF2" s="345"/>
      <c r="YG2" s="345"/>
      <c r="YH2" s="345"/>
      <c r="YI2" s="345"/>
      <c r="YJ2" s="345"/>
      <c r="YK2" s="345"/>
      <c r="YL2" s="345"/>
      <c r="YM2" s="345"/>
      <c r="YN2" s="345"/>
      <c r="YO2" s="345"/>
      <c r="YP2" s="345"/>
      <c r="YQ2" s="345"/>
      <c r="YR2" s="345"/>
      <c r="YS2" s="345"/>
      <c r="YT2" s="345"/>
      <c r="YU2" s="345"/>
      <c r="YV2" s="345"/>
      <c r="YW2" s="345"/>
      <c r="YX2" s="345"/>
      <c r="YY2" s="345"/>
      <c r="YZ2" s="345"/>
      <c r="ZA2" s="345"/>
      <c r="ZB2" s="345"/>
      <c r="ZC2" s="345"/>
      <c r="ZD2" s="345"/>
      <c r="ZE2" s="345"/>
      <c r="ZF2" s="345"/>
      <c r="ZG2" s="345"/>
      <c r="ZH2" s="345"/>
      <c r="ZI2" s="345"/>
      <c r="ZJ2" s="345"/>
      <c r="ZK2" s="345"/>
      <c r="ZL2" s="345"/>
      <c r="ZM2" s="345"/>
      <c r="ZN2" s="345"/>
      <c r="ZO2" s="345"/>
      <c r="ZP2" s="345"/>
      <c r="ZQ2" s="345"/>
      <c r="ZR2" s="345"/>
      <c r="ZS2" s="345"/>
      <c r="ZT2" s="345"/>
      <c r="ZU2" s="345"/>
      <c r="ZV2" s="345"/>
      <c r="ZW2" s="345"/>
      <c r="ZX2" s="345"/>
      <c r="ZY2" s="345"/>
      <c r="ZZ2" s="345"/>
      <c r="AAA2" s="345"/>
      <c r="AAB2" s="345"/>
      <c r="AAC2" s="345"/>
      <c r="AAD2" s="345"/>
      <c r="AAE2" s="345"/>
      <c r="AAF2" s="345"/>
      <c r="AAG2" s="345"/>
      <c r="AAH2" s="345"/>
      <c r="AAI2" s="345"/>
      <c r="AAJ2" s="345"/>
      <c r="AAK2" s="345"/>
      <c r="AAL2" s="345"/>
      <c r="AAM2" s="345"/>
      <c r="AAN2" s="345"/>
      <c r="AAO2" s="345"/>
      <c r="AAP2" s="345"/>
      <c r="AAQ2" s="345"/>
      <c r="AAR2" s="345"/>
      <c r="AAS2" s="345"/>
      <c r="AAT2" s="345"/>
      <c r="AAU2" s="345"/>
      <c r="AAV2" s="345"/>
      <c r="AAW2" s="345"/>
      <c r="AAX2" s="345"/>
      <c r="AAY2" s="345"/>
      <c r="AAZ2" s="345"/>
      <c r="ABA2" s="345"/>
      <c r="ABB2" s="345"/>
      <c r="ABC2" s="345"/>
      <c r="ABD2" s="345"/>
      <c r="ABE2" s="345"/>
      <c r="ABF2" s="345"/>
      <c r="ABG2" s="345"/>
      <c r="ABH2" s="345"/>
      <c r="ABI2" s="345"/>
      <c r="ABJ2" s="345"/>
      <c r="ABK2" s="345"/>
      <c r="ABL2" s="345"/>
      <c r="ABM2" s="345"/>
      <c r="ABN2" s="345"/>
      <c r="ABO2" s="345"/>
      <c r="ABP2" s="345"/>
      <c r="ABQ2" s="345"/>
      <c r="ABR2" s="345"/>
      <c r="ABS2" s="345"/>
      <c r="ABT2" s="345"/>
      <c r="ABU2" s="345"/>
      <c r="ABV2" s="345"/>
      <c r="ABW2" s="345"/>
      <c r="ABX2" s="345"/>
      <c r="ABY2" s="345"/>
      <c r="ABZ2" s="345"/>
      <c r="ACA2" s="345"/>
      <c r="ACB2" s="345"/>
      <c r="ACC2" s="345"/>
      <c r="ACD2" s="345"/>
      <c r="ACE2" s="345"/>
      <c r="ACF2" s="345"/>
      <c r="ACG2" s="345"/>
      <c r="ACH2" s="345"/>
      <c r="ACI2" s="345"/>
      <c r="ACJ2" s="345"/>
      <c r="ACK2" s="345"/>
      <c r="ACL2" s="345"/>
      <c r="ACM2" s="345"/>
      <c r="ACN2" s="345"/>
      <c r="ACO2" s="345"/>
      <c r="ACP2" s="345"/>
      <c r="ACQ2" s="345"/>
      <c r="ACR2" s="345"/>
      <c r="ACS2" s="345"/>
      <c r="ACT2" s="345"/>
      <c r="ACU2" s="345"/>
      <c r="ACV2" s="345"/>
      <c r="ACW2" s="345"/>
      <c r="ACX2" s="345"/>
      <c r="ACY2" s="345"/>
      <c r="ACZ2" s="345"/>
      <c r="ADA2" s="345"/>
      <c r="ADB2" s="345"/>
      <c r="ADC2" s="345"/>
      <c r="ADD2" s="345"/>
      <c r="ADE2" s="345"/>
      <c r="ADF2" s="345"/>
      <c r="ADG2" s="345"/>
      <c r="ADH2" s="345"/>
      <c r="ADI2" s="345"/>
      <c r="ADJ2" s="345"/>
      <c r="ADK2" s="345"/>
      <c r="ADL2" s="345"/>
      <c r="ADM2" s="345"/>
      <c r="ADN2" s="345"/>
      <c r="ADO2" s="345"/>
      <c r="ADP2" s="345"/>
      <c r="ADQ2" s="345"/>
      <c r="ADR2" s="345"/>
      <c r="ADS2" s="345"/>
      <c r="ADT2" s="345"/>
      <c r="ADU2" s="345"/>
      <c r="ADV2" s="345"/>
      <c r="ADW2" s="345"/>
      <c r="ADX2" s="345"/>
      <c r="ADY2" s="345"/>
      <c r="ADZ2" s="345"/>
      <c r="AEA2" s="345"/>
      <c r="AEB2" s="345"/>
      <c r="AEC2" s="345"/>
      <c r="AED2" s="345"/>
      <c r="AEE2" s="345"/>
      <c r="AEF2" s="345"/>
      <c r="AEG2" s="345"/>
      <c r="AEH2" s="345"/>
      <c r="AEI2" s="345"/>
      <c r="AEJ2" s="345"/>
      <c r="AEK2" s="345"/>
      <c r="AEL2" s="345"/>
      <c r="AEM2" s="345"/>
      <c r="AEN2" s="345"/>
      <c r="AEO2" s="345"/>
      <c r="AEP2" s="345"/>
      <c r="AEQ2" s="345"/>
      <c r="AER2" s="345"/>
      <c r="AES2" s="345"/>
      <c r="AET2" s="345"/>
      <c r="AEU2" s="345"/>
      <c r="AEV2" s="345"/>
      <c r="AEW2" s="345"/>
      <c r="AEX2" s="345"/>
      <c r="AEY2" s="345"/>
      <c r="AEZ2" s="345"/>
      <c r="AFA2" s="345"/>
      <c r="AFB2" s="345"/>
      <c r="AFC2" s="345"/>
      <c r="AFD2" s="345"/>
      <c r="AFE2" s="345"/>
      <c r="AFF2" s="345"/>
      <c r="AFG2" s="345"/>
      <c r="AFH2" s="345"/>
      <c r="AFI2" s="345"/>
      <c r="AFJ2" s="345"/>
      <c r="AFK2" s="345"/>
      <c r="AFL2" s="345"/>
      <c r="AFM2" s="345"/>
      <c r="AFN2" s="345"/>
      <c r="AFO2" s="345"/>
      <c r="AFP2" s="345"/>
      <c r="AFQ2" s="345"/>
      <c r="AFR2" s="345"/>
      <c r="AFS2" s="345"/>
      <c r="AFT2" s="345"/>
      <c r="AFU2" s="345"/>
      <c r="AFV2" s="345"/>
      <c r="AFW2" s="345"/>
      <c r="AFX2" s="345"/>
      <c r="AFY2" s="345"/>
      <c r="AFZ2" s="345"/>
      <c r="AGA2" s="345"/>
      <c r="AGB2" s="345"/>
      <c r="AGC2" s="345"/>
      <c r="AGD2" s="345"/>
      <c r="AGE2" s="345"/>
      <c r="AGF2" s="345"/>
      <c r="AGG2" s="345"/>
      <c r="AGH2" s="345"/>
      <c r="AGI2" s="345"/>
      <c r="AGJ2" s="345"/>
      <c r="AGK2" s="345"/>
      <c r="AGL2" s="345"/>
      <c r="AGM2" s="345"/>
      <c r="AGN2" s="345"/>
      <c r="AGO2" s="345"/>
      <c r="AGP2" s="345"/>
      <c r="AGQ2" s="345"/>
      <c r="AGR2" s="345"/>
      <c r="AGS2" s="345"/>
      <c r="AGT2" s="345"/>
      <c r="AGU2" s="345"/>
      <c r="AGV2" s="345"/>
      <c r="AGW2" s="345"/>
      <c r="AGX2" s="345"/>
      <c r="AGY2" s="345"/>
      <c r="AGZ2" s="345"/>
      <c r="AHA2" s="345"/>
      <c r="AHB2" s="345"/>
      <c r="AHC2" s="345"/>
      <c r="AHD2" s="345"/>
      <c r="AHE2" s="345"/>
      <c r="AHF2" s="345"/>
      <c r="AHG2" s="345"/>
      <c r="AHH2" s="345"/>
      <c r="AHI2" s="345"/>
      <c r="AHJ2" s="345"/>
      <c r="AHK2" s="345"/>
      <c r="AHL2" s="345"/>
      <c r="AHM2" s="345"/>
      <c r="AHN2" s="345"/>
      <c r="AHO2" s="345"/>
      <c r="AHP2" s="345"/>
      <c r="AHQ2" s="345"/>
      <c r="AHR2" s="345"/>
      <c r="AHS2" s="345"/>
      <c r="AHT2" s="345"/>
      <c r="AHU2" s="345"/>
      <c r="AHV2" s="345"/>
      <c r="AHW2" s="345"/>
      <c r="AHX2" s="345"/>
      <c r="AHY2" s="345"/>
      <c r="AHZ2" s="345"/>
      <c r="AIA2" s="345"/>
      <c r="AIB2" s="345"/>
      <c r="AIC2" s="345"/>
      <c r="AID2" s="345"/>
      <c r="AIE2" s="345"/>
      <c r="AIF2" s="345"/>
      <c r="AIG2" s="345"/>
      <c r="AIH2" s="345"/>
      <c r="AII2" s="345"/>
      <c r="AIJ2" s="345"/>
      <c r="AIK2" s="345"/>
      <c r="AIL2" s="345"/>
      <c r="AIM2" s="345"/>
      <c r="AIN2" s="345"/>
      <c r="AIO2" s="345"/>
      <c r="AIP2" s="345"/>
      <c r="AIQ2" s="345"/>
      <c r="AIR2" s="345"/>
      <c r="AIS2" s="345"/>
      <c r="AIT2" s="345"/>
      <c r="AIU2" s="345"/>
      <c r="AIV2" s="345"/>
      <c r="AIW2" s="345"/>
      <c r="AIX2" s="345"/>
      <c r="AIY2" s="345"/>
      <c r="AIZ2" s="345"/>
      <c r="AJA2" s="345"/>
      <c r="AJB2" s="345"/>
      <c r="AJC2" s="345"/>
      <c r="AJD2" s="345"/>
      <c r="AJE2" s="345"/>
      <c r="AJF2" s="345"/>
      <c r="AJG2" s="345"/>
      <c r="AJH2" s="345"/>
      <c r="AJI2" s="345"/>
      <c r="AJJ2" s="345"/>
      <c r="AJK2" s="345"/>
      <c r="AJL2" s="345"/>
      <c r="AJM2" s="345"/>
      <c r="AJN2" s="345"/>
      <c r="AJO2" s="345"/>
      <c r="AJP2" s="345"/>
      <c r="AJQ2" s="345"/>
      <c r="AJR2" s="345"/>
      <c r="AJS2" s="345"/>
      <c r="AJT2" s="345"/>
      <c r="AJU2" s="345"/>
      <c r="AJV2" s="345"/>
      <c r="AJW2" s="345"/>
      <c r="AJX2" s="345"/>
      <c r="AJY2" s="345"/>
      <c r="AJZ2" s="345"/>
      <c r="AKA2" s="345"/>
      <c r="AKB2" s="345"/>
      <c r="AKC2" s="345"/>
      <c r="AKD2" s="345"/>
      <c r="AKE2" s="345"/>
      <c r="AKF2" s="345"/>
      <c r="AKG2" s="345"/>
      <c r="AKH2" s="345"/>
      <c r="AKI2" s="345"/>
      <c r="AKJ2" s="345"/>
      <c r="AKK2" s="345"/>
      <c r="AKL2" s="345"/>
      <c r="AKM2" s="345"/>
      <c r="AKN2" s="345"/>
      <c r="AKO2" s="345"/>
      <c r="AKP2" s="345"/>
      <c r="AKQ2" s="345"/>
      <c r="AKR2" s="345"/>
      <c r="AKS2" s="345"/>
      <c r="AKT2" s="345"/>
      <c r="AKU2" s="345"/>
      <c r="AKV2" s="345"/>
      <c r="AKW2" s="345"/>
      <c r="AKX2" s="345"/>
      <c r="AKY2" s="345"/>
      <c r="AKZ2" s="345"/>
      <c r="ALA2" s="345"/>
      <c r="ALB2" s="345"/>
      <c r="ALC2" s="345"/>
      <c r="ALD2" s="345"/>
      <c r="ALE2" s="345"/>
      <c r="ALF2" s="345"/>
      <c r="ALG2" s="345"/>
      <c r="ALH2" s="345"/>
      <c r="ALI2" s="345"/>
      <c r="ALJ2" s="345"/>
      <c r="ALK2" s="345"/>
      <c r="ALL2" s="345"/>
      <c r="ALM2" s="345"/>
      <c r="ALN2" s="345"/>
      <c r="ALO2" s="345"/>
      <c r="ALP2" s="345"/>
      <c r="ALQ2" s="345"/>
      <c r="ALR2" s="345"/>
      <c r="ALS2" s="345"/>
      <c r="ALT2" s="345"/>
      <c r="ALU2" s="345"/>
      <c r="ALV2" s="345"/>
      <c r="ALW2" s="345"/>
      <c r="ALX2" s="345"/>
      <c r="ALY2" s="345"/>
      <c r="ALZ2" s="345"/>
      <c r="AMA2" s="345"/>
      <c r="AMB2" s="345"/>
      <c r="AMC2" s="345"/>
      <c r="AMD2" s="345"/>
      <c r="AME2" s="345"/>
      <c r="AMF2" s="345"/>
      <c r="AMG2" s="345"/>
      <c r="AMH2" s="345"/>
      <c r="AMI2" s="345"/>
      <c r="AMJ2" s="345"/>
      <c r="AMK2" s="345"/>
      <c r="AML2" s="345"/>
      <c r="AMM2" s="345"/>
      <c r="AMN2" s="345"/>
      <c r="AMO2" s="345"/>
      <c r="AMP2" s="345"/>
      <c r="AMQ2" s="345"/>
      <c r="AMR2" s="345"/>
      <c r="AMS2" s="345"/>
      <c r="AMT2" s="345"/>
      <c r="AMU2" s="345"/>
      <c r="AMV2" s="345"/>
      <c r="AMW2" s="345"/>
      <c r="AMX2" s="345"/>
      <c r="AMY2" s="345"/>
      <c r="AMZ2" s="345"/>
      <c r="ANA2" s="345"/>
      <c r="ANB2" s="345"/>
      <c r="ANC2" s="345"/>
      <c r="AND2" s="345"/>
      <c r="ANE2" s="345"/>
      <c r="ANF2" s="345"/>
      <c r="ANG2" s="345"/>
      <c r="ANH2" s="345"/>
      <c r="ANI2" s="345"/>
      <c r="ANJ2" s="345"/>
      <c r="ANK2" s="345"/>
      <c r="ANL2" s="345"/>
      <c r="ANM2" s="345"/>
      <c r="ANN2" s="345"/>
      <c r="ANO2" s="345"/>
      <c r="ANP2" s="345"/>
      <c r="ANQ2" s="345"/>
      <c r="ANR2" s="345"/>
      <c r="ANS2" s="345"/>
      <c r="ANT2" s="345"/>
      <c r="ANU2" s="345"/>
      <c r="ANV2" s="345"/>
      <c r="ANW2" s="345"/>
      <c r="ANX2" s="345"/>
      <c r="ANY2" s="345"/>
      <c r="ANZ2" s="345"/>
      <c r="AOA2" s="345"/>
      <c r="AOB2" s="345"/>
      <c r="AOC2" s="345"/>
      <c r="AOD2" s="345"/>
      <c r="AOE2" s="345"/>
      <c r="AOF2" s="345"/>
      <c r="AOG2" s="345"/>
      <c r="AOH2" s="345"/>
      <c r="AOI2" s="345"/>
      <c r="AOJ2" s="345"/>
      <c r="AOK2" s="345"/>
      <c r="AOL2" s="345"/>
      <c r="AOM2" s="345"/>
      <c r="AON2" s="345"/>
      <c r="AOO2" s="345"/>
      <c r="AOP2" s="345"/>
      <c r="AOQ2" s="345"/>
      <c r="AOR2" s="345"/>
      <c r="AOS2" s="345"/>
      <c r="AOT2" s="345"/>
      <c r="AOU2" s="345"/>
      <c r="AOV2" s="345"/>
      <c r="AOW2" s="345"/>
      <c r="AOX2" s="345"/>
      <c r="AOY2" s="345"/>
      <c r="AOZ2" s="345"/>
      <c r="APA2" s="345"/>
      <c r="APB2" s="345"/>
      <c r="APC2" s="345"/>
      <c r="APD2" s="345"/>
      <c r="APE2" s="345"/>
      <c r="APF2" s="345"/>
      <c r="APG2" s="345"/>
      <c r="APH2" s="345"/>
      <c r="API2" s="345"/>
      <c r="APJ2" s="345"/>
      <c r="APK2" s="345"/>
      <c r="APL2" s="345"/>
      <c r="APM2" s="345"/>
      <c r="APN2" s="345"/>
      <c r="APO2" s="345"/>
      <c r="APP2" s="345"/>
      <c r="APQ2" s="345"/>
      <c r="APR2" s="345"/>
      <c r="APS2" s="345"/>
      <c r="APT2" s="345"/>
      <c r="APU2" s="345"/>
      <c r="APV2" s="345"/>
      <c r="APW2" s="345"/>
      <c r="APX2" s="345"/>
      <c r="APY2" s="345"/>
      <c r="APZ2" s="345"/>
      <c r="AQA2" s="345"/>
      <c r="AQB2" s="345"/>
      <c r="AQC2" s="345"/>
      <c r="AQD2" s="345"/>
      <c r="AQE2" s="345"/>
      <c r="AQF2" s="345"/>
      <c r="AQG2" s="345"/>
      <c r="AQH2" s="345"/>
      <c r="AQI2" s="345"/>
      <c r="AQJ2" s="345"/>
      <c r="AQK2" s="345"/>
      <c r="AQL2" s="345"/>
      <c r="AQM2" s="345"/>
      <c r="AQN2" s="345"/>
      <c r="AQO2" s="345"/>
      <c r="AQP2" s="345"/>
      <c r="AQQ2" s="345"/>
      <c r="AQR2" s="345"/>
      <c r="AQS2" s="345"/>
      <c r="AQT2" s="345"/>
      <c r="AQU2" s="345"/>
      <c r="AQV2" s="345"/>
      <c r="AQW2" s="345"/>
      <c r="AQX2" s="345"/>
      <c r="AQY2" s="345"/>
      <c r="AQZ2" s="345"/>
      <c r="ARA2" s="345"/>
      <c r="ARB2" s="345"/>
      <c r="ARC2" s="345"/>
      <c r="ARD2" s="345"/>
      <c r="ARE2" s="345"/>
      <c r="ARF2" s="345"/>
      <c r="ARG2" s="345"/>
      <c r="ARH2" s="345"/>
      <c r="ARI2" s="345"/>
      <c r="ARJ2" s="345"/>
      <c r="ARK2" s="345"/>
      <c r="ARL2" s="345"/>
      <c r="ARM2" s="345"/>
      <c r="ARN2" s="345"/>
      <c r="ARO2" s="345"/>
      <c r="ARP2" s="345"/>
      <c r="ARQ2" s="345"/>
      <c r="ARR2" s="345"/>
      <c r="ARS2" s="345"/>
      <c r="ART2" s="345"/>
      <c r="ARU2" s="345"/>
      <c r="ARV2" s="345"/>
      <c r="ARW2" s="345"/>
      <c r="ARX2" s="345"/>
      <c r="ARY2" s="345"/>
      <c r="ARZ2" s="345"/>
      <c r="ASA2" s="345"/>
      <c r="ASB2" s="345"/>
      <c r="ASC2" s="345"/>
      <c r="ASD2" s="345"/>
      <c r="ASE2" s="345"/>
      <c r="ASF2" s="345"/>
      <c r="ASG2" s="345"/>
      <c r="ASH2" s="345"/>
      <c r="ASI2" s="345"/>
      <c r="ASJ2" s="345"/>
      <c r="ASK2" s="345"/>
      <c r="ASL2" s="345"/>
      <c r="ASM2" s="345"/>
      <c r="ASN2" s="345"/>
      <c r="ASO2" s="345"/>
      <c r="ASP2" s="345"/>
      <c r="ASQ2" s="345"/>
      <c r="ASR2" s="345"/>
      <c r="ASS2" s="345"/>
      <c r="AST2" s="345"/>
      <c r="ASU2" s="345"/>
      <c r="ASV2" s="345"/>
      <c r="ASW2" s="345"/>
      <c r="ASX2" s="345"/>
      <c r="ASY2" s="345"/>
      <c r="ASZ2" s="345"/>
      <c r="ATA2" s="345"/>
      <c r="ATB2" s="345"/>
      <c r="ATC2" s="345"/>
      <c r="ATD2" s="345"/>
      <c r="ATE2" s="345"/>
      <c r="ATF2" s="345"/>
      <c r="ATG2" s="345"/>
      <c r="ATH2" s="345"/>
      <c r="ATI2" s="345"/>
      <c r="ATJ2" s="345"/>
      <c r="ATK2" s="345"/>
      <c r="ATL2" s="345"/>
      <c r="ATM2" s="345"/>
      <c r="ATN2" s="345"/>
      <c r="ATO2" s="345"/>
    </row>
    <row r="3" spans="1:1211" s="346" customFormat="1" ht="18.75" customHeight="1">
      <c r="A3" s="1626" t="s">
        <v>4202</v>
      </c>
      <c r="B3" s="2598" t="s">
        <v>14231</v>
      </c>
      <c r="C3" s="2599"/>
      <c r="D3" s="1484"/>
      <c r="E3" s="107"/>
      <c r="F3" s="107"/>
      <c r="G3" s="107"/>
      <c r="H3" s="1474"/>
      <c r="I3" s="2594"/>
      <c r="J3" s="2595"/>
      <c r="K3" s="2600">
        <v>0</v>
      </c>
      <c r="L3" s="2601"/>
      <c r="M3" s="1630" t="s">
        <v>4950</v>
      </c>
      <c r="N3" s="1630"/>
      <c r="O3" s="1629"/>
      <c r="P3" s="345"/>
      <c r="Q3" s="1480"/>
      <c r="R3" s="345"/>
      <c r="S3" s="345"/>
      <c r="T3" s="345"/>
      <c r="U3" s="345"/>
      <c r="V3" s="345"/>
      <c r="W3" s="345"/>
      <c r="X3" s="345"/>
      <c r="Y3" s="345"/>
      <c r="Z3" s="345"/>
      <c r="AA3" s="345"/>
      <c r="AB3" s="345"/>
      <c r="AC3" s="345"/>
      <c r="AD3" s="345"/>
      <c r="AE3" s="345"/>
      <c r="AF3" s="345"/>
      <c r="AG3" s="345"/>
      <c r="AH3" s="345"/>
      <c r="AI3" s="345"/>
      <c r="AJ3" s="345"/>
      <c r="AK3" s="345"/>
      <c r="AL3" s="345"/>
      <c r="AM3" s="345"/>
      <c r="AN3" s="345"/>
      <c r="AO3" s="345"/>
      <c r="AP3" s="345"/>
      <c r="AQ3" s="345"/>
      <c r="AR3" s="345"/>
      <c r="AS3" s="345"/>
      <c r="AT3" s="345"/>
      <c r="AU3" s="345"/>
      <c r="AV3" s="345"/>
      <c r="AW3" s="345"/>
      <c r="AX3" s="345"/>
      <c r="AY3" s="345"/>
      <c r="AZ3" s="345"/>
      <c r="BA3" s="345"/>
      <c r="BB3" s="345"/>
      <c r="BC3" s="345"/>
      <c r="BD3" s="345"/>
      <c r="BE3" s="345"/>
      <c r="BF3" s="345"/>
      <c r="BG3" s="345"/>
      <c r="BH3" s="345"/>
      <c r="BI3" s="345"/>
      <c r="BJ3" s="345"/>
      <c r="BK3" s="345"/>
      <c r="BL3" s="345"/>
      <c r="BM3" s="345"/>
      <c r="BN3" s="345"/>
      <c r="BO3" s="345"/>
      <c r="BP3" s="345"/>
      <c r="BQ3" s="345"/>
      <c r="BR3" s="345"/>
      <c r="BS3" s="345"/>
      <c r="BT3" s="345"/>
      <c r="BU3" s="345"/>
      <c r="BV3" s="345"/>
      <c r="BW3" s="345"/>
      <c r="BX3" s="345"/>
      <c r="BY3" s="345"/>
      <c r="BZ3" s="345"/>
      <c r="CA3" s="345"/>
      <c r="CB3" s="345"/>
      <c r="CC3" s="345"/>
      <c r="CD3" s="345"/>
      <c r="CE3" s="345"/>
      <c r="CF3" s="345"/>
      <c r="CG3" s="345"/>
      <c r="CH3" s="345"/>
      <c r="CI3" s="345"/>
      <c r="CJ3" s="345"/>
      <c r="CK3" s="345"/>
      <c r="CL3" s="345"/>
      <c r="CM3" s="345"/>
      <c r="CN3" s="345"/>
      <c r="CO3" s="345"/>
      <c r="CP3" s="345"/>
      <c r="CQ3" s="345"/>
      <c r="CR3" s="345"/>
      <c r="CS3" s="345"/>
      <c r="CT3" s="345"/>
      <c r="CU3" s="345"/>
      <c r="CV3" s="345"/>
      <c r="CW3" s="345"/>
      <c r="CX3" s="345"/>
      <c r="CY3" s="345"/>
      <c r="CZ3" s="345"/>
      <c r="DA3" s="345"/>
      <c r="DB3" s="345"/>
      <c r="DC3" s="345"/>
      <c r="DD3" s="345"/>
      <c r="DE3" s="345"/>
      <c r="DF3" s="345"/>
      <c r="DG3" s="345"/>
      <c r="DH3" s="345"/>
      <c r="DI3" s="345"/>
      <c r="DJ3" s="345"/>
      <c r="DK3" s="345"/>
      <c r="DL3" s="345"/>
      <c r="DM3" s="345"/>
      <c r="DN3" s="345"/>
      <c r="DO3" s="345"/>
      <c r="DP3" s="345"/>
      <c r="DQ3" s="345"/>
      <c r="DR3" s="345"/>
      <c r="DS3" s="345"/>
      <c r="DT3" s="345"/>
      <c r="DU3" s="345"/>
      <c r="DV3" s="345"/>
      <c r="DW3" s="345"/>
      <c r="DX3" s="345"/>
      <c r="DY3" s="345"/>
      <c r="DZ3" s="345"/>
      <c r="EA3" s="345"/>
      <c r="EB3" s="345"/>
      <c r="EC3" s="345"/>
      <c r="ED3" s="345"/>
      <c r="EE3" s="345"/>
      <c r="EF3" s="345"/>
      <c r="EG3" s="345"/>
      <c r="EH3" s="345"/>
      <c r="EI3" s="345"/>
      <c r="EJ3" s="345"/>
      <c r="EK3" s="345"/>
      <c r="EL3" s="345"/>
      <c r="EM3" s="345"/>
      <c r="EN3" s="345"/>
      <c r="EO3" s="345"/>
      <c r="EP3" s="345"/>
      <c r="EQ3" s="345"/>
      <c r="ER3" s="345"/>
      <c r="ES3" s="345"/>
      <c r="ET3" s="345"/>
      <c r="EU3" s="345"/>
      <c r="EV3" s="345"/>
      <c r="EW3" s="345"/>
      <c r="EX3" s="345"/>
      <c r="EY3" s="345"/>
      <c r="EZ3" s="345"/>
      <c r="FA3" s="345"/>
      <c r="FB3" s="345"/>
      <c r="FC3" s="345"/>
      <c r="FD3" s="345"/>
      <c r="FE3" s="345"/>
      <c r="FF3" s="345"/>
      <c r="FG3" s="345"/>
      <c r="FH3" s="345"/>
      <c r="FI3" s="345"/>
      <c r="FJ3" s="345"/>
      <c r="FK3" s="345"/>
      <c r="FL3" s="345"/>
      <c r="FM3" s="345"/>
      <c r="FN3" s="345"/>
      <c r="FO3" s="345"/>
      <c r="FP3" s="345"/>
      <c r="FQ3" s="345"/>
      <c r="FR3" s="345"/>
      <c r="FS3" s="345"/>
      <c r="FT3" s="345"/>
      <c r="FU3" s="345"/>
      <c r="FV3" s="345"/>
      <c r="FW3" s="345"/>
      <c r="FX3" s="345"/>
      <c r="FY3" s="345"/>
      <c r="FZ3" s="345"/>
      <c r="GA3" s="345"/>
      <c r="GB3" s="345"/>
      <c r="GC3" s="345"/>
      <c r="GD3" s="345"/>
      <c r="GE3" s="345"/>
      <c r="GF3" s="345"/>
      <c r="GG3" s="345"/>
      <c r="GH3" s="345"/>
      <c r="GI3" s="345"/>
      <c r="GJ3" s="345"/>
      <c r="GK3" s="345"/>
      <c r="GL3" s="345"/>
      <c r="GM3" s="345"/>
      <c r="GN3" s="345"/>
      <c r="GO3" s="345"/>
      <c r="GP3" s="345"/>
      <c r="GQ3" s="345"/>
      <c r="GR3" s="345"/>
      <c r="GS3" s="345"/>
      <c r="GT3" s="345"/>
      <c r="GU3" s="345"/>
      <c r="GV3" s="345"/>
      <c r="GW3" s="345"/>
      <c r="GX3" s="345"/>
      <c r="GY3" s="345"/>
      <c r="GZ3" s="345"/>
      <c r="HA3" s="345"/>
      <c r="HB3" s="345"/>
      <c r="HC3" s="345"/>
      <c r="HD3" s="345"/>
      <c r="HE3" s="345"/>
      <c r="HF3" s="345"/>
      <c r="HG3" s="345"/>
      <c r="HH3" s="345"/>
      <c r="HI3" s="345"/>
      <c r="HJ3" s="345"/>
      <c r="HK3" s="345"/>
      <c r="HL3" s="345"/>
      <c r="HM3" s="345"/>
      <c r="HN3" s="345"/>
      <c r="HO3" s="345"/>
      <c r="HP3" s="345"/>
      <c r="HQ3" s="345"/>
      <c r="HR3" s="345"/>
      <c r="HS3" s="345"/>
      <c r="HT3" s="345"/>
      <c r="HU3" s="345"/>
      <c r="HV3" s="345"/>
      <c r="HW3" s="345"/>
      <c r="HX3" s="345"/>
      <c r="HY3" s="345"/>
      <c r="HZ3" s="345"/>
      <c r="IA3" s="345"/>
      <c r="IB3" s="345"/>
      <c r="IC3" s="345"/>
      <c r="ID3" s="345"/>
      <c r="IE3" s="345"/>
      <c r="IF3" s="345"/>
      <c r="IG3" s="345"/>
      <c r="IH3" s="345"/>
      <c r="II3" s="345"/>
      <c r="IJ3" s="345"/>
      <c r="IK3" s="345"/>
      <c r="IL3" s="345"/>
      <c r="IM3" s="345"/>
      <c r="IN3" s="345"/>
      <c r="IO3" s="345"/>
      <c r="IP3" s="345"/>
      <c r="IQ3" s="345"/>
      <c r="IR3" s="345"/>
      <c r="IS3" s="345"/>
      <c r="IT3" s="345"/>
      <c r="IU3" s="345"/>
      <c r="IV3" s="345"/>
      <c r="IW3" s="345"/>
      <c r="IX3" s="345"/>
      <c r="IY3" s="345"/>
      <c r="IZ3" s="345"/>
      <c r="JA3" s="345"/>
      <c r="JB3" s="345"/>
      <c r="JC3" s="345"/>
      <c r="JD3" s="345"/>
      <c r="JE3" s="345"/>
      <c r="JF3" s="345"/>
      <c r="JG3" s="345"/>
      <c r="JH3" s="345"/>
      <c r="JI3" s="345"/>
      <c r="JJ3" s="345"/>
      <c r="JK3" s="345"/>
      <c r="JL3" s="345"/>
      <c r="JM3" s="345"/>
      <c r="JN3" s="345"/>
      <c r="JO3" s="345"/>
      <c r="JP3" s="345"/>
      <c r="JQ3" s="345"/>
      <c r="JR3" s="345"/>
      <c r="JS3" s="345"/>
      <c r="JT3" s="345"/>
      <c r="JU3" s="345"/>
      <c r="JV3" s="345"/>
      <c r="JW3" s="345"/>
      <c r="JX3" s="345"/>
      <c r="JY3" s="345"/>
      <c r="JZ3" s="345"/>
      <c r="KA3" s="345"/>
      <c r="KB3" s="345"/>
      <c r="KC3" s="345"/>
      <c r="KD3" s="345"/>
      <c r="KE3" s="345"/>
      <c r="KF3" s="345"/>
      <c r="KG3" s="345"/>
      <c r="KH3" s="345"/>
      <c r="KI3" s="345"/>
      <c r="KJ3" s="345"/>
      <c r="KK3" s="345"/>
      <c r="KL3" s="345"/>
      <c r="KM3" s="345"/>
      <c r="KN3" s="345"/>
      <c r="KO3" s="345"/>
      <c r="KP3" s="345"/>
      <c r="KQ3" s="345"/>
      <c r="KR3" s="345"/>
      <c r="KS3" s="345"/>
      <c r="KT3" s="345"/>
      <c r="KU3" s="345"/>
      <c r="KV3" s="345"/>
      <c r="KW3" s="345"/>
      <c r="KX3" s="345"/>
      <c r="KY3" s="345"/>
      <c r="KZ3" s="345"/>
      <c r="LA3" s="345"/>
      <c r="LB3" s="345"/>
      <c r="LC3" s="345"/>
      <c r="LD3" s="345"/>
      <c r="LE3" s="345"/>
      <c r="LF3" s="345"/>
      <c r="LG3" s="345"/>
      <c r="LH3" s="345"/>
      <c r="LI3" s="345"/>
      <c r="LJ3" s="345"/>
      <c r="LK3" s="345"/>
      <c r="LL3" s="345"/>
      <c r="LM3" s="345"/>
      <c r="LN3" s="345"/>
      <c r="LO3" s="345"/>
      <c r="LP3" s="345"/>
      <c r="LQ3" s="345"/>
      <c r="LR3" s="345"/>
      <c r="LS3" s="345"/>
      <c r="LT3" s="345"/>
      <c r="LU3" s="345"/>
      <c r="LV3" s="345"/>
      <c r="LW3" s="345"/>
      <c r="LX3" s="345"/>
      <c r="LY3" s="345"/>
      <c r="LZ3" s="345"/>
      <c r="MA3" s="345"/>
      <c r="MB3" s="345"/>
      <c r="MC3" s="345"/>
      <c r="MD3" s="345"/>
      <c r="ME3" s="345"/>
      <c r="MF3" s="345"/>
      <c r="MG3" s="345"/>
      <c r="MH3" s="345"/>
      <c r="MI3" s="345"/>
      <c r="MJ3" s="345"/>
      <c r="MK3" s="345"/>
      <c r="ML3" s="345"/>
      <c r="MM3" s="345"/>
      <c r="MN3" s="345"/>
      <c r="MO3" s="345"/>
      <c r="MP3" s="345"/>
      <c r="MQ3" s="345"/>
      <c r="MR3" s="345"/>
      <c r="MS3" s="345"/>
      <c r="MT3" s="345"/>
      <c r="MU3" s="345"/>
      <c r="MV3" s="345"/>
      <c r="MW3" s="345"/>
      <c r="MX3" s="345"/>
      <c r="MY3" s="345"/>
      <c r="MZ3" s="345"/>
      <c r="NA3" s="345"/>
      <c r="NB3" s="345"/>
      <c r="NC3" s="345"/>
      <c r="ND3" s="345"/>
      <c r="NE3" s="345"/>
      <c r="NF3" s="345"/>
      <c r="NG3" s="345"/>
      <c r="NH3" s="345"/>
      <c r="NI3" s="345"/>
      <c r="NJ3" s="345"/>
      <c r="NK3" s="345"/>
      <c r="NL3" s="345"/>
      <c r="NM3" s="345"/>
      <c r="NN3" s="345"/>
      <c r="NO3" s="345"/>
      <c r="NP3" s="345"/>
      <c r="NQ3" s="345"/>
      <c r="NR3" s="345"/>
      <c r="NS3" s="345"/>
      <c r="NT3" s="345"/>
      <c r="NU3" s="345"/>
      <c r="NV3" s="345"/>
      <c r="NW3" s="345"/>
      <c r="NX3" s="345"/>
      <c r="NY3" s="345"/>
      <c r="NZ3" s="345"/>
      <c r="OA3" s="345"/>
      <c r="OB3" s="345"/>
      <c r="OC3" s="345"/>
      <c r="OD3" s="345"/>
      <c r="OE3" s="345"/>
      <c r="OF3" s="345"/>
      <c r="OG3" s="345"/>
      <c r="OH3" s="345"/>
      <c r="OI3" s="345"/>
      <c r="OJ3" s="345"/>
      <c r="OK3" s="345"/>
      <c r="OL3" s="345"/>
      <c r="OM3" s="345"/>
      <c r="ON3" s="345"/>
      <c r="OO3" s="345"/>
      <c r="OP3" s="345"/>
      <c r="OQ3" s="345"/>
      <c r="OR3" s="345"/>
      <c r="OS3" s="345"/>
      <c r="OT3" s="345"/>
      <c r="OU3" s="345"/>
      <c r="OV3" s="345"/>
      <c r="OW3" s="345"/>
      <c r="OX3" s="345"/>
      <c r="OY3" s="345"/>
      <c r="OZ3" s="345"/>
      <c r="PA3" s="345"/>
      <c r="PB3" s="345"/>
      <c r="PC3" s="345"/>
      <c r="PD3" s="345"/>
      <c r="PE3" s="345"/>
      <c r="PF3" s="345"/>
      <c r="PG3" s="345"/>
      <c r="PH3" s="345"/>
      <c r="PI3" s="345"/>
      <c r="PJ3" s="345"/>
      <c r="PK3" s="345"/>
      <c r="PL3" s="345"/>
      <c r="PM3" s="345"/>
      <c r="PN3" s="345"/>
      <c r="PO3" s="345"/>
      <c r="PP3" s="345"/>
      <c r="PQ3" s="345"/>
      <c r="PR3" s="345"/>
      <c r="PS3" s="345"/>
      <c r="PT3" s="345"/>
      <c r="PU3" s="345"/>
      <c r="PV3" s="345"/>
      <c r="PW3" s="345"/>
      <c r="PX3" s="345"/>
      <c r="PY3" s="345"/>
      <c r="PZ3" s="345"/>
      <c r="QA3" s="345"/>
      <c r="QB3" s="345"/>
      <c r="QC3" s="345"/>
      <c r="QD3" s="345"/>
      <c r="QE3" s="345"/>
      <c r="QF3" s="345"/>
      <c r="QG3" s="345"/>
      <c r="QH3" s="345"/>
      <c r="QI3" s="345"/>
      <c r="QJ3" s="345"/>
      <c r="QK3" s="345"/>
      <c r="QL3" s="345"/>
      <c r="QM3" s="345"/>
      <c r="QN3" s="345"/>
      <c r="QO3" s="345"/>
      <c r="QP3" s="345"/>
      <c r="QQ3" s="345"/>
      <c r="QR3" s="345"/>
      <c r="QS3" s="345"/>
      <c r="QT3" s="345"/>
      <c r="QU3" s="345"/>
      <c r="QV3" s="345"/>
      <c r="QW3" s="345"/>
      <c r="QX3" s="345"/>
      <c r="QY3" s="345"/>
      <c r="QZ3" s="345"/>
      <c r="RA3" s="345"/>
      <c r="RB3" s="345"/>
      <c r="RC3" s="345"/>
      <c r="RD3" s="345"/>
      <c r="RE3" s="345"/>
      <c r="RF3" s="345"/>
      <c r="RG3" s="345"/>
      <c r="RH3" s="345"/>
      <c r="RI3" s="345"/>
      <c r="RJ3" s="345"/>
      <c r="RK3" s="345"/>
      <c r="RL3" s="345"/>
      <c r="RM3" s="345"/>
      <c r="RN3" s="345"/>
      <c r="RO3" s="345"/>
      <c r="RP3" s="345"/>
      <c r="RQ3" s="345"/>
      <c r="RR3" s="345"/>
      <c r="RS3" s="345"/>
      <c r="RT3" s="345"/>
      <c r="RU3" s="345"/>
      <c r="RV3" s="345"/>
      <c r="RW3" s="345"/>
      <c r="RX3" s="345"/>
      <c r="RY3" s="345"/>
      <c r="RZ3" s="345"/>
      <c r="SA3" s="345"/>
      <c r="SB3" s="345"/>
      <c r="SC3" s="345"/>
      <c r="SD3" s="345"/>
      <c r="SE3" s="345"/>
      <c r="SF3" s="345"/>
      <c r="SG3" s="345"/>
      <c r="SH3" s="345"/>
      <c r="SI3" s="345"/>
      <c r="SJ3" s="345"/>
      <c r="SK3" s="345"/>
      <c r="SL3" s="345"/>
      <c r="SM3" s="345"/>
      <c r="SN3" s="345"/>
      <c r="SO3" s="345"/>
      <c r="SP3" s="345"/>
      <c r="SQ3" s="345"/>
      <c r="SR3" s="345"/>
      <c r="SS3" s="345"/>
      <c r="ST3" s="345"/>
      <c r="SU3" s="345"/>
      <c r="SV3" s="345"/>
      <c r="SW3" s="345"/>
      <c r="SX3" s="345"/>
      <c r="SY3" s="345"/>
      <c r="SZ3" s="345"/>
      <c r="TA3" s="345"/>
      <c r="TB3" s="345"/>
      <c r="TC3" s="345"/>
      <c r="TD3" s="345"/>
      <c r="TE3" s="345"/>
      <c r="TF3" s="345"/>
      <c r="TG3" s="345"/>
      <c r="TH3" s="345"/>
      <c r="TI3" s="345"/>
      <c r="TJ3" s="345"/>
      <c r="TK3" s="345"/>
      <c r="TL3" s="345"/>
      <c r="TM3" s="345"/>
      <c r="TN3" s="345"/>
      <c r="TO3" s="345"/>
      <c r="TP3" s="345"/>
      <c r="TQ3" s="345"/>
      <c r="TR3" s="345"/>
      <c r="TS3" s="345"/>
      <c r="TT3" s="345"/>
      <c r="TU3" s="345"/>
      <c r="TV3" s="345"/>
      <c r="TW3" s="345"/>
      <c r="TX3" s="345"/>
      <c r="TY3" s="345"/>
      <c r="TZ3" s="345"/>
      <c r="UA3" s="345"/>
      <c r="UB3" s="345"/>
      <c r="UC3" s="345"/>
      <c r="UD3" s="345"/>
      <c r="UE3" s="345"/>
      <c r="UF3" s="345"/>
      <c r="UG3" s="345"/>
      <c r="UH3" s="345"/>
      <c r="UI3" s="345"/>
      <c r="UJ3" s="345"/>
      <c r="UK3" s="345"/>
      <c r="UL3" s="345"/>
      <c r="UM3" s="345"/>
      <c r="UN3" s="345"/>
      <c r="UO3" s="345"/>
      <c r="UP3" s="345"/>
      <c r="UQ3" s="345"/>
      <c r="UR3" s="345"/>
      <c r="US3" s="345"/>
      <c r="UT3" s="345"/>
      <c r="UU3" s="345"/>
      <c r="UV3" s="345"/>
      <c r="UW3" s="345"/>
      <c r="UX3" s="345"/>
      <c r="UY3" s="345"/>
      <c r="UZ3" s="345"/>
      <c r="VA3" s="345"/>
      <c r="VB3" s="345"/>
      <c r="VC3" s="345"/>
      <c r="VD3" s="345"/>
      <c r="VE3" s="345"/>
      <c r="VF3" s="345"/>
      <c r="VG3" s="345"/>
      <c r="VH3" s="345"/>
      <c r="VI3" s="345"/>
      <c r="VJ3" s="345"/>
      <c r="VK3" s="345"/>
      <c r="VL3" s="345"/>
      <c r="VM3" s="345"/>
      <c r="VN3" s="345"/>
      <c r="VO3" s="345"/>
      <c r="VP3" s="345"/>
      <c r="VQ3" s="345"/>
      <c r="VR3" s="345"/>
      <c r="VS3" s="345"/>
      <c r="VT3" s="345"/>
      <c r="VU3" s="345"/>
      <c r="VV3" s="345"/>
      <c r="VW3" s="345"/>
      <c r="VX3" s="345"/>
      <c r="VY3" s="345"/>
      <c r="VZ3" s="345"/>
      <c r="WA3" s="345"/>
      <c r="WB3" s="345"/>
      <c r="WC3" s="345"/>
      <c r="WD3" s="345"/>
      <c r="WE3" s="345"/>
      <c r="WF3" s="345"/>
      <c r="WG3" s="345"/>
      <c r="WH3" s="345"/>
      <c r="WI3" s="345"/>
      <c r="WJ3" s="345"/>
      <c r="WK3" s="345"/>
      <c r="WL3" s="345"/>
      <c r="WM3" s="345"/>
      <c r="WN3" s="345"/>
      <c r="WO3" s="345"/>
      <c r="WP3" s="345"/>
      <c r="WQ3" s="345"/>
      <c r="WR3" s="345"/>
      <c r="WS3" s="345"/>
      <c r="WT3" s="345"/>
      <c r="WU3" s="345"/>
      <c r="WV3" s="345"/>
      <c r="WW3" s="345"/>
      <c r="WX3" s="345"/>
      <c r="WY3" s="345"/>
      <c r="WZ3" s="345"/>
      <c r="XA3" s="345"/>
      <c r="XB3" s="345"/>
      <c r="XC3" s="345"/>
      <c r="XD3" s="345"/>
      <c r="XE3" s="345"/>
      <c r="XF3" s="345"/>
      <c r="XG3" s="345"/>
      <c r="XH3" s="345"/>
      <c r="XI3" s="345"/>
      <c r="XJ3" s="345"/>
      <c r="XK3" s="345"/>
      <c r="XL3" s="345"/>
      <c r="XM3" s="345"/>
      <c r="XN3" s="345"/>
      <c r="XO3" s="345"/>
      <c r="XP3" s="345"/>
      <c r="XQ3" s="345"/>
      <c r="XR3" s="345"/>
      <c r="XS3" s="345"/>
      <c r="XT3" s="345"/>
      <c r="XU3" s="345"/>
      <c r="XV3" s="345"/>
      <c r="XW3" s="345"/>
      <c r="XX3" s="345"/>
      <c r="XY3" s="345"/>
      <c r="XZ3" s="345"/>
      <c r="YA3" s="345"/>
      <c r="YB3" s="345"/>
      <c r="YC3" s="345"/>
      <c r="YD3" s="345"/>
      <c r="YE3" s="345"/>
      <c r="YF3" s="345"/>
      <c r="YG3" s="345"/>
      <c r="YH3" s="345"/>
      <c r="YI3" s="345"/>
      <c r="YJ3" s="345"/>
      <c r="YK3" s="345"/>
      <c r="YL3" s="345"/>
      <c r="YM3" s="345"/>
      <c r="YN3" s="345"/>
      <c r="YO3" s="345"/>
      <c r="YP3" s="345"/>
      <c r="YQ3" s="345"/>
      <c r="YR3" s="345"/>
      <c r="YS3" s="345"/>
      <c r="YT3" s="345"/>
      <c r="YU3" s="345"/>
      <c r="YV3" s="345"/>
      <c r="YW3" s="345"/>
      <c r="YX3" s="345"/>
      <c r="YY3" s="345"/>
      <c r="YZ3" s="345"/>
      <c r="ZA3" s="345"/>
      <c r="ZB3" s="345"/>
      <c r="ZC3" s="345"/>
      <c r="ZD3" s="345"/>
      <c r="ZE3" s="345"/>
      <c r="ZF3" s="345"/>
      <c r="ZG3" s="345"/>
      <c r="ZH3" s="345"/>
      <c r="ZI3" s="345"/>
      <c r="ZJ3" s="345"/>
      <c r="ZK3" s="345"/>
      <c r="ZL3" s="345"/>
      <c r="ZM3" s="345"/>
      <c r="ZN3" s="345"/>
      <c r="ZO3" s="345"/>
      <c r="ZP3" s="345"/>
      <c r="ZQ3" s="345"/>
      <c r="ZR3" s="345"/>
      <c r="ZS3" s="345"/>
      <c r="ZT3" s="345"/>
      <c r="ZU3" s="345"/>
      <c r="ZV3" s="345"/>
      <c r="ZW3" s="345"/>
      <c r="ZX3" s="345"/>
      <c r="ZY3" s="345"/>
      <c r="ZZ3" s="345"/>
      <c r="AAA3" s="345"/>
      <c r="AAB3" s="345"/>
      <c r="AAC3" s="345"/>
      <c r="AAD3" s="345"/>
      <c r="AAE3" s="345"/>
      <c r="AAF3" s="345"/>
      <c r="AAG3" s="345"/>
      <c r="AAH3" s="345"/>
      <c r="AAI3" s="345"/>
      <c r="AAJ3" s="345"/>
      <c r="AAK3" s="345"/>
      <c r="AAL3" s="345"/>
      <c r="AAM3" s="345"/>
      <c r="AAN3" s="345"/>
      <c r="AAO3" s="345"/>
      <c r="AAP3" s="345"/>
      <c r="AAQ3" s="345"/>
      <c r="AAR3" s="345"/>
      <c r="AAS3" s="345"/>
      <c r="AAT3" s="345"/>
      <c r="AAU3" s="345"/>
      <c r="AAV3" s="345"/>
      <c r="AAW3" s="345"/>
      <c r="AAX3" s="345"/>
      <c r="AAY3" s="345"/>
      <c r="AAZ3" s="345"/>
      <c r="ABA3" s="345"/>
      <c r="ABB3" s="345"/>
      <c r="ABC3" s="345"/>
      <c r="ABD3" s="345"/>
      <c r="ABE3" s="345"/>
      <c r="ABF3" s="345"/>
      <c r="ABG3" s="345"/>
      <c r="ABH3" s="345"/>
      <c r="ABI3" s="345"/>
      <c r="ABJ3" s="345"/>
      <c r="ABK3" s="345"/>
      <c r="ABL3" s="345"/>
      <c r="ABM3" s="345"/>
      <c r="ABN3" s="345"/>
      <c r="ABO3" s="345"/>
      <c r="ABP3" s="345"/>
      <c r="ABQ3" s="345"/>
      <c r="ABR3" s="345"/>
      <c r="ABS3" s="345"/>
      <c r="ABT3" s="345"/>
      <c r="ABU3" s="345"/>
      <c r="ABV3" s="345"/>
      <c r="ABW3" s="345"/>
      <c r="ABX3" s="345"/>
      <c r="ABY3" s="345"/>
      <c r="ABZ3" s="345"/>
      <c r="ACA3" s="345"/>
      <c r="ACB3" s="345"/>
      <c r="ACC3" s="345"/>
      <c r="ACD3" s="345"/>
      <c r="ACE3" s="345"/>
      <c r="ACF3" s="345"/>
      <c r="ACG3" s="345"/>
      <c r="ACH3" s="345"/>
      <c r="ACI3" s="345"/>
      <c r="ACJ3" s="345"/>
      <c r="ACK3" s="345"/>
      <c r="ACL3" s="345"/>
      <c r="ACM3" s="345"/>
      <c r="ACN3" s="345"/>
      <c r="ACO3" s="345"/>
      <c r="ACP3" s="345"/>
      <c r="ACQ3" s="345"/>
      <c r="ACR3" s="345"/>
      <c r="ACS3" s="345"/>
      <c r="ACT3" s="345"/>
      <c r="ACU3" s="345"/>
      <c r="ACV3" s="345"/>
      <c r="ACW3" s="345"/>
      <c r="ACX3" s="345"/>
      <c r="ACY3" s="345"/>
      <c r="ACZ3" s="345"/>
      <c r="ADA3" s="345"/>
      <c r="ADB3" s="345"/>
      <c r="ADC3" s="345"/>
      <c r="ADD3" s="345"/>
      <c r="ADE3" s="345"/>
      <c r="ADF3" s="345"/>
      <c r="ADG3" s="345"/>
      <c r="ADH3" s="345"/>
      <c r="ADI3" s="345"/>
      <c r="ADJ3" s="345"/>
      <c r="ADK3" s="345"/>
      <c r="ADL3" s="345"/>
      <c r="ADM3" s="345"/>
      <c r="ADN3" s="345"/>
      <c r="ADO3" s="345"/>
      <c r="ADP3" s="345"/>
      <c r="ADQ3" s="345"/>
      <c r="ADR3" s="345"/>
      <c r="ADS3" s="345"/>
      <c r="ADT3" s="345"/>
      <c r="ADU3" s="345"/>
      <c r="ADV3" s="345"/>
      <c r="ADW3" s="345"/>
      <c r="ADX3" s="345"/>
      <c r="ADY3" s="345"/>
      <c r="ADZ3" s="345"/>
      <c r="AEA3" s="345"/>
      <c r="AEB3" s="345"/>
      <c r="AEC3" s="345"/>
      <c r="AED3" s="345"/>
      <c r="AEE3" s="345"/>
      <c r="AEF3" s="345"/>
      <c r="AEG3" s="345"/>
      <c r="AEH3" s="345"/>
      <c r="AEI3" s="345"/>
      <c r="AEJ3" s="345"/>
      <c r="AEK3" s="345"/>
      <c r="AEL3" s="345"/>
      <c r="AEM3" s="345"/>
      <c r="AEN3" s="345"/>
      <c r="AEO3" s="345"/>
      <c r="AEP3" s="345"/>
      <c r="AEQ3" s="345"/>
      <c r="AER3" s="345"/>
      <c r="AES3" s="345"/>
      <c r="AET3" s="345"/>
      <c r="AEU3" s="345"/>
      <c r="AEV3" s="345"/>
      <c r="AEW3" s="345"/>
      <c r="AEX3" s="345"/>
      <c r="AEY3" s="345"/>
      <c r="AEZ3" s="345"/>
      <c r="AFA3" s="345"/>
      <c r="AFB3" s="345"/>
      <c r="AFC3" s="345"/>
      <c r="AFD3" s="345"/>
      <c r="AFE3" s="345"/>
      <c r="AFF3" s="345"/>
      <c r="AFG3" s="345"/>
      <c r="AFH3" s="345"/>
      <c r="AFI3" s="345"/>
      <c r="AFJ3" s="345"/>
      <c r="AFK3" s="345"/>
      <c r="AFL3" s="345"/>
      <c r="AFM3" s="345"/>
      <c r="AFN3" s="345"/>
      <c r="AFO3" s="345"/>
      <c r="AFP3" s="345"/>
      <c r="AFQ3" s="345"/>
      <c r="AFR3" s="345"/>
      <c r="AFS3" s="345"/>
      <c r="AFT3" s="345"/>
      <c r="AFU3" s="345"/>
      <c r="AFV3" s="345"/>
      <c r="AFW3" s="345"/>
      <c r="AFX3" s="345"/>
      <c r="AFY3" s="345"/>
      <c r="AFZ3" s="345"/>
      <c r="AGA3" s="345"/>
      <c r="AGB3" s="345"/>
      <c r="AGC3" s="345"/>
      <c r="AGD3" s="345"/>
      <c r="AGE3" s="345"/>
      <c r="AGF3" s="345"/>
      <c r="AGG3" s="345"/>
      <c r="AGH3" s="345"/>
      <c r="AGI3" s="345"/>
      <c r="AGJ3" s="345"/>
      <c r="AGK3" s="345"/>
      <c r="AGL3" s="345"/>
      <c r="AGM3" s="345"/>
      <c r="AGN3" s="345"/>
      <c r="AGO3" s="345"/>
      <c r="AGP3" s="345"/>
      <c r="AGQ3" s="345"/>
      <c r="AGR3" s="345"/>
      <c r="AGS3" s="345"/>
      <c r="AGT3" s="345"/>
      <c r="AGU3" s="345"/>
      <c r="AGV3" s="345"/>
      <c r="AGW3" s="345"/>
      <c r="AGX3" s="345"/>
      <c r="AGY3" s="345"/>
      <c r="AGZ3" s="345"/>
      <c r="AHA3" s="345"/>
      <c r="AHB3" s="345"/>
      <c r="AHC3" s="345"/>
      <c r="AHD3" s="345"/>
      <c r="AHE3" s="345"/>
      <c r="AHF3" s="345"/>
      <c r="AHG3" s="345"/>
      <c r="AHH3" s="345"/>
      <c r="AHI3" s="345"/>
      <c r="AHJ3" s="345"/>
      <c r="AHK3" s="345"/>
      <c r="AHL3" s="345"/>
      <c r="AHM3" s="345"/>
      <c r="AHN3" s="345"/>
      <c r="AHO3" s="345"/>
      <c r="AHP3" s="345"/>
      <c r="AHQ3" s="345"/>
      <c r="AHR3" s="345"/>
      <c r="AHS3" s="345"/>
      <c r="AHT3" s="345"/>
      <c r="AHU3" s="345"/>
      <c r="AHV3" s="345"/>
      <c r="AHW3" s="345"/>
      <c r="AHX3" s="345"/>
      <c r="AHY3" s="345"/>
      <c r="AHZ3" s="345"/>
      <c r="AIA3" s="345"/>
      <c r="AIB3" s="345"/>
      <c r="AIC3" s="345"/>
      <c r="AID3" s="345"/>
      <c r="AIE3" s="345"/>
      <c r="AIF3" s="345"/>
      <c r="AIG3" s="345"/>
      <c r="AIH3" s="345"/>
      <c r="AII3" s="345"/>
      <c r="AIJ3" s="345"/>
      <c r="AIK3" s="345"/>
      <c r="AIL3" s="345"/>
      <c r="AIM3" s="345"/>
      <c r="AIN3" s="345"/>
      <c r="AIO3" s="345"/>
      <c r="AIP3" s="345"/>
      <c r="AIQ3" s="345"/>
      <c r="AIR3" s="345"/>
      <c r="AIS3" s="345"/>
      <c r="AIT3" s="345"/>
      <c r="AIU3" s="345"/>
      <c r="AIV3" s="345"/>
      <c r="AIW3" s="345"/>
      <c r="AIX3" s="345"/>
      <c r="AIY3" s="345"/>
      <c r="AIZ3" s="345"/>
      <c r="AJA3" s="345"/>
      <c r="AJB3" s="345"/>
      <c r="AJC3" s="345"/>
      <c r="AJD3" s="345"/>
      <c r="AJE3" s="345"/>
      <c r="AJF3" s="345"/>
      <c r="AJG3" s="345"/>
      <c r="AJH3" s="345"/>
      <c r="AJI3" s="345"/>
      <c r="AJJ3" s="345"/>
      <c r="AJK3" s="345"/>
      <c r="AJL3" s="345"/>
      <c r="AJM3" s="345"/>
      <c r="AJN3" s="345"/>
      <c r="AJO3" s="345"/>
      <c r="AJP3" s="345"/>
      <c r="AJQ3" s="345"/>
      <c r="AJR3" s="345"/>
      <c r="AJS3" s="345"/>
      <c r="AJT3" s="345"/>
      <c r="AJU3" s="345"/>
      <c r="AJV3" s="345"/>
      <c r="AJW3" s="345"/>
      <c r="AJX3" s="345"/>
      <c r="AJY3" s="345"/>
      <c r="AJZ3" s="345"/>
      <c r="AKA3" s="345"/>
      <c r="AKB3" s="345"/>
      <c r="AKC3" s="345"/>
      <c r="AKD3" s="345"/>
      <c r="AKE3" s="345"/>
      <c r="AKF3" s="345"/>
      <c r="AKG3" s="345"/>
      <c r="AKH3" s="345"/>
      <c r="AKI3" s="345"/>
      <c r="AKJ3" s="345"/>
      <c r="AKK3" s="345"/>
      <c r="AKL3" s="345"/>
      <c r="AKM3" s="345"/>
      <c r="AKN3" s="345"/>
      <c r="AKO3" s="345"/>
      <c r="AKP3" s="345"/>
      <c r="AKQ3" s="345"/>
      <c r="AKR3" s="345"/>
      <c r="AKS3" s="345"/>
      <c r="AKT3" s="345"/>
      <c r="AKU3" s="345"/>
      <c r="AKV3" s="345"/>
      <c r="AKW3" s="345"/>
      <c r="AKX3" s="345"/>
      <c r="AKY3" s="345"/>
      <c r="AKZ3" s="345"/>
      <c r="ALA3" s="345"/>
      <c r="ALB3" s="345"/>
      <c r="ALC3" s="345"/>
      <c r="ALD3" s="345"/>
      <c r="ALE3" s="345"/>
      <c r="ALF3" s="345"/>
      <c r="ALG3" s="345"/>
      <c r="ALH3" s="345"/>
      <c r="ALI3" s="345"/>
      <c r="ALJ3" s="345"/>
      <c r="ALK3" s="345"/>
      <c r="ALL3" s="345"/>
      <c r="ALM3" s="345"/>
      <c r="ALN3" s="345"/>
      <c r="ALO3" s="345"/>
      <c r="ALP3" s="345"/>
      <c r="ALQ3" s="345"/>
      <c r="ALR3" s="345"/>
      <c r="ALS3" s="345"/>
      <c r="ALT3" s="345"/>
      <c r="ALU3" s="345"/>
      <c r="ALV3" s="345"/>
      <c r="ALW3" s="345"/>
      <c r="ALX3" s="345"/>
      <c r="ALY3" s="345"/>
      <c r="ALZ3" s="345"/>
      <c r="AMA3" s="345"/>
      <c r="AMB3" s="345"/>
      <c r="AMC3" s="345"/>
      <c r="AMD3" s="345"/>
      <c r="AME3" s="345"/>
      <c r="AMF3" s="345"/>
      <c r="AMG3" s="345"/>
      <c r="AMH3" s="345"/>
      <c r="AMI3" s="345"/>
      <c r="AMJ3" s="345"/>
      <c r="AMK3" s="345"/>
      <c r="AML3" s="345"/>
      <c r="AMM3" s="345"/>
      <c r="AMN3" s="345"/>
      <c r="AMO3" s="345"/>
      <c r="AMP3" s="345"/>
      <c r="AMQ3" s="345"/>
      <c r="AMR3" s="345"/>
      <c r="AMS3" s="345"/>
      <c r="AMT3" s="345"/>
      <c r="AMU3" s="345"/>
      <c r="AMV3" s="345"/>
      <c r="AMW3" s="345"/>
      <c r="AMX3" s="345"/>
      <c r="AMY3" s="345"/>
      <c r="AMZ3" s="345"/>
      <c r="ANA3" s="345"/>
      <c r="ANB3" s="345"/>
      <c r="ANC3" s="345"/>
      <c r="AND3" s="345"/>
      <c r="ANE3" s="345"/>
      <c r="ANF3" s="345"/>
      <c r="ANG3" s="345"/>
      <c r="ANH3" s="345"/>
      <c r="ANI3" s="345"/>
      <c r="ANJ3" s="345"/>
      <c r="ANK3" s="345"/>
      <c r="ANL3" s="345"/>
      <c r="ANM3" s="345"/>
      <c r="ANN3" s="345"/>
      <c r="ANO3" s="345"/>
      <c r="ANP3" s="345"/>
      <c r="ANQ3" s="345"/>
      <c r="ANR3" s="345"/>
      <c r="ANS3" s="345"/>
      <c r="ANT3" s="345"/>
      <c r="ANU3" s="345"/>
      <c r="ANV3" s="345"/>
      <c r="ANW3" s="345"/>
      <c r="ANX3" s="345"/>
      <c r="ANY3" s="345"/>
      <c r="ANZ3" s="345"/>
      <c r="AOA3" s="345"/>
      <c r="AOB3" s="345"/>
      <c r="AOC3" s="345"/>
      <c r="AOD3" s="345"/>
      <c r="AOE3" s="345"/>
      <c r="AOF3" s="345"/>
      <c r="AOG3" s="345"/>
      <c r="AOH3" s="345"/>
      <c r="AOI3" s="345"/>
      <c r="AOJ3" s="345"/>
      <c r="AOK3" s="345"/>
      <c r="AOL3" s="345"/>
      <c r="AOM3" s="345"/>
      <c r="AON3" s="345"/>
      <c r="AOO3" s="345"/>
      <c r="AOP3" s="345"/>
      <c r="AOQ3" s="345"/>
      <c r="AOR3" s="345"/>
      <c r="AOS3" s="345"/>
      <c r="AOT3" s="345"/>
      <c r="AOU3" s="345"/>
      <c r="AOV3" s="345"/>
      <c r="AOW3" s="345"/>
      <c r="AOX3" s="345"/>
      <c r="AOY3" s="345"/>
      <c r="AOZ3" s="345"/>
      <c r="APA3" s="345"/>
      <c r="APB3" s="345"/>
      <c r="APC3" s="345"/>
      <c r="APD3" s="345"/>
      <c r="APE3" s="345"/>
      <c r="APF3" s="345"/>
      <c r="APG3" s="345"/>
      <c r="APH3" s="345"/>
      <c r="API3" s="345"/>
      <c r="APJ3" s="345"/>
      <c r="APK3" s="345"/>
      <c r="APL3" s="345"/>
      <c r="APM3" s="345"/>
      <c r="APN3" s="345"/>
      <c r="APO3" s="345"/>
      <c r="APP3" s="345"/>
      <c r="APQ3" s="345"/>
      <c r="APR3" s="345"/>
      <c r="APS3" s="345"/>
      <c r="APT3" s="345"/>
      <c r="APU3" s="345"/>
      <c r="APV3" s="345"/>
      <c r="APW3" s="345"/>
      <c r="APX3" s="345"/>
      <c r="APY3" s="345"/>
      <c r="APZ3" s="345"/>
      <c r="AQA3" s="345"/>
      <c r="AQB3" s="345"/>
      <c r="AQC3" s="345"/>
      <c r="AQD3" s="345"/>
      <c r="AQE3" s="345"/>
      <c r="AQF3" s="345"/>
      <c r="AQG3" s="345"/>
      <c r="AQH3" s="345"/>
      <c r="AQI3" s="345"/>
      <c r="AQJ3" s="345"/>
      <c r="AQK3" s="345"/>
      <c r="AQL3" s="345"/>
      <c r="AQM3" s="345"/>
      <c r="AQN3" s="345"/>
      <c r="AQO3" s="345"/>
      <c r="AQP3" s="345"/>
      <c r="AQQ3" s="345"/>
      <c r="AQR3" s="345"/>
      <c r="AQS3" s="345"/>
      <c r="AQT3" s="345"/>
      <c r="AQU3" s="345"/>
      <c r="AQV3" s="345"/>
      <c r="AQW3" s="345"/>
      <c r="AQX3" s="345"/>
      <c r="AQY3" s="345"/>
      <c r="AQZ3" s="345"/>
      <c r="ARA3" s="345"/>
      <c r="ARB3" s="345"/>
      <c r="ARC3" s="345"/>
      <c r="ARD3" s="345"/>
      <c r="ARE3" s="345"/>
      <c r="ARF3" s="345"/>
      <c r="ARG3" s="345"/>
      <c r="ARH3" s="345"/>
      <c r="ARI3" s="345"/>
      <c r="ARJ3" s="345"/>
      <c r="ARK3" s="345"/>
      <c r="ARL3" s="345"/>
      <c r="ARM3" s="345"/>
      <c r="ARN3" s="345"/>
      <c r="ARO3" s="345"/>
      <c r="ARP3" s="345"/>
      <c r="ARQ3" s="345"/>
      <c r="ARR3" s="345"/>
      <c r="ARS3" s="345"/>
      <c r="ART3" s="345"/>
      <c r="ARU3" s="345"/>
      <c r="ARV3" s="345"/>
      <c r="ARW3" s="345"/>
      <c r="ARX3" s="345"/>
      <c r="ARY3" s="345"/>
      <c r="ARZ3" s="345"/>
      <c r="ASA3" s="345"/>
      <c r="ASB3" s="345"/>
      <c r="ASC3" s="345"/>
      <c r="ASD3" s="345"/>
      <c r="ASE3" s="345"/>
      <c r="ASF3" s="345"/>
      <c r="ASG3" s="345"/>
      <c r="ASH3" s="345"/>
      <c r="ASI3" s="345"/>
      <c r="ASJ3" s="345"/>
      <c r="ASK3" s="345"/>
      <c r="ASL3" s="345"/>
      <c r="ASM3" s="345"/>
      <c r="ASN3" s="345"/>
      <c r="ASO3" s="345"/>
      <c r="ASP3" s="345"/>
      <c r="ASQ3" s="345"/>
      <c r="ASR3" s="345"/>
      <c r="ASS3" s="345"/>
      <c r="AST3" s="345"/>
      <c r="ASU3" s="345"/>
      <c r="ASV3" s="345"/>
      <c r="ASW3" s="345"/>
      <c r="ASX3" s="345"/>
      <c r="ASY3" s="345"/>
      <c r="ASZ3" s="345"/>
      <c r="ATA3" s="345"/>
      <c r="ATB3" s="345"/>
      <c r="ATC3" s="345"/>
      <c r="ATD3" s="345"/>
      <c r="ATE3" s="345"/>
      <c r="ATF3" s="345"/>
      <c r="ATG3" s="345"/>
      <c r="ATH3" s="345"/>
      <c r="ATI3" s="345"/>
      <c r="ATJ3" s="345"/>
      <c r="ATK3" s="345"/>
      <c r="ATL3" s="345"/>
      <c r="ATM3" s="345"/>
      <c r="ATN3" s="345"/>
      <c r="ATO3" s="345"/>
    </row>
    <row r="4" spans="1:1211" s="346" customFormat="1" ht="18.75" customHeight="1">
      <c r="A4" s="1626" t="s">
        <v>4203</v>
      </c>
      <c r="B4" s="2598" t="s">
        <v>14232</v>
      </c>
      <c r="C4" s="2599"/>
      <c r="D4" s="1496"/>
      <c r="E4" s="136"/>
      <c r="F4" s="136"/>
      <c r="G4" s="136"/>
      <c r="H4" s="1495"/>
      <c r="I4" s="2596"/>
      <c r="J4" s="2597"/>
      <c r="K4" s="2600">
        <v>0</v>
      </c>
      <c r="L4" s="2601"/>
      <c r="M4" s="1630" t="s">
        <v>4951</v>
      </c>
      <c r="N4" s="1630"/>
      <c r="O4" s="1629"/>
      <c r="P4" s="345"/>
      <c r="Q4" s="1480"/>
      <c r="R4" s="345"/>
      <c r="S4" s="345"/>
      <c r="T4" s="345"/>
      <c r="U4" s="345"/>
      <c r="V4" s="345"/>
      <c r="W4" s="345"/>
      <c r="X4" s="345"/>
      <c r="Y4" s="345"/>
      <c r="Z4" s="345"/>
      <c r="AA4" s="345"/>
      <c r="AB4" s="345"/>
      <c r="AC4" s="345"/>
      <c r="AD4" s="345"/>
      <c r="AE4" s="345"/>
      <c r="AF4" s="345"/>
      <c r="AG4" s="345"/>
      <c r="AH4" s="345"/>
      <c r="AI4" s="345"/>
      <c r="AJ4" s="345"/>
      <c r="AK4" s="345"/>
      <c r="AL4" s="345"/>
      <c r="AM4" s="345"/>
      <c r="AN4" s="345"/>
      <c r="AO4" s="345"/>
      <c r="AP4" s="345"/>
      <c r="AQ4" s="345"/>
      <c r="AR4" s="345"/>
      <c r="AS4" s="345"/>
      <c r="AT4" s="345"/>
      <c r="AU4" s="345"/>
      <c r="AV4" s="345"/>
      <c r="AW4" s="345"/>
      <c r="AX4" s="345"/>
      <c r="AY4" s="345"/>
      <c r="AZ4" s="345"/>
      <c r="BA4" s="345"/>
      <c r="BB4" s="345"/>
      <c r="BC4" s="345"/>
      <c r="BD4" s="345"/>
      <c r="BE4" s="345"/>
      <c r="BF4" s="345"/>
      <c r="BG4" s="345"/>
      <c r="BH4" s="345"/>
      <c r="BI4" s="345"/>
      <c r="BJ4" s="345"/>
      <c r="BK4" s="345"/>
      <c r="BL4" s="345"/>
      <c r="BM4" s="345"/>
      <c r="BN4" s="345"/>
      <c r="BO4" s="345"/>
      <c r="BP4" s="345"/>
      <c r="BQ4" s="345"/>
      <c r="BR4" s="345"/>
      <c r="BS4" s="345"/>
      <c r="BT4" s="345"/>
      <c r="BU4" s="345"/>
      <c r="BV4" s="345"/>
      <c r="BW4" s="345"/>
      <c r="BX4" s="345"/>
      <c r="BY4" s="345"/>
      <c r="BZ4" s="345"/>
      <c r="CA4" s="345"/>
      <c r="CB4" s="345"/>
      <c r="CC4" s="345"/>
      <c r="CD4" s="345"/>
      <c r="CE4" s="345"/>
      <c r="CF4" s="345"/>
      <c r="CG4" s="345"/>
      <c r="CH4" s="345"/>
      <c r="CI4" s="345"/>
      <c r="CJ4" s="345"/>
      <c r="CK4" s="345"/>
      <c r="CL4" s="345"/>
      <c r="CM4" s="345"/>
      <c r="CN4" s="345"/>
      <c r="CO4" s="345"/>
      <c r="CP4" s="345"/>
      <c r="CQ4" s="345"/>
      <c r="CR4" s="345"/>
      <c r="CS4" s="345"/>
      <c r="CT4" s="345"/>
      <c r="CU4" s="345"/>
      <c r="CV4" s="345"/>
      <c r="CW4" s="345"/>
      <c r="CX4" s="345"/>
      <c r="CY4" s="345"/>
      <c r="CZ4" s="345"/>
      <c r="DA4" s="345"/>
      <c r="DB4" s="345"/>
      <c r="DC4" s="345"/>
      <c r="DD4" s="345"/>
      <c r="DE4" s="345"/>
      <c r="DF4" s="345"/>
      <c r="DG4" s="345"/>
      <c r="DH4" s="345"/>
      <c r="DI4" s="345"/>
      <c r="DJ4" s="345"/>
      <c r="DK4" s="345"/>
      <c r="DL4" s="345"/>
      <c r="DM4" s="345"/>
      <c r="DN4" s="345"/>
      <c r="DO4" s="345"/>
      <c r="DP4" s="345"/>
      <c r="DQ4" s="345"/>
      <c r="DR4" s="345"/>
      <c r="DS4" s="345"/>
      <c r="DT4" s="345"/>
      <c r="DU4" s="345"/>
      <c r="DV4" s="345"/>
      <c r="DW4" s="345"/>
      <c r="DX4" s="345"/>
      <c r="DY4" s="345"/>
      <c r="DZ4" s="345"/>
      <c r="EA4" s="345"/>
      <c r="EB4" s="345"/>
      <c r="EC4" s="345"/>
      <c r="ED4" s="345"/>
      <c r="EE4" s="345"/>
      <c r="EF4" s="345"/>
      <c r="EG4" s="345"/>
      <c r="EH4" s="345"/>
      <c r="EI4" s="345"/>
      <c r="EJ4" s="345"/>
      <c r="EK4" s="345"/>
      <c r="EL4" s="345"/>
      <c r="EM4" s="345"/>
      <c r="EN4" s="345"/>
      <c r="EO4" s="345"/>
      <c r="EP4" s="345"/>
      <c r="EQ4" s="345"/>
      <c r="ER4" s="345"/>
      <c r="ES4" s="345"/>
      <c r="ET4" s="345"/>
      <c r="EU4" s="345"/>
      <c r="EV4" s="345"/>
      <c r="EW4" s="345"/>
      <c r="EX4" s="345"/>
      <c r="EY4" s="345"/>
      <c r="EZ4" s="345"/>
      <c r="FA4" s="345"/>
      <c r="FB4" s="345"/>
      <c r="FC4" s="345"/>
      <c r="FD4" s="345"/>
      <c r="FE4" s="345"/>
      <c r="FF4" s="345"/>
      <c r="FG4" s="345"/>
      <c r="FH4" s="345"/>
      <c r="FI4" s="345"/>
      <c r="FJ4" s="345"/>
      <c r="FK4" s="345"/>
      <c r="FL4" s="345"/>
      <c r="FM4" s="345"/>
      <c r="FN4" s="345"/>
      <c r="FO4" s="345"/>
      <c r="FP4" s="345"/>
      <c r="FQ4" s="345"/>
      <c r="FR4" s="345"/>
      <c r="FS4" s="345"/>
      <c r="FT4" s="345"/>
      <c r="FU4" s="345"/>
      <c r="FV4" s="345"/>
      <c r="FW4" s="345"/>
      <c r="FX4" s="345"/>
      <c r="FY4" s="345"/>
      <c r="FZ4" s="345"/>
      <c r="GA4" s="345"/>
      <c r="GB4" s="345"/>
      <c r="GC4" s="345"/>
      <c r="GD4" s="345"/>
      <c r="GE4" s="345"/>
      <c r="GF4" s="345"/>
      <c r="GG4" s="345"/>
      <c r="GH4" s="345"/>
      <c r="GI4" s="345"/>
      <c r="GJ4" s="345"/>
      <c r="GK4" s="345"/>
      <c r="GL4" s="345"/>
      <c r="GM4" s="345"/>
      <c r="GN4" s="345"/>
      <c r="GO4" s="345"/>
      <c r="GP4" s="345"/>
      <c r="GQ4" s="345"/>
      <c r="GR4" s="345"/>
      <c r="GS4" s="345"/>
      <c r="GT4" s="345"/>
      <c r="GU4" s="345"/>
      <c r="GV4" s="345"/>
      <c r="GW4" s="345"/>
      <c r="GX4" s="345"/>
      <c r="GY4" s="345"/>
      <c r="GZ4" s="345"/>
      <c r="HA4" s="345"/>
      <c r="HB4" s="345"/>
      <c r="HC4" s="345"/>
      <c r="HD4" s="345"/>
      <c r="HE4" s="345"/>
      <c r="HF4" s="345"/>
      <c r="HG4" s="345"/>
      <c r="HH4" s="345"/>
      <c r="HI4" s="345"/>
      <c r="HJ4" s="345"/>
      <c r="HK4" s="345"/>
      <c r="HL4" s="345"/>
      <c r="HM4" s="345"/>
      <c r="HN4" s="345"/>
      <c r="HO4" s="345"/>
      <c r="HP4" s="345"/>
      <c r="HQ4" s="345"/>
      <c r="HR4" s="345"/>
      <c r="HS4" s="345"/>
      <c r="HT4" s="345"/>
      <c r="HU4" s="345"/>
      <c r="HV4" s="345"/>
      <c r="HW4" s="345"/>
      <c r="HX4" s="345"/>
      <c r="HY4" s="345"/>
      <c r="HZ4" s="345"/>
      <c r="IA4" s="345"/>
      <c r="IB4" s="345"/>
      <c r="IC4" s="345"/>
      <c r="ID4" s="345"/>
      <c r="IE4" s="345"/>
      <c r="IF4" s="345"/>
      <c r="IG4" s="345"/>
      <c r="IH4" s="345"/>
      <c r="II4" s="345"/>
      <c r="IJ4" s="345"/>
      <c r="IK4" s="345"/>
      <c r="IL4" s="345"/>
      <c r="IM4" s="345"/>
      <c r="IN4" s="345"/>
      <c r="IO4" s="345"/>
      <c r="IP4" s="345"/>
      <c r="IQ4" s="345"/>
      <c r="IR4" s="345"/>
      <c r="IS4" s="345"/>
      <c r="IT4" s="345"/>
      <c r="IU4" s="345"/>
      <c r="IV4" s="345"/>
      <c r="IW4" s="345"/>
      <c r="IX4" s="345"/>
      <c r="IY4" s="345"/>
      <c r="IZ4" s="345"/>
      <c r="JA4" s="345"/>
      <c r="JB4" s="345"/>
      <c r="JC4" s="345"/>
      <c r="JD4" s="345"/>
      <c r="JE4" s="345"/>
      <c r="JF4" s="345"/>
      <c r="JG4" s="345"/>
      <c r="JH4" s="345"/>
      <c r="JI4" s="345"/>
      <c r="JJ4" s="345"/>
      <c r="JK4" s="345"/>
      <c r="JL4" s="345"/>
      <c r="JM4" s="345"/>
      <c r="JN4" s="345"/>
      <c r="JO4" s="345"/>
      <c r="JP4" s="345"/>
      <c r="JQ4" s="345"/>
      <c r="JR4" s="345"/>
      <c r="JS4" s="345"/>
      <c r="JT4" s="345"/>
      <c r="JU4" s="345"/>
      <c r="JV4" s="345"/>
      <c r="JW4" s="345"/>
      <c r="JX4" s="345"/>
      <c r="JY4" s="345"/>
      <c r="JZ4" s="345"/>
      <c r="KA4" s="345"/>
      <c r="KB4" s="345"/>
      <c r="KC4" s="345"/>
      <c r="KD4" s="345"/>
      <c r="KE4" s="345"/>
      <c r="KF4" s="345"/>
      <c r="KG4" s="345"/>
      <c r="KH4" s="345"/>
      <c r="KI4" s="345"/>
      <c r="KJ4" s="345"/>
      <c r="KK4" s="345"/>
      <c r="KL4" s="345"/>
      <c r="KM4" s="345"/>
      <c r="KN4" s="345"/>
      <c r="KO4" s="345"/>
      <c r="KP4" s="345"/>
      <c r="KQ4" s="345"/>
      <c r="KR4" s="345"/>
      <c r="KS4" s="345"/>
      <c r="KT4" s="345"/>
      <c r="KU4" s="345"/>
      <c r="KV4" s="345"/>
      <c r="KW4" s="345"/>
      <c r="KX4" s="345"/>
      <c r="KY4" s="345"/>
      <c r="KZ4" s="345"/>
      <c r="LA4" s="345"/>
      <c r="LB4" s="345"/>
      <c r="LC4" s="345"/>
      <c r="LD4" s="345"/>
      <c r="LE4" s="345"/>
      <c r="LF4" s="345"/>
      <c r="LG4" s="345"/>
      <c r="LH4" s="345"/>
      <c r="LI4" s="345"/>
      <c r="LJ4" s="345"/>
      <c r="LK4" s="345"/>
      <c r="LL4" s="345"/>
      <c r="LM4" s="345"/>
      <c r="LN4" s="345"/>
      <c r="LO4" s="345"/>
      <c r="LP4" s="345"/>
      <c r="LQ4" s="345"/>
      <c r="LR4" s="345"/>
      <c r="LS4" s="345"/>
      <c r="LT4" s="345"/>
      <c r="LU4" s="345"/>
      <c r="LV4" s="345"/>
      <c r="LW4" s="345"/>
      <c r="LX4" s="345"/>
      <c r="LY4" s="345"/>
      <c r="LZ4" s="345"/>
      <c r="MA4" s="345"/>
      <c r="MB4" s="345"/>
      <c r="MC4" s="345"/>
      <c r="MD4" s="345"/>
      <c r="ME4" s="345"/>
      <c r="MF4" s="345"/>
      <c r="MG4" s="345"/>
      <c r="MH4" s="345"/>
      <c r="MI4" s="345"/>
      <c r="MJ4" s="345"/>
      <c r="MK4" s="345"/>
      <c r="ML4" s="345"/>
      <c r="MM4" s="345"/>
      <c r="MN4" s="345"/>
      <c r="MO4" s="345"/>
      <c r="MP4" s="345"/>
      <c r="MQ4" s="345"/>
      <c r="MR4" s="345"/>
      <c r="MS4" s="345"/>
      <c r="MT4" s="345"/>
      <c r="MU4" s="345"/>
      <c r="MV4" s="345"/>
      <c r="MW4" s="345"/>
      <c r="MX4" s="345"/>
      <c r="MY4" s="345"/>
      <c r="MZ4" s="345"/>
      <c r="NA4" s="345"/>
      <c r="NB4" s="345"/>
      <c r="NC4" s="345"/>
      <c r="ND4" s="345"/>
      <c r="NE4" s="345"/>
      <c r="NF4" s="345"/>
      <c r="NG4" s="345"/>
      <c r="NH4" s="345"/>
      <c r="NI4" s="345"/>
      <c r="NJ4" s="345"/>
      <c r="NK4" s="345"/>
      <c r="NL4" s="345"/>
      <c r="NM4" s="345"/>
      <c r="NN4" s="345"/>
      <c r="NO4" s="345"/>
      <c r="NP4" s="345"/>
      <c r="NQ4" s="345"/>
      <c r="NR4" s="345"/>
      <c r="NS4" s="345"/>
      <c r="NT4" s="345"/>
      <c r="NU4" s="345"/>
      <c r="NV4" s="345"/>
      <c r="NW4" s="345"/>
      <c r="NX4" s="345"/>
      <c r="NY4" s="345"/>
      <c r="NZ4" s="345"/>
      <c r="OA4" s="345"/>
      <c r="OB4" s="345"/>
      <c r="OC4" s="345"/>
      <c r="OD4" s="345"/>
      <c r="OE4" s="345"/>
      <c r="OF4" s="345"/>
      <c r="OG4" s="345"/>
      <c r="OH4" s="345"/>
      <c r="OI4" s="345"/>
      <c r="OJ4" s="345"/>
      <c r="OK4" s="345"/>
      <c r="OL4" s="345"/>
      <c r="OM4" s="345"/>
      <c r="ON4" s="345"/>
      <c r="OO4" s="345"/>
      <c r="OP4" s="345"/>
      <c r="OQ4" s="345"/>
      <c r="OR4" s="345"/>
      <c r="OS4" s="345"/>
      <c r="OT4" s="345"/>
      <c r="OU4" s="345"/>
      <c r="OV4" s="345"/>
      <c r="OW4" s="345"/>
      <c r="OX4" s="345"/>
      <c r="OY4" s="345"/>
      <c r="OZ4" s="345"/>
      <c r="PA4" s="345"/>
      <c r="PB4" s="345"/>
      <c r="PC4" s="345"/>
      <c r="PD4" s="345"/>
      <c r="PE4" s="345"/>
      <c r="PF4" s="345"/>
      <c r="PG4" s="345"/>
      <c r="PH4" s="345"/>
      <c r="PI4" s="345"/>
      <c r="PJ4" s="345"/>
      <c r="PK4" s="345"/>
      <c r="PL4" s="345"/>
      <c r="PM4" s="345"/>
      <c r="PN4" s="345"/>
      <c r="PO4" s="345"/>
      <c r="PP4" s="345"/>
      <c r="PQ4" s="345"/>
      <c r="PR4" s="345"/>
      <c r="PS4" s="345"/>
      <c r="PT4" s="345"/>
      <c r="PU4" s="345"/>
      <c r="PV4" s="345"/>
      <c r="PW4" s="345"/>
      <c r="PX4" s="345"/>
      <c r="PY4" s="345"/>
      <c r="PZ4" s="345"/>
      <c r="QA4" s="345"/>
      <c r="QB4" s="345"/>
      <c r="QC4" s="345"/>
      <c r="QD4" s="345"/>
      <c r="QE4" s="345"/>
      <c r="QF4" s="345"/>
      <c r="QG4" s="345"/>
      <c r="QH4" s="345"/>
      <c r="QI4" s="345"/>
      <c r="QJ4" s="345"/>
      <c r="QK4" s="345"/>
      <c r="QL4" s="345"/>
      <c r="QM4" s="345"/>
      <c r="QN4" s="345"/>
      <c r="QO4" s="345"/>
      <c r="QP4" s="345"/>
      <c r="QQ4" s="345"/>
      <c r="QR4" s="345"/>
      <c r="QS4" s="345"/>
      <c r="QT4" s="345"/>
      <c r="QU4" s="345"/>
      <c r="QV4" s="345"/>
      <c r="QW4" s="345"/>
      <c r="QX4" s="345"/>
      <c r="QY4" s="345"/>
      <c r="QZ4" s="345"/>
      <c r="RA4" s="345"/>
      <c r="RB4" s="345"/>
      <c r="RC4" s="345"/>
      <c r="RD4" s="345"/>
      <c r="RE4" s="345"/>
      <c r="RF4" s="345"/>
      <c r="RG4" s="345"/>
      <c r="RH4" s="345"/>
      <c r="RI4" s="345"/>
      <c r="RJ4" s="345"/>
      <c r="RK4" s="345"/>
      <c r="RL4" s="345"/>
      <c r="RM4" s="345"/>
      <c r="RN4" s="345"/>
      <c r="RO4" s="345"/>
      <c r="RP4" s="345"/>
      <c r="RQ4" s="345"/>
      <c r="RR4" s="345"/>
      <c r="RS4" s="345"/>
      <c r="RT4" s="345"/>
      <c r="RU4" s="345"/>
      <c r="RV4" s="345"/>
      <c r="RW4" s="345"/>
      <c r="RX4" s="345"/>
      <c r="RY4" s="345"/>
      <c r="RZ4" s="345"/>
      <c r="SA4" s="345"/>
      <c r="SB4" s="345"/>
      <c r="SC4" s="345"/>
      <c r="SD4" s="345"/>
      <c r="SE4" s="345"/>
      <c r="SF4" s="345"/>
      <c r="SG4" s="345"/>
      <c r="SH4" s="345"/>
      <c r="SI4" s="345"/>
      <c r="SJ4" s="345"/>
      <c r="SK4" s="345"/>
      <c r="SL4" s="345"/>
      <c r="SM4" s="345"/>
      <c r="SN4" s="345"/>
      <c r="SO4" s="345"/>
      <c r="SP4" s="345"/>
      <c r="SQ4" s="345"/>
      <c r="SR4" s="345"/>
      <c r="SS4" s="345"/>
      <c r="ST4" s="345"/>
      <c r="SU4" s="345"/>
      <c r="SV4" s="345"/>
      <c r="SW4" s="345"/>
      <c r="SX4" s="345"/>
      <c r="SY4" s="345"/>
      <c r="SZ4" s="345"/>
      <c r="TA4" s="345"/>
      <c r="TB4" s="345"/>
      <c r="TC4" s="345"/>
      <c r="TD4" s="345"/>
      <c r="TE4" s="345"/>
      <c r="TF4" s="345"/>
      <c r="TG4" s="345"/>
      <c r="TH4" s="345"/>
      <c r="TI4" s="345"/>
      <c r="TJ4" s="345"/>
      <c r="TK4" s="345"/>
      <c r="TL4" s="345"/>
      <c r="TM4" s="345"/>
      <c r="TN4" s="345"/>
      <c r="TO4" s="345"/>
      <c r="TP4" s="345"/>
      <c r="TQ4" s="345"/>
      <c r="TR4" s="345"/>
      <c r="TS4" s="345"/>
      <c r="TT4" s="345"/>
      <c r="TU4" s="345"/>
      <c r="TV4" s="345"/>
      <c r="TW4" s="345"/>
      <c r="TX4" s="345"/>
      <c r="TY4" s="345"/>
      <c r="TZ4" s="345"/>
      <c r="UA4" s="345"/>
      <c r="UB4" s="345"/>
      <c r="UC4" s="345"/>
      <c r="UD4" s="345"/>
      <c r="UE4" s="345"/>
      <c r="UF4" s="345"/>
      <c r="UG4" s="345"/>
      <c r="UH4" s="345"/>
      <c r="UI4" s="345"/>
      <c r="UJ4" s="345"/>
      <c r="UK4" s="345"/>
      <c r="UL4" s="345"/>
      <c r="UM4" s="345"/>
      <c r="UN4" s="345"/>
      <c r="UO4" s="345"/>
      <c r="UP4" s="345"/>
      <c r="UQ4" s="345"/>
      <c r="UR4" s="345"/>
      <c r="US4" s="345"/>
      <c r="UT4" s="345"/>
      <c r="UU4" s="345"/>
      <c r="UV4" s="345"/>
      <c r="UW4" s="345"/>
      <c r="UX4" s="345"/>
      <c r="UY4" s="345"/>
      <c r="UZ4" s="345"/>
      <c r="VA4" s="345"/>
      <c r="VB4" s="345"/>
      <c r="VC4" s="345"/>
      <c r="VD4" s="345"/>
      <c r="VE4" s="345"/>
      <c r="VF4" s="345"/>
      <c r="VG4" s="345"/>
      <c r="VH4" s="345"/>
      <c r="VI4" s="345"/>
      <c r="VJ4" s="345"/>
      <c r="VK4" s="345"/>
      <c r="VL4" s="345"/>
      <c r="VM4" s="345"/>
      <c r="VN4" s="345"/>
      <c r="VO4" s="345"/>
      <c r="VP4" s="345"/>
      <c r="VQ4" s="345"/>
      <c r="VR4" s="345"/>
      <c r="VS4" s="345"/>
      <c r="VT4" s="345"/>
      <c r="VU4" s="345"/>
      <c r="VV4" s="345"/>
      <c r="VW4" s="345"/>
      <c r="VX4" s="345"/>
      <c r="VY4" s="345"/>
      <c r="VZ4" s="345"/>
      <c r="WA4" s="345"/>
      <c r="WB4" s="345"/>
      <c r="WC4" s="345"/>
      <c r="WD4" s="345"/>
      <c r="WE4" s="345"/>
      <c r="WF4" s="345"/>
      <c r="WG4" s="345"/>
      <c r="WH4" s="345"/>
      <c r="WI4" s="345"/>
      <c r="WJ4" s="345"/>
      <c r="WK4" s="345"/>
      <c r="WL4" s="345"/>
      <c r="WM4" s="345"/>
      <c r="WN4" s="345"/>
      <c r="WO4" s="345"/>
      <c r="WP4" s="345"/>
      <c r="WQ4" s="345"/>
      <c r="WR4" s="345"/>
      <c r="WS4" s="345"/>
      <c r="WT4" s="345"/>
      <c r="WU4" s="345"/>
      <c r="WV4" s="345"/>
      <c r="WW4" s="345"/>
      <c r="WX4" s="345"/>
      <c r="WY4" s="345"/>
      <c r="WZ4" s="345"/>
      <c r="XA4" s="345"/>
      <c r="XB4" s="345"/>
      <c r="XC4" s="345"/>
      <c r="XD4" s="345"/>
      <c r="XE4" s="345"/>
      <c r="XF4" s="345"/>
      <c r="XG4" s="345"/>
      <c r="XH4" s="345"/>
      <c r="XI4" s="345"/>
      <c r="XJ4" s="345"/>
      <c r="XK4" s="345"/>
      <c r="XL4" s="345"/>
      <c r="XM4" s="345"/>
      <c r="XN4" s="345"/>
      <c r="XO4" s="345"/>
      <c r="XP4" s="345"/>
      <c r="XQ4" s="345"/>
      <c r="XR4" s="345"/>
      <c r="XS4" s="345"/>
      <c r="XT4" s="345"/>
      <c r="XU4" s="345"/>
      <c r="XV4" s="345"/>
      <c r="XW4" s="345"/>
      <c r="XX4" s="345"/>
      <c r="XY4" s="345"/>
      <c r="XZ4" s="345"/>
      <c r="YA4" s="345"/>
      <c r="YB4" s="345"/>
      <c r="YC4" s="345"/>
      <c r="YD4" s="345"/>
      <c r="YE4" s="345"/>
      <c r="YF4" s="345"/>
      <c r="YG4" s="345"/>
      <c r="YH4" s="345"/>
      <c r="YI4" s="345"/>
      <c r="YJ4" s="345"/>
      <c r="YK4" s="345"/>
      <c r="YL4" s="345"/>
      <c r="YM4" s="345"/>
      <c r="YN4" s="345"/>
      <c r="YO4" s="345"/>
      <c r="YP4" s="345"/>
      <c r="YQ4" s="345"/>
      <c r="YR4" s="345"/>
      <c r="YS4" s="345"/>
      <c r="YT4" s="345"/>
      <c r="YU4" s="345"/>
      <c r="YV4" s="345"/>
      <c r="YW4" s="345"/>
      <c r="YX4" s="345"/>
      <c r="YY4" s="345"/>
      <c r="YZ4" s="345"/>
      <c r="ZA4" s="345"/>
      <c r="ZB4" s="345"/>
      <c r="ZC4" s="345"/>
      <c r="ZD4" s="345"/>
      <c r="ZE4" s="345"/>
      <c r="ZF4" s="345"/>
      <c r="ZG4" s="345"/>
      <c r="ZH4" s="345"/>
      <c r="ZI4" s="345"/>
      <c r="ZJ4" s="345"/>
      <c r="ZK4" s="345"/>
      <c r="ZL4" s="345"/>
      <c r="ZM4" s="345"/>
      <c r="ZN4" s="345"/>
      <c r="ZO4" s="345"/>
      <c r="ZP4" s="345"/>
      <c r="ZQ4" s="345"/>
      <c r="ZR4" s="345"/>
      <c r="ZS4" s="345"/>
      <c r="ZT4" s="345"/>
      <c r="ZU4" s="345"/>
      <c r="ZV4" s="345"/>
      <c r="ZW4" s="345"/>
      <c r="ZX4" s="345"/>
      <c r="ZY4" s="345"/>
      <c r="ZZ4" s="345"/>
      <c r="AAA4" s="345"/>
      <c r="AAB4" s="345"/>
      <c r="AAC4" s="345"/>
      <c r="AAD4" s="345"/>
      <c r="AAE4" s="345"/>
      <c r="AAF4" s="345"/>
      <c r="AAG4" s="345"/>
      <c r="AAH4" s="345"/>
      <c r="AAI4" s="345"/>
      <c r="AAJ4" s="345"/>
      <c r="AAK4" s="345"/>
      <c r="AAL4" s="345"/>
      <c r="AAM4" s="345"/>
      <c r="AAN4" s="345"/>
      <c r="AAO4" s="345"/>
      <c r="AAP4" s="345"/>
      <c r="AAQ4" s="345"/>
      <c r="AAR4" s="345"/>
      <c r="AAS4" s="345"/>
      <c r="AAT4" s="345"/>
      <c r="AAU4" s="345"/>
      <c r="AAV4" s="345"/>
      <c r="AAW4" s="345"/>
      <c r="AAX4" s="345"/>
      <c r="AAY4" s="345"/>
      <c r="AAZ4" s="345"/>
      <c r="ABA4" s="345"/>
      <c r="ABB4" s="345"/>
      <c r="ABC4" s="345"/>
      <c r="ABD4" s="345"/>
      <c r="ABE4" s="345"/>
      <c r="ABF4" s="345"/>
      <c r="ABG4" s="345"/>
      <c r="ABH4" s="345"/>
      <c r="ABI4" s="345"/>
      <c r="ABJ4" s="345"/>
      <c r="ABK4" s="345"/>
      <c r="ABL4" s="345"/>
      <c r="ABM4" s="345"/>
      <c r="ABN4" s="345"/>
      <c r="ABO4" s="345"/>
      <c r="ABP4" s="345"/>
      <c r="ABQ4" s="345"/>
      <c r="ABR4" s="345"/>
      <c r="ABS4" s="345"/>
      <c r="ABT4" s="345"/>
      <c r="ABU4" s="345"/>
      <c r="ABV4" s="345"/>
      <c r="ABW4" s="345"/>
      <c r="ABX4" s="345"/>
      <c r="ABY4" s="345"/>
      <c r="ABZ4" s="345"/>
      <c r="ACA4" s="345"/>
      <c r="ACB4" s="345"/>
      <c r="ACC4" s="345"/>
      <c r="ACD4" s="345"/>
      <c r="ACE4" s="345"/>
      <c r="ACF4" s="345"/>
      <c r="ACG4" s="345"/>
      <c r="ACH4" s="345"/>
      <c r="ACI4" s="345"/>
      <c r="ACJ4" s="345"/>
      <c r="ACK4" s="345"/>
      <c r="ACL4" s="345"/>
      <c r="ACM4" s="345"/>
      <c r="ACN4" s="345"/>
      <c r="ACO4" s="345"/>
      <c r="ACP4" s="345"/>
      <c r="ACQ4" s="345"/>
      <c r="ACR4" s="345"/>
      <c r="ACS4" s="345"/>
      <c r="ACT4" s="345"/>
      <c r="ACU4" s="345"/>
      <c r="ACV4" s="345"/>
      <c r="ACW4" s="345"/>
      <c r="ACX4" s="345"/>
      <c r="ACY4" s="345"/>
      <c r="ACZ4" s="345"/>
      <c r="ADA4" s="345"/>
      <c r="ADB4" s="345"/>
      <c r="ADC4" s="345"/>
      <c r="ADD4" s="345"/>
      <c r="ADE4" s="345"/>
      <c r="ADF4" s="345"/>
      <c r="ADG4" s="345"/>
      <c r="ADH4" s="345"/>
      <c r="ADI4" s="345"/>
      <c r="ADJ4" s="345"/>
      <c r="ADK4" s="345"/>
      <c r="ADL4" s="345"/>
      <c r="ADM4" s="345"/>
      <c r="ADN4" s="345"/>
      <c r="ADO4" s="345"/>
      <c r="ADP4" s="345"/>
      <c r="ADQ4" s="345"/>
      <c r="ADR4" s="345"/>
      <c r="ADS4" s="345"/>
      <c r="ADT4" s="345"/>
      <c r="ADU4" s="345"/>
      <c r="ADV4" s="345"/>
      <c r="ADW4" s="345"/>
      <c r="ADX4" s="345"/>
      <c r="ADY4" s="345"/>
      <c r="ADZ4" s="345"/>
      <c r="AEA4" s="345"/>
      <c r="AEB4" s="345"/>
      <c r="AEC4" s="345"/>
      <c r="AED4" s="345"/>
      <c r="AEE4" s="345"/>
      <c r="AEF4" s="345"/>
      <c r="AEG4" s="345"/>
      <c r="AEH4" s="345"/>
      <c r="AEI4" s="345"/>
      <c r="AEJ4" s="345"/>
      <c r="AEK4" s="345"/>
      <c r="AEL4" s="345"/>
      <c r="AEM4" s="345"/>
      <c r="AEN4" s="345"/>
      <c r="AEO4" s="345"/>
      <c r="AEP4" s="345"/>
      <c r="AEQ4" s="345"/>
      <c r="AER4" s="345"/>
      <c r="AES4" s="345"/>
      <c r="AET4" s="345"/>
      <c r="AEU4" s="345"/>
      <c r="AEV4" s="345"/>
      <c r="AEW4" s="345"/>
      <c r="AEX4" s="345"/>
      <c r="AEY4" s="345"/>
      <c r="AEZ4" s="345"/>
      <c r="AFA4" s="345"/>
      <c r="AFB4" s="345"/>
      <c r="AFC4" s="345"/>
      <c r="AFD4" s="345"/>
      <c r="AFE4" s="345"/>
      <c r="AFF4" s="345"/>
      <c r="AFG4" s="345"/>
      <c r="AFH4" s="345"/>
      <c r="AFI4" s="345"/>
      <c r="AFJ4" s="345"/>
      <c r="AFK4" s="345"/>
      <c r="AFL4" s="345"/>
      <c r="AFM4" s="345"/>
      <c r="AFN4" s="345"/>
      <c r="AFO4" s="345"/>
      <c r="AFP4" s="345"/>
      <c r="AFQ4" s="345"/>
      <c r="AFR4" s="345"/>
      <c r="AFS4" s="345"/>
      <c r="AFT4" s="345"/>
      <c r="AFU4" s="345"/>
      <c r="AFV4" s="345"/>
      <c r="AFW4" s="345"/>
      <c r="AFX4" s="345"/>
      <c r="AFY4" s="345"/>
      <c r="AFZ4" s="345"/>
      <c r="AGA4" s="345"/>
      <c r="AGB4" s="345"/>
      <c r="AGC4" s="345"/>
      <c r="AGD4" s="345"/>
      <c r="AGE4" s="345"/>
      <c r="AGF4" s="345"/>
      <c r="AGG4" s="345"/>
      <c r="AGH4" s="345"/>
      <c r="AGI4" s="345"/>
      <c r="AGJ4" s="345"/>
      <c r="AGK4" s="345"/>
      <c r="AGL4" s="345"/>
      <c r="AGM4" s="345"/>
      <c r="AGN4" s="345"/>
      <c r="AGO4" s="345"/>
      <c r="AGP4" s="345"/>
      <c r="AGQ4" s="345"/>
      <c r="AGR4" s="345"/>
      <c r="AGS4" s="345"/>
      <c r="AGT4" s="345"/>
      <c r="AGU4" s="345"/>
      <c r="AGV4" s="345"/>
      <c r="AGW4" s="345"/>
      <c r="AGX4" s="345"/>
      <c r="AGY4" s="345"/>
      <c r="AGZ4" s="345"/>
      <c r="AHA4" s="345"/>
      <c r="AHB4" s="345"/>
      <c r="AHC4" s="345"/>
      <c r="AHD4" s="345"/>
      <c r="AHE4" s="345"/>
      <c r="AHF4" s="345"/>
      <c r="AHG4" s="345"/>
      <c r="AHH4" s="345"/>
      <c r="AHI4" s="345"/>
      <c r="AHJ4" s="345"/>
      <c r="AHK4" s="345"/>
      <c r="AHL4" s="345"/>
      <c r="AHM4" s="345"/>
      <c r="AHN4" s="345"/>
      <c r="AHO4" s="345"/>
      <c r="AHP4" s="345"/>
      <c r="AHQ4" s="345"/>
      <c r="AHR4" s="345"/>
      <c r="AHS4" s="345"/>
      <c r="AHT4" s="345"/>
      <c r="AHU4" s="345"/>
      <c r="AHV4" s="345"/>
      <c r="AHW4" s="345"/>
      <c r="AHX4" s="345"/>
      <c r="AHY4" s="345"/>
      <c r="AHZ4" s="345"/>
      <c r="AIA4" s="345"/>
      <c r="AIB4" s="345"/>
      <c r="AIC4" s="345"/>
      <c r="AID4" s="345"/>
      <c r="AIE4" s="345"/>
      <c r="AIF4" s="345"/>
      <c r="AIG4" s="345"/>
      <c r="AIH4" s="345"/>
      <c r="AII4" s="345"/>
      <c r="AIJ4" s="345"/>
      <c r="AIK4" s="345"/>
      <c r="AIL4" s="345"/>
      <c r="AIM4" s="345"/>
      <c r="AIN4" s="345"/>
      <c r="AIO4" s="345"/>
      <c r="AIP4" s="345"/>
      <c r="AIQ4" s="345"/>
      <c r="AIR4" s="345"/>
      <c r="AIS4" s="345"/>
      <c r="AIT4" s="345"/>
      <c r="AIU4" s="345"/>
      <c r="AIV4" s="345"/>
      <c r="AIW4" s="345"/>
      <c r="AIX4" s="345"/>
      <c r="AIY4" s="345"/>
      <c r="AIZ4" s="345"/>
      <c r="AJA4" s="345"/>
      <c r="AJB4" s="345"/>
      <c r="AJC4" s="345"/>
      <c r="AJD4" s="345"/>
      <c r="AJE4" s="345"/>
      <c r="AJF4" s="345"/>
      <c r="AJG4" s="345"/>
      <c r="AJH4" s="345"/>
      <c r="AJI4" s="345"/>
      <c r="AJJ4" s="345"/>
      <c r="AJK4" s="345"/>
      <c r="AJL4" s="345"/>
      <c r="AJM4" s="345"/>
      <c r="AJN4" s="345"/>
      <c r="AJO4" s="345"/>
      <c r="AJP4" s="345"/>
      <c r="AJQ4" s="345"/>
      <c r="AJR4" s="345"/>
      <c r="AJS4" s="345"/>
      <c r="AJT4" s="345"/>
      <c r="AJU4" s="345"/>
      <c r="AJV4" s="345"/>
      <c r="AJW4" s="345"/>
      <c r="AJX4" s="345"/>
      <c r="AJY4" s="345"/>
      <c r="AJZ4" s="345"/>
      <c r="AKA4" s="345"/>
      <c r="AKB4" s="345"/>
      <c r="AKC4" s="345"/>
      <c r="AKD4" s="345"/>
      <c r="AKE4" s="345"/>
      <c r="AKF4" s="345"/>
      <c r="AKG4" s="345"/>
      <c r="AKH4" s="345"/>
      <c r="AKI4" s="345"/>
      <c r="AKJ4" s="345"/>
      <c r="AKK4" s="345"/>
      <c r="AKL4" s="345"/>
      <c r="AKM4" s="345"/>
      <c r="AKN4" s="345"/>
      <c r="AKO4" s="345"/>
      <c r="AKP4" s="345"/>
      <c r="AKQ4" s="345"/>
      <c r="AKR4" s="345"/>
      <c r="AKS4" s="345"/>
      <c r="AKT4" s="345"/>
      <c r="AKU4" s="345"/>
      <c r="AKV4" s="345"/>
      <c r="AKW4" s="345"/>
      <c r="AKX4" s="345"/>
      <c r="AKY4" s="345"/>
      <c r="AKZ4" s="345"/>
      <c r="ALA4" s="345"/>
      <c r="ALB4" s="345"/>
      <c r="ALC4" s="345"/>
      <c r="ALD4" s="345"/>
      <c r="ALE4" s="345"/>
      <c r="ALF4" s="345"/>
      <c r="ALG4" s="345"/>
      <c r="ALH4" s="345"/>
      <c r="ALI4" s="345"/>
      <c r="ALJ4" s="345"/>
      <c r="ALK4" s="345"/>
      <c r="ALL4" s="345"/>
      <c r="ALM4" s="345"/>
      <c r="ALN4" s="345"/>
      <c r="ALO4" s="345"/>
      <c r="ALP4" s="345"/>
      <c r="ALQ4" s="345"/>
      <c r="ALR4" s="345"/>
      <c r="ALS4" s="345"/>
      <c r="ALT4" s="345"/>
      <c r="ALU4" s="345"/>
      <c r="ALV4" s="345"/>
      <c r="ALW4" s="345"/>
      <c r="ALX4" s="345"/>
      <c r="ALY4" s="345"/>
      <c r="ALZ4" s="345"/>
      <c r="AMA4" s="345"/>
      <c r="AMB4" s="345"/>
      <c r="AMC4" s="345"/>
      <c r="AMD4" s="345"/>
      <c r="AME4" s="345"/>
      <c r="AMF4" s="345"/>
      <c r="AMG4" s="345"/>
      <c r="AMH4" s="345"/>
      <c r="AMI4" s="345"/>
      <c r="AMJ4" s="345"/>
      <c r="AMK4" s="345"/>
      <c r="AML4" s="345"/>
      <c r="AMM4" s="345"/>
      <c r="AMN4" s="345"/>
      <c r="AMO4" s="345"/>
      <c r="AMP4" s="345"/>
      <c r="AMQ4" s="345"/>
      <c r="AMR4" s="345"/>
      <c r="AMS4" s="345"/>
      <c r="AMT4" s="345"/>
      <c r="AMU4" s="345"/>
      <c r="AMV4" s="345"/>
      <c r="AMW4" s="345"/>
      <c r="AMX4" s="345"/>
      <c r="AMY4" s="345"/>
      <c r="AMZ4" s="345"/>
      <c r="ANA4" s="345"/>
      <c r="ANB4" s="345"/>
      <c r="ANC4" s="345"/>
      <c r="AND4" s="345"/>
      <c r="ANE4" s="345"/>
      <c r="ANF4" s="345"/>
      <c r="ANG4" s="345"/>
      <c r="ANH4" s="345"/>
      <c r="ANI4" s="345"/>
      <c r="ANJ4" s="345"/>
      <c r="ANK4" s="345"/>
      <c r="ANL4" s="345"/>
      <c r="ANM4" s="345"/>
      <c r="ANN4" s="345"/>
      <c r="ANO4" s="345"/>
      <c r="ANP4" s="345"/>
      <c r="ANQ4" s="345"/>
      <c r="ANR4" s="345"/>
      <c r="ANS4" s="345"/>
      <c r="ANT4" s="345"/>
      <c r="ANU4" s="345"/>
      <c r="ANV4" s="345"/>
      <c r="ANW4" s="345"/>
      <c r="ANX4" s="345"/>
      <c r="ANY4" s="345"/>
      <c r="ANZ4" s="345"/>
      <c r="AOA4" s="345"/>
      <c r="AOB4" s="345"/>
      <c r="AOC4" s="345"/>
      <c r="AOD4" s="345"/>
      <c r="AOE4" s="345"/>
      <c r="AOF4" s="345"/>
      <c r="AOG4" s="345"/>
      <c r="AOH4" s="345"/>
      <c r="AOI4" s="345"/>
      <c r="AOJ4" s="345"/>
      <c r="AOK4" s="345"/>
      <c r="AOL4" s="345"/>
      <c r="AOM4" s="345"/>
      <c r="AON4" s="345"/>
      <c r="AOO4" s="345"/>
      <c r="AOP4" s="345"/>
      <c r="AOQ4" s="345"/>
      <c r="AOR4" s="345"/>
      <c r="AOS4" s="345"/>
      <c r="AOT4" s="345"/>
      <c r="AOU4" s="345"/>
      <c r="AOV4" s="345"/>
      <c r="AOW4" s="345"/>
      <c r="AOX4" s="345"/>
      <c r="AOY4" s="345"/>
      <c r="AOZ4" s="345"/>
      <c r="APA4" s="345"/>
      <c r="APB4" s="345"/>
      <c r="APC4" s="345"/>
      <c r="APD4" s="345"/>
      <c r="APE4" s="345"/>
      <c r="APF4" s="345"/>
      <c r="APG4" s="345"/>
      <c r="APH4" s="345"/>
      <c r="API4" s="345"/>
      <c r="APJ4" s="345"/>
      <c r="APK4" s="345"/>
      <c r="APL4" s="345"/>
      <c r="APM4" s="345"/>
      <c r="APN4" s="345"/>
      <c r="APO4" s="345"/>
      <c r="APP4" s="345"/>
      <c r="APQ4" s="345"/>
      <c r="APR4" s="345"/>
      <c r="APS4" s="345"/>
      <c r="APT4" s="345"/>
      <c r="APU4" s="345"/>
      <c r="APV4" s="345"/>
      <c r="APW4" s="345"/>
      <c r="APX4" s="345"/>
      <c r="APY4" s="345"/>
      <c r="APZ4" s="345"/>
      <c r="AQA4" s="345"/>
      <c r="AQB4" s="345"/>
      <c r="AQC4" s="345"/>
      <c r="AQD4" s="345"/>
      <c r="AQE4" s="345"/>
      <c r="AQF4" s="345"/>
      <c r="AQG4" s="345"/>
      <c r="AQH4" s="345"/>
      <c r="AQI4" s="345"/>
      <c r="AQJ4" s="345"/>
      <c r="AQK4" s="345"/>
      <c r="AQL4" s="345"/>
      <c r="AQM4" s="345"/>
      <c r="AQN4" s="345"/>
      <c r="AQO4" s="345"/>
      <c r="AQP4" s="345"/>
      <c r="AQQ4" s="345"/>
      <c r="AQR4" s="345"/>
      <c r="AQS4" s="345"/>
      <c r="AQT4" s="345"/>
      <c r="AQU4" s="345"/>
      <c r="AQV4" s="345"/>
      <c r="AQW4" s="345"/>
      <c r="AQX4" s="345"/>
      <c r="AQY4" s="345"/>
      <c r="AQZ4" s="345"/>
      <c r="ARA4" s="345"/>
      <c r="ARB4" s="345"/>
      <c r="ARC4" s="345"/>
      <c r="ARD4" s="345"/>
      <c r="ARE4" s="345"/>
      <c r="ARF4" s="345"/>
      <c r="ARG4" s="345"/>
      <c r="ARH4" s="345"/>
      <c r="ARI4" s="345"/>
      <c r="ARJ4" s="345"/>
      <c r="ARK4" s="345"/>
      <c r="ARL4" s="345"/>
      <c r="ARM4" s="345"/>
      <c r="ARN4" s="345"/>
      <c r="ARO4" s="345"/>
      <c r="ARP4" s="345"/>
      <c r="ARQ4" s="345"/>
      <c r="ARR4" s="345"/>
      <c r="ARS4" s="345"/>
      <c r="ART4" s="345"/>
      <c r="ARU4" s="345"/>
      <c r="ARV4" s="345"/>
      <c r="ARW4" s="345"/>
      <c r="ARX4" s="345"/>
      <c r="ARY4" s="345"/>
      <c r="ARZ4" s="345"/>
      <c r="ASA4" s="345"/>
      <c r="ASB4" s="345"/>
      <c r="ASC4" s="345"/>
      <c r="ASD4" s="345"/>
      <c r="ASE4" s="345"/>
      <c r="ASF4" s="345"/>
      <c r="ASG4" s="345"/>
      <c r="ASH4" s="345"/>
      <c r="ASI4" s="345"/>
      <c r="ASJ4" s="345"/>
      <c r="ASK4" s="345"/>
      <c r="ASL4" s="345"/>
      <c r="ASM4" s="345"/>
      <c r="ASN4" s="345"/>
      <c r="ASO4" s="345"/>
      <c r="ASP4" s="345"/>
      <c r="ASQ4" s="345"/>
      <c r="ASR4" s="345"/>
      <c r="ASS4" s="345"/>
      <c r="AST4" s="345"/>
      <c r="ASU4" s="345"/>
      <c r="ASV4" s="345"/>
      <c r="ASW4" s="345"/>
      <c r="ASX4" s="345"/>
      <c r="ASY4" s="345"/>
      <c r="ASZ4" s="345"/>
      <c r="ATA4" s="345"/>
      <c r="ATB4" s="345"/>
      <c r="ATC4" s="345"/>
      <c r="ATD4" s="345"/>
      <c r="ATE4" s="345"/>
      <c r="ATF4" s="345"/>
      <c r="ATG4" s="345"/>
      <c r="ATH4" s="345"/>
      <c r="ATI4" s="345"/>
      <c r="ATJ4" s="345"/>
      <c r="ATK4" s="345"/>
      <c r="ATL4" s="345"/>
      <c r="ATM4" s="345"/>
      <c r="ATN4" s="345"/>
      <c r="ATO4" s="345"/>
    </row>
    <row r="5" spans="1:1211" ht="18" customHeight="1">
      <c r="A5" s="2602" t="s">
        <v>4952</v>
      </c>
      <c r="B5" s="1627"/>
      <c r="C5" s="1493" t="s">
        <v>549</v>
      </c>
      <c r="D5" s="1494">
        <v>3.4</v>
      </c>
      <c r="E5" s="2608">
        <f ca="1">TODAY()</f>
        <v>44046</v>
      </c>
      <c r="F5" s="2609"/>
      <c r="G5" s="2584" t="s">
        <v>40</v>
      </c>
      <c r="H5" s="2585"/>
      <c r="I5" s="2604" t="str">
        <f>IF(D5=1,"DOLARES","SOLES")</f>
        <v>SOLES</v>
      </c>
      <c r="J5" s="2605"/>
      <c r="K5" s="2588" t="s">
        <v>3402</v>
      </c>
      <c r="L5" s="2589"/>
      <c r="M5" s="2589"/>
      <c r="N5" s="2589"/>
      <c r="O5" s="1631">
        <v>952565</v>
      </c>
    </row>
    <row r="6" spans="1:1211" s="22" customFormat="1" ht="24.95" customHeight="1" thickBot="1">
      <c r="A6" s="2603"/>
      <c r="B6" s="1628"/>
      <c r="C6" s="1485" t="s">
        <v>447</v>
      </c>
      <c r="D6" s="1486">
        <v>0.25</v>
      </c>
      <c r="E6" s="2610"/>
      <c r="F6" s="2611"/>
      <c r="G6" s="2586"/>
      <c r="H6" s="2587"/>
      <c r="I6" s="1487" t="str">
        <f>IF(D5=1,"$","S/.")</f>
        <v>S/.</v>
      </c>
      <c r="J6" s="1488">
        <f>SUM(J11:J849)</f>
        <v>138742</v>
      </c>
      <c r="K6" s="2590" t="s">
        <v>3403</v>
      </c>
      <c r="L6" s="2591"/>
      <c r="M6" s="2591"/>
      <c r="N6" s="2591"/>
      <c r="O6" s="1632">
        <f>(J6-O5)/O5</f>
        <v>-0.85434904704665826</v>
      </c>
      <c r="P6" s="126"/>
      <c r="Q6" s="1481"/>
      <c r="R6" s="126"/>
      <c r="S6" s="126"/>
      <c r="T6" s="126"/>
      <c r="U6" s="126"/>
      <c r="V6" s="126"/>
      <c r="W6" s="126"/>
      <c r="X6" s="126"/>
      <c r="Y6" s="126"/>
      <c r="Z6" s="126"/>
      <c r="AA6" s="126"/>
      <c r="AB6" s="126"/>
      <c r="AC6" s="126"/>
      <c r="AD6" s="126"/>
      <c r="AE6" s="126"/>
      <c r="AF6" s="126"/>
      <c r="AG6" s="126"/>
      <c r="AH6" s="126"/>
      <c r="AI6" s="126"/>
      <c r="AJ6" s="126"/>
      <c r="AK6" s="126"/>
      <c r="AL6" s="126"/>
      <c r="AM6" s="126"/>
      <c r="AN6" s="126"/>
      <c r="AO6" s="126"/>
      <c r="AP6" s="126"/>
      <c r="AQ6" s="126"/>
      <c r="AR6" s="126"/>
      <c r="AS6" s="126"/>
      <c r="AT6" s="126"/>
      <c r="AU6" s="126"/>
      <c r="AV6" s="126"/>
      <c r="AW6" s="126"/>
      <c r="AX6" s="126"/>
      <c r="AY6" s="126"/>
      <c r="AZ6" s="126"/>
      <c r="BA6" s="126"/>
      <c r="BB6" s="126"/>
      <c r="BC6" s="126"/>
      <c r="BD6" s="126"/>
      <c r="BE6" s="126"/>
      <c r="BF6" s="126"/>
      <c r="BG6" s="126"/>
      <c r="BH6" s="126"/>
      <c r="BI6" s="126"/>
      <c r="BJ6" s="126"/>
      <c r="BK6" s="126"/>
      <c r="BL6" s="126"/>
      <c r="BM6" s="126"/>
      <c r="BN6" s="126"/>
      <c r="BO6" s="126"/>
      <c r="BP6" s="126"/>
      <c r="BQ6" s="126"/>
      <c r="BR6" s="126"/>
      <c r="BS6" s="126"/>
      <c r="BT6" s="126"/>
      <c r="BU6" s="126"/>
      <c r="BV6" s="126"/>
      <c r="BW6" s="126"/>
      <c r="BX6" s="126"/>
      <c r="BY6" s="126"/>
      <c r="BZ6" s="126"/>
      <c r="CA6" s="126"/>
      <c r="CB6" s="126"/>
      <c r="CC6" s="126"/>
      <c r="CD6" s="126"/>
      <c r="CE6" s="126"/>
      <c r="CF6" s="126"/>
      <c r="CG6" s="126"/>
      <c r="CH6" s="126"/>
      <c r="CI6" s="126"/>
      <c r="CJ6" s="126"/>
      <c r="CK6" s="126"/>
      <c r="CL6" s="126"/>
      <c r="CM6" s="126"/>
      <c r="CN6" s="126"/>
      <c r="CO6" s="126"/>
      <c r="CP6" s="126"/>
      <c r="CQ6" s="126"/>
      <c r="CR6" s="126"/>
      <c r="CS6" s="126"/>
      <c r="CT6" s="126"/>
      <c r="CU6" s="126"/>
      <c r="CV6" s="126"/>
      <c r="CW6" s="126"/>
      <c r="CX6" s="126"/>
      <c r="CY6" s="126"/>
      <c r="CZ6" s="126"/>
      <c r="DA6" s="126"/>
      <c r="DB6" s="126"/>
      <c r="DC6" s="126"/>
      <c r="DD6" s="126"/>
      <c r="DE6" s="126"/>
      <c r="DF6" s="126"/>
      <c r="DG6" s="126"/>
      <c r="DH6" s="126"/>
      <c r="DI6" s="126"/>
      <c r="DJ6" s="126"/>
      <c r="DK6" s="126"/>
      <c r="DL6" s="126"/>
      <c r="DM6" s="126"/>
      <c r="DN6" s="126"/>
      <c r="DO6" s="126"/>
      <c r="DP6" s="126"/>
      <c r="DQ6" s="126"/>
      <c r="DR6" s="126"/>
      <c r="DS6" s="126"/>
      <c r="DT6" s="126"/>
      <c r="DU6" s="126"/>
      <c r="DV6" s="126"/>
      <c r="DW6" s="126"/>
      <c r="DX6" s="126"/>
      <c r="DY6" s="126"/>
      <c r="DZ6" s="126"/>
      <c r="EA6" s="126"/>
      <c r="EB6" s="126"/>
      <c r="EC6" s="126"/>
      <c r="ED6" s="126"/>
      <c r="EE6" s="126"/>
      <c r="EF6" s="126"/>
      <c r="EG6" s="126"/>
      <c r="EH6" s="126"/>
      <c r="EI6" s="126"/>
      <c r="EJ6" s="126"/>
      <c r="EK6" s="126"/>
      <c r="EL6" s="126"/>
      <c r="EM6" s="126"/>
      <c r="EN6" s="126"/>
      <c r="EO6" s="126"/>
      <c r="EP6" s="126"/>
      <c r="EQ6" s="126"/>
      <c r="ER6" s="126"/>
      <c r="ES6" s="126"/>
      <c r="ET6" s="126"/>
      <c r="EU6" s="126"/>
      <c r="EV6" s="126"/>
      <c r="EW6" s="126"/>
      <c r="EX6" s="126"/>
      <c r="EY6" s="126"/>
      <c r="EZ6" s="126"/>
      <c r="FA6" s="126"/>
      <c r="FB6" s="126"/>
      <c r="FC6" s="126"/>
      <c r="FD6" s="126"/>
      <c r="FE6" s="126"/>
      <c r="FF6" s="126"/>
      <c r="FG6" s="126"/>
      <c r="FH6" s="126"/>
      <c r="FI6" s="126"/>
      <c r="FJ6" s="126"/>
      <c r="FK6" s="126"/>
      <c r="FL6" s="126"/>
      <c r="FM6" s="126"/>
      <c r="FN6" s="126"/>
      <c r="FO6" s="126"/>
      <c r="FP6" s="126"/>
      <c r="FQ6" s="126"/>
      <c r="FR6" s="126"/>
      <c r="FS6" s="126"/>
      <c r="FT6" s="126"/>
      <c r="FU6" s="126"/>
      <c r="FV6" s="126"/>
      <c r="FW6" s="126"/>
      <c r="FX6" s="126"/>
      <c r="FY6" s="126"/>
      <c r="FZ6" s="126"/>
      <c r="GA6" s="126"/>
      <c r="GB6" s="126"/>
      <c r="GC6" s="126"/>
      <c r="GD6" s="126"/>
      <c r="GE6" s="126"/>
      <c r="GF6" s="126"/>
      <c r="GG6" s="126"/>
      <c r="GH6" s="126"/>
      <c r="GI6" s="126"/>
      <c r="GJ6" s="126"/>
      <c r="GK6" s="126"/>
      <c r="GL6" s="126"/>
      <c r="GM6" s="126"/>
      <c r="GN6" s="126"/>
      <c r="GO6" s="126"/>
      <c r="GP6" s="126"/>
      <c r="GQ6" s="126"/>
      <c r="GR6" s="126"/>
      <c r="GS6" s="126"/>
      <c r="GT6" s="126"/>
      <c r="GU6" s="126"/>
      <c r="GV6" s="126"/>
      <c r="GW6" s="126"/>
      <c r="GX6" s="126"/>
      <c r="GY6" s="126"/>
      <c r="GZ6" s="126"/>
      <c r="HA6" s="126"/>
      <c r="HB6" s="126"/>
      <c r="HC6" s="126"/>
      <c r="HD6" s="126"/>
      <c r="HE6" s="126"/>
      <c r="HF6" s="126"/>
      <c r="HG6" s="126"/>
      <c r="HH6" s="126"/>
      <c r="HI6" s="126"/>
      <c r="HJ6" s="126"/>
      <c r="HK6" s="126"/>
      <c r="HL6" s="126"/>
      <c r="HM6" s="126"/>
      <c r="HN6" s="126"/>
      <c r="HO6" s="126"/>
      <c r="HP6" s="126"/>
      <c r="HQ6" s="126"/>
      <c r="HR6" s="126"/>
      <c r="HS6" s="126"/>
      <c r="HT6" s="126"/>
      <c r="HU6" s="126"/>
      <c r="HV6" s="126"/>
      <c r="HW6" s="126"/>
      <c r="HX6" s="126"/>
      <c r="HY6" s="126"/>
      <c r="HZ6" s="126"/>
      <c r="IA6" s="126"/>
      <c r="IB6" s="126"/>
      <c r="IC6" s="126"/>
      <c r="ID6" s="126"/>
      <c r="IE6" s="126"/>
      <c r="IF6" s="126"/>
      <c r="IG6" s="126"/>
      <c r="IH6" s="126"/>
      <c r="II6" s="126"/>
      <c r="IJ6" s="126"/>
      <c r="IK6" s="126"/>
      <c r="IL6" s="126"/>
      <c r="IM6" s="126"/>
      <c r="IN6" s="126"/>
      <c r="IO6" s="126"/>
      <c r="IP6" s="126"/>
      <c r="IQ6" s="126"/>
      <c r="IR6" s="126"/>
      <c r="IS6" s="126"/>
      <c r="IT6" s="126"/>
      <c r="IU6" s="126"/>
      <c r="IV6" s="126"/>
      <c r="IW6" s="126"/>
      <c r="IX6" s="126"/>
      <c r="IY6" s="126"/>
      <c r="IZ6" s="126"/>
      <c r="JA6" s="126"/>
      <c r="JB6" s="126"/>
      <c r="JC6" s="126"/>
      <c r="JD6" s="126"/>
      <c r="JE6" s="126"/>
      <c r="JF6" s="126"/>
      <c r="JG6" s="126"/>
      <c r="JH6" s="126"/>
      <c r="JI6" s="126"/>
      <c r="JJ6" s="126"/>
      <c r="JK6" s="126"/>
      <c r="JL6" s="126"/>
      <c r="JM6" s="126"/>
      <c r="JN6" s="126"/>
      <c r="JO6" s="126"/>
      <c r="JP6" s="126"/>
      <c r="JQ6" s="126"/>
      <c r="JR6" s="126"/>
      <c r="JS6" s="126"/>
      <c r="JT6" s="126"/>
      <c r="JU6" s="126"/>
      <c r="JV6" s="126"/>
      <c r="JW6" s="126"/>
      <c r="JX6" s="126"/>
      <c r="JY6" s="126"/>
      <c r="JZ6" s="126"/>
      <c r="KA6" s="126"/>
      <c r="KB6" s="126"/>
      <c r="KC6" s="126"/>
      <c r="KD6" s="126"/>
      <c r="KE6" s="126"/>
      <c r="KF6" s="126"/>
      <c r="KG6" s="126"/>
      <c r="KH6" s="126"/>
      <c r="KI6" s="126"/>
      <c r="KJ6" s="126"/>
      <c r="KK6" s="126"/>
      <c r="KL6" s="126"/>
      <c r="KM6" s="126"/>
      <c r="KN6" s="126"/>
      <c r="KO6" s="126"/>
      <c r="KP6" s="126"/>
      <c r="KQ6" s="126"/>
      <c r="KR6" s="126"/>
      <c r="KS6" s="126"/>
      <c r="KT6" s="126"/>
      <c r="KU6" s="126"/>
      <c r="KV6" s="126"/>
      <c r="KW6" s="126"/>
      <c r="KX6" s="126"/>
      <c r="KY6" s="126"/>
      <c r="KZ6" s="126"/>
      <c r="LA6" s="126"/>
      <c r="LB6" s="126"/>
      <c r="LC6" s="126"/>
      <c r="LD6" s="126"/>
      <c r="LE6" s="126"/>
      <c r="LF6" s="126"/>
      <c r="LG6" s="126"/>
      <c r="LH6" s="126"/>
      <c r="LI6" s="126"/>
      <c r="LJ6" s="126"/>
      <c r="LK6" s="126"/>
      <c r="LL6" s="126"/>
      <c r="LM6" s="126"/>
      <c r="LN6" s="126"/>
      <c r="LO6" s="126"/>
      <c r="LP6" s="126"/>
      <c r="LQ6" s="126"/>
      <c r="LR6" s="126"/>
      <c r="LS6" s="126"/>
      <c r="LT6" s="126"/>
      <c r="LU6" s="126"/>
      <c r="LV6" s="126"/>
      <c r="LW6" s="126"/>
      <c r="LX6" s="126"/>
      <c r="LY6" s="126"/>
      <c r="LZ6" s="126"/>
      <c r="MA6" s="126"/>
      <c r="MB6" s="126"/>
      <c r="MC6" s="126"/>
      <c r="MD6" s="126"/>
      <c r="ME6" s="126"/>
      <c r="MF6" s="126"/>
      <c r="MG6" s="126"/>
      <c r="MH6" s="126"/>
      <c r="MI6" s="126"/>
      <c r="MJ6" s="126"/>
      <c r="MK6" s="126"/>
      <c r="ML6" s="126"/>
      <c r="MM6" s="126"/>
      <c r="MN6" s="126"/>
      <c r="MO6" s="126"/>
      <c r="MP6" s="126"/>
      <c r="MQ6" s="126"/>
      <c r="MR6" s="126"/>
      <c r="MS6" s="126"/>
      <c r="MT6" s="126"/>
      <c r="MU6" s="126"/>
      <c r="MV6" s="126"/>
      <c r="MW6" s="126"/>
      <c r="MX6" s="126"/>
      <c r="MY6" s="126"/>
      <c r="MZ6" s="126"/>
      <c r="NA6" s="126"/>
      <c r="NB6" s="126"/>
      <c r="NC6" s="126"/>
      <c r="ND6" s="126"/>
      <c r="NE6" s="126"/>
      <c r="NF6" s="126"/>
      <c r="NG6" s="126"/>
      <c r="NH6" s="126"/>
      <c r="NI6" s="126"/>
      <c r="NJ6" s="126"/>
      <c r="NK6" s="126"/>
      <c r="NL6" s="126"/>
      <c r="NM6" s="126"/>
      <c r="NN6" s="126"/>
      <c r="NO6" s="126"/>
      <c r="NP6" s="126"/>
      <c r="NQ6" s="126"/>
      <c r="NR6" s="126"/>
      <c r="NS6" s="126"/>
      <c r="NT6" s="126"/>
      <c r="NU6" s="126"/>
      <c r="NV6" s="126"/>
      <c r="NW6" s="126"/>
      <c r="NX6" s="126"/>
      <c r="NY6" s="126"/>
      <c r="NZ6" s="126"/>
      <c r="OA6" s="126"/>
      <c r="OB6" s="126"/>
      <c r="OC6" s="126"/>
      <c r="OD6" s="126"/>
      <c r="OE6" s="126"/>
      <c r="OF6" s="126"/>
      <c r="OG6" s="126"/>
      <c r="OH6" s="126"/>
      <c r="OI6" s="126"/>
      <c r="OJ6" s="126"/>
      <c r="OK6" s="126"/>
      <c r="OL6" s="126"/>
      <c r="OM6" s="126"/>
      <c r="ON6" s="126"/>
      <c r="OO6" s="126"/>
      <c r="OP6" s="126"/>
      <c r="OQ6" s="126"/>
      <c r="OR6" s="126"/>
      <c r="OS6" s="126"/>
      <c r="OT6" s="126"/>
      <c r="OU6" s="126"/>
      <c r="OV6" s="126"/>
      <c r="OW6" s="126"/>
      <c r="OX6" s="126"/>
      <c r="OY6" s="126"/>
      <c r="OZ6" s="126"/>
      <c r="PA6" s="126"/>
      <c r="PB6" s="126"/>
      <c r="PC6" s="126"/>
      <c r="PD6" s="126"/>
      <c r="PE6" s="126"/>
      <c r="PF6" s="126"/>
      <c r="PG6" s="126"/>
      <c r="PH6" s="126"/>
      <c r="PI6" s="126"/>
      <c r="PJ6" s="126"/>
      <c r="PK6" s="126"/>
      <c r="PL6" s="126"/>
      <c r="PM6" s="126"/>
      <c r="PN6" s="126"/>
      <c r="PO6" s="126"/>
      <c r="PP6" s="126"/>
      <c r="PQ6" s="126"/>
      <c r="PR6" s="126"/>
      <c r="PS6" s="126"/>
      <c r="PT6" s="126"/>
      <c r="PU6" s="126"/>
      <c r="PV6" s="126"/>
      <c r="PW6" s="126"/>
      <c r="PX6" s="126"/>
      <c r="PY6" s="126"/>
      <c r="PZ6" s="126"/>
      <c r="QA6" s="126"/>
      <c r="QB6" s="126"/>
      <c r="QC6" s="126"/>
      <c r="QD6" s="126"/>
      <c r="QE6" s="126"/>
      <c r="QF6" s="126"/>
      <c r="QG6" s="126"/>
      <c r="QH6" s="126"/>
      <c r="QI6" s="126"/>
      <c r="QJ6" s="126"/>
      <c r="QK6" s="126"/>
      <c r="QL6" s="126"/>
      <c r="QM6" s="126"/>
      <c r="QN6" s="126"/>
      <c r="QO6" s="126"/>
      <c r="QP6" s="126"/>
      <c r="QQ6" s="126"/>
      <c r="QR6" s="126"/>
      <c r="QS6" s="126"/>
      <c r="QT6" s="126"/>
      <c r="QU6" s="126"/>
      <c r="QV6" s="126"/>
      <c r="QW6" s="126"/>
      <c r="QX6" s="126"/>
      <c r="QY6" s="126"/>
      <c r="QZ6" s="126"/>
      <c r="RA6" s="126"/>
      <c r="RB6" s="126"/>
      <c r="RC6" s="126"/>
      <c r="RD6" s="126"/>
      <c r="RE6" s="126"/>
      <c r="RF6" s="126"/>
      <c r="RG6" s="126"/>
      <c r="RH6" s="126"/>
      <c r="RI6" s="126"/>
      <c r="RJ6" s="126"/>
      <c r="RK6" s="126"/>
      <c r="RL6" s="126"/>
      <c r="RM6" s="126"/>
      <c r="RN6" s="126"/>
      <c r="RO6" s="126"/>
      <c r="RP6" s="126"/>
      <c r="RQ6" s="126"/>
      <c r="RR6" s="126"/>
      <c r="RS6" s="126"/>
      <c r="RT6" s="126"/>
      <c r="RU6" s="126"/>
      <c r="RV6" s="126"/>
      <c r="RW6" s="126"/>
      <c r="RX6" s="126"/>
      <c r="RY6" s="126"/>
      <c r="RZ6" s="126"/>
      <c r="SA6" s="126"/>
      <c r="SB6" s="126"/>
      <c r="SC6" s="126"/>
      <c r="SD6" s="126"/>
      <c r="SE6" s="126"/>
      <c r="SF6" s="126"/>
      <c r="SG6" s="126"/>
      <c r="SH6" s="126"/>
      <c r="SI6" s="126"/>
      <c r="SJ6" s="126"/>
      <c r="SK6" s="126"/>
      <c r="SL6" s="126"/>
      <c r="SM6" s="126"/>
      <c r="SN6" s="126"/>
      <c r="SO6" s="126"/>
      <c r="SP6" s="126"/>
      <c r="SQ6" s="126"/>
      <c r="SR6" s="126"/>
      <c r="SS6" s="126"/>
      <c r="ST6" s="126"/>
      <c r="SU6" s="126"/>
      <c r="SV6" s="126"/>
      <c r="SW6" s="126"/>
      <c r="SX6" s="126"/>
      <c r="SY6" s="126"/>
      <c r="SZ6" s="126"/>
      <c r="TA6" s="126"/>
      <c r="TB6" s="126"/>
      <c r="TC6" s="126"/>
      <c r="TD6" s="126"/>
      <c r="TE6" s="126"/>
      <c r="TF6" s="126"/>
      <c r="TG6" s="126"/>
      <c r="TH6" s="126"/>
      <c r="TI6" s="126"/>
      <c r="TJ6" s="126"/>
      <c r="TK6" s="126"/>
      <c r="TL6" s="126"/>
      <c r="TM6" s="126"/>
      <c r="TN6" s="126"/>
      <c r="TO6" s="126"/>
      <c r="TP6" s="126"/>
      <c r="TQ6" s="126"/>
      <c r="TR6" s="126"/>
      <c r="TS6" s="126"/>
      <c r="TT6" s="126"/>
      <c r="TU6" s="126"/>
      <c r="TV6" s="126"/>
      <c r="TW6" s="126"/>
      <c r="TX6" s="126"/>
      <c r="TY6" s="126"/>
      <c r="TZ6" s="126"/>
      <c r="UA6" s="126"/>
      <c r="UB6" s="126"/>
      <c r="UC6" s="126"/>
      <c r="UD6" s="126"/>
      <c r="UE6" s="126"/>
      <c r="UF6" s="126"/>
      <c r="UG6" s="126"/>
      <c r="UH6" s="126"/>
      <c r="UI6" s="126"/>
      <c r="UJ6" s="126"/>
      <c r="UK6" s="126"/>
      <c r="UL6" s="126"/>
      <c r="UM6" s="126"/>
      <c r="UN6" s="126"/>
      <c r="UO6" s="126"/>
      <c r="UP6" s="126"/>
      <c r="UQ6" s="126"/>
      <c r="UR6" s="126"/>
      <c r="US6" s="126"/>
      <c r="UT6" s="126"/>
      <c r="UU6" s="126"/>
      <c r="UV6" s="126"/>
      <c r="UW6" s="126"/>
      <c r="UX6" s="126"/>
      <c r="UY6" s="126"/>
      <c r="UZ6" s="126"/>
      <c r="VA6" s="126"/>
      <c r="VB6" s="126"/>
      <c r="VC6" s="126"/>
      <c r="VD6" s="126"/>
      <c r="VE6" s="126"/>
      <c r="VF6" s="126"/>
      <c r="VG6" s="126"/>
      <c r="VH6" s="126"/>
      <c r="VI6" s="126"/>
      <c r="VJ6" s="126"/>
      <c r="VK6" s="126"/>
      <c r="VL6" s="126"/>
      <c r="VM6" s="126"/>
      <c r="VN6" s="126"/>
      <c r="VO6" s="126"/>
      <c r="VP6" s="126"/>
      <c r="VQ6" s="126"/>
      <c r="VR6" s="126"/>
      <c r="VS6" s="126"/>
      <c r="VT6" s="126"/>
      <c r="VU6" s="126"/>
      <c r="VV6" s="126"/>
      <c r="VW6" s="126"/>
      <c r="VX6" s="126"/>
      <c r="VY6" s="126"/>
      <c r="VZ6" s="126"/>
      <c r="WA6" s="126"/>
      <c r="WB6" s="126"/>
      <c r="WC6" s="126"/>
      <c r="WD6" s="126"/>
      <c r="WE6" s="126"/>
      <c r="WF6" s="126"/>
      <c r="WG6" s="126"/>
      <c r="WH6" s="126"/>
      <c r="WI6" s="126"/>
      <c r="WJ6" s="126"/>
      <c r="WK6" s="126"/>
      <c r="WL6" s="126"/>
      <c r="WM6" s="126"/>
      <c r="WN6" s="126"/>
      <c r="WO6" s="126"/>
      <c r="WP6" s="126"/>
      <c r="WQ6" s="126"/>
      <c r="WR6" s="126"/>
      <c r="WS6" s="126"/>
      <c r="WT6" s="126"/>
      <c r="WU6" s="126"/>
      <c r="WV6" s="126"/>
      <c r="WW6" s="126"/>
      <c r="WX6" s="126"/>
      <c r="WY6" s="126"/>
      <c r="WZ6" s="126"/>
      <c r="XA6" s="126"/>
      <c r="XB6" s="126"/>
      <c r="XC6" s="126"/>
      <c r="XD6" s="126"/>
      <c r="XE6" s="126"/>
      <c r="XF6" s="126"/>
      <c r="XG6" s="126"/>
      <c r="XH6" s="126"/>
      <c r="XI6" s="126"/>
      <c r="XJ6" s="126"/>
      <c r="XK6" s="126"/>
      <c r="XL6" s="126"/>
      <c r="XM6" s="126"/>
      <c r="XN6" s="126"/>
      <c r="XO6" s="126"/>
      <c r="XP6" s="126"/>
      <c r="XQ6" s="126"/>
      <c r="XR6" s="126"/>
      <c r="XS6" s="126"/>
      <c r="XT6" s="126"/>
      <c r="XU6" s="126"/>
      <c r="XV6" s="126"/>
      <c r="XW6" s="126"/>
      <c r="XX6" s="126"/>
      <c r="XY6" s="126"/>
      <c r="XZ6" s="126"/>
      <c r="YA6" s="126"/>
      <c r="YB6" s="126"/>
      <c r="YC6" s="126"/>
      <c r="YD6" s="126"/>
      <c r="YE6" s="126"/>
      <c r="YF6" s="126"/>
      <c r="YG6" s="126"/>
      <c r="YH6" s="126"/>
      <c r="YI6" s="126"/>
      <c r="YJ6" s="126"/>
      <c r="YK6" s="126"/>
      <c r="YL6" s="126"/>
      <c r="YM6" s="126"/>
      <c r="YN6" s="126"/>
      <c r="YO6" s="126"/>
      <c r="YP6" s="126"/>
      <c r="YQ6" s="126"/>
      <c r="YR6" s="126"/>
      <c r="YS6" s="126"/>
      <c r="YT6" s="126"/>
      <c r="YU6" s="126"/>
      <c r="YV6" s="126"/>
      <c r="YW6" s="126"/>
      <c r="YX6" s="126"/>
      <c r="YY6" s="126"/>
      <c r="YZ6" s="126"/>
      <c r="ZA6" s="126"/>
      <c r="ZB6" s="126"/>
      <c r="ZC6" s="126"/>
      <c r="ZD6" s="126"/>
      <c r="ZE6" s="126"/>
      <c r="ZF6" s="126"/>
      <c r="ZG6" s="126"/>
      <c r="ZH6" s="126"/>
      <c r="ZI6" s="126"/>
      <c r="ZJ6" s="126"/>
      <c r="ZK6" s="126"/>
      <c r="ZL6" s="126"/>
      <c r="ZM6" s="126"/>
      <c r="ZN6" s="126"/>
      <c r="ZO6" s="126"/>
      <c r="ZP6" s="126"/>
      <c r="ZQ6" s="126"/>
      <c r="ZR6" s="126"/>
      <c r="ZS6" s="126"/>
      <c r="ZT6" s="126"/>
      <c r="ZU6" s="126"/>
      <c r="ZV6" s="126"/>
      <c r="ZW6" s="126"/>
      <c r="ZX6" s="126"/>
      <c r="ZY6" s="126"/>
      <c r="ZZ6" s="126"/>
      <c r="AAA6" s="126"/>
      <c r="AAB6" s="126"/>
      <c r="AAC6" s="126"/>
      <c r="AAD6" s="126"/>
      <c r="AAE6" s="126"/>
      <c r="AAF6" s="126"/>
      <c r="AAG6" s="126"/>
      <c r="AAH6" s="126"/>
      <c r="AAI6" s="126"/>
      <c r="AAJ6" s="126"/>
      <c r="AAK6" s="126"/>
      <c r="AAL6" s="126"/>
      <c r="AAM6" s="126"/>
      <c r="AAN6" s="126"/>
      <c r="AAO6" s="126"/>
      <c r="AAP6" s="126"/>
      <c r="AAQ6" s="126"/>
      <c r="AAR6" s="126"/>
      <c r="AAS6" s="126"/>
      <c r="AAT6" s="126"/>
      <c r="AAU6" s="126"/>
      <c r="AAV6" s="126"/>
      <c r="AAW6" s="126"/>
      <c r="AAX6" s="126"/>
      <c r="AAY6" s="126"/>
      <c r="AAZ6" s="126"/>
      <c r="ABA6" s="126"/>
      <c r="ABB6" s="126"/>
      <c r="ABC6" s="126"/>
      <c r="ABD6" s="126"/>
      <c r="ABE6" s="126"/>
      <c r="ABF6" s="126"/>
      <c r="ABG6" s="126"/>
      <c r="ABH6" s="126"/>
      <c r="ABI6" s="126"/>
      <c r="ABJ6" s="126"/>
      <c r="ABK6" s="126"/>
      <c r="ABL6" s="126"/>
      <c r="ABM6" s="126"/>
      <c r="ABN6" s="126"/>
      <c r="ABO6" s="126"/>
      <c r="ABP6" s="126"/>
      <c r="ABQ6" s="126"/>
      <c r="ABR6" s="126"/>
      <c r="ABS6" s="126"/>
      <c r="ABT6" s="126"/>
      <c r="ABU6" s="126"/>
      <c r="ABV6" s="126"/>
      <c r="ABW6" s="126"/>
      <c r="ABX6" s="126"/>
      <c r="ABY6" s="126"/>
      <c r="ABZ6" s="126"/>
      <c r="ACA6" s="126"/>
      <c r="ACB6" s="126"/>
      <c r="ACC6" s="126"/>
      <c r="ACD6" s="126"/>
      <c r="ACE6" s="126"/>
      <c r="ACF6" s="126"/>
      <c r="ACG6" s="126"/>
      <c r="ACH6" s="126"/>
      <c r="ACI6" s="126"/>
      <c r="ACJ6" s="126"/>
      <c r="ACK6" s="126"/>
      <c r="ACL6" s="126"/>
      <c r="ACM6" s="126"/>
      <c r="ACN6" s="126"/>
      <c r="ACO6" s="126"/>
      <c r="ACP6" s="126"/>
      <c r="ACQ6" s="126"/>
      <c r="ACR6" s="126"/>
      <c r="ACS6" s="126"/>
      <c r="ACT6" s="126"/>
      <c r="ACU6" s="126"/>
      <c r="ACV6" s="126"/>
      <c r="ACW6" s="126"/>
      <c r="ACX6" s="126"/>
      <c r="ACY6" s="126"/>
      <c r="ACZ6" s="126"/>
      <c r="ADA6" s="126"/>
      <c r="ADB6" s="126"/>
      <c r="ADC6" s="126"/>
      <c r="ADD6" s="126"/>
      <c r="ADE6" s="126"/>
      <c r="ADF6" s="126"/>
      <c r="ADG6" s="126"/>
      <c r="ADH6" s="126"/>
      <c r="ADI6" s="126"/>
      <c r="ADJ6" s="126"/>
      <c r="ADK6" s="126"/>
      <c r="ADL6" s="126"/>
      <c r="ADM6" s="126"/>
      <c r="ADN6" s="126"/>
      <c r="ADO6" s="126"/>
      <c r="ADP6" s="126"/>
      <c r="ADQ6" s="126"/>
      <c r="ADR6" s="126"/>
      <c r="ADS6" s="126"/>
      <c r="ADT6" s="126"/>
      <c r="ADU6" s="126"/>
      <c r="ADV6" s="126"/>
      <c r="ADW6" s="126"/>
      <c r="ADX6" s="126"/>
      <c r="ADY6" s="126"/>
      <c r="ADZ6" s="126"/>
      <c r="AEA6" s="126"/>
      <c r="AEB6" s="126"/>
      <c r="AEC6" s="126"/>
      <c r="AED6" s="126"/>
      <c r="AEE6" s="126"/>
      <c r="AEF6" s="126"/>
      <c r="AEG6" s="126"/>
      <c r="AEH6" s="126"/>
      <c r="AEI6" s="126"/>
      <c r="AEJ6" s="126"/>
      <c r="AEK6" s="126"/>
      <c r="AEL6" s="126"/>
      <c r="AEM6" s="126"/>
      <c r="AEN6" s="126"/>
      <c r="AEO6" s="126"/>
      <c r="AEP6" s="126"/>
      <c r="AEQ6" s="126"/>
      <c r="AER6" s="126"/>
      <c r="AES6" s="126"/>
      <c r="AET6" s="126"/>
      <c r="AEU6" s="126"/>
      <c r="AEV6" s="126"/>
      <c r="AEW6" s="126"/>
      <c r="AEX6" s="126"/>
      <c r="AEY6" s="126"/>
      <c r="AEZ6" s="126"/>
      <c r="AFA6" s="126"/>
      <c r="AFB6" s="126"/>
      <c r="AFC6" s="126"/>
      <c r="AFD6" s="126"/>
      <c r="AFE6" s="126"/>
      <c r="AFF6" s="126"/>
      <c r="AFG6" s="126"/>
      <c r="AFH6" s="126"/>
      <c r="AFI6" s="126"/>
      <c r="AFJ6" s="126"/>
      <c r="AFK6" s="126"/>
      <c r="AFL6" s="126"/>
      <c r="AFM6" s="126"/>
      <c r="AFN6" s="126"/>
      <c r="AFO6" s="126"/>
      <c r="AFP6" s="126"/>
      <c r="AFQ6" s="126"/>
      <c r="AFR6" s="126"/>
      <c r="AFS6" s="126"/>
      <c r="AFT6" s="126"/>
      <c r="AFU6" s="126"/>
      <c r="AFV6" s="126"/>
      <c r="AFW6" s="126"/>
      <c r="AFX6" s="126"/>
      <c r="AFY6" s="126"/>
      <c r="AFZ6" s="126"/>
      <c r="AGA6" s="126"/>
      <c r="AGB6" s="126"/>
      <c r="AGC6" s="126"/>
      <c r="AGD6" s="126"/>
      <c r="AGE6" s="126"/>
      <c r="AGF6" s="126"/>
      <c r="AGG6" s="126"/>
      <c r="AGH6" s="126"/>
      <c r="AGI6" s="126"/>
      <c r="AGJ6" s="126"/>
      <c r="AGK6" s="126"/>
      <c r="AGL6" s="126"/>
      <c r="AGM6" s="126"/>
      <c r="AGN6" s="126"/>
      <c r="AGO6" s="126"/>
      <c r="AGP6" s="126"/>
      <c r="AGQ6" s="126"/>
      <c r="AGR6" s="126"/>
      <c r="AGS6" s="126"/>
      <c r="AGT6" s="126"/>
      <c r="AGU6" s="126"/>
      <c r="AGV6" s="126"/>
      <c r="AGW6" s="126"/>
      <c r="AGX6" s="126"/>
      <c r="AGY6" s="126"/>
      <c r="AGZ6" s="126"/>
      <c r="AHA6" s="126"/>
      <c r="AHB6" s="126"/>
      <c r="AHC6" s="126"/>
      <c r="AHD6" s="126"/>
      <c r="AHE6" s="126"/>
      <c r="AHF6" s="126"/>
      <c r="AHG6" s="126"/>
      <c r="AHH6" s="126"/>
      <c r="AHI6" s="126"/>
      <c r="AHJ6" s="126"/>
      <c r="AHK6" s="126"/>
      <c r="AHL6" s="126"/>
      <c r="AHM6" s="126"/>
      <c r="AHN6" s="126"/>
      <c r="AHO6" s="126"/>
      <c r="AHP6" s="126"/>
      <c r="AHQ6" s="126"/>
      <c r="AHR6" s="126"/>
      <c r="AHS6" s="126"/>
      <c r="AHT6" s="126"/>
      <c r="AHU6" s="126"/>
      <c r="AHV6" s="126"/>
      <c r="AHW6" s="126"/>
      <c r="AHX6" s="126"/>
      <c r="AHY6" s="126"/>
      <c r="AHZ6" s="126"/>
      <c r="AIA6" s="126"/>
      <c r="AIB6" s="126"/>
      <c r="AIC6" s="126"/>
      <c r="AID6" s="126"/>
      <c r="AIE6" s="126"/>
      <c r="AIF6" s="126"/>
      <c r="AIG6" s="126"/>
      <c r="AIH6" s="126"/>
      <c r="AII6" s="126"/>
      <c r="AIJ6" s="126"/>
      <c r="AIK6" s="126"/>
      <c r="AIL6" s="126"/>
      <c r="AIM6" s="126"/>
      <c r="AIN6" s="126"/>
      <c r="AIO6" s="126"/>
      <c r="AIP6" s="126"/>
      <c r="AIQ6" s="126"/>
      <c r="AIR6" s="126"/>
      <c r="AIS6" s="126"/>
      <c r="AIT6" s="126"/>
      <c r="AIU6" s="126"/>
      <c r="AIV6" s="126"/>
      <c r="AIW6" s="126"/>
      <c r="AIX6" s="126"/>
      <c r="AIY6" s="126"/>
      <c r="AIZ6" s="126"/>
      <c r="AJA6" s="126"/>
      <c r="AJB6" s="126"/>
      <c r="AJC6" s="126"/>
      <c r="AJD6" s="126"/>
      <c r="AJE6" s="126"/>
      <c r="AJF6" s="126"/>
      <c r="AJG6" s="126"/>
      <c r="AJH6" s="126"/>
      <c r="AJI6" s="126"/>
      <c r="AJJ6" s="126"/>
      <c r="AJK6" s="126"/>
      <c r="AJL6" s="126"/>
      <c r="AJM6" s="126"/>
      <c r="AJN6" s="126"/>
      <c r="AJO6" s="126"/>
      <c r="AJP6" s="126"/>
      <c r="AJQ6" s="126"/>
      <c r="AJR6" s="126"/>
      <c r="AJS6" s="126"/>
      <c r="AJT6" s="126"/>
      <c r="AJU6" s="126"/>
      <c r="AJV6" s="126"/>
      <c r="AJW6" s="126"/>
      <c r="AJX6" s="126"/>
      <c r="AJY6" s="126"/>
      <c r="AJZ6" s="126"/>
      <c r="AKA6" s="126"/>
      <c r="AKB6" s="126"/>
      <c r="AKC6" s="126"/>
      <c r="AKD6" s="126"/>
      <c r="AKE6" s="126"/>
      <c r="AKF6" s="126"/>
      <c r="AKG6" s="126"/>
      <c r="AKH6" s="126"/>
      <c r="AKI6" s="126"/>
      <c r="AKJ6" s="126"/>
      <c r="AKK6" s="126"/>
      <c r="AKL6" s="126"/>
      <c r="AKM6" s="126"/>
      <c r="AKN6" s="126"/>
      <c r="AKO6" s="126"/>
      <c r="AKP6" s="126"/>
      <c r="AKQ6" s="126"/>
      <c r="AKR6" s="126"/>
      <c r="AKS6" s="126"/>
      <c r="AKT6" s="126"/>
      <c r="AKU6" s="126"/>
      <c r="AKV6" s="126"/>
      <c r="AKW6" s="126"/>
      <c r="AKX6" s="126"/>
      <c r="AKY6" s="126"/>
      <c r="AKZ6" s="126"/>
      <c r="ALA6" s="126"/>
      <c r="ALB6" s="126"/>
      <c r="ALC6" s="126"/>
      <c r="ALD6" s="126"/>
      <c r="ALE6" s="126"/>
      <c r="ALF6" s="126"/>
      <c r="ALG6" s="126"/>
      <c r="ALH6" s="126"/>
      <c r="ALI6" s="126"/>
      <c r="ALJ6" s="126"/>
      <c r="ALK6" s="126"/>
      <c r="ALL6" s="126"/>
      <c r="ALM6" s="126"/>
      <c r="ALN6" s="126"/>
      <c r="ALO6" s="126"/>
      <c r="ALP6" s="126"/>
      <c r="ALQ6" s="126"/>
      <c r="ALR6" s="126"/>
      <c r="ALS6" s="126"/>
      <c r="ALT6" s="126"/>
      <c r="ALU6" s="126"/>
      <c r="ALV6" s="126"/>
      <c r="ALW6" s="126"/>
      <c r="ALX6" s="126"/>
      <c r="ALY6" s="126"/>
      <c r="ALZ6" s="126"/>
      <c r="AMA6" s="126"/>
      <c r="AMB6" s="126"/>
      <c r="AMC6" s="126"/>
      <c r="AMD6" s="126"/>
      <c r="AME6" s="126"/>
      <c r="AMF6" s="126"/>
      <c r="AMG6" s="126"/>
      <c r="AMH6" s="126"/>
      <c r="AMI6" s="126"/>
      <c r="AMJ6" s="126"/>
      <c r="AMK6" s="126"/>
      <c r="AML6" s="126"/>
      <c r="AMM6" s="126"/>
      <c r="AMN6" s="126"/>
      <c r="AMO6" s="126"/>
      <c r="AMP6" s="126"/>
      <c r="AMQ6" s="126"/>
      <c r="AMR6" s="126"/>
      <c r="AMS6" s="126"/>
      <c r="AMT6" s="126"/>
      <c r="AMU6" s="126"/>
      <c r="AMV6" s="126"/>
      <c r="AMW6" s="126"/>
      <c r="AMX6" s="126"/>
      <c r="AMY6" s="126"/>
      <c r="AMZ6" s="126"/>
      <c r="ANA6" s="126"/>
      <c r="ANB6" s="126"/>
      <c r="ANC6" s="126"/>
      <c r="AND6" s="126"/>
      <c r="ANE6" s="126"/>
      <c r="ANF6" s="126"/>
      <c r="ANG6" s="126"/>
      <c r="ANH6" s="126"/>
      <c r="ANI6" s="126"/>
      <c r="ANJ6" s="126"/>
      <c r="ANK6" s="126"/>
      <c r="ANL6" s="126"/>
      <c r="ANM6" s="126"/>
      <c r="ANN6" s="126"/>
      <c r="ANO6" s="126"/>
      <c r="ANP6" s="126"/>
      <c r="ANQ6" s="126"/>
      <c r="ANR6" s="126"/>
      <c r="ANS6" s="126"/>
      <c r="ANT6" s="126"/>
      <c r="ANU6" s="126"/>
      <c r="ANV6" s="126"/>
      <c r="ANW6" s="126"/>
      <c r="ANX6" s="126"/>
      <c r="ANY6" s="126"/>
      <c r="ANZ6" s="126"/>
      <c r="AOA6" s="126"/>
      <c r="AOB6" s="126"/>
      <c r="AOC6" s="126"/>
      <c r="AOD6" s="126"/>
      <c r="AOE6" s="126"/>
      <c r="AOF6" s="126"/>
      <c r="AOG6" s="126"/>
      <c r="AOH6" s="126"/>
      <c r="AOI6" s="126"/>
      <c r="AOJ6" s="126"/>
      <c r="AOK6" s="126"/>
      <c r="AOL6" s="126"/>
      <c r="AOM6" s="126"/>
      <c r="AON6" s="126"/>
      <c r="AOO6" s="126"/>
      <c r="AOP6" s="126"/>
      <c r="AOQ6" s="126"/>
      <c r="AOR6" s="126"/>
      <c r="AOS6" s="126"/>
      <c r="AOT6" s="126"/>
      <c r="AOU6" s="126"/>
      <c r="AOV6" s="126"/>
      <c r="AOW6" s="126"/>
      <c r="AOX6" s="126"/>
      <c r="AOY6" s="126"/>
      <c r="AOZ6" s="126"/>
      <c r="APA6" s="126"/>
      <c r="APB6" s="126"/>
      <c r="APC6" s="126"/>
      <c r="APD6" s="126"/>
      <c r="APE6" s="126"/>
      <c r="APF6" s="126"/>
      <c r="APG6" s="126"/>
      <c r="APH6" s="126"/>
      <c r="API6" s="126"/>
      <c r="APJ6" s="126"/>
      <c r="APK6" s="126"/>
      <c r="APL6" s="126"/>
      <c r="APM6" s="126"/>
      <c r="APN6" s="126"/>
      <c r="APO6" s="126"/>
      <c r="APP6" s="126"/>
      <c r="APQ6" s="126"/>
      <c r="APR6" s="126"/>
      <c r="APS6" s="126"/>
      <c r="APT6" s="126"/>
      <c r="APU6" s="126"/>
      <c r="APV6" s="126"/>
      <c r="APW6" s="126"/>
      <c r="APX6" s="126"/>
      <c r="APY6" s="126"/>
      <c r="APZ6" s="126"/>
      <c r="AQA6" s="126"/>
      <c r="AQB6" s="126"/>
      <c r="AQC6" s="126"/>
      <c r="AQD6" s="126"/>
      <c r="AQE6" s="126"/>
      <c r="AQF6" s="126"/>
      <c r="AQG6" s="126"/>
      <c r="AQH6" s="126"/>
      <c r="AQI6" s="126"/>
      <c r="AQJ6" s="126"/>
      <c r="AQK6" s="126"/>
      <c r="AQL6" s="126"/>
      <c r="AQM6" s="126"/>
      <c r="AQN6" s="126"/>
      <c r="AQO6" s="126"/>
      <c r="AQP6" s="126"/>
      <c r="AQQ6" s="126"/>
      <c r="AQR6" s="126"/>
      <c r="AQS6" s="126"/>
      <c r="AQT6" s="126"/>
      <c r="AQU6" s="126"/>
      <c r="AQV6" s="126"/>
      <c r="AQW6" s="126"/>
      <c r="AQX6" s="126"/>
      <c r="AQY6" s="126"/>
      <c r="AQZ6" s="126"/>
      <c r="ARA6" s="126"/>
      <c r="ARB6" s="126"/>
      <c r="ARC6" s="126"/>
      <c r="ARD6" s="126"/>
      <c r="ARE6" s="126"/>
      <c r="ARF6" s="126"/>
      <c r="ARG6" s="126"/>
      <c r="ARH6" s="126"/>
      <c r="ARI6" s="126"/>
      <c r="ARJ6" s="126"/>
      <c r="ARK6" s="126"/>
      <c r="ARL6" s="126"/>
      <c r="ARM6" s="126"/>
      <c r="ARN6" s="126"/>
      <c r="ARO6" s="126"/>
      <c r="ARP6" s="126"/>
      <c r="ARQ6" s="126"/>
      <c r="ARR6" s="126"/>
      <c r="ARS6" s="126"/>
      <c r="ART6" s="126"/>
      <c r="ARU6" s="126"/>
      <c r="ARV6" s="126"/>
      <c r="ARW6" s="126"/>
      <c r="ARX6" s="126"/>
      <c r="ARY6" s="126"/>
      <c r="ARZ6" s="126"/>
      <c r="ASA6" s="126"/>
      <c r="ASB6" s="126"/>
      <c r="ASC6" s="126"/>
      <c r="ASD6" s="126"/>
      <c r="ASE6" s="126"/>
      <c r="ASF6" s="126"/>
      <c r="ASG6" s="126"/>
      <c r="ASH6" s="126"/>
      <c r="ASI6" s="126"/>
      <c r="ASJ6" s="126"/>
      <c r="ASK6" s="126"/>
      <c r="ASL6" s="126"/>
      <c r="ASM6" s="126"/>
      <c r="ASN6" s="126"/>
      <c r="ASO6" s="126"/>
      <c r="ASP6" s="126"/>
      <c r="ASQ6" s="126"/>
      <c r="ASR6" s="126"/>
      <c r="ASS6" s="126"/>
      <c r="AST6" s="126"/>
      <c r="ASU6" s="126"/>
      <c r="ASV6" s="126"/>
      <c r="ASW6" s="126"/>
      <c r="ASX6" s="126"/>
      <c r="ASY6" s="126"/>
      <c r="ASZ6" s="126"/>
      <c r="ATA6" s="126"/>
      <c r="ATB6" s="126"/>
      <c r="ATC6" s="126"/>
      <c r="ATD6" s="126"/>
      <c r="ATE6" s="126"/>
      <c r="ATF6" s="126"/>
      <c r="ATG6" s="126"/>
      <c r="ATH6" s="126"/>
      <c r="ATI6" s="126"/>
      <c r="ATJ6" s="126"/>
      <c r="ATK6" s="126"/>
      <c r="ATL6" s="126"/>
      <c r="ATM6" s="126"/>
      <c r="ATN6" s="126"/>
      <c r="ATO6" s="126"/>
    </row>
    <row r="7" spans="1:1211" s="1491" customFormat="1" ht="18" customHeight="1">
      <c r="A7" s="2606" t="s">
        <v>317</v>
      </c>
      <c r="B7" s="2606" t="s">
        <v>41</v>
      </c>
      <c r="C7" s="2606" t="s">
        <v>47</v>
      </c>
      <c r="D7" s="2606" t="s">
        <v>318</v>
      </c>
      <c r="E7" s="1541"/>
      <c r="F7" s="1542"/>
      <c r="G7" s="1543" t="s">
        <v>37</v>
      </c>
      <c r="H7" s="1544" t="s">
        <v>39</v>
      </c>
      <c r="I7" s="1545" t="s">
        <v>39</v>
      </c>
      <c r="J7" s="1546" t="s">
        <v>38</v>
      </c>
      <c r="K7" s="1512"/>
      <c r="L7" s="1513"/>
      <c r="M7" s="1512"/>
      <c r="N7" s="1514"/>
      <c r="O7" s="1515"/>
      <c r="P7" s="1516"/>
      <c r="Q7" s="1489"/>
      <c r="R7" s="1490"/>
      <c r="S7" s="1490"/>
      <c r="T7" s="1490"/>
      <c r="U7" s="1490"/>
      <c r="V7" s="1490"/>
      <c r="W7" s="1490"/>
      <c r="X7" s="1490"/>
      <c r="Y7" s="1490"/>
      <c r="Z7" s="1490"/>
      <c r="AA7" s="1490"/>
      <c r="AB7" s="1490"/>
      <c r="AC7" s="1490"/>
      <c r="AD7" s="1490"/>
      <c r="AE7" s="1490"/>
      <c r="AF7" s="1490"/>
      <c r="AG7" s="1490"/>
      <c r="AH7" s="1490"/>
      <c r="AI7" s="1490"/>
      <c r="AJ7" s="1490"/>
      <c r="AK7" s="1490"/>
      <c r="AL7" s="1490"/>
      <c r="AM7" s="1490"/>
      <c r="AN7" s="1490"/>
      <c r="AO7" s="1490"/>
      <c r="AP7" s="1490"/>
      <c r="AQ7" s="1490"/>
      <c r="AR7" s="1490"/>
      <c r="AS7" s="1490"/>
      <c r="AT7" s="1490"/>
      <c r="AU7" s="1490"/>
      <c r="AV7" s="1490"/>
      <c r="AW7" s="1490"/>
      <c r="AX7" s="1490"/>
      <c r="AY7" s="1490"/>
      <c r="AZ7" s="1490"/>
      <c r="BA7" s="1490"/>
      <c r="BB7" s="1490"/>
      <c r="BC7" s="1490"/>
      <c r="BD7" s="1490"/>
      <c r="BE7" s="1490"/>
      <c r="BF7" s="1490"/>
      <c r="BG7" s="1490"/>
      <c r="BH7" s="1490"/>
      <c r="BI7" s="1490"/>
      <c r="BJ7" s="1490"/>
      <c r="BK7" s="1490"/>
      <c r="BL7" s="1490"/>
      <c r="BM7" s="1490"/>
      <c r="BN7" s="1490"/>
      <c r="BO7" s="1490"/>
      <c r="BP7" s="1490"/>
      <c r="BQ7" s="1490"/>
      <c r="BR7" s="1490"/>
      <c r="BS7" s="1490"/>
      <c r="BT7" s="1490"/>
      <c r="BU7" s="1490"/>
      <c r="BV7" s="1490"/>
      <c r="BW7" s="1490"/>
      <c r="BX7" s="1490"/>
      <c r="BY7" s="1490"/>
      <c r="BZ7" s="1490"/>
      <c r="CA7" s="1490"/>
      <c r="CB7" s="1490"/>
      <c r="CC7" s="1490"/>
      <c r="CD7" s="1490"/>
      <c r="CE7" s="1490"/>
      <c r="CF7" s="1490"/>
      <c r="CG7" s="1490"/>
      <c r="CH7" s="1490"/>
      <c r="CI7" s="1490"/>
      <c r="CJ7" s="1490"/>
      <c r="CK7" s="1490"/>
      <c r="CL7" s="1490"/>
      <c r="CM7" s="1490"/>
      <c r="CN7" s="1490"/>
      <c r="CO7" s="1490"/>
      <c r="CP7" s="1490"/>
      <c r="CQ7" s="1490"/>
      <c r="CR7" s="1490"/>
      <c r="CS7" s="1490"/>
      <c r="CT7" s="1490"/>
      <c r="CU7" s="1490"/>
      <c r="CV7" s="1490"/>
      <c r="CW7" s="1490"/>
      <c r="CX7" s="1490"/>
      <c r="CY7" s="1490"/>
      <c r="CZ7" s="1490"/>
      <c r="DA7" s="1490"/>
      <c r="DB7" s="1490"/>
      <c r="DC7" s="1490"/>
      <c r="DD7" s="1490"/>
      <c r="DE7" s="1490"/>
      <c r="DF7" s="1490"/>
      <c r="DG7" s="1490"/>
      <c r="DH7" s="1490"/>
      <c r="DI7" s="1490"/>
      <c r="DJ7" s="1490"/>
      <c r="DK7" s="1490"/>
      <c r="DL7" s="1490"/>
      <c r="DM7" s="1490"/>
      <c r="DN7" s="1490"/>
      <c r="DO7" s="1490"/>
      <c r="DP7" s="1490"/>
      <c r="DQ7" s="1490"/>
      <c r="DR7" s="1490"/>
      <c r="DS7" s="1490"/>
      <c r="DT7" s="1490"/>
      <c r="DU7" s="1490"/>
      <c r="DV7" s="1490"/>
      <c r="DW7" s="1490"/>
      <c r="DX7" s="1490"/>
      <c r="DY7" s="1490"/>
      <c r="DZ7" s="1490"/>
      <c r="EA7" s="1490"/>
      <c r="EB7" s="1490"/>
      <c r="EC7" s="1490"/>
      <c r="ED7" s="1490"/>
      <c r="EE7" s="1490"/>
      <c r="EF7" s="1490"/>
      <c r="EG7" s="1490"/>
      <c r="EH7" s="1490"/>
      <c r="EI7" s="1490"/>
      <c r="EJ7" s="1490"/>
      <c r="EK7" s="1490"/>
      <c r="EL7" s="1490"/>
      <c r="EM7" s="1490"/>
      <c r="EN7" s="1490"/>
      <c r="EO7" s="1490"/>
      <c r="EP7" s="1490"/>
      <c r="EQ7" s="1490"/>
      <c r="ER7" s="1490"/>
      <c r="ES7" s="1490"/>
      <c r="ET7" s="1490"/>
      <c r="EU7" s="1490"/>
      <c r="EV7" s="1490"/>
      <c r="EW7" s="1490"/>
      <c r="EX7" s="1490"/>
      <c r="EY7" s="1490"/>
      <c r="EZ7" s="1490"/>
      <c r="FA7" s="1490"/>
      <c r="FB7" s="1490"/>
      <c r="FC7" s="1490"/>
      <c r="FD7" s="1490"/>
      <c r="FE7" s="1490"/>
      <c r="FF7" s="1490"/>
      <c r="FG7" s="1490"/>
      <c r="FH7" s="1490"/>
      <c r="FI7" s="1490"/>
      <c r="FJ7" s="1490"/>
      <c r="FK7" s="1490"/>
      <c r="FL7" s="1490"/>
      <c r="FM7" s="1490"/>
      <c r="FN7" s="1490"/>
      <c r="FO7" s="1490"/>
      <c r="FP7" s="1490"/>
      <c r="FQ7" s="1490"/>
      <c r="FR7" s="1490"/>
      <c r="FS7" s="1490"/>
      <c r="FT7" s="1490"/>
      <c r="FU7" s="1490"/>
      <c r="FV7" s="1490"/>
      <c r="FW7" s="1490"/>
      <c r="FX7" s="1490"/>
      <c r="FY7" s="1490"/>
      <c r="FZ7" s="1490"/>
      <c r="GA7" s="1490"/>
      <c r="GB7" s="1490"/>
      <c r="GC7" s="1490"/>
      <c r="GD7" s="1490"/>
      <c r="GE7" s="1490"/>
      <c r="GF7" s="1490"/>
      <c r="GG7" s="1490"/>
      <c r="GH7" s="1490"/>
      <c r="GI7" s="1490"/>
      <c r="GJ7" s="1490"/>
      <c r="GK7" s="1490"/>
      <c r="GL7" s="1490"/>
      <c r="GM7" s="1490"/>
      <c r="GN7" s="1490"/>
      <c r="GO7" s="1490"/>
      <c r="GP7" s="1490"/>
      <c r="GQ7" s="1490"/>
      <c r="GR7" s="1490"/>
      <c r="GS7" s="1490"/>
      <c r="GT7" s="1490"/>
      <c r="GU7" s="1490"/>
      <c r="GV7" s="1490"/>
      <c r="GW7" s="1490"/>
      <c r="GX7" s="1490"/>
      <c r="GY7" s="1490"/>
      <c r="GZ7" s="1490"/>
      <c r="HA7" s="1490"/>
      <c r="HB7" s="1490"/>
      <c r="HC7" s="1490"/>
      <c r="HD7" s="1490"/>
      <c r="HE7" s="1490"/>
      <c r="HF7" s="1490"/>
      <c r="HG7" s="1490"/>
      <c r="HH7" s="1490"/>
      <c r="HI7" s="1490"/>
      <c r="HJ7" s="1490"/>
      <c r="HK7" s="1490"/>
      <c r="HL7" s="1490"/>
      <c r="HM7" s="1490"/>
      <c r="HN7" s="1490"/>
      <c r="HO7" s="1490"/>
      <c r="HP7" s="1490"/>
      <c r="HQ7" s="1490"/>
      <c r="HR7" s="1490"/>
      <c r="HS7" s="1490"/>
      <c r="HT7" s="1490"/>
      <c r="HU7" s="1490"/>
      <c r="HV7" s="1490"/>
      <c r="HW7" s="1490"/>
      <c r="HX7" s="1490"/>
      <c r="HY7" s="1490"/>
      <c r="HZ7" s="1490"/>
      <c r="IA7" s="1490"/>
      <c r="IB7" s="1490"/>
      <c r="IC7" s="1490"/>
      <c r="ID7" s="1490"/>
      <c r="IE7" s="1490"/>
      <c r="IF7" s="1490"/>
      <c r="IG7" s="1490"/>
      <c r="IH7" s="1490"/>
      <c r="II7" s="1490"/>
      <c r="IJ7" s="1490"/>
      <c r="IK7" s="1490"/>
      <c r="IL7" s="1490"/>
      <c r="IM7" s="1490"/>
      <c r="IN7" s="1490"/>
      <c r="IO7" s="1490"/>
      <c r="IP7" s="1490"/>
      <c r="IQ7" s="1490"/>
      <c r="IR7" s="1490"/>
      <c r="IS7" s="1490"/>
      <c r="IT7" s="1490"/>
      <c r="IU7" s="1490"/>
      <c r="IV7" s="1490"/>
      <c r="IW7" s="1490"/>
      <c r="IX7" s="1490"/>
      <c r="IY7" s="1490"/>
      <c r="IZ7" s="1490"/>
      <c r="JA7" s="1490"/>
      <c r="JB7" s="1490"/>
      <c r="JC7" s="1490"/>
      <c r="JD7" s="1490"/>
      <c r="JE7" s="1490"/>
      <c r="JF7" s="1490"/>
      <c r="JG7" s="1490"/>
      <c r="JH7" s="1490"/>
      <c r="JI7" s="1490"/>
      <c r="JJ7" s="1490"/>
      <c r="JK7" s="1490"/>
      <c r="JL7" s="1490"/>
      <c r="JM7" s="1490"/>
      <c r="JN7" s="1490"/>
      <c r="JO7" s="1490"/>
      <c r="JP7" s="1490"/>
      <c r="JQ7" s="1490"/>
      <c r="JR7" s="1490"/>
      <c r="JS7" s="1490"/>
      <c r="JT7" s="1490"/>
      <c r="JU7" s="1490"/>
      <c r="JV7" s="1490"/>
      <c r="JW7" s="1490"/>
      <c r="JX7" s="1490"/>
      <c r="JY7" s="1490"/>
      <c r="JZ7" s="1490"/>
      <c r="KA7" s="1490"/>
      <c r="KB7" s="1490"/>
      <c r="KC7" s="1490"/>
      <c r="KD7" s="1490"/>
      <c r="KE7" s="1490"/>
      <c r="KF7" s="1490"/>
      <c r="KG7" s="1490"/>
      <c r="KH7" s="1490"/>
      <c r="KI7" s="1490"/>
      <c r="KJ7" s="1490"/>
      <c r="KK7" s="1490"/>
      <c r="KL7" s="1490"/>
      <c r="KM7" s="1490"/>
      <c r="KN7" s="1490"/>
      <c r="KO7" s="1490"/>
      <c r="KP7" s="1490"/>
      <c r="KQ7" s="1490"/>
      <c r="KR7" s="1490"/>
      <c r="KS7" s="1490"/>
      <c r="KT7" s="1490"/>
      <c r="KU7" s="1490"/>
      <c r="KV7" s="1490"/>
      <c r="KW7" s="1490"/>
      <c r="KX7" s="1490"/>
      <c r="KY7" s="1490"/>
      <c r="KZ7" s="1490"/>
      <c r="LA7" s="1490"/>
      <c r="LB7" s="1490"/>
      <c r="LC7" s="1490"/>
      <c r="LD7" s="1490"/>
      <c r="LE7" s="1490"/>
      <c r="LF7" s="1490"/>
      <c r="LG7" s="1490"/>
      <c r="LH7" s="1490"/>
      <c r="LI7" s="1490"/>
      <c r="LJ7" s="1490"/>
      <c r="LK7" s="1490"/>
      <c r="LL7" s="1490"/>
      <c r="LM7" s="1490"/>
      <c r="LN7" s="1490"/>
      <c r="LO7" s="1490"/>
      <c r="LP7" s="1490"/>
      <c r="LQ7" s="1490"/>
      <c r="LR7" s="1490"/>
      <c r="LS7" s="1490"/>
      <c r="LT7" s="1490"/>
      <c r="LU7" s="1490"/>
      <c r="LV7" s="1490"/>
      <c r="LW7" s="1490"/>
      <c r="LX7" s="1490"/>
      <c r="LY7" s="1490"/>
      <c r="LZ7" s="1490"/>
      <c r="MA7" s="1490"/>
      <c r="MB7" s="1490"/>
      <c r="MC7" s="1490"/>
      <c r="MD7" s="1490"/>
      <c r="ME7" s="1490"/>
      <c r="MF7" s="1490"/>
      <c r="MG7" s="1490"/>
      <c r="MH7" s="1490"/>
      <c r="MI7" s="1490"/>
      <c r="MJ7" s="1490"/>
      <c r="MK7" s="1490"/>
      <c r="ML7" s="1490"/>
      <c r="MM7" s="1490"/>
      <c r="MN7" s="1490"/>
      <c r="MO7" s="1490"/>
      <c r="MP7" s="1490"/>
      <c r="MQ7" s="1490"/>
      <c r="MR7" s="1490"/>
      <c r="MS7" s="1490"/>
      <c r="MT7" s="1490"/>
      <c r="MU7" s="1490"/>
      <c r="MV7" s="1490"/>
      <c r="MW7" s="1490"/>
      <c r="MX7" s="1490"/>
      <c r="MY7" s="1490"/>
      <c r="MZ7" s="1490"/>
      <c r="NA7" s="1490"/>
      <c r="NB7" s="1490"/>
      <c r="NC7" s="1490"/>
      <c r="ND7" s="1490"/>
      <c r="NE7" s="1490"/>
      <c r="NF7" s="1490"/>
      <c r="NG7" s="1490"/>
      <c r="NH7" s="1490"/>
      <c r="NI7" s="1490"/>
      <c r="NJ7" s="1490"/>
      <c r="NK7" s="1490"/>
      <c r="NL7" s="1490"/>
      <c r="NM7" s="1490"/>
      <c r="NN7" s="1490"/>
      <c r="NO7" s="1490"/>
      <c r="NP7" s="1490"/>
      <c r="NQ7" s="1490"/>
      <c r="NR7" s="1490"/>
      <c r="NS7" s="1490"/>
      <c r="NT7" s="1490"/>
      <c r="NU7" s="1490"/>
      <c r="NV7" s="1490"/>
      <c r="NW7" s="1490"/>
      <c r="NX7" s="1490"/>
      <c r="NY7" s="1490"/>
      <c r="NZ7" s="1490"/>
      <c r="OA7" s="1490"/>
      <c r="OB7" s="1490"/>
      <c r="OC7" s="1490"/>
      <c r="OD7" s="1490"/>
      <c r="OE7" s="1490"/>
      <c r="OF7" s="1490"/>
      <c r="OG7" s="1490"/>
      <c r="OH7" s="1490"/>
      <c r="OI7" s="1490"/>
      <c r="OJ7" s="1490"/>
      <c r="OK7" s="1490"/>
      <c r="OL7" s="1490"/>
      <c r="OM7" s="1490"/>
      <c r="ON7" s="1490"/>
      <c r="OO7" s="1490"/>
      <c r="OP7" s="1490"/>
      <c r="OQ7" s="1490"/>
      <c r="OR7" s="1490"/>
      <c r="OS7" s="1490"/>
      <c r="OT7" s="1490"/>
      <c r="OU7" s="1490"/>
      <c r="OV7" s="1490"/>
      <c r="OW7" s="1490"/>
      <c r="OX7" s="1490"/>
      <c r="OY7" s="1490"/>
      <c r="OZ7" s="1490"/>
      <c r="PA7" s="1490"/>
      <c r="PB7" s="1490"/>
      <c r="PC7" s="1490"/>
      <c r="PD7" s="1490"/>
      <c r="PE7" s="1490"/>
      <c r="PF7" s="1490"/>
      <c r="PG7" s="1490"/>
      <c r="PH7" s="1490"/>
      <c r="PI7" s="1490"/>
      <c r="PJ7" s="1490"/>
      <c r="PK7" s="1490"/>
      <c r="PL7" s="1490"/>
      <c r="PM7" s="1490"/>
      <c r="PN7" s="1490"/>
      <c r="PO7" s="1490"/>
      <c r="PP7" s="1490"/>
      <c r="PQ7" s="1490"/>
      <c r="PR7" s="1490"/>
      <c r="PS7" s="1490"/>
      <c r="PT7" s="1490"/>
      <c r="PU7" s="1490"/>
      <c r="PV7" s="1490"/>
      <c r="PW7" s="1490"/>
      <c r="PX7" s="1490"/>
      <c r="PY7" s="1490"/>
      <c r="PZ7" s="1490"/>
      <c r="QA7" s="1490"/>
      <c r="QB7" s="1490"/>
      <c r="QC7" s="1490"/>
      <c r="QD7" s="1490"/>
      <c r="QE7" s="1490"/>
      <c r="QF7" s="1490"/>
      <c r="QG7" s="1490"/>
      <c r="QH7" s="1490"/>
      <c r="QI7" s="1490"/>
      <c r="QJ7" s="1490"/>
      <c r="QK7" s="1490"/>
      <c r="QL7" s="1490"/>
      <c r="QM7" s="1490"/>
      <c r="QN7" s="1490"/>
      <c r="QO7" s="1490"/>
      <c r="QP7" s="1490"/>
      <c r="QQ7" s="1490"/>
      <c r="QR7" s="1490"/>
      <c r="QS7" s="1490"/>
      <c r="QT7" s="1490"/>
      <c r="QU7" s="1490"/>
      <c r="QV7" s="1490"/>
      <c r="QW7" s="1490"/>
      <c r="QX7" s="1490"/>
      <c r="QY7" s="1490"/>
      <c r="QZ7" s="1490"/>
      <c r="RA7" s="1490"/>
      <c r="RB7" s="1490"/>
      <c r="RC7" s="1490"/>
      <c r="RD7" s="1490"/>
      <c r="RE7" s="1490"/>
      <c r="RF7" s="1490"/>
      <c r="RG7" s="1490"/>
      <c r="RH7" s="1490"/>
      <c r="RI7" s="1490"/>
      <c r="RJ7" s="1490"/>
      <c r="RK7" s="1490"/>
      <c r="RL7" s="1490"/>
      <c r="RM7" s="1490"/>
      <c r="RN7" s="1490"/>
      <c r="RO7" s="1490"/>
      <c r="RP7" s="1490"/>
      <c r="RQ7" s="1490"/>
      <c r="RR7" s="1490"/>
      <c r="RS7" s="1490"/>
      <c r="RT7" s="1490"/>
      <c r="RU7" s="1490"/>
      <c r="RV7" s="1490"/>
      <c r="RW7" s="1490"/>
      <c r="RX7" s="1490"/>
      <c r="RY7" s="1490"/>
      <c r="RZ7" s="1490"/>
      <c r="SA7" s="1490"/>
      <c r="SB7" s="1490"/>
      <c r="SC7" s="1490"/>
      <c r="SD7" s="1490"/>
      <c r="SE7" s="1490"/>
      <c r="SF7" s="1490"/>
      <c r="SG7" s="1490"/>
      <c r="SH7" s="1490"/>
      <c r="SI7" s="1490"/>
      <c r="SJ7" s="1490"/>
      <c r="SK7" s="1490"/>
      <c r="SL7" s="1490"/>
      <c r="SM7" s="1490"/>
      <c r="SN7" s="1490"/>
      <c r="SO7" s="1490"/>
      <c r="SP7" s="1490"/>
      <c r="SQ7" s="1490"/>
      <c r="SR7" s="1490"/>
      <c r="SS7" s="1490"/>
      <c r="ST7" s="1490"/>
      <c r="SU7" s="1490"/>
      <c r="SV7" s="1490"/>
      <c r="SW7" s="1490"/>
      <c r="SX7" s="1490"/>
      <c r="SY7" s="1490"/>
      <c r="SZ7" s="1490"/>
      <c r="TA7" s="1490"/>
      <c r="TB7" s="1490"/>
      <c r="TC7" s="1490"/>
      <c r="TD7" s="1490"/>
      <c r="TE7" s="1490"/>
      <c r="TF7" s="1490"/>
      <c r="TG7" s="1490"/>
      <c r="TH7" s="1490"/>
      <c r="TI7" s="1490"/>
      <c r="TJ7" s="1490"/>
      <c r="TK7" s="1490"/>
      <c r="TL7" s="1490"/>
      <c r="TM7" s="1490"/>
      <c r="TN7" s="1490"/>
      <c r="TO7" s="1490"/>
      <c r="TP7" s="1490"/>
      <c r="TQ7" s="1490"/>
      <c r="TR7" s="1490"/>
      <c r="TS7" s="1490"/>
      <c r="TT7" s="1490"/>
      <c r="TU7" s="1490"/>
      <c r="TV7" s="1490"/>
      <c r="TW7" s="1490"/>
      <c r="TX7" s="1490"/>
      <c r="TY7" s="1490"/>
      <c r="TZ7" s="1490"/>
      <c r="UA7" s="1490"/>
      <c r="UB7" s="1490"/>
      <c r="UC7" s="1490"/>
      <c r="UD7" s="1490"/>
      <c r="UE7" s="1490"/>
      <c r="UF7" s="1490"/>
      <c r="UG7" s="1490"/>
      <c r="UH7" s="1490"/>
      <c r="UI7" s="1490"/>
      <c r="UJ7" s="1490"/>
      <c r="UK7" s="1490"/>
      <c r="UL7" s="1490"/>
      <c r="UM7" s="1490"/>
      <c r="UN7" s="1490"/>
      <c r="UO7" s="1490"/>
      <c r="UP7" s="1490"/>
      <c r="UQ7" s="1490"/>
      <c r="UR7" s="1490"/>
      <c r="US7" s="1490"/>
      <c r="UT7" s="1490"/>
      <c r="UU7" s="1490"/>
      <c r="UV7" s="1490"/>
      <c r="UW7" s="1490"/>
      <c r="UX7" s="1490"/>
      <c r="UY7" s="1490"/>
      <c r="UZ7" s="1490"/>
      <c r="VA7" s="1490"/>
      <c r="VB7" s="1490"/>
      <c r="VC7" s="1490"/>
      <c r="VD7" s="1490"/>
      <c r="VE7" s="1490"/>
      <c r="VF7" s="1490"/>
      <c r="VG7" s="1490"/>
      <c r="VH7" s="1490"/>
      <c r="VI7" s="1490"/>
      <c r="VJ7" s="1490"/>
      <c r="VK7" s="1490"/>
      <c r="VL7" s="1490"/>
      <c r="VM7" s="1490"/>
      <c r="VN7" s="1490"/>
      <c r="VO7" s="1490"/>
      <c r="VP7" s="1490"/>
      <c r="VQ7" s="1490"/>
      <c r="VR7" s="1490"/>
      <c r="VS7" s="1490"/>
      <c r="VT7" s="1490"/>
      <c r="VU7" s="1490"/>
      <c r="VV7" s="1490"/>
      <c r="VW7" s="1490"/>
      <c r="VX7" s="1490"/>
      <c r="VY7" s="1490"/>
      <c r="VZ7" s="1490"/>
      <c r="WA7" s="1490"/>
      <c r="WB7" s="1490"/>
      <c r="WC7" s="1490"/>
      <c r="WD7" s="1490"/>
      <c r="WE7" s="1490"/>
      <c r="WF7" s="1490"/>
      <c r="WG7" s="1490"/>
      <c r="WH7" s="1490"/>
      <c r="WI7" s="1490"/>
      <c r="WJ7" s="1490"/>
      <c r="WK7" s="1490"/>
      <c r="WL7" s="1490"/>
      <c r="WM7" s="1490"/>
      <c r="WN7" s="1490"/>
      <c r="WO7" s="1490"/>
      <c r="WP7" s="1490"/>
      <c r="WQ7" s="1490"/>
      <c r="WR7" s="1490"/>
      <c r="WS7" s="1490"/>
      <c r="WT7" s="1490"/>
      <c r="WU7" s="1490"/>
      <c r="WV7" s="1490"/>
      <c r="WW7" s="1490"/>
      <c r="WX7" s="1490"/>
      <c r="WY7" s="1490"/>
      <c r="WZ7" s="1490"/>
      <c r="XA7" s="1490"/>
      <c r="XB7" s="1490"/>
      <c r="XC7" s="1490"/>
      <c r="XD7" s="1490"/>
      <c r="XE7" s="1490"/>
      <c r="XF7" s="1490"/>
      <c r="XG7" s="1490"/>
      <c r="XH7" s="1490"/>
      <c r="XI7" s="1490"/>
      <c r="XJ7" s="1490"/>
      <c r="XK7" s="1490"/>
      <c r="XL7" s="1490"/>
      <c r="XM7" s="1490"/>
      <c r="XN7" s="1490"/>
      <c r="XO7" s="1490"/>
      <c r="XP7" s="1490"/>
      <c r="XQ7" s="1490"/>
      <c r="XR7" s="1490"/>
      <c r="XS7" s="1490"/>
      <c r="XT7" s="1490"/>
      <c r="XU7" s="1490"/>
      <c r="XV7" s="1490"/>
      <c r="XW7" s="1490"/>
      <c r="XX7" s="1490"/>
      <c r="XY7" s="1490"/>
      <c r="XZ7" s="1490"/>
      <c r="YA7" s="1490"/>
      <c r="YB7" s="1490"/>
      <c r="YC7" s="1490"/>
      <c r="YD7" s="1490"/>
      <c r="YE7" s="1490"/>
      <c r="YF7" s="1490"/>
      <c r="YG7" s="1490"/>
      <c r="YH7" s="1490"/>
      <c r="YI7" s="1490"/>
      <c r="YJ7" s="1490"/>
      <c r="YK7" s="1490"/>
      <c r="YL7" s="1490"/>
      <c r="YM7" s="1490"/>
      <c r="YN7" s="1490"/>
      <c r="YO7" s="1490"/>
      <c r="YP7" s="1490"/>
      <c r="YQ7" s="1490"/>
      <c r="YR7" s="1490"/>
      <c r="YS7" s="1490"/>
      <c r="YT7" s="1490"/>
      <c r="YU7" s="1490"/>
      <c r="YV7" s="1490"/>
      <c r="YW7" s="1490"/>
      <c r="YX7" s="1490"/>
      <c r="YY7" s="1490"/>
      <c r="YZ7" s="1490"/>
      <c r="ZA7" s="1490"/>
      <c r="ZB7" s="1490"/>
      <c r="ZC7" s="1490"/>
      <c r="ZD7" s="1490"/>
      <c r="ZE7" s="1490"/>
      <c r="ZF7" s="1490"/>
      <c r="ZG7" s="1490"/>
      <c r="ZH7" s="1490"/>
      <c r="ZI7" s="1490"/>
      <c r="ZJ7" s="1490"/>
      <c r="ZK7" s="1490"/>
      <c r="ZL7" s="1490"/>
      <c r="ZM7" s="1490"/>
      <c r="ZN7" s="1490"/>
      <c r="ZO7" s="1490"/>
      <c r="ZP7" s="1490"/>
      <c r="ZQ7" s="1490"/>
      <c r="ZR7" s="1490"/>
      <c r="ZS7" s="1490"/>
      <c r="ZT7" s="1490"/>
      <c r="ZU7" s="1490"/>
      <c r="ZV7" s="1490"/>
      <c r="ZW7" s="1490"/>
      <c r="ZX7" s="1490"/>
      <c r="ZY7" s="1490"/>
      <c r="ZZ7" s="1490"/>
      <c r="AAA7" s="1490"/>
      <c r="AAB7" s="1490"/>
      <c r="AAC7" s="1490"/>
      <c r="AAD7" s="1490"/>
      <c r="AAE7" s="1490"/>
      <c r="AAF7" s="1490"/>
      <c r="AAG7" s="1490"/>
      <c r="AAH7" s="1490"/>
      <c r="AAI7" s="1490"/>
      <c r="AAJ7" s="1490"/>
      <c r="AAK7" s="1490"/>
      <c r="AAL7" s="1490"/>
      <c r="AAM7" s="1490"/>
      <c r="AAN7" s="1490"/>
      <c r="AAO7" s="1490"/>
      <c r="AAP7" s="1490"/>
      <c r="AAQ7" s="1490"/>
      <c r="AAR7" s="1490"/>
      <c r="AAS7" s="1490"/>
      <c r="AAT7" s="1490"/>
      <c r="AAU7" s="1490"/>
      <c r="AAV7" s="1490"/>
      <c r="AAW7" s="1490"/>
      <c r="AAX7" s="1490"/>
      <c r="AAY7" s="1490"/>
      <c r="AAZ7" s="1490"/>
      <c r="ABA7" s="1490"/>
      <c r="ABB7" s="1490"/>
      <c r="ABC7" s="1490"/>
      <c r="ABD7" s="1490"/>
      <c r="ABE7" s="1490"/>
      <c r="ABF7" s="1490"/>
      <c r="ABG7" s="1490"/>
      <c r="ABH7" s="1490"/>
      <c r="ABI7" s="1490"/>
      <c r="ABJ7" s="1490"/>
      <c r="ABK7" s="1490"/>
      <c r="ABL7" s="1490"/>
      <c r="ABM7" s="1490"/>
      <c r="ABN7" s="1490"/>
      <c r="ABO7" s="1490"/>
      <c r="ABP7" s="1490"/>
      <c r="ABQ7" s="1490"/>
      <c r="ABR7" s="1490"/>
      <c r="ABS7" s="1490"/>
      <c r="ABT7" s="1490"/>
      <c r="ABU7" s="1490"/>
      <c r="ABV7" s="1490"/>
      <c r="ABW7" s="1490"/>
      <c r="ABX7" s="1490"/>
      <c r="ABY7" s="1490"/>
      <c r="ABZ7" s="1490"/>
      <c r="ACA7" s="1490"/>
      <c r="ACB7" s="1490"/>
      <c r="ACC7" s="1490"/>
      <c r="ACD7" s="1490"/>
      <c r="ACE7" s="1490"/>
      <c r="ACF7" s="1490"/>
      <c r="ACG7" s="1490"/>
      <c r="ACH7" s="1490"/>
      <c r="ACI7" s="1490"/>
      <c r="ACJ7" s="1490"/>
      <c r="ACK7" s="1490"/>
      <c r="ACL7" s="1490"/>
      <c r="ACM7" s="1490"/>
      <c r="ACN7" s="1490"/>
      <c r="ACO7" s="1490"/>
      <c r="ACP7" s="1490"/>
      <c r="ACQ7" s="1490"/>
      <c r="ACR7" s="1490"/>
      <c r="ACS7" s="1490"/>
      <c r="ACT7" s="1490"/>
      <c r="ACU7" s="1490"/>
      <c r="ACV7" s="1490"/>
      <c r="ACW7" s="1490"/>
      <c r="ACX7" s="1490"/>
      <c r="ACY7" s="1490"/>
      <c r="ACZ7" s="1490"/>
      <c r="ADA7" s="1490"/>
      <c r="ADB7" s="1490"/>
      <c r="ADC7" s="1490"/>
      <c r="ADD7" s="1490"/>
      <c r="ADE7" s="1490"/>
      <c r="ADF7" s="1490"/>
      <c r="ADG7" s="1490"/>
      <c r="ADH7" s="1490"/>
      <c r="ADI7" s="1490"/>
      <c r="ADJ7" s="1490"/>
      <c r="ADK7" s="1490"/>
      <c r="ADL7" s="1490"/>
      <c r="ADM7" s="1490"/>
      <c r="ADN7" s="1490"/>
      <c r="ADO7" s="1490"/>
      <c r="ADP7" s="1490"/>
      <c r="ADQ7" s="1490"/>
      <c r="ADR7" s="1490"/>
      <c r="ADS7" s="1490"/>
      <c r="ADT7" s="1490"/>
      <c r="ADU7" s="1490"/>
      <c r="ADV7" s="1490"/>
      <c r="ADW7" s="1490"/>
      <c r="ADX7" s="1490"/>
      <c r="ADY7" s="1490"/>
      <c r="ADZ7" s="1490"/>
      <c r="AEA7" s="1490"/>
      <c r="AEB7" s="1490"/>
      <c r="AEC7" s="1490"/>
      <c r="AED7" s="1490"/>
      <c r="AEE7" s="1490"/>
      <c r="AEF7" s="1490"/>
      <c r="AEG7" s="1490"/>
      <c r="AEH7" s="1490"/>
      <c r="AEI7" s="1490"/>
      <c r="AEJ7" s="1490"/>
      <c r="AEK7" s="1490"/>
      <c r="AEL7" s="1490"/>
      <c r="AEM7" s="1490"/>
      <c r="AEN7" s="1490"/>
      <c r="AEO7" s="1490"/>
      <c r="AEP7" s="1490"/>
      <c r="AEQ7" s="1490"/>
      <c r="AER7" s="1490"/>
      <c r="AES7" s="1490"/>
      <c r="AET7" s="1490"/>
      <c r="AEU7" s="1490"/>
      <c r="AEV7" s="1490"/>
      <c r="AEW7" s="1490"/>
      <c r="AEX7" s="1490"/>
      <c r="AEY7" s="1490"/>
      <c r="AEZ7" s="1490"/>
      <c r="AFA7" s="1490"/>
      <c r="AFB7" s="1490"/>
      <c r="AFC7" s="1490"/>
      <c r="AFD7" s="1490"/>
      <c r="AFE7" s="1490"/>
      <c r="AFF7" s="1490"/>
      <c r="AFG7" s="1490"/>
      <c r="AFH7" s="1490"/>
      <c r="AFI7" s="1490"/>
      <c r="AFJ7" s="1490"/>
      <c r="AFK7" s="1490"/>
      <c r="AFL7" s="1490"/>
      <c r="AFM7" s="1490"/>
      <c r="AFN7" s="1490"/>
      <c r="AFO7" s="1490"/>
      <c r="AFP7" s="1490"/>
      <c r="AFQ7" s="1490"/>
      <c r="AFR7" s="1490"/>
      <c r="AFS7" s="1490"/>
      <c r="AFT7" s="1490"/>
      <c r="AFU7" s="1490"/>
      <c r="AFV7" s="1490"/>
      <c r="AFW7" s="1490"/>
      <c r="AFX7" s="1490"/>
      <c r="AFY7" s="1490"/>
      <c r="AFZ7" s="1490"/>
      <c r="AGA7" s="1490"/>
      <c r="AGB7" s="1490"/>
      <c r="AGC7" s="1490"/>
      <c r="AGD7" s="1490"/>
      <c r="AGE7" s="1490"/>
      <c r="AGF7" s="1490"/>
      <c r="AGG7" s="1490"/>
      <c r="AGH7" s="1490"/>
      <c r="AGI7" s="1490"/>
      <c r="AGJ7" s="1490"/>
      <c r="AGK7" s="1490"/>
      <c r="AGL7" s="1490"/>
      <c r="AGM7" s="1490"/>
      <c r="AGN7" s="1490"/>
      <c r="AGO7" s="1490"/>
      <c r="AGP7" s="1490"/>
      <c r="AGQ7" s="1490"/>
      <c r="AGR7" s="1490"/>
      <c r="AGS7" s="1490"/>
      <c r="AGT7" s="1490"/>
      <c r="AGU7" s="1490"/>
      <c r="AGV7" s="1490"/>
      <c r="AGW7" s="1490"/>
      <c r="AGX7" s="1490"/>
      <c r="AGY7" s="1490"/>
      <c r="AGZ7" s="1490"/>
      <c r="AHA7" s="1490"/>
      <c r="AHB7" s="1490"/>
      <c r="AHC7" s="1490"/>
      <c r="AHD7" s="1490"/>
      <c r="AHE7" s="1490"/>
      <c r="AHF7" s="1490"/>
      <c r="AHG7" s="1490"/>
      <c r="AHH7" s="1490"/>
      <c r="AHI7" s="1490"/>
      <c r="AHJ7" s="1490"/>
      <c r="AHK7" s="1490"/>
      <c r="AHL7" s="1490"/>
      <c r="AHM7" s="1490"/>
      <c r="AHN7" s="1490"/>
      <c r="AHO7" s="1490"/>
      <c r="AHP7" s="1490"/>
      <c r="AHQ7" s="1490"/>
      <c r="AHR7" s="1490"/>
      <c r="AHS7" s="1490"/>
      <c r="AHT7" s="1490"/>
      <c r="AHU7" s="1490"/>
      <c r="AHV7" s="1490"/>
      <c r="AHW7" s="1490"/>
      <c r="AHX7" s="1490"/>
      <c r="AHY7" s="1490"/>
      <c r="AHZ7" s="1490"/>
      <c r="AIA7" s="1490"/>
      <c r="AIB7" s="1490"/>
      <c r="AIC7" s="1490"/>
      <c r="AID7" s="1490"/>
      <c r="AIE7" s="1490"/>
      <c r="AIF7" s="1490"/>
      <c r="AIG7" s="1490"/>
      <c r="AIH7" s="1490"/>
      <c r="AII7" s="1490"/>
      <c r="AIJ7" s="1490"/>
      <c r="AIK7" s="1490"/>
      <c r="AIL7" s="1490"/>
      <c r="AIM7" s="1490"/>
      <c r="AIN7" s="1490"/>
      <c r="AIO7" s="1490"/>
      <c r="AIP7" s="1490"/>
      <c r="AIQ7" s="1490"/>
      <c r="AIR7" s="1490"/>
      <c r="AIS7" s="1490"/>
      <c r="AIT7" s="1490"/>
      <c r="AIU7" s="1490"/>
      <c r="AIV7" s="1490"/>
      <c r="AIW7" s="1490"/>
      <c r="AIX7" s="1490"/>
      <c r="AIY7" s="1490"/>
      <c r="AIZ7" s="1490"/>
      <c r="AJA7" s="1490"/>
      <c r="AJB7" s="1490"/>
      <c r="AJC7" s="1490"/>
      <c r="AJD7" s="1490"/>
      <c r="AJE7" s="1490"/>
      <c r="AJF7" s="1490"/>
      <c r="AJG7" s="1490"/>
      <c r="AJH7" s="1490"/>
      <c r="AJI7" s="1490"/>
      <c r="AJJ7" s="1490"/>
      <c r="AJK7" s="1490"/>
      <c r="AJL7" s="1490"/>
      <c r="AJM7" s="1490"/>
      <c r="AJN7" s="1490"/>
      <c r="AJO7" s="1490"/>
      <c r="AJP7" s="1490"/>
      <c r="AJQ7" s="1490"/>
      <c r="AJR7" s="1490"/>
      <c r="AJS7" s="1490"/>
      <c r="AJT7" s="1490"/>
      <c r="AJU7" s="1490"/>
      <c r="AJV7" s="1490"/>
      <c r="AJW7" s="1490"/>
      <c r="AJX7" s="1490"/>
      <c r="AJY7" s="1490"/>
      <c r="AJZ7" s="1490"/>
      <c r="AKA7" s="1490"/>
      <c r="AKB7" s="1490"/>
      <c r="AKC7" s="1490"/>
      <c r="AKD7" s="1490"/>
      <c r="AKE7" s="1490"/>
      <c r="AKF7" s="1490"/>
      <c r="AKG7" s="1490"/>
      <c r="AKH7" s="1490"/>
      <c r="AKI7" s="1490"/>
      <c r="AKJ7" s="1490"/>
      <c r="AKK7" s="1490"/>
      <c r="AKL7" s="1490"/>
      <c r="AKM7" s="1490"/>
      <c r="AKN7" s="1490"/>
      <c r="AKO7" s="1490"/>
      <c r="AKP7" s="1490"/>
      <c r="AKQ7" s="1490"/>
      <c r="AKR7" s="1490"/>
      <c r="AKS7" s="1490"/>
      <c r="AKT7" s="1490"/>
      <c r="AKU7" s="1490"/>
      <c r="AKV7" s="1490"/>
      <c r="AKW7" s="1490"/>
      <c r="AKX7" s="1490"/>
      <c r="AKY7" s="1490"/>
      <c r="AKZ7" s="1490"/>
      <c r="ALA7" s="1490"/>
      <c r="ALB7" s="1490"/>
      <c r="ALC7" s="1490"/>
      <c r="ALD7" s="1490"/>
      <c r="ALE7" s="1490"/>
      <c r="ALF7" s="1490"/>
      <c r="ALG7" s="1490"/>
      <c r="ALH7" s="1490"/>
      <c r="ALI7" s="1490"/>
      <c r="ALJ7" s="1490"/>
      <c r="ALK7" s="1490"/>
      <c r="ALL7" s="1490"/>
      <c r="ALM7" s="1490"/>
      <c r="ALN7" s="1490"/>
      <c r="ALO7" s="1490"/>
      <c r="ALP7" s="1490"/>
      <c r="ALQ7" s="1490"/>
      <c r="ALR7" s="1490"/>
      <c r="ALS7" s="1490"/>
      <c r="ALT7" s="1490"/>
      <c r="ALU7" s="1490"/>
      <c r="ALV7" s="1490"/>
      <c r="ALW7" s="1490"/>
      <c r="ALX7" s="1490"/>
      <c r="ALY7" s="1490"/>
      <c r="ALZ7" s="1490"/>
      <c r="AMA7" s="1490"/>
      <c r="AMB7" s="1490"/>
      <c r="AMC7" s="1490"/>
      <c r="AMD7" s="1490"/>
      <c r="AME7" s="1490"/>
      <c r="AMF7" s="1490"/>
      <c r="AMG7" s="1490"/>
      <c r="AMH7" s="1490"/>
      <c r="AMI7" s="1490"/>
      <c r="AMJ7" s="1490"/>
      <c r="AMK7" s="1490"/>
      <c r="AML7" s="1490"/>
      <c r="AMM7" s="1490"/>
      <c r="AMN7" s="1490"/>
      <c r="AMO7" s="1490"/>
      <c r="AMP7" s="1490"/>
      <c r="AMQ7" s="1490"/>
      <c r="AMR7" s="1490"/>
      <c r="AMS7" s="1490"/>
      <c r="AMT7" s="1490"/>
      <c r="AMU7" s="1490"/>
      <c r="AMV7" s="1490"/>
      <c r="AMW7" s="1490"/>
      <c r="AMX7" s="1490"/>
      <c r="AMY7" s="1490"/>
      <c r="AMZ7" s="1490"/>
      <c r="ANA7" s="1490"/>
      <c r="ANB7" s="1490"/>
      <c r="ANC7" s="1490"/>
      <c r="AND7" s="1490"/>
      <c r="ANE7" s="1490"/>
      <c r="ANF7" s="1490"/>
      <c r="ANG7" s="1490"/>
      <c r="ANH7" s="1490"/>
      <c r="ANI7" s="1490"/>
      <c r="ANJ7" s="1490"/>
      <c r="ANK7" s="1490"/>
      <c r="ANL7" s="1490"/>
      <c r="ANM7" s="1490"/>
      <c r="ANN7" s="1490"/>
      <c r="ANO7" s="1490"/>
      <c r="ANP7" s="1490"/>
      <c r="ANQ7" s="1490"/>
      <c r="ANR7" s="1490"/>
      <c r="ANS7" s="1490"/>
      <c r="ANT7" s="1490"/>
      <c r="ANU7" s="1490"/>
      <c r="ANV7" s="1490"/>
      <c r="ANW7" s="1490"/>
      <c r="ANX7" s="1490"/>
      <c r="ANY7" s="1490"/>
      <c r="ANZ7" s="1490"/>
      <c r="AOA7" s="1490"/>
      <c r="AOB7" s="1490"/>
      <c r="AOC7" s="1490"/>
      <c r="AOD7" s="1490"/>
      <c r="AOE7" s="1490"/>
      <c r="AOF7" s="1490"/>
      <c r="AOG7" s="1490"/>
      <c r="AOH7" s="1490"/>
      <c r="AOI7" s="1490"/>
      <c r="AOJ7" s="1490"/>
      <c r="AOK7" s="1490"/>
      <c r="AOL7" s="1490"/>
      <c r="AOM7" s="1490"/>
      <c r="AON7" s="1490"/>
      <c r="AOO7" s="1490"/>
      <c r="AOP7" s="1490"/>
      <c r="AOQ7" s="1490"/>
      <c r="AOR7" s="1490"/>
      <c r="AOS7" s="1490"/>
      <c r="AOT7" s="1490"/>
      <c r="AOU7" s="1490"/>
      <c r="AOV7" s="1490"/>
      <c r="AOW7" s="1490"/>
      <c r="AOX7" s="1490"/>
      <c r="AOY7" s="1490"/>
      <c r="AOZ7" s="1490"/>
      <c r="APA7" s="1490"/>
      <c r="APB7" s="1490"/>
      <c r="APC7" s="1490"/>
      <c r="APD7" s="1490"/>
      <c r="APE7" s="1490"/>
      <c r="APF7" s="1490"/>
      <c r="APG7" s="1490"/>
      <c r="APH7" s="1490"/>
      <c r="API7" s="1490"/>
      <c r="APJ7" s="1490"/>
      <c r="APK7" s="1490"/>
      <c r="APL7" s="1490"/>
      <c r="APM7" s="1490"/>
      <c r="APN7" s="1490"/>
      <c r="APO7" s="1490"/>
      <c r="APP7" s="1490"/>
      <c r="APQ7" s="1490"/>
      <c r="APR7" s="1490"/>
      <c r="APS7" s="1490"/>
      <c r="APT7" s="1490"/>
      <c r="APU7" s="1490"/>
      <c r="APV7" s="1490"/>
      <c r="APW7" s="1490"/>
      <c r="APX7" s="1490"/>
      <c r="APY7" s="1490"/>
      <c r="APZ7" s="1490"/>
      <c r="AQA7" s="1490"/>
      <c r="AQB7" s="1490"/>
      <c r="AQC7" s="1490"/>
      <c r="AQD7" s="1490"/>
      <c r="AQE7" s="1490"/>
      <c r="AQF7" s="1490"/>
      <c r="AQG7" s="1490"/>
      <c r="AQH7" s="1490"/>
      <c r="AQI7" s="1490"/>
      <c r="AQJ7" s="1490"/>
      <c r="AQK7" s="1490"/>
      <c r="AQL7" s="1490"/>
      <c r="AQM7" s="1490"/>
      <c r="AQN7" s="1490"/>
      <c r="AQO7" s="1490"/>
      <c r="AQP7" s="1490"/>
      <c r="AQQ7" s="1490"/>
      <c r="AQR7" s="1490"/>
      <c r="AQS7" s="1490"/>
      <c r="AQT7" s="1490"/>
      <c r="AQU7" s="1490"/>
      <c r="AQV7" s="1490"/>
      <c r="AQW7" s="1490"/>
      <c r="AQX7" s="1490"/>
      <c r="AQY7" s="1490"/>
      <c r="AQZ7" s="1490"/>
      <c r="ARA7" s="1490"/>
      <c r="ARB7" s="1490"/>
      <c r="ARC7" s="1490"/>
      <c r="ARD7" s="1490"/>
      <c r="ARE7" s="1490"/>
      <c r="ARF7" s="1490"/>
      <c r="ARG7" s="1490"/>
      <c r="ARH7" s="1490"/>
      <c r="ARI7" s="1490"/>
      <c r="ARJ7" s="1490"/>
      <c r="ARK7" s="1490"/>
      <c r="ARL7" s="1490"/>
      <c r="ARM7" s="1490"/>
      <c r="ARN7" s="1490"/>
      <c r="ARO7" s="1490"/>
      <c r="ARP7" s="1490"/>
      <c r="ARQ7" s="1490"/>
      <c r="ARR7" s="1490"/>
      <c r="ARS7" s="1490"/>
      <c r="ART7" s="1490"/>
      <c r="ARU7" s="1490"/>
      <c r="ARV7" s="1490"/>
      <c r="ARW7" s="1490"/>
      <c r="ARX7" s="1490"/>
      <c r="ARY7" s="1490"/>
      <c r="ARZ7" s="1490"/>
      <c r="ASA7" s="1490"/>
      <c r="ASB7" s="1490"/>
      <c r="ASC7" s="1490"/>
      <c r="ASD7" s="1490"/>
      <c r="ASE7" s="1490"/>
      <c r="ASF7" s="1490"/>
      <c r="ASG7" s="1490"/>
      <c r="ASH7" s="1490"/>
      <c r="ASI7" s="1490"/>
      <c r="ASJ7" s="1490"/>
      <c r="ASK7" s="1490"/>
      <c r="ASL7" s="1490"/>
      <c r="ASM7" s="1490"/>
      <c r="ASN7" s="1490"/>
      <c r="ASO7" s="1490"/>
      <c r="ASP7" s="1490"/>
      <c r="ASQ7" s="1490"/>
      <c r="ASR7" s="1490"/>
      <c r="ASS7" s="1490"/>
      <c r="AST7" s="1490"/>
      <c r="ASU7" s="1490"/>
      <c r="ASV7" s="1490"/>
      <c r="ASW7" s="1490"/>
      <c r="ASX7" s="1490"/>
      <c r="ASY7" s="1490"/>
      <c r="ASZ7" s="1490"/>
      <c r="ATA7" s="1490"/>
      <c r="ATB7" s="1490"/>
      <c r="ATC7" s="1490"/>
      <c r="ATD7" s="1490"/>
      <c r="ATE7" s="1490"/>
      <c r="ATF7" s="1490"/>
      <c r="ATG7" s="1490"/>
      <c r="ATH7" s="1490"/>
      <c r="ATI7" s="1490"/>
      <c r="ATJ7" s="1490"/>
      <c r="ATK7" s="1490"/>
      <c r="ATL7" s="1490"/>
      <c r="ATM7" s="1490"/>
      <c r="ATN7" s="1490"/>
      <c r="ATO7" s="1490"/>
    </row>
    <row r="8" spans="1:1211" s="840" customFormat="1" ht="15" customHeight="1" thickBot="1">
      <c r="A8" s="2607"/>
      <c r="B8" s="2607"/>
      <c r="C8" s="2607"/>
      <c r="D8" s="2607"/>
      <c r="E8" s="1547"/>
      <c r="F8" s="1548"/>
      <c r="G8" s="1549" t="s">
        <v>42</v>
      </c>
      <c r="H8" s="1550" t="s">
        <v>42</v>
      </c>
      <c r="I8" s="1551" t="str">
        <f>IF(D5=1,"$","S/.")</f>
        <v>S/.</v>
      </c>
      <c r="J8" s="1552" t="str">
        <f>IF(D5=1,"$","S/.")</f>
        <v>S/.</v>
      </c>
      <c r="K8" s="1517" t="s">
        <v>1531</v>
      </c>
      <c r="L8" s="1518" t="s">
        <v>1532</v>
      </c>
      <c r="M8" s="1519" t="s">
        <v>1540</v>
      </c>
      <c r="N8" s="1520" t="s">
        <v>41</v>
      </c>
      <c r="O8" s="1521" t="s">
        <v>1171</v>
      </c>
      <c r="P8" s="1522" t="s">
        <v>47</v>
      </c>
      <c r="Q8" s="1523" t="s">
        <v>318</v>
      </c>
      <c r="R8" s="839"/>
      <c r="S8" s="839"/>
      <c r="T8" s="839"/>
      <c r="U8" s="839"/>
      <c r="V8" s="839"/>
      <c r="W8" s="839"/>
      <c r="X8" s="839"/>
      <c r="Y8" s="839"/>
      <c r="Z8" s="839"/>
      <c r="AA8" s="839"/>
      <c r="AB8" s="839"/>
      <c r="AC8" s="839"/>
      <c r="AD8" s="839"/>
      <c r="AE8" s="839"/>
      <c r="AF8" s="839"/>
      <c r="AG8" s="839"/>
      <c r="AH8" s="839"/>
      <c r="AI8" s="839"/>
      <c r="AJ8" s="839"/>
      <c r="AK8" s="839"/>
      <c r="AL8" s="839"/>
      <c r="AM8" s="839"/>
      <c r="AN8" s="839"/>
      <c r="AO8" s="839"/>
      <c r="AP8" s="839"/>
      <c r="AQ8" s="839"/>
      <c r="AR8" s="839"/>
      <c r="AS8" s="839"/>
      <c r="AT8" s="839"/>
      <c r="AU8" s="839"/>
      <c r="AV8" s="839"/>
      <c r="AW8" s="839"/>
      <c r="AX8" s="839"/>
      <c r="AY8" s="839"/>
      <c r="AZ8" s="839"/>
      <c r="BA8" s="839"/>
      <c r="BB8" s="839"/>
      <c r="BC8" s="839"/>
      <c r="BD8" s="839"/>
      <c r="BE8" s="839"/>
      <c r="BF8" s="839"/>
      <c r="BG8" s="839"/>
      <c r="BH8" s="839"/>
      <c r="BI8" s="839"/>
      <c r="BJ8" s="839"/>
      <c r="BK8" s="839"/>
      <c r="BL8" s="839"/>
      <c r="BM8" s="839"/>
      <c r="BN8" s="839"/>
      <c r="BO8" s="839"/>
      <c r="BP8" s="839"/>
      <c r="BQ8" s="839"/>
      <c r="BR8" s="839"/>
      <c r="BS8" s="839"/>
      <c r="BT8" s="839"/>
      <c r="BU8" s="839"/>
      <c r="BV8" s="839"/>
      <c r="BW8" s="839"/>
      <c r="BX8" s="839"/>
      <c r="BY8" s="839"/>
      <c r="BZ8" s="839"/>
      <c r="CA8" s="839"/>
      <c r="CB8" s="839"/>
      <c r="CC8" s="839"/>
      <c r="CD8" s="839"/>
      <c r="CE8" s="839"/>
      <c r="CF8" s="839"/>
      <c r="CG8" s="839"/>
      <c r="CH8" s="839"/>
      <c r="CI8" s="839"/>
      <c r="CJ8" s="839"/>
      <c r="CK8" s="839"/>
      <c r="CL8" s="839"/>
      <c r="CM8" s="839"/>
      <c r="CN8" s="839"/>
      <c r="CO8" s="839"/>
      <c r="CP8" s="839"/>
      <c r="CQ8" s="839"/>
      <c r="CR8" s="839"/>
      <c r="CS8" s="839"/>
      <c r="CT8" s="839"/>
      <c r="CU8" s="839"/>
      <c r="CV8" s="839"/>
      <c r="CW8" s="839"/>
      <c r="CX8" s="839"/>
      <c r="CY8" s="839"/>
      <c r="CZ8" s="839"/>
      <c r="DA8" s="839"/>
      <c r="DB8" s="839"/>
      <c r="DC8" s="839"/>
      <c r="DD8" s="839"/>
      <c r="DE8" s="839"/>
      <c r="DF8" s="839"/>
      <c r="DG8" s="839"/>
      <c r="DH8" s="839"/>
      <c r="DI8" s="839"/>
      <c r="DJ8" s="839"/>
      <c r="DK8" s="839"/>
      <c r="DL8" s="839"/>
      <c r="DM8" s="839"/>
      <c r="DN8" s="839"/>
      <c r="DO8" s="839"/>
      <c r="DP8" s="839"/>
      <c r="DQ8" s="839"/>
      <c r="DR8" s="839"/>
      <c r="DS8" s="839"/>
      <c r="DT8" s="839"/>
      <c r="DU8" s="839"/>
      <c r="DV8" s="839"/>
      <c r="DW8" s="839"/>
      <c r="DX8" s="839"/>
      <c r="DY8" s="839"/>
      <c r="DZ8" s="839"/>
      <c r="EA8" s="839"/>
      <c r="EB8" s="839"/>
      <c r="EC8" s="839"/>
      <c r="ED8" s="839"/>
      <c r="EE8" s="839"/>
      <c r="EF8" s="839"/>
      <c r="EG8" s="839"/>
      <c r="EH8" s="839"/>
      <c r="EI8" s="839"/>
      <c r="EJ8" s="839"/>
      <c r="EK8" s="839"/>
      <c r="EL8" s="839"/>
      <c r="EM8" s="839"/>
      <c r="EN8" s="839"/>
      <c r="EO8" s="839"/>
      <c r="EP8" s="839"/>
      <c r="EQ8" s="839"/>
      <c r="ER8" s="839"/>
      <c r="ES8" s="839"/>
      <c r="ET8" s="839"/>
      <c r="EU8" s="839"/>
      <c r="EV8" s="839"/>
      <c r="EW8" s="839"/>
      <c r="EX8" s="839"/>
      <c r="EY8" s="839"/>
      <c r="EZ8" s="839"/>
      <c r="FA8" s="839"/>
      <c r="FB8" s="839"/>
      <c r="FC8" s="839"/>
      <c r="FD8" s="839"/>
      <c r="FE8" s="839"/>
      <c r="FF8" s="839"/>
      <c r="FG8" s="839"/>
      <c r="FH8" s="839"/>
      <c r="FI8" s="839"/>
      <c r="FJ8" s="839"/>
      <c r="FK8" s="839"/>
      <c r="FL8" s="839"/>
      <c r="FM8" s="839"/>
      <c r="FN8" s="839"/>
      <c r="FO8" s="839"/>
      <c r="FP8" s="839"/>
      <c r="FQ8" s="839"/>
      <c r="FR8" s="839"/>
      <c r="FS8" s="839"/>
      <c r="FT8" s="839"/>
      <c r="FU8" s="839"/>
      <c r="FV8" s="839"/>
      <c r="FW8" s="839"/>
      <c r="FX8" s="839"/>
      <c r="FY8" s="839"/>
      <c r="FZ8" s="839"/>
      <c r="GA8" s="839"/>
      <c r="GB8" s="839"/>
      <c r="GC8" s="839"/>
      <c r="GD8" s="839"/>
      <c r="GE8" s="839"/>
      <c r="GF8" s="839"/>
      <c r="GG8" s="839"/>
      <c r="GH8" s="839"/>
      <c r="GI8" s="839"/>
      <c r="GJ8" s="839"/>
      <c r="GK8" s="839"/>
      <c r="GL8" s="839"/>
      <c r="GM8" s="839"/>
      <c r="GN8" s="839"/>
      <c r="GO8" s="839"/>
      <c r="GP8" s="839"/>
      <c r="GQ8" s="839"/>
      <c r="GR8" s="839"/>
      <c r="GS8" s="839"/>
      <c r="GT8" s="839"/>
      <c r="GU8" s="839"/>
      <c r="GV8" s="839"/>
      <c r="GW8" s="839"/>
      <c r="GX8" s="839"/>
      <c r="GY8" s="839"/>
      <c r="GZ8" s="839"/>
      <c r="HA8" s="839"/>
      <c r="HB8" s="839"/>
      <c r="HC8" s="839"/>
      <c r="HD8" s="839"/>
      <c r="HE8" s="839"/>
      <c r="HF8" s="839"/>
      <c r="HG8" s="839"/>
      <c r="HH8" s="839"/>
      <c r="HI8" s="839"/>
      <c r="HJ8" s="839"/>
      <c r="HK8" s="839"/>
      <c r="HL8" s="839"/>
      <c r="HM8" s="839"/>
      <c r="HN8" s="839"/>
      <c r="HO8" s="839"/>
      <c r="HP8" s="839"/>
      <c r="HQ8" s="839"/>
      <c r="HR8" s="839"/>
      <c r="HS8" s="839"/>
      <c r="HT8" s="839"/>
      <c r="HU8" s="839"/>
      <c r="HV8" s="839"/>
      <c r="HW8" s="839"/>
      <c r="HX8" s="839"/>
      <c r="HY8" s="839"/>
      <c r="HZ8" s="839"/>
      <c r="IA8" s="839"/>
      <c r="IB8" s="839"/>
      <c r="IC8" s="839"/>
      <c r="ID8" s="839"/>
      <c r="IE8" s="839"/>
      <c r="IF8" s="839"/>
      <c r="IG8" s="839"/>
      <c r="IH8" s="839"/>
      <c r="II8" s="839"/>
      <c r="IJ8" s="839"/>
      <c r="IK8" s="839"/>
      <c r="IL8" s="839"/>
      <c r="IM8" s="839"/>
      <c r="IN8" s="839"/>
      <c r="IO8" s="839"/>
      <c r="IP8" s="839"/>
      <c r="IQ8" s="839"/>
      <c r="IR8" s="839"/>
      <c r="IS8" s="839"/>
      <c r="IT8" s="839"/>
      <c r="IU8" s="839"/>
      <c r="IV8" s="839"/>
      <c r="IW8" s="839"/>
      <c r="IX8" s="839"/>
      <c r="IY8" s="839"/>
      <c r="IZ8" s="839"/>
      <c r="JA8" s="839"/>
      <c r="JB8" s="839"/>
      <c r="JC8" s="839"/>
      <c r="JD8" s="839"/>
      <c r="JE8" s="839"/>
      <c r="JF8" s="839"/>
      <c r="JG8" s="839"/>
      <c r="JH8" s="839"/>
      <c r="JI8" s="839"/>
      <c r="JJ8" s="839"/>
      <c r="JK8" s="839"/>
      <c r="JL8" s="839"/>
      <c r="JM8" s="839"/>
      <c r="JN8" s="839"/>
      <c r="JO8" s="839"/>
      <c r="JP8" s="839"/>
      <c r="JQ8" s="839"/>
      <c r="JR8" s="839"/>
      <c r="JS8" s="839"/>
      <c r="JT8" s="839"/>
      <c r="JU8" s="839"/>
      <c r="JV8" s="839"/>
      <c r="JW8" s="839"/>
      <c r="JX8" s="839"/>
      <c r="JY8" s="839"/>
      <c r="JZ8" s="839"/>
      <c r="KA8" s="839"/>
      <c r="KB8" s="839"/>
      <c r="KC8" s="839"/>
      <c r="KD8" s="839"/>
      <c r="KE8" s="839"/>
      <c r="KF8" s="839"/>
      <c r="KG8" s="839"/>
      <c r="KH8" s="839"/>
      <c r="KI8" s="839"/>
      <c r="KJ8" s="839"/>
      <c r="KK8" s="839"/>
      <c r="KL8" s="839"/>
      <c r="KM8" s="839"/>
      <c r="KN8" s="839"/>
      <c r="KO8" s="839"/>
      <c r="KP8" s="839"/>
      <c r="KQ8" s="839"/>
      <c r="KR8" s="839"/>
      <c r="KS8" s="839"/>
      <c r="KT8" s="839"/>
      <c r="KU8" s="839"/>
      <c r="KV8" s="839"/>
      <c r="KW8" s="839"/>
      <c r="KX8" s="839"/>
      <c r="KY8" s="839"/>
      <c r="KZ8" s="839"/>
      <c r="LA8" s="839"/>
      <c r="LB8" s="839"/>
      <c r="LC8" s="839"/>
      <c r="LD8" s="839"/>
      <c r="LE8" s="839"/>
      <c r="LF8" s="839"/>
      <c r="LG8" s="839"/>
      <c r="LH8" s="839"/>
      <c r="LI8" s="839"/>
      <c r="LJ8" s="839"/>
      <c r="LK8" s="839"/>
      <c r="LL8" s="839"/>
      <c r="LM8" s="839"/>
      <c r="LN8" s="839"/>
      <c r="LO8" s="839"/>
      <c r="LP8" s="839"/>
      <c r="LQ8" s="839"/>
      <c r="LR8" s="839"/>
      <c r="LS8" s="839"/>
      <c r="LT8" s="839"/>
      <c r="LU8" s="839"/>
      <c r="LV8" s="839"/>
      <c r="LW8" s="839"/>
      <c r="LX8" s="839"/>
      <c r="LY8" s="839"/>
      <c r="LZ8" s="839"/>
      <c r="MA8" s="839"/>
      <c r="MB8" s="839"/>
      <c r="MC8" s="839"/>
      <c r="MD8" s="839"/>
      <c r="ME8" s="839"/>
      <c r="MF8" s="839"/>
      <c r="MG8" s="839"/>
      <c r="MH8" s="839"/>
      <c r="MI8" s="839"/>
      <c r="MJ8" s="839"/>
      <c r="MK8" s="839"/>
      <c r="ML8" s="839"/>
      <c r="MM8" s="839"/>
      <c r="MN8" s="839"/>
      <c r="MO8" s="839"/>
      <c r="MP8" s="839"/>
      <c r="MQ8" s="839"/>
      <c r="MR8" s="839"/>
      <c r="MS8" s="839"/>
      <c r="MT8" s="839"/>
      <c r="MU8" s="839"/>
      <c r="MV8" s="839"/>
      <c r="MW8" s="839"/>
      <c r="MX8" s="839"/>
      <c r="MY8" s="839"/>
      <c r="MZ8" s="839"/>
      <c r="NA8" s="839"/>
      <c r="NB8" s="839"/>
      <c r="NC8" s="839"/>
      <c r="ND8" s="839"/>
      <c r="NE8" s="839"/>
      <c r="NF8" s="839"/>
      <c r="NG8" s="839"/>
      <c r="NH8" s="839"/>
      <c r="NI8" s="839"/>
      <c r="NJ8" s="839"/>
      <c r="NK8" s="839"/>
      <c r="NL8" s="839"/>
      <c r="NM8" s="839"/>
      <c r="NN8" s="839"/>
      <c r="NO8" s="839"/>
      <c r="NP8" s="839"/>
      <c r="NQ8" s="839"/>
      <c r="NR8" s="839"/>
      <c r="NS8" s="839"/>
      <c r="NT8" s="839"/>
      <c r="NU8" s="839"/>
      <c r="NV8" s="839"/>
      <c r="NW8" s="839"/>
      <c r="NX8" s="839"/>
      <c r="NY8" s="839"/>
      <c r="NZ8" s="839"/>
      <c r="OA8" s="839"/>
      <c r="OB8" s="839"/>
      <c r="OC8" s="839"/>
      <c r="OD8" s="839"/>
      <c r="OE8" s="839"/>
      <c r="OF8" s="839"/>
      <c r="OG8" s="839"/>
      <c r="OH8" s="839"/>
      <c r="OI8" s="839"/>
      <c r="OJ8" s="839"/>
      <c r="OK8" s="839"/>
      <c r="OL8" s="839"/>
      <c r="OM8" s="839"/>
      <c r="ON8" s="839"/>
      <c r="OO8" s="839"/>
      <c r="OP8" s="839"/>
      <c r="OQ8" s="839"/>
      <c r="OR8" s="839"/>
      <c r="OS8" s="839"/>
      <c r="OT8" s="839"/>
      <c r="OU8" s="839"/>
      <c r="OV8" s="839"/>
      <c r="OW8" s="839"/>
      <c r="OX8" s="839"/>
      <c r="OY8" s="839"/>
      <c r="OZ8" s="839"/>
      <c r="PA8" s="839"/>
      <c r="PB8" s="839"/>
      <c r="PC8" s="839"/>
      <c r="PD8" s="839"/>
      <c r="PE8" s="839"/>
      <c r="PF8" s="839"/>
      <c r="PG8" s="839"/>
      <c r="PH8" s="839"/>
      <c r="PI8" s="839"/>
      <c r="PJ8" s="839"/>
      <c r="PK8" s="839"/>
      <c r="PL8" s="839"/>
      <c r="PM8" s="839"/>
      <c r="PN8" s="839"/>
      <c r="PO8" s="839"/>
      <c r="PP8" s="839"/>
      <c r="PQ8" s="839"/>
      <c r="PR8" s="839"/>
      <c r="PS8" s="839"/>
      <c r="PT8" s="839"/>
      <c r="PU8" s="839"/>
      <c r="PV8" s="839"/>
      <c r="PW8" s="839"/>
      <c r="PX8" s="839"/>
      <c r="PY8" s="839"/>
      <c r="PZ8" s="839"/>
      <c r="QA8" s="839"/>
      <c r="QB8" s="839"/>
      <c r="QC8" s="839"/>
      <c r="QD8" s="839"/>
      <c r="QE8" s="839"/>
      <c r="QF8" s="839"/>
      <c r="QG8" s="839"/>
      <c r="QH8" s="839"/>
      <c r="QI8" s="839"/>
      <c r="QJ8" s="839"/>
      <c r="QK8" s="839"/>
      <c r="QL8" s="839"/>
      <c r="QM8" s="839"/>
      <c r="QN8" s="839"/>
      <c r="QO8" s="839"/>
      <c r="QP8" s="839"/>
      <c r="QQ8" s="839"/>
      <c r="QR8" s="839"/>
      <c r="QS8" s="839"/>
      <c r="QT8" s="839"/>
      <c r="QU8" s="839"/>
      <c r="QV8" s="839"/>
      <c r="QW8" s="839"/>
      <c r="QX8" s="839"/>
      <c r="QY8" s="839"/>
      <c r="QZ8" s="839"/>
      <c r="RA8" s="839"/>
      <c r="RB8" s="839"/>
      <c r="RC8" s="839"/>
      <c r="RD8" s="839"/>
      <c r="RE8" s="839"/>
      <c r="RF8" s="839"/>
      <c r="RG8" s="839"/>
      <c r="RH8" s="839"/>
      <c r="RI8" s="839"/>
      <c r="RJ8" s="839"/>
      <c r="RK8" s="839"/>
      <c r="RL8" s="839"/>
      <c r="RM8" s="839"/>
      <c r="RN8" s="839"/>
      <c r="RO8" s="839"/>
      <c r="RP8" s="839"/>
      <c r="RQ8" s="839"/>
      <c r="RR8" s="839"/>
      <c r="RS8" s="839"/>
      <c r="RT8" s="839"/>
      <c r="RU8" s="839"/>
      <c r="RV8" s="839"/>
      <c r="RW8" s="839"/>
      <c r="RX8" s="839"/>
      <c r="RY8" s="839"/>
      <c r="RZ8" s="839"/>
      <c r="SA8" s="839"/>
      <c r="SB8" s="839"/>
      <c r="SC8" s="839"/>
      <c r="SD8" s="839"/>
      <c r="SE8" s="839"/>
      <c r="SF8" s="839"/>
      <c r="SG8" s="839"/>
      <c r="SH8" s="839"/>
      <c r="SI8" s="839"/>
      <c r="SJ8" s="839"/>
      <c r="SK8" s="839"/>
      <c r="SL8" s="839"/>
      <c r="SM8" s="839"/>
      <c r="SN8" s="839"/>
      <c r="SO8" s="839"/>
      <c r="SP8" s="839"/>
      <c r="SQ8" s="839"/>
      <c r="SR8" s="839"/>
      <c r="SS8" s="839"/>
      <c r="ST8" s="839"/>
      <c r="SU8" s="839"/>
      <c r="SV8" s="839"/>
      <c r="SW8" s="839"/>
      <c r="SX8" s="839"/>
      <c r="SY8" s="839"/>
      <c r="SZ8" s="839"/>
      <c r="TA8" s="839"/>
      <c r="TB8" s="839"/>
      <c r="TC8" s="839"/>
      <c r="TD8" s="839"/>
      <c r="TE8" s="839"/>
      <c r="TF8" s="839"/>
      <c r="TG8" s="839"/>
      <c r="TH8" s="839"/>
      <c r="TI8" s="839"/>
      <c r="TJ8" s="839"/>
      <c r="TK8" s="839"/>
      <c r="TL8" s="839"/>
      <c r="TM8" s="839"/>
      <c r="TN8" s="839"/>
      <c r="TO8" s="839"/>
      <c r="TP8" s="839"/>
      <c r="TQ8" s="839"/>
      <c r="TR8" s="839"/>
      <c r="TS8" s="839"/>
      <c r="TT8" s="839"/>
      <c r="TU8" s="839"/>
      <c r="TV8" s="839"/>
      <c r="TW8" s="839"/>
      <c r="TX8" s="839"/>
      <c r="TY8" s="839"/>
      <c r="TZ8" s="839"/>
      <c r="UA8" s="839"/>
      <c r="UB8" s="839"/>
      <c r="UC8" s="839"/>
      <c r="UD8" s="839"/>
      <c r="UE8" s="839"/>
      <c r="UF8" s="839"/>
      <c r="UG8" s="839"/>
      <c r="UH8" s="839"/>
      <c r="UI8" s="839"/>
      <c r="UJ8" s="839"/>
      <c r="UK8" s="839"/>
      <c r="UL8" s="839"/>
      <c r="UM8" s="839"/>
      <c r="UN8" s="839"/>
      <c r="UO8" s="839"/>
      <c r="UP8" s="839"/>
      <c r="UQ8" s="839"/>
      <c r="UR8" s="839"/>
      <c r="US8" s="839"/>
      <c r="UT8" s="839"/>
      <c r="UU8" s="839"/>
      <c r="UV8" s="839"/>
      <c r="UW8" s="839"/>
      <c r="UX8" s="839"/>
      <c r="UY8" s="839"/>
      <c r="UZ8" s="839"/>
      <c r="VA8" s="839"/>
      <c r="VB8" s="839"/>
      <c r="VC8" s="839"/>
      <c r="VD8" s="839"/>
      <c r="VE8" s="839"/>
      <c r="VF8" s="839"/>
      <c r="VG8" s="839"/>
      <c r="VH8" s="839"/>
      <c r="VI8" s="839"/>
      <c r="VJ8" s="839"/>
      <c r="VK8" s="839"/>
      <c r="VL8" s="839"/>
      <c r="VM8" s="839"/>
      <c r="VN8" s="839"/>
      <c r="VO8" s="839"/>
      <c r="VP8" s="839"/>
      <c r="VQ8" s="839"/>
      <c r="VR8" s="839"/>
      <c r="VS8" s="839"/>
      <c r="VT8" s="839"/>
      <c r="VU8" s="839"/>
      <c r="VV8" s="839"/>
      <c r="VW8" s="839"/>
      <c r="VX8" s="839"/>
      <c r="VY8" s="839"/>
      <c r="VZ8" s="839"/>
      <c r="WA8" s="839"/>
      <c r="WB8" s="839"/>
      <c r="WC8" s="839"/>
      <c r="WD8" s="839"/>
      <c r="WE8" s="839"/>
      <c r="WF8" s="839"/>
      <c r="WG8" s="839"/>
      <c r="WH8" s="839"/>
      <c r="WI8" s="839"/>
      <c r="WJ8" s="839"/>
      <c r="WK8" s="839"/>
      <c r="WL8" s="839"/>
      <c r="WM8" s="839"/>
      <c r="WN8" s="839"/>
      <c r="WO8" s="839"/>
      <c r="WP8" s="839"/>
      <c r="WQ8" s="839"/>
      <c r="WR8" s="839"/>
      <c r="WS8" s="839"/>
      <c r="WT8" s="839"/>
      <c r="WU8" s="839"/>
      <c r="WV8" s="839"/>
      <c r="WW8" s="839"/>
      <c r="WX8" s="839"/>
      <c r="WY8" s="839"/>
      <c r="WZ8" s="839"/>
      <c r="XA8" s="839"/>
      <c r="XB8" s="839"/>
      <c r="XC8" s="839"/>
      <c r="XD8" s="839"/>
      <c r="XE8" s="839"/>
      <c r="XF8" s="839"/>
      <c r="XG8" s="839"/>
      <c r="XH8" s="839"/>
      <c r="XI8" s="839"/>
      <c r="XJ8" s="839"/>
      <c r="XK8" s="839"/>
      <c r="XL8" s="839"/>
      <c r="XM8" s="839"/>
      <c r="XN8" s="839"/>
      <c r="XO8" s="839"/>
      <c r="XP8" s="839"/>
      <c r="XQ8" s="839"/>
      <c r="XR8" s="839"/>
      <c r="XS8" s="839"/>
      <c r="XT8" s="839"/>
      <c r="XU8" s="839"/>
      <c r="XV8" s="839"/>
      <c r="XW8" s="839"/>
      <c r="XX8" s="839"/>
      <c r="XY8" s="839"/>
      <c r="XZ8" s="839"/>
      <c r="YA8" s="839"/>
      <c r="YB8" s="839"/>
      <c r="YC8" s="839"/>
      <c r="YD8" s="839"/>
      <c r="YE8" s="839"/>
      <c r="YF8" s="839"/>
      <c r="YG8" s="839"/>
      <c r="YH8" s="839"/>
      <c r="YI8" s="839"/>
      <c r="YJ8" s="839"/>
      <c r="YK8" s="839"/>
      <c r="YL8" s="839"/>
      <c r="YM8" s="839"/>
      <c r="YN8" s="839"/>
      <c r="YO8" s="839"/>
      <c r="YP8" s="839"/>
      <c r="YQ8" s="839"/>
      <c r="YR8" s="839"/>
      <c r="YS8" s="839"/>
      <c r="YT8" s="839"/>
      <c r="YU8" s="839"/>
      <c r="YV8" s="839"/>
      <c r="YW8" s="839"/>
      <c r="YX8" s="839"/>
      <c r="YY8" s="839"/>
      <c r="YZ8" s="839"/>
      <c r="ZA8" s="839"/>
      <c r="ZB8" s="839"/>
      <c r="ZC8" s="839"/>
      <c r="ZD8" s="839"/>
      <c r="ZE8" s="839"/>
      <c r="ZF8" s="839"/>
      <c r="ZG8" s="839"/>
      <c r="ZH8" s="839"/>
      <c r="ZI8" s="839"/>
      <c r="ZJ8" s="839"/>
      <c r="ZK8" s="839"/>
      <c r="ZL8" s="839"/>
      <c r="ZM8" s="839"/>
      <c r="ZN8" s="839"/>
      <c r="ZO8" s="839"/>
      <c r="ZP8" s="839"/>
      <c r="ZQ8" s="839"/>
      <c r="ZR8" s="839"/>
      <c r="ZS8" s="839"/>
      <c r="ZT8" s="839"/>
      <c r="ZU8" s="839"/>
      <c r="ZV8" s="839"/>
      <c r="ZW8" s="839"/>
      <c r="ZX8" s="839"/>
      <c r="ZY8" s="839"/>
      <c r="ZZ8" s="839"/>
      <c r="AAA8" s="839"/>
      <c r="AAB8" s="839"/>
      <c r="AAC8" s="839"/>
      <c r="AAD8" s="839"/>
      <c r="AAE8" s="839"/>
      <c r="AAF8" s="839"/>
      <c r="AAG8" s="839"/>
      <c r="AAH8" s="839"/>
      <c r="AAI8" s="839"/>
      <c r="AAJ8" s="839"/>
      <c r="AAK8" s="839"/>
      <c r="AAL8" s="839"/>
      <c r="AAM8" s="839"/>
      <c r="AAN8" s="839"/>
      <c r="AAO8" s="839"/>
      <c r="AAP8" s="839"/>
      <c r="AAQ8" s="839"/>
      <c r="AAR8" s="839"/>
      <c r="AAS8" s="839"/>
      <c r="AAT8" s="839"/>
      <c r="AAU8" s="839"/>
      <c r="AAV8" s="839"/>
      <c r="AAW8" s="839"/>
      <c r="AAX8" s="839"/>
      <c r="AAY8" s="839"/>
      <c r="AAZ8" s="839"/>
      <c r="ABA8" s="839"/>
      <c r="ABB8" s="839"/>
      <c r="ABC8" s="839"/>
      <c r="ABD8" s="839"/>
      <c r="ABE8" s="839"/>
      <c r="ABF8" s="839"/>
      <c r="ABG8" s="839"/>
      <c r="ABH8" s="839"/>
      <c r="ABI8" s="839"/>
      <c r="ABJ8" s="839"/>
      <c r="ABK8" s="839"/>
      <c r="ABL8" s="839"/>
      <c r="ABM8" s="839"/>
      <c r="ABN8" s="839"/>
      <c r="ABO8" s="839"/>
      <c r="ABP8" s="839"/>
      <c r="ABQ8" s="839"/>
      <c r="ABR8" s="839"/>
      <c r="ABS8" s="839"/>
      <c r="ABT8" s="839"/>
      <c r="ABU8" s="839"/>
      <c r="ABV8" s="839"/>
      <c r="ABW8" s="839"/>
      <c r="ABX8" s="839"/>
      <c r="ABY8" s="839"/>
      <c r="ABZ8" s="839"/>
      <c r="ACA8" s="839"/>
      <c r="ACB8" s="839"/>
      <c r="ACC8" s="839"/>
      <c r="ACD8" s="839"/>
      <c r="ACE8" s="839"/>
      <c r="ACF8" s="839"/>
      <c r="ACG8" s="839"/>
      <c r="ACH8" s="839"/>
      <c r="ACI8" s="839"/>
      <c r="ACJ8" s="839"/>
      <c r="ACK8" s="839"/>
      <c r="ACL8" s="839"/>
      <c r="ACM8" s="839"/>
      <c r="ACN8" s="839"/>
      <c r="ACO8" s="839"/>
      <c r="ACP8" s="839"/>
      <c r="ACQ8" s="839"/>
      <c r="ACR8" s="839"/>
      <c r="ACS8" s="839"/>
      <c r="ACT8" s="839"/>
      <c r="ACU8" s="839"/>
      <c r="ACV8" s="839"/>
      <c r="ACW8" s="839"/>
      <c r="ACX8" s="839"/>
      <c r="ACY8" s="839"/>
      <c r="ACZ8" s="839"/>
      <c r="ADA8" s="839"/>
      <c r="ADB8" s="839"/>
      <c r="ADC8" s="839"/>
      <c r="ADD8" s="839"/>
      <c r="ADE8" s="839"/>
      <c r="ADF8" s="839"/>
      <c r="ADG8" s="839"/>
      <c r="ADH8" s="839"/>
      <c r="ADI8" s="839"/>
      <c r="ADJ8" s="839"/>
      <c r="ADK8" s="839"/>
      <c r="ADL8" s="839"/>
      <c r="ADM8" s="839"/>
      <c r="ADN8" s="839"/>
      <c r="ADO8" s="839"/>
      <c r="ADP8" s="839"/>
      <c r="ADQ8" s="839"/>
      <c r="ADR8" s="839"/>
      <c r="ADS8" s="839"/>
      <c r="ADT8" s="839"/>
      <c r="ADU8" s="839"/>
      <c r="ADV8" s="839"/>
      <c r="ADW8" s="839"/>
      <c r="ADX8" s="839"/>
      <c r="ADY8" s="839"/>
      <c r="ADZ8" s="839"/>
      <c r="AEA8" s="839"/>
      <c r="AEB8" s="839"/>
      <c r="AEC8" s="839"/>
      <c r="AED8" s="839"/>
      <c r="AEE8" s="839"/>
      <c r="AEF8" s="839"/>
      <c r="AEG8" s="839"/>
      <c r="AEH8" s="839"/>
      <c r="AEI8" s="839"/>
      <c r="AEJ8" s="839"/>
      <c r="AEK8" s="839"/>
      <c r="AEL8" s="839"/>
      <c r="AEM8" s="839"/>
      <c r="AEN8" s="839"/>
      <c r="AEO8" s="839"/>
      <c r="AEP8" s="839"/>
      <c r="AEQ8" s="839"/>
      <c r="AER8" s="839"/>
      <c r="AES8" s="839"/>
      <c r="AET8" s="839"/>
      <c r="AEU8" s="839"/>
      <c r="AEV8" s="839"/>
      <c r="AEW8" s="839"/>
      <c r="AEX8" s="839"/>
      <c r="AEY8" s="839"/>
      <c r="AEZ8" s="839"/>
      <c r="AFA8" s="839"/>
      <c r="AFB8" s="839"/>
      <c r="AFC8" s="839"/>
      <c r="AFD8" s="839"/>
      <c r="AFE8" s="839"/>
      <c r="AFF8" s="839"/>
      <c r="AFG8" s="839"/>
      <c r="AFH8" s="839"/>
      <c r="AFI8" s="839"/>
      <c r="AFJ8" s="839"/>
      <c r="AFK8" s="839"/>
      <c r="AFL8" s="839"/>
      <c r="AFM8" s="839"/>
      <c r="AFN8" s="839"/>
      <c r="AFO8" s="839"/>
      <c r="AFP8" s="839"/>
      <c r="AFQ8" s="839"/>
      <c r="AFR8" s="839"/>
      <c r="AFS8" s="839"/>
      <c r="AFT8" s="839"/>
      <c r="AFU8" s="839"/>
      <c r="AFV8" s="839"/>
      <c r="AFW8" s="839"/>
      <c r="AFX8" s="839"/>
      <c r="AFY8" s="839"/>
      <c r="AFZ8" s="839"/>
      <c r="AGA8" s="839"/>
      <c r="AGB8" s="839"/>
      <c r="AGC8" s="839"/>
      <c r="AGD8" s="839"/>
      <c r="AGE8" s="839"/>
      <c r="AGF8" s="839"/>
      <c r="AGG8" s="839"/>
      <c r="AGH8" s="839"/>
      <c r="AGI8" s="839"/>
      <c r="AGJ8" s="839"/>
      <c r="AGK8" s="839"/>
      <c r="AGL8" s="839"/>
      <c r="AGM8" s="839"/>
      <c r="AGN8" s="839"/>
      <c r="AGO8" s="839"/>
      <c r="AGP8" s="839"/>
      <c r="AGQ8" s="839"/>
      <c r="AGR8" s="839"/>
      <c r="AGS8" s="839"/>
      <c r="AGT8" s="839"/>
      <c r="AGU8" s="839"/>
      <c r="AGV8" s="839"/>
      <c r="AGW8" s="839"/>
      <c r="AGX8" s="839"/>
      <c r="AGY8" s="839"/>
      <c r="AGZ8" s="839"/>
      <c r="AHA8" s="839"/>
      <c r="AHB8" s="839"/>
      <c r="AHC8" s="839"/>
      <c r="AHD8" s="839"/>
      <c r="AHE8" s="839"/>
      <c r="AHF8" s="839"/>
      <c r="AHG8" s="839"/>
      <c r="AHH8" s="839"/>
      <c r="AHI8" s="839"/>
      <c r="AHJ8" s="839"/>
      <c r="AHK8" s="839"/>
      <c r="AHL8" s="839"/>
      <c r="AHM8" s="839"/>
      <c r="AHN8" s="839"/>
      <c r="AHO8" s="839"/>
      <c r="AHP8" s="839"/>
      <c r="AHQ8" s="839"/>
      <c r="AHR8" s="839"/>
      <c r="AHS8" s="839"/>
      <c r="AHT8" s="839"/>
      <c r="AHU8" s="839"/>
      <c r="AHV8" s="839"/>
      <c r="AHW8" s="839"/>
      <c r="AHX8" s="839"/>
      <c r="AHY8" s="839"/>
      <c r="AHZ8" s="839"/>
      <c r="AIA8" s="839"/>
      <c r="AIB8" s="839"/>
      <c r="AIC8" s="839"/>
      <c r="AID8" s="839"/>
      <c r="AIE8" s="839"/>
      <c r="AIF8" s="839"/>
      <c r="AIG8" s="839"/>
      <c r="AIH8" s="839"/>
      <c r="AII8" s="839"/>
      <c r="AIJ8" s="839"/>
      <c r="AIK8" s="839"/>
      <c r="AIL8" s="839"/>
      <c r="AIM8" s="839"/>
      <c r="AIN8" s="839"/>
      <c r="AIO8" s="839"/>
      <c r="AIP8" s="839"/>
      <c r="AIQ8" s="839"/>
      <c r="AIR8" s="839"/>
      <c r="AIS8" s="839"/>
      <c r="AIT8" s="839"/>
      <c r="AIU8" s="839"/>
      <c r="AIV8" s="839"/>
      <c r="AIW8" s="839"/>
      <c r="AIX8" s="839"/>
      <c r="AIY8" s="839"/>
      <c r="AIZ8" s="839"/>
      <c r="AJA8" s="839"/>
      <c r="AJB8" s="839"/>
      <c r="AJC8" s="839"/>
      <c r="AJD8" s="839"/>
      <c r="AJE8" s="839"/>
      <c r="AJF8" s="839"/>
      <c r="AJG8" s="839"/>
      <c r="AJH8" s="839"/>
      <c r="AJI8" s="839"/>
      <c r="AJJ8" s="839"/>
      <c r="AJK8" s="839"/>
      <c r="AJL8" s="839"/>
      <c r="AJM8" s="839"/>
      <c r="AJN8" s="839"/>
      <c r="AJO8" s="839"/>
      <c r="AJP8" s="839"/>
      <c r="AJQ8" s="839"/>
      <c r="AJR8" s="839"/>
      <c r="AJS8" s="839"/>
      <c r="AJT8" s="839"/>
      <c r="AJU8" s="839"/>
      <c r="AJV8" s="839"/>
      <c r="AJW8" s="839"/>
      <c r="AJX8" s="839"/>
      <c r="AJY8" s="839"/>
      <c r="AJZ8" s="839"/>
      <c r="AKA8" s="839"/>
      <c r="AKB8" s="839"/>
      <c r="AKC8" s="839"/>
      <c r="AKD8" s="839"/>
      <c r="AKE8" s="839"/>
      <c r="AKF8" s="839"/>
      <c r="AKG8" s="839"/>
      <c r="AKH8" s="839"/>
      <c r="AKI8" s="839"/>
      <c r="AKJ8" s="839"/>
      <c r="AKK8" s="839"/>
      <c r="AKL8" s="839"/>
      <c r="AKM8" s="839"/>
      <c r="AKN8" s="839"/>
      <c r="AKO8" s="839"/>
      <c r="AKP8" s="839"/>
      <c r="AKQ8" s="839"/>
      <c r="AKR8" s="839"/>
      <c r="AKS8" s="839"/>
      <c r="AKT8" s="839"/>
      <c r="AKU8" s="839"/>
      <c r="AKV8" s="839"/>
      <c r="AKW8" s="839"/>
      <c r="AKX8" s="839"/>
      <c r="AKY8" s="839"/>
      <c r="AKZ8" s="839"/>
      <c r="ALA8" s="839"/>
      <c r="ALB8" s="839"/>
      <c r="ALC8" s="839"/>
      <c r="ALD8" s="839"/>
      <c r="ALE8" s="839"/>
      <c r="ALF8" s="839"/>
      <c r="ALG8" s="839"/>
      <c r="ALH8" s="839"/>
      <c r="ALI8" s="839"/>
      <c r="ALJ8" s="839"/>
      <c r="ALK8" s="839"/>
      <c r="ALL8" s="839"/>
      <c r="ALM8" s="839"/>
      <c r="ALN8" s="839"/>
      <c r="ALO8" s="839"/>
      <c r="ALP8" s="839"/>
      <c r="ALQ8" s="839"/>
      <c r="ALR8" s="839"/>
      <c r="ALS8" s="839"/>
      <c r="ALT8" s="839"/>
      <c r="ALU8" s="839"/>
      <c r="ALV8" s="839"/>
      <c r="ALW8" s="839"/>
      <c r="ALX8" s="839"/>
      <c r="ALY8" s="839"/>
      <c r="ALZ8" s="839"/>
      <c r="AMA8" s="839"/>
      <c r="AMB8" s="839"/>
      <c r="AMC8" s="839"/>
      <c r="AMD8" s="839"/>
      <c r="AME8" s="839"/>
      <c r="AMF8" s="839"/>
      <c r="AMG8" s="839"/>
      <c r="AMH8" s="839"/>
      <c r="AMI8" s="839"/>
      <c r="AMJ8" s="839"/>
      <c r="AMK8" s="839"/>
      <c r="AML8" s="839"/>
      <c r="AMM8" s="839"/>
      <c r="AMN8" s="839"/>
      <c r="AMO8" s="839"/>
      <c r="AMP8" s="839"/>
      <c r="AMQ8" s="839"/>
      <c r="AMR8" s="839"/>
      <c r="AMS8" s="839"/>
      <c r="AMT8" s="839"/>
      <c r="AMU8" s="839"/>
      <c r="AMV8" s="839"/>
      <c r="AMW8" s="839"/>
      <c r="AMX8" s="839"/>
      <c r="AMY8" s="839"/>
      <c r="AMZ8" s="839"/>
      <c r="ANA8" s="839"/>
      <c r="ANB8" s="839"/>
      <c r="ANC8" s="839"/>
      <c r="AND8" s="839"/>
      <c r="ANE8" s="839"/>
      <c r="ANF8" s="839"/>
      <c r="ANG8" s="839"/>
      <c r="ANH8" s="839"/>
      <c r="ANI8" s="839"/>
      <c r="ANJ8" s="839"/>
      <c r="ANK8" s="839"/>
      <c r="ANL8" s="839"/>
      <c r="ANM8" s="839"/>
      <c r="ANN8" s="839"/>
      <c r="ANO8" s="839"/>
      <c r="ANP8" s="839"/>
      <c r="ANQ8" s="839"/>
      <c r="ANR8" s="839"/>
      <c r="ANS8" s="839"/>
      <c r="ANT8" s="839"/>
      <c r="ANU8" s="839"/>
      <c r="ANV8" s="839"/>
      <c r="ANW8" s="839"/>
      <c r="ANX8" s="839"/>
      <c r="ANY8" s="839"/>
      <c r="ANZ8" s="839"/>
      <c r="AOA8" s="839"/>
      <c r="AOB8" s="839"/>
      <c r="AOC8" s="839"/>
      <c r="AOD8" s="839"/>
      <c r="AOE8" s="839"/>
      <c r="AOF8" s="839"/>
      <c r="AOG8" s="839"/>
      <c r="AOH8" s="839"/>
      <c r="AOI8" s="839"/>
      <c r="AOJ8" s="839"/>
      <c r="AOK8" s="839"/>
      <c r="AOL8" s="839"/>
      <c r="AOM8" s="839"/>
      <c r="AON8" s="839"/>
      <c r="AOO8" s="839"/>
      <c r="AOP8" s="839"/>
      <c r="AOQ8" s="839"/>
      <c r="AOR8" s="839"/>
      <c r="AOS8" s="839"/>
      <c r="AOT8" s="839"/>
      <c r="AOU8" s="839"/>
      <c r="AOV8" s="839"/>
      <c r="AOW8" s="839"/>
      <c r="AOX8" s="839"/>
      <c r="AOY8" s="839"/>
      <c r="AOZ8" s="839"/>
      <c r="APA8" s="839"/>
      <c r="APB8" s="839"/>
      <c r="APC8" s="839"/>
      <c r="APD8" s="839"/>
      <c r="APE8" s="839"/>
      <c r="APF8" s="839"/>
      <c r="APG8" s="839"/>
      <c r="APH8" s="839"/>
      <c r="API8" s="839"/>
      <c r="APJ8" s="839"/>
      <c r="APK8" s="839"/>
      <c r="APL8" s="839"/>
      <c r="APM8" s="839"/>
      <c r="APN8" s="839"/>
      <c r="APO8" s="839"/>
      <c r="APP8" s="839"/>
      <c r="APQ8" s="839"/>
      <c r="APR8" s="839"/>
      <c r="APS8" s="839"/>
      <c r="APT8" s="839"/>
      <c r="APU8" s="839"/>
      <c r="APV8" s="839"/>
      <c r="APW8" s="839"/>
      <c r="APX8" s="839"/>
      <c r="APY8" s="839"/>
      <c r="APZ8" s="839"/>
      <c r="AQA8" s="839"/>
      <c r="AQB8" s="839"/>
      <c r="AQC8" s="839"/>
      <c r="AQD8" s="839"/>
      <c r="AQE8" s="839"/>
      <c r="AQF8" s="839"/>
      <c r="AQG8" s="839"/>
      <c r="AQH8" s="839"/>
      <c r="AQI8" s="839"/>
      <c r="AQJ8" s="839"/>
      <c r="AQK8" s="839"/>
      <c r="AQL8" s="839"/>
      <c r="AQM8" s="839"/>
      <c r="AQN8" s="839"/>
      <c r="AQO8" s="839"/>
      <c r="AQP8" s="839"/>
      <c r="AQQ8" s="839"/>
      <c r="AQR8" s="839"/>
      <c r="AQS8" s="839"/>
      <c r="AQT8" s="839"/>
      <c r="AQU8" s="839"/>
      <c r="AQV8" s="839"/>
      <c r="AQW8" s="839"/>
      <c r="AQX8" s="839"/>
      <c r="AQY8" s="839"/>
      <c r="AQZ8" s="839"/>
      <c r="ARA8" s="839"/>
      <c r="ARB8" s="839"/>
      <c r="ARC8" s="839"/>
      <c r="ARD8" s="839"/>
      <c r="ARE8" s="839"/>
      <c r="ARF8" s="839"/>
      <c r="ARG8" s="839"/>
      <c r="ARH8" s="839"/>
      <c r="ARI8" s="839"/>
      <c r="ARJ8" s="839"/>
      <c r="ARK8" s="839"/>
      <c r="ARL8" s="839"/>
      <c r="ARM8" s="839"/>
      <c r="ARN8" s="839"/>
      <c r="ARO8" s="839"/>
      <c r="ARP8" s="839"/>
      <c r="ARQ8" s="839"/>
      <c r="ARR8" s="839"/>
      <c r="ARS8" s="839"/>
      <c r="ART8" s="839"/>
      <c r="ARU8" s="839"/>
      <c r="ARV8" s="839"/>
      <c r="ARW8" s="839"/>
      <c r="ARX8" s="839"/>
      <c r="ARY8" s="839"/>
      <c r="ARZ8" s="839"/>
      <c r="ASA8" s="839"/>
      <c r="ASB8" s="839"/>
      <c r="ASC8" s="839"/>
      <c r="ASD8" s="839"/>
      <c r="ASE8" s="839"/>
      <c r="ASF8" s="839"/>
      <c r="ASG8" s="839"/>
      <c r="ASH8" s="839"/>
      <c r="ASI8" s="839"/>
      <c r="ASJ8" s="839"/>
      <c r="ASK8" s="839"/>
      <c r="ASL8" s="839"/>
      <c r="ASM8" s="839"/>
      <c r="ASN8" s="839"/>
      <c r="ASO8" s="839"/>
      <c r="ASP8" s="839"/>
      <c r="ASQ8" s="839"/>
      <c r="ASR8" s="839"/>
      <c r="ASS8" s="839"/>
      <c r="AST8" s="839"/>
      <c r="ASU8" s="839"/>
      <c r="ASV8" s="839"/>
      <c r="ASW8" s="839"/>
      <c r="ASX8" s="839"/>
      <c r="ASY8" s="839"/>
      <c r="ASZ8" s="839"/>
      <c r="ATA8" s="839"/>
      <c r="ATB8" s="839"/>
      <c r="ATC8" s="839"/>
      <c r="ATD8" s="839"/>
      <c r="ATE8" s="839"/>
      <c r="ATF8" s="839"/>
      <c r="ATG8" s="839"/>
      <c r="ATH8" s="839"/>
      <c r="ATI8" s="839"/>
      <c r="ATJ8" s="839"/>
      <c r="ATK8" s="839"/>
      <c r="ATL8" s="839"/>
      <c r="ATM8" s="839"/>
      <c r="ATN8" s="839"/>
      <c r="ATO8" s="839"/>
    </row>
    <row r="9" spans="1:1211" s="126" customFormat="1">
      <c r="A9" s="1120"/>
      <c r="B9" s="907"/>
      <c r="C9" s="846"/>
      <c r="D9" s="847"/>
      <c r="E9" s="848"/>
      <c r="F9" s="848"/>
      <c r="G9" s="849"/>
      <c r="H9" s="849"/>
      <c r="I9" s="849"/>
      <c r="J9" s="1118"/>
      <c r="K9" s="1119"/>
      <c r="L9" s="412"/>
      <c r="M9" s="843"/>
      <c r="N9" s="411"/>
      <c r="O9" s="844"/>
      <c r="P9" s="845"/>
      <c r="Q9" s="1481"/>
    </row>
    <row r="10" spans="1:1211" s="126" customFormat="1" ht="13.5" thickBot="1">
      <c r="A10" s="1106"/>
      <c r="B10" s="1103"/>
      <c r="C10" s="1104"/>
      <c r="D10" s="1105"/>
      <c r="E10" s="842"/>
      <c r="F10" s="842"/>
      <c r="G10" s="854"/>
      <c r="H10" s="854"/>
      <c r="I10" s="854"/>
      <c r="J10" s="1107"/>
      <c r="K10" s="1119"/>
      <c r="L10" s="412"/>
      <c r="M10" s="843"/>
      <c r="N10" s="411"/>
      <c r="O10" s="844"/>
      <c r="P10" s="845"/>
      <c r="Q10" s="1481"/>
    </row>
    <row r="11" spans="1:1211" s="195" customFormat="1" ht="13.5" thickBot="1">
      <c r="A11" s="1856">
        <v>1</v>
      </c>
      <c r="B11" s="1857">
        <v>1</v>
      </c>
      <c r="C11" s="1411" t="s">
        <v>14157</v>
      </c>
      <c r="D11" s="1858"/>
      <c r="E11" s="1859"/>
      <c r="F11" s="1859"/>
      <c r="G11" s="1860">
        <f>SUM(F13:F65)</f>
        <v>5826.0217299999995</v>
      </c>
      <c r="H11" s="1860">
        <f>ROUNDUP(G11*(1-$D$6),0)</f>
        <v>4370</v>
      </c>
      <c r="I11" s="1860">
        <f>ROUNDUP(H11*$D$5,0)</f>
        <v>14858</v>
      </c>
      <c r="J11" s="1014">
        <f>+I11*B11</f>
        <v>14858</v>
      </c>
      <c r="K11" s="1861">
        <f>B11</f>
        <v>1</v>
      </c>
      <c r="L11" s="888"/>
      <c r="M11" s="889"/>
      <c r="N11" s="890"/>
      <c r="O11" s="344"/>
      <c r="P11" s="344"/>
      <c r="Q11" s="195" t="str">
        <f>IF(O11&lt;&gt;"",D11,"")</f>
        <v/>
      </c>
    </row>
    <row r="12" spans="1:1211" s="195" customFormat="1">
      <c r="A12" s="852" t="s">
        <v>3310</v>
      </c>
      <c r="B12" s="1862"/>
      <c r="C12" s="1863"/>
      <c r="D12" s="1864"/>
      <c r="E12" s="1865"/>
      <c r="F12" s="1865"/>
      <c r="G12" s="1866"/>
      <c r="H12" s="1866"/>
      <c r="I12" s="1866"/>
      <c r="J12" s="1022"/>
      <c r="K12" s="889">
        <f>K11</f>
        <v>1</v>
      </c>
      <c r="L12" s="888">
        <v>1</v>
      </c>
      <c r="M12" s="889">
        <f>IF(B12="",1,B12)</f>
        <v>1</v>
      </c>
      <c r="N12" s="890" t="str">
        <f>IF(O12&lt;&gt;"",K12*L12*M12,"")</f>
        <v/>
      </c>
      <c r="O12" s="344" t="str">
        <f t="shared" ref="O12:O14" si="0">IF(D12&lt;&gt;"",IF(VLOOKUP(D12,base_datos,7,FALSE)&lt;&gt;"",VLOOKUP(D12,base_datos,7,FALSE),""),"")</f>
        <v/>
      </c>
      <c r="P12" s="344" t="str">
        <f t="shared" ref="P12:P14" si="1">IF(O12&lt;&gt;"",VLOOKUP(D12,base_datos,6,FALSE),"")</f>
        <v/>
      </c>
      <c r="Q12" s="195" t="str">
        <f>IF(O12&lt;&gt;"",D12,"")</f>
        <v/>
      </c>
    </row>
    <row r="13" spans="1:1211" s="195" customFormat="1">
      <c r="A13" s="856" t="s">
        <v>4059</v>
      </c>
      <c r="B13" s="1867"/>
      <c r="C13" s="1459" t="s">
        <v>3301</v>
      </c>
      <c r="D13" s="1868"/>
      <c r="E13" s="1865"/>
      <c r="F13" s="1869"/>
      <c r="G13" s="1866"/>
      <c r="H13" s="1866"/>
      <c r="I13" s="1866"/>
      <c r="J13" s="1022"/>
      <c r="K13" s="889">
        <f t="shared" ref="K13:L28" si="2">K12</f>
        <v>1</v>
      </c>
      <c r="L13" s="888">
        <v>1</v>
      </c>
      <c r="M13" s="889">
        <f>IF(B13="",1,B13)</f>
        <v>1</v>
      </c>
      <c r="N13" s="890" t="str">
        <f t="shared" ref="N13:N76" si="3">IF(O13&lt;&gt;"",K13*L13*M13,"")</f>
        <v/>
      </c>
      <c r="O13" s="344" t="str">
        <f t="shared" si="0"/>
        <v/>
      </c>
      <c r="P13" s="344" t="str">
        <f t="shared" si="1"/>
        <v/>
      </c>
      <c r="Q13" s="195" t="str">
        <f>IF(O13&lt;&gt;"",D13,"")</f>
        <v/>
      </c>
    </row>
    <row r="14" spans="1:1211" s="195" customFormat="1">
      <c r="A14" s="856" t="s">
        <v>4321</v>
      </c>
      <c r="B14" s="1870">
        <v>1</v>
      </c>
      <c r="C14" s="1698" t="str">
        <f>VLOOKUP(D14,base_datos,6,FALSE)</f>
        <v>ITM Caja Moldeada 3x630A (electrónico [0.4-1.0] In) - T5N630-630A-3P-PR221DS-LS/I - 70kA@230Vac, 36kA@415Vac - marca ABB.</v>
      </c>
      <c r="D14" s="2413" t="s">
        <v>1084</v>
      </c>
      <c r="E14" s="1878">
        <f>VLOOKUP(D14,base_datos,5,FALSE)</f>
        <v>699.9</v>
      </c>
      <c r="F14" s="1869">
        <f>+E14*B14</f>
        <v>699.9</v>
      </c>
      <c r="G14" s="1866"/>
      <c r="H14" s="1866"/>
      <c r="I14" s="1866"/>
      <c r="J14" s="892"/>
      <c r="K14" s="889">
        <f t="shared" si="2"/>
        <v>1</v>
      </c>
      <c r="L14" s="888">
        <v>1</v>
      </c>
      <c r="M14" s="889">
        <f t="shared" ref="M14:M65" si="4">IF(B14="",1,B14)</f>
        <v>1</v>
      </c>
      <c r="N14" s="890">
        <f t="shared" si="3"/>
        <v>1</v>
      </c>
      <c r="O14" s="344" t="str">
        <f t="shared" si="0"/>
        <v>1SDA054396R1</v>
      </c>
      <c r="P14" s="344" t="str">
        <f t="shared" si="1"/>
        <v>ITM Caja Moldeada 3x630A (electrónico [0.4-1.0] In) - T5N630-630A-3P-PR221DS-LS/I - 70kA@230Vac, 36kA@415Vac - marca ABB.</v>
      </c>
      <c r="Q14" s="195" t="str">
        <f>IF(O14&lt;&gt;"",D14,"")</f>
        <v>T5N630-630A-3P-PR221DS-LS/I</v>
      </c>
    </row>
    <row r="15" spans="1:1211" s="106" customFormat="1" ht="15.75" customHeight="1">
      <c r="A15" s="856" t="s">
        <v>3725</v>
      </c>
      <c r="B15" s="2414"/>
      <c r="C15" s="1698"/>
      <c r="D15" s="2413"/>
      <c r="E15" s="1878"/>
      <c r="F15" s="1878"/>
      <c r="G15" s="2415"/>
      <c r="H15" s="2415"/>
      <c r="I15" s="2415"/>
      <c r="J15" s="2416"/>
      <c r="K15" s="889">
        <f t="shared" si="2"/>
        <v>1</v>
      </c>
      <c r="L15" s="888">
        <v>1</v>
      </c>
      <c r="M15" s="889">
        <f t="shared" si="4"/>
        <v>1</v>
      </c>
      <c r="N15" s="890" t="str">
        <f t="shared" si="3"/>
        <v/>
      </c>
      <c r="O15" s="344" t="str">
        <f t="shared" ref="O15:O78" si="5">IF(D15&lt;&gt;"",IF(VLOOKUP(D15,base_datos,7,FALSE)&lt;&gt;"",VLOOKUP(D15,base_datos,7,FALSE),""),"")</f>
        <v/>
      </c>
      <c r="P15" s="344" t="str">
        <f t="shared" ref="P15:P78" si="6">IF(O15&lt;&gt;"",VLOOKUP(D15,base_datos,6,FALSE),"")</f>
        <v/>
      </c>
      <c r="Q15" s="195" t="str">
        <f t="shared" ref="Q15:Q78" si="7">IF(O15&lt;&gt;"",D15,"")</f>
        <v/>
      </c>
    </row>
    <row r="16" spans="1:1211" s="195" customFormat="1">
      <c r="A16" s="856" t="s">
        <v>3726</v>
      </c>
      <c r="B16" s="1870"/>
      <c r="C16" s="1872" t="s">
        <v>9489</v>
      </c>
      <c r="D16" s="182"/>
      <c r="E16" s="1869"/>
      <c r="F16" s="1869"/>
      <c r="G16" s="1866"/>
      <c r="H16" s="1866"/>
      <c r="I16" s="1866"/>
      <c r="J16" s="892"/>
      <c r="K16" s="889">
        <f t="shared" si="2"/>
        <v>1</v>
      </c>
      <c r="L16" s="888">
        <v>1</v>
      </c>
      <c r="M16" s="889">
        <f t="shared" si="4"/>
        <v>1</v>
      </c>
      <c r="N16" s="890" t="str">
        <f t="shared" si="3"/>
        <v/>
      </c>
      <c r="O16" s="344" t="str">
        <f t="shared" si="5"/>
        <v/>
      </c>
      <c r="P16" s="344" t="str">
        <f t="shared" si="6"/>
        <v/>
      </c>
      <c r="Q16" s="195" t="str">
        <f t="shared" si="7"/>
        <v/>
      </c>
    </row>
    <row r="17" spans="1:40" s="1114" customFormat="1">
      <c r="A17" s="1093"/>
      <c r="B17" s="2417">
        <v>1</v>
      </c>
      <c r="C17" s="2418" t="s">
        <v>6230</v>
      </c>
      <c r="D17" s="1868"/>
      <c r="E17" s="1874"/>
      <c r="F17" s="2389">
        <f>IF(B17&gt;1,SUM(F22:F31)*(B17-1),SUM(F22:F31)*(B17-1)-F20)</f>
        <v>-6.5373900000000003</v>
      </c>
      <c r="G17" s="2419"/>
      <c r="H17" s="2419"/>
      <c r="I17" s="2419"/>
      <c r="J17" s="2342"/>
      <c r="K17" s="889">
        <f t="shared" si="2"/>
        <v>1</v>
      </c>
      <c r="L17" s="1113">
        <f>B17</f>
        <v>1</v>
      </c>
      <c r="M17" s="889">
        <f t="shared" si="4"/>
        <v>1</v>
      </c>
      <c r="N17" s="890" t="str">
        <f t="shared" si="3"/>
        <v/>
      </c>
      <c r="O17" s="344" t="str">
        <f t="shared" si="5"/>
        <v/>
      </c>
      <c r="P17" s="344" t="str">
        <f t="shared" si="6"/>
        <v/>
      </c>
      <c r="Q17" s="195" t="str">
        <f t="shared" si="7"/>
        <v/>
      </c>
      <c r="R17" s="2420"/>
      <c r="S17" s="2420"/>
      <c r="T17" s="2420"/>
      <c r="U17" s="2420"/>
      <c r="V17" s="2420"/>
      <c r="W17" s="2420"/>
      <c r="X17" s="2420"/>
      <c r="Y17" s="2420"/>
      <c r="Z17" s="2420"/>
      <c r="AA17" s="2420"/>
      <c r="AB17" s="2420"/>
      <c r="AC17" s="2420"/>
      <c r="AD17" s="2420"/>
      <c r="AE17" s="2420"/>
      <c r="AF17" s="2420"/>
      <c r="AG17" s="2420"/>
      <c r="AH17" s="2420"/>
      <c r="AI17" s="2420"/>
      <c r="AJ17" s="2420"/>
      <c r="AK17" s="2420"/>
      <c r="AL17" s="2420"/>
      <c r="AM17" s="2420"/>
      <c r="AN17" s="2420"/>
    </row>
    <row r="18" spans="1:40" s="1111" customFormat="1">
      <c r="A18" s="864"/>
      <c r="B18" s="2384">
        <v>1</v>
      </c>
      <c r="C18" s="2421" t="s">
        <v>3536</v>
      </c>
      <c r="D18" s="1879"/>
      <c r="E18" s="1880"/>
      <c r="F18" s="2382"/>
      <c r="G18" s="2422"/>
      <c r="H18" s="2422"/>
      <c r="I18" s="2422"/>
      <c r="J18" s="1110"/>
      <c r="K18" s="889">
        <f t="shared" si="2"/>
        <v>1</v>
      </c>
      <c r="L18" s="1116">
        <f>L17</f>
        <v>1</v>
      </c>
      <c r="M18" s="889">
        <f t="shared" si="4"/>
        <v>1</v>
      </c>
      <c r="N18" s="890" t="str">
        <f t="shared" si="3"/>
        <v/>
      </c>
      <c r="O18" s="344" t="str">
        <f t="shared" si="5"/>
        <v/>
      </c>
      <c r="P18" s="344" t="str">
        <f t="shared" si="6"/>
        <v/>
      </c>
      <c r="Q18" s="195" t="str">
        <f t="shared" si="7"/>
        <v/>
      </c>
      <c r="R18" s="2423"/>
      <c r="S18" s="2423"/>
      <c r="T18" s="2423"/>
      <c r="U18" s="2423"/>
      <c r="V18" s="2423"/>
      <c r="W18" s="2423"/>
      <c r="X18" s="2423"/>
      <c r="Y18" s="2423"/>
      <c r="Z18" s="2423"/>
      <c r="AA18" s="2423"/>
      <c r="AB18" s="2423"/>
      <c r="AC18" s="2423"/>
      <c r="AD18" s="2423"/>
      <c r="AE18" s="2423"/>
      <c r="AF18" s="2423"/>
      <c r="AG18" s="2423"/>
      <c r="AH18" s="2423"/>
      <c r="AI18" s="2423"/>
      <c r="AJ18" s="2423"/>
      <c r="AK18" s="2423"/>
      <c r="AL18" s="2423"/>
      <c r="AM18" s="2423"/>
      <c r="AN18" s="2423"/>
    </row>
    <row r="19" spans="1:40" s="344" customFormat="1">
      <c r="A19" s="1093"/>
      <c r="B19" s="2400">
        <v>0</v>
      </c>
      <c r="C19" s="2424" t="str">
        <f t="shared" ref="C19:C29" si="8">VLOOKUP(D19,base_datos,6,FALSE)</f>
        <v>Base portafusibles + Fusibles de protección para control.</v>
      </c>
      <c r="D19" s="2401" t="s">
        <v>453</v>
      </c>
      <c r="E19" s="1892">
        <f t="shared" ref="E19:E29" si="9">VLOOKUP(D19,base_datos,5,FALSE)</f>
        <v>6.5373900000000003</v>
      </c>
      <c r="F19" s="1893">
        <f t="shared" ref="F19:F29" si="10">+E19*B19</f>
        <v>0</v>
      </c>
      <c r="G19" s="2425"/>
      <c r="H19" s="2425"/>
      <c r="I19" s="2425"/>
      <c r="J19" s="906"/>
      <c r="K19" s="889">
        <f t="shared" si="2"/>
        <v>1</v>
      </c>
      <c r="L19" s="1116">
        <f>L18</f>
        <v>1</v>
      </c>
      <c r="M19" s="889">
        <f t="shared" si="4"/>
        <v>0</v>
      </c>
      <c r="N19" s="890" t="str">
        <f t="shared" si="3"/>
        <v/>
      </c>
      <c r="O19" s="344" t="str">
        <f t="shared" si="5"/>
        <v/>
      </c>
      <c r="P19" s="344" t="str">
        <f t="shared" si="6"/>
        <v/>
      </c>
      <c r="Q19" s="195" t="str">
        <f t="shared" si="7"/>
        <v/>
      </c>
      <c r="R19" s="2426"/>
      <c r="S19" s="2426"/>
      <c r="T19" s="2426"/>
      <c r="U19" s="2426"/>
      <c r="V19" s="2426"/>
      <c r="W19" s="2426"/>
      <c r="X19" s="2426"/>
      <c r="Y19" s="2426"/>
      <c r="Z19" s="2426"/>
      <c r="AA19" s="2426"/>
      <c r="AB19" s="2426"/>
      <c r="AC19" s="2426"/>
      <c r="AD19" s="2426"/>
      <c r="AE19" s="2426"/>
      <c r="AF19" s="2426"/>
      <c r="AG19" s="2426"/>
      <c r="AH19" s="2426"/>
      <c r="AI19" s="2426"/>
      <c r="AJ19" s="2426"/>
      <c r="AK19" s="2426"/>
      <c r="AL19" s="2426"/>
      <c r="AM19" s="2426"/>
      <c r="AN19" s="2426"/>
    </row>
    <row r="20" spans="1:40" s="344" customFormat="1">
      <c r="A20" s="865"/>
      <c r="B20" s="2371">
        <v>1</v>
      </c>
      <c r="C20" s="904" t="str">
        <f t="shared" si="8"/>
        <v>Base portafusibles + Fusibles de protección para control.</v>
      </c>
      <c r="D20" s="1881" t="s">
        <v>453</v>
      </c>
      <c r="E20" s="1892">
        <f t="shared" si="9"/>
        <v>6.5373900000000003</v>
      </c>
      <c r="F20" s="1893">
        <f t="shared" si="10"/>
        <v>6.5373900000000003</v>
      </c>
      <c r="G20" s="2425"/>
      <c r="H20" s="2425"/>
      <c r="I20" s="2425"/>
      <c r="J20" s="906"/>
      <c r="K20" s="889">
        <f t="shared" si="2"/>
        <v>1</v>
      </c>
      <c r="L20" s="1116">
        <f t="shared" si="2"/>
        <v>1</v>
      </c>
      <c r="M20" s="889">
        <f t="shared" si="4"/>
        <v>1</v>
      </c>
      <c r="N20" s="890" t="str">
        <f t="shared" si="3"/>
        <v/>
      </c>
      <c r="O20" s="344" t="str">
        <f t="shared" si="5"/>
        <v/>
      </c>
      <c r="P20" s="344" t="str">
        <f t="shared" si="6"/>
        <v/>
      </c>
      <c r="Q20" s="195" t="str">
        <f t="shared" si="7"/>
        <v/>
      </c>
      <c r="R20" s="2426"/>
      <c r="S20" s="2426"/>
      <c r="T20" s="2426"/>
      <c r="U20" s="2426"/>
      <c r="V20" s="2426"/>
      <c r="W20" s="2426"/>
      <c r="X20" s="2426"/>
      <c r="Y20" s="2426"/>
      <c r="Z20" s="2426"/>
      <c r="AA20" s="2426"/>
      <c r="AB20" s="2426"/>
      <c r="AC20" s="2426"/>
      <c r="AD20" s="2426"/>
      <c r="AE20" s="2426"/>
      <c r="AF20" s="2426"/>
      <c r="AG20" s="2426"/>
      <c r="AH20" s="2426"/>
      <c r="AI20" s="2426"/>
      <c r="AJ20" s="2426"/>
      <c r="AK20" s="2426"/>
      <c r="AL20" s="2426"/>
      <c r="AM20" s="2426"/>
      <c r="AN20" s="2426"/>
    </row>
    <row r="21" spans="1:40" s="344" customFormat="1">
      <c r="A21" s="2427"/>
      <c r="B21" s="2371">
        <v>1</v>
      </c>
      <c r="C21" s="904" t="str">
        <f t="shared" si="8"/>
        <v>Borne 4mm2.</v>
      </c>
      <c r="D21" s="1881" t="s">
        <v>437</v>
      </c>
      <c r="E21" s="1892">
        <f t="shared" si="9"/>
        <v>2.5</v>
      </c>
      <c r="F21" s="1893">
        <f t="shared" si="10"/>
        <v>2.5</v>
      </c>
      <c r="G21" s="2425"/>
      <c r="H21" s="2425"/>
      <c r="I21" s="2425"/>
      <c r="J21" s="906"/>
      <c r="K21" s="889">
        <f t="shared" si="2"/>
        <v>1</v>
      </c>
      <c r="L21" s="1116">
        <f>L20</f>
        <v>1</v>
      </c>
      <c r="M21" s="889">
        <f t="shared" si="4"/>
        <v>1</v>
      </c>
      <c r="N21" s="890" t="str">
        <f t="shared" si="3"/>
        <v/>
      </c>
      <c r="O21" s="344" t="str">
        <f t="shared" si="5"/>
        <v/>
      </c>
      <c r="P21" s="344" t="str">
        <f t="shared" si="6"/>
        <v/>
      </c>
      <c r="Q21" s="195" t="str">
        <f t="shared" si="7"/>
        <v/>
      </c>
      <c r="R21" s="2426"/>
      <c r="S21" s="2426"/>
      <c r="T21" s="2426"/>
      <c r="U21" s="2426"/>
      <c r="V21" s="2426"/>
      <c r="W21" s="2426"/>
      <c r="X21" s="2426"/>
      <c r="Y21" s="2426"/>
      <c r="Z21" s="2426"/>
      <c r="AA21" s="2426"/>
      <c r="AB21" s="2426"/>
      <c r="AC21" s="2426"/>
      <c r="AD21" s="2426"/>
      <c r="AE21" s="2426"/>
      <c r="AF21" s="2426"/>
      <c r="AG21" s="2426"/>
      <c r="AH21" s="2426"/>
      <c r="AI21" s="2426"/>
      <c r="AJ21" s="2426"/>
      <c r="AK21" s="2426"/>
      <c r="AL21" s="2426"/>
      <c r="AM21" s="2426"/>
      <c r="AN21" s="2426"/>
    </row>
    <row r="22" spans="1:40" s="344" customFormat="1">
      <c r="A22" s="863"/>
      <c r="B22" s="2400">
        <v>1</v>
      </c>
      <c r="C22" s="904" t="str">
        <f t="shared" si="8"/>
        <v>Base portafusibles + Fusibles de protección para control.</v>
      </c>
      <c r="D22" s="1881" t="s">
        <v>453</v>
      </c>
      <c r="E22" s="1892">
        <f t="shared" si="9"/>
        <v>6.5373900000000003</v>
      </c>
      <c r="F22" s="2428">
        <f t="shared" si="10"/>
        <v>6.5373900000000003</v>
      </c>
      <c r="G22" s="2425"/>
      <c r="H22" s="2425"/>
      <c r="I22" s="2425"/>
      <c r="J22" s="906"/>
      <c r="K22" s="889">
        <f t="shared" si="2"/>
        <v>1</v>
      </c>
      <c r="L22" s="1116">
        <f>L21</f>
        <v>1</v>
      </c>
      <c r="M22" s="889">
        <f t="shared" si="4"/>
        <v>1</v>
      </c>
      <c r="N22" s="890" t="str">
        <f t="shared" si="3"/>
        <v/>
      </c>
      <c r="O22" s="344" t="str">
        <f t="shared" si="5"/>
        <v/>
      </c>
      <c r="P22" s="344" t="str">
        <f t="shared" si="6"/>
        <v/>
      </c>
      <c r="Q22" s="195" t="str">
        <f t="shared" si="7"/>
        <v/>
      </c>
      <c r="R22" s="2426"/>
      <c r="S22" s="2426"/>
      <c r="T22" s="2426"/>
      <c r="U22" s="2426"/>
      <c r="V22" s="2426"/>
      <c r="W22" s="2426"/>
      <c r="X22" s="2426"/>
      <c r="Y22" s="2426"/>
      <c r="Z22" s="2426"/>
      <c r="AA22" s="2426"/>
      <c r="AB22" s="2426"/>
      <c r="AC22" s="2426"/>
      <c r="AD22" s="2426"/>
      <c r="AE22" s="2426"/>
      <c r="AF22" s="2426"/>
      <c r="AG22" s="2426"/>
      <c r="AH22" s="2426"/>
      <c r="AI22" s="2426"/>
      <c r="AJ22" s="2426"/>
      <c r="AK22" s="2426"/>
      <c r="AL22" s="2426"/>
      <c r="AM22" s="2426"/>
      <c r="AN22" s="2426"/>
    </row>
    <row r="23" spans="1:40" s="1114" customFormat="1">
      <c r="A23" s="856"/>
      <c r="B23" s="2429">
        <v>1</v>
      </c>
      <c r="C23" s="2430" t="str">
        <f t="shared" si="8"/>
        <v>Mando motor (MOE) - T4-T5 - 220-250V AC/DC - (YM+YO+YC) - marca ABB.</v>
      </c>
      <c r="D23" s="2431" t="s">
        <v>1236</v>
      </c>
      <c r="E23" s="2432">
        <f t="shared" si="9"/>
        <v>603.65</v>
      </c>
      <c r="F23" s="2433">
        <f t="shared" si="10"/>
        <v>603.65</v>
      </c>
      <c r="G23" s="2419"/>
      <c r="H23" s="2419"/>
      <c r="I23" s="2419"/>
      <c r="J23" s="894"/>
      <c r="K23" s="889">
        <f t="shared" si="2"/>
        <v>1</v>
      </c>
      <c r="L23" s="1116">
        <f>L22</f>
        <v>1</v>
      </c>
      <c r="M23" s="889">
        <f t="shared" si="4"/>
        <v>1</v>
      </c>
      <c r="N23" s="890">
        <f t="shared" si="3"/>
        <v>1</v>
      </c>
      <c r="O23" s="344" t="str">
        <f t="shared" si="5"/>
        <v>1SDA054897R1</v>
      </c>
      <c r="P23" s="344" t="str">
        <f t="shared" si="6"/>
        <v>Mando motor (MOE) - T4-T5 - 220-250V AC/DC - (YM+YO+YC) - marca ABB.</v>
      </c>
      <c r="Q23" s="195" t="str">
        <f t="shared" si="7"/>
        <v>MOE_T4-T5</v>
      </c>
      <c r="R23" s="2420"/>
      <c r="S23" s="2420"/>
      <c r="T23" s="2420"/>
      <c r="U23" s="2420"/>
      <c r="V23" s="2420"/>
      <c r="W23" s="2420"/>
      <c r="X23" s="2420"/>
      <c r="Y23" s="2420"/>
      <c r="Z23" s="2420"/>
      <c r="AA23" s="2420"/>
      <c r="AB23" s="2420"/>
      <c r="AC23" s="2420"/>
      <c r="AD23" s="2420"/>
      <c r="AE23" s="2420"/>
      <c r="AF23" s="2420"/>
      <c r="AG23" s="2420"/>
      <c r="AH23" s="2420"/>
      <c r="AI23" s="2420"/>
      <c r="AJ23" s="2420"/>
      <c r="AK23" s="2420"/>
      <c r="AL23" s="2420"/>
      <c r="AM23" s="2420"/>
      <c r="AN23" s="2420"/>
    </row>
    <row r="24" spans="1:40" s="1114" customFormat="1">
      <c r="A24" s="856"/>
      <c r="B24" s="2429">
        <v>1</v>
      </c>
      <c r="C24" s="2430" t="str">
        <f t="shared" si="8"/>
        <v>1(Q) contacto conmutado de estado (NA/NC) + 1(SY) contacto por disparo de interruptor - T4-T5-T6 - version no cableada - marca ABB.</v>
      </c>
      <c r="D24" s="2431" t="s">
        <v>1291</v>
      </c>
      <c r="E24" s="2432">
        <f t="shared" si="9"/>
        <v>66.31</v>
      </c>
      <c r="F24" s="2433">
        <f t="shared" si="10"/>
        <v>66.31</v>
      </c>
      <c r="G24" s="2419"/>
      <c r="H24" s="2419"/>
      <c r="I24" s="2419"/>
      <c r="J24" s="894"/>
      <c r="K24" s="889">
        <f t="shared" si="2"/>
        <v>1</v>
      </c>
      <c r="L24" s="1116">
        <f>L22</f>
        <v>1</v>
      </c>
      <c r="M24" s="889">
        <f t="shared" si="4"/>
        <v>1</v>
      </c>
      <c r="N24" s="890">
        <f t="shared" si="3"/>
        <v>1</v>
      </c>
      <c r="O24" s="344" t="str">
        <f t="shared" si="5"/>
        <v>1SDA051368R1</v>
      </c>
      <c r="P24" s="344" t="str">
        <f t="shared" si="6"/>
        <v>1(Q) contacto conmutado de estado (NA/NC) + 1(SY) contacto por disparo de interruptor - T4-T5-T6 - version no cableada - marca ABB.</v>
      </c>
      <c r="Q24" s="195" t="str">
        <f t="shared" si="7"/>
        <v>1Q+1SY_T4-T5-T6</v>
      </c>
      <c r="R24" s="2420"/>
      <c r="S24" s="2420"/>
      <c r="T24" s="2420"/>
      <c r="U24" s="2420"/>
      <c r="V24" s="2420"/>
      <c r="W24" s="2420"/>
      <c r="X24" s="2420"/>
      <c r="Y24" s="2420"/>
      <c r="Z24" s="2420"/>
      <c r="AA24" s="2420"/>
      <c r="AB24" s="2420"/>
      <c r="AC24" s="2420"/>
      <c r="AD24" s="2420"/>
      <c r="AE24" s="2420"/>
      <c r="AF24" s="2420"/>
      <c r="AG24" s="2420"/>
      <c r="AH24" s="2420"/>
      <c r="AI24" s="2420"/>
      <c r="AJ24" s="2420"/>
      <c r="AK24" s="2420"/>
      <c r="AL24" s="2420"/>
      <c r="AM24" s="2420"/>
      <c r="AN24" s="2420"/>
    </row>
    <row r="25" spans="1:40" s="1114" customFormat="1">
      <c r="A25" s="856"/>
      <c r="B25" s="2429">
        <v>1</v>
      </c>
      <c r="C25" s="2430" t="s">
        <v>14158</v>
      </c>
      <c r="D25" s="2431" t="s">
        <v>1871</v>
      </c>
      <c r="E25" s="2432">
        <f t="shared" si="9"/>
        <v>15</v>
      </c>
      <c r="F25" s="2433">
        <f t="shared" si="10"/>
        <v>15</v>
      </c>
      <c r="G25" s="2419"/>
      <c r="H25" s="2419"/>
      <c r="I25" s="2419"/>
      <c r="J25" s="894"/>
      <c r="K25" s="889">
        <f t="shared" si="2"/>
        <v>1</v>
      </c>
      <c r="L25" s="1116">
        <f>L23</f>
        <v>1</v>
      </c>
      <c r="M25" s="889">
        <f t="shared" si="4"/>
        <v>1</v>
      </c>
      <c r="N25" s="890" t="str">
        <f t="shared" si="3"/>
        <v/>
      </c>
      <c r="O25" s="344" t="str">
        <f t="shared" si="5"/>
        <v/>
      </c>
      <c r="P25" s="344" t="str">
        <f t="shared" si="6"/>
        <v/>
      </c>
      <c r="Q25" s="195" t="str">
        <f t="shared" si="7"/>
        <v/>
      </c>
      <c r="R25" s="2420"/>
      <c r="S25" s="2420"/>
      <c r="T25" s="2420"/>
      <c r="U25" s="2420"/>
      <c r="V25" s="2420"/>
      <c r="W25" s="2420"/>
      <c r="X25" s="2420"/>
      <c r="Y25" s="2420"/>
      <c r="Z25" s="2420"/>
      <c r="AA25" s="2420"/>
      <c r="AB25" s="2420"/>
      <c r="AC25" s="2420"/>
      <c r="AD25" s="2420"/>
      <c r="AE25" s="2420"/>
      <c r="AF25" s="2420"/>
      <c r="AG25" s="2420"/>
      <c r="AH25" s="2420"/>
      <c r="AI25" s="2420"/>
      <c r="AJ25" s="2420"/>
      <c r="AK25" s="2420"/>
      <c r="AL25" s="2420"/>
      <c r="AM25" s="2420"/>
      <c r="AN25" s="2420"/>
    </row>
    <row r="26" spans="1:40" s="1114" customFormat="1">
      <c r="A26" s="856"/>
      <c r="B26" s="2429">
        <v>1</v>
      </c>
      <c r="C26" s="2430" t="s">
        <v>14159</v>
      </c>
      <c r="D26" s="2431" t="s">
        <v>1872</v>
      </c>
      <c r="E26" s="2432">
        <f t="shared" si="9"/>
        <v>15</v>
      </c>
      <c r="F26" s="2433">
        <f t="shared" si="10"/>
        <v>15</v>
      </c>
      <c r="G26" s="2419"/>
      <c r="H26" s="2419"/>
      <c r="I26" s="2419"/>
      <c r="J26" s="894"/>
      <c r="K26" s="889">
        <f t="shared" si="2"/>
        <v>1</v>
      </c>
      <c r="L26" s="1116">
        <f>L27</f>
        <v>1</v>
      </c>
      <c r="M26" s="889">
        <f t="shared" si="4"/>
        <v>1</v>
      </c>
      <c r="N26" s="890" t="str">
        <f t="shared" si="3"/>
        <v/>
      </c>
      <c r="O26" s="344" t="str">
        <f t="shared" si="5"/>
        <v/>
      </c>
      <c r="P26" s="344" t="str">
        <f t="shared" si="6"/>
        <v/>
      </c>
      <c r="Q26" s="195" t="str">
        <f t="shared" si="7"/>
        <v/>
      </c>
      <c r="R26" s="2420"/>
      <c r="S26" s="2420"/>
      <c r="T26" s="2420"/>
      <c r="U26" s="2420"/>
      <c r="V26" s="2420"/>
      <c r="W26" s="2420"/>
      <c r="X26" s="2420"/>
      <c r="Y26" s="2420"/>
      <c r="Z26" s="2420"/>
      <c r="AA26" s="2420"/>
      <c r="AB26" s="2420"/>
      <c r="AC26" s="2420"/>
      <c r="AD26" s="2420"/>
      <c r="AE26" s="2420"/>
      <c r="AF26" s="2420"/>
      <c r="AG26" s="2420"/>
      <c r="AH26" s="2420"/>
      <c r="AI26" s="2420"/>
      <c r="AJ26" s="2420"/>
      <c r="AK26" s="2420"/>
      <c r="AL26" s="2420"/>
      <c r="AM26" s="2420"/>
      <c r="AN26" s="2420"/>
    </row>
    <row r="27" spans="1:40" s="1114" customFormat="1">
      <c r="A27" s="856"/>
      <c r="B27" s="2429">
        <v>1</v>
      </c>
      <c r="C27" s="2430" t="str">
        <f t="shared" ref="C27" si="11">VLOOKUP(D27,base_datos,6,FALSE)</f>
        <v>Pulsador doble Start/Stop (Rojo/Verde) sin iluminación + contacto 1NA+1NC.</v>
      </c>
      <c r="D27" s="2431" t="s">
        <v>8359</v>
      </c>
      <c r="E27" s="2432">
        <f t="shared" ref="E27" si="12">VLOOKUP(D27,base_datos,5,FALSE)</f>
        <v>38</v>
      </c>
      <c r="F27" s="2433">
        <f t="shared" si="10"/>
        <v>38</v>
      </c>
      <c r="G27" s="2419"/>
      <c r="H27" s="2419"/>
      <c r="I27" s="2419"/>
      <c r="J27" s="894"/>
      <c r="K27" s="889">
        <f t="shared" si="2"/>
        <v>1</v>
      </c>
      <c r="L27" s="1116">
        <f>L20</f>
        <v>1</v>
      </c>
      <c r="M27" s="889">
        <f t="shared" si="4"/>
        <v>1</v>
      </c>
      <c r="N27" s="890" t="str">
        <f t="shared" si="3"/>
        <v/>
      </c>
      <c r="O27" s="344" t="str">
        <f t="shared" si="5"/>
        <v/>
      </c>
      <c r="P27" s="344" t="str">
        <f t="shared" si="6"/>
        <v/>
      </c>
      <c r="Q27" s="195" t="str">
        <f t="shared" si="7"/>
        <v/>
      </c>
      <c r="R27" s="2420"/>
      <c r="S27" s="2420"/>
      <c r="T27" s="2420"/>
      <c r="U27" s="2420"/>
      <c r="V27" s="2420"/>
      <c r="W27" s="2420"/>
      <c r="X27" s="2420"/>
      <c r="Y27" s="2420"/>
      <c r="Z27" s="2420"/>
      <c r="AA27" s="2420"/>
      <c r="AB27" s="2420"/>
      <c r="AC27" s="2420"/>
      <c r="AD27" s="2420"/>
      <c r="AE27" s="2420"/>
      <c r="AF27" s="2420"/>
      <c r="AG27" s="2420"/>
      <c r="AH27" s="2420"/>
      <c r="AI27" s="2420"/>
      <c r="AJ27" s="2420"/>
      <c r="AK27" s="2420"/>
      <c r="AL27" s="2420"/>
      <c r="AM27" s="2420"/>
      <c r="AN27" s="2420"/>
    </row>
    <row r="28" spans="1:40" s="1114" customFormat="1">
      <c r="A28" s="856"/>
      <c r="B28" s="2429">
        <v>1</v>
      </c>
      <c r="C28" s="2430" t="str">
        <f t="shared" si="8"/>
        <v>Selector tres posiciones "M-0-A" o "1-0-2".</v>
      </c>
      <c r="D28" s="2431" t="s">
        <v>446</v>
      </c>
      <c r="E28" s="2432">
        <f t="shared" si="9"/>
        <v>28</v>
      </c>
      <c r="F28" s="2433">
        <f t="shared" si="10"/>
        <v>28</v>
      </c>
      <c r="G28" s="2419"/>
      <c r="H28" s="2419"/>
      <c r="I28" s="2419"/>
      <c r="J28" s="894"/>
      <c r="K28" s="889">
        <f t="shared" si="2"/>
        <v>1</v>
      </c>
      <c r="L28" s="1116">
        <f>L21</f>
        <v>1</v>
      </c>
      <c r="M28" s="889">
        <f t="shared" si="4"/>
        <v>1</v>
      </c>
      <c r="N28" s="890" t="str">
        <f t="shared" si="3"/>
        <v/>
      </c>
      <c r="O28" s="344" t="str">
        <f t="shared" si="5"/>
        <v/>
      </c>
      <c r="P28" s="344" t="str">
        <f t="shared" si="6"/>
        <v/>
      </c>
      <c r="Q28" s="195" t="str">
        <f t="shared" si="7"/>
        <v/>
      </c>
      <c r="R28" s="2420"/>
      <c r="S28" s="2420"/>
      <c r="T28" s="2420"/>
      <c r="U28" s="2420"/>
      <c r="V28" s="2420"/>
      <c r="W28" s="2420"/>
      <c r="X28" s="2420"/>
      <c r="Y28" s="2420"/>
      <c r="Z28" s="2420"/>
      <c r="AA28" s="2420"/>
      <c r="AB28" s="2420"/>
      <c r="AC28" s="2420"/>
      <c r="AD28" s="2420"/>
      <c r="AE28" s="2420"/>
      <c r="AF28" s="2420"/>
      <c r="AG28" s="2420"/>
      <c r="AH28" s="2420"/>
      <c r="AI28" s="2420"/>
      <c r="AJ28" s="2420"/>
      <c r="AK28" s="2420"/>
      <c r="AL28" s="2420"/>
      <c r="AM28" s="2420"/>
      <c r="AN28" s="2420"/>
    </row>
    <row r="29" spans="1:40" s="1114" customFormat="1">
      <c r="A29" s="856"/>
      <c r="B29" s="2429">
        <v>2</v>
      </c>
      <c r="C29" s="2430" t="str">
        <f t="shared" si="8"/>
        <v>Rele auxiliar enchufable +4NA/NC (D2PR4B + base D2PA6), 220Vac - marca EATON.</v>
      </c>
      <c r="D29" s="2431" t="s">
        <v>772</v>
      </c>
      <c r="E29" s="2432">
        <f t="shared" si="9"/>
        <v>27</v>
      </c>
      <c r="F29" s="2433">
        <f t="shared" si="10"/>
        <v>54</v>
      </c>
      <c r="G29" s="2419"/>
      <c r="H29" s="2419"/>
      <c r="I29" s="2419"/>
      <c r="J29" s="894"/>
      <c r="K29" s="889">
        <f t="shared" ref="K29:L44" si="13">K28</f>
        <v>1</v>
      </c>
      <c r="L29" s="1116">
        <f>L22</f>
        <v>1</v>
      </c>
      <c r="M29" s="889">
        <f t="shared" si="4"/>
        <v>2</v>
      </c>
      <c r="N29" s="890">
        <f t="shared" si="3"/>
        <v>2</v>
      </c>
      <c r="O29" s="344" t="str">
        <f t="shared" si="5"/>
        <v>D2PR4B+D2PA6</v>
      </c>
      <c r="P29" s="344" t="str">
        <f t="shared" si="6"/>
        <v>Rele auxiliar enchufable +4NA/NC (D2PR4B + base D2PA6), 220Vac - marca EATON.</v>
      </c>
      <c r="Q29" s="195" t="str">
        <f t="shared" si="7"/>
        <v>D2PR4B+D2PA6</v>
      </c>
      <c r="R29" s="2420"/>
      <c r="S29" s="2420"/>
      <c r="T29" s="2420"/>
      <c r="U29" s="2420"/>
      <c r="V29" s="2420"/>
      <c r="W29" s="2420"/>
      <c r="X29" s="2420"/>
      <c r="Y29" s="2420"/>
      <c r="Z29" s="2420"/>
      <c r="AA29" s="2420"/>
      <c r="AB29" s="2420"/>
      <c r="AC29" s="2420"/>
      <c r="AD29" s="2420"/>
      <c r="AE29" s="2420"/>
      <c r="AF29" s="2420"/>
      <c r="AG29" s="2420"/>
      <c r="AH29" s="2420"/>
      <c r="AI29" s="2420"/>
      <c r="AJ29" s="2420"/>
      <c r="AK29" s="2420"/>
      <c r="AL29" s="2420"/>
      <c r="AM29" s="2420"/>
      <c r="AN29" s="2420"/>
    </row>
    <row r="30" spans="1:40" s="1111" customFormat="1">
      <c r="A30" s="2434"/>
      <c r="B30" s="2384">
        <v>1</v>
      </c>
      <c r="C30" s="2421" t="s">
        <v>3537</v>
      </c>
      <c r="D30" s="1879"/>
      <c r="E30" s="1880"/>
      <c r="F30" s="2428"/>
      <c r="G30" s="2422"/>
      <c r="H30" s="2422"/>
      <c r="I30" s="2422"/>
      <c r="J30" s="1110"/>
      <c r="K30" s="889">
        <f t="shared" si="13"/>
        <v>1</v>
      </c>
      <c r="L30" s="1116">
        <v>1</v>
      </c>
      <c r="M30" s="889">
        <f t="shared" si="4"/>
        <v>1</v>
      </c>
      <c r="N30" s="890" t="str">
        <f t="shared" si="3"/>
        <v/>
      </c>
      <c r="O30" s="344" t="str">
        <f t="shared" si="5"/>
        <v/>
      </c>
      <c r="P30" s="344" t="str">
        <f t="shared" si="6"/>
        <v/>
      </c>
      <c r="Q30" s="195" t="str">
        <f t="shared" si="7"/>
        <v/>
      </c>
      <c r="R30" s="2423"/>
      <c r="S30" s="2423"/>
      <c r="T30" s="2423"/>
      <c r="U30" s="2423"/>
      <c r="V30" s="2423"/>
      <c r="W30" s="2423"/>
      <c r="X30" s="2423"/>
      <c r="Y30" s="2423"/>
      <c r="Z30" s="2423"/>
      <c r="AA30" s="2423"/>
      <c r="AB30" s="2423"/>
      <c r="AC30" s="2423"/>
      <c r="AD30" s="2423"/>
      <c r="AE30" s="2423"/>
      <c r="AF30" s="2423"/>
      <c r="AG30" s="2423"/>
      <c r="AH30" s="2423"/>
      <c r="AI30" s="2423"/>
      <c r="AJ30" s="2423"/>
      <c r="AK30" s="2423"/>
      <c r="AL30" s="2423"/>
      <c r="AM30" s="2423"/>
      <c r="AN30" s="2423"/>
    </row>
    <row r="31" spans="1:40" s="344" customFormat="1">
      <c r="A31" s="1093"/>
      <c r="B31" s="2371">
        <f>2*2</f>
        <v>4</v>
      </c>
      <c r="C31" s="904" t="str">
        <f>VLOOKUP(D31,base_datos,6,FALSE)</f>
        <v>Borne 4mm2.</v>
      </c>
      <c r="D31" s="1881" t="s">
        <v>437</v>
      </c>
      <c r="E31" s="1892">
        <f>VLOOKUP(D31,base_datos,5,FALSE)</f>
        <v>2.5</v>
      </c>
      <c r="F31" s="2433">
        <f>+E31*B31</f>
        <v>10</v>
      </c>
      <c r="G31" s="2425"/>
      <c r="H31" s="2425"/>
      <c r="I31" s="2425"/>
      <c r="J31" s="906"/>
      <c r="K31" s="889">
        <f t="shared" si="13"/>
        <v>1</v>
      </c>
      <c r="L31" s="1116">
        <v>1</v>
      </c>
      <c r="M31" s="889">
        <f t="shared" si="4"/>
        <v>4</v>
      </c>
      <c r="N31" s="890" t="str">
        <f t="shared" si="3"/>
        <v/>
      </c>
      <c r="O31" s="344" t="str">
        <f t="shared" si="5"/>
        <v/>
      </c>
      <c r="P31" s="344" t="str">
        <f t="shared" si="6"/>
        <v/>
      </c>
      <c r="Q31" s="195" t="str">
        <f t="shared" si="7"/>
        <v/>
      </c>
      <c r="R31" s="2426"/>
      <c r="S31" s="2426"/>
      <c r="T31" s="2426"/>
      <c r="U31" s="2426"/>
      <c r="V31" s="2426"/>
      <c r="W31" s="2426"/>
      <c r="X31" s="2426"/>
      <c r="Y31" s="2426"/>
      <c r="Z31" s="2426"/>
      <c r="AA31" s="2426"/>
      <c r="AB31" s="2426"/>
      <c r="AC31" s="2426"/>
      <c r="AD31" s="2426"/>
      <c r="AE31" s="2426"/>
      <c r="AF31" s="2426"/>
      <c r="AG31" s="2426"/>
      <c r="AH31" s="2426"/>
      <c r="AI31" s="2426"/>
      <c r="AJ31" s="2426"/>
      <c r="AK31" s="2426"/>
      <c r="AL31" s="2426"/>
      <c r="AM31" s="2426"/>
      <c r="AN31" s="2426"/>
    </row>
    <row r="32" spans="1:40" s="195" customFormat="1">
      <c r="A32" s="856"/>
      <c r="B32" s="1870"/>
      <c r="C32" s="1872" t="s">
        <v>9489</v>
      </c>
      <c r="D32" s="182"/>
      <c r="E32" s="1878"/>
      <c r="F32" s="1878"/>
      <c r="G32" s="1866"/>
      <c r="H32" s="1866"/>
      <c r="I32" s="1866"/>
      <c r="J32" s="892"/>
      <c r="K32" s="889">
        <f t="shared" si="13"/>
        <v>1</v>
      </c>
      <c r="L32" s="888">
        <v>1</v>
      </c>
      <c r="M32" s="889">
        <f t="shared" si="4"/>
        <v>1</v>
      </c>
      <c r="N32" s="890" t="str">
        <f t="shared" si="3"/>
        <v/>
      </c>
      <c r="O32" s="344" t="str">
        <f t="shared" si="5"/>
        <v/>
      </c>
      <c r="P32" s="344" t="str">
        <f t="shared" si="6"/>
        <v/>
      </c>
      <c r="Q32" s="195" t="str">
        <f t="shared" si="7"/>
        <v/>
      </c>
    </row>
    <row r="33" spans="1:18" s="195" customFormat="1">
      <c r="A33" s="1123"/>
      <c r="B33" s="1870"/>
      <c r="C33" s="2435" t="s">
        <v>3535</v>
      </c>
      <c r="D33" s="1868"/>
      <c r="E33" s="1869"/>
      <c r="F33" s="1869"/>
      <c r="G33" s="1866"/>
      <c r="H33" s="1866"/>
      <c r="I33" s="1866"/>
      <c r="J33" s="892"/>
      <c r="K33" s="889">
        <f t="shared" si="13"/>
        <v>1</v>
      </c>
      <c r="L33" s="888">
        <v>1</v>
      </c>
      <c r="M33" s="889">
        <f t="shared" si="4"/>
        <v>1</v>
      </c>
      <c r="N33" s="890" t="str">
        <f t="shared" si="3"/>
        <v/>
      </c>
      <c r="O33" s="344" t="str">
        <f t="shared" si="5"/>
        <v/>
      </c>
      <c r="P33" s="344" t="str">
        <f t="shared" si="6"/>
        <v/>
      </c>
      <c r="Q33" s="195" t="str">
        <f t="shared" si="7"/>
        <v/>
      </c>
    </row>
    <row r="34" spans="1:18" s="195" customFormat="1">
      <c r="A34" s="863"/>
      <c r="B34" s="1870">
        <v>1</v>
      </c>
      <c r="C34" s="1698" t="str">
        <f>VLOOKUP(D34,base_datos,6,FALSE)</f>
        <v>ITM Caja Moldeada 3x630A (electrónico [0.4-1.0] In) - T5N630-630A-3P-PR221DS-LS/I - 70kA@230Vac, 36kA@415Vac - marca ABB.</v>
      </c>
      <c r="D34" s="2413" t="s">
        <v>1084</v>
      </c>
      <c r="E34" s="1878">
        <f>VLOOKUP(D34,base_datos,5,FALSE)</f>
        <v>699.9</v>
      </c>
      <c r="F34" s="1869">
        <f>+E34*B34</f>
        <v>699.9</v>
      </c>
      <c r="G34" s="1866"/>
      <c r="H34" s="1866"/>
      <c r="I34" s="1866"/>
      <c r="J34" s="892"/>
      <c r="K34" s="889">
        <f t="shared" si="13"/>
        <v>1</v>
      </c>
      <c r="L34" s="888">
        <v>1</v>
      </c>
      <c r="M34" s="889">
        <f t="shared" si="4"/>
        <v>1</v>
      </c>
      <c r="N34" s="890">
        <f t="shared" si="3"/>
        <v>1</v>
      </c>
      <c r="O34" s="344" t="str">
        <f t="shared" si="5"/>
        <v>1SDA054396R1</v>
      </c>
      <c r="P34" s="344" t="str">
        <f t="shared" si="6"/>
        <v>ITM Caja Moldeada 3x630A (electrónico [0.4-1.0] In) - T5N630-630A-3P-PR221DS-LS/I - 70kA@230Vac, 36kA@415Vac - marca ABB.</v>
      </c>
      <c r="Q34" s="195" t="str">
        <f t="shared" si="7"/>
        <v>T5N630-630A-3P-PR221DS-LS/I</v>
      </c>
    </row>
    <row r="35" spans="1:18" s="195" customFormat="1">
      <c r="A35" s="1124"/>
      <c r="B35" s="1870">
        <v>6</v>
      </c>
      <c r="C35" s="1698" t="str">
        <f>VLOOKUP(D35,base_datos,6,FALSE)</f>
        <v>ITM Caja Moldeada 3x32A - A1B125-32A-3P-TMF - 25kA@230Vac, 18kA@400Vac - marca ABB.</v>
      </c>
      <c r="D35" s="182" t="s">
        <v>4975</v>
      </c>
      <c r="E35" s="1878">
        <f>VLOOKUP(D35,base_datos,5,FALSE)</f>
        <v>72.09</v>
      </c>
      <c r="F35" s="1869">
        <f>+E35*B35</f>
        <v>432.54</v>
      </c>
      <c r="G35" s="1866"/>
      <c r="H35" s="1866"/>
      <c r="I35" s="1866"/>
      <c r="J35" s="892"/>
      <c r="K35" s="889">
        <f t="shared" si="13"/>
        <v>1</v>
      </c>
      <c r="L35" s="888">
        <v>1</v>
      </c>
      <c r="M35" s="889">
        <f t="shared" si="4"/>
        <v>6</v>
      </c>
      <c r="N35" s="890">
        <f t="shared" si="3"/>
        <v>6</v>
      </c>
      <c r="O35" s="344" t="str">
        <f t="shared" si="5"/>
        <v>1SDA068758R1</v>
      </c>
      <c r="P35" s="344" t="str">
        <f t="shared" si="6"/>
        <v>ITM Caja Moldeada 3x32A - A1B125-32A-3P-TMF - 25kA@230Vac, 18kA@400Vac - marca ABB.</v>
      </c>
      <c r="Q35" s="195" t="str">
        <f t="shared" si="7"/>
        <v>A1B125-32A-3P-TMF</v>
      </c>
    </row>
    <row r="36" spans="1:18" s="195" customFormat="1">
      <c r="A36" s="1093"/>
      <c r="B36" s="1870">
        <v>2</v>
      </c>
      <c r="C36" s="197" t="s">
        <v>9490</v>
      </c>
      <c r="D36" s="182"/>
      <c r="E36" s="1869">
        <v>15</v>
      </c>
      <c r="F36" s="1869">
        <f>+E36*B36</f>
        <v>30</v>
      </c>
      <c r="G36" s="1866"/>
      <c r="H36" s="1866"/>
      <c r="I36" s="1866"/>
      <c r="J36" s="892"/>
      <c r="K36" s="889">
        <f t="shared" si="13"/>
        <v>1</v>
      </c>
      <c r="L36" s="888">
        <v>1</v>
      </c>
      <c r="M36" s="889">
        <f t="shared" si="4"/>
        <v>2</v>
      </c>
      <c r="N36" s="890" t="str">
        <f t="shared" si="3"/>
        <v/>
      </c>
      <c r="O36" s="344" t="str">
        <f t="shared" si="5"/>
        <v/>
      </c>
      <c r="P36" s="344" t="str">
        <f t="shared" si="6"/>
        <v/>
      </c>
      <c r="Q36" s="195" t="str">
        <f t="shared" si="7"/>
        <v/>
      </c>
    </row>
    <row r="37" spans="1:18" s="195" customFormat="1">
      <c r="A37" s="863"/>
      <c r="B37" s="895"/>
      <c r="C37" s="337" t="s">
        <v>729</v>
      </c>
      <c r="D37" s="2408"/>
      <c r="E37" s="1869"/>
      <c r="F37" s="1875"/>
      <c r="G37" s="891"/>
      <c r="H37" s="891"/>
      <c r="I37" s="891"/>
      <c r="J37" s="892"/>
      <c r="K37" s="889">
        <f t="shared" si="13"/>
        <v>1</v>
      </c>
      <c r="L37" s="888">
        <v>1</v>
      </c>
      <c r="M37" s="889">
        <f t="shared" si="4"/>
        <v>1</v>
      </c>
      <c r="N37" s="890" t="str">
        <f t="shared" si="3"/>
        <v/>
      </c>
      <c r="O37" s="344" t="str">
        <f t="shared" si="5"/>
        <v/>
      </c>
      <c r="P37" s="344" t="str">
        <f t="shared" si="6"/>
        <v/>
      </c>
      <c r="Q37" s="195" t="str">
        <f t="shared" si="7"/>
        <v/>
      </c>
    </row>
    <row r="38" spans="1:18" s="1111" customFormat="1">
      <c r="A38" s="1108"/>
      <c r="B38" s="1415">
        <v>1</v>
      </c>
      <c r="C38" s="2353" t="s">
        <v>5370</v>
      </c>
      <c r="D38" s="2436"/>
      <c r="E38" s="2355"/>
      <c r="F38" s="2355"/>
      <c r="G38" s="1109"/>
      <c r="H38" s="1109"/>
      <c r="I38" s="1109"/>
      <c r="J38" s="1110"/>
      <c r="K38" s="889">
        <f t="shared" si="13"/>
        <v>1</v>
      </c>
      <c r="L38" s="888">
        <v>1</v>
      </c>
      <c r="M38" s="889">
        <f t="shared" si="4"/>
        <v>1</v>
      </c>
      <c r="N38" s="890" t="str">
        <f t="shared" si="3"/>
        <v/>
      </c>
      <c r="O38" s="344" t="str">
        <f t="shared" si="5"/>
        <v/>
      </c>
      <c r="P38" s="344" t="str">
        <f t="shared" si="6"/>
        <v/>
      </c>
      <c r="Q38" s="195" t="str">
        <f t="shared" si="7"/>
        <v/>
      </c>
    </row>
    <row r="39" spans="1:18" s="195" customFormat="1">
      <c r="A39" s="1108"/>
      <c r="B39" s="1085">
        <v>1</v>
      </c>
      <c r="C39" s="904" t="str">
        <f>VLOOKUP(D39,base_datos,6,FALSE)</f>
        <v>FC-CuAl_T5 - Terminales + Cubrebornes - cables de cobre/aluminio hasta 2x240mm2 - 3 terminales (externos).</v>
      </c>
      <c r="D39" s="2437" t="s">
        <v>966</v>
      </c>
      <c r="E39" s="1882">
        <f>VLOOKUP(D39,base_datos,5,FALSE)</f>
        <v>100.13000000000001</v>
      </c>
      <c r="F39" s="1882">
        <f>+E39*B39</f>
        <v>100.13000000000001</v>
      </c>
      <c r="G39" s="891"/>
      <c r="H39" s="891"/>
      <c r="I39" s="891"/>
      <c r="J39" s="892"/>
      <c r="K39" s="889">
        <f t="shared" si="13"/>
        <v>1</v>
      </c>
      <c r="L39" s="888">
        <v>1</v>
      </c>
      <c r="M39" s="889">
        <f t="shared" si="4"/>
        <v>1</v>
      </c>
      <c r="N39" s="890">
        <f t="shared" si="3"/>
        <v>1</v>
      </c>
      <c r="O39" s="344" t="str">
        <f t="shared" si="5"/>
        <v>1SDA055032R1</v>
      </c>
      <c r="P39" s="344" t="str">
        <f t="shared" si="6"/>
        <v>FC-CuAl_T5 - Terminales + Cubrebornes - cables de cobre/aluminio hasta 2x240mm2 - 3 terminales (externos).</v>
      </c>
      <c r="Q39" s="195" t="str">
        <f t="shared" si="7"/>
        <v>FC-CuAl_T5_3t</v>
      </c>
    </row>
    <row r="40" spans="1:18" s="1111" customFormat="1">
      <c r="A40" s="1126"/>
      <c r="B40" s="1415">
        <v>1</v>
      </c>
      <c r="C40" s="2353" t="s">
        <v>3591</v>
      </c>
      <c r="D40" s="2436"/>
      <c r="E40" s="2355"/>
      <c r="F40" s="2355"/>
      <c r="G40" s="1109"/>
      <c r="H40" s="1109"/>
      <c r="I40" s="1109"/>
      <c r="J40" s="1110"/>
      <c r="K40" s="889">
        <f t="shared" si="13"/>
        <v>1</v>
      </c>
      <c r="L40" s="888">
        <v>1</v>
      </c>
      <c r="M40" s="889">
        <f t="shared" si="4"/>
        <v>1</v>
      </c>
      <c r="N40" s="890" t="str">
        <f t="shared" si="3"/>
        <v/>
      </c>
      <c r="O40" s="344" t="str">
        <f t="shared" si="5"/>
        <v/>
      </c>
      <c r="P40" s="344" t="str">
        <f t="shared" si="6"/>
        <v/>
      </c>
      <c r="Q40" s="195" t="str">
        <f t="shared" si="7"/>
        <v/>
      </c>
    </row>
    <row r="41" spans="1:18" s="195" customFormat="1">
      <c r="A41" s="1108"/>
      <c r="B41" s="1085">
        <v>1</v>
      </c>
      <c r="C41" s="904" t="str">
        <f>VLOOKUP(D41,base_datos,6,FALSE)</f>
        <v>FC-CuAl_T5 - Terminales + Cubrebornes - cables de cobre/aluminio hasta 2x240mm2 - 3 terminales (externos).</v>
      </c>
      <c r="D41" s="1881" t="s">
        <v>966</v>
      </c>
      <c r="E41" s="1882">
        <f>VLOOKUP(D41,base_datos,5,FALSE)</f>
        <v>100.13000000000001</v>
      </c>
      <c r="F41" s="1882">
        <f>+E41*B41</f>
        <v>100.13000000000001</v>
      </c>
      <c r="G41" s="891"/>
      <c r="H41" s="891"/>
      <c r="I41" s="891"/>
      <c r="J41" s="892"/>
      <c r="K41" s="889">
        <f t="shared" si="13"/>
        <v>1</v>
      </c>
      <c r="L41" s="888">
        <v>1</v>
      </c>
      <c r="M41" s="889">
        <f t="shared" si="4"/>
        <v>1</v>
      </c>
      <c r="N41" s="890">
        <f t="shared" si="3"/>
        <v>1</v>
      </c>
      <c r="O41" s="344" t="str">
        <f t="shared" si="5"/>
        <v>1SDA055032R1</v>
      </c>
      <c r="P41" s="344" t="str">
        <f t="shared" si="6"/>
        <v>FC-CuAl_T5 - Terminales + Cubrebornes - cables de cobre/aluminio hasta 2x240mm2 - 3 terminales (externos).</v>
      </c>
      <c r="Q41" s="195" t="str">
        <f t="shared" si="7"/>
        <v>FC-CuAl_T5_3t</v>
      </c>
    </row>
    <row r="42" spans="1:18" s="195" customFormat="1">
      <c r="A42" s="1126"/>
      <c r="B42" s="895"/>
      <c r="C42" s="337" t="s">
        <v>729</v>
      </c>
      <c r="D42" s="182"/>
      <c r="E42" s="1874"/>
      <c r="F42" s="1875"/>
      <c r="G42" s="891"/>
      <c r="H42" s="891"/>
      <c r="I42" s="891"/>
      <c r="J42" s="892"/>
      <c r="K42" s="889">
        <f t="shared" si="13"/>
        <v>1</v>
      </c>
      <c r="L42" s="888">
        <v>1</v>
      </c>
      <c r="M42" s="889">
        <f t="shared" si="4"/>
        <v>1</v>
      </c>
      <c r="N42" s="890" t="str">
        <f t="shared" si="3"/>
        <v/>
      </c>
      <c r="O42" s="344" t="str">
        <f t="shared" si="5"/>
        <v/>
      </c>
      <c r="P42" s="344" t="str">
        <f t="shared" si="6"/>
        <v/>
      </c>
      <c r="Q42" s="195" t="str">
        <f t="shared" si="7"/>
        <v/>
      </c>
    </row>
    <row r="43" spans="1:18" s="1114" customFormat="1">
      <c r="A43" s="1108"/>
      <c r="B43" s="1112">
        <v>1</v>
      </c>
      <c r="C43" s="1127" t="s">
        <v>9491</v>
      </c>
      <c r="D43" s="1868"/>
      <c r="E43" s="1874"/>
      <c r="F43" s="1883">
        <f>SUM(F44:F51)*(B43-1)</f>
        <v>0</v>
      </c>
      <c r="G43" s="893"/>
      <c r="H43" s="893"/>
      <c r="I43" s="893"/>
      <c r="J43" s="894"/>
      <c r="K43" s="889">
        <f t="shared" si="13"/>
        <v>1</v>
      </c>
      <c r="L43" s="1113">
        <f>B43</f>
        <v>1</v>
      </c>
      <c r="M43" s="889">
        <f t="shared" si="4"/>
        <v>1</v>
      </c>
      <c r="N43" s="890" t="str">
        <f t="shared" si="3"/>
        <v/>
      </c>
      <c r="O43" s="344" t="str">
        <f t="shared" si="5"/>
        <v/>
      </c>
      <c r="P43" s="344" t="str">
        <f t="shared" si="6"/>
        <v/>
      </c>
      <c r="Q43" s="195" t="str">
        <f t="shared" si="7"/>
        <v/>
      </c>
      <c r="R43" s="195"/>
    </row>
    <row r="44" spans="1:18" s="195" customFormat="1">
      <c r="A44" s="1108"/>
      <c r="B44" s="1125">
        <v>1</v>
      </c>
      <c r="C44" s="1117" t="str">
        <f>VLOOKUP(D44,base_datos,6,FALSE)</f>
        <v>Medidor multifunción - Modelo CVM-C10 - presición 0.5% - RS485, Modbus RTU - marca CIRCUTOR.</v>
      </c>
      <c r="D44" s="1884" t="s">
        <v>2651</v>
      </c>
      <c r="E44" s="1875">
        <f>VLOOKUP(D44,base_datos,5,FALSE)</f>
        <v>365.70000000000005</v>
      </c>
      <c r="F44" s="1885">
        <f>+E44*B44</f>
        <v>365.70000000000005</v>
      </c>
      <c r="G44" s="891"/>
      <c r="H44" s="891"/>
      <c r="I44" s="891"/>
      <c r="J44" s="892"/>
      <c r="K44" s="889">
        <f t="shared" si="13"/>
        <v>1</v>
      </c>
      <c r="L44" s="1116">
        <f t="shared" si="13"/>
        <v>1</v>
      </c>
      <c r="M44" s="889">
        <f t="shared" si="4"/>
        <v>1</v>
      </c>
      <c r="N44" s="890">
        <f t="shared" si="3"/>
        <v>1</v>
      </c>
      <c r="O44" s="344" t="str">
        <f t="shared" si="5"/>
        <v>CVM-C10-ITF-485-ICT2</v>
      </c>
      <c r="P44" s="344" t="str">
        <f t="shared" si="6"/>
        <v>Medidor multifunción - Modelo CVM-C10 - presición 0.5% - RS485, Modbus RTU - marca CIRCUTOR.</v>
      </c>
      <c r="Q44" s="195" t="str">
        <f t="shared" si="7"/>
        <v>CVM-C10</v>
      </c>
    </row>
    <row r="45" spans="1:18" s="344" customFormat="1">
      <c r="A45" s="1889"/>
      <c r="B45" s="1125">
        <v>3</v>
      </c>
      <c r="C45" s="1117" t="str">
        <f>VLOOKUP(D45,base_datos,6,FALSE)</f>
        <v>Transformador de corriente de 800/5A</v>
      </c>
      <c r="D45" s="2438" t="s">
        <v>1852</v>
      </c>
      <c r="E45" s="1875">
        <f>VLOOKUP(D45,base_datos,5,FALSE)</f>
        <v>110</v>
      </c>
      <c r="F45" s="1885">
        <f>+E45*B45</f>
        <v>330</v>
      </c>
      <c r="G45" s="905"/>
      <c r="H45" s="905"/>
      <c r="I45" s="905"/>
      <c r="J45" s="906"/>
      <c r="K45" s="889">
        <f t="shared" ref="K45:L60" si="14">K44</f>
        <v>1</v>
      </c>
      <c r="L45" s="1116">
        <f>L44</f>
        <v>1</v>
      </c>
      <c r="M45" s="889">
        <f t="shared" si="4"/>
        <v>3</v>
      </c>
      <c r="N45" s="890" t="str">
        <f t="shared" si="3"/>
        <v/>
      </c>
      <c r="O45" s="344" t="str">
        <f t="shared" si="5"/>
        <v/>
      </c>
      <c r="P45" s="344" t="str">
        <f t="shared" si="6"/>
        <v/>
      </c>
      <c r="Q45" s="195" t="str">
        <f t="shared" si="7"/>
        <v/>
      </c>
      <c r="R45" s="195"/>
    </row>
    <row r="46" spans="1:18" s="195" customFormat="1">
      <c r="A46" s="1108"/>
      <c r="B46" s="1886">
        <v>0</v>
      </c>
      <c r="C46" s="904" t="str">
        <f>VLOOKUP(D46,base_datos,6,FALSE)</f>
        <v>Base portafusibles + Fusibles de protección para control.</v>
      </c>
      <c r="D46" s="1881" t="s">
        <v>453</v>
      </c>
      <c r="E46" s="1882">
        <f>VLOOKUP(D46,base_datos,5,FALSE)</f>
        <v>6.5373900000000003</v>
      </c>
      <c r="F46" s="1887">
        <f>+E46*B46</f>
        <v>0</v>
      </c>
      <c r="G46" s="891"/>
      <c r="H46" s="891"/>
      <c r="I46" s="891"/>
      <c r="J46" s="892"/>
      <c r="K46" s="889">
        <f t="shared" si="14"/>
        <v>1</v>
      </c>
      <c r="L46" s="1116">
        <f>L45</f>
        <v>1</v>
      </c>
      <c r="M46" s="889">
        <f t="shared" si="4"/>
        <v>0</v>
      </c>
      <c r="N46" s="890" t="str">
        <f t="shared" si="3"/>
        <v/>
      </c>
      <c r="O46" s="344" t="str">
        <f t="shared" si="5"/>
        <v/>
      </c>
      <c r="P46" s="344" t="str">
        <f t="shared" si="6"/>
        <v/>
      </c>
      <c r="Q46" s="195" t="str">
        <f t="shared" si="7"/>
        <v/>
      </c>
    </row>
    <row r="47" spans="1:18" s="195" customFormat="1">
      <c r="A47" s="1108"/>
      <c r="B47" s="1886">
        <v>1</v>
      </c>
      <c r="C47" s="904" t="str">
        <f>VLOOKUP(D47,base_datos,6,FALSE)</f>
        <v>Borne 4mm2.</v>
      </c>
      <c r="D47" s="1881" t="s">
        <v>437</v>
      </c>
      <c r="E47" s="1882">
        <f>VLOOKUP(D47,base_datos,5,FALSE)</f>
        <v>2.5</v>
      </c>
      <c r="F47" s="1887">
        <f>+E47*B47</f>
        <v>2.5</v>
      </c>
      <c r="G47" s="891"/>
      <c r="H47" s="891"/>
      <c r="I47" s="891"/>
      <c r="J47" s="892"/>
      <c r="K47" s="889">
        <f t="shared" si="14"/>
        <v>1</v>
      </c>
      <c r="L47" s="1116">
        <f t="shared" si="14"/>
        <v>1</v>
      </c>
      <c r="M47" s="889">
        <f t="shared" si="4"/>
        <v>1</v>
      </c>
      <c r="N47" s="890" t="str">
        <f t="shared" si="3"/>
        <v/>
      </c>
      <c r="O47" s="344" t="str">
        <f t="shared" si="5"/>
        <v/>
      </c>
      <c r="P47" s="344" t="str">
        <f t="shared" si="6"/>
        <v/>
      </c>
      <c r="Q47" s="195" t="str">
        <f t="shared" si="7"/>
        <v/>
      </c>
    </row>
    <row r="48" spans="1:18" s="1111" customFormat="1">
      <c r="A48" s="1126"/>
      <c r="B48" s="1415">
        <v>1</v>
      </c>
      <c r="C48" s="1115" t="s">
        <v>3302</v>
      </c>
      <c r="D48" s="1879"/>
      <c r="E48" s="1880"/>
      <c r="F48" s="1888"/>
      <c r="G48" s="1109"/>
      <c r="H48" s="1109"/>
      <c r="I48" s="1109"/>
      <c r="J48" s="1110"/>
      <c r="K48" s="889">
        <f t="shared" si="14"/>
        <v>1</v>
      </c>
      <c r="L48" s="1116">
        <f t="shared" si="14"/>
        <v>1</v>
      </c>
      <c r="M48" s="889">
        <f t="shared" si="4"/>
        <v>1</v>
      </c>
      <c r="N48" s="890" t="str">
        <f t="shared" si="3"/>
        <v/>
      </c>
      <c r="O48" s="344" t="str">
        <f t="shared" si="5"/>
        <v/>
      </c>
      <c r="P48" s="344" t="str">
        <f t="shared" si="6"/>
        <v/>
      </c>
      <c r="Q48" s="195" t="str">
        <f t="shared" si="7"/>
        <v/>
      </c>
      <c r="R48" s="195"/>
    </row>
    <row r="49" spans="1:18" s="195" customFormat="1">
      <c r="A49" s="1108"/>
      <c r="B49" s="1416">
        <v>3</v>
      </c>
      <c r="C49" s="904" t="str">
        <f>VLOOKUP(D49,base_datos,6,FALSE)</f>
        <v>Base portafusibles + Fusibles de protección para control.</v>
      </c>
      <c r="D49" s="1881" t="s">
        <v>453</v>
      </c>
      <c r="E49" s="1882">
        <f>VLOOKUP(D49,base_datos,5,FALSE)</f>
        <v>6.5373900000000003</v>
      </c>
      <c r="F49" s="1887">
        <f>+E49*B49</f>
        <v>19.612169999999999</v>
      </c>
      <c r="G49" s="891"/>
      <c r="H49" s="891"/>
      <c r="I49" s="891"/>
      <c r="J49" s="892"/>
      <c r="K49" s="889">
        <f t="shared" si="14"/>
        <v>1</v>
      </c>
      <c r="L49" s="1116">
        <f t="shared" si="14"/>
        <v>1</v>
      </c>
      <c r="M49" s="889">
        <f t="shared" si="4"/>
        <v>3</v>
      </c>
      <c r="N49" s="890" t="str">
        <f t="shared" si="3"/>
        <v/>
      </c>
      <c r="O49" s="344" t="str">
        <f t="shared" si="5"/>
        <v/>
      </c>
      <c r="P49" s="344" t="str">
        <f t="shared" si="6"/>
        <v/>
      </c>
      <c r="Q49" s="195" t="str">
        <f t="shared" si="7"/>
        <v/>
      </c>
    </row>
    <row r="50" spans="1:18" s="1111" customFormat="1">
      <c r="A50" s="1126"/>
      <c r="B50" s="1415">
        <v>1</v>
      </c>
      <c r="C50" s="1115" t="s">
        <v>3303</v>
      </c>
      <c r="D50" s="1879"/>
      <c r="E50" s="1880"/>
      <c r="F50" s="1888"/>
      <c r="G50" s="1109"/>
      <c r="H50" s="1109"/>
      <c r="I50" s="1109"/>
      <c r="J50" s="1110"/>
      <c r="K50" s="889">
        <f t="shared" si="14"/>
        <v>1</v>
      </c>
      <c r="L50" s="1116">
        <f t="shared" si="14"/>
        <v>1</v>
      </c>
      <c r="M50" s="889">
        <f t="shared" si="4"/>
        <v>1</v>
      </c>
      <c r="N50" s="890" t="str">
        <f t="shared" si="3"/>
        <v/>
      </c>
      <c r="O50" s="344" t="str">
        <f t="shared" si="5"/>
        <v/>
      </c>
      <c r="P50" s="344" t="str">
        <f t="shared" si="6"/>
        <v/>
      </c>
      <c r="Q50" s="195" t="str">
        <f t="shared" si="7"/>
        <v/>
      </c>
      <c r="R50" s="195"/>
    </row>
    <row r="51" spans="1:18" s="195" customFormat="1">
      <c r="A51" s="1108"/>
      <c r="B51" s="1085">
        <v>6</v>
      </c>
      <c r="C51" s="904" t="str">
        <f>VLOOKUP(D51,base_datos,6,FALSE)</f>
        <v>Bornes seccionables de corriente.</v>
      </c>
      <c r="D51" s="1881" t="s">
        <v>435</v>
      </c>
      <c r="E51" s="1882">
        <f>VLOOKUP(D51,base_datos,5,FALSE)</f>
        <v>12</v>
      </c>
      <c r="F51" s="1887">
        <f>+E51*B51</f>
        <v>72</v>
      </c>
      <c r="G51" s="891"/>
      <c r="H51" s="891"/>
      <c r="I51" s="891"/>
      <c r="J51" s="892"/>
      <c r="K51" s="889">
        <f t="shared" si="14"/>
        <v>1</v>
      </c>
      <c r="L51" s="1116">
        <f t="shared" si="14"/>
        <v>1</v>
      </c>
      <c r="M51" s="889">
        <f t="shared" si="4"/>
        <v>6</v>
      </c>
      <c r="N51" s="890" t="str">
        <f t="shared" si="3"/>
        <v/>
      </c>
      <c r="O51" s="344" t="str">
        <f t="shared" si="5"/>
        <v/>
      </c>
      <c r="P51" s="344" t="str">
        <f t="shared" si="6"/>
        <v/>
      </c>
      <c r="Q51" s="195" t="str">
        <f t="shared" si="7"/>
        <v/>
      </c>
    </row>
    <row r="52" spans="1:18" s="195" customFormat="1">
      <c r="A52" s="1108"/>
      <c r="B52" s="1870"/>
      <c r="C52" s="197" t="s">
        <v>729</v>
      </c>
      <c r="D52" s="182"/>
      <c r="E52" s="1865"/>
      <c r="F52" s="1869"/>
      <c r="G52" s="1866"/>
      <c r="H52" s="1866"/>
      <c r="I52" s="1866"/>
      <c r="J52" s="892"/>
      <c r="K52" s="889">
        <f t="shared" si="14"/>
        <v>1</v>
      </c>
      <c r="L52" s="888">
        <v>1</v>
      </c>
      <c r="M52" s="889">
        <f t="shared" si="4"/>
        <v>1</v>
      </c>
      <c r="N52" s="890" t="str">
        <f t="shared" si="3"/>
        <v/>
      </c>
      <c r="O52" s="344" t="str">
        <f t="shared" si="5"/>
        <v/>
      </c>
      <c r="P52" s="344" t="str">
        <f t="shared" si="6"/>
        <v/>
      </c>
      <c r="Q52" s="195" t="str">
        <f t="shared" si="7"/>
        <v/>
      </c>
    </row>
    <row r="53" spans="1:18" s="126" customFormat="1">
      <c r="A53" s="1889"/>
      <c r="B53" s="2439"/>
      <c r="C53" s="853"/>
      <c r="D53" s="2440"/>
      <c r="E53" s="1890"/>
      <c r="F53" s="1877"/>
      <c r="G53" s="854"/>
      <c r="H53" s="854"/>
      <c r="I53" s="854"/>
      <c r="J53" s="855"/>
      <c r="K53" s="889">
        <f t="shared" si="14"/>
        <v>1</v>
      </c>
      <c r="L53" s="412">
        <v>1</v>
      </c>
      <c r="M53" s="889">
        <f t="shared" si="4"/>
        <v>1</v>
      </c>
      <c r="N53" s="890" t="str">
        <f t="shared" si="3"/>
        <v/>
      </c>
      <c r="O53" s="344" t="str">
        <f t="shared" si="5"/>
        <v/>
      </c>
      <c r="P53" s="344" t="str">
        <f t="shared" si="6"/>
        <v/>
      </c>
      <c r="Q53" s="195" t="str">
        <f t="shared" si="7"/>
        <v/>
      </c>
      <c r="R53" s="195"/>
    </row>
    <row r="54" spans="1:18" s="195" customFormat="1">
      <c r="A54" s="1108"/>
      <c r="B54" s="895"/>
      <c r="C54" s="337" t="s">
        <v>729</v>
      </c>
      <c r="D54" s="182"/>
      <c r="E54" s="1874"/>
      <c r="F54" s="1875"/>
      <c r="G54" s="891"/>
      <c r="H54" s="891"/>
      <c r="I54" s="891"/>
      <c r="J54" s="892"/>
      <c r="K54" s="889">
        <f t="shared" si="14"/>
        <v>1</v>
      </c>
      <c r="L54" s="888">
        <v>1</v>
      </c>
      <c r="M54" s="889">
        <f t="shared" si="4"/>
        <v>1</v>
      </c>
      <c r="N54" s="890" t="str">
        <f t="shared" si="3"/>
        <v/>
      </c>
      <c r="O54" s="344" t="str">
        <f t="shared" si="5"/>
        <v/>
      </c>
      <c r="P54" s="344" t="str">
        <f t="shared" si="6"/>
        <v/>
      </c>
      <c r="Q54" s="195" t="str">
        <f t="shared" si="7"/>
        <v/>
      </c>
    </row>
    <row r="55" spans="1:18" s="1114" customFormat="1">
      <c r="A55" s="2370"/>
      <c r="B55" s="1112">
        <v>1</v>
      </c>
      <c r="C55" s="1127" t="s">
        <v>4044</v>
      </c>
      <c r="D55" s="1868"/>
      <c r="E55" s="1874"/>
      <c r="F55" s="1883">
        <f>SUM(F56:F58)*(B55-1)</f>
        <v>0</v>
      </c>
      <c r="G55" s="2380"/>
      <c r="H55" s="2380"/>
      <c r="I55" s="2380"/>
      <c r="J55" s="894"/>
      <c r="K55" s="889">
        <f t="shared" si="14"/>
        <v>1</v>
      </c>
      <c r="L55" s="1113">
        <f>B55</f>
        <v>1</v>
      </c>
      <c r="M55" s="889">
        <f t="shared" si="4"/>
        <v>1</v>
      </c>
      <c r="N55" s="890" t="str">
        <f t="shared" si="3"/>
        <v/>
      </c>
      <c r="O55" s="344" t="str">
        <f t="shared" si="5"/>
        <v/>
      </c>
      <c r="P55" s="344" t="str">
        <f t="shared" si="6"/>
        <v/>
      </c>
      <c r="Q55" s="195" t="str">
        <f t="shared" si="7"/>
        <v/>
      </c>
      <c r="R55" s="195"/>
    </row>
    <row r="56" spans="1:18" s="195" customFormat="1">
      <c r="A56" s="1108"/>
      <c r="B56" s="2365">
        <v>3</v>
      </c>
      <c r="C56" s="2381" t="s">
        <v>14160</v>
      </c>
      <c r="D56" s="1884" t="s">
        <v>2473</v>
      </c>
      <c r="E56" s="1875">
        <v>15</v>
      </c>
      <c r="F56" s="1885">
        <f>+E56*B56</f>
        <v>45</v>
      </c>
      <c r="G56" s="1866"/>
      <c r="H56" s="1866"/>
      <c r="I56" s="1866"/>
      <c r="J56" s="892"/>
      <c r="K56" s="889">
        <f t="shared" si="14"/>
        <v>1</v>
      </c>
      <c r="L56" s="1116">
        <f t="shared" si="14"/>
        <v>1</v>
      </c>
      <c r="M56" s="889">
        <f t="shared" si="4"/>
        <v>3</v>
      </c>
      <c r="N56" s="890">
        <f t="shared" si="3"/>
        <v>3</v>
      </c>
      <c r="O56" s="344" t="str">
        <f t="shared" si="5"/>
        <v>1SFA619403R5231</v>
      </c>
      <c r="P56" s="344" t="str">
        <f t="shared" si="6"/>
        <v>Portalámpara + lampara tipo LED - color Rojo - alimentacion: 220-230Vac, d=22mm. - CL2-523R - línea compacta - marca ABB.</v>
      </c>
      <c r="Q56" s="195" t="str">
        <f t="shared" si="7"/>
        <v>LAMP_ROJO_220V</v>
      </c>
    </row>
    <row r="57" spans="1:18" s="1111" customFormat="1">
      <c r="A57" s="1126"/>
      <c r="B57" s="2384">
        <v>1</v>
      </c>
      <c r="C57" s="1115" t="s">
        <v>9497</v>
      </c>
      <c r="D57" s="1879"/>
      <c r="E57" s="1880"/>
      <c r="F57" s="1888"/>
      <c r="G57" s="2383"/>
      <c r="H57" s="2383"/>
      <c r="I57" s="2383"/>
      <c r="J57" s="1110"/>
      <c r="K57" s="889">
        <f t="shared" si="14"/>
        <v>1</v>
      </c>
      <c r="L57" s="1116">
        <f>L56</f>
        <v>1</v>
      </c>
      <c r="M57" s="889">
        <f t="shared" si="4"/>
        <v>1</v>
      </c>
      <c r="N57" s="890" t="str">
        <f t="shared" si="3"/>
        <v/>
      </c>
      <c r="O57" s="344" t="str">
        <f t="shared" si="5"/>
        <v/>
      </c>
      <c r="P57" s="344" t="str">
        <f t="shared" si="6"/>
        <v/>
      </c>
      <c r="Q57" s="195" t="str">
        <f t="shared" si="7"/>
        <v/>
      </c>
      <c r="R57" s="195"/>
    </row>
    <row r="58" spans="1:18" s="344" customFormat="1">
      <c r="A58" s="1093"/>
      <c r="B58" s="2371">
        <v>3</v>
      </c>
      <c r="C58" s="904" t="str">
        <f>VLOOKUP(D58,base_datos,6,FALSE)</f>
        <v>Base portafusibles + Fusibles de protección para control.</v>
      </c>
      <c r="D58" s="1881" t="s">
        <v>453</v>
      </c>
      <c r="E58" s="1892">
        <f>VLOOKUP(D58,base_datos,5,FALSE)</f>
        <v>6.5373900000000003</v>
      </c>
      <c r="F58" s="1897">
        <f>+E58*B58</f>
        <v>19.612169999999999</v>
      </c>
      <c r="G58" s="1898"/>
      <c r="H58" s="1898"/>
      <c r="I58" s="1898"/>
      <c r="J58" s="906"/>
      <c r="K58" s="889">
        <f t="shared" si="14"/>
        <v>1</v>
      </c>
      <c r="L58" s="1116">
        <f t="shared" si="14"/>
        <v>1</v>
      </c>
      <c r="M58" s="889">
        <f t="shared" si="4"/>
        <v>3</v>
      </c>
      <c r="N58" s="890" t="str">
        <f t="shared" si="3"/>
        <v/>
      </c>
      <c r="O58" s="344" t="str">
        <f t="shared" si="5"/>
        <v/>
      </c>
      <c r="P58" s="344" t="str">
        <f t="shared" si="6"/>
        <v/>
      </c>
      <c r="Q58" s="195" t="str">
        <f t="shared" si="7"/>
        <v/>
      </c>
      <c r="R58" s="195"/>
    </row>
    <row r="59" spans="1:18" s="195" customFormat="1">
      <c r="A59" s="1108"/>
      <c r="B59" s="1870"/>
      <c r="C59" s="197" t="s">
        <v>729</v>
      </c>
      <c r="D59" s="182"/>
      <c r="E59" s="1865"/>
      <c r="F59" s="1869"/>
      <c r="G59" s="1866"/>
      <c r="H59" s="1866"/>
      <c r="I59" s="1866"/>
      <c r="J59" s="892"/>
      <c r="K59" s="889">
        <f t="shared" si="14"/>
        <v>1</v>
      </c>
      <c r="L59" s="888">
        <v>1</v>
      </c>
      <c r="M59" s="889">
        <f t="shared" si="4"/>
        <v>1</v>
      </c>
      <c r="N59" s="890" t="str">
        <f t="shared" si="3"/>
        <v/>
      </c>
      <c r="O59" s="344" t="str">
        <f t="shared" si="5"/>
        <v/>
      </c>
      <c r="P59" s="344" t="str">
        <f t="shared" si="6"/>
        <v/>
      </c>
      <c r="Q59" s="195" t="str">
        <f t="shared" si="7"/>
        <v/>
      </c>
    </row>
    <row r="60" spans="1:18" s="195" customFormat="1">
      <c r="A60" s="1108"/>
      <c r="B60" s="1870">
        <v>1</v>
      </c>
      <c r="C60" s="197" t="s">
        <v>9498</v>
      </c>
      <c r="D60" s="182"/>
      <c r="E60" s="1865"/>
      <c r="F60" s="1869"/>
      <c r="G60" s="1899"/>
      <c r="H60" s="1899"/>
      <c r="I60" s="1899"/>
      <c r="J60" s="892"/>
      <c r="K60" s="889">
        <f t="shared" si="14"/>
        <v>1</v>
      </c>
      <c r="L60" s="888">
        <v>1</v>
      </c>
      <c r="M60" s="889">
        <f t="shared" si="4"/>
        <v>1</v>
      </c>
      <c r="N60" s="890" t="str">
        <f t="shared" si="3"/>
        <v/>
      </c>
      <c r="O60" s="344" t="str">
        <f t="shared" si="5"/>
        <v/>
      </c>
      <c r="P60" s="344" t="str">
        <f t="shared" si="6"/>
        <v/>
      </c>
      <c r="Q60" s="195" t="str">
        <f t="shared" si="7"/>
        <v/>
      </c>
    </row>
    <row r="61" spans="1:18" s="195" customFormat="1">
      <c r="A61" s="1108"/>
      <c r="B61" s="1870"/>
      <c r="C61" s="197" t="s">
        <v>729</v>
      </c>
      <c r="D61" s="182"/>
      <c r="E61" s="1865"/>
      <c r="F61" s="1869"/>
      <c r="G61" s="1866"/>
      <c r="H61" s="1866"/>
      <c r="I61" s="1866"/>
      <c r="J61" s="892"/>
      <c r="K61" s="889">
        <f t="shared" ref="K61:K65" si="15">K60</f>
        <v>1</v>
      </c>
      <c r="L61" s="888">
        <v>1</v>
      </c>
      <c r="M61" s="889">
        <f t="shared" si="4"/>
        <v>1</v>
      </c>
      <c r="N61" s="890" t="str">
        <f t="shared" si="3"/>
        <v/>
      </c>
      <c r="O61" s="344" t="str">
        <f t="shared" si="5"/>
        <v/>
      </c>
      <c r="P61" s="344" t="str">
        <f t="shared" si="6"/>
        <v/>
      </c>
      <c r="Q61" s="195" t="str">
        <f t="shared" si="7"/>
        <v/>
      </c>
    </row>
    <row r="62" spans="1:18" s="1479" customFormat="1">
      <c r="A62" s="1128"/>
      <c r="B62" s="1412">
        <v>1</v>
      </c>
      <c r="C62" s="1417" t="s">
        <v>9499</v>
      </c>
      <c r="D62" s="1900"/>
      <c r="E62" s="1901">
        <v>310</v>
      </c>
      <c r="F62" s="1901">
        <f>+E62*B62</f>
        <v>310</v>
      </c>
      <c r="G62" s="1902"/>
      <c r="H62" s="1902"/>
      <c r="I62" s="1902"/>
      <c r="J62" s="1414"/>
      <c r="K62" s="889">
        <f>K61</f>
        <v>1</v>
      </c>
      <c r="L62" s="888">
        <v>1</v>
      </c>
      <c r="M62" s="889">
        <f t="shared" si="4"/>
        <v>1</v>
      </c>
      <c r="N62" s="890" t="str">
        <f t="shared" si="3"/>
        <v/>
      </c>
      <c r="O62" s="344" t="str">
        <f t="shared" si="5"/>
        <v/>
      </c>
      <c r="P62" s="344" t="str">
        <f t="shared" si="6"/>
        <v/>
      </c>
      <c r="Q62" s="195" t="str">
        <f t="shared" si="7"/>
        <v/>
      </c>
      <c r="R62" s="195"/>
    </row>
    <row r="63" spans="1:18" s="1088" customFormat="1">
      <c r="A63" s="865"/>
      <c r="B63" s="1085">
        <v>10</v>
      </c>
      <c r="C63" s="904" t="str">
        <f>VLOOKUP(D63,base_datos,6,FALSE)</f>
        <v>Rotulado por circuito.</v>
      </c>
      <c r="D63" s="1881" t="s">
        <v>3210</v>
      </c>
      <c r="E63" s="1892">
        <f>VLOOKUP(D63,base_datos,5,FALSE)</f>
        <v>0.7</v>
      </c>
      <c r="F63" s="1893">
        <f>+E63*B63</f>
        <v>7</v>
      </c>
      <c r="G63" s="1903"/>
      <c r="H63" s="1903"/>
      <c r="I63" s="1903"/>
      <c r="J63" s="1087"/>
      <c r="K63" s="889">
        <f t="shared" si="15"/>
        <v>1</v>
      </c>
      <c r="L63" s="888">
        <v>1</v>
      </c>
      <c r="M63" s="889">
        <f t="shared" si="4"/>
        <v>10</v>
      </c>
      <c r="N63" s="890" t="str">
        <f t="shared" si="3"/>
        <v/>
      </c>
      <c r="O63" s="344" t="str">
        <f t="shared" si="5"/>
        <v/>
      </c>
      <c r="P63" s="344" t="str">
        <f t="shared" si="6"/>
        <v/>
      </c>
      <c r="Q63" s="195" t="str">
        <f t="shared" si="7"/>
        <v/>
      </c>
      <c r="R63" s="195"/>
    </row>
    <row r="64" spans="1:18" s="1088" customFormat="1">
      <c r="A64" s="865"/>
      <c r="B64" s="1085">
        <v>1</v>
      </c>
      <c r="C64" s="904" t="str">
        <f>VLOOKUP(D64,base_datos,6,FALSE)</f>
        <v>Rotulado para TAG - Gabinete autosoportado.</v>
      </c>
      <c r="D64" s="1881" t="s">
        <v>3208</v>
      </c>
      <c r="E64" s="1892">
        <f>VLOOKUP(D64,base_datos,5,FALSE)</f>
        <v>3</v>
      </c>
      <c r="F64" s="1893">
        <f>+E64*B64</f>
        <v>3</v>
      </c>
      <c r="G64" s="1903"/>
      <c r="H64" s="1903"/>
      <c r="I64" s="1903"/>
      <c r="J64" s="1087"/>
      <c r="K64" s="889">
        <f t="shared" si="15"/>
        <v>1</v>
      </c>
      <c r="L64" s="888">
        <v>1</v>
      </c>
      <c r="M64" s="889">
        <f t="shared" si="4"/>
        <v>1</v>
      </c>
      <c r="N64" s="890" t="str">
        <f t="shared" si="3"/>
        <v/>
      </c>
      <c r="O64" s="344" t="str">
        <f t="shared" si="5"/>
        <v/>
      </c>
      <c r="P64" s="344" t="str">
        <f t="shared" si="6"/>
        <v/>
      </c>
      <c r="Q64" s="195" t="str">
        <f t="shared" si="7"/>
        <v/>
      </c>
      <c r="R64" s="195"/>
    </row>
    <row r="65" spans="1:18" s="1479" customFormat="1">
      <c r="A65" s="1128"/>
      <c r="B65" s="1412">
        <v>1</v>
      </c>
      <c r="C65" s="1417" t="s">
        <v>14161</v>
      </c>
      <c r="D65" s="1900"/>
      <c r="E65" s="1901">
        <v>1750</v>
      </c>
      <c r="F65" s="1901">
        <f>+E65*B65</f>
        <v>1750</v>
      </c>
      <c r="G65" s="1902"/>
      <c r="H65" s="1902"/>
      <c r="I65" s="1902"/>
      <c r="J65" s="1414"/>
      <c r="K65" s="889">
        <f t="shared" si="15"/>
        <v>1</v>
      </c>
      <c r="L65" s="888">
        <v>1</v>
      </c>
      <c r="M65" s="889">
        <f t="shared" si="4"/>
        <v>1</v>
      </c>
      <c r="N65" s="890" t="str">
        <f t="shared" si="3"/>
        <v/>
      </c>
      <c r="O65" s="344" t="str">
        <f t="shared" si="5"/>
        <v/>
      </c>
      <c r="P65" s="344" t="str">
        <f t="shared" si="6"/>
        <v/>
      </c>
      <c r="Q65" s="195" t="str">
        <f t="shared" si="7"/>
        <v/>
      </c>
      <c r="R65" s="195"/>
    </row>
    <row r="66" spans="1:18" s="126" customFormat="1" ht="13.5" thickBot="1">
      <c r="A66" s="871"/>
      <c r="B66" s="1421"/>
      <c r="C66" s="897"/>
      <c r="D66" s="872"/>
      <c r="E66" s="1904"/>
      <c r="F66" s="1904"/>
      <c r="G66" s="1905"/>
      <c r="H66" s="1905"/>
      <c r="I66" s="1905"/>
      <c r="J66" s="874"/>
      <c r="K66" s="843"/>
      <c r="L66" s="412"/>
      <c r="M66" s="843"/>
      <c r="N66" s="890" t="str">
        <f t="shared" si="3"/>
        <v/>
      </c>
      <c r="O66" s="344" t="str">
        <f t="shared" si="5"/>
        <v/>
      </c>
      <c r="P66" s="344" t="str">
        <f t="shared" si="6"/>
        <v/>
      </c>
      <c r="Q66" s="195" t="str">
        <f t="shared" si="7"/>
        <v/>
      </c>
      <c r="R66" s="195"/>
    </row>
    <row r="67" spans="1:18" s="195" customFormat="1" ht="12.75" customHeight="1" thickBot="1">
      <c r="A67" s="1906">
        <v>2</v>
      </c>
      <c r="B67" s="1907">
        <v>1</v>
      </c>
      <c r="C67" s="1411" t="s">
        <v>14162</v>
      </c>
      <c r="D67" s="1858"/>
      <c r="E67" s="1859"/>
      <c r="F67" s="1859"/>
      <c r="G67" s="1860">
        <f>SUM(F69:F148)</f>
        <v>7135.3843400000014</v>
      </c>
      <c r="H67" s="1908">
        <f>G67*(1-$D$6)</f>
        <v>5351.5382550000013</v>
      </c>
      <c r="I67" s="1118">
        <f>ROUNDUP(H67*$D$5,0)</f>
        <v>18196</v>
      </c>
      <c r="J67" s="1014">
        <f>+I67*B67</f>
        <v>18196</v>
      </c>
      <c r="K67" s="1861">
        <f>B67</f>
        <v>1</v>
      </c>
      <c r="L67" s="888"/>
      <c r="M67" s="889"/>
      <c r="N67" s="890" t="str">
        <f t="shared" si="3"/>
        <v/>
      </c>
      <c r="O67" s="344" t="str">
        <f t="shared" si="5"/>
        <v/>
      </c>
      <c r="P67" s="344" t="str">
        <f t="shared" si="6"/>
        <v/>
      </c>
      <c r="Q67" s="195" t="str">
        <f t="shared" si="7"/>
        <v/>
      </c>
    </row>
    <row r="68" spans="1:18" s="195" customFormat="1">
      <c r="A68" s="852" t="s">
        <v>3207</v>
      </c>
      <c r="B68" s="2360"/>
      <c r="C68" s="1127"/>
      <c r="D68" s="1868"/>
      <c r="E68" s="1869"/>
      <c r="F68" s="1869"/>
      <c r="G68" s="1866"/>
      <c r="H68" s="1866"/>
      <c r="I68" s="1866"/>
      <c r="J68" s="1022"/>
      <c r="K68" s="889">
        <f>K67</f>
        <v>1</v>
      </c>
      <c r="L68" s="888">
        <v>1</v>
      </c>
      <c r="M68" s="889">
        <f t="shared" ref="M68:M131" si="16">IF(B68="",1,B68)</f>
        <v>1</v>
      </c>
      <c r="N68" s="890" t="str">
        <f t="shared" si="3"/>
        <v/>
      </c>
      <c r="O68" s="344" t="str">
        <f t="shared" si="5"/>
        <v/>
      </c>
      <c r="P68" s="344" t="str">
        <f t="shared" si="6"/>
        <v/>
      </c>
      <c r="Q68" s="195" t="str">
        <f t="shared" si="7"/>
        <v/>
      </c>
    </row>
    <row r="69" spans="1:18" s="1114" customFormat="1" ht="12.75" customHeight="1">
      <c r="A69" s="856" t="s">
        <v>4059</v>
      </c>
      <c r="B69" s="2374"/>
      <c r="C69" s="2392" t="s">
        <v>729</v>
      </c>
      <c r="D69" s="182"/>
      <c r="E69" s="1874"/>
      <c r="F69" s="1875"/>
      <c r="G69" s="893"/>
      <c r="H69" s="893"/>
      <c r="I69" s="893"/>
      <c r="J69" s="894"/>
      <c r="K69" s="889">
        <f t="shared" ref="K69:K132" si="17">K68</f>
        <v>1</v>
      </c>
      <c r="L69" s="888">
        <v>1</v>
      </c>
      <c r="M69" s="889">
        <f t="shared" si="16"/>
        <v>1</v>
      </c>
      <c r="N69" s="890" t="str">
        <f t="shared" si="3"/>
        <v/>
      </c>
      <c r="O69" s="344" t="str">
        <f t="shared" si="5"/>
        <v/>
      </c>
      <c r="P69" s="344" t="str">
        <f t="shared" si="6"/>
        <v/>
      </c>
      <c r="Q69" s="195" t="str">
        <f t="shared" si="7"/>
        <v/>
      </c>
      <c r="R69" s="195"/>
    </row>
    <row r="70" spans="1:18" s="126" customFormat="1">
      <c r="A70" s="856" t="s">
        <v>4321</v>
      </c>
      <c r="B70" s="908"/>
      <c r="C70" s="1419" t="s">
        <v>9492</v>
      </c>
      <c r="D70" s="1891"/>
      <c r="E70" s="1878"/>
      <c r="F70" s="1878"/>
      <c r="G70" s="854"/>
      <c r="H70" s="854"/>
      <c r="I70" s="854"/>
      <c r="J70" s="858"/>
      <c r="K70" s="889">
        <f t="shared" si="17"/>
        <v>1</v>
      </c>
      <c r="L70" s="412">
        <v>1</v>
      </c>
      <c r="M70" s="843">
        <f t="shared" si="16"/>
        <v>1</v>
      </c>
      <c r="N70" s="890" t="str">
        <f t="shared" si="3"/>
        <v/>
      </c>
      <c r="O70" s="344" t="str">
        <f t="shared" si="5"/>
        <v/>
      </c>
      <c r="P70" s="344" t="str">
        <f t="shared" si="6"/>
        <v/>
      </c>
      <c r="Q70" s="195" t="str">
        <f t="shared" si="7"/>
        <v/>
      </c>
      <c r="R70" s="195"/>
    </row>
    <row r="71" spans="1:18" s="1114" customFormat="1" ht="12.75" customHeight="1">
      <c r="A71" s="856" t="s">
        <v>3725</v>
      </c>
      <c r="B71" s="2360"/>
      <c r="C71" s="2332"/>
      <c r="D71" s="2333"/>
      <c r="E71" s="2334"/>
      <c r="F71" s="2335"/>
      <c r="G71" s="893"/>
      <c r="H71" s="893"/>
      <c r="I71" s="893"/>
      <c r="J71" s="894"/>
      <c r="K71" s="889">
        <f t="shared" si="17"/>
        <v>1</v>
      </c>
      <c r="L71" s="888">
        <v>1</v>
      </c>
      <c r="M71" s="843">
        <f t="shared" si="16"/>
        <v>1</v>
      </c>
      <c r="N71" s="890" t="str">
        <f t="shared" si="3"/>
        <v/>
      </c>
      <c r="O71" s="344" t="str">
        <f t="shared" si="5"/>
        <v/>
      </c>
      <c r="P71" s="344" t="str">
        <f t="shared" si="6"/>
        <v/>
      </c>
      <c r="Q71" s="195" t="str">
        <f t="shared" si="7"/>
        <v/>
      </c>
      <c r="R71" s="195"/>
    </row>
    <row r="72" spans="1:18" s="1114" customFormat="1" ht="12.75" customHeight="1">
      <c r="A72" s="856" t="s">
        <v>3726</v>
      </c>
      <c r="B72" s="2360"/>
      <c r="C72" s="2332" t="s">
        <v>14163</v>
      </c>
      <c r="D72" s="2333"/>
      <c r="E72" s="2334"/>
      <c r="F72" s="2335"/>
      <c r="G72" s="891"/>
      <c r="H72" s="891"/>
      <c r="I72" s="891"/>
      <c r="J72" s="1022"/>
      <c r="K72" s="889">
        <f t="shared" si="17"/>
        <v>1</v>
      </c>
      <c r="L72" s="888">
        <v>1</v>
      </c>
      <c r="M72" s="843">
        <f t="shared" si="16"/>
        <v>1</v>
      </c>
      <c r="N72" s="890" t="str">
        <f t="shared" si="3"/>
        <v/>
      </c>
      <c r="O72" s="344" t="str">
        <f t="shared" si="5"/>
        <v/>
      </c>
      <c r="P72" s="344" t="str">
        <f t="shared" si="6"/>
        <v/>
      </c>
      <c r="Q72" s="195" t="str">
        <f t="shared" si="7"/>
        <v/>
      </c>
      <c r="R72" s="195"/>
    </row>
    <row r="73" spans="1:18" s="1114" customFormat="1" ht="12.75" customHeight="1">
      <c r="A73" s="1093"/>
      <c r="B73" s="2360"/>
      <c r="C73" s="2332" t="s">
        <v>3601</v>
      </c>
      <c r="D73" s="2333"/>
      <c r="E73" s="2334"/>
      <c r="F73" s="2335"/>
      <c r="G73" s="891"/>
      <c r="H73" s="891"/>
      <c r="I73" s="891"/>
      <c r="J73" s="1022"/>
      <c r="K73" s="889">
        <f t="shared" si="17"/>
        <v>1</v>
      </c>
      <c r="L73" s="888">
        <v>1</v>
      </c>
      <c r="M73" s="843">
        <f t="shared" si="16"/>
        <v>1</v>
      </c>
      <c r="N73" s="890" t="str">
        <f t="shared" si="3"/>
        <v/>
      </c>
      <c r="O73" s="344" t="str">
        <f t="shared" si="5"/>
        <v/>
      </c>
      <c r="P73" s="344" t="str">
        <f t="shared" si="6"/>
        <v/>
      </c>
      <c r="Q73" s="195" t="str">
        <f t="shared" si="7"/>
        <v/>
      </c>
      <c r="R73" s="195"/>
    </row>
    <row r="74" spans="1:18" s="1114" customFormat="1" ht="12.75" customHeight="1">
      <c r="A74" s="864"/>
      <c r="B74" s="2360"/>
      <c r="C74" s="2332"/>
      <c r="D74" s="2333"/>
      <c r="E74" s="2334"/>
      <c r="F74" s="2335"/>
      <c r="G74" s="891"/>
      <c r="H74" s="891"/>
      <c r="I74" s="891"/>
      <c r="J74" s="1022"/>
      <c r="K74" s="889">
        <f t="shared" si="17"/>
        <v>1</v>
      </c>
      <c r="L74" s="888">
        <v>1</v>
      </c>
      <c r="M74" s="889">
        <f t="shared" si="16"/>
        <v>1</v>
      </c>
      <c r="N74" s="890" t="str">
        <f t="shared" si="3"/>
        <v/>
      </c>
      <c r="O74" s="344" t="str">
        <f t="shared" si="5"/>
        <v/>
      </c>
      <c r="P74" s="344" t="str">
        <f t="shared" si="6"/>
        <v/>
      </c>
      <c r="Q74" s="195" t="str">
        <f t="shared" si="7"/>
        <v/>
      </c>
      <c r="R74" s="195"/>
    </row>
    <row r="75" spans="1:18" s="862" customFormat="1" ht="12.75" customHeight="1">
      <c r="A75" s="1093"/>
      <c r="B75" s="2360"/>
      <c r="C75" s="2332" t="s">
        <v>3602</v>
      </c>
      <c r="D75" s="2336"/>
      <c r="E75" s="2335"/>
      <c r="F75" s="2335"/>
      <c r="G75" s="860"/>
      <c r="H75" s="860"/>
      <c r="I75" s="860"/>
      <c r="J75" s="1420"/>
      <c r="K75" s="889">
        <f t="shared" si="17"/>
        <v>1</v>
      </c>
      <c r="L75" s="412">
        <v>1</v>
      </c>
      <c r="M75" s="843">
        <f t="shared" si="16"/>
        <v>1</v>
      </c>
      <c r="N75" s="890" t="str">
        <f t="shared" si="3"/>
        <v/>
      </c>
      <c r="O75" s="344" t="str">
        <f t="shared" si="5"/>
        <v/>
      </c>
      <c r="P75" s="344" t="str">
        <f t="shared" si="6"/>
        <v/>
      </c>
      <c r="Q75" s="195" t="str">
        <f t="shared" si="7"/>
        <v/>
      </c>
      <c r="R75" s="195"/>
    </row>
    <row r="76" spans="1:18" s="2340" customFormat="1" ht="12.75" customHeight="1">
      <c r="A76" s="1123"/>
      <c r="B76" s="2361"/>
      <c r="C76" s="2337"/>
      <c r="D76" s="2336"/>
      <c r="E76" s="2334"/>
      <c r="F76" s="2335"/>
      <c r="G76" s="2338"/>
      <c r="H76" s="2338"/>
      <c r="I76" s="2338"/>
      <c r="J76" s="2339"/>
      <c r="K76" s="889">
        <f t="shared" si="17"/>
        <v>1</v>
      </c>
      <c r="L76" s="412">
        <v>1</v>
      </c>
      <c r="M76" s="843">
        <f t="shared" si="16"/>
        <v>1</v>
      </c>
      <c r="N76" s="890" t="str">
        <f t="shared" si="3"/>
        <v/>
      </c>
      <c r="O76" s="344" t="str">
        <f t="shared" si="5"/>
        <v/>
      </c>
      <c r="P76" s="344" t="str">
        <f t="shared" si="6"/>
        <v/>
      </c>
      <c r="Q76" s="195" t="str">
        <f t="shared" si="7"/>
        <v/>
      </c>
      <c r="R76" s="195"/>
    </row>
    <row r="77" spans="1:18" s="2340" customFormat="1" ht="12.75" customHeight="1">
      <c r="A77" s="865"/>
      <c r="B77" s="2441">
        <f>B114</f>
        <v>1</v>
      </c>
      <c r="C77" s="2337" t="s">
        <v>14164</v>
      </c>
      <c r="D77" s="2336"/>
      <c r="E77" s="2334"/>
      <c r="F77" s="2335"/>
      <c r="G77" s="2338"/>
      <c r="H77" s="2338"/>
      <c r="I77" s="2338"/>
      <c r="J77" s="2339"/>
      <c r="K77" s="889">
        <f t="shared" si="17"/>
        <v>1</v>
      </c>
      <c r="L77" s="412">
        <v>1</v>
      </c>
      <c r="M77" s="843">
        <f t="shared" si="16"/>
        <v>1</v>
      </c>
      <c r="N77" s="890" t="str">
        <f t="shared" ref="N77:N140" si="18">IF(O77&lt;&gt;"",K77*L77*M77,"")</f>
        <v/>
      </c>
      <c r="O77" s="344" t="str">
        <f t="shared" si="5"/>
        <v/>
      </c>
      <c r="P77" s="344" t="str">
        <f t="shared" si="6"/>
        <v/>
      </c>
      <c r="Q77" s="195" t="str">
        <f t="shared" si="7"/>
        <v/>
      </c>
      <c r="R77" s="195"/>
    </row>
    <row r="78" spans="1:18" s="2340" customFormat="1" ht="12.75" customHeight="1">
      <c r="A78" s="1142"/>
      <c r="B78" s="2360"/>
      <c r="C78" s="2337" t="s">
        <v>3603</v>
      </c>
      <c r="D78" s="2336"/>
      <c r="E78" s="2334"/>
      <c r="F78" s="2335"/>
      <c r="G78" s="2338"/>
      <c r="H78" s="2338"/>
      <c r="I78" s="2338"/>
      <c r="J78" s="2339"/>
      <c r="K78" s="889">
        <f t="shared" si="17"/>
        <v>1</v>
      </c>
      <c r="L78" s="412">
        <v>1</v>
      </c>
      <c r="M78" s="843">
        <f t="shared" si="16"/>
        <v>1</v>
      </c>
      <c r="N78" s="890" t="str">
        <f t="shared" si="18"/>
        <v/>
      </c>
      <c r="O78" s="344" t="str">
        <f t="shared" si="5"/>
        <v/>
      </c>
      <c r="P78" s="344" t="str">
        <f t="shared" si="6"/>
        <v/>
      </c>
      <c r="Q78" s="195" t="str">
        <f t="shared" si="7"/>
        <v/>
      </c>
      <c r="R78" s="195"/>
    </row>
    <row r="79" spans="1:18" s="870" customFormat="1" ht="12.75" customHeight="1">
      <c r="A79" s="1142"/>
      <c r="B79" s="2360"/>
      <c r="C79" s="2341" t="str">
        <f>C114</f>
        <v>Conmutador motorizado bajo carga (I-0-II), modelo OTM-C, 3p, 630A (AC21..AC22) / 630A (AC23) - marca ABB.</v>
      </c>
      <c r="D79" s="2336"/>
      <c r="E79" s="2334"/>
      <c r="F79" s="2335"/>
      <c r="G79" s="868"/>
      <c r="H79" s="868"/>
      <c r="I79" s="868"/>
      <c r="J79" s="869"/>
      <c r="K79" s="889">
        <f t="shared" si="17"/>
        <v>1</v>
      </c>
      <c r="L79" s="412">
        <v>1</v>
      </c>
      <c r="M79" s="843">
        <f t="shared" si="16"/>
        <v>1</v>
      </c>
      <c r="N79" s="890" t="str">
        <f t="shared" si="18"/>
        <v/>
      </c>
      <c r="O79" s="344" t="str">
        <f t="shared" ref="O79:O142" si="19">IF(D79&lt;&gt;"",IF(VLOOKUP(D79,base_datos,7,FALSE)&lt;&gt;"",VLOOKUP(D79,base_datos,7,FALSE),""),"")</f>
        <v/>
      </c>
      <c r="P79" s="344" t="str">
        <f t="shared" ref="P79:P142" si="20">IF(O79&lt;&gt;"",VLOOKUP(D79,base_datos,6,FALSE),"")</f>
        <v/>
      </c>
      <c r="Q79" s="195" t="str">
        <f t="shared" ref="Q79:Q142" si="21">IF(O79&lt;&gt;"",D79,"")</f>
        <v/>
      </c>
      <c r="R79" s="195"/>
    </row>
    <row r="80" spans="1:18" s="862" customFormat="1" ht="12.75" customHeight="1">
      <c r="A80" s="865"/>
      <c r="B80" s="2360"/>
      <c r="C80" s="2337"/>
      <c r="D80" s="2336"/>
      <c r="E80" s="2334"/>
      <c r="F80" s="2335"/>
      <c r="G80" s="860"/>
      <c r="H80" s="860"/>
      <c r="I80" s="860"/>
      <c r="J80" s="1420"/>
      <c r="K80" s="889">
        <f t="shared" si="17"/>
        <v>1</v>
      </c>
      <c r="L80" s="412">
        <v>1</v>
      </c>
      <c r="M80" s="843">
        <f>IF(B80="",1,B80)</f>
        <v>1</v>
      </c>
      <c r="N80" s="890" t="str">
        <f t="shared" si="18"/>
        <v/>
      </c>
      <c r="O80" s="344" t="str">
        <f t="shared" si="19"/>
        <v/>
      </c>
      <c r="P80" s="344" t="str">
        <f t="shared" si="20"/>
        <v/>
      </c>
      <c r="Q80" s="195" t="str">
        <f t="shared" si="21"/>
        <v/>
      </c>
      <c r="R80" s="195"/>
    </row>
    <row r="81" spans="1:18" s="2340" customFormat="1" ht="12.75" customHeight="1">
      <c r="A81" s="865"/>
      <c r="B81" s="2441">
        <f>B112</f>
        <v>2</v>
      </c>
      <c r="C81" s="2337" t="s">
        <v>14165</v>
      </c>
      <c r="D81" s="2336"/>
      <c r="E81" s="2334"/>
      <c r="F81" s="2335"/>
      <c r="G81" s="2338"/>
      <c r="H81" s="2338"/>
      <c r="I81" s="2338"/>
      <c r="J81" s="2339"/>
      <c r="K81" s="889">
        <f t="shared" si="17"/>
        <v>1</v>
      </c>
      <c r="L81" s="412">
        <v>1</v>
      </c>
      <c r="M81" s="843">
        <f t="shared" ref="M81:M83" si="22">IF(B81="",1,B81)</f>
        <v>2</v>
      </c>
      <c r="N81" s="890" t="str">
        <f t="shared" si="18"/>
        <v/>
      </c>
      <c r="O81" s="344" t="str">
        <f t="shared" si="19"/>
        <v/>
      </c>
      <c r="P81" s="344" t="str">
        <f t="shared" si="20"/>
        <v/>
      </c>
      <c r="Q81" s="195" t="str">
        <f t="shared" si="21"/>
        <v/>
      </c>
      <c r="R81" s="195"/>
    </row>
    <row r="82" spans="1:18" s="2340" customFormat="1" ht="12.75" customHeight="1">
      <c r="A82" s="865"/>
      <c r="B82" s="2360"/>
      <c r="C82" s="2337" t="s">
        <v>3603</v>
      </c>
      <c r="D82" s="2336"/>
      <c r="E82" s="2334"/>
      <c r="F82" s="2335"/>
      <c r="G82" s="2338"/>
      <c r="H82" s="2338"/>
      <c r="I82" s="2338"/>
      <c r="J82" s="2339"/>
      <c r="K82" s="889">
        <f t="shared" si="17"/>
        <v>1</v>
      </c>
      <c r="L82" s="412">
        <v>1</v>
      </c>
      <c r="M82" s="843">
        <f t="shared" si="22"/>
        <v>1</v>
      </c>
      <c r="N82" s="890" t="str">
        <f t="shared" si="18"/>
        <v/>
      </c>
      <c r="O82" s="344" t="str">
        <f t="shared" si="19"/>
        <v/>
      </c>
      <c r="P82" s="344" t="str">
        <f t="shared" si="20"/>
        <v/>
      </c>
      <c r="Q82" s="195" t="str">
        <f t="shared" si="21"/>
        <v/>
      </c>
      <c r="R82" s="195"/>
    </row>
    <row r="83" spans="1:18" s="870" customFormat="1" ht="12.75" customHeight="1">
      <c r="A83" s="1142"/>
      <c r="B83" s="2360"/>
      <c r="C83" s="2341" t="str">
        <f>C112</f>
        <v>ITM Caja Moldeada 3x630A (electrónico [0.4-1.0] In) - T5N630-630A-3P-PR221DS-LS/I - 70kA@230Vac, 36kA@415Vac - marca ABB.</v>
      </c>
      <c r="D83" s="2336"/>
      <c r="E83" s="2334"/>
      <c r="F83" s="2335"/>
      <c r="G83" s="868"/>
      <c r="H83" s="868"/>
      <c r="I83" s="868"/>
      <c r="J83" s="869"/>
      <c r="K83" s="889">
        <f t="shared" si="17"/>
        <v>1</v>
      </c>
      <c r="L83" s="412">
        <v>1</v>
      </c>
      <c r="M83" s="843">
        <f t="shared" si="22"/>
        <v>1</v>
      </c>
      <c r="N83" s="890" t="str">
        <f t="shared" si="18"/>
        <v/>
      </c>
      <c r="O83" s="344" t="str">
        <f t="shared" si="19"/>
        <v/>
      </c>
      <c r="P83" s="344" t="str">
        <f t="shared" si="20"/>
        <v/>
      </c>
      <c r="Q83" s="195" t="str">
        <f t="shared" si="21"/>
        <v/>
      </c>
      <c r="R83" s="195"/>
    </row>
    <row r="84" spans="1:18" s="862" customFormat="1" ht="12.75" customHeight="1">
      <c r="A84" s="1169"/>
      <c r="B84" s="2360"/>
      <c r="C84" s="2337"/>
      <c r="D84" s="2336"/>
      <c r="E84" s="2334"/>
      <c r="F84" s="2335"/>
      <c r="G84" s="860"/>
      <c r="H84" s="860"/>
      <c r="I84" s="860"/>
      <c r="J84" s="1420"/>
      <c r="K84" s="889">
        <f t="shared" si="17"/>
        <v>1</v>
      </c>
      <c r="L84" s="412">
        <v>1</v>
      </c>
      <c r="M84" s="843">
        <f>IF(B84="",1,B84)</f>
        <v>1</v>
      </c>
      <c r="N84" s="890" t="str">
        <f t="shared" si="18"/>
        <v/>
      </c>
      <c r="O84" s="344" t="str">
        <f t="shared" si="19"/>
        <v/>
      </c>
      <c r="P84" s="344" t="str">
        <f t="shared" si="20"/>
        <v/>
      </c>
      <c r="Q84" s="195" t="str">
        <f t="shared" si="21"/>
        <v/>
      </c>
      <c r="R84" s="195"/>
    </row>
    <row r="85" spans="1:18" s="195" customFormat="1" ht="12.75" customHeight="1">
      <c r="A85" s="865"/>
      <c r="B85" s="2360"/>
      <c r="C85" s="344" t="s">
        <v>9493</v>
      </c>
      <c r="D85" s="2333"/>
      <c r="E85" s="2334"/>
      <c r="F85" s="2335"/>
      <c r="G85" s="891"/>
      <c r="H85" s="891"/>
      <c r="I85" s="891"/>
      <c r="J85" s="892"/>
      <c r="K85" s="889">
        <f t="shared" si="17"/>
        <v>1</v>
      </c>
      <c r="L85" s="888">
        <v>1</v>
      </c>
      <c r="M85" s="889">
        <f t="shared" ref="M85:M119" si="23">IF(B85="",1,B85)</f>
        <v>1</v>
      </c>
      <c r="N85" s="890" t="str">
        <f t="shared" si="18"/>
        <v/>
      </c>
      <c r="O85" s="344" t="str">
        <f t="shared" si="19"/>
        <v/>
      </c>
      <c r="P85" s="344" t="str">
        <f t="shared" si="20"/>
        <v/>
      </c>
      <c r="Q85" s="195" t="str">
        <f t="shared" si="21"/>
        <v/>
      </c>
    </row>
    <row r="86" spans="1:18" s="195" customFormat="1" ht="12.75" customHeight="1">
      <c r="A86" s="865"/>
      <c r="B86" s="2360"/>
      <c r="C86" s="344" t="s">
        <v>9494</v>
      </c>
      <c r="D86" s="2333"/>
      <c r="E86" s="2334"/>
      <c r="F86" s="2335"/>
      <c r="G86" s="891"/>
      <c r="H86" s="891"/>
      <c r="I86" s="891"/>
      <c r="J86" s="892"/>
      <c r="K86" s="889">
        <f t="shared" si="17"/>
        <v>1</v>
      </c>
      <c r="L86" s="888">
        <v>1</v>
      </c>
      <c r="M86" s="889">
        <f t="shared" si="23"/>
        <v>1</v>
      </c>
      <c r="N86" s="890" t="str">
        <f t="shared" si="18"/>
        <v/>
      </c>
      <c r="O86" s="344" t="str">
        <f t="shared" si="19"/>
        <v/>
      </c>
      <c r="P86" s="344" t="str">
        <f t="shared" si="20"/>
        <v/>
      </c>
      <c r="Q86" s="195" t="str">
        <f t="shared" si="21"/>
        <v/>
      </c>
    </row>
    <row r="87" spans="1:18" s="195" customFormat="1" ht="12.75" customHeight="1">
      <c r="A87" s="865"/>
      <c r="B87" s="2360"/>
      <c r="C87" s="344" t="s">
        <v>9495</v>
      </c>
      <c r="D87" s="2333"/>
      <c r="E87" s="2334"/>
      <c r="F87" s="2335"/>
      <c r="G87" s="891"/>
      <c r="H87" s="891"/>
      <c r="I87" s="891"/>
      <c r="J87" s="892"/>
      <c r="K87" s="889">
        <f t="shared" si="17"/>
        <v>1</v>
      </c>
      <c r="L87" s="888">
        <v>1</v>
      </c>
      <c r="M87" s="889">
        <f t="shared" si="23"/>
        <v>1</v>
      </c>
      <c r="N87" s="890" t="str">
        <f t="shared" si="18"/>
        <v/>
      </c>
      <c r="O87" s="344" t="str">
        <f t="shared" si="19"/>
        <v/>
      </c>
      <c r="P87" s="344" t="str">
        <f t="shared" si="20"/>
        <v/>
      </c>
      <c r="Q87" s="195" t="str">
        <f t="shared" si="21"/>
        <v/>
      </c>
    </row>
    <row r="88" spans="1:18" s="1114" customFormat="1" ht="12.75" customHeight="1">
      <c r="A88" s="865"/>
      <c r="B88" s="2360"/>
      <c r="C88" s="344" t="s">
        <v>9496</v>
      </c>
      <c r="D88" s="2333"/>
      <c r="E88" s="2334"/>
      <c r="F88" s="2335"/>
      <c r="G88" s="893"/>
      <c r="H88" s="893"/>
      <c r="I88" s="893"/>
      <c r="J88" s="894"/>
      <c r="K88" s="889">
        <f t="shared" si="17"/>
        <v>1</v>
      </c>
      <c r="L88" s="888">
        <v>1</v>
      </c>
      <c r="M88" s="889">
        <f t="shared" si="23"/>
        <v>1</v>
      </c>
      <c r="N88" s="890" t="str">
        <f t="shared" si="18"/>
        <v/>
      </c>
      <c r="O88" s="344" t="str">
        <f t="shared" si="19"/>
        <v/>
      </c>
      <c r="P88" s="344" t="str">
        <f t="shared" si="20"/>
        <v/>
      </c>
      <c r="Q88" s="195" t="str">
        <f t="shared" si="21"/>
        <v/>
      </c>
      <c r="R88" s="195"/>
    </row>
    <row r="89" spans="1:18" s="1114" customFormat="1" ht="12.75" customHeight="1">
      <c r="A89" s="865"/>
      <c r="B89" s="2360"/>
      <c r="C89" s="344"/>
      <c r="D89" s="2333"/>
      <c r="E89" s="2334"/>
      <c r="F89" s="2335"/>
      <c r="G89" s="893"/>
      <c r="H89" s="893"/>
      <c r="I89" s="893"/>
      <c r="J89" s="2342"/>
      <c r="K89" s="889">
        <f t="shared" si="17"/>
        <v>1</v>
      </c>
      <c r="L89" s="888">
        <v>1</v>
      </c>
      <c r="M89" s="889">
        <f t="shared" si="23"/>
        <v>1</v>
      </c>
      <c r="N89" s="890" t="str">
        <f t="shared" si="18"/>
        <v/>
      </c>
      <c r="O89" s="344" t="str">
        <f t="shared" si="19"/>
        <v/>
      </c>
      <c r="P89" s="344" t="str">
        <f t="shared" si="20"/>
        <v/>
      </c>
      <c r="Q89" s="195" t="str">
        <f t="shared" si="21"/>
        <v/>
      </c>
      <c r="R89" s="195"/>
    </row>
    <row r="90" spans="1:18" s="1111" customFormat="1" ht="12.75" customHeight="1">
      <c r="A90" s="865"/>
      <c r="B90" s="2360"/>
      <c r="C90" s="344" t="s">
        <v>3604</v>
      </c>
      <c r="D90" s="2333"/>
      <c r="E90" s="2334"/>
      <c r="F90" s="2335"/>
      <c r="G90" s="1422"/>
      <c r="H90" s="1422"/>
      <c r="I90" s="1422"/>
      <c r="J90" s="1423"/>
      <c r="K90" s="889">
        <f t="shared" si="17"/>
        <v>1</v>
      </c>
      <c r="L90" s="888">
        <v>1</v>
      </c>
      <c r="M90" s="889">
        <f t="shared" si="23"/>
        <v>1</v>
      </c>
      <c r="N90" s="890" t="str">
        <f t="shared" si="18"/>
        <v/>
      </c>
      <c r="O90" s="344" t="str">
        <f t="shared" si="19"/>
        <v/>
      </c>
      <c r="P90" s="344" t="str">
        <f t="shared" si="20"/>
        <v/>
      </c>
      <c r="Q90" s="195" t="str">
        <f t="shared" si="21"/>
        <v/>
      </c>
      <c r="R90" s="195"/>
    </row>
    <row r="91" spans="1:18" s="195" customFormat="1" ht="12.75" customHeight="1">
      <c r="A91" s="1123"/>
      <c r="B91" s="2360"/>
      <c r="C91" s="2362" t="s">
        <v>3605</v>
      </c>
      <c r="D91" s="2333"/>
      <c r="E91" s="2334"/>
      <c r="F91" s="2335"/>
      <c r="G91" s="891"/>
      <c r="H91" s="891"/>
      <c r="I91" s="891"/>
      <c r="J91" s="892"/>
      <c r="K91" s="889">
        <f t="shared" si="17"/>
        <v>1</v>
      </c>
      <c r="L91" s="888">
        <v>1</v>
      </c>
      <c r="M91" s="889">
        <f t="shared" si="23"/>
        <v>1</v>
      </c>
      <c r="N91" s="890" t="str">
        <f t="shared" si="18"/>
        <v/>
      </c>
      <c r="O91" s="344" t="str">
        <f t="shared" si="19"/>
        <v/>
      </c>
      <c r="P91" s="344" t="str">
        <f t="shared" si="20"/>
        <v/>
      </c>
      <c r="Q91" s="195" t="str">
        <f t="shared" si="21"/>
        <v/>
      </c>
    </row>
    <row r="92" spans="1:18" s="1111" customFormat="1" ht="12.75" customHeight="1">
      <c r="A92" s="1124"/>
      <c r="B92" s="2360"/>
      <c r="C92" s="2362" t="s">
        <v>3606</v>
      </c>
      <c r="D92" s="2333"/>
      <c r="E92" s="2334"/>
      <c r="F92" s="2335"/>
      <c r="G92" s="1422"/>
      <c r="H92" s="1422"/>
      <c r="I92" s="1422"/>
      <c r="J92" s="1423"/>
      <c r="K92" s="889">
        <f t="shared" si="17"/>
        <v>1</v>
      </c>
      <c r="L92" s="888">
        <v>1</v>
      </c>
      <c r="M92" s="889">
        <f t="shared" si="23"/>
        <v>1</v>
      </c>
      <c r="N92" s="890" t="str">
        <f t="shared" si="18"/>
        <v/>
      </c>
      <c r="O92" s="344" t="str">
        <f t="shared" si="19"/>
        <v/>
      </c>
      <c r="P92" s="344" t="str">
        <f t="shared" si="20"/>
        <v/>
      </c>
      <c r="Q92" s="195" t="str">
        <f t="shared" si="21"/>
        <v/>
      </c>
      <c r="R92" s="195"/>
    </row>
    <row r="93" spans="1:18" s="195" customFormat="1" ht="12.75" customHeight="1">
      <c r="A93" s="1124"/>
      <c r="B93" s="2360"/>
      <c r="C93" s="2362" t="s">
        <v>3607</v>
      </c>
      <c r="D93" s="2333"/>
      <c r="E93" s="2334"/>
      <c r="F93" s="2335"/>
      <c r="G93" s="891"/>
      <c r="H93" s="891"/>
      <c r="I93" s="891"/>
      <c r="J93" s="892"/>
      <c r="K93" s="889">
        <f t="shared" si="17"/>
        <v>1</v>
      </c>
      <c r="L93" s="888">
        <v>1</v>
      </c>
      <c r="M93" s="889">
        <f t="shared" si="23"/>
        <v>1</v>
      </c>
      <c r="N93" s="890" t="str">
        <f t="shared" si="18"/>
        <v/>
      </c>
      <c r="O93" s="344" t="str">
        <f t="shared" si="19"/>
        <v/>
      </c>
      <c r="P93" s="344" t="str">
        <f t="shared" si="20"/>
        <v/>
      </c>
      <c r="Q93" s="195" t="str">
        <f t="shared" si="21"/>
        <v/>
      </c>
    </row>
    <row r="94" spans="1:18" s="1111" customFormat="1" ht="12.75" customHeight="1">
      <c r="A94" s="1126"/>
      <c r="B94" s="2360"/>
      <c r="C94" s="2362" t="s">
        <v>3608</v>
      </c>
      <c r="D94" s="2333"/>
      <c r="E94" s="2334"/>
      <c r="F94" s="2335"/>
      <c r="G94" s="1422"/>
      <c r="H94" s="1422"/>
      <c r="I94" s="1422"/>
      <c r="J94" s="1423"/>
      <c r="K94" s="889">
        <f t="shared" si="17"/>
        <v>1</v>
      </c>
      <c r="L94" s="888">
        <v>1</v>
      </c>
      <c r="M94" s="889">
        <f t="shared" si="23"/>
        <v>1</v>
      </c>
      <c r="N94" s="890" t="str">
        <f t="shared" si="18"/>
        <v/>
      </c>
      <c r="O94" s="344" t="str">
        <f t="shared" si="19"/>
        <v/>
      </c>
      <c r="P94" s="344" t="str">
        <f t="shared" si="20"/>
        <v/>
      </c>
      <c r="Q94" s="195" t="str">
        <f t="shared" si="21"/>
        <v/>
      </c>
      <c r="R94" s="195"/>
    </row>
    <row r="95" spans="1:18" s="2344" customFormat="1" ht="12.75" customHeight="1">
      <c r="A95" s="1108"/>
      <c r="B95" s="2360"/>
      <c r="C95" s="2362" t="s">
        <v>3609</v>
      </c>
      <c r="D95" s="2333"/>
      <c r="E95" s="2334"/>
      <c r="F95" s="2335"/>
      <c r="G95" s="1051"/>
      <c r="H95" s="1051"/>
      <c r="I95" s="1051"/>
      <c r="J95" s="2343"/>
      <c r="K95" s="889">
        <f t="shared" si="17"/>
        <v>1</v>
      </c>
      <c r="L95" s="888">
        <v>1</v>
      </c>
      <c r="M95" s="889">
        <f t="shared" si="23"/>
        <v>1</v>
      </c>
      <c r="N95" s="890" t="str">
        <f t="shared" si="18"/>
        <v/>
      </c>
      <c r="O95" s="344" t="str">
        <f t="shared" si="19"/>
        <v/>
      </c>
      <c r="P95" s="344" t="str">
        <f t="shared" si="20"/>
        <v/>
      </c>
      <c r="Q95" s="195" t="str">
        <f t="shared" si="21"/>
        <v/>
      </c>
      <c r="R95" s="195"/>
    </row>
    <row r="96" spans="1:18" s="195" customFormat="1" ht="12.75" customHeight="1">
      <c r="A96" s="1108"/>
      <c r="B96" s="2360"/>
      <c r="C96" s="344" t="s">
        <v>3610</v>
      </c>
      <c r="D96" s="2333"/>
      <c r="E96" s="2334"/>
      <c r="F96" s="2335"/>
      <c r="G96" s="891"/>
      <c r="H96" s="891"/>
      <c r="I96" s="891"/>
      <c r="J96" s="1022"/>
      <c r="K96" s="889">
        <f t="shared" si="17"/>
        <v>1</v>
      </c>
      <c r="L96" s="888">
        <v>1</v>
      </c>
      <c r="M96" s="889">
        <f t="shared" si="23"/>
        <v>1</v>
      </c>
      <c r="N96" s="890" t="str">
        <f t="shared" si="18"/>
        <v/>
      </c>
      <c r="O96" s="344" t="str">
        <f t="shared" si="19"/>
        <v/>
      </c>
      <c r="P96" s="344" t="str">
        <f t="shared" si="20"/>
        <v/>
      </c>
      <c r="Q96" s="195" t="str">
        <f t="shared" si="21"/>
        <v/>
      </c>
    </row>
    <row r="97" spans="1:18" s="195" customFormat="1" ht="12.75" customHeight="1">
      <c r="A97" s="1108"/>
      <c r="B97" s="2360"/>
      <c r="C97" s="2362" t="s">
        <v>3611</v>
      </c>
      <c r="D97" s="2333"/>
      <c r="E97" s="2334"/>
      <c r="F97" s="2335"/>
      <c r="G97" s="891"/>
      <c r="H97" s="891"/>
      <c r="I97" s="891"/>
      <c r="J97" s="892"/>
      <c r="K97" s="889">
        <f t="shared" si="17"/>
        <v>1</v>
      </c>
      <c r="L97" s="888">
        <v>1</v>
      </c>
      <c r="M97" s="889">
        <f t="shared" si="23"/>
        <v>1</v>
      </c>
      <c r="N97" s="890" t="str">
        <f t="shared" si="18"/>
        <v/>
      </c>
      <c r="O97" s="344" t="str">
        <f t="shared" si="19"/>
        <v/>
      </c>
      <c r="P97" s="344" t="str">
        <f t="shared" si="20"/>
        <v/>
      </c>
      <c r="Q97" s="195" t="str">
        <f t="shared" si="21"/>
        <v/>
      </c>
    </row>
    <row r="98" spans="1:18" s="1114" customFormat="1" ht="12.75" customHeight="1">
      <c r="A98" s="2363"/>
      <c r="B98" s="2364"/>
      <c r="C98" s="2362" t="s">
        <v>3612</v>
      </c>
      <c r="D98" s="2345"/>
      <c r="E98" s="2346"/>
      <c r="F98" s="2347"/>
      <c r="G98" s="893"/>
      <c r="H98" s="893"/>
      <c r="I98" s="893"/>
      <c r="J98" s="894"/>
      <c r="K98" s="889">
        <f t="shared" si="17"/>
        <v>1</v>
      </c>
      <c r="L98" s="888">
        <v>1</v>
      </c>
      <c r="M98" s="889">
        <f t="shared" si="23"/>
        <v>1</v>
      </c>
      <c r="N98" s="890" t="str">
        <f t="shared" si="18"/>
        <v/>
      </c>
      <c r="O98" s="344" t="str">
        <f t="shared" si="19"/>
        <v/>
      </c>
      <c r="P98" s="344" t="str">
        <f t="shared" si="20"/>
        <v/>
      </c>
      <c r="Q98" s="195" t="str">
        <f t="shared" si="21"/>
        <v/>
      </c>
      <c r="R98" s="195"/>
    </row>
    <row r="99" spans="1:18" s="1114" customFormat="1" ht="12.75" customHeight="1">
      <c r="A99" s="2363"/>
      <c r="B99" s="1112"/>
      <c r="C99" s="2362" t="s">
        <v>624</v>
      </c>
      <c r="D99" s="2333"/>
      <c r="E99" s="2334"/>
      <c r="F99" s="2348"/>
      <c r="G99" s="893"/>
      <c r="H99" s="893"/>
      <c r="I99" s="893"/>
      <c r="J99" s="894"/>
      <c r="K99" s="889">
        <f t="shared" si="17"/>
        <v>1</v>
      </c>
      <c r="L99" s="888">
        <v>1</v>
      </c>
      <c r="M99" s="889">
        <f t="shared" si="23"/>
        <v>1</v>
      </c>
      <c r="N99" s="890" t="str">
        <f t="shared" si="18"/>
        <v/>
      </c>
      <c r="O99" s="344" t="str">
        <f t="shared" si="19"/>
        <v/>
      </c>
      <c r="P99" s="344" t="str">
        <f t="shared" si="20"/>
        <v/>
      </c>
      <c r="Q99" s="195" t="str">
        <f t="shared" si="21"/>
        <v/>
      </c>
      <c r="R99" s="195"/>
    </row>
    <row r="100" spans="1:18" s="1114" customFormat="1" ht="12.75" customHeight="1">
      <c r="A100" s="2363"/>
      <c r="B100" s="2365"/>
      <c r="C100" s="2362" t="s">
        <v>625</v>
      </c>
      <c r="D100" s="2345"/>
      <c r="E100" s="2347"/>
      <c r="F100" s="2347"/>
      <c r="G100" s="893"/>
      <c r="H100" s="893"/>
      <c r="I100" s="893"/>
      <c r="J100" s="894"/>
      <c r="K100" s="889">
        <f t="shared" si="17"/>
        <v>1</v>
      </c>
      <c r="L100" s="888">
        <v>1</v>
      </c>
      <c r="M100" s="889">
        <f t="shared" si="23"/>
        <v>1</v>
      </c>
      <c r="N100" s="890" t="str">
        <f t="shared" si="18"/>
        <v/>
      </c>
      <c r="O100" s="344" t="str">
        <f t="shared" si="19"/>
        <v/>
      </c>
      <c r="P100" s="344" t="str">
        <f t="shared" si="20"/>
        <v/>
      </c>
      <c r="Q100" s="195" t="str">
        <f t="shared" si="21"/>
        <v/>
      </c>
      <c r="R100" s="195"/>
    </row>
    <row r="101" spans="1:18" s="1114" customFormat="1" ht="12.75" customHeight="1">
      <c r="A101" s="2366"/>
      <c r="B101" s="2365"/>
      <c r="C101" s="2362" t="s">
        <v>3613</v>
      </c>
      <c r="D101" s="2345"/>
      <c r="E101" s="2347"/>
      <c r="F101" s="2347"/>
      <c r="G101" s="891"/>
      <c r="H101" s="891"/>
      <c r="I101" s="891"/>
      <c r="J101" s="1022"/>
      <c r="K101" s="889">
        <f t="shared" si="17"/>
        <v>1</v>
      </c>
      <c r="L101" s="888">
        <v>1</v>
      </c>
      <c r="M101" s="889">
        <f t="shared" si="23"/>
        <v>1</v>
      </c>
      <c r="N101" s="890" t="str">
        <f t="shared" si="18"/>
        <v/>
      </c>
      <c r="O101" s="344" t="str">
        <f t="shared" si="19"/>
        <v/>
      </c>
      <c r="P101" s="344" t="str">
        <f t="shared" si="20"/>
        <v/>
      </c>
      <c r="Q101" s="195" t="str">
        <f t="shared" si="21"/>
        <v/>
      </c>
      <c r="R101" s="195"/>
    </row>
    <row r="102" spans="1:18" s="195" customFormat="1" ht="12.75" customHeight="1">
      <c r="A102" s="1093"/>
      <c r="B102" s="1112"/>
      <c r="C102" s="2367" t="s">
        <v>3614</v>
      </c>
      <c r="D102" s="2333"/>
      <c r="E102" s="2334"/>
      <c r="F102" s="2335"/>
      <c r="G102" s="891"/>
      <c r="H102" s="891"/>
      <c r="I102" s="891"/>
      <c r="J102" s="892"/>
      <c r="K102" s="889">
        <f t="shared" si="17"/>
        <v>1</v>
      </c>
      <c r="L102" s="888">
        <v>1</v>
      </c>
      <c r="M102" s="889">
        <f t="shared" si="23"/>
        <v>1</v>
      </c>
      <c r="N102" s="890" t="str">
        <f t="shared" si="18"/>
        <v/>
      </c>
      <c r="O102" s="344" t="str">
        <f t="shared" si="19"/>
        <v/>
      </c>
      <c r="P102" s="344" t="str">
        <f t="shared" si="20"/>
        <v/>
      </c>
      <c r="Q102" s="195" t="str">
        <f t="shared" si="21"/>
        <v/>
      </c>
    </row>
    <row r="103" spans="1:18" s="195" customFormat="1" ht="12.75" customHeight="1">
      <c r="A103" s="1093"/>
      <c r="B103" s="2365"/>
      <c r="C103" s="2349" t="s">
        <v>3615</v>
      </c>
      <c r="D103" s="592"/>
      <c r="E103" s="2347"/>
      <c r="F103" s="2347"/>
      <c r="G103" s="891"/>
      <c r="H103" s="891"/>
      <c r="I103" s="891"/>
      <c r="J103" s="892"/>
      <c r="K103" s="889">
        <f t="shared" si="17"/>
        <v>1</v>
      </c>
      <c r="L103" s="888">
        <v>1</v>
      </c>
      <c r="M103" s="889">
        <f t="shared" si="23"/>
        <v>1</v>
      </c>
      <c r="N103" s="890" t="str">
        <f t="shared" si="18"/>
        <v/>
      </c>
      <c r="O103" s="344" t="str">
        <f t="shared" si="19"/>
        <v/>
      </c>
      <c r="P103" s="344" t="str">
        <f t="shared" si="20"/>
        <v/>
      </c>
      <c r="Q103" s="195" t="str">
        <f t="shared" si="21"/>
        <v/>
      </c>
    </row>
    <row r="104" spans="1:18" s="195" customFormat="1" ht="12.75" customHeight="1">
      <c r="A104" s="1093"/>
      <c r="B104" s="2365"/>
      <c r="C104" s="2350" t="s">
        <v>3616</v>
      </c>
      <c r="D104" s="151"/>
      <c r="E104" s="2347"/>
      <c r="F104" s="2347"/>
      <c r="G104" s="891"/>
      <c r="H104" s="891"/>
      <c r="I104" s="891"/>
      <c r="J104" s="892"/>
      <c r="K104" s="889">
        <f t="shared" si="17"/>
        <v>1</v>
      </c>
      <c r="L104" s="888">
        <v>1</v>
      </c>
      <c r="M104" s="889">
        <f t="shared" si="23"/>
        <v>1</v>
      </c>
      <c r="N104" s="890" t="str">
        <f t="shared" si="18"/>
        <v/>
      </c>
      <c r="O104" s="344" t="str">
        <f t="shared" si="19"/>
        <v/>
      </c>
      <c r="P104" s="344" t="str">
        <f t="shared" si="20"/>
        <v/>
      </c>
      <c r="Q104" s="195" t="str">
        <f t="shared" si="21"/>
        <v/>
      </c>
    </row>
    <row r="105" spans="1:18" s="1114" customFormat="1" ht="12.75" customHeight="1">
      <c r="A105" s="1093"/>
      <c r="B105" s="2368"/>
      <c r="C105" s="2332" t="s">
        <v>3617</v>
      </c>
      <c r="D105" s="2351"/>
      <c r="E105" s="2352"/>
      <c r="F105" s="2352"/>
      <c r="G105" s="893"/>
      <c r="H105" s="893"/>
      <c r="I105" s="893"/>
      <c r="J105" s="894"/>
      <c r="K105" s="889">
        <f t="shared" si="17"/>
        <v>1</v>
      </c>
      <c r="L105" s="888">
        <v>1</v>
      </c>
      <c r="M105" s="889">
        <f t="shared" si="23"/>
        <v>1</v>
      </c>
      <c r="N105" s="890" t="str">
        <f t="shared" si="18"/>
        <v/>
      </c>
      <c r="O105" s="344" t="str">
        <f t="shared" si="19"/>
        <v/>
      </c>
      <c r="P105" s="344" t="str">
        <f t="shared" si="20"/>
        <v/>
      </c>
      <c r="Q105" s="195" t="str">
        <f t="shared" si="21"/>
        <v/>
      </c>
      <c r="R105" s="195"/>
    </row>
    <row r="106" spans="1:18" s="1114" customFormat="1" ht="12.75" customHeight="1">
      <c r="A106" s="1093"/>
      <c r="B106" s="2369"/>
      <c r="C106" s="344" t="s">
        <v>3618</v>
      </c>
      <c r="D106" s="2353"/>
      <c r="E106" s="2354"/>
      <c r="F106" s="2355"/>
      <c r="G106" s="893"/>
      <c r="H106" s="893"/>
      <c r="I106" s="893"/>
      <c r="J106" s="2342"/>
      <c r="K106" s="889">
        <f t="shared" si="17"/>
        <v>1</v>
      </c>
      <c r="L106" s="888">
        <v>1</v>
      </c>
      <c r="M106" s="889">
        <f t="shared" si="23"/>
        <v>1</v>
      </c>
      <c r="N106" s="890" t="str">
        <f t="shared" si="18"/>
        <v/>
      </c>
      <c r="O106" s="344" t="str">
        <f t="shared" si="19"/>
        <v/>
      </c>
      <c r="P106" s="344" t="str">
        <f t="shared" si="20"/>
        <v/>
      </c>
      <c r="Q106" s="195" t="str">
        <f t="shared" si="21"/>
        <v/>
      </c>
      <c r="R106" s="195"/>
    </row>
    <row r="107" spans="1:18" s="1111" customFormat="1" ht="12.75" customHeight="1">
      <c r="A107" s="2370"/>
      <c r="B107" s="2371"/>
      <c r="C107" s="344" t="s">
        <v>3619</v>
      </c>
      <c r="D107" s="2356"/>
      <c r="E107" s="904"/>
      <c r="F107" s="2357"/>
      <c r="G107" s="1422"/>
      <c r="H107" s="1422"/>
      <c r="I107" s="1422"/>
      <c r="J107" s="1423"/>
      <c r="K107" s="889">
        <f t="shared" si="17"/>
        <v>1</v>
      </c>
      <c r="L107" s="888">
        <v>1</v>
      </c>
      <c r="M107" s="889">
        <f t="shared" si="23"/>
        <v>1</v>
      </c>
      <c r="N107" s="890" t="str">
        <f t="shared" si="18"/>
        <v/>
      </c>
      <c r="O107" s="344" t="str">
        <f t="shared" si="19"/>
        <v/>
      </c>
      <c r="P107" s="344" t="str">
        <f t="shared" si="20"/>
        <v/>
      </c>
      <c r="Q107" s="195" t="str">
        <f t="shared" si="21"/>
        <v/>
      </c>
      <c r="R107" s="195"/>
    </row>
    <row r="108" spans="1:18" s="195" customFormat="1" ht="12.75" customHeight="1">
      <c r="A108" s="1108"/>
      <c r="B108" s="2369"/>
      <c r="C108" s="344" t="s">
        <v>3620</v>
      </c>
      <c r="D108" s="2353"/>
      <c r="E108" s="2354"/>
      <c r="F108" s="2355"/>
      <c r="G108" s="891"/>
      <c r="H108" s="891"/>
      <c r="I108" s="891"/>
      <c r="J108" s="892"/>
      <c r="K108" s="889">
        <f t="shared" si="17"/>
        <v>1</v>
      </c>
      <c r="L108" s="888">
        <v>1</v>
      </c>
      <c r="M108" s="889">
        <f t="shared" si="23"/>
        <v>1</v>
      </c>
      <c r="N108" s="890" t="str">
        <f t="shared" si="18"/>
        <v/>
      </c>
      <c r="O108" s="344" t="str">
        <f t="shared" si="19"/>
        <v/>
      </c>
      <c r="P108" s="344" t="str">
        <f t="shared" si="20"/>
        <v/>
      </c>
      <c r="Q108" s="195" t="str">
        <f t="shared" si="21"/>
        <v/>
      </c>
    </row>
    <row r="109" spans="1:18" s="1111" customFormat="1" ht="12.75" customHeight="1">
      <c r="A109" s="1108"/>
      <c r="B109" s="2371"/>
      <c r="C109" s="106" t="s">
        <v>3621</v>
      </c>
      <c r="D109" s="2356"/>
      <c r="E109" s="904"/>
      <c r="F109" s="2357"/>
      <c r="G109" s="1422"/>
      <c r="H109" s="1422"/>
      <c r="I109" s="1422"/>
      <c r="J109" s="1423"/>
      <c r="K109" s="889">
        <f t="shared" si="17"/>
        <v>1</v>
      </c>
      <c r="L109" s="888">
        <v>1</v>
      </c>
      <c r="M109" s="889">
        <f t="shared" si="23"/>
        <v>1</v>
      </c>
      <c r="N109" s="890" t="str">
        <f t="shared" si="18"/>
        <v/>
      </c>
      <c r="O109" s="344" t="str">
        <f t="shared" si="19"/>
        <v/>
      </c>
      <c r="P109" s="344" t="str">
        <f t="shared" si="20"/>
        <v/>
      </c>
      <c r="Q109" s="195" t="str">
        <f t="shared" si="21"/>
        <v/>
      </c>
      <c r="R109" s="195"/>
    </row>
    <row r="110" spans="1:18" s="1111" customFormat="1" ht="12.75" customHeight="1">
      <c r="A110" s="1108"/>
      <c r="B110" s="2371"/>
      <c r="C110" s="106"/>
      <c r="D110" s="2356"/>
      <c r="E110" s="904"/>
      <c r="F110" s="2357"/>
      <c r="G110" s="1422"/>
      <c r="H110" s="1422"/>
      <c r="I110" s="1422"/>
      <c r="J110" s="1423"/>
      <c r="K110" s="889">
        <f t="shared" si="17"/>
        <v>1</v>
      </c>
      <c r="L110" s="888">
        <v>1</v>
      </c>
      <c r="M110" s="889">
        <f t="shared" si="23"/>
        <v>1</v>
      </c>
      <c r="N110" s="890" t="str">
        <f t="shared" si="18"/>
        <v/>
      </c>
      <c r="O110" s="344" t="str">
        <f t="shared" si="19"/>
        <v/>
      </c>
      <c r="P110" s="344" t="str">
        <f t="shared" si="20"/>
        <v/>
      </c>
      <c r="Q110" s="195" t="str">
        <f t="shared" si="21"/>
        <v/>
      </c>
      <c r="R110" s="195"/>
    </row>
    <row r="111" spans="1:18" s="195" customFormat="1" ht="12.75" customHeight="1">
      <c r="A111" s="1108"/>
      <c r="B111" s="2372"/>
      <c r="C111" s="2392" t="s">
        <v>729</v>
      </c>
      <c r="D111" s="2358"/>
      <c r="E111" s="1892"/>
      <c r="F111" s="1892"/>
      <c r="G111" s="891"/>
      <c r="H111" s="891"/>
      <c r="I111" s="891"/>
      <c r="J111" s="892"/>
      <c r="K111" s="889">
        <f t="shared" si="17"/>
        <v>1</v>
      </c>
      <c r="L111" s="888">
        <v>1</v>
      </c>
      <c r="M111" s="889">
        <f t="shared" si="23"/>
        <v>1</v>
      </c>
      <c r="N111" s="890" t="str">
        <f t="shared" si="18"/>
        <v/>
      </c>
      <c r="O111" s="344" t="str">
        <f t="shared" si="19"/>
        <v/>
      </c>
      <c r="P111" s="344" t="str">
        <f t="shared" si="20"/>
        <v/>
      </c>
      <c r="Q111" s="195" t="str">
        <f t="shared" si="21"/>
        <v/>
      </c>
    </row>
    <row r="112" spans="1:18" s="2344" customFormat="1" ht="12.75" customHeight="1">
      <c r="A112" s="1108"/>
      <c r="B112" s="1085">
        <v>2</v>
      </c>
      <c r="C112" s="904" t="str">
        <f>VLOOKUP(D112,base_datos,6,FALSE)</f>
        <v>ITM Caja Moldeada 3x630A (electrónico [0.4-1.0] In) - T5N630-630A-3P-PR221DS-LS/I - 70kA@230Vac, 36kA@415Vac - marca ABB.</v>
      </c>
      <c r="D112" s="1876" t="s">
        <v>1084</v>
      </c>
      <c r="E112" s="1892">
        <f>VLOOKUP(D112,base_datos,5,FALSE)</f>
        <v>699.9</v>
      </c>
      <c r="F112" s="1893">
        <f>+E112*B112</f>
        <v>1399.8</v>
      </c>
      <c r="G112" s="1051"/>
      <c r="H112" s="1051"/>
      <c r="I112" s="1051"/>
      <c r="J112" s="2343"/>
      <c r="K112" s="889">
        <f t="shared" si="17"/>
        <v>1</v>
      </c>
      <c r="L112" s="888">
        <v>1</v>
      </c>
      <c r="M112" s="889">
        <f t="shared" si="23"/>
        <v>2</v>
      </c>
      <c r="N112" s="890">
        <f t="shared" si="18"/>
        <v>2</v>
      </c>
      <c r="O112" s="344" t="str">
        <f t="shared" si="19"/>
        <v>1SDA054396R1</v>
      </c>
      <c r="P112" s="344" t="str">
        <f t="shared" si="20"/>
        <v>ITM Caja Moldeada 3x630A (electrónico [0.4-1.0] In) - T5N630-630A-3P-PR221DS-LS/I - 70kA@230Vac, 36kA@415Vac - marca ABB.</v>
      </c>
      <c r="Q112" s="195" t="str">
        <f t="shared" si="21"/>
        <v>T5N630-630A-3P-PR221DS-LS/I</v>
      </c>
      <c r="R112" s="195"/>
    </row>
    <row r="113" spans="1:18" s="195" customFormat="1" ht="12.75" customHeight="1">
      <c r="A113" s="1108"/>
      <c r="B113" s="1112"/>
      <c r="C113" s="2335" t="s">
        <v>729</v>
      </c>
      <c r="D113" s="2333"/>
      <c r="E113" s="1874"/>
      <c r="F113" s="1883"/>
      <c r="G113" s="891"/>
      <c r="H113" s="891"/>
      <c r="I113" s="891"/>
      <c r="J113" s="1022"/>
      <c r="K113" s="889">
        <f t="shared" si="17"/>
        <v>1</v>
      </c>
      <c r="L113" s="888">
        <v>1</v>
      </c>
      <c r="M113" s="889">
        <f t="shared" si="23"/>
        <v>1</v>
      </c>
      <c r="N113" s="890" t="str">
        <f t="shared" si="18"/>
        <v/>
      </c>
      <c r="O113" s="344" t="str">
        <f t="shared" si="19"/>
        <v/>
      </c>
      <c r="P113" s="344" t="str">
        <f t="shared" si="20"/>
        <v/>
      </c>
      <c r="Q113" s="195" t="str">
        <f t="shared" si="21"/>
        <v/>
      </c>
    </row>
    <row r="114" spans="1:18" s="195" customFormat="1" ht="12.75" customHeight="1">
      <c r="A114" s="1108"/>
      <c r="B114" s="1085">
        <v>1</v>
      </c>
      <c r="C114" s="904" t="str">
        <f>VLOOKUP(D114,base_datos,6,FALSE)</f>
        <v>Conmutador motorizado bajo carga (I-0-II), modelo OTM-C, 3p, 630A (AC21..AC22) / 630A (AC23) - marca ABB.</v>
      </c>
      <c r="D114" s="2442" t="s">
        <v>787</v>
      </c>
      <c r="E114" s="1892">
        <f>VLOOKUP(D114,base_datos,5,FALSE)</f>
        <v>2184.5500000000002</v>
      </c>
      <c r="F114" s="1893">
        <f>+E114*B114</f>
        <v>2184.5500000000002</v>
      </c>
      <c r="G114" s="891"/>
      <c r="H114" s="891"/>
      <c r="I114" s="891"/>
      <c r="J114" s="892"/>
      <c r="K114" s="889">
        <f t="shared" si="17"/>
        <v>1</v>
      </c>
      <c r="L114" s="888">
        <v>1</v>
      </c>
      <c r="M114" s="889">
        <f t="shared" si="23"/>
        <v>1</v>
      </c>
      <c r="N114" s="890">
        <f t="shared" si="18"/>
        <v>1</v>
      </c>
      <c r="O114" s="344" t="str">
        <f t="shared" si="19"/>
        <v>1SCA103567R1001</v>
      </c>
      <c r="P114" s="344" t="str">
        <f t="shared" si="20"/>
        <v>Conmutador motorizado bajo carga (I-0-II), modelo OTM-C, 3p, 630A (AC21..AC22) / 630A (AC23) - marca ABB.</v>
      </c>
      <c r="Q114" s="195" t="str">
        <f t="shared" si="21"/>
        <v>OTM_I-0-II_3p_630A</v>
      </c>
    </row>
    <row r="115" spans="1:18" s="1114" customFormat="1" ht="12.75" customHeight="1">
      <c r="A115" s="2363"/>
      <c r="B115" s="1112"/>
      <c r="C115" s="2335" t="s">
        <v>729</v>
      </c>
      <c r="D115" s="1868"/>
      <c r="E115" s="1874"/>
      <c r="F115" s="1869"/>
      <c r="G115" s="893"/>
      <c r="H115" s="893"/>
      <c r="I115" s="893"/>
      <c r="J115" s="894"/>
      <c r="K115" s="889">
        <f t="shared" si="17"/>
        <v>1</v>
      </c>
      <c r="L115" s="888">
        <v>1</v>
      </c>
      <c r="M115" s="889">
        <f t="shared" si="23"/>
        <v>1</v>
      </c>
      <c r="N115" s="890" t="str">
        <f t="shared" si="18"/>
        <v/>
      </c>
      <c r="O115" s="344" t="str">
        <f t="shared" si="19"/>
        <v/>
      </c>
      <c r="P115" s="344" t="str">
        <f t="shared" si="20"/>
        <v/>
      </c>
      <c r="Q115" s="195" t="str">
        <f t="shared" si="21"/>
        <v/>
      </c>
      <c r="R115" s="195"/>
    </row>
    <row r="116" spans="1:18" s="1114" customFormat="1" ht="12.75" customHeight="1">
      <c r="A116" s="2363"/>
      <c r="B116" s="1085">
        <v>2</v>
      </c>
      <c r="C116" s="904" t="str">
        <f>VLOOKUP(D116,base_datos,6,FALSE)</f>
        <v>1(Q) contacto conmutado de estado 1NA para OTM160..2500A - marca ABB.</v>
      </c>
      <c r="D116" s="2442" t="s">
        <v>2608</v>
      </c>
      <c r="E116" s="1892">
        <f>VLOOKUP(D116,base_datos,5,FALSE)</f>
        <v>11.32</v>
      </c>
      <c r="F116" s="1893">
        <f>+E116*B116</f>
        <v>22.64</v>
      </c>
      <c r="G116" s="893"/>
      <c r="H116" s="893"/>
      <c r="I116" s="893"/>
      <c r="J116" s="894"/>
      <c r="K116" s="889">
        <f t="shared" si="17"/>
        <v>1</v>
      </c>
      <c r="L116" s="888">
        <v>1</v>
      </c>
      <c r="M116" s="889">
        <f t="shared" si="23"/>
        <v>2</v>
      </c>
      <c r="N116" s="890">
        <f t="shared" si="18"/>
        <v>2</v>
      </c>
      <c r="O116" s="344" t="str">
        <f t="shared" si="19"/>
        <v>1SCA022353R4970</v>
      </c>
      <c r="P116" s="344" t="str">
        <f t="shared" si="20"/>
        <v>1(Q) contacto conmutado de estado 1NA para OTM160..2500A - marca ABB.</v>
      </c>
      <c r="Q116" s="195" t="str">
        <f t="shared" si="21"/>
        <v>1Q_OTM_160-2500A</v>
      </c>
      <c r="R116" s="195"/>
    </row>
    <row r="117" spans="1:18" s="1114" customFormat="1" ht="12.75" customHeight="1">
      <c r="A117" s="2363"/>
      <c r="B117" s="895"/>
      <c r="C117" s="2335" t="s">
        <v>729</v>
      </c>
      <c r="D117" s="182"/>
      <c r="E117" s="1874"/>
      <c r="F117" s="1875"/>
      <c r="G117" s="893"/>
      <c r="H117" s="893"/>
      <c r="I117" s="893"/>
      <c r="J117" s="894"/>
      <c r="K117" s="889">
        <f t="shared" si="17"/>
        <v>1</v>
      </c>
      <c r="L117" s="888">
        <v>1</v>
      </c>
      <c r="M117" s="889">
        <f t="shared" si="23"/>
        <v>1</v>
      </c>
      <c r="N117" s="890" t="str">
        <f t="shared" si="18"/>
        <v/>
      </c>
      <c r="O117" s="344" t="str">
        <f t="shared" si="19"/>
        <v/>
      </c>
      <c r="P117" s="344" t="str">
        <f t="shared" si="20"/>
        <v/>
      </c>
      <c r="Q117" s="195" t="str">
        <f t="shared" si="21"/>
        <v/>
      </c>
      <c r="R117" s="195"/>
    </row>
    <row r="118" spans="1:18" s="1114" customFormat="1" ht="12.75" customHeight="1">
      <c r="A118" s="2366"/>
      <c r="B118" s="1085">
        <v>1</v>
      </c>
      <c r="C118" s="904" t="str">
        <f>VLOOKUP(D118,base_datos,6,FALSE)</f>
        <v>Controlador de Conmutación Automática ATS022 - pantalla digital, con módulo de com. Modbus-RS485 para monitoreo - marca ABB.</v>
      </c>
      <c r="D118" s="2442" t="s">
        <v>754</v>
      </c>
      <c r="E118" s="1892">
        <f>VLOOKUP(D118,base_datos,5,FALSE)</f>
        <v>1065.17</v>
      </c>
      <c r="F118" s="1893">
        <f>+E118*B118</f>
        <v>1065.17</v>
      </c>
      <c r="G118" s="891"/>
      <c r="H118" s="891"/>
      <c r="I118" s="891"/>
      <c r="J118" s="1022"/>
      <c r="K118" s="889">
        <f t="shared" si="17"/>
        <v>1</v>
      </c>
      <c r="L118" s="888">
        <v>1</v>
      </c>
      <c r="M118" s="889">
        <f t="shared" si="23"/>
        <v>1</v>
      </c>
      <c r="N118" s="890">
        <f t="shared" si="18"/>
        <v>1</v>
      </c>
      <c r="O118" s="344" t="str">
        <f t="shared" si="19"/>
        <v>1SDA065524R1</v>
      </c>
      <c r="P118" s="344" t="str">
        <f t="shared" si="20"/>
        <v>Controlador de Conmutación Automática ATS022 - pantalla digital, con módulo de com. Modbus-RS485 para monitoreo - marca ABB.</v>
      </c>
      <c r="Q118" s="195" t="str">
        <f t="shared" si="21"/>
        <v>ATS022</v>
      </c>
      <c r="R118" s="195"/>
    </row>
    <row r="119" spans="1:18" s="195" customFormat="1" ht="12.75" customHeight="1">
      <c r="A119" s="1093"/>
      <c r="B119" s="1085">
        <v>2</v>
      </c>
      <c r="C119" s="904" t="str">
        <f>VLOOKUP(D119,base_datos,6,FALSE)</f>
        <v>ITM Riel-Din 3x10A - SH203-C-10A - 10kA@230Vac, 6kA@400Vac-IEC60898 - marca ABB.</v>
      </c>
      <c r="D119" s="1894" t="s">
        <v>4977</v>
      </c>
      <c r="E119" s="1892">
        <f>VLOOKUP(D119,base_datos,5,FALSE)</f>
        <v>14.34</v>
      </c>
      <c r="F119" s="1893">
        <f>+E119*B119</f>
        <v>28.68</v>
      </c>
      <c r="G119" s="891"/>
      <c r="H119" s="891"/>
      <c r="I119" s="891"/>
      <c r="J119" s="892"/>
      <c r="K119" s="889">
        <f t="shared" si="17"/>
        <v>1</v>
      </c>
      <c r="L119" s="888">
        <v>1</v>
      </c>
      <c r="M119" s="889">
        <f t="shared" si="23"/>
        <v>2</v>
      </c>
      <c r="N119" s="890">
        <f t="shared" si="18"/>
        <v>2</v>
      </c>
      <c r="O119" s="344" t="str">
        <f t="shared" si="19"/>
        <v>2CDS213001R0104</v>
      </c>
      <c r="P119" s="344" t="str">
        <f t="shared" si="20"/>
        <v>ITM Riel-Din 3x10A - SH203-C-10A - 10kA@230Vac, 6kA@400Vac-IEC60898 - marca ABB.</v>
      </c>
      <c r="Q119" s="195" t="str">
        <f t="shared" si="21"/>
        <v>SH203-C-10A</v>
      </c>
    </row>
    <row r="120" spans="1:18" s="195" customFormat="1" ht="12.75" customHeight="1">
      <c r="A120" s="1093"/>
      <c r="B120" s="1085">
        <v>1</v>
      </c>
      <c r="C120" s="904" t="str">
        <f>VLOOKUP(D120,base_datos,6,FALSE)</f>
        <v>Minicontactor de control DILER-22 / XTRM10A22B, 10A, 2NA+2NC, bobina 220Vac, marca EATON.</v>
      </c>
      <c r="D120" s="1881" t="s">
        <v>773</v>
      </c>
      <c r="E120" s="1892">
        <f>VLOOKUP(D120,base_datos,5,FALSE)</f>
        <v>35</v>
      </c>
      <c r="F120" s="1893">
        <f>+E120*B120</f>
        <v>35</v>
      </c>
      <c r="G120" s="891"/>
      <c r="H120" s="891"/>
      <c r="I120" s="891"/>
      <c r="J120" s="892"/>
      <c r="K120" s="889">
        <f t="shared" si="17"/>
        <v>1</v>
      </c>
      <c r="L120" s="888">
        <v>1</v>
      </c>
      <c r="M120" s="889">
        <f t="shared" ref="M116:M126" si="24">IF(B120="",1,B120)</f>
        <v>1</v>
      </c>
      <c r="N120" s="890">
        <f t="shared" si="18"/>
        <v>1</v>
      </c>
      <c r="O120" s="344" t="str">
        <f t="shared" si="19"/>
        <v>XTRM10A22B</v>
      </c>
      <c r="P120" s="344" t="str">
        <f t="shared" si="20"/>
        <v>Minicontactor de control DILER-22 / XTRM10A22B, 10A, 2NA+2NC, bobina 220Vac, marca EATON.</v>
      </c>
      <c r="Q120" s="195" t="str">
        <f t="shared" si="21"/>
        <v>XTRM10A22B</v>
      </c>
    </row>
    <row r="121" spans="1:18" s="195" customFormat="1" ht="12.75" customHeight="1">
      <c r="A121" s="1093"/>
      <c r="B121" s="2373">
        <v>24</v>
      </c>
      <c r="C121" s="904" t="str">
        <f>VLOOKUP(D121,base_datos,6,FALSE)</f>
        <v>Borne 4mm2.</v>
      </c>
      <c r="D121" s="1892" t="s">
        <v>437</v>
      </c>
      <c r="E121" s="1892">
        <f>VLOOKUP(D121,base_datos,5,FALSE)</f>
        <v>2.5</v>
      </c>
      <c r="F121" s="1892">
        <f>+E121*B121</f>
        <v>60</v>
      </c>
      <c r="G121" s="891"/>
      <c r="H121" s="891"/>
      <c r="I121" s="891"/>
      <c r="J121" s="892"/>
      <c r="K121" s="889">
        <f t="shared" si="17"/>
        <v>1</v>
      </c>
      <c r="L121" s="888">
        <v>1</v>
      </c>
      <c r="M121" s="889">
        <f t="shared" si="24"/>
        <v>24</v>
      </c>
      <c r="N121" s="890" t="str">
        <f t="shared" si="18"/>
        <v/>
      </c>
      <c r="O121" s="344" t="str">
        <f t="shared" si="19"/>
        <v/>
      </c>
      <c r="P121" s="344" t="str">
        <f t="shared" si="20"/>
        <v/>
      </c>
      <c r="Q121" s="195" t="str">
        <f t="shared" si="21"/>
        <v/>
      </c>
    </row>
    <row r="122" spans="1:18" s="195" customFormat="1" ht="12.75" customHeight="1">
      <c r="A122" s="1093"/>
      <c r="B122" s="2373">
        <v>0</v>
      </c>
      <c r="C122" s="904" t="str">
        <f>VLOOKUP(D122,base_datos,6,FALSE)</f>
        <v>Rele auxiliar enchufable +4NA/NC (D2PR4B + base D2PA6), 220Vac - marca EATON.</v>
      </c>
      <c r="D122" s="1892" t="s">
        <v>772</v>
      </c>
      <c r="E122" s="1892">
        <f>VLOOKUP(D122,base_datos,5,FALSE)</f>
        <v>27</v>
      </c>
      <c r="F122" s="1892">
        <f>+E122*B122</f>
        <v>0</v>
      </c>
      <c r="G122" s="891"/>
      <c r="H122" s="891"/>
      <c r="I122" s="891"/>
      <c r="J122" s="892"/>
      <c r="K122" s="889">
        <f t="shared" si="17"/>
        <v>1</v>
      </c>
      <c r="L122" s="888">
        <v>1</v>
      </c>
      <c r="M122" s="889">
        <f t="shared" si="24"/>
        <v>0</v>
      </c>
      <c r="N122" s="890">
        <f t="shared" si="18"/>
        <v>0</v>
      </c>
      <c r="O122" s="344" t="str">
        <f t="shared" si="19"/>
        <v>D2PR4B+D2PA6</v>
      </c>
      <c r="P122" s="344" t="str">
        <f t="shared" si="20"/>
        <v>Rele auxiliar enchufable +4NA/NC (D2PR4B + base D2PA6), 220Vac - marca EATON.</v>
      </c>
      <c r="Q122" s="195" t="str">
        <f t="shared" si="21"/>
        <v>D2PR4B+D2PA6</v>
      </c>
    </row>
    <row r="123" spans="1:18" s="1114" customFormat="1" ht="12.75" customHeight="1">
      <c r="A123" s="1093"/>
      <c r="B123" s="2374"/>
      <c r="C123" s="2335" t="s">
        <v>729</v>
      </c>
      <c r="D123" s="182"/>
      <c r="E123" s="1874"/>
      <c r="F123" s="1875"/>
      <c r="G123" s="893"/>
      <c r="H123" s="893"/>
      <c r="I123" s="893"/>
      <c r="J123" s="894"/>
      <c r="K123" s="889">
        <f t="shared" si="17"/>
        <v>1</v>
      </c>
      <c r="L123" s="888">
        <v>1</v>
      </c>
      <c r="M123" s="889">
        <f t="shared" si="24"/>
        <v>1</v>
      </c>
      <c r="N123" s="890" t="str">
        <f t="shared" si="18"/>
        <v/>
      </c>
      <c r="O123" s="344" t="str">
        <f t="shared" si="19"/>
        <v/>
      </c>
      <c r="P123" s="344" t="str">
        <f t="shared" si="20"/>
        <v/>
      </c>
      <c r="Q123" s="195" t="str">
        <f t="shared" si="21"/>
        <v/>
      </c>
      <c r="R123" s="195"/>
    </row>
    <row r="124" spans="1:18" s="195" customFormat="1" ht="12.75" customHeight="1">
      <c r="A124" s="2398"/>
      <c r="B124" s="2399">
        <v>1</v>
      </c>
      <c r="C124" s="1417" t="s">
        <v>13943</v>
      </c>
      <c r="D124" s="2359"/>
      <c r="E124" s="1895">
        <v>150</v>
      </c>
      <c r="F124" s="1895">
        <f t="shared" ref="F124:F125" si="25">+E124*B124</f>
        <v>150</v>
      </c>
      <c r="G124" s="891"/>
      <c r="H124" s="891"/>
      <c r="I124" s="891"/>
      <c r="J124" s="892"/>
      <c r="K124" s="889">
        <f t="shared" si="17"/>
        <v>1</v>
      </c>
      <c r="L124" s="888">
        <v>1</v>
      </c>
      <c r="M124" s="889">
        <f t="shared" si="24"/>
        <v>1</v>
      </c>
      <c r="N124" s="890" t="str">
        <f t="shared" si="18"/>
        <v/>
      </c>
      <c r="O124" s="344" t="str">
        <f t="shared" si="19"/>
        <v/>
      </c>
      <c r="P124" s="344" t="str">
        <f t="shared" si="20"/>
        <v/>
      </c>
      <c r="Q124" s="195" t="str">
        <f t="shared" si="21"/>
        <v/>
      </c>
    </row>
    <row r="125" spans="1:18" s="195" customFormat="1" ht="12.75" customHeight="1">
      <c r="A125" s="2398"/>
      <c r="B125" s="2399">
        <v>1</v>
      </c>
      <c r="C125" s="1417" t="s">
        <v>13944</v>
      </c>
      <c r="D125" s="2359"/>
      <c r="E125" s="1895">
        <v>250</v>
      </c>
      <c r="F125" s="1895">
        <f t="shared" si="25"/>
        <v>250</v>
      </c>
      <c r="G125" s="891"/>
      <c r="H125" s="891"/>
      <c r="I125" s="891"/>
      <c r="J125" s="892"/>
      <c r="K125" s="889">
        <f t="shared" si="17"/>
        <v>1</v>
      </c>
      <c r="L125" s="888">
        <v>1</v>
      </c>
      <c r="M125" s="889">
        <f t="shared" si="24"/>
        <v>1</v>
      </c>
      <c r="N125" s="890" t="str">
        <f t="shared" si="18"/>
        <v/>
      </c>
      <c r="O125" s="344" t="str">
        <f t="shared" si="19"/>
        <v/>
      </c>
      <c r="P125" s="344" t="str">
        <f t="shared" si="20"/>
        <v/>
      </c>
      <c r="Q125" s="195" t="str">
        <f t="shared" si="21"/>
        <v/>
      </c>
    </row>
    <row r="126" spans="1:18" s="195" customFormat="1" ht="12.75" customHeight="1">
      <c r="A126" s="1108"/>
      <c r="B126" s="2372"/>
      <c r="C126" s="2392" t="s">
        <v>729</v>
      </c>
      <c r="D126" s="2358"/>
      <c r="E126" s="1892"/>
      <c r="F126" s="1892"/>
      <c r="G126" s="891"/>
      <c r="H126" s="891"/>
      <c r="I126" s="891"/>
      <c r="J126" s="892"/>
      <c r="K126" s="889">
        <f t="shared" si="17"/>
        <v>1</v>
      </c>
      <c r="L126" s="888">
        <v>1</v>
      </c>
      <c r="M126" s="889">
        <f t="shared" si="24"/>
        <v>1</v>
      </c>
      <c r="N126" s="890" t="str">
        <f t="shared" si="18"/>
        <v/>
      </c>
      <c r="O126" s="344" t="str">
        <f t="shared" si="19"/>
        <v/>
      </c>
      <c r="P126" s="344" t="str">
        <f t="shared" si="20"/>
        <v/>
      </c>
      <c r="Q126" s="195" t="str">
        <f t="shared" si="21"/>
        <v/>
      </c>
    </row>
    <row r="127" spans="1:18" s="862" customFormat="1">
      <c r="A127" s="865"/>
      <c r="B127" s="820"/>
      <c r="C127" s="859" t="s">
        <v>3535</v>
      </c>
      <c r="D127" s="2394"/>
      <c r="E127" s="2395"/>
      <c r="F127" s="2391"/>
      <c r="G127" s="860"/>
      <c r="H127" s="860"/>
      <c r="I127" s="860"/>
      <c r="J127" s="861"/>
      <c r="K127" s="889">
        <f t="shared" si="17"/>
        <v>1</v>
      </c>
      <c r="L127" s="412">
        <v>1</v>
      </c>
      <c r="M127" s="843">
        <f t="shared" si="16"/>
        <v>1</v>
      </c>
      <c r="N127" s="890" t="str">
        <f t="shared" si="18"/>
        <v/>
      </c>
      <c r="O127" s="344" t="str">
        <f t="shared" si="19"/>
        <v/>
      </c>
      <c r="P127" s="344" t="str">
        <f t="shared" si="20"/>
        <v/>
      </c>
      <c r="Q127" s="195" t="str">
        <f t="shared" si="21"/>
        <v/>
      </c>
    </row>
    <row r="128" spans="1:18" s="862" customFormat="1">
      <c r="A128" s="1128"/>
      <c r="B128" s="1122">
        <v>1</v>
      </c>
      <c r="C128" s="857" t="str">
        <f>VLOOKUP(D128,base_datos,6,FALSE)</f>
        <v>ITM Caja Moldeada 3x400A (electrónico [0.4-1.0] In) - T5N400-400A-3P-PR221DS-LS/I - 70kA@230Vac, 36kA@415Vac - marca ABB.</v>
      </c>
      <c r="D128" s="2413" t="s">
        <v>1077</v>
      </c>
      <c r="E128" s="2393">
        <f>VLOOKUP(D128,base_datos,5,FALSE)</f>
        <v>529.64</v>
      </c>
      <c r="F128" s="2391">
        <f>+E128*B128</f>
        <v>529.64</v>
      </c>
      <c r="G128" s="860"/>
      <c r="H128" s="860"/>
      <c r="I128" s="860"/>
      <c r="J128" s="1420"/>
      <c r="K128" s="889">
        <f t="shared" si="17"/>
        <v>1</v>
      </c>
      <c r="L128" s="412">
        <v>1</v>
      </c>
      <c r="M128" s="843">
        <f t="shared" si="16"/>
        <v>1</v>
      </c>
      <c r="N128" s="890">
        <f t="shared" si="18"/>
        <v>1</v>
      </c>
      <c r="O128" s="344" t="str">
        <f t="shared" si="19"/>
        <v>1SDA054317R1</v>
      </c>
      <c r="P128" s="344" t="str">
        <f t="shared" si="20"/>
        <v>ITM Caja Moldeada 3x400A (electrónico [0.4-1.0] In) - T5N400-400A-3P-PR221DS-LS/I - 70kA@230Vac, 36kA@415Vac - marca ABB.</v>
      </c>
      <c r="Q128" s="195" t="str">
        <f t="shared" si="21"/>
        <v>T5N400-400A-3P-PR221DS-LS/I</v>
      </c>
    </row>
    <row r="129" spans="1:18" s="862" customFormat="1">
      <c r="A129" s="1108"/>
      <c r="B129" s="1122">
        <v>2</v>
      </c>
      <c r="C129" s="857" t="str">
        <f>VLOOKUP(D129,base_datos,6,FALSE)</f>
        <v>ITM Caja Moldeada 3x160A (reg.[0.7-1.0] In) - XT1B160-160A-3P-TMD - 25kA@230Vac, 18kA@415Vac, 18kA@250Vdc - marca ABB.</v>
      </c>
      <c r="D129" s="182" t="s">
        <v>4562</v>
      </c>
      <c r="E129" s="2393">
        <f>VLOOKUP(D129,base_datos,5,FALSE)</f>
        <v>148.13</v>
      </c>
      <c r="F129" s="2391">
        <f>+E129*B129</f>
        <v>296.26</v>
      </c>
      <c r="G129" s="860"/>
      <c r="H129" s="860"/>
      <c r="I129" s="860"/>
      <c r="J129" s="1420"/>
      <c r="K129" s="889">
        <f t="shared" si="17"/>
        <v>1</v>
      </c>
      <c r="L129" s="412">
        <v>1</v>
      </c>
      <c r="M129" s="843">
        <f t="shared" si="16"/>
        <v>2</v>
      </c>
      <c r="N129" s="890">
        <f t="shared" si="18"/>
        <v>2</v>
      </c>
      <c r="O129" s="344" t="str">
        <f t="shared" si="19"/>
        <v>1SDA066809R1</v>
      </c>
      <c r="P129" s="344" t="str">
        <f t="shared" si="20"/>
        <v>ITM Caja Moldeada 3x160A (reg.[0.7-1.0] In) - XT1B160-160A-3P-TMD - 25kA@230Vac, 18kA@415Vac, 18kA@250Vdc - marca ABB.</v>
      </c>
      <c r="Q129" s="195" t="str">
        <f t="shared" si="21"/>
        <v>XT1B160-160A-3P-TMD</v>
      </c>
    </row>
    <row r="130" spans="1:18" s="862" customFormat="1">
      <c r="A130" s="2370"/>
      <c r="B130" s="1122">
        <v>1</v>
      </c>
      <c r="C130" s="857" t="str">
        <f>VLOOKUP(D130,base_datos,6,FALSE)</f>
        <v>ITM Caja Moldeada 3x32A - A1B125-32A-3P-TMF - 25kA@230Vac, 18kA@400Vac - marca ABB.</v>
      </c>
      <c r="D130" s="182" t="s">
        <v>4975</v>
      </c>
      <c r="E130" s="2393">
        <f>VLOOKUP(D130,base_datos,5,FALSE)</f>
        <v>72.09</v>
      </c>
      <c r="F130" s="2391">
        <f>+E130*B130</f>
        <v>72.09</v>
      </c>
      <c r="G130" s="860"/>
      <c r="H130" s="860"/>
      <c r="I130" s="860"/>
      <c r="J130" s="1420"/>
      <c r="K130" s="889">
        <f t="shared" si="17"/>
        <v>1</v>
      </c>
      <c r="L130" s="412">
        <v>1</v>
      </c>
      <c r="M130" s="843">
        <f t="shared" si="16"/>
        <v>1</v>
      </c>
      <c r="N130" s="890">
        <f t="shared" si="18"/>
        <v>1</v>
      </c>
      <c r="O130" s="344" t="str">
        <f t="shared" si="19"/>
        <v>1SDA068758R1</v>
      </c>
      <c r="P130" s="344" t="str">
        <f t="shared" si="20"/>
        <v>ITM Caja Moldeada 3x32A - A1B125-32A-3P-TMF - 25kA@230Vac, 18kA@400Vac - marca ABB.</v>
      </c>
      <c r="Q130" s="195" t="str">
        <f t="shared" si="21"/>
        <v>A1B125-32A-3P-TMF</v>
      </c>
    </row>
    <row r="131" spans="1:18" s="2340" customFormat="1">
      <c r="A131" s="865"/>
      <c r="B131" s="2443">
        <v>2</v>
      </c>
      <c r="C131" s="2444" t="str">
        <f>VLOOKUP(D131,base_datos,6,FALSE)</f>
        <v>Espacio de reserva trifásica - Caja moldeada.</v>
      </c>
      <c r="D131" s="2445" t="s">
        <v>3075</v>
      </c>
      <c r="E131" s="2446">
        <f>VLOOKUP(D131,base_datos,5,FALSE)</f>
        <v>15</v>
      </c>
      <c r="F131" s="2447">
        <f>+E131*B131</f>
        <v>30</v>
      </c>
      <c r="G131" s="2338"/>
      <c r="H131" s="2338"/>
      <c r="I131" s="2338"/>
      <c r="J131" s="2339"/>
      <c r="K131" s="889">
        <f t="shared" si="17"/>
        <v>1</v>
      </c>
      <c r="L131" s="412">
        <v>1</v>
      </c>
      <c r="M131" s="843">
        <f t="shared" si="16"/>
        <v>2</v>
      </c>
      <c r="N131" s="890" t="str">
        <f t="shared" si="18"/>
        <v/>
      </c>
      <c r="O131" s="344" t="str">
        <f t="shared" si="19"/>
        <v/>
      </c>
      <c r="P131" s="344" t="str">
        <f t="shared" si="20"/>
        <v/>
      </c>
      <c r="Q131" s="195" t="str">
        <f t="shared" si="21"/>
        <v/>
      </c>
    </row>
    <row r="132" spans="1:18" s="1114" customFormat="1" ht="12.75" customHeight="1">
      <c r="A132" s="1093"/>
      <c r="B132" s="2374"/>
      <c r="C132" s="2392" t="s">
        <v>729</v>
      </c>
      <c r="D132" s="182"/>
      <c r="E132" s="1874"/>
      <c r="F132" s="1875"/>
      <c r="G132" s="893"/>
      <c r="H132" s="893"/>
      <c r="I132" s="893"/>
      <c r="J132" s="894"/>
      <c r="K132" s="889">
        <f t="shared" si="17"/>
        <v>1</v>
      </c>
      <c r="L132" s="888">
        <v>1</v>
      </c>
      <c r="M132" s="889">
        <f t="shared" ref="M132" si="26">IF(B132="",1,B132)</f>
        <v>1</v>
      </c>
      <c r="N132" s="890" t="str">
        <f t="shared" si="18"/>
        <v/>
      </c>
      <c r="O132" s="344" t="str">
        <f t="shared" si="19"/>
        <v/>
      </c>
      <c r="P132" s="344" t="str">
        <f t="shared" si="20"/>
        <v/>
      </c>
      <c r="Q132" s="195" t="str">
        <f t="shared" si="21"/>
        <v/>
      </c>
      <c r="R132" s="195"/>
    </row>
    <row r="133" spans="1:18" s="1111" customFormat="1">
      <c r="A133" s="865"/>
      <c r="B133" s="1415">
        <v>3</v>
      </c>
      <c r="C133" s="2353" t="s">
        <v>3591</v>
      </c>
      <c r="D133" s="2421"/>
      <c r="E133" s="2354"/>
      <c r="F133" s="2355"/>
      <c r="G133" s="1109"/>
      <c r="H133" s="1109"/>
      <c r="I133" s="1109"/>
      <c r="J133" s="1110"/>
      <c r="K133" s="889">
        <f t="shared" ref="K133:L146" si="27">K132</f>
        <v>1</v>
      </c>
      <c r="L133" s="888">
        <v>1</v>
      </c>
      <c r="M133" s="889">
        <f>IF(B133="",1,B133)</f>
        <v>3</v>
      </c>
      <c r="N133" s="890" t="str">
        <f t="shared" si="18"/>
        <v/>
      </c>
      <c r="O133" s="344" t="str">
        <f t="shared" si="19"/>
        <v/>
      </c>
      <c r="P133" s="344" t="str">
        <f t="shared" si="20"/>
        <v/>
      </c>
      <c r="Q133" s="195" t="str">
        <f t="shared" si="21"/>
        <v/>
      </c>
    </row>
    <row r="134" spans="1:18" s="195" customFormat="1">
      <c r="A134" s="1123"/>
      <c r="B134" s="1085">
        <v>2</v>
      </c>
      <c r="C134" s="904" t="str">
        <f>VLOOKUP(D134,base_datos,6,FALSE)</f>
        <v>FC-CuAl_T5 - Terminales + Cubrebornes - cables de cobre/aluminio hasta 2x240mm2 - 3 terminales (externos).</v>
      </c>
      <c r="D134" s="1881" t="s">
        <v>966</v>
      </c>
      <c r="E134" s="1882">
        <f>VLOOKUP(D134,base_datos,5,FALSE)</f>
        <v>100.13000000000001</v>
      </c>
      <c r="F134" s="1882">
        <f>+E134*B134</f>
        <v>200.26000000000002</v>
      </c>
      <c r="G134" s="891"/>
      <c r="H134" s="891"/>
      <c r="I134" s="891"/>
      <c r="J134" s="892"/>
      <c r="K134" s="889">
        <f>K132</f>
        <v>1</v>
      </c>
      <c r="L134" s="888">
        <v>1</v>
      </c>
      <c r="M134" s="889">
        <f>IF(B134="",1,B134)</f>
        <v>2</v>
      </c>
      <c r="N134" s="890">
        <f t="shared" si="18"/>
        <v>2</v>
      </c>
      <c r="O134" s="344" t="str">
        <f t="shared" si="19"/>
        <v>1SDA055032R1</v>
      </c>
      <c r="P134" s="344" t="str">
        <f t="shared" si="20"/>
        <v>FC-CuAl_T5 - Terminales + Cubrebornes - cables de cobre/aluminio hasta 2x240mm2 - 3 terminales (externos).</v>
      </c>
      <c r="Q134" s="195" t="str">
        <f t="shared" si="21"/>
        <v>FC-CuAl_T5_3t</v>
      </c>
    </row>
    <row r="135" spans="1:18" s="195" customFormat="1">
      <c r="A135" s="1123"/>
      <c r="B135" s="1085">
        <v>1</v>
      </c>
      <c r="C135" s="904" t="str">
        <f>VLOOKUP(D135,base_datos,6,FALSE)</f>
        <v>FC-CuAl_T5-400A - Terminales - cables de cobre/aluminio hasta 1x300mm2 - 3 terminales (internos).</v>
      </c>
      <c r="D135" s="1881" t="s">
        <v>5146</v>
      </c>
      <c r="E135" s="1882">
        <f>VLOOKUP(D135,base_datos,5,FALSE)</f>
        <v>73.17</v>
      </c>
      <c r="F135" s="1882">
        <f>+E135*B135</f>
        <v>73.17</v>
      </c>
      <c r="G135" s="891"/>
      <c r="H135" s="891"/>
      <c r="I135" s="891"/>
      <c r="J135" s="892"/>
      <c r="K135" s="889">
        <f>K133</f>
        <v>1</v>
      </c>
      <c r="L135" s="888">
        <v>1</v>
      </c>
      <c r="M135" s="889">
        <f>IF(B135="",1,B135)</f>
        <v>1</v>
      </c>
      <c r="N135" s="890">
        <f t="shared" si="18"/>
        <v>1</v>
      </c>
      <c r="O135" s="344" t="str">
        <f t="shared" si="19"/>
        <v>1SDA055024R1</v>
      </c>
      <c r="P135" s="344" t="str">
        <f t="shared" si="20"/>
        <v>FC-CuAl_T5-400A - Terminales - cables de cobre/aluminio hasta 1x300mm2 - 3 terminales (internos).</v>
      </c>
      <c r="Q135" s="195" t="str">
        <f t="shared" si="21"/>
        <v>FC-CuAl_T5_3t_400A</v>
      </c>
    </row>
    <row r="136" spans="1:18" s="195" customFormat="1" ht="12.75" customHeight="1">
      <c r="A136" s="1108"/>
      <c r="B136" s="895"/>
      <c r="C136" s="337" t="s">
        <v>729</v>
      </c>
      <c r="D136" s="182"/>
      <c r="E136" s="1874"/>
      <c r="F136" s="1875"/>
      <c r="G136" s="1866"/>
      <c r="H136" s="1866"/>
      <c r="I136" s="1866"/>
      <c r="J136" s="892"/>
      <c r="K136" s="889">
        <f t="shared" si="27"/>
        <v>1</v>
      </c>
      <c r="L136" s="888">
        <v>1</v>
      </c>
      <c r="M136" s="889">
        <f t="shared" ref="M136:M148" si="28">IF(B136="",1,B136)</f>
        <v>1</v>
      </c>
      <c r="N136" s="890" t="str">
        <f t="shared" si="18"/>
        <v/>
      </c>
      <c r="O136" s="344" t="str">
        <f t="shared" si="19"/>
        <v/>
      </c>
      <c r="P136" s="344" t="str">
        <f t="shared" si="20"/>
        <v/>
      </c>
      <c r="Q136" s="195" t="str">
        <f t="shared" si="21"/>
        <v/>
      </c>
    </row>
    <row r="137" spans="1:18" s="1114" customFormat="1" ht="12.75" customHeight="1">
      <c r="A137" s="2370"/>
      <c r="B137" s="1112">
        <v>2</v>
      </c>
      <c r="C137" s="1127" t="s">
        <v>4044</v>
      </c>
      <c r="D137" s="1868"/>
      <c r="E137" s="1874"/>
      <c r="F137" s="1883">
        <f>SUM(F138:F140)*(B137-1)</f>
        <v>64.612169999999992</v>
      </c>
      <c r="G137" s="2380"/>
      <c r="H137" s="2380"/>
      <c r="I137" s="2380"/>
      <c r="J137" s="894"/>
      <c r="K137" s="889">
        <f t="shared" si="27"/>
        <v>1</v>
      </c>
      <c r="L137" s="1113">
        <f>B137</f>
        <v>2</v>
      </c>
      <c r="M137" s="889">
        <f t="shared" si="28"/>
        <v>2</v>
      </c>
      <c r="N137" s="890" t="str">
        <f t="shared" si="18"/>
        <v/>
      </c>
      <c r="O137" s="344" t="str">
        <f t="shared" si="19"/>
        <v/>
      </c>
      <c r="P137" s="344" t="str">
        <f t="shared" si="20"/>
        <v/>
      </c>
      <c r="Q137" s="195" t="str">
        <f t="shared" si="21"/>
        <v/>
      </c>
      <c r="R137" s="195"/>
    </row>
    <row r="138" spans="1:18" s="195" customFormat="1">
      <c r="A138" s="1108"/>
      <c r="B138" s="2365">
        <v>3</v>
      </c>
      <c r="C138" s="2381" t="s">
        <v>14160</v>
      </c>
      <c r="D138" s="1884" t="s">
        <v>2473</v>
      </c>
      <c r="E138" s="1875">
        <v>15</v>
      </c>
      <c r="F138" s="1885">
        <f>+E138*B138</f>
        <v>45</v>
      </c>
      <c r="G138" s="1866"/>
      <c r="H138" s="1866"/>
      <c r="I138" s="1866"/>
      <c r="J138" s="892"/>
      <c r="K138" s="889">
        <f t="shared" si="27"/>
        <v>1</v>
      </c>
      <c r="L138" s="1116">
        <f t="shared" si="27"/>
        <v>2</v>
      </c>
      <c r="M138" s="889">
        <f t="shared" si="28"/>
        <v>3</v>
      </c>
      <c r="N138" s="890">
        <f t="shared" si="18"/>
        <v>6</v>
      </c>
      <c r="O138" s="344" t="str">
        <f t="shared" si="19"/>
        <v>1SFA619403R5231</v>
      </c>
      <c r="P138" s="344" t="str">
        <f t="shared" si="20"/>
        <v>Portalámpara + lampara tipo LED - color Rojo - alimentacion: 220-230Vac, d=22mm. - CL2-523R - línea compacta - marca ABB.</v>
      </c>
      <c r="Q138" s="195" t="str">
        <f t="shared" si="21"/>
        <v>LAMP_ROJO_220V</v>
      </c>
    </row>
    <row r="139" spans="1:18" s="1111" customFormat="1">
      <c r="A139" s="1126"/>
      <c r="B139" s="2384">
        <v>1</v>
      </c>
      <c r="C139" s="1115" t="s">
        <v>9497</v>
      </c>
      <c r="D139" s="1879"/>
      <c r="E139" s="1880"/>
      <c r="F139" s="1888"/>
      <c r="G139" s="2383"/>
      <c r="H139" s="2383"/>
      <c r="I139" s="2383"/>
      <c r="J139" s="1110"/>
      <c r="K139" s="889">
        <f t="shared" si="27"/>
        <v>1</v>
      </c>
      <c r="L139" s="1116">
        <f>L138</f>
        <v>2</v>
      </c>
      <c r="M139" s="889">
        <f t="shared" si="28"/>
        <v>1</v>
      </c>
      <c r="N139" s="890" t="str">
        <f t="shared" si="18"/>
        <v/>
      </c>
      <c r="O139" s="344" t="str">
        <f t="shared" si="19"/>
        <v/>
      </c>
      <c r="P139" s="344" t="str">
        <f t="shared" si="20"/>
        <v/>
      </c>
      <c r="Q139" s="195" t="str">
        <f t="shared" si="21"/>
        <v/>
      </c>
      <c r="R139" s="195"/>
    </row>
    <row r="140" spans="1:18" s="344" customFormat="1">
      <c r="A140" s="1093"/>
      <c r="B140" s="2371">
        <v>3</v>
      </c>
      <c r="C140" s="904" t="str">
        <f>VLOOKUP(D140,base_datos,6,FALSE)</f>
        <v>Base portafusibles + Fusibles de protección para control.</v>
      </c>
      <c r="D140" s="1881" t="s">
        <v>453</v>
      </c>
      <c r="E140" s="1892">
        <f>VLOOKUP(D140,base_datos,5,FALSE)</f>
        <v>6.5373900000000003</v>
      </c>
      <c r="F140" s="1897">
        <f>+E140*B140</f>
        <v>19.612169999999999</v>
      </c>
      <c r="G140" s="1898"/>
      <c r="H140" s="1898"/>
      <c r="I140" s="1898"/>
      <c r="J140" s="906"/>
      <c r="K140" s="889">
        <f t="shared" si="27"/>
        <v>1</v>
      </c>
      <c r="L140" s="1116">
        <f t="shared" si="27"/>
        <v>2</v>
      </c>
      <c r="M140" s="889">
        <f t="shared" si="28"/>
        <v>3</v>
      </c>
      <c r="N140" s="890" t="str">
        <f t="shared" si="18"/>
        <v/>
      </c>
      <c r="O140" s="344" t="str">
        <f t="shared" si="19"/>
        <v/>
      </c>
      <c r="P140" s="344" t="str">
        <f t="shared" si="20"/>
        <v/>
      </c>
      <c r="Q140" s="195" t="str">
        <f t="shared" si="21"/>
        <v/>
      </c>
      <c r="R140" s="195"/>
    </row>
    <row r="141" spans="1:18" s="195" customFormat="1">
      <c r="A141" s="1108"/>
      <c r="B141" s="895"/>
      <c r="C141" s="337" t="s">
        <v>729</v>
      </c>
      <c r="D141" s="182"/>
      <c r="E141" s="1874"/>
      <c r="F141" s="1875"/>
      <c r="G141" s="1866"/>
      <c r="H141" s="1866"/>
      <c r="I141" s="1866"/>
      <c r="J141" s="892"/>
      <c r="K141" s="889">
        <f t="shared" si="27"/>
        <v>1</v>
      </c>
      <c r="L141" s="888">
        <v>1</v>
      </c>
      <c r="M141" s="889">
        <f t="shared" si="28"/>
        <v>1</v>
      </c>
      <c r="N141" s="890" t="str">
        <f t="shared" ref="N141:N204" si="29">IF(O141&lt;&gt;"",K141*L141*M141,"")</f>
        <v/>
      </c>
      <c r="O141" s="344" t="str">
        <f t="shared" si="19"/>
        <v/>
      </c>
      <c r="P141" s="344" t="str">
        <f t="shared" si="20"/>
        <v/>
      </c>
      <c r="Q141" s="195" t="str">
        <f t="shared" si="21"/>
        <v/>
      </c>
    </row>
    <row r="142" spans="1:18" s="195" customFormat="1">
      <c r="A142" s="1108"/>
      <c r="B142" s="2385">
        <v>1</v>
      </c>
      <c r="C142" s="2386" t="s">
        <v>316</v>
      </c>
      <c r="D142" s="2387"/>
      <c r="E142" s="1892"/>
      <c r="F142" s="1901"/>
      <c r="G142" s="1866"/>
      <c r="H142" s="1866"/>
      <c r="I142" s="1866"/>
      <c r="J142" s="892"/>
      <c r="K142" s="889">
        <f t="shared" si="27"/>
        <v>1</v>
      </c>
      <c r="L142" s="888">
        <v>1</v>
      </c>
      <c r="M142" s="889">
        <f t="shared" si="28"/>
        <v>1</v>
      </c>
      <c r="N142" s="890" t="str">
        <f t="shared" si="29"/>
        <v/>
      </c>
      <c r="O142" s="344" t="str">
        <f t="shared" si="19"/>
        <v/>
      </c>
      <c r="P142" s="344" t="str">
        <f t="shared" si="20"/>
        <v/>
      </c>
      <c r="Q142" s="195" t="str">
        <f t="shared" si="21"/>
        <v/>
      </c>
    </row>
    <row r="143" spans="1:18" s="195" customFormat="1" ht="12.75" customHeight="1">
      <c r="A143" s="1108"/>
      <c r="B143" s="895"/>
      <c r="C143" s="337" t="s">
        <v>729</v>
      </c>
      <c r="D143" s="182"/>
      <c r="E143" s="1874"/>
      <c r="F143" s="1875"/>
      <c r="G143" s="1866"/>
      <c r="H143" s="1866"/>
      <c r="I143" s="1866"/>
      <c r="J143" s="892"/>
      <c r="K143" s="889">
        <f t="shared" si="27"/>
        <v>1</v>
      </c>
      <c r="L143" s="888">
        <v>1</v>
      </c>
      <c r="M143" s="889">
        <f t="shared" si="28"/>
        <v>1</v>
      </c>
      <c r="N143" s="890" t="str">
        <f t="shared" si="29"/>
        <v/>
      </c>
      <c r="O143" s="344" t="str">
        <f t="shared" ref="O143:O206" si="30">IF(D143&lt;&gt;"",IF(VLOOKUP(D143,base_datos,7,FALSE)&lt;&gt;"",VLOOKUP(D143,base_datos,7,FALSE),""),"")</f>
        <v/>
      </c>
      <c r="P143" s="344" t="str">
        <f t="shared" ref="P143:P206" si="31">IF(O143&lt;&gt;"",VLOOKUP(D143,base_datos,6,FALSE),"")</f>
        <v/>
      </c>
      <c r="Q143" s="195" t="str">
        <f t="shared" ref="Q143:Q206" si="32">IF(O143&lt;&gt;"",D143,"")</f>
        <v/>
      </c>
    </row>
    <row r="144" spans="1:18" s="1479" customFormat="1" ht="12.75" customHeight="1">
      <c r="A144" s="1128"/>
      <c r="B144" s="2402">
        <v>1</v>
      </c>
      <c r="C144" s="1417" t="s">
        <v>9500</v>
      </c>
      <c r="D144" s="1900"/>
      <c r="E144" s="1892">
        <v>200</v>
      </c>
      <c r="F144" s="1901">
        <f>+E144*B144</f>
        <v>200</v>
      </c>
      <c r="G144" s="1902"/>
      <c r="H144" s="1902"/>
      <c r="I144" s="1902"/>
      <c r="J144" s="1414"/>
      <c r="K144" s="889">
        <f t="shared" si="27"/>
        <v>1</v>
      </c>
      <c r="L144" s="888">
        <v>1</v>
      </c>
      <c r="M144" s="889">
        <f t="shared" si="28"/>
        <v>1</v>
      </c>
      <c r="N144" s="890" t="str">
        <f t="shared" si="29"/>
        <v/>
      </c>
      <c r="O144" s="344" t="str">
        <f t="shared" si="30"/>
        <v/>
      </c>
      <c r="P144" s="344" t="str">
        <f t="shared" si="31"/>
        <v/>
      </c>
      <c r="Q144" s="195" t="str">
        <f t="shared" si="32"/>
        <v/>
      </c>
    </row>
    <row r="145" spans="1:40" s="1088" customFormat="1">
      <c r="A145" s="865"/>
      <c r="B145" s="1085">
        <v>7</v>
      </c>
      <c r="C145" s="904" t="str">
        <f>VLOOKUP(D145,base_datos,6,FALSE)</f>
        <v>Rotulado por circuito.</v>
      </c>
      <c r="D145" s="1881" t="s">
        <v>3210</v>
      </c>
      <c r="E145" s="1892">
        <f>VLOOKUP(D145,base_datos,5,FALSE)</f>
        <v>0.7</v>
      </c>
      <c r="F145" s="1893">
        <f>+E145*B145</f>
        <v>4.8999999999999995</v>
      </c>
      <c r="G145" s="1903"/>
      <c r="H145" s="1903"/>
      <c r="I145" s="1903"/>
      <c r="J145" s="1087"/>
      <c r="K145" s="889">
        <f t="shared" si="27"/>
        <v>1</v>
      </c>
      <c r="L145" s="888">
        <v>1</v>
      </c>
      <c r="M145" s="889">
        <f t="shared" si="28"/>
        <v>7</v>
      </c>
      <c r="N145" s="890" t="str">
        <f t="shared" si="29"/>
        <v/>
      </c>
      <c r="O145" s="344" t="str">
        <f t="shared" si="30"/>
        <v/>
      </c>
      <c r="P145" s="344" t="str">
        <f t="shared" si="31"/>
        <v/>
      </c>
      <c r="Q145" s="195" t="str">
        <f t="shared" si="32"/>
        <v/>
      </c>
    </row>
    <row r="146" spans="1:40" s="1088" customFormat="1">
      <c r="A146" s="865"/>
      <c r="B146" s="1085">
        <v>1</v>
      </c>
      <c r="C146" s="904" t="str">
        <f>VLOOKUP(D146,base_datos,6,FALSE)</f>
        <v>Rotulado para TAG - tablero de distribución.</v>
      </c>
      <c r="D146" s="1881" t="s">
        <v>13942</v>
      </c>
      <c r="E146" s="1892">
        <f>VLOOKUP(D146,base_datos,5,FALSE)</f>
        <v>1.5</v>
      </c>
      <c r="F146" s="1893">
        <f>+E146*B146</f>
        <v>1.5</v>
      </c>
      <c r="G146" s="1903"/>
      <c r="H146" s="1903"/>
      <c r="I146" s="1903"/>
      <c r="J146" s="1087"/>
      <c r="K146" s="889">
        <f t="shared" si="27"/>
        <v>1</v>
      </c>
      <c r="L146" s="888">
        <v>1</v>
      </c>
      <c r="M146" s="889">
        <f t="shared" si="28"/>
        <v>1</v>
      </c>
      <c r="N146" s="890" t="str">
        <f t="shared" si="29"/>
        <v/>
      </c>
      <c r="O146" s="344" t="str">
        <f t="shared" si="30"/>
        <v/>
      </c>
      <c r="P146" s="344" t="str">
        <f t="shared" si="31"/>
        <v/>
      </c>
      <c r="Q146" s="195" t="str">
        <f t="shared" si="32"/>
        <v/>
      </c>
    </row>
    <row r="147" spans="1:40" s="1479" customFormat="1">
      <c r="A147" s="1128"/>
      <c r="B147" s="1412">
        <v>1</v>
      </c>
      <c r="C147" s="1417" t="s">
        <v>5302</v>
      </c>
      <c r="D147" s="1900"/>
      <c r="E147" s="1901">
        <f>E148*15%</f>
        <v>52.5</v>
      </c>
      <c r="F147" s="1901">
        <f>+E147*B147</f>
        <v>52.5</v>
      </c>
      <c r="G147" s="1902"/>
      <c r="H147" s="1902"/>
      <c r="I147" s="1902"/>
      <c r="J147" s="1414"/>
      <c r="K147" s="889">
        <f>K145</f>
        <v>1</v>
      </c>
      <c r="L147" s="888">
        <v>1</v>
      </c>
      <c r="M147" s="889">
        <f t="shared" si="28"/>
        <v>1</v>
      </c>
      <c r="N147" s="890" t="str">
        <f t="shared" si="29"/>
        <v/>
      </c>
      <c r="O147" s="344" t="str">
        <f t="shared" si="30"/>
        <v/>
      </c>
      <c r="P147" s="344" t="str">
        <f t="shared" si="31"/>
        <v/>
      </c>
      <c r="Q147" s="195" t="str">
        <f t="shared" si="32"/>
        <v/>
      </c>
    </row>
    <row r="148" spans="1:40" s="1479" customFormat="1">
      <c r="A148" s="1128"/>
      <c r="B148" s="1412">
        <v>1</v>
      </c>
      <c r="C148" s="1417" t="s">
        <v>14166</v>
      </c>
      <c r="D148" s="1900"/>
      <c r="E148" s="1901">
        <v>350</v>
      </c>
      <c r="F148" s="1901">
        <f>+E148*B148</f>
        <v>350</v>
      </c>
      <c r="G148" s="1902"/>
      <c r="H148" s="1902"/>
      <c r="I148" s="1902"/>
      <c r="J148" s="1414"/>
      <c r="K148" s="889">
        <f>K146</f>
        <v>1</v>
      </c>
      <c r="L148" s="888">
        <v>1</v>
      </c>
      <c r="M148" s="889">
        <f t="shared" si="28"/>
        <v>1</v>
      </c>
      <c r="N148" s="890" t="str">
        <f t="shared" si="29"/>
        <v/>
      </c>
      <c r="O148" s="344" t="str">
        <f t="shared" si="30"/>
        <v/>
      </c>
      <c r="P148" s="344" t="str">
        <f t="shared" si="31"/>
        <v/>
      </c>
      <c r="Q148" s="195" t="str">
        <f t="shared" si="32"/>
        <v/>
      </c>
    </row>
    <row r="149" spans="1:40" s="1746" customFormat="1" ht="13.5" thickBot="1">
      <c r="A149" s="2409"/>
      <c r="B149" s="2403"/>
      <c r="C149" s="1909"/>
      <c r="D149" s="2404"/>
      <c r="E149" s="1904"/>
      <c r="F149" s="1904"/>
      <c r="G149" s="2405"/>
      <c r="H149" s="2405"/>
      <c r="I149" s="2405"/>
      <c r="J149" s="1910"/>
      <c r="K149" s="1119"/>
      <c r="L149" s="2406"/>
      <c r="M149" s="2407"/>
      <c r="N149" s="890" t="str">
        <f t="shared" si="29"/>
        <v/>
      </c>
      <c r="O149" s="344" t="str">
        <f t="shared" si="30"/>
        <v/>
      </c>
      <c r="P149" s="344" t="str">
        <f t="shared" si="31"/>
        <v/>
      </c>
      <c r="Q149" s="195" t="str">
        <f t="shared" si="32"/>
        <v/>
      </c>
      <c r="R149" s="195"/>
    </row>
    <row r="150" spans="1:40" s="195" customFormat="1" ht="13.5" thickBot="1">
      <c r="A150" s="1856">
        <v>3</v>
      </c>
      <c r="B150" s="1857">
        <v>1</v>
      </c>
      <c r="C150" s="1411" t="s">
        <v>14167</v>
      </c>
      <c r="D150" s="1858"/>
      <c r="E150" s="1859"/>
      <c r="F150" s="1859"/>
      <c r="G150" s="1860">
        <f>SUM(F152:F208)</f>
        <v>3855.92173</v>
      </c>
      <c r="H150" s="1860">
        <f>ROUNDUP(G150*(1-$D$6),0)</f>
        <v>2892</v>
      </c>
      <c r="I150" s="1860">
        <f>ROUNDUP(H150*$D$5,0)</f>
        <v>9833</v>
      </c>
      <c r="J150" s="1014">
        <f>+I150*B150</f>
        <v>9833</v>
      </c>
      <c r="K150" s="1861">
        <f>B150</f>
        <v>1</v>
      </c>
      <c r="L150" s="888"/>
      <c r="M150" s="889"/>
      <c r="N150" s="890" t="str">
        <f t="shared" si="29"/>
        <v/>
      </c>
      <c r="O150" s="344" t="str">
        <f t="shared" si="30"/>
        <v/>
      </c>
      <c r="P150" s="344" t="str">
        <f t="shared" si="31"/>
        <v/>
      </c>
      <c r="Q150" s="195" t="str">
        <f t="shared" si="32"/>
        <v/>
      </c>
    </row>
    <row r="151" spans="1:40" s="195" customFormat="1">
      <c r="A151" s="852" t="s">
        <v>3207</v>
      </c>
      <c r="B151" s="1862"/>
      <c r="C151" s="1863"/>
      <c r="D151" s="1864"/>
      <c r="E151" s="1865"/>
      <c r="F151" s="1865"/>
      <c r="G151" s="1866"/>
      <c r="H151" s="1866"/>
      <c r="I151" s="1866"/>
      <c r="J151" s="1022"/>
      <c r="K151" s="889">
        <f>K150</f>
        <v>1</v>
      </c>
      <c r="L151" s="888">
        <v>1</v>
      </c>
      <c r="M151" s="889">
        <f>IF(B151="",1,B151)</f>
        <v>1</v>
      </c>
      <c r="N151" s="890" t="str">
        <f t="shared" si="29"/>
        <v/>
      </c>
      <c r="O151" s="344" t="str">
        <f t="shared" si="30"/>
        <v/>
      </c>
      <c r="P151" s="344" t="str">
        <f t="shared" si="31"/>
        <v/>
      </c>
      <c r="Q151" s="195" t="str">
        <f t="shared" si="32"/>
        <v/>
      </c>
    </row>
    <row r="152" spans="1:40" s="195" customFormat="1">
      <c r="A152" s="856" t="s">
        <v>4059</v>
      </c>
      <c r="B152" s="1867"/>
      <c r="C152" s="1419" t="s">
        <v>3301</v>
      </c>
      <c r="D152" s="1868"/>
      <c r="E152" s="1865"/>
      <c r="F152" s="1869"/>
      <c r="G152" s="1866"/>
      <c r="H152" s="1866"/>
      <c r="I152" s="1866"/>
      <c r="J152" s="1022"/>
      <c r="K152" s="889">
        <f t="shared" ref="K152:L167" si="33">K151</f>
        <v>1</v>
      </c>
      <c r="L152" s="888">
        <v>1</v>
      </c>
      <c r="M152" s="889">
        <f t="shared" ref="M152:M208" si="34">IF(B152="",1,B152)</f>
        <v>1</v>
      </c>
      <c r="N152" s="890" t="str">
        <f t="shared" si="29"/>
        <v/>
      </c>
      <c r="O152" s="344" t="str">
        <f t="shared" si="30"/>
        <v/>
      </c>
      <c r="P152" s="344" t="str">
        <f t="shared" si="31"/>
        <v/>
      </c>
      <c r="Q152" s="195" t="str">
        <f t="shared" si="32"/>
        <v/>
      </c>
    </row>
    <row r="153" spans="1:40" s="195" customFormat="1">
      <c r="A153" s="856" t="s">
        <v>4321</v>
      </c>
      <c r="B153" s="1122">
        <v>1</v>
      </c>
      <c r="C153" s="857" t="str">
        <f>VLOOKUP(D153,base_datos,6,FALSE)</f>
        <v>ITM Caja Moldeada 3x400A (electrónico [0.4-1.0] In) - T5N400-400A-3P-PR221DS-LS/I - 70kA@230Vac, 36kA@415Vac - marca ABB.</v>
      </c>
      <c r="D153" s="2413" t="s">
        <v>1077</v>
      </c>
      <c r="E153" s="2393">
        <f>VLOOKUP(D153,base_datos,5,FALSE)</f>
        <v>529.64</v>
      </c>
      <c r="F153" s="2391">
        <f>+E153*B153</f>
        <v>529.64</v>
      </c>
      <c r="G153" s="1866"/>
      <c r="H153" s="1866"/>
      <c r="I153" s="1866"/>
      <c r="J153" s="892"/>
      <c r="K153" s="889">
        <f t="shared" si="33"/>
        <v>1</v>
      </c>
      <c r="L153" s="888">
        <v>1</v>
      </c>
      <c r="M153" s="889">
        <f t="shared" si="34"/>
        <v>1</v>
      </c>
      <c r="N153" s="890">
        <f t="shared" si="29"/>
        <v>1</v>
      </c>
      <c r="O153" s="344" t="str">
        <f t="shared" si="30"/>
        <v>1SDA054317R1</v>
      </c>
      <c r="P153" s="344" t="str">
        <f t="shared" si="31"/>
        <v>ITM Caja Moldeada 3x400A (electrónico [0.4-1.0] In) - T5N400-400A-3P-PR221DS-LS/I - 70kA@230Vac, 36kA@415Vac - marca ABB.</v>
      </c>
      <c r="Q153" s="195" t="str">
        <f t="shared" si="32"/>
        <v>T5N400-400A-3P-PR221DS-LS/I</v>
      </c>
    </row>
    <row r="154" spans="1:40" s="195" customFormat="1">
      <c r="A154" s="856" t="s">
        <v>3725</v>
      </c>
      <c r="B154" s="1870"/>
      <c r="C154" s="1872" t="s">
        <v>9489</v>
      </c>
      <c r="D154" s="2408"/>
      <c r="E154" s="1869"/>
      <c r="F154" s="1869"/>
      <c r="G154" s="1866"/>
      <c r="H154" s="1866"/>
      <c r="I154" s="1866"/>
      <c r="J154" s="892"/>
      <c r="K154" s="889">
        <f t="shared" si="33"/>
        <v>1</v>
      </c>
      <c r="L154" s="888">
        <v>1</v>
      </c>
      <c r="M154" s="889">
        <f t="shared" si="34"/>
        <v>1</v>
      </c>
      <c r="N154" s="890" t="str">
        <f t="shared" si="29"/>
        <v/>
      </c>
      <c r="O154" s="344" t="str">
        <f t="shared" si="30"/>
        <v/>
      </c>
      <c r="P154" s="344" t="str">
        <f t="shared" si="31"/>
        <v/>
      </c>
      <c r="Q154" s="195" t="str">
        <f t="shared" si="32"/>
        <v/>
      </c>
    </row>
    <row r="155" spans="1:40" s="1114" customFormat="1">
      <c r="A155" s="856" t="s">
        <v>3726</v>
      </c>
      <c r="B155" s="2417">
        <v>1</v>
      </c>
      <c r="C155" s="2418" t="s">
        <v>6229</v>
      </c>
      <c r="D155" s="1868"/>
      <c r="E155" s="1874"/>
      <c r="F155" s="2389">
        <f>IF(B155&gt;1,SUM(F160:F169)*(B155-1),SUM(F160:F169)*(B155-1)-F158)</f>
        <v>-6.5373900000000003</v>
      </c>
      <c r="G155" s="2419"/>
      <c r="H155" s="2419"/>
      <c r="I155" s="2419"/>
      <c r="J155" s="2342"/>
      <c r="K155" s="889">
        <f t="shared" si="33"/>
        <v>1</v>
      </c>
      <c r="L155" s="1113">
        <f>B155</f>
        <v>1</v>
      </c>
      <c r="M155" s="889">
        <f t="shared" si="34"/>
        <v>1</v>
      </c>
      <c r="N155" s="890" t="str">
        <f t="shared" si="29"/>
        <v/>
      </c>
      <c r="O155" s="344" t="str">
        <f t="shared" si="30"/>
        <v/>
      </c>
      <c r="P155" s="344" t="str">
        <f t="shared" si="31"/>
        <v/>
      </c>
      <c r="Q155" s="195" t="str">
        <f t="shared" si="32"/>
        <v/>
      </c>
      <c r="R155" s="2420"/>
      <c r="S155" s="2420"/>
      <c r="T155" s="2420"/>
      <c r="U155" s="2420"/>
      <c r="V155" s="2420"/>
      <c r="W155" s="2420"/>
      <c r="X155" s="2420"/>
      <c r="Y155" s="2420"/>
      <c r="Z155" s="2420"/>
      <c r="AA155" s="2420"/>
      <c r="AB155" s="2420"/>
      <c r="AC155" s="2420"/>
      <c r="AD155" s="2420"/>
      <c r="AE155" s="2420"/>
      <c r="AF155" s="2420"/>
      <c r="AG155" s="2420"/>
      <c r="AH155" s="2420"/>
      <c r="AI155" s="2420"/>
      <c r="AJ155" s="2420"/>
      <c r="AK155" s="2420"/>
      <c r="AL155" s="2420"/>
      <c r="AM155" s="2420"/>
      <c r="AN155" s="2420"/>
    </row>
    <row r="156" spans="1:40" s="1111" customFormat="1">
      <c r="A156" s="1093"/>
      <c r="B156" s="2384">
        <v>1</v>
      </c>
      <c r="C156" s="2421" t="s">
        <v>3536</v>
      </c>
      <c r="D156" s="1879"/>
      <c r="E156" s="1880"/>
      <c r="F156" s="2382"/>
      <c r="G156" s="2422"/>
      <c r="H156" s="2422"/>
      <c r="I156" s="2422"/>
      <c r="J156" s="1110"/>
      <c r="K156" s="889">
        <f t="shared" si="33"/>
        <v>1</v>
      </c>
      <c r="L156" s="1116">
        <f>L155</f>
        <v>1</v>
      </c>
      <c r="M156" s="889">
        <f t="shared" si="34"/>
        <v>1</v>
      </c>
      <c r="N156" s="890" t="str">
        <f t="shared" si="29"/>
        <v/>
      </c>
      <c r="O156" s="344" t="str">
        <f t="shared" si="30"/>
        <v/>
      </c>
      <c r="P156" s="344" t="str">
        <f t="shared" si="31"/>
        <v/>
      </c>
      <c r="Q156" s="195" t="str">
        <f t="shared" si="32"/>
        <v/>
      </c>
      <c r="R156" s="2423"/>
      <c r="S156" s="2423"/>
      <c r="T156" s="2423"/>
      <c r="U156" s="2423"/>
      <c r="V156" s="2423"/>
      <c r="W156" s="2423"/>
      <c r="X156" s="2423"/>
      <c r="Y156" s="2423"/>
      <c r="Z156" s="2423"/>
      <c r="AA156" s="2423"/>
      <c r="AB156" s="2423"/>
      <c r="AC156" s="2423"/>
      <c r="AD156" s="2423"/>
      <c r="AE156" s="2423"/>
      <c r="AF156" s="2423"/>
      <c r="AG156" s="2423"/>
      <c r="AH156" s="2423"/>
      <c r="AI156" s="2423"/>
      <c r="AJ156" s="2423"/>
      <c r="AK156" s="2423"/>
      <c r="AL156" s="2423"/>
      <c r="AM156" s="2423"/>
      <c r="AN156" s="2423"/>
    </row>
    <row r="157" spans="1:40" s="344" customFormat="1">
      <c r="A157" s="864"/>
      <c r="B157" s="2400">
        <v>0</v>
      </c>
      <c r="C157" s="2424" t="str">
        <f t="shared" ref="C157:C162" si="35">VLOOKUP(D157,base_datos,6,FALSE)</f>
        <v>Base portafusibles + Fusibles de protección para control.</v>
      </c>
      <c r="D157" s="2401" t="s">
        <v>453</v>
      </c>
      <c r="E157" s="1892">
        <f t="shared" ref="E157:E167" si="36">VLOOKUP(D157,base_datos,5,FALSE)</f>
        <v>6.5373900000000003</v>
      </c>
      <c r="F157" s="1893">
        <f t="shared" ref="F157:F167" si="37">+E157*B157</f>
        <v>0</v>
      </c>
      <c r="G157" s="2425"/>
      <c r="H157" s="2425"/>
      <c r="I157" s="2425"/>
      <c r="J157" s="906"/>
      <c r="K157" s="889">
        <f t="shared" si="33"/>
        <v>1</v>
      </c>
      <c r="L157" s="1116">
        <f>L156</f>
        <v>1</v>
      </c>
      <c r="M157" s="889">
        <f t="shared" si="34"/>
        <v>0</v>
      </c>
      <c r="N157" s="890" t="str">
        <f t="shared" si="29"/>
        <v/>
      </c>
      <c r="O157" s="344" t="str">
        <f t="shared" si="30"/>
        <v/>
      </c>
      <c r="P157" s="344" t="str">
        <f t="shared" si="31"/>
        <v/>
      </c>
      <c r="Q157" s="195" t="str">
        <f t="shared" si="32"/>
        <v/>
      </c>
      <c r="R157" s="2426"/>
      <c r="S157" s="2426"/>
      <c r="T157" s="2426"/>
      <c r="U157" s="2426"/>
      <c r="V157" s="2426"/>
      <c r="W157" s="2426"/>
      <c r="X157" s="2426"/>
      <c r="Y157" s="2426"/>
      <c r="Z157" s="2426"/>
      <c r="AA157" s="2426"/>
      <c r="AB157" s="2426"/>
      <c r="AC157" s="2426"/>
      <c r="AD157" s="2426"/>
      <c r="AE157" s="2426"/>
      <c r="AF157" s="2426"/>
      <c r="AG157" s="2426"/>
      <c r="AH157" s="2426"/>
      <c r="AI157" s="2426"/>
      <c r="AJ157" s="2426"/>
      <c r="AK157" s="2426"/>
      <c r="AL157" s="2426"/>
      <c r="AM157" s="2426"/>
      <c r="AN157" s="2426"/>
    </row>
    <row r="158" spans="1:40" s="344" customFormat="1">
      <c r="A158" s="1093"/>
      <c r="B158" s="2371">
        <v>1</v>
      </c>
      <c r="C158" s="904" t="str">
        <f t="shared" si="35"/>
        <v>Base portafusibles + Fusibles de protección para control.</v>
      </c>
      <c r="D158" s="1881" t="s">
        <v>453</v>
      </c>
      <c r="E158" s="1892">
        <f t="shared" si="36"/>
        <v>6.5373900000000003</v>
      </c>
      <c r="F158" s="1893">
        <f t="shared" si="37"/>
        <v>6.5373900000000003</v>
      </c>
      <c r="G158" s="2425"/>
      <c r="H158" s="2425"/>
      <c r="I158" s="2425"/>
      <c r="J158" s="906"/>
      <c r="K158" s="889">
        <f t="shared" si="33"/>
        <v>1</v>
      </c>
      <c r="L158" s="1116">
        <f t="shared" si="33"/>
        <v>1</v>
      </c>
      <c r="M158" s="889">
        <f t="shared" si="34"/>
        <v>1</v>
      </c>
      <c r="N158" s="890" t="str">
        <f t="shared" si="29"/>
        <v/>
      </c>
      <c r="O158" s="344" t="str">
        <f t="shared" si="30"/>
        <v/>
      </c>
      <c r="P158" s="344" t="str">
        <f t="shared" si="31"/>
        <v/>
      </c>
      <c r="Q158" s="195" t="str">
        <f t="shared" si="32"/>
        <v/>
      </c>
      <c r="R158" s="2426"/>
      <c r="S158" s="2426"/>
      <c r="T158" s="2426"/>
      <c r="U158" s="2426"/>
      <c r="V158" s="2426"/>
      <c r="W158" s="2426"/>
      <c r="X158" s="2426"/>
      <c r="Y158" s="2426"/>
      <c r="Z158" s="2426"/>
      <c r="AA158" s="2426"/>
      <c r="AB158" s="2426"/>
      <c r="AC158" s="2426"/>
      <c r="AD158" s="2426"/>
      <c r="AE158" s="2426"/>
      <c r="AF158" s="2426"/>
      <c r="AG158" s="2426"/>
      <c r="AH158" s="2426"/>
      <c r="AI158" s="2426"/>
      <c r="AJ158" s="2426"/>
      <c r="AK158" s="2426"/>
      <c r="AL158" s="2426"/>
      <c r="AM158" s="2426"/>
      <c r="AN158" s="2426"/>
    </row>
    <row r="159" spans="1:40" s="344" customFormat="1">
      <c r="A159" s="1123"/>
      <c r="B159" s="2371">
        <v>1</v>
      </c>
      <c r="C159" s="904" t="str">
        <f t="shared" si="35"/>
        <v>Borne 4mm2.</v>
      </c>
      <c r="D159" s="1881" t="s">
        <v>437</v>
      </c>
      <c r="E159" s="1892">
        <f t="shared" si="36"/>
        <v>2.5</v>
      </c>
      <c r="F159" s="1893">
        <f t="shared" si="37"/>
        <v>2.5</v>
      </c>
      <c r="G159" s="2425"/>
      <c r="H159" s="2425"/>
      <c r="I159" s="2425"/>
      <c r="J159" s="906"/>
      <c r="K159" s="889">
        <f t="shared" si="33"/>
        <v>1</v>
      </c>
      <c r="L159" s="1116">
        <f>L158</f>
        <v>1</v>
      </c>
      <c r="M159" s="889">
        <f t="shared" si="34"/>
        <v>1</v>
      </c>
      <c r="N159" s="890" t="str">
        <f t="shared" si="29"/>
        <v/>
      </c>
      <c r="O159" s="344" t="str">
        <f t="shared" si="30"/>
        <v/>
      </c>
      <c r="P159" s="344" t="str">
        <f t="shared" si="31"/>
        <v/>
      </c>
      <c r="Q159" s="195" t="str">
        <f t="shared" si="32"/>
        <v/>
      </c>
      <c r="R159" s="2426"/>
      <c r="S159" s="2426"/>
      <c r="T159" s="2426"/>
      <c r="U159" s="2426"/>
      <c r="V159" s="2426"/>
      <c r="W159" s="2426"/>
      <c r="X159" s="2426"/>
      <c r="Y159" s="2426"/>
      <c r="Z159" s="2426"/>
      <c r="AA159" s="2426"/>
      <c r="AB159" s="2426"/>
      <c r="AC159" s="2426"/>
      <c r="AD159" s="2426"/>
      <c r="AE159" s="2426"/>
      <c r="AF159" s="2426"/>
      <c r="AG159" s="2426"/>
      <c r="AH159" s="2426"/>
      <c r="AI159" s="2426"/>
      <c r="AJ159" s="2426"/>
      <c r="AK159" s="2426"/>
      <c r="AL159" s="2426"/>
      <c r="AM159" s="2426"/>
      <c r="AN159" s="2426"/>
    </row>
    <row r="160" spans="1:40" s="344" customFormat="1">
      <c r="A160" s="865"/>
      <c r="B160" s="2400">
        <v>1</v>
      </c>
      <c r="C160" s="904" t="str">
        <f t="shared" si="35"/>
        <v>Base portafusibles + Fusibles de protección para control.</v>
      </c>
      <c r="D160" s="1881" t="s">
        <v>453</v>
      </c>
      <c r="E160" s="1892">
        <f t="shared" si="36"/>
        <v>6.5373900000000003</v>
      </c>
      <c r="F160" s="2428">
        <f t="shared" si="37"/>
        <v>6.5373900000000003</v>
      </c>
      <c r="G160" s="2425"/>
      <c r="H160" s="2425"/>
      <c r="I160" s="2425"/>
      <c r="J160" s="906"/>
      <c r="K160" s="889">
        <f t="shared" si="33"/>
        <v>1</v>
      </c>
      <c r="L160" s="1116">
        <f>L159</f>
        <v>1</v>
      </c>
      <c r="M160" s="889">
        <f t="shared" si="34"/>
        <v>1</v>
      </c>
      <c r="N160" s="890" t="str">
        <f t="shared" si="29"/>
        <v/>
      </c>
      <c r="O160" s="344" t="str">
        <f t="shared" si="30"/>
        <v/>
      </c>
      <c r="P160" s="344" t="str">
        <f t="shared" si="31"/>
        <v/>
      </c>
      <c r="Q160" s="195" t="str">
        <f t="shared" si="32"/>
        <v/>
      </c>
      <c r="R160" s="2426"/>
      <c r="S160" s="2426"/>
      <c r="T160" s="2426"/>
      <c r="U160" s="2426"/>
      <c r="V160" s="2426"/>
      <c r="W160" s="2426"/>
      <c r="X160" s="2426"/>
      <c r="Y160" s="2426"/>
      <c r="Z160" s="2426"/>
      <c r="AA160" s="2426"/>
      <c r="AB160" s="2426"/>
      <c r="AC160" s="2426"/>
      <c r="AD160" s="2426"/>
      <c r="AE160" s="2426"/>
      <c r="AF160" s="2426"/>
      <c r="AG160" s="2426"/>
      <c r="AH160" s="2426"/>
      <c r="AI160" s="2426"/>
      <c r="AJ160" s="2426"/>
      <c r="AK160" s="2426"/>
      <c r="AL160" s="2426"/>
      <c r="AM160" s="2426"/>
      <c r="AN160" s="2426"/>
    </row>
    <row r="161" spans="1:40" s="1114" customFormat="1">
      <c r="A161" s="1142"/>
      <c r="B161" s="2429">
        <v>1</v>
      </c>
      <c r="C161" s="2430" t="str">
        <f t="shared" si="35"/>
        <v>Mando motor (MOE) - T4-T5 - 220-250V AC/DC - (YM+YO+YC) - marca ABB.</v>
      </c>
      <c r="D161" s="2431" t="s">
        <v>1236</v>
      </c>
      <c r="E161" s="2432">
        <f t="shared" si="36"/>
        <v>603.65</v>
      </c>
      <c r="F161" s="2433">
        <f t="shared" si="37"/>
        <v>603.65</v>
      </c>
      <c r="G161" s="2419"/>
      <c r="H161" s="2419"/>
      <c r="I161" s="2419"/>
      <c r="J161" s="894"/>
      <c r="K161" s="889">
        <f t="shared" si="33"/>
        <v>1</v>
      </c>
      <c r="L161" s="1116">
        <f>L160</f>
        <v>1</v>
      </c>
      <c r="M161" s="889">
        <f t="shared" si="34"/>
        <v>1</v>
      </c>
      <c r="N161" s="890">
        <f t="shared" si="29"/>
        <v>1</v>
      </c>
      <c r="O161" s="344" t="str">
        <f t="shared" si="30"/>
        <v>1SDA054897R1</v>
      </c>
      <c r="P161" s="344" t="str">
        <f t="shared" si="31"/>
        <v>Mando motor (MOE) - T4-T5 - 220-250V AC/DC - (YM+YO+YC) - marca ABB.</v>
      </c>
      <c r="Q161" s="195" t="str">
        <f t="shared" si="32"/>
        <v>MOE_T4-T5</v>
      </c>
      <c r="R161" s="2420"/>
      <c r="S161" s="2420"/>
      <c r="T161" s="2420"/>
      <c r="U161" s="2420"/>
      <c r="V161" s="2420"/>
      <c r="W161" s="2420"/>
      <c r="X161" s="2420"/>
      <c r="Y161" s="2420"/>
      <c r="Z161" s="2420"/>
      <c r="AA161" s="2420"/>
      <c r="AB161" s="2420"/>
      <c r="AC161" s="2420"/>
      <c r="AD161" s="2420"/>
      <c r="AE161" s="2420"/>
      <c r="AF161" s="2420"/>
      <c r="AG161" s="2420"/>
      <c r="AH161" s="2420"/>
      <c r="AI161" s="2420"/>
      <c r="AJ161" s="2420"/>
      <c r="AK161" s="2420"/>
      <c r="AL161" s="2420"/>
      <c r="AM161" s="2420"/>
      <c r="AN161" s="2420"/>
    </row>
    <row r="162" spans="1:40" s="1114" customFormat="1">
      <c r="A162" s="1142"/>
      <c r="B162" s="2429">
        <v>1</v>
      </c>
      <c r="C162" s="2430" t="str">
        <f t="shared" si="35"/>
        <v>1(Q) contacto conmutado de estado (NA/NC) + 1(SY) contacto por disparo de interruptor - T4-T5-T6 - version no cableada - marca ABB.</v>
      </c>
      <c r="D162" s="2431" t="s">
        <v>1291</v>
      </c>
      <c r="E162" s="2432">
        <f t="shared" si="36"/>
        <v>66.31</v>
      </c>
      <c r="F162" s="2433">
        <f t="shared" si="37"/>
        <v>66.31</v>
      </c>
      <c r="G162" s="2419"/>
      <c r="H162" s="2419"/>
      <c r="I162" s="2419"/>
      <c r="J162" s="894"/>
      <c r="K162" s="889">
        <f t="shared" si="33"/>
        <v>1</v>
      </c>
      <c r="L162" s="1116">
        <f>L160</f>
        <v>1</v>
      </c>
      <c r="M162" s="889">
        <f t="shared" si="34"/>
        <v>1</v>
      </c>
      <c r="N162" s="890">
        <f t="shared" si="29"/>
        <v>1</v>
      </c>
      <c r="O162" s="344" t="str">
        <f t="shared" si="30"/>
        <v>1SDA051368R1</v>
      </c>
      <c r="P162" s="344" t="str">
        <f t="shared" si="31"/>
        <v>1(Q) contacto conmutado de estado (NA/NC) + 1(SY) contacto por disparo de interruptor - T4-T5-T6 - version no cableada - marca ABB.</v>
      </c>
      <c r="Q162" s="195" t="str">
        <f t="shared" si="32"/>
        <v>1Q+1SY_T4-T5-T6</v>
      </c>
      <c r="R162" s="2420"/>
      <c r="S162" s="2420"/>
      <c r="T162" s="2420"/>
      <c r="U162" s="2420"/>
      <c r="V162" s="2420"/>
      <c r="W162" s="2420"/>
      <c r="X162" s="2420"/>
      <c r="Y162" s="2420"/>
      <c r="Z162" s="2420"/>
      <c r="AA162" s="2420"/>
      <c r="AB162" s="2420"/>
      <c r="AC162" s="2420"/>
      <c r="AD162" s="2420"/>
      <c r="AE162" s="2420"/>
      <c r="AF162" s="2420"/>
      <c r="AG162" s="2420"/>
      <c r="AH162" s="2420"/>
      <c r="AI162" s="2420"/>
      <c r="AJ162" s="2420"/>
      <c r="AK162" s="2420"/>
      <c r="AL162" s="2420"/>
      <c r="AM162" s="2420"/>
      <c r="AN162" s="2420"/>
    </row>
    <row r="163" spans="1:40" s="1114" customFormat="1">
      <c r="A163" s="865"/>
      <c r="B163" s="2429">
        <v>1</v>
      </c>
      <c r="C163" s="2430" t="s">
        <v>14158</v>
      </c>
      <c r="D163" s="2431" t="s">
        <v>1871</v>
      </c>
      <c r="E163" s="2432">
        <f t="shared" si="36"/>
        <v>15</v>
      </c>
      <c r="F163" s="2433">
        <f t="shared" si="37"/>
        <v>15</v>
      </c>
      <c r="G163" s="2419"/>
      <c r="H163" s="2419"/>
      <c r="I163" s="2419"/>
      <c r="J163" s="894"/>
      <c r="K163" s="889">
        <f t="shared" si="33"/>
        <v>1</v>
      </c>
      <c r="L163" s="1116">
        <f>L161</f>
        <v>1</v>
      </c>
      <c r="M163" s="889">
        <f t="shared" si="34"/>
        <v>1</v>
      </c>
      <c r="N163" s="890" t="str">
        <f t="shared" si="29"/>
        <v/>
      </c>
      <c r="O163" s="344" t="str">
        <f t="shared" si="30"/>
        <v/>
      </c>
      <c r="P163" s="344" t="str">
        <f t="shared" si="31"/>
        <v/>
      </c>
      <c r="Q163" s="195" t="str">
        <f t="shared" si="32"/>
        <v/>
      </c>
      <c r="R163" s="2420"/>
      <c r="S163" s="2420"/>
      <c r="T163" s="2420"/>
      <c r="U163" s="2420"/>
      <c r="V163" s="2420"/>
      <c r="W163" s="2420"/>
      <c r="X163" s="2420"/>
      <c r="Y163" s="2420"/>
      <c r="Z163" s="2420"/>
      <c r="AA163" s="2420"/>
      <c r="AB163" s="2420"/>
      <c r="AC163" s="2420"/>
      <c r="AD163" s="2420"/>
      <c r="AE163" s="2420"/>
      <c r="AF163" s="2420"/>
      <c r="AG163" s="2420"/>
      <c r="AH163" s="2420"/>
      <c r="AI163" s="2420"/>
      <c r="AJ163" s="2420"/>
      <c r="AK163" s="2420"/>
      <c r="AL163" s="2420"/>
      <c r="AM163" s="2420"/>
      <c r="AN163" s="2420"/>
    </row>
    <row r="164" spans="1:40" s="1114" customFormat="1">
      <c r="A164" s="865"/>
      <c r="B164" s="2429">
        <v>1</v>
      </c>
      <c r="C164" s="2430" t="s">
        <v>14159</v>
      </c>
      <c r="D164" s="2431" t="s">
        <v>1872</v>
      </c>
      <c r="E164" s="2432">
        <f t="shared" si="36"/>
        <v>15</v>
      </c>
      <c r="F164" s="2433">
        <f t="shared" si="37"/>
        <v>15</v>
      </c>
      <c r="G164" s="2419"/>
      <c r="H164" s="2419"/>
      <c r="I164" s="2419"/>
      <c r="J164" s="894"/>
      <c r="K164" s="889">
        <f t="shared" si="33"/>
        <v>1</v>
      </c>
      <c r="L164" s="1116">
        <f>L165</f>
        <v>1</v>
      </c>
      <c r="M164" s="889">
        <f t="shared" si="34"/>
        <v>1</v>
      </c>
      <c r="N164" s="890" t="str">
        <f t="shared" si="29"/>
        <v/>
      </c>
      <c r="O164" s="344" t="str">
        <f t="shared" si="30"/>
        <v/>
      </c>
      <c r="P164" s="344" t="str">
        <f t="shared" si="31"/>
        <v/>
      </c>
      <c r="Q164" s="195" t="str">
        <f t="shared" si="32"/>
        <v/>
      </c>
      <c r="R164" s="2420"/>
      <c r="S164" s="2420"/>
      <c r="T164" s="2420"/>
      <c r="U164" s="2420"/>
      <c r="V164" s="2420"/>
      <c r="W164" s="2420"/>
      <c r="X164" s="2420"/>
      <c r="Y164" s="2420"/>
      <c r="Z164" s="2420"/>
      <c r="AA164" s="2420"/>
      <c r="AB164" s="2420"/>
      <c r="AC164" s="2420"/>
      <c r="AD164" s="2420"/>
      <c r="AE164" s="2420"/>
      <c r="AF164" s="2420"/>
      <c r="AG164" s="2420"/>
      <c r="AH164" s="2420"/>
      <c r="AI164" s="2420"/>
      <c r="AJ164" s="2420"/>
      <c r="AK164" s="2420"/>
      <c r="AL164" s="2420"/>
      <c r="AM164" s="2420"/>
      <c r="AN164" s="2420"/>
    </row>
    <row r="165" spans="1:40" s="1114" customFormat="1">
      <c r="A165" s="865"/>
      <c r="B165" s="2429">
        <v>1</v>
      </c>
      <c r="C165" s="2430" t="str">
        <f t="shared" ref="C165:C167" si="38">VLOOKUP(D165,base_datos,6,FALSE)</f>
        <v>Pulsador doble Start/Stop (Rojo/Verde) sin iluminación + contacto 1NA+1NC.</v>
      </c>
      <c r="D165" s="2431" t="s">
        <v>8359</v>
      </c>
      <c r="E165" s="2432">
        <f t="shared" si="36"/>
        <v>38</v>
      </c>
      <c r="F165" s="2433">
        <f t="shared" si="37"/>
        <v>38</v>
      </c>
      <c r="G165" s="2419"/>
      <c r="H165" s="2419"/>
      <c r="I165" s="2419"/>
      <c r="J165" s="894"/>
      <c r="K165" s="889">
        <f t="shared" si="33"/>
        <v>1</v>
      </c>
      <c r="L165" s="1116">
        <f>L158</f>
        <v>1</v>
      </c>
      <c r="M165" s="889">
        <f t="shared" si="34"/>
        <v>1</v>
      </c>
      <c r="N165" s="890" t="str">
        <f t="shared" si="29"/>
        <v/>
      </c>
      <c r="O165" s="344" t="str">
        <f t="shared" si="30"/>
        <v/>
      </c>
      <c r="P165" s="344" t="str">
        <f t="shared" si="31"/>
        <v/>
      </c>
      <c r="Q165" s="195" t="str">
        <f t="shared" si="32"/>
        <v/>
      </c>
      <c r="R165" s="2420"/>
      <c r="S165" s="2420"/>
      <c r="T165" s="2420"/>
      <c r="U165" s="2420"/>
      <c r="V165" s="2420"/>
      <c r="W165" s="2420"/>
      <c r="X165" s="2420"/>
      <c r="Y165" s="2420"/>
      <c r="Z165" s="2420"/>
      <c r="AA165" s="2420"/>
      <c r="AB165" s="2420"/>
      <c r="AC165" s="2420"/>
      <c r="AD165" s="2420"/>
      <c r="AE165" s="2420"/>
      <c r="AF165" s="2420"/>
      <c r="AG165" s="2420"/>
      <c r="AH165" s="2420"/>
      <c r="AI165" s="2420"/>
      <c r="AJ165" s="2420"/>
      <c r="AK165" s="2420"/>
      <c r="AL165" s="2420"/>
      <c r="AM165" s="2420"/>
      <c r="AN165" s="2420"/>
    </row>
    <row r="166" spans="1:40" s="1114" customFormat="1">
      <c r="A166" s="856"/>
      <c r="B166" s="2429">
        <v>1</v>
      </c>
      <c r="C166" s="2430" t="str">
        <f t="shared" si="38"/>
        <v>Selector tres posiciones "M-0-A" o "1-0-2".</v>
      </c>
      <c r="D166" s="2431" t="s">
        <v>446</v>
      </c>
      <c r="E166" s="2432">
        <f t="shared" si="36"/>
        <v>28</v>
      </c>
      <c r="F166" s="2433">
        <f t="shared" si="37"/>
        <v>28</v>
      </c>
      <c r="G166" s="2419"/>
      <c r="H166" s="2419"/>
      <c r="I166" s="2419"/>
      <c r="J166" s="894"/>
      <c r="K166" s="889">
        <f t="shared" si="33"/>
        <v>1</v>
      </c>
      <c r="L166" s="1116">
        <f>L159</f>
        <v>1</v>
      </c>
      <c r="M166" s="889">
        <f t="shared" si="34"/>
        <v>1</v>
      </c>
      <c r="N166" s="890" t="str">
        <f t="shared" si="29"/>
        <v/>
      </c>
      <c r="O166" s="344" t="str">
        <f t="shared" si="30"/>
        <v/>
      </c>
      <c r="P166" s="344" t="str">
        <f t="shared" si="31"/>
        <v/>
      </c>
      <c r="Q166" s="195" t="str">
        <f t="shared" si="32"/>
        <v/>
      </c>
      <c r="R166" s="2420"/>
      <c r="S166" s="2420"/>
      <c r="T166" s="2420"/>
      <c r="U166" s="2420"/>
      <c r="V166" s="2420"/>
      <c r="W166" s="2420"/>
      <c r="X166" s="2420"/>
      <c r="Y166" s="2420"/>
      <c r="Z166" s="2420"/>
      <c r="AA166" s="2420"/>
      <c r="AB166" s="2420"/>
      <c r="AC166" s="2420"/>
      <c r="AD166" s="2420"/>
      <c r="AE166" s="2420"/>
      <c r="AF166" s="2420"/>
      <c r="AG166" s="2420"/>
      <c r="AH166" s="2420"/>
      <c r="AI166" s="2420"/>
      <c r="AJ166" s="2420"/>
      <c r="AK166" s="2420"/>
      <c r="AL166" s="2420"/>
      <c r="AM166" s="2420"/>
      <c r="AN166" s="2420"/>
    </row>
    <row r="167" spans="1:40" s="1114" customFormat="1">
      <c r="A167" s="856"/>
      <c r="B167" s="2429">
        <v>2</v>
      </c>
      <c r="C167" s="2430" t="str">
        <f t="shared" si="38"/>
        <v>Rele auxiliar enchufable +4NA/NC (D2PR4B + base D2PA6), 220Vac - marca EATON.</v>
      </c>
      <c r="D167" s="2431" t="s">
        <v>772</v>
      </c>
      <c r="E167" s="2432">
        <f t="shared" si="36"/>
        <v>27</v>
      </c>
      <c r="F167" s="2433">
        <f t="shared" si="37"/>
        <v>54</v>
      </c>
      <c r="G167" s="2419"/>
      <c r="H167" s="2419"/>
      <c r="I167" s="2419"/>
      <c r="J167" s="894"/>
      <c r="K167" s="889">
        <f t="shared" si="33"/>
        <v>1</v>
      </c>
      <c r="L167" s="1116">
        <f>L160</f>
        <v>1</v>
      </c>
      <c r="M167" s="889">
        <f t="shared" si="34"/>
        <v>2</v>
      </c>
      <c r="N167" s="890">
        <f t="shared" si="29"/>
        <v>2</v>
      </c>
      <c r="O167" s="344" t="str">
        <f t="shared" si="30"/>
        <v>D2PR4B+D2PA6</v>
      </c>
      <c r="P167" s="344" t="str">
        <f t="shared" si="31"/>
        <v>Rele auxiliar enchufable +4NA/NC (D2PR4B + base D2PA6), 220Vac - marca EATON.</v>
      </c>
      <c r="Q167" s="195" t="str">
        <f t="shared" si="32"/>
        <v>D2PR4B+D2PA6</v>
      </c>
      <c r="R167" s="2420"/>
      <c r="S167" s="2420"/>
      <c r="T167" s="2420"/>
      <c r="U167" s="2420"/>
      <c r="V167" s="2420"/>
      <c r="W167" s="2420"/>
      <c r="X167" s="2420"/>
      <c r="Y167" s="2420"/>
      <c r="Z167" s="2420"/>
      <c r="AA167" s="2420"/>
      <c r="AB167" s="2420"/>
      <c r="AC167" s="2420"/>
      <c r="AD167" s="2420"/>
      <c r="AE167" s="2420"/>
      <c r="AF167" s="2420"/>
      <c r="AG167" s="2420"/>
      <c r="AH167" s="2420"/>
      <c r="AI167" s="2420"/>
      <c r="AJ167" s="2420"/>
      <c r="AK167" s="2420"/>
      <c r="AL167" s="2420"/>
      <c r="AM167" s="2420"/>
      <c r="AN167" s="2420"/>
    </row>
    <row r="168" spans="1:40" s="1111" customFormat="1">
      <c r="A168" s="2434"/>
      <c r="B168" s="2384">
        <v>1</v>
      </c>
      <c r="C168" s="2421" t="s">
        <v>3537</v>
      </c>
      <c r="D168" s="1879"/>
      <c r="E168" s="1880"/>
      <c r="F168" s="2428"/>
      <c r="G168" s="2422"/>
      <c r="H168" s="2422"/>
      <c r="I168" s="2422"/>
      <c r="J168" s="1110"/>
      <c r="K168" s="889">
        <f t="shared" ref="K168:K183" si="39">K167</f>
        <v>1</v>
      </c>
      <c r="L168" s="1116">
        <v>1</v>
      </c>
      <c r="M168" s="889">
        <f t="shared" si="34"/>
        <v>1</v>
      </c>
      <c r="N168" s="890" t="str">
        <f t="shared" si="29"/>
        <v/>
      </c>
      <c r="O168" s="344" t="str">
        <f t="shared" si="30"/>
        <v/>
      </c>
      <c r="P168" s="344" t="str">
        <f t="shared" si="31"/>
        <v/>
      </c>
      <c r="Q168" s="195" t="str">
        <f t="shared" si="32"/>
        <v/>
      </c>
      <c r="R168" s="2423"/>
      <c r="S168" s="2423"/>
      <c r="T168" s="2423"/>
      <c r="U168" s="2423"/>
      <c r="V168" s="2423"/>
      <c r="W168" s="2423"/>
      <c r="X168" s="2423"/>
      <c r="Y168" s="2423"/>
      <c r="Z168" s="2423"/>
      <c r="AA168" s="2423"/>
      <c r="AB168" s="2423"/>
      <c r="AC168" s="2423"/>
      <c r="AD168" s="2423"/>
      <c r="AE168" s="2423"/>
      <c r="AF168" s="2423"/>
      <c r="AG168" s="2423"/>
      <c r="AH168" s="2423"/>
      <c r="AI168" s="2423"/>
      <c r="AJ168" s="2423"/>
      <c r="AK168" s="2423"/>
      <c r="AL168" s="2423"/>
      <c r="AM168" s="2423"/>
      <c r="AN168" s="2423"/>
    </row>
    <row r="169" spans="1:40" s="344" customFormat="1">
      <c r="A169" s="1093"/>
      <c r="B169" s="2371">
        <f>2*2</f>
        <v>4</v>
      </c>
      <c r="C169" s="904" t="str">
        <f>VLOOKUP(D169,base_datos,6,FALSE)</f>
        <v>Borne 4mm2.</v>
      </c>
      <c r="D169" s="1881" t="s">
        <v>437</v>
      </c>
      <c r="E169" s="1892">
        <f>VLOOKUP(D169,base_datos,5,FALSE)</f>
        <v>2.5</v>
      </c>
      <c r="F169" s="2433">
        <f>+E169*B169</f>
        <v>10</v>
      </c>
      <c r="G169" s="2425"/>
      <c r="H169" s="2425"/>
      <c r="I169" s="2425"/>
      <c r="J169" s="906"/>
      <c r="K169" s="889">
        <f t="shared" si="39"/>
        <v>1</v>
      </c>
      <c r="L169" s="1116">
        <v>1</v>
      </c>
      <c r="M169" s="889">
        <f t="shared" si="34"/>
        <v>4</v>
      </c>
      <c r="N169" s="890" t="str">
        <f t="shared" si="29"/>
        <v/>
      </c>
      <c r="O169" s="344" t="str">
        <f t="shared" si="30"/>
        <v/>
      </c>
      <c r="P169" s="344" t="str">
        <f t="shared" si="31"/>
        <v/>
      </c>
      <c r="Q169" s="195" t="str">
        <f t="shared" si="32"/>
        <v/>
      </c>
      <c r="R169" s="2426"/>
      <c r="S169" s="2426"/>
      <c r="T169" s="2426"/>
      <c r="U169" s="2426"/>
      <c r="V169" s="2426"/>
      <c r="W169" s="2426"/>
      <c r="X169" s="2426"/>
      <c r="Y169" s="2426"/>
      <c r="Z169" s="2426"/>
      <c r="AA169" s="2426"/>
      <c r="AB169" s="2426"/>
      <c r="AC169" s="2426"/>
      <c r="AD169" s="2426"/>
      <c r="AE169" s="2426"/>
      <c r="AF169" s="2426"/>
      <c r="AG169" s="2426"/>
      <c r="AH169" s="2426"/>
      <c r="AI169" s="2426"/>
      <c r="AJ169" s="2426"/>
      <c r="AK169" s="2426"/>
      <c r="AL169" s="2426"/>
      <c r="AM169" s="2426"/>
      <c r="AN169" s="2426"/>
    </row>
    <row r="170" spans="1:40" s="195" customFormat="1">
      <c r="A170" s="856"/>
      <c r="B170" s="1870"/>
      <c r="C170" s="1872" t="s">
        <v>9489</v>
      </c>
      <c r="D170" s="182"/>
      <c r="E170" s="1878"/>
      <c r="F170" s="1878"/>
      <c r="G170" s="1866"/>
      <c r="H170" s="1866"/>
      <c r="I170" s="1866"/>
      <c r="J170" s="892"/>
      <c r="K170" s="889">
        <f t="shared" si="39"/>
        <v>1</v>
      </c>
      <c r="L170" s="888">
        <v>1</v>
      </c>
      <c r="M170" s="889">
        <f t="shared" si="34"/>
        <v>1</v>
      </c>
      <c r="N170" s="890" t="str">
        <f t="shared" si="29"/>
        <v/>
      </c>
      <c r="O170" s="344" t="str">
        <f t="shared" si="30"/>
        <v/>
      </c>
      <c r="P170" s="344" t="str">
        <f t="shared" si="31"/>
        <v/>
      </c>
      <c r="Q170" s="195" t="str">
        <f t="shared" si="32"/>
        <v/>
      </c>
    </row>
    <row r="171" spans="1:40" s="195" customFormat="1">
      <c r="A171" s="1123"/>
      <c r="B171" s="1870"/>
      <c r="C171" s="859" t="s">
        <v>3535</v>
      </c>
      <c r="D171" s="2448"/>
      <c r="E171" s="1869"/>
      <c r="F171" s="1869"/>
      <c r="G171" s="1866"/>
      <c r="H171" s="1866"/>
      <c r="I171" s="1866"/>
      <c r="J171" s="892"/>
      <c r="K171" s="889">
        <f t="shared" si="39"/>
        <v>1</v>
      </c>
      <c r="L171" s="888">
        <v>1</v>
      </c>
      <c r="M171" s="889">
        <f t="shared" si="34"/>
        <v>1</v>
      </c>
      <c r="N171" s="890" t="str">
        <f t="shared" si="29"/>
        <v/>
      </c>
      <c r="O171" s="344" t="str">
        <f t="shared" si="30"/>
        <v/>
      </c>
      <c r="P171" s="344" t="str">
        <f t="shared" si="31"/>
        <v/>
      </c>
      <c r="Q171" s="195" t="str">
        <f t="shared" si="32"/>
        <v/>
      </c>
    </row>
    <row r="172" spans="1:40" s="195" customFormat="1">
      <c r="A172" s="863"/>
      <c r="B172" s="1870">
        <v>1</v>
      </c>
      <c r="C172" s="857" t="str">
        <f>VLOOKUP(D172,base_datos,6,FALSE)</f>
        <v>ITM Caja Moldeada 3x160A (reg.[0.7-1.0] In) - XT1B160-160A-3P-TMD - 25kA@230Vac, 18kA@415Vac, 18kA@250Vdc - marca ABB.</v>
      </c>
      <c r="D172" s="182" t="s">
        <v>4562</v>
      </c>
      <c r="E172" s="1878">
        <f>VLOOKUP(D172,base_datos,5,FALSE)</f>
        <v>148.13</v>
      </c>
      <c r="F172" s="1869">
        <f>+E172*B172</f>
        <v>148.13</v>
      </c>
      <c r="G172" s="1866"/>
      <c r="H172" s="1866"/>
      <c r="I172" s="1866"/>
      <c r="J172" s="892"/>
      <c r="K172" s="889">
        <f>K170</f>
        <v>1</v>
      </c>
      <c r="L172" s="888">
        <v>1</v>
      </c>
      <c r="M172" s="889">
        <f t="shared" si="34"/>
        <v>1</v>
      </c>
      <c r="N172" s="890">
        <f t="shared" si="29"/>
        <v>1</v>
      </c>
      <c r="O172" s="344" t="str">
        <f t="shared" si="30"/>
        <v>1SDA066809R1</v>
      </c>
      <c r="P172" s="344" t="str">
        <f t="shared" si="31"/>
        <v>ITM Caja Moldeada 3x160A (reg.[0.7-1.0] In) - XT1B160-160A-3P-TMD - 25kA@230Vac, 18kA@415Vac, 18kA@250Vdc - marca ABB.</v>
      </c>
      <c r="Q172" s="195" t="str">
        <f t="shared" si="32"/>
        <v>XT1B160-160A-3P-TMD</v>
      </c>
    </row>
    <row r="173" spans="1:40" s="195" customFormat="1">
      <c r="A173" s="863"/>
      <c r="B173" s="1870">
        <v>2</v>
      </c>
      <c r="C173" s="857" t="str">
        <f>VLOOKUP(D173,base_datos,6,FALSE)</f>
        <v>ITM Caja Moldeada 3x100A (reg.[0.7-1.0] In) - XT1B160-100A-3P-TMD - 25kA@230Vac, 18kA@415Vac, 18kA@250Vdc - marca ABB.</v>
      </c>
      <c r="D173" s="182" t="s">
        <v>4558</v>
      </c>
      <c r="E173" s="1878">
        <f>VLOOKUP(D173,base_datos,5,FALSE)</f>
        <v>105.62</v>
      </c>
      <c r="F173" s="1869">
        <f>+E173*B173</f>
        <v>211.24</v>
      </c>
      <c r="G173" s="1866"/>
      <c r="H173" s="1866"/>
      <c r="I173" s="1866"/>
      <c r="J173" s="892"/>
      <c r="K173" s="889">
        <f>K171</f>
        <v>1</v>
      </c>
      <c r="L173" s="888">
        <v>1</v>
      </c>
      <c r="M173" s="889">
        <f t="shared" si="34"/>
        <v>2</v>
      </c>
      <c r="N173" s="890">
        <f t="shared" si="29"/>
        <v>2</v>
      </c>
      <c r="O173" s="344" t="str">
        <f t="shared" si="30"/>
        <v>1SDA066807R1</v>
      </c>
      <c r="P173" s="344" t="str">
        <f t="shared" si="31"/>
        <v>ITM Caja Moldeada 3x100A (reg.[0.7-1.0] In) - XT1B160-100A-3P-TMD - 25kA@230Vac, 18kA@415Vac, 18kA@250Vdc - marca ABB.</v>
      </c>
      <c r="Q173" s="195" t="str">
        <f t="shared" si="32"/>
        <v>XT1B160-100A-3P-TMD</v>
      </c>
    </row>
    <row r="174" spans="1:40" s="195" customFormat="1">
      <c r="A174" s="1124"/>
      <c r="B174" s="1870">
        <v>2</v>
      </c>
      <c r="C174" s="857" t="str">
        <f>VLOOKUP(D174,base_datos,6,FALSE)</f>
        <v>ITM Caja Moldeada 3x40A - A1B125-40A-3P-TMF - 25kA@230Vac, 18kA@400Vac - marca ABB.</v>
      </c>
      <c r="D174" s="182" t="s">
        <v>1194</v>
      </c>
      <c r="E174" s="1878">
        <f>VLOOKUP(D174,base_datos,5,FALSE)</f>
        <v>72.09</v>
      </c>
      <c r="F174" s="1869">
        <f>+E174*B174</f>
        <v>144.18</v>
      </c>
      <c r="G174" s="1866"/>
      <c r="H174" s="1866"/>
      <c r="I174" s="1866"/>
      <c r="J174" s="892"/>
      <c r="K174" s="889">
        <f t="shared" si="39"/>
        <v>1</v>
      </c>
      <c r="L174" s="888">
        <v>1</v>
      </c>
      <c r="M174" s="889">
        <f t="shared" si="34"/>
        <v>2</v>
      </c>
      <c r="N174" s="890">
        <f t="shared" si="29"/>
        <v>2</v>
      </c>
      <c r="O174" s="344" t="str">
        <f t="shared" si="30"/>
        <v>1SDA066701R1</v>
      </c>
      <c r="P174" s="344" t="str">
        <f t="shared" si="31"/>
        <v>ITM Caja Moldeada 3x40A - A1B125-40A-3P-TMF - 25kA@230Vac, 18kA@400Vac - marca ABB.</v>
      </c>
      <c r="Q174" s="195" t="str">
        <f t="shared" si="32"/>
        <v>A1B125-40A-3P-TMF</v>
      </c>
    </row>
    <row r="175" spans="1:40" s="195" customFormat="1">
      <c r="A175" s="1124"/>
      <c r="B175" s="1870">
        <v>6</v>
      </c>
      <c r="C175" s="857" t="str">
        <f>VLOOKUP(D175,base_datos,6,FALSE)</f>
        <v>ITM Caja Moldeada 3x32A - A1B125-32A-3P-TMF - 25kA@230Vac, 18kA@400Vac - marca ABB.</v>
      </c>
      <c r="D175" s="182" t="s">
        <v>4975</v>
      </c>
      <c r="E175" s="1878">
        <f>VLOOKUP(D175,base_datos,5,FALSE)</f>
        <v>72.09</v>
      </c>
      <c r="F175" s="1869">
        <f>+E175*B175</f>
        <v>432.54</v>
      </c>
      <c r="G175" s="1866"/>
      <c r="H175" s="1866"/>
      <c r="I175" s="1866"/>
      <c r="J175" s="892"/>
      <c r="K175" s="889">
        <f t="shared" si="39"/>
        <v>1</v>
      </c>
      <c r="L175" s="888">
        <v>1</v>
      </c>
      <c r="M175" s="889">
        <f t="shared" si="34"/>
        <v>6</v>
      </c>
      <c r="N175" s="890">
        <f t="shared" si="29"/>
        <v>6</v>
      </c>
      <c r="O175" s="344" t="str">
        <f t="shared" si="30"/>
        <v>1SDA068758R1</v>
      </c>
      <c r="P175" s="344" t="str">
        <f t="shared" si="31"/>
        <v>ITM Caja Moldeada 3x32A - A1B125-32A-3P-TMF - 25kA@230Vac, 18kA@400Vac - marca ABB.</v>
      </c>
      <c r="Q175" s="195" t="str">
        <f t="shared" si="32"/>
        <v>A1B125-32A-3P-TMF</v>
      </c>
    </row>
    <row r="176" spans="1:40" s="195" customFormat="1">
      <c r="A176" s="1093"/>
      <c r="B176" s="1870">
        <v>2</v>
      </c>
      <c r="C176" s="197" t="s">
        <v>9490</v>
      </c>
      <c r="D176" s="2408"/>
      <c r="E176" s="1869">
        <v>15</v>
      </c>
      <c r="F176" s="1869">
        <f>+E176*B176</f>
        <v>30</v>
      </c>
      <c r="G176" s="1866"/>
      <c r="H176" s="1866"/>
      <c r="I176" s="1866"/>
      <c r="J176" s="892"/>
      <c r="K176" s="889">
        <f t="shared" si="39"/>
        <v>1</v>
      </c>
      <c r="L176" s="888">
        <v>1</v>
      </c>
      <c r="M176" s="889">
        <f t="shared" si="34"/>
        <v>2</v>
      </c>
      <c r="N176" s="890" t="str">
        <f t="shared" si="29"/>
        <v/>
      </c>
      <c r="O176" s="344" t="str">
        <f t="shared" si="30"/>
        <v/>
      </c>
      <c r="P176" s="344" t="str">
        <f t="shared" si="31"/>
        <v/>
      </c>
      <c r="Q176" s="195" t="str">
        <f t="shared" si="32"/>
        <v/>
      </c>
    </row>
    <row r="177" spans="1:18" s="195" customFormat="1">
      <c r="A177" s="863"/>
      <c r="B177" s="895"/>
      <c r="C177" s="337" t="s">
        <v>729</v>
      </c>
      <c r="D177" s="2408"/>
      <c r="E177" s="1869"/>
      <c r="F177" s="1875"/>
      <c r="G177" s="891"/>
      <c r="H177" s="891"/>
      <c r="I177" s="891"/>
      <c r="J177" s="892"/>
      <c r="K177" s="889">
        <f t="shared" si="39"/>
        <v>1</v>
      </c>
      <c r="L177" s="888">
        <v>1</v>
      </c>
      <c r="M177" s="889">
        <f t="shared" si="34"/>
        <v>1</v>
      </c>
      <c r="N177" s="890" t="str">
        <f t="shared" si="29"/>
        <v/>
      </c>
      <c r="O177" s="344" t="str">
        <f t="shared" si="30"/>
        <v/>
      </c>
      <c r="P177" s="344" t="str">
        <f t="shared" si="31"/>
        <v/>
      </c>
      <c r="Q177" s="195" t="str">
        <f t="shared" si="32"/>
        <v/>
      </c>
    </row>
    <row r="178" spans="1:18" s="1111" customFormat="1">
      <c r="A178" s="1108"/>
      <c r="B178" s="1415">
        <v>1</v>
      </c>
      <c r="C178" s="2353" t="s">
        <v>5370</v>
      </c>
      <c r="D178" s="2436"/>
      <c r="E178" s="2355"/>
      <c r="F178" s="2355"/>
      <c r="G178" s="1109"/>
      <c r="H178" s="1109"/>
      <c r="I178" s="1109"/>
      <c r="J178" s="1110"/>
      <c r="K178" s="889">
        <f t="shared" si="39"/>
        <v>1</v>
      </c>
      <c r="L178" s="888">
        <v>1</v>
      </c>
      <c r="M178" s="889">
        <f t="shared" si="34"/>
        <v>1</v>
      </c>
      <c r="N178" s="890" t="str">
        <f t="shared" si="29"/>
        <v/>
      </c>
      <c r="O178" s="344" t="str">
        <f t="shared" si="30"/>
        <v/>
      </c>
      <c r="P178" s="344" t="str">
        <f t="shared" si="31"/>
        <v/>
      </c>
      <c r="Q178" s="195" t="str">
        <f t="shared" si="32"/>
        <v/>
      </c>
    </row>
    <row r="179" spans="1:18" s="195" customFormat="1">
      <c r="A179" s="1108"/>
      <c r="B179" s="1085">
        <v>1</v>
      </c>
      <c r="C179" s="904" t="str">
        <f>VLOOKUP(D179,base_datos,6,FALSE)</f>
        <v>FC-CuAl_T5-400A - Terminales - cables de cobre/aluminio hasta 1x300mm2 - 3 terminales (internos).</v>
      </c>
      <c r="D179" s="2437" t="s">
        <v>5146</v>
      </c>
      <c r="E179" s="1882">
        <f>VLOOKUP(D179,base_datos,5,FALSE)</f>
        <v>73.17</v>
      </c>
      <c r="F179" s="1882">
        <f>+E179*B179</f>
        <v>73.17</v>
      </c>
      <c r="G179" s="891"/>
      <c r="H179" s="891"/>
      <c r="I179" s="891"/>
      <c r="J179" s="892"/>
      <c r="K179" s="889">
        <f t="shared" si="39"/>
        <v>1</v>
      </c>
      <c r="L179" s="888">
        <v>1</v>
      </c>
      <c r="M179" s="889">
        <f t="shared" si="34"/>
        <v>1</v>
      </c>
      <c r="N179" s="890">
        <f t="shared" si="29"/>
        <v>1</v>
      </c>
      <c r="O179" s="344" t="str">
        <f t="shared" si="30"/>
        <v>1SDA055024R1</v>
      </c>
      <c r="P179" s="344" t="str">
        <f t="shared" si="31"/>
        <v>FC-CuAl_T5-400A - Terminales - cables de cobre/aluminio hasta 1x300mm2 - 3 terminales (internos).</v>
      </c>
      <c r="Q179" s="195" t="str">
        <f t="shared" si="32"/>
        <v>FC-CuAl_T5_3t_400A</v>
      </c>
    </row>
    <row r="180" spans="1:18" s="195" customFormat="1">
      <c r="A180" s="863"/>
      <c r="B180" s="895"/>
      <c r="C180" s="337" t="s">
        <v>729</v>
      </c>
      <c r="D180" s="2408"/>
      <c r="E180" s="1869"/>
      <c r="F180" s="1875"/>
      <c r="G180" s="891"/>
      <c r="H180" s="891"/>
      <c r="I180" s="891"/>
      <c r="J180" s="892"/>
      <c r="K180" s="889">
        <f t="shared" si="39"/>
        <v>1</v>
      </c>
      <c r="L180" s="888">
        <v>1</v>
      </c>
      <c r="M180" s="889">
        <f t="shared" si="34"/>
        <v>1</v>
      </c>
      <c r="N180" s="890" t="str">
        <f t="shared" si="29"/>
        <v/>
      </c>
      <c r="O180" s="344" t="str">
        <f t="shared" si="30"/>
        <v/>
      </c>
      <c r="P180" s="344" t="str">
        <f t="shared" si="31"/>
        <v/>
      </c>
      <c r="Q180" s="195" t="str">
        <f t="shared" si="32"/>
        <v/>
      </c>
    </row>
    <row r="181" spans="1:18" s="1111" customFormat="1">
      <c r="A181" s="865"/>
      <c r="B181" s="1415">
        <v>3</v>
      </c>
      <c r="C181" s="2353" t="s">
        <v>3591</v>
      </c>
      <c r="D181" s="2421"/>
      <c r="E181" s="2354"/>
      <c r="F181" s="2355"/>
      <c r="G181" s="1109"/>
      <c r="H181" s="1109"/>
      <c r="I181" s="1109"/>
      <c r="J181" s="1110"/>
      <c r="K181" s="889">
        <f t="shared" si="39"/>
        <v>1</v>
      </c>
      <c r="L181" s="888">
        <v>1</v>
      </c>
      <c r="M181" s="889">
        <f t="shared" si="34"/>
        <v>3</v>
      </c>
      <c r="N181" s="890" t="str">
        <f t="shared" si="29"/>
        <v/>
      </c>
      <c r="O181" s="344" t="str">
        <f t="shared" si="30"/>
        <v/>
      </c>
      <c r="P181" s="344" t="str">
        <f t="shared" si="31"/>
        <v/>
      </c>
      <c r="Q181" s="195" t="str">
        <f t="shared" si="32"/>
        <v/>
      </c>
    </row>
    <row r="182" spans="1:18" s="195" customFormat="1">
      <c r="A182" s="1123"/>
      <c r="B182" s="1085">
        <v>1</v>
      </c>
      <c r="C182" s="904" t="str">
        <f>VLOOKUP(D182,base_datos,6,FALSE)</f>
        <v>FC-CuAl_XT1 - Terminales + Cubrebornes - cables de cobre/aluminio hasta 1x95mm2 - 3 terminales (externos)</v>
      </c>
      <c r="D182" s="1881" t="s">
        <v>960</v>
      </c>
      <c r="E182" s="1882">
        <f>VLOOKUP(D182,base_datos,5,FALSE)</f>
        <v>25.84</v>
      </c>
      <c r="F182" s="1882">
        <f>+E182*B182</f>
        <v>25.84</v>
      </c>
      <c r="G182" s="891"/>
      <c r="H182" s="891"/>
      <c r="I182" s="891"/>
      <c r="J182" s="892"/>
      <c r="K182" s="889">
        <f t="shared" si="39"/>
        <v>1</v>
      </c>
      <c r="L182" s="888">
        <v>1</v>
      </c>
      <c r="M182" s="889">
        <f t="shared" si="34"/>
        <v>1</v>
      </c>
      <c r="N182" s="890">
        <f t="shared" si="29"/>
        <v>1</v>
      </c>
      <c r="O182" s="344" t="str">
        <f t="shared" si="30"/>
        <v>1SDA067155R1</v>
      </c>
      <c r="P182" s="344" t="str">
        <f t="shared" si="31"/>
        <v>FC-CuAl_XT1 - Terminales + Cubrebornes - cables de cobre/aluminio hasta 1x95mm2 - 3 terminales (externos)</v>
      </c>
      <c r="Q182" s="195" t="str">
        <f t="shared" si="32"/>
        <v>FC-CuAl_XT1_3t</v>
      </c>
    </row>
    <row r="183" spans="1:18" s="195" customFormat="1">
      <c r="A183" s="1123"/>
      <c r="B183" s="1085">
        <v>2</v>
      </c>
      <c r="C183" s="904" t="str">
        <f>VLOOKUP(D183,base_datos,6,FALSE)</f>
        <v>FC-CuAl_A1 - Terminales + Cubrebornes - cables de cobre/aluminio hasta 1x50mm2 - 3 terminales (internos)</v>
      </c>
      <c r="D183" s="1881" t="s">
        <v>1172</v>
      </c>
      <c r="E183" s="1882">
        <f>VLOOKUP(D183,base_datos,5,FALSE)</f>
        <v>24.630000000000003</v>
      </c>
      <c r="F183" s="1882">
        <f>+E183*B183</f>
        <v>49.260000000000005</v>
      </c>
      <c r="G183" s="891"/>
      <c r="H183" s="891"/>
      <c r="I183" s="891"/>
      <c r="J183" s="892"/>
      <c r="K183" s="889">
        <f t="shared" si="39"/>
        <v>1</v>
      </c>
      <c r="L183" s="888">
        <v>1</v>
      </c>
      <c r="M183" s="889">
        <f t="shared" si="34"/>
        <v>2</v>
      </c>
      <c r="N183" s="890">
        <f t="shared" si="29"/>
        <v>2</v>
      </c>
      <c r="O183" s="344" t="str">
        <f t="shared" si="30"/>
        <v>1SDA066242R1</v>
      </c>
      <c r="P183" s="344" t="str">
        <f t="shared" si="31"/>
        <v>FC-CuAl_A1 - Terminales + Cubrebornes - cables de cobre/aluminio hasta 1x50mm2 - 3 terminales (internos)</v>
      </c>
      <c r="Q183" s="195" t="str">
        <f t="shared" si="32"/>
        <v>FC-CuAl_A1_3t</v>
      </c>
    </row>
    <row r="184" spans="1:18" s="195" customFormat="1">
      <c r="A184" s="863"/>
      <c r="B184" s="895"/>
      <c r="C184" s="337" t="s">
        <v>729</v>
      </c>
      <c r="D184" s="2408"/>
      <c r="E184" s="1869"/>
      <c r="F184" s="1875"/>
      <c r="G184" s="891"/>
      <c r="H184" s="891"/>
      <c r="I184" s="891"/>
      <c r="J184" s="892"/>
      <c r="K184" s="889">
        <f t="shared" ref="K184:L199" si="40">K183</f>
        <v>1</v>
      </c>
      <c r="L184" s="888">
        <v>1</v>
      </c>
      <c r="M184" s="889">
        <f t="shared" si="34"/>
        <v>1</v>
      </c>
      <c r="N184" s="890" t="str">
        <f t="shared" si="29"/>
        <v/>
      </c>
      <c r="O184" s="344" t="str">
        <f t="shared" si="30"/>
        <v/>
      </c>
      <c r="P184" s="344" t="str">
        <f t="shared" si="31"/>
        <v/>
      </c>
      <c r="Q184" s="195" t="str">
        <f t="shared" si="32"/>
        <v/>
      </c>
    </row>
    <row r="185" spans="1:18" s="1114" customFormat="1">
      <c r="A185" s="1108"/>
      <c r="B185" s="1112">
        <v>1</v>
      </c>
      <c r="C185" s="1127" t="s">
        <v>9491</v>
      </c>
      <c r="D185" s="1868"/>
      <c r="E185" s="1874"/>
      <c r="F185" s="1883">
        <f>SUM(F186:F193)*(B185-1)</f>
        <v>0</v>
      </c>
      <c r="G185" s="893"/>
      <c r="H185" s="893"/>
      <c r="I185" s="893"/>
      <c r="J185" s="894"/>
      <c r="K185" s="889">
        <f t="shared" si="40"/>
        <v>1</v>
      </c>
      <c r="L185" s="1113">
        <f>B185</f>
        <v>1</v>
      </c>
      <c r="M185" s="889">
        <f t="shared" si="34"/>
        <v>1</v>
      </c>
      <c r="N185" s="890" t="str">
        <f t="shared" si="29"/>
        <v/>
      </c>
      <c r="O185" s="344" t="str">
        <f t="shared" si="30"/>
        <v/>
      </c>
      <c r="P185" s="344" t="str">
        <f t="shared" si="31"/>
        <v/>
      </c>
      <c r="Q185" s="195" t="str">
        <f t="shared" si="32"/>
        <v/>
      </c>
      <c r="R185" s="195"/>
    </row>
    <row r="186" spans="1:18" s="195" customFormat="1">
      <c r="A186" s="1108"/>
      <c r="B186" s="1125">
        <v>1</v>
      </c>
      <c r="C186" s="1117" t="str">
        <f>VLOOKUP(D186,base_datos,6,FALSE)</f>
        <v>Medidor multifunción - Modelo CVM-C10 - presición 0.5% - RS485, Modbus RTU - marca CIRCUTOR.</v>
      </c>
      <c r="D186" s="1884" t="s">
        <v>2651</v>
      </c>
      <c r="E186" s="1875">
        <f>VLOOKUP(D186,base_datos,5,FALSE)</f>
        <v>365.70000000000005</v>
      </c>
      <c r="F186" s="1885">
        <f>+E186*B186</f>
        <v>365.70000000000005</v>
      </c>
      <c r="G186" s="891"/>
      <c r="H186" s="891"/>
      <c r="I186" s="891"/>
      <c r="J186" s="892"/>
      <c r="K186" s="889">
        <f t="shared" si="40"/>
        <v>1</v>
      </c>
      <c r="L186" s="1116">
        <f t="shared" si="40"/>
        <v>1</v>
      </c>
      <c r="M186" s="889">
        <f t="shared" si="34"/>
        <v>1</v>
      </c>
      <c r="N186" s="890">
        <f t="shared" si="29"/>
        <v>1</v>
      </c>
      <c r="O186" s="344" t="str">
        <f t="shared" si="30"/>
        <v>CVM-C10-ITF-485-ICT2</v>
      </c>
      <c r="P186" s="344" t="str">
        <f t="shared" si="31"/>
        <v>Medidor multifunción - Modelo CVM-C10 - presición 0.5% - RS485, Modbus RTU - marca CIRCUTOR.</v>
      </c>
      <c r="Q186" s="195" t="str">
        <f t="shared" si="32"/>
        <v>CVM-C10</v>
      </c>
    </row>
    <row r="187" spans="1:18" s="344" customFormat="1">
      <c r="A187" s="1889"/>
      <c r="B187" s="1125">
        <v>3</v>
      </c>
      <c r="C187" s="1117" t="str">
        <f>VLOOKUP(D187,base_datos,6,FALSE)</f>
        <v>Transformador de corriente de 400/5A</v>
      </c>
      <c r="D187" s="2438" t="s">
        <v>1854</v>
      </c>
      <c r="E187" s="1875">
        <f>VLOOKUP(D187,base_datos,5,FALSE)</f>
        <v>110</v>
      </c>
      <c r="F187" s="1885">
        <f>+E187*B187</f>
        <v>330</v>
      </c>
      <c r="G187" s="905"/>
      <c r="H187" s="905"/>
      <c r="I187" s="905"/>
      <c r="J187" s="906"/>
      <c r="K187" s="889">
        <f t="shared" si="40"/>
        <v>1</v>
      </c>
      <c r="L187" s="1116">
        <f>L186</f>
        <v>1</v>
      </c>
      <c r="M187" s="889">
        <f t="shared" si="34"/>
        <v>3</v>
      </c>
      <c r="N187" s="890" t="str">
        <f t="shared" si="29"/>
        <v/>
      </c>
      <c r="O187" s="344" t="str">
        <f t="shared" si="30"/>
        <v/>
      </c>
      <c r="P187" s="344" t="str">
        <f t="shared" si="31"/>
        <v/>
      </c>
      <c r="Q187" s="195" t="str">
        <f t="shared" si="32"/>
        <v/>
      </c>
      <c r="R187" s="195"/>
    </row>
    <row r="188" spans="1:18" s="195" customFormat="1">
      <c r="A188" s="1108"/>
      <c r="B188" s="1886">
        <v>0</v>
      </c>
      <c r="C188" s="904" t="str">
        <f>VLOOKUP(D188,base_datos,6,FALSE)</f>
        <v>Base portafusibles + Fusibles de protección para control.</v>
      </c>
      <c r="D188" s="1881" t="s">
        <v>453</v>
      </c>
      <c r="E188" s="1882">
        <f>VLOOKUP(D188,base_datos,5,FALSE)</f>
        <v>6.5373900000000003</v>
      </c>
      <c r="F188" s="1887">
        <f>+E188*B188</f>
        <v>0</v>
      </c>
      <c r="G188" s="891"/>
      <c r="H188" s="891"/>
      <c r="I188" s="891"/>
      <c r="J188" s="892"/>
      <c r="K188" s="889">
        <f t="shared" si="40"/>
        <v>1</v>
      </c>
      <c r="L188" s="1116">
        <f>L187</f>
        <v>1</v>
      </c>
      <c r="M188" s="889">
        <f t="shared" si="34"/>
        <v>0</v>
      </c>
      <c r="N188" s="890" t="str">
        <f t="shared" si="29"/>
        <v/>
      </c>
      <c r="O188" s="344" t="str">
        <f t="shared" si="30"/>
        <v/>
      </c>
      <c r="P188" s="344" t="str">
        <f t="shared" si="31"/>
        <v/>
      </c>
      <c r="Q188" s="195" t="str">
        <f t="shared" si="32"/>
        <v/>
      </c>
    </row>
    <row r="189" spans="1:18" s="195" customFormat="1">
      <c r="A189" s="1108"/>
      <c r="B189" s="1886">
        <v>1</v>
      </c>
      <c r="C189" s="904" t="str">
        <f>VLOOKUP(D189,base_datos,6,FALSE)</f>
        <v>Borne 4mm2.</v>
      </c>
      <c r="D189" s="1881" t="s">
        <v>437</v>
      </c>
      <c r="E189" s="1882">
        <f>VLOOKUP(D189,base_datos,5,FALSE)</f>
        <v>2.5</v>
      </c>
      <c r="F189" s="1887">
        <f>+E189*B189</f>
        <v>2.5</v>
      </c>
      <c r="G189" s="891"/>
      <c r="H189" s="891"/>
      <c r="I189" s="891"/>
      <c r="J189" s="892"/>
      <c r="K189" s="889">
        <f t="shared" si="40"/>
        <v>1</v>
      </c>
      <c r="L189" s="1116">
        <f t="shared" si="40"/>
        <v>1</v>
      </c>
      <c r="M189" s="889">
        <f t="shared" si="34"/>
        <v>1</v>
      </c>
      <c r="N189" s="890" t="str">
        <f t="shared" si="29"/>
        <v/>
      </c>
      <c r="O189" s="344" t="str">
        <f t="shared" si="30"/>
        <v/>
      </c>
      <c r="P189" s="344" t="str">
        <f t="shared" si="31"/>
        <v/>
      </c>
      <c r="Q189" s="195" t="str">
        <f t="shared" si="32"/>
        <v/>
      </c>
    </row>
    <row r="190" spans="1:18" s="1111" customFormat="1">
      <c r="A190" s="1126"/>
      <c r="B190" s="1415">
        <v>1</v>
      </c>
      <c r="C190" s="1115" t="s">
        <v>3302</v>
      </c>
      <c r="D190" s="1879"/>
      <c r="E190" s="1880"/>
      <c r="F190" s="1888"/>
      <c r="G190" s="1109"/>
      <c r="H190" s="1109"/>
      <c r="I190" s="1109"/>
      <c r="J190" s="1110"/>
      <c r="K190" s="889">
        <f t="shared" si="40"/>
        <v>1</v>
      </c>
      <c r="L190" s="1116">
        <f t="shared" si="40"/>
        <v>1</v>
      </c>
      <c r="M190" s="889">
        <f t="shared" si="34"/>
        <v>1</v>
      </c>
      <c r="N190" s="890" t="str">
        <f t="shared" si="29"/>
        <v/>
      </c>
      <c r="O190" s="344" t="str">
        <f t="shared" si="30"/>
        <v/>
      </c>
      <c r="P190" s="344" t="str">
        <f t="shared" si="31"/>
        <v/>
      </c>
      <c r="Q190" s="195" t="str">
        <f t="shared" si="32"/>
        <v/>
      </c>
      <c r="R190" s="195"/>
    </row>
    <row r="191" spans="1:18" s="195" customFormat="1">
      <c r="A191" s="1108"/>
      <c r="B191" s="1416">
        <v>3</v>
      </c>
      <c r="C191" s="904" t="str">
        <f>VLOOKUP(D191,base_datos,6,FALSE)</f>
        <v>Base portafusibles + Fusibles de protección para control.</v>
      </c>
      <c r="D191" s="1881" t="s">
        <v>453</v>
      </c>
      <c r="E191" s="1882">
        <f>VLOOKUP(D191,base_datos,5,FALSE)</f>
        <v>6.5373900000000003</v>
      </c>
      <c r="F191" s="1887">
        <f>+E191*B191</f>
        <v>19.612169999999999</v>
      </c>
      <c r="G191" s="891"/>
      <c r="H191" s="891"/>
      <c r="I191" s="891"/>
      <c r="J191" s="892"/>
      <c r="K191" s="889">
        <f t="shared" si="40"/>
        <v>1</v>
      </c>
      <c r="L191" s="1116">
        <f t="shared" si="40"/>
        <v>1</v>
      </c>
      <c r="M191" s="889">
        <f t="shared" si="34"/>
        <v>3</v>
      </c>
      <c r="N191" s="890" t="str">
        <f t="shared" si="29"/>
        <v/>
      </c>
      <c r="O191" s="344" t="str">
        <f t="shared" si="30"/>
        <v/>
      </c>
      <c r="P191" s="344" t="str">
        <f t="shared" si="31"/>
        <v/>
      </c>
      <c r="Q191" s="195" t="str">
        <f t="shared" si="32"/>
        <v/>
      </c>
    </row>
    <row r="192" spans="1:18" s="1111" customFormat="1">
      <c r="A192" s="1126"/>
      <c r="B192" s="1415">
        <v>1</v>
      </c>
      <c r="C192" s="1115" t="s">
        <v>3303</v>
      </c>
      <c r="D192" s="1879"/>
      <c r="E192" s="1880"/>
      <c r="F192" s="1888"/>
      <c r="G192" s="1109"/>
      <c r="H192" s="1109"/>
      <c r="I192" s="1109"/>
      <c r="J192" s="1110"/>
      <c r="K192" s="889">
        <f t="shared" si="40"/>
        <v>1</v>
      </c>
      <c r="L192" s="1116">
        <f t="shared" si="40"/>
        <v>1</v>
      </c>
      <c r="M192" s="889">
        <f t="shared" si="34"/>
        <v>1</v>
      </c>
      <c r="N192" s="890" t="str">
        <f t="shared" si="29"/>
        <v/>
      </c>
      <c r="O192" s="344" t="str">
        <f t="shared" si="30"/>
        <v/>
      </c>
      <c r="P192" s="344" t="str">
        <f t="shared" si="31"/>
        <v/>
      </c>
      <c r="Q192" s="195" t="str">
        <f t="shared" si="32"/>
        <v/>
      </c>
      <c r="R192" s="195"/>
    </row>
    <row r="193" spans="1:18" s="195" customFormat="1">
      <c r="A193" s="1108"/>
      <c r="B193" s="1085">
        <v>6</v>
      </c>
      <c r="C193" s="904" t="str">
        <f>VLOOKUP(D193,base_datos,6,FALSE)</f>
        <v>Bornes seccionables de corriente.</v>
      </c>
      <c r="D193" s="1881" t="s">
        <v>435</v>
      </c>
      <c r="E193" s="1882">
        <f>VLOOKUP(D193,base_datos,5,FALSE)</f>
        <v>12</v>
      </c>
      <c r="F193" s="1887">
        <f>+E193*B193</f>
        <v>72</v>
      </c>
      <c r="G193" s="891"/>
      <c r="H193" s="891"/>
      <c r="I193" s="891"/>
      <c r="J193" s="892"/>
      <c r="K193" s="889">
        <f t="shared" si="40"/>
        <v>1</v>
      </c>
      <c r="L193" s="1116">
        <f t="shared" si="40"/>
        <v>1</v>
      </c>
      <c r="M193" s="889">
        <f t="shared" si="34"/>
        <v>6</v>
      </c>
      <c r="N193" s="890" t="str">
        <f t="shared" si="29"/>
        <v/>
      </c>
      <c r="O193" s="344" t="str">
        <f t="shared" si="30"/>
        <v/>
      </c>
      <c r="P193" s="344" t="str">
        <f t="shared" si="31"/>
        <v/>
      </c>
      <c r="Q193" s="195" t="str">
        <f t="shared" si="32"/>
        <v/>
      </c>
    </row>
    <row r="194" spans="1:18" s="195" customFormat="1">
      <c r="A194" s="1108"/>
      <c r="B194" s="1870"/>
      <c r="C194" s="197" t="s">
        <v>729</v>
      </c>
      <c r="D194" s="182"/>
      <c r="E194" s="1865"/>
      <c r="F194" s="1869"/>
      <c r="G194" s="1866"/>
      <c r="H194" s="1866"/>
      <c r="I194" s="1866"/>
      <c r="J194" s="892"/>
      <c r="K194" s="889">
        <f t="shared" si="40"/>
        <v>1</v>
      </c>
      <c r="L194" s="888">
        <v>1</v>
      </c>
      <c r="M194" s="889">
        <f t="shared" si="34"/>
        <v>1</v>
      </c>
      <c r="N194" s="890" t="str">
        <f t="shared" si="29"/>
        <v/>
      </c>
      <c r="O194" s="344" t="str">
        <f t="shared" si="30"/>
        <v/>
      </c>
      <c r="P194" s="344" t="str">
        <f t="shared" si="31"/>
        <v/>
      </c>
      <c r="Q194" s="195" t="str">
        <f t="shared" si="32"/>
        <v/>
      </c>
    </row>
    <row r="195" spans="1:18" s="126" customFormat="1">
      <c r="A195" s="1889"/>
      <c r="B195" s="2439"/>
      <c r="C195" s="853"/>
      <c r="D195" s="2440"/>
      <c r="E195" s="1890"/>
      <c r="F195" s="1877"/>
      <c r="G195" s="854"/>
      <c r="H195" s="854"/>
      <c r="I195" s="854"/>
      <c r="J195" s="855"/>
      <c r="K195" s="889">
        <f t="shared" si="40"/>
        <v>1</v>
      </c>
      <c r="L195" s="412">
        <v>1</v>
      </c>
      <c r="M195" s="889">
        <f t="shared" si="34"/>
        <v>1</v>
      </c>
      <c r="N195" s="890" t="str">
        <f t="shared" si="29"/>
        <v/>
      </c>
      <c r="O195" s="344" t="str">
        <f t="shared" si="30"/>
        <v/>
      </c>
      <c r="P195" s="344" t="str">
        <f t="shared" si="31"/>
        <v/>
      </c>
      <c r="Q195" s="195" t="str">
        <f t="shared" si="32"/>
        <v/>
      </c>
      <c r="R195" s="195"/>
    </row>
    <row r="196" spans="1:18" s="195" customFormat="1">
      <c r="A196" s="1108"/>
      <c r="B196" s="895"/>
      <c r="C196" s="337" t="s">
        <v>729</v>
      </c>
      <c r="D196" s="182"/>
      <c r="E196" s="1874"/>
      <c r="F196" s="1875"/>
      <c r="G196" s="891"/>
      <c r="H196" s="891"/>
      <c r="I196" s="891"/>
      <c r="J196" s="892"/>
      <c r="K196" s="889">
        <f t="shared" si="40"/>
        <v>1</v>
      </c>
      <c r="L196" s="888">
        <v>1</v>
      </c>
      <c r="M196" s="889">
        <f t="shared" si="34"/>
        <v>1</v>
      </c>
      <c r="N196" s="890" t="str">
        <f t="shared" si="29"/>
        <v/>
      </c>
      <c r="O196" s="344" t="str">
        <f t="shared" si="30"/>
        <v/>
      </c>
      <c r="P196" s="344" t="str">
        <f t="shared" si="31"/>
        <v/>
      </c>
      <c r="Q196" s="195" t="str">
        <f t="shared" si="32"/>
        <v/>
      </c>
    </row>
    <row r="197" spans="1:18" s="1114" customFormat="1">
      <c r="A197" s="2370"/>
      <c r="B197" s="1112">
        <v>1</v>
      </c>
      <c r="C197" s="1127" t="s">
        <v>4044</v>
      </c>
      <c r="D197" s="1868"/>
      <c r="E197" s="1874"/>
      <c r="F197" s="1883">
        <f>SUM(F198:F200)*(B197-1)</f>
        <v>0</v>
      </c>
      <c r="G197" s="2380"/>
      <c r="H197" s="2380"/>
      <c r="I197" s="2380"/>
      <c r="J197" s="894"/>
      <c r="K197" s="889">
        <f t="shared" si="40"/>
        <v>1</v>
      </c>
      <c r="L197" s="1113">
        <f>B197</f>
        <v>1</v>
      </c>
      <c r="M197" s="889">
        <f t="shared" si="34"/>
        <v>1</v>
      </c>
      <c r="N197" s="890" t="str">
        <f t="shared" si="29"/>
        <v/>
      </c>
      <c r="O197" s="344" t="str">
        <f t="shared" si="30"/>
        <v/>
      </c>
      <c r="P197" s="344" t="str">
        <f t="shared" si="31"/>
        <v/>
      </c>
      <c r="Q197" s="195" t="str">
        <f t="shared" si="32"/>
        <v/>
      </c>
      <c r="R197" s="195"/>
    </row>
    <row r="198" spans="1:18" s="195" customFormat="1">
      <c r="A198" s="1108"/>
      <c r="B198" s="2365">
        <v>3</v>
      </c>
      <c r="C198" s="2381" t="s">
        <v>14160</v>
      </c>
      <c r="D198" s="1884" t="s">
        <v>2473</v>
      </c>
      <c r="E198" s="1875">
        <v>15</v>
      </c>
      <c r="F198" s="1885">
        <f>+E198*B198</f>
        <v>45</v>
      </c>
      <c r="G198" s="1866"/>
      <c r="H198" s="1866"/>
      <c r="I198" s="1866"/>
      <c r="J198" s="892"/>
      <c r="K198" s="889">
        <f t="shared" si="40"/>
        <v>1</v>
      </c>
      <c r="L198" s="1116">
        <f t="shared" si="40"/>
        <v>1</v>
      </c>
      <c r="M198" s="889">
        <f t="shared" si="34"/>
        <v>3</v>
      </c>
      <c r="N198" s="890">
        <f t="shared" si="29"/>
        <v>3</v>
      </c>
      <c r="O198" s="344" t="str">
        <f t="shared" si="30"/>
        <v>1SFA619403R5231</v>
      </c>
      <c r="P198" s="344" t="str">
        <f t="shared" si="31"/>
        <v>Portalámpara + lampara tipo LED - color Rojo - alimentacion: 220-230Vac, d=22mm. - CL2-523R - línea compacta - marca ABB.</v>
      </c>
      <c r="Q198" s="195" t="str">
        <f t="shared" si="32"/>
        <v>LAMP_ROJO_220V</v>
      </c>
    </row>
    <row r="199" spans="1:18" s="1111" customFormat="1">
      <c r="A199" s="1126"/>
      <c r="B199" s="2384">
        <v>1</v>
      </c>
      <c r="C199" s="1115" t="s">
        <v>9497</v>
      </c>
      <c r="D199" s="1879"/>
      <c r="E199" s="1880"/>
      <c r="F199" s="1888"/>
      <c r="G199" s="2383"/>
      <c r="H199" s="2383"/>
      <c r="I199" s="2383"/>
      <c r="J199" s="1110"/>
      <c r="K199" s="889">
        <f t="shared" si="40"/>
        <v>1</v>
      </c>
      <c r="L199" s="1116">
        <f>L198</f>
        <v>1</v>
      </c>
      <c r="M199" s="889">
        <f t="shared" si="34"/>
        <v>1</v>
      </c>
      <c r="N199" s="890" t="str">
        <f t="shared" si="29"/>
        <v/>
      </c>
      <c r="O199" s="344" t="str">
        <f t="shared" si="30"/>
        <v/>
      </c>
      <c r="P199" s="344" t="str">
        <f t="shared" si="31"/>
        <v/>
      </c>
      <c r="Q199" s="195" t="str">
        <f t="shared" si="32"/>
        <v/>
      </c>
      <c r="R199" s="195"/>
    </row>
    <row r="200" spans="1:18" s="344" customFormat="1">
      <c r="A200" s="1093"/>
      <c r="B200" s="2371">
        <v>3</v>
      </c>
      <c r="C200" s="904" t="str">
        <f>VLOOKUP(D200,base_datos,6,FALSE)</f>
        <v>Base portafusibles + Fusibles de protección para control.</v>
      </c>
      <c r="D200" s="1881" t="s">
        <v>453</v>
      </c>
      <c r="E200" s="1892">
        <f>VLOOKUP(D200,base_datos,5,FALSE)</f>
        <v>6.5373900000000003</v>
      </c>
      <c r="F200" s="1897">
        <f>+E200*B200</f>
        <v>19.612169999999999</v>
      </c>
      <c r="G200" s="1898"/>
      <c r="H200" s="1898"/>
      <c r="I200" s="1898"/>
      <c r="J200" s="906"/>
      <c r="K200" s="889">
        <f t="shared" ref="K200:L208" si="41">K199</f>
        <v>1</v>
      </c>
      <c r="L200" s="1116">
        <f t="shared" si="41"/>
        <v>1</v>
      </c>
      <c r="M200" s="889">
        <f t="shared" si="34"/>
        <v>3</v>
      </c>
      <c r="N200" s="890" t="str">
        <f t="shared" si="29"/>
        <v/>
      </c>
      <c r="O200" s="344" t="str">
        <f t="shared" si="30"/>
        <v/>
      </c>
      <c r="P200" s="344" t="str">
        <f t="shared" si="31"/>
        <v/>
      </c>
      <c r="Q200" s="195" t="str">
        <f t="shared" si="32"/>
        <v/>
      </c>
      <c r="R200" s="195"/>
    </row>
    <row r="201" spans="1:18" s="195" customFormat="1">
      <c r="A201" s="1108"/>
      <c r="B201" s="1870"/>
      <c r="C201" s="197" t="s">
        <v>729</v>
      </c>
      <c r="D201" s="182"/>
      <c r="E201" s="1865"/>
      <c r="F201" s="1869"/>
      <c r="G201" s="1866"/>
      <c r="H201" s="1866"/>
      <c r="I201" s="1866"/>
      <c r="J201" s="892"/>
      <c r="K201" s="889">
        <f t="shared" si="41"/>
        <v>1</v>
      </c>
      <c r="L201" s="888">
        <v>1</v>
      </c>
      <c r="M201" s="889">
        <f t="shared" si="34"/>
        <v>1</v>
      </c>
      <c r="N201" s="890" t="str">
        <f t="shared" si="29"/>
        <v/>
      </c>
      <c r="O201" s="344" t="str">
        <f t="shared" si="30"/>
        <v/>
      </c>
      <c r="P201" s="344" t="str">
        <f t="shared" si="31"/>
        <v/>
      </c>
      <c r="Q201" s="195" t="str">
        <f t="shared" si="32"/>
        <v/>
      </c>
    </row>
    <row r="202" spans="1:18" s="195" customFormat="1">
      <c r="A202" s="1108"/>
      <c r="B202" s="1870">
        <v>1</v>
      </c>
      <c r="C202" s="197" t="s">
        <v>9498</v>
      </c>
      <c r="D202" s="182"/>
      <c r="E202" s="1865"/>
      <c r="F202" s="1869"/>
      <c r="G202" s="1899"/>
      <c r="H202" s="1899"/>
      <c r="I202" s="1899"/>
      <c r="J202" s="892"/>
      <c r="K202" s="889">
        <f t="shared" si="41"/>
        <v>1</v>
      </c>
      <c r="L202" s="888">
        <v>1</v>
      </c>
      <c r="M202" s="889">
        <f t="shared" si="34"/>
        <v>1</v>
      </c>
      <c r="N202" s="890" t="str">
        <f t="shared" si="29"/>
        <v/>
      </c>
      <c r="O202" s="344" t="str">
        <f t="shared" si="30"/>
        <v/>
      </c>
      <c r="P202" s="344" t="str">
        <f t="shared" si="31"/>
        <v/>
      </c>
      <c r="Q202" s="195" t="str">
        <f t="shared" si="32"/>
        <v/>
      </c>
    </row>
    <row r="203" spans="1:18" s="195" customFormat="1">
      <c r="A203" s="1108"/>
      <c r="B203" s="1870"/>
      <c r="C203" s="197" t="s">
        <v>729</v>
      </c>
      <c r="D203" s="182"/>
      <c r="E203" s="1865"/>
      <c r="F203" s="1869"/>
      <c r="G203" s="1866"/>
      <c r="H203" s="1866"/>
      <c r="I203" s="1866"/>
      <c r="J203" s="892"/>
      <c r="K203" s="889">
        <f t="shared" si="41"/>
        <v>1</v>
      </c>
      <c r="L203" s="888">
        <v>1</v>
      </c>
      <c r="M203" s="889">
        <f t="shared" si="34"/>
        <v>1</v>
      </c>
      <c r="N203" s="890" t="str">
        <f t="shared" si="29"/>
        <v/>
      </c>
      <c r="O203" s="344" t="str">
        <f t="shared" si="30"/>
        <v/>
      </c>
      <c r="P203" s="344" t="str">
        <f t="shared" si="31"/>
        <v/>
      </c>
      <c r="Q203" s="195" t="str">
        <f t="shared" si="32"/>
        <v/>
      </c>
    </row>
    <row r="204" spans="1:18" s="1479" customFormat="1">
      <c r="A204" s="1128"/>
      <c r="B204" s="1412">
        <v>1</v>
      </c>
      <c r="C204" s="1417" t="s">
        <v>9499</v>
      </c>
      <c r="D204" s="1900"/>
      <c r="E204" s="1901">
        <v>165</v>
      </c>
      <c r="F204" s="1901">
        <f>+E204*B204</f>
        <v>165</v>
      </c>
      <c r="G204" s="1902"/>
      <c r="H204" s="1902"/>
      <c r="I204" s="1902"/>
      <c r="J204" s="1414"/>
      <c r="K204" s="889">
        <f t="shared" si="41"/>
        <v>1</v>
      </c>
      <c r="L204" s="888">
        <v>1</v>
      </c>
      <c r="M204" s="889">
        <f t="shared" si="34"/>
        <v>1</v>
      </c>
      <c r="N204" s="890" t="str">
        <f t="shared" si="29"/>
        <v/>
      </c>
      <c r="O204" s="344" t="str">
        <f t="shared" si="30"/>
        <v/>
      </c>
      <c r="P204" s="344" t="str">
        <f t="shared" si="31"/>
        <v/>
      </c>
      <c r="Q204" s="195" t="str">
        <f t="shared" si="32"/>
        <v/>
      </c>
      <c r="R204" s="195"/>
    </row>
    <row r="205" spans="1:18" s="1088" customFormat="1">
      <c r="A205" s="865"/>
      <c r="B205" s="1085">
        <v>10</v>
      </c>
      <c r="C205" s="904" t="str">
        <f>VLOOKUP(D205,base_datos,6,FALSE)</f>
        <v>Rotulado por circuito.</v>
      </c>
      <c r="D205" s="1881" t="s">
        <v>3210</v>
      </c>
      <c r="E205" s="1892">
        <f>VLOOKUP(D205,base_datos,5,FALSE)</f>
        <v>0.7</v>
      </c>
      <c r="F205" s="1893">
        <f>+E205*B205</f>
        <v>7</v>
      </c>
      <c r="G205" s="1903"/>
      <c r="H205" s="1903"/>
      <c r="I205" s="1903"/>
      <c r="J205" s="1087"/>
      <c r="K205" s="889">
        <f t="shared" si="41"/>
        <v>1</v>
      </c>
      <c r="L205" s="888">
        <v>1</v>
      </c>
      <c r="M205" s="889">
        <f t="shared" si="34"/>
        <v>10</v>
      </c>
      <c r="N205" s="890" t="str">
        <f t="shared" ref="N205:N268" si="42">IF(O205&lt;&gt;"",K205*L205*M205,"")</f>
        <v/>
      </c>
      <c r="O205" s="344" t="str">
        <f t="shared" si="30"/>
        <v/>
      </c>
      <c r="P205" s="344" t="str">
        <f t="shared" si="31"/>
        <v/>
      </c>
      <c r="Q205" s="195" t="str">
        <f t="shared" si="32"/>
        <v/>
      </c>
      <c r="R205" s="195"/>
    </row>
    <row r="206" spans="1:18" s="1088" customFormat="1">
      <c r="A206" s="865"/>
      <c r="B206" s="1085">
        <v>1</v>
      </c>
      <c r="C206" s="904" t="str">
        <f>VLOOKUP(D206,base_datos,6,FALSE)</f>
        <v>Rotulado para TAG - tablero de distribución.</v>
      </c>
      <c r="D206" s="1881" t="s">
        <v>13942</v>
      </c>
      <c r="E206" s="1892">
        <f>VLOOKUP(D206,base_datos,5,FALSE)</f>
        <v>1.5</v>
      </c>
      <c r="F206" s="1893">
        <f>+E206*B206</f>
        <v>1.5</v>
      </c>
      <c r="G206" s="1903"/>
      <c r="H206" s="1903"/>
      <c r="I206" s="1903"/>
      <c r="J206" s="1087"/>
      <c r="K206" s="889">
        <f t="shared" si="41"/>
        <v>1</v>
      </c>
      <c r="L206" s="888">
        <v>1</v>
      </c>
      <c r="M206" s="889">
        <f t="shared" si="34"/>
        <v>1</v>
      </c>
      <c r="N206" s="890" t="str">
        <f t="shared" si="42"/>
        <v/>
      </c>
      <c r="O206" s="344" t="str">
        <f t="shared" si="30"/>
        <v/>
      </c>
      <c r="P206" s="344" t="str">
        <f t="shared" si="31"/>
        <v/>
      </c>
      <c r="Q206" s="195" t="str">
        <f t="shared" si="32"/>
        <v/>
      </c>
      <c r="R206" s="195"/>
    </row>
    <row r="207" spans="1:18" s="1479" customFormat="1">
      <c r="A207" s="1128"/>
      <c r="B207" s="1412">
        <v>1</v>
      </c>
      <c r="C207" s="1417" t="s">
        <v>5302</v>
      </c>
      <c r="D207" s="1900"/>
      <c r="E207" s="1901">
        <f>E208*15%</f>
        <v>45</v>
      </c>
      <c r="F207" s="1901">
        <f>+E207*B207</f>
        <v>45</v>
      </c>
      <c r="G207" s="1902"/>
      <c r="H207" s="1902"/>
      <c r="I207" s="1902"/>
      <c r="J207" s="1414"/>
      <c r="K207" s="889">
        <f t="shared" si="41"/>
        <v>1</v>
      </c>
      <c r="L207" s="888">
        <v>1</v>
      </c>
      <c r="M207" s="889">
        <f t="shared" si="34"/>
        <v>1</v>
      </c>
      <c r="N207" s="890" t="str">
        <f t="shared" si="42"/>
        <v/>
      </c>
      <c r="O207" s="344" t="str">
        <f t="shared" ref="O207:O270" si="43">IF(D207&lt;&gt;"",IF(VLOOKUP(D207,base_datos,7,FALSE)&lt;&gt;"",VLOOKUP(D207,base_datos,7,FALSE),""),"")</f>
        <v/>
      </c>
      <c r="P207" s="344" t="str">
        <f t="shared" ref="P207:P270" si="44">IF(O207&lt;&gt;"",VLOOKUP(D207,base_datos,6,FALSE),"")</f>
        <v/>
      </c>
      <c r="Q207" s="195" t="str">
        <f t="shared" ref="Q207:Q270" si="45">IF(O207&lt;&gt;"",D207,"")</f>
        <v/>
      </c>
      <c r="R207" s="195"/>
    </row>
    <row r="208" spans="1:18" s="1479" customFormat="1">
      <c r="A208" s="1128"/>
      <c r="B208" s="1412">
        <v>1</v>
      </c>
      <c r="C208" s="1417" t="s">
        <v>14168</v>
      </c>
      <c r="D208" s="1900"/>
      <c r="E208" s="1901">
        <v>300</v>
      </c>
      <c r="F208" s="1901">
        <f>+E208*B208</f>
        <v>300</v>
      </c>
      <c r="G208" s="1902"/>
      <c r="H208" s="1902"/>
      <c r="I208" s="1902"/>
      <c r="J208" s="1414"/>
      <c r="K208" s="889">
        <f t="shared" si="41"/>
        <v>1</v>
      </c>
      <c r="L208" s="888">
        <v>1</v>
      </c>
      <c r="M208" s="889">
        <f t="shared" si="34"/>
        <v>1</v>
      </c>
      <c r="N208" s="890" t="str">
        <f t="shared" si="42"/>
        <v/>
      </c>
      <c r="O208" s="344" t="str">
        <f t="shared" si="43"/>
        <v/>
      </c>
      <c r="P208" s="344" t="str">
        <f t="shared" si="44"/>
        <v/>
      </c>
      <c r="Q208" s="195" t="str">
        <f t="shared" si="45"/>
        <v/>
      </c>
      <c r="R208" s="195"/>
    </row>
    <row r="209" spans="1:18" s="126" customFormat="1" ht="13.5" thickBot="1">
      <c r="A209" s="871"/>
      <c r="B209" s="1421"/>
      <c r="C209" s="897"/>
      <c r="D209" s="872"/>
      <c r="E209" s="1904"/>
      <c r="F209" s="1904"/>
      <c r="G209" s="1905"/>
      <c r="H209" s="1905"/>
      <c r="I209" s="1905"/>
      <c r="J209" s="874"/>
      <c r="K209" s="843"/>
      <c r="L209" s="412"/>
      <c r="M209" s="843"/>
      <c r="N209" s="890" t="str">
        <f t="shared" si="42"/>
        <v/>
      </c>
      <c r="O209" s="344" t="str">
        <f t="shared" si="43"/>
        <v/>
      </c>
      <c r="P209" s="344" t="str">
        <f t="shared" si="44"/>
        <v/>
      </c>
      <c r="Q209" s="195" t="str">
        <f t="shared" si="45"/>
        <v/>
      </c>
      <c r="R209" s="195"/>
    </row>
    <row r="210" spans="1:18" s="195" customFormat="1" ht="12.75" customHeight="1" thickBot="1">
      <c r="A210" s="1906">
        <v>4</v>
      </c>
      <c r="B210" s="1907">
        <v>1</v>
      </c>
      <c r="C210" s="1411" t="s">
        <v>14169</v>
      </c>
      <c r="D210" s="1858"/>
      <c r="E210" s="1859"/>
      <c r="F210" s="1859"/>
      <c r="G210" s="1860">
        <f>SUM(F251:F288)</f>
        <v>6806.0543400000006</v>
      </c>
      <c r="H210" s="1908">
        <f>G210*(1-$D$6)</f>
        <v>5104.540755</v>
      </c>
      <c r="I210" s="1118">
        <f>ROUNDUP(H210*$D$5,0)</f>
        <v>17356</v>
      </c>
      <c r="J210" s="1014">
        <f>+I210*B210</f>
        <v>17356</v>
      </c>
      <c r="K210" s="1861">
        <f>B210</f>
        <v>1</v>
      </c>
      <c r="L210" s="888"/>
      <c r="M210" s="889"/>
      <c r="N210" s="890" t="str">
        <f t="shared" si="42"/>
        <v/>
      </c>
      <c r="O210" s="344" t="str">
        <f t="shared" si="43"/>
        <v/>
      </c>
      <c r="P210" s="344" t="str">
        <f t="shared" si="44"/>
        <v/>
      </c>
      <c r="Q210" s="195" t="str">
        <f t="shared" si="45"/>
        <v/>
      </c>
    </row>
    <row r="211" spans="1:18" s="195" customFormat="1">
      <c r="A211" s="852" t="s">
        <v>3207</v>
      </c>
      <c r="B211" s="2360"/>
      <c r="C211" s="1127"/>
      <c r="D211" s="1868"/>
      <c r="E211" s="1869"/>
      <c r="F211" s="1869"/>
      <c r="G211" s="1866"/>
      <c r="H211" s="1866"/>
      <c r="I211" s="1866"/>
      <c r="J211" s="1022"/>
      <c r="K211" s="889">
        <f>K210</f>
        <v>1</v>
      </c>
      <c r="L211" s="888">
        <v>1</v>
      </c>
      <c r="M211" s="889">
        <f t="shared" ref="M211:M272" si="46">IF(B211="",1,B211)</f>
        <v>1</v>
      </c>
      <c r="N211" s="890" t="str">
        <f t="shared" si="42"/>
        <v/>
      </c>
      <c r="O211" s="344" t="str">
        <f t="shared" si="43"/>
        <v/>
      </c>
      <c r="P211" s="344" t="str">
        <f t="shared" si="44"/>
        <v/>
      </c>
      <c r="Q211" s="195" t="str">
        <f t="shared" si="45"/>
        <v/>
      </c>
    </row>
    <row r="212" spans="1:18" s="126" customFormat="1">
      <c r="A212" s="856" t="s">
        <v>4059</v>
      </c>
      <c r="B212" s="908"/>
      <c r="C212" s="1419" t="s">
        <v>9492</v>
      </c>
      <c r="D212" s="1891"/>
      <c r="E212" s="1878"/>
      <c r="F212" s="1878"/>
      <c r="G212" s="854"/>
      <c r="H212" s="854"/>
      <c r="I212" s="854"/>
      <c r="J212" s="858"/>
      <c r="K212" s="889">
        <f t="shared" ref="K212:K273" si="47">K211</f>
        <v>1</v>
      </c>
      <c r="L212" s="412">
        <v>1</v>
      </c>
      <c r="M212" s="843">
        <f t="shared" si="46"/>
        <v>1</v>
      </c>
      <c r="N212" s="890" t="str">
        <f t="shared" si="42"/>
        <v/>
      </c>
      <c r="O212" s="344" t="str">
        <f t="shared" si="43"/>
        <v/>
      </c>
      <c r="P212" s="344" t="str">
        <f t="shared" si="44"/>
        <v/>
      </c>
      <c r="Q212" s="195" t="str">
        <f t="shared" si="45"/>
        <v/>
      </c>
      <c r="R212" s="195"/>
    </row>
    <row r="213" spans="1:18" s="1114" customFormat="1" ht="12.75" customHeight="1">
      <c r="A213" s="856" t="s">
        <v>4321</v>
      </c>
      <c r="B213" s="2360"/>
      <c r="C213" s="2332"/>
      <c r="D213" s="2333"/>
      <c r="E213" s="2334"/>
      <c r="F213" s="2335"/>
      <c r="G213" s="893"/>
      <c r="H213" s="893"/>
      <c r="I213" s="893"/>
      <c r="J213" s="894"/>
      <c r="K213" s="889">
        <f t="shared" si="47"/>
        <v>1</v>
      </c>
      <c r="L213" s="888">
        <v>1</v>
      </c>
      <c r="M213" s="843">
        <f t="shared" si="46"/>
        <v>1</v>
      </c>
      <c r="N213" s="890" t="str">
        <f t="shared" si="42"/>
        <v/>
      </c>
      <c r="O213" s="344" t="str">
        <f t="shared" si="43"/>
        <v/>
      </c>
      <c r="P213" s="344" t="str">
        <f t="shared" si="44"/>
        <v/>
      </c>
      <c r="Q213" s="195" t="str">
        <f t="shared" si="45"/>
        <v/>
      </c>
      <c r="R213" s="195"/>
    </row>
    <row r="214" spans="1:18" s="1114" customFormat="1" ht="12.75" customHeight="1">
      <c r="A214" s="856" t="s">
        <v>3725</v>
      </c>
      <c r="B214" s="2360"/>
      <c r="C214" s="2332" t="s">
        <v>14163</v>
      </c>
      <c r="D214" s="2333"/>
      <c r="E214" s="2334"/>
      <c r="F214" s="2335"/>
      <c r="G214" s="891"/>
      <c r="H214" s="891"/>
      <c r="I214" s="891"/>
      <c r="J214" s="1022"/>
      <c r="K214" s="889">
        <f t="shared" si="47"/>
        <v>1</v>
      </c>
      <c r="L214" s="888">
        <v>1</v>
      </c>
      <c r="M214" s="843">
        <f t="shared" si="46"/>
        <v>1</v>
      </c>
      <c r="N214" s="890" t="str">
        <f t="shared" si="42"/>
        <v/>
      </c>
      <c r="O214" s="344" t="str">
        <f t="shared" si="43"/>
        <v/>
      </c>
      <c r="P214" s="344" t="str">
        <f t="shared" si="44"/>
        <v/>
      </c>
      <c r="Q214" s="195" t="str">
        <f t="shared" si="45"/>
        <v/>
      </c>
      <c r="R214" s="195"/>
    </row>
    <row r="215" spans="1:18" s="1114" customFormat="1" ht="12.75" customHeight="1">
      <c r="A215" s="856" t="s">
        <v>3726</v>
      </c>
      <c r="B215" s="2360"/>
      <c r="C215" s="2332" t="s">
        <v>3601</v>
      </c>
      <c r="D215" s="2333"/>
      <c r="E215" s="2334"/>
      <c r="F215" s="2335"/>
      <c r="G215" s="891"/>
      <c r="H215" s="891"/>
      <c r="I215" s="891"/>
      <c r="J215" s="1022"/>
      <c r="K215" s="889">
        <f t="shared" si="47"/>
        <v>1</v>
      </c>
      <c r="L215" s="888">
        <v>1</v>
      </c>
      <c r="M215" s="843">
        <f t="shared" si="46"/>
        <v>1</v>
      </c>
      <c r="N215" s="890" t="str">
        <f t="shared" si="42"/>
        <v/>
      </c>
      <c r="O215" s="344" t="str">
        <f t="shared" si="43"/>
        <v/>
      </c>
      <c r="P215" s="344" t="str">
        <f t="shared" si="44"/>
        <v/>
      </c>
      <c r="Q215" s="195" t="str">
        <f t="shared" si="45"/>
        <v/>
      </c>
      <c r="R215" s="195"/>
    </row>
    <row r="216" spans="1:18" s="1114" customFormat="1" ht="12.75" customHeight="1">
      <c r="A216" s="1093"/>
      <c r="B216" s="2360"/>
      <c r="C216" s="2332"/>
      <c r="D216" s="2333"/>
      <c r="E216" s="2334"/>
      <c r="F216" s="2335"/>
      <c r="G216" s="891"/>
      <c r="H216" s="891"/>
      <c r="I216" s="891"/>
      <c r="J216" s="1022"/>
      <c r="K216" s="889">
        <f t="shared" si="47"/>
        <v>1</v>
      </c>
      <c r="L216" s="888">
        <v>1</v>
      </c>
      <c r="M216" s="843">
        <f t="shared" si="46"/>
        <v>1</v>
      </c>
      <c r="N216" s="890" t="str">
        <f t="shared" si="42"/>
        <v/>
      </c>
      <c r="O216" s="344" t="str">
        <f t="shared" si="43"/>
        <v/>
      </c>
      <c r="P216" s="344" t="str">
        <f t="shared" si="44"/>
        <v/>
      </c>
      <c r="Q216" s="195" t="str">
        <f t="shared" si="45"/>
        <v/>
      </c>
      <c r="R216" s="195"/>
    </row>
    <row r="217" spans="1:18" s="862" customFormat="1" ht="12.75" customHeight="1">
      <c r="A217" s="864"/>
      <c r="B217" s="2360"/>
      <c r="C217" s="2332" t="s">
        <v>3602</v>
      </c>
      <c r="D217" s="2336"/>
      <c r="E217" s="2335"/>
      <c r="F217" s="2335"/>
      <c r="G217" s="860"/>
      <c r="H217" s="860"/>
      <c r="I217" s="860"/>
      <c r="J217" s="1420"/>
      <c r="K217" s="889">
        <f t="shared" si="47"/>
        <v>1</v>
      </c>
      <c r="L217" s="412">
        <v>1</v>
      </c>
      <c r="M217" s="843">
        <f t="shared" si="46"/>
        <v>1</v>
      </c>
      <c r="N217" s="890" t="str">
        <f t="shared" si="42"/>
        <v/>
      </c>
      <c r="O217" s="344" t="str">
        <f t="shared" si="43"/>
        <v/>
      </c>
      <c r="P217" s="344" t="str">
        <f t="shared" si="44"/>
        <v/>
      </c>
      <c r="Q217" s="195" t="str">
        <f t="shared" si="45"/>
        <v/>
      </c>
      <c r="R217" s="195"/>
    </row>
    <row r="218" spans="1:18" s="2340" customFormat="1" ht="12.75" customHeight="1">
      <c r="A218" s="1093"/>
      <c r="B218" s="2361"/>
      <c r="C218" s="2337"/>
      <c r="D218" s="2336"/>
      <c r="E218" s="2334"/>
      <c r="F218" s="2335"/>
      <c r="G218" s="2338"/>
      <c r="H218" s="2338"/>
      <c r="I218" s="2338"/>
      <c r="J218" s="2339"/>
      <c r="K218" s="889">
        <f t="shared" si="47"/>
        <v>1</v>
      </c>
      <c r="L218" s="412">
        <v>1</v>
      </c>
      <c r="M218" s="843">
        <f t="shared" si="46"/>
        <v>1</v>
      </c>
      <c r="N218" s="890" t="str">
        <f t="shared" si="42"/>
        <v/>
      </c>
      <c r="O218" s="344" t="str">
        <f t="shared" si="43"/>
        <v/>
      </c>
      <c r="P218" s="344" t="str">
        <f t="shared" si="44"/>
        <v/>
      </c>
      <c r="Q218" s="195" t="str">
        <f t="shared" si="45"/>
        <v/>
      </c>
      <c r="R218" s="195"/>
    </row>
    <row r="219" spans="1:18" s="2340" customFormat="1" ht="12.75" customHeight="1">
      <c r="A219" s="1123"/>
      <c r="B219" s="2441">
        <f>B256</f>
        <v>1</v>
      </c>
      <c r="C219" s="2337" t="s">
        <v>14164</v>
      </c>
      <c r="D219" s="2336"/>
      <c r="E219" s="2334"/>
      <c r="F219" s="2335"/>
      <c r="G219" s="2338"/>
      <c r="H219" s="2338"/>
      <c r="I219" s="2338"/>
      <c r="J219" s="2339"/>
      <c r="K219" s="889">
        <f t="shared" si="47"/>
        <v>1</v>
      </c>
      <c r="L219" s="412">
        <v>1</v>
      </c>
      <c r="M219" s="843">
        <f t="shared" si="46"/>
        <v>1</v>
      </c>
      <c r="N219" s="890" t="str">
        <f t="shared" si="42"/>
        <v/>
      </c>
      <c r="O219" s="344" t="str">
        <f t="shared" si="43"/>
        <v/>
      </c>
      <c r="P219" s="344" t="str">
        <f t="shared" si="44"/>
        <v/>
      </c>
      <c r="Q219" s="195" t="str">
        <f t="shared" si="45"/>
        <v/>
      </c>
      <c r="R219" s="195"/>
    </row>
    <row r="220" spans="1:18" s="2340" customFormat="1" ht="12.75" customHeight="1">
      <c r="A220" s="865"/>
      <c r="B220" s="2360"/>
      <c r="C220" s="2337" t="s">
        <v>3603</v>
      </c>
      <c r="D220" s="2336"/>
      <c r="E220" s="2334"/>
      <c r="F220" s="2335"/>
      <c r="G220" s="2338"/>
      <c r="H220" s="2338"/>
      <c r="I220" s="2338"/>
      <c r="J220" s="2339"/>
      <c r="K220" s="889">
        <f t="shared" si="47"/>
        <v>1</v>
      </c>
      <c r="L220" s="412">
        <v>1</v>
      </c>
      <c r="M220" s="843">
        <f t="shared" si="46"/>
        <v>1</v>
      </c>
      <c r="N220" s="890" t="str">
        <f t="shared" si="42"/>
        <v/>
      </c>
      <c r="O220" s="344" t="str">
        <f t="shared" si="43"/>
        <v/>
      </c>
      <c r="P220" s="344" t="str">
        <f t="shared" si="44"/>
        <v/>
      </c>
      <c r="Q220" s="195" t="str">
        <f t="shared" si="45"/>
        <v/>
      </c>
      <c r="R220" s="195"/>
    </row>
    <row r="221" spans="1:18" s="870" customFormat="1" ht="12.75" customHeight="1">
      <c r="A221" s="1142"/>
      <c r="B221" s="2360"/>
      <c r="C221" s="2341" t="str">
        <f>C256</f>
        <v>Conmutador motorizado bajo carga (I-0-II), modelo OTM-C, 3p, 630A (AC21..AC22) / 630A (AC23) - marca ABB.</v>
      </c>
      <c r="D221" s="2336"/>
      <c r="E221" s="2334"/>
      <c r="F221" s="2335"/>
      <c r="G221" s="868"/>
      <c r="H221" s="868"/>
      <c r="I221" s="868"/>
      <c r="J221" s="869"/>
      <c r="K221" s="889">
        <f t="shared" si="47"/>
        <v>1</v>
      </c>
      <c r="L221" s="412">
        <v>1</v>
      </c>
      <c r="M221" s="843">
        <f t="shared" si="46"/>
        <v>1</v>
      </c>
      <c r="N221" s="890" t="str">
        <f t="shared" si="42"/>
        <v/>
      </c>
      <c r="O221" s="344" t="str">
        <f t="shared" si="43"/>
        <v/>
      </c>
      <c r="P221" s="344" t="str">
        <f t="shared" si="44"/>
        <v/>
      </c>
      <c r="Q221" s="195" t="str">
        <f t="shared" si="45"/>
        <v/>
      </c>
      <c r="R221" s="195"/>
    </row>
    <row r="222" spans="1:18" s="862" customFormat="1" ht="12.75" customHeight="1">
      <c r="A222" s="1142"/>
      <c r="B222" s="2360"/>
      <c r="C222" s="2337"/>
      <c r="D222" s="2336"/>
      <c r="E222" s="2334"/>
      <c r="F222" s="2335"/>
      <c r="G222" s="860"/>
      <c r="H222" s="860"/>
      <c r="I222" s="860"/>
      <c r="J222" s="1420"/>
      <c r="K222" s="889">
        <f t="shared" si="47"/>
        <v>1</v>
      </c>
      <c r="L222" s="412">
        <v>1</v>
      </c>
      <c r="M222" s="843">
        <f t="shared" si="46"/>
        <v>1</v>
      </c>
      <c r="N222" s="890" t="str">
        <f t="shared" si="42"/>
        <v/>
      </c>
      <c r="O222" s="344" t="str">
        <f t="shared" si="43"/>
        <v/>
      </c>
      <c r="P222" s="344" t="str">
        <f t="shared" si="44"/>
        <v/>
      </c>
      <c r="Q222" s="195" t="str">
        <f t="shared" si="45"/>
        <v/>
      </c>
      <c r="R222" s="195"/>
    </row>
    <row r="223" spans="1:18" s="2340" customFormat="1" ht="12.75" customHeight="1">
      <c r="A223" s="865"/>
      <c r="B223" s="2441">
        <f>B254</f>
        <v>2</v>
      </c>
      <c r="C223" s="2337" t="s">
        <v>14165</v>
      </c>
      <c r="D223" s="2336"/>
      <c r="E223" s="2334"/>
      <c r="F223" s="2335"/>
      <c r="G223" s="2338"/>
      <c r="H223" s="2338"/>
      <c r="I223" s="2338"/>
      <c r="J223" s="2339"/>
      <c r="K223" s="889">
        <f t="shared" si="47"/>
        <v>1</v>
      </c>
      <c r="L223" s="412">
        <v>1</v>
      </c>
      <c r="M223" s="843">
        <f t="shared" si="46"/>
        <v>2</v>
      </c>
      <c r="N223" s="890" t="str">
        <f t="shared" si="42"/>
        <v/>
      </c>
      <c r="O223" s="344" t="str">
        <f t="shared" si="43"/>
        <v/>
      </c>
      <c r="P223" s="344" t="str">
        <f t="shared" si="44"/>
        <v/>
      </c>
      <c r="Q223" s="195" t="str">
        <f t="shared" si="45"/>
        <v/>
      </c>
      <c r="R223" s="195"/>
    </row>
    <row r="224" spans="1:18" s="2340" customFormat="1" ht="12.75" customHeight="1">
      <c r="A224" s="865"/>
      <c r="B224" s="2360"/>
      <c r="C224" s="2337" t="s">
        <v>3603</v>
      </c>
      <c r="D224" s="2336"/>
      <c r="E224" s="2334"/>
      <c r="F224" s="2335"/>
      <c r="G224" s="2338"/>
      <c r="H224" s="2338"/>
      <c r="I224" s="2338"/>
      <c r="J224" s="2339"/>
      <c r="K224" s="889">
        <f t="shared" si="47"/>
        <v>1</v>
      </c>
      <c r="L224" s="412">
        <v>1</v>
      </c>
      <c r="M224" s="843">
        <f t="shared" si="46"/>
        <v>1</v>
      </c>
      <c r="N224" s="890" t="str">
        <f t="shared" si="42"/>
        <v/>
      </c>
      <c r="O224" s="344" t="str">
        <f t="shared" si="43"/>
        <v/>
      </c>
      <c r="P224" s="344" t="str">
        <f t="shared" si="44"/>
        <v/>
      </c>
      <c r="Q224" s="195" t="str">
        <f t="shared" si="45"/>
        <v/>
      </c>
      <c r="R224" s="195"/>
    </row>
    <row r="225" spans="1:18" s="870" customFormat="1" ht="12.75" customHeight="1">
      <c r="A225" s="865"/>
      <c r="B225" s="2360"/>
      <c r="C225" s="2341" t="str">
        <f>C254</f>
        <v>IM Caja Moldeada 3x630A (electrónico [0.4-1.0] In) - T5N630-630A-3P-PR221DS-I - 70kA@230Vac, 36kA@415Vac - marca ABB.</v>
      </c>
      <c r="D225" s="2336"/>
      <c r="E225" s="2334"/>
      <c r="F225" s="2335"/>
      <c r="G225" s="868"/>
      <c r="H225" s="868"/>
      <c r="I225" s="868"/>
      <c r="J225" s="869"/>
      <c r="K225" s="889">
        <f t="shared" si="47"/>
        <v>1</v>
      </c>
      <c r="L225" s="412">
        <v>1</v>
      </c>
      <c r="M225" s="843">
        <f t="shared" si="46"/>
        <v>1</v>
      </c>
      <c r="N225" s="890" t="str">
        <f t="shared" si="42"/>
        <v/>
      </c>
      <c r="O225" s="344" t="str">
        <f t="shared" si="43"/>
        <v/>
      </c>
      <c r="P225" s="344" t="str">
        <f t="shared" si="44"/>
        <v/>
      </c>
      <c r="Q225" s="195" t="str">
        <f t="shared" si="45"/>
        <v/>
      </c>
      <c r="R225" s="195"/>
    </row>
    <row r="226" spans="1:18" s="862" customFormat="1" ht="12.75" customHeight="1">
      <c r="A226" s="856"/>
      <c r="B226" s="2360"/>
      <c r="C226" s="2337"/>
      <c r="D226" s="2336"/>
      <c r="E226" s="2334"/>
      <c r="F226" s="2335"/>
      <c r="G226" s="860"/>
      <c r="H226" s="860"/>
      <c r="I226" s="860"/>
      <c r="J226" s="1420"/>
      <c r="K226" s="889">
        <f t="shared" si="47"/>
        <v>1</v>
      </c>
      <c r="L226" s="412">
        <v>1</v>
      </c>
      <c r="M226" s="843">
        <f t="shared" si="46"/>
        <v>1</v>
      </c>
      <c r="N226" s="890" t="str">
        <f t="shared" si="42"/>
        <v/>
      </c>
      <c r="O226" s="344" t="str">
        <f t="shared" si="43"/>
        <v/>
      </c>
      <c r="P226" s="344" t="str">
        <f t="shared" si="44"/>
        <v/>
      </c>
      <c r="Q226" s="195" t="str">
        <f t="shared" si="45"/>
        <v/>
      </c>
      <c r="R226" s="195"/>
    </row>
    <row r="227" spans="1:18" s="195" customFormat="1" ht="12.75" customHeight="1">
      <c r="A227" s="865"/>
      <c r="B227" s="2360"/>
      <c r="C227" s="344" t="s">
        <v>9493</v>
      </c>
      <c r="D227" s="2333"/>
      <c r="E227" s="2334"/>
      <c r="F227" s="2335"/>
      <c r="G227" s="891"/>
      <c r="H227" s="891"/>
      <c r="I227" s="891"/>
      <c r="J227" s="892"/>
      <c r="K227" s="889">
        <f t="shared" si="47"/>
        <v>1</v>
      </c>
      <c r="L227" s="888">
        <v>1</v>
      </c>
      <c r="M227" s="843">
        <f t="shared" si="46"/>
        <v>1</v>
      </c>
      <c r="N227" s="890" t="str">
        <f t="shared" si="42"/>
        <v/>
      </c>
      <c r="O227" s="344" t="str">
        <f t="shared" si="43"/>
        <v/>
      </c>
      <c r="P227" s="344" t="str">
        <f t="shared" si="44"/>
        <v/>
      </c>
      <c r="Q227" s="195" t="str">
        <f t="shared" si="45"/>
        <v/>
      </c>
    </row>
    <row r="228" spans="1:18" s="195" customFormat="1" ht="12.75" customHeight="1">
      <c r="A228" s="865"/>
      <c r="B228" s="2360"/>
      <c r="C228" s="344" t="s">
        <v>9494</v>
      </c>
      <c r="D228" s="2333"/>
      <c r="E228" s="2334"/>
      <c r="F228" s="2335"/>
      <c r="G228" s="891"/>
      <c r="H228" s="891"/>
      <c r="I228" s="891"/>
      <c r="J228" s="892"/>
      <c r="K228" s="889">
        <f t="shared" si="47"/>
        <v>1</v>
      </c>
      <c r="L228" s="888">
        <v>1</v>
      </c>
      <c r="M228" s="843">
        <f t="shared" si="46"/>
        <v>1</v>
      </c>
      <c r="N228" s="890" t="str">
        <f t="shared" si="42"/>
        <v/>
      </c>
      <c r="O228" s="344" t="str">
        <f t="shared" si="43"/>
        <v/>
      </c>
      <c r="P228" s="344" t="str">
        <f t="shared" si="44"/>
        <v/>
      </c>
      <c r="Q228" s="195" t="str">
        <f t="shared" si="45"/>
        <v/>
      </c>
    </row>
    <row r="229" spans="1:18" s="195" customFormat="1" ht="12.75" customHeight="1">
      <c r="A229" s="865"/>
      <c r="B229" s="2360"/>
      <c r="C229" s="344" t="s">
        <v>9495</v>
      </c>
      <c r="D229" s="2333"/>
      <c r="E229" s="2334"/>
      <c r="F229" s="2335"/>
      <c r="G229" s="891"/>
      <c r="H229" s="891"/>
      <c r="I229" s="891"/>
      <c r="J229" s="892"/>
      <c r="K229" s="889">
        <f t="shared" si="47"/>
        <v>1</v>
      </c>
      <c r="L229" s="888">
        <v>1</v>
      </c>
      <c r="M229" s="843">
        <f t="shared" si="46"/>
        <v>1</v>
      </c>
      <c r="N229" s="890" t="str">
        <f t="shared" si="42"/>
        <v/>
      </c>
      <c r="O229" s="344" t="str">
        <f t="shared" si="43"/>
        <v/>
      </c>
      <c r="P229" s="344" t="str">
        <f t="shared" si="44"/>
        <v/>
      </c>
      <c r="Q229" s="195" t="str">
        <f t="shared" si="45"/>
        <v/>
      </c>
    </row>
    <row r="230" spans="1:18" s="1114" customFormat="1" ht="12.75" customHeight="1">
      <c r="A230" s="865"/>
      <c r="B230" s="2360"/>
      <c r="C230" s="344" t="s">
        <v>9496</v>
      </c>
      <c r="D230" s="2333"/>
      <c r="E230" s="2334"/>
      <c r="F230" s="2335"/>
      <c r="G230" s="893"/>
      <c r="H230" s="893"/>
      <c r="I230" s="893"/>
      <c r="J230" s="894"/>
      <c r="K230" s="889">
        <f t="shared" si="47"/>
        <v>1</v>
      </c>
      <c r="L230" s="888">
        <v>1</v>
      </c>
      <c r="M230" s="843">
        <f t="shared" si="46"/>
        <v>1</v>
      </c>
      <c r="N230" s="890" t="str">
        <f t="shared" si="42"/>
        <v/>
      </c>
      <c r="O230" s="344" t="str">
        <f t="shared" si="43"/>
        <v/>
      </c>
      <c r="P230" s="344" t="str">
        <f t="shared" si="44"/>
        <v/>
      </c>
      <c r="Q230" s="195" t="str">
        <f t="shared" si="45"/>
        <v/>
      </c>
      <c r="R230" s="195"/>
    </row>
    <row r="231" spans="1:18" s="1114" customFormat="1" ht="12.75" customHeight="1">
      <c r="A231" s="865"/>
      <c r="B231" s="2360"/>
      <c r="C231" s="344"/>
      <c r="D231" s="2333"/>
      <c r="E231" s="2334"/>
      <c r="F231" s="2335"/>
      <c r="G231" s="893"/>
      <c r="H231" s="893"/>
      <c r="I231" s="893"/>
      <c r="J231" s="2342"/>
      <c r="K231" s="889">
        <f t="shared" si="47"/>
        <v>1</v>
      </c>
      <c r="L231" s="888">
        <v>1</v>
      </c>
      <c r="M231" s="843">
        <f t="shared" si="46"/>
        <v>1</v>
      </c>
      <c r="N231" s="890" t="str">
        <f t="shared" si="42"/>
        <v/>
      </c>
      <c r="O231" s="344" t="str">
        <f t="shared" si="43"/>
        <v/>
      </c>
      <c r="P231" s="344" t="str">
        <f t="shared" si="44"/>
        <v/>
      </c>
      <c r="Q231" s="195" t="str">
        <f t="shared" si="45"/>
        <v/>
      </c>
      <c r="R231" s="195"/>
    </row>
    <row r="232" spans="1:18" s="1111" customFormat="1" ht="12.75" customHeight="1">
      <c r="A232" s="865"/>
      <c r="B232" s="2360"/>
      <c r="C232" s="344" t="s">
        <v>3604</v>
      </c>
      <c r="D232" s="2333"/>
      <c r="E232" s="2334"/>
      <c r="F232" s="2335"/>
      <c r="G232" s="1422"/>
      <c r="H232" s="1422"/>
      <c r="I232" s="1422"/>
      <c r="J232" s="1423"/>
      <c r="K232" s="889">
        <f t="shared" si="47"/>
        <v>1</v>
      </c>
      <c r="L232" s="888">
        <v>1</v>
      </c>
      <c r="M232" s="843">
        <f t="shared" si="46"/>
        <v>1</v>
      </c>
      <c r="N232" s="890" t="str">
        <f t="shared" si="42"/>
        <v/>
      </c>
      <c r="O232" s="344" t="str">
        <f t="shared" si="43"/>
        <v/>
      </c>
      <c r="P232" s="344" t="str">
        <f t="shared" si="44"/>
        <v/>
      </c>
      <c r="Q232" s="195" t="str">
        <f t="shared" si="45"/>
        <v/>
      </c>
      <c r="R232" s="195"/>
    </row>
    <row r="233" spans="1:18" s="195" customFormat="1" ht="12.75" customHeight="1">
      <c r="A233" s="1123"/>
      <c r="B233" s="2360"/>
      <c r="C233" s="2362" t="s">
        <v>3605</v>
      </c>
      <c r="D233" s="2333"/>
      <c r="E233" s="2334"/>
      <c r="F233" s="2335"/>
      <c r="G233" s="891"/>
      <c r="H233" s="891"/>
      <c r="I233" s="891"/>
      <c r="J233" s="892"/>
      <c r="K233" s="889">
        <f t="shared" si="47"/>
        <v>1</v>
      </c>
      <c r="L233" s="888">
        <v>1</v>
      </c>
      <c r="M233" s="843">
        <f t="shared" si="46"/>
        <v>1</v>
      </c>
      <c r="N233" s="890" t="str">
        <f t="shared" si="42"/>
        <v/>
      </c>
      <c r="O233" s="344" t="str">
        <f t="shared" si="43"/>
        <v/>
      </c>
      <c r="P233" s="344" t="str">
        <f t="shared" si="44"/>
        <v/>
      </c>
      <c r="Q233" s="195" t="str">
        <f t="shared" si="45"/>
        <v/>
      </c>
    </row>
    <row r="234" spans="1:18" s="1111" customFormat="1" ht="12.75" customHeight="1">
      <c r="A234" s="1124"/>
      <c r="B234" s="2360"/>
      <c r="C234" s="2362" t="s">
        <v>3606</v>
      </c>
      <c r="D234" s="2333"/>
      <c r="E234" s="2334"/>
      <c r="F234" s="2335"/>
      <c r="G234" s="1422"/>
      <c r="H234" s="1422"/>
      <c r="I234" s="1422"/>
      <c r="J234" s="1423"/>
      <c r="K234" s="889">
        <f t="shared" si="47"/>
        <v>1</v>
      </c>
      <c r="L234" s="888">
        <v>1</v>
      </c>
      <c r="M234" s="843">
        <f t="shared" si="46"/>
        <v>1</v>
      </c>
      <c r="N234" s="890" t="str">
        <f t="shared" si="42"/>
        <v/>
      </c>
      <c r="O234" s="344" t="str">
        <f t="shared" si="43"/>
        <v/>
      </c>
      <c r="P234" s="344" t="str">
        <f t="shared" si="44"/>
        <v/>
      </c>
      <c r="Q234" s="195" t="str">
        <f t="shared" si="45"/>
        <v/>
      </c>
      <c r="R234" s="195"/>
    </row>
    <row r="235" spans="1:18" s="195" customFormat="1" ht="12.75" customHeight="1">
      <c r="A235" s="1124"/>
      <c r="B235" s="2360"/>
      <c r="C235" s="2362" t="s">
        <v>3607</v>
      </c>
      <c r="D235" s="2333"/>
      <c r="E235" s="2334"/>
      <c r="F235" s="2335"/>
      <c r="G235" s="891"/>
      <c r="H235" s="891"/>
      <c r="I235" s="891"/>
      <c r="J235" s="892"/>
      <c r="K235" s="889">
        <f t="shared" si="47"/>
        <v>1</v>
      </c>
      <c r="L235" s="888">
        <v>1</v>
      </c>
      <c r="M235" s="843">
        <f t="shared" si="46"/>
        <v>1</v>
      </c>
      <c r="N235" s="890" t="str">
        <f t="shared" si="42"/>
        <v/>
      </c>
      <c r="O235" s="344" t="str">
        <f t="shared" si="43"/>
        <v/>
      </c>
      <c r="P235" s="344" t="str">
        <f t="shared" si="44"/>
        <v/>
      </c>
      <c r="Q235" s="195" t="str">
        <f t="shared" si="45"/>
        <v/>
      </c>
    </row>
    <row r="236" spans="1:18" s="1111" customFormat="1" ht="12.75" customHeight="1">
      <c r="A236" s="1126"/>
      <c r="B236" s="2360"/>
      <c r="C236" s="2362" t="s">
        <v>3608</v>
      </c>
      <c r="D236" s="2333"/>
      <c r="E236" s="2334"/>
      <c r="F236" s="2335"/>
      <c r="G236" s="1422"/>
      <c r="H236" s="1422"/>
      <c r="I236" s="1422"/>
      <c r="J236" s="1423"/>
      <c r="K236" s="889">
        <f t="shared" si="47"/>
        <v>1</v>
      </c>
      <c r="L236" s="888">
        <v>1</v>
      </c>
      <c r="M236" s="843">
        <f t="shared" si="46"/>
        <v>1</v>
      </c>
      <c r="N236" s="890" t="str">
        <f t="shared" si="42"/>
        <v/>
      </c>
      <c r="O236" s="344" t="str">
        <f t="shared" si="43"/>
        <v/>
      </c>
      <c r="P236" s="344" t="str">
        <f t="shared" si="44"/>
        <v/>
      </c>
      <c r="Q236" s="195" t="str">
        <f t="shared" si="45"/>
        <v/>
      </c>
      <c r="R236" s="195"/>
    </row>
    <row r="237" spans="1:18" s="2344" customFormat="1" ht="12.75" customHeight="1">
      <c r="A237" s="1108"/>
      <c r="B237" s="2360"/>
      <c r="C237" s="2362" t="s">
        <v>3609</v>
      </c>
      <c r="D237" s="2333"/>
      <c r="E237" s="2334"/>
      <c r="F237" s="2335"/>
      <c r="G237" s="1051"/>
      <c r="H237" s="1051"/>
      <c r="I237" s="1051"/>
      <c r="J237" s="2343"/>
      <c r="K237" s="889">
        <f t="shared" si="47"/>
        <v>1</v>
      </c>
      <c r="L237" s="888">
        <v>1</v>
      </c>
      <c r="M237" s="843">
        <f t="shared" si="46"/>
        <v>1</v>
      </c>
      <c r="N237" s="890" t="str">
        <f t="shared" si="42"/>
        <v/>
      </c>
      <c r="O237" s="344" t="str">
        <f t="shared" si="43"/>
        <v/>
      </c>
      <c r="P237" s="344" t="str">
        <f t="shared" si="44"/>
        <v/>
      </c>
      <c r="Q237" s="195" t="str">
        <f t="shared" si="45"/>
        <v/>
      </c>
      <c r="R237" s="195"/>
    </row>
    <row r="238" spans="1:18" s="195" customFormat="1" ht="12.75" customHeight="1">
      <c r="A238" s="1108"/>
      <c r="B238" s="2360"/>
      <c r="C238" s="344" t="s">
        <v>3610</v>
      </c>
      <c r="D238" s="2333"/>
      <c r="E238" s="2334"/>
      <c r="F238" s="2335"/>
      <c r="G238" s="891"/>
      <c r="H238" s="891"/>
      <c r="I238" s="891"/>
      <c r="J238" s="1022"/>
      <c r="K238" s="889">
        <f t="shared" si="47"/>
        <v>1</v>
      </c>
      <c r="L238" s="888">
        <v>1</v>
      </c>
      <c r="M238" s="843">
        <f t="shared" si="46"/>
        <v>1</v>
      </c>
      <c r="N238" s="890" t="str">
        <f t="shared" si="42"/>
        <v/>
      </c>
      <c r="O238" s="344" t="str">
        <f t="shared" si="43"/>
        <v/>
      </c>
      <c r="P238" s="344" t="str">
        <f t="shared" si="44"/>
        <v/>
      </c>
      <c r="Q238" s="195" t="str">
        <f t="shared" si="45"/>
        <v/>
      </c>
    </row>
    <row r="239" spans="1:18" s="195" customFormat="1" ht="12.75" customHeight="1">
      <c r="A239" s="1108"/>
      <c r="B239" s="2360"/>
      <c r="C239" s="2362" t="s">
        <v>3611</v>
      </c>
      <c r="D239" s="2333"/>
      <c r="E239" s="2334"/>
      <c r="F239" s="2335"/>
      <c r="G239" s="891"/>
      <c r="H239" s="891"/>
      <c r="I239" s="891"/>
      <c r="J239" s="892"/>
      <c r="K239" s="889">
        <f t="shared" si="47"/>
        <v>1</v>
      </c>
      <c r="L239" s="888">
        <v>1</v>
      </c>
      <c r="M239" s="843">
        <f t="shared" si="46"/>
        <v>1</v>
      </c>
      <c r="N239" s="890" t="str">
        <f t="shared" si="42"/>
        <v/>
      </c>
      <c r="O239" s="344" t="str">
        <f t="shared" si="43"/>
        <v/>
      </c>
      <c r="P239" s="344" t="str">
        <f t="shared" si="44"/>
        <v/>
      </c>
      <c r="Q239" s="195" t="str">
        <f t="shared" si="45"/>
        <v/>
      </c>
    </row>
    <row r="240" spans="1:18" s="1114" customFormat="1" ht="12.75" customHeight="1">
      <c r="A240" s="2363"/>
      <c r="B240" s="2364"/>
      <c r="C240" s="2362" t="s">
        <v>3612</v>
      </c>
      <c r="D240" s="2345"/>
      <c r="E240" s="2346"/>
      <c r="F240" s="2347"/>
      <c r="G240" s="893"/>
      <c r="H240" s="893"/>
      <c r="I240" s="893"/>
      <c r="J240" s="894"/>
      <c r="K240" s="889">
        <f t="shared" si="47"/>
        <v>1</v>
      </c>
      <c r="L240" s="888">
        <v>1</v>
      </c>
      <c r="M240" s="843">
        <f t="shared" si="46"/>
        <v>1</v>
      </c>
      <c r="N240" s="890" t="str">
        <f t="shared" si="42"/>
        <v/>
      </c>
      <c r="O240" s="344" t="str">
        <f t="shared" si="43"/>
        <v/>
      </c>
      <c r="P240" s="344" t="str">
        <f t="shared" si="44"/>
        <v/>
      </c>
      <c r="Q240" s="195" t="str">
        <f t="shared" si="45"/>
        <v/>
      </c>
      <c r="R240" s="195"/>
    </row>
    <row r="241" spans="1:18" s="1114" customFormat="1" ht="12.75" customHeight="1">
      <c r="A241" s="2363"/>
      <c r="B241" s="1112"/>
      <c r="C241" s="2362" t="s">
        <v>624</v>
      </c>
      <c r="D241" s="2333"/>
      <c r="E241" s="2334"/>
      <c r="F241" s="2348"/>
      <c r="G241" s="893"/>
      <c r="H241" s="893"/>
      <c r="I241" s="893"/>
      <c r="J241" s="894"/>
      <c r="K241" s="889">
        <f t="shared" si="47"/>
        <v>1</v>
      </c>
      <c r="L241" s="888">
        <v>1</v>
      </c>
      <c r="M241" s="843">
        <f t="shared" si="46"/>
        <v>1</v>
      </c>
      <c r="N241" s="890" t="str">
        <f t="shared" si="42"/>
        <v/>
      </c>
      <c r="O241" s="344" t="str">
        <f t="shared" si="43"/>
        <v/>
      </c>
      <c r="P241" s="344" t="str">
        <f t="shared" si="44"/>
        <v/>
      </c>
      <c r="Q241" s="195" t="str">
        <f t="shared" si="45"/>
        <v/>
      </c>
      <c r="R241" s="195"/>
    </row>
    <row r="242" spans="1:18" s="1114" customFormat="1" ht="12.75" customHeight="1">
      <c r="A242" s="2363"/>
      <c r="B242" s="2365"/>
      <c r="C242" s="2362" t="s">
        <v>625</v>
      </c>
      <c r="D242" s="2345"/>
      <c r="E242" s="2347"/>
      <c r="F242" s="2347"/>
      <c r="G242" s="893"/>
      <c r="H242" s="893"/>
      <c r="I242" s="893"/>
      <c r="J242" s="894"/>
      <c r="K242" s="889">
        <f t="shared" si="47"/>
        <v>1</v>
      </c>
      <c r="L242" s="888">
        <v>1</v>
      </c>
      <c r="M242" s="843">
        <f t="shared" si="46"/>
        <v>1</v>
      </c>
      <c r="N242" s="890" t="str">
        <f t="shared" si="42"/>
        <v/>
      </c>
      <c r="O242" s="344" t="str">
        <f t="shared" si="43"/>
        <v/>
      </c>
      <c r="P242" s="344" t="str">
        <f t="shared" si="44"/>
        <v/>
      </c>
      <c r="Q242" s="195" t="str">
        <f t="shared" si="45"/>
        <v/>
      </c>
      <c r="R242" s="195"/>
    </row>
    <row r="243" spans="1:18" s="1114" customFormat="1" ht="12.75" customHeight="1">
      <c r="A243" s="2366"/>
      <c r="B243" s="2365"/>
      <c r="C243" s="2362" t="s">
        <v>3613</v>
      </c>
      <c r="D243" s="2345"/>
      <c r="E243" s="2347"/>
      <c r="F243" s="2347"/>
      <c r="G243" s="891"/>
      <c r="H243" s="891"/>
      <c r="I243" s="891"/>
      <c r="J243" s="1022"/>
      <c r="K243" s="889">
        <f t="shared" si="47"/>
        <v>1</v>
      </c>
      <c r="L243" s="888">
        <v>1</v>
      </c>
      <c r="M243" s="843">
        <f t="shared" si="46"/>
        <v>1</v>
      </c>
      <c r="N243" s="890" t="str">
        <f t="shared" si="42"/>
        <v/>
      </c>
      <c r="O243" s="344" t="str">
        <f t="shared" si="43"/>
        <v/>
      </c>
      <c r="P243" s="344" t="str">
        <f t="shared" si="44"/>
        <v/>
      </c>
      <c r="Q243" s="195" t="str">
        <f t="shared" si="45"/>
        <v/>
      </c>
      <c r="R243" s="195"/>
    </row>
    <row r="244" spans="1:18" s="195" customFormat="1" ht="12.75" customHeight="1">
      <c r="A244" s="1093"/>
      <c r="B244" s="1112"/>
      <c r="C244" s="2367" t="s">
        <v>3614</v>
      </c>
      <c r="D244" s="2333"/>
      <c r="E244" s="2334"/>
      <c r="F244" s="2335"/>
      <c r="G244" s="891"/>
      <c r="H244" s="891"/>
      <c r="I244" s="891"/>
      <c r="J244" s="892"/>
      <c r="K244" s="889">
        <f t="shared" si="47"/>
        <v>1</v>
      </c>
      <c r="L244" s="888">
        <v>1</v>
      </c>
      <c r="M244" s="843">
        <f t="shared" si="46"/>
        <v>1</v>
      </c>
      <c r="N244" s="890" t="str">
        <f t="shared" si="42"/>
        <v/>
      </c>
      <c r="O244" s="344" t="str">
        <f t="shared" si="43"/>
        <v/>
      </c>
      <c r="P244" s="344" t="str">
        <f t="shared" si="44"/>
        <v/>
      </c>
      <c r="Q244" s="195" t="str">
        <f t="shared" si="45"/>
        <v/>
      </c>
    </row>
    <row r="245" spans="1:18" s="195" customFormat="1" ht="12.75" customHeight="1">
      <c r="A245" s="1093"/>
      <c r="B245" s="2365"/>
      <c r="C245" s="2349" t="s">
        <v>3615</v>
      </c>
      <c r="D245" s="592"/>
      <c r="E245" s="2347"/>
      <c r="F245" s="2347"/>
      <c r="G245" s="891"/>
      <c r="H245" s="891"/>
      <c r="I245" s="891"/>
      <c r="J245" s="892"/>
      <c r="K245" s="889">
        <f t="shared" si="47"/>
        <v>1</v>
      </c>
      <c r="L245" s="888">
        <v>1</v>
      </c>
      <c r="M245" s="843">
        <f t="shared" si="46"/>
        <v>1</v>
      </c>
      <c r="N245" s="890" t="str">
        <f t="shared" si="42"/>
        <v/>
      </c>
      <c r="O245" s="344" t="str">
        <f t="shared" si="43"/>
        <v/>
      </c>
      <c r="P245" s="344" t="str">
        <f t="shared" si="44"/>
        <v/>
      </c>
      <c r="Q245" s="195" t="str">
        <f t="shared" si="45"/>
        <v/>
      </c>
    </row>
    <row r="246" spans="1:18" s="195" customFormat="1" ht="12.75" customHeight="1">
      <c r="A246" s="1093"/>
      <c r="B246" s="2365"/>
      <c r="C246" s="2350" t="s">
        <v>3616</v>
      </c>
      <c r="D246" s="151"/>
      <c r="E246" s="2347"/>
      <c r="F246" s="2347"/>
      <c r="G246" s="891"/>
      <c r="H246" s="891"/>
      <c r="I246" s="891"/>
      <c r="J246" s="892"/>
      <c r="K246" s="889">
        <f t="shared" si="47"/>
        <v>1</v>
      </c>
      <c r="L246" s="888">
        <v>1</v>
      </c>
      <c r="M246" s="843">
        <f t="shared" si="46"/>
        <v>1</v>
      </c>
      <c r="N246" s="890" t="str">
        <f t="shared" si="42"/>
        <v/>
      </c>
      <c r="O246" s="344" t="str">
        <f t="shared" si="43"/>
        <v/>
      </c>
      <c r="P246" s="344" t="str">
        <f t="shared" si="44"/>
        <v/>
      </c>
      <c r="Q246" s="195" t="str">
        <f t="shared" si="45"/>
        <v/>
      </c>
    </row>
    <row r="247" spans="1:18" s="1114" customFormat="1" ht="12.75" customHeight="1">
      <c r="A247" s="1093"/>
      <c r="B247" s="2368"/>
      <c r="C247" s="2332" t="s">
        <v>3617</v>
      </c>
      <c r="D247" s="2351"/>
      <c r="E247" s="2352"/>
      <c r="F247" s="2352"/>
      <c r="G247" s="893"/>
      <c r="H247" s="893"/>
      <c r="I247" s="893"/>
      <c r="J247" s="894"/>
      <c r="K247" s="889">
        <f t="shared" si="47"/>
        <v>1</v>
      </c>
      <c r="L247" s="888">
        <v>1</v>
      </c>
      <c r="M247" s="843">
        <f t="shared" si="46"/>
        <v>1</v>
      </c>
      <c r="N247" s="890" t="str">
        <f t="shared" si="42"/>
        <v/>
      </c>
      <c r="O247" s="344" t="str">
        <f t="shared" si="43"/>
        <v/>
      </c>
      <c r="P247" s="344" t="str">
        <f t="shared" si="44"/>
        <v/>
      </c>
      <c r="Q247" s="195" t="str">
        <f t="shared" si="45"/>
        <v/>
      </c>
      <c r="R247" s="195"/>
    </row>
    <row r="248" spans="1:18" s="1114" customFormat="1" ht="12.75" customHeight="1">
      <c r="A248" s="1093"/>
      <c r="B248" s="2369"/>
      <c r="C248" s="344" t="s">
        <v>3618</v>
      </c>
      <c r="D248" s="2353"/>
      <c r="E248" s="2354"/>
      <c r="F248" s="2355"/>
      <c r="G248" s="893"/>
      <c r="H248" s="893"/>
      <c r="I248" s="893"/>
      <c r="J248" s="2342"/>
      <c r="K248" s="889">
        <f t="shared" si="47"/>
        <v>1</v>
      </c>
      <c r="L248" s="888">
        <v>1</v>
      </c>
      <c r="M248" s="843">
        <f t="shared" si="46"/>
        <v>1</v>
      </c>
      <c r="N248" s="890" t="str">
        <f t="shared" si="42"/>
        <v/>
      </c>
      <c r="O248" s="344" t="str">
        <f t="shared" si="43"/>
        <v/>
      </c>
      <c r="P248" s="344" t="str">
        <f t="shared" si="44"/>
        <v/>
      </c>
      <c r="Q248" s="195" t="str">
        <f t="shared" si="45"/>
        <v/>
      </c>
      <c r="R248" s="195"/>
    </row>
    <row r="249" spans="1:18" s="1111" customFormat="1" ht="12.75" customHeight="1">
      <c r="A249" s="2370"/>
      <c r="B249" s="2371"/>
      <c r="C249" s="344" t="s">
        <v>3619</v>
      </c>
      <c r="D249" s="2356"/>
      <c r="E249" s="904"/>
      <c r="F249" s="2357"/>
      <c r="G249" s="1422"/>
      <c r="H249" s="1422"/>
      <c r="I249" s="1422"/>
      <c r="J249" s="1423"/>
      <c r="K249" s="889">
        <f t="shared" si="47"/>
        <v>1</v>
      </c>
      <c r="L249" s="888">
        <v>1</v>
      </c>
      <c r="M249" s="843">
        <f t="shared" si="46"/>
        <v>1</v>
      </c>
      <c r="N249" s="890" t="str">
        <f t="shared" si="42"/>
        <v/>
      </c>
      <c r="O249" s="344" t="str">
        <f t="shared" si="43"/>
        <v/>
      </c>
      <c r="P249" s="344" t="str">
        <f t="shared" si="44"/>
        <v/>
      </c>
      <c r="Q249" s="195" t="str">
        <f t="shared" si="45"/>
        <v/>
      </c>
      <c r="R249" s="195"/>
    </row>
    <row r="250" spans="1:18" s="195" customFormat="1" ht="12.75" customHeight="1">
      <c r="A250" s="1108"/>
      <c r="B250" s="2369"/>
      <c r="C250" s="344" t="s">
        <v>3620</v>
      </c>
      <c r="D250" s="2353"/>
      <c r="E250" s="2354"/>
      <c r="F250" s="2355"/>
      <c r="G250" s="891"/>
      <c r="H250" s="891"/>
      <c r="I250" s="891"/>
      <c r="J250" s="892"/>
      <c r="K250" s="889">
        <f t="shared" si="47"/>
        <v>1</v>
      </c>
      <c r="L250" s="888">
        <v>1</v>
      </c>
      <c r="M250" s="843">
        <f t="shared" si="46"/>
        <v>1</v>
      </c>
      <c r="N250" s="890" t="str">
        <f t="shared" si="42"/>
        <v/>
      </c>
      <c r="O250" s="344" t="str">
        <f t="shared" si="43"/>
        <v/>
      </c>
      <c r="P250" s="344" t="str">
        <f t="shared" si="44"/>
        <v/>
      </c>
      <c r="Q250" s="195" t="str">
        <f t="shared" si="45"/>
        <v/>
      </c>
    </row>
    <row r="251" spans="1:18" s="1111" customFormat="1" ht="12.75" customHeight="1">
      <c r="A251" s="1108"/>
      <c r="B251" s="2371"/>
      <c r="C251" s="106" t="s">
        <v>3621</v>
      </c>
      <c r="D251" s="2356"/>
      <c r="E251" s="904"/>
      <c r="F251" s="2357"/>
      <c r="G251" s="1422"/>
      <c r="H251" s="1422"/>
      <c r="I251" s="1422"/>
      <c r="J251" s="1423"/>
      <c r="K251" s="889">
        <f t="shared" si="47"/>
        <v>1</v>
      </c>
      <c r="L251" s="888">
        <v>1</v>
      </c>
      <c r="M251" s="843">
        <f t="shared" si="46"/>
        <v>1</v>
      </c>
      <c r="N251" s="890" t="str">
        <f t="shared" si="42"/>
        <v/>
      </c>
      <c r="O251" s="344" t="str">
        <f t="shared" si="43"/>
        <v/>
      </c>
      <c r="P251" s="344" t="str">
        <f t="shared" si="44"/>
        <v/>
      </c>
      <c r="Q251" s="195" t="str">
        <f t="shared" si="45"/>
        <v/>
      </c>
      <c r="R251" s="195"/>
    </row>
    <row r="252" spans="1:18" s="1111" customFormat="1" ht="12.75" customHeight="1">
      <c r="A252" s="1108"/>
      <c r="B252" s="2371"/>
      <c r="C252" s="106"/>
      <c r="D252" s="2356"/>
      <c r="E252" s="904"/>
      <c r="F252" s="2357"/>
      <c r="G252" s="1422"/>
      <c r="H252" s="1422"/>
      <c r="I252" s="1422"/>
      <c r="J252" s="1423"/>
      <c r="K252" s="889">
        <f t="shared" si="47"/>
        <v>1</v>
      </c>
      <c r="L252" s="888">
        <v>1</v>
      </c>
      <c r="M252" s="843">
        <f t="shared" si="46"/>
        <v>1</v>
      </c>
      <c r="N252" s="890" t="str">
        <f t="shared" si="42"/>
        <v/>
      </c>
      <c r="O252" s="344" t="str">
        <f t="shared" si="43"/>
        <v/>
      </c>
      <c r="P252" s="344" t="str">
        <f t="shared" si="44"/>
        <v/>
      </c>
      <c r="Q252" s="195" t="str">
        <f t="shared" si="45"/>
        <v/>
      </c>
      <c r="R252" s="195"/>
    </row>
    <row r="253" spans="1:18" s="195" customFormat="1" ht="12.75" customHeight="1">
      <c r="A253" s="1108"/>
      <c r="B253" s="2372"/>
      <c r="C253" s="2392" t="s">
        <v>729</v>
      </c>
      <c r="D253" s="2358"/>
      <c r="E253" s="1892"/>
      <c r="F253" s="1892"/>
      <c r="G253" s="891"/>
      <c r="H253" s="891"/>
      <c r="I253" s="891"/>
      <c r="J253" s="892"/>
      <c r="K253" s="889">
        <f t="shared" si="47"/>
        <v>1</v>
      </c>
      <c r="L253" s="888">
        <v>1</v>
      </c>
      <c r="M253" s="843">
        <f t="shared" si="46"/>
        <v>1</v>
      </c>
      <c r="N253" s="890" t="str">
        <f t="shared" si="42"/>
        <v/>
      </c>
      <c r="O253" s="344" t="str">
        <f t="shared" si="43"/>
        <v/>
      </c>
      <c r="P253" s="344" t="str">
        <f t="shared" si="44"/>
        <v/>
      </c>
      <c r="Q253" s="195" t="str">
        <f t="shared" si="45"/>
        <v/>
      </c>
    </row>
    <row r="254" spans="1:18" s="2344" customFormat="1" ht="12.75" customHeight="1">
      <c r="A254" s="1108"/>
      <c r="B254" s="1085">
        <v>2</v>
      </c>
      <c r="C254" s="904" t="str">
        <f>VLOOKUP(D254,base_datos,6,FALSE)</f>
        <v>IM Caja Moldeada 3x630A (electrónico [0.4-1.0] In) - T5N630-630A-3P-PR221DS-I - 70kA@230Vac, 36kA@415Vac - marca ABB.</v>
      </c>
      <c r="D254" s="338" t="s">
        <v>13958</v>
      </c>
      <c r="E254" s="1892">
        <f>VLOOKUP(D254,base_datos,5,FALSE)</f>
        <v>697.99</v>
      </c>
      <c r="F254" s="1893">
        <f>+E254*B254</f>
        <v>1395.98</v>
      </c>
      <c r="G254" s="1051"/>
      <c r="H254" s="1051"/>
      <c r="I254" s="1051"/>
      <c r="J254" s="2343"/>
      <c r="K254" s="889">
        <f t="shared" si="47"/>
        <v>1</v>
      </c>
      <c r="L254" s="888">
        <v>1</v>
      </c>
      <c r="M254" s="843">
        <f t="shared" si="46"/>
        <v>2</v>
      </c>
      <c r="N254" s="890">
        <f t="shared" si="42"/>
        <v>2</v>
      </c>
      <c r="O254" s="344" t="str">
        <f t="shared" si="43"/>
        <v>1SDA054397R1</v>
      </c>
      <c r="P254" s="344" t="str">
        <f t="shared" si="44"/>
        <v>IM Caja Moldeada 3x630A (electrónico [0.4-1.0] In) - T5N630-630A-3P-PR221DS-I - 70kA@230Vac, 36kA@415Vac - marca ABB.</v>
      </c>
      <c r="Q254" s="195" t="str">
        <f t="shared" si="45"/>
        <v>T5N630-630A-3P-PR221DS-I</v>
      </c>
      <c r="R254" s="195"/>
    </row>
    <row r="255" spans="1:18" s="195" customFormat="1" ht="12.75" customHeight="1">
      <c r="A255" s="1108"/>
      <c r="B255" s="1112"/>
      <c r="C255" s="2335" t="s">
        <v>729</v>
      </c>
      <c r="D255" s="2333"/>
      <c r="E255" s="1874"/>
      <c r="F255" s="1883"/>
      <c r="G255" s="891"/>
      <c r="H255" s="891"/>
      <c r="I255" s="891"/>
      <c r="J255" s="1022"/>
      <c r="K255" s="889">
        <f t="shared" si="47"/>
        <v>1</v>
      </c>
      <c r="L255" s="888">
        <v>1</v>
      </c>
      <c r="M255" s="843">
        <f t="shared" si="46"/>
        <v>1</v>
      </c>
      <c r="N255" s="890" t="str">
        <f t="shared" si="42"/>
        <v/>
      </c>
      <c r="O255" s="344" t="str">
        <f t="shared" si="43"/>
        <v/>
      </c>
      <c r="P255" s="344" t="str">
        <f t="shared" si="44"/>
        <v/>
      </c>
      <c r="Q255" s="195" t="str">
        <f t="shared" si="45"/>
        <v/>
      </c>
    </row>
    <row r="256" spans="1:18" s="195" customFormat="1" ht="12.75" customHeight="1">
      <c r="A256" s="1108"/>
      <c r="B256" s="1085">
        <v>1</v>
      </c>
      <c r="C256" s="904" t="str">
        <f>VLOOKUP(D256,base_datos,6,FALSE)</f>
        <v>Conmutador motorizado bajo carga (I-0-II), modelo OTM-C, 3p, 630A (AC21..AC22) / 630A (AC23) - marca ABB.</v>
      </c>
      <c r="D256" s="2442" t="s">
        <v>787</v>
      </c>
      <c r="E256" s="1892">
        <f>VLOOKUP(D256,base_datos,5,FALSE)</f>
        <v>2184.5500000000002</v>
      </c>
      <c r="F256" s="1893">
        <f>+E256*B256</f>
        <v>2184.5500000000002</v>
      </c>
      <c r="G256" s="891"/>
      <c r="H256" s="891"/>
      <c r="I256" s="891"/>
      <c r="J256" s="892"/>
      <c r="K256" s="889">
        <f t="shared" si="47"/>
        <v>1</v>
      </c>
      <c r="L256" s="888">
        <v>1</v>
      </c>
      <c r="M256" s="843">
        <f t="shared" si="46"/>
        <v>1</v>
      </c>
      <c r="N256" s="890">
        <f t="shared" si="42"/>
        <v>1</v>
      </c>
      <c r="O256" s="344" t="str">
        <f t="shared" si="43"/>
        <v>1SCA103567R1001</v>
      </c>
      <c r="P256" s="344" t="str">
        <f t="shared" si="44"/>
        <v>Conmutador motorizado bajo carga (I-0-II), modelo OTM-C, 3p, 630A (AC21..AC22) / 630A (AC23) - marca ABB.</v>
      </c>
      <c r="Q256" s="195" t="str">
        <f t="shared" si="45"/>
        <v>OTM_I-0-II_3p_630A</v>
      </c>
    </row>
    <row r="257" spans="1:18" s="1114" customFormat="1" ht="12.75" customHeight="1">
      <c r="A257" s="2363"/>
      <c r="B257" s="1112"/>
      <c r="C257" s="2335" t="s">
        <v>729</v>
      </c>
      <c r="D257" s="1868"/>
      <c r="E257" s="1874"/>
      <c r="F257" s="1869"/>
      <c r="G257" s="893"/>
      <c r="H257" s="893"/>
      <c r="I257" s="893"/>
      <c r="J257" s="894"/>
      <c r="K257" s="889">
        <f t="shared" si="47"/>
        <v>1</v>
      </c>
      <c r="L257" s="888">
        <v>1</v>
      </c>
      <c r="M257" s="843">
        <f t="shared" si="46"/>
        <v>1</v>
      </c>
      <c r="N257" s="890" t="str">
        <f t="shared" si="42"/>
        <v/>
      </c>
      <c r="O257" s="344" t="str">
        <f t="shared" si="43"/>
        <v/>
      </c>
      <c r="P257" s="344" t="str">
        <f t="shared" si="44"/>
        <v/>
      </c>
      <c r="Q257" s="195" t="str">
        <f t="shared" si="45"/>
        <v/>
      </c>
      <c r="R257" s="195"/>
    </row>
    <row r="258" spans="1:18" s="1114" customFormat="1" ht="12.75" customHeight="1">
      <c r="A258" s="2363"/>
      <c r="B258" s="1085">
        <v>2</v>
      </c>
      <c r="C258" s="904" t="str">
        <f>VLOOKUP(D258,base_datos,6,FALSE)</f>
        <v>1(Q) contacto conmutado de estado 1NA para OTM160..2500A - marca ABB.</v>
      </c>
      <c r="D258" s="2442" t="s">
        <v>2608</v>
      </c>
      <c r="E258" s="1892">
        <f>VLOOKUP(D258,base_datos,5,FALSE)</f>
        <v>11.32</v>
      </c>
      <c r="F258" s="1893">
        <f>+E258*B258</f>
        <v>22.64</v>
      </c>
      <c r="G258" s="893"/>
      <c r="H258" s="893"/>
      <c r="I258" s="893"/>
      <c r="J258" s="894"/>
      <c r="K258" s="889">
        <f t="shared" si="47"/>
        <v>1</v>
      </c>
      <c r="L258" s="888">
        <v>1</v>
      </c>
      <c r="M258" s="843">
        <f t="shared" si="46"/>
        <v>2</v>
      </c>
      <c r="N258" s="890">
        <f t="shared" si="42"/>
        <v>2</v>
      </c>
      <c r="O258" s="344" t="str">
        <f t="shared" si="43"/>
        <v>1SCA022353R4970</v>
      </c>
      <c r="P258" s="344" t="str">
        <f t="shared" si="44"/>
        <v>1(Q) contacto conmutado de estado 1NA para OTM160..2500A - marca ABB.</v>
      </c>
      <c r="Q258" s="195" t="str">
        <f t="shared" si="45"/>
        <v>1Q_OTM_160-2500A</v>
      </c>
      <c r="R258" s="195"/>
    </row>
    <row r="259" spans="1:18" s="1114" customFormat="1" ht="12.75" customHeight="1">
      <c r="A259" s="2363"/>
      <c r="B259" s="895"/>
      <c r="C259" s="2335" t="s">
        <v>729</v>
      </c>
      <c r="D259" s="182"/>
      <c r="E259" s="1874"/>
      <c r="F259" s="1875"/>
      <c r="G259" s="893"/>
      <c r="H259" s="893"/>
      <c r="I259" s="893"/>
      <c r="J259" s="894"/>
      <c r="K259" s="889">
        <f t="shared" si="47"/>
        <v>1</v>
      </c>
      <c r="L259" s="888">
        <v>1</v>
      </c>
      <c r="M259" s="843">
        <f t="shared" si="46"/>
        <v>1</v>
      </c>
      <c r="N259" s="890" t="str">
        <f t="shared" si="42"/>
        <v/>
      </c>
      <c r="O259" s="344" t="str">
        <f t="shared" si="43"/>
        <v/>
      </c>
      <c r="P259" s="344" t="str">
        <f t="shared" si="44"/>
        <v/>
      </c>
      <c r="Q259" s="195" t="str">
        <f t="shared" si="45"/>
        <v/>
      </c>
      <c r="R259" s="195"/>
    </row>
    <row r="260" spans="1:18" s="1114" customFormat="1" ht="12.75" customHeight="1">
      <c r="A260" s="2366"/>
      <c r="B260" s="1085">
        <v>1</v>
      </c>
      <c r="C260" s="904" t="str">
        <f>VLOOKUP(D260,base_datos,6,FALSE)</f>
        <v>Controlador de Conmutación Automática ATS022 - pantalla digital, con módulo de com. Modbus-RS485 para monitoreo - marca ABB.</v>
      </c>
      <c r="D260" s="2442" t="s">
        <v>754</v>
      </c>
      <c r="E260" s="1892">
        <f>VLOOKUP(D260,base_datos,5,FALSE)</f>
        <v>1065.17</v>
      </c>
      <c r="F260" s="1893">
        <f>+E260*B260</f>
        <v>1065.17</v>
      </c>
      <c r="G260" s="891"/>
      <c r="H260" s="891"/>
      <c r="I260" s="891"/>
      <c r="J260" s="1022"/>
      <c r="K260" s="889">
        <f t="shared" si="47"/>
        <v>1</v>
      </c>
      <c r="L260" s="888">
        <v>1</v>
      </c>
      <c r="M260" s="843">
        <f t="shared" si="46"/>
        <v>1</v>
      </c>
      <c r="N260" s="890">
        <f t="shared" si="42"/>
        <v>1</v>
      </c>
      <c r="O260" s="344" t="str">
        <f t="shared" si="43"/>
        <v>1SDA065524R1</v>
      </c>
      <c r="P260" s="344" t="str">
        <f t="shared" si="44"/>
        <v>Controlador de Conmutación Automática ATS022 - pantalla digital, con módulo de com. Modbus-RS485 para monitoreo - marca ABB.</v>
      </c>
      <c r="Q260" s="195" t="str">
        <f t="shared" si="45"/>
        <v>ATS022</v>
      </c>
      <c r="R260" s="195"/>
    </row>
    <row r="261" spans="1:18" s="195" customFormat="1" ht="12.75" customHeight="1">
      <c r="A261" s="1093"/>
      <c r="B261" s="1085">
        <v>2</v>
      </c>
      <c r="C261" s="904" t="str">
        <f>VLOOKUP(D261,base_datos,6,FALSE)</f>
        <v>ITM Riel-Din 3x10A - SH203-C-10A - 10kA@230Vac, 6kA@400Vac-IEC60898 - marca ABB.</v>
      </c>
      <c r="D261" s="1894" t="s">
        <v>4977</v>
      </c>
      <c r="E261" s="1892">
        <f>VLOOKUP(D261,base_datos,5,FALSE)</f>
        <v>14.34</v>
      </c>
      <c r="F261" s="1893">
        <f>+E261*B261</f>
        <v>28.68</v>
      </c>
      <c r="G261" s="891"/>
      <c r="H261" s="891"/>
      <c r="I261" s="891"/>
      <c r="J261" s="892"/>
      <c r="K261" s="889">
        <f t="shared" si="47"/>
        <v>1</v>
      </c>
      <c r="L261" s="888">
        <v>1</v>
      </c>
      <c r="M261" s="843">
        <f t="shared" si="46"/>
        <v>2</v>
      </c>
      <c r="N261" s="890">
        <f t="shared" si="42"/>
        <v>2</v>
      </c>
      <c r="O261" s="344" t="str">
        <f t="shared" si="43"/>
        <v>2CDS213001R0104</v>
      </c>
      <c r="P261" s="344" t="str">
        <f t="shared" si="44"/>
        <v>ITM Riel-Din 3x10A - SH203-C-10A - 10kA@230Vac, 6kA@400Vac-IEC60898 - marca ABB.</v>
      </c>
      <c r="Q261" s="195" t="str">
        <f t="shared" si="45"/>
        <v>SH203-C-10A</v>
      </c>
    </row>
    <row r="262" spans="1:18" s="195" customFormat="1" ht="12.75" customHeight="1">
      <c r="A262" s="1093"/>
      <c r="B262" s="1085">
        <v>1</v>
      </c>
      <c r="C262" s="904" t="str">
        <f>VLOOKUP(D262,base_datos,6,FALSE)</f>
        <v>Minicontactor de control DILER-22 / XTRM10A22B, 10A, 2NA+2NC, bobina 220Vac, marca EATON.</v>
      </c>
      <c r="D262" s="1881" t="s">
        <v>773</v>
      </c>
      <c r="E262" s="1892">
        <f>VLOOKUP(D262,base_datos,5,FALSE)</f>
        <v>35</v>
      </c>
      <c r="F262" s="1893">
        <f>+E262*B262</f>
        <v>35</v>
      </c>
      <c r="G262" s="891"/>
      <c r="H262" s="891"/>
      <c r="I262" s="891"/>
      <c r="J262" s="892"/>
      <c r="K262" s="889">
        <f t="shared" si="47"/>
        <v>1</v>
      </c>
      <c r="L262" s="888">
        <v>1</v>
      </c>
      <c r="M262" s="843">
        <f t="shared" si="46"/>
        <v>1</v>
      </c>
      <c r="N262" s="890">
        <f t="shared" si="42"/>
        <v>1</v>
      </c>
      <c r="O262" s="344" t="str">
        <f t="shared" si="43"/>
        <v>XTRM10A22B</v>
      </c>
      <c r="P262" s="344" t="str">
        <f t="shared" si="44"/>
        <v>Minicontactor de control DILER-22 / XTRM10A22B, 10A, 2NA+2NC, bobina 220Vac, marca EATON.</v>
      </c>
      <c r="Q262" s="195" t="str">
        <f t="shared" si="45"/>
        <v>XTRM10A22B</v>
      </c>
    </row>
    <row r="263" spans="1:18" s="195" customFormat="1" ht="12.75" customHeight="1">
      <c r="A263" s="1093"/>
      <c r="B263" s="2373">
        <v>24</v>
      </c>
      <c r="C263" s="904" t="str">
        <f>VLOOKUP(D263,base_datos,6,FALSE)</f>
        <v>Borne 4mm2.</v>
      </c>
      <c r="D263" s="1892" t="s">
        <v>437</v>
      </c>
      <c r="E263" s="1892">
        <f>VLOOKUP(D263,base_datos,5,FALSE)</f>
        <v>2.5</v>
      </c>
      <c r="F263" s="1892">
        <f>+E263*B263</f>
        <v>60</v>
      </c>
      <c r="G263" s="891"/>
      <c r="H263" s="891"/>
      <c r="I263" s="891"/>
      <c r="J263" s="892"/>
      <c r="K263" s="889">
        <f t="shared" si="47"/>
        <v>1</v>
      </c>
      <c r="L263" s="888">
        <v>1</v>
      </c>
      <c r="M263" s="889">
        <f t="shared" si="46"/>
        <v>24</v>
      </c>
      <c r="N263" s="890" t="str">
        <f t="shared" si="42"/>
        <v/>
      </c>
      <c r="O263" s="344" t="str">
        <f t="shared" si="43"/>
        <v/>
      </c>
      <c r="P263" s="344" t="str">
        <f t="shared" si="44"/>
        <v/>
      </c>
      <c r="Q263" s="195" t="str">
        <f t="shared" si="45"/>
        <v/>
      </c>
    </row>
    <row r="264" spans="1:18" s="195" customFormat="1" ht="12.75" customHeight="1">
      <c r="A264" s="1093"/>
      <c r="B264" s="2373">
        <v>0</v>
      </c>
      <c r="C264" s="904" t="str">
        <f>VLOOKUP(D264,base_datos,6,FALSE)</f>
        <v>Rele auxiliar enchufable +4NA/NC (D2PR4B + base D2PA6), 220Vac - marca EATON.</v>
      </c>
      <c r="D264" s="1892" t="s">
        <v>772</v>
      </c>
      <c r="E264" s="1893">
        <f>VLOOKUP(D264,base_datos,5,FALSE)</f>
        <v>27</v>
      </c>
      <c r="F264" s="1892">
        <f>+E264*B264</f>
        <v>0</v>
      </c>
      <c r="G264" s="891"/>
      <c r="H264" s="891"/>
      <c r="I264" s="891"/>
      <c r="J264" s="892"/>
      <c r="K264" s="889">
        <f t="shared" si="47"/>
        <v>1</v>
      </c>
      <c r="L264" s="888">
        <v>1</v>
      </c>
      <c r="M264" s="889">
        <f t="shared" si="46"/>
        <v>0</v>
      </c>
      <c r="N264" s="890">
        <f t="shared" si="42"/>
        <v>0</v>
      </c>
      <c r="O264" s="344" t="str">
        <f t="shared" si="43"/>
        <v>D2PR4B+D2PA6</v>
      </c>
      <c r="P264" s="344" t="str">
        <f t="shared" si="44"/>
        <v>Rele auxiliar enchufable +4NA/NC (D2PR4B + base D2PA6), 220Vac - marca EATON.</v>
      </c>
      <c r="Q264" s="195" t="str">
        <f t="shared" si="45"/>
        <v>D2PR4B+D2PA6</v>
      </c>
    </row>
    <row r="265" spans="1:18" s="1114" customFormat="1" ht="12.75" customHeight="1">
      <c r="A265" s="1093"/>
      <c r="B265" s="2374"/>
      <c r="C265" s="2335" t="s">
        <v>729</v>
      </c>
      <c r="D265" s="182"/>
      <c r="E265" s="1874"/>
      <c r="F265" s="1875"/>
      <c r="G265" s="893"/>
      <c r="H265" s="893"/>
      <c r="I265" s="893"/>
      <c r="J265" s="894"/>
      <c r="K265" s="889">
        <f t="shared" si="47"/>
        <v>1</v>
      </c>
      <c r="L265" s="888">
        <v>1</v>
      </c>
      <c r="M265" s="889">
        <f t="shared" si="46"/>
        <v>1</v>
      </c>
      <c r="N265" s="890" t="str">
        <f t="shared" si="42"/>
        <v/>
      </c>
      <c r="O265" s="344" t="str">
        <f t="shared" si="43"/>
        <v/>
      </c>
      <c r="P265" s="344" t="str">
        <f t="shared" si="44"/>
        <v/>
      </c>
      <c r="Q265" s="195" t="str">
        <f t="shared" si="45"/>
        <v/>
      </c>
      <c r="R265" s="195"/>
    </row>
    <row r="266" spans="1:18" s="195" customFormat="1" ht="12.75" customHeight="1">
      <c r="A266" s="2398"/>
      <c r="B266" s="2399">
        <v>1</v>
      </c>
      <c r="C266" s="1417" t="s">
        <v>13943</v>
      </c>
      <c r="D266" s="2359"/>
      <c r="E266" s="1901">
        <v>150</v>
      </c>
      <c r="F266" s="1895">
        <f t="shared" ref="F266:F267" si="48">+E266*B266</f>
        <v>150</v>
      </c>
      <c r="G266" s="891"/>
      <c r="H266" s="891"/>
      <c r="I266" s="891"/>
      <c r="J266" s="892"/>
      <c r="K266" s="889">
        <f t="shared" si="47"/>
        <v>1</v>
      </c>
      <c r="L266" s="888">
        <v>1</v>
      </c>
      <c r="M266" s="889">
        <f t="shared" si="46"/>
        <v>1</v>
      </c>
      <c r="N266" s="890" t="str">
        <f t="shared" si="42"/>
        <v/>
      </c>
      <c r="O266" s="344" t="str">
        <f t="shared" si="43"/>
        <v/>
      </c>
      <c r="P266" s="344" t="str">
        <f t="shared" si="44"/>
        <v/>
      </c>
      <c r="Q266" s="195" t="str">
        <f t="shared" si="45"/>
        <v/>
      </c>
    </row>
    <row r="267" spans="1:18" s="195" customFormat="1" ht="12.75" customHeight="1">
      <c r="A267" s="2398"/>
      <c r="B267" s="2399">
        <v>1</v>
      </c>
      <c r="C267" s="1417" t="s">
        <v>13944</v>
      </c>
      <c r="D267" s="2359"/>
      <c r="E267" s="1901">
        <v>250</v>
      </c>
      <c r="F267" s="1895">
        <f t="shared" si="48"/>
        <v>250</v>
      </c>
      <c r="G267" s="891"/>
      <c r="H267" s="891"/>
      <c r="I267" s="891"/>
      <c r="J267" s="892"/>
      <c r="K267" s="889">
        <f t="shared" si="47"/>
        <v>1</v>
      </c>
      <c r="L267" s="888">
        <v>1</v>
      </c>
      <c r="M267" s="889">
        <f t="shared" si="46"/>
        <v>1</v>
      </c>
      <c r="N267" s="890" t="str">
        <f t="shared" si="42"/>
        <v/>
      </c>
      <c r="O267" s="344" t="str">
        <f t="shared" si="43"/>
        <v/>
      </c>
      <c r="P267" s="344" t="str">
        <f t="shared" si="44"/>
        <v/>
      </c>
      <c r="Q267" s="195" t="str">
        <f t="shared" si="45"/>
        <v/>
      </c>
    </row>
    <row r="268" spans="1:18" s="1114" customFormat="1" ht="12.75" customHeight="1">
      <c r="A268" s="1093"/>
      <c r="B268" s="2374"/>
      <c r="C268" s="2392" t="s">
        <v>729</v>
      </c>
      <c r="D268" s="182"/>
      <c r="E268" s="1874"/>
      <c r="F268" s="1875"/>
      <c r="G268" s="893"/>
      <c r="H268" s="893"/>
      <c r="I268" s="893"/>
      <c r="J268" s="894"/>
      <c r="K268" s="889">
        <f t="shared" si="47"/>
        <v>1</v>
      </c>
      <c r="L268" s="888">
        <v>1</v>
      </c>
      <c r="M268" s="889">
        <f t="shared" si="46"/>
        <v>1</v>
      </c>
      <c r="N268" s="890" t="str">
        <f t="shared" si="42"/>
        <v/>
      </c>
      <c r="O268" s="344" t="str">
        <f t="shared" si="43"/>
        <v/>
      </c>
      <c r="P268" s="344" t="str">
        <f t="shared" si="44"/>
        <v/>
      </c>
      <c r="Q268" s="195" t="str">
        <f t="shared" si="45"/>
        <v/>
      </c>
      <c r="R268" s="195"/>
    </row>
    <row r="269" spans="1:18" s="862" customFormat="1">
      <c r="A269" s="865"/>
      <c r="B269" s="820"/>
      <c r="C269" s="859" t="s">
        <v>3535</v>
      </c>
      <c r="D269" s="2394"/>
      <c r="E269" s="2395"/>
      <c r="F269" s="2391"/>
      <c r="G269" s="860"/>
      <c r="H269" s="860"/>
      <c r="I269" s="860"/>
      <c r="J269" s="861"/>
      <c r="K269" s="889">
        <f t="shared" si="47"/>
        <v>1</v>
      </c>
      <c r="L269" s="412">
        <v>1</v>
      </c>
      <c r="M269" s="843">
        <f t="shared" si="46"/>
        <v>1</v>
      </c>
      <c r="N269" s="890" t="str">
        <f t="shared" ref="N269:N332" si="49">IF(O269&lt;&gt;"",K269*L269*M269,"")</f>
        <v/>
      </c>
      <c r="O269" s="344" t="str">
        <f t="shared" si="43"/>
        <v/>
      </c>
      <c r="P269" s="344" t="str">
        <f t="shared" si="44"/>
        <v/>
      </c>
      <c r="Q269" s="195" t="str">
        <f t="shared" si="45"/>
        <v/>
      </c>
    </row>
    <row r="270" spans="1:18" s="862" customFormat="1">
      <c r="A270" s="1128"/>
      <c r="B270" s="1122">
        <v>1</v>
      </c>
      <c r="C270" s="857" t="str">
        <f>VLOOKUP(D270,base_datos,6,FALSE)</f>
        <v>IM Caja Moldeada 3x400A (electrónico [0.4-1.0] In) - T5N400-400A-3P-PR221DS-I - 70kA@230Vac, 36kA@415Vac - marca ABB.</v>
      </c>
      <c r="D270" s="245" t="s">
        <v>9570</v>
      </c>
      <c r="E270" s="2393">
        <f>VLOOKUP(D270,base_datos,5,FALSE)</f>
        <v>556.15</v>
      </c>
      <c r="F270" s="2391">
        <f>+E270*B270</f>
        <v>556.15</v>
      </c>
      <c r="G270" s="860"/>
      <c r="H270" s="860"/>
      <c r="I270" s="860"/>
      <c r="J270" s="1420"/>
      <c r="K270" s="889">
        <f t="shared" si="47"/>
        <v>1</v>
      </c>
      <c r="L270" s="412">
        <v>1</v>
      </c>
      <c r="M270" s="843">
        <f t="shared" si="46"/>
        <v>1</v>
      </c>
      <c r="N270" s="890">
        <f t="shared" si="49"/>
        <v>1</v>
      </c>
      <c r="O270" s="344" t="str">
        <f t="shared" si="43"/>
        <v>1SDA054319R1</v>
      </c>
      <c r="P270" s="344" t="str">
        <f t="shared" si="44"/>
        <v>IM Caja Moldeada 3x400A (electrónico [0.4-1.0] In) - T5N400-400A-3P-PR221DS-I - 70kA@230Vac, 36kA@415Vac - marca ABB.</v>
      </c>
      <c r="Q270" s="195" t="str">
        <f t="shared" si="45"/>
        <v>T5N400-400A-3P-PR221DS-I</v>
      </c>
    </row>
    <row r="271" spans="1:18" s="862" customFormat="1">
      <c r="A271" s="2370"/>
      <c r="B271" s="1122">
        <v>1</v>
      </c>
      <c r="C271" s="857" t="str">
        <f>VLOOKUP(D271,base_datos,6,FALSE)</f>
        <v>IM Caja Moldeada 3x32A - XT2N160-32A-3P-MA - 65kA@230Vac, 36kA@415Vac - marca ABB.</v>
      </c>
      <c r="D271" s="182" t="s">
        <v>6676</v>
      </c>
      <c r="E271" s="2393">
        <f>VLOOKUP(D271,base_datos,5,FALSE)</f>
        <v>166.82999999999998</v>
      </c>
      <c r="F271" s="2391">
        <f>+E271*B271</f>
        <v>166.82999999999998</v>
      </c>
      <c r="G271" s="860"/>
      <c r="H271" s="860"/>
      <c r="I271" s="860"/>
      <c r="J271" s="1420"/>
      <c r="K271" s="889">
        <f t="shared" si="47"/>
        <v>1</v>
      </c>
      <c r="L271" s="412">
        <v>1</v>
      </c>
      <c r="M271" s="843">
        <f t="shared" si="46"/>
        <v>1</v>
      </c>
      <c r="N271" s="890">
        <f t="shared" si="49"/>
        <v>1</v>
      </c>
      <c r="O271" s="344" t="str">
        <f t="shared" ref="O271:O334" si="50">IF(D271&lt;&gt;"",IF(VLOOKUP(D271,base_datos,7,FALSE)&lt;&gt;"",VLOOKUP(D271,base_datos,7,FALSE),""),"")</f>
        <v>1SDA067050R1</v>
      </c>
      <c r="P271" s="344" t="str">
        <f t="shared" ref="P271:P334" si="51">IF(O271&lt;&gt;"",VLOOKUP(D271,base_datos,6,FALSE),"")</f>
        <v>IM Caja Moldeada 3x32A - XT2N160-32A-3P-MA - 65kA@230Vac, 36kA@415Vac - marca ABB.</v>
      </c>
      <c r="Q271" s="195" t="str">
        <f t="shared" ref="Q271:Q334" si="52">IF(O271&lt;&gt;"",D271,"")</f>
        <v>XT2N160-32A-3P-MA</v>
      </c>
    </row>
    <row r="272" spans="1:18" s="1114" customFormat="1" ht="12.75" customHeight="1">
      <c r="A272" s="1093"/>
      <c r="B272" s="2374"/>
      <c r="C272" s="2392" t="s">
        <v>729</v>
      </c>
      <c r="D272" s="182"/>
      <c r="E272" s="1874"/>
      <c r="F272" s="1875"/>
      <c r="G272" s="893"/>
      <c r="H272" s="893"/>
      <c r="I272" s="893"/>
      <c r="J272" s="894"/>
      <c r="K272" s="889">
        <f t="shared" si="47"/>
        <v>1</v>
      </c>
      <c r="L272" s="888">
        <v>1</v>
      </c>
      <c r="M272" s="889">
        <f t="shared" si="46"/>
        <v>1</v>
      </c>
      <c r="N272" s="890" t="str">
        <f t="shared" si="49"/>
        <v/>
      </c>
      <c r="O272" s="344" t="str">
        <f t="shared" si="50"/>
        <v/>
      </c>
      <c r="P272" s="344" t="str">
        <f t="shared" si="51"/>
        <v/>
      </c>
      <c r="Q272" s="195" t="str">
        <f t="shared" si="52"/>
        <v/>
      </c>
      <c r="R272" s="195"/>
    </row>
    <row r="273" spans="1:18" s="1111" customFormat="1">
      <c r="A273" s="865"/>
      <c r="B273" s="1415">
        <v>3</v>
      </c>
      <c r="C273" s="2353" t="s">
        <v>3591</v>
      </c>
      <c r="D273" s="2421"/>
      <c r="E273" s="2354"/>
      <c r="F273" s="2355"/>
      <c r="G273" s="1109"/>
      <c r="H273" s="1109"/>
      <c r="I273" s="1109"/>
      <c r="J273" s="1110"/>
      <c r="K273" s="889">
        <f t="shared" si="47"/>
        <v>1</v>
      </c>
      <c r="L273" s="888">
        <v>1</v>
      </c>
      <c r="M273" s="889">
        <f>IF(B273="",1,B273)</f>
        <v>3</v>
      </c>
      <c r="N273" s="890" t="str">
        <f t="shared" si="49"/>
        <v/>
      </c>
      <c r="O273" s="344" t="str">
        <f t="shared" si="50"/>
        <v/>
      </c>
      <c r="P273" s="344" t="str">
        <f t="shared" si="51"/>
        <v/>
      </c>
      <c r="Q273" s="195" t="str">
        <f t="shared" si="52"/>
        <v/>
      </c>
    </row>
    <row r="274" spans="1:18" s="195" customFormat="1">
      <c r="A274" s="1123"/>
      <c r="B274" s="1085">
        <v>2</v>
      </c>
      <c r="C274" s="904" t="str">
        <f>VLOOKUP(D274,base_datos,6,FALSE)</f>
        <v>FC-CuAl_T5 - Terminales + Cubrebornes - cables de cobre/aluminio hasta 2x240mm2 - 3 terminales (externos).</v>
      </c>
      <c r="D274" s="1881" t="s">
        <v>966</v>
      </c>
      <c r="E274" s="2379">
        <f>VLOOKUP(D274,base_datos,5,FALSE)</f>
        <v>100.13000000000001</v>
      </c>
      <c r="F274" s="1882">
        <f>+E274*B274</f>
        <v>200.26000000000002</v>
      </c>
      <c r="G274" s="891"/>
      <c r="H274" s="891"/>
      <c r="I274" s="891"/>
      <c r="J274" s="892"/>
      <c r="K274" s="889">
        <f>K272</f>
        <v>1</v>
      </c>
      <c r="L274" s="888">
        <v>1</v>
      </c>
      <c r="M274" s="889">
        <f>IF(B274="",1,B274)</f>
        <v>2</v>
      </c>
      <c r="N274" s="890">
        <f t="shared" si="49"/>
        <v>2</v>
      </c>
      <c r="O274" s="344" t="str">
        <f t="shared" si="50"/>
        <v>1SDA055032R1</v>
      </c>
      <c r="P274" s="344" t="str">
        <f t="shared" si="51"/>
        <v>FC-CuAl_T5 - Terminales + Cubrebornes - cables de cobre/aluminio hasta 2x240mm2 - 3 terminales (externos).</v>
      </c>
      <c r="Q274" s="195" t="str">
        <f t="shared" si="52"/>
        <v>FC-CuAl_T5_3t</v>
      </c>
    </row>
    <row r="275" spans="1:18" s="195" customFormat="1">
      <c r="A275" s="1123"/>
      <c r="B275" s="1085">
        <v>1</v>
      </c>
      <c r="C275" s="904" t="str">
        <f>VLOOKUP(D275,base_datos,6,FALSE)</f>
        <v>FC-CuAl_T5-400A - Terminales - cables de cobre/aluminio hasta 1x300mm2 - 3 terminales (internos).</v>
      </c>
      <c r="D275" s="1881" t="s">
        <v>5146</v>
      </c>
      <c r="E275" s="2379">
        <f>VLOOKUP(D275,base_datos,5,FALSE)</f>
        <v>73.17</v>
      </c>
      <c r="F275" s="1882">
        <f>+E275*B275</f>
        <v>73.17</v>
      </c>
      <c r="G275" s="891"/>
      <c r="H275" s="891"/>
      <c r="I275" s="891"/>
      <c r="J275" s="892"/>
      <c r="K275" s="889">
        <f>K273</f>
        <v>1</v>
      </c>
      <c r="L275" s="888">
        <v>1</v>
      </c>
      <c r="M275" s="889">
        <f>IF(B275="",1,B275)</f>
        <v>1</v>
      </c>
      <c r="N275" s="890">
        <f t="shared" si="49"/>
        <v>1</v>
      </c>
      <c r="O275" s="344" t="str">
        <f t="shared" si="50"/>
        <v>1SDA055024R1</v>
      </c>
      <c r="P275" s="344" t="str">
        <f t="shared" si="51"/>
        <v>FC-CuAl_T5-400A - Terminales - cables de cobre/aluminio hasta 1x300mm2 - 3 terminales (internos).</v>
      </c>
      <c r="Q275" s="195" t="str">
        <f t="shared" si="52"/>
        <v>FC-CuAl_T5_3t_400A</v>
      </c>
    </row>
    <row r="276" spans="1:18" s="195" customFormat="1">
      <c r="A276" s="1108"/>
      <c r="B276" s="895"/>
      <c r="C276" s="337" t="s">
        <v>729</v>
      </c>
      <c r="D276" s="182"/>
      <c r="E276" s="1874"/>
      <c r="F276" s="1875"/>
      <c r="G276" s="1866"/>
      <c r="H276" s="1866"/>
      <c r="I276" s="1866"/>
      <c r="J276" s="892"/>
      <c r="K276" s="889">
        <f t="shared" ref="K276:L286" si="53">K275</f>
        <v>1</v>
      </c>
      <c r="L276" s="888">
        <v>1</v>
      </c>
      <c r="M276" s="889">
        <f t="shared" ref="M276:M288" si="54">IF(B276="",1,B276)</f>
        <v>1</v>
      </c>
      <c r="N276" s="890" t="str">
        <f t="shared" si="49"/>
        <v/>
      </c>
      <c r="O276" s="344" t="str">
        <f t="shared" si="50"/>
        <v/>
      </c>
      <c r="P276" s="344" t="str">
        <f t="shared" si="51"/>
        <v/>
      </c>
      <c r="Q276" s="195" t="str">
        <f t="shared" si="52"/>
        <v/>
      </c>
    </row>
    <row r="277" spans="1:18" s="1114" customFormat="1">
      <c r="A277" s="2370"/>
      <c r="B277" s="1112">
        <v>2</v>
      </c>
      <c r="C277" s="1127" t="s">
        <v>4044</v>
      </c>
      <c r="D277" s="1868"/>
      <c r="E277" s="1874"/>
      <c r="F277" s="1883">
        <f>SUM(F278:F280)*(B277-1)</f>
        <v>64.612169999999992</v>
      </c>
      <c r="G277" s="2380"/>
      <c r="H277" s="2380"/>
      <c r="I277" s="2380"/>
      <c r="J277" s="894"/>
      <c r="K277" s="889">
        <f t="shared" si="53"/>
        <v>1</v>
      </c>
      <c r="L277" s="1113">
        <f>B277</f>
        <v>2</v>
      </c>
      <c r="M277" s="889">
        <f t="shared" si="54"/>
        <v>2</v>
      </c>
      <c r="N277" s="890" t="str">
        <f t="shared" si="49"/>
        <v/>
      </c>
      <c r="O277" s="344" t="str">
        <f t="shared" si="50"/>
        <v/>
      </c>
      <c r="P277" s="344" t="str">
        <f t="shared" si="51"/>
        <v/>
      </c>
      <c r="Q277" s="195" t="str">
        <f t="shared" si="52"/>
        <v/>
      </c>
      <c r="R277" s="195"/>
    </row>
    <row r="278" spans="1:18" s="195" customFormat="1">
      <c r="A278" s="1108"/>
      <c r="B278" s="2365">
        <v>3</v>
      </c>
      <c r="C278" s="2381" t="s">
        <v>14160</v>
      </c>
      <c r="D278" s="1884" t="s">
        <v>2473</v>
      </c>
      <c r="E278" s="1875">
        <v>15</v>
      </c>
      <c r="F278" s="1885">
        <f>+E278*B278</f>
        <v>45</v>
      </c>
      <c r="G278" s="1866"/>
      <c r="H278" s="1866"/>
      <c r="I278" s="1866"/>
      <c r="J278" s="892"/>
      <c r="K278" s="889">
        <f t="shared" si="53"/>
        <v>1</v>
      </c>
      <c r="L278" s="1116">
        <f t="shared" si="53"/>
        <v>2</v>
      </c>
      <c r="M278" s="889">
        <f t="shared" si="54"/>
        <v>3</v>
      </c>
      <c r="N278" s="890">
        <f t="shared" si="49"/>
        <v>6</v>
      </c>
      <c r="O278" s="344" t="str">
        <f t="shared" si="50"/>
        <v>1SFA619403R5231</v>
      </c>
      <c r="P278" s="344" t="str">
        <f t="shared" si="51"/>
        <v>Portalámpara + lampara tipo LED - color Rojo - alimentacion: 220-230Vac, d=22mm. - CL2-523R - línea compacta - marca ABB.</v>
      </c>
      <c r="Q278" s="195" t="str">
        <f t="shared" si="52"/>
        <v>LAMP_ROJO_220V</v>
      </c>
    </row>
    <row r="279" spans="1:18" s="1111" customFormat="1">
      <c r="A279" s="1126"/>
      <c r="B279" s="2384">
        <v>1</v>
      </c>
      <c r="C279" s="1115" t="s">
        <v>9497</v>
      </c>
      <c r="D279" s="1879"/>
      <c r="E279" s="1880"/>
      <c r="F279" s="1888"/>
      <c r="G279" s="2383"/>
      <c r="H279" s="2383"/>
      <c r="I279" s="2383"/>
      <c r="J279" s="1110"/>
      <c r="K279" s="889">
        <f t="shared" si="53"/>
        <v>1</v>
      </c>
      <c r="L279" s="1116">
        <f>L278</f>
        <v>2</v>
      </c>
      <c r="M279" s="889">
        <f t="shared" si="54"/>
        <v>1</v>
      </c>
      <c r="N279" s="890" t="str">
        <f t="shared" si="49"/>
        <v/>
      </c>
      <c r="O279" s="344" t="str">
        <f t="shared" si="50"/>
        <v/>
      </c>
      <c r="P279" s="344" t="str">
        <f t="shared" si="51"/>
        <v/>
      </c>
      <c r="Q279" s="195" t="str">
        <f t="shared" si="52"/>
        <v/>
      </c>
      <c r="R279" s="195"/>
    </row>
    <row r="280" spans="1:18" s="344" customFormat="1">
      <c r="A280" s="1093"/>
      <c r="B280" s="2371">
        <v>3</v>
      </c>
      <c r="C280" s="904" t="str">
        <f>VLOOKUP(D280,base_datos,6,FALSE)</f>
        <v>Base portafusibles + Fusibles de protección para control.</v>
      </c>
      <c r="D280" s="1881" t="s">
        <v>453</v>
      </c>
      <c r="E280" s="1892">
        <f>VLOOKUP(D280,base_datos,5,FALSE)</f>
        <v>6.5373900000000003</v>
      </c>
      <c r="F280" s="1897">
        <f>+E280*B280</f>
        <v>19.612169999999999</v>
      </c>
      <c r="G280" s="1898"/>
      <c r="H280" s="1898"/>
      <c r="I280" s="1898"/>
      <c r="J280" s="906"/>
      <c r="K280" s="889">
        <f t="shared" si="53"/>
        <v>1</v>
      </c>
      <c r="L280" s="1116">
        <f t="shared" si="53"/>
        <v>2</v>
      </c>
      <c r="M280" s="889">
        <f t="shared" si="54"/>
        <v>3</v>
      </c>
      <c r="N280" s="890" t="str">
        <f t="shared" si="49"/>
        <v/>
      </c>
      <c r="O280" s="344" t="str">
        <f t="shared" si="50"/>
        <v/>
      </c>
      <c r="P280" s="344" t="str">
        <f t="shared" si="51"/>
        <v/>
      </c>
      <c r="Q280" s="195" t="str">
        <f t="shared" si="52"/>
        <v/>
      </c>
      <c r="R280" s="195"/>
    </row>
    <row r="281" spans="1:18" s="195" customFormat="1">
      <c r="A281" s="1108"/>
      <c r="B281" s="895"/>
      <c r="C281" s="337" t="s">
        <v>729</v>
      </c>
      <c r="D281" s="182"/>
      <c r="E281" s="1874"/>
      <c r="F281" s="1875"/>
      <c r="G281" s="1866"/>
      <c r="H281" s="1866"/>
      <c r="I281" s="1866"/>
      <c r="J281" s="892"/>
      <c r="K281" s="889">
        <f t="shared" si="53"/>
        <v>1</v>
      </c>
      <c r="L281" s="888">
        <v>1</v>
      </c>
      <c r="M281" s="889">
        <f t="shared" si="54"/>
        <v>1</v>
      </c>
      <c r="N281" s="890" t="str">
        <f t="shared" si="49"/>
        <v/>
      </c>
      <c r="O281" s="344" t="str">
        <f t="shared" si="50"/>
        <v/>
      </c>
      <c r="P281" s="344" t="str">
        <f t="shared" si="51"/>
        <v/>
      </c>
      <c r="Q281" s="195" t="str">
        <f t="shared" si="52"/>
        <v/>
      </c>
    </row>
    <row r="282" spans="1:18" s="195" customFormat="1">
      <c r="A282" s="1108"/>
      <c r="B282" s="2385">
        <v>1</v>
      </c>
      <c r="C282" s="2386" t="s">
        <v>316</v>
      </c>
      <c r="D282" s="2387"/>
      <c r="E282" s="1892"/>
      <c r="F282" s="1901"/>
      <c r="G282" s="1866"/>
      <c r="H282" s="1866"/>
      <c r="I282" s="1866"/>
      <c r="J282" s="892"/>
      <c r="K282" s="889">
        <f t="shared" si="53"/>
        <v>1</v>
      </c>
      <c r="L282" s="888">
        <v>1</v>
      </c>
      <c r="M282" s="889">
        <f t="shared" si="54"/>
        <v>1</v>
      </c>
      <c r="N282" s="890" t="str">
        <f t="shared" si="49"/>
        <v/>
      </c>
      <c r="O282" s="344" t="str">
        <f t="shared" si="50"/>
        <v/>
      </c>
      <c r="P282" s="344" t="str">
        <f t="shared" si="51"/>
        <v/>
      </c>
      <c r="Q282" s="195" t="str">
        <f t="shared" si="52"/>
        <v/>
      </c>
    </row>
    <row r="283" spans="1:18" s="195" customFormat="1">
      <c r="A283" s="1108"/>
      <c r="B283" s="895"/>
      <c r="C283" s="337" t="s">
        <v>729</v>
      </c>
      <c r="D283" s="182"/>
      <c r="E283" s="1874"/>
      <c r="F283" s="1875"/>
      <c r="G283" s="1866"/>
      <c r="H283" s="1866"/>
      <c r="I283" s="1866"/>
      <c r="J283" s="892"/>
      <c r="K283" s="889">
        <f t="shared" si="53"/>
        <v>1</v>
      </c>
      <c r="L283" s="888">
        <v>1</v>
      </c>
      <c r="M283" s="889">
        <f t="shared" si="54"/>
        <v>1</v>
      </c>
      <c r="N283" s="890" t="str">
        <f t="shared" si="49"/>
        <v/>
      </c>
      <c r="O283" s="344" t="str">
        <f t="shared" si="50"/>
        <v/>
      </c>
      <c r="P283" s="344" t="str">
        <f t="shared" si="51"/>
        <v/>
      </c>
      <c r="Q283" s="195" t="str">
        <f t="shared" si="52"/>
        <v/>
      </c>
    </row>
    <row r="284" spans="1:18" s="1479" customFormat="1">
      <c r="A284" s="1128"/>
      <c r="B284" s="2402">
        <v>1</v>
      </c>
      <c r="C284" s="1417" t="s">
        <v>9500</v>
      </c>
      <c r="D284" s="1900"/>
      <c r="E284" s="1892">
        <v>160</v>
      </c>
      <c r="F284" s="1901">
        <f>+E284*B284</f>
        <v>160</v>
      </c>
      <c r="G284" s="1902"/>
      <c r="H284" s="1902"/>
      <c r="I284" s="1902"/>
      <c r="J284" s="1414"/>
      <c r="K284" s="889">
        <f t="shared" si="53"/>
        <v>1</v>
      </c>
      <c r="L284" s="888">
        <v>1</v>
      </c>
      <c r="M284" s="889">
        <f t="shared" si="54"/>
        <v>1</v>
      </c>
      <c r="N284" s="890" t="str">
        <f t="shared" si="49"/>
        <v/>
      </c>
      <c r="O284" s="344" t="str">
        <f t="shared" si="50"/>
        <v/>
      </c>
      <c r="P284" s="344" t="str">
        <f t="shared" si="51"/>
        <v/>
      </c>
      <c r="Q284" s="195" t="str">
        <f t="shared" si="52"/>
        <v/>
      </c>
    </row>
    <row r="285" spans="1:18" s="1088" customFormat="1">
      <c r="A285" s="865"/>
      <c r="B285" s="1085">
        <v>7</v>
      </c>
      <c r="C285" s="904" t="str">
        <f>VLOOKUP(D285,base_datos,6,FALSE)</f>
        <v>Rotulado por circuito.</v>
      </c>
      <c r="D285" s="1881" t="s">
        <v>3210</v>
      </c>
      <c r="E285" s="1892">
        <f>VLOOKUP(D285,base_datos,5,FALSE)</f>
        <v>0.7</v>
      </c>
      <c r="F285" s="1893">
        <f>+E285*B285</f>
        <v>4.8999999999999995</v>
      </c>
      <c r="G285" s="1903"/>
      <c r="H285" s="1903"/>
      <c r="I285" s="1903"/>
      <c r="J285" s="1087"/>
      <c r="K285" s="889">
        <f t="shared" si="53"/>
        <v>1</v>
      </c>
      <c r="L285" s="888">
        <v>1</v>
      </c>
      <c r="M285" s="889">
        <f t="shared" si="54"/>
        <v>7</v>
      </c>
      <c r="N285" s="890" t="str">
        <f t="shared" si="49"/>
        <v/>
      </c>
      <c r="O285" s="344" t="str">
        <f t="shared" si="50"/>
        <v/>
      </c>
      <c r="P285" s="344" t="str">
        <f t="shared" si="51"/>
        <v/>
      </c>
      <c r="Q285" s="195" t="str">
        <f t="shared" si="52"/>
        <v/>
      </c>
    </row>
    <row r="286" spans="1:18" s="1088" customFormat="1">
      <c r="A286" s="865"/>
      <c r="B286" s="1085">
        <v>1</v>
      </c>
      <c r="C286" s="904" t="str">
        <f>VLOOKUP(D286,base_datos,6,FALSE)</f>
        <v>Rotulado para TAG - tablero de distribución.</v>
      </c>
      <c r="D286" s="1881" t="s">
        <v>13942</v>
      </c>
      <c r="E286" s="1892">
        <f>VLOOKUP(D286,base_datos,5,FALSE)</f>
        <v>1.5</v>
      </c>
      <c r="F286" s="1893">
        <f>+E286*B286</f>
        <v>1.5</v>
      </c>
      <c r="G286" s="1903"/>
      <c r="H286" s="1903"/>
      <c r="I286" s="1903"/>
      <c r="J286" s="1087"/>
      <c r="K286" s="889">
        <f t="shared" si="53"/>
        <v>1</v>
      </c>
      <c r="L286" s="888">
        <v>1</v>
      </c>
      <c r="M286" s="889">
        <f t="shared" si="54"/>
        <v>1</v>
      </c>
      <c r="N286" s="890" t="str">
        <f t="shared" si="49"/>
        <v/>
      </c>
      <c r="O286" s="344" t="str">
        <f t="shared" si="50"/>
        <v/>
      </c>
      <c r="P286" s="344" t="str">
        <f t="shared" si="51"/>
        <v/>
      </c>
      <c r="Q286" s="195" t="str">
        <f t="shared" si="52"/>
        <v/>
      </c>
    </row>
    <row r="287" spans="1:18" s="1479" customFormat="1">
      <c r="A287" s="1128"/>
      <c r="B287" s="1412">
        <v>1</v>
      </c>
      <c r="C287" s="1417" t="s">
        <v>5302</v>
      </c>
      <c r="D287" s="1900"/>
      <c r="E287" s="1901">
        <f>E288*15%</f>
        <v>42</v>
      </c>
      <c r="F287" s="1901">
        <f>+E287*B287</f>
        <v>42</v>
      </c>
      <c r="G287" s="1902"/>
      <c r="H287" s="1902"/>
      <c r="I287" s="1902"/>
      <c r="J287" s="1414"/>
      <c r="K287" s="889">
        <f>K285</f>
        <v>1</v>
      </c>
      <c r="L287" s="888">
        <v>1</v>
      </c>
      <c r="M287" s="889">
        <f t="shared" si="54"/>
        <v>1</v>
      </c>
      <c r="N287" s="890" t="str">
        <f t="shared" si="49"/>
        <v/>
      </c>
      <c r="O287" s="344" t="str">
        <f t="shared" si="50"/>
        <v/>
      </c>
      <c r="P287" s="344" t="str">
        <f t="shared" si="51"/>
        <v/>
      </c>
      <c r="Q287" s="195" t="str">
        <f t="shared" si="52"/>
        <v/>
      </c>
    </row>
    <row r="288" spans="1:18" s="1479" customFormat="1">
      <c r="A288" s="1128"/>
      <c r="B288" s="1412">
        <v>1</v>
      </c>
      <c r="C288" s="1417" t="s">
        <v>14170</v>
      </c>
      <c r="D288" s="1900"/>
      <c r="E288" s="1901">
        <v>280</v>
      </c>
      <c r="F288" s="1901">
        <f>+E288*B288</f>
        <v>280</v>
      </c>
      <c r="G288" s="1902"/>
      <c r="H288" s="1902"/>
      <c r="I288" s="1902"/>
      <c r="J288" s="1414"/>
      <c r="K288" s="889">
        <f>K286</f>
        <v>1</v>
      </c>
      <c r="L288" s="888">
        <v>1</v>
      </c>
      <c r="M288" s="889">
        <f t="shared" si="54"/>
        <v>1</v>
      </c>
      <c r="N288" s="890" t="str">
        <f t="shared" si="49"/>
        <v/>
      </c>
      <c r="O288" s="344" t="str">
        <f t="shared" si="50"/>
        <v/>
      </c>
      <c r="P288" s="344" t="str">
        <f t="shared" si="51"/>
        <v/>
      </c>
      <c r="Q288" s="195" t="str">
        <f t="shared" si="52"/>
        <v/>
      </c>
    </row>
    <row r="289" spans="1:18" s="1746" customFormat="1" ht="13.5" thickBot="1">
      <c r="A289" s="2409"/>
      <c r="B289" s="2403"/>
      <c r="C289" s="1909"/>
      <c r="D289" s="2404"/>
      <c r="E289" s="1904"/>
      <c r="F289" s="1904"/>
      <c r="G289" s="2405"/>
      <c r="H289" s="2405"/>
      <c r="I289" s="2405"/>
      <c r="J289" s="1910"/>
      <c r="K289" s="1119"/>
      <c r="L289" s="2406"/>
      <c r="M289" s="2407"/>
      <c r="N289" s="890" t="str">
        <f t="shared" si="49"/>
        <v/>
      </c>
      <c r="O289" s="344" t="str">
        <f t="shared" si="50"/>
        <v/>
      </c>
      <c r="P289" s="344" t="str">
        <f t="shared" si="51"/>
        <v/>
      </c>
      <c r="Q289" s="195" t="str">
        <f t="shared" si="52"/>
        <v/>
      </c>
      <c r="R289" s="195"/>
    </row>
    <row r="290" spans="1:18" s="126" customFormat="1" ht="33" customHeight="1" thickBot="1">
      <c r="A290" s="1919">
        <v>5</v>
      </c>
      <c r="B290" s="2449">
        <v>19</v>
      </c>
      <c r="C290" s="2450" t="s">
        <v>14171</v>
      </c>
      <c r="D290" s="2451"/>
      <c r="E290" s="2452"/>
      <c r="F290" s="2452"/>
      <c r="G290" s="2453">
        <f>SUM(F291:F305)</f>
        <v>261.76388059701492</v>
      </c>
      <c r="H290" s="2453">
        <f>G290*(1-$D$6)</f>
        <v>196.32291044776119</v>
      </c>
      <c r="I290" s="2453">
        <f>ROUNDUP(H290*$D$5,0)</f>
        <v>668</v>
      </c>
      <c r="J290" s="2454">
        <f>+I290*B290</f>
        <v>12692</v>
      </c>
      <c r="K290" s="843">
        <f>B290</f>
        <v>19</v>
      </c>
      <c r="L290" s="412"/>
      <c r="M290" s="843"/>
      <c r="N290" s="890" t="str">
        <f t="shared" si="49"/>
        <v/>
      </c>
      <c r="O290" s="344" t="str">
        <f t="shared" si="50"/>
        <v/>
      </c>
      <c r="P290" s="344" t="str">
        <f t="shared" si="51"/>
        <v/>
      </c>
      <c r="Q290" s="195" t="str">
        <f t="shared" si="52"/>
        <v/>
      </c>
      <c r="R290" s="195"/>
    </row>
    <row r="291" spans="1:18" s="126" customFormat="1" ht="15" customHeight="1">
      <c r="A291" s="2455" t="s">
        <v>9502</v>
      </c>
      <c r="B291" s="1418"/>
      <c r="C291" s="1104"/>
      <c r="D291" s="2456"/>
      <c r="E291" s="842"/>
      <c r="F291" s="2390"/>
      <c r="G291" s="2457"/>
      <c r="H291" s="2457"/>
      <c r="I291" s="2457"/>
      <c r="J291" s="2458"/>
      <c r="K291" s="843">
        <f>K290</f>
        <v>19</v>
      </c>
      <c r="L291" s="412">
        <v>1</v>
      </c>
      <c r="M291" s="843">
        <f t="shared" ref="M291:M304" si="55">IF(B291="",1,B291)</f>
        <v>1</v>
      </c>
      <c r="N291" s="890" t="str">
        <f t="shared" si="49"/>
        <v/>
      </c>
      <c r="O291" s="344" t="str">
        <f t="shared" si="50"/>
        <v/>
      </c>
      <c r="P291" s="344" t="str">
        <f t="shared" si="51"/>
        <v/>
      </c>
      <c r="Q291" s="195" t="str">
        <f t="shared" si="52"/>
        <v/>
      </c>
      <c r="R291" s="195"/>
    </row>
    <row r="292" spans="1:18" s="126" customFormat="1" ht="15" customHeight="1">
      <c r="A292" s="1913"/>
      <c r="B292" s="1122"/>
      <c r="C292" s="1922" t="s">
        <v>3301</v>
      </c>
      <c r="D292" s="2459"/>
      <c r="E292" s="2460"/>
      <c r="F292" s="2391"/>
      <c r="G292" s="2457"/>
      <c r="H292" s="2457"/>
      <c r="I292" s="2457"/>
      <c r="J292" s="2461"/>
      <c r="K292" s="843">
        <f t="shared" ref="K292:K305" si="56">K291</f>
        <v>19</v>
      </c>
      <c r="L292" s="412">
        <v>1</v>
      </c>
      <c r="M292" s="843">
        <f t="shared" si="55"/>
        <v>1</v>
      </c>
      <c r="N292" s="890" t="str">
        <f t="shared" si="49"/>
        <v/>
      </c>
      <c r="O292" s="344" t="str">
        <f t="shared" si="50"/>
        <v/>
      </c>
      <c r="P292" s="344" t="str">
        <f t="shared" si="51"/>
        <v/>
      </c>
      <c r="Q292" s="195" t="str">
        <f t="shared" si="52"/>
        <v/>
      </c>
      <c r="R292" s="195"/>
    </row>
    <row r="293" spans="1:18" s="862" customFormat="1" ht="15" customHeight="1">
      <c r="A293" s="1913" t="s">
        <v>10377</v>
      </c>
      <c r="B293" s="1122">
        <v>1</v>
      </c>
      <c r="C293" s="2462" t="str">
        <f>VLOOKUP(D293,base_datos,6,FALSE)</f>
        <v>ITM Riel-Din 2x63A - SH202-C-63A - 10kA@230Vac, 6kA@400Vac-IEC60898 - marca ABB.</v>
      </c>
      <c r="D293" s="1894" t="s">
        <v>1065</v>
      </c>
      <c r="E293" s="2460">
        <f>VLOOKUP(D293,base_datos,5,FALSE)</f>
        <v>11.74</v>
      </c>
      <c r="F293" s="2391">
        <f>+E293*B293</f>
        <v>11.74</v>
      </c>
      <c r="G293" s="2463"/>
      <c r="H293" s="2463"/>
      <c r="I293" s="2463"/>
      <c r="J293" s="2464"/>
      <c r="K293" s="843">
        <f t="shared" si="56"/>
        <v>19</v>
      </c>
      <c r="L293" s="412">
        <v>1</v>
      </c>
      <c r="M293" s="843">
        <f t="shared" si="55"/>
        <v>1</v>
      </c>
      <c r="N293" s="890">
        <f t="shared" si="49"/>
        <v>19</v>
      </c>
      <c r="O293" s="344" t="str">
        <f t="shared" si="50"/>
        <v>2CDS212001R0634</v>
      </c>
      <c r="P293" s="344" t="str">
        <f t="shared" si="51"/>
        <v>ITM Riel-Din 2x63A - SH202-C-63A - 10kA@230Vac, 6kA@400Vac-IEC60898 - marca ABB.</v>
      </c>
      <c r="Q293" s="195" t="str">
        <f t="shared" si="52"/>
        <v>SH202-C-63A</v>
      </c>
      <c r="R293" s="195"/>
    </row>
    <row r="294" spans="1:18" s="195" customFormat="1" ht="15" customHeight="1">
      <c r="A294" s="1913" t="s">
        <v>10378</v>
      </c>
      <c r="B294" s="1870"/>
      <c r="C294" s="197" t="s">
        <v>729</v>
      </c>
      <c r="D294" s="182"/>
      <c r="E294" s="1021"/>
      <c r="F294" s="2352"/>
      <c r="G294" s="2457"/>
      <c r="H294" s="2457"/>
      <c r="I294" s="2457"/>
      <c r="J294" s="2461"/>
      <c r="K294" s="843">
        <f t="shared" si="56"/>
        <v>19</v>
      </c>
      <c r="L294" s="412">
        <v>1</v>
      </c>
      <c r="M294" s="843">
        <f t="shared" si="55"/>
        <v>1</v>
      </c>
      <c r="N294" s="890" t="str">
        <f t="shared" si="49"/>
        <v/>
      </c>
      <c r="O294" s="344" t="str">
        <f t="shared" si="50"/>
        <v/>
      </c>
      <c r="P294" s="344" t="str">
        <f t="shared" si="51"/>
        <v/>
      </c>
      <c r="Q294" s="195" t="str">
        <f t="shared" si="52"/>
        <v/>
      </c>
    </row>
    <row r="295" spans="1:18" s="862" customFormat="1" ht="15" customHeight="1">
      <c r="A295" s="1913"/>
      <c r="B295" s="820"/>
      <c r="C295" s="1922" t="s">
        <v>14172</v>
      </c>
      <c r="D295" s="1896"/>
      <c r="E295" s="842"/>
      <c r="F295" s="2391">
        <f>+E295*B295</f>
        <v>0</v>
      </c>
      <c r="G295" s="2463"/>
      <c r="H295" s="2463"/>
      <c r="I295" s="2463"/>
      <c r="J295" s="2464"/>
      <c r="K295" s="843">
        <f t="shared" si="56"/>
        <v>19</v>
      </c>
      <c r="L295" s="412">
        <v>1</v>
      </c>
      <c r="M295" s="843">
        <f t="shared" si="55"/>
        <v>1</v>
      </c>
      <c r="N295" s="890" t="str">
        <f t="shared" si="49"/>
        <v/>
      </c>
      <c r="O295" s="344" t="str">
        <f t="shared" si="50"/>
        <v/>
      </c>
      <c r="P295" s="344" t="str">
        <f t="shared" si="51"/>
        <v/>
      </c>
      <c r="Q295" s="195" t="str">
        <f t="shared" si="52"/>
        <v/>
      </c>
      <c r="R295" s="195"/>
    </row>
    <row r="296" spans="1:18" s="862" customFormat="1" ht="15" customHeight="1">
      <c r="A296" s="2515" t="s">
        <v>13383</v>
      </c>
      <c r="B296" s="1122">
        <v>6</v>
      </c>
      <c r="C296" s="2462" t="str">
        <f>VLOOKUP(D296,base_datos,6,FALSE)</f>
        <v>ITM Riel-Din 2x20A - SH202-C-20A - 10kA@230Vac, 6kA@400Vac-IEC60898 - marca ABB.</v>
      </c>
      <c r="D296" s="1894" t="s">
        <v>1060</v>
      </c>
      <c r="E296" s="2460">
        <f>VLOOKUP(D296,base_datos,5,FALSE)</f>
        <v>6.54</v>
      </c>
      <c r="F296" s="2391">
        <f>+E296*B296</f>
        <v>39.24</v>
      </c>
      <c r="G296" s="2463"/>
      <c r="H296" s="2463"/>
      <c r="I296" s="2463"/>
      <c r="J296" s="2465"/>
      <c r="K296" s="843">
        <f t="shared" si="56"/>
        <v>19</v>
      </c>
      <c r="L296" s="412">
        <v>1</v>
      </c>
      <c r="M296" s="843">
        <f t="shared" si="55"/>
        <v>6</v>
      </c>
      <c r="N296" s="890">
        <f t="shared" si="49"/>
        <v>114</v>
      </c>
      <c r="O296" s="344" t="str">
        <f t="shared" si="50"/>
        <v>2CDS212001R0204</v>
      </c>
      <c r="P296" s="344" t="str">
        <f t="shared" si="51"/>
        <v>ITM Riel-Din 2x20A - SH202-C-20A - 10kA@230Vac, 6kA@400Vac-IEC60898 - marca ABB.</v>
      </c>
      <c r="Q296" s="195" t="str">
        <f t="shared" si="52"/>
        <v>SH202-C-20A</v>
      </c>
      <c r="R296" s="195"/>
    </row>
    <row r="297" spans="1:18" s="862" customFormat="1" ht="15" customHeight="1">
      <c r="A297" s="2472"/>
      <c r="B297" s="1122">
        <v>6</v>
      </c>
      <c r="C297" s="2462" t="str">
        <f>VLOOKUP(D297,base_datos,6,FALSE)</f>
        <v>Interruptor Diferencial 2x25A - 30mA - clase AC - FH202-AC-25A-30mA - marca ABB.</v>
      </c>
      <c r="D297" s="2466" t="s">
        <v>1109</v>
      </c>
      <c r="E297" s="2460">
        <f>VLOOKUP(D297,base_datos,5,FALSE)</f>
        <v>24.41</v>
      </c>
      <c r="F297" s="2391">
        <f>+E297*B297</f>
        <v>146.46</v>
      </c>
      <c r="G297" s="2463"/>
      <c r="H297" s="2463"/>
      <c r="I297" s="2463"/>
      <c r="J297" s="2465"/>
      <c r="K297" s="843">
        <f t="shared" si="56"/>
        <v>19</v>
      </c>
      <c r="L297" s="412">
        <v>1</v>
      </c>
      <c r="M297" s="843">
        <f t="shared" si="55"/>
        <v>6</v>
      </c>
      <c r="N297" s="890">
        <f t="shared" si="49"/>
        <v>114</v>
      </c>
      <c r="O297" s="344" t="str">
        <f t="shared" si="50"/>
        <v>1TMF202006R1250</v>
      </c>
      <c r="P297" s="344" t="str">
        <f t="shared" si="51"/>
        <v>Interruptor Diferencial 2x25A - 30mA - clase AC - FH202-AC-25A-30mA - marca ABB.</v>
      </c>
      <c r="Q297" s="195" t="str">
        <f t="shared" si="52"/>
        <v>FH202-AC-25A-30mA</v>
      </c>
      <c r="R297" s="195"/>
    </row>
    <row r="298" spans="1:18" s="2340" customFormat="1" ht="15" customHeight="1">
      <c r="A298" s="2472"/>
      <c r="B298" s="2443">
        <v>1</v>
      </c>
      <c r="C298" s="2467" t="str">
        <f>VLOOKUP(D298,base_datos,6,FALSE)</f>
        <v>Espacio de reserva monofasica + interruptor diferencial - Riel-Din.</v>
      </c>
      <c r="D298" s="2468" t="s">
        <v>3069</v>
      </c>
      <c r="E298" s="2469">
        <f>VLOOKUP(D298,base_datos,5,FALSE)</f>
        <v>2.5</v>
      </c>
      <c r="F298" s="2447">
        <f>+E298*B298</f>
        <v>2.5</v>
      </c>
      <c r="G298" s="2470"/>
      <c r="H298" s="2470"/>
      <c r="I298" s="2470"/>
      <c r="J298" s="2471"/>
      <c r="K298" s="843">
        <f t="shared" si="56"/>
        <v>19</v>
      </c>
      <c r="L298" s="412">
        <v>1</v>
      </c>
      <c r="M298" s="843">
        <f t="shared" si="55"/>
        <v>1</v>
      </c>
      <c r="N298" s="890" t="str">
        <f t="shared" si="49"/>
        <v/>
      </c>
      <c r="O298" s="344" t="str">
        <f t="shared" si="50"/>
        <v/>
      </c>
      <c r="P298" s="344" t="str">
        <f t="shared" si="51"/>
        <v/>
      </c>
      <c r="Q298" s="195" t="str">
        <f t="shared" si="52"/>
        <v/>
      </c>
      <c r="R298" s="195"/>
    </row>
    <row r="299" spans="1:18" s="1088" customFormat="1" ht="15" customHeight="1">
      <c r="A299" s="2472"/>
      <c r="B299" s="2473">
        <v>1</v>
      </c>
      <c r="C299" s="2474" t="str">
        <f>VLOOKUP(D299,base_datos,6,FALSE)</f>
        <v>"Peine" monofásico para 18 polos.</v>
      </c>
      <c r="D299" s="2475" t="s">
        <v>8385</v>
      </c>
      <c r="E299" s="2474">
        <f>VLOOKUP(D299,base_datos,5,FALSE)</f>
        <v>10.723880597014924</v>
      </c>
      <c r="F299" s="2476">
        <f>+E299*B299</f>
        <v>10.723880597014924</v>
      </c>
      <c r="G299" s="2477"/>
      <c r="H299" s="2477"/>
      <c r="I299" s="2477"/>
      <c r="J299" s="2478"/>
      <c r="K299" s="843">
        <f t="shared" si="56"/>
        <v>19</v>
      </c>
      <c r="L299" s="412">
        <v>1</v>
      </c>
      <c r="M299" s="843">
        <f t="shared" si="55"/>
        <v>1</v>
      </c>
      <c r="N299" s="890" t="str">
        <f t="shared" si="49"/>
        <v/>
      </c>
      <c r="O299" s="344" t="str">
        <f t="shared" si="50"/>
        <v/>
      </c>
      <c r="P299" s="344" t="str">
        <f t="shared" si="51"/>
        <v/>
      </c>
      <c r="Q299" s="195" t="str">
        <f t="shared" si="52"/>
        <v/>
      </c>
    </row>
    <row r="300" spans="1:18" s="195" customFormat="1" ht="15" customHeight="1">
      <c r="A300" s="2472"/>
      <c r="B300" s="2479"/>
      <c r="C300" s="45" t="s">
        <v>729</v>
      </c>
      <c r="D300" s="177"/>
      <c r="E300" s="2480"/>
      <c r="F300" s="2481"/>
      <c r="G300" s="2457"/>
      <c r="H300" s="2457"/>
      <c r="I300" s="2457"/>
      <c r="J300" s="2461"/>
      <c r="K300" s="843">
        <f t="shared" si="56"/>
        <v>19</v>
      </c>
      <c r="L300" s="412">
        <v>1</v>
      </c>
      <c r="M300" s="843">
        <f t="shared" si="55"/>
        <v>1</v>
      </c>
      <c r="N300" s="890" t="str">
        <f t="shared" si="49"/>
        <v/>
      </c>
      <c r="O300" s="344" t="str">
        <f t="shared" si="50"/>
        <v/>
      </c>
      <c r="P300" s="344" t="str">
        <f t="shared" si="51"/>
        <v/>
      </c>
      <c r="Q300" s="195" t="str">
        <f t="shared" si="52"/>
        <v/>
      </c>
    </row>
    <row r="301" spans="1:18" s="870" customFormat="1" ht="15" customHeight="1">
      <c r="A301" s="1912"/>
      <c r="B301" s="2479">
        <v>1</v>
      </c>
      <c r="C301" s="45" t="s">
        <v>316</v>
      </c>
      <c r="D301" s="2482"/>
      <c r="E301" s="2474"/>
      <c r="F301" s="2483"/>
      <c r="G301" s="2484"/>
      <c r="H301" s="2484"/>
      <c r="I301" s="2484"/>
      <c r="J301" s="2485"/>
      <c r="K301" s="843">
        <f t="shared" si="56"/>
        <v>19</v>
      </c>
      <c r="L301" s="412">
        <v>1</v>
      </c>
      <c r="M301" s="843">
        <f t="shared" si="55"/>
        <v>1</v>
      </c>
      <c r="N301" s="890" t="str">
        <f t="shared" si="49"/>
        <v/>
      </c>
      <c r="O301" s="344" t="str">
        <f t="shared" si="50"/>
        <v/>
      </c>
      <c r="P301" s="344" t="str">
        <f t="shared" si="51"/>
        <v/>
      </c>
      <c r="Q301" s="195" t="str">
        <f t="shared" si="52"/>
        <v/>
      </c>
      <c r="R301" s="195"/>
    </row>
    <row r="302" spans="1:18" s="195" customFormat="1" ht="15" customHeight="1">
      <c r="A302" s="194"/>
      <c r="B302" s="2479"/>
      <c r="C302" s="45" t="s">
        <v>729</v>
      </c>
      <c r="D302" s="177"/>
      <c r="E302" s="2480"/>
      <c r="F302" s="2481"/>
      <c r="G302" s="2457"/>
      <c r="H302" s="2457"/>
      <c r="I302" s="2457"/>
      <c r="J302" s="2461"/>
      <c r="K302" s="843">
        <f t="shared" si="56"/>
        <v>19</v>
      </c>
      <c r="L302" s="412">
        <v>1</v>
      </c>
      <c r="M302" s="843">
        <f t="shared" si="55"/>
        <v>1</v>
      </c>
      <c r="N302" s="890" t="str">
        <f t="shared" si="49"/>
        <v/>
      </c>
      <c r="O302" s="344" t="str">
        <f t="shared" si="50"/>
        <v/>
      </c>
      <c r="P302" s="344" t="str">
        <f t="shared" si="51"/>
        <v/>
      </c>
      <c r="Q302" s="195" t="str">
        <f t="shared" si="52"/>
        <v/>
      </c>
    </row>
    <row r="303" spans="1:18" s="1088" customFormat="1" ht="15" customHeight="1">
      <c r="A303" s="2486"/>
      <c r="B303" s="2473">
        <v>13</v>
      </c>
      <c r="C303" s="2474" t="str">
        <f>VLOOKUP(D303,base_datos,6,FALSE)</f>
        <v>Rotulado por circuito.</v>
      </c>
      <c r="D303" s="2475" t="s">
        <v>3210</v>
      </c>
      <c r="E303" s="2474">
        <f>VLOOKUP(D303,base_datos,5,FALSE)</f>
        <v>0.7</v>
      </c>
      <c r="F303" s="2476">
        <f>+E303*B303</f>
        <v>9.1</v>
      </c>
      <c r="G303" s="2477"/>
      <c r="H303" s="2477"/>
      <c r="I303" s="2477"/>
      <c r="J303" s="2478"/>
      <c r="K303" s="843">
        <f t="shared" si="56"/>
        <v>19</v>
      </c>
      <c r="L303" s="412">
        <v>1</v>
      </c>
      <c r="M303" s="843">
        <f t="shared" si="55"/>
        <v>13</v>
      </c>
      <c r="N303" s="890" t="str">
        <f t="shared" si="49"/>
        <v/>
      </c>
      <c r="O303" s="344" t="str">
        <f t="shared" si="50"/>
        <v/>
      </c>
      <c r="P303" s="344" t="str">
        <f t="shared" si="51"/>
        <v/>
      </c>
      <c r="Q303" s="195" t="str">
        <f t="shared" si="52"/>
        <v/>
      </c>
    </row>
    <row r="304" spans="1:18" s="1088" customFormat="1" ht="15" customHeight="1">
      <c r="A304" s="2486"/>
      <c r="B304" s="2473">
        <v>1</v>
      </c>
      <c r="C304" s="2474" t="str">
        <f>VLOOKUP(D304,base_datos,6,FALSE)</f>
        <v>Rotulado para TAG - tablero de distribución.</v>
      </c>
      <c r="D304" s="2475" t="s">
        <v>3209</v>
      </c>
      <c r="E304" s="2474">
        <f>VLOOKUP(D304,base_datos,5,FALSE)</f>
        <v>1.5</v>
      </c>
      <c r="F304" s="2476">
        <f>+E304*B304</f>
        <v>1.5</v>
      </c>
      <c r="G304" s="2477"/>
      <c r="H304" s="2477"/>
      <c r="I304" s="2477"/>
      <c r="J304" s="2478"/>
      <c r="K304" s="843">
        <f t="shared" si="56"/>
        <v>19</v>
      </c>
      <c r="L304" s="412">
        <v>1</v>
      </c>
      <c r="M304" s="843">
        <f t="shared" si="55"/>
        <v>1</v>
      </c>
      <c r="N304" s="890" t="str">
        <f t="shared" si="49"/>
        <v/>
      </c>
      <c r="O304" s="344" t="str">
        <f t="shared" si="50"/>
        <v/>
      </c>
      <c r="P304" s="344" t="str">
        <f t="shared" si="51"/>
        <v/>
      </c>
      <c r="Q304" s="195" t="str">
        <f t="shared" si="52"/>
        <v/>
      </c>
    </row>
    <row r="305" spans="1:31" s="1479" customFormat="1" ht="15" customHeight="1">
      <c r="A305" s="1914"/>
      <c r="B305" s="1915">
        <v>1</v>
      </c>
      <c r="C305" s="2487" t="str">
        <f>VLOOKUP(D305,base_datos,6,FALSE)</f>
        <v>TABLERO EMPO. L/HALOG. 40 POLOS C/BORNE A/H PVC /8206PFR1</v>
      </c>
      <c r="D305" s="427" t="s">
        <v>13382</v>
      </c>
      <c r="E305" s="2487">
        <f>VLOOKUP(D305,base_datos,5,FALSE)</f>
        <v>40.5</v>
      </c>
      <c r="F305" s="1417">
        <f>+E305*B305</f>
        <v>40.5</v>
      </c>
      <c r="G305" s="2488"/>
      <c r="H305" s="2488"/>
      <c r="I305" s="2488"/>
      <c r="J305" s="1414"/>
      <c r="K305" s="843">
        <f t="shared" si="56"/>
        <v>19</v>
      </c>
      <c r="L305" s="412">
        <v>1</v>
      </c>
      <c r="M305" s="843">
        <f>IF(B305="",1,B305)</f>
        <v>1</v>
      </c>
      <c r="N305" s="890">
        <f t="shared" si="49"/>
        <v>19</v>
      </c>
      <c r="O305" s="344" t="str">
        <f t="shared" si="50"/>
        <v>SOLERA 40MODULOS</v>
      </c>
      <c r="P305" s="344" t="str">
        <f t="shared" si="51"/>
        <v>TABLERO EMPO. L/HALOG. 40 POLOS C/BORNE A/H PVC /8206PFR1</v>
      </c>
      <c r="Q305" s="195" t="str">
        <f t="shared" si="52"/>
        <v>SOLERA 40MODULOS</v>
      </c>
      <c r="R305" s="862"/>
      <c r="S305" s="862"/>
      <c r="T305" s="2489"/>
      <c r="U305" s="2489"/>
      <c r="V305" s="2489"/>
      <c r="W305" s="2489"/>
      <c r="X305" s="2489"/>
      <c r="Y305" s="2489"/>
      <c r="Z305" s="2489"/>
      <c r="AA305" s="2489"/>
      <c r="AB305" s="2489"/>
      <c r="AC305" s="2489"/>
      <c r="AD305" s="2489"/>
      <c r="AE305" s="2489"/>
    </row>
    <row r="306" spans="1:31" s="126" customFormat="1" ht="15" customHeight="1" thickBot="1">
      <c r="A306" s="1746"/>
      <c r="B306" s="2490"/>
      <c r="C306" s="1909"/>
      <c r="D306" s="2491"/>
      <c r="E306" s="873"/>
      <c r="F306" s="2492"/>
      <c r="G306" s="2493"/>
      <c r="H306" s="2493"/>
      <c r="I306" s="2493"/>
      <c r="J306" s="2494"/>
      <c r="K306" s="843"/>
      <c r="L306" s="412"/>
      <c r="M306" s="843"/>
      <c r="N306" s="890" t="str">
        <f t="shared" si="49"/>
        <v/>
      </c>
      <c r="O306" s="344" t="str">
        <f t="shared" si="50"/>
        <v/>
      </c>
      <c r="P306" s="344" t="str">
        <f t="shared" si="51"/>
        <v/>
      </c>
      <c r="Q306" s="195" t="str">
        <f t="shared" si="52"/>
        <v/>
      </c>
      <c r="R306" s="195"/>
    </row>
    <row r="307" spans="1:31" s="126" customFormat="1" ht="33" customHeight="1" thickBot="1">
      <c r="A307" s="1919">
        <v>6</v>
      </c>
      <c r="B307" s="2449">
        <v>23</v>
      </c>
      <c r="C307" s="2450" t="s">
        <v>14173</v>
      </c>
      <c r="D307" s="2451"/>
      <c r="E307" s="2452"/>
      <c r="F307" s="2452"/>
      <c r="G307" s="2453">
        <f>SUM(F308:F322)</f>
        <v>187.95592039800997</v>
      </c>
      <c r="H307" s="2453">
        <f>G307*(1-$D$6)</f>
        <v>140.96694029850747</v>
      </c>
      <c r="I307" s="2453">
        <f>ROUNDUP(H307*$D$5,0)</f>
        <v>480</v>
      </c>
      <c r="J307" s="2454">
        <f>+I307*B307</f>
        <v>11040</v>
      </c>
      <c r="K307" s="843">
        <f>B307</f>
        <v>23</v>
      </c>
      <c r="L307" s="412"/>
      <c r="M307" s="843"/>
      <c r="N307" s="890" t="str">
        <f t="shared" si="49"/>
        <v/>
      </c>
      <c r="O307" s="344" t="str">
        <f t="shared" si="50"/>
        <v/>
      </c>
      <c r="P307" s="344" t="str">
        <f t="shared" si="51"/>
        <v/>
      </c>
      <c r="Q307" s="195" t="str">
        <f t="shared" si="52"/>
        <v/>
      </c>
      <c r="R307" s="195"/>
    </row>
    <row r="308" spans="1:31" s="126" customFormat="1" ht="15" customHeight="1">
      <c r="A308" s="2455" t="s">
        <v>9502</v>
      </c>
      <c r="B308" s="1418"/>
      <c r="C308" s="1104"/>
      <c r="D308" s="2456"/>
      <c r="E308" s="842"/>
      <c r="F308" s="2390"/>
      <c r="G308" s="2457"/>
      <c r="H308" s="2457"/>
      <c r="I308" s="2457"/>
      <c r="J308" s="2458"/>
      <c r="K308" s="843">
        <f>K307</f>
        <v>23</v>
      </c>
      <c r="L308" s="412">
        <v>1</v>
      </c>
      <c r="M308" s="843">
        <f t="shared" ref="M308:M321" si="57">IF(B308="",1,B308)</f>
        <v>1</v>
      </c>
      <c r="N308" s="890" t="str">
        <f t="shared" si="49"/>
        <v/>
      </c>
      <c r="O308" s="344" t="str">
        <f t="shared" si="50"/>
        <v/>
      </c>
      <c r="P308" s="344" t="str">
        <f t="shared" si="51"/>
        <v/>
      </c>
      <c r="Q308" s="195" t="str">
        <f t="shared" si="52"/>
        <v/>
      </c>
      <c r="R308" s="195"/>
    </row>
    <row r="309" spans="1:31" s="126" customFormat="1" ht="15" customHeight="1">
      <c r="A309" s="1913"/>
      <c r="B309" s="1122"/>
      <c r="C309" s="1922" t="s">
        <v>3301</v>
      </c>
      <c r="D309" s="2459"/>
      <c r="E309" s="2460"/>
      <c r="F309" s="2391"/>
      <c r="G309" s="2457"/>
      <c r="H309" s="2457"/>
      <c r="I309" s="2457"/>
      <c r="J309" s="2461"/>
      <c r="K309" s="843">
        <f t="shared" ref="K309:K322" si="58">K308</f>
        <v>23</v>
      </c>
      <c r="L309" s="412">
        <v>1</v>
      </c>
      <c r="M309" s="843">
        <f t="shared" si="57"/>
        <v>1</v>
      </c>
      <c r="N309" s="890" t="str">
        <f t="shared" si="49"/>
        <v/>
      </c>
      <c r="O309" s="344" t="str">
        <f t="shared" si="50"/>
        <v/>
      </c>
      <c r="P309" s="344" t="str">
        <f t="shared" si="51"/>
        <v/>
      </c>
      <c r="Q309" s="195" t="str">
        <f t="shared" si="52"/>
        <v/>
      </c>
      <c r="R309" s="195"/>
    </row>
    <row r="310" spans="1:31" s="862" customFormat="1" ht="15" customHeight="1">
      <c r="A310" s="1913" t="s">
        <v>10377</v>
      </c>
      <c r="B310" s="1122">
        <v>1</v>
      </c>
      <c r="C310" s="2462" t="str">
        <f>VLOOKUP(D310,base_datos,6,FALSE)</f>
        <v>ITM Riel-Din 2x63A - SH202-C-63A - 10kA@230Vac, 6kA@400Vac-IEC60898 - marca ABB.</v>
      </c>
      <c r="D310" s="1894" t="s">
        <v>1065</v>
      </c>
      <c r="E310" s="2460">
        <f>VLOOKUP(D310,base_datos,5,FALSE)</f>
        <v>11.74</v>
      </c>
      <c r="F310" s="2391">
        <f>+E310*B310</f>
        <v>11.74</v>
      </c>
      <c r="G310" s="2463"/>
      <c r="H310" s="2463"/>
      <c r="I310" s="2463"/>
      <c r="J310" s="2464"/>
      <c r="K310" s="843">
        <f t="shared" si="58"/>
        <v>23</v>
      </c>
      <c r="L310" s="412">
        <v>1</v>
      </c>
      <c r="M310" s="843">
        <f t="shared" si="57"/>
        <v>1</v>
      </c>
      <c r="N310" s="890">
        <f t="shared" si="49"/>
        <v>23</v>
      </c>
      <c r="O310" s="344" t="str">
        <f t="shared" si="50"/>
        <v>2CDS212001R0634</v>
      </c>
      <c r="P310" s="344" t="str">
        <f t="shared" si="51"/>
        <v>ITM Riel-Din 2x63A - SH202-C-63A - 10kA@230Vac, 6kA@400Vac-IEC60898 - marca ABB.</v>
      </c>
      <c r="Q310" s="195" t="str">
        <f t="shared" si="52"/>
        <v>SH202-C-63A</v>
      </c>
      <c r="R310" s="195"/>
    </row>
    <row r="311" spans="1:31" s="195" customFormat="1" ht="15" customHeight="1">
      <c r="A311" s="1913" t="s">
        <v>10378</v>
      </c>
      <c r="B311" s="1870"/>
      <c r="C311" s="197" t="s">
        <v>729</v>
      </c>
      <c r="D311" s="182"/>
      <c r="E311" s="1021"/>
      <c r="F311" s="2352"/>
      <c r="G311" s="2457"/>
      <c r="H311" s="2457"/>
      <c r="I311" s="2457"/>
      <c r="J311" s="2461"/>
      <c r="K311" s="843">
        <f t="shared" si="58"/>
        <v>23</v>
      </c>
      <c r="L311" s="412">
        <v>1</v>
      </c>
      <c r="M311" s="843">
        <f t="shared" si="57"/>
        <v>1</v>
      </c>
      <c r="N311" s="890" t="str">
        <f t="shared" si="49"/>
        <v/>
      </c>
      <c r="O311" s="344" t="str">
        <f t="shared" si="50"/>
        <v/>
      </c>
      <c r="P311" s="344" t="str">
        <f t="shared" si="51"/>
        <v/>
      </c>
      <c r="Q311" s="195" t="str">
        <f t="shared" si="52"/>
        <v/>
      </c>
    </row>
    <row r="312" spans="1:31" s="862" customFormat="1" ht="15" customHeight="1">
      <c r="A312" s="1913"/>
      <c r="B312" s="820"/>
      <c r="C312" s="1922" t="s">
        <v>14172</v>
      </c>
      <c r="D312" s="1896"/>
      <c r="E312" s="842"/>
      <c r="F312" s="2391">
        <f>+E312*B312</f>
        <v>0</v>
      </c>
      <c r="G312" s="2463"/>
      <c r="H312" s="2463"/>
      <c r="I312" s="2463"/>
      <c r="J312" s="2464"/>
      <c r="K312" s="843">
        <f t="shared" si="58"/>
        <v>23</v>
      </c>
      <c r="L312" s="412">
        <v>1</v>
      </c>
      <c r="M312" s="843">
        <f t="shared" si="57"/>
        <v>1</v>
      </c>
      <c r="N312" s="890" t="str">
        <f t="shared" si="49"/>
        <v/>
      </c>
      <c r="O312" s="344" t="str">
        <f t="shared" si="50"/>
        <v/>
      </c>
      <c r="P312" s="344" t="str">
        <f t="shared" si="51"/>
        <v/>
      </c>
      <c r="Q312" s="195" t="str">
        <f t="shared" si="52"/>
        <v/>
      </c>
      <c r="R312" s="195"/>
    </row>
    <row r="313" spans="1:31" s="862" customFormat="1" ht="15" customHeight="1">
      <c r="A313" s="2515" t="s">
        <v>13372</v>
      </c>
      <c r="B313" s="1122">
        <v>4</v>
      </c>
      <c r="C313" s="2462" t="str">
        <f>VLOOKUP(D313,base_datos,6,FALSE)</f>
        <v>ITM Riel-Din 2x20A - SH202-C-20A - 10kA@230Vac, 6kA@400Vac-IEC60898 - marca ABB.</v>
      </c>
      <c r="D313" s="1894" t="s">
        <v>1060</v>
      </c>
      <c r="E313" s="2460">
        <f>VLOOKUP(D313,base_datos,5,FALSE)</f>
        <v>6.54</v>
      </c>
      <c r="F313" s="2391">
        <f>+E313*B313</f>
        <v>26.16</v>
      </c>
      <c r="G313" s="2463"/>
      <c r="H313" s="2463"/>
      <c r="I313" s="2463"/>
      <c r="J313" s="2465"/>
      <c r="K313" s="843">
        <f t="shared" si="58"/>
        <v>23</v>
      </c>
      <c r="L313" s="412">
        <v>1</v>
      </c>
      <c r="M313" s="843">
        <f t="shared" si="57"/>
        <v>4</v>
      </c>
      <c r="N313" s="890">
        <f t="shared" si="49"/>
        <v>92</v>
      </c>
      <c r="O313" s="344" t="str">
        <f t="shared" si="50"/>
        <v>2CDS212001R0204</v>
      </c>
      <c r="P313" s="344" t="str">
        <f t="shared" si="51"/>
        <v>ITM Riel-Din 2x20A - SH202-C-20A - 10kA@230Vac, 6kA@400Vac-IEC60898 - marca ABB.</v>
      </c>
      <c r="Q313" s="195" t="str">
        <f t="shared" si="52"/>
        <v>SH202-C-20A</v>
      </c>
      <c r="R313" s="195"/>
    </row>
    <row r="314" spans="1:31" s="862" customFormat="1" ht="15" customHeight="1">
      <c r="A314" s="2472"/>
      <c r="B314" s="1122">
        <v>4</v>
      </c>
      <c r="C314" s="2462" t="str">
        <f>VLOOKUP(D314,base_datos,6,FALSE)</f>
        <v>Interruptor Diferencial 2x25A - 30mA - clase AC - FH202-AC-25A-30mA - marca ABB.</v>
      </c>
      <c r="D314" s="2466" t="s">
        <v>1109</v>
      </c>
      <c r="E314" s="2460">
        <f>VLOOKUP(D314,base_datos,5,FALSE)</f>
        <v>24.41</v>
      </c>
      <c r="F314" s="2391">
        <f>+E314*B314</f>
        <v>97.64</v>
      </c>
      <c r="G314" s="2463"/>
      <c r="H314" s="2463"/>
      <c r="I314" s="2463"/>
      <c r="J314" s="2465"/>
      <c r="K314" s="843">
        <f t="shared" si="58"/>
        <v>23</v>
      </c>
      <c r="L314" s="412">
        <v>1</v>
      </c>
      <c r="M314" s="843">
        <f t="shared" si="57"/>
        <v>4</v>
      </c>
      <c r="N314" s="890">
        <f t="shared" si="49"/>
        <v>92</v>
      </c>
      <c r="O314" s="344" t="str">
        <f t="shared" si="50"/>
        <v>1TMF202006R1250</v>
      </c>
      <c r="P314" s="344" t="str">
        <f t="shared" si="51"/>
        <v>Interruptor Diferencial 2x25A - 30mA - clase AC - FH202-AC-25A-30mA - marca ABB.</v>
      </c>
      <c r="Q314" s="195" t="str">
        <f t="shared" si="52"/>
        <v>FH202-AC-25A-30mA</v>
      </c>
      <c r="R314" s="195"/>
    </row>
    <row r="315" spans="1:31" s="2340" customFormat="1" ht="15" customHeight="1">
      <c r="A315" s="2472"/>
      <c r="B315" s="2443">
        <v>1</v>
      </c>
      <c r="C315" s="2467" t="str">
        <f>VLOOKUP(D315,base_datos,6,FALSE)</f>
        <v>Espacio de reserva monofasica + interruptor diferencial - Riel-Din.</v>
      </c>
      <c r="D315" s="2468" t="s">
        <v>3069</v>
      </c>
      <c r="E315" s="2469">
        <f>VLOOKUP(D315,base_datos,5,FALSE)</f>
        <v>2.5</v>
      </c>
      <c r="F315" s="2447">
        <f>+E315*B315</f>
        <v>2.5</v>
      </c>
      <c r="G315" s="2470"/>
      <c r="H315" s="2470"/>
      <c r="I315" s="2470"/>
      <c r="J315" s="2471"/>
      <c r="K315" s="843">
        <f t="shared" si="58"/>
        <v>23</v>
      </c>
      <c r="L315" s="412">
        <v>1</v>
      </c>
      <c r="M315" s="843">
        <f t="shared" si="57"/>
        <v>1</v>
      </c>
      <c r="N315" s="890" t="str">
        <f t="shared" si="49"/>
        <v/>
      </c>
      <c r="O315" s="344" t="str">
        <f t="shared" si="50"/>
        <v/>
      </c>
      <c r="P315" s="344" t="str">
        <f t="shared" si="51"/>
        <v/>
      </c>
      <c r="Q315" s="195" t="str">
        <f t="shared" si="52"/>
        <v/>
      </c>
      <c r="R315" s="195"/>
    </row>
    <row r="316" spans="1:31" s="1088" customFormat="1" ht="15" customHeight="1">
      <c r="A316" s="2486"/>
      <c r="B316" s="2473">
        <v>1</v>
      </c>
      <c r="C316" s="2474" t="str">
        <f>VLOOKUP(D316,base_datos,6,FALSE)</f>
        <v>"Peine" monofásico para 12 polos.</v>
      </c>
      <c r="D316" s="2475" t="s">
        <v>3117</v>
      </c>
      <c r="E316" s="2474">
        <f>VLOOKUP(D316,base_datos,5,FALSE)</f>
        <v>7.8159203980099496</v>
      </c>
      <c r="F316" s="2476">
        <f>+E316*B316</f>
        <v>7.8159203980099496</v>
      </c>
      <c r="G316" s="2477"/>
      <c r="H316" s="2477"/>
      <c r="I316" s="2477"/>
      <c r="J316" s="2478"/>
      <c r="K316" s="843">
        <f t="shared" si="58"/>
        <v>23</v>
      </c>
      <c r="L316" s="412">
        <v>1</v>
      </c>
      <c r="M316" s="843">
        <f t="shared" si="57"/>
        <v>1</v>
      </c>
      <c r="N316" s="890" t="str">
        <f t="shared" si="49"/>
        <v/>
      </c>
      <c r="O316" s="344" t="str">
        <f t="shared" si="50"/>
        <v/>
      </c>
      <c r="P316" s="344" t="str">
        <f t="shared" si="51"/>
        <v/>
      </c>
      <c r="Q316" s="195" t="str">
        <f t="shared" si="52"/>
        <v/>
      </c>
    </row>
    <row r="317" spans="1:31" s="195" customFormat="1" ht="15" customHeight="1">
      <c r="A317" s="194"/>
      <c r="B317" s="2479"/>
      <c r="C317" s="45" t="s">
        <v>729</v>
      </c>
      <c r="D317" s="177"/>
      <c r="E317" s="2480"/>
      <c r="F317" s="2481"/>
      <c r="G317" s="2457"/>
      <c r="H317" s="2457"/>
      <c r="I317" s="2457"/>
      <c r="J317" s="2461"/>
      <c r="K317" s="843">
        <f t="shared" si="58"/>
        <v>23</v>
      </c>
      <c r="L317" s="412">
        <v>1</v>
      </c>
      <c r="M317" s="843">
        <f t="shared" si="57"/>
        <v>1</v>
      </c>
      <c r="N317" s="890" t="str">
        <f t="shared" si="49"/>
        <v/>
      </c>
      <c r="O317" s="344" t="str">
        <f t="shared" si="50"/>
        <v/>
      </c>
      <c r="P317" s="344" t="str">
        <f t="shared" si="51"/>
        <v/>
      </c>
      <c r="Q317" s="195" t="str">
        <f t="shared" si="52"/>
        <v/>
      </c>
    </row>
    <row r="318" spans="1:31" s="870" customFormat="1" ht="15" customHeight="1">
      <c r="A318" s="1912"/>
      <c r="B318" s="2479">
        <v>1</v>
      </c>
      <c r="C318" s="45" t="s">
        <v>316</v>
      </c>
      <c r="D318" s="2482"/>
      <c r="E318" s="2474"/>
      <c r="F318" s="2483"/>
      <c r="G318" s="2484"/>
      <c r="H318" s="2484"/>
      <c r="I318" s="2484"/>
      <c r="J318" s="2485"/>
      <c r="K318" s="843">
        <f t="shared" si="58"/>
        <v>23</v>
      </c>
      <c r="L318" s="412">
        <v>1</v>
      </c>
      <c r="M318" s="843">
        <f t="shared" si="57"/>
        <v>1</v>
      </c>
      <c r="N318" s="890" t="str">
        <f t="shared" si="49"/>
        <v/>
      </c>
      <c r="O318" s="344" t="str">
        <f t="shared" si="50"/>
        <v/>
      </c>
      <c r="P318" s="344" t="str">
        <f t="shared" si="51"/>
        <v/>
      </c>
      <c r="Q318" s="195" t="str">
        <f t="shared" si="52"/>
        <v/>
      </c>
      <c r="R318" s="195"/>
    </row>
    <row r="319" spans="1:31" s="195" customFormat="1" ht="15" customHeight="1">
      <c r="A319" s="194"/>
      <c r="B319" s="2479"/>
      <c r="C319" s="45" t="s">
        <v>729</v>
      </c>
      <c r="D319" s="177"/>
      <c r="E319" s="2480"/>
      <c r="F319" s="2481"/>
      <c r="G319" s="2457"/>
      <c r="H319" s="2457"/>
      <c r="I319" s="2457"/>
      <c r="J319" s="2461"/>
      <c r="K319" s="843">
        <f t="shared" si="58"/>
        <v>23</v>
      </c>
      <c r="L319" s="412">
        <v>1</v>
      </c>
      <c r="M319" s="843">
        <f t="shared" si="57"/>
        <v>1</v>
      </c>
      <c r="N319" s="890" t="str">
        <f t="shared" si="49"/>
        <v/>
      </c>
      <c r="O319" s="344" t="str">
        <f t="shared" si="50"/>
        <v/>
      </c>
      <c r="P319" s="344" t="str">
        <f t="shared" si="51"/>
        <v/>
      </c>
      <c r="Q319" s="195" t="str">
        <f t="shared" si="52"/>
        <v/>
      </c>
    </row>
    <row r="320" spans="1:31" s="1088" customFormat="1" ht="15" customHeight="1">
      <c r="A320" s="2486"/>
      <c r="B320" s="2473">
        <v>9</v>
      </c>
      <c r="C320" s="2474" t="str">
        <f>VLOOKUP(D320,base_datos,6,FALSE)</f>
        <v>Rotulado por circuito.</v>
      </c>
      <c r="D320" s="2475" t="s">
        <v>3210</v>
      </c>
      <c r="E320" s="2474">
        <f>VLOOKUP(D320,base_datos,5,FALSE)</f>
        <v>0.7</v>
      </c>
      <c r="F320" s="2476">
        <f>+E320*B320</f>
        <v>6.3</v>
      </c>
      <c r="G320" s="2477"/>
      <c r="H320" s="2477"/>
      <c r="I320" s="2477"/>
      <c r="J320" s="2478"/>
      <c r="K320" s="843">
        <f t="shared" si="58"/>
        <v>23</v>
      </c>
      <c r="L320" s="412">
        <v>1</v>
      </c>
      <c r="M320" s="843">
        <f t="shared" si="57"/>
        <v>9</v>
      </c>
      <c r="N320" s="890" t="str">
        <f t="shared" si="49"/>
        <v/>
      </c>
      <c r="O320" s="344" t="str">
        <f t="shared" si="50"/>
        <v/>
      </c>
      <c r="P320" s="344" t="str">
        <f t="shared" si="51"/>
        <v/>
      </c>
      <c r="Q320" s="195" t="str">
        <f t="shared" si="52"/>
        <v/>
      </c>
    </row>
    <row r="321" spans="1:31" s="1088" customFormat="1" ht="15" customHeight="1">
      <c r="A321" s="2486"/>
      <c r="B321" s="2473">
        <v>1</v>
      </c>
      <c r="C321" s="2474" t="str">
        <f>VLOOKUP(D321,base_datos,6,FALSE)</f>
        <v>Rotulado para TAG - tablero de distribución.</v>
      </c>
      <c r="D321" s="2475" t="s">
        <v>3209</v>
      </c>
      <c r="E321" s="2474">
        <f>VLOOKUP(D321,base_datos,5,FALSE)</f>
        <v>1.5</v>
      </c>
      <c r="F321" s="2476">
        <f>+E321*B321</f>
        <v>1.5</v>
      </c>
      <c r="G321" s="2477"/>
      <c r="H321" s="2477"/>
      <c r="I321" s="2477"/>
      <c r="J321" s="2478"/>
      <c r="K321" s="843">
        <f t="shared" si="58"/>
        <v>23</v>
      </c>
      <c r="L321" s="412">
        <v>1</v>
      </c>
      <c r="M321" s="843">
        <f t="shared" si="57"/>
        <v>1</v>
      </c>
      <c r="N321" s="890" t="str">
        <f t="shared" si="49"/>
        <v/>
      </c>
      <c r="O321" s="344" t="str">
        <f t="shared" si="50"/>
        <v/>
      </c>
      <c r="P321" s="344" t="str">
        <f t="shared" si="51"/>
        <v/>
      </c>
      <c r="Q321" s="195" t="str">
        <f t="shared" si="52"/>
        <v/>
      </c>
    </row>
    <row r="322" spans="1:31" s="1479" customFormat="1" ht="15" customHeight="1">
      <c r="A322" s="1914"/>
      <c r="B322" s="1915">
        <v>1</v>
      </c>
      <c r="C322" s="2487" t="str">
        <f>VLOOKUP(D322,base_datos,6,FALSE)</f>
        <v>TABLERO EMPO. L/HALOG. 28 POLOS C/BORNE A/H PVC /5250PFR1</v>
      </c>
      <c r="D322" s="427" t="s">
        <v>13371</v>
      </c>
      <c r="E322" s="2487">
        <f>VLOOKUP(D322,base_datos,5,FALSE)</f>
        <v>34.300000000000004</v>
      </c>
      <c r="F322" s="1417">
        <f>+E322*B322</f>
        <v>34.300000000000004</v>
      </c>
      <c r="G322" s="2488"/>
      <c r="H322" s="2488"/>
      <c r="I322" s="2488"/>
      <c r="J322" s="1414"/>
      <c r="K322" s="843">
        <f t="shared" si="58"/>
        <v>23</v>
      </c>
      <c r="L322" s="412">
        <v>1</v>
      </c>
      <c r="M322" s="843">
        <f>IF(B322="",1,B322)</f>
        <v>1</v>
      </c>
      <c r="N322" s="890">
        <f t="shared" si="49"/>
        <v>23</v>
      </c>
      <c r="O322" s="344" t="str">
        <f t="shared" si="50"/>
        <v>SOLERA 28MODULOS</v>
      </c>
      <c r="P322" s="344" t="str">
        <f t="shared" si="51"/>
        <v>TABLERO EMPO. L/HALOG. 28 POLOS C/BORNE A/H PVC /5250PFR1</v>
      </c>
      <c r="Q322" s="195" t="str">
        <f t="shared" si="52"/>
        <v>SOLERA 28MODULOS</v>
      </c>
      <c r="R322" s="862"/>
      <c r="S322" s="862"/>
      <c r="T322" s="2489"/>
      <c r="U322" s="2489"/>
      <c r="V322" s="2489"/>
      <c r="W322" s="2489"/>
      <c r="X322" s="2489"/>
      <c r="Y322" s="2489"/>
      <c r="Z322" s="2489"/>
      <c r="AA322" s="2489"/>
      <c r="AB322" s="2489"/>
      <c r="AC322" s="2489"/>
      <c r="AD322" s="2489"/>
      <c r="AE322" s="2489"/>
    </row>
    <row r="323" spans="1:31" s="126" customFormat="1" ht="15" customHeight="1" thickBot="1">
      <c r="B323" s="2490"/>
      <c r="C323" s="1909"/>
      <c r="D323" s="2491"/>
      <c r="E323" s="873"/>
      <c r="F323" s="2492"/>
      <c r="G323" s="2493"/>
      <c r="H323" s="2493"/>
      <c r="I323" s="2493"/>
      <c r="J323" s="2494"/>
      <c r="K323" s="843"/>
      <c r="L323" s="412"/>
      <c r="M323" s="843"/>
      <c r="N323" s="890" t="str">
        <f t="shared" si="49"/>
        <v/>
      </c>
      <c r="O323" s="344" t="str">
        <f t="shared" si="50"/>
        <v/>
      </c>
      <c r="P323" s="344" t="str">
        <f t="shared" si="51"/>
        <v/>
      </c>
      <c r="Q323" s="195" t="str">
        <f t="shared" si="52"/>
        <v/>
      </c>
      <c r="R323" s="195"/>
    </row>
    <row r="324" spans="1:31" s="126" customFormat="1" ht="33" customHeight="1" thickBot="1">
      <c r="A324" s="1919">
        <v>7</v>
      </c>
      <c r="B324" s="2449">
        <v>19</v>
      </c>
      <c r="C324" s="2450" t="s">
        <v>14174</v>
      </c>
      <c r="D324" s="2451"/>
      <c r="E324" s="2452"/>
      <c r="F324" s="2452"/>
      <c r="G324" s="2453">
        <f>SUM(F325:F339)</f>
        <v>223.21388059701493</v>
      </c>
      <c r="H324" s="2453">
        <f>G324*(1-$D$6)</f>
        <v>167.41041044776119</v>
      </c>
      <c r="I324" s="2453">
        <f>ROUNDUP(H324*$D$5,0)</f>
        <v>570</v>
      </c>
      <c r="J324" s="2454">
        <f>+I324*B324</f>
        <v>10830</v>
      </c>
      <c r="K324" s="843">
        <f>B324</f>
        <v>19</v>
      </c>
      <c r="L324" s="412"/>
      <c r="M324" s="843"/>
      <c r="N324" s="890" t="str">
        <f t="shared" si="49"/>
        <v/>
      </c>
      <c r="O324" s="344" t="str">
        <f t="shared" si="50"/>
        <v/>
      </c>
      <c r="P324" s="344" t="str">
        <f t="shared" si="51"/>
        <v/>
      </c>
      <c r="Q324" s="195" t="str">
        <f t="shared" si="52"/>
        <v/>
      </c>
      <c r="R324" s="195"/>
    </row>
    <row r="325" spans="1:31" s="126" customFormat="1" ht="15" customHeight="1">
      <c r="A325" s="2455" t="s">
        <v>9502</v>
      </c>
      <c r="B325" s="1418"/>
      <c r="C325" s="1104"/>
      <c r="D325" s="2456"/>
      <c r="E325" s="842"/>
      <c r="F325" s="2390"/>
      <c r="G325" s="2457"/>
      <c r="H325" s="2457"/>
      <c r="I325" s="2457"/>
      <c r="J325" s="2458"/>
      <c r="K325" s="843">
        <f>K324</f>
        <v>19</v>
      </c>
      <c r="L325" s="412">
        <v>1</v>
      </c>
      <c r="M325" s="843">
        <f t="shared" ref="M325:M338" si="59">IF(B325="",1,B325)</f>
        <v>1</v>
      </c>
      <c r="N325" s="890" t="str">
        <f t="shared" si="49"/>
        <v/>
      </c>
      <c r="O325" s="344" t="str">
        <f t="shared" si="50"/>
        <v/>
      </c>
      <c r="P325" s="344" t="str">
        <f t="shared" si="51"/>
        <v/>
      </c>
      <c r="Q325" s="195" t="str">
        <f t="shared" si="52"/>
        <v/>
      </c>
      <c r="R325" s="195"/>
    </row>
    <row r="326" spans="1:31" s="126" customFormat="1" ht="15" customHeight="1">
      <c r="A326" s="1913"/>
      <c r="B326" s="1122"/>
      <c r="C326" s="1922" t="s">
        <v>3301</v>
      </c>
      <c r="D326" s="2459"/>
      <c r="E326" s="2460"/>
      <c r="F326" s="2391"/>
      <c r="G326" s="2457"/>
      <c r="H326" s="2457"/>
      <c r="I326" s="2457"/>
      <c r="J326" s="2461"/>
      <c r="K326" s="843">
        <f t="shared" ref="K326:K339" si="60">K325</f>
        <v>19</v>
      </c>
      <c r="L326" s="412">
        <v>1</v>
      </c>
      <c r="M326" s="843">
        <f t="shared" si="59"/>
        <v>1</v>
      </c>
      <c r="N326" s="890" t="str">
        <f t="shared" si="49"/>
        <v/>
      </c>
      <c r="O326" s="344" t="str">
        <f t="shared" si="50"/>
        <v/>
      </c>
      <c r="P326" s="344" t="str">
        <f t="shared" si="51"/>
        <v/>
      </c>
      <c r="Q326" s="195" t="str">
        <f t="shared" si="52"/>
        <v/>
      </c>
      <c r="R326" s="195"/>
    </row>
    <row r="327" spans="1:31" s="862" customFormat="1" ht="15" customHeight="1">
      <c r="A327" s="1913" t="s">
        <v>10377</v>
      </c>
      <c r="B327" s="1122">
        <v>1</v>
      </c>
      <c r="C327" s="2462" t="str">
        <f>VLOOKUP(D327,base_datos,6,FALSE)</f>
        <v>ITM Riel-Din 2x63A - SH202-C-63A - 10kA@230Vac, 6kA@400Vac-IEC60898 - marca ABB.</v>
      </c>
      <c r="D327" s="1894" t="s">
        <v>1065</v>
      </c>
      <c r="E327" s="2460">
        <f>VLOOKUP(D327,base_datos,5,FALSE)</f>
        <v>11.74</v>
      </c>
      <c r="F327" s="2391">
        <f>+E327*B327</f>
        <v>11.74</v>
      </c>
      <c r="G327" s="2463"/>
      <c r="H327" s="2463"/>
      <c r="I327" s="2463"/>
      <c r="J327" s="2464"/>
      <c r="K327" s="843">
        <f t="shared" si="60"/>
        <v>19</v>
      </c>
      <c r="L327" s="412">
        <v>1</v>
      </c>
      <c r="M327" s="843">
        <f t="shared" si="59"/>
        <v>1</v>
      </c>
      <c r="N327" s="890">
        <f t="shared" si="49"/>
        <v>19</v>
      </c>
      <c r="O327" s="344" t="str">
        <f t="shared" si="50"/>
        <v>2CDS212001R0634</v>
      </c>
      <c r="P327" s="344" t="str">
        <f t="shared" si="51"/>
        <v>ITM Riel-Din 2x63A - SH202-C-63A - 10kA@230Vac, 6kA@400Vac-IEC60898 - marca ABB.</v>
      </c>
      <c r="Q327" s="195" t="str">
        <f t="shared" si="52"/>
        <v>SH202-C-63A</v>
      </c>
      <c r="R327" s="195"/>
    </row>
    <row r="328" spans="1:31" s="195" customFormat="1" ht="15" customHeight="1">
      <c r="A328" s="1913" t="s">
        <v>10378</v>
      </c>
      <c r="B328" s="1870"/>
      <c r="C328" s="197" t="s">
        <v>729</v>
      </c>
      <c r="D328" s="182"/>
      <c r="E328" s="1021"/>
      <c r="F328" s="2352"/>
      <c r="G328" s="2457"/>
      <c r="H328" s="2457"/>
      <c r="I328" s="2457"/>
      <c r="J328" s="2461"/>
      <c r="K328" s="843">
        <f t="shared" si="60"/>
        <v>19</v>
      </c>
      <c r="L328" s="412">
        <v>1</v>
      </c>
      <c r="M328" s="843">
        <f t="shared" si="59"/>
        <v>1</v>
      </c>
      <c r="N328" s="890" t="str">
        <f t="shared" si="49"/>
        <v/>
      </c>
      <c r="O328" s="344" t="str">
        <f t="shared" si="50"/>
        <v/>
      </c>
      <c r="P328" s="344" t="str">
        <f t="shared" si="51"/>
        <v/>
      </c>
      <c r="Q328" s="195" t="str">
        <f t="shared" si="52"/>
        <v/>
      </c>
    </row>
    <row r="329" spans="1:31" s="862" customFormat="1" ht="15" customHeight="1">
      <c r="A329" s="1913"/>
      <c r="B329" s="820"/>
      <c r="C329" s="1922" t="s">
        <v>14172</v>
      </c>
      <c r="D329" s="1896"/>
      <c r="E329" s="842"/>
      <c r="F329" s="2391">
        <f>+E329*B329</f>
        <v>0</v>
      </c>
      <c r="G329" s="2463"/>
      <c r="H329" s="2463"/>
      <c r="I329" s="2463"/>
      <c r="J329" s="2464"/>
      <c r="K329" s="843">
        <f t="shared" si="60"/>
        <v>19</v>
      </c>
      <c r="L329" s="412">
        <v>1</v>
      </c>
      <c r="M329" s="843">
        <f t="shared" si="59"/>
        <v>1</v>
      </c>
      <c r="N329" s="890" t="str">
        <f t="shared" si="49"/>
        <v/>
      </c>
      <c r="O329" s="344" t="str">
        <f t="shared" si="50"/>
        <v/>
      </c>
      <c r="P329" s="344" t="str">
        <f t="shared" si="51"/>
        <v/>
      </c>
      <c r="Q329" s="195" t="str">
        <f t="shared" si="52"/>
        <v/>
      </c>
      <c r="R329" s="195"/>
    </row>
    <row r="330" spans="1:31" s="862" customFormat="1" ht="15" customHeight="1">
      <c r="A330" s="2472" t="s">
        <v>13372</v>
      </c>
      <c r="B330" s="1122">
        <v>5</v>
      </c>
      <c r="C330" s="2462" t="str">
        <f>VLOOKUP(D330,base_datos,6,FALSE)</f>
        <v>ITM Riel-Din 2x20A - SH202-C-20A - 10kA@230Vac, 6kA@400Vac-IEC60898 - marca ABB.</v>
      </c>
      <c r="D330" s="1894" t="s">
        <v>1060</v>
      </c>
      <c r="E330" s="2460">
        <f>VLOOKUP(D330,base_datos,5,FALSE)</f>
        <v>6.54</v>
      </c>
      <c r="F330" s="2391">
        <f>+E330*B330</f>
        <v>32.700000000000003</v>
      </c>
      <c r="G330" s="2463"/>
      <c r="H330" s="2463"/>
      <c r="I330" s="2463"/>
      <c r="J330" s="2465"/>
      <c r="K330" s="843">
        <f t="shared" si="60"/>
        <v>19</v>
      </c>
      <c r="L330" s="412">
        <v>1</v>
      </c>
      <c r="M330" s="843">
        <f t="shared" si="59"/>
        <v>5</v>
      </c>
      <c r="N330" s="890">
        <f t="shared" si="49"/>
        <v>95</v>
      </c>
      <c r="O330" s="344" t="str">
        <f t="shared" si="50"/>
        <v>2CDS212001R0204</v>
      </c>
      <c r="P330" s="344" t="str">
        <f t="shared" si="51"/>
        <v>ITM Riel-Din 2x20A - SH202-C-20A - 10kA@230Vac, 6kA@400Vac-IEC60898 - marca ABB.</v>
      </c>
      <c r="Q330" s="195" t="str">
        <f t="shared" si="52"/>
        <v>SH202-C-20A</v>
      </c>
      <c r="R330" s="195"/>
    </row>
    <row r="331" spans="1:31" s="862" customFormat="1" ht="15" customHeight="1">
      <c r="A331" s="2472"/>
      <c r="B331" s="1122">
        <v>5</v>
      </c>
      <c r="C331" s="2462" t="str">
        <f>VLOOKUP(D331,base_datos,6,FALSE)</f>
        <v>Interruptor Diferencial 2x25A - 30mA - clase AC - FH202-AC-25A-30mA - marca ABB.</v>
      </c>
      <c r="D331" s="2466" t="s">
        <v>1109</v>
      </c>
      <c r="E331" s="2460">
        <f>VLOOKUP(D331,base_datos,5,FALSE)</f>
        <v>24.41</v>
      </c>
      <c r="F331" s="2391">
        <f>+E331*B331</f>
        <v>122.05</v>
      </c>
      <c r="G331" s="2463"/>
      <c r="H331" s="2463"/>
      <c r="I331" s="2463"/>
      <c r="J331" s="2465"/>
      <c r="K331" s="843">
        <f t="shared" si="60"/>
        <v>19</v>
      </c>
      <c r="L331" s="412">
        <v>1</v>
      </c>
      <c r="M331" s="843">
        <f t="shared" si="59"/>
        <v>5</v>
      </c>
      <c r="N331" s="890">
        <f t="shared" si="49"/>
        <v>95</v>
      </c>
      <c r="O331" s="344" t="str">
        <f t="shared" si="50"/>
        <v>1TMF202006R1250</v>
      </c>
      <c r="P331" s="344" t="str">
        <f t="shared" si="51"/>
        <v>Interruptor Diferencial 2x25A - 30mA - clase AC - FH202-AC-25A-30mA - marca ABB.</v>
      </c>
      <c r="Q331" s="195" t="str">
        <f t="shared" si="52"/>
        <v>FH202-AC-25A-30mA</v>
      </c>
      <c r="R331" s="195"/>
    </row>
    <row r="332" spans="1:31" s="2340" customFormat="1" ht="15" customHeight="1">
      <c r="A332" s="2472"/>
      <c r="B332" s="2443">
        <v>1</v>
      </c>
      <c r="C332" s="2467" t="str">
        <f>VLOOKUP(D332,base_datos,6,FALSE)</f>
        <v>Espacio de reserva monofasica + interruptor diferencial - Riel-Din.</v>
      </c>
      <c r="D332" s="2468" t="s">
        <v>3069</v>
      </c>
      <c r="E332" s="2469">
        <f>VLOOKUP(D332,base_datos,5,FALSE)</f>
        <v>2.5</v>
      </c>
      <c r="F332" s="2447">
        <f>+E332*B332</f>
        <v>2.5</v>
      </c>
      <c r="G332" s="2470"/>
      <c r="H332" s="2470"/>
      <c r="I332" s="2470"/>
      <c r="J332" s="2471"/>
      <c r="K332" s="843">
        <f t="shared" si="60"/>
        <v>19</v>
      </c>
      <c r="L332" s="412">
        <v>1</v>
      </c>
      <c r="M332" s="843">
        <f t="shared" si="59"/>
        <v>1</v>
      </c>
      <c r="N332" s="890" t="str">
        <f t="shared" si="49"/>
        <v/>
      </c>
      <c r="O332" s="344" t="str">
        <f t="shared" si="50"/>
        <v/>
      </c>
      <c r="P332" s="344" t="str">
        <f t="shared" si="51"/>
        <v/>
      </c>
      <c r="Q332" s="195" t="str">
        <f t="shared" si="52"/>
        <v/>
      </c>
      <c r="R332" s="195"/>
    </row>
    <row r="333" spans="1:31" s="1088" customFormat="1" ht="15" customHeight="1">
      <c r="A333" s="2486"/>
      <c r="B333" s="2473">
        <v>1</v>
      </c>
      <c r="C333" s="2474" t="str">
        <f>VLOOKUP(D333,base_datos,6,FALSE)</f>
        <v>"Peine" monofásico para 18 polos.</v>
      </c>
      <c r="D333" s="2475" t="s">
        <v>8385</v>
      </c>
      <c r="E333" s="2474">
        <f>VLOOKUP(D333,base_datos,5,FALSE)</f>
        <v>10.723880597014924</v>
      </c>
      <c r="F333" s="2476">
        <f>+E333*B333</f>
        <v>10.723880597014924</v>
      </c>
      <c r="G333" s="2477"/>
      <c r="H333" s="2477"/>
      <c r="I333" s="2477"/>
      <c r="J333" s="2478"/>
      <c r="K333" s="843">
        <f t="shared" si="60"/>
        <v>19</v>
      </c>
      <c r="L333" s="412">
        <v>1</v>
      </c>
      <c r="M333" s="843">
        <f t="shared" si="59"/>
        <v>1</v>
      </c>
      <c r="N333" s="890" t="str">
        <f t="shared" ref="N333:N396" si="61">IF(O333&lt;&gt;"",K333*L333*M333,"")</f>
        <v/>
      </c>
      <c r="O333" s="344" t="str">
        <f t="shared" si="50"/>
        <v/>
      </c>
      <c r="P333" s="344" t="str">
        <f t="shared" si="51"/>
        <v/>
      </c>
      <c r="Q333" s="195" t="str">
        <f t="shared" si="52"/>
        <v/>
      </c>
    </row>
    <row r="334" spans="1:31" s="195" customFormat="1" ht="15" customHeight="1">
      <c r="A334" s="194"/>
      <c r="B334" s="2479"/>
      <c r="C334" s="45" t="s">
        <v>729</v>
      </c>
      <c r="D334" s="177"/>
      <c r="E334" s="2480"/>
      <c r="F334" s="2481"/>
      <c r="G334" s="2457"/>
      <c r="H334" s="2457"/>
      <c r="I334" s="2457"/>
      <c r="J334" s="2461"/>
      <c r="K334" s="843">
        <f t="shared" si="60"/>
        <v>19</v>
      </c>
      <c r="L334" s="412">
        <v>1</v>
      </c>
      <c r="M334" s="843">
        <f t="shared" si="59"/>
        <v>1</v>
      </c>
      <c r="N334" s="890" t="str">
        <f t="shared" si="61"/>
        <v/>
      </c>
      <c r="O334" s="344" t="str">
        <f t="shared" si="50"/>
        <v/>
      </c>
      <c r="P334" s="344" t="str">
        <f t="shared" si="51"/>
        <v/>
      </c>
      <c r="Q334" s="195" t="str">
        <f t="shared" si="52"/>
        <v/>
      </c>
    </row>
    <row r="335" spans="1:31" s="870" customFormat="1" ht="15" customHeight="1">
      <c r="A335" s="1912"/>
      <c r="B335" s="2479">
        <v>1</v>
      </c>
      <c r="C335" s="45" t="s">
        <v>316</v>
      </c>
      <c r="D335" s="2482"/>
      <c r="E335" s="2474"/>
      <c r="F335" s="2483"/>
      <c r="G335" s="2484"/>
      <c r="H335" s="2484"/>
      <c r="I335" s="2484"/>
      <c r="J335" s="2485"/>
      <c r="K335" s="843">
        <f t="shared" si="60"/>
        <v>19</v>
      </c>
      <c r="L335" s="412">
        <v>1</v>
      </c>
      <c r="M335" s="843">
        <f t="shared" si="59"/>
        <v>1</v>
      </c>
      <c r="N335" s="890" t="str">
        <f t="shared" si="61"/>
        <v/>
      </c>
      <c r="O335" s="344" t="str">
        <f t="shared" ref="O335:O398" si="62">IF(D335&lt;&gt;"",IF(VLOOKUP(D335,base_datos,7,FALSE)&lt;&gt;"",VLOOKUP(D335,base_datos,7,FALSE),""),"")</f>
        <v/>
      </c>
      <c r="P335" s="344" t="str">
        <f t="shared" ref="P335:P398" si="63">IF(O335&lt;&gt;"",VLOOKUP(D335,base_datos,6,FALSE),"")</f>
        <v/>
      </c>
      <c r="Q335" s="195" t="str">
        <f t="shared" ref="Q335:Q398" si="64">IF(O335&lt;&gt;"",D335,"")</f>
        <v/>
      </c>
      <c r="R335" s="195"/>
    </row>
    <row r="336" spans="1:31" s="195" customFormat="1" ht="15" customHeight="1">
      <c r="A336" s="194"/>
      <c r="B336" s="2479"/>
      <c r="C336" s="45" t="s">
        <v>729</v>
      </c>
      <c r="D336" s="177"/>
      <c r="E336" s="2480"/>
      <c r="F336" s="2481"/>
      <c r="G336" s="2457"/>
      <c r="H336" s="2457"/>
      <c r="I336" s="2457"/>
      <c r="J336" s="2461"/>
      <c r="K336" s="843">
        <f t="shared" si="60"/>
        <v>19</v>
      </c>
      <c r="L336" s="412">
        <v>1</v>
      </c>
      <c r="M336" s="843">
        <f t="shared" si="59"/>
        <v>1</v>
      </c>
      <c r="N336" s="890" t="str">
        <f t="shared" si="61"/>
        <v/>
      </c>
      <c r="O336" s="344" t="str">
        <f t="shared" si="62"/>
        <v/>
      </c>
      <c r="P336" s="344" t="str">
        <f t="shared" si="63"/>
        <v/>
      </c>
      <c r="Q336" s="195" t="str">
        <f t="shared" si="64"/>
        <v/>
      </c>
    </row>
    <row r="337" spans="1:31" s="1088" customFormat="1" ht="15" customHeight="1">
      <c r="A337" s="2486"/>
      <c r="B337" s="2473">
        <v>11</v>
      </c>
      <c r="C337" s="2474" t="str">
        <f>VLOOKUP(D337,base_datos,6,FALSE)</f>
        <v>Rotulado por circuito.</v>
      </c>
      <c r="D337" s="2475" t="s">
        <v>3210</v>
      </c>
      <c r="E337" s="2474">
        <f>VLOOKUP(D337,base_datos,5,FALSE)</f>
        <v>0.7</v>
      </c>
      <c r="F337" s="2476">
        <f>+E337*B337</f>
        <v>7.6999999999999993</v>
      </c>
      <c r="G337" s="2477"/>
      <c r="H337" s="2477"/>
      <c r="I337" s="2477"/>
      <c r="J337" s="2478"/>
      <c r="K337" s="843">
        <f t="shared" si="60"/>
        <v>19</v>
      </c>
      <c r="L337" s="412">
        <v>1</v>
      </c>
      <c r="M337" s="843">
        <f t="shared" si="59"/>
        <v>11</v>
      </c>
      <c r="N337" s="890" t="str">
        <f t="shared" si="61"/>
        <v/>
      </c>
      <c r="O337" s="344" t="str">
        <f t="shared" si="62"/>
        <v/>
      </c>
      <c r="P337" s="344" t="str">
        <f t="shared" si="63"/>
        <v/>
      </c>
      <c r="Q337" s="195" t="str">
        <f t="shared" si="64"/>
        <v/>
      </c>
    </row>
    <row r="338" spans="1:31" s="1088" customFormat="1" ht="15" customHeight="1">
      <c r="A338" s="2486"/>
      <c r="B338" s="2473">
        <v>1</v>
      </c>
      <c r="C338" s="2474" t="str">
        <f>VLOOKUP(D338,base_datos,6,FALSE)</f>
        <v>Rotulado para TAG - tablero de distribución.</v>
      </c>
      <c r="D338" s="2475" t="s">
        <v>3209</v>
      </c>
      <c r="E338" s="2474">
        <f>VLOOKUP(D338,base_datos,5,FALSE)</f>
        <v>1.5</v>
      </c>
      <c r="F338" s="2476">
        <f>+E338*B338</f>
        <v>1.5</v>
      </c>
      <c r="G338" s="2477"/>
      <c r="H338" s="2477"/>
      <c r="I338" s="2477"/>
      <c r="J338" s="2478"/>
      <c r="K338" s="843">
        <f t="shared" si="60"/>
        <v>19</v>
      </c>
      <c r="L338" s="412">
        <v>1</v>
      </c>
      <c r="M338" s="843">
        <f t="shared" si="59"/>
        <v>1</v>
      </c>
      <c r="N338" s="890" t="str">
        <f t="shared" si="61"/>
        <v/>
      </c>
      <c r="O338" s="344" t="str">
        <f t="shared" si="62"/>
        <v/>
      </c>
      <c r="P338" s="344" t="str">
        <f t="shared" si="63"/>
        <v/>
      </c>
      <c r="Q338" s="195" t="str">
        <f t="shared" si="64"/>
        <v/>
      </c>
    </row>
    <row r="339" spans="1:31" s="1479" customFormat="1" ht="15" customHeight="1">
      <c r="A339" s="1914"/>
      <c r="B339" s="1915">
        <v>1</v>
      </c>
      <c r="C339" s="2487" t="str">
        <f>VLOOKUP(D339,base_datos,6,FALSE)</f>
        <v>TABLERO EMPO. L/HALOG. 28 POLOS C/BORNE A/H PVC /5250PFR1</v>
      </c>
      <c r="D339" s="427" t="s">
        <v>13371</v>
      </c>
      <c r="E339" s="2487">
        <f>VLOOKUP(D339,base_datos,5,FALSE)</f>
        <v>34.300000000000004</v>
      </c>
      <c r="F339" s="1417">
        <f>+E339*B339</f>
        <v>34.300000000000004</v>
      </c>
      <c r="G339" s="2488"/>
      <c r="H339" s="2488"/>
      <c r="I339" s="2488"/>
      <c r="J339" s="1414"/>
      <c r="K339" s="843">
        <f t="shared" si="60"/>
        <v>19</v>
      </c>
      <c r="L339" s="412">
        <v>1</v>
      </c>
      <c r="M339" s="843">
        <f>IF(B339="",1,B339)</f>
        <v>1</v>
      </c>
      <c r="N339" s="890">
        <f t="shared" si="61"/>
        <v>19</v>
      </c>
      <c r="O339" s="344" t="str">
        <f t="shared" si="62"/>
        <v>SOLERA 28MODULOS</v>
      </c>
      <c r="P339" s="344" t="str">
        <f t="shared" si="63"/>
        <v>TABLERO EMPO. L/HALOG. 28 POLOS C/BORNE A/H PVC /5250PFR1</v>
      </c>
      <c r="Q339" s="195" t="str">
        <f t="shared" si="64"/>
        <v>SOLERA 28MODULOS</v>
      </c>
      <c r="R339" s="862"/>
      <c r="S339" s="862"/>
      <c r="T339" s="2489"/>
      <c r="U339" s="2489"/>
      <c r="V339" s="2489"/>
      <c r="W339" s="2489"/>
      <c r="X339" s="2489"/>
      <c r="Y339" s="2489"/>
      <c r="Z339" s="2489"/>
      <c r="AA339" s="2489"/>
      <c r="AB339" s="2489"/>
      <c r="AC339" s="2489"/>
      <c r="AD339" s="2489"/>
      <c r="AE339" s="2489"/>
    </row>
    <row r="340" spans="1:31" s="126" customFormat="1" ht="15" customHeight="1" thickBot="1">
      <c r="A340" s="1746"/>
      <c r="B340" s="2490"/>
      <c r="C340" s="1909"/>
      <c r="D340" s="2491"/>
      <c r="E340" s="873"/>
      <c r="F340" s="2492"/>
      <c r="G340" s="2493"/>
      <c r="H340" s="2493"/>
      <c r="I340" s="2493"/>
      <c r="J340" s="2494"/>
      <c r="K340" s="843"/>
      <c r="L340" s="412"/>
      <c r="M340" s="843"/>
      <c r="N340" s="890" t="str">
        <f t="shared" si="61"/>
        <v/>
      </c>
      <c r="O340" s="344" t="str">
        <f t="shared" si="62"/>
        <v/>
      </c>
      <c r="P340" s="344" t="str">
        <f t="shared" si="63"/>
        <v/>
      </c>
      <c r="Q340" s="195" t="str">
        <f t="shared" si="64"/>
        <v/>
      </c>
      <c r="R340" s="195"/>
    </row>
    <row r="341" spans="1:31" s="126" customFormat="1" ht="15" customHeight="1" thickBot="1">
      <c r="A341" s="1919">
        <v>8</v>
      </c>
      <c r="B341" s="2449">
        <v>6</v>
      </c>
      <c r="C341" s="2450" t="s">
        <v>14175</v>
      </c>
      <c r="D341" s="2451"/>
      <c r="E341" s="2452"/>
      <c r="F341" s="2452"/>
      <c r="G341" s="2453">
        <f>SUM(F342:F356)</f>
        <v>294.11388059701494</v>
      </c>
      <c r="H341" s="2453">
        <f>G341*(1-$D$6)</f>
        <v>220.58541044776121</v>
      </c>
      <c r="I341" s="2453">
        <f>ROUNDUP(H341*$D$5,0)</f>
        <v>750</v>
      </c>
      <c r="J341" s="2454">
        <f>+I341*B341</f>
        <v>4500</v>
      </c>
      <c r="K341" s="843">
        <f>B341</f>
        <v>6</v>
      </c>
      <c r="L341" s="412"/>
      <c r="M341" s="843"/>
      <c r="N341" s="890" t="str">
        <f t="shared" si="61"/>
        <v/>
      </c>
      <c r="O341" s="344" t="str">
        <f t="shared" si="62"/>
        <v/>
      </c>
      <c r="P341" s="344" t="str">
        <f t="shared" si="63"/>
        <v/>
      </c>
      <c r="Q341" s="195" t="str">
        <f t="shared" si="64"/>
        <v/>
      </c>
      <c r="R341" s="195"/>
    </row>
    <row r="342" spans="1:31" s="126" customFormat="1" ht="15" customHeight="1">
      <c r="A342" s="2455" t="s">
        <v>9502</v>
      </c>
      <c r="B342" s="1418"/>
      <c r="C342" s="1104"/>
      <c r="D342" s="2456"/>
      <c r="E342" s="842"/>
      <c r="F342" s="2390"/>
      <c r="G342" s="2457"/>
      <c r="H342" s="2457"/>
      <c r="I342" s="2457"/>
      <c r="J342" s="2458"/>
      <c r="K342" s="843">
        <f>K341</f>
        <v>6</v>
      </c>
      <c r="L342" s="412">
        <v>1</v>
      </c>
      <c r="M342" s="843">
        <f t="shared" ref="M342:M355" si="65">IF(B342="",1,B342)</f>
        <v>1</v>
      </c>
      <c r="N342" s="890" t="str">
        <f t="shared" si="61"/>
        <v/>
      </c>
      <c r="O342" s="344" t="str">
        <f t="shared" si="62"/>
        <v/>
      </c>
      <c r="P342" s="344" t="str">
        <f t="shared" si="63"/>
        <v/>
      </c>
      <c r="Q342" s="195" t="str">
        <f t="shared" si="64"/>
        <v/>
      </c>
      <c r="R342" s="195"/>
    </row>
    <row r="343" spans="1:31" s="126" customFormat="1" ht="15" customHeight="1">
      <c r="A343" s="1913"/>
      <c r="B343" s="1122"/>
      <c r="C343" s="1922" t="s">
        <v>3301</v>
      </c>
      <c r="D343" s="2459"/>
      <c r="E343" s="2460"/>
      <c r="F343" s="2391"/>
      <c r="G343" s="2457"/>
      <c r="H343" s="2457"/>
      <c r="I343" s="2457"/>
      <c r="J343" s="2461"/>
      <c r="K343" s="843">
        <f t="shared" ref="K343:K356" si="66">K342</f>
        <v>6</v>
      </c>
      <c r="L343" s="412">
        <v>1</v>
      </c>
      <c r="M343" s="843">
        <f t="shared" si="65"/>
        <v>1</v>
      </c>
      <c r="N343" s="890" t="str">
        <f t="shared" si="61"/>
        <v/>
      </c>
      <c r="O343" s="344" t="str">
        <f t="shared" si="62"/>
        <v/>
      </c>
      <c r="P343" s="344" t="str">
        <f t="shared" si="63"/>
        <v/>
      </c>
      <c r="Q343" s="195" t="str">
        <f t="shared" si="64"/>
        <v/>
      </c>
      <c r="R343" s="195"/>
    </row>
    <row r="344" spans="1:31" s="862" customFormat="1" ht="15" customHeight="1">
      <c r="A344" s="1913" t="s">
        <v>10377</v>
      </c>
      <c r="B344" s="1122">
        <v>1</v>
      </c>
      <c r="C344" s="2462" t="str">
        <f>VLOOKUP(D344,base_datos,6,FALSE)</f>
        <v>ITM Riel-Din 2x63A - SH202-C-63A - 10kA@230Vac, 6kA@400Vac-IEC60898 - marca ABB.</v>
      </c>
      <c r="D344" s="1894" t="s">
        <v>1065</v>
      </c>
      <c r="E344" s="2460">
        <f>VLOOKUP(D344,base_datos,5,FALSE)</f>
        <v>11.74</v>
      </c>
      <c r="F344" s="2391">
        <f>+E344*B344</f>
        <v>11.74</v>
      </c>
      <c r="G344" s="2463"/>
      <c r="H344" s="2463"/>
      <c r="I344" s="2463"/>
      <c r="J344" s="2464"/>
      <c r="K344" s="843">
        <f t="shared" si="66"/>
        <v>6</v>
      </c>
      <c r="L344" s="412">
        <v>1</v>
      </c>
      <c r="M344" s="843">
        <f t="shared" si="65"/>
        <v>1</v>
      </c>
      <c r="N344" s="890">
        <f t="shared" si="61"/>
        <v>6</v>
      </c>
      <c r="O344" s="344" t="str">
        <f t="shared" si="62"/>
        <v>2CDS212001R0634</v>
      </c>
      <c r="P344" s="344" t="str">
        <f t="shared" si="63"/>
        <v>ITM Riel-Din 2x63A - SH202-C-63A - 10kA@230Vac, 6kA@400Vac-IEC60898 - marca ABB.</v>
      </c>
      <c r="Q344" s="195" t="str">
        <f t="shared" si="64"/>
        <v>SH202-C-63A</v>
      </c>
      <c r="R344" s="195"/>
    </row>
    <row r="345" spans="1:31" s="195" customFormat="1" ht="15" customHeight="1">
      <c r="A345" s="1913" t="s">
        <v>10378</v>
      </c>
      <c r="B345" s="1870"/>
      <c r="C345" s="197" t="s">
        <v>729</v>
      </c>
      <c r="D345" s="182"/>
      <c r="E345" s="1021"/>
      <c r="F345" s="2352"/>
      <c r="G345" s="2457"/>
      <c r="H345" s="2457"/>
      <c r="I345" s="2457"/>
      <c r="J345" s="2461"/>
      <c r="K345" s="843">
        <f t="shared" si="66"/>
        <v>6</v>
      </c>
      <c r="L345" s="412">
        <v>1</v>
      </c>
      <c r="M345" s="843">
        <f t="shared" si="65"/>
        <v>1</v>
      </c>
      <c r="N345" s="890" t="str">
        <f t="shared" si="61"/>
        <v/>
      </c>
      <c r="O345" s="344" t="str">
        <f t="shared" si="62"/>
        <v/>
      </c>
      <c r="P345" s="344" t="str">
        <f t="shared" si="63"/>
        <v/>
      </c>
      <c r="Q345" s="195" t="str">
        <f t="shared" si="64"/>
        <v/>
      </c>
    </row>
    <row r="346" spans="1:31" s="862" customFormat="1" ht="15" customHeight="1">
      <c r="A346" s="1913"/>
      <c r="B346" s="820"/>
      <c r="C346" s="1922" t="s">
        <v>14172</v>
      </c>
      <c r="D346" s="1896"/>
      <c r="E346" s="842"/>
      <c r="F346" s="2391">
        <f>+E346*B346</f>
        <v>0</v>
      </c>
      <c r="G346" s="2463"/>
      <c r="H346" s="2463"/>
      <c r="I346" s="2463"/>
      <c r="J346" s="2464"/>
      <c r="K346" s="843">
        <f t="shared" si="66"/>
        <v>6</v>
      </c>
      <c r="L346" s="412">
        <v>1</v>
      </c>
      <c r="M346" s="843">
        <f t="shared" si="65"/>
        <v>1</v>
      </c>
      <c r="N346" s="890" t="str">
        <f t="shared" si="61"/>
        <v/>
      </c>
      <c r="O346" s="344" t="str">
        <f t="shared" si="62"/>
        <v/>
      </c>
      <c r="P346" s="344" t="str">
        <f t="shared" si="63"/>
        <v/>
      </c>
      <c r="Q346" s="195" t="str">
        <f t="shared" si="64"/>
        <v/>
      </c>
      <c r="R346" s="195"/>
    </row>
    <row r="347" spans="1:31" s="862" customFormat="1" ht="15" customHeight="1">
      <c r="A347" s="2515" t="s">
        <v>13383</v>
      </c>
      <c r="B347" s="1122">
        <v>7</v>
      </c>
      <c r="C347" s="2462" t="str">
        <f>VLOOKUP(D347,base_datos,6,FALSE)</f>
        <v>ITM Riel-Din 2x20A - SH202-C-20A - 10kA@230Vac, 6kA@400Vac-IEC60898 - marca ABB.</v>
      </c>
      <c r="D347" s="1894" t="s">
        <v>1060</v>
      </c>
      <c r="E347" s="2460">
        <f>VLOOKUP(D347,base_datos,5,FALSE)</f>
        <v>6.54</v>
      </c>
      <c r="F347" s="2391">
        <f>+E347*B347</f>
        <v>45.78</v>
      </c>
      <c r="G347" s="2463"/>
      <c r="H347" s="2463"/>
      <c r="I347" s="2463"/>
      <c r="J347" s="2465"/>
      <c r="K347" s="843">
        <f t="shared" si="66"/>
        <v>6</v>
      </c>
      <c r="L347" s="412">
        <v>1</v>
      </c>
      <c r="M347" s="843">
        <f t="shared" si="65"/>
        <v>7</v>
      </c>
      <c r="N347" s="890">
        <f t="shared" si="61"/>
        <v>42</v>
      </c>
      <c r="O347" s="344" t="str">
        <f t="shared" si="62"/>
        <v>2CDS212001R0204</v>
      </c>
      <c r="P347" s="344" t="str">
        <f t="shared" si="63"/>
        <v>ITM Riel-Din 2x20A - SH202-C-20A - 10kA@230Vac, 6kA@400Vac-IEC60898 - marca ABB.</v>
      </c>
      <c r="Q347" s="195" t="str">
        <f t="shared" si="64"/>
        <v>SH202-C-20A</v>
      </c>
      <c r="R347" s="195"/>
    </row>
    <row r="348" spans="1:31" s="862" customFormat="1" ht="15" customHeight="1">
      <c r="A348" s="2515"/>
      <c r="B348" s="1122">
        <v>7</v>
      </c>
      <c r="C348" s="2462" t="str">
        <f>VLOOKUP(D348,base_datos,6,FALSE)</f>
        <v>Interruptor Diferencial 2x25A - 30mA - clase AC - FH202-AC-25A-30mA - marca ABB.</v>
      </c>
      <c r="D348" s="2466" t="s">
        <v>1109</v>
      </c>
      <c r="E348" s="2460">
        <f>VLOOKUP(D348,base_datos,5,FALSE)</f>
        <v>24.41</v>
      </c>
      <c r="F348" s="2391">
        <f>+E348*B348</f>
        <v>170.87</v>
      </c>
      <c r="G348" s="2463"/>
      <c r="H348" s="2463"/>
      <c r="I348" s="2463"/>
      <c r="J348" s="2465"/>
      <c r="K348" s="843">
        <f t="shared" si="66"/>
        <v>6</v>
      </c>
      <c r="L348" s="412">
        <v>1</v>
      </c>
      <c r="M348" s="843">
        <f t="shared" si="65"/>
        <v>7</v>
      </c>
      <c r="N348" s="890">
        <f t="shared" si="61"/>
        <v>42</v>
      </c>
      <c r="O348" s="344" t="str">
        <f t="shared" si="62"/>
        <v>1TMF202006R1250</v>
      </c>
      <c r="P348" s="344" t="str">
        <f t="shared" si="63"/>
        <v>Interruptor Diferencial 2x25A - 30mA - clase AC - FH202-AC-25A-30mA - marca ABB.</v>
      </c>
      <c r="Q348" s="195" t="str">
        <f t="shared" si="64"/>
        <v>FH202-AC-25A-30mA</v>
      </c>
      <c r="R348" s="195"/>
    </row>
    <row r="349" spans="1:31" s="2340" customFormat="1" ht="15" customHeight="1">
      <c r="A349" s="2515"/>
      <c r="B349" s="2443">
        <v>1</v>
      </c>
      <c r="C349" s="2467" t="str">
        <f>VLOOKUP(D349,base_datos,6,FALSE)</f>
        <v>Espacio de reserva monofasica + interruptor diferencial - Riel-Din.</v>
      </c>
      <c r="D349" s="2468" t="s">
        <v>3069</v>
      </c>
      <c r="E349" s="2469">
        <f>VLOOKUP(D349,base_datos,5,FALSE)</f>
        <v>2.5</v>
      </c>
      <c r="F349" s="2447">
        <f>+E349*B349</f>
        <v>2.5</v>
      </c>
      <c r="G349" s="2470"/>
      <c r="H349" s="2470"/>
      <c r="I349" s="2470"/>
      <c r="J349" s="2471"/>
      <c r="K349" s="843">
        <f t="shared" si="66"/>
        <v>6</v>
      </c>
      <c r="L349" s="412">
        <v>1</v>
      </c>
      <c r="M349" s="843">
        <f t="shared" si="65"/>
        <v>1</v>
      </c>
      <c r="N349" s="890" t="str">
        <f t="shared" si="61"/>
        <v/>
      </c>
      <c r="O349" s="344" t="str">
        <f t="shared" si="62"/>
        <v/>
      </c>
      <c r="P349" s="344" t="str">
        <f t="shared" si="63"/>
        <v/>
      </c>
      <c r="Q349" s="195" t="str">
        <f t="shared" si="64"/>
        <v/>
      </c>
      <c r="R349" s="195"/>
    </row>
    <row r="350" spans="1:31" s="1088" customFormat="1" ht="15" customHeight="1">
      <c r="A350" s="2486"/>
      <c r="B350" s="2473">
        <v>1</v>
      </c>
      <c r="C350" s="2474" t="str">
        <f>VLOOKUP(D350,base_datos,6,FALSE)</f>
        <v>"Peine" monofásico para 18 polos.</v>
      </c>
      <c r="D350" s="2475" t="s">
        <v>8385</v>
      </c>
      <c r="E350" s="2474">
        <f>VLOOKUP(D350,base_datos,5,FALSE)</f>
        <v>10.723880597014924</v>
      </c>
      <c r="F350" s="2476">
        <f>+E350*B350</f>
        <v>10.723880597014924</v>
      </c>
      <c r="G350" s="2477"/>
      <c r="H350" s="2477"/>
      <c r="I350" s="2477"/>
      <c r="J350" s="2478"/>
      <c r="K350" s="843">
        <f t="shared" si="66"/>
        <v>6</v>
      </c>
      <c r="L350" s="412">
        <v>1</v>
      </c>
      <c r="M350" s="843">
        <f t="shared" si="65"/>
        <v>1</v>
      </c>
      <c r="N350" s="890" t="str">
        <f t="shared" si="61"/>
        <v/>
      </c>
      <c r="O350" s="344" t="str">
        <f t="shared" si="62"/>
        <v/>
      </c>
      <c r="P350" s="344" t="str">
        <f t="shared" si="63"/>
        <v/>
      </c>
      <c r="Q350" s="195" t="str">
        <f t="shared" si="64"/>
        <v/>
      </c>
    </row>
    <row r="351" spans="1:31" s="195" customFormat="1" ht="15" customHeight="1">
      <c r="A351" s="194"/>
      <c r="B351" s="2479"/>
      <c r="C351" s="45" t="s">
        <v>729</v>
      </c>
      <c r="D351" s="177"/>
      <c r="E351" s="2480"/>
      <c r="F351" s="2481"/>
      <c r="G351" s="2457"/>
      <c r="H351" s="2457"/>
      <c r="I351" s="2457"/>
      <c r="J351" s="2461"/>
      <c r="K351" s="843">
        <f t="shared" si="66"/>
        <v>6</v>
      </c>
      <c r="L351" s="412">
        <v>1</v>
      </c>
      <c r="M351" s="843">
        <f t="shared" si="65"/>
        <v>1</v>
      </c>
      <c r="N351" s="890" t="str">
        <f t="shared" si="61"/>
        <v/>
      </c>
      <c r="O351" s="344" t="str">
        <f t="shared" si="62"/>
        <v/>
      </c>
      <c r="P351" s="344" t="str">
        <f t="shared" si="63"/>
        <v/>
      </c>
      <c r="Q351" s="195" t="str">
        <f t="shared" si="64"/>
        <v/>
      </c>
    </row>
    <row r="352" spans="1:31" s="870" customFormat="1" ht="15" customHeight="1">
      <c r="A352" s="1912"/>
      <c r="B352" s="2479">
        <v>1</v>
      </c>
      <c r="C352" s="45" t="s">
        <v>316</v>
      </c>
      <c r="D352" s="2482"/>
      <c r="E352" s="2474"/>
      <c r="F352" s="2483"/>
      <c r="G352" s="2484"/>
      <c r="H352" s="2484"/>
      <c r="I352" s="2484"/>
      <c r="J352" s="2485"/>
      <c r="K352" s="843">
        <f t="shared" si="66"/>
        <v>6</v>
      </c>
      <c r="L352" s="412">
        <v>1</v>
      </c>
      <c r="M352" s="843">
        <f t="shared" si="65"/>
        <v>1</v>
      </c>
      <c r="N352" s="890" t="str">
        <f t="shared" si="61"/>
        <v/>
      </c>
      <c r="O352" s="344" t="str">
        <f t="shared" si="62"/>
        <v/>
      </c>
      <c r="P352" s="344" t="str">
        <f t="shared" si="63"/>
        <v/>
      </c>
      <c r="Q352" s="195" t="str">
        <f t="shared" si="64"/>
        <v/>
      </c>
      <c r="R352" s="195"/>
    </row>
    <row r="353" spans="1:31" s="195" customFormat="1" ht="15" customHeight="1">
      <c r="A353" s="194"/>
      <c r="B353" s="2479"/>
      <c r="C353" s="45" t="s">
        <v>729</v>
      </c>
      <c r="D353" s="177"/>
      <c r="E353" s="2480"/>
      <c r="F353" s="2481"/>
      <c r="G353" s="2457"/>
      <c r="H353" s="2457"/>
      <c r="I353" s="2457"/>
      <c r="J353" s="2461"/>
      <c r="K353" s="843">
        <f t="shared" si="66"/>
        <v>6</v>
      </c>
      <c r="L353" s="412">
        <v>1</v>
      </c>
      <c r="M353" s="843">
        <f t="shared" si="65"/>
        <v>1</v>
      </c>
      <c r="N353" s="890" t="str">
        <f t="shared" si="61"/>
        <v/>
      </c>
      <c r="O353" s="344" t="str">
        <f t="shared" si="62"/>
        <v/>
      </c>
      <c r="P353" s="344" t="str">
        <f t="shared" si="63"/>
        <v/>
      </c>
      <c r="Q353" s="195" t="str">
        <f t="shared" si="64"/>
        <v/>
      </c>
    </row>
    <row r="354" spans="1:31" s="1088" customFormat="1" ht="15" customHeight="1">
      <c r="A354" s="2486"/>
      <c r="B354" s="2473">
        <v>15</v>
      </c>
      <c r="C354" s="2474" t="str">
        <f>VLOOKUP(D354,base_datos,6,FALSE)</f>
        <v>Rotulado por circuito.</v>
      </c>
      <c r="D354" s="2475" t="s">
        <v>3210</v>
      </c>
      <c r="E354" s="2474">
        <f>VLOOKUP(D354,base_datos,5,FALSE)</f>
        <v>0.7</v>
      </c>
      <c r="F354" s="2476">
        <f>+E354*B354</f>
        <v>10.5</v>
      </c>
      <c r="G354" s="2477"/>
      <c r="H354" s="2477"/>
      <c r="I354" s="2477"/>
      <c r="J354" s="2478"/>
      <c r="K354" s="843">
        <f t="shared" si="66"/>
        <v>6</v>
      </c>
      <c r="L354" s="412">
        <v>1</v>
      </c>
      <c r="M354" s="843">
        <f t="shared" si="65"/>
        <v>15</v>
      </c>
      <c r="N354" s="890" t="str">
        <f t="shared" si="61"/>
        <v/>
      </c>
      <c r="O354" s="344" t="str">
        <f t="shared" si="62"/>
        <v/>
      </c>
      <c r="P354" s="344" t="str">
        <f t="shared" si="63"/>
        <v/>
      </c>
      <c r="Q354" s="195" t="str">
        <f t="shared" si="64"/>
        <v/>
      </c>
    </row>
    <row r="355" spans="1:31" s="1088" customFormat="1" ht="15" customHeight="1">
      <c r="A355" s="2486"/>
      <c r="B355" s="2473">
        <v>1</v>
      </c>
      <c r="C355" s="2474" t="str">
        <f>VLOOKUP(D355,base_datos,6,FALSE)</f>
        <v>Rotulado para TAG - tablero de distribución.</v>
      </c>
      <c r="D355" s="2475" t="s">
        <v>3209</v>
      </c>
      <c r="E355" s="2474">
        <f>VLOOKUP(D355,base_datos,5,FALSE)</f>
        <v>1.5</v>
      </c>
      <c r="F355" s="2476">
        <f>+E355*B355</f>
        <v>1.5</v>
      </c>
      <c r="G355" s="2477"/>
      <c r="H355" s="2477"/>
      <c r="I355" s="2477"/>
      <c r="J355" s="2478"/>
      <c r="K355" s="843">
        <f t="shared" si="66"/>
        <v>6</v>
      </c>
      <c r="L355" s="412">
        <v>1</v>
      </c>
      <c r="M355" s="843">
        <f t="shared" si="65"/>
        <v>1</v>
      </c>
      <c r="N355" s="890" t="str">
        <f t="shared" si="61"/>
        <v/>
      </c>
      <c r="O355" s="344" t="str">
        <f t="shared" si="62"/>
        <v/>
      </c>
      <c r="P355" s="344" t="str">
        <f t="shared" si="63"/>
        <v/>
      </c>
      <c r="Q355" s="195" t="str">
        <f t="shared" si="64"/>
        <v/>
      </c>
    </row>
    <row r="356" spans="1:31" s="1479" customFormat="1" ht="15" customHeight="1">
      <c r="A356" s="1914"/>
      <c r="B356" s="1915">
        <v>1</v>
      </c>
      <c r="C356" s="2487" t="str">
        <f>VLOOKUP(D356,base_datos,6,FALSE)</f>
        <v>TABLERO EMPO. L/HALOG. 40 POLOS C/BORNE A/H PVC /8206PFR1</v>
      </c>
      <c r="D356" s="427" t="s">
        <v>13382</v>
      </c>
      <c r="E356" s="2487">
        <f>VLOOKUP(D356,base_datos,5,FALSE)</f>
        <v>40.5</v>
      </c>
      <c r="F356" s="1417">
        <f>+E356*B356</f>
        <v>40.5</v>
      </c>
      <c r="G356" s="2488"/>
      <c r="H356" s="2488"/>
      <c r="I356" s="2488"/>
      <c r="J356" s="1414"/>
      <c r="K356" s="843">
        <f t="shared" si="66"/>
        <v>6</v>
      </c>
      <c r="L356" s="412">
        <v>1</v>
      </c>
      <c r="M356" s="843">
        <f>IF(B356="",1,B356)</f>
        <v>1</v>
      </c>
      <c r="N356" s="890">
        <f t="shared" si="61"/>
        <v>6</v>
      </c>
      <c r="O356" s="344" t="str">
        <f t="shared" si="62"/>
        <v>SOLERA 40MODULOS</v>
      </c>
      <c r="P356" s="344" t="str">
        <f t="shared" si="63"/>
        <v>TABLERO EMPO. L/HALOG. 40 POLOS C/BORNE A/H PVC /8206PFR1</v>
      </c>
      <c r="Q356" s="195" t="str">
        <f t="shared" si="64"/>
        <v>SOLERA 40MODULOS</v>
      </c>
      <c r="R356" s="862"/>
      <c r="S356" s="862"/>
      <c r="T356" s="2489"/>
      <c r="U356" s="2489"/>
      <c r="V356" s="2489"/>
      <c r="W356" s="2489"/>
      <c r="X356" s="2489"/>
      <c r="Y356" s="2489"/>
      <c r="Z356" s="2489"/>
      <c r="AA356" s="2489"/>
      <c r="AB356" s="2489"/>
      <c r="AC356" s="2489"/>
      <c r="AD356" s="2489"/>
      <c r="AE356" s="2489"/>
    </row>
    <row r="357" spans="1:31" s="126" customFormat="1" ht="15" customHeight="1" thickBot="1">
      <c r="A357" s="1746"/>
      <c r="B357" s="2490"/>
      <c r="C357" s="1909"/>
      <c r="D357" s="2491"/>
      <c r="E357" s="873"/>
      <c r="F357" s="2492"/>
      <c r="G357" s="2493"/>
      <c r="H357" s="2493"/>
      <c r="I357" s="2493"/>
      <c r="J357" s="2494"/>
      <c r="K357" s="843"/>
      <c r="L357" s="412"/>
      <c r="M357" s="843"/>
      <c r="N357" s="890" t="str">
        <f t="shared" si="61"/>
        <v/>
      </c>
      <c r="O357" s="344" t="str">
        <f t="shared" si="62"/>
        <v/>
      </c>
      <c r="P357" s="344" t="str">
        <f t="shared" si="63"/>
        <v/>
      </c>
      <c r="Q357" s="195" t="str">
        <f t="shared" si="64"/>
        <v/>
      </c>
      <c r="R357" s="195"/>
    </row>
    <row r="358" spans="1:31" s="126" customFormat="1" ht="15" customHeight="1" thickBot="1">
      <c r="A358" s="1919">
        <v>9</v>
      </c>
      <c r="B358" s="2449">
        <v>12</v>
      </c>
      <c r="C358" s="2450" t="s">
        <v>14176</v>
      </c>
      <c r="D358" s="2451"/>
      <c r="E358" s="2452"/>
      <c r="F358" s="2452"/>
      <c r="G358" s="2453">
        <f>SUM(F359:F373)</f>
        <v>187.95592039800997</v>
      </c>
      <c r="H358" s="2453">
        <f>G358*(1-$D$6)</f>
        <v>140.96694029850747</v>
      </c>
      <c r="I358" s="2453">
        <f>ROUNDUP(H358*$D$5,0)</f>
        <v>480</v>
      </c>
      <c r="J358" s="2454">
        <f>+I358*B358</f>
        <v>5760</v>
      </c>
      <c r="K358" s="843">
        <f>B358</f>
        <v>12</v>
      </c>
      <c r="L358" s="412"/>
      <c r="M358" s="843"/>
      <c r="N358" s="890" t="str">
        <f t="shared" si="61"/>
        <v/>
      </c>
      <c r="O358" s="344" t="str">
        <f t="shared" si="62"/>
        <v/>
      </c>
      <c r="P358" s="344" t="str">
        <f t="shared" si="63"/>
        <v/>
      </c>
      <c r="Q358" s="195" t="str">
        <f t="shared" si="64"/>
        <v/>
      </c>
      <c r="R358" s="195"/>
    </row>
    <row r="359" spans="1:31" s="126" customFormat="1" ht="15" customHeight="1">
      <c r="A359" s="2455" t="s">
        <v>9502</v>
      </c>
      <c r="B359" s="1418"/>
      <c r="C359" s="1104"/>
      <c r="D359" s="2456"/>
      <c r="E359" s="842"/>
      <c r="F359" s="2390"/>
      <c r="G359" s="2457"/>
      <c r="H359" s="2457"/>
      <c r="I359" s="2457"/>
      <c r="J359" s="2458"/>
      <c r="K359" s="843">
        <f>K358</f>
        <v>12</v>
      </c>
      <c r="L359" s="412">
        <v>1</v>
      </c>
      <c r="M359" s="843">
        <f t="shared" ref="M359:M372" si="67">IF(B359="",1,B359)</f>
        <v>1</v>
      </c>
      <c r="N359" s="890" t="str">
        <f t="shared" si="61"/>
        <v/>
      </c>
      <c r="O359" s="344" t="str">
        <f t="shared" si="62"/>
        <v/>
      </c>
      <c r="P359" s="344" t="str">
        <f t="shared" si="63"/>
        <v/>
      </c>
      <c r="Q359" s="195" t="str">
        <f t="shared" si="64"/>
        <v/>
      </c>
      <c r="R359" s="195"/>
    </row>
    <row r="360" spans="1:31" s="126" customFormat="1" ht="15" customHeight="1">
      <c r="A360" s="1913"/>
      <c r="B360" s="1122"/>
      <c r="C360" s="1922" t="s">
        <v>3301</v>
      </c>
      <c r="D360" s="2459"/>
      <c r="E360" s="2460"/>
      <c r="F360" s="2391"/>
      <c r="G360" s="2457"/>
      <c r="H360" s="2457"/>
      <c r="I360" s="2457"/>
      <c r="J360" s="2461"/>
      <c r="K360" s="843">
        <f t="shared" ref="K360:K373" si="68">K359</f>
        <v>12</v>
      </c>
      <c r="L360" s="412">
        <v>1</v>
      </c>
      <c r="M360" s="843">
        <f t="shared" si="67"/>
        <v>1</v>
      </c>
      <c r="N360" s="890" t="str">
        <f t="shared" si="61"/>
        <v/>
      </c>
      <c r="O360" s="344" t="str">
        <f t="shared" si="62"/>
        <v/>
      </c>
      <c r="P360" s="344" t="str">
        <f t="shared" si="63"/>
        <v/>
      </c>
      <c r="Q360" s="195" t="str">
        <f t="shared" si="64"/>
        <v/>
      </c>
      <c r="R360" s="195"/>
    </row>
    <row r="361" spans="1:31" s="862" customFormat="1" ht="15" customHeight="1">
      <c r="A361" s="1913" t="s">
        <v>10377</v>
      </c>
      <c r="B361" s="1122">
        <v>1</v>
      </c>
      <c r="C361" s="2462" t="str">
        <f>VLOOKUP(D361,base_datos,6,FALSE)</f>
        <v>ITM Riel-Din 2x63A - SH202-C-63A - 10kA@230Vac, 6kA@400Vac-IEC60898 - marca ABB.</v>
      </c>
      <c r="D361" s="1894" t="s">
        <v>1065</v>
      </c>
      <c r="E361" s="2460">
        <f>VLOOKUP(D361,base_datos,5,FALSE)</f>
        <v>11.74</v>
      </c>
      <c r="F361" s="2391">
        <f>+E361*B361</f>
        <v>11.74</v>
      </c>
      <c r="G361" s="2463"/>
      <c r="H361" s="2463"/>
      <c r="I361" s="2463"/>
      <c r="J361" s="2464"/>
      <c r="K361" s="843">
        <f t="shared" si="68"/>
        <v>12</v>
      </c>
      <c r="L361" s="412">
        <v>1</v>
      </c>
      <c r="M361" s="843">
        <f t="shared" si="67"/>
        <v>1</v>
      </c>
      <c r="N361" s="890">
        <f t="shared" si="61"/>
        <v>12</v>
      </c>
      <c r="O361" s="344" t="str">
        <f t="shared" si="62"/>
        <v>2CDS212001R0634</v>
      </c>
      <c r="P361" s="344" t="str">
        <f t="shared" si="63"/>
        <v>ITM Riel-Din 2x63A - SH202-C-63A - 10kA@230Vac, 6kA@400Vac-IEC60898 - marca ABB.</v>
      </c>
      <c r="Q361" s="195" t="str">
        <f t="shared" si="64"/>
        <v>SH202-C-63A</v>
      </c>
      <c r="R361" s="195"/>
    </row>
    <row r="362" spans="1:31" s="195" customFormat="1" ht="15" customHeight="1">
      <c r="A362" s="1913" t="s">
        <v>10378</v>
      </c>
      <c r="B362" s="1870"/>
      <c r="C362" s="197" t="s">
        <v>729</v>
      </c>
      <c r="D362" s="182"/>
      <c r="E362" s="1021"/>
      <c r="F362" s="2352"/>
      <c r="G362" s="2457"/>
      <c r="H362" s="2457"/>
      <c r="I362" s="2457"/>
      <c r="J362" s="2461"/>
      <c r="K362" s="843">
        <f t="shared" si="68"/>
        <v>12</v>
      </c>
      <c r="L362" s="412">
        <v>1</v>
      </c>
      <c r="M362" s="843">
        <f t="shared" si="67"/>
        <v>1</v>
      </c>
      <c r="N362" s="890" t="str">
        <f t="shared" si="61"/>
        <v/>
      </c>
      <c r="O362" s="344" t="str">
        <f t="shared" si="62"/>
        <v/>
      </c>
      <c r="P362" s="344" t="str">
        <f t="shared" si="63"/>
        <v/>
      </c>
      <c r="Q362" s="195" t="str">
        <f t="shared" si="64"/>
        <v/>
      </c>
    </row>
    <row r="363" spans="1:31" s="862" customFormat="1" ht="15" customHeight="1">
      <c r="A363" s="1913"/>
      <c r="B363" s="820"/>
      <c r="C363" s="1922" t="s">
        <v>14172</v>
      </c>
      <c r="D363" s="1896"/>
      <c r="E363" s="842"/>
      <c r="F363" s="2391">
        <f>+E363*B363</f>
        <v>0</v>
      </c>
      <c r="G363" s="2463"/>
      <c r="H363" s="2463"/>
      <c r="I363" s="2463"/>
      <c r="J363" s="2464"/>
      <c r="K363" s="843">
        <f t="shared" si="68"/>
        <v>12</v>
      </c>
      <c r="L363" s="412">
        <v>1</v>
      </c>
      <c r="M363" s="843">
        <f t="shared" si="67"/>
        <v>1</v>
      </c>
      <c r="N363" s="890" t="str">
        <f t="shared" si="61"/>
        <v/>
      </c>
      <c r="O363" s="344" t="str">
        <f t="shared" si="62"/>
        <v/>
      </c>
      <c r="P363" s="344" t="str">
        <f t="shared" si="63"/>
        <v/>
      </c>
      <c r="Q363" s="195" t="str">
        <f t="shared" si="64"/>
        <v/>
      </c>
      <c r="R363" s="195"/>
    </row>
    <row r="364" spans="1:31" s="862" customFormat="1" ht="15" customHeight="1">
      <c r="A364" s="2472" t="s">
        <v>13372</v>
      </c>
      <c r="B364" s="1122">
        <v>4</v>
      </c>
      <c r="C364" s="2462" t="str">
        <f>VLOOKUP(D364,base_datos,6,FALSE)</f>
        <v>ITM Riel-Din 2x20A - SH202-C-20A - 10kA@230Vac, 6kA@400Vac-IEC60898 - marca ABB.</v>
      </c>
      <c r="D364" s="1894" t="s">
        <v>1060</v>
      </c>
      <c r="E364" s="2460">
        <f>VLOOKUP(D364,base_datos,5,FALSE)</f>
        <v>6.54</v>
      </c>
      <c r="F364" s="2391">
        <f>+E364*B364</f>
        <v>26.16</v>
      </c>
      <c r="G364" s="2463"/>
      <c r="H364" s="2463"/>
      <c r="I364" s="2463"/>
      <c r="J364" s="2465"/>
      <c r="K364" s="843">
        <f t="shared" si="68"/>
        <v>12</v>
      </c>
      <c r="L364" s="412">
        <v>1</v>
      </c>
      <c r="M364" s="843">
        <f t="shared" si="67"/>
        <v>4</v>
      </c>
      <c r="N364" s="890">
        <f t="shared" si="61"/>
        <v>48</v>
      </c>
      <c r="O364" s="344" t="str">
        <f t="shared" si="62"/>
        <v>2CDS212001R0204</v>
      </c>
      <c r="P364" s="344" t="str">
        <f t="shared" si="63"/>
        <v>ITM Riel-Din 2x20A - SH202-C-20A - 10kA@230Vac, 6kA@400Vac-IEC60898 - marca ABB.</v>
      </c>
      <c r="Q364" s="195" t="str">
        <f t="shared" si="64"/>
        <v>SH202-C-20A</v>
      </c>
      <c r="R364" s="195"/>
    </row>
    <row r="365" spans="1:31" s="862" customFormat="1" ht="15" customHeight="1">
      <c r="A365" s="2472"/>
      <c r="B365" s="1122">
        <v>4</v>
      </c>
      <c r="C365" s="2462" t="str">
        <f>VLOOKUP(D365,base_datos,6,FALSE)</f>
        <v>Interruptor Diferencial 2x25A - 30mA - clase AC - FH202-AC-25A-30mA - marca ABB.</v>
      </c>
      <c r="D365" s="2466" t="s">
        <v>1109</v>
      </c>
      <c r="E365" s="2460">
        <f>VLOOKUP(D365,base_datos,5,FALSE)</f>
        <v>24.41</v>
      </c>
      <c r="F365" s="2391">
        <f>+E365*B365</f>
        <v>97.64</v>
      </c>
      <c r="G365" s="2463"/>
      <c r="H365" s="2463"/>
      <c r="I365" s="2463"/>
      <c r="J365" s="2465"/>
      <c r="K365" s="843">
        <f t="shared" si="68"/>
        <v>12</v>
      </c>
      <c r="L365" s="412">
        <v>1</v>
      </c>
      <c r="M365" s="843">
        <f t="shared" si="67"/>
        <v>4</v>
      </c>
      <c r="N365" s="890">
        <f t="shared" si="61"/>
        <v>48</v>
      </c>
      <c r="O365" s="344" t="str">
        <f t="shared" si="62"/>
        <v>1TMF202006R1250</v>
      </c>
      <c r="P365" s="344" t="str">
        <f t="shared" si="63"/>
        <v>Interruptor Diferencial 2x25A - 30mA - clase AC - FH202-AC-25A-30mA - marca ABB.</v>
      </c>
      <c r="Q365" s="195" t="str">
        <f t="shared" si="64"/>
        <v>FH202-AC-25A-30mA</v>
      </c>
      <c r="R365" s="195"/>
    </row>
    <row r="366" spans="1:31" s="2340" customFormat="1" ht="15" customHeight="1">
      <c r="A366" s="2472"/>
      <c r="B366" s="2443">
        <v>1</v>
      </c>
      <c r="C366" s="2467" t="str">
        <f>VLOOKUP(D366,base_datos,6,FALSE)</f>
        <v>Espacio de reserva monofasica + interruptor diferencial - Riel-Din.</v>
      </c>
      <c r="D366" s="2468" t="s">
        <v>3069</v>
      </c>
      <c r="E366" s="2469">
        <f>VLOOKUP(D366,base_datos,5,FALSE)</f>
        <v>2.5</v>
      </c>
      <c r="F366" s="2447">
        <f>+E366*B366</f>
        <v>2.5</v>
      </c>
      <c r="G366" s="2470"/>
      <c r="H366" s="2470"/>
      <c r="I366" s="2470"/>
      <c r="J366" s="2471"/>
      <c r="K366" s="843">
        <f t="shared" si="68"/>
        <v>12</v>
      </c>
      <c r="L366" s="412">
        <v>1</v>
      </c>
      <c r="M366" s="843">
        <f t="shared" si="67"/>
        <v>1</v>
      </c>
      <c r="N366" s="890" t="str">
        <f t="shared" si="61"/>
        <v/>
      </c>
      <c r="O366" s="344" t="str">
        <f t="shared" si="62"/>
        <v/>
      </c>
      <c r="P366" s="344" t="str">
        <f t="shared" si="63"/>
        <v/>
      </c>
      <c r="Q366" s="195" t="str">
        <f t="shared" si="64"/>
        <v/>
      </c>
      <c r="R366" s="195"/>
    </row>
    <row r="367" spans="1:31" s="1088" customFormat="1" ht="15" customHeight="1">
      <c r="A367" s="2486"/>
      <c r="B367" s="2473">
        <v>1</v>
      </c>
      <c r="C367" s="2474" t="str">
        <f>VLOOKUP(D367,base_datos,6,FALSE)</f>
        <v>"Peine" monofásico para 12 polos.</v>
      </c>
      <c r="D367" s="2475" t="s">
        <v>3117</v>
      </c>
      <c r="E367" s="2474">
        <f>VLOOKUP(D367,base_datos,5,FALSE)</f>
        <v>7.8159203980099496</v>
      </c>
      <c r="F367" s="2476">
        <f>+E367*B367</f>
        <v>7.8159203980099496</v>
      </c>
      <c r="G367" s="2477"/>
      <c r="H367" s="2477"/>
      <c r="I367" s="2477"/>
      <c r="J367" s="2478"/>
      <c r="K367" s="843">
        <f t="shared" si="68"/>
        <v>12</v>
      </c>
      <c r="L367" s="412">
        <v>1</v>
      </c>
      <c r="M367" s="843">
        <f t="shared" si="67"/>
        <v>1</v>
      </c>
      <c r="N367" s="890" t="str">
        <f t="shared" si="61"/>
        <v/>
      </c>
      <c r="O367" s="344" t="str">
        <f t="shared" si="62"/>
        <v/>
      </c>
      <c r="P367" s="344" t="str">
        <f t="shared" si="63"/>
        <v/>
      </c>
      <c r="Q367" s="195" t="str">
        <f t="shared" si="64"/>
        <v/>
      </c>
    </row>
    <row r="368" spans="1:31" s="195" customFormat="1" ht="15" customHeight="1">
      <c r="A368" s="194"/>
      <c r="B368" s="2479"/>
      <c r="C368" s="45" t="s">
        <v>729</v>
      </c>
      <c r="D368" s="177"/>
      <c r="E368" s="2480"/>
      <c r="F368" s="2481"/>
      <c r="G368" s="2457"/>
      <c r="H368" s="2457"/>
      <c r="I368" s="2457"/>
      <c r="J368" s="2461"/>
      <c r="K368" s="843">
        <f t="shared" si="68"/>
        <v>12</v>
      </c>
      <c r="L368" s="412">
        <v>1</v>
      </c>
      <c r="M368" s="843">
        <f t="shared" si="67"/>
        <v>1</v>
      </c>
      <c r="N368" s="890" t="str">
        <f t="shared" si="61"/>
        <v/>
      </c>
      <c r="O368" s="344" t="str">
        <f t="shared" si="62"/>
        <v/>
      </c>
      <c r="P368" s="344" t="str">
        <f t="shared" si="63"/>
        <v/>
      </c>
      <c r="Q368" s="195" t="str">
        <f t="shared" si="64"/>
        <v/>
      </c>
    </row>
    <row r="369" spans="1:31" s="870" customFormat="1" ht="15" customHeight="1">
      <c r="A369" s="1912"/>
      <c r="B369" s="2479">
        <v>1</v>
      </c>
      <c r="C369" s="45" t="s">
        <v>316</v>
      </c>
      <c r="D369" s="2482"/>
      <c r="E369" s="2474"/>
      <c r="F369" s="2483"/>
      <c r="G369" s="2484"/>
      <c r="H369" s="2484"/>
      <c r="I369" s="2484"/>
      <c r="J369" s="2485"/>
      <c r="K369" s="843">
        <f t="shared" si="68"/>
        <v>12</v>
      </c>
      <c r="L369" s="412">
        <v>1</v>
      </c>
      <c r="M369" s="843">
        <f t="shared" si="67"/>
        <v>1</v>
      </c>
      <c r="N369" s="890" t="str">
        <f t="shared" si="61"/>
        <v/>
      </c>
      <c r="O369" s="344" t="str">
        <f t="shared" si="62"/>
        <v/>
      </c>
      <c r="P369" s="344" t="str">
        <f t="shared" si="63"/>
        <v/>
      </c>
      <c r="Q369" s="195" t="str">
        <f t="shared" si="64"/>
        <v/>
      </c>
      <c r="R369" s="195"/>
    </row>
    <row r="370" spans="1:31" s="195" customFormat="1" ht="15" customHeight="1">
      <c r="B370" s="2479"/>
      <c r="C370" s="45" t="s">
        <v>729</v>
      </c>
      <c r="D370" s="177"/>
      <c r="E370" s="2480"/>
      <c r="F370" s="2481"/>
      <c r="G370" s="2457"/>
      <c r="H370" s="2457"/>
      <c r="I370" s="2457"/>
      <c r="J370" s="2461"/>
      <c r="K370" s="843">
        <f t="shared" si="68"/>
        <v>12</v>
      </c>
      <c r="L370" s="412">
        <v>1</v>
      </c>
      <c r="M370" s="843">
        <f t="shared" si="67"/>
        <v>1</v>
      </c>
      <c r="N370" s="890" t="str">
        <f t="shared" si="61"/>
        <v/>
      </c>
      <c r="O370" s="344" t="str">
        <f t="shared" si="62"/>
        <v/>
      </c>
      <c r="P370" s="344" t="str">
        <f t="shared" si="63"/>
        <v/>
      </c>
      <c r="Q370" s="195" t="str">
        <f t="shared" si="64"/>
        <v/>
      </c>
    </row>
    <row r="371" spans="1:31" s="1088" customFormat="1" ht="15" customHeight="1">
      <c r="A371" s="2486"/>
      <c r="B371" s="2473">
        <v>9</v>
      </c>
      <c r="C371" s="2474" t="str">
        <f>VLOOKUP(D371,base_datos,6,FALSE)</f>
        <v>Rotulado por circuito.</v>
      </c>
      <c r="D371" s="2475" t="s">
        <v>3210</v>
      </c>
      <c r="E371" s="2474">
        <f>VLOOKUP(D371,base_datos,5,FALSE)</f>
        <v>0.7</v>
      </c>
      <c r="F371" s="2476">
        <f>+E371*B371</f>
        <v>6.3</v>
      </c>
      <c r="G371" s="2477"/>
      <c r="H371" s="2477"/>
      <c r="I371" s="2477"/>
      <c r="J371" s="2478"/>
      <c r="K371" s="843">
        <f t="shared" si="68"/>
        <v>12</v>
      </c>
      <c r="L371" s="412">
        <v>1</v>
      </c>
      <c r="M371" s="843">
        <f t="shared" si="67"/>
        <v>9</v>
      </c>
      <c r="N371" s="890" t="str">
        <f t="shared" si="61"/>
        <v/>
      </c>
      <c r="O371" s="344" t="str">
        <f t="shared" si="62"/>
        <v/>
      </c>
      <c r="P371" s="344" t="str">
        <f t="shared" si="63"/>
        <v/>
      </c>
      <c r="Q371" s="195" t="str">
        <f t="shared" si="64"/>
        <v/>
      </c>
    </row>
    <row r="372" spans="1:31" s="1088" customFormat="1" ht="15" customHeight="1">
      <c r="A372" s="2486"/>
      <c r="B372" s="2473">
        <v>1</v>
      </c>
      <c r="C372" s="2474" t="str">
        <f>VLOOKUP(D372,base_datos,6,FALSE)</f>
        <v>Rotulado para TAG - tablero de distribución.</v>
      </c>
      <c r="D372" s="2475" t="s">
        <v>3209</v>
      </c>
      <c r="E372" s="2474">
        <f>VLOOKUP(D372,base_datos,5,FALSE)</f>
        <v>1.5</v>
      </c>
      <c r="F372" s="2476">
        <f>+E372*B372</f>
        <v>1.5</v>
      </c>
      <c r="G372" s="2477"/>
      <c r="H372" s="2477"/>
      <c r="I372" s="2477"/>
      <c r="J372" s="2478"/>
      <c r="K372" s="843">
        <f t="shared" si="68"/>
        <v>12</v>
      </c>
      <c r="L372" s="412">
        <v>1</v>
      </c>
      <c r="M372" s="843">
        <f t="shared" si="67"/>
        <v>1</v>
      </c>
      <c r="N372" s="890" t="str">
        <f t="shared" si="61"/>
        <v/>
      </c>
      <c r="O372" s="344" t="str">
        <f t="shared" si="62"/>
        <v/>
      </c>
      <c r="P372" s="344" t="str">
        <f t="shared" si="63"/>
        <v/>
      </c>
      <c r="Q372" s="195" t="str">
        <f t="shared" si="64"/>
        <v/>
      </c>
    </row>
    <row r="373" spans="1:31" s="1479" customFormat="1" ht="15" customHeight="1">
      <c r="A373" s="1914"/>
      <c r="B373" s="1915">
        <v>1</v>
      </c>
      <c r="C373" s="2487" t="str">
        <f>VLOOKUP(D373,base_datos,6,FALSE)</f>
        <v>TABLERO EMPO. L/HALOG. 28 POLOS C/BORNE A/H PVC /5250PFR1</v>
      </c>
      <c r="D373" s="427" t="s">
        <v>13371</v>
      </c>
      <c r="E373" s="2487">
        <f>VLOOKUP(D373,base_datos,5,FALSE)</f>
        <v>34.300000000000004</v>
      </c>
      <c r="F373" s="1417">
        <f>+E373*B373</f>
        <v>34.300000000000004</v>
      </c>
      <c r="G373" s="2488"/>
      <c r="H373" s="2488"/>
      <c r="I373" s="2488"/>
      <c r="J373" s="1414"/>
      <c r="K373" s="843">
        <f t="shared" si="68"/>
        <v>12</v>
      </c>
      <c r="L373" s="412">
        <v>1</v>
      </c>
      <c r="M373" s="843">
        <f>IF(B373="",1,B373)</f>
        <v>1</v>
      </c>
      <c r="N373" s="890">
        <f t="shared" si="61"/>
        <v>12</v>
      </c>
      <c r="O373" s="344" t="str">
        <f t="shared" si="62"/>
        <v>SOLERA 28MODULOS</v>
      </c>
      <c r="P373" s="344" t="str">
        <f t="shared" si="63"/>
        <v>TABLERO EMPO. L/HALOG. 28 POLOS C/BORNE A/H PVC /5250PFR1</v>
      </c>
      <c r="Q373" s="195" t="str">
        <f t="shared" si="64"/>
        <v>SOLERA 28MODULOS</v>
      </c>
      <c r="R373" s="862"/>
      <c r="S373" s="862"/>
      <c r="T373" s="2489"/>
      <c r="U373" s="2489"/>
      <c r="V373" s="2489"/>
      <c r="W373" s="2489"/>
      <c r="X373" s="2489"/>
      <c r="Y373" s="2489"/>
      <c r="Z373" s="2489"/>
      <c r="AA373" s="2489"/>
      <c r="AB373" s="2489"/>
      <c r="AC373" s="2489"/>
      <c r="AD373" s="2489"/>
      <c r="AE373" s="2489"/>
    </row>
    <row r="374" spans="1:31" s="126" customFormat="1" ht="15" customHeight="1" thickBot="1">
      <c r="A374" s="1746"/>
      <c r="B374" s="2490"/>
      <c r="C374" s="1909"/>
      <c r="D374" s="2491"/>
      <c r="E374" s="873"/>
      <c r="F374" s="2492"/>
      <c r="G374" s="2493"/>
      <c r="H374" s="2493"/>
      <c r="I374" s="2493"/>
      <c r="J374" s="2494"/>
      <c r="K374" s="843"/>
      <c r="L374" s="412"/>
      <c r="M374" s="843"/>
      <c r="N374" s="890" t="str">
        <f t="shared" si="61"/>
        <v/>
      </c>
      <c r="O374" s="344" t="str">
        <f t="shared" si="62"/>
        <v/>
      </c>
      <c r="P374" s="344" t="str">
        <f t="shared" si="63"/>
        <v/>
      </c>
      <c r="Q374" s="195" t="str">
        <f t="shared" si="64"/>
        <v/>
      </c>
      <c r="R374" s="195"/>
    </row>
    <row r="375" spans="1:31" s="126" customFormat="1" ht="18" customHeight="1" thickBot="1">
      <c r="A375" s="1919">
        <v>10</v>
      </c>
      <c r="B375" s="2449">
        <v>8</v>
      </c>
      <c r="C375" s="2450" t="s">
        <v>14177</v>
      </c>
      <c r="D375" s="2451"/>
      <c r="E375" s="2452"/>
      <c r="F375" s="2452"/>
      <c r="G375" s="2453">
        <f>SUM(F376:F390)</f>
        <v>261.76388059701492</v>
      </c>
      <c r="H375" s="2453">
        <f>G375*(1-$D$6)</f>
        <v>196.32291044776119</v>
      </c>
      <c r="I375" s="2453">
        <f>ROUNDUP(H375*$D$5,0)</f>
        <v>668</v>
      </c>
      <c r="J375" s="2454">
        <f>+I375*B375</f>
        <v>5344</v>
      </c>
      <c r="K375" s="843">
        <f>B375</f>
        <v>8</v>
      </c>
      <c r="L375" s="412"/>
      <c r="M375" s="843"/>
      <c r="N375" s="890" t="str">
        <f t="shared" si="61"/>
        <v/>
      </c>
      <c r="O375" s="344" t="str">
        <f t="shared" si="62"/>
        <v/>
      </c>
      <c r="P375" s="344" t="str">
        <f t="shared" si="63"/>
        <v/>
      </c>
      <c r="Q375" s="195" t="str">
        <f t="shared" si="64"/>
        <v/>
      </c>
      <c r="R375" s="195"/>
    </row>
    <row r="376" spans="1:31" s="126" customFormat="1" ht="15" customHeight="1">
      <c r="A376" s="2455" t="s">
        <v>9502</v>
      </c>
      <c r="B376" s="1418"/>
      <c r="C376" s="1104"/>
      <c r="D376" s="2456"/>
      <c r="E376" s="842"/>
      <c r="F376" s="2390"/>
      <c r="G376" s="2457"/>
      <c r="H376" s="2457"/>
      <c r="I376" s="2457"/>
      <c r="J376" s="2458"/>
      <c r="K376" s="843">
        <f>K375</f>
        <v>8</v>
      </c>
      <c r="L376" s="412">
        <v>1</v>
      </c>
      <c r="M376" s="843">
        <f t="shared" ref="M376:M389" si="69">IF(B376="",1,B376)</f>
        <v>1</v>
      </c>
      <c r="N376" s="890" t="str">
        <f t="shared" si="61"/>
        <v/>
      </c>
      <c r="O376" s="344" t="str">
        <f t="shared" si="62"/>
        <v/>
      </c>
      <c r="P376" s="344" t="str">
        <f t="shared" si="63"/>
        <v/>
      </c>
      <c r="Q376" s="195" t="str">
        <f t="shared" si="64"/>
        <v/>
      </c>
      <c r="R376" s="195"/>
    </row>
    <row r="377" spans="1:31" s="126" customFormat="1" ht="15" customHeight="1">
      <c r="A377" s="1913"/>
      <c r="B377" s="1122"/>
      <c r="C377" s="1922" t="s">
        <v>3301</v>
      </c>
      <c r="D377" s="2459"/>
      <c r="E377" s="2460"/>
      <c r="F377" s="2391"/>
      <c r="G377" s="2457"/>
      <c r="H377" s="2457"/>
      <c r="I377" s="2457"/>
      <c r="J377" s="2461"/>
      <c r="K377" s="843">
        <f t="shared" ref="K377:K390" si="70">K376</f>
        <v>8</v>
      </c>
      <c r="L377" s="412">
        <v>1</v>
      </c>
      <c r="M377" s="843">
        <f t="shared" si="69"/>
        <v>1</v>
      </c>
      <c r="N377" s="890" t="str">
        <f t="shared" si="61"/>
        <v/>
      </c>
      <c r="O377" s="344" t="str">
        <f t="shared" si="62"/>
        <v/>
      </c>
      <c r="P377" s="344" t="str">
        <f t="shared" si="63"/>
        <v/>
      </c>
      <c r="Q377" s="195" t="str">
        <f t="shared" si="64"/>
        <v/>
      </c>
      <c r="R377" s="195"/>
    </row>
    <row r="378" spans="1:31" s="862" customFormat="1" ht="15" customHeight="1">
      <c r="A378" s="1913" t="s">
        <v>10377</v>
      </c>
      <c r="B378" s="1122">
        <v>1</v>
      </c>
      <c r="C378" s="2462" t="str">
        <f>VLOOKUP(D378,base_datos,6,FALSE)</f>
        <v>ITM Riel-Din 2x63A - SH202-C-63A - 10kA@230Vac, 6kA@400Vac-IEC60898 - marca ABB.</v>
      </c>
      <c r="D378" s="1894" t="s">
        <v>1065</v>
      </c>
      <c r="E378" s="2460">
        <f>VLOOKUP(D378,base_datos,5,FALSE)</f>
        <v>11.74</v>
      </c>
      <c r="F378" s="2391">
        <f>+E378*B378</f>
        <v>11.74</v>
      </c>
      <c r="G378" s="2463"/>
      <c r="H378" s="2463"/>
      <c r="I378" s="2463"/>
      <c r="J378" s="2464"/>
      <c r="K378" s="843">
        <f t="shared" si="70"/>
        <v>8</v>
      </c>
      <c r="L378" s="412">
        <v>1</v>
      </c>
      <c r="M378" s="843">
        <f t="shared" si="69"/>
        <v>1</v>
      </c>
      <c r="N378" s="890">
        <f t="shared" si="61"/>
        <v>8</v>
      </c>
      <c r="O378" s="344" t="str">
        <f t="shared" si="62"/>
        <v>2CDS212001R0634</v>
      </c>
      <c r="P378" s="344" t="str">
        <f t="shared" si="63"/>
        <v>ITM Riel-Din 2x63A - SH202-C-63A - 10kA@230Vac, 6kA@400Vac-IEC60898 - marca ABB.</v>
      </c>
      <c r="Q378" s="195" t="str">
        <f t="shared" si="64"/>
        <v>SH202-C-63A</v>
      </c>
      <c r="R378" s="195"/>
    </row>
    <row r="379" spans="1:31" s="195" customFormat="1" ht="15" customHeight="1">
      <c r="A379" s="1913" t="s">
        <v>10378</v>
      </c>
      <c r="B379" s="1870"/>
      <c r="C379" s="197" t="s">
        <v>729</v>
      </c>
      <c r="D379" s="182"/>
      <c r="E379" s="1021"/>
      <c r="F379" s="2352"/>
      <c r="G379" s="2457"/>
      <c r="H379" s="2457"/>
      <c r="I379" s="2457"/>
      <c r="J379" s="2461"/>
      <c r="K379" s="843">
        <f t="shared" si="70"/>
        <v>8</v>
      </c>
      <c r="L379" s="412">
        <v>1</v>
      </c>
      <c r="M379" s="843">
        <f t="shared" si="69"/>
        <v>1</v>
      </c>
      <c r="N379" s="890" t="str">
        <f t="shared" si="61"/>
        <v/>
      </c>
      <c r="O379" s="344" t="str">
        <f t="shared" si="62"/>
        <v/>
      </c>
      <c r="P379" s="344" t="str">
        <f t="shared" si="63"/>
        <v/>
      </c>
      <c r="Q379" s="195" t="str">
        <f t="shared" si="64"/>
        <v/>
      </c>
    </row>
    <row r="380" spans="1:31" s="862" customFormat="1" ht="15" customHeight="1">
      <c r="A380" s="1913"/>
      <c r="B380" s="820"/>
      <c r="C380" s="1922" t="s">
        <v>14172</v>
      </c>
      <c r="D380" s="1896"/>
      <c r="E380" s="842"/>
      <c r="F380" s="2391">
        <f>+E380*B380</f>
        <v>0</v>
      </c>
      <c r="G380" s="2463"/>
      <c r="H380" s="2463"/>
      <c r="I380" s="2463"/>
      <c r="J380" s="2464"/>
      <c r="K380" s="843">
        <f t="shared" si="70"/>
        <v>8</v>
      </c>
      <c r="L380" s="412">
        <v>1</v>
      </c>
      <c r="M380" s="843">
        <f t="shared" si="69"/>
        <v>1</v>
      </c>
      <c r="N380" s="890" t="str">
        <f t="shared" si="61"/>
        <v/>
      </c>
      <c r="O380" s="344" t="str">
        <f t="shared" si="62"/>
        <v/>
      </c>
      <c r="P380" s="344" t="str">
        <f t="shared" si="63"/>
        <v/>
      </c>
      <c r="Q380" s="195" t="str">
        <f t="shared" si="64"/>
        <v/>
      </c>
      <c r="R380" s="195"/>
    </row>
    <row r="381" spans="1:31" s="862" customFormat="1" ht="15" customHeight="1">
      <c r="A381" s="2472" t="s">
        <v>13383</v>
      </c>
      <c r="B381" s="1122">
        <v>6</v>
      </c>
      <c r="C381" s="2462" t="str">
        <f>VLOOKUP(D381,base_datos,6,FALSE)</f>
        <v>ITM Riel-Din 2x20A - SH202-C-20A - 10kA@230Vac, 6kA@400Vac-IEC60898 - marca ABB.</v>
      </c>
      <c r="D381" s="1894" t="s">
        <v>1060</v>
      </c>
      <c r="E381" s="2460">
        <f>VLOOKUP(D381,base_datos,5,FALSE)</f>
        <v>6.54</v>
      </c>
      <c r="F381" s="2391">
        <f>+E381*B381</f>
        <v>39.24</v>
      </c>
      <c r="G381" s="2463"/>
      <c r="H381" s="2463"/>
      <c r="I381" s="2463"/>
      <c r="J381" s="2465"/>
      <c r="K381" s="843">
        <f t="shared" si="70"/>
        <v>8</v>
      </c>
      <c r="L381" s="412">
        <v>1</v>
      </c>
      <c r="M381" s="843">
        <f t="shared" si="69"/>
        <v>6</v>
      </c>
      <c r="N381" s="890">
        <f t="shared" si="61"/>
        <v>48</v>
      </c>
      <c r="O381" s="344" t="str">
        <f t="shared" si="62"/>
        <v>2CDS212001R0204</v>
      </c>
      <c r="P381" s="344" t="str">
        <f t="shared" si="63"/>
        <v>ITM Riel-Din 2x20A - SH202-C-20A - 10kA@230Vac, 6kA@400Vac-IEC60898 - marca ABB.</v>
      </c>
      <c r="Q381" s="195" t="str">
        <f t="shared" si="64"/>
        <v>SH202-C-20A</v>
      </c>
      <c r="R381" s="195"/>
    </row>
    <row r="382" spans="1:31" s="862" customFormat="1" ht="15" customHeight="1">
      <c r="A382" s="2472"/>
      <c r="B382" s="1122">
        <v>6</v>
      </c>
      <c r="C382" s="2462" t="str">
        <f>VLOOKUP(D382,base_datos,6,FALSE)</f>
        <v>Interruptor Diferencial 2x25A - 30mA - clase AC - FH202-AC-25A-30mA - marca ABB.</v>
      </c>
      <c r="D382" s="2466" t="s">
        <v>1109</v>
      </c>
      <c r="E382" s="2460">
        <f>VLOOKUP(D382,base_datos,5,FALSE)</f>
        <v>24.41</v>
      </c>
      <c r="F382" s="2391">
        <f>+E382*B382</f>
        <v>146.46</v>
      </c>
      <c r="G382" s="2463"/>
      <c r="H382" s="2463"/>
      <c r="I382" s="2463"/>
      <c r="J382" s="2465"/>
      <c r="K382" s="843">
        <f t="shared" si="70"/>
        <v>8</v>
      </c>
      <c r="L382" s="412">
        <v>1</v>
      </c>
      <c r="M382" s="843">
        <f t="shared" si="69"/>
        <v>6</v>
      </c>
      <c r="N382" s="890">
        <f t="shared" si="61"/>
        <v>48</v>
      </c>
      <c r="O382" s="344" t="str">
        <f t="shared" si="62"/>
        <v>1TMF202006R1250</v>
      </c>
      <c r="P382" s="344" t="str">
        <f t="shared" si="63"/>
        <v>Interruptor Diferencial 2x25A - 30mA - clase AC - FH202-AC-25A-30mA - marca ABB.</v>
      </c>
      <c r="Q382" s="195" t="str">
        <f t="shared" si="64"/>
        <v>FH202-AC-25A-30mA</v>
      </c>
      <c r="R382" s="195"/>
    </row>
    <row r="383" spans="1:31" s="2340" customFormat="1" ht="15" customHeight="1">
      <c r="A383" s="2472"/>
      <c r="B383" s="2443">
        <v>1</v>
      </c>
      <c r="C383" s="2467" t="str">
        <f>VLOOKUP(D383,base_datos,6,FALSE)</f>
        <v>Espacio de reserva monofasica + interruptor diferencial - Riel-Din.</v>
      </c>
      <c r="D383" s="2468" t="s">
        <v>3069</v>
      </c>
      <c r="E383" s="2469">
        <f>VLOOKUP(D383,base_datos,5,FALSE)</f>
        <v>2.5</v>
      </c>
      <c r="F383" s="2447">
        <f>+E383*B383</f>
        <v>2.5</v>
      </c>
      <c r="G383" s="2470"/>
      <c r="H383" s="2470"/>
      <c r="I383" s="2470"/>
      <c r="J383" s="2471"/>
      <c r="K383" s="843">
        <f t="shared" si="70"/>
        <v>8</v>
      </c>
      <c r="L383" s="412">
        <v>1</v>
      </c>
      <c r="M383" s="843">
        <f t="shared" si="69"/>
        <v>1</v>
      </c>
      <c r="N383" s="890" t="str">
        <f t="shared" si="61"/>
        <v/>
      </c>
      <c r="O383" s="344" t="str">
        <f t="shared" si="62"/>
        <v/>
      </c>
      <c r="P383" s="344" t="str">
        <f t="shared" si="63"/>
        <v/>
      </c>
      <c r="Q383" s="195" t="str">
        <f t="shared" si="64"/>
        <v/>
      </c>
      <c r="R383" s="195"/>
    </row>
    <row r="384" spans="1:31" s="1088" customFormat="1" ht="15" customHeight="1">
      <c r="A384" s="2486"/>
      <c r="B384" s="2473">
        <v>1</v>
      </c>
      <c r="C384" s="2474" t="str">
        <f>VLOOKUP(D384,base_datos,6,FALSE)</f>
        <v>"Peine" monofásico para 18 polos.</v>
      </c>
      <c r="D384" s="2475" t="s">
        <v>8385</v>
      </c>
      <c r="E384" s="2474">
        <f>VLOOKUP(D384,base_datos,5,FALSE)</f>
        <v>10.723880597014924</v>
      </c>
      <c r="F384" s="2476">
        <f>+E384*B384</f>
        <v>10.723880597014924</v>
      </c>
      <c r="G384" s="2477"/>
      <c r="H384" s="2477"/>
      <c r="I384" s="2477"/>
      <c r="J384" s="2478"/>
      <c r="K384" s="843">
        <f t="shared" si="70"/>
        <v>8</v>
      </c>
      <c r="L384" s="412">
        <v>1</v>
      </c>
      <c r="M384" s="843">
        <f t="shared" si="69"/>
        <v>1</v>
      </c>
      <c r="N384" s="890" t="str">
        <f t="shared" si="61"/>
        <v/>
      </c>
      <c r="O384" s="344" t="str">
        <f t="shared" si="62"/>
        <v/>
      </c>
      <c r="P384" s="344" t="str">
        <f t="shared" si="63"/>
        <v/>
      </c>
      <c r="Q384" s="195" t="str">
        <f t="shared" si="64"/>
        <v/>
      </c>
    </row>
    <row r="385" spans="1:31" s="195" customFormat="1" ht="15" customHeight="1">
      <c r="A385" s="194"/>
      <c r="B385" s="2479"/>
      <c r="C385" s="45" t="s">
        <v>729</v>
      </c>
      <c r="D385" s="177"/>
      <c r="E385" s="2480"/>
      <c r="F385" s="2481"/>
      <c r="G385" s="2457"/>
      <c r="H385" s="2457"/>
      <c r="I385" s="2457"/>
      <c r="J385" s="2461"/>
      <c r="K385" s="843">
        <f t="shared" si="70"/>
        <v>8</v>
      </c>
      <c r="L385" s="412">
        <v>1</v>
      </c>
      <c r="M385" s="843">
        <f t="shared" si="69"/>
        <v>1</v>
      </c>
      <c r="N385" s="890" t="str">
        <f t="shared" si="61"/>
        <v/>
      </c>
      <c r="O385" s="344" t="str">
        <f t="shared" si="62"/>
        <v/>
      </c>
      <c r="P385" s="344" t="str">
        <f t="shared" si="63"/>
        <v/>
      </c>
      <c r="Q385" s="195" t="str">
        <f t="shared" si="64"/>
        <v/>
      </c>
    </row>
    <row r="386" spans="1:31" s="870" customFormat="1" ht="15" customHeight="1">
      <c r="A386" s="1912"/>
      <c r="B386" s="2479">
        <v>1</v>
      </c>
      <c r="C386" s="45" t="s">
        <v>316</v>
      </c>
      <c r="D386" s="2482"/>
      <c r="E386" s="2474"/>
      <c r="F386" s="2483"/>
      <c r="G386" s="2484"/>
      <c r="H386" s="2484"/>
      <c r="I386" s="2484"/>
      <c r="J386" s="2485"/>
      <c r="K386" s="843">
        <f t="shared" si="70"/>
        <v>8</v>
      </c>
      <c r="L386" s="412">
        <v>1</v>
      </c>
      <c r="M386" s="843">
        <f t="shared" si="69"/>
        <v>1</v>
      </c>
      <c r="N386" s="890" t="str">
        <f t="shared" si="61"/>
        <v/>
      </c>
      <c r="O386" s="344" t="str">
        <f t="shared" si="62"/>
        <v/>
      </c>
      <c r="P386" s="344" t="str">
        <f t="shared" si="63"/>
        <v/>
      </c>
      <c r="Q386" s="195" t="str">
        <f t="shared" si="64"/>
        <v/>
      </c>
      <c r="R386" s="195"/>
    </row>
    <row r="387" spans="1:31" s="195" customFormat="1" ht="15" customHeight="1">
      <c r="A387" s="194"/>
      <c r="B387" s="2479"/>
      <c r="C387" s="45" t="s">
        <v>729</v>
      </c>
      <c r="D387" s="177"/>
      <c r="E387" s="2480"/>
      <c r="F387" s="2481"/>
      <c r="G387" s="2457"/>
      <c r="H387" s="2457"/>
      <c r="I387" s="2457"/>
      <c r="J387" s="2461"/>
      <c r="K387" s="843">
        <f t="shared" si="70"/>
        <v>8</v>
      </c>
      <c r="L387" s="412">
        <v>1</v>
      </c>
      <c r="M387" s="843">
        <f t="shared" si="69"/>
        <v>1</v>
      </c>
      <c r="N387" s="890" t="str">
        <f t="shared" si="61"/>
        <v/>
      </c>
      <c r="O387" s="344" t="str">
        <f t="shared" si="62"/>
        <v/>
      </c>
      <c r="P387" s="344" t="str">
        <f t="shared" si="63"/>
        <v/>
      </c>
      <c r="Q387" s="195" t="str">
        <f t="shared" si="64"/>
        <v/>
      </c>
    </row>
    <row r="388" spans="1:31" s="1088" customFormat="1" ht="15" customHeight="1">
      <c r="A388" s="2486"/>
      <c r="B388" s="2473">
        <v>13</v>
      </c>
      <c r="C388" s="2474" t="str">
        <f>VLOOKUP(D388,base_datos,6,FALSE)</f>
        <v>Rotulado por circuito.</v>
      </c>
      <c r="D388" s="2475" t="s">
        <v>3210</v>
      </c>
      <c r="E388" s="2474">
        <f>VLOOKUP(D388,base_datos,5,FALSE)</f>
        <v>0.7</v>
      </c>
      <c r="F388" s="2476">
        <f>+E388*B388</f>
        <v>9.1</v>
      </c>
      <c r="G388" s="2477"/>
      <c r="H388" s="2477"/>
      <c r="I388" s="2477"/>
      <c r="J388" s="2478"/>
      <c r="K388" s="843">
        <f t="shared" si="70"/>
        <v>8</v>
      </c>
      <c r="L388" s="412">
        <v>1</v>
      </c>
      <c r="M388" s="843">
        <f t="shared" si="69"/>
        <v>13</v>
      </c>
      <c r="N388" s="890" t="str">
        <f t="shared" si="61"/>
        <v/>
      </c>
      <c r="O388" s="344" t="str">
        <f t="shared" si="62"/>
        <v/>
      </c>
      <c r="P388" s="344" t="str">
        <f t="shared" si="63"/>
        <v/>
      </c>
      <c r="Q388" s="195" t="str">
        <f t="shared" si="64"/>
        <v/>
      </c>
    </row>
    <row r="389" spans="1:31" s="1088" customFormat="1" ht="15" customHeight="1">
      <c r="A389" s="2486"/>
      <c r="B389" s="2473">
        <v>1</v>
      </c>
      <c r="C389" s="2474" t="str">
        <f>VLOOKUP(D389,base_datos,6,FALSE)</f>
        <v>Rotulado para TAG - tablero de distribución.</v>
      </c>
      <c r="D389" s="2475" t="s">
        <v>3209</v>
      </c>
      <c r="E389" s="2474">
        <f>VLOOKUP(D389,base_datos,5,FALSE)</f>
        <v>1.5</v>
      </c>
      <c r="F389" s="2476">
        <f>+E389*B389</f>
        <v>1.5</v>
      </c>
      <c r="G389" s="2477"/>
      <c r="H389" s="2477"/>
      <c r="I389" s="2477"/>
      <c r="J389" s="2478"/>
      <c r="K389" s="843">
        <f t="shared" si="70"/>
        <v>8</v>
      </c>
      <c r="L389" s="412">
        <v>1</v>
      </c>
      <c r="M389" s="843">
        <f t="shared" si="69"/>
        <v>1</v>
      </c>
      <c r="N389" s="890" t="str">
        <f t="shared" si="61"/>
        <v/>
      </c>
      <c r="O389" s="344" t="str">
        <f t="shared" si="62"/>
        <v/>
      </c>
      <c r="P389" s="344" t="str">
        <f t="shared" si="63"/>
        <v/>
      </c>
      <c r="Q389" s="195" t="str">
        <f t="shared" si="64"/>
        <v/>
      </c>
    </row>
    <row r="390" spans="1:31" s="1479" customFormat="1" ht="15" customHeight="1">
      <c r="A390" s="1914"/>
      <c r="B390" s="1915">
        <v>1</v>
      </c>
      <c r="C390" s="2487" t="str">
        <f>VLOOKUP(D390,base_datos,6,FALSE)</f>
        <v>TABLERO EMPO. L/HALOG. 40 POLOS C/BORNE A/H PVC /8206PFR1</v>
      </c>
      <c r="D390" s="427" t="s">
        <v>13382</v>
      </c>
      <c r="E390" s="2487">
        <f>VLOOKUP(D390,base_datos,5,FALSE)</f>
        <v>40.5</v>
      </c>
      <c r="F390" s="1417">
        <f>+E390*B390</f>
        <v>40.5</v>
      </c>
      <c r="G390" s="2488"/>
      <c r="H390" s="2488"/>
      <c r="I390" s="2488"/>
      <c r="J390" s="1414"/>
      <c r="K390" s="843">
        <f t="shared" si="70"/>
        <v>8</v>
      </c>
      <c r="L390" s="412">
        <v>1</v>
      </c>
      <c r="M390" s="843">
        <f>IF(B390="",1,B390)</f>
        <v>1</v>
      </c>
      <c r="N390" s="890">
        <f t="shared" si="61"/>
        <v>8</v>
      </c>
      <c r="O390" s="344" t="str">
        <f t="shared" si="62"/>
        <v>SOLERA 40MODULOS</v>
      </c>
      <c r="P390" s="344" t="str">
        <f t="shared" si="63"/>
        <v>TABLERO EMPO. L/HALOG. 40 POLOS C/BORNE A/H PVC /8206PFR1</v>
      </c>
      <c r="Q390" s="195" t="str">
        <f t="shared" si="64"/>
        <v>SOLERA 40MODULOS</v>
      </c>
      <c r="R390" s="862"/>
      <c r="S390" s="862"/>
      <c r="T390" s="2489"/>
      <c r="U390" s="2489"/>
      <c r="V390" s="2489"/>
      <c r="W390" s="2489"/>
      <c r="X390" s="2489"/>
      <c r="Y390" s="2489"/>
      <c r="Z390" s="2489"/>
      <c r="AA390" s="2489"/>
      <c r="AB390" s="2489"/>
      <c r="AC390" s="2489"/>
      <c r="AD390" s="2489"/>
      <c r="AE390" s="2489"/>
    </row>
    <row r="391" spans="1:31" s="126" customFormat="1" ht="15" customHeight="1" thickBot="1">
      <c r="A391" s="1746"/>
      <c r="B391" s="2490"/>
      <c r="C391" s="1909"/>
      <c r="D391" s="2491"/>
      <c r="E391" s="873"/>
      <c r="F391" s="2492"/>
      <c r="G391" s="2493"/>
      <c r="H391" s="2493"/>
      <c r="I391" s="2493"/>
      <c r="J391" s="2494"/>
      <c r="K391" s="843"/>
      <c r="L391" s="412"/>
      <c r="M391" s="843"/>
      <c r="N391" s="890" t="str">
        <f t="shared" si="61"/>
        <v/>
      </c>
      <c r="O391" s="344" t="str">
        <f t="shared" si="62"/>
        <v/>
      </c>
      <c r="P391" s="344" t="str">
        <f t="shared" si="63"/>
        <v/>
      </c>
      <c r="Q391" s="195" t="str">
        <f t="shared" si="64"/>
        <v/>
      </c>
      <c r="R391" s="195"/>
    </row>
    <row r="392" spans="1:31" s="126" customFormat="1" ht="13.5" thickBot="1">
      <c r="A392" s="1923">
        <v>11</v>
      </c>
      <c r="B392" s="1920">
        <v>1</v>
      </c>
      <c r="C392" s="846" t="s">
        <v>14178</v>
      </c>
      <c r="D392" s="2495"/>
      <c r="E392" s="2496"/>
      <c r="F392" s="2496"/>
      <c r="G392" s="849">
        <f>SUM(F393:F408)</f>
        <v>175.59</v>
      </c>
      <c r="H392" s="1161">
        <f>G392*(1-$D$6)</f>
        <v>131.6925</v>
      </c>
      <c r="I392" s="849">
        <f>ROUNDUP(H392*$D$5,0)</f>
        <v>448</v>
      </c>
      <c r="J392" s="850">
        <f>+I392*B392</f>
        <v>448</v>
      </c>
      <c r="K392" s="851">
        <f>B392</f>
        <v>1</v>
      </c>
      <c r="L392" s="412"/>
      <c r="M392" s="843"/>
      <c r="N392" s="890" t="str">
        <f t="shared" si="61"/>
        <v/>
      </c>
      <c r="O392" s="344" t="str">
        <f t="shared" si="62"/>
        <v/>
      </c>
      <c r="P392" s="344" t="str">
        <f t="shared" si="63"/>
        <v/>
      </c>
      <c r="Q392" s="195" t="str">
        <f t="shared" si="64"/>
        <v/>
      </c>
      <c r="R392" s="195"/>
    </row>
    <row r="393" spans="1:31" s="126" customFormat="1">
      <c r="A393" s="852" t="s">
        <v>9502</v>
      </c>
      <c r="B393" s="1418"/>
      <c r="C393" s="853"/>
      <c r="D393" s="1911"/>
      <c r="E393" s="1890"/>
      <c r="F393" s="1890"/>
      <c r="G393" s="854"/>
      <c r="H393" s="854"/>
      <c r="I393" s="854"/>
      <c r="J393" s="855"/>
      <c r="K393" s="843">
        <f>K392</f>
        <v>1</v>
      </c>
      <c r="L393" s="412">
        <v>1</v>
      </c>
      <c r="M393" s="843">
        <f>IF(B393="",1,B393)</f>
        <v>1</v>
      </c>
      <c r="N393" s="890" t="str">
        <f t="shared" si="61"/>
        <v/>
      </c>
      <c r="O393" s="344" t="str">
        <f t="shared" si="62"/>
        <v/>
      </c>
      <c r="P393" s="344" t="str">
        <f t="shared" si="63"/>
        <v/>
      </c>
      <c r="Q393" s="195" t="str">
        <f t="shared" si="64"/>
        <v/>
      </c>
      <c r="R393" s="195"/>
    </row>
    <row r="394" spans="1:31" s="126" customFormat="1">
      <c r="A394" s="856" t="s">
        <v>9503</v>
      </c>
      <c r="B394" s="1122"/>
      <c r="C394" s="1419" t="s">
        <v>3301</v>
      </c>
      <c r="D394" s="1891"/>
      <c r="E394" s="1878"/>
      <c r="F394" s="1878"/>
      <c r="G394" s="854"/>
      <c r="H394" s="854"/>
      <c r="I394" s="854"/>
      <c r="J394" s="858"/>
      <c r="K394" s="843">
        <f t="shared" ref="K394:K406" si="71">K393</f>
        <v>1</v>
      </c>
      <c r="L394" s="412">
        <v>1</v>
      </c>
      <c r="M394" s="843">
        <f t="shared" ref="M394:M408" si="72">IF(B394="",1,B394)</f>
        <v>1</v>
      </c>
      <c r="N394" s="890" t="str">
        <f t="shared" si="61"/>
        <v/>
      </c>
      <c r="O394" s="344" t="str">
        <f t="shared" si="62"/>
        <v/>
      </c>
      <c r="P394" s="344" t="str">
        <f t="shared" si="63"/>
        <v/>
      </c>
      <c r="Q394" s="195" t="str">
        <f t="shared" si="64"/>
        <v/>
      </c>
      <c r="R394" s="195"/>
    </row>
    <row r="395" spans="1:31" s="862" customFormat="1">
      <c r="A395" s="856" t="s">
        <v>4321</v>
      </c>
      <c r="B395" s="1122">
        <v>1</v>
      </c>
      <c r="C395" s="857" t="str">
        <f>VLOOKUP(D395,base_datos,6,FALSE)</f>
        <v>ITM Riel-Din 3x32A - SH203-C-32A - 10kA@230Vac, 6kA@400Vac-IEC60898 - marca ABB.</v>
      </c>
      <c r="D395" s="1894" t="s">
        <v>1069</v>
      </c>
      <c r="E395" s="1871">
        <f>VLOOKUP(D395,base_datos,5,FALSE)</f>
        <v>15.379999999999999</v>
      </c>
      <c r="F395" s="1878">
        <f>+E395*B395</f>
        <v>15.379999999999999</v>
      </c>
      <c r="G395" s="860"/>
      <c r="H395" s="860"/>
      <c r="I395" s="860"/>
      <c r="J395" s="861"/>
      <c r="K395" s="843">
        <f t="shared" si="71"/>
        <v>1</v>
      </c>
      <c r="L395" s="412">
        <v>1</v>
      </c>
      <c r="M395" s="843">
        <f t="shared" si="72"/>
        <v>1</v>
      </c>
      <c r="N395" s="890">
        <f t="shared" si="61"/>
        <v>1</v>
      </c>
      <c r="O395" s="344" t="str">
        <f t="shared" si="62"/>
        <v>2CDS213001R0324</v>
      </c>
      <c r="P395" s="344" t="str">
        <f t="shared" si="63"/>
        <v>ITM Riel-Din 3x32A - SH203-C-32A - 10kA@230Vac, 6kA@400Vac-IEC60898 - marca ABB.</v>
      </c>
      <c r="Q395" s="195" t="str">
        <f t="shared" si="64"/>
        <v>SH203-C-32A</v>
      </c>
      <c r="R395" s="195"/>
    </row>
    <row r="396" spans="1:31" s="195" customFormat="1">
      <c r="A396" s="1108"/>
      <c r="B396" s="895"/>
      <c r="C396" s="337" t="s">
        <v>729</v>
      </c>
      <c r="D396" s="182"/>
      <c r="E396" s="1874"/>
      <c r="F396" s="1875"/>
      <c r="G396" s="891"/>
      <c r="H396" s="891"/>
      <c r="I396" s="891"/>
      <c r="J396" s="892"/>
      <c r="K396" s="843">
        <f t="shared" si="71"/>
        <v>1</v>
      </c>
      <c r="L396" s="888">
        <v>1</v>
      </c>
      <c r="M396" s="843">
        <f t="shared" si="72"/>
        <v>1</v>
      </c>
      <c r="N396" s="890" t="str">
        <f t="shared" si="61"/>
        <v/>
      </c>
      <c r="O396" s="344" t="str">
        <f t="shared" si="62"/>
        <v/>
      </c>
      <c r="P396" s="344" t="str">
        <f t="shared" si="63"/>
        <v/>
      </c>
      <c r="Q396" s="195" t="str">
        <f t="shared" si="64"/>
        <v/>
      </c>
    </row>
    <row r="397" spans="1:31" s="862" customFormat="1">
      <c r="A397" s="856"/>
      <c r="B397" s="820"/>
      <c r="C397" s="859" t="s">
        <v>3535</v>
      </c>
      <c r="D397" s="1896"/>
      <c r="E397" s="1877"/>
      <c r="F397" s="1878">
        <f>+E397*B397</f>
        <v>0</v>
      </c>
      <c r="G397" s="860"/>
      <c r="H397" s="860"/>
      <c r="I397" s="860"/>
      <c r="J397" s="861"/>
      <c r="K397" s="843">
        <f t="shared" si="71"/>
        <v>1</v>
      </c>
      <c r="L397" s="412">
        <v>1</v>
      </c>
      <c r="M397" s="843">
        <f t="shared" si="72"/>
        <v>1</v>
      </c>
      <c r="N397" s="890" t="str">
        <f t="shared" ref="N397:N460" si="73">IF(O397&lt;&gt;"",K397*L397*M397,"")</f>
        <v/>
      </c>
      <c r="O397" s="344" t="str">
        <f t="shared" si="62"/>
        <v/>
      </c>
      <c r="P397" s="344" t="str">
        <f t="shared" si="63"/>
        <v/>
      </c>
      <c r="Q397" s="195" t="str">
        <f t="shared" si="64"/>
        <v/>
      </c>
      <c r="R397" s="195"/>
    </row>
    <row r="398" spans="1:31" s="862" customFormat="1">
      <c r="A398" s="856" t="s">
        <v>3725</v>
      </c>
      <c r="B398" s="1122">
        <v>2</v>
      </c>
      <c r="C398" s="857" t="str">
        <f>VLOOKUP(D398,base_datos,6,FALSE)</f>
        <v>ITM Riel-Din 3x20A - SH203-C-20A - 10kA@230Vac, 6kA@400Vac-IEC60898 - marca ABB.</v>
      </c>
      <c r="D398" s="1894" t="s">
        <v>1067</v>
      </c>
      <c r="E398" s="1871">
        <f>VLOOKUP(D398,base_datos,5,FALSE)</f>
        <v>14.34</v>
      </c>
      <c r="F398" s="1878">
        <f>+E398*B398</f>
        <v>28.68</v>
      </c>
      <c r="G398" s="860"/>
      <c r="H398" s="860"/>
      <c r="I398" s="860"/>
      <c r="J398" s="1420"/>
      <c r="K398" s="843">
        <f t="shared" si="71"/>
        <v>1</v>
      </c>
      <c r="L398" s="412">
        <v>1</v>
      </c>
      <c r="M398" s="843">
        <f t="shared" si="72"/>
        <v>2</v>
      </c>
      <c r="N398" s="890">
        <f t="shared" si="73"/>
        <v>2</v>
      </c>
      <c r="O398" s="344" t="str">
        <f t="shared" si="62"/>
        <v>2CDS213001R0204</v>
      </c>
      <c r="P398" s="344" t="str">
        <f t="shared" si="63"/>
        <v>ITM Riel-Din 3x20A - SH203-C-20A - 10kA@230Vac, 6kA@400Vac-IEC60898 - marca ABB.</v>
      </c>
      <c r="Q398" s="195" t="str">
        <f t="shared" si="64"/>
        <v>SH203-C-20A</v>
      </c>
      <c r="R398" s="195"/>
    </row>
    <row r="399" spans="1:31" s="862" customFormat="1">
      <c r="A399" s="856" t="s">
        <v>3726</v>
      </c>
      <c r="B399" s="1122">
        <v>2</v>
      </c>
      <c r="C399" s="857" t="str">
        <f>VLOOKUP(D399,base_datos,6,FALSE)</f>
        <v>ITM Riel-Din 2x20A - SH202-C-20A - 10kA@230Vac, 6kA@400Vac-IEC60898 - marca ABB.</v>
      </c>
      <c r="D399" s="1894" t="s">
        <v>1060</v>
      </c>
      <c r="E399" s="1871">
        <f>VLOOKUP(D399,base_datos,5,FALSE)</f>
        <v>6.54</v>
      </c>
      <c r="F399" s="1878">
        <f>+E399*B399</f>
        <v>13.08</v>
      </c>
      <c r="G399" s="860"/>
      <c r="H399" s="860"/>
      <c r="I399" s="860"/>
      <c r="J399" s="1420"/>
      <c r="K399" s="843">
        <f t="shared" si="71"/>
        <v>1</v>
      </c>
      <c r="L399" s="412">
        <v>1</v>
      </c>
      <c r="M399" s="843">
        <f t="shared" si="72"/>
        <v>2</v>
      </c>
      <c r="N399" s="890">
        <f t="shared" si="73"/>
        <v>2</v>
      </c>
      <c r="O399" s="344" t="str">
        <f t="shared" ref="O399:O462" si="74">IF(D399&lt;&gt;"",IF(VLOOKUP(D399,base_datos,7,FALSE)&lt;&gt;"",VLOOKUP(D399,base_datos,7,FALSE),""),"")</f>
        <v>2CDS212001R0204</v>
      </c>
      <c r="P399" s="344" t="str">
        <f t="shared" ref="P399:P462" si="75">IF(O399&lt;&gt;"",VLOOKUP(D399,base_datos,6,FALSE),"")</f>
        <v>ITM Riel-Din 2x20A - SH202-C-20A - 10kA@230Vac, 6kA@400Vac-IEC60898 - marca ABB.</v>
      </c>
      <c r="Q399" s="195" t="str">
        <f t="shared" ref="Q399:Q462" si="76">IF(O399&lt;&gt;"",D399,"")</f>
        <v>SH202-C-20A</v>
      </c>
      <c r="R399" s="195"/>
    </row>
    <row r="400" spans="1:31" s="2340" customFormat="1">
      <c r="A400" s="856"/>
      <c r="B400" s="2443">
        <v>2</v>
      </c>
      <c r="C400" s="2444" t="str">
        <f>VLOOKUP(D400,base_datos,6,FALSE)</f>
        <v>Espacio de reserva monofasica + interruptor diferencial - Riel-Din.</v>
      </c>
      <c r="D400" s="2468" t="s">
        <v>3069</v>
      </c>
      <c r="E400" s="2497">
        <f>VLOOKUP(D400,base_datos,5,FALSE)</f>
        <v>2.5</v>
      </c>
      <c r="F400" s="2498">
        <f>+E400*B400</f>
        <v>5</v>
      </c>
      <c r="G400" s="2338"/>
      <c r="H400" s="2338"/>
      <c r="I400" s="2338"/>
      <c r="J400" s="2339"/>
      <c r="K400" s="843">
        <f t="shared" si="71"/>
        <v>1</v>
      </c>
      <c r="L400" s="412">
        <v>1</v>
      </c>
      <c r="M400" s="843">
        <f t="shared" si="72"/>
        <v>2</v>
      </c>
      <c r="N400" s="890" t="str">
        <f t="shared" si="73"/>
        <v/>
      </c>
      <c r="O400" s="344" t="str">
        <f t="shared" si="74"/>
        <v/>
      </c>
      <c r="P400" s="344" t="str">
        <f t="shared" si="75"/>
        <v/>
      </c>
      <c r="Q400" s="195" t="str">
        <f t="shared" si="76"/>
        <v/>
      </c>
      <c r="R400" s="195"/>
    </row>
    <row r="401" spans="1:18" s="870" customFormat="1">
      <c r="A401" s="856"/>
      <c r="B401" s="866">
        <v>1</v>
      </c>
      <c r="C401" s="867" t="s">
        <v>9501</v>
      </c>
      <c r="D401" s="1896"/>
      <c r="E401" s="180">
        <v>59</v>
      </c>
      <c r="F401" s="1921">
        <f>+E401*B401</f>
        <v>59</v>
      </c>
      <c r="G401" s="868"/>
      <c r="H401" s="868"/>
      <c r="I401" s="868"/>
      <c r="J401" s="869"/>
      <c r="K401" s="843">
        <f t="shared" si="71"/>
        <v>1</v>
      </c>
      <c r="L401" s="412">
        <v>1</v>
      </c>
      <c r="M401" s="843">
        <f t="shared" si="72"/>
        <v>1</v>
      </c>
      <c r="N401" s="890" t="str">
        <f t="shared" si="73"/>
        <v/>
      </c>
      <c r="O401" s="344" t="str">
        <f t="shared" si="74"/>
        <v/>
      </c>
      <c r="P401" s="344" t="str">
        <f t="shared" si="75"/>
        <v/>
      </c>
      <c r="Q401" s="195" t="str">
        <f t="shared" si="76"/>
        <v/>
      </c>
    </row>
    <row r="402" spans="1:18" s="195" customFormat="1">
      <c r="A402" s="1873"/>
      <c r="B402" s="895"/>
      <c r="C402" s="337" t="s">
        <v>729</v>
      </c>
      <c r="D402" s="182"/>
      <c r="E402" s="1874"/>
      <c r="F402" s="1875"/>
      <c r="G402" s="891"/>
      <c r="H402" s="891"/>
      <c r="I402" s="891"/>
      <c r="J402" s="892"/>
      <c r="K402" s="843">
        <f t="shared" si="71"/>
        <v>1</v>
      </c>
      <c r="L402" s="888">
        <v>1</v>
      </c>
      <c r="M402" s="843">
        <f t="shared" si="72"/>
        <v>1</v>
      </c>
      <c r="N402" s="890" t="str">
        <f t="shared" si="73"/>
        <v/>
      </c>
      <c r="O402" s="344" t="str">
        <f t="shared" si="74"/>
        <v/>
      </c>
      <c r="P402" s="344" t="str">
        <f t="shared" si="75"/>
        <v/>
      </c>
      <c r="Q402" s="195" t="str">
        <f t="shared" si="76"/>
        <v/>
      </c>
    </row>
    <row r="403" spans="1:18" s="870" customFormat="1">
      <c r="A403" s="2370"/>
      <c r="B403" s="2385">
        <v>1</v>
      </c>
      <c r="C403" s="2386" t="s">
        <v>316</v>
      </c>
      <c r="D403" s="2387"/>
      <c r="E403" s="1892"/>
      <c r="F403" s="1901"/>
      <c r="G403" s="2396"/>
      <c r="H403" s="2396"/>
      <c r="I403" s="2396"/>
      <c r="J403" s="2397"/>
      <c r="K403" s="843">
        <f t="shared" si="71"/>
        <v>1</v>
      </c>
      <c r="L403" s="412">
        <v>1</v>
      </c>
      <c r="M403" s="843">
        <f t="shared" si="72"/>
        <v>1</v>
      </c>
      <c r="N403" s="890" t="str">
        <f t="shared" si="73"/>
        <v/>
      </c>
      <c r="O403" s="344" t="str">
        <f t="shared" si="74"/>
        <v/>
      </c>
      <c r="P403" s="344" t="str">
        <f t="shared" si="75"/>
        <v/>
      </c>
      <c r="Q403" s="195" t="str">
        <f t="shared" si="76"/>
        <v/>
      </c>
      <c r="R403" s="195"/>
    </row>
    <row r="404" spans="1:18" s="195" customFormat="1">
      <c r="A404" s="2366"/>
      <c r="B404" s="895"/>
      <c r="C404" s="337" t="s">
        <v>729</v>
      </c>
      <c r="D404" s="182"/>
      <c r="E404" s="1874"/>
      <c r="F404" s="1875"/>
      <c r="G404" s="891"/>
      <c r="H404" s="891"/>
      <c r="I404" s="891"/>
      <c r="J404" s="892"/>
      <c r="K404" s="843">
        <f t="shared" si="71"/>
        <v>1</v>
      </c>
      <c r="L404" s="888">
        <v>1</v>
      </c>
      <c r="M404" s="843">
        <f t="shared" si="72"/>
        <v>1</v>
      </c>
      <c r="N404" s="890" t="str">
        <f t="shared" si="73"/>
        <v/>
      </c>
      <c r="O404" s="344" t="str">
        <f t="shared" si="74"/>
        <v/>
      </c>
      <c r="P404" s="344" t="str">
        <f t="shared" si="75"/>
        <v/>
      </c>
      <c r="Q404" s="195" t="str">
        <f t="shared" si="76"/>
        <v/>
      </c>
    </row>
    <row r="405" spans="1:18" s="1088" customFormat="1">
      <c r="A405" s="865"/>
      <c r="B405" s="1085">
        <v>5</v>
      </c>
      <c r="C405" s="904" t="str">
        <f>VLOOKUP(D405,base_datos,6,FALSE)</f>
        <v>Rotulado por circuito.</v>
      </c>
      <c r="D405" s="1881" t="s">
        <v>3210</v>
      </c>
      <c r="E405" s="1892">
        <f>VLOOKUP(D405,base_datos,5,FALSE)</f>
        <v>0.7</v>
      </c>
      <c r="F405" s="1893">
        <f>+E405*B405</f>
        <v>3.5</v>
      </c>
      <c r="G405" s="1086"/>
      <c r="H405" s="1086"/>
      <c r="I405" s="1086"/>
      <c r="J405" s="1087"/>
      <c r="K405" s="843">
        <f t="shared" si="71"/>
        <v>1</v>
      </c>
      <c r="L405" s="888">
        <v>1</v>
      </c>
      <c r="M405" s="889">
        <f t="shared" si="72"/>
        <v>5</v>
      </c>
      <c r="N405" s="890" t="str">
        <f t="shared" si="73"/>
        <v/>
      </c>
      <c r="O405" s="344" t="str">
        <f t="shared" si="74"/>
        <v/>
      </c>
      <c r="P405" s="344" t="str">
        <f t="shared" si="75"/>
        <v/>
      </c>
      <c r="Q405" s="195" t="str">
        <f t="shared" si="76"/>
        <v/>
      </c>
    </row>
    <row r="406" spans="1:18" s="1088" customFormat="1">
      <c r="A406" s="865"/>
      <c r="B406" s="1085">
        <v>1</v>
      </c>
      <c r="C406" s="904" t="str">
        <f>VLOOKUP(D406,base_datos,6,FALSE)</f>
        <v>Rotulado para TAG - tablero de distribución.</v>
      </c>
      <c r="D406" s="1881" t="s">
        <v>3209</v>
      </c>
      <c r="E406" s="1892">
        <f>VLOOKUP(D406,base_datos,5,FALSE)</f>
        <v>1.5</v>
      </c>
      <c r="F406" s="1893">
        <f>+E406*B406</f>
        <v>1.5</v>
      </c>
      <c r="G406" s="1086"/>
      <c r="H406" s="1086"/>
      <c r="I406" s="1086"/>
      <c r="J406" s="1087"/>
      <c r="K406" s="843">
        <f t="shared" si="71"/>
        <v>1</v>
      </c>
      <c r="L406" s="888">
        <v>1</v>
      </c>
      <c r="M406" s="889">
        <f t="shared" si="72"/>
        <v>1</v>
      </c>
      <c r="N406" s="890" t="str">
        <f t="shared" si="73"/>
        <v/>
      </c>
      <c r="O406" s="344" t="str">
        <f t="shared" si="74"/>
        <v/>
      </c>
      <c r="P406" s="344" t="str">
        <f t="shared" si="75"/>
        <v/>
      </c>
      <c r="Q406" s="195" t="str">
        <f t="shared" si="76"/>
        <v/>
      </c>
    </row>
    <row r="407" spans="1:18" s="1479" customFormat="1">
      <c r="A407" s="1128"/>
      <c r="B407" s="1412">
        <v>1</v>
      </c>
      <c r="C407" s="1417" t="s">
        <v>5302</v>
      </c>
      <c r="D407" s="1900"/>
      <c r="E407" s="1901">
        <f>E408*15%</f>
        <v>6.45</v>
      </c>
      <c r="F407" s="1901">
        <f>+E407*B407</f>
        <v>6.45</v>
      </c>
      <c r="G407" s="1902"/>
      <c r="H407" s="1902"/>
      <c r="I407" s="1902"/>
      <c r="J407" s="1414"/>
      <c r="K407" s="889">
        <f>K405</f>
        <v>1</v>
      </c>
      <c r="L407" s="888">
        <v>1</v>
      </c>
      <c r="M407" s="889">
        <f t="shared" si="72"/>
        <v>1</v>
      </c>
      <c r="N407" s="890" t="str">
        <f t="shared" si="73"/>
        <v/>
      </c>
      <c r="O407" s="344" t="str">
        <f t="shared" si="74"/>
        <v/>
      </c>
      <c r="P407" s="344" t="str">
        <f t="shared" si="75"/>
        <v/>
      </c>
      <c r="Q407" s="195" t="str">
        <f t="shared" si="76"/>
        <v/>
      </c>
    </row>
    <row r="408" spans="1:18" s="1479" customFormat="1">
      <c r="A408" s="1128"/>
      <c r="B408" s="2499">
        <v>1</v>
      </c>
      <c r="C408" s="867" t="s">
        <v>14179</v>
      </c>
      <c r="D408" s="2500"/>
      <c r="E408" s="1892">
        <v>43</v>
      </c>
      <c r="F408" s="1921">
        <f>+E408*B408</f>
        <v>43</v>
      </c>
      <c r="G408" s="1413"/>
      <c r="H408" s="1413"/>
      <c r="I408" s="1413"/>
      <c r="J408" s="1414"/>
      <c r="K408" s="843">
        <f>K406</f>
        <v>1</v>
      </c>
      <c r="L408" s="888">
        <v>1</v>
      </c>
      <c r="M408" s="889">
        <f t="shared" si="72"/>
        <v>1</v>
      </c>
      <c r="N408" s="890" t="str">
        <f t="shared" si="73"/>
        <v/>
      </c>
      <c r="O408" s="344" t="str">
        <f t="shared" si="74"/>
        <v/>
      </c>
      <c r="P408" s="344" t="str">
        <f t="shared" si="75"/>
        <v/>
      </c>
      <c r="Q408" s="195" t="str">
        <f t="shared" si="76"/>
        <v/>
      </c>
    </row>
    <row r="409" spans="1:18" s="126" customFormat="1" ht="13.5" thickBot="1">
      <c r="A409" s="1106"/>
      <c r="B409" s="1916"/>
      <c r="C409" s="1909"/>
      <c r="D409" s="1917"/>
      <c r="E409" s="873"/>
      <c r="F409" s="873"/>
      <c r="G409" s="1918"/>
      <c r="H409" s="1918"/>
      <c r="I409" s="1918"/>
      <c r="J409" s="1910"/>
      <c r="K409" s="1119"/>
      <c r="L409" s="412"/>
      <c r="M409" s="843"/>
      <c r="N409" s="890" t="str">
        <f t="shared" si="73"/>
        <v/>
      </c>
      <c r="O409" s="344" t="str">
        <f t="shared" si="74"/>
        <v/>
      </c>
      <c r="P409" s="344" t="str">
        <f t="shared" si="75"/>
        <v/>
      </c>
      <c r="Q409" s="195" t="str">
        <f t="shared" si="76"/>
        <v/>
      </c>
      <c r="R409" s="195"/>
    </row>
    <row r="410" spans="1:18" s="126" customFormat="1" ht="13.5" thickBot="1">
      <c r="A410" s="1923">
        <v>12</v>
      </c>
      <c r="B410" s="1920">
        <v>1</v>
      </c>
      <c r="C410" s="846" t="s">
        <v>14180</v>
      </c>
      <c r="D410" s="2495"/>
      <c r="E410" s="2496"/>
      <c r="F410" s="2496"/>
      <c r="G410" s="849">
        <f>SUM(F411:F434)</f>
        <v>504.36478</v>
      </c>
      <c r="H410" s="1161">
        <f>G410*(1-$D$6)</f>
        <v>378.27358500000003</v>
      </c>
      <c r="I410" s="849">
        <f>ROUNDUP(H410*$D$5,0)</f>
        <v>1287</v>
      </c>
      <c r="J410" s="850">
        <f>+I410*B410</f>
        <v>1287</v>
      </c>
      <c r="K410" s="851">
        <f>B410</f>
        <v>1</v>
      </c>
      <c r="L410" s="412"/>
      <c r="M410" s="843"/>
      <c r="N410" s="890" t="str">
        <f t="shared" si="73"/>
        <v/>
      </c>
      <c r="O410" s="344" t="str">
        <f t="shared" si="74"/>
        <v/>
      </c>
      <c r="P410" s="344" t="str">
        <f t="shared" si="75"/>
        <v/>
      </c>
      <c r="Q410" s="195" t="str">
        <f t="shared" si="76"/>
        <v/>
      </c>
      <c r="R410" s="195"/>
    </row>
    <row r="411" spans="1:18" s="126" customFormat="1">
      <c r="A411" s="852" t="s">
        <v>3207</v>
      </c>
      <c r="B411" s="1418"/>
      <c r="C411" s="853"/>
      <c r="D411" s="1911"/>
      <c r="E411" s="1890"/>
      <c r="F411" s="1890"/>
      <c r="G411" s="854"/>
      <c r="H411" s="854"/>
      <c r="I411" s="854"/>
      <c r="J411" s="855"/>
      <c r="K411" s="843">
        <f>K410</f>
        <v>1</v>
      </c>
      <c r="L411" s="412">
        <v>1</v>
      </c>
      <c r="M411" s="843">
        <f>IF(B411="",1,B411)</f>
        <v>1</v>
      </c>
      <c r="N411" s="890" t="str">
        <f t="shared" si="73"/>
        <v/>
      </c>
      <c r="O411" s="344" t="str">
        <f t="shared" si="74"/>
        <v/>
      </c>
      <c r="P411" s="344" t="str">
        <f t="shared" si="75"/>
        <v/>
      </c>
      <c r="Q411" s="195" t="str">
        <f t="shared" si="76"/>
        <v/>
      </c>
      <c r="R411" s="195"/>
    </row>
    <row r="412" spans="1:18" s="126" customFormat="1">
      <c r="A412" s="856" t="s">
        <v>4059</v>
      </c>
      <c r="B412" s="1122"/>
      <c r="C412" s="1419" t="s">
        <v>3301</v>
      </c>
      <c r="D412" s="1891"/>
      <c r="E412" s="1878"/>
      <c r="F412" s="1878"/>
      <c r="G412" s="854"/>
      <c r="H412" s="854"/>
      <c r="I412" s="854"/>
      <c r="J412" s="858"/>
      <c r="K412" s="843">
        <f>K411</f>
        <v>1</v>
      </c>
      <c r="L412" s="412">
        <v>1</v>
      </c>
      <c r="M412" s="843">
        <f t="shared" ref="M412:M434" si="77">IF(B412="",1,B412)</f>
        <v>1</v>
      </c>
      <c r="N412" s="890" t="str">
        <f t="shared" si="73"/>
        <v/>
      </c>
      <c r="O412" s="344" t="str">
        <f t="shared" si="74"/>
        <v/>
      </c>
      <c r="P412" s="344" t="str">
        <f t="shared" si="75"/>
        <v/>
      </c>
      <c r="Q412" s="195" t="str">
        <f t="shared" si="76"/>
        <v/>
      </c>
      <c r="R412" s="195"/>
    </row>
    <row r="413" spans="1:18" s="862" customFormat="1">
      <c r="A413" s="856" t="s">
        <v>4321</v>
      </c>
      <c r="B413" s="1122">
        <v>1</v>
      </c>
      <c r="C413" s="857" t="str">
        <f>VLOOKUP(D413,base_datos,6,FALSE)</f>
        <v>ITM Riel-Din 3x32A - SH203-C-32A - 10kA@230Vac, 6kA@400Vac-IEC60898 - marca ABB.</v>
      </c>
      <c r="D413" s="1894" t="s">
        <v>1069</v>
      </c>
      <c r="E413" s="1871">
        <f>VLOOKUP(D413,base_datos,5,FALSE)</f>
        <v>15.379999999999999</v>
      </c>
      <c r="F413" s="1878">
        <f>+E413*B413</f>
        <v>15.379999999999999</v>
      </c>
      <c r="G413" s="860"/>
      <c r="H413" s="860"/>
      <c r="I413" s="860"/>
      <c r="J413" s="861"/>
      <c r="K413" s="843">
        <f t="shared" ref="K413:K432" si="78">K412</f>
        <v>1</v>
      </c>
      <c r="L413" s="412">
        <v>1</v>
      </c>
      <c r="M413" s="843">
        <f t="shared" si="77"/>
        <v>1</v>
      </c>
      <c r="N413" s="890">
        <f t="shared" si="73"/>
        <v>1</v>
      </c>
      <c r="O413" s="344" t="str">
        <f t="shared" si="74"/>
        <v>2CDS213001R0324</v>
      </c>
      <c r="P413" s="344" t="str">
        <f t="shared" si="75"/>
        <v>ITM Riel-Din 3x32A - SH203-C-32A - 10kA@230Vac, 6kA@400Vac-IEC60898 - marca ABB.</v>
      </c>
      <c r="Q413" s="195" t="str">
        <f t="shared" si="76"/>
        <v>SH203-C-32A</v>
      </c>
      <c r="R413" s="195"/>
    </row>
    <row r="414" spans="1:18" s="195" customFormat="1">
      <c r="A414" s="1108"/>
      <c r="B414" s="895"/>
      <c r="C414" s="337" t="s">
        <v>729</v>
      </c>
      <c r="D414" s="182"/>
      <c r="E414" s="1874"/>
      <c r="F414" s="1875"/>
      <c r="G414" s="891"/>
      <c r="H414" s="891"/>
      <c r="I414" s="891"/>
      <c r="J414" s="892"/>
      <c r="K414" s="843">
        <f t="shared" si="78"/>
        <v>1</v>
      </c>
      <c r="L414" s="888">
        <v>1</v>
      </c>
      <c r="M414" s="843">
        <f t="shared" si="77"/>
        <v>1</v>
      </c>
      <c r="N414" s="890" t="str">
        <f t="shared" si="73"/>
        <v/>
      </c>
      <c r="O414" s="344" t="str">
        <f t="shared" si="74"/>
        <v/>
      </c>
      <c r="P414" s="344" t="str">
        <f t="shared" si="75"/>
        <v/>
      </c>
      <c r="Q414" s="195" t="str">
        <f t="shared" si="76"/>
        <v/>
      </c>
    </row>
    <row r="415" spans="1:18" s="862" customFormat="1">
      <c r="A415" s="856"/>
      <c r="B415" s="820"/>
      <c r="C415" s="859" t="s">
        <v>3535</v>
      </c>
      <c r="D415" s="1896"/>
      <c r="E415" s="1877"/>
      <c r="F415" s="1878">
        <f>+E415*B415</f>
        <v>0</v>
      </c>
      <c r="G415" s="860"/>
      <c r="H415" s="860"/>
      <c r="I415" s="860"/>
      <c r="J415" s="861"/>
      <c r="K415" s="843">
        <f t="shared" si="78"/>
        <v>1</v>
      </c>
      <c r="L415" s="412">
        <v>1</v>
      </c>
      <c r="M415" s="843">
        <f t="shared" si="77"/>
        <v>1</v>
      </c>
      <c r="N415" s="890" t="str">
        <f t="shared" si="73"/>
        <v/>
      </c>
      <c r="O415" s="344" t="str">
        <f t="shared" si="74"/>
        <v/>
      </c>
      <c r="P415" s="344" t="str">
        <f t="shared" si="75"/>
        <v/>
      </c>
      <c r="Q415" s="195" t="str">
        <f t="shared" si="76"/>
        <v/>
      </c>
      <c r="R415" s="195"/>
    </row>
    <row r="416" spans="1:18" s="862" customFormat="1">
      <c r="A416" s="856" t="s">
        <v>3725</v>
      </c>
      <c r="B416" s="1122">
        <v>3</v>
      </c>
      <c r="C416" s="857" t="str">
        <f>VLOOKUP(D416,base_datos,6,FALSE)</f>
        <v>ITM Riel-Din 2x20A - SH202-C-20A - 10kA@230Vac, 6kA@400Vac-IEC60898 - marca ABB.</v>
      </c>
      <c r="D416" s="1894" t="s">
        <v>1060</v>
      </c>
      <c r="E416" s="1871">
        <f>VLOOKUP(D416,base_datos,5,FALSE)</f>
        <v>6.54</v>
      </c>
      <c r="F416" s="1878">
        <f>+E416*B416</f>
        <v>19.62</v>
      </c>
      <c r="G416" s="860"/>
      <c r="H416" s="860"/>
      <c r="I416" s="860"/>
      <c r="J416" s="1420"/>
      <c r="K416" s="843">
        <f t="shared" si="78"/>
        <v>1</v>
      </c>
      <c r="L416" s="412">
        <v>1</v>
      </c>
      <c r="M416" s="843">
        <f t="shared" si="77"/>
        <v>3</v>
      </c>
      <c r="N416" s="890">
        <f t="shared" si="73"/>
        <v>3</v>
      </c>
      <c r="O416" s="344" t="str">
        <f t="shared" si="74"/>
        <v>2CDS212001R0204</v>
      </c>
      <c r="P416" s="344" t="str">
        <f t="shared" si="75"/>
        <v>ITM Riel-Din 2x20A - SH202-C-20A - 10kA@230Vac, 6kA@400Vac-IEC60898 - marca ABB.</v>
      </c>
      <c r="Q416" s="195" t="str">
        <f t="shared" si="76"/>
        <v>SH202-C-20A</v>
      </c>
      <c r="R416" s="195"/>
    </row>
    <row r="417" spans="1:18" s="862" customFormat="1">
      <c r="A417" s="856" t="s">
        <v>3726</v>
      </c>
      <c r="B417" s="1122">
        <v>3</v>
      </c>
      <c r="C417" s="857" t="str">
        <f>VLOOKUP(D417,base_datos,6,FALSE)</f>
        <v>Interruptor Diferencial 2x25A - 30mA - clase AC - FH202-AC-25A-30mA - marca ABB.</v>
      </c>
      <c r="D417" s="2466" t="s">
        <v>1109</v>
      </c>
      <c r="E417" s="1871">
        <f>VLOOKUP(D417,base_datos,5,FALSE)</f>
        <v>24.41</v>
      </c>
      <c r="F417" s="1878">
        <f>+E417*B417</f>
        <v>73.23</v>
      </c>
      <c r="G417" s="860"/>
      <c r="H417" s="860"/>
      <c r="I417" s="860"/>
      <c r="J417" s="1420"/>
      <c r="K417" s="843">
        <f t="shared" si="78"/>
        <v>1</v>
      </c>
      <c r="L417" s="412">
        <v>1</v>
      </c>
      <c r="M417" s="843">
        <f t="shared" si="77"/>
        <v>3</v>
      </c>
      <c r="N417" s="890">
        <f t="shared" si="73"/>
        <v>3</v>
      </c>
      <c r="O417" s="344" t="str">
        <f t="shared" si="74"/>
        <v>1TMF202006R1250</v>
      </c>
      <c r="P417" s="344" t="str">
        <f t="shared" si="75"/>
        <v>Interruptor Diferencial 2x25A - 30mA - clase AC - FH202-AC-25A-30mA - marca ABB.</v>
      </c>
      <c r="Q417" s="195" t="str">
        <f t="shared" si="76"/>
        <v>FH202-AC-25A-30mA</v>
      </c>
      <c r="R417" s="195"/>
    </row>
    <row r="418" spans="1:18" s="2340" customFormat="1">
      <c r="A418" s="856"/>
      <c r="B418" s="2443">
        <v>2</v>
      </c>
      <c r="C418" s="2444" t="str">
        <f>VLOOKUP(D418,base_datos,6,FALSE)</f>
        <v>Espacio de reserva monofasica + interruptor diferencial - Riel-Din.</v>
      </c>
      <c r="D418" s="2468" t="s">
        <v>3069</v>
      </c>
      <c r="E418" s="2497">
        <f>VLOOKUP(D418,base_datos,5,FALSE)</f>
        <v>2.5</v>
      </c>
      <c r="F418" s="2498">
        <f>+E418*B418</f>
        <v>5</v>
      </c>
      <c r="G418" s="2338"/>
      <c r="H418" s="2338"/>
      <c r="I418" s="2338"/>
      <c r="J418" s="2339"/>
      <c r="K418" s="843">
        <f t="shared" si="78"/>
        <v>1</v>
      </c>
      <c r="L418" s="412">
        <v>1</v>
      </c>
      <c r="M418" s="843">
        <f t="shared" si="77"/>
        <v>2</v>
      </c>
      <c r="N418" s="890" t="str">
        <f t="shared" si="73"/>
        <v/>
      </c>
      <c r="O418" s="344" t="str">
        <f t="shared" si="74"/>
        <v/>
      </c>
      <c r="P418" s="344" t="str">
        <f t="shared" si="75"/>
        <v/>
      </c>
      <c r="Q418" s="195" t="str">
        <f t="shared" si="76"/>
        <v/>
      </c>
      <c r="R418" s="195"/>
    </row>
    <row r="419" spans="1:18" s="870" customFormat="1">
      <c r="A419" s="856"/>
      <c r="B419" s="866">
        <v>1</v>
      </c>
      <c r="C419" s="867" t="s">
        <v>9501</v>
      </c>
      <c r="D419" s="1896"/>
      <c r="E419" s="180">
        <v>59</v>
      </c>
      <c r="F419" s="1921">
        <f>+E419*B419</f>
        <v>59</v>
      </c>
      <c r="G419" s="868"/>
      <c r="H419" s="868"/>
      <c r="I419" s="868"/>
      <c r="J419" s="869"/>
      <c r="K419" s="843">
        <f t="shared" si="78"/>
        <v>1</v>
      </c>
      <c r="L419" s="412">
        <v>1</v>
      </c>
      <c r="M419" s="843">
        <f t="shared" si="77"/>
        <v>1</v>
      </c>
      <c r="N419" s="890" t="str">
        <f t="shared" si="73"/>
        <v/>
      </c>
      <c r="O419" s="344" t="str">
        <f t="shared" si="74"/>
        <v/>
      </c>
      <c r="P419" s="344" t="str">
        <f t="shared" si="75"/>
        <v/>
      </c>
      <c r="Q419" s="195" t="str">
        <f t="shared" si="76"/>
        <v/>
      </c>
    </row>
    <row r="420" spans="1:18" s="195" customFormat="1">
      <c r="A420" s="1873"/>
      <c r="B420" s="895"/>
      <c r="C420" s="337" t="s">
        <v>729</v>
      </c>
      <c r="D420" s="182"/>
      <c r="E420" s="1874"/>
      <c r="F420" s="1875"/>
      <c r="G420" s="891"/>
      <c r="H420" s="891"/>
      <c r="I420" s="891"/>
      <c r="J420" s="892"/>
      <c r="K420" s="843">
        <f t="shared" si="78"/>
        <v>1</v>
      </c>
      <c r="L420" s="412">
        <v>1</v>
      </c>
      <c r="M420" s="843">
        <f t="shared" si="77"/>
        <v>1</v>
      </c>
      <c r="N420" s="890" t="str">
        <f t="shared" si="73"/>
        <v/>
      </c>
      <c r="O420" s="344" t="str">
        <f t="shared" si="74"/>
        <v/>
      </c>
      <c r="P420" s="344" t="str">
        <f t="shared" si="75"/>
        <v/>
      </c>
      <c r="Q420" s="195" t="str">
        <f t="shared" si="76"/>
        <v/>
      </c>
    </row>
    <row r="421" spans="1:18" s="862" customFormat="1">
      <c r="A421" s="2370"/>
      <c r="B421" s="820"/>
      <c r="C421" s="859" t="s">
        <v>3206</v>
      </c>
      <c r="D421" s="1876"/>
      <c r="E421" s="1877"/>
      <c r="F421" s="1878">
        <f t="shared" ref="F421:F427" si="79">+E421*B421</f>
        <v>0</v>
      </c>
      <c r="G421" s="860"/>
      <c r="H421" s="860"/>
      <c r="I421" s="860"/>
      <c r="J421" s="861"/>
      <c r="K421" s="843">
        <f t="shared" si="78"/>
        <v>1</v>
      </c>
      <c r="L421" s="412">
        <v>1</v>
      </c>
      <c r="M421" s="843">
        <f t="shared" si="77"/>
        <v>1</v>
      </c>
      <c r="N421" s="890" t="str">
        <f t="shared" si="73"/>
        <v/>
      </c>
      <c r="O421" s="344" t="str">
        <f t="shared" si="74"/>
        <v/>
      </c>
      <c r="P421" s="344" t="str">
        <f t="shared" si="75"/>
        <v/>
      </c>
      <c r="Q421" s="195" t="str">
        <f t="shared" si="76"/>
        <v/>
      </c>
      <c r="R421" s="195"/>
    </row>
    <row r="422" spans="1:18" s="862" customFormat="1">
      <c r="A422" s="2366"/>
      <c r="B422" s="1122">
        <v>1</v>
      </c>
      <c r="C422" s="857" t="str">
        <f t="shared" ref="C422:C427" si="80">VLOOKUP(D422,base_datos,6,FALSE)</f>
        <v>Interruptor Horario Digital - marca GRASSLIN.</v>
      </c>
      <c r="D422" s="1876" t="s">
        <v>1860</v>
      </c>
      <c r="E422" s="1871">
        <f t="shared" ref="E422:E427" si="81">VLOOKUP(D422,base_datos,5,FALSE)</f>
        <v>61.78</v>
      </c>
      <c r="F422" s="1878">
        <f t="shared" si="79"/>
        <v>61.78</v>
      </c>
      <c r="G422" s="860"/>
      <c r="H422" s="860"/>
      <c r="I422" s="860"/>
      <c r="J422" s="1420"/>
      <c r="K422" s="843">
        <f t="shared" si="78"/>
        <v>1</v>
      </c>
      <c r="L422" s="412">
        <v>1</v>
      </c>
      <c r="M422" s="843">
        <f t="shared" si="77"/>
        <v>1</v>
      </c>
      <c r="N422" s="890">
        <f t="shared" si="73"/>
        <v>1</v>
      </c>
      <c r="O422" s="344" t="str">
        <f t="shared" si="74"/>
        <v>IH_GRASSLIN</v>
      </c>
      <c r="P422" s="344" t="str">
        <f t="shared" si="75"/>
        <v>Interruptor Horario Digital - marca GRASSLIN.</v>
      </c>
      <c r="Q422" s="195" t="str">
        <f t="shared" si="76"/>
        <v>IH_GRASSLIN</v>
      </c>
      <c r="R422" s="195"/>
    </row>
    <row r="423" spans="1:18" s="862" customFormat="1">
      <c r="A423" s="865"/>
      <c r="B423" s="1122">
        <v>1</v>
      </c>
      <c r="C423" s="857" t="str">
        <f t="shared" si="80"/>
        <v>Contactor 3x09A(AC-3) / 3x25A(AC-1) +1NA - AF09-30-10-13 - bobina 100-250Vac/dc - marca ABB.</v>
      </c>
      <c r="D423" s="1876" t="s">
        <v>1474</v>
      </c>
      <c r="E423" s="1871">
        <f t="shared" si="81"/>
        <v>24.680000000000003</v>
      </c>
      <c r="F423" s="1878">
        <f t="shared" si="79"/>
        <v>24.680000000000003</v>
      </c>
      <c r="G423" s="860"/>
      <c r="H423" s="860"/>
      <c r="I423" s="860"/>
      <c r="J423" s="1420"/>
      <c r="K423" s="843">
        <f t="shared" si="78"/>
        <v>1</v>
      </c>
      <c r="L423" s="412">
        <v>1</v>
      </c>
      <c r="M423" s="843">
        <f t="shared" si="77"/>
        <v>1</v>
      </c>
      <c r="N423" s="890">
        <f t="shared" si="73"/>
        <v>1</v>
      </c>
      <c r="O423" s="344" t="str">
        <f t="shared" si="74"/>
        <v>1SBL137001R1310</v>
      </c>
      <c r="P423" s="344" t="str">
        <f t="shared" si="75"/>
        <v>Contactor 3x09A(AC-3) / 3x25A(AC-1) +1NA - AF09-30-10-13 - bobina 100-250Vac/dc - marca ABB.</v>
      </c>
      <c r="Q423" s="195" t="str">
        <f t="shared" si="76"/>
        <v>AF09-30-10-13_3p</v>
      </c>
      <c r="R423" s="195"/>
    </row>
    <row r="424" spans="1:18" s="862" customFormat="1">
      <c r="A424" s="865"/>
      <c r="B424" s="1122">
        <v>1</v>
      </c>
      <c r="C424" s="857" t="str">
        <f t="shared" si="80"/>
        <v>Selector tres posiciones "M-0-A" o "1-0-2".</v>
      </c>
      <c r="D424" s="1876" t="s">
        <v>446</v>
      </c>
      <c r="E424" s="1871">
        <f t="shared" si="81"/>
        <v>28</v>
      </c>
      <c r="F424" s="1878">
        <f t="shared" si="79"/>
        <v>28</v>
      </c>
      <c r="G424" s="860"/>
      <c r="H424" s="860"/>
      <c r="I424" s="860"/>
      <c r="J424" s="1420"/>
      <c r="K424" s="843">
        <f t="shared" si="78"/>
        <v>1</v>
      </c>
      <c r="L424" s="412">
        <v>1</v>
      </c>
      <c r="M424" s="843">
        <f t="shared" si="77"/>
        <v>1</v>
      </c>
      <c r="N424" s="890" t="str">
        <f t="shared" si="73"/>
        <v/>
      </c>
      <c r="O424" s="344" t="str">
        <f t="shared" si="74"/>
        <v/>
      </c>
      <c r="P424" s="344" t="str">
        <f t="shared" si="75"/>
        <v/>
      </c>
      <c r="Q424" s="195" t="str">
        <f t="shared" si="76"/>
        <v/>
      </c>
      <c r="R424" s="195"/>
    </row>
    <row r="425" spans="1:18" s="862" customFormat="1">
      <c r="A425" s="2366"/>
      <c r="B425" s="1122">
        <v>1</v>
      </c>
      <c r="C425" s="857" t="str">
        <f t="shared" si="80"/>
        <v>Pulsador doble Start/Stop (Rojo/Verde) sin iluminación + contacto 1NA+1NC.</v>
      </c>
      <c r="D425" s="1876" t="s">
        <v>8359</v>
      </c>
      <c r="E425" s="1871">
        <f t="shared" si="81"/>
        <v>38</v>
      </c>
      <c r="F425" s="1878">
        <f t="shared" si="79"/>
        <v>38</v>
      </c>
      <c r="G425" s="860"/>
      <c r="H425" s="860"/>
      <c r="I425" s="860"/>
      <c r="J425" s="1420"/>
      <c r="K425" s="843">
        <f t="shared" si="78"/>
        <v>1</v>
      </c>
      <c r="L425" s="412">
        <v>1</v>
      </c>
      <c r="M425" s="843">
        <f t="shared" si="77"/>
        <v>1</v>
      </c>
      <c r="N425" s="890" t="str">
        <f t="shared" si="73"/>
        <v/>
      </c>
      <c r="O425" s="344" t="str">
        <f t="shared" si="74"/>
        <v/>
      </c>
      <c r="P425" s="344" t="str">
        <f t="shared" si="75"/>
        <v/>
      </c>
      <c r="Q425" s="195" t="str">
        <f t="shared" si="76"/>
        <v/>
      </c>
      <c r="R425" s="195"/>
    </row>
    <row r="426" spans="1:18" s="344" customFormat="1">
      <c r="A426" s="865"/>
      <c r="B426" s="1122">
        <v>2</v>
      </c>
      <c r="C426" s="904" t="str">
        <f t="shared" si="80"/>
        <v>Base portafusibles + Fusibles de protección para control.</v>
      </c>
      <c r="D426" s="1881" t="s">
        <v>453</v>
      </c>
      <c r="E426" s="1892">
        <f t="shared" si="81"/>
        <v>6.5373900000000003</v>
      </c>
      <c r="F426" s="1893">
        <f t="shared" si="79"/>
        <v>13.074780000000001</v>
      </c>
      <c r="G426" s="905"/>
      <c r="H426" s="905"/>
      <c r="I426" s="905"/>
      <c r="J426" s="906"/>
      <c r="K426" s="843">
        <f t="shared" si="78"/>
        <v>1</v>
      </c>
      <c r="L426" s="412">
        <f>L424</f>
        <v>1</v>
      </c>
      <c r="M426" s="843">
        <f t="shared" si="77"/>
        <v>2</v>
      </c>
      <c r="N426" s="890" t="str">
        <f t="shared" si="73"/>
        <v/>
      </c>
      <c r="O426" s="344" t="str">
        <f t="shared" si="74"/>
        <v/>
      </c>
      <c r="P426" s="344" t="str">
        <f t="shared" si="75"/>
        <v/>
      </c>
      <c r="Q426" s="195" t="str">
        <f t="shared" si="76"/>
        <v/>
      </c>
      <c r="R426" s="195"/>
    </row>
    <row r="427" spans="1:18" s="344" customFormat="1">
      <c r="A427" s="865"/>
      <c r="B427" s="1122">
        <v>4</v>
      </c>
      <c r="C427" s="904" t="str">
        <f t="shared" si="80"/>
        <v>Borne 4mm2.</v>
      </c>
      <c r="D427" s="1881" t="s">
        <v>437</v>
      </c>
      <c r="E427" s="1892">
        <f t="shared" si="81"/>
        <v>2.5</v>
      </c>
      <c r="F427" s="1893">
        <f t="shared" si="79"/>
        <v>10</v>
      </c>
      <c r="G427" s="905"/>
      <c r="H427" s="905"/>
      <c r="I427" s="905"/>
      <c r="J427" s="906"/>
      <c r="K427" s="843">
        <f t="shared" si="78"/>
        <v>1</v>
      </c>
      <c r="L427" s="412">
        <f>L425</f>
        <v>1</v>
      </c>
      <c r="M427" s="843">
        <f t="shared" si="77"/>
        <v>4</v>
      </c>
      <c r="N427" s="890" t="str">
        <f t="shared" si="73"/>
        <v/>
      </c>
      <c r="O427" s="344" t="str">
        <f t="shared" si="74"/>
        <v/>
      </c>
      <c r="P427" s="344" t="str">
        <f t="shared" si="75"/>
        <v/>
      </c>
      <c r="Q427" s="195" t="str">
        <f t="shared" si="76"/>
        <v/>
      </c>
      <c r="R427" s="195"/>
    </row>
    <row r="428" spans="1:18" s="195" customFormat="1">
      <c r="A428" s="1108"/>
      <c r="B428" s="895"/>
      <c r="C428" s="337" t="s">
        <v>729</v>
      </c>
      <c r="D428" s="182"/>
      <c r="E428" s="1874"/>
      <c r="F428" s="1875"/>
      <c r="G428" s="891"/>
      <c r="H428" s="891"/>
      <c r="I428" s="891"/>
      <c r="J428" s="892"/>
      <c r="K428" s="843">
        <f t="shared" si="78"/>
        <v>1</v>
      </c>
      <c r="L428" s="888">
        <v>1</v>
      </c>
      <c r="M428" s="889">
        <f t="shared" si="77"/>
        <v>1</v>
      </c>
      <c r="N428" s="890" t="str">
        <f t="shared" si="73"/>
        <v/>
      </c>
      <c r="O428" s="344" t="str">
        <f t="shared" si="74"/>
        <v/>
      </c>
      <c r="P428" s="344" t="str">
        <f t="shared" si="75"/>
        <v/>
      </c>
      <c r="Q428" s="195" t="str">
        <f t="shared" si="76"/>
        <v/>
      </c>
    </row>
    <row r="429" spans="1:18" s="870" customFormat="1">
      <c r="A429" s="865"/>
      <c r="B429" s="2385">
        <v>1</v>
      </c>
      <c r="C429" s="2386" t="s">
        <v>316</v>
      </c>
      <c r="D429" s="2387"/>
      <c r="E429" s="1892"/>
      <c r="F429" s="1901"/>
      <c r="G429" s="2396"/>
      <c r="H429" s="2396"/>
      <c r="I429" s="2396"/>
      <c r="J429" s="2397"/>
      <c r="K429" s="843">
        <f t="shared" si="78"/>
        <v>1</v>
      </c>
      <c r="L429" s="412">
        <v>1</v>
      </c>
      <c r="M429" s="843">
        <f t="shared" si="77"/>
        <v>1</v>
      </c>
      <c r="N429" s="890" t="str">
        <f t="shared" si="73"/>
        <v/>
      </c>
      <c r="O429" s="344" t="str">
        <f t="shared" si="74"/>
        <v/>
      </c>
      <c r="P429" s="344" t="str">
        <f t="shared" si="75"/>
        <v/>
      </c>
      <c r="Q429" s="195" t="str">
        <f t="shared" si="76"/>
        <v/>
      </c>
      <c r="R429" s="195"/>
    </row>
    <row r="430" spans="1:18" s="195" customFormat="1">
      <c r="A430" s="1108"/>
      <c r="B430" s="895"/>
      <c r="C430" s="337" t="s">
        <v>729</v>
      </c>
      <c r="D430" s="182"/>
      <c r="E430" s="1874"/>
      <c r="F430" s="1875"/>
      <c r="G430" s="891"/>
      <c r="H430" s="891"/>
      <c r="I430" s="891"/>
      <c r="J430" s="892"/>
      <c r="K430" s="843">
        <f t="shared" si="78"/>
        <v>1</v>
      </c>
      <c r="L430" s="888">
        <v>1</v>
      </c>
      <c r="M430" s="889">
        <f t="shared" si="77"/>
        <v>1</v>
      </c>
      <c r="N430" s="890" t="str">
        <f t="shared" si="73"/>
        <v/>
      </c>
      <c r="O430" s="344" t="str">
        <f t="shared" si="74"/>
        <v/>
      </c>
      <c r="P430" s="344" t="str">
        <f t="shared" si="75"/>
        <v/>
      </c>
      <c r="Q430" s="195" t="str">
        <f t="shared" si="76"/>
        <v/>
      </c>
    </row>
    <row r="431" spans="1:18" s="1088" customFormat="1">
      <c r="A431" s="865"/>
      <c r="B431" s="1085">
        <v>8</v>
      </c>
      <c r="C431" s="904" t="str">
        <f>VLOOKUP(D431,base_datos,6,FALSE)</f>
        <v>Rotulado por circuito.</v>
      </c>
      <c r="D431" s="1881" t="s">
        <v>3210</v>
      </c>
      <c r="E431" s="1892">
        <f>VLOOKUP(D431,base_datos,5,FALSE)</f>
        <v>0.7</v>
      </c>
      <c r="F431" s="1893">
        <f>+E431*B431</f>
        <v>5.6</v>
      </c>
      <c r="G431" s="1086"/>
      <c r="H431" s="1086"/>
      <c r="I431" s="1086"/>
      <c r="J431" s="1087"/>
      <c r="K431" s="843">
        <f t="shared" si="78"/>
        <v>1</v>
      </c>
      <c r="L431" s="888">
        <v>1</v>
      </c>
      <c r="M431" s="889">
        <f t="shared" si="77"/>
        <v>8</v>
      </c>
      <c r="N431" s="890" t="str">
        <f t="shared" si="73"/>
        <v/>
      </c>
      <c r="O431" s="344" t="str">
        <f t="shared" si="74"/>
        <v/>
      </c>
      <c r="P431" s="344" t="str">
        <f t="shared" si="75"/>
        <v/>
      </c>
      <c r="Q431" s="195" t="str">
        <f t="shared" si="76"/>
        <v/>
      </c>
    </row>
    <row r="432" spans="1:18" s="1088" customFormat="1">
      <c r="A432" s="865"/>
      <c r="B432" s="1085">
        <v>1</v>
      </c>
      <c r="C432" s="904" t="str">
        <f>VLOOKUP(D432,base_datos,6,FALSE)</f>
        <v>Rotulado para TAG - tablero de distribución.</v>
      </c>
      <c r="D432" s="1881" t="s">
        <v>3209</v>
      </c>
      <c r="E432" s="1892">
        <f>VLOOKUP(D432,base_datos,5,FALSE)</f>
        <v>1.5</v>
      </c>
      <c r="F432" s="1893">
        <f>+E432*B432</f>
        <v>1.5</v>
      </c>
      <c r="G432" s="1086"/>
      <c r="H432" s="1086"/>
      <c r="I432" s="1086"/>
      <c r="J432" s="1087"/>
      <c r="K432" s="843">
        <f t="shared" si="78"/>
        <v>1</v>
      </c>
      <c r="L432" s="888">
        <v>1</v>
      </c>
      <c r="M432" s="889">
        <f t="shared" si="77"/>
        <v>1</v>
      </c>
      <c r="N432" s="890" t="str">
        <f t="shared" si="73"/>
        <v/>
      </c>
      <c r="O432" s="344" t="str">
        <f t="shared" si="74"/>
        <v/>
      </c>
      <c r="P432" s="344" t="str">
        <f t="shared" si="75"/>
        <v/>
      </c>
      <c r="Q432" s="195" t="str">
        <f t="shared" si="76"/>
        <v/>
      </c>
    </row>
    <row r="433" spans="1:18" s="1479" customFormat="1">
      <c r="A433" s="1128"/>
      <c r="B433" s="1412">
        <v>1</v>
      </c>
      <c r="C433" s="1417" t="s">
        <v>5302</v>
      </c>
      <c r="D433" s="1900"/>
      <c r="E433" s="1901">
        <f>E434*15%</f>
        <v>19.5</v>
      </c>
      <c r="F433" s="1901">
        <f>+E433*B433</f>
        <v>19.5</v>
      </c>
      <c r="G433" s="1902"/>
      <c r="H433" s="1902"/>
      <c r="I433" s="1902"/>
      <c r="J433" s="1414"/>
      <c r="K433" s="889">
        <f>K431</f>
        <v>1</v>
      </c>
      <c r="L433" s="888">
        <v>1</v>
      </c>
      <c r="M433" s="889">
        <f t="shared" si="77"/>
        <v>1</v>
      </c>
      <c r="N433" s="890" t="str">
        <f t="shared" si="73"/>
        <v/>
      </c>
      <c r="O433" s="344" t="str">
        <f t="shared" si="74"/>
        <v/>
      </c>
      <c r="P433" s="344" t="str">
        <f t="shared" si="75"/>
        <v/>
      </c>
      <c r="Q433" s="195" t="str">
        <f t="shared" si="76"/>
        <v/>
      </c>
    </row>
    <row r="434" spans="1:18" s="1479" customFormat="1">
      <c r="A434" s="1128"/>
      <c r="B434" s="2499">
        <v>1</v>
      </c>
      <c r="C434" s="867" t="s">
        <v>14181</v>
      </c>
      <c r="D434" s="2500"/>
      <c r="E434" s="1892">
        <v>130</v>
      </c>
      <c r="F434" s="1921">
        <f>+E434*B434</f>
        <v>130</v>
      </c>
      <c r="G434" s="1413"/>
      <c r="H434" s="1413"/>
      <c r="I434" s="1413"/>
      <c r="J434" s="1414"/>
      <c r="K434" s="843">
        <f>K432</f>
        <v>1</v>
      </c>
      <c r="L434" s="888">
        <v>1</v>
      </c>
      <c r="M434" s="889">
        <f t="shared" si="77"/>
        <v>1</v>
      </c>
      <c r="N434" s="890" t="str">
        <f t="shared" si="73"/>
        <v/>
      </c>
      <c r="O434" s="344" t="str">
        <f t="shared" si="74"/>
        <v/>
      </c>
      <c r="P434" s="344" t="str">
        <f t="shared" si="75"/>
        <v/>
      </c>
      <c r="Q434" s="195" t="str">
        <f t="shared" si="76"/>
        <v/>
      </c>
    </row>
    <row r="435" spans="1:18" s="126" customFormat="1" ht="13.5" thickBot="1">
      <c r="A435" s="1106"/>
      <c r="B435" s="1916"/>
      <c r="C435" s="1909"/>
      <c r="D435" s="1917"/>
      <c r="E435" s="873"/>
      <c r="F435" s="873"/>
      <c r="G435" s="1918"/>
      <c r="H435" s="1918"/>
      <c r="I435" s="1918"/>
      <c r="J435" s="1910"/>
      <c r="K435" s="1119"/>
      <c r="L435" s="412"/>
      <c r="M435" s="843"/>
      <c r="N435" s="890" t="str">
        <f t="shared" si="73"/>
        <v/>
      </c>
      <c r="O435" s="344" t="str">
        <f t="shared" si="74"/>
        <v/>
      </c>
      <c r="P435" s="344" t="str">
        <f t="shared" si="75"/>
        <v/>
      </c>
      <c r="Q435" s="195" t="str">
        <f t="shared" si="76"/>
        <v/>
      </c>
      <c r="R435" s="195"/>
    </row>
    <row r="436" spans="1:18" s="126" customFormat="1" ht="13.5" thickBot="1">
      <c r="A436" s="1923">
        <v>13</v>
      </c>
      <c r="B436" s="1920">
        <v>1</v>
      </c>
      <c r="C436" s="846" t="s">
        <v>14182</v>
      </c>
      <c r="D436" s="2495"/>
      <c r="E436" s="2496"/>
      <c r="F436" s="2496"/>
      <c r="G436" s="849">
        <f>SUM(F437:F460)</f>
        <v>422.91478000000001</v>
      </c>
      <c r="H436" s="1161">
        <f>G436*(1-$D$6)</f>
        <v>317.18608499999999</v>
      </c>
      <c r="I436" s="849">
        <f>ROUNDUP(H436*$D$5,0)</f>
        <v>1079</v>
      </c>
      <c r="J436" s="850">
        <f>+I436*B436</f>
        <v>1079</v>
      </c>
      <c r="K436" s="851">
        <f>B436</f>
        <v>1</v>
      </c>
      <c r="L436" s="412"/>
      <c r="M436" s="843"/>
      <c r="N436" s="890" t="str">
        <f t="shared" si="73"/>
        <v/>
      </c>
      <c r="O436" s="344" t="str">
        <f t="shared" si="74"/>
        <v/>
      </c>
      <c r="P436" s="344" t="str">
        <f t="shared" si="75"/>
        <v/>
      </c>
      <c r="Q436" s="195" t="str">
        <f t="shared" si="76"/>
        <v/>
      </c>
      <c r="R436" s="195"/>
    </row>
    <row r="437" spans="1:18" s="126" customFormat="1">
      <c r="A437" s="852" t="s">
        <v>3207</v>
      </c>
      <c r="B437" s="1418"/>
      <c r="C437" s="853"/>
      <c r="D437" s="1911"/>
      <c r="E437" s="1890"/>
      <c r="F437" s="1890"/>
      <c r="G437" s="854"/>
      <c r="H437" s="854"/>
      <c r="I437" s="854"/>
      <c r="J437" s="855"/>
      <c r="K437" s="843">
        <f>K436</f>
        <v>1</v>
      </c>
      <c r="L437" s="412">
        <v>1</v>
      </c>
      <c r="M437" s="843">
        <f>IF(B437="",1,B437)</f>
        <v>1</v>
      </c>
      <c r="N437" s="890" t="str">
        <f t="shared" si="73"/>
        <v/>
      </c>
      <c r="O437" s="344" t="str">
        <f t="shared" si="74"/>
        <v/>
      </c>
      <c r="P437" s="344" t="str">
        <f t="shared" si="75"/>
        <v/>
      </c>
      <c r="Q437" s="195" t="str">
        <f t="shared" si="76"/>
        <v/>
      </c>
      <c r="R437" s="195"/>
    </row>
    <row r="438" spans="1:18" s="126" customFormat="1">
      <c r="A438" s="856" t="s">
        <v>4059</v>
      </c>
      <c r="B438" s="1122"/>
      <c r="C438" s="1419" t="s">
        <v>3301</v>
      </c>
      <c r="D438" s="1891"/>
      <c r="E438" s="1878"/>
      <c r="F438" s="1878"/>
      <c r="G438" s="854"/>
      <c r="H438" s="854"/>
      <c r="I438" s="854"/>
      <c r="J438" s="858"/>
      <c r="K438" s="843">
        <f>K437</f>
        <v>1</v>
      </c>
      <c r="L438" s="412">
        <v>1</v>
      </c>
      <c r="M438" s="843">
        <f t="shared" ref="M438:M460" si="82">IF(B438="",1,B438)</f>
        <v>1</v>
      </c>
      <c r="N438" s="890" t="str">
        <f t="shared" si="73"/>
        <v/>
      </c>
      <c r="O438" s="344" t="str">
        <f t="shared" si="74"/>
        <v/>
      </c>
      <c r="P438" s="344" t="str">
        <f t="shared" si="75"/>
        <v/>
      </c>
      <c r="Q438" s="195" t="str">
        <f t="shared" si="76"/>
        <v/>
      </c>
      <c r="R438" s="195"/>
    </row>
    <row r="439" spans="1:18" s="862" customFormat="1">
      <c r="A439" s="856" t="s">
        <v>4321</v>
      </c>
      <c r="B439" s="1122">
        <v>1</v>
      </c>
      <c r="C439" s="857" t="str">
        <f>VLOOKUP(D439,base_datos,6,FALSE)</f>
        <v>ITM Riel-Din 3x32A - SH203-C-32A - 10kA@230Vac, 6kA@400Vac-IEC60898 - marca ABB.</v>
      </c>
      <c r="D439" s="1894" t="s">
        <v>1069</v>
      </c>
      <c r="E439" s="1871">
        <f>VLOOKUP(D439,base_datos,5,FALSE)</f>
        <v>15.379999999999999</v>
      </c>
      <c r="F439" s="1878">
        <f>+E439*B439</f>
        <v>15.379999999999999</v>
      </c>
      <c r="G439" s="860"/>
      <c r="H439" s="860"/>
      <c r="I439" s="860"/>
      <c r="J439" s="861"/>
      <c r="K439" s="843">
        <f t="shared" ref="K439:K458" si="83">K438</f>
        <v>1</v>
      </c>
      <c r="L439" s="412">
        <v>1</v>
      </c>
      <c r="M439" s="843">
        <f t="shared" si="82"/>
        <v>1</v>
      </c>
      <c r="N439" s="890">
        <f t="shared" si="73"/>
        <v>1</v>
      </c>
      <c r="O439" s="344" t="str">
        <f t="shared" si="74"/>
        <v>2CDS213001R0324</v>
      </c>
      <c r="P439" s="344" t="str">
        <f t="shared" si="75"/>
        <v>ITM Riel-Din 3x32A - SH203-C-32A - 10kA@230Vac, 6kA@400Vac-IEC60898 - marca ABB.</v>
      </c>
      <c r="Q439" s="195" t="str">
        <f t="shared" si="76"/>
        <v>SH203-C-32A</v>
      </c>
      <c r="R439" s="195"/>
    </row>
    <row r="440" spans="1:18" s="195" customFormat="1">
      <c r="A440" s="1108"/>
      <c r="B440" s="895"/>
      <c r="C440" s="337" t="s">
        <v>729</v>
      </c>
      <c r="D440" s="182"/>
      <c r="E440" s="1874"/>
      <c r="F440" s="1875"/>
      <c r="G440" s="891"/>
      <c r="H440" s="891"/>
      <c r="I440" s="891"/>
      <c r="J440" s="892"/>
      <c r="K440" s="843">
        <f t="shared" si="83"/>
        <v>1</v>
      </c>
      <c r="L440" s="888">
        <v>1</v>
      </c>
      <c r="M440" s="843">
        <f t="shared" si="82"/>
        <v>1</v>
      </c>
      <c r="N440" s="890" t="str">
        <f t="shared" si="73"/>
        <v/>
      </c>
      <c r="O440" s="344" t="str">
        <f t="shared" si="74"/>
        <v/>
      </c>
      <c r="P440" s="344" t="str">
        <f t="shared" si="75"/>
        <v/>
      </c>
      <c r="Q440" s="195" t="str">
        <f t="shared" si="76"/>
        <v/>
      </c>
    </row>
    <row r="441" spans="1:18" s="862" customFormat="1">
      <c r="A441" s="856"/>
      <c r="B441" s="820"/>
      <c r="C441" s="859" t="s">
        <v>3535</v>
      </c>
      <c r="D441" s="1896"/>
      <c r="E441" s="1877"/>
      <c r="F441" s="1878">
        <f>+E441*B441</f>
        <v>0</v>
      </c>
      <c r="G441" s="860"/>
      <c r="H441" s="860"/>
      <c r="I441" s="860"/>
      <c r="J441" s="861"/>
      <c r="K441" s="843">
        <f t="shared" si="83"/>
        <v>1</v>
      </c>
      <c r="L441" s="412">
        <v>1</v>
      </c>
      <c r="M441" s="843">
        <f t="shared" si="82"/>
        <v>1</v>
      </c>
      <c r="N441" s="890" t="str">
        <f t="shared" si="73"/>
        <v/>
      </c>
      <c r="O441" s="344" t="str">
        <f t="shared" si="74"/>
        <v/>
      </c>
      <c r="P441" s="344" t="str">
        <f t="shared" si="75"/>
        <v/>
      </c>
      <c r="Q441" s="195" t="str">
        <f t="shared" si="76"/>
        <v/>
      </c>
      <c r="R441" s="195"/>
    </row>
    <row r="442" spans="1:18" s="862" customFormat="1">
      <c r="A442" s="856" t="s">
        <v>3725</v>
      </c>
      <c r="B442" s="1122">
        <v>1</v>
      </c>
      <c r="C442" s="857" t="str">
        <f>VLOOKUP(D442,base_datos,6,FALSE)</f>
        <v>ITM Riel-Din 2x20A - SH202-C-20A - 10kA@230Vac, 6kA@400Vac-IEC60898 - marca ABB.</v>
      </c>
      <c r="D442" s="1894" t="s">
        <v>1060</v>
      </c>
      <c r="E442" s="1871">
        <f>VLOOKUP(D442,base_datos,5,FALSE)</f>
        <v>6.54</v>
      </c>
      <c r="F442" s="1878">
        <f>+E442*B442</f>
        <v>6.54</v>
      </c>
      <c r="G442" s="860"/>
      <c r="H442" s="860"/>
      <c r="I442" s="860"/>
      <c r="J442" s="1420"/>
      <c r="K442" s="843">
        <f t="shared" si="83"/>
        <v>1</v>
      </c>
      <c r="L442" s="412">
        <v>1</v>
      </c>
      <c r="M442" s="843">
        <f t="shared" si="82"/>
        <v>1</v>
      </c>
      <c r="N442" s="890">
        <f t="shared" si="73"/>
        <v>1</v>
      </c>
      <c r="O442" s="344" t="str">
        <f t="shared" si="74"/>
        <v>2CDS212001R0204</v>
      </c>
      <c r="P442" s="344" t="str">
        <f t="shared" si="75"/>
        <v>ITM Riel-Din 2x20A - SH202-C-20A - 10kA@230Vac, 6kA@400Vac-IEC60898 - marca ABB.</v>
      </c>
      <c r="Q442" s="195" t="str">
        <f t="shared" si="76"/>
        <v>SH202-C-20A</v>
      </c>
      <c r="R442" s="195"/>
    </row>
    <row r="443" spans="1:18" s="862" customFormat="1">
      <c r="A443" s="856" t="s">
        <v>3726</v>
      </c>
      <c r="B443" s="1122">
        <v>1</v>
      </c>
      <c r="C443" s="857" t="str">
        <f>VLOOKUP(D443,base_datos,6,FALSE)</f>
        <v>Interruptor Diferencial 2x25A - 30mA - clase AC - FH202-AC-25A-30mA - marca ABB.</v>
      </c>
      <c r="D443" s="2466" t="s">
        <v>1109</v>
      </c>
      <c r="E443" s="1871">
        <f>VLOOKUP(D443,base_datos,5,FALSE)</f>
        <v>24.41</v>
      </c>
      <c r="F443" s="1878">
        <f>+E443*B443</f>
        <v>24.41</v>
      </c>
      <c r="G443" s="860"/>
      <c r="H443" s="860"/>
      <c r="I443" s="860"/>
      <c r="J443" s="1420"/>
      <c r="K443" s="843">
        <f t="shared" si="83"/>
        <v>1</v>
      </c>
      <c r="L443" s="412">
        <v>1</v>
      </c>
      <c r="M443" s="843">
        <f t="shared" si="82"/>
        <v>1</v>
      </c>
      <c r="N443" s="890">
        <f t="shared" si="73"/>
        <v>1</v>
      </c>
      <c r="O443" s="344" t="str">
        <f t="shared" si="74"/>
        <v>1TMF202006R1250</v>
      </c>
      <c r="P443" s="344" t="str">
        <f t="shared" si="75"/>
        <v>Interruptor Diferencial 2x25A - 30mA - clase AC - FH202-AC-25A-30mA - marca ABB.</v>
      </c>
      <c r="Q443" s="195" t="str">
        <f t="shared" si="76"/>
        <v>FH202-AC-25A-30mA</v>
      </c>
      <c r="R443" s="195"/>
    </row>
    <row r="444" spans="1:18" s="2340" customFormat="1" ht="12.75" customHeight="1">
      <c r="A444" s="856"/>
      <c r="B444" s="2443">
        <v>2</v>
      </c>
      <c r="C444" s="2444" t="str">
        <f>VLOOKUP(D444,base_datos,6,FALSE)</f>
        <v>Espacio de reserva monofasica + interruptor diferencial - Riel-Din.</v>
      </c>
      <c r="D444" s="2468" t="s">
        <v>3069</v>
      </c>
      <c r="E444" s="2497">
        <f>VLOOKUP(D444,base_datos,5,FALSE)</f>
        <v>2.5</v>
      </c>
      <c r="F444" s="2498">
        <f>+E444*B444</f>
        <v>5</v>
      </c>
      <c r="G444" s="2338"/>
      <c r="H444" s="2338"/>
      <c r="I444" s="2338"/>
      <c r="J444" s="2339"/>
      <c r="K444" s="843">
        <f t="shared" si="83"/>
        <v>1</v>
      </c>
      <c r="L444" s="412">
        <v>1</v>
      </c>
      <c r="M444" s="843">
        <f t="shared" si="82"/>
        <v>2</v>
      </c>
      <c r="N444" s="890" t="str">
        <f t="shared" si="73"/>
        <v/>
      </c>
      <c r="O444" s="344" t="str">
        <f t="shared" si="74"/>
        <v/>
      </c>
      <c r="P444" s="344" t="str">
        <f t="shared" si="75"/>
        <v/>
      </c>
      <c r="Q444" s="195" t="str">
        <f t="shared" si="76"/>
        <v/>
      </c>
      <c r="R444" s="195"/>
    </row>
    <row r="445" spans="1:18" s="870" customFormat="1" ht="12.75" customHeight="1">
      <c r="A445" s="856"/>
      <c r="B445" s="866">
        <v>1</v>
      </c>
      <c r="C445" s="867" t="s">
        <v>14134</v>
      </c>
      <c r="D445" s="1896"/>
      <c r="E445" s="180">
        <v>48</v>
      </c>
      <c r="F445" s="1921">
        <f>+E445*B445</f>
        <v>48</v>
      </c>
      <c r="G445" s="868"/>
      <c r="H445" s="868"/>
      <c r="I445" s="868"/>
      <c r="J445" s="869"/>
      <c r="K445" s="843">
        <f t="shared" si="83"/>
        <v>1</v>
      </c>
      <c r="L445" s="412">
        <v>1</v>
      </c>
      <c r="M445" s="843">
        <f t="shared" si="82"/>
        <v>1</v>
      </c>
      <c r="N445" s="890" t="str">
        <f t="shared" si="73"/>
        <v/>
      </c>
      <c r="O445" s="344" t="str">
        <f t="shared" si="74"/>
        <v/>
      </c>
      <c r="P445" s="344" t="str">
        <f t="shared" si="75"/>
        <v/>
      </c>
      <c r="Q445" s="195" t="str">
        <f t="shared" si="76"/>
        <v/>
      </c>
    </row>
    <row r="446" spans="1:18" s="195" customFormat="1" ht="12.75" customHeight="1">
      <c r="A446" s="1873"/>
      <c r="B446" s="895"/>
      <c r="C446" s="337" t="s">
        <v>729</v>
      </c>
      <c r="D446" s="182"/>
      <c r="E446" s="1874"/>
      <c r="F446" s="1875"/>
      <c r="G446" s="891"/>
      <c r="H446" s="891"/>
      <c r="I446" s="891"/>
      <c r="J446" s="892"/>
      <c r="K446" s="843">
        <f t="shared" si="83"/>
        <v>1</v>
      </c>
      <c r="L446" s="412">
        <v>1</v>
      </c>
      <c r="M446" s="843">
        <f t="shared" si="82"/>
        <v>1</v>
      </c>
      <c r="N446" s="890" t="str">
        <f t="shared" si="73"/>
        <v/>
      </c>
      <c r="O446" s="344" t="str">
        <f t="shared" si="74"/>
        <v/>
      </c>
      <c r="P446" s="344" t="str">
        <f t="shared" si="75"/>
        <v/>
      </c>
      <c r="Q446" s="195" t="str">
        <f t="shared" si="76"/>
        <v/>
      </c>
    </row>
    <row r="447" spans="1:18" s="862" customFormat="1" ht="12.75" customHeight="1">
      <c r="A447" s="2370"/>
      <c r="B447" s="820"/>
      <c r="C447" s="859" t="s">
        <v>3206</v>
      </c>
      <c r="D447" s="1876"/>
      <c r="E447" s="1877"/>
      <c r="F447" s="1878">
        <f t="shared" ref="F447:F453" si="84">+E447*B447</f>
        <v>0</v>
      </c>
      <c r="G447" s="860"/>
      <c r="H447" s="860"/>
      <c r="I447" s="860"/>
      <c r="J447" s="861"/>
      <c r="K447" s="843">
        <f t="shared" si="83"/>
        <v>1</v>
      </c>
      <c r="L447" s="412">
        <v>1</v>
      </c>
      <c r="M447" s="843">
        <f t="shared" si="82"/>
        <v>1</v>
      </c>
      <c r="N447" s="890" t="str">
        <f t="shared" si="73"/>
        <v/>
      </c>
      <c r="O447" s="344" t="str">
        <f t="shared" si="74"/>
        <v/>
      </c>
      <c r="P447" s="344" t="str">
        <f t="shared" si="75"/>
        <v/>
      </c>
      <c r="Q447" s="195" t="str">
        <f t="shared" si="76"/>
        <v/>
      </c>
      <c r="R447" s="195"/>
    </row>
    <row r="448" spans="1:18" s="862" customFormat="1" ht="12.75" customHeight="1">
      <c r="A448" s="2366"/>
      <c r="B448" s="1122">
        <v>1</v>
      </c>
      <c r="C448" s="857" t="str">
        <f t="shared" ref="C448:C453" si="85">VLOOKUP(D448,base_datos,6,FALSE)</f>
        <v>Interruptor Horario Digital - marca GRASSLIN.</v>
      </c>
      <c r="D448" s="1876" t="s">
        <v>1860</v>
      </c>
      <c r="E448" s="1871">
        <f t="shared" ref="E448:E453" si="86">VLOOKUP(D448,base_datos,5,FALSE)</f>
        <v>61.78</v>
      </c>
      <c r="F448" s="1878">
        <f t="shared" si="84"/>
        <v>61.78</v>
      </c>
      <c r="G448" s="860"/>
      <c r="H448" s="860"/>
      <c r="I448" s="860"/>
      <c r="J448" s="1420"/>
      <c r="K448" s="843">
        <f t="shared" si="83"/>
        <v>1</v>
      </c>
      <c r="L448" s="412">
        <v>1</v>
      </c>
      <c r="M448" s="843">
        <f t="shared" si="82"/>
        <v>1</v>
      </c>
      <c r="N448" s="890">
        <f t="shared" si="73"/>
        <v>1</v>
      </c>
      <c r="O448" s="344" t="str">
        <f t="shared" si="74"/>
        <v>IH_GRASSLIN</v>
      </c>
      <c r="P448" s="344" t="str">
        <f t="shared" si="75"/>
        <v>Interruptor Horario Digital - marca GRASSLIN.</v>
      </c>
      <c r="Q448" s="195" t="str">
        <f t="shared" si="76"/>
        <v>IH_GRASSLIN</v>
      </c>
      <c r="R448" s="195"/>
    </row>
    <row r="449" spans="1:18" s="862" customFormat="1">
      <c r="A449" s="865"/>
      <c r="B449" s="1122">
        <v>1</v>
      </c>
      <c r="C449" s="857" t="str">
        <f t="shared" si="85"/>
        <v>Contactor 3x09A(AC-3) / 3x25A(AC-1) +1NA - AF09-30-10-13 - bobina 100-250Vac/dc - marca ABB.</v>
      </c>
      <c r="D449" s="1876" t="s">
        <v>1474</v>
      </c>
      <c r="E449" s="1871">
        <f t="shared" si="86"/>
        <v>24.680000000000003</v>
      </c>
      <c r="F449" s="1878">
        <f t="shared" si="84"/>
        <v>24.680000000000003</v>
      </c>
      <c r="G449" s="860"/>
      <c r="H449" s="860"/>
      <c r="I449" s="860"/>
      <c r="J449" s="1420"/>
      <c r="K449" s="843">
        <f t="shared" si="83"/>
        <v>1</v>
      </c>
      <c r="L449" s="412">
        <v>1</v>
      </c>
      <c r="M449" s="843">
        <f t="shared" si="82"/>
        <v>1</v>
      </c>
      <c r="N449" s="890">
        <f t="shared" si="73"/>
        <v>1</v>
      </c>
      <c r="O449" s="344" t="str">
        <f t="shared" si="74"/>
        <v>1SBL137001R1310</v>
      </c>
      <c r="P449" s="344" t="str">
        <f t="shared" si="75"/>
        <v>Contactor 3x09A(AC-3) / 3x25A(AC-1) +1NA - AF09-30-10-13 - bobina 100-250Vac/dc - marca ABB.</v>
      </c>
      <c r="Q449" s="195" t="str">
        <f t="shared" si="76"/>
        <v>AF09-30-10-13_3p</v>
      </c>
      <c r="R449" s="195"/>
    </row>
    <row r="450" spans="1:18" s="862" customFormat="1">
      <c r="A450" s="865"/>
      <c r="B450" s="1122">
        <v>1</v>
      </c>
      <c r="C450" s="857" t="str">
        <f t="shared" si="85"/>
        <v>Selector tres posiciones "M-0-A" o "1-0-2".</v>
      </c>
      <c r="D450" s="1876" t="s">
        <v>446</v>
      </c>
      <c r="E450" s="1871">
        <f t="shared" si="86"/>
        <v>28</v>
      </c>
      <c r="F450" s="1878">
        <f t="shared" si="84"/>
        <v>28</v>
      </c>
      <c r="G450" s="860"/>
      <c r="H450" s="860"/>
      <c r="I450" s="860"/>
      <c r="J450" s="1420"/>
      <c r="K450" s="843">
        <f t="shared" si="83"/>
        <v>1</v>
      </c>
      <c r="L450" s="412">
        <v>1</v>
      </c>
      <c r="M450" s="843">
        <f t="shared" si="82"/>
        <v>1</v>
      </c>
      <c r="N450" s="890" t="str">
        <f t="shared" si="73"/>
        <v/>
      </c>
      <c r="O450" s="344" t="str">
        <f t="shared" si="74"/>
        <v/>
      </c>
      <c r="P450" s="344" t="str">
        <f t="shared" si="75"/>
        <v/>
      </c>
      <c r="Q450" s="195" t="str">
        <f t="shared" si="76"/>
        <v/>
      </c>
      <c r="R450" s="195"/>
    </row>
    <row r="451" spans="1:18" s="862" customFormat="1">
      <c r="A451" s="2366"/>
      <c r="B451" s="1122">
        <v>1</v>
      </c>
      <c r="C451" s="857" t="str">
        <f t="shared" si="85"/>
        <v>Pulsador doble Start/Stop (Rojo/Verde) sin iluminación + contacto 1NA+1NC.</v>
      </c>
      <c r="D451" s="1876" t="s">
        <v>8359</v>
      </c>
      <c r="E451" s="1871">
        <f t="shared" si="86"/>
        <v>38</v>
      </c>
      <c r="F451" s="1878">
        <f t="shared" si="84"/>
        <v>38</v>
      </c>
      <c r="G451" s="860"/>
      <c r="H451" s="860"/>
      <c r="I451" s="860"/>
      <c r="J451" s="1420"/>
      <c r="K451" s="843">
        <f t="shared" si="83"/>
        <v>1</v>
      </c>
      <c r="L451" s="412">
        <v>1</v>
      </c>
      <c r="M451" s="843">
        <f t="shared" si="82"/>
        <v>1</v>
      </c>
      <c r="N451" s="890" t="str">
        <f t="shared" si="73"/>
        <v/>
      </c>
      <c r="O451" s="344" t="str">
        <f t="shared" si="74"/>
        <v/>
      </c>
      <c r="P451" s="344" t="str">
        <f t="shared" si="75"/>
        <v/>
      </c>
      <c r="Q451" s="195" t="str">
        <f t="shared" si="76"/>
        <v/>
      </c>
      <c r="R451" s="195"/>
    </row>
    <row r="452" spans="1:18" s="344" customFormat="1">
      <c r="A452" s="865"/>
      <c r="B452" s="1122">
        <v>2</v>
      </c>
      <c r="C452" s="904" t="str">
        <f t="shared" si="85"/>
        <v>Base portafusibles + Fusibles de protección para control.</v>
      </c>
      <c r="D452" s="1881" t="s">
        <v>453</v>
      </c>
      <c r="E452" s="1892">
        <f t="shared" si="86"/>
        <v>6.5373900000000003</v>
      </c>
      <c r="F452" s="1893">
        <f t="shared" si="84"/>
        <v>13.074780000000001</v>
      </c>
      <c r="G452" s="905"/>
      <c r="H452" s="905"/>
      <c r="I452" s="905"/>
      <c r="J452" s="906"/>
      <c r="K452" s="843">
        <f t="shared" si="83"/>
        <v>1</v>
      </c>
      <c r="L452" s="412">
        <f>L450</f>
        <v>1</v>
      </c>
      <c r="M452" s="843">
        <f t="shared" si="82"/>
        <v>2</v>
      </c>
      <c r="N452" s="890" t="str">
        <f t="shared" si="73"/>
        <v/>
      </c>
      <c r="O452" s="344" t="str">
        <f t="shared" si="74"/>
        <v/>
      </c>
      <c r="P452" s="344" t="str">
        <f t="shared" si="75"/>
        <v/>
      </c>
      <c r="Q452" s="195" t="str">
        <f t="shared" si="76"/>
        <v/>
      </c>
      <c r="R452" s="195"/>
    </row>
    <row r="453" spans="1:18" s="344" customFormat="1">
      <c r="A453" s="865"/>
      <c r="B453" s="1122">
        <v>4</v>
      </c>
      <c r="C453" s="904" t="str">
        <f t="shared" si="85"/>
        <v>Borne 4mm2.</v>
      </c>
      <c r="D453" s="1881" t="s">
        <v>437</v>
      </c>
      <c r="E453" s="1892">
        <f t="shared" si="86"/>
        <v>2.5</v>
      </c>
      <c r="F453" s="1893">
        <f t="shared" si="84"/>
        <v>10</v>
      </c>
      <c r="G453" s="905"/>
      <c r="H453" s="905"/>
      <c r="I453" s="905"/>
      <c r="J453" s="906"/>
      <c r="K453" s="843">
        <f t="shared" si="83"/>
        <v>1</v>
      </c>
      <c r="L453" s="412">
        <f>L451</f>
        <v>1</v>
      </c>
      <c r="M453" s="843">
        <f t="shared" si="82"/>
        <v>4</v>
      </c>
      <c r="N453" s="890" t="str">
        <f t="shared" si="73"/>
        <v/>
      </c>
      <c r="O453" s="344" t="str">
        <f t="shared" si="74"/>
        <v/>
      </c>
      <c r="P453" s="344" t="str">
        <f t="shared" si="75"/>
        <v/>
      </c>
      <c r="Q453" s="195" t="str">
        <f t="shared" si="76"/>
        <v/>
      </c>
      <c r="R453" s="195"/>
    </row>
    <row r="454" spans="1:18" s="195" customFormat="1">
      <c r="A454" s="1108"/>
      <c r="B454" s="895"/>
      <c r="C454" s="337" t="s">
        <v>729</v>
      </c>
      <c r="D454" s="182"/>
      <c r="E454" s="1874"/>
      <c r="F454" s="1875"/>
      <c r="G454" s="891"/>
      <c r="H454" s="891"/>
      <c r="I454" s="891"/>
      <c r="J454" s="892"/>
      <c r="K454" s="843">
        <f t="shared" si="83"/>
        <v>1</v>
      </c>
      <c r="L454" s="888">
        <v>1</v>
      </c>
      <c r="M454" s="889">
        <f t="shared" si="82"/>
        <v>1</v>
      </c>
      <c r="N454" s="890" t="str">
        <f t="shared" si="73"/>
        <v/>
      </c>
      <c r="O454" s="344" t="str">
        <f t="shared" si="74"/>
        <v/>
      </c>
      <c r="P454" s="344" t="str">
        <f t="shared" si="75"/>
        <v/>
      </c>
      <c r="Q454" s="195" t="str">
        <f t="shared" si="76"/>
        <v/>
      </c>
    </row>
    <row r="455" spans="1:18" s="870" customFormat="1">
      <c r="A455" s="865"/>
      <c r="B455" s="2385">
        <v>1</v>
      </c>
      <c r="C455" s="2386" t="s">
        <v>316</v>
      </c>
      <c r="D455" s="2387"/>
      <c r="E455" s="1892"/>
      <c r="F455" s="1901"/>
      <c r="G455" s="2396"/>
      <c r="H455" s="2396"/>
      <c r="I455" s="2396"/>
      <c r="J455" s="2397"/>
      <c r="K455" s="843">
        <f t="shared" si="83"/>
        <v>1</v>
      </c>
      <c r="L455" s="412">
        <v>1</v>
      </c>
      <c r="M455" s="843">
        <f t="shared" si="82"/>
        <v>1</v>
      </c>
      <c r="N455" s="890" t="str">
        <f t="shared" si="73"/>
        <v/>
      </c>
      <c r="O455" s="344" t="str">
        <f t="shared" si="74"/>
        <v/>
      </c>
      <c r="P455" s="344" t="str">
        <f t="shared" si="75"/>
        <v/>
      </c>
      <c r="Q455" s="195" t="str">
        <f t="shared" si="76"/>
        <v/>
      </c>
      <c r="R455" s="195"/>
    </row>
    <row r="456" spans="1:18" s="195" customFormat="1">
      <c r="A456" s="1108"/>
      <c r="B456" s="895"/>
      <c r="C456" s="337" t="s">
        <v>729</v>
      </c>
      <c r="D456" s="182"/>
      <c r="E456" s="1874"/>
      <c r="F456" s="1875"/>
      <c r="G456" s="891"/>
      <c r="H456" s="891"/>
      <c r="I456" s="891"/>
      <c r="J456" s="892"/>
      <c r="K456" s="843">
        <f t="shared" si="83"/>
        <v>1</v>
      </c>
      <c r="L456" s="888">
        <v>1</v>
      </c>
      <c r="M456" s="889">
        <f t="shared" si="82"/>
        <v>1</v>
      </c>
      <c r="N456" s="890" t="str">
        <f t="shared" si="73"/>
        <v/>
      </c>
      <c r="O456" s="344" t="str">
        <f t="shared" si="74"/>
        <v/>
      </c>
      <c r="P456" s="344" t="str">
        <f t="shared" si="75"/>
        <v/>
      </c>
      <c r="Q456" s="195" t="str">
        <f t="shared" si="76"/>
        <v/>
      </c>
    </row>
    <row r="457" spans="1:18" s="1088" customFormat="1">
      <c r="A457" s="865"/>
      <c r="B457" s="1085">
        <v>4</v>
      </c>
      <c r="C457" s="904" t="str">
        <f>VLOOKUP(D457,base_datos,6,FALSE)</f>
        <v>Rotulado por circuito.</v>
      </c>
      <c r="D457" s="1881" t="s">
        <v>3210</v>
      </c>
      <c r="E457" s="1892">
        <f>VLOOKUP(D457,base_datos,5,FALSE)</f>
        <v>0.7</v>
      </c>
      <c r="F457" s="1893">
        <f>+E457*B457</f>
        <v>2.8</v>
      </c>
      <c r="G457" s="1086"/>
      <c r="H457" s="1086"/>
      <c r="I457" s="1086"/>
      <c r="J457" s="1087"/>
      <c r="K457" s="843">
        <f t="shared" si="83"/>
        <v>1</v>
      </c>
      <c r="L457" s="888">
        <v>1</v>
      </c>
      <c r="M457" s="889">
        <f t="shared" si="82"/>
        <v>4</v>
      </c>
      <c r="N457" s="890" t="str">
        <f t="shared" si="73"/>
        <v/>
      </c>
      <c r="O457" s="344" t="str">
        <f t="shared" si="74"/>
        <v/>
      </c>
      <c r="P457" s="344" t="str">
        <f t="shared" si="75"/>
        <v/>
      </c>
      <c r="Q457" s="195" t="str">
        <f t="shared" si="76"/>
        <v/>
      </c>
    </row>
    <row r="458" spans="1:18" s="1088" customFormat="1">
      <c r="A458" s="865"/>
      <c r="B458" s="1085">
        <v>1</v>
      </c>
      <c r="C458" s="904" t="str">
        <f>VLOOKUP(D458,base_datos,6,FALSE)</f>
        <v>Rotulado para TAG - tablero de distribución.</v>
      </c>
      <c r="D458" s="1881" t="s">
        <v>3209</v>
      </c>
      <c r="E458" s="1892">
        <f>VLOOKUP(D458,base_datos,5,FALSE)</f>
        <v>1.5</v>
      </c>
      <c r="F458" s="1893">
        <f>+E458*B458</f>
        <v>1.5</v>
      </c>
      <c r="G458" s="1086"/>
      <c r="H458" s="1086"/>
      <c r="I458" s="1086"/>
      <c r="J458" s="1087"/>
      <c r="K458" s="843">
        <f t="shared" si="83"/>
        <v>1</v>
      </c>
      <c r="L458" s="888">
        <v>1</v>
      </c>
      <c r="M458" s="889">
        <f t="shared" si="82"/>
        <v>1</v>
      </c>
      <c r="N458" s="890" t="str">
        <f t="shared" si="73"/>
        <v/>
      </c>
      <c r="O458" s="344" t="str">
        <f t="shared" si="74"/>
        <v/>
      </c>
      <c r="P458" s="344" t="str">
        <f t="shared" si="75"/>
        <v/>
      </c>
      <c r="Q458" s="195" t="str">
        <f t="shared" si="76"/>
        <v/>
      </c>
    </row>
    <row r="459" spans="1:18" s="1479" customFormat="1">
      <c r="A459" s="1128"/>
      <c r="B459" s="1412">
        <v>1</v>
      </c>
      <c r="C459" s="1417" t="s">
        <v>5302</v>
      </c>
      <c r="D459" s="1900"/>
      <c r="E459" s="1901">
        <f>E460*15%</f>
        <v>18.75</v>
      </c>
      <c r="F459" s="1901">
        <f>+E459*B459</f>
        <v>18.75</v>
      </c>
      <c r="G459" s="1902"/>
      <c r="H459" s="1902"/>
      <c r="I459" s="1902"/>
      <c r="J459" s="1414"/>
      <c r="K459" s="889">
        <f>K457</f>
        <v>1</v>
      </c>
      <c r="L459" s="888">
        <v>1</v>
      </c>
      <c r="M459" s="889">
        <f t="shared" si="82"/>
        <v>1</v>
      </c>
      <c r="N459" s="890" t="str">
        <f t="shared" si="73"/>
        <v/>
      </c>
      <c r="O459" s="344" t="str">
        <f t="shared" si="74"/>
        <v/>
      </c>
      <c r="P459" s="344" t="str">
        <f t="shared" si="75"/>
        <v/>
      </c>
      <c r="Q459" s="195" t="str">
        <f t="shared" si="76"/>
        <v/>
      </c>
    </row>
    <row r="460" spans="1:18" s="1479" customFormat="1">
      <c r="A460" s="1128"/>
      <c r="B460" s="2499">
        <v>1</v>
      </c>
      <c r="C460" s="867" t="s">
        <v>14183</v>
      </c>
      <c r="D460" s="2500"/>
      <c r="E460" s="1892">
        <v>125</v>
      </c>
      <c r="F460" s="1921">
        <f>+E460*B460</f>
        <v>125</v>
      </c>
      <c r="G460" s="1413"/>
      <c r="H460" s="1413"/>
      <c r="I460" s="1413"/>
      <c r="J460" s="1414"/>
      <c r="K460" s="843">
        <f>K458</f>
        <v>1</v>
      </c>
      <c r="L460" s="888">
        <v>1</v>
      </c>
      <c r="M460" s="889">
        <f t="shared" si="82"/>
        <v>1</v>
      </c>
      <c r="N460" s="890" t="str">
        <f t="shared" si="73"/>
        <v/>
      </c>
      <c r="O460" s="344" t="str">
        <f t="shared" si="74"/>
        <v/>
      </c>
      <c r="P460" s="344" t="str">
        <f t="shared" si="75"/>
        <v/>
      </c>
      <c r="Q460" s="195" t="str">
        <f t="shared" si="76"/>
        <v/>
      </c>
    </row>
    <row r="461" spans="1:18" s="126" customFormat="1" ht="13.5" thickBot="1">
      <c r="A461" s="1106"/>
      <c r="B461" s="1916"/>
      <c r="C461" s="1909"/>
      <c r="D461" s="1917"/>
      <c r="E461" s="873"/>
      <c r="F461" s="873"/>
      <c r="G461" s="1918"/>
      <c r="H461" s="1918"/>
      <c r="I461" s="1918"/>
      <c r="J461" s="1910"/>
      <c r="K461" s="1119"/>
      <c r="L461" s="412"/>
      <c r="M461" s="843"/>
      <c r="N461" s="890" t="str">
        <f t="shared" ref="N461:N524" si="87">IF(O461&lt;&gt;"",K461*L461*M461,"")</f>
        <v/>
      </c>
      <c r="O461" s="344" t="str">
        <f t="shared" si="74"/>
        <v/>
      </c>
      <c r="P461" s="344" t="str">
        <f t="shared" si="75"/>
        <v/>
      </c>
      <c r="Q461" s="195" t="str">
        <f t="shared" si="76"/>
        <v/>
      </c>
      <c r="R461" s="195"/>
    </row>
    <row r="462" spans="1:18" s="126" customFormat="1" ht="13.5" thickBot="1">
      <c r="A462" s="1923">
        <v>14</v>
      </c>
      <c r="B462" s="1920">
        <v>1</v>
      </c>
      <c r="C462" s="846" t="s">
        <v>14184</v>
      </c>
      <c r="D462" s="2495"/>
      <c r="E462" s="2496"/>
      <c r="F462" s="2496"/>
      <c r="G462" s="849">
        <f>SUM(F463:F486)</f>
        <v>430.20478000000003</v>
      </c>
      <c r="H462" s="1161">
        <f>G462*(1-$D$6)</f>
        <v>322.65358500000002</v>
      </c>
      <c r="I462" s="849">
        <f>ROUNDUP(H462*$D$5,0)</f>
        <v>1098</v>
      </c>
      <c r="J462" s="850">
        <f>+I462*B462</f>
        <v>1098</v>
      </c>
      <c r="K462" s="851">
        <f>B462</f>
        <v>1</v>
      </c>
      <c r="L462" s="412"/>
      <c r="M462" s="843"/>
      <c r="N462" s="890" t="str">
        <f t="shared" si="87"/>
        <v/>
      </c>
      <c r="O462" s="344" t="str">
        <f t="shared" si="74"/>
        <v/>
      </c>
      <c r="P462" s="344" t="str">
        <f t="shared" si="75"/>
        <v/>
      </c>
      <c r="Q462" s="195" t="str">
        <f t="shared" si="76"/>
        <v/>
      </c>
      <c r="R462" s="195"/>
    </row>
    <row r="463" spans="1:18" s="126" customFormat="1">
      <c r="A463" s="852" t="s">
        <v>3207</v>
      </c>
      <c r="B463" s="1418"/>
      <c r="C463" s="853"/>
      <c r="D463" s="1911"/>
      <c r="E463" s="1890"/>
      <c r="F463" s="1890"/>
      <c r="G463" s="854"/>
      <c r="H463" s="854"/>
      <c r="I463" s="854"/>
      <c r="J463" s="855"/>
      <c r="K463" s="843">
        <f>K462</f>
        <v>1</v>
      </c>
      <c r="L463" s="412">
        <v>1</v>
      </c>
      <c r="M463" s="843">
        <f>IF(B463="",1,B463)</f>
        <v>1</v>
      </c>
      <c r="N463" s="890" t="str">
        <f t="shared" si="87"/>
        <v/>
      </c>
      <c r="O463" s="344" t="str">
        <f t="shared" ref="O463:O526" si="88">IF(D463&lt;&gt;"",IF(VLOOKUP(D463,base_datos,7,FALSE)&lt;&gt;"",VLOOKUP(D463,base_datos,7,FALSE),""),"")</f>
        <v/>
      </c>
      <c r="P463" s="344" t="str">
        <f t="shared" ref="P463:P526" si="89">IF(O463&lt;&gt;"",VLOOKUP(D463,base_datos,6,FALSE),"")</f>
        <v/>
      </c>
      <c r="Q463" s="195" t="str">
        <f t="shared" ref="Q463:Q526" si="90">IF(O463&lt;&gt;"",D463,"")</f>
        <v/>
      </c>
      <c r="R463" s="195"/>
    </row>
    <row r="464" spans="1:18" s="126" customFormat="1">
      <c r="A464" s="856" t="s">
        <v>4059</v>
      </c>
      <c r="B464" s="1122"/>
      <c r="C464" s="1419" t="s">
        <v>3301</v>
      </c>
      <c r="D464" s="1891"/>
      <c r="E464" s="1878"/>
      <c r="F464" s="1878"/>
      <c r="G464" s="854"/>
      <c r="H464" s="854"/>
      <c r="I464" s="854"/>
      <c r="J464" s="858"/>
      <c r="K464" s="843">
        <f>K463</f>
        <v>1</v>
      </c>
      <c r="L464" s="412">
        <v>1</v>
      </c>
      <c r="M464" s="843">
        <f t="shared" ref="M464:M486" si="91">IF(B464="",1,B464)</f>
        <v>1</v>
      </c>
      <c r="N464" s="890" t="str">
        <f t="shared" si="87"/>
        <v/>
      </c>
      <c r="O464" s="344" t="str">
        <f t="shared" si="88"/>
        <v/>
      </c>
      <c r="P464" s="344" t="str">
        <f t="shared" si="89"/>
        <v/>
      </c>
      <c r="Q464" s="195" t="str">
        <f t="shared" si="90"/>
        <v/>
      </c>
      <c r="R464" s="195"/>
    </row>
    <row r="465" spans="1:18" s="862" customFormat="1">
      <c r="A465" s="856" t="s">
        <v>4321</v>
      </c>
      <c r="B465" s="1122">
        <v>1</v>
      </c>
      <c r="C465" s="857" t="str">
        <f>VLOOKUP(D465,base_datos,6,FALSE)</f>
        <v>ITM Riel-Din 3x32A - SH203-C-32A - 10kA@230Vac, 6kA@400Vac-IEC60898 - marca ABB.</v>
      </c>
      <c r="D465" s="1894" t="s">
        <v>1069</v>
      </c>
      <c r="E465" s="1871">
        <f>VLOOKUP(D465,base_datos,5,FALSE)</f>
        <v>15.379999999999999</v>
      </c>
      <c r="F465" s="1878">
        <f>+E465*B465</f>
        <v>15.379999999999999</v>
      </c>
      <c r="G465" s="860"/>
      <c r="H465" s="860"/>
      <c r="I465" s="860"/>
      <c r="J465" s="861"/>
      <c r="K465" s="843">
        <f t="shared" ref="K465:K484" si="92">K464</f>
        <v>1</v>
      </c>
      <c r="L465" s="412">
        <v>1</v>
      </c>
      <c r="M465" s="843">
        <f t="shared" si="91"/>
        <v>1</v>
      </c>
      <c r="N465" s="890">
        <f t="shared" si="87"/>
        <v>1</v>
      </c>
      <c r="O465" s="344" t="str">
        <f t="shared" si="88"/>
        <v>2CDS213001R0324</v>
      </c>
      <c r="P465" s="344" t="str">
        <f t="shared" si="89"/>
        <v>ITM Riel-Din 3x32A - SH203-C-32A - 10kA@230Vac, 6kA@400Vac-IEC60898 - marca ABB.</v>
      </c>
      <c r="Q465" s="195" t="str">
        <f t="shared" si="90"/>
        <v>SH203-C-32A</v>
      </c>
      <c r="R465" s="195"/>
    </row>
    <row r="466" spans="1:18" s="195" customFormat="1">
      <c r="A466" s="1108"/>
      <c r="B466" s="895"/>
      <c r="C466" s="337" t="s">
        <v>729</v>
      </c>
      <c r="D466" s="182"/>
      <c r="E466" s="1874"/>
      <c r="F466" s="1875"/>
      <c r="G466" s="891"/>
      <c r="H466" s="891"/>
      <c r="I466" s="891"/>
      <c r="J466" s="892"/>
      <c r="K466" s="843">
        <f t="shared" si="92"/>
        <v>1</v>
      </c>
      <c r="L466" s="888">
        <v>1</v>
      </c>
      <c r="M466" s="843">
        <f t="shared" si="91"/>
        <v>1</v>
      </c>
      <c r="N466" s="890" t="str">
        <f t="shared" si="87"/>
        <v/>
      </c>
      <c r="O466" s="344" t="str">
        <f t="shared" si="88"/>
        <v/>
      </c>
      <c r="P466" s="344" t="str">
        <f t="shared" si="89"/>
        <v/>
      </c>
      <c r="Q466" s="195" t="str">
        <f t="shared" si="90"/>
        <v/>
      </c>
    </row>
    <row r="467" spans="1:18" s="862" customFormat="1">
      <c r="A467" s="856"/>
      <c r="B467" s="820"/>
      <c r="C467" s="859" t="s">
        <v>3535</v>
      </c>
      <c r="D467" s="1896"/>
      <c r="E467" s="1877"/>
      <c r="F467" s="1878">
        <f>+E467*B467</f>
        <v>0</v>
      </c>
      <c r="G467" s="860"/>
      <c r="H467" s="860"/>
      <c r="I467" s="860"/>
      <c r="J467" s="861"/>
      <c r="K467" s="843">
        <f t="shared" si="92"/>
        <v>1</v>
      </c>
      <c r="L467" s="412">
        <v>1</v>
      </c>
      <c r="M467" s="843">
        <f t="shared" si="91"/>
        <v>1</v>
      </c>
      <c r="N467" s="890" t="str">
        <f t="shared" si="87"/>
        <v/>
      </c>
      <c r="O467" s="344" t="str">
        <f t="shared" si="88"/>
        <v/>
      </c>
      <c r="P467" s="344" t="str">
        <f t="shared" si="89"/>
        <v/>
      </c>
      <c r="Q467" s="195" t="str">
        <f t="shared" si="90"/>
        <v/>
      </c>
      <c r="R467" s="195"/>
    </row>
    <row r="468" spans="1:18" s="862" customFormat="1">
      <c r="A468" s="856" t="s">
        <v>3725</v>
      </c>
      <c r="B468" s="1122">
        <v>2</v>
      </c>
      <c r="C468" s="857" t="str">
        <f>VLOOKUP(D468,base_datos,6,FALSE)</f>
        <v>ITM Riel-Din 2x20A - SH202-C-20A - 10kA@230Vac, 6kA@400Vac-IEC60898 - marca ABB.</v>
      </c>
      <c r="D468" s="1894" t="s">
        <v>1060</v>
      </c>
      <c r="E468" s="1871">
        <f>VLOOKUP(D468,base_datos,5,FALSE)</f>
        <v>6.54</v>
      </c>
      <c r="F468" s="1878">
        <f>+E468*B468</f>
        <v>13.08</v>
      </c>
      <c r="G468" s="860"/>
      <c r="H468" s="860"/>
      <c r="I468" s="860"/>
      <c r="J468" s="1420"/>
      <c r="K468" s="843">
        <f t="shared" si="92"/>
        <v>1</v>
      </c>
      <c r="L468" s="412">
        <v>1</v>
      </c>
      <c r="M468" s="843">
        <f t="shared" si="91"/>
        <v>2</v>
      </c>
      <c r="N468" s="890">
        <f t="shared" si="87"/>
        <v>2</v>
      </c>
      <c r="O468" s="344" t="str">
        <f t="shared" si="88"/>
        <v>2CDS212001R0204</v>
      </c>
      <c r="P468" s="344" t="str">
        <f t="shared" si="89"/>
        <v>ITM Riel-Din 2x20A - SH202-C-20A - 10kA@230Vac, 6kA@400Vac-IEC60898 - marca ABB.</v>
      </c>
      <c r="Q468" s="195" t="str">
        <f t="shared" si="90"/>
        <v>SH202-C-20A</v>
      </c>
      <c r="R468" s="195"/>
    </row>
    <row r="469" spans="1:18" s="862" customFormat="1">
      <c r="A469" s="856" t="s">
        <v>3726</v>
      </c>
      <c r="B469" s="1122">
        <v>1</v>
      </c>
      <c r="C469" s="857" t="str">
        <f>VLOOKUP(D469,base_datos,6,FALSE)</f>
        <v>Interruptor Diferencial 2x25A - 30mA - clase AC - FH202-AC-25A-30mA - marca ABB.</v>
      </c>
      <c r="D469" s="2466" t="s">
        <v>1109</v>
      </c>
      <c r="E469" s="1871">
        <f>VLOOKUP(D469,base_datos,5,FALSE)</f>
        <v>24.41</v>
      </c>
      <c r="F469" s="1878">
        <f>+E469*B469</f>
        <v>24.41</v>
      </c>
      <c r="G469" s="860"/>
      <c r="H469" s="860"/>
      <c r="I469" s="860"/>
      <c r="J469" s="1420"/>
      <c r="K469" s="843">
        <f t="shared" si="92"/>
        <v>1</v>
      </c>
      <c r="L469" s="412">
        <v>1</v>
      </c>
      <c r="M469" s="843">
        <f t="shared" si="91"/>
        <v>1</v>
      </c>
      <c r="N469" s="890">
        <f t="shared" si="87"/>
        <v>1</v>
      </c>
      <c r="O469" s="344" t="str">
        <f t="shared" si="88"/>
        <v>1TMF202006R1250</v>
      </c>
      <c r="P469" s="344" t="str">
        <f t="shared" si="89"/>
        <v>Interruptor Diferencial 2x25A - 30mA - clase AC - FH202-AC-25A-30mA - marca ABB.</v>
      </c>
      <c r="Q469" s="195" t="str">
        <f t="shared" si="90"/>
        <v>FH202-AC-25A-30mA</v>
      </c>
      <c r="R469" s="195"/>
    </row>
    <row r="470" spans="1:18" s="2340" customFormat="1">
      <c r="A470" s="856"/>
      <c r="B470" s="2443">
        <v>2</v>
      </c>
      <c r="C470" s="2444" t="str">
        <f>VLOOKUP(D470,base_datos,6,FALSE)</f>
        <v>Espacio de reserva monofasica + interruptor diferencial - Riel-Din.</v>
      </c>
      <c r="D470" s="2468" t="s">
        <v>3069</v>
      </c>
      <c r="E470" s="2497">
        <f>VLOOKUP(D470,base_datos,5,FALSE)</f>
        <v>2.5</v>
      </c>
      <c r="F470" s="2498">
        <f>+E470*B470</f>
        <v>5</v>
      </c>
      <c r="G470" s="2338"/>
      <c r="H470" s="2338"/>
      <c r="I470" s="2338"/>
      <c r="J470" s="2339"/>
      <c r="K470" s="843">
        <f t="shared" si="92"/>
        <v>1</v>
      </c>
      <c r="L470" s="412">
        <v>1</v>
      </c>
      <c r="M470" s="843">
        <f t="shared" si="91"/>
        <v>2</v>
      </c>
      <c r="N470" s="890" t="str">
        <f t="shared" si="87"/>
        <v/>
      </c>
      <c r="O470" s="344" t="str">
        <f t="shared" si="88"/>
        <v/>
      </c>
      <c r="P470" s="344" t="str">
        <f t="shared" si="89"/>
        <v/>
      </c>
      <c r="Q470" s="195" t="str">
        <f t="shared" si="90"/>
        <v/>
      </c>
      <c r="R470" s="195"/>
    </row>
    <row r="471" spans="1:18" s="870" customFormat="1">
      <c r="A471" s="856"/>
      <c r="B471" s="866">
        <v>1</v>
      </c>
      <c r="C471" s="867" t="s">
        <v>14134</v>
      </c>
      <c r="D471" s="1896"/>
      <c r="E471" s="180">
        <v>48</v>
      </c>
      <c r="F471" s="1921">
        <f>+E471*B471</f>
        <v>48</v>
      </c>
      <c r="G471" s="868"/>
      <c r="H471" s="868"/>
      <c r="I471" s="868"/>
      <c r="J471" s="869"/>
      <c r="K471" s="843">
        <f t="shared" si="92"/>
        <v>1</v>
      </c>
      <c r="L471" s="412">
        <v>1</v>
      </c>
      <c r="M471" s="843">
        <f t="shared" si="91"/>
        <v>1</v>
      </c>
      <c r="N471" s="890" t="str">
        <f t="shared" si="87"/>
        <v/>
      </c>
      <c r="O471" s="344" t="str">
        <f t="shared" si="88"/>
        <v/>
      </c>
      <c r="P471" s="344" t="str">
        <f t="shared" si="89"/>
        <v/>
      </c>
      <c r="Q471" s="195" t="str">
        <f t="shared" si="90"/>
        <v/>
      </c>
    </row>
    <row r="472" spans="1:18" s="195" customFormat="1">
      <c r="A472" s="1873"/>
      <c r="B472" s="895"/>
      <c r="C472" s="337" t="s">
        <v>729</v>
      </c>
      <c r="D472" s="182"/>
      <c r="E472" s="1874"/>
      <c r="F472" s="1875"/>
      <c r="G472" s="891"/>
      <c r="H472" s="891"/>
      <c r="I472" s="891"/>
      <c r="J472" s="892"/>
      <c r="K472" s="843">
        <f t="shared" si="92"/>
        <v>1</v>
      </c>
      <c r="L472" s="412">
        <v>1</v>
      </c>
      <c r="M472" s="843">
        <f t="shared" si="91"/>
        <v>1</v>
      </c>
      <c r="N472" s="890" t="str">
        <f t="shared" si="87"/>
        <v/>
      </c>
      <c r="O472" s="344" t="str">
        <f t="shared" si="88"/>
        <v/>
      </c>
      <c r="P472" s="344" t="str">
        <f t="shared" si="89"/>
        <v/>
      </c>
      <c r="Q472" s="195" t="str">
        <f t="shared" si="90"/>
        <v/>
      </c>
    </row>
    <row r="473" spans="1:18" s="862" customFormat="1">
      <c r="A473" s="2370"/>
      <c r="B473" s="820"/>
      <c r="C473" s="859" t="s">
        <v>3206</v>
      </c>
      <c r="D473" s="1876"/>
      <c r="E473" s="1877"/>
      <c r="F473" s="1878">
        <f t="shared" ref="F473:F479" si="93">+E473*B473</f>
        <v>0</v>
      </c>
      <c r="G473" s="860"/>
      <c r="H473" s="860"/>
      <c r="I473" s="860"/>
      <c r="J473" s="861"/>
      <c r="K473" s="843">
        <f t="shared" si="92"/>
        <v>1</v>
      </c>
      <c r="L473" s="412">
        <v>1</v>
      </c>
      <c r="M473" s="843">
        <f t="shared" si="91"/>
        <v>1</v>
      </c>
      <c r="N473" s="890" t="str">
        <f t="shared" si="87"/>
        <v/>
      </c>
      <c r="O473" s="344" t="str">
        <f t="shared" si="88"/>
        <v/>
      </c>
      <c r="P473" s="344" t="str">
        <f t="shared" si="89"/>
        <v/>
      </c>
      <c r="Q473" s="195" t="str">
        <f t="shared" si="90"/>
        <v/>
      </c>
      <c r="R473" s="195"/>
    </row>
    <row r="474" spans="1:18" s="862" customFormat="1">
      <c r="A474" s="2366"/>
      <c r="B474" s="1122">
        <v>1</v>
      </c>
      <c r="C474" s="857" t="str">
        <f t="shared" ref="C474:C479" si="94">VLOOKUP(D474,base_datos,6,FALSE)</f>
        <v>Interruptor Horario Digital - marca GRASSLIN.</v>
      </c>
      <c r="D474" s="1876" t="s">
        <v>1860</v>
      </c>
      <c r="E474" s="1871">
        <f t="shared" ref="E474:E479" si="95">VLOOKUP(D474,base_datos,5,FALSE)</f>
        <v>61.78</v>
      </c>
      <c r="F474" s="1878">
        <f t="shared" si="93"/>
        <v>61.78</v>
      </c>
      <c r="G474" s="860"/>
      <c r="H474" s="860"/>
      <c r="I474" s="860"/>
      <c r="J474" s="1420"/>
      <c r="K474" s="843">
        <f t="shared" si="92"/>
        <v>1</v>
      </c>
      <c r="L474" s="412">
        <v>1</v>
      </c>
      <c r="M474" s="843">
        <f t="shared" si="91"/>
        <v>1</v>
      </c>
      <c r="N474" s="890">
        <f t="shared" si="87"/>
        <v>1</v>
      </c>
      <c r="O474" s="344" t="str">
        <f t="shared" si="88"/>
        <v>IH_GRASSLIN</v>
      </c>
      <c r="P474" s="344" t="str">
        <f t="shared" si="89"/>
        <v>Interruptor Horario Digital - marca GRASSLIN.</v>
      </c>
      <c r="Q474" s="195" t="str">
        <f t="shared" si="90"/>
        <v>IH_GRASSLIN</v>
      </c>
      <c r="R474" s="195"/>
    </row>
    <row r="475" spans="1:18" s="862" customFormat="1">
      <c r="A475" s="865"/>
      <c r="B475" s="1122">
        <v>1</v>
      </c>
      <c r="C475" s="857" t="str">
        <f t="shared" si="94"/>
        <v>Contactor 3x09A(AC-3) / 3x25A(AC-1) +1NA - AF09-30-10-13 - bobina 100-250Vac/dc - marca ABB.</v>
      </c>
      <c r="D475" s="1876" t="s">
        <v>1474</v>
      </c>
      <c r="E475" s="1871">
        <f t="shared" si="95"/>
        <v>24.680000000000003</v>
      </c>
      <c r="F475" s="1878">
        <f t="shared" si="93"/>
        <v>24.680000000000003</v>
      </c>
      <c r="G475" s="860"/>
      <c r="H475" s="860"/>
      <c r="I475" s="860"/>
      <c r="J475" s="1420"/>
      <c r="K475" s="843">
        <f t="shared" si="92"/>
        <v>1</v>
      </c>
      <c r="L475" s="412">
        <v>1</v>
      </c>
      <c r="M475" s="843">
        <f t="shared" si="91"/>
        <v>1</v>
      </c>
      <c r="N475" s="890">
        <f t="shared" si="87"/>
        <v>1</v>
      </c>
      <c r="O475" s="344" t="str">
        <f t="shared" si="88"/>
        <v>1SBL137001R1310</v>
      </c>
      <c r="P475" s="344" t="str">
        <f t="shared" si="89"/>
        <v>Contactor 3x09A(AC-3) / 3x25A(AC-1) +1NA - AF09-30-10-13 - bobina 100-250Vac/dc - marca ABB.</v>
      </c>
      <c r="Q475" s="195" t="str">
        <f t="shared" si="90"/>
        <v>AF09-30-10-13_3p</v>
      </c>
      <c r="R475" s="195"/>
    </row>
    <row r="476" spans="1:18" s="862" customFormat="1">
      <c r="A476" s="865"/>
      <c r="B476" s="1122">
        <v>1</v>
      </c>
      <c r="C476" s="857" t="str">
        <f t="shared" si="94"/>
        <v>Selector tres posiciones "M-0-A" o "1-0-2".</v>
      </c>
      <c r="D476" s="1876" t="s">
        <v>446</v>
      </c>
      <c r="E476" s="1871">
        <f t="shared" si="95"/>
        <v>28</v>
      </c>
      <c r="F476" s="1878">
        <f t="shared" si="93"/>
        <v>28</v>
      </c>
      <c r="G476" s="860"/>
      <c r="H476" s="860"/>
      <c r="I476" s="860"/>
      <c r="J476" s="1420"/>
      <c r="K476" s="843">
        <f t="shared" si="92"/>
        <v>1</v>
      </c>
      <c r="L476" s="412">
        <v>1</v>
      </c>
      <c r="M476" s="843">
        <f t="shared" si="91"/>
        <v>1</v>
      </c>
      <c r="N476" s="890" t="str">
        <f t="shared" si="87"/>
        <v/>
      </c>
      <c r="O476" s="344" t="str">
        <f t="shared" si="88"/>
        <v/>
      </c>
      <c r="P476" s="344" t="str">
        <f t="shared" si="89"/>
        <v/>
      </c>
      <c r="Q476" s="195" t="str">
        <f t="shared" si="90"/>
        <v/>
      </c>
      <c r="R476" s="195"/>
    </row>
    <row r="477" spans="1:18" s="862" customFormat="1">
      <c r="A477" s="2366"/>
      <c r="B477" s="1122">
        <v>1</v>
      </c>
      <c r="C477" s="857" t="str">
        <f t="shared" si="94"/>
        <v>Pulsador doble Start/Stop (Rojo/Verde) sin iluminación + contacto 1NA+1NC.</v>
      </c>
      <c r="D477" s="1876" t="s">
        <v>8359</v>
      </c>
      <c r="E477" s="1871">
        <f t="shared" si="95"/>
        <v>38</v>
      </c>
      <c r="F477" s="1878">
        <f t="shared" si="93"/>
        <v>38</v>
      </c>
      <c r="G477" s="860"/>
      <c r="H477" s="860"/>
      <c r="I477" s="860"/>
      <c r="J477" s="1420"/>
      <c r="K477" s="843">
        <f t="shared" si="92"/>
        <v>1</v>
      </c>
      <c r="L477" s="412">
        <v>1</v>
      </c>
      <c r="M477" s="843">
        <f t="shared" si="91"/>
        <v>1</v>
      </c>
      <c r="N477" s="890" t="str">
        <f t="shared" si="87"/>
        <v/>
      </c>
      <c r="O477" s="344" t="str">
        <f t="shared" si="88"/>
        <v/>
      </c>
      <c r="P477" s="344" t="str">
        <f t="shared" si="89"/>
        <v/>
      </c>
      <c r="Q477" s="195" t="str">
        <f t="shared" si="90"/>
        <v/>
      </c>
      <c r="R477" s="195"/>
    </row>
    <row r="478" spans="1:18" s="344" customFormat="1">
      <c r="A478" s="865"/>
      <c r="B478" s="1122">
        <v>2</v>
      </c>
      <c r="C478" s="904" t="str">
        <f t="shared" si="94"/>
        <v>Base portafusibles + Fusibles de protección para control.</v>
      </c>
      <c r="D478" s="1881" t="s">
        <v>453</v>
      </c>
      <c r="E478" s="1892">
        <f t="shared" si="95"/>
        <v>6.5373900000000003</v>
      </c>
      <c r="F478" s="1893">
        <f t="shared" si="93"/>
        <v>13.074780000000001</v>
      </c>
      <c r="G478" s="905"/>
      <c r="H478" s="905"/>
      <c r="I478" s="905"/>
      <c r="J478" s="906"/>
      <c r="K478" s="843">
        <f t="shared" si="92"/>
        <v>1</v>
      </c>
      <c r="L478" s="412">
        <f>L476</f>
        <v>1</v>
      </c>
      <c r="M478" s="843">
        <f t="shared" si="91"/>
        <v>2</v>
      </c>
      <c r="N478" s="890" t="str">
        <f t="shared" si="87"/>
        <v/>
      </c>
      <c r="O478" s="344" t="str">
        <f t="shared" si="88"/>
        <v/>
      </c>
      <c r="P478" s="344" t="str">
        <f t="shared" si="89"/>
        <v/>
      </c>
      <c r="Q478" s="195" t="str">
        <f t="shared" si="90"/>
        <v/>
      </c>
      <c r="R478" s="195"/>
    </row>
    <row r="479" spans="1:18" s="344" customFormat="1">
      <c r="A479" s="865"/>
      <c r="B479" s="1122">
        <v>2</v>
      </c>
      <c r="C479" s="904" t="str">
        <f t="shared" si="94"/>
        <v>Borne 4mm2.</v>
      </c>
      <c r="D479" s="1881" t="s">
        <v>437</v>
      </c>
      <c r="E479" s="1892">
        <f t="shared" si="95"/>
        <v>2.5</v>
      </c>
      <c r="F479" s="1893">
        <f t="shared" si="93"/>
        <v>5</v>
      </c>
      <c r="G479" s="905"/>
      <c r="H479" s="905"/>
      <c r="I479" s="905"/>
      <c r="J479" s="906"/>
      <c r="K479" s="843">
        <f t="shared" si="92"/>
        <v>1</v>
      </c>
      <c r="L479" s="412">
        <f>L477</f>
        <v>1</v>
      </c>
      <c r="M479" s="843">
        <f t="shared" si="91"/>
        <v>2</v>
      </c>
      <c r="N479" s="890" t="str">
        <f t="shared" si="87"/>
        <v/>
      </c>
      <c r="O479" s="344" t="str">
        <f t="shared" si="88"/>
        <v/>
      </c>
      <c r="P479" s="344" t="str">
        <f t="shared" si="89"/>
        <v/>
      </c>
      <c r="Q479" s="195" t="str">
        <f t="shared" si="90"/>
        <v/>
      </c>
      <c r="R479" s="195"/>
    </row>
    <row r="480" spans="1:18" s="195" customFormat="1">
      <c r="A480" s="1108"/>
      <c r="B480" s="895"/>
      <c r="C480" s="337" t="s">
        <v>729</v>
      </c>
      <c r="D480" s="182"/>
      <c r="E480" s="1874"/>
      <c r="F480" s="1875"/>
      <c r="G480" s="891"/>
      <c r="H480" s="891"/>
      <c r="I480" s="891"/>
      <c r="J480" s="892"/>
      <c r="K480" s="843">
        <f t="shared" si="92"/>
        <v>1</v>
      </c>
      <c r="L480" s="888">
        <v>1</v>
      </c>
      <c r="M480" s="889">
        <f t="shared" si="91"/>
        <v>1</v>
      </c>
      <c r="N480" s="890" t="str">
        <f t="shared" si="87"/>
        <v/>
      </c>
      <c r="O480" s="344" t="str">
        <f t="shared" si="88"/>
        <v/>
      </c>
      <c r="P480" s="344" t="str">
        <f t="shared" si="89"/>
        <v/>
      </c>
      <c r="Q480" s="195" t="str">
        <f t="shared" si="90"/>
        <v/>
      </c>
    </row>
    <row r="481" spans="1:18" s="870" customFormat="1">
      <c r="A481" s="865"/>
      <c r="B481" s="2385">
        <v>1</v>
      </c>
      <c r="C481" s="2386" t="s">
        <v>316</v>
      </c>
      <c r="D481" s="2387"/>
      <c r="E481" s="1892"/>
      <c r="F481" s="1901"/>
      <c r="G481" s="2396"/>
      <c r="H481" s="2396"/>
      <c r="I481" s="2396"/>
      <c r="J481" s="2397"/>
      <c r="K481" s="843">
        <f t="shared" si="92"/>
        <v>1</v>
      </c>
      <c r="L481" s="412">
        <v>1</v>
      </c>
      <c r="M481" s="843">
        <f t="shared" si="91"/>
        <v>1</v>
      </c>
      <c r="N481" s="890" t="str">
        <f t="shared" si="87"/>
        <v/>
      </c>
      <c r="O481" s="344" t="str">
        <f t="shared" si="88"/>
        <v/>
      </c>
      <c r="P481" s="344" t="str">
        <f t="shared" si="89"/>
        <v/>
      </c>
      <c r="Q481" s="195" t="str">
        <f t="shared" si="90"/>
        <v/>
      </c>
      <c r="R481" s="195"/>
    </row>
    <row r="482" spans="1:18" s="195" customFormat="1">
      <c r="A482" s="1108"/>
      <c r="B482" s="895"/>
      <c r="C482" s="337" t="s">
        <v>729</v>
      </c>
      <c r="D482" s="182"/>
      <c r="E482" s="1874"/>
      <c r="F482" s="1875"/>
      <c r="G482" s="891"/>
      <c r="H482" s="891"/>
      <c r="I482" s="891"/>
      <c r="J482" s="892"/>
      <c r="K482" s="843">
        <f t="shared" si="92"/>
        <v>1</v>
      </c>
      <c r="L482" s="888">
        <v>1</v>
      </c>
      <c r="M482" s="889">
        <f t="shared" si="91"/>
        <v>1</v>
      </c>
      <c r="N482" s="890" t="str">
        <f t="shared" si="87"/>
        <v/>
      </c>
      <c r="O482" s="344" t="str">
        <f t="shared" si="88"/>
        <v/>
      </c>
      <c r="P482" s="344" t="str">
        <f t="shared" si="89"/>
        <v/>
      </c>
      <c r="Q482" s="195" t="str">
        <f t="shared" si="90"/>
        <v/>
      </c>
    </row>
    <row r="483" spans="1:18" s="1088" customFormat="1">
      <c r="A483" s="865"/>
      <c r="B483" s="1085">
        <v>4</v>
      </c>
      <c r="C483" s="904" t="str">
        <f>VLOOKUP(D483,base_datos,6,FALSE)</f>
        <v>Rotulado por circuito.</v>
      </c>
      <c r="D483" s="1881" t="s">
        <v>3210</v>
      </c>
      <c r="E483" s="1892">
        <f>VLOOKUP(D483,base_datos,5,FALSE)</f>
        <v>0.7</v>
      </c>
      <c r="F483" s="1893">
        <f>+E483*B483</f>
        <v>2.8</v>
      </c>
      <c r="G483" s="1086"/>
      <c r="H483" s="1086"/>
      <c r="I483" s="1086"/>
      <c r="J483" s="1087"/>
      <c r="K483" s="843">
        <f t="shared" si="92"/>
        <v>1</v>
      </c>
      <c r="L483" s="888">
        <v>1</v>
      </c>
      <c r="M483" s="889">
        <f t="shared" si="91"/>
        <v>4</v>
      </c>
      <c r="N483" s="890" t="str">
        <f t="shared" si="87"/>
        <v/>
      </c>
      <c r="O483" s="344" t="str">
        <f t="shared" si="88"/>
        <v/>
      </c>
      <c r="P483" s="344" t="str">
        <f t="shared" si="89"/>
        <v/>
      </c>
      <c r="Q483" s="195" t="str">
        <f t="shared" si="90"/>
        <v/>
      </c>
    </row>
    <row r="484" spans="1:18" s="1088" customFormat="1">
      <c r="A484" s="865"/>
      <c r="B484" s="1085">
        <v>1</v>
      </c>
      <c r="C484" s="904" t="str">
        <f>VLOOKUP(D484,base_datos,6,FALSE)</f>
        <v>Rotulado para TAG - tablero de distribución.</v>
      </c>
      <c r="D484" s="1881" t="s">
        <v>3209</v>
      </c>
      <c r="E484" s="1892">
        <f>VLOOKUP(D484,base_datos,5,FALSE)</f>
        <v>1.5</v>
      </c>
      <c r="F484" s="1893">
        <f>+E484*B484</f>
        <v>1.5</v>
      </c>
      <c r="G484" s="1086"/>
      <c r="H484" s="1086"/>
      <c r="I484" s="1086"/>
      <c r="J484" s="1087"/>
      <c r="K484" s="843">
        <f t="shared" si="92"/>
        <v>1</v>
      </c>
      <c r="L484" s="888">
        <v>1</v>
      </c>
      <c r="M484" s="889">
        <f t="shared" si="91"/>
        <v>1</v>
      </c>
      <c r="N484" s="890" t="str">
        <f t="shared" si="87"/>
        <v/>
      </c>
      <c r="O484" s="344" t="str">
        <f t="shared" si="88"/>
        <v/>
      </c>
      <c r="P484" s="344" t="str">
        <f t="shared" si="89"/>
        <v/>
      </c>
      <c r="Q484" s="195" t="str">
        <f t="shared" si="90"/>
        <v/>
      </c>
    </row>
    <row r="485" spans="1:18" s="1479" customFormat="1">
      <c r="A485" s="1128"/>
      <c r="B485" s="1412">
        <v>1</v>
      </c>
      <c r="C485" s="1417" t="s">
        <v>5302</v>
      </c>
      <c r="D485" s="1900"/>
      <c r="E485" s="1901">
        <f>E486*15%</f>
        <v>19.5</v>
      </c>
      <c r="F485" s="1901">
        <f>+E485*B485</f>
        <v>19.5</v>
      </c>
      <c r="G485" s="1902"/>
      <c r="H485" s="1902"/>
      <c r="I485" s="1902"/>
      <c r="J485" s="1414"/>
      <c r="K485" s="889">
        <f>K483</f>
        <v>1</v>
      </c>
      <c r="L485" s="888">
        <v>1</v>
      </c>
      <c r="M485" s="889">
        <f t="shared" si="91"/>
        <v>1</v>
      </c>
      <c r="N485" s="890" t="str">
        <f t="shared" si="87"/>
        <v/>
      </c>
      <c r="O485" s="344" t="str">
        <f t="shared" si="88"/>
        <v/>
      </c>
      <c r="P485" s="344" t="str">
        <f t="shared" si="89"/>
        <v/>
      </c>
      <c r="Q485" s="195" t="str">
        <f t="shared" si="90"/>
        <v/>
      </c>
    </row>
    <row r="486" spans="1:18" s="1479" customFormat="1">
      <c r="A486" s="1128"/>
      <c r="B486" s="2499">
        <v>1</v>
      </c>
      <c r="C486" s="867" t="s">
        <v>14181</v>
      </c>
      <c r="D486" s="2500"/>
      <c r="E486" s="1892">
        <v>130</v>
      </c>
      <c r="F486" s="1921">
        <f>+E486*B486</f>
        <v>130</v>
      </c>
      <c r="G486" s="1413"/>
      <c r="H486" s="1413"/>
      <c r="I486" s="1413"/>
      <c r="J486" s="1414"/>
      <c r="K486" s="843">
        <f>K484</f>
        <v>1</v>
      </c>
      <c r="L486" s="888">
        <v>1</v>
      </c>
      <c r="M486" s="889">
        <f t="shared" si="91"/>
        <v>1</v>
      </c>
      <c r="N486" s="890" t="str">
        <f t="shared" si="87"/>
        <v/>
      </c>
      <c r="O486" s="344" t="str">
        <f t="shared" si="88"/>
        <v/>
      </c>
      <c r="P486" s="344" t="str">
        <f t="shared" si="89"/>
        <v/>
      </c>
      <c r="Q486" s="195" t="str">
        <f t="shared" si="90"/>
        <v/>
      </c>
    </row>
    <row r="487" spans="1:18" s="126" customFormat="1" ht="13.5" thickBot="1">
      <c r="A487" s="1106"/>
      <c r="B487" s="1916"/>
      <c r="C487" s="1909"/>
      <c r="D487" s="1917"/>
      <c r="E487" s="873"/>
      <c r="F487" s="873"/>
      <c r="G487" s="1918"/>
      <c r="H487" s="1918"/>
      <c r="I487" s="1918"/>
      <c r="J487" s="1910"/>
      <c r="K487" s="1119"/>
      <c r="L487" s="412"/>
      <c r="M487" s="843"/>
      <c r="N487" s="890" t="str">
        <f t="shared" si="87"/>
        <v/>
      </c>
      <c r="O487" s="344" t="str">
        <f t="shared" si="88"/>
        <v/>
      </c>
      <c r="P487" s="344" t="str">
        <f t="shared" si="89"/>
        <v/>
      </c>
      <c r="Q487" s="195" t="str">
        <f t="shared" si="90"/>
        <v/>
      </c>
      <c r="R487" s="195"/>
    </row>
    <row r="488" spans="1:18" s="126" customFormat="1" ht="13.5" thickBot="1">
      <c r="A488" s="1923">
        <v>15</v>
      </c>
      <c r="B488" s="1920">
        <v>1</v>
      </c>
      <c r="C488" s="846" t="s">
        <v>14185</v>
      </c>
      <c r="D488" s="2495"/>
      <c r="E488" s="2496"/>
      <c r="F488" s="2496"/>
      <c r="G488" s="849">
        <f>SUM(F489:F504)</f>
        <v>273.03000000000003</v>
      </c>
      <c r="H488" s="1161">
        <f>G488*(1-$D$6)</f>
        <v>204.77250000000004</v>
      </c>
      <c r="I488" s="849">
        <f>ROUNDUP(H488*$D$5,0)</f>
        <v>697</v>
      </c>
      <c r="J488" s="850">
        <f>+I488*B488</f>
        <v>697</v>
      </c>
      <c r="K488" s="851">
        <f>B488</f>
        <v>1</v>
      </c>
      <c r="L488" s="412"/>
      <c r="M488" s="843"/>
      <c r="N488" s="890" t="str">
        <f t="shared" si="87"/>
        <v/>
      </c>
      <c r="O488" s="344" t="str">
        <f t="shared" si="88"/>
        <v/>
      </c>
      <c r="P488" s="344" t="str">
        <f t="shared" si="89"/>
        <v/>
      </c>
      <c r="Q488" s="195" t="str">
        <f t="shared" si="90"/>
        <v/>
      </c>
      <c r="R488" s="195"/>
    </row>
    <row r="489" spans="1:18" s="126" customFormat="1">
      <c r="A489" s="852" t="s">
        <v>9502</v>
      </c>
      <c r="B489" s="1418"/>
      <c r="C489" s="853"/>
      <c r="D489" s="1911"/>
      <c r="E489" s="1890"/>
      <c r="F489" s="1890"/>
      <c r="G489" s="854"/>
      <c r="H489" s="854"/>
      <c r="I489" s="854"/>
      <c r="J489" s="855"/>
      <c r="K489" s="843">
        <f>K488</f>
        <v>1</v>
      </c>
      <c r="L489" s="412">
        <v>1</v>
      </c>
      <c r="M489" s="843">
        <f>IF(B489="",1,B489)</f>
        <v>1</v>
      </c>
      <c r="N489" s="890" t="str">
        <f t="shared" si="87"/>
        <v/>
      </c>
      <c r="O489" s="344" t="str">
        <f t="shared" si="88"/>
        <v/>
      </c>
      <c r="P489" s="344" t="str">
        <f t="shared" si="89"/>
        <v/>
      </c>
      <c r="Q489" s="195" t="str">
        <f t="shared" si="90"/>
        <v/>
      </c>
      <c r="R489" s="195"/>
    </row>
    <row r="490" spans="1:18" s="126" customFormat="1">
      <c r="A490" s="856" t="s">
        <v>9503</v>
      </c>
      <c r="B490" s="1122"/>
      <c r="C490" s="1419" t="s">
        <v>3301</v>
      </c>
      <c r="D490" s="1891"/>
      <c r="E490" s="1878"/>
      <c r="F490" s="1878"/>
      <c r="G490" s="854"/>
      <c r="H490" s="854"/>
      <c r="I490" s="854"/>
      <c r="J490" s="858"/>
      <c r="K490" s="843">
        <f>K489</f>
        <v>1</v>
      </c>
      <c r="L490" s="412">
        <v>1</v>
      </c>
      <c r="M490" s="843">
        <f t="shared" ref="M490:M504" si="96">IF(B490="",1,B490)</f>
        <v>1</v>
      </c>
      <c r="N490" s="890" t="str">
        <f t="shared" si="87"/>
        <v/>
      </c>
      <c r="O490" s="344" t="str">
        <f t="shared" si="88"/>
        <v/>
      </c>
      <c r="P490" s="344" t="str">
        <f t="shared" si="89"/>
        <v/>
      </c>
      <c r="Q490" s="195" t="str">
        <f t="shared" si="90"/>
        <v/>
      </c>
      <c r="R490" s="195"/>
    </row>
    <row r="491" spans="1:18" s="862" customFormat="1">
      <c r="A491" s="856" t="s">
        <v>4321</v>
      </c>
      <c r="B491" s="1122">
        <v>1</v>
      </c>
      <c r="C491" s="857" t="str">
        <f>VLOOKUP(D491,base_datos,6,FALSE)</f>
        <v>ITM Riel-Din 3x32A - SH203-C-32A - 10kA@230Vac, 6kA@400Vac-IEC60898 - marca ABB.</v>
      </c>
      <c r="D491" s="1894" t="s">
        <v>1069</v>
      </c>
      <c r="E491" s="1871">
        <f>VLOOKUP(D491,base_datos,5,FALSE)</f>
        <v>15.379999999999999</v>
      </c>
      <c r="F491" s="1878">
        <f>+E491*B491</f>
        <v>15.379999999999999</v>
      </c>
      <c r="G491" s="860"/>
      <c r="H491" s="860"/>
      <c r="I491" s="860"/>
      <c r="J491" s="861"/>
      <c r="K491" s="843">
        <f t="shared" ref="K491:K502" si="97">K490</f>
        <v>1</v>
      </c>
      <c r="L491" s="412">
        <v>1</v>
      </c>
      <c r="M491" s="843">
        <f t="shared" si="96"/>
        <v>1</v>
      </c>
      <c r="N491" s="890">
        <f t="shared" si="87"/>
        <v>1</v>
      </c>
      <c r="O491" s="344" t="str">
        <f t="shared" si="88"/>
        <v>2CDS213001R0324</v>
      </c>
      <c r="P491" s="344" t="str">
        <f t="shared" si="89"/>
        <v>ITM Riel-Din 3x32A - SH203-C-32A - 10kA@230Vac, 6kA@400Vac-IEC60898 - marca ABB.</v>
      </c>
      <c r="Q491" s="195" t="str">
        <f t="shared" si="90"/>
        <v>SH203-C-32A</v>
      </c>
      <c r="R491" s="195"/>
    </row>
    <row r="492" spans="1:18" s="195" customFormat="1">
      <c r="A492" s="1108"/>
      <c r="B492" s="895"/>
      <c r="C492" s="337" t="s">
        <v>729</v>
      </c>
      <c r="D492" s="182"/>
      <c r="E492" s="1874"/>
      <c r="F492" s="1875"/>
      <c r="G492" s="891"/>
      <c r="H492" s="891"/>
      <c r="I492" s="891"/>
      <c r="J492" s="892"/>
      <c r="K492" s="843">
        <f t="shared" si="97"/>
        <v>1</v>
      </c>
      <c r="L492" s="888">
        <v>1</v>
      </c>
      <c r="M492" s="843">
        <f t="shared" si="96"/>
        <v>1</v>
      </c>
      <c r="N492" s="890" t="str">
        <f t="shared" si="87"/>
        <v/>
      </c>
      <c r="O492" s="344" t="str">
        <f t="shared" si="88"/>
        <v/>
      </c>
      <c r="P492" s="344" t="str">
        <f t="shared" si="89"/>
        <v/>
      </c>
      <c r="Q492" s="195" t="str">
        <f t="shared" si="90"/>
        <v/>
      </c>
    </row>
    <row r="493" spans="1:18" s="862" customFormat="1">
      <c r="A493" s="856"/>
      <c r="B493" s="820"/>
      <c r="C493" s="859" t="s">
        <v>3535</v>
      </c>
      <c r="D493" s="1896"/>
      <c r="E493" s="1877"/>
      <c r="F493" s="1878">
        <f>+E493*B493</f>
        <v>0</v>
      </c>
      <c r="G493" s="860"/>
      <c r="H493" s="860"/>
      <c r="I493" s="860"/>
      <c r="J493" s="861"/>
      <c r="K493" s="843">
        <f t="shared" si="97"/>
        <v>1</v>
      </c>
      <c r="L493" s="412">
        <v>1</v>
      </c>
      <c r="M493" s="843">
        <f t="shared" si="96"/>
        <v>1</v>
      </c>
      <c r="N493" s="890" t="str">
        <f t="shared" si="87"/>
        <v/>
      </c>
      <c r="O493" s="344" t="str">
        <f t="shared" si="88"/>
        <v/>
      </c>
      <c r="P493" s="344" t="str">
        <f t="shared" si="89"/>
        <v/>
      </c>
      <c r="Q493" s="195" t="str">
        <f t="shared" si="90"/>
        <v/>
      </c>
      <c r="R493" s="195"/>
    </row>
    <row r="494" spans="1:18" s="862" customFormat="1">
      <c r="A494" s="856" t="s">
        <v>3725</v>
      </c>
      <c r="B494" s="1122">
        <v>4</v>
      </c>
      <c r="C494" s="857" t="str">
        <f>VLOOKUP(D494,base_datos,6,FALSE)</f>
        <v>ITM Riel-Din 2x20A - SH202-C-20A - 10kA@230Vac, 6kA@400Vac-IEC60898 - marca ABB.</v>
      </c>
      <c r="D494" s="1894" t="s">
        <v>1060</v>
      </c>
      <c r="E494" s="1871">
        <f>VLOOKUP(D494,base_datos,5,FALSE)</f>
        <v>6.54</v>
      </c>
      <c r="F494" s="1878">
        <f>+E494*B494</f>
        <v>26.16</v>
      </c>
      <c r="G494" s="860"/>
      <c r="H494" s="860"/>
      <c r="I494" s="860"/>
      <c r="J494" s="1420"/>
      <c r="K494" s="843">
        <f t="shared" si="97"/>
        <v>1</v>
      </c>
      <c r="L494" s="412">
        <v>1</v>
      </c>
      <c r="M494" s="843">
        <f t="shared" si="96"/>
        <v>4</v>
      </c>
      <c r="N494" s="890">
        <f t="shared" si="87"/>
        <v>4</v>
      </c>
      <c r="O494" s="344" t="str">
        <f t="shared" si="88"/>
        <v>2CDS212001R0204</v>
      </c>
      <c r="P494" s="344" t="str">
        <f t="shared" si="89"/>
        <v>ITM Riel-Din 2x20A - SH202-C-20A - 10kA@230Vac, 6kA@400Vac-IEC60898 - marca ABB.</v>
      </c>
      <c r="Q494" s="195" t="str">
        <f t="shared" si="90"/>
        <v>SH202-C-20A</v>
      </c>
      <c r="R494" s="195"/>
    </row>
    <row r="495" spans="1:18" s="862" customFormat="1">
      <c r="A495" s="856" t="s">
        <v>3726</v>
      </c>
      <c r="B495" s="1122">
        <v>4</v>
      </c>
      <c r="C495" s="857" t="str">
        <f>VLOOKUP(D495,base_datos,6,FALSE)</f>
        <v>Interruptor Diferencial 2x25A - 30mA - clase AC - FH202-AC-25A-30mA - marca ABB.</v>
      </c>
      <c r="D495" s="2466" t="s">
        <v>1109</v>
      </c>
      <c r="E495" s="1871">
        <f>VLOOKUP(D495,base_datos,5,FALSE)</f>
        <v>24.41</v>
      </c>
      <c r="F495" s="1878">
        <f>+E495*B495</f>
        <v>97.64</v>
      </c>
      <c r="G495" s="860"/>
      <c r="H495" s="860"/>
      <c r="I495" s="860"/>
      <c r="J495" s="1420"/>
      <c r="K495" s="843">
        <f t="shared" si="97"/>
        <v>1</v>
      </c>
      <c r="L495" s="412">
        <v>1</v>
      </c>
      <c r="M495" s="843">
        <f t="shared" si="96"/>
        <v>4</v>
      </c>
      <c r="N495" s="890">
        <f t="shared" si="87"/>
        <v>4</v>
      </c>
      <c r="O495" s="344" t="str">
        <f t="shared" si="88"/>
        <v>1TMF202006R1250</v>
      </c>
      <c r="P495" s="344" t="str">
        <f t="shared" si="89"/>
        <v>Interruptor Diferencial 2x25A - 30mA - clase AC - FH202-AC-25A-30mA - marca ABB.</v>
      </c>
      <c r="Q495" s="195" t="str">
        <f t="shared" si="90"/>
        <v>FH202-AC-25A-30mA</v>
      </c>
      <c r="R495" s="195"/>
    </row>
    <row r="496" spans="1:18" s="2340" customFormat="1">
      <c r="A496" s="856"/>
      <c r="B496" s="2443">
        <v>2</v>
      </c>
      <c r="C496" s="2444" t="str">
        <f>VLOOKUP(D496,base_datos,6,FALSE)</f>
        <v>Espacio de reserva monofasica + interruptor diferencial - Riel-Din.</v>
      </c>
      <c r="D496" s="2468" t="s">
        <v>3069</v>
      </c>
      <c r="E496" s="2497">
        <f>VLOOKUP(D496,base_datos,5,FALSE)</f>
        <v>2.5</v>
      </c>
      <c r="F496" s="2498">
        <f>+E496*B496</f>
        <v>5</v>
      </c>
      <c r="G496" s="2338"/>
      <c r="H496" s="2338"/>
      <c r="I496" s="2338"/>
      <c r="J496" s="2339"/>
      <c r="K496" s="843">
        <f t="shared" si="97"/>
        <v>1</v>
      </c>
      <c r="L496" s="412">
        <v>1</v>
      </c>
      <c r="M496" s="843">
        <f t="shared" si="96"/>
        <v>2</v>
      </c>
      <c r="N496" s="890" t="str">
        <f t="shared" si="87"/>
        <v/>
      </c>
      <c r="O496" s="344" t="str">
        <f t="shared" si="88"/>
        <v/>
      </c>
      <c r="P496" s="344" t="str">
        <f t="shared" si="89"/>
        <v/>
      </c>
      <c r="Q496" s="195" t="str">
        <f t="shared" si="90"/>
        <v/>
      </c>
      <c r="R496" s="195"/>
    </row>
    <row r="497" spans="1:18" s="870" customFormat="1">
      <c r="A497" s="856"/>
      <c r="B497" s="866">
        <v>1</v>
      </c>
      <c r="C497" s="867" t="s">
        <v>9501</v>
      </c>
      <c r="D497" s="1896"/>
      <c r="E497" s="180">
        <v>59</v>
      </c>
      <c r="F497" s="1921">
        <f>+E497*B497</f>
        <v>59</v>
      </c>
      <c r="G497" s="868"/>
      <c r="H497" s="868"/>
      <c r="I497" s="868"/>
      <c r="J497" s="869"/>
      <c r="K497" s="843">
        <f t="shared" si="97"/>
        <v>1</v>
      </c>
      <c r="L497" s="412">
        <v>1</v>
      </c>
      <c r="M497" s="843">
        <f t="shared" si="96"/>
        <v>1</v>
      </c>
      <c r="N497" s="890" t="str">
        <f t="shared" si="87"/>
        <v/>
      </c>
      <c r="O497" s="344" t="str">
        <f t="shared" si="88"/>
        <v/>
      </c>
      <c r="P497" s="344" t="str">
        <f t="shared" si="89"/>
        <v/>
      </c>
      <c r="Q497" s="195" t="str">
        <f t="shared" si="90"/>
        <v/>
      </c>
    </row>
    <row r="498" spans="1:18" s="195" customFormat="1">
      <c r="A498" s="1873"/>
      <c r="B498" s="895"/>
      <c r="C498" s="337" t="s">
        <v>729</v>
      </c>
      <c r="D498" s="182"/>
      <c r="E498" s="1874"/>
      <c r="F498" s="1875"/>
      <c r="G498" s="891"/>
      <c r="H498" s="891"/>
      <c r="I498" s="891"/>
      <c r="J498" s="892"/>
      <c r="K498" s="843">
        <f t="shared" si="97"/>
        <v>1</v>
      </c>
      <c r="L498" s="412">
        <v>1</v>
      </c>
      <c r="M498" s="843">
        <f t="shared" si="96"/>
        <v>1</v>
      </c>
      <c r="N498" s="890" t="str">
        <f t="shared" si="87"/>
        <v/>
      </c>
      <c r="O498" s="344" t="str">
        <f t="shared" si="88"/>
        <v/>
      </c>
      <c r="P498" s="344" t="str">
        <f t="shared" si="89"/>
        <v/>
      </c>
      <c r="Q498" s="195" t="str">
        <f t="shared" si="90"/>
        <v/>
      </c>
    </row>
    <row r="499" spans="1:18" s="870" customFormat="1">
      <c r="A499" s="865"/>
      <c r="B499" s="2385">
        <v>1</v>
      </c>
      <c r="C499" s="2386" t="s">
        <v>316</v>
      </c>
      <c r="D499" s="2387"/>
      <c r="E499" s="1892"/>
      <c r="F499" s="1901"/>
      <c r="G499" s="2396"/>
      <c r="H499" s="2396"/>
      <c r="I499" s="2396"/>
      <c r="J499" s="2397"/>
      <c r="K499" s="843">
        <f t="shared" si="97"/>
        <v>1</v>
      </c>
      <c r="L499" s="412">
        <v>1</v>
      </c>
      <c r="M499" s="843">
        <f t="shared" si="96"/>
        <v>1</v>
      </c>
      <c r="N499" s="890" t="str">
        <f t="shared" si="87"/>
        <v/>
      </c>
      <c r="O499" s="344" t="str">
        <f t="shared" si="88"/>
        <v/>
      </c>
      <c r="P499" s="344" t="str">
        <f t="shared" si="89"/>
        <v/>
      </c>
      <c r="Q499" s="195" t="str">
        <f t="shared" si="90"/>
        <v/>
      </c>
      <c r="R499" s="195"/>
    </row>
    <row r="500" spans="1:18" s="195" customFormat="1">
      <c r="A500" s="1108"/>
      <c r="B500" s="895"/>
      <c r="C500" s="337" t="s">
        <v>729</v>
      </c>
      <c r="D500" s="182"/>
      <c r="E500" s="1874"/>
      <c r="F500" s="1875"/>
      <c r="G500" s="891"/>
      <c r="H500" s="891"/>
      <c r="I500" s="891"/>
      <c r="J500" s="892"/>
      <c r="K500" s="843">
        <f t="shared" si="97"/>
        <v>1</v>
      </c>
      <c r="L500" s="888">
        <v>1</v>
      </c>
      <c r="M500" s="889">
        <f t="shared" si="96"/>
        <v>1</v>
      </c>
      <c r="N500" s="890" t="str">
        <f t="shared" si="87"/>
        <v/>
      </c>
      <c r="O500" s="344" t="str">
        <f t="shared" si="88"/>
        <v/>
      </c>
      <c r="P500" s="344" t="str">
        <f t="shared" si="89"/>
        <v/>
      </c>
      <c r="Q500" s="195" t="str">
        <f t="shared" si="90"/>
        <v/>
      </c>
    </row>
    <row r="501" spans="1:18" s="1088" customFormat="1">
      <c r="A501" s="865"/>
      <c r="B501" s="1085">
        <v>4</v>
      </c>
      <c r="C501" s="904" t="str">
        <f>VLOOKUP(D501,base_datos,6,FALSE)</f>
        <v>Rotulado por circuito.</v>
      </c>
      <c r="D501" s="1881" t="s">
        <v>3210</v>
      </c>
      <c r="E501" s="1892">
        <f>VLOOKUP(D501,base_datos,5,FALSE)</f>
        <v>0.7</v>
      </c>
      <c r="F501" s="1893">
        <f>+E501*B501</f>
        <v>2.8</v>
      </c>
      <c r="G501" s="1086"/>
      <c r="H501" s="1086"/>
      <c r="I501" s="1086"/>
      <c r="J501" s="1087"/>
      <c r="K501" s="843">
        <f t="shared" si="97"/>
        <v>1</v>
      </c>
      <c r="L501" s="888">
        <v>1</v>
      </c>
      <c r="M501" s="889">
        <f t="shared" si="96"/>
        <v>4</v>
      </c>
      <c r="N501" s="890" t="str">
        <f t="shared" si="87"/>
        <v/>
      </c>
      <c r="O501" s="344" t="str">
        <f t="shared" si="88"/>
        <v/>
      </c>
      <c r="P501" s="344" t="str">
        <f t="shared" si="89"/>
        <v/>
      </c>
      <c r="Q501" s="195" t="str">
        <f t="shared" si="90"/>
        <v/>
      </c>
    </row>
    <row r="502" spans="1:18" s="1088" customFormat="1">
      <c r="A502" s="865"/>
      <c r="B502" s="1085">
        <v>1</v>
      </c>
      <c r="C502" s="904" t="str">
        <f>VLOOKUP(D502,base_datos,6,FALSE)</f>
        <v>Rotulado para TAG - tablero de distribución.</v>
      </c>
      <c r="D502" s="1881" t="s">
        <v>3209</v>
      </c>
      <c r="E502" s="1892">
        <f>VLOOKUP(D502,base_datos,5,FALSE)</f>
        <v>1.5</v>
      </c>
      <c r="F502" s="1893">
        <f>+E502*B502</f>
        <v>1.5</v>
      </c>
      <c r="G502" s="1086"/>
      <c r="H502" s="1086"/>
      <c r="I502" s="1086"/>
      <c r="J502" s="1087"/>
      <c r="K502" s="843">
        <f t="shared" si="97"/>
        <v>1</v>
      </c>
      <c r="L502" s="888">
        <v>1</v>
      </c>
      <c r="M502" s="889">
        <f t="shared" si="96"/>
        <v>1</v>
      </c>
      <c r="N502" s="890" t="str">
        <f t="shared" si="87"/>
        <v/>
      </c>
      <c r="O502" s="344" t="str">
        <f t="shared" si="88"/>
        <v/>
      </c>
      <c r="P502" s="344" t="str">
        <f t="shared" si="89"/>
        <v/>
      </c>
      <c r="Q502" s="195" t="str">
        <f t="shared" si="90"/>
        <v/>
      </c>
    </row>
    <row r="503" spans="1:18" s="1479" customFormat="1">
      <c r="A503" s="1128"/>
      <c r="B503" s="1412">
        <v>1</v>
      </c>
      <c r="C503" s="1417" t="s">
        <v>5302</v>
      </c>
      <c r="D503" s="1900"/>
      <c r="E503" s="1901">
        <f>E504*15%</f>
        <v>8.5499999999999989</v>
      </c>
      <c r="F503" s="1901">
        <f>+E503*B503</f>
        <v>8.5499999999999989</v>
      </c>
      <c r="G503" s="1902"/>
      <c r="H503" s="1902"/>
      <c r="I503" s="1902"/>
      <c r="J503" s="1414"/>
      <c r="K503" s="889">
        <f>K501</f>
        <v>1</v>
      </c>
      <c r="L503" s="888">
        <v>1</v>
      </c>
      <c r="M503" s="889">
        <f t="shared" si="96"/>
        <v>1</v>
      </c>
      <c r="N503" s="890" t="str">
        <f t="shared" si="87"/>
        <v/>
      </c>
      <c r="O503" s="344" t="str">
        <f t="shared" si="88"/>
        <v/>
      </c>
      <c r="P503" s="344" t="str">
        <f t="shared" si="89"/>
        <v/>
      </c>
      <c r="Q503" s="195" t="str">
        <f t="shared" si="90"/>
        <v/>
      </c>
    </row>
    <row r="504" spans="1:18" s="1479" customFormat="1">
      <c r="A504" s="1128"/>
      <c r="B504" s="2499">
        <v>1</v>
      </c>
      <c r="C504" s="867" t="s">
        <v>14186</v>
      </c>
      <c r="D504" s="2500"/>
      <c r="E504" s="1892">
        <v>57</v>
      </c>
      <c r="F504" s="1921">
        <f>+E504*B504</f>
        <v>57</v>
      </c>
      <c r="G504" s="1413"/>
      <c r="H504" s="1413"/>
      <c r="I504" s="1413"/>
      <c r="J504" s="1414"/>
      <c r="K504" s="843">
        <f>K502</f>
        <v>1</v>
      </c>
      <c r="L504" s="888">
        <v>1</v>
      </c>
      <c r="M504" s="889">
        <f t="shared" si="96"/>
        <v>1</v>
      </c>
      <c r="N504" s="890" t="str">
        <f t="shared" si="87"/>
        <v/>
      </c>
      <c r="O504" s="344" t="str">
        <f t="shared" si="88"/>
        <v/>
      </c>
      <c r="P504" s="344" t="str">
        <f t="shared" si="89"/>
        <v/>
      </c>
      <c r="Q504" s="195" t="str">
        <f t="shared" si="90"/>
        <v/>
      </c>
    </row>
    <row r="505" spans="1:18" s="126" customFormat="1" ht="13.5" thickBot="1">
      <c r="A505" s="1106"/>
      <c r="B505" s="1916"/>
      <c r="C505" s="1909"/>
      <c r="D505" s="1917"/>
      <c r="E505" s="873"/>
      <c r="F505" s="873"/>
      <c r="G505" s="1918"/>
      <c r="H505" s="1918"/>
      <c r="I505" s="1918"/>
      <c r="J505" s="1910"/>
      <c r="K505" s="1119"/>
      <c r="L505" s="412"/>
      <c r="M505" s="843"/>
      <c r="N505" s="890" t="str">
        <f t="shared" si="87"/>
        <v/>
      </c>
      <c r="O505" s="344" t="str">
        <f t="shared" si="88"/>
        <v/>
      </c>
      <c r="P505" s="344" t="str">
        <f t="shared" si="89"/>
        <v/>
      </c>
      <c r="Q505" s="195" t="str">
        <f t="shared" si="90"/>
        <v/>
      </c>
      <c r="R505" s="195"/>
    </row>
    <row r="506" spans="1:18" s="126" customFormat="1" ht="13.5" thickBot="1">
      <c r="A506" s="1923">
        <v>16</v>
      </c>
      <c r="B506" s="1920">
        <v>1</v>
      </c>
      <c r="C506" s="846" t="s">
        <v>14187</v>
      </c>
      <c r="D506" s="2495"/>
      <c r="E506" s="2496"/>
      <c r="F506" s="2496"/>
      <c r="G506" s="849">
        <f>SUM(F507:F524)</f>
        <v>666.01</v>
      </c>
      <c r="H506" s="1161">
        <f>G506*(1-$D$6)</f>
        <v>499.50749999999999</v>
      </c>
      <c r="I506" s="849">
        <f>ROUNDUP(H506*$D$5,0)</f>
        <v>1699</v>
      </c>
      <c r="J506" s="850">
        <f>+I506*B506</f>
        <v>1699</v>
      </c>
      <c r="K506" s="851">
        <f>B506</f>
        <v>1</v>
      </c>
      <c r="L506" s="412"/>
      <c r="M506" s="843"/>
      <c r="N506" s="890" t="str">
        <f t="shared" si="87"/>
        <v/>
      </c>
      <c r="O506" s="344" t="str">
        <f t="shared" si="88"/>
        <v/>
      </c>
      <c r="P506" s="344" t="str">
        <f t="shared" si="89"/>
        <v/>
      </c>
      <c r="Q506" s="195" t="str">
        <f t="shared" si="90"/>
        <v/>
      </c>
      <c r="R506" s="195"/>
    </row>
    <row r="507" spans="1:18" s="126" customFormat="1">
      <c r="A507" s="852" t="s">
        <v>3207</v>
      </c>
      <c r="B507" s="1418"/>
      <c r="C507" s="853"/>
      <c r="D507" s="1911"/>
      <c r="E507" s="1890"/>
      <c r="F507" s="1890"/>
      <c r="G507" s="854"/>
      <c r="H507" s="854"/>
      <c r="I507" s="854"/>
      <c r="J507" s="855"/>
      <c r="K507" s="843">
        <f>K506</f>
        <v>1</v>
      </c>
      <c r="L507" s="412">
        <v>1</v>
      </c>
      <c r="M507" s="843">
        <f>IF(B507="",1,B507)</f>
        <v>1</v>
      </c>
      <c r="N507" s="890" t="str">
        <f t="shared" si="87"/>
        <v/>
      </c>
      <c r="O507" s="344" t="str">
        <f t="shared" si="88"/>
        <v/>
      </c>
      <c r="P507" s="344" t="str">
        <f t="shared" si="89"/>
        <v/>
      </c>
      <c r="Q507" s="195" t="str">
        <f t="shared" si="90"/>
        <v/>
      </c>
      <c r="R507" s="195"/>
    </row>
    <row r="508" spans="1:18" s="126" customFormat="1">
      <c r="A508" s="856" t="s">
        <v>9504</v>
      </c>
      <c r="B508" s="1122"/>
      <c r="C508" s="1419" t="s">
        <v>3301</v>
      </c>
      <c r="D508" s="1891"/>
      <c r="E508" s="1878"/>
      <c r="F508" s="1878"/>
      <c r="G508" s="854"/>
      <c r="H508" s="854"/>
      <c r="I508" s="854"/>
      <c r="J508" s="858"/>
      <c r="K508" s="843">
        <f>K507</f>
        <v>1</v>
      </c>
      <c r="L508" s="412">
        <v>1</v>
      </c>
      <c r="M508" s="843">
        <f t="shared" ref="M508:M524" si="98">IF(B508="",1,B508)</f>
        <v>1</v>
      </c>
      <c r="N508" s="890" t="str">
        <f t="shared" si="87"/>
        <v/>
      </c>
      <c r="O508" s="344" t="str">
        <f t="shared" si="88"/>
        <v/>
      </c>
      <c r="P508" s="344" t="str">
        <f t="shared" si="89"/>
        <v/>
      </c>
      <c r="Q508" s="195" t="str">
        <f t="shared" si="90"/>
        <v/>
      </c>
      <c r="R508" s="195"/>
    </row>
    <row r="509" spans="1:18" s="862" customFormat="1">
      <c r="A509" s="856" t="s">
        <v>4321</v>
      </c>
      <c r="B509" s="1122">
        <v>1</v>
      </c>
      <c r="C509" s="857" t="str">
        <f>VLOOKUP(D509,base_datos,6,FALSE)</f>
        <v>ITM Caja Moldeada 3x160A (reg.[0.7-1.0] In) - XT1B160-160A-3P-TMD - 25kA@230Vac, 18kA@415Vac, 18kA@250Vdc - marca ABB.</v>
      </c>
      <c r="D509" s="182" t="s">
        <v>4562</v>
      </c>
      <c r="E509" s="1871">
        <f>VLOOKUP(D509,base_datos,5,FALSE)</f>
        <v>148.13</v>
      </c>
      <c r="F509" s="1878">
        <f>+E509*B509</f>
        <v>148.13</v>
      </c>
      <c r="G509" s="860"/>
      <c r="H509" s="860"/>
      <c r="I509" s="860"/>
      <c r="J509" s="861"/>
      <c r="K509" s="843">
        <f t="shared" ref="K509:K522" si="99">K508</f>
        <v>1</v>
      </c>
      <c r="L509" s="412">
        <v>1</v>
      </c>
      <c r="M509" s="843">
        <f t="shared" si="98"/>
        <v>1</v>
      </c>
      <c r="N509" s="890">
        <f t="shared" si="87"/>
        <v>1</v>
      </c>
      <c r="O509" s="344" t="str">
        <f t="shared" si="88"/>
        <v>1SDA066809R1</v>
      </c>
      <c r="P509" s="344" t="str">
        <f t="shared" si="89"/>
        <v>ITM Caja Moldeada 3x160A (reg.[0.7-1.0] In) - XT1B160-160A-3P-TMD - 25kA@230Vac, 18kA@415Vac, 18kA@250Vdc - marca ABB.</v>
      </c>
      <c r="Q509" s="195" t="str">
        <f t="shared" si="90"/>
        <v>XT1B160-160A-3P-TMD</v>
      </c>
      <c r="R509" s="195"/>
    </row>
    <row r="510" spans="1:18" s="195" customFormat="1">
      <c r="A510" s="856"/>
      <c r="B510" s="895"/>
      <c r="C510" s="337" t="s">
        <v>729</v>
      </c>
      <c r="D510" s="182"/>
      <c r="E510" s="1874"/>
      <c r="F510" s="1875"/>
      <c r="G510" s="891"/>
      <c r="H510" s="891"/>
      <c r="I510" s="891"/>
      <c r="J510" s="892"/>
      <c r="K510" s="843">
        <f>K509</f>
        <v>1</v>
      </c>
      <c r="L510" s="888">
        <v>1</v>
      </c>
      <c r="M510" s="843">
        <f t="shared" si="98"/>
        <v>1</v>
      </c>
      <c r="N510" s="890" t="str">
        <f t="shared" si="87"/>
        <v/>
      </c>
      <c r="O510" s="344" t="str">
        <f t="shared" si="88"/>
        <v/>
      </c>
      <c r="P510" s="344" t="str">
        <f t="shared" si="89"/>
        <v/>
      </c>
      <c r="Q510" s="195" t="str">
        <f t="shared" si="90"/>
        <v/>
      </c>
    </row>
    <row r="511" spans="1:18" s="862" customFormat="1">
      <c r="A511" s="856" t="s">
        <v>3725</v>
      </c>
      <c r="B511" s="820"/>
      <c r="C511" s="859" t="s">
        <v>3535</v>
      </c>
      <c r="D511" s="1896"/>
      <c r="E511" s="1877"/>
      <c r="F511" s="1878"/>
      <c r="G511" s="860"/>
      <c r="H511" s="860"/>
      <c r="I511" s="860"/>
      <c r="J511" s="861"/>
      <c r="K511" s="843">
        <f t="shared" si="99"/>
        <v>1</v>
      </c>
      <c r="L511" s="412">
        <v>1</v>
      </c>
      <c r="M511" s="843">
        <f t="shared" si="98"/>
        <v>1</v>
      </c>
      <c r="N511" s="890" t="str">
        <f t="shared" si="87"/>
        <v/>
      </c>
      <c r="O511" s="344" t="str">
        <f t="shared" si="88"/>
        <v/>
      </c>
      <c r="P511" s="344" t="str">
        <f t="shared" si="89"/>
        <v/>
      </c>
      <c r="Q511" s="195" t="str">
        <f t="shared" si="90"/>
        <v/>
      </c>
      <c r="R511" s="195"/>
    </row>
    <row r="512" spans="1:18" s="862" customFormat="1">
      <c r="A512" s="856" t="s">
        <v>3726</v>
      </c>
      <c r="B512" s="1122">
        <v>1</v>
      </c>
      <c r="C512" s="857" t="str">
        <f>VLOOKUP(D512,base_datos,6,FALSE)</f>
        <v>ITM Caja Moldeada 3x125A (reg.[0.7-1.0] In) - XT1B160-125A-3P-TMD - 25kA@230Vac, 18kA@415Vac, 18kA@250Vdc - marca ABB.</v>
      </c>
      <c r="D512" s="182" t="s">
        <v>4560</v>
      </c>
      <c r="E512" s="1871">
        <f>VLOOKUP(D512,base_datos,5,FALSE)</f>
        <v>132.09</v>
      </c>
      <c r="F512" s="1878">
        <f t="shared" ref="F512:F517" si="100">+E512*B512</f>
        <v>132.09</v>
      </c>
      <c r="G512" s="860"/>
      <c r="H512" s="860"/>
      <c r="I512" s="860"/>
      <c r="J512" s="1420"/>
      <c r="K512" s="843">
        <f t="shared" si="99"/>
        <v>1</v>
      </c>
      <c r="L512" s="412">
        <v>1</v>
      </c>
      <c r="M512" s="843">
        <f t="shared" si="98"/>
        <v>1</v>
      </c>
      <c r="N512" s="890">
        <f t="shared" si="87"/>
        <v>1</v>
      </c>
      <c r="O512" s="344" t="str">
        <f t="shared" si="88"/>
        <v>1SDA066808R1</v>
      </c>
      <c r="P512" s="344" t="str">
        <f t="shared" si="89"/>
        <v>ITM Caja Moldeada 3x125A (reg.[0.7-1.0] In) - XT1B160-125A-3P-TMD - 25kA@230Vac, 18kA@415Vac, 18kA@250Vdc - marca ABB.</v>
      </c>
      <c r="Q512" s="195" t="str">
        <f t="shared" si="90"/>
        <v>XT1B160-125A-3P-TMD</v>
      </c>
      <c r="R512" s="195"/>
    </row>
    <row r="513" spans="1:18" s="862" customFormat="1">
      <c r="A513" s="856"/>
      <c r="B513" s="1122">
        <v>1</v>
      </c>
      <c r="C513" s="857" t="str">
        <f>VLOOKUP(D513,base_datos,6,FALSE)</f>
        <v>ITM Riel-Din 3x63A - SH203-C-63A - 10kA@230Vac, 6kA@400Vac-IEC60898 - marca ABB.</v>
      </c>
      <c r="D513" s="1894" t="s">
        <v>1072</v>
      </c>
      <c r="E513" s="1871">
        <f>VLOOKUP(D513,base_datos,5,FALSE)</f>
        <v>21.360000000000003</v>
      </c>
      <c r="F513" s="1878">
        <f t="shared" si="100"/>
        <v>21.360000000000003</v>
      </c>
      <c r="G513" s="860"/>
      <c r="H513" s="860"/>
      <c r="I513" s="860"/>
      <c r="J513" s="1420"/>
      <c r="K513" s="843">
        <f t="shared" si="99"/>
        <v>1</v>
      </c>
      <c r="L513" s="412">
        <v>1</v>
      </c>
      <c r="M513" s="843">
        <f t="shared" si="98"/>
        <v>1</v>
      </c>
      <c r="N513" s="890">
        <f t="shared" si="87"/>
        <v>1</v>
      </c>
      <c r="O513" s="344" t="str">
        <f t="shared" si="88"/>
        <v>2CDS213001R0634</v>
      </c>
      <c r="P513" s="344" t="str">
        <f t="shared" si="89"/>
        <v>ITM Riel-Din 3x63A - SH203-C-63A - 10kA@230Vac, 6kA@400Vac-IEC60898 - marca ABB.</v>
      </c>
      <c r="Q513" s="195" t="str">
        <f t="shared" si="90"/>
        <v>SH203-C-63A</v>
      </c>
      <c r="R513" s="195"/>
    </row>
    <row r="514" spans="1:18" s="862" customFormat="1">
      <c r="A514" s="856"/>
      <c r="B514" s="1122">
        <v>1</v>
      </c>
      <c r="C514" s="857" t="str">
        <f>VLOOKUP(D514,base_datos,6,FALSE)</f>
        <v>ITM Riel-Din 3x20A - SH203-C-20A - 10kA@230Vac, 6kA@400Vac-IEC60898 - marca ABB.</v>
      </c>
      <c r="D514" s="1894" t="s">
        <v>1067</v>
      </c>
      <c r="E514" s="1871">
        <f>VLOOKUP(D514,base_datos,5,FALSE)</f>
        <v>14.34</v>
      </c>
      <c r="F514" s="1878">
        <f t="shared" si="100"/>
        <v>14.34</v>
      </c>
      <c r="G514" s="860"/>
      <c r="H514" s="860"/>
      <c r="I514" s="860"/>
      <c r="J514" s="1420"/>
      <c r="K514" s="843">
        <f t="shared" si="99"/>
        <v>1</v>
      </c>
      <c r="L514" s="412">
        <v>1</v>
      </c>
      <c r="M514" s="843">
        <f t="shared" si="98"/>
        <v>1</v>
      </c>
      <c r="N514" s="890">
        <f t="shared" si="87"/>
        <v>1</v>
      </c>
      <c r="O514" s="344" t="str">
        <f t="shared" si="88"/>
        <v>2CDS213001R0204</v>
      </c>
      <c r="P514" s="344" t="str">
        <f t="shared" si="89"/>
        <v>ITM Riel-Din 3x20A - SH203-C-20A - 10kA@230Vac, 6kA@400Vac-IEC60898 - marca ABB.</v>
      </c>
      <c r="Q514" s="195" t="str">
        <f t="shared" si="90"/>
        <v>SH203-C-20A</v>
      </c>
      <c r="R514" s="195"/>
    </row>
    <row r="515" spans="1:18" s="862" customFormat="1">
      <c r="A515" s="856"/>
      <c r="B515" s="1122">
        <v>1</v>
      </c>
      <c r="C515" s="857" t="str">
        <f>VLOOKUP(D515,base_datos,6,FALSE)</f>
        <v>ITM Riel-Din 2x40A - SH202-C-40A - 10kA@230Vac, 6kA@400Vac-IEC60898 - marca ABB.</v>
      </c>
      <c r="D515" s="1894" t="s">
        <v>1063</v>
      </c>
      <c r="E515" s="1871">
        <f>VLOOKUP(D515,base_datos,5,FALSE)</f>
        <v>8.09</v>
      </c>
      <c r="F515" s="1878">
        <f t="shared" si="100"/>
        <v>8.09</v>
      </c>
      <c r="G515" s="860"/>
      <c r="H515" s="860"/>
      <c r="I515" s="860"/>
      <c r="J515" s="1420"/>
      <c r="K515" s="843">
        <f t="shared" si="99"/>
        <v>1</v>
      </c>
      <c r="L515" s="412">
        <v>1</v>
      </c>
      <c r="M515" s="843">
        <f t="shared" si="98"/>
        <v>1</v>
      </c>
      <c r="N515" s="890">
        <f t="shared" si="87"/>
        <v>1</v>
      </c>
      <c r="O515" s="344" t="str">
        <f t="shared" si="88"/>
        <v>2CDS212001R0404</v>
      </c>
      <c r="P515" s="344" t="str">
        <f t="shared" si="89"/>
        <v>ITM Riel-Din 2x40A - SH202-C-40A - 10kA@230Vac, 6kA@400Vac-IEC60898 - marca ABB.</v>
      </c>
      <c r="Q515" s="195" t="str">
        <f t="shared" si="90"/>
        <v>SH202-C-40A</v>
      </c>
      <c r="R515" s="195"/>
    </row>
    <row r="516" spans="1:18" s="2340" customFormat="1">
      <c r="A516" s="856"/>
      <c r="B516" s="2443">
        <v>2</v>
      </c>
      <c r="C516" s="2444" t="str">
        <f>VLOOKUP(D516,base_datos,6,FALSE)</f>
        <v>Espacio de reserva trifásica - Caja moldeada.</v>
      </c>
      <c r="D516" s="2468" t="s">
        <v>3075</v>
      </c>
      <c r="E516" s="2497">
        <f>VLOOKUP(D516,base_datos,5,FALSE)</f>
        <v>15</v>
      </c>
      <c r="F516" s="2498">
        <f t="shared" si="100"/>
        <v>30</v>
      </c>
      <c r="G516" s="2338"/>
      <c r="H516" s="2338"/>
      <c r="I516" s="2338"/>
      <c r="J516" s="2339"/>
      <c r="K516" s="843">
        <f t="shared" si="99"/>
        <v>1</v>
      </c>
      <c r="L516" s="412">
        <v>1</v>
      </c>
      <c r="M516" s="843">
        <f t="shared" si="98"/>
        <v>2</v>
      </c>
      <c r="N516" s="890" t="str">
        <f t="shared" si="87"/>
        <v/>
      </c>
      <c r="O516" s="344" t="str">
        <f t="shared" si="88"/>
        <v/>
      </c>
      <c r="P516" s="344" t="str">
        <f t="shared" si="89"/>
        <v/>
      </c>
      <c r="Q516" s="195" t="str">
        <f t="shared" si="90"/>
        <v/>
      </c>
      <c r="R516" s="195"/>
    </row>
    <row r="517" spans="1:18" s="870" customFormat="1">
      <c r="A517" s="1873"/>
      <c r="B517" s="866">
        <v>1</v>
      </c>
      <c r="C517" s="867" t="s">
        <v>9501</v>
      </c>
      <c r="D517" s="1896"/>
      <c r="E517" s="180">
        <v>100</v>
      </c>
      <c r="F517" s="1921">
        <f t="shared" si="100"/>
        <v>100</v>
      </c>
      <c r="G517" s="868"/>
      <c r="H517" s="868"/>
      <c r="I517" s="868"/>
      <c r="J517" s="869"/>
      <c r="K517" s="843">
        <f t="shared" si="99"/>
        <v>1</v>
      </c>
      <c r="L517" s="412">
        <v>1</v>
      </c>
      <c r="M517" s="843">
        <f t="shared" si="98"/>
        <v>1</v>
      </c>
      <c r="N517" s="890" t="str">
        <f t="shared" si="87"/>
        <v/>
      </c>
      <c r="O517" s="344" t="str">
        <f t="shared" si="88"/>
        <v/>
      </c>
      <c r="P517" s="344" t="str">
        <f t="shared" si="89"/>
        <v/>
      </c>
      <c r="Q517" s="195" t="str">
        <f t="shared" si="90"/>
        <v/>
      </c>
    </row>
    <row r="518" spans="1:18" s="195" customFormat="1">
      <c r="A518" s="856"/>
      <c r="B518" s="895"/>
      <c r="C518" s="337" t="s">
        <v>729</v>
      </c>
      <c r="D518" s="182"/>
      <c r="E518" s="1874"/>
      <c r="F518" s="1875"/>
      <c r="G518" s="891"/>
      <c r="H518" s="891"/>
      <c r="I518" s="891"/>
      <c r="J518" s="892"/>
      <c r="K518" s="843">
        <f t="shared" si="99"/>
        <v>1</v>
      </c>
      <c r="L518" s="412">
        <v>1</v>
      </c>
      <c r="M518" s="843">
        <f t="shared" si="98"/>
        <v>1</v>
      </c>
      <c r="N518" s="890" t="str">
        <f t="shared" si="87"/>
        <v/>
      </c>
      <c r="O518" s="344" t="str">
        <f t="shared" si="88"/>
        <v/>
      </c>
      <c r="P518" s="344" t="str">
        <f t="shared" si="89"/>
        <v/>
      </c>
      <c r="Q518" s="195" t="str">
        <f t="shared" si="90"/>
        <v/>
      </c>
    </row>
    <row r="519" spans="1:18" s="870" customFormat="1">
      <c r="A519" s="865"/>
      <c r="B519" s="2385">
        <v>1</v>
      </c>
      <c r="C519" s="2386" t="s">
        <v>316</v>
      </c>
      <c r="D519" s="2387"/>
      <c r="E519" s="1892"/>
      <c r="F519" s="1901"/>
      <c r="G519" s="2396"/>
      <c r="H519" s="2396"/>
      <c r="I519" s="2396"/>
      <c r="J519" s="2397"/>
      <c r="K519" s="843">
        <f t="shared" si="99"/>
        <v>1</v>
      </c>
      <c r="L519" s="412">
        <v>1</v>
      </c>
      <c r="M519" s="843">
        <f t="shared" si="98"/>
        <v>1</v>
      </c>
      <c r="N519" s="890" t="str">
        <f t="shared" si="87"/>
        <v/>
      </c>
      <c r="O519" s="344" t="str">
        <f t="shared" si="88"/>
        <v/>
      </c>
      <c r="P519" s="344" t="str">
        <f t="shared" si="89"/>
        <v/>
      </c>
      <c r="Q519" s="195" t="str">
        <f t="shared" si="90"/>
        <v/>
      </c>
      <c r="R519" s="195"/>
    </row>
    <row r="520" spans="1:18" s="195" customFormat="1">
      <c r="A520" s="1108"/>
      <c r="B520" s="895"/>
      <c r="C520" s="337" t="s">
        <v>729</v>
      </c>
      <c r="D520" s="182"/>
      <c r="E520" s="1874"/>
      <c r="F520" s="1875"/>
      <c r="G520" s="891"/>
      <c r="H520" s="891"/>
      <c r="I520" s="891"/>
      <c r="J520" s="892"/>
      <c r="K520" s="843">
        <f t="shared" si="99"/>
        <v>1</v>
      </c>
      <c r="L520" s="888">
        <v>1</v>
      </c>
      <c r="M520" s="889">
        <f t="shared" si="98"/>
        <v>1</v>
      </c>
      <c r="N520" s="890" t="str">
        <f t="shared" si="87"/>
        <v/>
      </c>
      <c r="O520" s="344" t="str">
        <f t="shared" si="88"/>
        <v/>
      </c>
      <c r="P520" s="344" t="str">
        <f t="shared" si="89"/>
        <v/>
      </c>
      <c r="Q520" s="195" t="str">
        <f t="shared" si="90"/>
        <v/>
      </c>
    </row>
    <row r="521" spans="1:18" s="1088" customFormat="1">
      <c r="A521" s="865"/>
      <c r="B521" s="1085">
        <v>5</v>
      </c>
      <c r="C521" s="904" t="str">
        <f>VLOOKUP(D521,base_datos,6,FALSE)</f>
        <v>Rotulado por circuito.</v>
      </c>
      <c r="D521" s="1881" t="s">
        <v>3210</v>
      </c>
      <c r="E521" s="1892">
        <f>VLOOKUP(D521,base_datos,5,FALSE)</f>
        <v>0.7</v>
      </c>
      <c r="F521" s="1893">
        <f>+E521*B521</f>
        <v>3.5</v>
      </c>
      <c r="G521" s="1086"/>
      <c r="H521" s="1086"/>
      <c r="I521" s="1086"/>
      <c r="J521" s="1087"/>
      <c r="K521" s="843">
        <f t="shared" si="99"/>
        <v>1</v>
      </c>
      <c r="L521" s="888">
        <v>1</v>
      </c>
      <c r="M521" s="889">
        <f t="shared" si="98"/>
        <v>5</v>
      </c>
      <c r="N521" s="890" t="str">
        <f t="shared" si="87"/>
        <v/>
      </c>
      <c r="O521" s="344" t="str">
        <f t="shared" si="88"/>
        <v/>
      </c>
      <c r="P521" s="344" t="str">
        <f t="shared" si="89"/>
        <v/>
      </c>
      <c r="Q521" s="195" t="str">
        <f t="shared" si="90"/>
        <v/>
      </c>
    </row>
    <row r="522" spans="1:18" s="1088" customFormat="1">
      <c r="A522" s="865"/>
      <c r="B522" s="1085">
        <v>1</v>
      </c>
      <c r="C522" s="904" t="str">
        <f>VLOOKUP(D522,base_datos,6,FALSE)</f>
        <v>Rotulado para TAG - tablero de distribución.</v>
      </c>
      <c r="D522" s="1881" t="s">
        <v>3209</v>
      </c>
      <c r="E522" s="1892">
        <f>VLOOKUP(D522,base_datos,5,FALSE)</f>
        <v>1.5</v>
      </c>
      <c r="F522" s="1893">
        <f>+E522*B522</f>
        <v>1.5</v>
      </c>
      <c r="G522" s="1086"/>
      <c r="H522" s="1086"/>
      <c r="I522" s="1086"/>
      <c r="J522" s="1087"/>
      <c r="K522" s="843">
        <f t="shared" si="99"/>
        <v>1</v>
      </c>
      <c r="L522" s="888">
        <v>1</v>
      </c>
      <c r="M522" s="889">
        <f t="shared" si="98"/>
        <v>1</v>
      </c>
      <c r="N522" s="890" t="str">
        <f t="shared" si="87"/>
        <v/>
      </c>
      <c r="O522" s="344" t="str">
        <f t="shared" si="88"/>
        <v/>
      </c>
      <c r="P522" s="344" t="str">
        <f t="shared" si="89"/>
        <v/>
      </c>
      <c r="Q522" s="195" t="str">
        <f t="shared" si="90"/>
        <v/>
      </c>
    </row>
    <row r="523" spans="1:18" s="1479" customFormat="1">
      <c r="A523" s="1128"/>
      <c r="B523" s="1412">
        <v>1</v>
      </c>
      <c r="C523" s="1417" t="s">
        <v>5302</v>
      </c>
      <c r="D523" s="1900"/>
      <c r="E523" s="1901">
        <f>E524*15%</f>
        <v>27</v>
      </c>
      <c r="F523" s="1901">
        <f>+E523*B523</f>
        <v>27</v>
      </c>
      <c r="G523" s="1902"/>
      <c r="H523" s="1902"/>
      <c r="I523" s="1902"/>
      <c r="J523" s="1414"/>
      <c r="K523" s="889">
        <f>K521</f>
        <v>1</v>
      </c>
      <c r="L523" s="888">
        <v>1</v>
      </c>
      <c r="M523" s="889">
        <f t="shared" si="98"/>
        <v>1</v>
      </c>
      <c r="N523" s="890" t="str">
        <f t="shared" si="87"/>
        <v/>
      </c>
      <c r="O523" s="344" t="str">
        <f t="shared" si="88"/>
        <v/>
      </c>
      <c r="P523" s="344" t="str">
        <f t="shared" si="89"/>
        <v/>
      </c>
      <c r="Q523" s="195" t="str">
        <f t="shared" si="90"/>
        <v/>
      </c>
    </row>
    <row r="524" spans="1:18" s="1479" customFormat="1">
      <c r="A524" s="1128"/>
      <c r="B524" s="2499">
        <v>1</v>
      </c>
      <c r="C524" s="867" t="s">
        <v>14188</v>
      </c>
      <c r="D524" s="2500"/>
      <c r="E524" s="1892">
        <f>150+30</f>
        <v>180</v>
      </c>
      <c r="F524" s="1921">
        <f>+E524*B524</f>
        <v>180</v>
      </c>
      <c r="G524" s="1413"/>
      <c r="H524" s="1413"/>
      <c r="I524" s="1413"/>
      <c r="J524" s="1414"/>
      <c r="K524" s="843">
        <f>K522</f>
        <v>1</v>
      </c>
      <c r="L524" s="888">
        <v>1</v>
      </c>
      <c r="M524" s="889">
        <f t="shared" si="98"/>
        <v>1</v>
      </c>
      <c r="N524" s="890" t="str">
        <f t="shared" si="87"/>
        <v/>
      </c>
      <c r="O524" s="344" t="str">
        <f t="shared" si="88"/>
        <v/>
      </c>
      <c r="P524" s="344" t="str">
        <f t="shared" si="89"/>
        <v/>
      </c>
      <c r="Q524" s="195" t="str">
        <f t="shared" si="90"/>
        <v/>
      </c>
    </row>
    <row r="525" spans="1:18" s="126" customFormat="1" ht="13.5" thickBot="1">
      <c r="A525" s="2331"/>
      <c r="B525" s="1916"/>
      <c r="C525" s="1909"/>
      <c r="D525" s="1917"/>
      <c r="E525" s="873"/>
      <c r="F525" s="873"/>
      <c r="G525" s="1918"/>
      <c r="H525" s="1918"/>
      <c r="I525" s="1918"/>
      <c r="J525" s="1910"/>
      <c r="K525" s="1119"/>
      <c r="L525" s="412"/>
      <c r="M525" s="843"/>
      <c r="N525" s="890" t="str">
        <f t="shared" ref="N525:N588" si="101">IF(O525&lt;&gt;"",K525*L525*M525,"")</f>
        <v/>
      </c>
      <c r="O525" s="344" t="str">
        <f t="shared" si="88"/>
        <v/>
      </c>
      <c r="P525" s="344" t="str">
        <f t="shared" si="89"/>
        <v/>
      </c>
      <c r="Q525" s="195" t="str">
        <f t="shared" si="90"/>
        <v/>
      </c>
      <c r="R525" s="195"/>
    </row>
    <row r="526" spans="1:18" s="126" customFormat="1" ht="13.5" thickBot="1">
      <c r="A526" s="1923">
        <v>17</v>
      </c>
      <c r="B526" s="1920">
        <v>1</v>
      </c>
      <c r="C526" s="846" t="s">
        <v>14189</v>
      </c>
      <c r="D526" s="2495"/>
      <c r="E526" s="2496"/>
      <c r="F526" s="2496"/>
      <c r="G526" s="849">
        <f>SUM(F527:F553)</f>
        <v>948.8195599999998</v>
      </c>
      <c r="H526" s="1161">
        <f>G526*(1-$D$6)</f>
        <v>711.61466999999982</v>
      </c>
      <c r="I526" s="849">
        <f>ROUNDUP(H526*$D$5,0)</f>
        <v>2420</v>
      </c>
      <c r="J526" s="850">
        <f>+I526*B526</f>
        <v>2420</v>
      </c>
      <c r="K526" s="851">
        <f>B526</f>
        <v>1</v>
      </c>
      <c r="L526" s="412"/>
      <c r="M526" s="843"/>
      <c r="N526" s="890" t="str">
        <f t="shared" si="101"/>
        <v/>
      </c>
      <c r="O526" s="344" t="str">
        <f t="shared" si="88"/>
        <v/>
      </c>
      <c r="P526" s="344" t="str">
        <f t="shared" si="89"/>
        <v/>
      </c>
      <c r="Q526" s="195" t="str">
        <f t="shared" si="90"/>
        <v/>
      </c>
      <c r="R526" s="195"/>
    </row>
    <row r="527" spans="1:18" s="126" customFormat="1">
      <c r="A527" s="852" t="s">
        <v>3207</v>
      </c>
      <c r="B527" s="1418"/>
      <c r="C527" s="853"/>
      <c r="D527" s="1911"/>
      <c r="E527" s="1890"/>
      <c r="F527" s="1890"/>
      <c r="G527" s="854"/>
      <c r="H527" s="854"/>
      <c r="I527" s="854"/>
      <c r="J527" s="855"/>
      <c r="K527" s="843">
        <f>K526</f>
        <v>1</v>
      </c>
      <c r="L527" s="412">
        <v>1</v>
      </c>
      <c r="M527" s="843">
        <f>IF(B527="",1,B527)</f>
        <v>1</v>
      </c>
      <c r="N527" s="890" t="str">
        <f t="shared" si="101"/>
        <v/>
      </c>
      <c r="O527" s="344" t="str">
        <f t="shared" ref="O527:O590" si="102">IF(D527&lt;&gt;"",IF(VLOOKUP(D527,base_datos,7,FALSE)&lt;&gt;"",VLOOKUP(D527,base_datos,7,FALSE),""),"")</f>
        <v/>
      </c>
      <c r="P527" s="344" t="str">
        <f t="shared" ref="P527:P590" si="103">IF(O527&lt;&gt;"",VLOOKUP(D527,base_datos,6,FALSE),"")</f>
        <v/>
      </c>
      <c r="Q527" s="195" t="str">
        <f t="shared" ref="Q527:Q590" si="104">IF(O527&lt;&gt;"",D527,"")</f>
        <v/>
      </c>
      <c r="R527" s="195"/>
    </row>
    <row r="528" spans="1:18" s="126" customFormat="1">
      <c r="A528" s="856" t="s">
        <v>4059</v>
      </c>
      <c r="B528" s="1122"/>
      <c r="C528" s="1419" t="s">
        <v>3301</v>
      </c>
      <c r="D528" s="1891"/>
      <c r="E528" s="1878"/>
      <c r="F528" s="1878"/>
      <c r="G528" s="854"/>
      <c r="H528" s="854"/>
      <c r="I528" s="854"/>
      <c r="J528" s="858"/>
      <c r="K528" s="843">
        <f>K527</f>
        <v>1</v>
      </c>
      <c r="L528" s="412">
        <v>1</v>
      </c>
      <c r="M528" s="843">
        <f t="shared" ref="M528:M553" si="105">IF(B528="",1,B528)</f>
        <v>1</v>
      </c>
      <c r="N528" s="890" t="str">
        <f t="shared" si="101"/>
        <v/>
      </c>
      <c r="O528" s="344" t="str">
        <f t="shared" si="102"/>
        <v/>
      </c>
      <c r="P528" s="344" t="str">
        <f t="shared" si="103"/>
        <v/>
      </c>
      <c r="Q528" s="195" t="str">
        <f t="shared" si="104"/>
        <v/>
      </c>
      <c r="R528" s="195"/>
    </row>
    <row r="529" spans="1:18" s="862" customFormat="1">
      <c r="A529" s="856" t="s">
        <v>4321</v>
      </c>
      <c r="B529" s="1122">
        <v>1</v>
      </c>
      <c r="C529" s="857" t="str">
        <f>VLOOKUP(D529,base_datos,6,FALSE)</f>
        <v>ITM Riel-Din 3x32A - SH203-C-32A - 10kA@230Vac, 6kA@400Vac-IEC60898 - marca ABB.</v>
      </c>
      <c r="D529" s="1894" t="s">
        <v>1069</v>
      </c>
      <c r="E529" s="1871">
        <f>VLOOKUP(D529,base_datos,5,FALSE)</f>
        <v>15.379999999999999</v>
      </c>
      <c r="F529" s="1878">
        <f>+E529*B529</f>
        <v>15.379999999999999</v>
      </c>
      <c r="G529" s="860"/>
      <c r="H529" s="860"/>
      <c r="I529" s="860"/>
      <c r="J529" s="861"/>
      <c r="K529" s="843">
        <f t="shared" ref="K529:K551" si="106">K528</f>
        <v>1</v>
      </c>
      <c r="L529" s="412">
        <v>1</v>
      </c>
      <c r="M529" s="843">
        <f t="shared" si="105"/>
        <v>1</v>
      </c>
      <c r="N529" s="890">
        <f t="shared" si="101"/>
        <v>1</v>
      </c>
      <c r="O529" s="344" t="str">
        <f t="shared" si="102"/>
        <v>2CDS213001R0324</v>
      </c>
      <c r="P529" s="344" t="str">
        <f t="shared" si="103"/>
        <v>ITM Riel-Din 3x32A - SH203-C-32A - 10kA@230Vac, 6kA@400Vac-IEC60898 - marca ABB.</v>
      </c>
      <c r="Q529" s="195" t="str">
        <f t="shared" si="104"/>
        <v>SH203-C-32A</v>
      </c>
      <c r="R529" s="195"/>
    </row>
    <row r="530" spans="1:18" s="195" customFormat="1">
      <c r="A530" s="1108"/>
      <c r="B530" s="895"/>
      <c r="C530" s="337" t="s">
        <v>729</v>
      </c>
      <c r="D530" s="182"/>
      <c r="E530" s="1874"/>
      <c r="F530" s="1875"/>
      <c r="G530" s="891"/>
      <c r="H530" s="891"/>
      <c r="I530" s="891"/>
      <c r="J530" s="892"/>
      <c r="K530" s="843">
        <f t="shared" si="106"/>
        <v>1</v>
      </c>
      <c r="L530" s="888">
        <v>1</v>
      </c>
      <c r="M530" s="843">
        <f t="shared" si="105"/>
        <v>1</v>
      </c>
      <c r="N530" s="890" t="str">
        <f t="shared" si="101"/>
        <v/>
      </c>
      <c r="O530" s="344" t="str">
        <f t="shared" si="102"/>
        <v/>
      </c>
      <c r="P530" s="344" t="str">
        <f t="shared" si="103"/>
        <v/>
      </c>
      <c r="Q530" s="195" t="str">
        <f t="shared" si="104"/>
        <v/>
      </c>
    </row>
    <row r="531" spans="1:18" s="862" customFormat="1">
      <c r="A531" s="856"/>
      <c r="B531" s="820"/>
      <c r="C531" s="859" t="s">
        <v>3535</v>
      </c>
      <c r="D531" s="1896"/>
      <c r="E531" s="1877"/>
      <c r="F531" s="1878">
        <f t="shared" ref="F531:F537" si="107">+E531*B531</f>
        <v>0</v>
      </c>
      <c r="G531" s="860"/>
      <c r="H531" s="860"/>
      <c r="I531" s="860"/>
      <c r="J531" s="861"/>
      <c r="K531" s="843">
        <f t="shared" si="106"/>
        <v>1</v>
      </c>
      <c r="L531" s="412">
        <v>1</v>
      </c>
      <c r="M531" s="843">
        <f t="shared" si="105"/>
        <v>1</v>
      </c>
      <c r="N531" s="890" t="str">
        <f t="shared" si="101"/>
        <v/>
      </c>
      <c r="O531" s="344" t="str">
        <f t="shared" si="102"/>
        <v/>
      </c>
      <c r="P531" s="344" t="str">
        <f t="shared" si="103"/>
        <v/>
      </c>
      <c r="Q531" s="195" t="str">
        <f t="shared" si="104"/>
        <v/>
      </c>
      <c r="R531" s="195"/>
    </row>
    <row r="532" spans="1:18" s="862" customFormat="1">
      <c r="A532" s="856" t="s">
        <v>3725</v>
      </c>
      <c r="B532" s="1122">
        <v>3</v>
      </c>
      <c r="C532" s="857" t="str">
        <f>VLOOKUP(D532,base_datos,6,FALSE)</f>
        <v>ITM Riel-Din 2x32A - SH202-C-32A - 10kA@230Vac, 6kA@400Vac-IEC60898 - marca ABB.</v>
      </c>
      <c r="D532" s="1894" t="s">
        <v>1062</v>
      </c>
      <c r="E532" s="1871">
        <f>VLOOKUP(D532,base_datos,5,FALSE)</f>
        <v>7.0699999999999994</v>
      </c>
      <c r="F532" s="1878">
        <f t="shared" si="107"/>
        <v>21.209999999999997</v>
      </c>
      <c r="G532" s="860"/>
      <c r="H532" s="860"/>
      <c r="I532" s="860"/>
      <c r="J532" s="1420"/>
      <c r="K532" s="843">
        <f>K530</f>
        <v>1</v>
      </c>
      <c r="L532" s="412">
        <v>1</v>
      </c>
      <c r="M532" s="843">
        <f t="shared" si="105"/>
        <v>3</v>
      </c>
      <c r="N532" s="890">
        <f t="shared" si="101"/>
        <v>3</v>
      </c>
      <c r="O532" s="344" t="str">
        <f t="shared" si="102"/>
        <v>2CDS212001R0324</v>
      </c>
      <c r="P532" s="344" t="str">
        <f t="shared" si="103"/>
        <v>ITM Riel-Din 2x32A - SH202-C-32A - 10kA@230Vac, 6kA@400Vac-IEC60898 - marca ABB.</v>
      </c>
      <c r="Q532" s="195" t="str">
        <f t="shared" si="104"/>
        <v>SH202-C-32A</v>
      </c>
      <c r="R532" s="195"/>
    </row>
    <row r="533" spans="1:18" s="862" customFormat="1">
      <c r="A533" s="856" t="s">
        <v>3726</v>
      </c>
      <c r="B533" s="1122">
        <v>6</v>
      </c>
      <c r="C533" s="857" t="str">
        <f>VLOOKUP(D533,base_datos,6,FALSE)</f>
        <v>ITM Riel-Din 2x20A - SH202-C-20A - 10kA@230Vac, 6kA@400Vac-IEC60898 - marca ABB.</v>
      </c>
      <c r="D533" s="1894" t="s">
        <v>1060</v>
      </c>
      <c r="E533" s="1871">
        <f>VLOOKUP(D533,base_datos,5,FALSE)</f>
        <v>6.54</v>
      </c>
      <c r="F533" s="1878">
        <f t="shared" si="107"/>
        <v>39.24</v>
      </c>
      <c r="G533" s="860"/>
      <c r="H533" s="860"/>
      <c r="I533" s="860"/>
      <c r="J533" s="1420"/>
      <c r="K533" s="843">
        <f>K531</f>
        <v>1</v>
      </c>
      <c r="L533" s="412">
        <v>1</v>
      </c>
      <c r="M533" s="843">
        <f t="shared" si="105"/>
        <v>6</v>
      </c>
      <c r="N533" s="890">
        <f t="shared" si="101"/>
        <v>6</v>
      </c>
      <c r="O533" s="344" t="str">
        <f t="shared" si="102"/>
        <v>2CDS212001R0204</v>
      </c>
      <c r="P533" s="344" t="str">
        <f t="shared" si="103"/>
        <v>ITM Riel-Din 2x20A - SH202-C-20A - 10kA@230Vac, 6kA@400Vac-IEC60898 - marca ABB.</v>
      </c>
      <c r="Q533" s="195" t="str">
        <f t="shared" si="104"/>
        <v>SH202-C-20A</v>
      </c>
      <c r="R533" s="195"/>
    </row>
    <row r="534" spans="1:18" s="862" customFormat="1">
      <c r="A534" s="856"/>
      <c r="B534" s="1122">
        <v>3</v>
      </c>
      <c r="C534" s="857" t="str">
        <f>VLOOKUP(D534,base_datos,6,FALSE)</f>
        <v>Interruptor Diferencial 2x40A -  30mA - clase AC - FH202-AC-40A-30mA - marca ABB.</v>
      </c>
      <c r="D534" s="2466" t="s">
        <v>1111</v>
      </c>
      <c r="E534" s="1871">
        <f>VLOOKUP(D534,base_datos,5,FALSE)</f>
        <v>29.580000000000002</v>
      </c>
      <c r="F534" s="1878">
        <f t="shared" si="107"/>
        <v>88.740000000000009</v>
      </c>
      <c r="G534" s="860"/>
      <c r="H534" s="860"/>
      <c r="I534" s="860"/>
      <c r="J534" s="1420"/>
      <c r="K534" s="843">
        <f>K532</f>
        <v>1</v>
      </c>
      <c r="L534" s="412">
        <v>1</v>
      </c>
      <c r="M534" s="843">
        <f t="shared" si="105"/>
        <v>3</v>
      </c>
      <c r="N534" s="890">
        <f t="shared" si="101"/>
        <v>3</v>
      </c>
      <c r="O534" s="344" t="str">
        <f t="shared" si="102"/>
        <v>1TMF202006R1400</v>
      </c>
      <c r="P534" s="344" t="str">
        <f t="shared" si="103"/>
        <v>Interruptor Diferencial 2x40A -  30mA - clase AC - FH202-AC-40A-30mA - marca ABB.</v>
      </c>
      <c r="Q534" s="195" t="str">
        <f t="shared" si="104"/>
        <v>FH202-AC-40A-30mA</v>
      </c>
      <c r="R534" s="195"/>
    </row>
    <row r="535" spans="1:18" s="862" customFormat="1">
      <c r="A535" s="856"/>
      <c r="B535" s="1122">
        <v>6</v>
      </c>
      <c r="C535" s="857" t="str">
        <f>VLOOKUP(D535,base_datos,6,FALSE)</f>
        <v>Interruptor Diferencial 2x25A - 30mA - clase AC - FH202-AC-25A-30mA - marca ABB.</v>
      </c>
      <c r="D535" s="2466" t="s">
        <v>1109</v>
      </c>
      <c r="E535" s="1871">
        <f>VLOOKUP(D535,base_datos,5,FALSE)</f>
        <v>24.41</v>
      </c>
      <c r="F535" s="1878">
        <f t="shared" si="107"/>
        <v>146.46</v>
      </c>
      <c r="G535" s="860"/>
      <c r="H535" s="860"/>
      <c r="I535" s="860"/>
      <c r="J535" s="1420"/>
      <c r="K535" s="843">
        <f>K533</f>
        <v>1</v>
      </c>
      <c r="L535" s="412">
        <v>1</v>
      </c>
      <c r="M535" s="843">
        <f t="shared" si="105"/>
        <v>6</v>
      </c>
      <c r="N535" s="890">
        <f t="shared" si="101"/>
        <v>6</v>
      </c>
      <c r="O535" s="344" t="str">
        <f t="shared" si="102"/>
        <v>1TMF202006R1250</v>
      </c>
      <c r="P535" s="344" t="str">
        <f t="shared" si="103"/>
        <v>Interruptor Diferencial 2x25A - 30mA - clase AC - FH202-AC-25A-30mA - marca ABB.</v>
      </c>
      <c r="Q535" s="195" t="str">
        <f t="shared" si="104"/>
        <v>FH202-AC-25A-30mA</v>
      </c>
      <c r="R535" s="195"/>
    </row>
    <row r="536" spans="1:18" s="2340" customFormat="1">
      <c r="A536" s="1873"/>
      <c r="B536" s="2443">
        <v>1</v>
      </c>
      <c r="C536" s="2444" t="str">
        <f>VLOOKUP(D536,base_datos,6,FALSE)</f>
        <v>Espacio de reserva monofasica + interruptor diferencial - Riel-Din.</v>
      </c>
      <c r="D536" s="2468" t="s">
        <v>3069</v>
      </c>
      <c r="E536" s="2497">
        <f>VLOOKUP(D536,base_datos,5,FALSE)</f>
        <v>2.5</v>
      </c>
      <c r="F536" s="2498">
        <f t="shared" si="107"/>
        <v>2.5</v>
      </c>
      <c r="G536" s="2338"/>
      <c r="H536" s="2338"/>
      <c r="I536" s="2338"/>
      <c r="J536" s="2339"/>
      <c r="K536" s="843">
        <f t="shared" si="106"/>
        <v>1</v>
      </c>
      <c r="L536" s="412">
        <v>1</v>
      </c>
      <c r="M536" s="843">
        <f t="shared" si="105"/>
        <v>1</v>
      </c>
      <c r="N536" s="890" t="str">
        <f t="shared" si="101"/>
        <v/>
      </c>
      <c r="O536" s="344" t="str">
        <f t="shared" si="102"/>
        <v/>
      </c>
      <c r="P536" s="344" t="str">
        <f t="shared" si="103"/>
        <v/>
      </c>
      <c r="Q536" s="195" t="str">
        <f t="shared" si="104"/>
        <v/>
      </c>
      <c r="R536" s="195"/>
    </row>
    <row r="537" spans="1:18" s="870" customFormat="1">
      <c r="A537" s="1873"/>
      <c r="B537" s="866">
        <v>1</v>
      </c>
      <c r="C537" s="867" t="s">
        <v>14107</v>
      </c>
      <c r="D537" s="1896"/>
      <c r="E537" s="180">
        <v>81</v>
      </c>
      <c r="F537" s="1921">
        <f t="shared" si="107"/>
        <v>81</v>
      </c>
      <c r="G537" s="868"/>
      <c r="H537" s="868"/>
      <c r="I537" s="868"/>
      <c r="J537" s="869"/>
      <c r="K537" s="843">
        <f t="shared" si="106"/>
        <v>1</v>
      </c>
      <c r="L537" s="412">
        <v>1</v>
      </c>
      <c r="M537" s="843">
        <f t="shared" si="105"/>
        <v>1</v>
      </c>
      <c r="N537" s="890" t="str">
        <f t="shared" si="101"/>
        <v/>
      </c>
      <c r="O537" s="344" t="str">
        <f t="shared" si="102"/>
        <v/>
      </c>
      <c r="P537" s="344" t="str">
        <f t="shared" si="103"/>
        <v/>
      </c>
      <c r="Q537" s="195" t="str">
        <f t="shared" si="104"/>
        <v/>
      </c>
    </row>
    <row r="538" spans="1:18" s="195" customFormat="1">
      <c r="A538" s="856"/>
      <c r="B538" s="895"/>
      <c r="C538" s="337" t="s">
        <v>729</v>
      </c>
      <c r="D538" s="182"/>
      <c r="E538" s="1874"/>
      <c r="F538" s="1875"/>
      <c r="G538" s="891"/>
      <c r="H538" s="891"/>
      <c r="I538" s="891"/>
      <c r="J538" s="892"/>
      <c r="K538" s="843">
        <f t="shared" si="106"/>
        <v>1</v>
      </c>
      <c r="L538" s="412">
        <v>1</v>
      </c>
      <c r="M538" s="843">
        <f t="shared" si="105"/>
        <v>1</v>
      </c>
      <c r="N538" s="890" t="str">
        <f t="shared" si="101"/>
        <v/>
      </c>
      <c r="O538" s="344" t="str">
        <f t="shared" si="102"/>
        <v/>
      </c>
      <c r="P538" s="344" t="str">
        <f t="shared" si="103"/>
        <v/>
      </c>
      <c r="Q538" s="195" t="str">
        <f t="shared" si="104"/>
        <v/>
      </c>
    </row>
    <row r="539" spans="1:18" s="862" customFormat="1">
      <c r="A539" s="2370"/>
      <c r="B539" s="820"/>
      <c r="C539" s="859" t="s">
        <v>3206</v>
      </c>
      <c r="D539" s="1876"/>
      <c r="E539" s="1877"/>
      <c r="F539" s="1878"/>
      <c r="G539" s="860"/>
      <c r="H539" s="860"/>
      <c r="I539" s="860"/>
      <c r="J539" s="861"/>
      <c r="K539" s="843">
        <f t="shared" si="106"/>
        <v>1</v>
      </c>
      <c r="L539" s="412">
        <v>1</v>
      </c>
      <c r="M539" s="843">
        <f t="shared" si="105"/>
        <v>1</v>
      </c>
      <c r="N539" s="890" t="str">
        <f t="shared" si="101"/>
        <v/>
      </c>
      <c r="O539" s="344" t="str">
        <f t="shared" si="102"/>
        <v/>
      </c>
      <c r="P539" s="344" t="str">
        <f t="shared" si="103"/>
        <v/>
      </c>
      <c r="Q539" s="195" t="str">
        <f t="shared" si="104"/>
        <v/>
      </c>
      <c r="R539" s="195"/>
    </row>
    <row r="540" spans="1:18" s="862" customFormat="1">
      <c r="A540" s="2366"/>
      <c r="B540" s="1122">
        <v>2</v>
      </c>
      <c r="C540" s="857" t="str">
        <f t="shared" ref="C540:C546" si="108">VLOOKUP(D540,base_datos,6,FALSE)</f>
        <v>Interruptor Horario Digital - marca GRASSLIN.</v>
      </c>
      <c r="D540" s="1876" t="s">
        <v>1860</v>
      </c>
      <c r="E540" s="1871">
        <f t="shared" ref="E540:E546" si="109">VLOOKUP(D540,base_datos,5,FALSE)</f>
        <v>61.78</v>
      </c>
      <c r="F540" s="1878">
        <f t="shared" ref="F540:F546" si="110">+E540*B540</f>
        <v>123.56</v>
      </c>
      <c r="G540" s="860"/>
      <c r="H540" s="860"/>
      <c r="I540" s="860"/>
      <c r="J540" s="1420"/>
      <c r="K540" s="843">
        <f t="shared" si="106"/>
        <v>1</v>
      </c>
      <c r="L540" s="412">
        <v>1</v>
      </c>
      <c r="M540" s="843">
        <f t="shared" si="105"/>
        <v>2</v>
      </c>
      <c r="N540" s="890">
        <f t="shared" si="101"/>
        <v>2</v>
      </c>
      <c r="O540" s="344" t="str">
        <f t="shared" si="102"/>
        <v>IH_GRASSLIN</v>
      </c>
      <c r="P540" s="344" t="str">
        <f t="shared" si="103"/>
        <v>Interruptor Horario Digital - marca GRASSLIN.</v>
      </c>
      <c r="Q540" s="195" t="str">
        <f t="shared" si="104"/>
        <v>IH_GRASSLIN</v>
      </c>
      <c r="R540" s="195"/>
    </row>
    <row r="541" spans="1:18" s="862" customFormat="1">
      <c r="A541" s="865"/>
      <c r="B541" s="1122">
        <v>1</v>
      </c>
      <c r="C541" s="857" t="str">
        <f t="shared" si="108"/>
        <v>Contactor 3x26A(AC-3) / 3x45A(AC-1) +1NA - AF26-30-10-13 - bobina 100-250Vac/dc - marca ABB.</v>
      </c>
      <c r="D541" s="1876" t="s">
        <v>1477</v>
      </c>
      <c r="E541" s="1871">
        <f t="shared" si="109"/>
        <v>56.75</v>
      </c>
      <c r="F541" s="1878">
        <f t="shared" si="110"/>
        <v>56.75</v>
      </c>
      <c r="G541" s="860"/>
      <c r="H541" s="860"/>
      <c r="I541" s="860"/>
      <c r="J541" s="1420"/>
      <c r="K541" s="843">
        <f>K539</f>
        <v>1</v>
      </c>
      <c r="L541" s="412">
        <v>1</v>
      </c>
      <c r="M541" s="843">
        <f t="shared" si="105"/>
        <v>1</v>
      </c>
      <c r="N541" s="890">
        <f t="shared" si="101"/>
        <v>1</v>
      </c>
      <c r="O541" s="344" t="str">
        <f t="shared" si="102"/>
        <v>1SBL237001P1310</v>
      </c>
      <c r="P541" s="344" t="str">
        <f t="shared" si="103"/>
        <v>Contactor 3x26A(AC-3) / 3x45A(AC-1) +1NA - AF26-30-10-13 - bobina 100-250Vac/dc - marca ABB.</v>
      </c>
      <c r="Q541" s="195" t="str">
        <f t="shared" si="104"/>
        <v>AF26-30-10-13_3p</v>
      </c>
      <c r="R541" s="195"/>
    </row>
    <row r="542" spans="1:18" s="862" customFormat="1">
      <c r="A542" s="865"/>
      <c r="B542" s="1122">
        <v>1</v>
      </c>
      <c r="C542" s="857" t="str">
        <f t="shared" si="108"/>
        <v>Contactor 3x09A(AC-3) / 3x25A(AC-1) +1NA - AF09-30-10-13 - bobina 100-250Vac/dc - marca ABB.</v>
      </c>
      <c r="D542" s="1876" t="s">
        <v>1474</v>
      </c>
      <c r="E542" s="1871">
        <f t="shared" si="109"/>
        <v>24.680000000000003</v>
      </c>
      <c r="F542" s="1878">
        <f t="shared" si="110"/>
        <v>24.680000000000003</v>
      </c>
      <c r="G542" s="860"/>
      <c r="H542" s="860"/>
      <c r="I542" s="860"/>
      <c r="J542" s="1420"/>
      <c r="K542" s="843">
        <f>K540</f>
        <v>1</v>
      </c>
      <c r="L542" s="412">
        <v>1</v>
      </c>
      <c r="M542" s="843">
        <f t="shared" si="105"/>
        <v>1</v>
      </c>
      <c r="N542" s="890">
        <f t="shared" si="101"/>
        <v>1</v>
      </c>
      <c r="O542" s="344" t="str">
        <f t="shared" si="102"/>
        <v>1SBL137001R1310</v>
      </c>
      <c r="P542" s="344" t="str">
        <f t="shared" si="103"/>
        <v>Contactor 3x09A(AC-3) / 3x25A(AC-1) +1NA - AF09-30-10-13 - bobina 100-250Vac/dc - marca ABB.</v>
      </c>
      <c r="Q542" s="195" t="str">
        <f t="shared" si="104"/>
        <v>AF09-30-10-13_3p</v>
      </c>
      <c r="R542" s="195"/>
    </row>
    <row r="543" spans="1:18" s="862" customFormat="1">
      <c r="A543" s="865"/>
      <c r="B543" s="1122">
        <v>2</v>
      </c>
      <c r="C543" s="857" t="str">
        <f t="shared" si="108"/>
        <v>Selector tres posiciones "M-0-A" o "1-0-2".</v>
      </c>
      <c r="D543" s="1876" t="s">
        <v>446</v>
      </c>
      <c r="E543" s="1871">
        <f t="shared" si="109"/>
        <v>28</v>
      </c>
      <c r="F543" s="1878">
        <f t="shared" si="110"/>
        <v>56</v>
      </c>
      <c r="G543" s="860"/>
      <c r="H543" s="860"/>
      <c r="I543" s="860"/>
      <c r="J543" s="1420"/>
      <c r="K543" s="843">
        <f t="shared" si="106"/>
        <v>1</v>
      </c>
      <c r="L543" s="412">
        <v>1</v>
      </c>
      <c r="M543" s="843">
        <f t="shared" si="105"/>
        <v>2</v>
      </c>
      <c r="N543" s="890" t="str">
        <f t="shared" si="101"/>
        <v/>
      </c>
      <c r="O543" s="344" t="str">
        <f t="shared" si="102"/>
        <v/>
      </c>
      <c r="P543" s="344" t="str">
        <f t="shared" si="103"/>
        <v/>
      </c>
      <c r="Q543" s="195" t="str">
        <f t="shared" si="104"/>
        <v/>
      </c>
      <c r="R543" s="195"/>
    </row>
    <row r="544" spans="1:18" s="862" customFormat="1">
      <c r="A544" s="2366"/>
      <c r="B544" s="1122">
        <v>2</v>
      </c>
      <c r="C544" s="857" t="str">
        <f t="shared" si="108"/>
        <v>Pulsador doble Start/Stop (Rojo/Verde) sin iluminación + contacto 1NA+1NC.</v>
      </c>
      <c r="D544" s="1876" t="s">
        <v>8359</v>
      </c>
      <c r="E544" s="1871">
        <f t="shared" si="109"/>
        <v>38</v>
      </c>
      <c r="F544" s="1878">
        <f t="shared" si="110"/>
        <v>76</v>
      </c>
      <c r="G544" s="860"/>
      <c r="H544" s="860"/>
      <c r="I544" s="860"/>
      <c r="J544" s="1420"/>
      <c r="K544" s="843">
        <f t="shared" si="106"/>
        <v>1</v>
      </c>
      <c r="L544" s="412">
        <v>1</v>
      </c>
      <c r="M544" s="843">
        <f t="shared" si="105"/>
        <v>2</v>
      </c>
      <c r="N544" s="890" t="str">
        <f t="shared" si="101"/>
        <v/>
      </c>
      <c r="O544" s="344" t="str">
        <f t="shared" si="102"/>
        <v/>
      </c>
      <c r="P544" s="344" t="str">
        <f t="shared" si="103"/>
        <v/>
      </c>
      <c r="Q544" s="195" t="str">
        <f t="shared" si="104"/>
        <v/>
      </c>
      <c r="R544" s="195"/>
    </row>
    <row r="545" spans="1:18" s="344" customFormat="1">
      <c r="A545" s="865"/>
      <c r="B545" s="1122">
        <v>4</v>
      </c>
      <c r="C545" s="904" t="str">
        <f t="shared" si="108"/>
        <v>Base portafusibles + Fusibles de protección para control.</v>
      </c>
      <c r="D545" s="1881" t="s">
        <v>453</v>
      </c>
      <c r="E545" s="1892">
        <f t="shared" si="109"/>
        <v>6.5373900000000003</v>
      </c>
      <c r="F545" s="1893">
        <f t="shared" si="110"/>
        <v>26.149560000000001</v>
      </c>
      <c r="G545" s="905"/>
      <c r="H545" s="905"/>
      <c r="I545" s="905"/>
      <c r="J545" s="906"/>
      <c r="K545" s="843">
        <f t="shared" si="106"/>
        <v>1</v>
      </c>
      <c r="L545" s="412">
        <f>L543</f>
        <v>1</v>
      </c>
      <c r="M545" s="843">
        <f t="shared" si="105"/>
        <v>4</v>
      </c>
      <c r="N545" s="890" t="str">
        <f t="shared" si="101"/>
        <v/>
      </c>
      <c r="O545" s="344" t="str">
        <f t="shared" si="102"/>
        <v/>
      </c>
      <c r="P545" s="344" t="str">
        <f t="shared" si="103"/>
        <v/>
      </c>
      <c r="Q545" s="195" t="str">
        <f t="shared" si="104"/>
        <v/>
      </c>
      <c r="R545" s="195"/>
    </row>
    <row r="546" spans="1:18" s="344" customFormat="1">
      <c r="A546" s="865"/>
      <c r="B546" s="1122">
        <v>2</v>
      </c>
      <c r="C546" s="904" t="str">
        <f t="shared" si="108"/>
        <v>Borne 4mm2.</v>
      </c>
      <c r="D546" s="1881" t="s">
        <v>437</v>
      </c>
      <c r="E546" s="1892">
        <f t="shared" si="109"/>
        <v>2.5</v>
      </c>
      <c r="F546" s="1893">
        <f t="shared" si="110"/>
        <v>5</v>
      </c>
      <c r="G546" s="905"/>
      <c r="H546" s="905"/>
      <c r="I546" s="905"/>
      <c r="J546" s="906"/>
      <c r="K546" s="843">
        <f t="shared" si="106"/>
        <v>1</v>
      </c>
      <c r="L546" s="412">
        <f>L544</f>
        <v>1</v>
      </c>
      <c r="M546" s="843">
        <f t="shared" si="105"/>
        <v>2</v>
      </c>
      <c r="N546" s="890" t="str">
        <f t="shared" si="101"/>
        <v/>
      </c>
      <c r="O546" s="344" t="str">
        <f t="shared" si="102"/>
        <v/>
      </c>
      <c r="P546" s="344" t="str">
        <f t="shared" si="103"/>
        <v/>
      </c>
      <c r="Q546" s="195" t="str">
        <f t="shared" si="104"/>
        <v/>
      </c>
      <c r="R546" s="195"/>
    </row>
    <row r="547" spans="1:18" s="195" customFormat="1">
      <c r="A547" s="1108"/>
      <c r="B547" s="895"/>
      <c r="C547" s="337" t="s">
        <v>729</v>
      </c>
      <c r="D547" s="182"/>
      <c r="E547" s="1874"/>
      <c r="F547" s="1875"/>
      <c r="G547" s="891"/>
      <c r="H547" s="891"/>
      <c r="I547" s="891"/>
      <c r="J547" s="892"/>
      <c r="K547" s="843">
        <f t="shared" si="106"/>
        <v>1</v>
      </c>
      <c r="L547" s="888">
        <v>1</v>
      </c>
      <c r="M547" s="889">
        <f t="shared" si="105"/>
        <v>1</v>
      </c>
      <c r="N547" s="890" t="str">
        <f t="shared" si="101"/>
        <v/>
      </c>
      <c r="O547" s="344" t="str">
        <f t="shared" si="102"/>
        <v/>
      </c>
      <c r="P547" s="344" t="str">
        <f t="shared" si="103"/>
        <v/>
      </c>
      <c r="Q547" s="195" t="str">
        <f t="shared" si="104"/>
        <v/>
      </c>
    </row>
    <row r="548" spans="1:18" s="870" customFormat="1">
      <c r="A548" s="865"/>
      <c r="B548" s="2385">
        <v>1</v>
      </c>
      <c r="C548" s="2386" t="s">
        <v>316</v>
      </c>
      <c r="D548" s="2387"/>
      <c r="E548" s="1892"/>
      <c r="F548" s="1901"/>
      <c r="G548" s="2396"/>
      <c r="H548" s="2396"/>
      <c r="I548" s="2396"/>
      <c r="J548" s="2397"/>
      <c r="K548" s="843">
        <f t="shared" si="106"/>
        <v>1</v>
      </c>
      <c r="L548" s="412">
        <v>1</v>
      </c>
      <c r="M548" s="843">
        <f t="shared" si="105"/>
        <v>1</v>
      </c>
      <c r="N548" s="890" t="str">
        <f t="shared" si="101"/>
        <v/>
      </c>
      <c r="O548" s="344" t="str">
        <f t="shared" si="102"/>
        <v/>
      </c>
      <c r="P548" s="344" t="str">
        <f t="shared" si="103"/>
        <v/>
      </c>
      <c r="Q548" s="195" t="str">
        <f t="shared" si="104"/>
        <v/>
      </c>
      <c r="R548" s="195"/>
    </row>
    <row r="549" spans="1:18" s="195" customFormat="1">
      <c r="A549" s="1108"/>
      <c r="B549" s="895"/>
      <c r="C549" s="337" t="s">
        <v>729</v>
      </c>
      <c r="D549" s="182"/>
      <c r="E549" s="1874"/>
      <c r="F549" s="1875"/>
      <c r="G549" s="891"/>
      <c r="H549" s="891"/>
      <c r="I549" s="891"/>
      <c r="J549" s="892"/>
      <c r="K549" s="843">
        <f t="shared" si="106"/>
        <v>1</v>
      </c>
      <c r="L549" s="888">
        <v>1</v>
      </c>
      <c r="M549" s="889">
        <f t="shared" si="105"/>
        <v>1</v>
      </c>
      <c r="N549" s="890" t="str">
        <f t="shared" si="101"/>
        <v/>
      </c>
      <c r="O549" s="344" t="str">
        <f t="shared" si="102"/>
        <v/>
      </c>
      <c r="P549" s="344" t="str">
        <f t="shared" si="103"/>
        <v/>
      </c>
      <c r="Q549" s="195" t="str">
        <f t="shared" si="104"/>
        <v/>
      </c>
    </row>
    <row r="550" spans="1:18" s="1088" customFormat="1">
      <c r="A550" s="865"/>
      <c r="B550" s="1085">
        <v>19</v>
      </c>
      <c r="C550" s="904" t="str">
        <f>VLOOKUP(D550,base_datos,6,FALSE)</f>
        <v>Rotulado por circuito.</v>
      </c>
      <c r="D550" s="1881" t="s">
        <v>3210</v>
      </c>
      <c r="E550" s="1892">
        <f>VLOOKUP(D550,base_datos,5,FALSE)</f>
        <v>0.7</v>
      </c>
      <c r="F550" s="1893">
        <f>+E550*B550</f>
        <v>13.299999999999999</v>
      </c>
      <c r="G550" s="1086"/>
      <c r="H550" s="1086"/>
      <c r="I550" s="1086"/>
      <c r="J550" s="1087"/>
      <c r="K550" s="843">
        <f t="shared" si="106"/>
        <v>1</v>
      </c>
      <c r="L550" s="888">
        <v>1</v>
      </c>
      <c r="M550" s="889">
        <f t="shared" si="105"/>
        <v>19</v>
      </c>
      <c r="N550" s="890" t="str">
        <f t="shared" si="101"/>
        <v/>
      </c>
      <c r="O550" s="344" t="str">
        <f t="shared" si="102"/>
        <v/>
      </c>
      <c r="P550" s="344" t="str">
        <f t="shared" si="103"/>
        <v/>
      </c>
      <c r="Q550" s="195" t="str">
        <f t="shared" si="104"/>
        <v/>
      </c>
    </row>
    <row r="551" spans="1:18" s="1088" customFormat="1">
      <c r="A551" s="865"/>
      <c r="B551" s="1085">
        <v>1</v>
      </c>
      <c r="C551" s="904" t="str">
        <f>VLOOKUP(D551,base_datos,6,FALSE)</f>
        <v>Rotulado para TAG - tablero de distribución.</v>
      </c>
      <c r="D551" s="1881" t="s">
        <v>3209</v>
      </c>
      <c r="E551" s="1892">
        <f>VLOOKUP(D551,base_datos,5,FALSE)</f>
        <v>1.5</v>
      </c>
      <c r="F551" s="1893">
        <f>+E551*B551</f>
        <v>1.5</v>
      </c>
      <c r="G551" s="1086"/>
      <c r="H551" s="1086"/>
      <c r="I551" s="1086"/>
      <c r="J551" s="1087"/>
      <c r="K551" s="843">
        <f t="shared" si="106"/>
        <v>1</v>
      </c>
      <c r="L551" s="888">
        <v>1</v>
      </c>
      <c r="M551" s="889">
        <f t="shared" si="105"/>
        <v>1</v>
      </c>
      <c r="N551" s="890" t="str">
        <f t="shared" si="101"/>
        <v/>
      </c>
      <c r="O551" s="344" t="str">
        <f t="shared" si="102"/>
        <v/>
      </c>
      <c r="P551" s="344" t="str">
        <f t="shared" si="103"/>
        <v/>
      </c>
      <c r="Q551" s="195" t="str">
        <f t="shared" si="104"/>
        <v/>
      </c>
    </row>
    <row r="552" spans="1:18" s="1479" customFormat="1">
      <c r="A552" s="1128"/>
      <c r="B552" s="1412">
        <v>1</v>
      </c>
      <c r="C552" s="1417" t="s">
        <v>5302</v>
      </c>
      <c r="D552" s="1900"/>
      <c r="E552" s="1901">
        <f>E553*15%</f>
        <v>22.349999999999998</v>
      </c>
      <c r="F552" s="1901">
        <f>+E552*B552</f>
        <v>22.349999999999998</v>
      </c>
      <c r="G552" s="1902"/>
      <c r="H552" s="1902"/>
      <c r="I552" s="1902"/>
      <c r="J552" s="1414"/>
      <c r="K552" s="889">
        <f>K550</f>
        <v>1</v>
      </c>
      <c r="L552" s="888">
        <v>1</v>
      </c>
      <c r="M552" s="889">
        <f t="shared" si="105"/>
        <v>1</v>
      </c>
      <c r="N552" s="890" t="str">
        <f t="shared" si="101"/>
        <v/>
      </c>
      <c r="O552" s="344" t="str">
        <f t="shared" si="102"/>
        <v/>
      </c>
      <c r="P552" s="344" t="str">
        <f t="shared" si="103"/>
        <v/>
      </c>
      <c r="Q552" s="195" t="str">
        <f t="shared" si="104"/>
        <v/>
      </c>
    </row>
    <row r="553" spans="1:18" s="1479" customFormat="1">
      <c r="A553" s="1128"/>
      <c r="B553" s="2499">
        <v>1</v>
      </c>
      <c r="C553" s="867" t="s">
        <v>14190</v>
      </c>
      <c r="D553" s="2500"/>
      <c r="E553" s="1892">
        <v>149</v>
      </c>
      <c r="F553" s="1921">
        <f>+E553*B553</f>
        <v>149</v>
      </c>
      <c r="G553" s="1413"/>
      <c r="H553" s="1413"/>
      <c r="I553" s="1413"/>
      <c r="J553" s="1414"/>
      <c r="K553" s="843">
        <f>K551</f>
        <v>1</v>
      </c>
      <c r="L553" s="888">
        <v>1</v>
      </c>
      <c r="M553" s="889">
        <f t="shared" si="105"/>
        <v>1</v>
      </c>
      <c r="N553" s="890" t="str">
        <f t="shared" si="101"/>
        <v/>
      </c>
      <c r="O553" s="344" t="str">
        <f t="shared" si="102"/>
        <v/>
      </c>
      <c r="P553" s="344" t="str">
        <f t="shared" si="103"/>
        <v/>
      </c>
      <c r="Q553" s="195" t="str">
        <f t="shared" si="104"/>
        <v/>
      </c>
    </row>
    <row r="554" spans="1:18" s="126" customFormat="1" ht="13.5" thickBot="1">
      <c r="A554" s="1106"/>
      <c r="B554" s="1916"/>
      <c r="C554" s="1909"/>
      <c r="D554" s="1917"/>
      <c r="E554" s="873"/>
      <c r="F554" s="873"/>
      <c r="G554" s="1918"/>
      <c r="H554" s="1918"/>
      <c r="I554" s="1918"/>
      <c r="J554" s="1910"/>
      <c r="K554" s="1119"/>
      <c r="L554" s="412"/>
      <c r="M554" s="843"/>
      <c r="N554" s="890" t="str">
        <f t="shared" si="101"/>
        <v/>
      </c>
      <c r="O554" s="344" t="str">
        <f t="shared" si="102"/>
        <v/>
      </c>
      <c r="P554" s="344" t="str">
        <f t="shared" si="103"/>
        <v/>
      </c>
      <c r="Q554" s="195" t="str">
        <f t="shared" si="104"/>
        <v/>
      </c>
      <c r="R554" s="195"/>
    </row>
    <row r="555" spans="1:18" s="126" customFormat="1" ht="13.5" thickBot="1">
      <c r="A555" s="1923">
        <v>18</v>
      </c>
      <c r="B555" s="1920">
        <v>1</v>
      </c>
      <c r="C555" s="846" t="s">
        <v>14191</v>
      </c>
      <c r="D555" s="2495"/>
      <c r="E555" s="2496"/>
      <c r="F555" s="2496"/>
      <c r="G555" s="849">
        <f>SUM(F556:F580)</f>
        <v>733.11955999999998</v>
      </c>
      <c r="H555" s="1161">
        <f>G555*(1-$D$6)</f>
        <v>549.83966999999996</v>
      </c>
      <c r="I555" s="849">
        <f>ROUNDUP(H555*$D$5,0)</f>
        <v>1870</v>
      </c>
      <c r="J555" s="850">
        <f>+I555*B555</f>
        <v>1870</v>
      </c>
      <c r="K555" s="851">
        <f>B555</f>
        <v>1</v>
      </c>
      <c r="L555" s="412"/>
      <c r="M555" s="843"/>
      <c r="N555" s="890" t="str">
        <f t="shared" si="101"/>
        <v/>
      </c>
      <c r="O555" s="344" t="str">
        <f t="shared" si="102"/>
        <v/>
      </c>
      <c r="P555" s="344" t="str">
        <f t="shared" si="103"/>
        <v/>
      </c>
      <c r="Q555" s="195" t="str">
        <f t="shared" si="104"/>
        <v/>
      </c>
      <c r="R555" s="195"/>
    </row>
    <row r="556" spans="1:18" s="126" customFormat="1">
      <c r="A556" s="852" t="s">
        <v>3207</v>
      </c>
      <c r="B556" s="1418"/>
      <c r="C556" s="853"/>
      <c r="D556" s="1911"/>
      <c r="E556" s="1890"/>
      <c r="F556" s="1890"/>
      <c r="G556" s="854"/>
      <c r="H556" s="854"/>
      <c r="I556" s="854"/>
      <c r="J556" s="855"/>
      <c r="K556" s="843">
        <f>K555</f>
        <v>1</v>
      </c>
      <c r="L556" s="412">
        <v>1</v>
      </c>
      <c r="M556" s="843">
        <f>IF(B556="",1,B556)</f>
        <v>1</v>
      </c>
      <c r="N556" s="890" t="str">
        <f t="shared" si="101"/>
        <v/>
      </c>
      <c r="O556" s="344" t="str">
        <f t="shared" si="102"/>
        <v/>
      </c>
      <c r="P556" s="344" t="str">
        <f t="shared" si="103"/>
        <v/>
      </c>
      <c r="Q556" s="195" t="str">
        <f t="shared" si="104"/>
        <v/>
      </c>
      <c r="R556" s="195"/>
    </row>
    <row r="557" spans="1:18" s="126" customFormat="1">
      <c r="A557" s="856" t="s">
        <v>4059</v>
      </c>
      <c r="B557" s="1122"/>
      <c r="C557" s="1419" t="s">
        <v>3301</v>
      </c>
      <c r="D557" s="1891"/>
      <c r="E557" s="1878"/>
      <c r="F557" s="1878"/>
      <c r="G557" s="854"/>
      <c r="H557" s="854"/>
      <c r="I557" s="854"/>
      <c r="J557" s="858"/>
      <c r="K557" s="843">
        <f>K556</f>
        <v>1</v>
      </c>
      <c r="L557" s="412">
        <v>1</v>
      </c>
      <c r="M557" s="843">
        <f t="shared" ref="M557:M580" si="111">IF(B557="",1,B557)</f>
        <v>1</v>
      </c>
      <c r="N557" s="890" t="str">
        <f t="shared" si="101"/>
        <v/>
      </c>
      <c r="O557" s="344" t="str">
        <f t="shared" si="102"/>
        <v/>
      </c>
      <c r="P557" s="344" t="str">
        <f t="shared" si="103"/>
        <v/>
      </c>
      <c r="Q557" s="195" t="str">
        <f t="shared" si="104"/>
        <v/>
      </c>
      <c r="R557" s="195"/>
    </row>
    <row r="558" spans="1:18" s="862" customFormat="1">
      <c r="A558" s="856" t="s">
        <v>4321</v>
      </c>
      <c r="B558" s="1122">
        <v>1</v>
      </c>
      <c r="C558" s="857" t="str">
        <f>VLOOKUP(D558,base_datos,6,FALSE)</f>
        <v>ITM Riel-Din 3x32A - SH203-C-32A - 10kA@230Vac, 6kA@400Vac-IEC60898 - marca ABB.</v>
      </c>
      <c r="D558" s="1894" t="s">
        <v>1069</v>
      </c>
      <c r="E558" s="1871">
        <f>VLOOKUP(D558,base_datos,5,FALSE)</f>
        <v>15.379999999999999</v>
      </c>
      <c r="F558" s="1878">
        <f>+E558*B558</f>
        <v>15.379999999999999</v>
      </c>
      <c r="G558" s="860"/>
      <c r="H558" s="860"/>
      <c r="I558" s="860"/>
      <c r="J558" s="861"/>
      <c r="K558" s="843">
        <f t="shared" ref="K558:K560" si="112">K557</f>
        <v>1</v>
      </c>
      <c r="L558" s="412">
        <v>1</v>
      </c>
      <c r="M558" s="843">
        <f t="shared" si="111"/>
        <v>1</v>
      </c>
      <c r="N558" s="890">
        <f t="shared" si="101"/>
        <v>1</v>
      </c>
      <c r="O558" s="344" t="str">
        <f t="shared" si="102"/>
        <v>2CDS213001R0324</v>
      </c>
      <c r="P558" s="344" t="str">
        <f t="shared" si="103"/>
        <v>ITM Riel-Din 3x32A - SH203-C-32A - 10kA@230Vac, 6kA@400Vac-IEC60898 - marca ABB.</v>
      </c>
      <c r="Q558" s="195" t="str">
        <f t="shared" si="104"/>
        <v>SH203-C-32A</v>
      </c>
      <c r="R558" s="195"/>
    </row>
    <row r="559" spans="1:18" s="195" customFormat="1">
      <c r="A559" s="1108"/>
      <c r="B559" s="895"/>
      <c r="C559" s="337" t="s">
        <v>729</v>
      </c>
      <c r="D559" s="182"/>
      <c r="E559" s="1874"/>
      <c r="F559" s="1875"/>
      <c r="G559" s="891"/>
      <c r="H559" s="891"/>
      <c r="I559" s="891"/>
      <c r="J559" s="892"/>
      <c r="K559" s="843">
        <f t="shared" si="112"/>
        <v>1</v>
      </c>
      <c r="L559" s="888">
        <v>1</v>
      </c>
      <c r="M559" s="843">
        <f t="shared" si="111"/>
        <v>1</v>
      </c>
      <c r="N559" s="890" t="str">
        <f t="shared" si="101"/>
        <v/>
      </c>
      <c r="O559" s="344" t="str">
        <f t="shared" si="102"/>
        <v/>
      </c>
      <c r="P559" s="344" t="str">
        <f t="shared" si="103"/>
        <v/>
      </c>
      <c r="Q559" s="195" t="str">
        <f t="shared" si="104"/>
        <v/>
      </c>
    </row>
    <row r="560" spans="1:18" s="862" customFormat="1">
      <c r="A560" s="856"/>
      <c r="B560" s="820"/>
      <c r="C560" s="859" t="s">
        <v>3535</v>
      </c>
      <c r="D560" s="1896"/>
      <c r="E560" s="1877"/>
      <c r="F560" s="1878">
        <f>+E560*B560</f>
        <v>0</v>
      </c>
      <c r="G560" s="860"/>
      <c r="H560" s="860"/>
      <c r="I560" s="860"/>
      <c r="J560" s="861"/>
      <c r="K560" s="843">
        <f t="shared" si="112"/>
        <v>1</v>
      </c>
      <c r="L560" s="412">
        <v>1</v>
      </c>
      <c r="M560" s="843">
        <f t="shared" si="111"/>
        <v>1</v>
      </c>
      <c r="N560" s="890" t="str">
        <f t="shared" si="101"/>
        <v/>
      </c>
      <c r="O560" s="344" t="str">
        <f t="shared" si="102"/>
        <v/>
      </c>
      <c r="P560" s="344" t="str">
        <f t="shared" si="103"/>
        <v/>
      </c>
      <c r="Q560" s="195" t="str">
        <f t="shared" si="104"/>
        <v/>
      </c>
      <c r="R560" s="195"/>
    </row>
    <row r="561" spans="1:18" s="862" customFormat="1">
      <c r="A561" s="856" t="s">
        <v>3725</v>
      </c>
      <c r="B561" s="1122">
        <v>4</v>
      </c>
      <c r="C561" s="857" t="str">
        <f>VLOOKUP(D561,base_datos,6,FALSE)</f>
        <v>ITM Riel-Din 2x20A - SH202-C-20A - 10kA@230Vac, 6kA@400Vac-IEC60898 - marca ABB.</v>
      </c>
      <c r="D561" s="1894" t="s">
        <v>1060</v>
      </c>
      <c r="E561" s="1871">
        <f>VLOOKUP(D561,base_datos,5,FALSE)</f>
        <v>6.54</v>
      </c>
      <c r="F561" s="1878">
        <f>+E561*B561</f>
        <v>26.16</v>
      </c>
      <c r="G561" s="860"/>
      <c r="H561" s="860"/>
      <c r="I561" s="860"/>
      <c r="J561" s="1420"/>
      <c r="K561" s="843">
        <f>K560</f>
        <v>1</v>
      </c>
      <c r="L561" s="412">
        <v>1</v>
      </c>
      <c r="M561" s="843">
        <f t="shared" si="111"/>
        <v>4</v>
      </c>
      <c r="N561" s="890">
        <f t="shared" si="101"/>
        <v>4</v>
      </c>
      <c r="O561" s="344" t="str">
        <f t="shared" si="102"/>
        <v>2CDS212001R0204</v>
      </c>
      <c r="P561" s="344" t="str">
        <f t="shared" si="103"/>
        <v>ITM Riel-Din 2x20A - SH202-C-20A - 10kA@230Vac, 6kA@400Vac-IEC60898 - marca ABB.</v>
      </c>
      <c r="Q561" s="195" t="str">
        <f t="shared" si="104"/>
        <v>SH202-C-20A</v>
      </c>
      <c r="R561" s="195"/>
    </row>
    <row r="562" spans="1:18" s="862" customFormat="1">
      <c r="A562" s="856" t="s">
        <v>3726</v>
      </c>
      <c r="B562" s="1122">
        <v>4</v>
      </c>
      <c r="C562" s="857" t="str">
        <f>VLOOKUP(D562,base_datos,6,FALSE)</f>
        <v>Interruptor Diferencial 2x25A - 30mA - clase AC - FH202-AC-25A-30mA - marca ABB.</v>
      </c>
      <c r="D562" s="2466" t="s">
        <v>1109</v>
      </c>
      <c r="E562" s="1871">
        <f>VLOOKUP(D562,base_datos,5,FALSE)</f>
        <v>24.41</v>
      </c>
      <c r="F562" s="1878">
        <f>+E562*B562</f>
        <v>97.64</v>
      </c>
      <c r="G562" s="860"/>
      <c r="H562" s="860"/>
      <c r="I562" s="860"/>
      <c r="J562" s="1420"/>
      <c r="K562" s="843">
        <f>K561</f>
        <v>1</v>
      </c>
      <c r="L562" s="412">
        <v>1</v>
      </c>
      <c r="M562" s="843">
        <f t="shared" si="111"/>
        <v>4</v>
      </c>
      <c r="N562" s="890">
        <f t="shared" si="101"/>
        <v>4</v>
      </c>
      <c r="O562" s="344" t="str">
        <f t="shared" si="102"/>
        <v>1TMF202006R1250</v>
      </c>
      <c r="P562" s="344" t="str">
        <f t="shared" si="103"/>
        <v>Interruptor Diferencial 2x25A - 30mA - clase AC - FH202-AC-25A-30mA - marca ABB.</v>
      </c>
      <c r="Q562" s="195" t="str">
        <f t="shared" si="104"/>
        <v>FH202-AC-25A-30mA</v>
      </c>
      <c r="R562" s="195"/>
    </row>
    <row r="563" spans="1:18" s="2340" customFormat="1">
      <c r="A563" s="856"/>
      <c r="B563" s="2443">
        <v>1</v>
      </c>
      <c r="C563" s="2444" t="str">
        <f>VLOOKUP(D563,base_datos,6,FALSE)</f>
        <v>Espacio de reserva monofasica + interruptor diferencial - Riel-Din.</v>
      </c>
      <c r="D563" s="2468" t="s">
        <v>3069</v>
      </c>
      <c r="E563" s="2497">
        <f>VLOOKUP(D563,base_datos,5,FALSE)</f>
        <v>2.5</v>
      </c>
      <c r="F563" s="2498">
        <f>+E563*B563</f>
        <v>2.5</v>
      </c>
      <c r="G563" s="2338"/>
      <c r="H563" s="2338"/>
      <c r="I563" s="2338"/>
      <c r="J563" s="2339"/>
      <c r="K563" s="843">
        <f t="shared" ref="K563:K578" si="113">K562</f>
        <v>1</v>
      </c>
      <c r="L563" s="412">
        <v>1</v>
      </c>
      <c r="M563" s="843">
        <f t="shared" si="111"/>
        <v>1</v>
      </c>
      <c r="N563" s="890" t="str">
        <f t="shared" si="101"/>
        <v/>
      </c>
      <c r="O563" s="344" t="str">
        <f t="shared" si="102"/>
        <v/>
      </c>
      <c r="P563" s="344" t="str">
        <f t="shared" si="103"/>
        <v/>
      </c>
      <c r="Q563" s="195" t="str">
        <f t="shared" si="104"/>
        <v/>
      </c>
      <c r="R563" s="195"/>
    </row>
    <row r="564" spans="1:18" s="870" customFormat="1">
      <c r="A564" s="856"/>
      <c r="B564" s="866">
        <v>1</v>
      </c>
      <c r="C564" s="867" t="s">
        <v>9501</v>
      </c>
      <c r="D564" s="1896"/>
      <c r="E564" s="180">
        <v>59</v>
      </c>
      <c r="F564" s="1921">
        <f>+E564*B564</f>
        <v>59</v>
      </c>
      <c r="G564" s="868"/>
      <c r="H564" s="868"/>
      <c r="I564" s="868"/>
      <c r="J564" s="869"/>
      <c r="K564" s="843">
        <f t="shared" si="113"/>
        <v>1</v>
      </c>
      <c r="L564" s="412">
        <v>1</v>
      </c>
      <c r="M564" s="843">
        <f t="shared" si="111"/>
        <v>1</v>
      </c>
      <c r="N564" s="890" t="str">
        <f t="shared" si="101"/>
        <v/>
      </c>
      <c r="O564" s="344" t="str">
        <f t="shared" si="102"/>
        <v/>
      </c>
      <c r="P564" s="344" t="str">
        <f t="shared" si="103"/>
        <v/>
      </c>
      <c r="Q564" s="195" t="str">
        <f t="shared" si="104"/>
        <v/>
      </c>
    </row>
    <row r="565" spans="1:18" s="195" customFormat="1">
      <c r="A565" s="1873"/>
      <c r="B565" s="895"/>
      <c r="C565" s="337" t="s">
        <v>729</v>
      </c>
      <c r="D565" s="182"/>
      <c r="E565" s="1874"/>
      <c r="F565" s="1875"/>
      <c r="G565" s="891"/>
      <c r="H565" s="891"/>
      <c r="I565" s="891"/>
      <c r="J565" s="892"/>
      <c r="K565" s="843">
        <f t="shared" si="113"/>
        <v>1</v>
      </c>
      <c r="L565" s="412">
        <v>1</v>
      </c>
      <c r="M565" s="843">
        <f t="shared" si="111"/>
        <v>1</v>
      </c>
      <c r="N565" s="890" t="str">
        <f t="shared" si="101"/>
        <v/>
      </c>
      <c r="O565" s="344" t="str">
        <f t="shared" si="102"/>
        <v/>
      </c>
      <c r="P565" s="344" t="str">
        <f t="shared" si="103"/>
        <v/>
      </c>
      <c r="Q565" s="195" t="str">
        <f t="shared" si="104"/>
        <v/>
      </c>
    </row>
    <row r="566" spans="1:18" s="862" customFormat="1">
      <c r="A566" s="1873"/>
      <c r="B566" s="820"/>
      <c r="C566" s="859" t="s">
        <v>3206</v>
      </c>
      <c r="D566" s="1876"/>
      <c r="E566" s="1877"/>
      <c r="F566" s="1878"/>
      <c r="G566" s="860"/>
      <c r="H566" s="860"/>
      <c r="I566" s="860"/>
      <c r="J566" s="861"/>
      <c r="K566" s="843">
        <f t="shared" si="113"/>
        <v>1</v>
      </c>
      <c r="L566" s="412">
        <v>1</v>
      </c>
      <c r="M566" s="843">
        <f t="shared" si="111"/>
        <v>1</v>
      </c>
      <c r="N566" s="890" t="str">
        <f t="shared" si="101"/>
        <v/>
      </c>
      <c r="O566" s="344" t="str">
        <f t="shared" si="102"/>
        <v/>
      </c>
      <c r="P566" s="344" t="str">
        <f t="shared" si="103"/>
        <v/>
      </c>
      <c r="Q566" s="195" t="str">
        <f t="shared" si="104"/>
        <v/>
      </c>
      <c r="R566" s="195"/>
    </row>
    <row r="567" spans="1:18" s="862" customFormat="1">
      <c r="A567" s="856"/>
      <c r="B567" s="1122">
        <v>2</v>
      </c>
      <c r="C567" s="857" t="str">
        <f t="shared" ref="C567:C573" si="114">VLOOKUP(D567,base_datos,6,FALSE)</f>
        <v>Interruptor Horario Digital - marca GRASSLIN.</v>
      </c>
      <c r="D567" s="1876" t="s">
        <v>1860</v>
      </c>
      <c r="E567" s="1871">
        <f t="shared" ref="E567:E573" si="115">VLOOKUP(D567,base_datos,5,FALSE)</f>
        <v>61.78</v>
      </c>
      <c r="F567" s="1878">
        <f t="shared" ref="F567:F573" si="116">+E567*B567</f>
        <v>123.56</v>
      </c>
      <c r="G567" s="860"/>
      <c r="H567" s="860"/>
      <c r="I567" s="860"/>
      <c r="J567" s="1420"/>
      <c r="K567" s="843">
        <f t="shared" si="113"/>
        <v>1</v>
      </c>
      <c r="L567" s="412">
        <v>1</v>
      </c>
      <c r="M567" s="843">
        <f t="shared" si="111"/>
        <v>2</v>
      </c>
      <c r="N567" s="890">
        <f t="shared" si="101"/>
        <v>2</v>
      </c>
      <c r="O567" s="344" t="str">
        <f t="shared" si="102"/>
        <v>IH_GRASSLIN</v>
      </c>
      <c r="P567" s="344" t="str">
        <f t="shared" si="103"/>
        <v>Interruptor Horario Digital - marca GRASSLIN.</v>
      </c>
      <c r="Q567" s="195" t="str">
        <f t="shared" si="104"/>
        <v>IH_GRASSLIN</v>
      </c>
      <c r="R567" s="195"/>
    </row>
    <row r="568" spans="1:18" s="862" customFormat="1">
      <c r="A568" s="2370"/>
      <c r="B568" s="1122">
        <v>1</v>
      </c>
      <c r="C568" s="857" t="str">
        <f t="shared" si="114"/>
        <v>Contactor 3x26A(AC-3) / 3x45A(AC-1) +1NA - AF26-30-10-13 - bobina 100-250Vac/dc - marca ABB.</v>
      </c>
      <c r="D568" s="1876" t="s">
        <v>1477</v>
      </c>
      <c r="E568" s="1871">
        <f t="shared" si="115"/>
        <v>56.75</v>
      </c>
      <c r="F568" s="1878">
        <f t="shared" si="116"/>
        <v>56.75</v>
      </c>
      <c r="G568" s="860"/>
      <c r="H568" s="860"/>
      <c r="I568" s="860"/>
      <c r="J568" s="1420"/>
      <c r="K568" s="843">
        <f>K566</f>
        <v>1</v>
      </c>
      <c r="L568" s="412">
        <v>1</v>
      </c>
      <c r="M568" s="843">
        <f t="shared" si="111"/>
        <v>1</v>
      </c>
      <c r="N568" s="890">
        <f t="shared" si="101"/>
        <v>1</v>
      </c>
      <c r="O568" s="344" t="str">
        <f t="shared" si="102"/>
        <v>1SBL237001P1310</v>
      </c>
      <c r="P568" s="344" t="str">
        <f t="shared" si="103"/>
        <v>Contactor 3x26A(AC-3) / 3x45A(AC-1) +1NA - AF26-30-10-13 - bobina 100-250Vac/dc - marca ABB.</v>
      </c>
      <c r="Q568" s="195" t="str">
        <f t="shared" si="104"/>
        <v>AF26-30-10-13_3p</v>
      </c>
      <c r="R568" s="195"/>
    </row>
    <row r="569" spans="1:18" s="862" customFormat="1">
      <c r="A569" s="865"/>
      <c r="B569" s="1122">
        <v>1</v>
      </c>
      <c r="C569" s="857" t="str">
        <f t="shared" si="114"/>
        <v>Contactor 3x09A(AC-3) / 3x25A(AC-1) +1NA - AF09-30-10-13 - bobina 100-250Vac/dc - marca ABB.</v>
      </c>
      <c r="D569" s="1876" t="s">
        <v>1474</v>
      </c>
      <c r="E569" s="1871">
        <f t="shared" si="115"/>
        <v>24.680000000000003</v>
      </c>
      <c r="F569" s="1878">
        <f t="shared" si="116"/>
        <v>24.680000000000003</v>
      </c>
      <c r="G569" s="860"/>
      <c r="H569" s="860"/>
      <c r="I569" s="860"/>
      <c r="J569" s="1420"/>
      <c r="K569" s="843">
        <f>K567</f>
        <v>1</v>
      </c>
      <c r="L569" s="412">
        <v>1</v>
      </c>
      <c r="M569" s="843">
        <f t="shared" si="111"/>
        <v>1</v>
      </c>
      <c r="N569" s="890">
        <f t="shared" si="101"/>
        <v>1</v>
      </c>
      <c r="O569" s="344" t="str">
        <f t="shared" si="102"/>
        <v>1SBL137001R1310</v>
      </c>
      <c r="P569" s="344" t="str">
        <f t="shared" si="103"/>
        <v>Contactor 3x09A(AC-3) / 3x25A(AC-1) +1NA - AF09-30-10-13 - bobina 100-250Vac/dc - marca ABB.</v>
      </c>
      <c r="Q569" s="195" t="str">
        <f t="shared" si="104"/>
        <v>AF09-30-10-13_3p</v>
      </c>
      <c r="R569" s="195"/>
    </row>
    <row r="570" spans="1:18" s="862" customFormat="1">
      <c r="A570" s="865"/>
      <c r="B570" s="1122">
        <v>2</v>
      </c>
      <c r="C570" s="857" t="str">
        <f t="shared" si="114"/>
        <v>Selector tres posiciones "M-0-A" o "1-0-2".</v>
      </c>
      <c r="D570" s="1876" t="s">
        <v>446</v>
      </c>
      <c r="E570" s="1871">
        <f t="shared" si="115"/>
        <v>28</v>
      </c>
      <c r="F570" s="1878">
        <f t="shared" si="116"/>
        <v>56</v>
      </c>
      <c r="G570" s="860"/>
      <c r="H570" s="860"/>
      <c r="I570" s="860"/>
      <c r="J570" s="1420"/>
      <c r="K570" s="843">
        <f t="shared" si="113"/>
        <v>1</v>
      </c>
      <c r="L570" s="412">
        <v>1</v>
      </c>
      <c r="M570" s="843">
        <f t="shared" si="111"/>
        <v>2</v>
      </c>
      <c r="N570" s="890" t="str">
        <f t="shared" si="101"/>
        <v/>
      </c>
      <c r="O570" s="344" t="str">
        <f t="shared" si="102"/>
        <v/>
      </c>
      <c r="P570" s="344" t="str">
        <f t="shared" si="103"/>
        <v/>
      </c>
      <c r="Q570" s="195" t="str">
        <f t="shared" si="104"/>
        <v/>
      </c>
      <c r="R570" s="195"/>
    </row>
    <row r="571" spans="1:18" s="862" customFormat="1">
      <c r="A571" s="2366"/>
      <c r="B571" s="1122">
        <v>2</v>
      </c>
      <c r="C571" s="857" t="str">
        <f t="shared" si="114"/>
        <v>Pulsador doble Start/Stop (Rojo/Verde) sin iluminación + contacto 1NA+1NC.</v>
      </c>
      <c r="D571" s="1876" t="s">
        <v>8359</v>
      </c>
      <c r="E571" s="1871">
        <f t="shared" si="115"/>
        <v>38</v>
      </c>
      <c r="F571" s="1878">
        <f t="shared" si="116"/>
        <v>76</v>
      </c>
      <c r="G571" s="860"/>
      <c r="H571" s="860"/>
      <c r="I571" s="860"/>
      <c r="J571" s="1420"/>
      <c r="K571" s="843">
        <f t="shared" si="113"/>
        <v>1</v>
      </c>
      <c r="L571" s="412">
        <v>1</v>
      </c>
      <c r="M571" s="843">
        <f t="shared" si="111"/>
        <v>2</v>
      </c>
      <c r="N571" s="890" t="str">
        <f t="shared" si="101"/>
        <v/>
      </c>
      <c r="O571" s="344" t="str">
        <f t="shared" si="102"/>
        <v/>
      </c>
      <c r="P571" s="344" t="str">
        <f t="shared" si="103"/>
        <v/>
      </c>
      <c r="Q571" s="195" t="str">
        <f t="shared" si="104"/>
        <v/>
      </c>
      <c r="R571" s="195"/>
    </row>
    <row r="572" spans="1:18" s="344" customFormat="1">
      <c r="A572" s="865"/>
      <c r="B572" s="1122">
        <v>4</v>
      </c>
      <c r="C572" s="904" t="str">
        <f t="shared" si="114"/>
        <v>Base portafusibles + Fusibles de protección para control.</v>
      </c>
      <c r="D572" s="1881" t="s">
        <v>453</v>
      </c>
      <c r="E572" s="1892">
        <f t="shared" si="115"/>
        <v>6.5373900000000003</v>
      </c>
      <c r="F572" s="1893">
        <f t="shared" si="116"/>
        <v>26.149560000000001</v>
      </c>
      <c r="G572" s="905"/>
      <c r="H572" s="905"/>
      <c r="I572" s="905"/>
      <c r="J572" s="906"/>
      <c r="K572" s="843">
        <f t="shared" si="113"/>
        <v>1</v>
      </c>
      <c r="L572" s="412">
        <f>L570</f>
        <v>1</v>
      </c>
      <c r="M572" s="843">
        <f t="shared" si="111"/>
        <v>4</v>
      </c>
      <c r="N572" s="890" t="str">
        <f t="shared" si="101"/>
        <v/>
      </c>
      <c r="O572" s="344" t="str">
        <f t="shared" si="102"/>
        <v/>
      </c>
      <c r="P572" s="344" t="str">
        <f t="shared" si="103"/>
        <v/>
      </c>
      <c r="Q572" s="195" t="str">
        <f t="shared" si="104"/>
        <v/>
      </c>
      <c r="R572" s="195"/>
    </row>
    <row r="573" spans="1:18" s="344" customFormat="1">
      <c r="A573" s="865"/>
      <c r="B573" s="1122">
        <v>2</v>
      </c>
      <c r="C573" s="904" t="str">
        <f t="shared" si="114"/>
        <v>Borne 4mm2.</v>
      </c>
      <c r="D573" s="1881" t="s">
        <v>437</v>
      </c>
      <c r="E573" s="1892">
        <f t="shared" si="115"/>
        <v>2.5</v>
      </c>
      <c r="F573" s="1893">
        <f t="shared" si="116"/>
        <v>5</v>
      </c>
      <c r="G573" s="905"/>
      <c r="H573" s="905"/>
      <c r="I573" s="905"/>
      <c r="J573" s="906"/>
      <c r="K573" s="843">
        <f t="shared" si="113"/>
        <v>1</v>
      </c>
      <c r="L573" s="412">
        <f>L571</f>
        <v>1</v>
      </c>
      <c r="M573" s="843">
        <f t="shared" si="111"/>
        <v>2</v>
      </c>
      <c r="N573" s="890" t="str">
        <f t="shared" si="101"/>
        <v/>
      </c>
      <c r="O573" s="344" t="str">
        <f t="shared" si="102"/>
        <v/>
      </c>
      <c r="P573" s="344" t="str">
        <f t="shared" si="103"/>
        <v/>
      </c>
      <c r="Q573" s="195" t="str">
        <f t="shared" si="104"/>
        <v/>
      </c>
      <c r="R573" s="195"/>
    </row>
    <row r="574" spans="1:18" s="195" customFormat="1">
      <c r="A574" s="1108"/>
      <c r="B574" s="895"/>
      <c r="C574" s="337" t="s">
        <v>729</v>
      </c>
      <c r="D574" s="182"/>
      <c r="E574" s="1874"/>
      <c r="F574" s="1875"/>
      <c r="G574" s="891"/>
      <c r="H574" s="891"/>
      <c r="I574" s="891"/>
      <c r="J574" s="892"/>
      <c r="K574" s="843">
        <f t="shared" si="113"/>
        <v>1</v>
      </c>
      <c r="L574" s="888">
        <v>1</v>
      </c>
      <c r="M574" s="889">
        <f t="shared" si="111"/>
        <v>1</v>
      </c>
      <c r="N574" s="890" t="str">
        <f t="shared" si="101"/>
        <v/>
      </c>
      <c r="O574" s="344" t="str">
        <f t="shared" si="102"/>
        <v/>
      </c>
      <c r="P574" s="344" t="str">
        <f t="shared" si="103"/>
        <v/>
      </c>
      <c r="Q574" s="195" t="str">
        <f t="shared" si="104"/>
        <v/>
      </c>
    </row>
    <row r="575" spans="1:18" s="870" customFormat="1">
      <c r="A575" s="865"/>
      <c r="B575" s="2385">
        <v>1</v>
      </c>
      <c r="C575" s="2386" t="s">
        <v>316</v>
      </c>
      <c r="D575" s="2387"/>
      <c r="E575" s="1892"/>
      <c r="F575" s="1901"/>
      <c r="G575" s="2396"/>
      <c r="H575" s="2396"/>
      <c r="I575" s="2396"/>
      <c r="J575" s="2397"/>
      <c r="K575" s="843">
        <f t="shared" si="113"/>
        <v>1</v>
      </c>
      <c r="L575" s="412">
        <v>1</v>
      </c>
      <c r="M575" s="843">
        <f t="shared" si="111"/>
        <v>1</v>
      </c>
      <c r="N575" s="890" t="str">
        <f t="shared" si="101"/>
        <v/>
      </c>
      <c r="O575" s="344" t="str">
        <f t="shared" si="102"/>
        <v/>
      </c>
      <c r="P575" s="344" t="str">
        <f t="shared" si="103"/>
        <v/>
      </c>
      <c r="Q575" s="195" t="str">
        <f t="shared" si="104"/>
        <v/>
      </c>
      <c r="R575" s="195"/>
    </row>
    <row r="576" spans="1:18" s="195" customFormat="1">
      <c r="A576" s="1108"/>
      <c r="B576" s="895"/>
      <c r="C576" s="337" t="s">
        <v>729</v>
      </c>
      <c r="D576" s="182"/>
      <c r="E576" s="1874"/>
      <c r="F576" s="1875"/>
      <c r="G576" s="891"/>
      <c r="H576" s="891"/>
      <c r="I576" s="891"/>
      <c r="J576" s="892"/>
      <c r="K576" s="843">
        <f t="shared" si="113"/>
        <v>1</v>
      </c>
      <c r="L576" s="888">
        <v>1</v>
      </c>
      <c r="M576" s="889">
        <f t="shared" si="111"/>
        <v>1</v>
      </c>
      <c r="N576" s="890" t="str">
        <f t="shared" si="101"/>
        <v/>
      </c>
      <c r="O576" s="344" t="str">
        <f t="shared" si="102"/>
        <v/>
      </c>
      <c r="P576" s="344" t="str">
        <f t="shared" si="103"/>
        <v/>
      </c>
      <c r="Q576" s="195" t="str">
        <f t="shared" si="104"/>
        <v/>
      </c>
    </row>
    <row r="577" spans="1:18" s="1088" customFormat="1">
      <c r="A577" s="865"/>
      <c r="B577" s="1085">
        <v>19</v>
      </c>
      <c r="C577" s="904" t="str">
        <f>VLOOKUP(D577,base_datos,6,FALSE)</f>
        <v>Rotulado por circuito.</v>
      </c>
      <c r="D577" s="1881" t="s">
        <v>3210</v>
      </c>
      <c r="E577" s="1892">
        <f>VLOOKUP(D577,base_datos,5,FALSE)</f>
        <v>0.7</v>
      </c>
      <c r="F577" s="1893">
        <f>+E577*B577</f>
        <v>13.299999999999999</v>
      </c>
      <c r="G577" s="1086"/>
      <c r="H577" s="1086"/>
      <c r="I577" s="1086"/>
      <c r="J577" s="1087"/>
      <c r="K577" s="843">
        <f t="shared" si="113"/>
        <v>1</v>
      </c>
      <c r="L577" s="888">
        <v>1</v>
      </c>
      <c r="M577" s="889">
        <f t="shared" si="111"/>
        <v>19</v>
      </c>
      <c r="N577" s="890" t="str">
        <f t="shared" si="101"/>
        <v/>
      </c>
      <c r="O577" s="344" t="str">
        <f t="shared" si="102"/>
        <v/>
      </c>
      <c r="P577" s="344" t="str">
        <f t="shared" si="103"/>
        <v/>
      </c>
      <c r="Q577" s="195" t="str">
        <f t="shared" si="104"/>
        <v/>
      </c>
    </row>
    <row r="578" spans="1:18" s="1088" customFormat="1">
      <c r="A578" s="865"/>
      <c r="B578" s="1085">
        <v>1</v>
      </c>
      <c r="C578" s="904" t="str">
        <f>VLOOKUP(D578,base_datos,6,FALSE)</f>
        <v>Rotulado para TAG - tablero de distribución.</v>
      </c>
      <c r="D578" s="1881" t="s">
        <v>3209</v>
      </c>
      <c r="E578" s="1892">
        <f>VLOOKUP(D578,base_datos,5,FALSE)</f>
        <v>1.5</v>
      </c>
      <c r="F578" s="1893">
        <f>+E578*B578</f>
        <v>1.5</v>
      </c>
      <c r="G578" s="1086"/>
      <c r="H578" s="1086"/>
      <c r="I578" s="1086"/>
      <c r="J578" s="1087"/>
      <c r="K578" s="843">
        <f t="shared" si="113"/>
        <v>1</v>
      </c>
      <c r="L578" s="888">
        <v>1</v>
      </c>
      <c r="M578" s="889">
        <f t="shared" si="111"/>
        <v>1</v>
      </c>
      <c r="N578" s="890" t="str">
        <f t="shared" si="101"/>
        <v/>
      </c>
      <c r="O578" s="344" t="str">
        <f t="shared" si="102"/>
        <v/>
      </c>
      <c r="P578" s="344" t="str">
        <f t="shared" si="103"/>
        <v/>
      </c>
      <c r="Q578" s="195" t="str">
        <f t="shared" si="104"/>
        <v/>
      </c>
    </row>
    <row r="579" spans="1:18" s="1479" customFormat="1">
      <c r="A579" s="1128"/>
      <c r="B579" s="1412">
        <v>1</v>
      </c>
      <c r="C579" s="1417" t="s">
        <v>5302</v>
      </c>
      <c r="D579" s="1900"/>
      <c r="E579" s="1901">
        <f>E580*15%</f>
        <v>19.5</v>
      </c>
      <c r="F579" s="1901">
        <f>+E579*B579</f>
        <v>19.5</v>
      </c>
      <c r="G579" s="1902"/>
      <c r="H579" s="1902"/>
      <c r="I579" s="1902"/>
      <c r="J579" s="1414"/>
      <c r="K579" s="889">
        <f>K577</f>
        <v>1</v>
      </c>
      <c r="L579" s="888">
        <v>1</v>
      </c>
      <c r="M579" s="889">
        <f t="shared" si="111"/>
        <v>1</v>
      </c>
      <c r="N579" s="890" t="str">
        <f t="shared" si="101"/>
        <v/>
      </c>
      <c r="O579" s="344" t="str">
        <f t="shared" si="102"/>
        <v/>
      </c>
      <c r="P579" s="344" t="str">
        <f t="shared" si="103"/>
        <v/>
      </c>
      <c r="Q579" s="195" t="str">
        <f t="shared" si="104"/>
        <v/>
      </c>
    </row>
    <row r="580" spans="1:18" s="1479" customFormat="1">
      <c r="A580" s="1128"/>
      <c r="B580" s="2499">
        <v>1</v>
      </c>
      <c r="C580" s="867" t="s">
        <v>14192</v>
      </c>
      <c r="D580" s="2500"/>
      <c r="E580" s="1892">
        <v>130</v>
      </c>
      <c r="F580" s="1921">
        <f>+E580*B580</f>
        <v>130</v>
      </c>
      <c r="G580" s="1413"/>
      <c r="H580" s="1413"/>
      <c r="I580" s="1413"/>
      <c r="J580" s="1414"/>
      <c r="K580" s="843">
        <f>K578</f>
        <v>1</v>
      </c>
      <c r="L580" s="888">
        <v>1</v>
      </c>
      <c r="M580" s="889">
        <f t="shared" si="111"/>
        <v>1</v>
      </c>
      <c r="N580" s="890" t="str">
        <f t="shared" si="101"/>
        <v/>
      </c>
      <c r="O580" s="344" t="str">
        <f t="shared" si="102"/>
        <v/>
      </c>
      <c r="P580" s="344" t="str">
        <f t="shared" si="103"/>
        <v/>
      </c>
      <c r="Q580" s="195" t="str">
        <f t="shared" si="104"/>
        <v/>
      </c>
    </row>
    <row r="581" spans="1:18" s="126" customFormat="1" ht="13.5" thickBot="1">
      <c r="A581" s="1106"/>
      <c r="B581" s="1916"/>
      <c r="C581" s="1909"/>
      <c r="D581" s="1917"/>
      <c r="E581" s="873"/>
      <c r="F581" s="873"/>
      <c r="G581" s="1918"/>
      <c r="H581" s="1918"/>
      <c r="I581" s="1918"/>
      <c r="J581" s="1910"/>
      <c r="K581" s="1119"/>
      <c r="L581" s="412"/>
      <c r="M581" s="843"/>
      <c r="N581" s="890" t="str">
        <f t="shared" si="101"/>
        <v/>
      </c>
      <c r="O581" s="344" t="str">
        <f t="shared" si="102"/>
        <v/>
      </c>
      <c r="P581" s="344" t="str">
        <f t="shared" si="103"/>
        <v/>
      </c>
      <c r="Q581" s="195" t="str">
        <f t="shared" si="104"/>
        <v/>
      </c>
      <c r="R581" s="195"/>
    </row>
    <row r="582" spans="1:18" s="126" customFormat="1" ht="13.5" thickBot="1">
      <c r="A582" s="1923">
        <v>19</v>
      </c>
      <c r="B582" s="1920">
        <v>1</v>
      </c>
      <c r="C582" s="846" t="s">
        <v>14193</v>
      </c>
      <c r="D582" s="2495"/>
      <c r="E582" s="2496"/>
      <c r="F582" s="2496"/>
      <c r="G582" s="849">
        <f>SUM(F583:F606)</f>
        <v>474.36478000000005</v>
      </c>
      <c r="H582" s="1161">
        <f>G582*(1-$D$6)</f>
        <v>355.77358500000003</v>
      </c>
      <c r="I582" s="849">
        <f>ROUNDUP(H582*$D$5,0)</f>
        <v>1210</v>
      </c>
      <c r="J582" s="850">
        <f>+I582*B582</f>
        <v>1210</v>
      </c>
      <c r="K582" s="851">
        <f>B582</f>
        <v>1</v>
      </c>
      <c r="L582" s="412"/>
      <c r="M582" s="843"/>
      <c r="N582" s="890" t="str">
        <f t="shared" si="101"/>
        <v/>
      </c>
      <c r="O582" s="344" t="str">
        <f t="shared" si="102"/>
        <v/>
      </c>
      <c r="P582" s="344" t="str">
        <f t="shared" si="103"/>
        <v/>
      </c>
      <c r="Q582" s="195" t="str">
        <f t="shared" si="104"/>
        <v/>
      </c>
      <c r="R582" s="195"/>
    </row>
    <row r="583" spans="1:18" s="126" customFormat="1">
      <c r="A583" s="852" t="s">
        <v>3207</v>
      </c>
      <c r="B583" s="1418"/>
      <c r="C583" s="853"/>
      <c r="D583" s="1911"/>
      <c r="E583" s="1890"/>
      <c r="F583" s="1890"/>
      <c r="G583" s="854"/>
      <c r="H583" s="854"/>
      <c r="I583" s="854"/>
      <c r="J583" s="855"/>
      <c r="K583" s="843">
        <f>K582</f>
        <v>1</v>
      </c>
      <c r="L583" s="412">
        <v>1</v>
      </c>
      <c r="M583" s="843">
        <f>IF(B583="",1,B583)</f>
        <v>1</v>
      </c>
      <c r="N583" s="890" t="str">
        <f t="shared" si="101"/>
        <v/>
      </c>
      <c r="O583" s="344" t="str">
        <f t="shared" si="102"/>
        <v/>
      </c>
      <c r="P583" s="344" t="str">
        <f t="shared" si="103"/>
        <v/>
      </c>
      <c r="Q583" s="195" t="str">
        <f t="shared" si="104"/>
        <v/>
      </c>
      <c r="R583" s="195"/>
    </row>
    <row r="584" spans="1:18" s="126" customFormat="1">
      <c r="A584" s="856" t="s">
        <v>4059</v>
      </c>
      <c r="B584" s="1122"/>
      <c r="C584" s="1419" t="s">
        <v>3301</v>
      </c>
      <c r="D584" s="1891"/>
      <c r="E584" s="1878"/>
      <c r="F584" s="1878"/>
      <c r="G584" s="854"/>
      <c r="H584" s="854"/>
      <c r="I584" s="854"/>
      <c r="J584" s="858"/>
      <c r="K584" s="843">
        <f>K583</f>
        <v>1</v>
      </c>
      <c r="L584" s="412">
        <v>1</v>
      </c>
      <c r="M584" s="843">
        <f t="shared" ref="M584:M606" si="117">IF(B584="",1,B584)</f>
        <v>1</v>
      </c>
      <c r="N584" s="890" t="str">
        <f t="shared" si="101"/>
        <v/>
      </c>
      <c r="O584" s="344" t="str">
        <f t="shared" si="102"/>
        <v/>
      </c>
      <c r="P584" s="344" t="str">
        <f t="shared" si="103"/>
        <v/>
      </c>
      <c r="Q584" s="195" t="str">
        <f t="shared" si="104"/>
        <v/>
      </c>
      <c r="R584" s="195"/>
    </row>
    <row r="585" spans="1:18" s="862" customFormat="1">
      <c r="A585" s="856" t="s">
        <v>4321</v>
      </c>
      <c r="B585" s="1122">
        <v>1</v>
      </c>
      <c r="C585" s="857" t="str">
        <f>VLOOKUP(D585,base_datos,6,FALSE)</f>
        <v>ITM Riel-Din 3x32A - SH203-C-32A - 10kA@230Vac, 6kA@400Vac-IEC60898 - marca ABB.</v>
      </c>
      <c r="D585" s="1894" t="s">
        <v>1069</v>
      </c>
      <c r="E585" s="1871">
        <f>VLOOKUP(D585,base_datos,5,FALSE)</f>
        <v>15.379999999999999</v>
      </c>
      <c r="F585" s="1878">
        <f>+E585*B585</f>
        <v>15.379999999999999</v>
      </c>
      <c r="G585" s="860"/>
      <c r="H585" s="860"/>
      <c r="I585" s="860"/>
      <c r="J585" s="861"/>
      <c r="K585" s="843">
        <f t="shared" ref="K585:K587" si="118">K584</f>
        <v>1</v>
      </c>
      <c r="L585" s="412">
        <v>1</v>
      </c>
      <c r="M585" s="843">
        <f t="shared" si="117"/>
        <v>1</v>
      </c>
      <c r="N585" s="890">
        <f t="shared" si="101"/>
        <v>1</v>
      </c>
      <c r="O585" s="344" t="str">
        <f t="shared" si="102"/>
        <v>2CDS213001R0324</v>
      </c>
      <c r="P585" s="344" t="str">
        <f t="shared" si="103"/>
        <v>ITM Riel-Din 3x32A - SH203-C-32A - 10kA@230Vac, 6kA@400Vac-IEC60898 - marca ABB.</v>
      </c>
      <c r="Q585" s="195" t="str">
        <f t="shared" si="104"/>
        <v>SH203-C-32A</v>
      </c>
      <c r="R585" s="195"/>
    </row>
    <row r="586" spans="1:18" s="195" customFormat="1">
      <c r="A586" s="1108"/>
      <c r="B586" s="895"/>
      <c r="C586" s="337" t="s">
        <v>729</v>
      </c>
      <c r="D586" s="182"/>
      <c r="E586" s="1874"/>
      <c r="F586" s="1875"/>
      <c r="G586" s="891"/>
      <c r="H586" s="891"/>
      <c r="I586" s="891"/>
      <c r="J586" s="892"/>
      <c r="K586" s="843">
        <f t="shared" si="118"/>
        <v>1</v>
      </c>
      <c r="L586" s="888">
        <v>1</v>
      </c>
      <c r="M586" s="843">
        <f t="shared" si="117"/>
        <v>1</v>
      </c>
      <c r="N586" s="890" t="str">
        <f t="shared" si="101"/>
        <v/>
      </c>
      <c r="O586" s="344" t="str">
        <f t="shared" si="102"/>
        <v/>
      </c>
      <c r="P586" s="344" t="str">
        <f t="shared" si="103"/>
        <v/>
      </c>
      <c r="Q586" s="195" t="str">
        <f t="shared" si="104"/>
        <v/>
      </c>
    </row>
    <row r="587" spans="1:18" s="862" customFormat="1">
      <c r="A587" s="856"/>
      <c r="B587" s="820"/>
      <c r="C587" s="859" t="s">
        <v>3535</v>
      </c>
      <c r="D587" s="1896"/>
      <c r="E587" s="1877"/>
      <c r="F587" s="1878">
        <f>+E587*B587</f>
        <v>0</v>
      </c>
      <c r="G587" s="860"/>
      <c r="H587" s="860"/>
      <c r="I587" s="860"/>
      <c r="J587" s="861"/>
      <c r="K587" s="843">
        <f t="shared" si="118"/>
        <v>1</v>
      </c>
      <c r="L587" s="412">
        <v>1</v>
      </c>
      <c r="M587" s="843">
        <f t="shared" si="117"/>
        <v>1</v>
      </c>
      <c r="N587" s="890" t="str">
        <f t="shared" si="101"/>
        <v/>
      </c>
      <c r="O587" s="344" t="str">
        <f t="shared" si="102"/>
        <v/>
      </c>
      <c r="P587" s="344" t="str">
        <f t="shared" si="103"/>
        <v/>
      </c>
      <c r="Q587" s="195" t="str">
        <f t="shared" si="104"/>
        <v/>
      </c>
      <c r="R587" s="195"/>
    </row>
    <row r="588" spans="1:18" s="862" customFormat="1">
      <c r="A588" s="856" t="s">
        <v>3725</v>
      </c>
      <c r="B588" s="1122">
        <v>3</v>
      </c>
      <c r="C588" s="857" t="str">
        <f>VLOOKUP(D588,base_datos,6,FALSE)</f>
        <v>ITM Riel-Din 2x20A - SH202-C-20A - 10kA@230Vac, 6kA@400Vac-IEC60898 - marca ABB.</v>
      </c>
      <c r="D588" s="1894" t="s">
        <v>1060</v>
      </c>
      <c r="E588" s="1871">
        <f>VLOOKUP(D588,base_datos,5,FALSE)</f>
        <v>6.54</v>
      </c>
      <c r="F588" s="1878">
        <f>+E588*B588</f>
        <v>19.62</v>
      </c>
      <c r="G588" s="860"/>
      <c r="H588" s="860"/>
      <c r="I588" s="860"/>
      <c r="J588" s="1420"/>
      <c r="K588" s="843">
        <f>K587</f>
        <v>1</v>
      </c>
      <c r="L588" s="412">
        <v>1</v>
      </c>
      <c r="M588" s="843">
        <f t="shared" si="117"/>
        <v>3</v>
      </c>
      <c r="N588" s="890">
        <f t="shared" si="101"/>
        <v>3</v>
      </c>
      <c r="O588" s="344" t="str">
        <f t="shared" si="102"/>
        <v>2CDS212001R0204</v>
      </c>
      <c r="P588" s="344" t="str">
        <f t="shared" si="103"/>
        <v>ITM Riel-Din 2x20A - SH202-C-20A - 10kA@230Vac, 6kA@400Vac-IEC60898 - marca ABB.</v>
      </c>
      <c r="Q588" s="195" t="str">
        <f t="shared" si="104"/>
        <v>SH202-C-20A</v>
      </c>
      <c r="R588" s="195"/>
    </row>
    <row r="589" spans="1:18" s="862" customFormat="1">
      <c r="A589" s="856" t="s">
        <v>3726</v>
      </c>
      <c r="B589" s="1122">
        <v>3</v>
      </c>
      <c r="C589" s="857" t="str">
        <f>VLOOKUP(D589,base_datos,6,FALSE)</f>
        <v>Interruptor Diferencial 2x25A - 30mA - clase AC - FH202-AC-25A-30mA - marca ABB.</v>
      </c>
      <c r="D589" s="2466" t="s">
        <v>1109</v>
      </c>
      <c r="E589" s="1871">
        <f>VLOOKUP(D589,base_datos,5,FALSE)</f>
        <v>24.41</v>
      </c>
      <c r="F589" s="1878">
        <f>+E589*B589</f>
        <v>73.23</v>
      </c>
      <c r="G589" s="860"/>
      <c r="H589" s="860"/>
      <c r="I589" s="860"/>
      <c r="J589" s="1420"/>
      <c r="K589" s="843">
        <f>K588</f>
        <v>1</v>
      </c>
      <c r="L589" s="412">
        <v>1</v>
      </c>
      <c r="M589" s="843">
        <f t="shared" si="117"/>
        <v>3</v>
      </c>
      <c r="N589" s="890">
        <f t="shared" ref="N589:N652" si="119">IF(O589&lt;&gt;"",K589*L589*M589,"")</f>
        <v>3</v>
      </c>
      <c r="O589" s="344" t="str">
        <f t="shared" si="102"/>
        <v>1TMF202006R1250</v>
      </c>
      <c r="P589" s="344" t="str">
        <f t="shared" si="103"/>
        <v>Interruptor Diferencial 2x25A - 30mA - clase AC - FH202-AC-25A-30mA - marca ABB.</v>
      </c>
      <c r="Q589" s="195" t="str">
        <f t="shared" si="104"/>
        <v>FH202-AC-25A-30mA</v>
      </c>
      <c r="R589" s="195"/>
    </row>
    <row r="590" spans="1:18" s="2340" customFormat="1">
      <c r="A590" s="856"/>
      <c r="B590" s="2443">
        <v>1</v>
      </c>
      <c r="C590" s="2444" t="str">
        <f>VLOOKUP(D590,base_datos,6,FALSE)</f>
        <v>Espacio de reserva monofasica + interruptor diferencial - Riel-Din.</v>
      </c>
      <c r="D590" s="2468" t="s">
        <v>3069</v>
      </c>
      <c r="E590" s="2497">
        <f>VLOOKUP(D590,base_datos,5,FALSE)</f>
        <v>2.5</v>
      </c>
      <c r="F590" s="2498">
        <f>+E590*B590</f>
        <v>2.5</v>
      </c>
      <c r="G590" s="2338"/>
      <c r="H590" s="2338"/>
      <c r="I590" s="2338"/>
      <c r="J590" s="2339"/>
      <c r="K590" s="843">
        <f t="shared" ref="K590:K594" si="120">K589</f>
        <v>1</v>
      </c>
      <c r="L590" s="412">
        <v>1</v>
      </c>
      <c r="M590" s="843">
        <f t="shared" si="117"/>
        <v>1</v>
      </c>
      <c r="N590" s="890" t="str">
        <f t="shared" si="119"/>
        <v/>
      </c>
      <c r="O590" s="344" t="str">
        <f t="shared" si="102"/>
        <v/>
      </c>
      <c r="P590" s="344" t="str">
        <f t="shared" si="103"/>
        <v/>
      </c>
      <c r="Q590" s="195" t="str">
        <f t="shared" si="104"/>
        <v/>
      </c>
      <c r="R590" s="195"/>
    </row>
    <row r="591" spans="1:18" s="870" customFormat="1">
      <c r="A591" s="856"/>
      <c r="B591" s="866">
        <v>1</v>
      </c>
      <c r="C591" s="867" t="s">
        <v>14134</v>
      </c>
      <c r="D591" s="1896"/>
      <c r="E591" s="180">
        <v>48</v>
      </c>
      <c r="F591" s="1921">
        <f>+E591*B591</f>
        <v>48</v>
      </c>
      <c r="G591" s="868"/>
      <c r="H591" s="868"/>
      <c r="I591" s="868"/>
      <c r="J591" s="869"/>
      <c r="K591" s="843">
        <f t="shared" si="120"/>
        <v>1</v>
      </c>
      <c r="L591" s="412">
        <v>1</v>
      </c>
      <c r="M591" s="843">
        <f t="shared" si="117"/>
        <v>1</v>
      </c>
      <c r="N591" s="890" t="str">
        <f t="shared" si="119"/>
        <v/>
      </c>
      <c r="O591" s="344" t="str">
        <f t="shared" ref="O591:O654" si="121">IF(D591&lt;&gt;"",IF(VLOOKUP(D591,base_datos,7,FALSE)&lt;&gt;"",VLOOKUP(D591,base_datos,7,FALSE),""),"")</f>
        <v/>
      </c>
      <c r="P591" s="344" t="str">
        <f t="shared" ref="P591:P654" si="122">IF(O591&lt;&gt;"",VLOOKUP(D591,base_datos,6,FALSE),"")</f>
        <v/>
      </c>
      <c r="Q591" s="195" t="str">
        <f t="shared" ref="Q591:Q654" si="123">IF(O591&lt;&gt;"",D591,"")</f>
        <v/>
      </c>
    </row>
    <row r="592" spans="1:18" s="195" customFormat="1">
      <c r="A592" s="1873"/>
      <c r="B592" s="895"/>
      <c r="C592" s="337" t="s">
        <v>729</v>
      </c>
      <c r="D592" s="182"/>
      <c r="E592" s="1874"/>
      <c r="F592" s="1875"/>
      <c r="G592" s="891"/>
      <c r="H592" s="891"/>
      <c r="I592" s="891"/>
      <c r="J592" s="892"/>
      <c r="K592" s="843">
        <f t="shared" si="120"/>
        <v>1</v>
      </c>
      <c r="L592" s="412">
        <v>1</v>
      </c>
      <c r="M592" s="843">
        <f t="shared" si="117"/>
        <v>1</v>
      </c>
      <c r="N592" s="890" t="str">
        <f t="shared" si="119"/>
        <v/>
      </c>
      <c r="O592" s="344" t="str">
        <f t="shared" si="121"/>
        <v/>
      </c>
      <c r="P592" s="344" t="str">
        <f t="shared" si="122"/>
        <v/>
      </c>
      <c r="Q592" s="195" t="str">
        <f t="shared" si="123"/>
        <v/>
      </c>
    </row>
    <row r="593" spans="1:18" s="862" customFormat="1">
      <c r="A593" s="1873"/>
      <c r="B593" s="820"/>
      <c r="C593" s="859" t="s">
        <v>3206</v>
      </c>
      <c r="D593" s="1876"/>
      <c r="E593" s="1877"/>
      <c r="F593" s="1878"/>
      <c r="G593" s="860"/>
      <c r="H593" s="860"/>
      <c r="I593" s="860"/>
      <c r="J593" s="861"/>
      <c r="K593" s="843">
        <f t="shared" si="120"/>
        <v>1</v>
      </c>
      <c r="L593" s="412">
        <v>1</v>
      </c>
      <c r="M593" s="843">
        <f t="shared" si="117"/>
        <v>1</v>
      </c>
      <c r="N593" s="890" t="str">
        <f t="shared" si="119"/>
        <v/>
      </c>
      <c r="O593" s="344" t="str">
        <f t="shared" si="121"/>
        <v/>
      </c>
      <c r="P593" s="344" t="str">
        <f t="shared" si="122"/>
        <v/>
      </c>
      <c r="Q593" s="195" t="str">
        <f t="shared" si="123"/>
        <v/>
      </c>
      <c r="R593" s="195"/>
    </row>
    <row r="594" spans="1:18" s="862" customFormat="1">
      <c r="A594" s="856"/>
      <c r="B594" s="1122">
        <v>1</v>
      </c>
      <c r="C594" s="857" t="str">
        <f t="shared" ref="C594:C599" si="124">VLOOKUP(D594,base_datos,6,FALSE)</f>
        <v>Interruptor Horario Digital - marca GRASSLIN.</v>
      </c>
      <c r="D594" s="1876" t="s">
        <v>1860</v>
      </c>
      <c r="E594" s="1871">
        <f t="shared" ref="E594:E599" si="125">VLOOKUP(D594,base_datos,5,FALSE)</f>
        <v>61.78</v>
      </c>
      <c r="F594" s="1878">
        <f t="shared" ref="F594:F599" si="126">+E594*B594</f>
        <v>61.78</v>
      </c>
      <c r="G594" s="860"/>
      <c r="H594" s="860"/>
      <c r="I594" s="860"/>
      <c r="J594" s="1420"/>
      <c r="K594" s="843">
        <f t="shared" si="120"/>
        <v>1</v>
      </c>
      <c r="L594" s="412">
        <v>1</v>
      </c>
      <c r="M594" s="843">
        <f t="shared" si="117"/>
        <v>1</v>
      </c>
      <c r="N594" s="890">
        <f t="shared" si="119"/>
        <v>1</v>
      </c>
      <c r="O594" s="344" t="str">
        <f t="shared" si="121"/>
        <v>IH_GRASSLIN</v>
      </c>
      <c r="P594" s="344" t="str">
        <f t="shared" si="122"/>
        <v>Interruptor Horario Digital - marca GRASSLIN.</v>
      </c>
      <c r="Q594" s="195" t="str">
        <f t="shared" si="123"/>
        <v>IH_GRASSLIN</v>
      </c>
      <c r="R594" s="195"/>
    </row>
    <row r="595" spans="1:18" s="862" customFormat="1">
      <c r="A595" s="865"/>
      <c r="B595" s="1122">
        <v>1</v>
      </c>
      <c r="C595" s="857" t="str">
        <f t="shared" si="124"/>
        <v>Contactor 3x09A(AC-3) / 3x25A(AC-1) +1NA - AF09-30-10-13 - bobina 100-250Vac/dc - marca ABB.</v>
      </c>
      <c r="D595" s="1876" t="s">
        <v>1474</v>
      </c>
      <c r="E595" s="1871">
        <f t="shared" si="125"/>
        <v>24.680000000000003</v>
      </c>
      <c r="F595" s="1878">
        <f t="shared" si="126"/>
        <v>24.680000000000003</v>
      </c>
      <c r="G595" s="860"/>
      <c r="H595" s="860"/>
      <c r="I595" s="860"/>
      <c r="J595" s="1420"/>
      <c r="K595" s="843">
        <f>K594</f>
        <v>1</v>
      </c>
      <c r="L595" s="412">
        <v>1</v>
      </c>
      <c r="M595" s="843">
        <f t="shared" si="117"/>
        <v>1</v>
      </c>
      <c r="N595" s="890">
        <f t="shared" si="119"/>
        <v>1</v>
      </c>
      <c r="O595" s="344" t="str">
        <f t="shared" si="121"/>
        <v>1SBL137001R1310</v>
      </c>
      <c r="P595" s="344" t="str">
        <f t="shared" si="122"/>
        <v>Contactor 3x09A(AC-3) / 3x25A(AC-1) +1NA - AF09-30-10-13 - bobina 100-250Vac/dc - marca ABB.</v>
      </c>
      <c r="Q595" s="195" t="str">
        <f t="shared" si="123"/>
        <v>AF09-30-10-13_3p</v>
      </c>
      <c r="R595" s="195"/>
    </row>
    <row r="596" spans="1:18" s="862" customFormat="1">
      <c r="A596" s="865"/>
      <c r="B596" s="1122">
        <v>1</v>
      </c>
      <c r="C596" s="857" t="str">
        <f t="shared" si="124"/>
        <v>Selector tres posiciones "M-0-A" o "1-0-2".</v>
      </c>
      <c r="D596" s="1876" t="s">
        <v>446</v>
      </c>
      <c r="E596" s="1871">
        <f t="shared" si="125"/>
        <v>28</v>
      </c>
      <c r="F596" s="1878">
        <f t="shared" si="126"/>
        <v>28</v>
      </c>
      <c r="G596" s="860"/>
      <c r="H596" s="860"/>
      <c r="I596" s="860"/>
      <c r="J596" s="1420"/>
      <c r="K596" s="843">
        <f t="shared" ref="K596:K604" si="127">K595</f>
        <v>1</v>
      </c>
      <c r="L596" s="412">
        <v>1</v>
      </c>
      <c r="M596" s="843">
        <f t="shared" si="117"/>
        <v>1</v>
      </c>
      <c r="N596" s="890" t="str">
        <f t="shared" si="119"/>
        <v/>
      </c>
      <c r="O596" s="344" t="str">
        <f t="shared" si="121"/>
        <v/>
      </c>
      <c r="P596" s="344" t="str">
        <f t="shared" si="122"/>
        <v/>
      </c>
      <c r="Q596" s="195" t="str">
        <f t="shared" si="123"/>
        <v/>
      </c>
      <c r="R596" s="195"/>
    </row>
    <row r="597" spans="1:18" s="862" customFormat="1">
      <c r="A597" s="2366"/>
      <c r="B597" s="1122">
        <v>1</v>
      </c>
      <c r="C597" s="857" t="str">
        <f t="shared" si="124"/>
        <v>Pulsador doble Start/Stop (Rojo/Verde) sin iluminación + contacto 1NA+1NC.</v>
      </c>
      <c r="D597" s="1876" t="s">
        <v>8359</v>
      </c>
      <c r="E597" s="1871">
        <f t="shared" si="125"/>
        <v>38</v>
      </c>
      <c r="F597" s="1878">
        <f t="shared" si="126"/>
        <v>38</v>
      </c>
      <c r="G597" s="860"/>
      <c r="H597" s="860"/>
      <c r="I597" s="860"/>
      <c r="J597" s="1420"/>
      <c r="K597" s="843">
        <f t="shared" si="127"/>
        <v>1</v>
      </c>
      <c r="L597" s="412">
        <v>1</v>
      </c>
      <c r="M597" s="843">
        <f t="shared" si="117"/>
        <v>1</v>
      </c>
      <c r="N597" s="890" t="str">
        <f t="shared" si="119"/>
        <v/>
      </c>
      <c r="O597" s="344" t="str">
        <f t="shared" si="121"/>
        <v/>
      </c>
      <c r="P597" s="344" t="str">
        <f t="shared" si="122"/>
        <v/>
      </c>
      <c r="Q597" s="195" t="str">
        <f t="shared" si="123"/>
        <v/>
      </c>
      <c r="R597" s="195"/>
    </row>
    <row r="598" spans="1:18" s="344" customFormat="1">
      <c r="A598" s="865"/>
      <c r="B598" s="1122">
        <v>2</v>
      </c>
      <c r="C598" s="904" t="str">
        <f t="shared" si="124"/>
        <v>Base portafusibles + Fusibles de protección para control.</v>
      </c>
      <c r="D598" s="1881" t="s">
        <v>453</v>
      </c>
      <c r="E598" s="1892">
        <f t="shared" si="125"/>
        <v>6.5373900000000003</v>
      </c>
      <c r="F598" s="1893">
        <f t="shared" si="126"/>
        <v>13.074780000000001</v>
      </c>
      <c r="G598" s="905"/>
      <c r="H598" s="905"/>
      <c r="I598" s="905"/>
      <c r="J598" s="906"/>
      <c r="K598" s="843">
        <f t="shared" si="127"/>
        <v>1</v>
      </c>
      <c r="L598" s="412">
        <f>L596</f>
        <v>1</v>
      </c>
      <c r="M598" s="843">
        <f t="shared" si="117"/>
        <v>2</v>
      </c>
      <c r="N598" s="890" t="str">
        <f t="shared" si="119"/>
        <v/>
      </c>
      <c r="O598" s="344" t="str">
        <f t="shared" si="121"/>
        <v/>
      </c>
      <c r="P598" s="344" t="str">
        <f t="shared" si="122"/>
        <v/>
      </c>
      <c r="Q598" s="195" t="str">
        <f t="shared" si="123"/>
        <v/>
      </c>
      <c r="R598" s="195"/>
    </row>
    <row r="599" spans="1:18" s="344" customFormat="1">
      <c r="A599" s="865"/>
      <c r="B599" s="1122">
        <v>2</v>
      </c>
      <c r="C599" s="904" t="str">
        <f t="shared" si="124"/>
        <v>Borne 4mm2.</v>
      </c>
      <c r="D599" s="1881" t="s">
        <v>437</v>
      </c>
      <c r="E599" s="1892">
        <f t="shared" si="125"/>
        <v>2.5</v>
      </c>
      <c r="F599" s="1893">
        <f t="shared" si="126"/>
        <v>5</v>
      </c>
      <c r="G599" s="905"/>
      <c r="H599" s="905"/>
      <c r="I599" s="905"/>
      <c r="J599" s="906"/>
      <c r="K599" s="843">
        <f t="shared" si="127"/>
        <v>1</v>
      </c>
      <c r="L599" s="412">
        <f>L597</f>
        <v>1</v>
      </c>
      <c r="M599" s="843">
        <f t="shared" si="117"/>
        <v>2</v>
      </c>
      <c r="N599" s="890" t="str">
        <f t="shared" si="119"/>
        <v/>
      </c>
      <c r="O599" s="344" t="str">
        <f t="shared" si="121"/>
        <v/>
      </c>
      <c r="P599" s="344" t="str">
        <f t="shared" si="122"/>
        <v/>
      </c>
      <c r="Q599" s="195" t="str">
        <f t="shared" si="123"/>
        <v/>
      </c>
      <c r="R599" s="195"/>
    </row>
    <row r="600" spans="1:18" s="195" customFormat="1">
      <c r="A600" s="1108"/>
      <c r="B600" s="895"/>
      <c r="C600" s="337" t="s">
        <v>729</v>
      </c>
      <c r="D600" s="182"/>
      <c r="E600" s="1874"/>
      <c r="F600" s="1875"/>
      <c r="G600" s="891"/>
      <c r="H600" s="891"/>
      <c r="I600" s="891"/>
      <c r="J600" s="892"/>
      <c r="K600" s="843">
        <f>K599</f>
        <v>1</v>
      </c>
      <c r="L600" s="888">
        <v>1</v>
      </c>
      <c r="M600" s="889">
        <f t="shared" si="117"/>
        <v>1</v>
      </c>
      <c r="N600" s="890" t="str">
        <f t="shared" si="119"/>
        <v/>
      </c>
      <c r="O600" s="344" t="str">
        <f t="shared" si="121"/>
        <v/>
      </c>
      <c r="P600" s="344" t="str">
        <f t="shared" si="122"/>
        <v/>
      </c>
      <c r="Q600" s="195" t="str">
        <f t="shared" si="123"/>
        <v/>
      </c>
    </row>
    <row r="601" spans="1:18" s="870" customFormat="1">
      <c r="A601" s="865"/>
      <c r="B601" s="2385">
        <v>1</v>
      </c>
      <c r="C601" s="2386" t="s">
        <v>316</v>
      </c>
      <c r="D601" s="2387"/>
      <c r="E601" s="1892"/>
      <c r="F601" s="1901"/>
      <c r="G601" s="2396"/>
      <c r="H601" s="2396"/>
      <c r="I601" s="2396"/>
      <c r="J601" s="2397"/>
      <c r="K601" s="843">
        <f t="shared" si="127"/>
        <v>1</v>
      </c>
      <c r="L601" s="412">
        <v>1</v>
      </c>
      <c r="M601" s="843">
        <f t="shared" si="117"/>
        <v>1</v>
      </c>
      <c r="N601" s="890" t="str">
        <f t="shared" si="119"/>
        <v/>
      </c>
      <c r="O601" s="344" t="str">
        <f t="shared" si="121"/>
        <v/>
      </c>
      <c r="P601" s="344" t="str">
        <f t="shared" si="122"/>
        <v/>
      </c>
      <c r="Q601" s="195" t="str">
        <f t="shared" si="123"/>
        <v/>
      </c>
      <c r="R601" s="195"/>
    </row>
    <row r="602" spans="1:18" s="195" customFormat="1">
      <c r="A602" s="1108"/>
      <c r="B602" s="895"/>
      <c r="C602" s="337" t="s">
        <v>729</v>
      </c>
      <c r="D602" s="182"/>
      <c r="E602" s="1874"/>
      <c r="F602" s="1875"/>
      <c r="G602" s="891"/>
      <c r="H602" s="891"/>
      <c r="I602" s="891"/>
      <c r="J602" s="892"/>
      <c r="K602" s="843">
        <f t="shared" si="127"/>
        <v>1</v>
      </c>
      <c r="L602" s="888">
        <v>1</v>
      </c>
      <c r="M602" s="889">
        <f t="shared" si="117"/>
        <v>1</v>
      </c>
      <c r="N602" s="890" t="str">
        <f t="shared" si="119"/>
        <v/>
      </c>
      <c r="O602" s="344" t="str">
        <f t="shared" si="121"/>
        <v/>
      </c>
      <c r="P602" s="344" t="str">
        <f t="shared" si="122"/>
        <v/>
      </c>
      <c r="Q602" s="195" t="str">
        <f t="shared" si="123"/>
        <v/>
      </c>
    </row>
    <row r="603" spans="1:18" s="1088" customFormat="1">
      <c r="A603" s="865"/>
      <c r="B603" s="1085">
        <v>8</v>
      </c>
      <c r="C603" s="904" t="str">
        <f>VLOOKUP(D603,base_datos,6,FALSE)</f>
        <v>Rotulado por circuito.</v>
      </c>
      <c r="D603" s="1881" t="s">
        <v>3210</v>
      </c>
      <c r="E603" s="1892">
        <f>VLOOKUP(D603,base_datos,5,FALSE)</f>
        <v>0.7</v>
      </c>
      <c r="F603" s="1893">
        <f>+E603*B603</f>
        <v>5.6</v>
      </c>
      <c r="G603" s="1086"/>
      <c r="H603" s="1086"/>
      <c r="I603" s="1086"/>
      <c r="J603" s="1087"/>
      <c r="K603" s="843">
        <f t="shared" si="127"/>
        <v>1</v>
      </c>
      <c r="L603" s="888">
        <v>1</v>
      </c>
      <c r="M603" s="889">
        <f t="shared" si="117"/>
        <v>8</v>
      </c>
      <c r="N603" s="890" t="str">
        <f t="shared" si="119"/>
        <v/>
      </c>
      <c r="O603" s="344" t="str">
        <f t="shared" si="121"/>
        <v/>
      </c>
      <c r="P603" s="344" t="str">
        <f t="shared" si="122"/>
        <v/>
      </c>
      <c r="Q603" s="195" t="str">
        <f t="shared" si="123"/>
        <v/>
      </c>
    </row>
    <row r="604" spans="1:18" s="1088" customFormat="1">
      <c r="A604" s="865"/>
      <c r="B604" s="1085">
        <v>1</v>
      </c>
      <c r="C604" s="904" t="str">
        <f>VLOOKUP(D604,base_datos,6,FALSE)</f>
        <v>Rotulado para TAG - tablero de distribución.</v>
      </c>
      <c r="D604" s="1881" t="s">
        <v>3209</v>
      </c>
      <c r="E604" s="1892">
        <f>VLOOKUP(D604,base_datos,5,FALSE)</f>
        <v>1.5</v>
      </c>
      <c r="F604" s="1893">
        <f>+E604*B604</f>
        <v>1.5</v>
      </c>
      <c r="G604" s="1086"/>
      <c r="H604" s="1086"/>
      <c r="I604" s="1086"/>
      <c r="J604" s="1087"/>
      <c r="K604" s="843">
        <f t="shared" si="127"/>
        <v>1</v>
      </c>
      <c r="L604" s="888">
        <v>1</v>
      </c>
      <c r="M604" s="889">
        <f t="shared" si="117"/>
        <v>1</v>
      </c>
      <c r="N604" s="890" t="str">
        <f t="shared" si="119"/>
        <v/>
      </c>
      <c r="O604" s="344" t="str">
        <f t="shared" si="121"/>
        <v/>
      </c>
      <c r="P604" s="344" t="str">
        <f t="shared" si="122"/>
        <v/>
      </c>
      <c r="Q604" s="195" t="str">
        <f t="shared" si="123"/>
        <v/>
      </c>
    </row>
    <row r="605" spans="1:18" s="1479" customFormat="1">
      <c r="A605" s="1128"/>
      <c r="B605" s="1412">
        <v>1</v>
      </c>
      <c r="C605" s="1417" t="s">
        <v>5302</v>
      </c>
      <c r="D605" s="1900"/>
      <c r="E605" s="1901">
        <f>E606*15%</f>
        <v>18</v>
      </c>
      <c r="F605" s="1901">
        <f>+E605*B605</f>
        <v>18</v>
      </c>
      <c r="G605" s="1902"/>
      <c r="H605" s="1902"/>
      <c r="I605" s="1902"/>
      <c r="J605" s="1414"/>
      <c r="K605" s="889">
        <f>K603</f>
        <v>1</v>
      </c>
      <c r="L605" s="888">
        <v>1</v>
      </c>
      <c r="M605" s="889">
        <f t="shared" si="117"/>
        <v>1</v>
      </c>
      <c r="N605" s="890" t="str">
        <f t="shared" si="119"/>
        <v/>
      </c>
      <c r="O605" s="344" t="str">
        <f t="shared" si="121"/>
        <v/>
      </c>
      <c r="P605" s="344" t="str">
        <f t="shared" si="122"/>
        <v/>
      </c>
      <c r="Q605" s="195" t="str">
        <f t="shared" si="123"/>
        <v/>
      </c>
    </row>
    <row r="606" spans="1:18" s="1479" customFormat="1">
      <c r="A606" s="1128"/>
      <c r="B606" s="2499">
        <v>1</v>
      </c>
      <c r="C606" s="867" t="s">
        <v>14194</v>
      </c>
      <c r="D606" s="2500"/>
      <c r="E606" s="1892">
        <v>120</v>
      </c>
      <c r="F606" s="1921">
        <f>+E606*B606</f>
        <v>120</v>
      </c>
      <c r="G606" s="1413"/>
      <c r="H606" s="1413"/>
      <c r="I606" s="1413"/>
      <c r="J606" s="1414"/>
      <c r="K606" s="843">
        <f>K604</f>
        <v>1</v>
      </c>
      <c r="L606" s="888">
        <v>1</v>
      </c>
      <c r="M606" s="889">
        <f t="shared" si="117"/>
        <v>1</v>
      </c>
      <c r="N606" s="890" t="str">
        <f t="shared" si="119"/>
        <v/>
      </c>
      <c r="O606" s="344" t="str">
        <f t="shared" si="121"/>
        <v/>
      </c>
      <c r="P606" s="344" t="str">
        <f t="shared" si="122"/>
        <v/>
      </c>
      <c r="Q606" s="195" t="str">
        <f t="shared" si="123"/>
        <v/>
      </c>
    </row>
    <row r="607" spans="1:18" s="126" customFormat="1" ht="13.5" thickBot="1">
      <c r="A607" s="1106"/>
      <c r="B607" s="1916"/>
      <c r="C607" s="1909"/>
      <c r="D607" s="1917"/>
      <c r="E607" s="873"/>
      <c r="F607" s="873"/>
      <c r="G607" s="1918"/>
      <c r="H607" s="1918"/>
      <c r="I607" s="1918"/>
      <c r="J607" s="1910"/>
      <c r="K607" s="1119"/>
      <c r="L607" s="412"/>
      <c r="M607" s="843"/>
      <c r="N607" s="890" t="str">
        <f t="shared" si="119"/>
        <v/>
      </c>
      <c r="O607" s="344" t="str">
        <f t="shared" si="121"/>
        <v/>
      </c>
      <c r="P607" s="344" t="str">
        <f t="shared" si="122"/>
        <v/>
      </c>
      <c r="Q607" s="195" t="str">
        <f t="shared" si="123"/>
        <v/>
      </c>
      <c r="R607" s="195"/>
    </row>
    <row r="608" spans="1:18" s="126" customFormat="1" ht="13.5" thickBot="1">
      <c r="A608" s="1923">
        <v>20</v>
      </c>
      <c r="B608" s="1920">
        <v>1</v>
      </c>
      <c r="C608" s="846" t="s">
        <v>14195</v>
      </c>
      <c r="D608" s="2495"/>
      <c r="E608" s="2496"/>
      <c r="F608" s="2496"/>
      <c r="G608" s="849">
        <f>SUM(F609:F632)</f>
        <v>632.46956</v>
      </c>
      <c r="H608" s="1161">
        <f>G608*(1-$D$6)</f>
        <v>474.35217</v>
      </c>
      <c r="I608" s="849">
        <f>ROUNDUP(H608*$D$5,0)</f>
        <v>1613</v>
      </c>
      <c r="J608" s="850">
        <f>+I608*B608</f>
        <v>1613</v>
      </c>
      <c r="K608" s="851">
        <f>B608</f>
        <v>1</v>
      </c>
      <c r="L608" s="412"/>
      <c r="M608" s="843"/>
      <c r="N608" s="890" t="str">
        <f t="shared" si="119"/>
        <v/>
      </c>
      <c r="O608" s="344" t="str">
        <f t="shared" si="121"/>
        <v/>
      </c>
      <c r="P608" s="344" t="str">
        <f t="shared" si="122"/>
        <v/>
      </c>
      <c r="Q608" s="195" t="str">
        <f t="shared" si="123"/>
        <v/>
      </c>
      <c r="R608" s="195"/>
    </row>
    <row r="609" spans="1:18" s="126" customFormat="1">
      <c r="A609" s="852" t="s">
        <v>3207</v>
      </c>
      <c r="B609" s="1418"/>
      <c r="C609" s="853"/>
      <c r="D609" s="1911"/>
      <c r="E609" s="1890"/>
      <c r="F609" s="1890"/>
      <c r="G609" s="854"/>
      <c r="H609" s="854"/>
      <c r="I609" s="854"/>
      <c r="J609" s="855"/>
      <c r="K609" s="843">
        <f>K608</f>
        <v>1</v>
      </c>
      <c r="L609" s="412">
        <v>1</v>
      </c>
      <c r="M609" s="843">
        <f>IF(B609="",1,B609)</f>
        <v>1</v>
      </c>
      <c r="N609" s="890" t="str">
        <f t="shared" si="119"/>
        <v/>
      </c>
      <c r="O609" s="344" t="str">
        <f t="shared" si="121"/>
        <v/>
      </c>
      <c r="P609" s="344" t="str">
        <f t="shared" si="122"/>
        <v/>
      </c>
      <c r="Q609" s="195" t="str">
        <f t="shared" si="123"/>
        <v/>
      </c>
      <c r="R609" s="195"/>
    </row>
    <row r="610" spans="1:18" s="126" customFormat="1">
      <c r="A610" s="856" t="s">
        <v>4059</v>
      </c>
      <c r="B610" s="1122"/>
      <c r="C610" s="1419" t="s">
        <v>3301</v>
      </c>
      <c r="D610" s="1891"/>
      <c r="E610" s="1878"/>
      <c r="F610" s="1878"/>
      <c r="G610" s="854"/>
      <c r="H610" s="854"/>
      <c r="I610" s="854"/>
      <c r="J610" s="858"/>
      <c r="K610" s="843">
        <f>K609</f>
        <v>1</v>
      </c>
      <c r="L610" s="412">
        <v>1</v>
      </c>
      <c r="M610" s="843">
        <f t="shared" ref="M610:M632" si="128">IF(B610="",1,B610)</f>
        <v>1</v>
      </c>
      <c r="N610" s="890" t="str">
        <f t="shared" si="119"/>
        <v/>
      </c>
      <c r="O610" s="344" t="str">
        <f t="shared" si="121"/>
        <v/>
      </c>
      <c r="P610" s="344" t="str">
        <f t="shared" si="122"/>
        <v/>
      </c>
      <c r="Q610" s="195" t="str">
        <f t="shared" si="123"/>
        <v/>
      </c>
      <c r="R610" s="195"/>
    </row>
    <row r="611" spans="1:18" s="862" customFormat="1">
      <c r="A611" s="856" t="s">
        <v>4321</v>
      </c>
      <c r="B611" s="1122">
        <v>1</v>
      </c>
      <c r="C611" s="857" t="str">
        <f>VLOOKUP(D611,base_datos,6,FALSE)</f>
        <v>ITM Riel-Din 3x32A - SH203-C-32A - 10kA@230Vac, 6kA@400Vac-IEC60898 - marca ABB.</v>
      </c>
      <c r="D611" s="1894" t="s">
        <v>1069</v>
      </c>
      <c r="E611" s="1871">
        <f>VLOOKUP(D611,base_datos,5,FALSE)</f>
        <v>15.379999999999999</v>
      </c>
      <c r="F611" s="1878">
        <f>+E611*B611</f>
        <v>15.379999999999999</v>
      </c>
      <c r="G611" s="860"/>
      <c r="H611" s="860"/>
      <c r="I611" s="860"/>
      <c r="J611" s="861"/>
      <c r="K611" s="843">
        <f t="shared" ref="K611:K613" si="129">K610</f>
        <v>1</v>
      </c>
      <c r="L611" s="412">
        <v>1</v>
      </c>
      <c r="M611" s="843">
        <f t="shared" si="128"/>
        <v>1</v>
      </c>
      <c r="N611" s="890">
        <f t="shared" si="119"/>
        <v>1</v>
      </c>
      <c r="O611" s="344" t="str">
        <f t="shared" si="121"/>
        <v>2CDS213001R0324</v>
      </c>
      <c r="P611" s="344" t="str">
        <f t="shared" si="122"/>
        <v>ITM Riel-Din 3x32A - SH203-C-32A - 10kA@230Vac, 6kA@400Vac-IEC60898 - marca ABB.</v>
      </c>
      <c r="Q611" s="195" t="str">
        <f t="shared" si="123"/>
        <v>SH203-C-32A</v>
      </c>
      <c r="R611" s="195"/>
    </row>
    <row r="612" spans="1:18" s="195" customFormat="1">
      <c r="A612" s="1108"/>
      <c r="B612" s="895"/>
      <c r="C612" s="337" t="s">
        <v>729</v>
      </c>
      <c r="D612" s="182"/>
      <c r="E612" s="1874"/>
      <c r="F612" s="1875"/>
      <c r="G612" s="891"/>
      <c r="H612" s="891"/>
      <c r="I612" s="891"/>
      <c r="J612" s="892"/>
      <c r="K612" s="843">
        <f t="shared" si="129"/>
        <v>1</v>
      </c>
      <c r="L612" s="888">
        <v>1</v>
      </c>
      <c r="M612" s="843">
        <f t="shared" si="128"/>
        <v>1</v>
      </c>
      <c r="N612" s="890" t="str">
        <f t="shared" si="119"/>
        <v/>
      </c>
      <c r="O612" s="344" t="str">
        <f t="shared" si="121"/>
        <v/>
      </c>
      <c r="P612" s="344" t="str">
        <f t="shared" si="122"/>
        <v/>
      </c>
      <c r="Q612" s="195" t="str">
        <f t="shared" si="123"/>
        <v/>
      </c>
    </row>
    <row r="613" spans="1:18" s="862" customFormat="1">
      <c r="A613" s="856"/>
      <c r="B613" s="820"/>
      <c r="C613" s="859" t="s">
        <v>3535</v>
      </c>
      <c r="D613" s="1896"/>
      <c r="E613" s="1877"/>
      <c r="F613" s="1878">
        <f>+E613*B613</f>
        <v>0</v>
      </c>
      <c r="G613" s="860"/>
      <c r="H613" s="860"/>
      <c r="I613" s="860"/>
      <c r="J613" s="861"/>
      <c r="K613" s="843">
        <f t="shared" si="129"/>
        <v>1</v>
      </c>
      <c r="L613" s="412">
        <v>1</v>
      </c>
      <c r="M613" s="843">
        <f t="shared" si="128"/>
        <v>1</v>
      </c>
      <c r="N613" s="890" t="str">
        <f t="shared" si="119"/>
        <v/>
      </c>
      <c r="O613" s="344" t="str">
        <f t="shared" si="121"/>
        <v/>
      </c>
      <c r="P613" s="344" t="str">
        <f t="shared" si="122"/>
        <v/>
      </c>
      <c r="Q613" s="195" t="str">
        <f t="shared" si="123"/>
        <v/>
      </c>
      <c r="R613" s="195"/>
    </row>
    <row r="614" spans="1:18" s="862" customFormat="1">
      <c r="A614" s="856" t="s">
        <v>3725</v>
      </c>
      <c r="B614" s="1122">
        <v>6</v>
      </c>
      <c r="C614" s="857" t="str">
        <f>VLOOKUP(D614,base_datos,6,FALSE)</f>
        <v>ITM Riel-Din 2x20A - SH202-C-20A - 10kA@230Vac, 6kA@400Vac-IEC60898 - marca ABB.</v>
      </c>
      <c r="D614" s="1894" t="s">
        <v>1060</v>
      </c>
      <c r="E614" s="1871">
        <f>VLOOKUP(D614,base_datos,5,FALSE)</f>
        <v>6.54</v>
      </c>
      <c r="F614" s="1878">
        <f>+E614*B614</f>
        <v>39.24</v>
      </c>
      <c r="G614" s="860"/>
      <c r="H614" s="860"/>
      <c r="I614" s="860"/>
      <c r="J614" s="1420"/>
      <c r="K614" s="843">
        <f>K613</f>
        <v>1</v>
      </c>
      <c r="L614" s="412">
        <v>1</v>
      </c>
      <c r="M614" s="843">
        <f t="shared" si="128"/>
        <v>6</v>
      </c>
      <c r="N614" s="890">
        <f t="shared" si="119"/>
        <v>6</v>
      </c>
      <c r="O614" s="344" t="str">
        <f t="shared" si="121"/>
        <v>2CDS212001R0204</v>
      </c>
      <c r="P614" s="344" t="str">
        <f t="shared" si="122"/>
        <v>ITM Riel-Din 2x20A - SH202-C-20A - 10kA@230Vac, 6kA@400Vac-IEC60898 - marca ABB.</v>
      </c>
      <c r="Q614" s="195" t="str">
        <f t="shared" si="123"/>
        <v>SH202-C-20A</v>
      </c>
      <c r="R614" s="195"/>
    </row>
    <row r="615" spans="1:18" s="862" customFormat="1">
      <c r="A615" s="856" t="s">
        <v>3726</v>
      </c>
      <c r="B615" s="1122">
        <v>6</v>
      </c>
      <c r="C615" s="857" t="str">
        <f>VLOOKUP(D615,base_datos,6,FALSE)</f>
        <v>Interruptor Diferencial 2x25A - 30mA - clase AC - FH202-AC-25A-30mA - marca ABB.</v>
      </c>
      <c r="D615" s="2466" t="s">
        <v>1109</v>
      </c>
      <c r="E615" s="1871">
        <f>VLOOKUP(D615,base_datos,5,FALSE)</f>
        <v>24.41</v>
      </c>
      <c r="F615" s="1878">
        <f>+E615*B615</f>
        <v>146.46</v>
      </c>
      <c r="G615" s="860"/>
      <c r="H615" s="860"/>
      <c r="I615" s="860"/>
      <c r="J615" s="1420"/>
      <c r="K615" s="843">
        <f>K614</f>
        <v>1</v>
      </c>
      <c r="L615" s="412">
        <v>1</v>
      </c>
      <c r="M615" s="843">
        <f t="shared" si="128"/>
        <v>6</v>
      </c>
      <c r="N615" s="890">
        <f t="shared" si="119"/>
        <v>6</v>
      </c>
      <c r="O615" s="344" t="str">
        <f t="shared" si="121"/>
        <v>1TMF202006R1250</v>
      </c>
      <c r="P615" s="344" t="str">
        <f t="shared" si="122"/>
        <v>Interruptor Diferencial 2x25A - 30mA - clase AC - FH202-AC-25A-30mA - marca ABB.</v>
      </c>
      <c r="Q615" s="195" t="str">
        <f t="shared" si="123"/>
        <v>FH202-AC-25A-30mA</v>
      </c>
      <c r="R615" s="195"/>
    </row>
    <row r="616" spans="1:18" s="2340" customFormat="1">
      <c r="A616" s="856"/>
      <c r="B616" s="2443">
        <v>1</v>
      </c>
      <c r="C616" s="2444" t="str">
        <f>VLOOKUP(D616,base_datos,6,FALSE)</f>
        <v>Espacio de reserva monofasica + interruptor diferencial - Riel-Din.</v>
      </c>
      <c r="D616" s="2468" t="s">
        <v>3069</v>
      </c>
      <c r="E616" s="2497">
        <f>VLOOKUP(D616,base_datos,5,FALSE)</f>
        <v>2.5</v>
      </c>
      <c r="F616" s="2498">
        <f>+E616*B616</f>
        <v>2.5</v>
      </c>
      <c r="G616" s="2338"/>
      <c r="H616" s="2338"/>
      <c r="I616" s="2338"/>
      <c r="J616" s="2339"/>
      <c r="K616" s="843">
        <f t="shared" ref="K616:K620" si="130">K615</f>
        <v>1</v>
      </c>
      <c r="L616" s="412">
        <v>1</v>
      </c>
      <c r="M616" s="843">
        <f t="shared" si="128"/>
        <v>1</v>
      </c>
      <c r="N616" s="890" t="str">
        <f t="shared" si="119"/>
        <v/>
      </c>
      <c r="O616" s="344" t="str">
        <f t="shared" si="121"/>
        <v/>
      </c>
      <c r="P616" s="344" t="str">
        <f t="shared" si="122"/>
        <v/>
      </c>
      <c r="Q616" s="195" t="str">
        <f t="shared" si="123"/>
        <v/>
      </c>
      <c r="R616" s="195"/>
    </row>
    <row r="617" spans="1:18" s="870" customFormat="1">
      <c r="A617" s="856"/>
      <c r="B617" s="866">
        <v>1</v>
      </c>
      <c r="C617" s="867" t="s">
        <v>9501</v>
      </c>
      <c r="D617" s="1896"/>
      <c r="E617" s="180">
        <v>59</v>
      </c>
      <c r="F617" s="1921">
        <f>+E617*B617</f>
        <v>59</v>
      </c>
      <c r="G617" s="868"/>
      <c r="H617" s="868"/>
      <c r="I617" s="868"/>
      <c r="J617" s="869"/>
      <c r="K617" s="843">
        <f t="shared" si="130"/>
        <v>1</v>
      </c>
      <c r="L617" s="412">
        <v>1</v>
      </c>
      <c r="M617" s="843">
        <f t="shared" si="128"/>
        <v>1</v>
      </c>
      <c r="N617" s="890" t="str">
        <f t="shared" si="119"/>
        <v/>
      </c>
      <c r="O617" s="344" t="str">
        <f t="shared" si="121"/>
        <v/>
      </c>
      <c r="P617" s="344" t="str">
        <f t="shared" si="122"/>
        <v/>
      </c>
      <c r="Q617" s="195" t="str">
        <f t="shared" si="123"/>
        <v/>
      </c>
    </row>
    <row r="618" spans="1:18" s="195" customFormat="1">
      <c r="A618" s="1873"/>
      <c r="B618" s="895"/>
      <c r="C618" s="337" t="s">
        <v>729</v>
      </c>
      <c r="D618" s="182"/>
      <c r="E618" s="1874"/>
      <c r="F618" s="1875"/>
      <c r="G618" s="891"/>
      <c r="H618" s="891"/>
      <c r="I618" s="891"/>
      <c r="J618" s="892"/>
      <c r="K618" s="843">
        <f t="shared" si="130"/>
        <v>1</v>
      </c>
      <c r="L618" s="412">
        <v>1</v>
      </c>
      <c r="M618" s="843">
        <f t="shared" si="128"/>
        <v>1</v>
      </c>
      <c r="N618" s="890" t="str">
        <f t="shared" si="119"/>
        <v/>
      </c>
      <c r="O618" s="344" t="str">
        <f t="shared" si="121"/>
        <v/>
      </c>
      <c r="P618" s="344" t="str">
        <f t="shared" si="122"/>
        <v/>
      </c>
      <c r="Q618" s="195" t="str">
        <f t="shared" si="123"/>
        <v/>
      </c>
    </row>
    <row r="619" spans="1:18" s="862" customFormat="1">
      <c r="A619" s="1873"/>
      <c r="B619" s="820"/>
      <c r="C619" s="859" t="s">
        <v>3206</v>
      </c>
      <c r="D619" s="1876"/>
      <c r="E619" s="1877"/>
      <c r="F619" s="1878"/>
      <c r="G619" s="860"/>
      <c r="H619" s="860"/>
      <c r="I619" s="860"/>
      <c r="J619" s="861"/>
      <c r="K619" s="843">
        <f t="shared" si="130"/>
        <v>1</v>
      </c>
      <c r="L619" s="412">
        <v>1</v>
      </c>
      <c r="M619" s="843">
        <f t="shared" si="128"/>
        <v>1</v>
      </c>
      <c r="N619" s="890" t="str">
        <f t="shared" si="119"/>
        <v/>
      </c>
      <c r="O619" s="344" t="str">
        <f t="shared" si="121"/>
        <v/>
      </c>
      <c r="P619" s="344" t="str">
        <f t="shared" si="122"/>
        <v/>
      </c>
      <c r="Q619" s="195" t="str">
        <f t="shared" si="123"/>
        <v/>
      </c>
      <c r="R619" s="195"/>
    </row>
    <row r="620" spans="1:18" s="862" customFormat="1">
      <c r="A620" s="856"/>
      <c r="B620" s="1122">
        <v>1</v>
      </c>
      <c r="C620" s="857" t="str">
        <f t="shared" ref="C620:C625" si="131">VLOOKUP(D620,base_datos,6,FALSE)</f>
        <v>Interruptor Horario Digital - marca GRASSLIN.</v>
      </c>
      <c r="D620" s="1876" t="s">
        <v>1860</v>
      </c>
      <c r="E620" s="1871">
        <f t="shared" ref="E620:E625" si="132">VLOOKUP(D620,base_datos,5,FALSE)</f>
        <v>61.78</v>
      </c>
      <c r="F620" s="1878">
        <f t="shared" ref="F620:F625" si="133">+E620*B620</f>
        <v>61.78</v>
      </c>
      <c r="G620" s="860"/>
      <c r="H620" s="860"/>
      <c r="I620" s="860"/>
      <c r="J620" s="1420"/>
      <c r="K620" s="843">
        <f t="shared" si="130"/>
        <v>1</v>
      </c>
      <c r="L620" s="412">
        <v>1</v>
      </c>
      <c r="M620" s="843">
        <f t="shared" si="128"/>
        <v>1</v>
      </c>
      <c r="N620" s="890">
        <f t="shared" si="119"/>
        <v>1</v>
      </c>
      <c r="O620" s="344" t="str">
        <f t="shared" si="121"/>
        <v>IH_GRASSLIN</v>
      </c>
      <c r="P620" s="344" t="str">
        <f t="shared" si="122"/>
        <v>Interruptor Horario Digital - marca GRASSLIN.</v>
      </c>
      <c r="Q620" s="195" t="str">
        <f t="shared" si="123"/>
        <v>IH_GRASSLIN</v>
      </c>
      <c r="R620" s="195"/>
    </row>
    <row r="621" spans="1:18" s="862" customFormat="1">
      <c r="A621" s="865"/>
      <c r="B621" s="1122">
        <v>2</v>
      </c>
      <c r="C621" s="857" t="str">
        <f t="shared" si="131"/>
        <v>Contactor 3x09A(AC-3) / 3x25A(AC-1) +1NA - AF09-30-10-13 - bobina 100-250Vac/dc - marca ABB.</v>
      </c>
      <c r="D621" s="1876" t="s">
        <v>1474</v>
      </c>
      <c r="E621" s="1871">
        <f t="shared" si="132"/>
        <v>24.680000000000003</v>
      </c>
      <c r="F621" s="1878">
        <f t="shared" si="133"/>
        <v>49.360000000000007</v>
      </c>
      <c r="G621" s="860"/>
      <c r="H621" s="860"/>
      <c r="I621" s="860"/>
      <c r="J621" s="1420"/>
      <c r="K621" s="843">
        <f>K620</f>
        <v>1</v>
      </c>
      <c r="L621" s="412">
        <v>1</v>
      </c>
      <c r="M621" s="843">
        <f t="shared" si="128"/>
        <v>2</v>
      </c>
      <c r="N621" s="890">
        <f t="shared" si="119"/>
        <v>2</v>
      </c>
      <c r="O621" s="344" t="str">
        <f t="shared" si="121"/>
        <v>1SBL137001R1310</v>
      </c>
      <c r="P621" s="344" t="str">
        <f t="shared" si="122"/>
        <v>Contactor 3x09A(AC-3) / 3x25A(AC-1) +1NA - AF09-30-10-13 - bobina 100-250Vac/dc - marca ABB.</v>
      </c>
      <c r="Q621" s="195" t="str">
        <f t="shared" si="123"/>
        <v>AF09-30-10-13_3p</v>
      </c>
      <c r="R621" s="195"/>
    </row>
    <row r="622" spans="1:18" s="862" customFormat="1">
      <c r="A622" s="865"/>
      <c r="B622" s="1122">
        <v>1</v>
      </c>
      <c r="C622" s="857" t="str">
        <f t="shared" si="131"/>
        <v>Selector tres posiciones "M-0-A" o "1-0-2".</v>
      </c>
      <c r="D622" s="1876" t="s">
        <v>446</v>
      </c>
      <c r="E622" s="1871">
        <f t="shared" si="132"/>
        <v>28</v>
      </c>
      <c r="F622" s="1878">
        <f t="shared" si="133"/>
        <v>28</v>
      </c>
      <c r="G622" s="860"/>
      <c r="H622" s="860"/>
      <c r="I622" s="860"/>
      <c r="J622" s="1420"/>
      <c r="K622" s="843">
        <f t="shared" ref="K622:K625" si="134">K621</f>
        <v>1</v>
      </c>
      <c r="L622" s="412">
        <v>1</v>
      </c>
      <c r="M622" s="843">
        <f t="shared" si="128"/>
        <v>1</v>
      </c>
      <c r="N622" s="890" t="str">
        <f t="shared" si="119"/>
        <v/>
      </c>
      <c r="O622" s="344" t="str">
        <f t="shared" si="121"/>
        <v/>
      </c>
      <c r="P622" s="344" t="str">
        <f t="shared" si="122"/>
        <v/>
      </c>
      <c r="Q622" s="195" t="str">
        <f t="shared" si="123"/>
        <v/>
      </c>
      <c r="R622" s="195"/>
    </row>
    <row r="623" spans="1:18" s="862" customFormat="1">
      <c r="A623" s="2366"/>
      <c r="B623" s="1122">
        <v>1</v>
      </c>
      <c r="C623" s="857" t="str">
        <f t="shared" si="131"/>
        <v>Pulsador doble Start/Stop (Rojo/Verde) sin iluminación + contacto 1NA+1NC.</v>
      </c>
      <c r="D623" s="1876" t="s">
        <v>8359</v>
      </c>
      <c r="E623" s="1871">
        <f t="shared" si="132"/>
        <v>38</v>
      </c>
      <c r="F623" s="1878">
        <f t="shared" si="133"/>
        <v>38</v>
      </c>
      <c r="G623" s="860"/>
      <c r="H623" s="860"/>
      <c r="I623" s="860"/>
      <c r="J623" s="1420"/>
      <c r="K623" s="843">
        <f t="shared" si="134"/>
        <v>1</v>
      </c>
      <c r="L623" s="412">
        <v>1</v>
      </c>
      <c r="M623" s="843">
        <f t="shared" si="128"/>
        <v>1</v>
      </c>
      <c r="N623" s="890" t="str">
        <f t="shared" si="119"/>
        <v/>
      </c>
      <c r="O623" s="344" t="str">
        <f t="shared" si="121"/>
        <v/>
      </c>
      <c r="P623" s="344" t="str">
        <f t="shared" si="122"/>
        <v/>
      </c>
      <c r="Q623" s="195" t="str">
        <f t="shared" si="123"/>
        <v/>
      </c>
      <c r="R623" s="195"/>
    </row>
    <row r="624" spans="1:18" s="344" customFormat="1">
      <c r="A624" s="865"/>
      <c r="B624" s="1122">
        <v>4</v>
      </c>
      <c r="C624" s="904" t="str">
        <f t="shared" si="131"/>
        <v>Base portafusibles + Fusibles de protección para control.</v>
      </c>
      <c r="D624" s="1881" t="s">
        <v>453</v>
      </c>
      <c r="E624" s="1892">
        <f t="shared" si="132"/>
        <v>6.5373900000000003</v>
      </c>
      <c r="F624" s="1893">
        <f t="shared" si="133"/>
        <v>26.149560000000001</v>
      </c>
      <c r="G624" s="905"/>
      <c r="H624" s="905"/>
      <c r="I624" s="905"/>
      <c r="J624" s="906"/>
      <c r="K624" s="843">
        <f t="shared" si="134"/>
        <v>1</v>
      </c>
      <c r="L624" s="412">
        <f>L622</f>
        <v>1</v>
      </c>
      <c r="M624" s="843">
        <f t="shared" si="128"/>
        <v>4</v>
      </c>
      <c r="N624" s="890" t="str">
        <f t="shared" si="119"/>
        <v/>
      </c>
      <c r="O624" s="344" t="str">
        <f t="shared" si="121"/>
        <v/>
      </c>
      <c r="P624" s="344" t="str">
        <f t="shared" si="122"/>
        <v/>
      </c>
      <c r="Q624" s="195" t="str">
        <f t="shared" si="123"/>
        <v/>
      </c>
      <c r="R624" s="195"/>
    </row>
    <row r="625" spans="1:18" s="344" customFormat="1">
      <c r="A625" s="865"/>
      <c r="B625" s="1122">
        <v>4</v>
      </c>
      <c r="C625" s="904" t="str">
        <f t="shared" si="131"/>
        <v>Borne 4mm2.</v>
      </c>
      <c r="D625" s="1881" t="s">
        <v>437</v>
      </c>
      <c r="E625" s="1892">
        <f t="shared" si="132"/>
        <v>2.5</v>
      </c>
      <c r="F625" s="1893">
        <f t="shared" si="133"/>
        <v>10</v>
      </c>
      <c r="G625" s="905"/>
      <c r="H625" s="905"/>
      <c r="I625" s="905"/>
      <c r="J625" s="906"/>
      <c r="K625" s="843">
        <f t="shared" si="134"/>
        <v>1</v>
      </c>
      <c r="L625" s="412">
        <f>L623</f>
        <v>1</v>
      </c>
      <c r="M625" s="843">
        <f t="shared" si="128"/>
        <v>4</v>
      </c>
      <c r="N625" s="890" t="str">
        <f t="shared" si="119"/>
        <v/>
      </c>
      <c r="O625" s="344" t="str">
        <f t="shared" si="121"/>
        <v/>
      </c>
      <c r="P625" s="344" t="str">
        <f t="shared" si="122"/>
        <v/>
      </c>
      <c r="Q625" s="195" t="str">
        <f t="shared" si="123"/>
        <v/>
      </c>
      <c r="R625" s="195"/>
    </row>
    <row r="626" spans="1:18" s="195" customFormat="1">
      <c r="A626" s="1108"/>
      <c r="B626" s="895"/>
      <c r="C626" s="337" t="s">
        <v>729</v>
      </c>
      <c r="D626" s="182"/>
      <c r="E626" s="1874"/>
      <c r="F626" s="1875"/>
      <c r="G626" s="891"/>
      <c r="H626" s="891"/>
      <c r="I626" s="891"/>
      <c r="J626" s="892"/>
      <c r="K626" s="843">
        <f>K625</f>
        <v>1</v>
      </c>
      <c r="L626" s="888">
        <v>1</v>
      </c>
      <c r="M626" s="889">
        <f t="shared" si="128"/>
        <v>1</v>
      </c>
      <c r="N626" s="890" t="str">
        <f t="shared" si="119"/>
        <v/>
      </c>
      <c r="O626" s="344" t="str">
        <f t="shared" si="121"/>
        <v/>
      </c>
      <c r="P626" s="344" t="str">
        <f t="shared" si="122"/>
        <v/>
      </c>
      <c r="Q626" s="195" t="str">
        <f t="shared" si="123"/>
        <v/>
      </c>
    </row>
    <row r="627" spans="1:18" s="870" customFormat="1">
      <c r="A627" s="865"/>
      <c r="B627" s="2385">
        <v>1</v>
      </c>
      <c r="C627" s="2386" t="s">
        <v>316</v>
      </c>
      <c r="D627" s="2387"/>
      <c r="E627" s="1892"/>
      <c r="F627" s="1901"/>
      <c r="G627" s="2396"/>
      <c r="H627" s="2396"/>
      <c r="I627" s="2396"/>
      <c r="J627" s="2397"/>
      <c r="K627" s="843">
        <f t="shared" ref="K627:K630" si="135">K626</f>
        <v>1</v>
      </c>
      <c r="L627" s="412">
        <v>1</v>
      </c>
      <c r="M627" s="843">
        <f t="shared" si="128"/>
        <v>1</v>
      </c>
      <c r="N627" s="890" t="str">
        <f t="shared" si="119"/>
        <v/>
      </c>
      <c r="O627" s="344" t="str">
        <f t="shared" si="121"/>
        <v/>
      </c>
      <c r="P627" s="344" t="str">
        <f t="shared" si="122"/>
        <v/>
      </c>
      <c r="Q627" s="195" t="str">
        <f t="shared" si="123"/>
        <v/>
      </c>
      <c r="R627" s="195"/>
    </row>
    <row r="628" spans="1:18" s="195" customFormat="1">
      <c r="A628" s="1108"/>
      <c r="B628" s="895"/>
      <c r="C628" s="337" t="s">
        <v>729</v>
      </c>
      <c r="D628" s="182"/>
      <c r="E628" s="1874"/>
      <c r="F628" s="1875"/>
      <c r="G628" s="891"/>
      <c r="H628" s="891"/>
      <c r="I628" s="891"/>
      <c r="J628" s="892"/>
      <c r="K628" s="843">
        <f t="shared" si="135"/>
        <v>1</v>
      </c>
      <c r="L628" s="888">
        <v>1</v>
      </c>
      <c r="M628" s="889">
        <f t="shared" si="128"/>
        <v>1</v>
      </c>
      <c r="N628" s="890" t="str">
        <f t="shared" si="119"/>
        <v/>
      </c>
      <c r="O628" s="344" t="str">
        <f t="shared" si="121"/>
        <v/>
      </c>
      <c r="P628" s="344" t="str">
        <f t="shared" si="122"/>
        <v/>
      </c>
      <c r="Q628" s="195" t="str">
        <f t="shared" si="123"/>
        <v/>
      </c>
    </row>
    <row r="629" spans="1:18" s="1088" customFormat="1">
      <c r="A629" s="865"/>
      <c r="B629" s="1085">
        <v>8</v>
      </c>
      <c r="C629" s="904" t="str">
        <f>VLOOKUP(D629,base_datos,6,FALSE)</f>
        <v>Rotulado por circuito.</v>
      </c>
      <c r="D629" s="1881" t="s">
        <v>3210</v>
      </c>
      <c r="E629" s="1892">
        <f>VLOOKUP(D629,base_datos,5,FALSE)</f>
        <v>0.7</v>
      </c>
      <c r="F629" s="1893">
        <f>+E629*B629</f>
        <v>5.6</v>
      </c>
      <c r="G629" s="1086"/>
      <c r="H629" s="1086"/>
      <c r="I629" s="1086"/>
      <c r="J629" s="1087"/>
      <c r="K629" s="843">
        <f t="shared" si="135"/>
        <v>1</v>
      </c>
      <c r="L629" s="888">
        <v>1</v>
      </c>
      <c r="M629" s="889">
        <f t="shared" si="128"/>
        <v>8</v>
      </c>
      <c r="N629" s="890" t="str">
        <f t="shared" si="119"/>
        <v/>
      </c>
      <c r="O629" s="344" t="str">
        <f t="shared" si="121"/>
        <v/>
      </c>
      <c r="P629" s="344" t="str">
        <f t="shared" si="122"/>
        <v/>
      </c>
      <c r="Q629" s="195" t="str">
        <f t="shared" si="123"/>
        <v/>
      </c>
    </row>
    <row r="630" spans="1:18" s="1088" customFormat="1">
      <c r="A630" s="865"/>
      <c r="B630" s="1085">
        <v>1</v>
      </c>
      <c r="C630" s="904" t="str">
        <f>VLOOKUP(D630,base_datos,6,FALSE)</f>
        <v>Rotulado para TAG - tablero de distribución.</v>
      </c>
      <c r="D630" s="1881" t="s">
        <v>3209</v>
      </c>
      <c r="E630" s="1892">
        <f>VLOOKUP(D630,base_datos,5,FALSE)</f>
        <v>1.5</v>
      </c>
      <c r="F630" s="1893">
        <f>+E630*B630</f>
        <v>1.5</v>
      </c>
      <c r="G630" s="1086"/>
      <c r="H630" s="1086"/>
      <c r="I630" s="1086"/>
      <c r="J630" s="1087"/>
      <c r="K630" s="843">
        <f t="shared" si="135"/>
        <v>1</v>
      </c>
      <c r="L630" s="888">
        <v>1</v>
      </c>
      <c r="M630" s="889">
        <f t="shared" si="128"/>
        <v>1</v>
      </c>
      <c r="N630" s="890" t="str">
        <f t="shared" si="119"/>
        <v/>
      </c>
      <c r="O630" s="344" t="str">
        <f t="shared" si="121"/>
        <v/>
      </c>
      <c r="P630" s="344" t="str">
        <f t="shared" si="122"/>
        <v/>
      </c>
      <c r="Q630" s="195" t="str">
        <f t="shared" si="123"/>
        <v/>
      </c>
    </row>
    <row r="631" spans="1:18" s="1479" customFormat="1">
      <c r="A631" s="1128"/>
      <c r="B631" s="1412">
        <v>1</v>
      </c>
      <c r="C631" s="1417" t="s">
        <v>5302</v>
      </c>
      <c r="D631" s="1900"/>
      <c r="E631" s="1901">
        <f>E632*15%</f>
        <v>19.5</v>
      </c>
      <c r="F631" s="1901">
        <f>+E631*B631</f>
        <v>19.5</v>
      </c>
      <c r="G631" s="1902"/>
      <c r="H631" s="1902"/>
      <c r="I631" s="1902"/>
      <c r="J631" s="1414"/>
      <c r="K631" s="889">
        <f>K629</f>
        <v>1</v>
      </c>
      <c r="L631" s="888">
        <v>1</v>
      </c>
      <c r="M631" s="889">
        <f t="shared" si="128"/>
        <v>1</v>
      </c>
      <c r="N631" s="890" t="str">
        <f t="shared" si="119"/>
        <v/>
      </c>
      <c r="O631" s="344" t="str">
        <f t="shared" si="121"/>
        <v/>
      </c>
      <c r="P631" s="344" t="str">
        <f t="shared" si="122"/>
        <v/>
      </c>
      <c r="Q631" s="195" t="str">
        <f t="shared" si="123"/>
        <v/>
      </c>
    </row>
    <row r="632" spans="1:18" s="1479" customFormat="1">
      <c r="A632" s="1128"/>
      <c r="B632" s="2499">
        <v>1</v>
      </c>
      <c r="C632" s="867" t="s">
        <v>14192</v>
      </c>
      <c r="D632" s="2500"/>
      <c r="E632" s="1892">
        <v>130</v>
      </c>
      <c r="F632" s="1921">
        <f>+E632*B632</f>
        <v>130</v>
      </c>
      <c r="G632" s="1413"/>
      <c r="H632" s="1413"/>
      <c r="I632" s="1413"/>
      <c r="J632" s="1414"/>
      <c r="K632" s="843">
        <f>K630</f>
        <v>1</v>
      </c>
      <c r="L632" s="888">
        <v>1</v>
      </c>
      <c r="M632" s="889">
        <f t="shared" si="128"/>
        <v>1</v>
      </c>
      <c r="N632" s="890" t="str">
        <f t="shared" si="119"/>
        <v/>
      </c>
      <c r="O632" s="344" t="str">
        <f t="shared" si="121"/>
        <v/>
      </c>
      <c r="P632" s="344" t="str">
        <f t="shared" si="122"/>
        <v/>
      </c>
      <c r="Q632" s="195" t="str">
        <f t="shared" si="123"/>
        <v/>
      </c>
    </row>
    <row r="633" spans="1:18" s="126" customFormat="1" ht="13.5" thickBot="1">
      <c r="A633" s="2331"/>
      <c r="B633" s="1916"/>
      <c r="C633" s="1909"/>
      <c r="D633" s="1917"/>
      <c r="E633" s="873"/>
      <c r="F633" s="873"/>
      <c r="G633" s="1918"/>
      <c r="H633" s="1918"/>
      <c r="I633" s="1918"/>
      <c r="J633" s="1910"/>
      <c r="K633" s="1119"/>
      <c r="L633" s="412"/>
      <c r="M633" s="843"/>
      <c r="N633" s="890" t="str">
        <f t="shared" si="119"/>
        <v/>
      </c>
      <c r="O633" s="344" t="str">
        <f t="shared" si="121"/>
        <v/>
      </c>
      <c r="P633" s="344" t="str">
        <f t="shared" si="122"/>
        <v/>
      </c>
      <c r="Q633" s="195" t="str">
        <f t="shared" si="123"/>
        <v/>
      </c>
      <c r="R633" s="195"/>
    </row>
    <row r="634" spans="1:18" s="126" customFormat="1" ht="13.5" thickBot="1">
      <c r="A634" s="1923">
        <v>21</v>
      </c>
      <c r="B634" s="1920">
        <v>1</v>
      </c>
      <c r="C634" s="846" t="s">
        <v>14196</v>
      </c>
      <c r="D634" s="2495"/>
      <c r="E634" s="2496"/>
      <c r="F634" s="2496"/>
      <c r="G634" s="849">
        <f>SUM(F635:F650)</f>
        <v>290.98</v>
      </c>
      <c r="H634" s="1161">
        <f>G634*(1-$D$6)</f>
        <v>218.23500000000001</v>
      </c>
      <c r="I634" s="849">
        <f>ROUNDUP(H634*$D$5,0)</f>
        <v>742</v>
      </c>
      <c r="J634" s="850">
        <f>+I634*B634</f>
        <v>742</v>
      </c>
      <c r="K634" s="851">
        <f>B634</f>
        <v>1</v>
      </c>
      <c r="L634" s="412"/>
      <c r="M634" s="843"/>
      <c r="N634" s="890" t="str">
        <f t="shared" si="119"/>
        <v/>
      </c>
      <c r="O634" s="344" t="str">
        <f t="shared" si="121"/>
        <v/>
      </c>
      <c r="P634" s="344" t="str">
        <f t="shared" si="122"/>
        <v/>
      </c>
      <c r="Q634" s="195" t="str">
        <f t="shared" si="123"/>
        <v/>
      </c>
      <c r="R634" s="195"/>
    </row>
    <row r="635" spans="1:18" s="126" customFormat="1">
      <c r="A635" s="852" t="s">
        <v>9502</v>
      </c>
      <c r="B635" s="1418"/>
      <c r="C635" s="853"/>
      <c r="D635" s="1911"/>
      <c r="E635" s="1890"/>
      <c r="F635" s="1890"/>
      <c r="G635" s="854"/>
      <c r="H635" s="854"/>
      <c r="I635" s="854"/>
      <c r="J635" s="855"/>
      <c r="K635" s="843">
        <f>K634</f>
        <v>1</v>
      </c>
      <c r="L635" s="412">
        <v>1</v>
      </c>
      <c r="M635" s="843">
        <f>IF(B635="",1,B635)</f>
        <v>1</v>
      </c>
      <c r="N635" s="890" t="str">
        <f t="shared" si="119"/>
        <v/>
      </c>
      <c r="O635" s="344" t="str">
        <f t="shared" si="121"/>
        <v/>
      </c>
      <c r="P635" s="344" t="str">
        <f t="shared" si="122"/>
        <v/>
      </c>
      <c r="Q635" s="195" t="str">
        <f t="shared" si="123"/>
        <v/>
      </c>
      <c r="R635" s="195"/>
    </row>
    <row r="636" spans="1:18" s="126" customFormat="1">
      <c r="A636" s="856" t="s">
        <v>9503</v>
      </c>
      <c r="B636" s="1122"/>
      <c r="C636" s="1419" t="s">
        <v>3301</v>
      </c>
      <c r="D636" s="1891"/>
      <c r="E636" s="1878"/>
      <c r="F636" s="1878"/>
      <c r="G636" s="854"/>
      <c r="H636" s="854"/>
      <c r="I636" s="854"/>
      <c r="J636" s="858"/>
      <c r="K636" s="843">
        <f>K635</f>
        <v>1</v>
      </c>
      <c r="L636" s="412">
        <v>1</v>
      </c>
      <c r="M636" s="843">
        <f t="shared" ref="M636:M650" si="136">IF(B636="",1,B636)</f>
        <v>1</v>
      </c>
      <c r="N636" s="890" t="str">
        <f t="shared" si="119"/>
        <v/>
      </c>
      <c r="O636" s="344" t="str">
        <f t="shared" si="121"/>
        <v/>
      </c>
      <c r="P636" s="344" t="str">
        <f t="shared" si="122"/>
        <v/>
      </c>
      <c r="Q636" s="195" t="str">
        <f t="shared" si="123"/>
        <v/>
      </c>
      <c r="R636" s="195"/>
    </row>
    <row r="637" spans="1:18" s="862" customFormat="1">
      <c r="A637" s="856" t="s">
        <v>4321</v>
      </c>
      <c r="B637" s="1122">
        <v>1</v>
      </c>
      <c r="C637" s="857" t="str">
        <f>VLOOKUP(D637,base_datos,6,FALSE)</f>
        <v>ITM Riel-Din 3x32A - SH203-C-32A - 10kA@230Vac, 6kA@400Vac-IEC60898 - marca ABB.</v>
      </c>
      <c r="D637" s="1894" t="s">
        <v>1069</v>
      </c>
      <c r="E637" s="1871">
        <f>VLOOKUP(D637,base_datos,5,FALSE)</f>
        <v>15.379999999999999</v>
      </c>
      <c r="F637" s="1878">
        <f>+E637*B637</f>
        <v>15.379999999999999</v>
      </c>
      <c r="G637" s="860"/>
      <c r="H637" s="860"/>
      <c r="I637" s="860"/>
      <c r="J637" s="861"/>
      <c r="K637" s="843">
        <f t="shared" ref="K637:K648" si="137">K636</f>
        <v>1</v>
      </c>
      <c r="L637" s="412">
        <v>1</v>
      </c>
      <c r="M637" s="843">
        <f t="shared" si="136"/>
        <v>1</v>
      </c>
      <c r="N637" s="890">
        <f t="shared" si="119"/>
        <v>1</v>
      </c>
      <c r="O637" s="344" t="str">
        <f t="shared" si="121"/>
        <v>2CDS213001R0324</v>
      </c>
      <c r="P637" s="344" t="str">
        <f t="shared" si="122"/>
        <v>ITM Riel-Din 3x32A - SH203-C-32A - 10kA@230Vac, 6kA@400Vac-IEC60898 - marca ABB.</v>
      </c>
      <c r="Q637" s="195" t="str">
        <f t="shared" si="123"/>
        <v>SH203-C-32A</v>
      </c>
      <c r="R637" s="195"/>
    </row>
    <row r="638" spans="1:18" s="195" customFormat="1">
      <c r="A638" s="1108"/>
      <c r="B638" s="895"/>
      <c r="C638" s="337" t="s">
        <v>729</v>
      </c>
      <c r="D638" s="182"/>
      <c r="E638" s="1874"/>
      <c r="F638" s="1875"/>
      <c r="G638" s="891"/>
      <c r="H638" s="891"/>
      <c r="I638" s="891"/>
      <c r="J638" s="892"/>
      <c r="K638" s="843">
        <f t="shared" si="137"/>
        <v>1</v>
      </c>
      <c r="L638" s="888">
        <v>1</v>
      </c>
      <c r="M638" s="843">
        <f t="shared" si="136"/>
        <v>1</v>
      </c>
      <c r="N638" s="890" t="str">
        <f t="shared" si="119"/>
        <v/>
      </c>
      <c r="O638" s="344" t="str">
        <f t="shared" si="121"/>
        <v/>
      </c>
      <c r="P638" s="344" t="str">
        <f t="shared" si="122"/>
        <v/>
      </c>
      <c r="Q638" s="195" t="str">
        <f t="shared" si="123"/>
        <v/>
      </c>
    </row>
    <row r="639" spans="1:18" s="862" customFormat="1">
      <c r="A639" s="856"/>
      <c r="B639" s="820"/>
      <c r="C639" s="859" t="s">
        <v>3535</v>
      </c>
      <c r="D639" s="1896"/>
      <c r="E639" s="1877"/>
      <c r="F639" s="1878">
        <f>+E639*B639</f>
        <v>0</v>
      </c>
      <c r="G639" s="860"/>
      <c r="H639" s="860"/>
      <c r="I639" s="860"/>
      <c r="J639" s="861"/>
      <c r="K639" s="843">
        <f t="shared" si="137"/>
        <v>1</v>
      </c>
      <c r="L639" s="412">
        <v>1</v>
      </c>
      <c r="M639" s="843">
        <f t="shared" si="136"/>
        <v>1</v>
      </c>
      <c r="N639" s="890" t="str">
        <f t="shared" si="119"/>
        <v/>
      </c>
      <c r="O639" s="344" t="str">
        <f t="shared" si="121"/>
        <v/>
      </c>
      <c r="P639" s="344" t="str">
        <f t="shared" si="122"/>
        <v/>
      </c>
      <c r="Q639" s="195" t="str">
        <f t="shared" si="123"/>
        <v/>
      </c>
      <c r="R639" s="195"/>
    </row>
    <row r="640" spans="1:18" s="862" customFormat="1">
      <c r="A640" s="856" t="s">
        <v>3725</v>
      </c>
      <c r="B640" s="1122">
        <v>5</v>
      </c>
      <c r="C640" s="857" t="str">
        <f>VLOOKUP(D640,base_datos,6,FALSE)</f>
        <v>ITM Riel-Din 2x20A - SH202-C-20A - 10kA@230Vac, 6kA@400Vac-IEC60898 - marca ABB.</v>
      </c>
      <c r="D640" s="1894" t="s">
        <v>1060</v>
      </c>
      <c r="E640" s="1871">
        <f>VLOOKUP(D640,base_datos,5,FALSE)</f>
        <v>6.54</v>
      </c>
      <c r="F640" s="1878">
        <f>+E640*B640</f>
        <v>32.700000000000003</v>
      </c>
      <c r="G640" s="860"/>
      <c r="H640" s="860"/>
      <c r="I640" s="860"/>
      <c r="J640" s="1420"/>
      <c r="K640" s="843">
        <f t="shared" si="137"/>
        <v>1</v>
      </c>
      <c r="L640" s="412">
        <v>1</v>
      </c>
      <c r="M640" s="843">
        <f t="shared" si="136"/>
        <v>5</v>
      </c>
      <c r="N640" s="890">
        <f t="shared" si="119"/>
        <v>5</v>
      </c>
      <c r="O640" s="344" t="str">
        <f t="shared" si="121"/>
        <v>2CDS212001R0204</v>
      </c>
      <c r="P640" s="344" t="str">
        <f t="shared" si="122"/>
        <v>ITM Riel-Din 2x20A - SH202-C-20A - 10kA@230Vac, 6kA@400Vac-IEC60898 - marca ABB.</v>
      </c>
      <c r="Q640" s="195" t="str">
        <f t="shared" si="123"/>
        <v>SH202-C-20A</v>
      </c>
      <c r="R640" s="195"/>
    </row>
    <row r="641" spans="1:18" s="862" customFormat="1">
      <c r="A641" s="856" t="s">
        <v>3726</v>
      </c>
      <c r="B641" s="1122">
        <v>5</v>
      </c>
      <c r="C641" s="857" t="str">
        <f>VLOOKUP(D641,base_datos,6,FALSE)</f>
        <v>Interruptor Diferencial 2x25A - 30mA - clase AC - FH202-AC-25A-30mA - marca ABB.</v>
      </c>
      <c r="D641" s="2466" t="s">
        <v>1109</v>
      </c>
      <c r="E641" s="1871">
        <f>VLOOKUP(D641,base_datos,5,FALSE)</f>
        <v>24.41</v>
      </c>
      <c r="F641" s="1878">
        <f>+E641*B641</f>
        <v>122.05</v>
      </c>
      <c r="G641" s="860"/>
      <c r="H641" s="860"/>
      <c r="I641" s="860"/>
      <c r="J641" s="1420"/>
      <c r="K641" s="843">
        <f t="shared" si="137"/>
        <v>1</v>
      </c>
      <c r="L641" s="412">
        <v>1</v>
      </c>
      <c r="M641" s="843">
        <f t="shared" si="136"/>
        <v>5</v>
      </c>
      <c r="N641" s="890">
        <f t="shared" si="119"/>
        <v>5</v>
      </c>
      <c r="O641" s="344" t="str">
        <f t="shared" si="121"/>
        <v>1TMF202006R1250</v>
      </c>
      <c r="P641" s="344" t="str">
        <f t="shared" si="122"/>
        <v>Interruptor Diferencial 2x25A - 30mA - clase AC - FH202-AC-25A-30mA - marca ABB.</v>
      </c>
      <c r="Q641" s="195" t="str">
        <f t="shared" si="123"/>
        <v>FH202-AC-25A-30mA</v>
      </c>
      <c r="R641" s="195"/>
    </row>
    <row r="642" spans="1:18" s="2340" customFormat="1">
      <c r="A642" s="856"/>
      <c r="B642" s="2443">
        <v>1</v>
      </c>
      <c r="C642" s="2444" t="str">
        <f>VLOOKUP(D642,base_datos,6,FALSE)</f>
        <v>Espacio de reserva monofasica + interruptor diferencial - Riel-Din.</v>
      </c>
      <c r="D642" s="2468" t="s">
        <v>3069</v>
      </c>
      <c r="E642" s="2497">
        <f>VLOOKUP(D642,base_datos,5,FALSE)</f>
        <v>2.5</v>
      </c>
      <c r="F642" s="2498">
        <f>+E642*B642</f>
        <v>2.5</v>
      </c>
      <c r="G642" s="2338"/>
      <c r="H642" s="2338"/>
      <c r="I642" s="2338"/>
      <c r="J642" s="2339"/>
      <c r="K642" s="843">
        <f t="shared" si="137"/>
        <v>1</v>
      </c>
      <c r="L642" s="412">
        <v>1</v>
      </c>
      <c r="M642" s="843">
        <f t="shared" si="136"/>
        <v>1</v>
      </c>
      <c r="N642" s="890" t="str">
        <f t="shared" si="119"/>
        <v/>
      </c>
      <c r="O642" s="344" t="str">
        <f t="shared" si="121"/>
        <v/>
      </c>
      <c r="P642" s="344" t="str">
        <f t="shared" si="122"/>
        <v/>
      </c>
      <c r="Q642" s="195" t="str">
        <f t="shared" si="123"/>
        <v/>
      </c>
      <c r="R642" s="195"/>
    </row>
    <row r="643" spans="1:18" s="870" customFormat="1">
      <c r="A643" s="856"/>
      <c r="B643" s="866">
        <v>1</v>
      </c>
      <c r="C643" s="867" t="s">
        <v>9501</v>
      </c>
      <c r="D643" s="1896"/>
      <c r="E643" s="180">
        <v>59</v>
      </c>
      <c r="F643" s="1921">
        <f>+E643*B643</f>
        <v>59</v>
      </c>
      <c r="G643" s="868"/>
      <c r="H643" s="868"/>
      <c r="I643" s="868"/>
      <c r="J643" s="869"/>
      <c r="K643" s="843">
        <f t="shared" si="137"/>
        <v>1</v>
      </c>
      <c r="L643" s="412">
        <v>1</v>
      </c>
      <c r="M643" s="843">
        <f t="shared" si="136"/>
        <v>1</v>
      </c>
      <c r="N643" s="890" t="str">
        <f t="shared" si="119"/>
        <v/>
      </c>
      <c r="O643" s="344" t="str">
        <f t="shared" si="121"/>
        <v/>
      </c>
      <c r="P643" s="344" t="str">
        <f t="shared" si="122"/>
        <v/>
      </c>
      <c r="Q643" s="195" t="str">
        <f t="shared" si="123"/>
        <v/>
      </c>
    </row>
    <row r="644" spans="1:18" s="195" customFormat="1">
      <c r="A644" s="1873"/>
      <c r="B644" s="895"/>
      <c r="C644" s="337" t="s">
        <v>729</v>
      </c>
      <c r="D644" s="182"/>
      <c r="E644" s="1874"/>
      <c r="F644" s="1875"/>
      <c r="G644" s="891"/>
      <c r="H644" s="891"/>
      <c r="I644" s="891"/>
      <c r="J644" s="892"/>
      <c r="K644" s="843">
        <f t="shared" si="137"/>
        <v>1</v>
      </c>
      <c r="L644" s="412">
        <v>1</v>
      </c>
      <c r="M644" s="843">
        <f t="shared" si="136"/>
        <v>1</v>
      </c>
      <c r="N644" s="890" t="str">
        <f t="shared" si="119"/>
        <v/>
      </c>
      <c r="O644" s="344" t="str">
        <f t="shared" si="121"/>
        <v/>
      </c>
      <c r="P644" s="344" t="str">
        <f t="shared" si="122"/>
        <v/>
      </c>
      <c r="Q644" s="195" t="str">
        <f t="shared" si="123"/>
        <v/>
      </c>
    </row>
    <row r="645" spans="1:18" s="870" customFormat="1">
      <c r="A645" s="865"/>
      <c r="B645" s="2385">
        <v>1</v>
      </c>
      <c r="C645" s="2386" t="s">
        <v>316</v>
      </c>
      <c r="D645" s="2387"/>
      <c r="E645" s="1892"/>
      <c r="F645" s="1901"/>
      <c r="G645" s="2396"/>
      <c r="H645" s="2396"/>
      <c r="I645" s="2396"/>
      <c r="J645" s="2397"/>
      <c r="K645" s="843">
        <f t="shared" si="137"/>
        <v>1</v>
      </c>
      <c r="L645" s="412">
        <v>1</v>
      </c>
      <c r="M645" s="843">
        <f t="shared" si="136"/>
        <v>1</v>
      </c>
      <c r="N645" s="890" t="str">
        <f t="shared" si="119"/>
        <v/>
      </c>
      <c r="O645" s="344" t="str">
        <f t="shared" si="121"/>
        <v/>
      </c>
      <c r="P645" s="344" t="str">
        <f t="shared" si="122"/>
        <v/>
      </c>
      <c r="Q645" s="195" t="str">
        <f t="shared" si="123"/>
        <v/>
      </c>
      <c r="R645" s="195"/>
    </row>
    <row r="646" spans="1:18" s="195" customFormat="1">
      <c r="A646" s="1108"/>
      <c r="B646" s="895"/>
      <c r="C646" s="337" t="s">
        <v>729</v>
      </c>
      <c r="D646" s="182"/>
      <c r="E646" s="1874"/>
      <c r="F646" s="1875"/>
      <c r="G646" s="891"/>
      <c r="H646" s="891"/>
      <c r="I646" s="891"/>
      <c r="J646" s="892"/>
      <c r="K646" s="843">
        <f t="shared" si="137"/>
        <v>1</v>
      </c>
      <c r="L646" s="888">
        <v>1</v>
      </c>
      <c r="M646" s="889">
        <f t="shared" si="136"/>
        <v>1</v>
      </c>
      <c r="N646" s="890" t="str">
        <f t="shared" si="119"/>
        <v/>
      </c>
      <c r="O646" s="344" t="str">
        <f t="shared" si="121"/>
        <v/>
      </c>
      <c r="P646" s="344" t="str">
        <f t="shared" si="122"/>
        <v/>
      </c>
      <c r="Q646" s="195" t="str">
        <f t="shared" si="123"/>
        <v/>
      </c>
    </row>
    <row r="647" spans="1:18" s="1088" customFormat="1">
      <c r="A647" s="865"/>
      <c r="B647" s="1085">
        <v>12</v>
      </c>
      <c r="C647" s="904" t="str">
        <f>VLOOKUP(D647,base_datos,6,FALSE)</f>
        <v>Rotulado por circuito.</v>
      </c>
      <c r="D647" s="1881" t="s">
        <v>3210</v>
      </c>
      <c r="E647" s="1892">
        <f>VLOOKUP(D647,base_datos,5,FALSE)</f>
        <v>0.7</v>
      </c>
      <c r="F647" s="1893">
        <f>+E647*B647</f>
        <v>8.3999999999999986</v>
      </c>
      <c r="G647" s="1086"/>
      <c r="H647" s="1086"/>
      <c r="I647" s="1086"/>
      <c r="J647" s="1087"/>
      <c r="K647" s="843">
        <f t="shared" si="137"/>
        <v>1</v>
      </c>
      <c r="L647" s="888">
        <v>1</v>
      </c>
      <c r="M647" s="889">
        <f t="shared" si="136"/>
        <v>12</v>
      </c>
      <c r="N647" s="890" t="str">
        <f t="shared" si="119"/>
        <v/>
      </c>
      <c r="O647" s="344" t="str">
        <f t="shared" si="121"/>
        <v/>
      </c>
      <c r="P647" s="344" t="str">
        <f t="shared" si="122"/>
        <v/>
      </c>
      <c r="Q647" s="195" t="str">
        <f t="shared" si="123"/>
        <v/>
      </c>
    </row>
    <row r="648" spans="1:18" s="1088" customFormat="1">
      <c r="A648" s="865"/>
      <c r="B648" s="1085">
        <v>1</v>
      </c>
      <c r="C648" s="904" t="str">
        <f>VLOOKUP(D648,base_datos,6,FALSE)</f>
        <v>Rotulado para TAG - tablero de distribución.</v>
      </c>
      <c r="D648" s="1881" t="s">
        <v>3209</v>
      </c>
      <c r="E648" s="1892">
        <f>VLOOKUP(D648,base_datos,5,FALSE)</f>
        <v>1.5</v>
      </c>
      <c r="F648" s="1893">
        <f>+E648*B648</f>
        <v>1.5</v>
      </c>
      <c r="G648" s="1086"/>
      <c r="H648" s="1086"/>
      <c r="I648" s="1086"/>
      <c r="J648" s="1087"/>
      <c r="K648" s="843">
        <f t="shared" si="137"/>
        <v>1</v>
      </c>
      <c r="L648" s="888">
        <v>1</v>
      </c>
      <c r="M648" s="889">
        <f t="shared" si="136"/>
        <v>1</v>
      </c>
      <c r="N648" s="890" t="str">
        <f t="shared" si="119"/>
        <v/>
      </c>
      <c r="O648" s="344" t="str">
        <f t="shared" si="121"/>
        <v/>
      </c>
      <c r="P648" s="344" t="str">
        <f t="shared" si="122"/>
        <v/>
      </c>
      <c r="Q648" s="195" t="str">
        <f t="shared" si="123"/>
        <v/>
      </c>
    </row>
    <row r="649" spans="1:18" s="1479" customFormat="1">
      <c r="A649" s="1128"/>
      <c r="B649" s="1412">
        <v>1</v>
      </c>
      <c r="C649" s="1417" t="s">
        <v>5302</v>
      </c>
      <c r="D649" s="1900"/>
      <c r="E649" s="1901">
        <f>E650*15%</f>
        <v>6.45</v>
      </c>
      <c r="F649" s="1901">
        <f>+E649*B649</f>
        <v>6.45</v>
      </c>
      <c r="G649" s="1902"/>
      <c r="H649" s="1902"/>
      <c r="I649" s="1902"/>
      <c r="J649" s="1414"/>
      <c r="K649" s="889">
        <f>K647</f>
        <v>1</v>
      </c>
      <c r="L649" s="888">
        <v>1</v>
      </c>
      <c r="M649" s="889">
        <f t="shared" si="136"/>
        <v>1</v>
      </c>
      <c r="N649" s="890" t="str">
        <f t="shared" si="119"/>
        <v/>
      </c>
      <c r="O649" s="344" t="str">
        <f t="shared" si="121"/>
        <v/>
      </c>
      <c r="P649" s="344" t="str">
        <f t="shared" si="122"/>
        <v/>
      </c>
      <c r="Q649" s="195" t="str">
        <f t="shared" si="123"/>
        <v/>
      </c>
    </row>
    <row r="650" spans="1:18" s="1479" customFormat="1">
      <c r="A650" s="1128"/>
      <c r="B650" s="2499">
        <v>1</v>
      </c>
      <c r="C650" s="867" t="s">
        <v>14179</v>
      </c>
      <c r="D650" s="2500"/>
      <c r="E650" s="1892">
        <v>43</v>
      </c>
      <c r="F650" s="1921">
        <f>+E650*B650</f>
        <v>43</v>
      </c>
      <c r="G650" s="1413"/>
      <c r="H650" s="1413"/>
      <c r="I650" s="1413"/>
      <c r="J650" s="1414"/>
      <c r="K650" s="843">
        <f>K648</f>
        <v>1</v>
      </c>
      <c r="L650" s="888">
        <v>1</v>
      </c>
      <c r="M650" s="889">
        <f t="shared" si="136"/>
        <v>1</v>
      </c>
      <c r="N650" s="890" t="str">
        <f t="shared" si="119"/>
        <v/>
      </c>
      <c r="O650" s="344" t="str">
        <f t="shared" si="121"/>
        <v/>
      </c>
      <c r="P650" s="344" t="str">
        <f t="shared" si="122"/>
        <v/>
      </c>
      <c r="Q650" s="195" t="str">
        <f t="shared" si="123"/>
        <v/>
      </c>
    </row>
    <row r="651" spans="1:18" s="126" customFormat="1" ht="13.5" thickBot="1">
      <c r="A651" s="2331"/>
      <c r="B651" s="1916"/>
      <c r="C651" s="1909"/>
      <c r="D651" s="1917"/>
      <c r="E651" s="873"/>
      <c r="F651" s="873"/>
      <c r="G651" s="1918"/>
      <c r="H651" s="1918"/>
      <c r="I651" s="1918"/>
      <c r="J651" s="1910"/>
      <c r="K651" s="1119"/>
      <c r="L651" s="412"/>
      <c r="M651" s="843"/>
      <c r="N651" s="890" t="str">
        <f t="shared" si="119"/>
        <v/>
      </c>
      <c r="O651" s="344" t="str">
        <f t="shared" si="121"/>
        <v/>
      </c>
      <c r="P651" s="344" t="str">
        <f t="shared" si="122"/>
        <v/>
      </c>
      <c r="Q651" s="195" t="str">
        <f t="shared" si="123"/>
        <v/>
      </c>
      <c r="R651" s="195"/>
    </row>
    <row r="652" spans="1:18" s="126" customFormat="1" ht="13.5" thickBot="1">
      <c r="A652" s="1923">
        <v>22</v>
      </c>
      <c r="B652" s="1920">
        <v>1</v>
      </c>
      <c r="C652" s="846" t="s">
        <v>14197</v>
      </c>
      <c r="D652" s="2495"/>
      <c r="E652" s="2496"/>
      <c r="F652" s="2496"/>
      <c r="G652" s="849">
        <f>SUM(F653:F678)</f>
        <v>1104.0595600000001</v>
      </c>
      <c r="H652" s="1161">
        <f>G652*(1-$D$6)</f>
        <v>828.04467000000011</v>
      </c>
      <c r="I652" s="849">
        <f>ROUNDUP(H652*$D$5,0)</f>
        <v>2816</v>
      </c>
      <c r="J652" s="850">
        <f>+I652*B652</f>
        <v>2816</v>
      </c>
      <c r="K652" s="851">
        <f>B652</f>
        <v>1</v>
      </c>
      <c r="L652" s="412"/>
      <c r="M652" s="843"/>
      <c r="N652" s="890" t="str">
        <f t="shared" si="119"/>
        <v/>
      </c>
      <c r="O652" s="344" t="str">
        <f t="shared" si="121"/>
        <v/>
      </c>
      <c r="P652" s="344" t="str">
        <f t="shared" si="122"/>
        <v/>
      </c>
      <c r="Q652" s="195" t="str">
        <f t="shared" si="123"/>
        <v/>
      </c>
      <c r="R652" s="195"/>
    </row>
    <row r="653" spans="1:18" s="126" customFormat="1">
      <c r="A653" s="852" t="s">
        <v>3207</v>
      </c>
      <c r="B653" s="1418"/>
      <c r="C653" s="853"/>
      <c r="D653" s="1911"/>
      <c r="E653" s="1890"/>
      <c r="F653" s="1890"/>
      <c r="G653" s="854"/>
      <c r="H653" s="854"/>
      <c r="I653" s="854"/>
      <c r="J653" s="855"/>
      <c r="K653" s="843">
        <f>K652</f>
        <v>1</v>
      </c>
      <c r="L653" s="412">
        <v>1</v>
      </c>
      <c r="M653" s="843">
        <f>IF(B653="",1,B653)</f>
        <v>1</v>
      </c>
      <c r="N653" s="890" t="str">
        <f t="shared" ref="N653:N716" si="138">IF(O653&lt;&gt;"",K653*L653*M653,"")</f>
        <v/>
      </c>
      <c r="O653" s="344" t="str">
        <f t="shared" si="121"/>
        <v/>
      </c>
      <c r="P653" s="344" t="str">
        <f t="shared" si="122"/>
        <v/>
      </c>
      <c r="Q653" s="195" t="str">
        <f t="shared" si="123"/>
        <v/>
      </c>
      <c r="R653" s="195"/>
    </row>
    <row r="654" spans="1:18" s="126" customFormat="1">
      <c r="A654" s="856" t="s">
        <v>4059</v>
      </c>
      <c r="B654" s="1122"/>
      <c r="C654" s="1419" t="s">
        <v>3301</v>
      </c>
      <c r="D654" s="1891"/>
      <c r="E654" s="1878"/>
      <c r="F654" s="1878"/>
      <c r="G654" s="854"/>
      <c r="H654" s="854"/>
      <c r="I654" s="854"/>
      <c r="J654" s="858"/>
      <c r="K654" s="843">
        <f t="shared" ref="K654:K676" si="139">K653</f>
        <v>1</v>
      </c>
      <c r="L654" s="412">
        <v>1</v>
      </c>
      <c r="M654" s="843">
        <f t="shared" ref="M654:M678" si="140">IF(B654="",1,B654)</f>
        <v>1</v>
      </c>
      <c r="N654" s="890" t="str">
        <f t="shared" si="138"/>
        <v/>
      </c>
      <c r="O654" s="344" t="str">
        <f t="shared" si="121"/>
        <v/>
      </c>
      <c r="P654" s="344" t="str">
        <f t="shared" si="122"/>
        <v/>
      </c>
      <c r="Q654" s="195" t="str">
        <f t="shared" si="123"/>
        <v/>
      </c>
      <c r="R654" s="195"/>
    </row>
    <row r="655" spans="1:18" s="862" customFormat="1">
      <c r="A655" s="856" t="s">
        <v>4321</v>
      </c>
      <c r="B655" s="1122">
        <v>1</v>
      </c>
      <c r="C655" s="857" t="str">
        <f>VLOOKUP(D655,base_datos,6,FALSE)</f>
        <v>ITM Riel-Din 3x40A - SH203-C-40A - 10kA@230Vac, 6kA@400Vac-IEC60898 - marca ABB.</v>
      </c>
      <c r="D655" s="1894" t="s">
        <v>1070</v>
      </c>
      <c r="E655" s="1871">
        <f>VLOOKUP(D655,base_datos,5,FALSE)</f>
        <v>16.400000000000002</v>
      </c>
      <c r="F655" s="1878">
        <f>+E655*B655</f>
        <v>16.400000000000002</v>
      </c>
      <c r="G655" s="860"/>
      <c r="H655" s="860"/>
      <c r="I655" s="860"/>
      <c r="J655" s="861"/>
      <c r="K655" s="843">
        <f t="shared" si="139"/>
        <v>1</v>
      </c>
      <c r="L655" s="412">
        <v>1</v>
      </c>
      <c r="M655" s="843">
        <f t="shared" si="140"/>
        <v>1</v>
      </c>
      <c r="N655" s="890">
        <f t="shared" si="138"/>
        <v>1</v>
      </c>
      <c r="O655" s="344" t="str">
        <f t="shared" ref="O655:O718" si="141">IF(D655&lt;&gt;"",IF(VLOOKUP(D655,base_datos,7,FALSE)&lt;&gt;"",VLOOKUP(D655,base_datos,7,FALSE),""),"")</f>
        <v>2CDS213001R0404</v>
      </c>
      <c r="P655" s="344" t="str">
        <f t="shared" ref="P655:P718" si="142">IF(O655&lt;&gt;"",VLOOKUP(D655,base_datos,6,FALSE),"")</f>
        <v>ITM Riel-Din 3x40A - SH203-C-40A - 10kA@230Vac, 6kA@400Vac-IEC60898 - marca ABB.</v>
      </c>
      <c r="Q655" s="195" t="str">
        <f t="shared" ref="Q655:Q718" si="143">IF(O655&lt;&gt;"",D655,"")</f>
        <v>SH203-C-40A</v>
      </c>
      <c r="R655" s="195"/>
    </row>
    <row r="656" spans="1:18" s="195" customFormat="1">
      <c r="A656" s="1108"/>
      <c r="B656" s="895"/>
      <c r="C656" s="337" t="s">
        <v>729</v>
      </c>
      <c r="D656" s="182"/>
      <c r="E656" s="1874"/>
      <c r="F656" s="1875"/>
      <c r="G656" s="891"/>
      <c r="H656" s="891"/>
      <c r="I656" s="891"/>
      <c r="J656" s="892"/>
      <c r="K656" s="843">
        <f t="shared" si="139"/>
        <v>1</v>
      </c>
      <c r="L656" s="888">
        <v>1</v>
      </c>
      <c r="M656" s="843">
        <f t="shared" si="140"/>
        <v>1</v>
      </c>
      <c r="N656" s="890" t="str">
        <f t="shared" si="138"/>
        <v/>
      </c>
      <c r="O656" s="344" t="str">
        <f t="shared" si="141"/>
        <v/>
      </c>
      <c r="P656" s="344" t="str">
        <f t="shared" si="142"/>
        <v/>
      </c>
      <c r="Q656" s="195" t="str">
        <f t="shared" si="143"/>
        <v/>
      </c>
    </row>
    <row r="657" spans="1:18" s="862" customFormat="1">
      <c r="A657" s="856"/>
      <c r="B657" s="820"/>
      <c r="C657" s="859" t="s">
        <v>3535</v>
      </c>
      <c r="D657" s="1896"/>
      <c r="E657" s="1877"/>
      <c r="F657" s="1878"/>
      <c r="G657" s="860"/>
      <c r="H657" s="860"/>
      <c r="I657" s="860"/>
      <c r="J657" s="861"/>
      <c r="K657" s="843">
        <f t="shared" si="139"/>
        <v>1</v>
      </c>
      <c r="L657" s="412">
        <v>1</v>
      </c>
      <c r="M657" s="843">
        <f t="shared" si="140"/>
        <v>1</v>
      </c>
      <c r="N657" s="890" t="str">
        <f t="shared" si="138"/>
        <v/>
      </c>
      <c r="O657" s="344" t="str">
        <f t="shared" si="141"/>
        <v/>
      </c>
      <c r="P657" s="344" t="str">
        <f t="shared" si="142"/>
        <v/>
      </c>
      <c r="Q657" s="195" t="str">
        <f t="shared" si="143"/>
        <v/>
      </c>
      <c r="R657" s="195"/>
    </row>
    <row r="658" spans="1:18" s="862" customFormat="1">
      <c r="A658" s="856" t="s">
        <v>3725</v>
      </c>
      <c r="B658" s="1122">
        <v>1</v>
      </c>
      <c r="C658" s="857" t="str">
        <f>VLOOKUP(D658,base_datos,6,FALSE)</f>
        <v>ITM Riel-Din 3x20A - SH203-C-20A - 10kA@230Vac, 6kA@400Vac-IEC60898 - marca ABB.</v>
      </c>
      <c r="D658" s="1894" t="s">
        <v>1067</v>
      </c>
      <c r="E658" s="1871">
        <f>VLOOKUP(D658,base_datos,5,FALSE)</f>
        <v>14.34</v>
      </c>
      <c r="F658" s="1878">
        <f t="shared" ref="F658:F663" si="144">+E658*B658</f>
        <v>14.34</v>
      </c>
      <c r="G658" s="860"/>
      <c r="H658" s="860"/>
      <c r="I658" s="860"/>
      <c r="J658" s="1420"/>
      <c r="K658" s="843">
        <f t="shared" si="139"/>
        <v>1</v>
      </c>
      <c r="L658" s="412">
        <v>1</v>
      </c>
      <c r="M658" s="843">
        <f t="shared" si="140"/>
        <v>1</v>
      </c>
      <c r="N658" s="890">
        <f t="shared" si="138"/>
        <v>1</v>
      </c>
      <c r="O658" s="344" t="str">
        <f t="shared" si="141"/>
        <v>2CDS213001R0204</v>
      </c>
      <c r="P658" s="344" t="str">
        <f t="shared" si="142"/>
        <v>ITM Riel-Din 3x20A - SH203-C-20A - 10kA@230Vac, 6kA@400Vac-IEC60898 - marca ABB.</v>
      </c>
      <c r="Q658" s="195" t="str">
        <f t="shared" si="143"/>
        <v>SH203-C-20A</v>
      </c>
      <c r="R658" s="195"/>
    </row>
    <row r="659" spans="1:18" s="862" customFormat="1">
      <c r="A659" s="856" t="s">
        <v>3726</v>
      </c>
      <c r="B659" s="1122">
        <v>12</v>
      </c>
      <c r="C659" s="857" t="str">
        <f>VLOOKUP(D659,base_datos,6,FALSE)</f>
        <v>ITM Riel-Din 2x20A - SH202-C-20A - 10kA@230Vac, 6kA@400Vac-IEC60898 - marca ABB.</v>
      </c>
      <c r="D659" s="1894" t="s">
        <v>1060</v>
      </c>
      <c r="E659" s="1871">
        <f>VLOOKUP(D659,base_datos,5,FALSE)</f>
        <v>6.54</v>
      </c>
      <c r="F659" s="1878">
        <f t="shared" si="144"/>
        <v>78.48</v>
      </c>
      <c r="G659" s="860"/>
      <c r="H659" s="860"/>
      <c r="I659" s="860"/>
      <c r="J659" s="1420"/>
      <c r="K659" s="843">
        <f t="shared" si="139"/>
        <v>1</v>
      </c>
      <c r="L659" s="412">
        <v>1</v>
      </c>
      <c r="M659" s="843">
        <f t="shared" si="140"/>
        <v>12</v>
      </c>
      <c r="N659" s="890">
        <f t="shared" si="138"/>
        <v>12</v>
      </c>
      <c r="O659" s="344" t="str">
        <f t="shared" si="141"/>
        <v>2CDS212001R0204</v>
      </c>
      <c r="P659" s="344" t="str">
        <f t="shared" si="142"/>
        <v>ITM Riel-Din 2x20A - SH202-C-20A - 10kA@230Vac, 6kA@400Vac-IEC60898 - marca ABB.</v>
      </c>
      <c r="Q659" s="195" t="str">
        <f t="shared" si="143"/>
        <v>SH202-C-20A</v>
      </c>
      <c r="R659" s="195"/>
    </row>
    <row r="660" spans="1:18" s="862" customFormat="1">
      <c r="A660" s="856"/>
      <c r="B660" s="1122">
        <v>1</v>
      </c>
      <c r="C660" s="857" t="str">
        <f>VLOOKUP(D660,base_datos,6,FALSE)</f>
        <v>Interruptor Diferencial 4x25A - 30mA - clase AC - FH204-AC-25A-30mA - marca ABB.</v>
      </c>
      <c r="D660" s="2466" t="s">
        <v>1115</v>
      </c>
      <c r="E660" s="1871">
        <f>VLOOKUP(D660,base_datos,5,FALSE)</f>
        <v>61.199999999999996</v>
      </c>
      <c r="F660" s="1878">
        <f t="shared" si="144"/>
        <v>61.199999999999996</v>
      </c>
      <c r="G660" s="860"/>
      <c r="H660" s="860"/>
      <c r="I660" s="860"/>
      <c r="J660" s="1420"/>
      <c r="K660" s="843">
        <f t="shared" si="139"/>
        <v>1</v>
      </c>
      <c r="L660" s="412">
        <v>1</v>
      </c>
      <c r="M660" s="843">
        <f t="shared" si="140"/>
        <v>1</v>
      </c>
      <c r="N660" s="890">
        <f t="shared" si="138"/>
        <v>1</v>
      </c>
      <c r="O660" s="344" t="str">
        <f t="shared" si="141"/>
        <v>1TMF204006R1250</v>
      </c>
      <c r="P660" s="344" t="str">
        <f t="shared" si="142"/>
        <v>Interruptor Diferencial 4x25A - 30mA - clase AC - FH204-AC-25A-30mA - marca ABB.</v>
      </c>
      <c r="Q660" s="195" t="str">
        <f t="shared" si="143"/>
        <v>FH204-AC-25A-30mA</v>
      </c>
      <c r="R660" s="195"/>
    </row>
    <row r="661" spans="1:18" s="862" customFormat="1">
      <c r="A661" s="856"/>
      <c r="B661" s="1122">
        <v>12</v>
      </c>
      <c r="C661" s="857" t="str">
        <f>VLOOKUP(D661,base_datos,6,FALSE)</f>
        <v>Interruptor Diferencial 2x25A - 30mA - clase AC - FH202-AC-25A-30mA - marca ABB.</v>
      </c>
      <c r="D661" s="2466" t="s">
        <v>1109</v>
      </c>
      <c r="E661" s="1871">
        <f>VLOOKUP(D661,base_datos,5,FALSE)</f>
        <v>24.41</v>
      </c>
      <c r="F661" s="1878">
        <f t="shared" si="144"/>
        <v>292.92</v>
      </c>
      <c r="G661" s="860"/>
      <c r="H661" s="860"/>
      <c r="I661" s="860"/>
      <c r="J661" s="1420"/>
      <c r="K661" s="843">
        <f t="shared" si="139"/>
        <v>1</v>
      </c>
      <c r="L661" s="412">
        <v>1</v>
      </c>
      <c r="M661" s="843">
        <f t="shared" si="140"/>
        <v>12</v>
      </c>
      <c r="N661" s="890">
        <f t="shared" si="138"/>
        <v>12</v>
      </c>
      <c r="O661" s="344" t="str">
        <f t="shared" si="141"/>
        <v>1TMF202006R1250</v>
      </c>
      <c r="P661" s="344" t="str">
        <f t="shared" si="142"/>
        <v>Interruptor Diferencial 2x25A - 30mA - clase AC - FH202-AC-25A-30mA - marca ABB.</v>
      </c>
      <c r="Q661" s="195" t="str">
        <f t="shared" si="143"/>
        <v>FH202-AC-25A-30mA</v>
      </c>
      <c r="R661" s="195"/>
    </row>
    <row r="662" spans="1:18" s="2340" customFormat="1">
      <c r="A662" s="1873"/>
      <c r="B662" s="2443">
        <v>2</v>
      </c>
      <c r="C662" s="2444" t="str">
        <f>VLOOKUP(D662,base_datos,6,FALSE)</f>
        <v>Espacio de reserva monofasica + interruptor diferencial - Riel-Din.</v>
      </c>
      <c r="D662" s="2468" t="s">
        <v>3069</v>
      </c>
      <c r="E662" s="2497">
        <f>VLOOKUP(D662,base_datos,5,FALSE)</f>
        <v>2.5</v>
      </c>
      <c r="F662" s="2498">
        <f t="shared" si="144"/>
        <v>5</v>
      </c>
      <c r="G662" s="2338"/>
      <c r="H662" s="2338"/>
      <c r="I662" s="2338"/>
      <c r="J662" s="2339"/>
      <c r="K662" s="843">
        <f t="shared" si="139"/>
        <v>1</v>
      </c>
      <c r="L662" s="412">
        <v>1</v>
      </c>
      <c r="M662" s="843">
        <f t="shared" si="140"/>
        <v>2</v>
      </c>
      <c r="N662" s="890" t="str">
        <f t="shared" si="138"/>
        <v/>
      </c>
      <c r="O662" s="344" t="str">
        <f t="shared" si="141"/>
        <v/>
      </c>
      <c r="P662" s="344" t="str">
        <f t="shared" si="142"/>
        <v/>
      </c>
      <c r="Q662" s="195" t="str">
        <f t="shared" si="143"/>
        <v/>
      </c>
      <c r="R662" s="195"/>
    </row>
    <row r="663" spans="1:18" s="870" customFormat="1">
      <c r="A663" s="1873"/>
      <c r="B663" s="866">
        <v>1</v>
      </c>
      <c r="C663" s="867" t="s">
        <v>4199</v>
      </c>
      <c r="D663" s="1896"/>
      <c r="E663" s="180">
        <v>93</v>
      </c>
      <c r="F663" s="1921">
        <f t="shared" si="144"/>
        <v>93</v>
      </c>
      <c r="G663" s="868"/>
      <c r="H663" s="868"/>
      <c r="I663" s="868"/>
      <c r="J663" s="869"/>
      <c r="K663" s="843">
        <f t="shared" si="139"/>
        <v>1</v>
      </c>
      <c r="L663" s="412">
        <v>1</v>
      </c>
      <c r="M663" s="843">
        <f t="shared" si="140"/>
        <v>1</v>
      </c>
      <c r="N663" s="890" t="str">
        <f t="shared" si="138"/>
        <v/>
      </c>
      <c r="O663" s="344" t="str">
        <f t="shared" si="141"/>
        <v/>
      </c>
      <c r="P663" s="344" t="str">
        <f t="shared" si="142"/>
        <v/>
      </c>
      <c r="Q663" s="195" t="str">
        <f t="shared" si="143"/>
        <v/>
      </c>
    </row>
    <row r="664" spans="1:18" s="195" customFormat="1">
      <c r="A664" s="856"/>
      <c r="B664" s="895"/>
      <c r="C664" s="337" t="s">
        <v>729</v>
      </c>
      <c r="D664" s="182"/>
      <c r="E664" s="1874"/>
      <c r="F664" s="1875"/>
      <c r="G664" s="891"/>
      <c r="H664" s="891"/>
      <c r="I664" s="891"/>
      <c r="J664" s="892"/>
      <c r="K664" s="843">
        <f t="shared" si="139"/>
        <v>1</v>
      </c>
      <c r="L664" s="412">
        <v>1</v>
      </c>
      <c r="M664" s="843">
        <f t="shared" si="140"/>
        <v>1</v>
      </c>
      <c r="N664" s="890" t="str">
        <f t="shared" si="138"/>
        <v/>
      </c>
      <c r="O664" s="344" t="str">
        <f t="shared" si="141"/>
        <v/>
      </c>
      <c r="P664" s="344" t="str">
        <f t="shared" si="142"/>
        <v/>
      </c>
      <c r="Q664" s="195" t="str">
        <f t="shared" si="143"/>
        <v/>
      </c>
    </row>
    <row r="665" spans="1:18" s="862" customFormat="1">
      <c r="A665" s="2370"/>
      <c r="B665" s="820"/>
      <c r="C665" s="859" t="s">
        <v>3206</v>
      </c>
      <c r="D665" s="1876"/>
      <c r="E665" s="1877"/>
      <c r="F665" s="1878"/>
      <c r="G665" s="860"/>
      <c r="H665" s="860"/>
      <c r="I665" s="860"/>
      <c r="J665" s="861"/>
      <c r="K665" s="843">
        <f t="shared" si="139"/>
        <v>1</v>
      </c>
      <c r="L665" s="412">
        <v>1</v>
      </c>
      <c r="M665" s="843">
        <f t="shared" si="140"/>
        <v>1</v>
      </c>
      <c r="N665" s="890" t="str">
        <f t="shared" si="138"/>
        <v/>
      </c>
      <c r="O665" s="344" t="str">
        <f t="shared" si="141"/>
        <v/>
      </c>
      <c r="P665" s="344" t="str">
        <f t="shared" si="142"/>
        <v/>
      </c>
      <c r="Q665" s="195" t="str">
        <f t="shared" si="143"/>
        <v/>
      </c>
      <c r="R665" s="195"/>
    </row>
    <row r="666" spans="1:18" s="862" customFormat="1">
      <c r="A666" s="2366"/>
      <c r="B666" s="1122">
        <v>2</v>
      </c>
      <c r="C666" s="857" t="str">
        <f t="shared" ref="C666:C671" si="145">VLOOKUP(D666,base_datos,6,FALSE)</f>
        <v>Interruptor Horario Digital - marca GRASSLIN.</v>
      </c>
      <c r="D666" s="1876" t="s">
        <v>1860</v>
      </c>
      <c r="E666" s="1871">
        <f t="shared" ref="E666:E671" si="146">VLOOKUP(D666,base_datos,5,FALSE)</f>
        <v>61.78</v>
      </c>
      <c r="F666" s="1878">
        <f t="shared" ref="F666:F671" si="147">+E666*B666</f>
        <v>123.56</v>
      </c>
      <c r="G666" s="860"/>
      <c r="H666" s="860"/>
      <c r="I666" s="860"/>
      <c r="J666" s="1420"/>
      <c r="K666" s="843">
        <f t="shared" si="139"/>
        <v>1</v>
      </c>
      <c r="L666" s="412">
        <v>1</v>
      </c>
      <c r="M666" s="843">
        <f t="shared" si="140"/>
        <v>2</v>
      </c>
      <c r="N666" s="890">
        <f t="shared" si="138"/>
        <v>2</v>
      </c>
      <c r="O666" s="344" t="str">
        <f t="shared" si="141"/>
        <v>IH_GRASSLIN</v>
      </c>
      <c r="P666" s="344" t="str">
        <f t="shared" si="142"/>
        <v>Interruptor Horario Digital - marca GRASSLIN.</v>
      </c>
      <c r="Q666" s="195" t="str">
        <f t="shared" si="143"/>
        <v>IH_GRASSLIN</v>
      </c>
      <c r="R666" s="195"/>
    </row>
    <row r="667" spans="1:18" s="862" customFormat="1">
      <c r="A667" s="865"/>
      <c r="B667" s="1122">
        <v>2</v>
      </c>
      <c r="C667" s="857" t="str">
        <f t="shared" si="145"/>
        <v>Contactor 3x09A(AC-3) / 3x25A(AC-1) +1NA - AF09-30-10-13 - bobina 100-250Vac/dc - marca ABB.</v>
      </c>
      <c r="D667" s="1876" t="s">
        <v>1474</v>
      </c>
      <c r="E667" s="1871">
        <f t="shared" si="146"/>
        <v>24.680000000000003</v>
      </c>
      <c r="F667" s="1878">
        <f t="shared" si="147"/>
        <v>49.360000000000007</v>
      </c>
      <c r="G667" s="860"/>
      <c r="H667" s="860"/>
      <c r="I667" s="860"/>
      <c r="J667" s="1420"/>
      <c r="K667" s="843">
        <f t="shared" si="139"/>
        <v>1</v>
      </c>
      <c r="L667" s="412">
        <v>1</v>
      </c>
      <c r="M667" s="843">
        <f t="shared" si="140"/>
        <v>2</v>
      </c>
      <c r="N667" s="890">
        <f t="shared" si="138"/>
        <v>2</v>
      </c>
      <c r="O667" s="344" t="str">
        <f t="shared" si="141"/>
        <v>1SBL137001R1310</v>
      </c>
      <c r="P667" s="344" t="str">
        <f t="shared" si="142"/>
        <v>Contactor 3x09A(AC-3) / 3x25A(AC-1) +1NA - AF09-30-10-13 - bobina 100-250Vac/dc - marca ABB.</v>
      </c>
      <c r="Q667" s="195" t="str">
        <f t="shared" si="143"/>
        <v>AF09-30-10-13_3p</v>
      </c>
      <c r="R667" s="195"/>
    </row>
    <row r="668" spans="1:18" s="862" customFormat="1">
      <c r="A668" s="865"/>
      <c r="B668" s="1122">
        <v>2</v>
      </c>
      <c r="C668" s="857" t="str">
        <f t="shared" si="145"/>
        <v>Selector tres posiciones "M-0-A" o "1-0-2".</v>
      </c>
      <c r="D668" s="1876" t="s">
        <v>446</v>
      </c>
      <c r="E668" s="1871">
        <f t="shared" si="146"/>
        <v>28</v>
      </c>
      <c r="F668" s="1878">
        <f t="shared" si="147"/>
        <v>56</v>
      </c>
      <c r="G668" s="860"/>
      <c r="H668" s="860"/>
      <c r="I668" s="860"/>
      <c r="J668" s="1420"/>
      <c r="K668" s="843">
        <f t="shared" si="139"/>
        <v>1</v>
      </c>
      <c r="L668" s="412">
        <v>1</v>
      </c>
      <c r="M668" s="843">
        <f t="shared" si="140"/>
        <v>2</v>
      </c>
      <c r="N668" s="890" t="str">
        <f t="shared" si="138"/>
        <v/>
      </c>
      <c r="O668" s="344" t="str">
        <f t="shared" si="141"/>
        <v/>
      </c>
      <c r="P668" s="344" t="str">
        <f t="shared" si="142"/>
        <v/>
      </c>
      <c r="Q668" s="195" t="str">
        <f t="shared" si="143"/>
        <v/>
      </c>
      <c r="R668" s="195"/>
    </row>
    <row r="669" spans="1:18" s="862" customFormat="1">
      <c r="A669" s="2366"/>
      <c r="B669" s="1122">
        <v>2</v>
      </c>
      <c r="C669" s="857" t="str">
        <f t="shared" si="145"/>
        <v>Pulsador doble Start/Stop (Rojo/Verde) sin iluminación + contacto 1NA+1NC.</v>
      </c>
      <c r="D669" s="1876" t="s">
        <v>8359</v>
      </c>
      <c r="E669" s="1871">
        <f t="shared" si="146"/>
        <v>38</v>
      </c>
      <c r="F669" s="1878">
        <f t="shared" si="147"/>
        <v>76</v>
      </c>
      <c r="G669" s="860"/>
      <c r="H669" s="860"/>
      <c r="I669" s="860"/>
      <c r="J669" s="1420"/>
      <c r="K669" s="843">
        <f t="shared" si="139"/>
        <v>1</v>
      </c>
      <c r="L669" s="412">
        <v>1</v>
      </c>
      <c r="M669" s="843">
        <f t="shared" si="140"/>
        <v>2</v>
      </c>
      <c r="N669" s="890" t="str">
        <f t="shared" si="138"/>
        <v/>
      </c>
      <c r="O669" s="344" t="str">
        <f t="shared" si="141"/>
        <v/>
      </c>
      <c r="P669" s="344" t="str">
        <f t="shared" si="142"/>
        <v/>
      </c>
      <c r="Q669" s="195" t="str">
        <f t="shared" si="143"/>
        <v/>
      </c>
      <c r="R669" s="195"/>
    </row>
    <row r="670" spans="1:18" s="344" customFormat="1">
      <c r="A670" s="865"/>
      <c r="B670" s="1122">
        <v>4</v>
      </c>
      <c r="C670" s="904" t="str">
        <f t="shared" si="145"/>
        <v>Base portafusibles + Fusibles de protección para control.</v>
      </c>
      <c r="D670" s="1881" t="s">
        <v>453</v>
      </c>
      <c r="E670" s="1892">
        <f t="shared" si="146"/>
        <v>6.5373900000000003</v>
      </c>
      <c r="F670" s="1893">
        <f t="shared" si="147"/>
        <v>26.149560000000001</v>
      </c>
      <c r="G670" s="905"/>
      <c r="H670" s="905"/>
      <c r="I670" s="905"/>
      <c r="J670" s="906"/>
      <c r="K670" s="843">
        <f t="shared" si="139"/>
        <v>1</v>
      </c>
      <c r="L670" s="412">
        <f>L668</f>
        <v>1</v>
      </c>
      <c r="M670" s="843">
        <f t="shared" si="140"/>
        <v>4</v>
      </c>
      <c r="N670" s="890" t="str">
        <f t="shared" si="138"/>
        <v/>
      </c>
      <c r="O670" s="344" t="str">
        <f t="shared" si="141"/>
        <v/>
      </c>
      <c r="P670" s="344" t="str">
        <f t="shared" si="142"/>
        <v/>
      </c>
      <c r="Q670" s="195" t="str">
        <f t="shared" si="143"/>
        <v/>
      </c>
      <c r="R670" s="195"/>
    </row>
    <row r="671" spans="1:18" s="344" customFormat="1">
      <c r="A671" s="865"/>
      <c r="B671" s="1122">
        <v>4</v>
      </c>
      <c r="C671" s="904" t="str">
        <f t="shared" si="145"/>
        <v>Borne 4mm2.</v>
      </c>
      <c r="D671" s="1881" t="s">
        <v>437</v>
      </c>
      <c r="E671" s="1892">
        <f t="shared" si="146"/>
        <v>2.5</v>
      </c>
      <c r="F671" s="1893">
        <f t="shared" si="147"/>
        <v>10</v>
      </c>
      <c r="G671" s="905"/>
      <c r="H671" s="905"/>
      <c r="I671" s="905"/>
      <c r="J671" s="906"/>
      <c r="K671" s="843">
        <f t="shared" si="139"/>
        <v>1</v>
      </c>
      <c r="L671" s="412">
        <f>L669</f>
        <v>1</v>
      </c>
      <c r="M671" s="843">
        <f t="shared" si="140"/>
        <v>4</v>
      </c>
      <c r="N671" s="890" t="str">
        <f t="shared" si="138"/>
        <v/>
      </c>
      <c r="O671" s="344" t="str">
        <f t="shared" si="141"/>
        <v/>
      </c>
      <c r="P671" s="344" t="str">
        <f t="shared" si="142"/>
        <v/>
      </c>
      <c r="Q671" s="195" t="str">
        <f t="shared" si="143"/>
        <v/>
      </c>
      <c r="R671" s="195"/>
    </row>
    <row r="672" spans="1:18" s="195" customFormat="1">
      <c r="A672" s="1108"/>
      <c r="B672" s="895"/>
      <c r="C672" s="337" t="s">
        <v>729</v>
      </c>
      <c r="D672" s="182"/>
      <c r="E672" s="1874"/>
      <c r="F672" s="1875"/>
      <c r="G672" s="891"/>
      <c r="H672" s="891"/>
      <c r="I672" s="891"/>
      <c r="J672" s="892"/>
      <c r="K672" s="843">
        <f t="shared" si="139"/>
        <v>1</v>
      </c>
      <c r="L672" s="888">
        <v>1</v>
      </c>
      <c r="M672" s="843">
        <f t="shared" si="140"/>
        <v>1</v>
      </c>
      <c r="N672" s="890" t="str">
        <f t="shared" si="138"/>
        <v/>
      </c>
      <c r="O672" s="344" t="str">
        <f t="shared" si="141"/>
        <v/>
      </c>
      <c r="P672" s="344" t="str">
        <f t="shared" si="142"/>
        <v/>
      </c>
      <c r="Q672" s="195" t="str">
        <f t="shared" si="143"/>
        <v/>
      </c>
    </row>
    <row r="673" spans="1:18" s="870" customFormat="1">
      <c r="A673" s="865"/>
      <c r="B673" s="2385">
        <v>1</v>
      </c>
      <c r="C673" s="2386" t="s">
        <v>316</v>
      </c>
      <c r="D673" s="2387"/>
      <c r="E673" s="1892"/>
      <c r="F673" s="1901"/>
      <c r="G673" s="2396"/>
      <c r="H673" s="2396"/>
      <c r="I673" s="2396"/>
      <c r="J673" s="2397"/>
      <c r="K673" s="843">
        <f t="shared" si="139"/>
        <v>1</v>
      </c>
      <c r="L673" s="412">
        <v>1</v>
      </c>
      <c r="M673" s="843">
        <f t="shared" si="140"/>
        <v>1</v>
      </c>
      <c r="N673" s="890" t="str">
        <f t="shared" si="138"/>
        <v/>
      </c>
      <c r="O673" s="344" t="str">
        <f t="shared" si="141"/>
        <v/>
      </c>
      <c r="P673" s="344" t="str">
        <f t="shared" si="142"/>
        <v/>
      </c>
      <c r="Q673" s="195" t="str">
        <f t="shared" si="143"/>
        <v/>
      </c>
      <c r="R673" s="195"/>
    </row>
    <row r="674" spans="1:18" s="195" customFormat="1">
      <c r="A674" s="1108"/>
      <c r="B674" s="895"/>
      <c r="C674" s="337" t="s">
        <v>729</v>
      </c>
      <c r="D674" s="182"/>
      <c r="E674" s="1874"/>
      <c r="F674" s="1875"/>
      <c r="G674" s="891"/>
      <c r="H674" s="891"/>
      <c r="I674" s="891"/>
      <c r="J674" s="892"/>
      <c r="K674" s="843">
        <f t="shared" si="139"/>
        <v>1</v>
      </c>
      <c r="L674" s="888">
        <v>1</v>
      </c>
      <c r="M674" s="843">
        <f t="shared" si="140"/>
        <v>1</v>
      </c>
      <c r="N674" s="890" t="str">
        <f t="shared" si="138"/>
        <v/>
      </c>
      <c r="O674" s="344" t="str">
        <f t="shared" si="141"/>
        <v/>
      </c>
      <c r="P674" s="344" t="str">
        <f t="shared" si="142"/>
        <v/>
      </c>
      <c r="Q674" s="195" t="str">
        <f t="shared" si="143"/>
        <v/>
      </c>
    </row>
    <row r="675" spans="1:18" s="1088" customFormat="1">
      <c r="A675" s="865"/>
      <c r="B675" s="1085">
        <v>28</v>
      </c>
      <c r="C675" s="904" t="str">
        <f>VLOOKUP(D675,base_datos,6,FALSE)</f>
        <v>Rotulado por circuito.</v>
      </c>
      <c r="D675" s="1881" t="s">
        <v>3210</v>
      </c>
      <c r="E675" s="1892">
        <f>VLOOKUP(D675,base_datos,5,FALSE)</f>
        <v>0.7</v>
      </c>
      <c r="F675" s="1893">
        <f>+E675*B675</f>
        <v>19.599999999999998</v>
      </c>
      <c r="G675" s="1086"/>
      <c r="H675" s="1086"/>
      <c r="I675" s="1086"/>
      <c r="J675" s="1087"/>
      <c r="K675" s="843">
        <f t="shared" si="139"/>
        <v>1</v>
      </c>
      <c r="L675" s="888">
        <v>1</v>
      </c>
      <c r="M675" s="843">
        <f t="shared" si="140"/>
        <v>28</v>
      </c>
      <c r="N675" s="890" t="str">
        <f t="shared" si="138"/>
        <v/>
      </c>
      <c r="O675" s="344" t="str">
        <f t="shared" si="141"/>
        <v/>
      </c>
      <c r="P675" s="344" t="str">
        <f t="shared" si="142"/>
        <v/>
      </c>
      <c r="Q675" s="195" t="str">
        <f t="shared" si="143"/>
        <v/>
      </c>
    </row>
    <row r="676" spans="1:18" s="1088" customFormat="1">
      <c r="A676" s="865"/>
      <c r="B676" s="1085">
        <v>1</v>
      </c>
      <c r="C676" s="904" t="str">
        <f>VLOOKUP(D676,base_datos,6,FALSE)</f>
        <v>Rotulado para TAG - tablero de distribución.</v>
      </c>
      <c r="D676" s="1881" t="s">
        <v>3209</v>
      </c>
      <c r="E676" s="1892">
        <f>VLOOKUP(D676,base_datos,5,FALSE)</f>
        <v>1.5</v>
      </c>
      <c r="F676" s="1893">
        <f>+E676*B676</f>
        <v>1.5</v>
      </c>
      <c r="G676" s="1086"/>
      <c r="H676" s="1086"/>
      <c r="I676" s="1086"/>
      <c r="J676" s="1087"/>
      <c r="K676" s="843">
        <f t="shared" si="139"/>
        <v>1</v>
      </c>
      <c r="L676" s="888">
        <v>1</v>
      </c>
      <c r="M676" s="843">
        <f t="shared" si="140"/>
        <v>1</v>
      </c>
      <c r="N676" s="890" t="str">
        <f t="shared" si="138"/>
        <v/>
      </c>
      <c r="O676" s="344" t="str">
        <f t="shared" si="141"/>
        <v/>
      </c>
      <c r="P676" s="344" t="str">
        <f t="shared" si="142"/>
        <v/>
      </c>
      <c r="Q676" s="195" t="str">
        <f t="shared" si="143"/>
        <v/>
      </c>
    </row>
    <row r="677" spans="1:18" s="1479" customFormat="1">
      <c r="A677" s="1128"/>
      <c r="B677" s="1412">
        <v>1</v>
      </c>
      <c r="C677" s="1417" t="s">
        <v>5302</v>
      </c>
      <c r="D677" s="1900"/>
      <c r="E677" s="1901">
        <f>E678*15%</f>
        <v>23.55</v>
      </c>
      <c r="F677" s="1901">
        <f>+E677*B677</f>
        <v>23.55</v>
      </c>
      <c r="G677" s="1902"/>
      <c r="H677" s="1902"/>
      <c r="I677" s="1902"/>
      <c r="J677" s="1414"/>
      <c r="K677" s="889">
        <f>K675</f>
        <v>1</v>
      </c>
      <c r="L677" s="888">
        <v>1</v>
      </c>
      <c r="M677" s="889">
        <f t="shared" si="140"/>
        <v>1</v>
      </c>
      <c r="N677" s="890" t="str">
        <f t="shared" si="138"/>
        <v/>
      </c>
      <c r="O677" s="344" t="str">
        <f t="shared" si="141"/>
        <v/>
      </c>
      <c r="P677" s="344" t="str">
        <f t="shared" si="142"/>
        <v/>
      </c>
      <c r="Q677" s="195" t="str">
        <f t="shared" si="143"/>
        <v/>
      </c>
    </row>
    <row r="678" spans="1:18" s="1479" customFormat="1">
      <c r="A678" s="1128"/>
      <c r="B678" s="2499">
        <v>1</v>
      </c>
      <c r="C678" s="867" t="s">
        <v>14198</v>
      </c>
      <c r="D678" s="2500"/>
      <c r="E678" s="1892">
        <v>157</v>
      </c>
      <c r="F678" s="1921">
        <f>+E678*B678</f>
        <v>157</v>
      </c>
      <c r="G678" s="1413"/>
      <c r="H678" s="1413"/>
      <c r="I678" s="1413"/>
      <c r="J678" s="1414"/>
      <c r="K678" s="843">
        <f>K676</f>
        <v>1</v>
      </c>
      <c r="L678" s="888">
        <v>1</v>
      </c>
      <c r="M678" s="843">
        <f t="shared" si="140"/>
        <v>1</v>
      </c>
      <c r="N678" s="890" t="str">
        <f t="shared" si="138"/>
        <v/>
      </c>
      <c r="O678" s="344" t="str">
        <f t="shared" si="141"/>
        <v/>
      </c>
      <c r="P678" s="344" t="str">
        <f t="shared" si="142"/>
        <v/>
      </c>
      <c r="Q678" s="195" t="str">
        <f t="shared" si="143"/>
        <v/>
      </c>
    </row>
    <row r="679" spans="1:18" s="126" customFormat="1" ht="13.5" thickBot="1">
      <c r="A679" s="2331"/>
      <c r="B679" s="1916"/>
      <c r="C679" s="1909"/>
      <c r="D679" s="1917"/>
      <c r="E679" s="873"/>
      <c r="F679" s="873"/>
      <c r="G679" s="1918"/>
      <c r="H679" s="1918"/>
      <c r="I679" s="1918"/>
      <c r="J679" s="1910"/>
      <c r="K679" s="1119"/>
      <c r="L679" s="412"/>
      <c r="M679" s="843"/>
      <c r="N679" s="890" t="str">
        <f t="shared" si="138"/>
        <v/>
      </c>
      <c r="O679" s="344" t="str">
        <f t="shared" si="141"/>
        <v/>
      </c>
      <c r="P679" s="344" t="str">
        <f t="shared" si="142"/>
        <v/>
      </c>
      <c r="Q679" s="195" t="str">
        <f t="shared" si="143"/>
        <v/>
      </c>
      <c r="R679" s="195"/>
    </row>
    <row r="680" spans="1:18" s="126" customFormat="1" ht="13.5" thickBot="1">
      <c r="A680" s="1923">
        <v>23</v>
      </c>
      <c r="B680" s="1920">
        <v>1</v>
      </c>
      <c r="C680" s="846" t="s">
        <v>14199</v>
      </c>
      <c r="D680" s="2495"/>
      <c r="E680" s="2496"/>
      <c r="F680" s="2496"/>
      <c r="G680" s="849">
        <f>SUM(F681:F704)</f>
        <v>816.19956000000002</v>
      </c>
      <c r="H680" s="1161">
        <f>G680*(1-$D$6)</f>
        <v>612.14967000000001</v>
      </c>
      <c r="I680" s="849">
        <f>ROUNDUP(H680*$D$5,0)</f>
        <v>2082</v>
      </c>
      <c r="J680" s="850">
        <f>+I680*B680</f>
        <v>2082</v>
      </c>
      <c r="K680" s="851">
        <f>B680</f>
        <v>1</v>
      </c>
      <c r="L680" s="412"/>
      <c r="M680" s="843"/>
      <c r="N680" s="890" t="str">
        <f t="shared" si="138"/>
        <v/>
      </c>
      <c r="O680" s="344" t="str">
        <f t="shared" si="141"/>
        <v/>
      </c>
      <c r="P680" s="344" t="str">
        <f t="shared" si="142"/>
        <v/>
      </c>
      <c r="Q680" s="195" t="str">
        <f t="shared" si="143"/>
        <v/>
      </c>
      <c r="R680" s="195"/>
    </row>
    <row r="681" spans="1:18" s="126" customFormat="1">
      <c r="A681" s="852" t="s">
        <v>3207</v>
      </c>
      <c r="B681" s="1418"/>
      <c r="C681" s="853"/>
      <c r="D681" s="1911"/>
      <c r="E681" s="1890"/>
      <c r="F681" s="1890"/>
      <c r="G681" s="854"/>
      <c r="H681" s="854"/>
      <c r="I681" s="854"/>
      <c r="J681" s="855"/>
      <c r="K681" s="843">
        <f>K680</f>
        <v>1</v>
      </c>
      <c r="L681" s="412">
        <v>1</v>
      </c>
      <c r="M681" s="843">
        <f>IF(B681="",1,B681)</f>
        <v>1</v>
      </c>
      <c r="N681" s="890" t="str">
        <f t="shared" si="138"/>
        <v/>
      </c>
      <c r="O681" s="344" t="str">
        <f t="shared" si="141"/>
        <v/>
      </c>
      <c r="P681" s="344" t="str">
        <f t="shared" si="142"/>
        <v/>
      </c>
      <c r="Q681" s="195" t="str">
        <f t="shared" si="143"/>
        <v/>
      </c>
      <c r="R681" s="195"/>
    </row>
    <row r="682" spans="1:18" s="126" customFormat="1">
      <c r="A682" s="856" t="s">
        <v>4059</v>
      </c>
      <c r="B682" s="1122"/>
      <c r="C682" s="1419" t="s">
        <v>3301</v>
      </c>
      <c r="D682" s="1891"/>
      <c r="E682" s="1878"/>
      <c r="F682" s="1878"/>
      <c r="G682" s="854"/>
      <c r="H682" s="854"/>
      <c r="I682" s="854"/>
      <c r="J682" s="858"/>
      <c r="K682" s="843">
        <f>K681</f>
        <v>1</v>
      </c>
      <c r="L682" s="412">
        <v>1</v>
      </c>
      <c r="M682" s="843">
        <f t="shared" ref="M682:M704" si="148">IF(B682="",1,B682)</f>
        <v>1</v>
      </c>
      <c r="N682" s="890" t="str">
        <f t="shared" si="138"/>
        <v/>
      </c>
      <c r="O682" s="344" t="str">
        <f t="shared" si="141"/>
        <v/>
      </c>
      <c r="P682" s="344" t="str">
        <f t="shared" si="142"/>
        <v/>
      </c>
      <c r="Q682" s="195" t="str">
        <f t="shared" si="143"/>
        <v/>
      </c>
      <c r="R682" s="195"/>
    </row>
    <row r="683" spans="1:18" s="862" customFormat="1">
      <c r="A683" s="856" t="s">
        <v>4321</v>
      </c>
      <c r="B683" s="1122">
        <v>1</v>
      </c>
      <c r="C683" s="857" t="str">
        <f>VLOOKUP(D683,base_datos,6,FALSE)</f>
        <v>ITM Riel-Din 3x32A - SH203-C-32A - 10kA@230Vac, 6kA@400Vac-IEC60898 - marca ABB.</v>
      </c>
      <c r="D683" s="1894" t="s">
        <v>1069</v>
      </c>
      <c r="E683" s="1871">
        <f>VLOOKUP(D683,base_datos,5,FALSE)</f>
        <v>15.379999999999999</v>
      </c>
      <c r="F683" s="1878">
        <f>+E683*B683</f>
        <v>15.379999999999999</v>
      </c>
      <c r="G683" s="860"/>
      <c r="H683" s="860"/>
      <c r="I683" s="860"/>
      <c r="J683" s="861"/>
      <c r="K683" s="843">
        <f t="shared" ref="K683:K685" si="149">K682</f>
        <v>1</v>
      </c>
      <c r="L683" s="412">
        <v>1</v>
      </c>
      <c r="M683" s="843">
        <f t="shared" si="148"/>
        <v>1</v>
      </c>
      <c r="N683" s="890">
        <f t="shared" si="138"/>
        <v>1</v>
      </c>
      <c r="O683" s="344" t="str">
        <f t="shared" si="141"/>
        <v>2CDS213001R0324</v>
      </c>
      <c r="P683" s="344" t="str">
        <f t="shared" si="142"/>
        <v>ITM Riel-Din 3x32A - SH203-C-32A - 10kA@230Vac, 6kA@400Vac-IEC60898 - marca ABB.</v>
      </c>
      <c r="Q683" s="195" t="str">
        <f t="shared" si="143"/>
        <v>SH203-C-32A</v>
      </c>
      <c r="R683" s="195"/>
    </row>
    <row r="684" spans="1:18" s="195" customFormat="1">
      <c r="A684" s="1108"/>
      <c r="B684" s="895"/>
      <c r="C684" s="337" t="s">
        <v>729</v>
      </c>
      <c r="D684" s="182"/>
      <c r="E684" s="1874"/>
      <c r="F684" s="1875"/>
      <c r="G684" s="891"/>
      <c r="H684" s="891"/>
      <c r="I684" s="891"/>
      <c r="J684" s="892"/>
      <c r="K684" s="843">
        <f t="shared" si="149"/>
        <v>1</v>
      </c>
      <c r="L684" s="888">
        <v>1</v>
      </c>
      <c r="M684" s="843">
        <f t="shared" si="148"/>
        <v>1</v>
      </c>
      <c r="N684" s="890" t="str">
        <f t="shared" si="138"/>
        <v/>
      </c>
      <c r="O684" s="344" t="str">
        <f t="shared" si="141"/>
        <v/>
      </c>
      <c r="P684" s="344" t="str">
        <f t="shared" si="142"/>
        <v/>
      </c>
      <c r="Q684" s="195" t="str">
        <f t="shared" si="143"/>
        <v/>
      </c>
    </row>
    <row r="685" spans="1:18" s="862" customFormat="1">
      <c r="A685" s="856"/>
      <c r="B685" s="820"/>
      <c r="C685" s="859" t="s">
        <v>3535</v>
      </c>
      <c r="D685" s="1896"/>
      <c r="E685" s="1877"/>
      <c r="F685" s="1878">
        <f>+E685*B685</f>
        <v>0</v>
      </c>
      <c r="G685" s="860"/>
      <c r="H685" s="860"/>
      <c r="I685" s="860"/>
      <c r="J685" s="861"/>
      <c r="K685" s="843">
        <f t="shared" si="149"/>
        <v>1</v>
      </c>
      <c r="L685" s="412">
        <v>1</v>
      </c>
      <c r="M685" s="843">
        <f t="shared" si="148"/>
        <v>1</v>
      </c>
      <c r="N685" s="890" t="str">
        <f t="shared" si="138"/>
        <v/>
      </c>
      <c r="O685" s="344" t="str">
        <f t="shared" si="141"/>
        <v/>
      </c>
      <c r="P685" s="344" t="str">
        <f t="shared" si="142"/>
        <v/>
      </c>
      <c r="Q685" s="195" t="str">
        <f t="shared" si="143"/>
        <v/>
      </c>
      <c r="R685" s="195"/>
    </row>
    <row r="686" spans="1:18" s="862" customFormat="1">
      <c r="A686" s="856" t="s">
        <v>3725</v>
      </c>
      <c r="B686" s="1122">
        <v>7</v>
      </c>
      <c r="C686" s="857" t="str">
        <f>VLOOKUP(D686,base_datos,6,FALSE)</f>
        <v>ITM Riel-Din 2x20A - SH202-C-20A - 10kA@230Vac, 6kA@400Vac-IEC60898 - marca ABB.</v>
      </c>
      <c r="D686" s="1894" t="s">
        <v>1060</v>
      </c>
      <c r="E686" s="1871">
        <f>VLOOKUP(D686,base_datos,5,FALSE)</f>
        <v>6.54</v>
      </c>
      <c r="F686" s="1878">
        <f>+E686*B686</f>
        <v>45.78</v>
      </c>
      <c r="G686" s="860"/>
      <c r="H686" s="860"/>
      <c r="I686" s="860"/>
      <c r="J686" s="1420"/>
      <c r="K686" s="843">
        <f>K685</f>
        <v>1</v>
      </c>
      <c r="L686" s="412">
        <v>1</v>
      </c>
      <c r="M686" s="843">
        <f t="shared" si="148"/>
        <v>7</v>
      </c>
      <c r="N686" s="890">
        <f t="shared" si="138"/>
        <v>7</v>
      </c>
      <c r="O686" s="344" t="str">
        <f t="shared" si="141"/>
        <v>2CDS212001R0204</v>
      </c>
      <c r="P686" s="344" t="str">
        <f t="shared" si="142"/>
        <v>ITM Riel-Din 2x20A - SH202-C-20A - 10kA@230Vac, 6kA@400Vac-IEC60898 - marca ABB.</v>
      </c>
      <c r="Q686" s="195" t="str">
        <f t="shared" si="143"/>
        <v>SH202-C-20A</v>
      </c>
      <c r="R686" s="195"/>
    </row>
    <row r="687" spans="1:18" s="862" customFormat="1">
      <c r="A687" s="856" t="s">
        <v>3726</v>
      </c>
      <c r="B687" s="1122">
        <v>7</v>
      </c>
      <c r="C687" s="857" t="str">
        <f>VLOOKUP(D687,base_datos,6,FALSE)</f>
        <v>Interruptor Diferencial 2x25A - 30mA - clase AC - FH202-AC-25A-30mA - marca ABB.</v>
      </c>
      <c r="D687" s="2466" t="s">
        <v>1109</v>
      </c>
      <c r="E687" s="1871">
        <f>VLOOKUP(D687,base_datos,5,FALSE)</f>
        <v>24.41</v>
      </c>
      <c r="F687" s="1878">
        <f>+E687*B687</f>
        <v>170.87</v>
      </c>
      <c r="G687" s="860"/>
      <c r="H687" s="860"/>
      <c r="I687" s="860"/>
      <c r="J687" s="1420"/>
      <c r="K687" s="843">
        <f>K686</f>
        <v>1</v>
      </c>
      <c r="L687" s="412">
        <v>1</v>
      </c>
      <c r="M687" s="843">
        <f t="shared" si="148"/>
        <v>7</v>
      </c>
      <c r="N687" s="890">
        <f t="shared" si="138"/>
        <v>7</v>
      </c>
      <c r="O687" s="344" t="str">
        <f t="shared" si="141"/>
        <v>1TMF202006R1250</v>
      </c>
      <c r="P687" s="344" t="str">
        <f t="shared" si="142"/>
        <v>Interruptor Diferencial 2x25A - 30mA - clase AC - FH202-AC-25A-30mA - marca ABB.</v>
      </c>
      <c r="Q687" s="195" t="str">
        <f t="shared" si="143"/>
        <v>FH202-AC-25A-30mA</v>
      </c>
      <c r="R687" s="195"/>
    </row>
    <row r="688" spans="1:18" s="2340" customFormat="1">
      <c r="A688" s="856"/>
      <c r="B688" s="2443">
        <v>2</v>
      </c>
      <c r="C688" s="2444" t="str">
        <f>VLOOKUP(D688,base_datos,6,FALSE)</f>
        <v>Espacio de reserva monofasica + interruptor diferencial - Riel-Din.</v>
      </c>
      <c r="D688" s="2468" t="s">
        <v>3069</v>
      </c>
      <c r="E688" s="2497">
        <f>VLOOKUP(D688,base_datos,5,FALSE)</f>
        <v>2.5</v>
      </c>
      <c r="F688" s="2498">
        <f>+E688*B688</f>
        <v>5</v>
      </c>
      <c r="G688" s="2338"/>
      <c r="H688" s="2338"/>
      <c r="I688" s="2338"/>
      <c r="J688" s="2339"/>
      <c r="K688" s="843">
        <f t="shared" ref="K688:K692" si="150">K687</f>
        <v>1</v>
      </c>
      <c r="L688" s="412">
        <v>1</v>
      </c>
      <c r="M688" s="843">
        <f t="shared" si="148"/>
        <v>2</v>
      </c>
      <c r="N688" s="890" t="str">
        <f t="shared" si="138"/>
        <v/>
      </c>
      <c r="O688" s="344" t="str">
        <f t="shared" si="141"/>
        <v/>
      </c>
      <c r="P688" s="344" t="str">
        <f t="shared" si="142"/>
        <v/>
      </c>
      <c r="Q688" s="195" t="str">
        <f t="shared" si="143"/>
        <v/>
      </c>
      <c r="R688" s="195"/>
    </row>
    <row r="689" spans="1:18" s="870" customFormat="1">
      <c r="A689" s="856"/>
      <c r="B689" s="866">
        <v>1</v>
      </c>
      <c r="C689" s="867" t="s">
        <v>14133</v>
      </c>
      <c r="D689" s="1896"/>
      <c r="E689" s="180">
        <v>70</v>
      </c>
      <c r="F689" s="1921">
        <f>+E689*B689</f>
        <v>70</v>
      </c>
      <c r="G689" s="868"/>
      <c r="H689" s="868"/>
      <c r="I689" s="868"/>
      <c r="J689" s="869"/>
      <c r="K689" s="843">
        <f t="shared" si="150"/>
        <v>1</v>
      </c>
      <c r="L689" s="412">
        <v>1</v>
      </c>
      <c r="M689" s="843">
        <f t="shared" si="148"/>
        <v>1</v>
      </c>
      <c r="N689" s="890" t="str">
        <f t="shared" si="138"/>
        <v/>
      </c>
      <c r="O689" s="344" t="str">
        <f t="shared" si="141"/>
        <v/>
      </c>
      <c r="P689" s="344" t="str">
        <f t="shared" si="142"/>
        <v/>
      </c>
      <c r="Q689" s="195" t="str">
        <f t="shared" si="143"/>
        <v/>
      </c>
    </row>
    <row r="690" spans="1:18" s="195" customFormat="1">
      <c r="A690" s="1873"/>
      <c r="B690" s="895"/>
      <c r="C690" s="337" t="s">
        <v>729</v>
      </c>
      <c r="D690" s="182"/>
      <c r="E690" s="1874"/>
      <c r="F690" s="1875"/>
      <c r="G690" s="891"/>
      <c r="H690" s="891"/>
      <c r="I690" s="891"/>
      <c r="J690" s="892"/>
      <c r="K690" s="843">
        <f t="shared" si="150"/>
        <v>1</v>
      </c>
      <c r="L690" s="412">
        <v>1</v>
      </c>
      <c r="M690" s="843">
        <f t="shared" si="148"/>
        <v>1</v>
      </c>
      <c r="N690" s="890" t="str">
        <f t="shared" si="138"/>
        <v/>
      </c>
      <c r="O690" s="344" t="str">
        <f t="shared" si="141"/>
        <v/>
      </c>
      <c r="P690" s="344" t="str">
        <f t="shared" si="142"/>
        <v/>
      </c>
      <c r="Q690" s="195" t="str">
        <f t="shared" si="143"/>
        <v/>
      </c>
    </row>
    <row r="691" spans="1:18" s="862" customFormat="1">
      <c r="A691" s="1873"/>
      <c r="B691" s="820"/>
      <c r="C691" s="859" t="s">
        <v>3206</v>
      </c>
      <c r="D691" s="1876"/>
      <c r="E691" s="1877"/>
      <c r="F691" s="1878"/>
      <c r="G691" s="860"/>
      <c r="H691" s="860"/>
      <c r="I691" s="860"/>
      <c r="J691" s="861"/>
      <c r="K691" s="843">
        <f t="shared" si="150"/>
        <v>1</v>
      </c>
      <c r="L691" s="412">
        <v>1</v>
      </c>
      <c r="M691" s="843">
        <f t="shared" si="148"/>
        <v>1</v>
      </c>
      <c r="N691" s="890" t="str">
        <f t="shared" si="138"/>
        <v/>
      </c>
      <c r="O691" s="344" t="str">
        <f t="shared" si="141"/>
        <v/>
      </c>
      <c r="P691" s="344" t="str">
        <f t="shared" si="142"/>
        <v/>
      </c>
      <c r="Q691" s="195" t="str">
        <f t="shared" si="143"/>
        <v/>
      </c>
      <c r="R691" s="195"/>
    </row>
    <row r="692" spans="1:18" s="862" customFormat="1">
      <c r="A692" s="856"/>
      <c r="B692" s="1122">
        <v>2</v>
      </c>
      <c r="C692" s="857" t="str">
        <f t="shared" ref="C692:C697" si="151">VLOOKUP(D692,base_datos,6,FALSE)</f>
        <v>Interruptor Horario Digital - marca GRASSLIN.</v>
      </c>
      <c r="D692" s="1876" t="s">
        <v>1860</v>
      </c>
      <c r="E692" s="1871">
        <f t="shared" ref="E692:E697" si="152">VLOOKUP(D692,base_datos,5,FALSE)</f>
        <v>61.78</v>
      </c>
      <c r="F692" s="1878">
        <f t="shared" ref="F692:F697" si="153">+E692*B692</f>
        <v>123.56</v>
      </c>
      <c r="G692" s="860"/>
      <c r="H692" s="860"/>
      <c r="I692" s="860"/>
      <c r="J692" s="1420"/>
      <c r="K692" s="843">
        <f t="shared" si="150"/>
        <v>1</v>
      </c>
      <c r="L692" s="412">
        <v>1</v>
      </c>
      <c r="M692" s="843">
        <f t="shared" si="148"/>
        <v>2</v>
      </c>
      <c r="N692" s="890">
        <f t="shared" si="138"/>
        <v>2</v>
      </c>
      <c r="O692" s="344" t="str">
        <f t="shared" si="141"/>
        <v>IH_GRASSLIN</v>
      </c>
      <c r="P692" s="344" t="str">
        <f t="shared" si="142"/>
        <v>Interruptor Horario Digital - marca GRASSLIN.</v>
      </c>
      <c r="Q692" s="195" t="str">
        <f t="shared" si="143"/>
        <v>IH_GRASSLIN</v>
      </c>
      <c r="R692" s="195"/>
    </row>
    <row r="693" spans="1:18" s="862" customFormat="1">
      <c r="A693" s="865"/>
      <c r="B693" s="1122">
        <v>2</v>
      </c>
      <c r="C693" s="857" t="str">
        <f t="shared" si="151"/>
        <v>Contactor 3x09A(AC-3) / 3x25A(AC-1) +1NA - AF09-30-10-13 - bobina 100-250Vac/dc - marca ABB.</v>
      </c>
      <c r="D693" s="1876" t="s">
        <v>1474</v>
      </c>
      <c r="E693" s="1871">
        <f t="shared" si="152"/>
        <v>24.680000000000003</v>
      </c>
      <c r="F693" s="1878">
        <f t="shared" si="153"/>
        <v>49.360000000000007</v>
      </c>
      <c r="G693" s="860"/>
      <c r="H693" s="860"/>
      <c r="I693" s="860"/>
      <c r="J693" s="1420"/>
      <c r="K693" s="843">
        <f>K692</f>
        <v>1</v>
      </c>
      <c r="L693" s="412">
        <v>1</v>
      </c>
      <c r="M693" s="843">
        <f t="shared" si="148"/>
        <v>2</v>
      </c>
      <c r="N693" s="890">
        <f t="shared" si="138"/>
        <v>2</v>
      </c>
      <c r="O693" s="344" t="str">
        <f t="shared" si="141"/>
        <v>1SBL137001R1310</v>
      </c>
      <c r="P693" s="344" t="str">
        <f t="shared" si="142"/>
        <v>Contactor 3x09A(AC-3) / 3x25A(AC-1) +1NA - AF09-30-10-13 - bobina 100-250Vac/dc - marca ABB.</v>
      </c>
      <c r="Q693" s="195" t="str">
        <f t="shared" si="143"/>
        <v>AF09-30-10-13_3p</v>
      </c>
      <c r="R693" s="195"/>
    </row>
    <row r="694" spans="1:18" s="862" customFormat="1">
      <c r="A694" s="865"/>
      <c r="B694" s="1122">
        <v>2</v>
      </c>
      <c r="C694" s="857" t="str">
        <f t="shared" si="151"/>
        <v>Selector tres posiciones "M-0-A" o "1-0-2".</v>
      </c>
      <c r="D694" s="1876" t="s">
        <v>446</v>
      </c>
      <c r="E694" s="1871">
        <f t="shared" si="152"/>
        <v>28</v>
      </c>
      <c r="F694" s="1878">
        <f t="shared" si="153"/>
        <v>56</v>
      </c>
      <c r="G694" s="860"/>
      <c r="H694" s="860"/>
      <c r="I694" s="860"/>
      <c r="J694" s="1420"/>
      <c r="K694" s="843">
        <f t="shared" ref="K694:K697" si="154">K693</f>
        <v>1</v>
      </c>
      <c r="L694" s="412">
        <v>1</v>
      </c>
      <c r="M694" s="843">
        <f t="shared" si="148"/>
        <v>2</v>
      </c>
      <c r="N694" s="890" t="str">
        <f t="shared" si="138"/>
        <v/>
      </c>
      <c r="O694" s="344" t="str">
        <f t="shared" si="141"/>
        <v/>
      </c>
      <c r="P694" s="344" t="str">
        <f t="shared" si="142"/>
        <v/>
      </c>
      <c r="Q694" s="195" t="str">
        <f t="shared" si="143"/>
        <v/>
      </c>
      <c r="R694" s="195"/>
    </row>
    <row r="695" spans="1:18" s="862" customFormat="1">
      <c r="A695" s="2366"/>
      <c r="B695" s="1122">
        <v>2</v>
      </c>
      <c r="C695" s="857" t="str">
        <f t="shared" si="151"/>
        <v>Pulsador doble Start/Stop (Rojo/Verde) sin iluminación + contacto 1NA+1NC.</v>
      </c>
      <c r="D695" s="1876" t="s">
        <v>8359</v>
      </c>
      <c r="E695" s="1871">
        <f t="shared" si="152"/>
        <v>38</v>
      </c>
      <c r="F695" s="1878">
        <f t="shared" si="153"/>
        <v>76</v>
      </c>
      <c r="G695" s="860"/>
      <c r="H695" s="860"/>
      <c r="I695" s="860"/>
      <c r="J695" s="1420"/>
      <c r="K695" s="843">
        <f t="shared" si="154"/>
        <v>1</v>
      </c>
      <c r="L695" s="412">
        <v>1</v>
      </c>
      <c r="M695" s="843">
        <f t="shared" si="148"/>
        <v>2</v>
      </c>
      <c r="N695" s="890" t="str">
        <f t="shared" si="138"/>
        <v/>
      </c>
      <c r="O695" s="344" t="str">
        <f t="shared" si="141"/>
        <v/>
      </c>
      <c r="P695" s="344" t="str">
        <f t="shared" si="142"/>
        <v/>
      </c>
      <c r="Q695" s="195" t="str">
        <f t="shared" si="143"/>
        <v/>
      </c>
      <c r="R695" s="195"/>
    </row>
    <row r="696" spans="1:18" s="344" customFormat="1">
      <c r="A696" s="865"/>
      <c r="B696" s="1122">
        <v>4</v>
      </c>
      <c r="C696" s="904" t="str">
        <f t="shared" si="151"/>
        <v>Base portafusibles + Fusibles de protección para control.</v>
      </c>
      <c r="D696" s="1881" t="s">
        <v>453</v>
      </c>
      <c r="E696" s="1892">
        <f t="shared" si="152"/>
        <v>6.5373900000000003</v>
      </c>
      <c r="F696" s="1893">
        <f t="shared" si="153"/>
        <v>26.149560000000001</v>
      </c>
      <c r="G696" s="905"/>
      <c r="H696" s="905"/>
      <c r="I696" s="905"/>
      <c r="J696" s="906"/>
      <c r="K696" s="843">
        <f t="shared" si="154"/>
        <v>1</v>
      </c>
      <c r="L696" s="412">
        <f>L694</f>
        <v>1</v>
      </c>
      <c r="M696" s="843">
        <f t="shared" si="148"/>
        <v>4</v>
      </c>
      <c r="N696" s="890" t="str">
        <f t="shared" si="138"/>
        <v/>
      </c>
      <c r="O696" s="344" t="str">
        <f t="shared" si="141"/>
        <v/>
      </c>
      <c r="P696" s="344" t="str">
        <f t="shared" si="142"/>
        <v/>
      </c>
      <c r="Q696" s="195" t="str">
        <f t="shared" si="143"/>
        <v/>
      </c>
      <c r="R696" s="195"/>
    </row>
    <row r="697" spans="1:18" s="344" customFormat="1">
      <c r="A697" s="865"/>
      <c r="B697" s="1122">
        <v>4</v>
      </c>
      <c r="C697" s="904" t="str">
        <f t="shared" si="151"/>
        <v>Borne 4mm2.</v>
      </c>
      <c r="D697" s="1881" t="s">
        <v>437</v>
      </c>
      <c r="E697" s="1892">
        <f t="shared" si="152"/>
        <v>2.5</v>
      </c>
      <c r="F697" s="1893">
        <f t="shared" si="153"/>
        <v>10</v>
      </c>
      <c r="G697" s="905"/>
      <c r="H697" s="905"/>
      <c r="I697" s="905"/>
      <c r="J697" s="906"/>
      <c r="K697" s="843">
        <f t="shared" si="154"/>
        <v>1</v>
      </c>
      <c r="L697" s="412">
        <f>L695</f>
        <v>1</v>
      </c>
      <c r="M697" s="843">
        <f t="shared" si="148"/>
        <v>4</v>
      </c>
      <c r="N697" s="890" t="str">
        <f t="shared" si="138"/>
        <v/>
      </c>
      <c r="O697" s="344" t="str">
        <f t="shared" si="141"/>
        <v/>
      </c>
      <c r="P697" s="344" t="str">
        <f t="shared" si="142"/>
        <v/>
      </c>
      <c r="Q697" s="195" t="str">
        <f t="shared" si="143"/>
        <v/>
      </c>
      <c r="R697" s="195"/>
    </row>
    <row r="698" spans="1:18" s="195" customFormat="1">
      <c r="A698" s="1108"/>
      <c r="B698" s="895"/>
      <c r="C698" s="337" t="s">
        <v>729</v>
      </c>
      <c r="D698" s="182"/>
      <c r="E698" s="1874"/>
      <c r="F698" s="1875"/>
      <c r="G698" s="891"/>
      <c r="H698" s="891"/>
      <c r="I698" s="891"/>
      <c r="J698" s="892"/>
      <c r="K698" s="843">
        <f>K697</f>
        <v>1</v>
      </c>
      <c r="L698" s="888">
        <v>1</v>
      </c>
      <c r="M698" s="843">
        <f t="shared" si="148"/>
        <v>1</v>
      </c>
      <c r="N698" s="890" t="str">
        <f t="shared" si="138"/>
        <v/>
      </c>
      <c r="O698" s="344" t="str">
        <f t="shared" si="141"/>
        <v/>
      </c>
      <c r="P698" s="344" t="str">
        <f t="shared" si="142"/>
        <v/>
      </c>
      <c r="Q698" s="195" t="str">
        <f t="shared" si="143"/>
        <v/>
      </c>
    </row>
    <row r="699" spans="1:18" s="870" customFormat="1">
      <c r="A699" s="865"/>
      <c r="B699" s="2385">
        <v>1</v>
      </c>
      <c r="C699" s="2386" t="s">
        <v>316</v>
      </c>
      <c r="D699" s="2387"/>
      <c r="E699" s="1892"/>
      <c r="F699" s="1901"/>
      <c r="G699" s="2396"/>
      <c r="H699" s="2396"/>
      <c r="I699" s="2396"/>
      <c r="J699" s="2397"/>
      <c r="K699" s="843">
        <f t="shared" ref="K699:K702" si="155">K698</f>
        <v>1</v>
      </c>
      <c r="L699" s="412">
        <v>1</v>
      </c>
      <c r="M699" s="843">
        <f t="shared" si="148"/>
        <v>1</v>
      </c>
      <c r="N699" s="890" t="str">
        <f t="shared" si="138"/>
        <v/>
      </c>
      <c r="O699" s="344" t="str">
        <f t="shared" si="141"/>
        <v/>
      </c>
      <c r="P699" s="344" t="str">
        <f t="shared" si="142"/>
        <v/>
      </c>
      <c r="Q699" s="195" t="str">
        <f t="shared" si="143"/>
        <v/>
      </c>
      <c r="R699" s="195"/>
    </row>
    <row r="700" spans="1:18" s="195" customFormat="1">
      <c r="A700" s="1108"/>
      <c r="B700" s="895"/>
      <c r="C700" s="337" t="s">
        <v>729</v>
      </c>
      <c r="D700" s="182"/>
      <c r="E700" s="1874"/>
      <c r="F700" s="1875"/>
      <c r="G700" s="891"/>
      <c r="H700" s="891"/>
      <c r="I700" s="891"/>
      <c r="J700" s="892"/>
      <c r="K700" s="843">
        <f t="shared" si="155"/>
        <v>1</v>
      </c>
      <c r="L700" s="888">
        <v>1</v>
      </c>
      <c r="M700" s="843">
        <f t="shared" si="148"/>
        <v>1</v>
      </c>
      <c r="N700" s="890" t="str">
        <f t="shared" si="138"/>
        <v/>
      </c>
      <c r="O700" s="344" t="str">
        <f t="shared" si="141"/>
        <v/>
      </c>
      <c r="P700" s="344" t="str">
        <f t="shared" si="142"/>
        <v/>
      </c>
      <c r="Q700" s="195" t="str">
        <f t="shared" si="143"/>
        <v/>
      </c>
    </row>
    <row r="701" spans="1:18" s="1088" customFormat="1">
      <c r="A701" s="865"/>
      <c r="B701" s="1085">
        <v>8</v>
      </c>
      <c r="C701" s="904" t="str">
        <f>VLOOKUP(D701,base_datos,6,FALSE)</f>
        <v>Rotulado por circuito.</v>
      </c>
      <c r="D701" s="1881" t="s">
        <v>3210</v>
      </c>
      <c r="E701" s="1892">
        <f>VLOOKUP(D701,base_datos,5,FALSE)</f>
        <v>0.7</v>
      </c>
      <c r="F701" s="1893">
        <f>+E701*B701</f>
        <v>5.6</v>
      </c>
      <c r="G701" s="1086"/>
      <c r="H701" s="1086"/>
      <c r="I701" s="1086"/>
      <c r="J701" s="1087"/>
      <c r="K701" s="843">
        <f t="shared" si="155"/>
        <v>1</v>
      </c>
      <c r="L701" s="888">
        <v>1</v>
      </c>
      <c r="M701" s="843">
        <f t="shared" si="148"/>
        <v>8</v>
      </c>
      <c r="N701" s="890" t="str">
        <f t="shared" si="138"/>
        <v/>
      </c>
      <c r="O701" s="344" t="str">
        <f t="shared" si="141"/>
        <v/>
      </c>
      <c r="P701" s="344" t="str">
        <f t="shared" si="142"/>
        <v/>
      </c>
      <c r="Q701" s="195" t="str">
        <f t="shared" si="143"/>
        <v/>
      </c>
    </row>
    <row r="702" spans="1:18" s="1088" customFormat="1">
      <c r="A702" s="865"/>
      <c r="B702" s="1085">
        <v>1</v>
      </c>
      <c r="C702" s="904" t="str">
        <f>VLOOKUP(D702,base_datos,6,FALSE)</f>
        <v>Rotulado para TAG - tablero de distribución.</v>
      </c>
      <c r="D702" s="1881" t="s">
        <v>3209</v>
      </c>
      <c r="E702" s="1892">
        <f>VLOOKUP(D702,base_datos,5,FALSE)</f>
        <v>1.5</v>
      </c>
      <c r="F702" s="1893">
        <f>+E702*B702</f>
        <v>1.5</v>
      </c>
      <c r="G702" s="1086"/>
      <c r="H702" s="1086"/>
      <c r="I702" s="1086"/>
      <c r="J702" s="1087"/>
      <c r="K702" s="843">
        <f t="shared" si="155"/>
        <v>1</v>
      </c>
      <c r="L702" s="888">
        <v>1</v>
      </c>
      <c r="M702" s="843">
        <f t="shared" si="148"/>
        <v>1</v>
      </c>
      <c r="N702" s="890" t="str">
        <f t="shared" si="138"/>
        <v/>
      </c>
      <c r="O702" s="344" t="str">
        <f t="shared" si="141"/>
        <v/>
      </c>
      <c r="P702" s="344" t="str">
        <f t="shared" si="142"/>
        <v/>
      </c>
      <c r="Q702" s="195" t="str">
        <f t="shared" si="143"/>
        <v/>
      </c>
    </row>
    <row r="703" spans="1:18" s="1479" customFormat="1">
      <c r="A703" s="1128"/>
      <c r="B703" s="1412">
        <v>1</v>
      </c>
      <c r="C703" s="1417" t="s">
        <v>5302</v>
      </c>
      <c r="D703" s="1900"/>
      <c r="E703" s="1901">
        <f>E704*15%</f>
        <v>21</v>
      </c>
      <c r="F703" s="1901">
        <f>+E703*B703</f>
        <v>21</v>
      </c>
      <c r="G703" s="1902"/>
      <c r="H703" s="1902"/>
      <c r="I703" s="1902"/>
      <c r="J703" s="1414"/>
      <c r="K703" s="889">
        <f>K701</f>
        <v>1</v>
      </c>
      <c r="L703" s="888">
        <v>1</v>
      </c>
      <c r="M703" s="889">
        <f t="shared" si="148"/>
        <v>1</v>
      </c>
      <c r="N703" s="890" t="str">
        <f t="shared" si="138"/>
        <v/>
      </c>
      <c r="O703" s="344" t="str">
        <f t="shared" si="141"/>
        <v/>
      </c>
      <c r="P703" s="344" t="str">
        <f t="shared" si="142"/>
        <v/>
      </c>
      <c r="Q703" s="195" t="str">
        <f t="shared" si="143"/>
        <v/>
      </c>
    </row>
    <row r="704" spans="1:18" s="1479" customFormat="1">
      <c r="A704" s="1128"/>
      <c r="B704" s="2499">
        <v>1</v>
      </c>
      <c r="C704" s="867" t="s">
        <v>14200</v>
      </c>
      <c r="D704" s="2500"/>
      <c r="E704" s="1892">
        <v>140</v>
      </c>
      <c r="F704" s="1921">
        <f>+E704*B704</f>
        <v>140</v>
      </c>
      <c r="G704" s="1413"/>
      <c r="H704" s="1413"/>
      <c r="I704" s="1413"/>
      <c r="J704" s="1414"/>
      <c r="K704" s="843">
        <f>K702</f>
        <v>1</v>
      </c>
      <c r="L704" s="888">
        <v>1</v>
      </c>
      <c r="M704" s="843">
        <f t="shared" si="148"/>
        <v>1</v>
      </c>
      <c r="N704" s="890" t="str">
        <f t="shared" si="138"/>
        <v/>
      </c>
      <c r="O704" s="344" t="str">
        <f t="shared" si="141"/>
        <v/>
      </c>
      <c r="P704" s="344" t="str">
        <f t="shared" si="142"/>
        <v/>
      </c>
      <c r="Q704" s="195" t="str">
        <f t="shared" si="143"/>
        <v/>
      </c>
    </row>
    <row r="705" spans="1:18" s="126" customFormat="1" ht="13.5" thickBot="1">
      <c r="A705" s="2331"/>
      <c r="B705" s="1916"/>
      <c r="C705" s="1909"/>
      <c r="D705" s="1917"/>
      <c r="E705" s="873"/>
      <c r="F705" s="873"/>
      <c r="G705" s="1918"/>
      <c r="H705" s="1918"/>
      <c r="I705" s="1918"/>
      <c r="J705" s="1910"/>
      <c r="K705" s="1119"/>
      <c r="L705" s="412"/>
      <c r="M705" s="843"/>
      <c r="N705" s="890" t="str">
        <f t="shared" si="138"/>
        <v/>
      </c>
      <c r="O705" s="344" t="str">
        <f t="shared" si="141"/>
        <v/>
      </c>
      <c r="P705" s="344" t="str">
        <f t="shared" si="142"/>
        <v/>
      </c>
      <c r="Q705" s="195" t="str">
        <f t="shared" si="143"/>
        <v/>
      </c>
      <c r="R705" s="195"/>
    </row>
    <row r="706" spans="1:18" s="126" customFormat="1" ht="13.5" thickBot="1">
      <c r="A706" s="1923">
        <v>24</v>
      </c>
      <c r="B706" s="1920">
        <v>1</v>
      </c>
      <c r="C706" s="846" t="s">
        <v>14201</v>
      </c>
      <c r="D706" s="2495"/>
      <c r="E706" s="2496"/>
      <c r="F706" s="2496"/>
      <c r="G706" s="849">
        <f>SUM(F707:F730)</f>
        <v>817.21956</v>
      </c>
      <c r="H706" s="1161">
        <f>G706*(1-$D$6)</f>
        <v>612.91467</v>
      </c>
      <c r="I706" s="849">
        <f>ROUNDUP(H706*$D$5,0)</f>
        <v>2084</v>
      </c>
      <c r="J706" s="850">
        <f>+I706*B706</f>
        <v>2084</v>
      </c>
      <c r="K706" s="851">
        <f>B706</f>
        <v>1</v>
      </c>
      <c r="L706" s="412"/>
      <c r="M706" s="843"/>
      <c r="N706" s="890" t="str">
        <f t="shared" si="138"/>
        <v/>
      </c>
      <c r="O706" s="344" t="str">
        <f t="shared" si="141"/>
        <v/>
      </c>
      <c r="P706" s="344" t="str">
        <f t="shared" si="142"/>
        <v/>
      </c>
      <c r="Q706" s="195" t="str">
        <f t="shared" si="143"/>
        <v/>
      </c>
      <c r="R706" s="195"/>
    </row>
    <row r="707" spans="1:18" s="126" customFormat="1">
      <c r="A707" s="852" t="s">
        <v>3207</v>
      </c>
      <c r="B707" s="1418"/>
      <c r="C707" s="853"/>
      <c r="D707" s="1911"/>
      <c r="E707" s="1890"/>
      <c r="F707" s="1890"/>
      <c r="G707" s="854"/>
      <c r="H707" s="854"/>
      <c r="I707" s="854"/>
      <c r="J707" s="855"/>
      <c r="K707" s="843">
        <f>K706</f>
        <v>1</v>
      </c>
      <c r="L707" s="412">
        <v>1</v>
      </c>
      <c r="M707" s="843">
        <f>IF(B707="",1,B707)</f>
        <v>1</v>
      </c>
      <c r="N707" s="890" t="str">
        <f t="shared" si="138"/>
        <v/>
      </c>
      <c r="O707" s="344" t="str">
        <f t="shared" si="141"/>
        <v/>
      </c>
      <c r="P707" s="344" t="str">
        <f t="shared" si="142"/>
        <v/>
      </c>
      <c r="Q707" s="195" t="str">
        <f t="shared" si="143"/>
        <v/>
      </c>
      <c r="R707" s="195"/>
    </row>
    <row r="708" spans="1:18" s="126" customFormat="1">
      <c r="A708" s="856" t="s">
        <v>4059</v>
      </c>
      <c r="B708" s="1122"/>
      <c r="C708" s="1419" t="s">
        <v>3301</v>
      </c>
      <c r="D708" s="1891"/>
      <c r="E708" s="1878"/>
      <c r="F708" s="1878"/>
      <c r="G708" s="854"/>
      <c r="H708" s="854"/>
      <c r="I708" s="854"/>
      <c r="J708" s="858"/>
      <c r="K708" s="843">
        <f>K707</f>
        <v>1</v>
      </c>
      <c r="L708" s="412">
        <v>1</v>
      </c>
      <c r="M708" s="843">
        <f t="shared" ref="M708:M730" si="156">IF(B708="",1,B708)</f>
        <v>1</v>
      </c>
      <c r="N708" s="890" t="str">
        <f t="shared" si="138"/>
        <v/>
      </c>
      <c r="O708" s="344" t="str">
        <f t="shared" si="141"/>
        <v/>
      </c>
      <c r="P708" s="344" t="str">
        <f t="shared" si="142"/>
        <v/>
      </c>
      <c r="Q708" s="195" t="str">
        <f t="shared" si="143"/>
        <v/>
      </c>
      <c r="R708" s="195"/>
    </row>
    <row r="709" spans="1:18" s="862" customFormat="1">
      <c r="A709" s="856" t="s">
        <v>4321</v>
      </c>
      <c r="B709" s="1122">
        <v>1</v>
      </c>
      <c r="C709" s="857" t="str">
        <f>VLOOKUP(D709,base_datos,6,FALSE)</f>
        <v>ITM Riel-Din 3x40A - SH203-C-40A - 10kA@230Vac, 6kA@400Vac-IEC60898 - marca ABB.</v>
      </c>
      <c r="D709" s="1894" t="s">
        <v>1070</v>
      </c>
      <c r="E709" s="1871">
        <f>VLOOKUP(D709,base_datos,5,FALSE)</f>
        <v>16.400000000000002</v>
      </c>
      <c r="F709" s="1878">
        <f>+E709*B709</f>
        <v>16.400000000000002</v>
      </c>
      <c r="G709" s="860"/>
      <c r="H709" s="860"/>
      <c r="I709" s="860"/>
      <c r="J709" s="861"/>
      <c r="K709" s="843">
        <f t="shared" ref="K709:K711" si="157">K708</f>
        <v>1</v>
      </c>
      <c r="L709" s="412">
        <v>1</v>
      </c>
      <c r="M709" s="843">
        <f t="shared" si="156"/>
        <v>1</v>
      </c>
      <c r="N709" s="890">
        <f t="shared" si="138"/>
        <v>1</v>
      </c>
      <c r="O709" s="344" t="str">
        <f t="shared" si="141"/>
        <v>2CDS213001R0404</v>
      </c>
      <c r="P709" s="344" t="str">
        <f t="shared" si="142"/>
        <v>ITM Riel-Din 3x40A - SH203-C-40A - 10kA@230Vac, 6kA@400Vac-IEC60898 - marca ABB.</v>
      </c>
      <c r="Q709" s="195" t="str">
        <f t="shared" si="143"/>
        <v>SH203-C-40A</v>
      </c>
      <c r="R709" s="195"/>
    </row>
    <row r="710" spans="1:18" s="195" customFormat="1">
      <c r="A710" s="1108"/>
      <c r="B710" s="895"/>
      <c r="C710" s="337" t="s">
        <v>729</v>
      </c>
      <c r="D710" s="182"/>
      <c r="E710" s="1874"/>
      <c r="F710" s="1875"/>
      <c r="G710" s="891"/>
      <c r="H710" s="891"/>
      <c r="I710" s="891"/>
      <c r="J710" s="892"/>
      <c r="K710" s="843">
        <f t="shared" si="157"/>
        <v>1</v>
      </c>
      <c r="L710" s="888">
        <v>1</v>
      </c>
      <c r="M710" s="843">
        <f t="shared" si="156"/>
        <v>1</v>
      </c>
      <c r="N710" s="890" t="str">
        <f t="shared" si="138"/>
        <v/>
      </c>
      <c r="O710" s="344" t="str">
        <f t="shared" si="141"/>
        <v/>
      </c>
      <c r="P710" s="344" t="str">
        <f t="shared" si="142"/>
        <v/>
      </c>
      <c r="Q710" s="195" t="str">
        <f t="shared" si="143"/>
        <v/>
      </c>
    </row>
    <row r="711" spans="1:18" s="862" customFormat="1">
      <c r="A711" s="856"/>
      <c r="B711" s="820"/>
      <c r="C711" s="859" t="s">
        <v>3535</v>
      </c>
      <c r="D711" s="1896"/>
      <c r="E711" s="1877"/>
      <c r="F711" s="1878">
        <f>+E711*B711</f>
        <v>0</v>
      </c>
      <c r="G711" s="860"/>
      <c r="H711" s="860"/>
      <c r="I711" s="860"/>
      <c r="J711" s="861"/>
      <c r="K711" s="843">
        <f t="shared" si="157"/>
        <v>1</v>
      </c>
      <c r="L711" s="412">
        <v>1</v>
      </c>
      <c r="M711" s="843">
        <f t="shared" si="156"/>
        <v>1</v>
      </c>
      <c r="N711" s="890" t="str">
        <f t="shared" si="138"/>
        <v/>
      </c>
      <c r="O711" s="344" t="str">
        <f t="shared" si="141"/>
        <v/>
      </c>
      <c r="P711" s="344" t="str">
        <f t="shared" si="142"/>
        <v/>
      </c>
      <c r="Q711" s="195" t="str">
        <f t="shared" si="143"/>
        <v/>
      </c>
      <c r="R711" s="195"/>
    </row>
    <row r="712" spans="1:18" s="862" customFormat="1">
      <c r="A712" s="856" t="s">
        <v>3725</v>
      </c>
      <c r="B712" s="1122">
        <v>7</v>
      </c>
      <c r="C712" s="857" t="str">
        <f>VLOOKUP(D712,base_datos,6,FALSE)</f>
        <v>ITM Riel-Din 2x20A - SH202-C-20A - 10kA@230Vac, 6kA@400Vac-IEC60898 - marca ABB.</v>
      </c>
      <c r="D712" s="1894" t="s">
        <v>1060</v>
      </c>
      <c r="E712" s="1871">
        <f>VLOOKUP(D712,base_datos,5,FALSE)</f>
        <v>6.54</v>
      </c>
      <c r="F712" s="1878">
        <f>+E712*B712</f>
        <v>45.78</v>
      </c>
      <c r="G712" s="860"/>
      <c r="H712" s="860"/>
      <c r="I712" s="860"/>
      <c r="J712" s="1420"/>
      <c r="K712" s="843">
        <f>K711</f>
        <v>1</v>
      </c>
      <c r="L712" s="412">
        <v>1</v>
      </c>
      <c r="M712" s="843">
        <f t="shared" si="156"/>
        <v>7</v>
      </c>
      <c r="N712" s="890">
        <f t="shared" si="138"/>
        <v>7</v>
      </c>
      <c r="O712" s="344" t="str">
        <f t="shared" si="141"/>
        <v>2CDS212001R0204</v>
      </c>
      <c r="P712" s="344" t="str">
        <f t="shared" si="142"/>
        <v>ITM Riel-Din 2x20A - SH202-C-20A - 10kA@230Vac, 6kA@400Vac-IEC60898 - marca ABB.</v>
      </c>
      <c r="Q712" s="195" t="str">
        <f t="shared" si="143"/>
        <v>SH202-C-20A</v>
      </c>
      <c r="R712" s="195"/>
    </row>
    <row r="713" spans="1:18" s="862" customFormat="1">
      <c r="A713" s="856" t="s">
        <v>3726</v>
      </c>
      <c r="B713" s="1122">
        <v>7</v>
      </c>
      <c r="C713" s="857" t="str">
        <f>VLOOKUP(D713,base_datos,6,FALSE)</f>
        <v>Interruptor Diferencial 2x25A - 30mA - clase AC - FH202-AC-25A-30mA - marca ABB.</v>
      </c>
      <c r="D713" s="2466" t="s">
        <v>1109</v>
      </c>
      <c r="E713" s="1871">
        <f>VLOOKUP(D713,base_datos,5,FALSE)</f>
        <v>24.41</v>
      </c>
      <c r="F713" s="1878">
        <f>+E713*B713</f>
        <v>170.87</v>
      </c>
      <c r="G713" s="860"/>
      <c r="H713" s="860"/>
      <c r="I713" s="860"/>
      <c r="J713" s="1420"/>
      <c r="K713" s="843">
        <f>K712</f>
        <v>1</v>
      </c>
      <c r="L713" s="412">
        <v>1</v>
      </c>
      <c r="M713" s="843">
        <f t="shared" si="156"/>
        <v>7</v>
      </c>
      <c r="N713" s="890">
        <f t="shared" si="138"/>
        <v>7</v>
      </c>
      <c r="O713" s="344" t="str">
        <f t="shared" si="141"/>
        <v>1TMF202006R1250</v>
      </c>
      <c r="P713" s="344" t="str">
        <f t="shared" si="142"/>
        <v>Interruptor Diferencial 2x25A - 30mA - clase AC - FH202-AC-25A-30mA - marca ABB.</v>
      </c>
      <c r="Q713" s="195" t="str">
        <f t="shared" si="143"/>
        <v>FH202-AC-25A-30mA</v>
      </c>
      <c r="R713" s="195"/>
    </row>
    <row r="714" spans="1:18" s="2340" customFormat="1">
      <c r="A714" s="856"/>
      <c r="B714" s="2443">
        <v>2</v>
      </c>
      <c r="C714" s="2444" t="str">
        <f>VLOOKUP(D714,base_datos,6,FALSE)</f>
        <v>Espacio de reserva monofasica + interruptor diferencial - Riel-Din.</v>
      </c>
      <c r="D714" s="2468" t="s">
        <v>3069</v>
      </c>
      <c r="E714" s="2497">
        <f>VLOOKUP(D714,base_datos,5,FALSE)</f>
        <v>2.5</v>
      </c>
      <c r="F714" s="2498">
        <f>+E714*B714</f>
        <v>5</v>
      </c>
      <c r="G714" s="2338"/>
      <c r="H714" s="2338"/>
      <c r="I714" s="2338"/>
      <c r="J714" s="2339"/>
      <c r="K714" s="843">
        <f t="shared" ref="K714:K718" si="158">K713</f>
        <v>1</v>
      </c>
      <c r="L714" s="412">
        <v>1</v>
      </c>
      <c r="M714" s="843">
        <f t="shared" si="156"/>
        <v>2</v>
      </c>
      <c r="N714" s="890" t="str">
        <f t="shared" si="138"/>
        <v/>
      </c>
      <c r="O714" s="344" t="str">
        <f t="shared" si="141"/>
        <v/>
      </c>
      <c r="P714" s="344" t="str">
        <f t="shared" si="142"/>
        <v/>
      </c>
      <c r="Q714" s="195" t="str">
        <f t="shared" si="143"/>
        <v/>
      </c>
      <c r="R714" s="195"/>
    </row>
    <row r="715" spans="1:18" s="870" customFormat="1">
      <c r="A715" s="856"/>
      <c r="B715" s="866">
        <v>1</v>
      </c>
      <c r="C715" s="867" t="s">
        <v>14133</v>
      </c>
      <c r="D715" s="1896"/>
      <c r="E715" s="180">
        <v>70</v>
      </c>
      <c r="F715" s="1921">
        <f>+E715*B715</f>
        <v>70</v>
      </c>
      <c r="G715" s="868"/>
      <c r="H715" s="868"/>
      <c r="I715" s="868"/>
      <c r="J715" s="869"/>
      <c r="K715" s="843">
        <f t="shared" si="158"/>
        <v>1</v>
      </c>
      <c r="L715" s="412">
        <v>1</v>
      </c>
      <c r="M715" s="843">
        <f t="shared" si="156"/>
        <v>1</v>
      </c>
      <c r="N715" s="890" t="str">
        <f t="shared" si="138"/>
        <v/>
      </c>
      <c r="O715" s="344" t="str">
        <f t="shared" si="141"/>
        <v/>
      </c>
      <c r="P715" s="344" t="str">
        <f t="shared" si="142"/>
        <v/>
      </c>
      <c r="Q715" s="195" t="str">
        <f t="shared" si="143"/>
        <v/>
      </c>
    </row>
    <row r="716" spans="1:18" s="195" customFormat="1">
      <c r="A716" s="1873"/>
      <c r="B716" s="895"/>
      <c r="C716" s="337" t="s">
        <v>729</v>
      </c>
      <c r="D716" s="182"/>
      <c r="E716" s="1874"/>
      <c r="F716" s="1875"/>
      <c r="G716" s="891"/>
      <c r="H716" s="891"/>
      <c r="I716" s="891"/>
      <c r="J716" s="892"/>
      <c r="K716" s="843">
        <f t="shared" si="158"/>
        <v>1</v>
      </c>
      <c r="L716" s="412">
        <v>1</v>
      </c>
      <c r="M716" s="843">
        <f t="shared" si="156"/>
        <v>1</v>
      </c>
      <c r="N716" s="890" t="str">
        <f t="shared" si="138"/>
        <v/>
      </c>
      <c r="O716" s="344" t="str">
        <f t="shared" si="141"/>
        <v/>
      </c>
      <c r="P716" s="344" t="str">
        <f t="shared" si="142"/>
        <v/>
      </c>
      <c r="Q716" s="195" t="str">
        <f t="shared" si="143"/>
        <v/>
      </c>
    </row>
    <row r="717" spans="1:18" s="862" customFormat="1">
      <c r="A717" s="1873"/>
      <c r="B717" s="820"/>
      <c r="C717" s="859" t="s">
        <v>3206</v>
      </c>
      <c r="D717" s="1876"/>
      <c r="E717" s="1877"/>
      <c r="F717" s="1878"/>
      <c r="G717" s="860"/>
      <c r="H717" s="860"/>
      <c r="I717" s="860"/>
      <c r="J717" s="861"/>
      <c r="K717" s="843">
        <f t="shared" si="158"/>
        <v>1</v>
      </c>
      <c r="L717" s="412">
        <v>1</v>
      </c>
      <c r="M717" s="843">
        <f t="shared" si="156"/>
        <v>1</v>
      </c>
      <c r="N717" s="890" t="str">
        <f t="shared" ref="N717:N780" si="159">IF(O717&lt;&gt;"",K717*L717*M717,"")</f>
        <v/>
      </c>
      <c r="O717" s="344" t="str">
        <f t="shared" si="141"/>
        <v/>
      </c>
      <c r="P717" s="344" t="str">
        <f t="shared" si="142"/>
        <v/>
      </c>
      <c r="Q717" s="195" t="str">
        <f t="shared" si="143"/>
        <v/>
      </c>
      <c r="R717" s="195"/>
    </row>
    <row r="718" spans="1:18" s="862" customFormat="1">
      <c r="A718" s="856"/>
      <c r="B718" s="1122">
        <v>2</v>
      </c>
      <c r="C718" s="857" t="str">
        <f t="shared" ref="C718:C723" si="160">VLOOKUP(D718,base_datos,6,FALSE)</f>
        <v>Interruptor Horario Digital - marca GRASSLIN.</v>
      </c>
      <c r="D718" s="1876" t="s">
        <v>1860</v>
      </c>
      <c r="E718" s="1871">
        <f t="shared" ref="E718:E723" si="161">VLOOKUP(D718,base_datos,5,FALSE)</f>
        <v>61.78</v>
      </c>
      <c r="F718" s="1878">
        <f t="shared" ref="F718:F723" si="162">+E718*B718</f>
        <v>123.56</v>
      </c>
      <c r="G718" s="860"/>
      <c r="H718" s="860"/>
      <c r="I718" s="860"/>
      <c r="J718" s="1420"/>
      <c r="K718" s="843">
        <f t="shared" si="158"/>
        <v>1</v>
      </c>
      <c r="L718" s="412">
        <v>1</v>
      </c>
      <c r="M718" s="843">
        <f t="shared" si="156"/>
        <v>2</v>
      </c>
      <c r="N718" s="890">
        <f t="shared" si="159"/>
        <v>2</v>
      </c>
      <c r="O718" s="344" t="str">
        <f t="shared" si="141"/>
        <v>IH_GRASSLIN</v>
      </c>
      <c r="P718" s="344" t="str">
        <f t="shared" si="142"/>
        <v>Interruptor Horario Digital - marca GRASSLIN.</v>
      </c>
      <c r="Q718" s="195" t="str">
        <f t="shared" si="143"/>
        <v>IH_GRASSLIN</v>
      </c>
      <c r="R718" s="195"/>
    </row>
    <row r="719" spans="1:18" s="862" customFormat="1">
      <c r="A719" s="865"/>
      <c r="B719" s="1122">
        <v>2</v>
      </c>
      <c r="C719" s="857" t="str">
        <f t="shared" si="160"/>
        <v>Contactor 3x09A(AC-3) / 3x25A(AC-1) +1NA - AF09-30-10-13 - bobina 100-250Vac/dc - marca ABB.</v>
      </c>
      <c r="D719" s="1876" t="s">
        <v>1474</v>
      </c>
      <c r="E719" s="1871">
        <f t="shared" si="161"/>
        <v>24.680000000000003</v>
      </c>
      <c r="F719" s="1878">
        <f t="shared" si="162"/>
        <v>49.360000000000007</v>
      </c>
      <c r="G719" s="860"/>
      <c r="H719" s="860"/>
      <c r="I719" s="860"/>
      <c r="J719" s="1420"/>
      <c r="K719" s="843">
        <f>K718</f>
        <v>1</v>
      </c>
      <c r="L719" s="412">
        <v>1</v>
      </c>
      <c r="M719" s="843">
        <f t="shared" si="156"/>
        <v>2</v>
      </c>
      <c r="N719" s="890">
        <f t="shared" si="159"/>
        <v>2</v>
      </c>
      <c r="O719" s="344" t="str">
        <f t="shared" ref="O719:O782" si="163">IF(D719&lt;&gt;"",IF(VLOOKUP(D719,base_datos,7,FALSE)&lt;&gt;"",VLOOKUP(D719,base_datos,7,FALSE),""),"")</f>
        <v>1SBL137001R1310</v>
      </c>
      <c r="P719" s="344" t="str">
        <f t="shared" ref="P719:P782" si="164">IF(O719&lt;&gt;"",VLOOKUP(D719,base_datos,6,FALSE),"")</f>
        <v>Contactor 3x09A(AC-3) / 3x25A(AC-1) +1NA - AF09-30-10-13 - bobina 100-250Vac/dc - marca ABB.</v>
      </c>
      <c r="Q719" s="195" t="str">
        <f t="shared" ref="Q719:Q782" si="165">IF(O719&lt;&gt;"",D719,"")</f>
        <v>AF09-30-10-13_3p</v>
      </c>
      <c r="R719" s="195"/>
    </row>
    <row r="720" spans="1:18" s="862" customFormat="1">
      <c r="A720" s="865"/>
      <c r="B720" s="1122">
        <v>2</v>
      </c>
      <c r="C720" s="857" t="str">
        <f t="shared" si="160"/>
        <v>Selector tres posiciones "M-0-A" o "1-0-2".</v>
      </c>
      <c r="D720" s="1876" t="s">
        <v>446</v>
      </c>
      <c r="E720" s="1871">
        <f t="shared" si="161"/>
        <v>28</v>
      </c>
      <c r="F720" s="1878">
        <f t="shared" si="162"/>
        <v>56</v>
      </c>
      <c r="G720" s="860"/>
      <c r="H720" s="860"/>
      <c r="I720" s="860"/>
      <c r="J720" s="1420"/>
      <c r="K720" s="843">
        <f t="shared" ref="K720:K723" si="166">K719</f>
        <v>1</v>
      </c>
      <c r="L720" s="412">
        <v>1</v>
      </c>
      <c r="M720" s="843">
        <f t="shared" si="156"/>
        <v>2</v>
      </c>
      <c r="N720" s="890" t="str">
        <f t="shared" si="159"/>
        <v/>
      </c>
      <c r="O720" s="344" t="str">
        <f t="shared" si="163"/>
        <v/>
      </c>
      <c r="P720" s="344" t="str">
        <f t="shared" si="164"/>
        <v/>
      </c>
      <c r="Q720" s="195" t="str">
        <f t="shared" si="165"/>
        <v/>
      </c>
      <c r="R720" s="195"/>
    </row>
    <row r="721" spans="1:18" s="862" customFormat="1">
      <c r="A721" s="2366"/>
      <c r="B721" s="1122">
        <v>2</v>
      </c>
      <c r="C721" s="857" t="str">
        <f t="shared" si="160"/>
        <v>Pulsador doble Start/Stop (Rojo/Verde) sin iluminación + contacto 1NA+1NC.</v>
      </c>
      <c r="D721" s="1876" t="s">
        <v>8359</v>
      </c>
      <c r="E721" s="1871">
        <f t="shared" si="161"/>
        <v>38</v>
      </c>
      <c r="F721" s="1878">
        <f t="shared" si="162"/>
        <v>76</v>
      </c>
      <c r="G721" s="860"/>
      <c r="H721" s="860"/>
      <c r="I721" s="860"/>
      <c r="J721" s="1420"/>
      <c r="K721" s="843">
        <f t="shared" si="166"/>
        <v>1</v>
      </c>
      <c r="L721" s="412">
        <v>1</v>
      </c>
      <c r="M721" s="843">
        <f t="shared" si="156"/>
        <v>2</v>
      </c>
      <c r="N721" s="890" t="str">
        <f t="shared" si="159"/>
        <v/>
      </c>
      <c r="O721" s="344" t="str">
        <f t="shared" si="163"/>
        <v/>
      </c>
      <c r="P721" s="344" t="str">
        <f t="shared" si="164"/>
        <v/>
      </c>
      <c r="Q721" s="195" t="str">
        <f t="shared" si="165"/>
        <v/>
      </c>
      <c r="R721" s="195"/>
    </row>
    <row r="722" spans="1:18" s="344" customFormat="1">
      <c r="A722" s="865"/>
      <c r="B722" s="1122">
        <v>4</v>
      </c>
      <c r="C722" s="904" t="str">
        <f t="shared" si="160"/>
        <v>Base portafusibles + Fusibles de protección para control.</v>
      </c>
      <c r="D722" s="1881" t="s">
        <v>453</v>
      </c>
      <c r="E722" s="1892">
        <f t="shared" si="161"/>
        <v>6.5373900000000003</v>
      </c>
      <c r="F722" s="1893">
        <f t="shared" si="162"/>
        <v>26.149560000000001</v>
      </c>
      <c r="G722" s="905"/>
      <c r="H722" s="905"/>
      <c r="I722" s="905"/>
      <c r="J722" s="906"/>
      <c r="K722" s="843">
        <f t="shared" si="166"/>
        <v>1</v>
      </c>
      <c r="L722" s="412">
        <f>L720</f>
        <v>1</v>
      </c>
      <c r="M722" s="843">
        <f t="shared" si="156"/>
        <v>4</v>
      </c>
      <c r="N722" s="890" t="str">
        <f t="shared" si="159"/>
        <v/>
      </c>
      <c r="O722" s="344" t="str">
        <f t="shared" si="163"/>
        <v/>
      </c>
      <c r="P722" s="344" t="str">
        <f t="shared" si="164"/>
        <v/>
      </c>
      <c r="Q722" s="195" t="str">
        <f t="shared" si="165"/>
        <v/>
      </c>
      <c r="R722" s="195"/>
    </row>
    <row r="723" spans="1:18" s="344" customFormat="1">
      <c r="A723" s="865"/>
      <c r="B723" s="1122">
        <v>4</v>
      </c>
      <c r="C723" s="904" t="str">
        <f t="shared" si="160"/>
        <v>Borne 4mm2.</v>
      </c>
      <c r="D723" s="1881" t="s">
        <v>437</v>
      </c>
      <c r="E723" s="1892">
        <f t="shared" si="161"/>
        <v>2.5</v>
      </c>
      <c r="F723" s="1893">
        <f t="shared" si="162"/>
        <v>10</v>
      </c>
      <c r="G723" s="905"/>
      <c r="H723" s="905"/>
      <c r="I723" s="905"/>
      <c r="J723" s="906"/>
      <c r="K723" s="843">
        <f t="shared" si="166"/>
        <v>1</v>
      </c>
      <c r="L723" s="412">
        <f>L721</f>
        <v>1</v>
      </c>
      <c r="M723" s="843">
        <f t="shared" si="156"/>
        <v>4</v>
      </c>
      <c r="N723" s="890" t="str">
        <f t="shared" si="159"/>
        <v/>
      </c>
      <c r="O723" s="344" t="str">
        <f t="shared" si="163"/>
        <v/>
      </c>
      <c r="P723" s="344" t="str">
        <f t="shared" si="164"/>
        <v/>
      </c>
      <c r="Q723" s="195" t="str">
        <f t="shared" si="165"/>
        <v/>
      </c>
      <c r="R723" s="195"/>
    </row>
    <row r="724" spans="1:18" s="195" customFormat="1">
      <c r="A724" s="1108"/>
      <c r="B724" s="895"/>
      <c r="C724" s="337" t="s">
        <v>729</v>
      </c>
      <c r="D724" s="182"/>
      <c r="E724" s="1874"/>
      <c r="F724" s="1875"/>
      <c r="G724" s="891"/>
      <c r="H724" s="891"/>
      <c r="I724" s="891"/>
      <c r="J724" s="892"/>
      <c r="K724" s="843">
        <f>K723</f>
        <v>1</v>
      </c>
      <c r="L724" s="888">
        <v>1</v>
      </c>
      <c r="M724" s="843">
        <f t="shared" si="156"/>
        <v>1</v>
      </c>
      <c r="N724" s="890" t="str">
        <f t="shared" si="159"/>
        <v/>
      </c>
      <c r="O724" s="344" t="str">
        <f t="shared" si="163"/>
        <v/>
      </c>
      <c r="P724" s="344" t="str">
        <f t="shared" si="164"/>
        <v/>
      </c>
      <c r="Q724" s="195" t="str">
        <f t="shared" si="165"/>
        <v/>
      </c>
    </row>
    <row r="725" spans="1:18" s="870" customFormat="1">
      <c r="A725" s="865"/>
      <c r="B725" s="2385">
        <v>1</v>
      </c>
      <c r="C725" s="2386" t="s">
        <v>316</v>
      </c>
      <c r="D725" s="2387"/>
      <c r="E725" s="1892"/>
      <c r="F725" s="1901"/>
      <c r="G725" s="2396"/>
      <c r="H725" s="2396"/>
      <c r="I725" s="2396"/>
      <c r="J725" s="2397"/>
      <c r="K725" s="843">
        <f t="shared" ref="K725:K728" si="167">K724</f>
        <v>1</v>
      </c>
      <c r="L725" s="412">
        <v>1</v>
      </c>
      <c r="M725" s="843">
        <f t="shared" si="156"/>
        <v>1</v>
      </c>
      <c r="N725" s="890" t="str">
        <f t="shared" si="159"/>
        <v/>
      </c>
      <c r="O725" s="344" t="str">
        <f t="shared" si="163"/>
        <v/>
      </c>
      <c r="P725" s="344" t="str">
        <f t="shared" si="164"/>
        <v/>
      </c>
      <c r="Q725" s="195" t="str">
        <f t="shared" si="165"/>
        <v/>
      </c>
      <c r="R725" s="195"/>
    </row>
    <row r="726" spans="1:18" s="195" customFormat="1">
      <c r="A726" s="1108"/>
      <c r="B726" s="895"/>
      <c r="C726" s="337" t="s">
        <v>729</v>
      </c>
      <c r="D726" s="182"/>
      <c r="E726" s="1874"/>
      <c r="F726" s="1875"/>
      <c r="G726" s="891"/>
      <c r="H726" s="891"/>
      <c r="I726" s="891"/>
      <c r="J726" s="892"/>
      <c r="K726" s="843">
        <f t="shared" si="167"/>
        <v>1</v>
      </c>
      <c r="L726" s="888">
        <v>1</v>
      </c>
      <c r="M726" s="843">
        <f t="shared" si="156"/>
        <v>1</v>
      </c>
      <c r="N726" s="890" t="str">
        <f t="shared" si="159"/>
        <v/>
      </c>
      <c r="O726" s="344" t="str">
        <f t="shared" si="163"/>
        <v/>
      </c>
      <c r="P726" s="344" t="str">
        <f t="shared" si="164"/>
        <v/>
      </c>
      <c r="Q726" s="195" t="str">
        <f t="shared" si="165"/>
        <v/>
      </c>
    </row>
    <row r="727" spans="1:18" s="1088" customFormat="1">
      <c r="A727" s="865"/>
      <c r="B727" s="1085">
        <v>8</v>
      </c>
      <c r="C727" s="904" t="str">
        <f>VLOOKUP(D727,base_datos,6,FALSE)</f>
        <v>Rotulado por circuito.</v>
      </c>
      <c r="D727" s="1881" t="s">
        <v>3210</v>
      </c>
      <c r="E727" s="1892">
        <f>VLOOKUP(D727,base_datos,5,FALSE)</f>
        <v>0.7</v>
      </c>
      <c r="F727" s="1893">
        <f>+E727*B727</f>
        <v>5.6</v>
      </c>
      <c r="G727" s="1086"/>
      <c r="H727" s="1086"/>
      <c r="I727" s="1086"/>
      <c r="J727" s="1087"/>
      <c r="K727" s="843">
        <f t="shared" si="167"/>
        <v>1</v>
      </c>
      <c r="L727" s="888">
        <v>1</v>
      </c>
      <c r="M727" s="843">
        <f t="shared" si="156"/>
        <v>8</v>
      </c>
      <c r="N727" s="890" t="str">
        <f t="shared" si="159"/>
        <v/>
      </c>
      <c r="O727" s="344" t="str">
        <f t="shared" si="163"/>
        <v/>
      </c>
      <c r="P727" s="344" t="str">
        <f t="shared" si="164"/>
        <v/>
      </c>
      <c r="Q727" s="195" t="str">
        <f t="shared" si="165"/>
        <v/>
      </c>
    </row>
    <row r="728" spans="1:18" s="1088" customFormat="1">
      <c r="A728" s="865"/>
      <c r="B728" s="1085">
        <v>1</v>
      </c>
      <c r="C728" s="904" t="str">
        <f>VLOOKUP(D728,base_datos,6,FALSE)</f>
        <v>Rotulado para TAG - tablero de distribución.</v>
      </c>
      <c r="D728" s="1881" t="s">
        <v>3209</v>
      </c>
      <c r="E728" s="1892">
        <f>VLOOKUP(D728,base_datos,5,FALSE)</f>
        <v>1.5</v>
      </c>
      <c r="F728" s="1893">
        <f>+E728*B728</f>
        <v>1.5</v>
      </c>
      <c r="G728" s="1086"/>
      <c r="H728" s="1086"/>
      <c r="I728" s="1086"/>
      <c r="J728" s="1087"/>
      <c r="K728" s="843">
        <f t="shared" si="167"/>
        <v>1</v>
      </c>
      <c r="L728" s="888">
        <v>1</v>
      </c>
      <c r="M728" s="843">
        <f t="shared" si="156"/>
        <v>1</v>
      </c>
      <c r="N728" s="890" t="str">
        <f t="shared" si="159"/>
        <v/>
      </c>
      <c r="O728" s="344" t="str">
        <f t="shared" si="163"/>
        <v/>
      </c>
      <c r="P728" s="344" t="str">
        <f t="shared" si="164"/>
        <v/>
      </c>
      <c r="Q728" s="195" t="str">
        <f t="shared" si="165"/>
        <v/>
      </c>
    </row>
    <row r="729" spans="1:18" s="1479" customFormat="1">
      <c r="A729" s="1128"/>
      <c r="B729" s="1412">
        <v>1</v>
      </c>
      <c r="C729" s="1417" t="s">
        <v>5302</v>
      </c>
      <c r="D729" s="1900"/>
      <c r="E729" s="1901">
        <f>E730*15%</f>
        <v>21</v>
      </c>
      <c r="F729" s="1901">
        <f>+E729*B729</f>
        <v>21</v>
      </c>
      <c r="G729" s="1902"/>
      <c r="H729" s="1902"/>
      <c r="I729" s="1902"/>
      <c r="J729" s="1414"/>
      <c r="K729" s="889">
        <f>K727</f>
        <v>1</v>
      </c>
      <c r="L729" s="888">
        <v>1</v>
      </c>
      <c r="M729" s="889">
        <f t="shared" si="156"/>
        <v>1</v>
      </c>
      <c r="N729" s="890" t="str">
        <f t="shared" si="159"/>
        <v/>
      </c>
      <c r="O729" s="344" t="str">
        <f t="shared" si="163"/>
        <v/>
      </c>
      <c r="P729" s="344" t="str">
        <f t="shared" si="164"/>
        <v/>
      </c>
      <c r="Q729" s="195" t="str">
        <f t="shared" si="165"/>
        <v/>
      </c>
    </row>
    <row r="730" spans="1:18" s="1479" customFormat="1">
      <c r="A730" s="1128"/>
      <c r="B730" s="2499">
        <v>1</v>
      </c>
      <c r="C730" s="867" t="s">
        <v>14200</v>
      </c>
      <c r="D730" s="2500"/>
      <c r="E730" s="1892">
        <v>140</v>
      </c>
      <c r="F730" s="1921">
        <f>+E730*B730</f>
        <v>140</v>
      </c>
      <c r="G730" s="1413"/>
      <c r="H730" s="1413"/>
      <c r="I730" s="1413"/>
      <c r="J730" s="1414"/>
      <c r="K730" s="843">
        <f>K728</f>
        <v>1</v>
      </c>
      <c r="L730" s="888">
        <v>1</v>
      </c>
      <c r="M730" s="843">
        <f t="shared" si="156"/>
        <v>1</v>
      </c>
      <c r="N730" s="890" t="str">
        <f t="shared" si="159"/>
        <v/>
      </c>
      <c r="O730" s="344" t="str">
        <f t="shared" si="163"/>
        <v/>
      </c>
      <c r="P730" s="344" t="str">
        <f t="shared" si="164"/>
        <v/>
      </c>
      <c r="Q730" s="195" t="str">
        <f t="shared" si="165"/>
        <v/>
      </c>
    </row>
    <row r="731" spans="1:18" s="126" customFormat="1" ht="13.5" thickBot="1">
      <c r="A731" s="2331"/>
      <c r="B731" s="1916"/>
      <c r="C731" s="1909"/>
      <c r="D731" s="1917"/>
      <c r="E731" s="873"/>
      <c r="F731" s="873"/>
      <c r="G731" s="1918"/>
      <c r="H731" s="1918"/>
      <c r="I731" s="1918"/>
      <c r="J731" s="1910"/>
      <c r="K731" s="1119"/>
      <c r="L731" s="412"/>
      <c r="M731" s="843"/>
      <c r="N731" s="890" t="str">
        <f t="shared" si="159"/>
        <v/>
      </c>
      <c r="O731" s="344" t="str">
        <f t="shared" si="163"/>
        <v/>
      </c>
      <c r="P731" s="344" t="str">
        <f t="shared" si="164"/>
        <v/>
      </c>
      <c r="Q731" s="195" t="str">
        <f t="shared" si="165"/>
        <v/>
      </c>
      <c r="R731" s="195"/>
    </row>
    <row r="732" spans="1:18" s="126" customFormat="1" ht="13.5" thickBot="1">
      <c r="A732" s="1923">
        <v>25</v>
      </c>
      <c r="B732" s="1920">
        <v>1</v>
      </c>
      <c r="C732" s="846" t="s">
        <v>14202</v>
      </c>
      <c r="D732" s="2495"/>
      <c r="E732" s="2496"/>
      <c r="F732" s="2496"/>
      <c r="G732" s="849">
        <f>SUM(F733:F750)</f>
        <v>672.22</v>
      </c>
      <c r="H732" s="1161">
        <f>G732*(1-$D$6)</f>
        <v>504.16500000000002</v>
      </c>
      <c r="I732" s="849">
        <f>ROUNDUP(H732*$D$5,0)</f>
        <v>1715</v>
      </c>
      <c r="J732" s="850">
        <f>+I732*B732</f>
        <v>1715</v>
      </c>
      <c r="K732" s="851">
        <f>B732</f>
        <v>1</v>
      </c>
      <c r="L732" s="412"/>
      <c r="M732" s="843"/>
      <c r="N732" s="890" t="str">
        <f t="shared" si="159"/>
        <v/>
      </c>
      <c r="O732" s="344" t="str">
        <f t="shared" si="163"/>
        <v/>
      </c>
      <c r="P732" s="344" t="str">
        <f t="shared" si="164"/>
        <v/>
      </c>
      <c r="Q732" s="195" t="str">
        <f t="shared" si="165"/>
        <v/>
      </c>
      <c r="R732" s="195"/>
    </row>
    <row r="733" spans="1:18" s="126" customFormat="1">
      <c r="A733" s="852" t="s">
        <v>3207</v>
      </c>
      <c r="B733" s="1418"/>
      <c r="C733" s="853"/>
      <c r="D733" s="1911"/>
      <c r="E733" s="1890"/>
      <c r="F733" s="1890"/>
      <c r="G733" s="854"/>
      <c r="H733" s="854"/>
      <c r="I733" s="854"/>
      <c r="J733" s="855"/>
      <c r="K733" s="843">
        <f>K732</f>
        <v>1</v>
      </c>
      <c r="L733" s="412">
        <v>1</v>
      </c>
      <c r="M733" s="843">
        <f>IF(B733="",1,B733)</f>
        <v>1</v>
      </c>
      <c r="N733" s="890" t="str">
        <f t="shared" si="159"/>
        <v/>
      </c>
      <c r="O733" s="344" t="str">
        <f t="shared" si="163"/>
        <v/>
      </c>
      <c r="P733" s="344" t="str">
        <f t="shared" si="164"/>
        <v/>
      </c>
      <c r="Q733" s="195" t="str">
        <f t="shared" si="165"/>
        <v/>
      </c>
      <c r="R733" s="195"/>
    </row>
    <row r="734" spans="1:18" s="126" customFormat="1">
      <c r="A734" s="856" t="s">
        <v>4059</v>
      </c>
      <c r="B734" s="1122"/>
      <c r="C734" s="1419" t="s">
        <v>3301</v>
      </c>
      <c r="D734" s="1891"/>
      <c r="E734" s="1878"/>
      <c r="F734" s="1878"/>
      <c r="G734" s="854"/>
      <c r="H734" s="854"/>
      <c r="I734" s="854"/>
      <c r="J734" s="858"/>
      <c r="K734" s="843">
        <f t="shared" ref="K734:K748" si="168">K733</f>
        <v>1</v>
      </c>
      <c r="L734" s="412">
        <v>1</v>
      </c>
      <c r="M734" s="843">
        <f t="shared" ref="M734:M750" si="169">IF(B734="",1,B734)</f>
        <v>1</v>
      </c>
      <c r="N734" s="890" t="str">
        <f t="shared" si="159"/>
        <v/>
      </c>
      <c r="O734" s="344" t="str">
        <f t="shared" si="163"/>
        <v/>
      </c>
      <c r="P734" s="344" t="str">
        <f t="shared" si="164"/>
        <v/>
      </c>
      <c r="Q734" s="195" t="str">
        <f t="shared" si="165"/>
        <v/>
      </c>
      <c r="R734" s="195"/>
    </row>
    <row r="735" spans="1:18" s="862" customFormat="1">
      <c r="A735" s="856" t="s">
        <v>4321</v>
      </c>
      <c r="B735" s="1122">
        <v>1</v>
      </c>
      <c r="C735" s="857" t="str">
        <f>VLOOKUP(D735,base_datos,6,FALSE)</f>
        <v>ITM Caja Moldeada 3x160A (reg.[0.7-1.0] In) - XT1B160-160A-3P-TMD - 25kA@230Vac, 18kA@415Vac, 18kA@250Vdc - marca ABB.</v>
      </c>
      <c r="D735" s="182" t="s">
        <v>4562</v>
      </c>
      <c r="E735" s="1871">
        <f>VLOOKUP(D735,base_datos,5,FALSE)</f>
        <v>148.13</v>
      </c>
      <c r="F735" s="1878">
        <f>+E735*B735</f>
        <v>148.13</v>
      </c>
      <c r="G735" s="860"/>
      <c r="H735" s="860"/>
      <c r="I735" s="860"/>
      <c r="J735" s="861"/>
      <c r="K735" s="843">
        <f t="shared" si="168"/>
        <v>1</v>
      </c>
      <c r="L735" s="412">
        <v>1</v>
      </c>
      <c r="M735" s="843">
        <f t="shared" si="169"/>
        <v>1</v>
      </c>
      <c r="N735" s="890">
        <f t="shared" si="159"/>
        <v>1</v>
      </c>
      <c r="O735" s="344" t="str">
        <f t="shared" si="163"/>
        <v>1SDA066809R1</v>
      </c>
      <c r="P735" s="344" t="str">
        <f t="shared" si="164"/>
        <v>ITM Caja Moldeada 3x160A (reg.[0.7-1.0] In) - XT1B160-160A-3P-TMD - 25kA@230Vac, 18kA@415Vac, 18kA@250Vdc - marca ABB.</v>
      </c>
      <c r="Q735" s="195" t="str">
        <f t="shared" si="165"/>
        <v>XT1B160-160A-3P-TMD</v>
      </c>
      <c r="R735" s="195"/>
    </row>
    <row r="736" spans="1:18" s="195" customFormat="1">
      <c r="A736" s="856"/>
      <c r="B736" s="895"/>
      <c r="C736" s="337" t="s">
        <v>729</v>
      </c>
      <c r="D736" s="182"/>
      <c r="E736" s="1874"/>
      <c r="F736" s="1875"/>
      <c r="G736" s="891"/>
      <c r="H736" s="891"/>
      <c r="I736" s="891"/>
      <c r="J736" s="892"/>
      <c r="K736" s="843">
        <f t="shared" si="168"/>
        <v>1</v>
      </c>
      <c r="L736" s="888">
        <v>1</v>
      </c>
      <c r="M736" s="843">
        <f t="shared" si="169"/>
        <v>1</v>
      </c>
      <c r="N736" s="890" t="str">
        <f t="shared" si="159"/>
        <v/>
      </c>
      <c r="O736" s="344" t="str">
        <f t="shared" si="163"/>
        <v/>
      </c>
      <c r="P736" s="344" t="str">
        <f t="shared" si="164"/>
        <v/>
      </c>
      <c r="Q736" s="195" t="str">
        <f t="shared" si="165"/>
        <v/>
      </c>
    </row>
    <row r="737" spans="1:18" s="862" customFormat="1">
      <c r="A737" s="856" t="s">
        <v>3725</v>
      </c>
      <c r="B737" s="820"/>
      <c r="C737" s="859" t="s">
        <v>3535</v>
      </c>
      <c r="D737" s="1896"/>
      <c r="E737" s="1877"/>
      <c r="F737" s="1878">
        <f t="shared" ref="F737:F743" si="170">+E737*B737</f>
        <v>0</v>
      </c>
      <c r="G737" s="860"/>
      <c r="H737" s="860"/>
      <c r="I737" s="860"/>
      <c r="J737" s="861"/>
      <c r="K737" s="843">
        <f t="shared" si="168"/>
        <v>1</v>
      </c>
      <c r="L737" s="412">
        <v>1</v>
      </c>
      <c r="M737" s="843">
        <f t="shared" si="169"/>
        <v>1</v>
      </c>
      <c r="N737" s="890" t="str">
        <f t="shared" si="159"/>
        <v/>
      </c>
      <c r="O737" s="344" t="str">
        <f t="shared" si="163"/>
        <v/>
      </c>
      <c r="P737" s="344" t="str">
        <f t="shared" si="164"/>
        <v/>
      </c>
      <c r="Q737" s="195" t="str">
        <f t="shared" si="165"/>
        <v/>
      </c>
      <c r="R737" s="195"/>
    </row>
    <row r="738" spans="1:18" s="862" customFormat="1">
      <c r="A738" s="856" t="s">
        <v>3726</v>
      </c>
      <c r="B738" s="1122">
        <v>1</v>
      </c>
      <c r="C738" s="857" t="str">
        <f>VLOOKUP(D738,base_datos,6,FALSE)</f>
        <v>ITM Caja Moldeada 3x125A (reg.[0.7-1.0] In) - XT1B160-125A-3P-TMD - 25kA@230Vac, 18kA@415Vac, 18kA@250Vdc - marca ABB.</v>
      </c>
      <c r="D738" s="182" t="s">
        <v>4560</v>
      </c>
      <c r="E738" s="1871">
        <f>VLOOKUP(D738,base_datos,5,FALSE)</f>
        <v>132.09</v>
      </c>
      <c r="F738" s="1878">
        <f t="shared" si="170"/>
        <v>132.09</v>
      </c>
      <c r="G738" s="860"/>
      <c r="H738" s="860"/>
      <c r="I738" s="860"/>
      <c r="J738" s="861"/>
      <c r="K738" s="843">
        <f t="shared" si="168"/>
        <v>1</v>
      </c>
      <c r="L738" s="412">
        <v>1</v>
      </c>
      <c r="M738" s="843">
        <f t="shared" si="169"/>
        <v>1</v>
      </c>
      <c r="N738" s="890">
        <f t="shared" si="159"/>
        <v>1</v>
      </c>
      <c r="O738" s="344" t="str">
        <f t="shared" si="163"/>
        <v>1SDA066808R1</v>
      </c>
      <c r="P738" s="344" t="str">
        <f t="shared" si="164"/>
        <v>ITM Caja Moldeada 3x125A (reg.[0.7-1.0] In) - XT1B160-125A-3P-TMD - 25kA@230Vac, 18kA@415Vac, 18kA@250Vdc - marca ABB.</v>
      </c>
      <c r="Q738" s="195" t="str">
        <f t="shared" si="165"/>
        <v>XT1B160-125A-3P-TMD</v>
      </c>
      <c r="R738" s="195"/>
    </row>
    <row r="739" spans="1:18" s="862" customFormat="1">
      <c r="A739" s="856"/>
      <c r="B739" s="1122">
        <v>1</v>
      </c>
      <c r="C739" s="857" t="str">
        <f>VLOOKUP(D739,base_datos,6,FALSE)</f>
        <v>ITM Riel-Din 3x40A - SH203-C-40A - 10kA@230Vac, 6kA@400Vac-IEC60898 - marca ABB.</v>
      </c>
      <c r="D739" s="1894" t="s">
        <v>1070</v>
      </c>
      <c r="E739" s="1871">
        <f>VLOOKUP(D739,base_datos,5,FALSE)</f>
        <v>16.400000000000002</v>
      </c>
      <c r="F739" s="1878">
        <f t="shared" si="170"/>
        <v>16.400000000000002</v>
      </c>
      <c r="G739" s="860"/>
      <c r="H739" s="860"/>
      <c r="I739" s="860"/>
      <c r="J739" s="861"/>
      <c r="K739" s="843">
        <f t="shared" si="168"/>
        <v>1</v>
      </c>
      <c r="L739" s="412">
        <v>1</v>
      </c>
      <c r="M739" s="843">
        <f t="shared" si="169"/>
        <v>1</v>
      </c>
      <c r="N739" s="890">
        <f t="shared" si="159"/>
        <v>1</v>
      </c>
      <c r="O739" s="344" t="str">
        <f t="shared" si="163"/>
        <v>2CDS213001R0404</v>
      </c>
      <c r="P739" s="344" t="str">
        <f t="shared" si="164"/>
        <v>ITM Riel-Din 3x40A - SH203-C-40A - 10kA@230Vac, 6kA@400Vac-IEC60898 - marca ABB.</v>
      </c>
      <c r="Q739" s="195" t="str">
        <f t="shared" si="165"/>
        <v>SH203-C-40A</v>
      </c>
      <c r="R739" s="195"/>
    </row>
    <row r="740" spans="1:18" s="862" customFormat="1">
      <c r="A740" s="856"/>
      <c r="B740" s="1122">
        <v>2</v>
      </c>
      <c r="C740" s="857" t="str">
        <f>VLOOKUP(D740,base_datos,6,FALSE)</f>
        <v>ITM Riel-Din 2x20A - SH202-C-20A - 10kA@230Vac, 6kA@400Vac-IEC60898 - marca ABB.</v>
      </c>
      <c r="D740" s="1894" t="s">
        <v>1060</v>
      </c>
      <c r="E740" s="1871">
        <f>VLOOKUP(D740,base_datos,5,FALSE)</f>
        <v>6.54</v>
      </c>
      <c r="F740" s="1878">
        <f t="shared" si="170"/>
        <v>13.08</v>
      </c>
      <c r="G740" s="860"/>
      <c r="H740" s="860"/>
      <c r="I740" s="860"/>
      <c r="J740" s="1420"/>
      <c r="K740" s="843">
        <f t="shared" si="168"/>
        <v>1</v>
      </c>
      <c r="L740" s="412">
        <v>1</v>
      </c>
      <c r="M740" s="843">
        <f t="shared" si="169"/>
        <v>2</v>
      </c>
      <c r="N740" s="890">
        <f t="shared" si="159"/>
        <v>2</v>
      </c>
      <c r="O740" s="344" t="str">
        <f t="shared" si="163"/>
        <v>2CDS212001R0204</v>
      </c>
      <c r="P740" s="344" t="str">
        <f t="shared" si="164"/>
        <v>ITM Riel-Din 2x20A - SH202-C-20A - 10kA@230Vac, 6kA@400Vac-IEC60898 - marca ABB.</v>
      </c>
      <c r="Q740" s="195" t="str">
        <f t="shared" si="165"/>
        <v>SH202-C-20A</v>
      </c>
      <c r="R740" s="195"/>
    </row>
    <row r="741" spans="1:18" s="862" customFormat="1">
      <c r="A741" s="1873"/>
      <c r="B741" s="1122">
        <v>2</v>
      </c>
      <c r="C741" s="857" t="str">
        <f>VLOOKUP(D741,base_datos,6,FALSE)</f>
        <v>Interruptor Diferencial 2x25A - 30mA - clase AC - FH202-AC-25A-30mA - marca ABB.</v>
      </c>
      <c r="D741" s="2466" t="s">
        <v>1109</v>
      </c>
      <c r="E741" s="1871">
        <f>VLOOKUP(D741,base_datos,5,FALSE)</f>
        <v>24.41</v>
      </c>
      <c r="F741" s="1878">
        <f t="shared" si="170"/>
        <v>48.82</v>
      </c>
      <c r="G741" s="860"/>
      <c r="H741" s="860"/>
      <c r="I741" s="860"/>
      <c r="J741" s="1420"/>
      <c r="K741" s="843">
        <f t="shared" si="168"/>
        <v>1</v>
      </c>
      <c r="L741" s="412">
        <v>1</v>
      </c>
      <c r="M741" s="843">
        <f t="shared" si="169"/>
        <v>2</v>
      </c>
      <c r="N741" s="890">
        <f t="shared" si="159"/>
        <v>2</v>
      </c>
      <c r="O741" s="344" t="str">
        <f t="shared" si="163"/>
        <v>1TMF202006R1250</v>
      </c>
      <c r="P741" s="344" t="str">
        <f t="shared" si="164"/>
        <v>Interruptor Diferencial 2x25A - 30mA - clase AC - FH202-AC-25A-30mA - marca ABB.</v>
      </c>
      <c r="Q741" s="195" t="str">
        <f t="shared" si="165"/>
        <v>FH202-AC-25A-30mA</v>
      </c>
      <c r="R741" s="195"/>
    </row>
    <row r="742" spans="1:18" s="2340" customFormat="1">
      <c r="A742" s="856"/>
      <c r="B742" s="2443">
        <v>2</v>
      </c>
      <c r="C742" s="2444" t="str">
        <f>VLOOKUP(D742,base_datos,6,FALSE)</f>
        <v>Espacio de reserva trifásica - Caja moldeada.</v>
      </c>
      <c r="D742" s="2468" t="s">
        <v>3075</v>
      </c>
      <c r="E742" s="2497">
        <f>VLOOKUP(D742,base_datos,5,FALSE)</f>
        <v>15</v>
      </c>
      <c r="F742" s="2498">
        <f t="shared" si="170"/>
        <v>30</v>
      </c>
      <c r="G742" s="2338"/>
      <c r="H742" s="2338"/>
      <c r="I742" s="2338"/>
      <c r="J742" s="2339"/>
      <c r="K742" s="843">
        <f t="shared" si="168"/>
        <v>1</v>
      </c>
      <c r="L742" s="412">
        <v>1</v>
      </c>
      <c r="M742" s="843">
        <f t="shared" si="169"/>
        <v>2</v>
      </c>
      <c r="N742" s="890" t="str">
        <f t="shared" si="159"/>
        <v/>
      </c>
      <c r="O742" s="344" t="str">
        <f t="shared" si="163"/>
        <v/>
      </c>
      <c r="P742" s="344" t="str">
        <f t="shared" si="164"/>
        <v/>
      </c>
      <c r="Q742" s="195" t="str">
        <f t="shared" si="165"/>
        <v/>
      </c>
      <c r="R742" s="195"/>
    </row>
    <row r="743" spans="1:18" s="870" customFormat="1">
      <c r="A743" s="1873"/>
      <c r="B743" s="866">
        <v>1</v>
      </c>
      <c r="C743" s="867" t="s">
        <v>14203</v>
      </c>
      <c r="D743" s="1896"/>
      <c r="E743" s="180">
        <v>65</v>
      </c>
      <c r="F743" s="1921">
        <f t="shared" si="170"/>
        <v>65</v>
      </c>
      <c r="G743" s="868"/>
      <c r="H743" s="868"/>
      <c r="I743" s="868"/>
      <c r="J743" s="869"/>
      <c r="K743" s="843">
        <f t="shared" si="168"/>
        <v>1</v>
      </c>
      <c r="L743" s="412">
        <v>1</v>
      </c>
      <c r="M743" s="843">
        <f t="shared" si="169"/>
        <v>1</v>
      </c>
      <c r="N743" s="890" t="str">
        <f t="shared" si="159"/>
        <v/>
      </c>
      <c r="O743" s="344" t="str">
        <f t="shared" si="163"/>
        <v/>
      </c>
      <c r="P743" s="344" t="str">
        <f t="shared" si="164"/>
        <v/>
      </c>
      <c r="Q743" s="195" t="str">
        <f t="shared" si="165"/>
        <v/>
      </c>
    </row>
    <row r="744" spans="1:18" s="195" customFormat="1">
      <c r="A744" s="856"/>
      <c r="B744" s="895"/>
      <c r="C744" s="337" t="s">
        <v>729</v>
      </c>
      <c r="D744" s="182"/>
      <c r="E744" s="1874"/>
      <c r="F744" s="1875"/>
      <c r="G744" s="891"/>
      <c r="H744" s="891"/>
      <c r="I744" s="891"/>
      <c r="J744" s="892"/>
      <c r="K744" s="843">
        <f t="shared" si="168"/>
        <v>1</v>
      </c>
      <c r="L744" s="412">
        <v>1</v>
      </c>
      <c r="M744" s="843">
        <f t="shared" si="169"/>
        <v>1</v>
      </c>
      <c r="N744" s="890" t="str">
        <f t="shared" si="159"/>
        <v/>
      </c>
      <c r="O744" s="344" t="str">
        <f t="shared" si="163"/>
        <v/>
      </c>
      <c r="P744" s="344" t="str">
        <f t="shared" si="164"/>
        <v/>
      </c>
      <c r="Q744" s="195" t="str">
        <f t="shared" si="165"/>
        <v/>
      </c>
    </row>
    <row r="745" spans="1:18" s="870" customFormat="1">
      <c r="A745" s="865"/>
      <c r="B745" s="2385">
        <v>1</v>
      </c>
      <c r="C745" s="2386" t="s">
        <v>316</v>
      </c>
      <c r="D745" s="2387"/>
      <c r="E745" s="1892"/>
      <c r="F745" s="1901"/>
      <c r="G745" s="2396"/>
      <c r="H745" s="2396"/>
      <c r="I745" s="2396"/>
      <c r="J745" s="2397"/>
      <c r="K745" s="843">
        <f t="shared" si="168"/>
        <v>1</v>
      </c>
      <c r="L745" s="412">
        <v>1</v>
      </c>
      <c r="M745" s="843">
        <f t="shared" si="169"/>
        <v>1</v>
      </c>
      <c r="N745" s="890" t="str">
        <f t="shared" si="159"/>
        <v/>
      </c>
      <c r="O745" s="344" t="str">
        <f t="shared" si="163"/>
        <v/>
      </c>
      <c r="P745" s="344" t="str">
        <f t="shared" si="164"/>
        <v/>
      </c>
      <c r="Q745" s="195" t="str">
        <f t="shared" si="165"/>
        <v/>
      </c>
      <c r="R745" s="195"/>
    </row>
    <row r="746" spans="1:18" s="195" customFormat="1">
      <c r="A746" s="1108"/>
      <c r="B746" s="895"/>
      <c r="C746" s="337" t="s">
        <v>729</v>
      </c>
      <c r="D746" s="182"/>
      <c r="E746" s="1874"/>
      <c r="F746" s="1875"/>
      <c r="G746" s="891"/>
      <c r="H746" s="891"/>
      <c r="I746" s="891"/>
      <c r="J746" s="892"/>
      <c r="K746" s="843">
        <f t="shared" si="168"/>
        <v>1</v>
      </c>
      <c r="L746" s="888">
        <v>1</v>
      </c>
      <c r="M746" s="843">
        <f t="shared" si="169"/>
        <v>1</v>
      </c>
      <c r="N746" s="890" t="str">
        <f t="shared" si="159"/>
        <v/>
      </c>
      <c r="O746" s="344" t="str">
        <f t="shared" si="163"/>
        <v/>
      </c>
      <c r="P746" s="344" t="str">
        <f t="shared" si="164"/>
        <v/>
      </c>
      <c r="Q746" s="195" t="str">
        <f t="shared" si="165"/>
        <v/>
      </c>
    </row>
    <row r="747" spans="1:18" s="1088" customFormat="1">
      <c r="A747" s="865"/>
      <c r="B747" s="1085">
        <v>8</v>
      </c>
      <c r="C747" s="904" t="str">
        <f>VLOOKUP(D747,base_datos,6,FALSE)</f>
        <v>Rotulado por circuito.</v>
      </c>
      <c r="D747" s="1881" t="s">
        <v>3210</v>
      </c>
      <c r="E747" s="1892">
        <f>VLOOKUP(D747,base_datos,5,FALSE)</f>
        <v>0.7</v>
      </c>
      <c r="F747" s="1893">
        <f>+E747*B747</f>
        <v>5.6</v>
      </c>
      <c r="G747" s="1086"/>
      <c r="H747" s="1086"/>
      <c r="I747" s="1086"/>
      <c r="J747" s="1087"/>
      <c r="K747" s="843">
        <f t="shared" si="168"/>
        <v>1</v>
      </c>
      <c r="L747" s="888">
        <v>1</v>
      </c>
      <c r="M747" s="843">
        <f t="shared" si="169"/>
        <v>8</v>
      </c>
      <c r="N747" s="890" t="str">
        <f t="shared" si="159"/>
        <v/>
      </c>
      <c r="O747" s="344" t="str">
        <f t="shared" si="163"/>
        <v/>
      </c>
      <c r="P747" s="344" t="str">
        <f t="shared" si="164"/>
        <v/>
      </c>
      <c r="Q747" s="195" t="str">
        <f t="shared" si="165"/>
        <v/>
      </c>
    </row>
    <row r="748" spans="1:18" s="1088" customFormat="1">
      <c r="A748" s="865"/>
      <c r="B748" s="1085">
        <v>1</v>
      </c>
      <c r="C748" s="904" t="str">
        <f>VLOOKUP(D748,base_datos,6,FALSE)</f>
        <v>Rotulado para TAG - tablero de distribución.</v>
      </c>
      <c r="D748" s="1881" t="s">
        <v>3209</v>
      </c>
      <c r="E748" s="1892">
        <f>VLOOKUP(D748,base_datos,5,FALSE)</f>
        <v>1.5</v>
      </c>
      <c r="F748" s="1893">
        <f>+E748*B748</f>
        <v>1.5</v>
      </c>
      <c r="G748" s="1086"/>
      <c r="H748" s="1086"/>
      <c r="I748" s="1086"/>
      <c r="J748" s="1087"/>
      <c r="K748" s="843">
        <f t="shared" si="168"/>
        <v>1</v>
      </c>
      <c r="L748" s="888">
        <v>1</v>
      </c>
      <c r="M748" s="843">
        <f t="shared" si="169"/>
        <v>1</v>
      </c>
      <c r="N748" s="890" t="str">
        <f t="shared" si="159"/>
        <v/>
      </c>
      <c r="O748" s="344" t="str">
        <f t="shared" si="163"/>
        <v/>
      </c>
      <c r="P748" s="344" t="str">
        <f t="shared" si="164"/>
        <v/>
      </c>
      <c r="Q748" s="195" t="str">
        <f t="shared" si="165"/>
        <v/>
      </c>
    </row>
    <row r="749" spans="1:18" s="1479" customFormat="1">
      <c r="A749" s="1128"/>
      <c r="B749" s="1412">
        <v>1</v>
      </c>
      <c r="C749" s="1417" t="s">
        <v>5302</v>
      </c>
      <c r="D749" s="1900"/>
      <c r="E749" s="1901">
        <f>E750*15%</f>
        <v>27.599999999999998</v>
      </c>
      <c r="F749" s="1901">
        <f>+E749*B749</f>
        <v>27.599999999999998</v>
      </c>
      <c r="G749" s="1902"/>
      <c r="H749" s="1902"/>
      <c r="I749" s="1902"/>
      <c r="J749" s="1414"/>
      <c r="K749" s="889">
        <f>K747</f>
        <v>1</v>
      </c>
      <c r="L749" s="888">
        <v>1</v>
      </c>
      <c r="M749" s="889">
        <f t="shared" si="169"/>
        <v>1</v>
      </c>
      <c r="N749" s="890" t="str">
        <f t="shared" si="159"/>
        <v/>
      </c>
      <c r="O749" s="344" t="str">
        <f t="shared" si="163"/>
        <v/>
      </c>
      <c r="P749" s="344" t="str">
        <f t="shared" si="164"/>
        <v/>
      </c>
      <c r="Q749" s="195" t="str">
        <f t="shared" si="165"/>
        <v/>
      </c>
    </row>
    <row r="750" spans="1:18" s="1479" customFormat="1">
      <c r="A750" s="1128"/>
      <c r="B750" s="2499">
        <v>1</v>
      </c>
      <c r="C750" s="867" t="s">
        <v>14204</v>
      </c>
      <c r="D750" s="2500"/>
      <c r="E750" s="1892">
        <v>184</v>
      </c>
      <c r="F750" s="1921">
        <f>+E750*B750</f>
        <v>184</v>
      </c>
      <c r="G750" s="1413"/>
      <c r="H750" s="1413"/>
      <c r="I750" s="1413"/>
      <c r="J750" s="1414"/>
      <c r="K750" s="843">
        <f>K748</f>
        <v>1</v>
      </c>
      <c r="L750" s="888">
        <v>1</v>
      </c>
      <c r="M750" s="843">
        <f t="shared" si="169"/>
        <v>1</v>
      </c>
      <c r="N750" s="890" t="str">
        <f t="shared" si="159"/>
        <v/>
      </c>
      <c r="O750" s="344" t="str">
        <f t="shared" si="163"/>
        <v/>
      </c>
      <c r="P750" s="344" t="str">
        <f t="shared" si="164"/>
        <v/>
      </c>
      <c r="Q750" s="195" t="str">
        <f t="shared" si="165"/>
        <v/>
      </c>
    </row>
    <row r="751" spans="1:18" s="126" customFormat="1" ht="13.5" thickBot="1">
      <c r="A751" s="2331"/>
      <c r="B751" s="1916"/>
      <c r="C751" s="1909"/>
      <c r="D751" s="1917"/>
      <c r="E751" s="873"/>
      <c r="F751" s="873"/>
      <c r="G751" s="1918"/>
      <c r="H751" s="1918"/>
      <c r="I751" s="1918"/>
      <c r="J751" s="1910"/>
      <c r="K751" s="1119"/>
      <c r="L751" s="412"/>
      <c r="M751" s="843"/>
      <c r="N751" s="890" t="str">
        <f t="shared" si="159"/>
        <v/>
      </c>
      <c r="O751" s="344" t="str">
        <f t="shared" si="163"/>
        <v/>
      </c>
      <c r="P751" s="344" t="str">
        <f t="shared" si="164"/>
        <v/>
      </c>
      <c r="Q751" s="195" t="str">
        <f t="shared" si="165"/>
        <v/>
      </c>
      <c r="R751" s="195"/>
    </row>
    <row r="752" spans="1:18" s="126" customFormat="1" ht="13.5" thickBot="1">
      <c r="A752" s="1923">
        <v>26</v>
      </c>
      <c r="B752" s="1920">
        <v>1</v>
      </c>
      <c r="C752" s="846" t="s">
        <v>14205</v>
      </c>
      <c r="D752" s="2495"/>
      <c r="E752" s="2496"/>
      <c r="F752" s="2496"/>
      <c r="G752" s="849">
        <f>SUM(F753:F767)</f>
        <v>232.47</v>
      </c>
      <c r="H752" s="1161">
        <f>G752*(1-$D$6)</f>
        <v>174.35249999999999</v>
      </c>
      <c r="I752" s="849">
        <f>ROUNDUP(H752*$D$5,0)</f>
        <v>593</v>
      </c>
      <c r="J752" s="850">
        <f>+I752*B752</f>
        <v>593</v>
      </c>
      <c r="K752" s="851">
        <f>B752</f>
        <v>1</v>
      </c>
      <c r="L752" s="412"/>
      <c r="M752" s="843"/>
      <c r="N752" s="890" t="str">
        <f t="shared" si="159"/>
        <v/>
      </c>
      <c r="O752" s="344" t="str">
        <f t="shared" si="163"/>
        <v/>
      </c>
      <c r="P752" s="344" t="str">
        <f t="shared" si="164"/>
        <v/>
      </c>
      <c r="Q752" s="195" t="str">
        <f t="shared" si="165"/>
        <v/>
      </c>
      <c r="R752" s="195"/>
    </row>
    <row r="753" spans="1:18" s="126" customFormat="1">
      <c r="A753" s="852" t="s">
        <v>3207</v>
      </c>
      <c r="B753" s="1418"/>
      <c r="C753" s="853"/>
      <c r="D753" s="1911"/>
      <c r="E753" s="1890"/>
      <c r="F753" s="1890"/>
      <c r="G753" s="854"/>
      <c r="H753" s="854"/>
      <c r="I753" s="854"/>
      <c r="J753" s="855"/>
      <c r="K753" s="843">
        <f>K752</f>
        <v>1</v>
      </c>
      <c r="L753" s="412">
        <v>1</v>
      </c>
      <c r="M753" s="843">
        <f>IF(B753="",1,B753)</f>
        <v>1</v>
      </c>
      <c r="N753" s="890" t="str">
        <f t="shared" si="159"/>
        <v/>
      </c>
      <c r="O753" s="344" t="str">
        <f t="shared" si="163"/>
        <v/>
      </c>
      <c r="P753" s="344" t="str">
        <f t="shared" si="164"/>
        <v/>
      </c>
      <c r="Q753" s="195" t="str">
        <f t="shared" si="165"/>
        <v/>
      </c>
      <c r="R753" s="195"/>
    </row>
    <row r="754" spans="1:18" s="126" customFormat="1">
      <c r="A754" s="856" t="s">
        <v>4059</v>
      </c>
      <c r="B754" s="1122"/>
      <c r="C754" s="1419" t="s">
        <v>3301</v>
      </c>
      <c r="D754" s="1891"/>
      <c r="E754" s="1878"/>
      <c r="F754" s="1878"/>
      <c r="G754" s="854"/>
      <c r="H754" s="854"/>
      <c r="I754" s="854"/>
      <c r="J754" s="858"/>
      <c r="K754" s="843">
        <f t="shared" ref="K754:K765" si="171">K753</f>
        <v>1</v>
      </c>
      <c r="L754" s="412">
        <v>1</v>
      </c>
      <c r="M754" s="843">
        <f t="shared" ref="M754:M767" si="172">IF(B754="",1,B754)</f>
        <v>1</v>
      </c>
      <c r="N754" s="890" t="str">
        <f t="shared" si="159"/>
        <v/>
      </c>
      <c r="O754" s="344" t="str">
        <f t="shared" si="163"/>
        <v/>
      </c>
      <c r="P754" s="344" t="str">
        <f t="shared" si="164"/>
        <v/>
      </c>
      <c r="Q754" s="195" t="str">
        <f t="shared" si="165"/>
        <v/>
      </c>
      <c r="R754" s="195"/>
    </row>
    <row r="755" spans="1:18" s="862" customFormat="1">
      <c r="A755" s="856" t="s">
        <v>4321</v>
      </c>
      <c r="B755" s="1122">
        <v>1</v>
      </c>
      <c r="C755" s="857" t="str">
        <f>VLOOKUP(D755,base_datos,6,FALSE)</f>
        <v>ITM Riel-Din 3x32A - SH203-C-32A - 10kA@230Vac, 6kA@400Vac-IEC60898 - marca ABB.</v>
      </c>
      <c r="D755" s="1894" t="s">
        <v>1069</v>
      </c>
      <c r="E755" s="1871">
        <f>VLOOKUP(D755,base_datos,5,FALSE)</f>
        <v>15.379999999999999</v>
      </c>
      <c r="F755" s="1878">
        <f>+E755*B755</f>
        <v>15.379999999999999</v>
      </c>
      <c r="G755" s="860"/>
      <c r="H755" s="860"/>
      <c r="I755" s="860"/>
      <c r="J755" s="861"/>
      <c r="K755" s="843">
        <f t="shared" si="171"/>
        <v>1</v>
      </c>
      <c r="L755" s="412">
        <v>1</v>
      </c>
      <c r="M755" s="843">
        <f t="shared" si="172"/>
        <v>1</v>
      </c>
      <c r="N755" s="890">
        <f t="shared" si="159"/>
        <v>1</v>
      </c>
      <c r="O755" s="344" t="str">
        <f t="shared" si="163"/>
        <v>2CDS213001R0324</v>
      </c>
      <c r="P755" s="344" t="str">
        <f t="shared" si="164"/>
        <v>ITM Riel-Din 3x32A - SH203-C-32A - 10kA@230Vac, 6kA@400Vac-IEC60898 - marca ABB.</v>
      </c>
      <c r="Q755" s="195" t="str">
        <f t="shared" si="165"/>
        <v>SH203-C-32A</v>
      </c>
      <c r="R755" s="195"/>
    </row>
    <row r="756" spans="1:18" s="195" customFormat="1">
      <c r="A756" s="1108"/>
      <c r="B756" s="895"/>
      <c r="C756" s="337" t="s">
        <v>729</v>
      </c>
      <c r="D756" s="182"/>
      <c r="E756" s="1874"/>
      <c r="F756" s="1875"/>
      <c r="G756" s="891"/>
      <c r="H756" s="891"/>
      <c r="I756" s="891"/>
      <c r="J756" s="892"/>
      <c r="K756" s="843">
        <f t="shared" si="171"/>
        <v>1</v>
      </c>
      <c r="L756" s="888">
        <v>1</v>
      </c>
      <c r="M756" s="843">
        <f t="shared" si="172"/>
        <v>1</v>
      </c>
      <c r="N756" s="890" t="str">
        <f t="shared" si="159"/>
        <v/>
      </c>
      <c r="O756" s="344" t="str">
        <f t="shared" si="163"/>
        <v/>
      </c>
      <c r="P756" s="344" t="str">
        <f t="shared" si="164"/>
        <v/>
      </c>
      <c r="Q756" s="195" t="str">
        <f t="shared" si="165"/>
        <v/>
      </c>
    </row>
    <row r="757" spans="1:18" s="862" customFormat="1">
      <c r="A757" s="856"/>
      <c r="B757" s="820"/>
      <c r="C757" s="859" t="s">
        <v>3535</v>
      </c>
      <c r="D757" s="1896"/>
      <c r="E757" s="1877"/>
      <c r="F757" s="1878">
        <f>+E757*B757</f>
        <v>0</v>
      </c>
      <c r="G757" s="860"/>
      <c r="H757" s="860"/>
      <c r="I757" s="860"/>
      <c r="J757" s="861"/>
      <c r="K757" s="843">
        <f t="shared" si="171"/>
        <v>1</v>
      </c>
      <c r="L757" s="412">
        <v>1</v>
      </c>
      <c r="M757" s="843">
        <f t="shared" si="172"/>
        <v>1</v>
      </c>
      <c r="N757" s="890" t="str">
        <f t="shared" si="159"/>
        <v/>
      </c>
      <c r="O757" s="344" t="str">
        <f t="shared" si="163"/>
        <v/>
      </c>
      <c r="P757" s="344" t="str">
        <f t="shared" si="164"/>
        <v/>
      </c>
      <c r="Q757" s="195" t="str">
        <f t="shared" si="165"/>
        <v/>
      </c>
      <c r="R757" s="195"/>
    </row>
    <row r="758" spans="1:18" s="862" customFormat="1">
      <c r="A758" s="856" t="s">
        <v>3725</v>
      </c>
      <c r="B758" s="1122">
        <v>6</v>
      </c>
      <c r="C758" s="857" t="str">
        <f>VLOOKUP(D758,base_datos,6,FALSE)</f>
        <v>ITM Riel-Din 2x20A - SH202-C-20A - 10kA@230Vac, 6kA@400Vac-IEC60898 - marca ABB.</v>
      </c>
      <c r="D758" s="1894" t="s">
        <v>1060</v>
      </c>
      <c r="E758" s="1871">
        <f>VLOOKUP(D758,base_datos,5,FALSE)</f>
        <v>6.54</v>
      </c>
      <c r="F758" s="1878">
        <f>+E758*B758</f>
        <v>39.24</v>
      </c>
      <c r="G758" s="860"/>
      <c r="H758" s="860"/>
      <c r="I758" s="860"/>
      <c r="J758" s="1420"/>
      <c r="K758" s="843">
        <f t="shared" si="171"/>
        <v>1</v>
      </c>
      <c r="L758" s="412">
        <v>1</v>
      </c>
      <c r="M758" s="843">
        <f t="shared" si="172"/>
        <v>6</v>
      </c>
      <c r="N758" s="890">
        <f t="shared" si="159"/>
        <v>6</v>
      </c>
      <c r="O758" s="344" t="str">
        <f t="shared" si="163"/>
        <v>2CDS212001R0204</v>
      </c>
      <c r="P758" s="344" t="str">
        <f t="shared" si="164"/>
        <v>ITM Riel-Din 2x20A - SH202-C-20A - 10kA@230Vac, 6kA@400Vac-IEC60898 - marca ABB.</v>
      </c>
      <c r="Q758" s="195" t="str">
        <f t="shared" si="165"/>
        <v>SH202-C-20A</v>
      </c>
      <c r="R758" s="195"/>
    </row>
    <row r="759" spans="1:18" s="2340" customFormat="1">
      <c r="A759" s="856" t="s">
        <v>3726</v>
      </c>
      <c r="B759" s="2443">
        <v>2</v>
      </c>
      <c r="C759" s="2444" t="str">
        <f>VLOOKUP(D759,base_datos,6,FALSE)</f>
        <v>Espacio de reserva monofasica - Riel-Din.</v>
      </c>
      <c r="D759" s="2468" t="s">
        <v>1048</v>
      </c>
      <c r="E759" s="2497">
        <f>VLOOKUP(D759,base_datos,5,FALSE)</f>
        <v>1.5</v>
      </c>
      <c r="F759" s="2498">
        <f>+E759*B759</f>
        <v>3</v>
      </c>
      <c r="G759" s="2338"/>
      <c r="H759" s="2338"/>
      <c r="I759" s="2338"/>
      <c r="J759" s="2339"/>
      <c r="K759" s="843">
        <f t="shared" si="171"/>
        <v>1</v>
      </c>
      <c r="L759" s="412">
        <v>1</v>
      </c>
      <c r="M759" s="843">
        <f t="shared" si="172"/>
        <v>2</v>
      </c>
      <c r="N759" s="890" t="str">
        <f t="shared" si="159"/>
        <v/>
      </c>
      <c r="O759" s="344" t="str">
        <f t="shared" si="163"/>
        <v/>
      </c>
      <c r="P759" s="344" t="str">
        <f t="shared" si="164"/>
        <v/>
      </c>
      <c r="Q759" s="195" t="str">
        <f t="shared" si="165"/>
        <v/>
      </c>
      <c r="R759" s="195"/>
    </row>
    <row r="760" spans="1:18" s="870" customFormat="1">
      <c r="A760" s="856"/>
      <c r="B760" s="866">
        <v>1</v>
      </c>
      <c r="C760" s="867" t="s">
        <v>14133</v>
      </c>
      <c r="D760" s="1896"/>
      <c r="E760" s="180">
        <v>70</v>
      </c>
      <c r="F760" s="1921">
        <f>+E760*B760</f>
        <v>70</v>
      </c>
      <c r="G760" s="868"/>
      <c r="H760" s="868"/>
      <c r="I760" s="868"/>
      <c r="J760" s="869"/>
      <c r="K760" s="843">
        <f t="shared" si="171"/>
        <v>1</v>
      </c>
      <c r="L760" s="412">
        <v>1</v>
      </c>
      <c r="M760" s="843">
        <f t="shared" si="172"/>
        <v>1</v>
      </c>
      <c r="N760" s="890" t="str">
        <f t="shared" si="159"/>
        <v/>
      </c>
      <c r="O760" s="344" t="str">
        <f t="shared" si="163"/>
        <v/>
      </c>
      <c r="P760" s="344" t="str">
        <f t="shared" si="164"/>
        <v/>
      </c>
      <c r="Q760" s="195" t="str">
        <f t="shared" si="165"/>
        <v/>
      </c>
    </row>
    <row r="761" spans="1:18" s="195" customFormat="1">
      <c r="A761" s="856"/>
      <c r="B761" s="895"/>
      <c r="C761" s="337" t="s">
        <v>729</v>
      </c>
      <c r="D761" s="182"/>
      <c r="E761" s="1874"/>
      <c r="F761" s="1875"/>
      <c r="G761" s="891"/>
      <c r="H761" s="891"/>
      <c r="I761" s="891"/>
      <c r="J761" s="892"/>
      <c r="K761" s="843">
        <f t="shared" si="171"/>
        <v>1</v>
      </c>
      <c r="L761" s="412">
        <v>1</v>
      </c>
      <c r="M761" s="843">
        <f t="shared" si="172"/>
        <v>1</v>
      </c>
      <c r="N761" s="890" t="str">
        <f t="shared" si="159"/>
        <v/>
      </c>
      <c r="O761" s="344" t="str">
        <f t="shared" si="163"/>
        <v/>
      </c>
      <c r="P761" s="344" t="str">
        <f t="shared" si="164"/>
        <v/>
      </c>
      <c r="Q761" s="195" t="str">
        <f t="shared" si="165"/>
        <v/>
      </c>
    </row>
    <row r="762" spans="1:18" s="870" customFormat="1">
      <c r="A762" s="1873"/>
      <c r="B762" s="2385">
        <v>1</v>
      </c>
      <c r="C762" s="2386" t="s">
        <v>316</v>
      </c>
      <c r="D762" s="2387"/>
      <c r="E762" s="1892"/>
      <c r="F762" s="1901"/>
      <c r="G762" s="2396"/>
      <c r="H762" s="2396"/>
      <c r="I762" s="2396"/>
      <c r="J762" s="2397"/>
      <c r="K762" s="843">
        <f t="shared" si="171"/>
        <v>1</v>
      </c>
      <c r="L762" s="412">
        <v>1</v>
      </c>
      <c r="M762" s="843">
        <f t="shared" si="172"/>
        <v>1</v>
      </c>
      <c r="N762" s="890" t="str">
        <f t="shared" si="159"/>
        <v/>
      </c>
      <c r="O762" s="344" t="str">
        <f t="shared" si="163"/>
        <v/>
      </c>
      <c r="P762" s="344" t="str">
        <f t="shared" si="164"/>
        <v/>
      </c>
      <c r="Q762" s="195" t="str">
        <f t="shared" si="165"/>
        <v/>
      </c>
      <c r="R762" s="195"/>
    </row>
    <row r="763" spans="1:18" s="195" customFormat="1">
      <c r="A763" s="1108"/>
      <c r="B763" s="895"/>
      <c r="C763" s="337" t="s">
        <v>729</v>
      </c>
      <c r="D763" s="182"/>
      <c r="E763" s="1874"/>
      <c r="F763" s="1875"/>
      <c r="G763" s="891"/>
      <c r="H763" s="891"/>
      <c r="I763" s="891"/>
      <c r="J763" s="892"/>
      <c r="K763" s="843">
        <f t="shared" si="171"/>
        <v>1</v>
      </c>
      <c r="L763" s="888">
        <v>1</v>
      </c>
      <c r="M763" s="843">
        <f t="shared" si="172"/>
        <v>1</v>
      </c>
      <c r="N763" s="890" t="str">
        <f t="shared" si="159"/>
        <v/>
      </c>
      <c r="O763" s="344" t="str">
        <f t="shared" si="163"/>
        <v/>
      </c>
      <c r="P763" s="344" t="str">
        <f t="shared" si="164"/>
        <v/>
      </c>
      <c r="Q763" s="195" t="str">
        <f t="shared" si="165"/>
        <v/>
      </c>
    </row>
    <row r="764" spans="1:18" s="1088" customFormat="1">
      <c r="A764" s="865"/>
      <c r="B764" s="1085">
        <v>8</v>
      </c>
      <c r="C764" s="904" t="str">
        <f>VLOOKUP(D764,base_datos,6,FALSE)</f>
        <v>Rotulado por circuito.</v>
      </c>
      <c r="D764" s="1881" t="s">
        <v>3210</v>
      </c>
      <c r="E764" s="1892">
        <f>VLOOKUP(D764,base_datos,5,FALSE)</f>
        <v>0.7</v>
      </c>
      <c r="F764" s="1893">
        <f>+E764*B764</f>
        <v>5.6</v>
      </c>
      <c r="G764" s="1086"/>
      <c r="H764" s="1086"/>
      <c r="I764" s="1086"/>
      <c r="J764" s="1087"/>
      <c r="K764" s="843">
        <f t="shared" si="171"/>
        <v>1</v>
      </c>
      <c r="L764" s="888">
        <v>1</v>
      </c>
      <c r="M764" s="843">
        <f t="shared" si="172"/>
        <v>8</v>
      </c>
      <c r="N764" s="890" t="str">
        <f t="shared" si="159"/>
        <v/>
      </c>
      <c r="O764" s="344" t="str">
        <f t="shared" si="163"/>
        <v/>
      </c>
      <c r="P764" s="344" t="str">
        <f t="shared" si="164"/>
        <v/>
      </c>
      <c r="Q764" s="195" t="str">
        <f t="shared" si="165"/>
        <v/>
      </c>
    </row>
    <row r="765" spans="1:18" s="1088" customFormat="1">
      <c r="A765" s="865"/>
      <c r="B765" s="1085">
        <v>1</v>
      </c>
      <c r="C765" s="904" t="str">
        <f>VLOOKUP(D765,base_datos,6,FALSE)</f>
        <v>Rotulado para TAG - tablero de distribución.</v>
      </c>
      <c r="D765" s="1881" t="s">
        <v>3209</v>
      </c>
      <c r="E765" s="1892">
        <f>VLOOKUP(D765,base_datos,5,FALSE)</f>
        <v>1.5</v>
      </c>
      <c r="F765" s="1893">
        <f>+E765*B765</f>
        <v>1.5</v>
      </c>
      <c r="G765" s="1086"/>
      <c r="H765" s="1086"/>
      <c r="I765" s="1086"/>
      <c r="J765" s="1087"/>
      <c r="K765" s="843">
        <f t="shared" si="171"/>
        <v>1</v>
      </c>
      <c r="L765" s="888">
        <v>1</v>
      </c>
      <c r="M765" s="843">
        <f t="shared" si="172"/>
        <v>1</v>
      </c>
      <c r="N765" s="890" t="str">
        <f t="shared" si="159"/>
        <v/>
      </c>
      <c r="O765" s="344" t="str">
        <f t="shared" si="163"/>
        <v/>
      </c>
      <c r="P765" s="344" t="str">
        <f t="shared" si="164"/>
        <v/>
      </c>
      <c r="Q765" s="195" t="str">
        <f t="shared" si="165"/>
        <v/>
      </c>
    </row>
    <row r="766" spans="1:18" s="1479" customFormat="1">
      <c r="A766" s="1128"/>
      <c r="B766" s="1412">
        <v>1</v>
      </c>
      <c r="C766" s="1417" t="s">
        <v>5302</v>
      </c>
      <c r="D766" s="1900"/>
      <c r="E766" s="1901">
        <f>E767*15%</f>
        <v>12.75</v>
      </c>
      <c r="F766" s="1901">
        <f>+E766*B766</f>
        <v>12.75</v>
      </c>
      <c r="G766" s="1902"/>
      <c r="H766" s="1902"/>
      <c r="I766" s="1902"/>
      <c r="J766" s="1414"/>
      <c r="K766" s="889">
        <f>K764</f>
        <v>1</v>
      </c>
      <c r="L766" s="888">
        <v>1</v>
      </c>
      <c r="M766" s="889">
        <f t="shared" si="172"/>
        <v>1</v>
      </c>
      <c r="N766" s="890" t="str">
        <f t="shared" si="159"/>
        <v/>
      </c>
      <c r="O766" s="344" t="str">
        <f t="shared" si="163"/>
        <v/>
      </c>
      <c r="P766" s="344" t="str">
        <f t="shared" si="164"/>
        <v/>
      </c>
      <c r="Q766" s="195" t="str">
        <f t="shared" si="165"/>
        <v/>
      </c>
    </row>
    <row r="767" spans="1:18" s="1479" customFormat="1">
      <c r="A767" s="1128"/>
      <c r="B767" s="2499">
        <v>1</v>
      </c>
      <c r="C767" s="867" t="s">
        <v>14206</v>
      </c>
      <c r="D767" s="2500"/>
      <c r="E767" s="1892">
        <v>85</v>
      </c>
      <c r="F767" s="1921">
        <f>+E767*B767</f>
        <v>85</v>
      </c>
      <c r="G767" s="1413"/>
      <c r="H767" s="1413"/>
      <c r="I767" s="1413"/>
      <c r="J767" s="1414"/>
      <c r="K767" s="843">
        <f>K765</f>
        <v>1</v>
      </c>
      <c r="L767" s="888">
        <v>1</v>
      </c>
      <c r="M767" s="843">
        <f t="shared" si="172"/>
        <v>1</v>
      </c>
      <c r="N767" s="890" t="str">
        <f t="shared" si="159"/>
        <v/>
      </c>
      <c r="O767" s="344" t="str">
        <f t="shared" si="163"/>
        <v/>
      </c>
      <c r="P767" s="344" t="str">
        <f t="shared" si="164"/>
        <v/>
      </c>
      <c r="Q767" s="195" t="str">
        <f t="shared" si="165"/>
        <v/>
      </c>
    </row>
    <row r="768" spans="1:18" s="126" customFormat="1" ht="13.5" thickBot="1">
      <c r="A768" s="2331"/>
      <c r="B768" s="1916"/>
      <c r="C768" s="1909"/>
      <c r="D768" s="1917"/>
      <c r="E768" s="873"/>
      <c r="F768" s="873"/>
      <c r="G768" s="1918"/>
      <c r="H768" s="1918"/>
      <c r="I768" s="1918"/>
      <c r="J768" s="1910"/>
      <c r="K768" s="1119"/>
      <c r="L768" s="412"/>
      <c r="M768" s="843"/>
      <c r="N768" s="890" t="str">
        <f t="shared" si="159"/>
        <v/>
      </c>
      <c r="O768" s="344" t="str">
        <f t="shared" si="163"/>
        <v/>
      </c>
      <c r="P768" s="344" t="str">
        <f t="shared" si="164"/>
        <v/>
      </c>
      <c r="Q768" s="195" t="str">
        <f t="shared" si="165"/>
        <v/>
      </c>
      <c r="R768" s="195"/>
    </row>
    <row r="769" spans="1:18" s="126" customFormat="1" ht="13.5" thickBot="1">
      <c r="A769" s="1923">
        <v>27</v>
      </c>
      <c r="B769" s="1920">
        <v>1</v>
      </c>
      <c r="C769" s="846" t="s">
        <v>14207</v>
      </c>
      <c r="D769" s="2495"/>
      <c r="E769" s="2496"/>
      <c r="F769" s="2496"/>
      <c r="G769" s="849">
        <f>SUM(F770:F790)</f>
        <v>592.45000000000005</v>
      </c>
      <c r="H769" s="1161">
        <f>G769*(1-$D$6)</f>
        <v>444.33750000000003</v>
      </c>
      <c r="I769" s="849">
        <f>ROUNDUP(H769*$D$5,0)</f>
        <v>1511</v>
      </c>
      <c r="J769" s="850">
        <f>+I769*B769</f>
        <v>1511</v>
      </c>
      <c r="K769" s="851">
        <f>B769</f>
        <v>1</v>
      </c>
      <c r="L769" s="412"/>
      <c r="M769" s="843"/>
      <c r="N769" s="890" t="str">
        <f t="shared" si="159"/>
        <v/>
      </c>
      <c r="O769" s="344" t="str">
        <f t="shared" si="163"/>
        <v/>
      </c>
      <c r="P769" s="344" t="str">
        <f t="shared" si="164"/>
        <v/>
      </c>
      <c r="Q769" s="195" t="str">
        <f t="shared" si="165"/>
        <v/>
      </c>
      <c r="R769" s="195"/>
    </row>
    <row r="770" spans="1:18" s="126" customFormat="1">
      <c r="A770" s="852" t="s">
        <v>3207</v>
      </c>
      <c r="B770" s="1418"/>
      <c r="C770" s="853"/>
      <c r="D770" s="1911"/>
      <c r="E770" s="1890"/>
      <c r="F770" s="1890"/>
      <c r="G770" s="854"/>
      <c r="H770" s="854"/>
      <c r="I770" s="854"/>
      <c r="J770" s="855"/>
      <c r="K770" s="843">
        <f>K769</f>
        <v>1</v>
      </c>
      <c r="L770" s="412">
        <v>1</v>
      </c>
      <c r="M770" s="843">
        <f>IF(B770="",1,B770)</f>
        <v>1</v>
      </c>
      <c r="N770" s="890" t="str">
        <f t="shared" si="159"/>
        <v/>
      </c>
      <c r="O770" s="344" t="str">
        <f t="shared" si="163"/>
        <v/>
      </c>
      <c r="P770" s="344" t="str">
        <f t="shared" si="164"/>
        <v/>
      </c>
      <c r="Q770" s="195" t="str">
        <f t="shared" si="165"/>
        <v/>
      </c>
      <c r="R770" s="195"/>
    </row>
    <row r="771" spans="1:18" s="126" customFormat="1">
      <c r="A771" s="856" t="s">
        <v>9504</v>
      </c>
      <c r="B771" s="1122"/>
      <c r="C771" s="1419" t="s">
        <v>3301</v>
      </c>
      <c r="D771" s="1891"/>
      <c r="E771" s="1878"/>
      <c r="F771" s="1878"/>
      <c r="G771" s="854"/>
      <c r="H771" s="854"/>
      <c r="I771" s="854"/>
      <c r="J771" s="858"/>
      <c r="K771" s="843">
        <f t="shared" ref="K771:K786" si="173">K770</f>
        <v>1</v>
      </c>
      <c r="L771" s="412">
        <v>1</v>
      </c>
      <c r="M771" s="843">
        <f t="shared" ref="M771:M790" si="174">IF(B771="",1,B771)</f>
        <v>1</v>
      </c>
      <c r="N771" s="890" t="str">
        <f t="shared" si="159"/>
        <v/>
      </c>
      <c r="O771" s="344" t="str">
        <f t="shared" si="163"/>
        <v/>
      </c>
      <c r="P771" s="344" t="str">
        <f t="shared" si="164"/>
        <v/>
      </c>
      <c r="Q771" s="195" t="str">
        <f t="shared" si="165"/>
        <v/>
      </c>
      <c r="R771" s="195"/>
    </row>
    <row r="772" spans="1:18" s="862" customFormat="1">
      <c r="A772" s="856" t="s">
        <v>4321</v>
      </c>
      <c r="B772" s="1122">
        <v>1</v>
      </c>
      <c r="C772" s="857" t="str">
        <f>VLOOKUP(D772,base_datos,6,FALSE)</f>
        <v>ITM Caja Moldeada 3x100A - A1B125-100A-3P-TMF - 25kA@230Vac, 18kA@400Vac - marca ABB.</v>
      </c>
      <c r="D772" s="1894" t="s">
        <v>1199</v>
      </c>
      <c r="E772" s="1871">
        <f>VLOOKUP(D772,base_datos,5,FALSE)</f>
        <v>75.25</v>
      </c>
      <c r="F772" s="1878">
        <f>+E772*B772</f>
        <v>75.25</v>
      </c>
      <c r="G772" s="860"/>
      <c r="H772" s="860"/>
      <c r="I772" s="860"/>
      <c r="J772" s="861"/>
      <c r="K772" s="843">
        <f t="shared" si="173"/>
        <v>1</v>
      </c>
      <c r="L772" s="412">
        <v>1</v>
      </c>
      <c r="M772" s="843">
        <f t="shared" si="174"/>
        <v>1</v>
      </c>
      <c r="N772" s="890">
        <f t="shared" si="159"/>
        <v>1</v>
      </c>
      <c r="O772" s="344" t="str">
        <f t="shared" si="163"/>
        <v>1SDA066707R1</v>
      </c>
      <c r="P772" s="344" t="str">
        <f t="shared" si="164"/>
        <v>ITM Caja Moldeada 3x100A - A1B125-100A-3P-TMF - 25kA@230Vac, 18kA@400Vac - marca ABB.</v>
      </c>
      <c r="Q772" s="195" t="str">
        <f t="shared" si="165"/>
        <v>A1B125-100A-3P-TMF</v>
      </c>
      <c r="R772" s="195"/>
    </row>
    <row r="773" spans="1:18" s="195" customFormat="1">
      <c r="A773" s="856"/>
      <c r="B773" s="895"/>
      <c r="C773" s="337" t="s">
        <v>729</v>
      </c>
      <c r="D773" s="182"/>
      <c r="E773" s="1874"/>
      <c r="F773" s="1875"/>
      <c r="G773" s="891"/>
      <c r="H773" s="891"/>
      <c r="I773" s="891"/>
      <c r="J773" s="892"/>
      <c r="K773" s="843">
        <f t="shared" si="173"/>
        <v>1</v>
      </c>
      <c r="L773" s="412">
        <v>1</v>
      </c>
      <c r="M773" s="843">
        <f t="shared" si="174"/>
        <v>1</v>
      </c>
      <c r="N773" s="890" t="str">
        <f t="shared" si="159"/>
        <v/>
      </c>
      <c r="O773" s="344" t="str">
        <f t="shared" si="163"/>
        <v/>
      </c>
      <c r="P773" s="344" t="str">
        <f t="shared" si="164"/>
        <v/>
      </c>
      <c r="Q773" s="195" t="str">
        <f t="shared" si="165"/>
        <v/>
      </c>
    </row>
    <row r="774" spans="1:18" s="862" customFormat="1">
      <c r="A774" s="856"/>
      <c r="B774" s="820"/>
      <c r="C774" s="859" t="s">
        <v>3535</v>
      </c>
      <c r="D774" s="1896"/>
      <c r="E774" s="1877"/>
      <c r="F774" s="1878">
        <f t="shared" ref="F774:F779" si="175">+E774*B774</f>
        <v>0</v>
      </c>
      <c r="G774" s="860"/>
      <c r="H774" s="860"/>
      <c r="I774" s="860"/>
      <c r="J774" s="861"/>
      <c r="K774" s="843">
        <f t="shared" si="173"/>
        <v>1</v>
      </c>
      <c r="L774" s="412">
        <v>1</v>
      </c>
      <c r="M774" s="843">
        <f t="shared" si="174"/>
        <v>1</v>
      </c>
      <c r="N774" s="890" t="str">
        <f t="shared" si="159"/>
        <v/>
      </c>
      <c r="O774" s="344" t="str">
        <f t="shared" si="163"/>
        <v/>
      </c>
      <c r="P774" s="344" t="str">
        <f t="shared" si="164"/>
        <v/>
      </c>
      <c r="Q774" s="195" t="str">
        <f t="shared" si="165"/>
        <v/>
      </c>
      <c r="R774" s="195"/>
    </row>
    <row r="775" spans="1:18" s="862" customFormat="1">
      <c r="A775" s="856"/>
      <c r="B775" s="1122">
        <v>1</v>
      </c>
      <c r="C775" s="857" t="str">
        <f>VLOOKUP(D775,base_datos,6,FALSE)</f>
        <v>ITM Caja Moldeada 3x80A - A1B125-80A-3P-TMF - 25kA@230Vac, 18kA@400Vac - marca ABB.</v>
      </c>
      <c r="D775" s="1894" t="s">
        <v>1197</v>
      </c>
      <c r="E775" s="1871">
        <f>VLOOKUP(D775,base_datos,5,FALSE)</f>
        <v>75.25</v>
      </c>
      <c r="F775" s="1878">
        <f t="shared" si="175"/>
        <v>75.25</v>
      </c>
      <c r="G775" s="860"/>
      <c r="H775" s="860"/>
      <c r="I775" s="860"/>
      <c r="J775" s="861"/>
      <c r="K775" s="843">
        <f t="shared" si="173"/>
        <v>1</v>
      </c>
      <c r="L775" s="412">
        <v>1</v>
      </c>
      <c r="M775" s="843">
        <f t="shared" si="174"/>
        <v>1</v>
      </c>
      <c r="N775" s="890">
        <f t="shared" si="159"/>
        <v>1</v>
      </c>
      <c r="O775" s="344" t="str">
        <f t="shared" si="163"/>
        <v>1SDA066705R1</v>
      </c>
      <c r="P775" s="344" t="str">
        <f t="shared" si="164"/>
        <v>ITM Caja Moldeada 3x80A - A1B125-80A-3P-TMF - 25kA@230Vac, 18kA@400Vac - marca ABB.</v>
      </c>
      <c r="Q775" s="195" t="str">
        <f t="shared" si="165"/>
        <v>A1B125-80A-3P-TMF</v>
      </c>
      <c r="R775" s="195"/>
    </row>
    <row r="776" spans="1:18" s="862" customFormat="1">
      <c r="A776" s="856" t="s">
        <v>3725</v>
      </c>
      <c r="B776" s="1122">
        <v>3</v>
      </c>
      <c r="C776" s="857" t="str">
        <f>VLOOKUP(D776,base_datos,6,FALSE)</f>
        <v>ITM Riel-Din 2x20A - SH202-C-20A - 10kA@230Vac, 6kA@400Vac-IEC60898 - marca ABB.</v>
      </c>
      <c r="D776" s="1894" t="s">
        <v>1060</v>
      </c>
      <c r="E776" s="1871">
        <f>VLOOKUP(D776,base_datos,5,FALSE)</f>
        <v>6.54</v>
      </c>
      <c r="F776" s="1878">
        <f t="shared" si="175"/>
        <v>19.62</v>
      </c>
      <c r="G776" s="860"/>
      <c r="H776" s="860"/>
      <c r="I776" s="860"/>
      <c r="J776" s="1420"/>
      <c r="K776" s="843">
        <f t="shared" si="173"/>
        <v>1</v>
      </c>
      <c r="L776" s="412">
        <v>1</v>
      </c>
      <c r="M776" s="843">
        <f t="shared" si="174"/>
        <v>3</v>
      </c>
      <c r="N776" s="890">
        <f t="shared" si="159"/>
        <v>3</v>
      </c>
      <c r="O776" s="344" t="str">
        <f t="shared" si="163"/>
        <v>2CDS212001R0204</v>
      </c>
      <c r="P776" s="344" t="str">
        <f t="shared" si="164"/>
        <v>ITM Riel-Din 2x20A - SH202-C-20A - 10kA@230Vac, 6kA@400Vac-IEC60898 - marca ABB.</v>
      </c>
      <c r="Q776" s="195" t="str">
        <f t="shared" si="165"/>
        <v>SH202-C-20A</v>
      </c>
      <c r="R776" s="195"/>
    </row>
    <row r="777" spans="1:18" s="862" customFormat="1">
      <c r="A777" s="856" t="s">
        <v>3726</v>
      </c>
      <c r="B777" s="1122">
        <v>3</v>
      </c>
      <c r="C777" s="857" t="str">
        <f>VLOOKUP(D777,base_datos,6,FALSE)</f>
        <v>Interruptor Diferencial 2x25A - 30mA - clase AC - FH202-AC-25A-30mA - marca ABB.</v>
      </c>
      <c r="D777" s="2466" t="s">
        <v>1109</v>
      </c>
      <c r="E777" s="1871">
        <f>VLOOKUP(D777,base_datos,5,FALSE)</f>
        <v>24.41</v>
      </c>
      <c r="F777" s="1878">
        <f t="shared" si="175"/>
        <v>73.23</v>
      </c>
      <c r="G777" s="860"/>
      <c r="H777" s="860"/>
      <c r="I777" s="860"/>
      <c r="J777" s="1420"/>
      <c r="K777" s="843">
        <f t="shared" si="173"/>
        <v>1</v>
      </c>
      <c r="L777" s="412">
        <v>1</v>
      </c>
      <c r="M777" s="843">
        <f t="shared" si="174"/>
        <v>3</v>
      </c>
      <c r="N777" s="890">
        <f t="shared" si="159"/>
        <v>3</v>
      </c>
      <c r="O777" s="344" t="str">
        <f t="shared" si="163"/>
        <v>1TMF202006R1250</v>
      </c>
      <c r="P777" s="344" t="str">
        <f t="shared" si="164"/>
        <v>Interruptor Diferencial 2x25A - 30mA - clase AC - FH202-AC-25A-30mA - marca ABB.</v>
      </c>
      <c r="Q777" s="195" t="str">
        <f t="shared" si="165"/>
        <v>FH202-AC-25A-30mA</v>
      </c>
      <c r="R777" s="195"/>
    </row>
    <row r="778" spans="1:18" s="2340" customFormat="1">
      <c r="A778" s="856"/>
      <c r="B778" s="2443">
        <v>2</v>
      </c>
      <c r="C778" s="2444" t="str">
        <f>VLOOKUP(D778,base_datos,6,FALSE)</f>
        <v>Espacio de reserva monofasica + interruptor diferencial - Riel-Din.</v>
      </c>
      <c r="D778" s="2468" t="s">
        <v>3069</v>
      </c>
      <c r="E778" s="2497">
        <f>VLOOKUP(D778,base_datos,5,FALSE)</f>
        <v>2.5</v>
      </c>
      <c r="F778" s="2498">
        <f t="shared" si="175"/>
        <v>5</v>
      </c>
      <c r="G778" s="2338"/>
      <c r="H778" s="2338"/>
      <c r="I778" s="2338"/>
      <c r="J778" s="2339"/>
      <c r="K778" s="843">
        <f t="shared" si="173"/>
        <v>1</v>
      </c>
      <c r="L778" s="412">
        <v>1</v>
      </c>
      <c r="M778" s="843">
        <f t="shared" si="174"/>
        <v>2</v>
      </c>
      <c r="N778" s="890" t="str">
        <f t="shared" si="159"/>
        <v/>
      </c>
      <c r="O778" s="344" t="str">
        <f t="shared" si="163"/>
        <v/>
      </c>
      <c r="P778" s="344" t="str">
        <f t="shared" si="164"/>
        <v/>
      </c>
      <c r="Q778" s="195" t="str">
        <f t="shared" si="165"/>
        <v/>
      </c>
      <c r="R778" s="195"/>
    </row>
    <row r="779" spans="1:18" s="870" customFormat="1">
      <c r="A779" s="856" t="s">
        <v>14208</v>
      </c>
      <c r="B779" s="866">
        <v>1</v>
      </c>
      <c r="C779" s="867" t="s">
        <v>9501</v>
      </c>
      <c r="D779" s="1896"/>
      <c r="E779" s="180">
        <v>59</v>
      </c>
      <c r="F779" s="1921">
        <f t="shared" si="175"/>
        <v>59</v>
      </c>
      <c r="G779" s="868"/>
      <c r="H779" s="868"/>
      <c r="I779" s="868"/>
      <c r="J779" s="869"/>
      <c r="K779" s="843">
        <f t="shared" si="173"/>
        <v>1</v>
      </c>
      <c r="L779" s="412">
        <v>1</v>
      </c>
      <c r="M779" s="843">
        <f t="shared" si="174"/>
        <v>1</v>
      </c>
      <c r="N779" s="890" t="str">
        <f t="shared" si="159"/>
        <v/>
      </c>
      <c r="O779" s="344" t="str">
        <f t="shared" si="163"/>
        <v/>
      </c>
      <c r="P779" s="344" t="str">
        <f t="shared" si="164"/>
        <v/>
      </c>
      <c r="Q779" s="195" t="str">
        <f t="shared" si="165"/>
        <v/>
      </c>
    </row>
    <row r="780" spans="1:18" s="195" customFormat="1">
      <c r="A780" s="856" t="s">
        <v>14209</v>
      </c>
      <c r="B780" s="895"/>
      <c r="C780" s="337" t="s">
        <v>729</v>
      </c>
      <c r="D780" s="182"/>
      <c r="E780" s="1874"/>
      <c r="F780" s="1875"/>
      <c r="G780" s="891"/>
      <c r="H780" s="891"/>
      <c r="I780" s="891"/>
      <c r="J780" s="892"/>
      <c r="K780" s="843">
        <f t="shared" si="173"/>
        <v>1</v>
      </c>
      <c r="L780" s="412">
        <v>1</v>
      </c>
      <c r="M780" s="843">
        <f t="shared" si="174"/>
        <v>1</v>
      </c>
      <c r="N780" s="890" t="str">
        <f t="shared" si="159"/>
        <v/>
      </c>
      <c r="O780" s="344" t="str">
        <f t="shared" si="163"/>
        <v/>
      </c>
      <c r="P780" s="344" t="str">
        <f t="shared" si="164"/>
        <v/>
      </c>
      <c r="Q780" s="195" t="str">
        <f t="shared" si="165"/>
        <v/>
      </c>
    </row>
    <row r="781" spans="1:18" s="344" customFormat="1">
      <c r="A781" s="856" t="s">
        <v>14210</v>
      </c>
      <c r="B781" s="1122">
        <v>2</v>
      </c>
      <c r="C781" s="904" t="str">
        <f>VLOOKUP(D781,base_datos,6,FALSE)</f>
        <v>Borne 4mm2.</v>
      </c>
      <c r="D781" s="1881" t="s">
        <v>437</v>
      </c>
      <c r="E781" s="1892">
        <f>VLOOKUP(D781,base_datos,5,FALSE)</f>
        <v>2.5</v>
      </c>
      <c r="F781" s="1893">
        <f>+E781*B781</f>
        <v>5</v>
      </c>
      <c r="G781" s="905"/>
      <c r="H781" s="905"/>
      <c r="I781" s="905"/>
      <c r="J781" s="906"/>
      <c r="K781" s="843">
        <f t="shared" si="173"/>
        <v>1</v>
      </c>
      <c r="L781" s="412">
        <v>1</v>
      </c>
      <c r="M781" s="843">
        <f t="shared" si="174"/>
        <v>2</v>
      </c>
      <c r="N781" s="890" t="str">
        <f t="shared" ref="N781:N844" si="176">IF(O781&lt;&gt;"",K781*L781*M781,"")</f>
        <v/>
      </c>
      <c r="O781" s="344" t="str">
        <f t="shared" si="163"/>
        <v/>
      </c>
      <c r="P781" s="344" t="str">
        <f t="shared" si="164"/>
        <v/>
      </c>
      <c r="Q781" s="195" t="str">
        <f t="shared" si="165"/>
        <v/>
      </c>
      <c r="R781" s="195"/>
    </row>
    <row r="782" spans="1:18" s="195" customFormat="1">
      <c r="A782" s="2370"/>
      <c r="B782" s="895"/>
      <c r="C782" s="337" t="s">
        <v>729</v>
      </c>
      <c r="D782" s="182"/>
      <c r="E782" s="1874"/>
      <c r="F782" s="1875"/>
      <c r="G782" s="891"/>
      <c r="H782" s="891"/>
      <c r="I782" s="891"/>
      <c r="J782" s="892"/>
      <c r="K782" s="843">
        <f t="shared" si="173"/>
        <v>1</v>
      </c>
      <c r="L782" s="412">
        <v>1</v>
      </c>
      <c r="M782" s="843">
        <f t="shared" si="174"/>
        <v>1</v>
      </c>
      <c r="N782" s="890" t="str">
        <f t="shared" si="176"/>
        <v/>
      </c>
      <c r="O782" s="344" t="str">
        <f t="shared" si="163"/>
        <v/>
      </c>
      <c r="P782" s="344" t="str">
        <f t="shared" si="164"/>
        <v/>
      </c>
      <c r="Q782" s="195" t="str">
        <f t="shared" si="165"/>
        <v/>
      </c>
    </row>
    <row r="783" spans="1:18" s="870" customFormat="1">
      <c r="A783" s="2366"/>
      <c r="B783" s="2385">
        <v>1</v>
      </c>
      <c r="C783" s="2386" t="s">
        <v>316</v>
      </c>
      <c r="D783" s="2387"/>
      <c r="E783" s="1892"/>
      <c r="F783" s="1901"/>
      <c r="G783" s="2396"/>
      <c r="H783" s="2396"/>
      <c r="I783" s="2396"/>
      <c r="J783" s="2397"/>
      <c r="K783" s="843">
        <f t="shared" si="173"/>
        <v>1</v>
      </c>
      <c r="L783" s="412">
        <v>1</v>
      </c>
      <c r="M783" s="843">
        <f t="shared" si="174"/>
        <v>1</v>
      </c>
      <c r="N783" s="890" t="str">
        <f t="shared" si="176"/>
        <v/>
      </c>
      <c r="O783" s="344" t="str">
        <f t="shared" ref="O783:O846" si="177">IF(D783&lt;&gt;"",IF(VLOOKUP(D783,base_datos,7,FALSE)&lt;&gt;"",VLOOKUP(D783,base_datos,7,FALSE),""),"")</f>
        <v/>
      </c>
      <c r="P783" s="344" t="str">
        <f t="shared" ref="P783:P846" si="178">IF(O783&lt;&gt;"",VLOOKUP(D783,base_datos,6,FALSE),"")</f>
        <v/>
      </c>
      <c r="Q783" s="195" t="str">
        <f t="shared" ref="Q783:Q846" si="179">IF(O783&lt;&gt;"",D783,"")</f>
        <v/>
      </c>
      <c r="R783" s="195"/>
    </row>
    <row r="784" spans="1:18" s="195" customFormat="1">
      <c r="A784" s="1108"/>
      <c r="B784" s="895"/>
      <c r="C784" s="337" t="s">
        <v>729</v>
      </c>
      <c r="D784" s="182"/>
      <c r="E784" s="1874"/>
      <c r="F784" s="1875"/>
      <c r="G784" s="891"/>
      <c r="H784" s="891"/>
      <c r="I784" s="891"/>
      <c r="J784" s="892"/>
      <c r="K784" s="843">
        <f t="shared" si="173"/>
        <v>1</v>
      </c>
      <c r="L784" s="412">
        <v>1</v>
      </c>
      <c r="M784" s="843">
        <f t="shared" si="174"/>
        <v>1</v>
      </c>
      <c r="N784" s="890" t="str">
        <f t="shared" si="176"/>
        <v/>
      </c>
      <c r="O784" s="344" t="str">
        <f t="shared" si="177"/>
        <v/>
      </c>
      <c r="P784" s="344" t="str">
        <f t="shared" si="178"/>
        <v/>
      </c>
      <c r="Q784" s="195" t="str">
        <f t="shared" si="179"/>
        <v/>
      </c>
    </row>
    <row r="785" spans="1:18" s="1088" customFormat="1">
      <c r="A785" s="865"/>
      <c r="B785" s="1085">
        <v>8</v>
      </c>
      <c r="C785" s="904" t="str">
        <f>VLOOKUP(D785,base_datos,6,FALSE)</f>
        <v>Rotulado por circuito.</v>
      </c>
      <c r="D785" s="1881" t="s">
        <v>3210</v>
      </c>
      <c r="E785" s="1892">
        <f>VLOOKUP(D785,base_datos,5,FALSE)</f>
        <v>0.7</v>
      </c>
      <c r="F785" s="1893">
        <f>+E785*B785</f>
        <v>5.6</v>
      </c>
      <c r="G785" s="1086"/>
      <c r="H785" s="1086"/>
      <c r="I785" s="1086"/>
      <c r="J785" s="1087"/>
      <c r="K785" s="843">
        <f t="shared" si="173"/>
        <v>1</v>
      </c>
      <c r="L785" s="412">
        <v>1</v>
      </c>
      <c r="M785" s="843">
        <f t="shared" si="174"/>
        <v>8</v>
      </c>
      <c r="N785" s="890" t="str">
        <f t="shared" si="176"/>
        <v/>
      </c>
      <c r="O785" s="344" t="str">
        <f t="shared" si="177"/>
        <v/>
      </c>
      <c r="P785" s="344" t="str">
        <f t="shared" si="178"/>
        <v/>
      </c>
      <c r="Q785" s="195" t="str">
        <f t="shared" si="179"/>
        <v/>
      </c>
    </row>
    <row r="786" spans="1:18" s="1088" customFormat="1">
      <c r="A786" s="865"/>
      <c r="B786" s="1085">
        <v>1</v>
      </c>
      <c r="C786" s="904" t="str">
        <f>VLOOKUP(D786,base_datos,6,FALSE)</f>
        <v>Rotulado para TAG - tablero de distribución.</v>
      </c>
      <c r="D786" s="1881" t="s">
        <v>3209</v>
      </c>
      <c r="E786" s="1892">
        <f>VLOOKUP(D786,base_datos,5,FALSE)</f>
        <v>1.5</v>
      </c>
      <c r="F786" s="1893">
        <f>+E786*B786</f>
        <v>1.5</v>
      </c>
      <c r="G786" s="1086"/>
      <c r="H786" s="1086"/>
      <c r="I786" s="1086"/>
      <c r="J786" s="1087"/>
      <c r="K786" s="843">
        <f t="shared" si="173"/>
        <v>1</v>
      </c>
      <c r="L786" s="412">
        <v>1</v>
      </c>
      <c r="M786" s="843">
        <f t="shared" si="174"/>
        <v>1</v>
      </c>
      <c r="N786" s="890" t="str">
        <f t="shared" si="176"/>
        <v/>
      </c>
      <c r="O786" s="344" t="str">
        <f t="shared" si="177"/>
        <v/>
      </c>
      <c r="P786" s="344" t="str">
        <f t="shared" si="178"/>
        <v/>
      </c>
      <c r="Q786" s="195" t="str">
        <f t="shared" si="179"/>
        <v/>
      </c>
    </row>
    <row r="787" spans="1:18" s="1479" customFormat="1">
      <c r="A787" s="1128"/>
      <c r="B787" s="2499">
        <v>1</v>
      </c>
      <c r="C787" s="2501" t="s">
        <v>14211</v>
      </c>
      <c r="D787" s="2502"/>
      <c r="E787" s="2503">
        <f>0.5*E790</f>
        <v>70</v>
      </c>
      <c r="F787" s="2504">
        <f t="shared" ref="F787:F788" si="180">+E787*B787</f>
        <v>70</v>
      </c>
      <c r="G787" s="1413"/>
      <c r="H787" s="1413"/>
      <c r="I787" s="1413"/>
      <c r="J787" s="1414"/>
      <c r="K787" s="843">
        <f>K783</f>
        <v>1</v>
      </c>
      <c r="L787" s="888">
        <v>1</v>
      </c>
      <c r="M787" s="889">
        <f t="shared" si="174"/>
        <v>1</v>
      </c>
      <c r="N787" s="890" t="str">
        <f t="shared" si="176"/>
        <v/>
      </c>
      <c r="O787" s="344" t="str">
        <f t="shared" si="177"/>
        <v/>
      </c>
      <c r="P787" s="344" t="str">
        <f t="shared" si="178"/>
        <v/>
      </c>
      <c r="Q787" s="195" t="str">
        <f t="shared" si="179"/>
        <v/>
      </c>
      <c r="R787" s="195"/>
    </row>
    <row r="788" spans="1:18" s="1479" customFormat="1">
      <c r="A788" s="1128"/>
      <c r="B788" s="2499">
        <v>1</v>
      </c>
      <c r="C788" s="2501" t="s">
        <v>14212</v>
      </c>
      <c r="D788" s="2502"/>
      <c r="E788" s="2503">
        <f>0.3*E790</f>
        <v>42</v>
      </c>
      <c r="F788" s="2504">
        <f t="shared" si="180"/>
        <v>42</v>
      </c>
      <c r="G788" s="1413"/>
      <c r="H788" s="1413"/>
      <c r="I788" s="1413"/>
      <c r="J788" s="1414"/>
      <c r="K788" s="843">
        <f>K784</f>
        <v>1</v>
      </c>
      <c r="L788" s="888">
        <v>1</v>
      </c>
      <c r="M788" s="889">
        <f t="shared" si="174"/>
        <v>1</v>
      </c>
      <c r="N788" s="890" t="str">
        <f t="shared" si="176"/>
        <v/>
      </c>
      <c r="O788" s="344" t="str">
        <f t="shared" si="177"/>
        <v/>
      </c>
      <c r="P788" s="344" t="str">
        <f t="shared" si="178"/>
        <v/>
      </c>
      <c r="Q788" s="195" t="str">
        <f t="shared" si="179"/>
        <v/>
      </c>
      <c r="R788" s="195"/>
    </row>
    <row r="789" spans="1:18" s="1479" customFormat="1">
      <c r="A789" s="1128"/>
      <c r="B789" s="1412">
        <v>1</v>
      </c>
      <c r="C789" s="2505" t="s">
        <v>5302</v>
      </c>
      <c r="D789" s="2506"/>
      <c r="E789" s="2507">
        <f>E790*15%</f>
        <v>21</v>
      </c>
      <c r="F789" s="2507">
        <f>+E789*B789</f>
        <v>21</v>
      </c>
      <c r="G789" s="1902"/>
      <c r="H789" s="1902"/>
      <c r="I789" s="1902"/>
      <c r="J789" s="1414"/>
      <c r="K789" s="889">
        <f>K785</f>
        <v>1</v>
      </c>
      <c r="L789" s="888">
        <v>1</v>
      </c>
      <c r="M789" s="889">
        <f t="shared" si="174"/>
        <v>1</v>
      </c>
      <c r="N789" s="890" t="str">
        <f t="shared" si="176"/>
        <v/>
      </c>
      <c r="O789" s="344" t="str">
        <f t="shared" si="177"/>
        <v/>
      </c>
      <c r="P789" s="344" t="str">
        <f t="shared" si="178"/>
        <v/>
      </c>
      <c r="Q789" s="195" t="str">
        <f t="shared" si="179"/>
        <v/>
      </c>
    </row>
    <row r="790" spans="1:18" s="1479" customFormat="1">
      <c r="A790" s="1128"/>
      <c r="B790" s="2499">
        <v>1</v>
      </c>
      <c r="C790" s="2501" t="s">
        <v>14213</v>
      </c>
      <c r="D790" s="2502"/>
      <c r="E790" s="2503">
        <v>140</v>
      </c>
      <c r="F790" s="2504">
        <f>+E790*B790</f>
        <v>140</v>
      </c>
      <c r="G790" s="1413"/>
      <c r="H790" s="1413"/>
      <c r="I790" s="1413"/>
      <c r="J790" s="1414"/>
      <c r="K790" s="843">
        <f>K786</f>
        <v>1</v>
      </c>
      <c r="L790" s="412">
        <v>1</v>
      </c>
      <c r="M790" s="843">
        <f t="shared" si="174"/>
        <v>1</v>
      </c>
      <c r="N790" s="890" t="str">
        <f t="shared" si="176"/>
        <v/>
      </c>
      <c r="O790" s="344" t="str">
        <f t="shared" si="177"/>
        <v/>
      </c>
      <c r="P790" s="344" t="str">
        <f t="shared" si="178"/>
        <v/>
      </c>
      <c r="Q790" s="195" t="str">
        <f t="shared" si="179"/>
        <v/>
      </c>
    </row>
    <row r="791" spans="1:18" s="126" customFormat="1" ht="13.5" thickBot="1">
      <c r="A791" s="2331"/>
      <c r="B791" s="1916"/>
      <c r="C791" s="1909"/>
      <c r="D791" s="1917"/>
      <c r="E791" s="873"/>
      <c r="F791" s="873"/>
      <c r="G791" s="1918"/>
      <c r="H791" s="1918"/>
      <c r="I791" s="1918"/>
      <c r="J791" s="1910"/>
      <c r="K791" s="1119"/>
      <c r="L791" s="412"/>
      <c r="M791" s="843"/>
      <c r="N791" s="890" t="str">
        <f t="shared" si="176"/>
        <v/>
      </c>
      <c r="O791" s="344" t="str">
        <f t="shared" si="177"/>
        <v/>
      </c>
      <c r="P791" s="344" t="str">
        <f t="shared" si="178"/>
        <v/>
      </c>
      <c r="Q791" s="195" t="str">
        <f t="shared" si="179"/>
        <v/>
      </c>
      <c r="R791" s="195"/>
    </row>
    <row r="792" spans="1:18" s="126" customFormat="1" ht="13.5" thickBot="1">
      <c r="A792" s="1923">
        <v>28</v>
      </c>
      <c r="B792" s="1920">
        <v>1</v>
      </c>
      <c r="C792" s="846" t="s">
        <v>14214</v>
      </c>
      <c r="D792" s="2495"/>
      <c r="E792" s="2496"/>
      <c r="F792" s="2496"/>
      <c r="G792" s="849">
        <f>SUM(F793:F811)</f>
        <v>587.45000000000005</v>
      </c>
      <c r="H792" s="1161">
        <f>G792*(1-$D$6)</f>
        <v>440.58750000000003</v>
      </c>
      <c r="I792" s="849">
        <f>ROUNDUP(H792*$D$5,0)</f>
        <v>1498</v>
      </c>
      <c r="J792" s="850">
        <f>+I792*B792</f>
        <v>1498</v>
      </c>
      <c r="K792" s="851">
        <f>B792</f>
        <v>1</v>
      </c>
      <c r="L792" s="412"/>
      <c r="M792" s="843"/>
      <c r="N792" s="890" t="str">
        <f t="shared" si="176"/>
        <v/>
      </c>
      <c r="O792" s="344" t="str">
        <f t="shared" si="177"/>
        <v/>
      </c>
      <c r="P792" s="344" t="str">
        <f t="shared" si="178"/>
        <v/>
      </c>
      <c r="Q792" s="195" t="str">
        <f t="shared" si="179"/>
        <v/>
      </c>
      <c r="R792" s="195"/>
    </row>
    <row r="793" spans="1:18" s="126" customFormat="1">
      <c r="A793" s="852" t="s">
        <v>3207</v>
      </c>
      <c r="B793" s="1418"/>
      <c r="C793" s="853"/>
      <c r="D793" s="1911"/>
      <c r="E793" s="1890"/>
      <c r="F793" s="1890"/>
      <c r="G793" s="854"/>
      <c r="H793" s="854"/>
      <c r="I793" s="854"/>
      <c r="J793" s="855"/>
      <c r="K793" s="843">
        <f>K792</f>
        <v>1</v>
      </c>
      <c r="L793" s="412">
        <v>1</v>
      </c>
      <c r="M793" s="843">
        <f>IF(B793="",1,B793)</f>
        <v>1</v>
      </c>
      <c r="N793" s="890" t="str">
        <f t="shared" si="176"/>
        <v/>
      </c>
      <c r="O793" s="344" t="str">
        <f t="shared" si="177"/>
        <v/>
      </c>
      <c r="P793" s="344" t="str">
        <f t="shared" si="178"/>
        <v/>
      </c>
      <c r="Q793" s="195" t="str">
        <f t="shared" si="179"/>
        <v/>
      </c>
      <c r="R793" s="195"/>
    </row>
    <row r="794" spans="1:18" s="126" customFormat="1">
      <c r="A794" s="856" t="s">
        <v>9504</v>
      </c>
      <c r="B794" s="1122"/>
      <c r="C794" s="1419" t="s">
        <v>3301</v>
      </c>
      <c r="D794" s="1891"/>
      <c r="E794" s="1878"/>
      <c r="F794" s="1878"/>
      <c r="G794" s="854"/>
      <c r="H794" s="854"/>
      <c r="I794" s="854"/>
      <c r="J794" s="858"/>
      <c r="K794" s="843">
        <f t="shared" ref="K794:K807" si="181">K793</f>
        <v>1</v>
      </c>
      <c r="L794" s="412">
        <v>1</v>
      </c>
      <c r="M794" s="843">
        <f t="shared" ref="M794:M811" si="182">IF(B794="",1,B794)</f>
        <v>1</v>
      </c>
      <c r="N794" s="890" t="str">
        <f t="shared" si="176"/>
        <v/>
      </c>
      <c r="O794" s="344" t="str">
        <f t="shared" si="177"/>
        <v/>
      </c>
      <c r="P794" s="344" t="str">
        <f t="shared" si="178"/>
        <v/>
      </c>
      <c r="Q794" s="195" t="str">
        <f t="shared" si="179"/>
        <v/>
      </c>
      <c r="R794" s="195"/>
    </row>
    <row r="795" spans="1:18" s="862" customFormat="1">
      <c r="A795" s="856" t="s">
        <v>4321</v>
      </c>
      <c r="B795" s="1122">
        <v>1</v>
      </c>
      <c r="C795" s="857" t="str">
        <f>VLOOKUP(D795,base_datos,6,FALSE)</f>
        <v>ITM Caja Moldeada 3x100A - A1B125-100A-3P-TMF - 25kA@230Vac, 18kA@400Vac - marca ABB.</v>
      </c>
      <c r="D795" s="1894" t="s">
        <v>1199</v>
      </c>
      <c r="E795" s="1871">
        <f>VLOOKUP(D795,base_datos,5,FALSE)</f>
        <v>75.25</v>
      </c>
      <c r="F795" s="1878">
        <f>+E795*B795</f>
        <v>75.25</v>
      </c>
      <c r="G795" s="860"/>
      <c r="H795" s="860"/>
      <c r="I795" s="860"/>
      <c r="J795" s="861"/>
      <c r="K795" s="843">
        <f t="shared" si="181"/>
        <v>1</v>
      </c>
      <c r="L795" s="412">
        <v>1</v>
      </c>
      <c r="M795" s="843">
        <f t="shared" si="182"/>
        <v>1</v>
      </c>
      <c r="N795" s="890">
        <f t="shared" si="176"/>
        <v>1</v>
      </c>
      <c r="O795" s="344" t="str">
        <f t="shared" si="177"/>
        <v>1SDA066707R1</v>
      </c>
      <c r="P795" s="344" t="str">
        <f t="shared" si="178"/>
        <v>ITM Caja Moldeada 3x100A - A1B125-100A-3P-TMF - 25kA@230Vac, 18kA@400Vac - marca ABB.</v>
      </c>
      <c r="Q795" s="195" t="str">
        <f t="shared" si="179"/>
        <v>A1B125-100A-3P-TMF</v>
      </c>
      <c r="R795" s="195"/>
    </row>
    <row r="796" spans="1:18" s="195" customFormat="1">
      <c r="A796" s="856"/>
      <c r="B796" s="895"/>
      <c r="C796" s="337" t="s">
        <v>729</v>
      </c>
      <c r="D796" s="182"/>
      <c r="E796" s="1874"/>
      <c r="F796" s="1875"/>
      <c r="G796" s="891"/>
      <c r="H796" s="891"/>
      <c r="I796" s="891"/>
      <c r="J796" s="892"/>
      <c r="K796" s="843">
        <f t="shared" si="181"/>
        <v>1</v>
      </c>
      <c r="L796" s="412">
        <v>1</v>
      </c>
      <c r="M796" s="843">
        <f t="shared" si="182"/>
        <v>1</v>
      </c>
      <c r="N796" s="890" t="str">
        <f t="shared" si="176"/>
        <v/>
      </c>
      <c r="O796" s="344" t="str">
        <f t="shared" si="177"/>
        <v/>
      </c>
      <c r="P796" s="344" t="str">
        <f t="shared" si="178"/>
        <v/>
      </c>
      <c r="Q796" s="195" t="str">
        <f t="shared" si="179"/>
        <v/>
      </c>
    </row>
    <row r="797" spans="1:18" s="862" customFormat="1">
      <c r="A797" s="856"/>
      <c r="B797" s="820"/>
      <c r="C797" s="859" t="s">
        <v>3535</v>
      </c>
      <c r="D797" s="1896"/>
      <c r="E797" s="1877"/>
      <c r="F797" s="1878">
        <f t="shared" ref="F797:F802" si="183">+E797*B797</f>
        <v>0</v>
      </c>
      <c r="G797" s="860"/>
      <c r="H797" s="860"/>
      <c r="I797" s="860"/>
      <c r="J797" s="861"/>
      <c r="K797" s="843">
        <f t="shared" si="181"/>
        <v>1</v>
      </c>
      <c r="L797" s="412">
        <v>1</v>
      </c>
      <c r="M797" s="843">
        <f t="shared" si="182"/>
        <v>1</v>
      </c>
      <c r="N797" s="890" t="str">
        <f t="shared" si="176"/>
        <v/>
      </c>
      <c r="O797" s="344" t="str">
        <f t="shared" si="177"/>
        <v/>
      </c>
      <c r="P797" s="344" t="str">
        <f t="shared" si="178"/>
        <v/>
      </c>
      <c r="Q797" s="195" t="str">
        <f t="shared" si="179"/>
        <v/>
      </c>
      <c r="R797" s="195"/>
    </row>
    <row r="798" spans="1:18" s="862" customFormat="1">
      <c r="A798" s="856"/>
      <c r="B798" s="1122">
        <v>1</v>
      </c>
      <c r="C798" s="857" t="str">
        <f>VLOOKUP(D798,base_datos,6,FALSE)</f>
        <v>ITM Caja Moldeada 3x80A - A1B125-80A-3P-TMF - 25kA@230Vac, 18kA@400Vac - marca ABB.</v>
      </c>
      <c r="D798" s="1894" t="s">
        <v>1197</v>
      </c>
      <c r="E798" s="1871">
        <f>VLOOKUP(D798,base_datos,5,FALSE)</f>
        <v>75.25</v>
      </c>
      <c r="F798" s="1878">
        <f t="shared" si="183"/>
        <v>75.25</v>
      </c>
      <c r="G798" s="860"/>
      <c r="H798" s="860"/>
      <c r="I798" s="860"/>
      <c r="J798" s="861"/>
      <c r="K798" s="843">
        <f t="shared" si="181"/>
        <v>1</v>
      </c>
      <c r="L798" s="412">
        <v>1</v>
      </c>
      <c r="M798" s="843">
        <f t="shared" si="182"/>
        <v>1</v>
      </c>
      <c r="N798" s="890">
        <f t="shared" si="176"/>
        <v>1</v>
      </c>
      <c r="O798" s="344" t="str">
        <f t="shared" si="177"/>
        <v>1SDA066705R1</v>
      </c>
      <c r="P798" s="344" t="str">
        <f t="shared" si="178"/>
        <v>ITM Caja Moldeada 3x80A - A1B125-80A-3P-TMF - 25kA@230Vac, 18kA@400Vac - marca ABB.</v>
      </c>
      <c r="Q798" s="195" t="str">
        <f t="shared" si="179"/>
        <v>A1B125-80A-3P-TMF</v>
      </c>
      <c r="R798" s="195"/>
    </row>
    <row r="799" spans="1:18" s="862" customFormat="1">
      <c r="A799" s="856" t="s">
        <v>3725</v>
      </c>
      <c r="B799" s="1122">
        <v>3</v>
      </c>
      <c r="C799" s="857" t="str">
        <f>VLOOKUP(D799,base_datos,6,FALSE)</f>
        <v>ITM Riel-Din 2x20A - SH202-C-20A - 10kA@230Vac, 6kA@400Vac-IEC60898 - marca ABB.</v>
      </c>
      <c r="D799" s="1894" t="s">
        <v>1060</v>
      </c>
      <c r="E799" s="1871">
        <f>VLOOKUP(D799,base_datos,5,FALSE)</f>
        <v>6.54</v>
      </c>
      <c r="F799" s="1878">
        <f t="shared" si="183"/>
        <v>19.62</v>
      </c>
      <c r="G799" s="860"/>
      <c r="H799" s="860"/>
      <c r="I799" s="860"/>
      <c r="J799" s="1420"/>
      <c r="K799" s="843">
        <f t="shared" si="181"/>
        <v>1</v>
      </c>
      <c r="L799" s="412">
        <v>1</v>
      </c>
      <c r="M799" s="843">
        <f t="shared" si="182"/>
        <v>3</v>
      </c>
      <c r="N799" s="890">
        <f t="shared" si="176"/>
        <v>3</v>
      </c>
      <c r="O799" s="344" t="str">
        <f t="shared" si="177"/>
        <v>2CDS212001R0204</v>
      </c>
      <c r="P799" s="344" t="str">
        <f t="shared" si="178"/>
        <v>ITM Riel-Din 2x20A - SH202-C-20A - 10kA@230Vac, 6kA@400Vac-IEC60898 - marca ABB.</v>
      </c>
      <c r="Q799" s="195" t="str">
        <f t="shared" si="179"/>
        <v>SH202-C-20A</v>
      </c>
      <c r="R799" s="195"/>
    </row>
    <row r="800" spans="1:18" s="862" customFormat="1">
      <c r="A800" s="856" t="s">
        <v>3726</v>
      </c>
      <c r="B800" s="1122">
        <v>3</v>
      </c>
      <c r="C800" s="857" t="str">
        <f>VLOOKUP(D800,base_datos,6,FALSE)</f>
        <v>Interruptor Diferencial 2x25A - 30mA - clase AC - FH202-AC-25A-30mA - marca ABB.</v>
      </c>
      <c r="D800" s="2466" t="s">
        <v>1109</v>
      </c>
      <c r="E800" s="1871">
        <f>VLOOKUP(D800,base_datos,5,FALSE)</f>
        <v>24.41</v>
      </c>
      <c r="F800" s="1878">
        <f t="shared" si="183"/>
        <v>73.23</v>
      </c>
      <c r="G800" s="860"/>
      <c r="H800" s="860"/>
      <c r="I800" s="860"/>
      <c r="J800" s="1420"/>
      <c r="K800" s="843">
        <f t="shared" si="181"/>
        <v>1</v>
      </c>
      <c r="L800" s="412">
        <v>1</v>
      </c>
      <c r="M800" s="843">
        <f t="shared" si="182"/>
        <v>3</v>
      </c>
      <c r="N800" s="890">
        <f t="shared" si="176"/>
        <v>3</v>
      </c>
      <c r="O800" s="344" t="str">
        <f t="shared" si="177"/>
        <v>1TMF202006R1250</v>
      </c>
      <c r="P800" s="344" t="str">
        <f t="shared" si="178"/>
        <v>Interruptor Diferencial 2x25A - 30mA - clase AC - FH202-AC-25A-30mA - marca ABB.</v>
      </c>
      <c r="Q800" s="195" t="str">
        <f t="shared" si="179"/>
        <v>FH202-AC-25A-30mA</v>
      </c>
      <c r="R800" s="195"/>
    </row>
    <row r="801" spans="1:18" s="2340" customFormat="1">
      <c r="A801" s="856"/>
      <c r="B801" s="2443">
        <v>2</v>
      </c>
      <c r="C801" s="2444" t="str">
        <f>VLOOKUP(D801,base_datos,6,FALSE)</f>
        <v>Espacio de reserva monofasica + interruptor diferencial - Riel-Din.</v>
      </c>
      <c r="D801" s="2468" t="s">
        <v>3069</v>
      </c>
      <c r="E801" s="2497">
        <f>VLOOKUP(D801,base_datos,5,FALSE)</f>
        <v>2.5</v>
      </c>
      <c r="F801" s="2498">
        <f t="shared" si="183"/>
        <v>5</v>
      </c>
      <c r="G801" s="2338"/>
      <c r="H801" s="2338"/>
      <c r="I801" s="2338"/>
      <c r="J801" s="2339"/>
      <c r="K801" s="843">
        <f t="shared" si="181"/>
        <v>1</v>
      </c>
      <c r="L801" s="412">
        <v>1</v>
      </c>
      <c r="M801" s="843">
        <f t="shared" si="182"/>
        <v>2</v>
      </c>
      <c r="N801" s="890" t="str">
        <f t="shared" si="176"/>
        <v/>
      </c>
      <c r="O801" s="344" t="str">
        <f t="shared" si="177"/>
        <v/>
      </c>
      <c r="P801" s="344" t="str">
        <f t="shared" si="178"/>
        <v/>
      </c>
      <c r="Q801" s="195" t="str">
        <f t="shared" si="179"/>
        <v/>
      </c>
      <c r="R801" s="195"/>
    </row>
    <row r="802" spans="1:18" s="870" customFormat="1">
      <c r="A802" s="856" t="s">
        <v>14208</v>
      </c>
      <c r="B802" s="866">
        <v>1</v>
      </c>
      <c r="C802" s="867" t="s">
        <v>9501</v>
      </c>
      <c r="D802" s="1896"/>
      <c r="E802" s="180">
        <v>59</v>
      </c>
      <c r="F802" s="1921">
        <f t="shared" si="183"/>
        <v>59</v>
      </c>
      <c r="G802" s="868"/>
      <c r="H802" s="868"/>
      <c r="I802" s="868"/>
      <c r="J802" s="869"/>
      <c r="K802" s="843">
        <f t="shared" si="181"/>
        <v>1</v>
      </c>
      <c r="L802" s="412">
        <v>1</v>
      </c>
      <c r="M802" s="843">
        <f t="shared" si="182"/>
        <v>1</v>
      </c>
      <c r="N802" s="890" t="str">
        <f t="shared" si="176"/>
        <v/>
      </c>
      <c r="O802" s="344" t="str">
        <f t="shared" si="177"/>
        <v/>
      </c>
      <c r="P802" s="344" t="str">
        <f t="shared" si="178"/>
        <v/>
      </c>
      <c r="Q802" s="195" t="str">
        <f t="shared" si="179"/>
        <v/>
      </c>
    </row>
    <row r="803" spans="1:18" s="195" customFormat="1">
      <c r="A803" s="856" t="s">
        <v>14209</v>
      </c>
      <c r="B803" s="895"/>
      <c r="C803" s="337" t="s">
        <v>729</v>
      </c>
      <c r="D803" s="182"/>
      <c r="E803" s="1874"/>
      <c r="F803" s="1875"/>
      <c r="G803" s="891"/>
      <c r="H803" s="891"/>
      <c r="I803" s="891"/>
      <c r="J803" s="892"/>
      <c r="K803" s="843">
        <f t="shared" si="181"/>
        <v>1</v>
      </c>
      <c r="L803" s="412">
        <v>1</v>
      </c>
      <c r="M803" s="843">
        <f t="shared" si="182"/>
        <v>1</v>
      </c>
      <c r="N803" s="890" t="str">
        <f t="shared" si="176"/>
        <v/>
      </c>
      <c r="O803" s="344" t="str">
        <f t="shared" si="177"/>
        <v/>
      </c>
      <c r="P803" s="344" t="str">
        <f t="shared" si="178"/>
        <v/>
      </c>
      <c r="Q803" s="195" t="str">
        <f t="shared" si="179"/>
        <v/>
      </c>
    </row>
    <row r="804" spans="1:18" s="870" customFormat="1">
      <c r="A804" s="856" t="s">
        <v>14210</v>
      </c>
      <c r="B804" s="2385">
        <v>1</v>
      </c>
      <c r="C804" s="2386" t="s">
        <v>316</v>
      </c>
      <c r="D804" s="2387"/>
      <c r="E804" s="1892"/>
      <c r="F804" s="1901"/>
      <c r="G804" s="2396"/>
      <c r="H804" s="2396"/>
      <c r="I804" s="2396"/>
      <c r="J804" s="2397"/>
      <c r="K804" s="843">
        <f t="shared" si="181"/>
        <v>1</v>
      </c>
      <c r="L804" s="412">
        <v>1</v>
      </c>
      <c r="M804" s="843">
        <f t="shared" si="182"/>
        <v>1</v>
      </c>
      <c r="N804" s="890" t="str">
        <f t="shared" si="176"/>
        <v/>
      </c>
      <c r="O804" s="344" t="str">
        <f t="shared" si="177"/>
        <v/>
      </c>
      <c r="P804" s="344" t="str">
        <f t="shared" si="178"/>
        <v/>
      </c>
      <c r="Q804" s="195" t="str">
        <f t="shared" si="179"/>
        <v/>
      </c>
      <c r="R804" s="195"/>
    </row>
    <row r="805" spans="1:18" s="195" customFormat="1">
      <c r="A805" s="2370"/>
      <c r="B805" s="895"/>
      <c r="C805" s="337" t="s">
        <v>729</v>
      </c>
      <c r="D805" s="182"/>
      <c r="E805" s="1874"/>
      <c r="F805" s="1875"/>
      <c r="G805" s="891"/>
      <c r="H805" s="891"/>
      <c r="I805" s="891"/>
      <c r="J805" s="892"/>
      <c r="K805" s="843">
        <f t="shared" si="181"/>
        <v>1</v>
      </c>
      <c r="L805" s="412">
        <v>1</v>
      </c>
      <c r="M805" s="843">
        <f t="shared" si="182"/>
        <v>1</v>
      </c>
      <c r="N805" s="890" t="str">
        <f t="shared" si="176"/>
        <v/>
      </c>
      <c r="O805" s="344" t="str">
        <f t="shared" si="177"/>
        <v/>
      </c>
      <c r="P805" s="344" t="str">
        <f t="shared" si="178"/>
        <v/>
      </c>
      <c r="Q805" s="195" t="str">
        <f t="shared" si="179"/>
        <v/>
      </c>
    </row>
    <row r="806" spans="1:18" s="1088" customFormat="1">
      <c r="A806" s="2366"/>
      <c r="B806" s="1085">
        <v>8</v>
      </c>
      <c r="C806" s="904" t="str">
        <f>VLOOKUP(D806,base_datos,6,FALSE)</f>
        <v>Rotulado por circuito.</v>
      </c>
      <c r="D806" s="1881" t="s">
        <v>3210</v>
      </c>
      <c r="E806" s="1892">
        <f>VLOOKUP(D806,base_datos,5,FALSE)</f>
        <v>0.7</v>
      </c>
      <c r="F806" s="1893">
        <f>+E806*B806</f>
        <v>5.6</v>
      </c>
      <c r="G806" s="1086"/>
      <c r="H806" s="1086"/>
      <c r="I806" s="1086"/>
      <c r="J806" s="1087"/>
      <c r="K806" s="843">
        <f t="shared" si="181"/>
        <v>1</v>
      </c>
      <c r="L806" s="412">
        <v>1</v>
      </c>
      <c r="M806" s="843">
        <f t="shared" si="182"/>
        <v>8</v>
      </c>
      <c r="N806" s="890" t="str">
        <f t="shared" si="176"/>
        <v/>
      </c>
      <c r="O806" s="344" t="str">
        <f t="shared" si="177"/>
        <v/>
      </c>
      <c r="P806" s="344" t="str">
        <f t="shared" si="178"/>
        <v/>
      </c>
      <c r="Q806" s="195" t="str">
        <f t="shared" si="179"/>
        <v/>
      </c>
    </row>
    <row r="807" spans="1:18" s="1088" customFormat="1">
      <c r="A807" s="865"/>
      <c r="B807" s="1085">
        <v>1</v>
      </c>
      <c r="C807" s="904" t="str">
        <f>VLOOKUP(D807,base_datos,6,FALSE)</f>
        <v>Rotulado para TAG - tablero de distribución.</v>
      </c>
      <c r="D807" s="1881" t="s">
        <v>3209</v>
      </c>
      <c r="E807" s="1892">
        <f>VLOOKUP(D807,base_datos,5,FALSE)</f>
        <v>1.5</v>
      </c>
      <c r="F807" s="1893">
        <f>+E807*B807</f>
        <v>1.5</v>
      </c>
      <c r="G807" s="1086"/>
      <c r="H807" s="1086"/>
      <c r="I807" s="1086"/>
      <c r="J807" s="1087"/>
      <c r="K807" s="843">
        <f t="shared" si="181"/>
        <v>1</v>
      </c>
      <c r="L807" s="412">
        <v>1</v>
      </c>
      <c r="M807" s="843">
        <f t="shared" si="182"/>
        <v>1</v>
      </c>
      <c r="N807" s="890" t="str">
        <f t="shared" si="176"/>
        <v/>
      </c>
      <c r="O807" s="344" t="str">
        <f t="shared" si="177"/>
        <v/>
      </c>
      <c r="P807" s="344" t="str">
        <f t="shared" si="178"/>
        <v/>
      </c>
      <c r="Q807" s="195" t="str">
        <f t="shared" si="179"/>
        <v/>
      </c>
    </row>
    <row r="808" spans="1:18" s="1479" customFormat="1">
      <c r="A808" s="1128"/>
      <c r="B808" s="2499">
        <v>1</v>
      </c>
      <c r="C808" s="2501" t="s">
        <v>14211</v>
      </c>
      <c r="D808" s="2502"/>
      <c r="E808" s="2503">
        <f>0.5*E811</f>
        <v>70</v>
      </c>
      <c r="F808" s="2504">
        <f t="shared" ref="F808:F809" si="184">+E808*B808</f>
        <v>70</v>
      </c>
      <c r="G808" s="1413"/>
      <c r="H808" s="1413"/>
      <c r="I808" s="1413"/>
      <c r="J808" s="1414"/>
      <c r="K808" s="843">
        <f>K804</f>
        <v>1</v>
      </c>
      <c r="L808" s="888">
        <v>1</v>
      </c>
      <c r="M808" s="889">
        <f t="shared" si="182"/>
        <v>1</v>
      </c>
      <c r="N808" s="890" t="str">
        <f t="shared" si="176"/>
        <v/>
      </c>
      <c r="O808" s="344" t="str">
        <f t="shared" si="177"/>
        <v/>
      </c>
      <c r="P808" s="344" t="str">
        <f t="shared" si="178"/>
        <v/>
      </c>
      <c r="Q808" s="195" t="str">
        <f t="shared" si="179"/>
        <v/>
      </c>
      <c r="R808" s="195"/>
    </row>
    <row r="809" spans="1:18" s="1479" customFormat="1">
      <c r="A809" s="1128"/>
      <c r="B809" s="2499">
        <v>1</v>
      </c>
      <c r="C809" s="2501" t="s">
        <v>14212</v>
      </c>
      <c r="D809" s="2502"/>
      <c r="E809" s="2503">
        <f>0.3*E811</f>
        <v>42</v>
      </c>
      <c r="F809" s="2504">
        <f t="shared" si="184"/>
        <v>42</v>
      </c>
      <c r="G809" s="1413"/>
      <c r="H809" s="1413"/>
      <c r="I809" s="1413"/>
      <c r="J809" s="1414"/>
      <c r="K809" s="843">
        <f>K805</f>
        <v>1</v>
      </c>
      <c r="L809" s="888">
        <v>1</v>
      </c>
      <c r="M809" s="889">
        <f t="shared" si="182"/>
        <v>1</v>
      </c>
      <c r="N809" s="890" t="str">
        <f t="shared" si="176"/>
        <v/>
      </c>
      <c r="O809" s="344" t="str">
        <f t="shared" si="177"/>
        <v/>
      </c>
      <c r="P809" s="344" t="str">
        <f t="shared" si="178"/>
        <v/>
      </c>
      <c r="Q809" s="195" t="str">
        <f t="shared" si="179"/>
        <v/>
      </c>
      <c r="R809" s="195"/>
    </row>
    <row r="810" spans="1:18" s="1479" customFormat="1">
      <c r="A810" s="1128"/>
      <c r="B810" s="1412">
        <v>1</v>
      </c>
      <c r="C810" s="2505" t="s">
        <v>5302</v>
      </c>
      <c r="D810" s="2506"/>
      <c r="E810" s="2507">
        <f>E811*15%</f>
        <v>21</v>
      </c>
      <c r="F810" s="2507">
        <f>+E810*B810</f>
        <v>21</v>
      </c>
      <c r="G810" s="1902"/>
      <c r="H810" s="1902"/>
      <c r="I810" s="1902"/>
      <c r="J810" s="1414"/>
      <c r="K810" s="889">
        <f>K806</f>
        <v>1</v>
      </c>
      <c r="L810" s="888">
        <v>1</v>
      </c>
      <c r="M810" s="889">
        <f t="shared" si="182"/>
        <v>1</v>
      </c>
      <c r="N810" s="890" t="str">
        <f t="shared" si="176"/>
        <v/>
      </c>
      <c r="O810" s="344" t="str">
        <f t="shared" si="177"/>
        <v/>
      </c>
      <c r="P810" s="344" t="str">
        <f t="shared" si="178"/>
        <v/>
      </c>
      <c r="Q810" s="195" t="str">
        <f t="shared" si="179"/>
        <v/>
      </c>
    </row>
    <row r="811" spans="1:18" s="1479" customFormat="1">
      <c r="A811" s="1128"/>
      <c r="B811" s="2499">
        <v>1</v>
      </c>
      <c r="C811" s="2501" t="s">
        <v>14213</v>
      </c>
      <c r="D811" s="2502"/>
      <c r="E811" s="2503">
        <v>140</v>
      </c>
      <c r="F811" s="2504">
        <f>+E811*B811</f>
        <v>140</v>
      </c>
      <c r="G811" s="1413"/>
      <c r="H811" s="1413"/>
      <c r="I811" s="1413"/>
      <c r="J811" s="1414"/>
      <c r="K811" s="843">
        <f>K807</f>
        <v>1</v>
      </c>
      <c r="L811" s="412">
        <v>1</v>
      </c>
      <c r="M811" s="843">
        <f t="shared" si="182"/>
        <v>1</v>
      </c>
      <c r="N811" s="890" t="str">
        <f t="shared" si="176"/>
        <v/>
      </c>
      <c r="O811" s="344" t="str">
        <f t="shared" si="177"/>
        <v/>
      </c>
      <c r="P811" s="344" t="str">
        <f t="shared" si="178"/>
        <v/>
      </c>
      <c r="Q811" s="195" t="str">
        <f t="shared" si="179"/>
        <v/>
      </c>
    </row>
    <row r="812" spans="1:18" s="126" customFormat="1" ht="13.5" thickBot="1">
      <c r="A812" s="2331"/>
      <c r="B812" s="1916"/>
      <c r="C812" s="1909"/>
      <c r="D812" s="1917"/>
      <c r="E812" s="873"/>
      <c r="F812" s="873"/>
      <c r="G812" s="1918"/>
      <c r="H812" s="1918"/>
      <c r="I812" s="1918"/>
      <c r="J812" s="1910"/>
      <c r="K812" s="1119"/>
      <c r="L812" s="412"/>
      <c r="M812" s="843"/>
      <c r="N812" s="890" t="str">
        <f t="shared" si="176"/>
        <v/>
      </c>
      <c r="O812" s="344" t="str">
        <f t="shared" si="177"/>
        <v/>
      </c>
      <c r="P812" s="344" t="str">
        <f t="shared" si="178"/>
        <v/>
      </c>
      <c r="Q812" s="195" t="str">
        <f t="shared" si="179"/>
        <v/>
      </c>
      <c r="R812" s="195"/>
    </row>
    <row r="813" spans="1:18" s="126" customFormat="1" ht="13.5" thickBot="1">
      <c r="A813" s="1923">
        <v>29</v>
      </c>
      <c r="B813" s="1920">
        <v>1</v>
      </c>
      <c r="C813" s="846" t="s">
        <v>14215</v>
      </c>
      <c r="D813" s="2495"/>
      <c r="E813" s="2496"/>
      <c r="F813" s="2496"/>
      <c r="G813" s="849">
        <f>SUM(F814:F830)</f>
        <v>584.61</v>
      </c>
      <c r="H813" s="1161">
        <f>G813*(1-$D$6)</f>
        <v>438.45749999999998</v>
      </c>
      <c r="I813" s="849">
        <f>ROUNDUP(H813*$D$5,0)</f>
        <v>1491</v>
      </c>
      <c r="J813" s="850">
        <f>+I813*B813</f>
        <v>1491</v>
      </c>
      <c r="K813" s="851">
        <f>B813</f>
        <v>1</v>
      </c>
      <c r="L813" s="412"/>
      <c r="M813" s="843"/>
      <c r="N813" s="890" t="str">
        <f t="shared" si="176"/>
        <v/>
      </c>
      <c r="O813" s="344" t="str">
        <f t="shared" si="177"/>
        <v/>
      </c>
      <c r="P813" s="344" t="str">
        <f t="shared" si="178"/>
        <v/>
      </c>
      <c r="Q813" s="195" t="str">
        <f t="shared" si="179"/>
        <v/>
      </c>
      <c r="R813" s="195"/>
    </row>
    <row r="814" spans="1:18" s="126" customFormat="1">
      <c r="A814" s="852" t="s">
        <v>3207</v>
      </c>
      <c r="B814" s="1418"/>
      <c r="C814" s="853"/>
      <c r="D814" s="1911"/>
      <c r="E814" s="1890"/>
      <c r="F814" s="1890"/>
      <c r="G814" s="854"/>
      <c r="H814" s="854"/>
      <c r="I814" s="854"/>
      <c r="J814" s="855"/>
      <c r="K814" s="843">
        <f>K813</f>
        <v>1</v>
      </c>
      <c r="L814" s="412">
        <v>1</v>
      </c>
      <c r="M814" s="843">
        <f>IF(B814="",1,B814)</f>
        <v>1</v>
      </c>
      <c r="N814" s="890" t="str">
        <f t="shared" si="176"/>
        <v/>
      </c>
      <c r="O814" s="344" t="str">
        <f t="shared" si="177"/>
        <v/>
      </c>
      <c r="P814" s="344" t="str">
        <f t="shared" si="178"/>
        <v/>
      </c>
      <c r="Q814" s="195" t="str">
        <f t="shared" si="179"/>
        <v/>
      </c>
      <c r="R814" s="195"/>
    </row>
    <row r="815" spans="1:18" s="126" customFormat="1">
      <c r="A815" s="856" t="s">
        <v>4059</v>
      </c>
      <c r="B815" s="1122"/>
      <c r="C815" s="1419" t="s">
        <v>3301</v>
      </c>
      <c r="D815" s="1891"/>
      <c r="E815" s="1878"/>
      <c r="F815" s="1878"/>
      <c r="G815" s="854"/>
      <c r="H815" s="854"/>
      <c r="I815" s="854"/>
      <c r="J815" s="858"/>
      <c r="K815" s="843">
        <f t="shared" ref="K815:K828" si="185">K814</f>
        <v>1</v>
      </c>
      <c r="L815" s="412">
        <v>1</v>
      </c>
      <c r="M815" s="843">
        <f t="shared" ref="M815:M830" si="186">IF(B815="",1,B815)</f>
        <v>1</v>
      </c>
      <c r="N815" s="890" t="str">
        <f t="shared" si="176"/>
        <v/>
      </c>
      <c r="O815" s="344" t="str">
        <f t="shared" si="177"/>
        <v/>
      </c>
      <c r="P815" s="344" t="str">
        <f t="shared" si="178"/>
        <v/>
      </c>
      <c r="Q815" s="195" t="str">
        <f t="shared" si="179"/>
        <v/>
      </c>
      <c r="R815" s="195"/>
    </row>
    <row r="816" spans="1:18" s="862" customFormat="1">
      <c r="A816" s="856" t="s">
        <v>4321</v>
      </c>
      <c r="B816" s="1122">
        <v>1</v>
      </c>
      <c r="C816" s="857" t="str">
        <f>VLOOKUP(D816,base_datos,6,FALSE)</f>
        <v>ITM Caja Moldeada 3x160A (reg.[0.7-1.0] In) - XT1B160-160A-3P-TMD - 25kA@230Vac, 18kA@415Vac, 18kA@250Vdc - marca ABB.</v>
      </c>
      <c r="D816" s="1894" t="s">
        <v>4562</v>
      </c>
      <c r="E816" s="1871">
        <f>VLOOKUP(D816,base_datos,5,FALSE)</f>
        <v>148.13</v>
      </c>
      <c r="F816" s="1878">
        <f>+E816*B816</f>
        <v>148.13</v>
      </c>
      <c r="G816" s="860"/>
      <c r="H816" s="860"/>
      <c r="I816" s="860"/>
      <c r="J816" s="861"/>
      <c r="K816" s="843">
        <f t="shared" si="185"/>
        <v>1</v>
      </c>
      <c r="L816" s="412">
        <v>1</v>
      </c>
      <c r="M816" s="843">
        <f t="shared" si="186"/>
        <v>1</v>
      </c>
      <c r="N816" s="890">
        <f t="shared" si="176"/>
        <v>1</v>
      </c>
      <c r="O816" s="344" t="str">
        <f t="shared" si="177"/>
        <v>1SDA066809R1</v>
      </c>
      <c r="P816" s="344" t="str">
        <f t="shared" si="178"/>
        <v>ITM Caja Moldeada 3x160A (reg.[0.7-1.0] In) - XT1B160-160A-3P-TMD - 25kA@230Vac, 18kA@415Vac, 18kA@250Vdc - marca ABB.</v>
      </c>
      <c r="Q816" s="195" t="str">
        <f t="shared" si="179"/>
        <v>XT1B160-160A-3P-TMD</v>
      </c>
      <c r="R816" s="195"/>
    </row>
    <row r="817" spans="1:18" s="195" customFormat="1">
      <c r="A817" s="1108"/>
      <c r="B817" s="1085">
        <v>1</v>
      </c>
      <c r="C817" s="904" t="s">
        <v>14216</v>
      </c>
      <c r="D817" s="1881"/>
      <c r="E817" s="1882">
        <v>20</v>
      </c>
      <c r="F817" s="1882">
        <f>+E817*B817</f>
        <v>20</v>
      </c>
      <c r="G817" s="891"/>
      <c r="H817" s="891"/>
      <c r="I817" s="891"/>
      <c r="J817" s="892"/>
      <c r="K817" s="843">
        <f t="shared" si="185"/>
        <v>1</v>
      </c>
      <c r="L817" s="888">
        <v>1</v>
      </c>
      <c r="M817" s="843">
        <f t="shared" si="186"/>
        <v>1</v>
      </c>
      <c r="N817" s="890" t="str">
        <f t="shared" si="176"/>
        <v/>
      </c>
      <c r="O817" s="344" t="str">
        <f t="shared" si="177"/>
        <v/>
      </c>
      <c r="P817" s="344" t="str">
        <f t="shared" si="178"/>
        <v/>
      </c>
      <c r="Q817" s="195" t="str">
        <f t="shared" si="179"/>
        <v/>
      </c>
    </row>
    <row r="818" spans="1:18" s="195" customFormat="1">
      <c r="A818" s="856"/>
      <c r="B818" s="895"/>
      <c r="C818" s="337" t="s">
        <v>729</v>
      </c>
      <c r="D818" s="182"/>
      <c r="E818" s="1874"/>
      <c r="F818" s="1875"/>
      <c r="G818" s="891"/>
      <c r="H818" s="891"/>
      <c r="I818" s="891"/>
      <c r="J818" s="892"/>
      <c r="K818" s="843">
        <f t="shared" si="185"/>
        <v>1</v>
      </c>
      <c r="L818" s="888">
        <v>1</v>
      </c>
      <c r="M818" s="843">
        <f t="shared" si="186"/>
        <v>1</v>
      </c>
      <c r="N818" s="890" t="str">
        <f t="shared" si="176"/>
        <v/>
      </c>
      <c r="O818" s="344" t="str">
        <f t="shared" si="177"/>
        <v/>
      </c>
      <c r="P818" s="344" t="str">
        <f t="shared" si="178"/>
        <v/>
      </c>
      <c r="Q818" s="195" t="str">
        <f t="shared" si="179"/>
        <v/>
      </c>
    </row>
    <row r="819" spans="1:18" s="862" customFormat="1">
      <c r="A819" s="856" t="s">
        <v>3725</v>
      </c>
      <c r="B819" s="820"/>
      <c r="C819" s="859" t="s">
        <v>3535</v>
      </c>
      <c r="D819" s="1896"/>
      <c r="E819" s="1877"/>
      <c r="F819" s="1878">
        <f>+E819*B819</f>
        <v>0</v>
      </c>
      <c r="G819" s="860"/>
      <c r="H819" s="860"/>
      <c r="I819" s="860"/>
      <c r="J819" s="861"/>
      <c r="K819" s="843">
        <f t="shared" si="185"/>
        <v>1</v>
      </c>
      <c r="L819" s="412">
        <v>1</v>
      </c>
      <c r="M819" s="843">
        <f t="shared" si="186"/>
        <v>1</v>
      </c>
      <c r="N819" s="890" t="str">
        <f t="shared" si="176"/>
        <v/>
      </c>
      <c r="O819" s="344" t="str">
        <f t="shared" si="177"/>
        <v/>
      </c>
      <c r="P819" s="344" t="str">
        <f t="shared" si="178"/>
        <v/>
      </c>
      <c r="Q819" s="195" t="str">
        <f t="shared" si="179"/>
        <v/>
      </c>
      <c r="R819" s="195"/>
    </row>
    <row r="820" spans="1:18" s="862" customFormat="1">
      <c r="A820" s="856" t="s">
        <v>3726</v>
      </c>
      <c r="B820" s="1122">
        <v>1</v>
      </c>
      <c r="C820" s="857" t="str">
        <f>VLOOKUP(D820,base_datos,6,FALSE)</f>
        <v>ITM Caja Moldeada 3x80A - A1B125-80A-3P-TMF - 25kA@230Vac, 18kA@400Vac - marca ABB.</v>
      </c>
      <c r="D820" s="1894" t="s">
        <v>1197</v>
      </c>
      <c r="E820" s="1871">
        <f>VLOOKUP(D820,base_datos,5,FALSE)</f>
        <v>75.25</v>
      </c>
      <c r="F820" s="1878">
        <f>+E820*B820</f>
        <v>75.25</v>
      </c>
      <c r="G820" s="860"/>
      <c r="H820" s="860"/>
      <c r="I820" s="860"/>
      <c r="J820" s="861"/>
      <c r="K820" s="843">
        <f t="shared" si="185"/>
        <v>1</v>
      </c>
      <c r="L820" s="412">
        <v>1</v>
      </c>
      <c r="M820" s="843">
        <f t="shared" si="186"/>
        <v>1</v>
      </c>
      <c r="N820" s="890">
        <f t="shared" si="176"/>
        <v>1</v>
      </c>
      <c r="O820" s="344" t="str">
        <f t="shared" si="177"/>
        <v>1SDA066705R1</v>
      </c>
      <c r="P820" s="344" t="str">
        <f t="shared" si="178"/>
        <v>ITM Caja Moldeada 3x80A - A1B125-80A-3P-TMF - 25kA@230Vac, 18kA@400Vac - marca ABB.</v>
      </c>
      <c r="Q820" s="195" t="str">
        <f t="shared" si="179"/>
        <v>A1B125-80A-3P-TMF</v>
      </c>
      <c r="R820" s="195"/>
    </row>
    <row r="821" spans="1:18" s="862" customFormat="1">
      <c r="A821" s="856"/>
      <c r="B821" s="1122">
        <v>7</v>
      </c>
      <c r="C821" s="857" t="str">
        <f>VLOOKUP(D821,base_datos,6,FALSE)</f>
        <v>ITM Riel-Din 2x20A - SH202-C-20A - 10kA@230Vac, 6kA@400Vac-IEC60898 - marca ABB.</v>
      </c>
      <c r="D821" s="1894" t="s">
        <v>1060</v>
      </c>
      <c r="E821" s="1871">
        <f>VLOOKUP(D821,base_datos,5,FALSE)</f>
        <v>6.54</v>
      </c>
      <c r="F821" s="1878">
        <f>+E821*B821</f>
        <v>45.78</v>
      </c>
      <c r="G821" s="860"/>
      <c r="H821" s="860"/>
      <c r="I821" s="860"/>
      <c r="J821" s="1420"/>
      <c r="K821" s="843">
        <f t="shared" si="185"/>
        <v>1</v>
      </c>
      <c r="L821" s="412">
        <v>1</v>
      </c>
      <c r="M821" s="843">
        <f t="shared" si="186"/>
        <v>7</v>
      </c>
      <c r="N821" s="890">
        <f t="shared" si="176"/>
        <v>7</v>
      </c>
      <c r="O821" s="344" t="str">
        <f t="shared" si="177"/>
        <v>2CDS212001R0204</v>
      </c>
      <c r="P821" s="344" t="str">
        <f t="shared" si="178"/>
        <v>ITM Riel-Din 2x20A - SH202-C-20A - 10kA@230Vac, 6kA@400Vac-IEC60898 - marca ABB.</v>
      </c>
      <c r="Q821" s="195" t="str">
        <f t="shared" si="179"/>
        <v>SH202-C-20A</v>
      </c>
      <c r="R821" s="195"/>
    </row>
    <row r="822" spans="1:18" s="2340" customFormat="1">
      <c r="A822" s="856"/>
      <c r="B822" s="2443">
        <v>2</v>
      </c>
      <c r="C822" s="2444" t="str">
        <f>VLOOKUP(D822,base_datos,6,FALSE)</f>
        <v>Espacio de reserva monofasica - Riel-Din.</v>
      </c>
      <c r="D822" s="2468" t="s">
        <v>1048</v>
      </c>
      <c r="E822" s="2497">
        <f>VLOOKUP(D822,base_datos,5,FALSE)</f>
        <v>1.5</v>
      </c>
      <c r="F822" s="2498">
        <f>+E822*B822</f>
        <v>3</v>
      </c>
      <c r="G822" s="2338"/>
      <c r="H822" s="2338"/>
      <c r="I822" s="2338"/>
      <c r="J822" s="2339"/>
      <c r="K822" s="843">
        <f t="shared" si="185"/>
        <v>1</v>
      </c>
      <c r="L822" s="412">
        <v>1</v>
      </c>
      <c r="M822" s="843">
        <f t="shared" si="186"/>
        <v>2</v>
      </c>
      <c r="N822" s="890" t="str">
        <f t="shared" si="176"/>
        <v/>
      </c>
      <c r="O822" s="344" t="str">
        <f t="shared" si="177"/>
        <v/>
      </c>
      <c r="P822" s="344" t="str">
        <f t="shared" si="178"/>
        <v/>
      </c>
      <c r="Q822" s="195" t="str">
        <f t="shared" si="179"/>
        <v/>
      </c>
      <c r="R822" s="195"/>
    </row>
    <row r="823" spans="1:18" s="870" customFormat="1">
      <c r="A823" s="1873"/>
      <c r="B823" s="866">
        <v>1</v>
      </c>
      <c r="C823" s="867" t="s">
        <v>14133</v>
      </c>
      <c r="D823" s="1896"/>
      <c r="E823" s="180">
        <v>114</v>
      </c>
      <c r="F823" s="1921">
        <f>+E823*B823</f>
        <v>114</v>
      </c>
      <c r="G823" s="868"/>
      <c r="H823" s="868"/>
      <c r="I823" s="868"/>
      <c r="J823" s="869"/>
      <c r="K823" s="843">
        <f t="shared" si="185"/>
        <v>1</v>
      </c>
      <c r="L823" s="412">
        <v>1</v>
      </c>
      <c r="M823" s="843">
        <f t="shared" si="186"/>
        <v>1</v>
      </c>
      <c r="N823" s="890" t="str">
        <f t="shared" si="176"/>
        <v/>
      </c>
      <c r="O823" s="344" t="str">
        <f t="shared" si="177"/>
        <v/>
      </c>
      <c r="P823" s="344" t="str">
        <f t="shared" si="178"/>
        <v/>
      </c>
      <c r="Q823" s="195" t="str">
        <f t="shared" si="179"/>
        <v/>
      </c>
    </row>
    <row r="824" spans="1:18" s="195" customFormat="1">
      <c r="A824" s="856"/>
      <c r="B824" s="895"/>
      <c r="C824" s="337" t="s">
        <v>729</v>
      </c>
      <c r="D824" s="182"/>
      <c r="E824" s="1874"/>
      <c r="F824" s="1875"/>
      <c r="G824" s="891"/>
      <c r="H824" s="891"/>
      <c r="I824" s="891"/>
      <c r="J824" s="892"/>
      <c r="K824" s="843">
        <f t="shared" si="185"/>
        <v>1</v>
      </c>
      <c r="L824" s="412">
        <v>1</v>
      </c>
      <c r="M824" s="843">
        <f t="shared" si="186"/>
        <v>1</v>
      </c>
      <c r="N824" s="890" t="str">
        <f t="shared" si="176"/>
        <v/>
      </c>
      <c r="O824" s="344" t="str">
        <f t="shared" si="177"/>
        <v/>
      </c>
      <c r="P824" s="344" t="str">
        <f t="shared" si="178"/>
        <v/>
      </c>
      <c r="Q824" s="195" t="str">
        <f t="shared" si="179"/>
        <v/>
      </c>
    </row>
    <row r="825" spans="1:18" s="870" customFormat="1">
      <c r="A825" s="865"/>
      <c r="B825" s="2385">
        <v>1</v>
      </c>
      <c r="C825" s="2386" t="s">
        <v>316</v>
      </c>
      <c r="D825" s="2387"/>
      <c r="E825" s="1892"/>
      <c r="F825" s="1901"/>
      <c r="G825" s="2396"/>
      <c r="H825" s="2396"/>
      <c r="I825" s="2396"/>
      <c r="J825" s="2397"/>
      <c r="K825" s="843">
        <f t="shared" si="185"/>
        <v>1</v>
      </c>
      <c r="L825" s="412">
        <v>1</v>
      </c>
      <c r="M825" s="843">
        <f t="shared" si="186"/>
        <v>1</v>
      </c>
      <c r="N825" s="890" t="str">
        <f t="shared" si="176"/>
        <v/>
      </c>
      <c r="O825" s="344" t="str">
        <f t="shared" si="177"/>
        <v/>
      </c>
      <c r="P825" s="344" t="str">
        <f t="shared" si="178"/>
        <v/>
      </c>
      <c r="Q825" s="195" t="str">
        <f t="shared" si="179"/>
        <v/>
      </c>
      <c r="R825" s="195"/>
    </row>
    <row r="826" spans="1:18" s="195" customFormat="1">
      <c r="A826" s="1108"/>
      <c r="B826" s="895"/>
      <c r="C826" s="337" t="s">
        <v>729</v>
      </c>
      <c r="D826" s="182"/>
      <c r="E826" s="1874"/>
      <c r="F826" s="1875"/>
      <c r="G826" s="891"/>
      <c r="H826" s="891"/>
      <c r="I826" s="891"/>
      <c r="J826" s="892"/>
      <c r="K826" s="843">
        <f t="shared" si="185"/>
        <v>1</v>
      </c>
      <c r="L826" s="888">
        <v>1</v>
      </c>
      <c r="M826" s="843">
        <f t="shared" si="186"/>
        <v>1</v>
      </c>
      <c r="N826" s="890" t="str">
        <f t="shared" si="176"/>
        <v/>
      </c>
      <c r="O826" s="344" t="str">
        <f t="shared" si="177"/>
        <v/>
      </c>
      <c r="P826" s="344" t="str">
        <f t="shared" si="178"/>
        <v/>
      </c>
      <c r="Q826" s="195" t="str">
        <f t="shared" si="179"/>
        <v/>
      </c>
    </row>
    <row r="827" spans="1:18" s="1088" customFormat="1">
      <c r="A827" s="865"/>
      <c r="B827" s="1085">
        <v>8</v>
      </c>
      <c r="C827" s="904" t="str">
        <f>VLOOKUP(D827,base_datos,6,FALSE)</f>
        <v>Rotulado por circuito.</v>
      </c>
      <c r="D827" s="1881" t="s">
        <v>3210</v>
      </c>
      <c r="E827" s="1892">
        <f>VLOOKUP(D827,base_datos,5,FALSE)</f>
        <v>0.7</v>
      </c>
      <c r="F827" s="1893">
        <f>+E827*B827</f>
        <v>5.6</v>
      </c>
      <c r="G827" s="1086"/>
      <c r="H827" s="1086"/>
      <c r="I827" s="1086"/>
      <c r="J827" s="1087"/>
      <c r="K827" s="843">
        <f t="shared" si="185"/>
        <v>1</v>
      </c>
      <c r="L827" s="888">
        <v>1</v>
      </c>
      <c r="M827" s="843">
        <f t="shared" si="186"/>
        <v>8</v>
      </c>
      <c r="N827" s="890" t="str">
        <f t="shared" si="176"/>
        <v/>
      </c>
      <c r="O827" s="344" t="str">
        <f t="shared" si="177"/>
        <v/>
      </c>
      <c r="P827" s="344" t="str">
        <f t="shared" si="178"/>
        <v/>
      </c>
      <c r="Q827" s="195" t="str">
        <f t="shared" si="179"/>
        <v/>
      </c>
    </row>
    <row r="828" spans="1:18" s="1088" customFormat="1">
      <c r="A828" s="865"/>
      <c r="B828" s="1085">
        <v>1</v>
      </c>
      <c r="C828" s="904" t="str">
        <f>VLOOKUP(D828,base_datos,6,FALSE)</f>
        <v>Rotulado para TAG - tablero de distribución.</v>
      </c>
      <c r="D828" s="1881" t="s">
        <v>3209</v>
      </c>
      <c r="E828" s="1892">
        <f>VLOOKUP(D828,base_datos,5,FALSE)</f>
        <v>1.5</v>
      </c>
      <c r="F828" s="1893">
        <f>+E828*B828</f>
        <v>1.5</v>
      </c>
      <c r="G828" s="1086"/>
      <c r="H828" s="1086"/>
      <c r="I828" s="1086"/>
      <c r="J828" s="1087"/>
      <c r="K828" s="843">
        <f t="shared" si="185"/>
        <v>1</v>
      </c>
      <c r="L828" s="888">
        <v>1</v>
      </c>
      <c r="M828" s="843">
        <f t="shared" si="186"/>
        <v>1</v>
      </c>
      <c r="N828" s="890" t="str">
        <f t="shared" si="176"/>
        <v/>
      </c>
      <c r="O828" s="344" t="str">
        <f t="shared" si="177"/>
        <v/>
      </c>
      <c r="P828" s="344" t="str">
        <f t="shared" si="178"/>
        <v/>
      </c>
      <c r="Q828" s="195" t="str">
        <f t="shared" si="179"/>
        <v/>
      </c>
    </row>
    <row r="829" spans="1:18" s="1479" customFormat="1">
      <c r="A829" s="1128"/>
      <c r="B829" s="1412">
        <v>1</v>
      </c>
      <c r="C829" s="1417" t="s">
        <v>5302</v>
      </c>
      <c r="D829" s="1900"/>
      <c r="E829" s="1901">
        <f>E830*15%</f>
        <v>22.349999999999998</v>
      </c>
      <c r="F829" s="1901">
        <f>+E829*B829</f>
        <v>22.349999999999998</v>
      </c>
      <c r="G829" s="1902"/>
      <c r="H829" s="1902"/>
      <c r="I829" s="1902"/>
      <c r="J829" s="1414"/>
      <c r="K829" s="889">
        <f>K827</f>
        <v>1</v>
      </c>
      <c r="L829" s="888">
        <v>1</v>
      </c>
      <c r="M829" s="889">
        <f t="shared" si="186"/>
        <v>1</v>
      </c>
      <c r="N829" s="890" t="str">
        <f t="shared" si="176"/>
        <v/>
      </c>
      <c r="O829" s="344" t="str">
        <f t="shared" si="177"/>
        <v/>
      </c>
      <c r="P829" s="344" t="str">
        <f t="shared" si="178"/>
        <v/>
      </c>
      <c r="Q829" s="195" t="str">
        <f t="shared" si="179"/>
        <v/>
      </c>
    </row>
    <row r="830" spans="1:18" s="1479" customFormat="1">
      <c r="A830" s="1128"/>
      <c r="B830" s="2499">
        <v>1</v>
      </c>
      <c r="C830" s="867" t="s">
        <v>14217</v>
      </c>
      <c r="D830" s="2500"/>
      <c r="E830" s="1892">
        <v>149</v>
      </c>
      <c r="F830" s="1921">
        <f>+E830*B830</f>
        <v>149</v>
      </c>
      <c r="G830" s="1413"/>
      <c r="H830" s="1413"/>
      <c r="I830" s="1413"/>
      <c r="J830" s="1414"/>
      <c r="K830" s="843">
        <f>K828</f>
        <v>1</v>
      </c>
      <c r="L830" s="888">
        <v>1</v>
      </c>
      <c r="M830" s="843">
        <f t="shared" si="186"/>
        <v>1</v>
      </c>
      <c r="N830" s="890" t="str">
        <f t="shared" si="176"/>
        <v/>
      </c>
      <c r="O830" s="344" t="str">
        <f t="shared" si="177"/>
        <v/>
      </c>
      <c r="P830" s="344" t="str">
        <f t="shared" si="178"/>
        <v/>
      </c>
      <c r="Q830" s="195" t="str">
        <f t="shared" si="179"/>
        <v/>
      </c>
    </row>
    <row r="831" spans="1:18" s="126" customFormat="1" ht="13.5" thickBot="1">
      <c r="A831" s="2331"/>
      <c r="B831" s="1916"/>
      <c r="C831" s="1909"/>
      <c r="D831" s="1917"/>
      <c r="E831" s="873"/>
      <c r="F831" s="873"/>
      <c r="G831" s="1918"/>
      <c r="H831" s="1918"/>
      <c r="I831" s="1918"/>
      <c r="J831" s="1910"/>
      <c r="K831" s="1119"/>
      <c r="L831" s="412"/>
      <c r="M831" s="843"/>
      <c r="N831" s="890" t="str">
        <f t="shared" si="176"/>
        <v/>
      </c>
      <c r="O831" s="344" t="str">
        <f t="shared" si="177"/>
        <v/>
      </c>
      <c r="P831" s="344" t="str">
        <f t="shared" si="178"/>
        <v/>
      </c>
      <c r="Q831" s="195" t="str">
        <f t="shared" si="179"/>
        <v/>
      </c>
      <c r="R831" s="195"/>
    </row>
    <row r="832" spans="1:18" s="126" customFormat="1" ht="13.5" thickBot="1">
      <c r="A832" s="1923">
        <v>30</v>
      </c>
      <c r="B832" s="1920">
        <v>1</v>
      </c>
      <c r="C832" s="846" t="s">
        <v>14218</v>
      </c>
      <c r="D832" s="2495"/>
      <c r="E832" s="2496"/>
      <c r="F832" s="2496"/>
      <c r="G832" s="849">
        <f>SUM(F833:F848)</f>
        <v>148.72</v>
      </c>
      <c r="H832" s="1161">
        <f>G832*(1-$D$6)</f>
        <v>111.53999999999999</v>
      </c>
      <c r="I832" s="849">
        <f>ROUNDUP(H832*$D$5,0)</f>
        <v>380</v>
      </c>
      <c r="J832" s="850">
        <f>+I832*B832</f>
        <v>380</v>
      </c>
      <c r="K832" s="851">
        <f>B832</f>
        <v>1</v>
      </c>
      <c r="L832" s="412"/>
      <c r="M832" s="843"/>
      <c r="N832" s="890" t="str">
        <f t="shared" si="176"/>
        <v/>
      </c>
      <c r="O832" s="344" t="str">
        <f t="shared" si="177"/>
        <v/>
      </c>
      <c r="P832" s="344" t="str">
        <f t="shared" si="178"/>
        <v/>
      </c>
      <c r="Q832" s="195" t="str">
        <f t="shared" si="179"/>
        <v/>
      </c>
      <c r="R832" s="195"/>
    </row>
    <row r="833" spans="1:18" s="126" customFormat="1">
      <c r="A833" s="852" t="s">
        <v>9502</v>
      </c>
      <c r="B833" s="1418"/>
      <c r="C833" s="853"/>
      <c r="D833" s="1911"/>
      <c r="E833" s="1890"/>
      <c r="F833" s="1890"/>
      <c r="G833" s="854"/>
      <c r="H833" s="854"/>
      <c r="I833" s="854"/>
      <c r="J833" s="855"/>
      <c r="K833" s="843">
        <f>K832</f>
        <v>1</v>
      </c>
      <c r="L833" s="412">
        <v>1</v>
      </c>
      <c r="M833" s="843">
        <f>IF(B833="",1,B833)</f>
        <v>1</v>
      </c>
      <c r="N833" s="890" t="str">
        <f t="shared" si="176"/>
        <v/>
      </c>
      <c r="O833" s="344" t="str">
        <f t="shared" si="177"/>
        <v/>
      </c>
      <c r="P833" s="344" t="str">
        <f t="shared" si="178"/>
        <v/>
      </c>
      <c r="Q833" s="195" t="str">
        <f t="shared" si="179"/>
        <v/>
      </c>
      <c r="R833" s="195"/>
    </row>
    <row r="834" spans="1:18" s="126" customFormat="1">
      <c r="A834" s="856" t="s">
        <v>9503</v>
      </c>
      <c r="B834" s="1122"/>
      <c r="C834" s="1419" t="s">
        <v>3301</v>
      </c>
      <c r="D834" s="1891"/>
      <c r="E834" s="1878"/>
      <c r="F834" s="1878"/>
      <c r="G834" s="854"/>
      <c r="H834" s="854"/>
      <c r="I834" s="854"/>
      <c r="J834" s="858"/>
      <c r="K834" s="843">
        <f t="shared" ref="K834:K846" si="187">K833</f>
        <v>1</v>
      </c>
      <c r="L834" s="412">
        <v>1</v>
      </c>
      <c r="M834" s="843">
        <f t="shared" ref="M834:M848" si="188">IF(B834="",1,B834)</f>
        <v>1</v>
      </c>
      <c r="N834" s="890" t="str">
        <f t="shared" si="176"/>
        <v/>
      </c>
      <c r="O834" s="344" t="str">
        <f t="shared" si="177"/>
        <v/>
      </c>
      <c r="P834" s="344" t="str">
        <f t="shared" si="178"/>
        <v/>
      </c>
      <c r="Q834" s="195" t="str">
        <f t="shared" si="179"/>
        <v/>
      </c>
      <c r="R834" s="195"/>
    </row>
    <row r="835" spans="1:18" s="862" customFormat="1">
      <c r="A835" s="856" t="s">
        <v>4321</v>
      </c>
      <c r="B835" s="1122">
        <v>1</v>
      </c>
      <c r="C835" s="857" t="str">
        <f>VLOOKUP(D835,base_datos,6,FALSE)</f>
        <v>ITM Riel-Din 2x32A - SH202-C-32A - 10kA@230Vac, 6kA@400Vac-IEC60898 - marca ABB.</v>
      </c>
      <c r="D835" s="1894" t="s">
        <v>1062</v>
      </c>
      <c r="E835" s="1871">
        <f>VLOOKUP(D835,base_datos,5,FALSE)</f>
        <v>7.0699999999999994</v>
      </c>
      <c r="F835" s="1878">
        <f>+E835*B835</f>
        <v>7.0699999999999994</v>
      </c>
      <c r="G835" s="860"/>
      <c r="H835" s="860"/>
      <c r="I835" s="860"/>
      <c r="J835" s="861"/>
      <c r="K835" s="843">
        <f t="shared" si="187"/>
        <v>1</v>
      </c>
      <c r="L835" s="412">
        <v>1</v>
      </c>
      <c r="M835" s="843">
        <f t="shared" si="188"/>
        <v>1</v>
      </c>
      <c r="N835" s="890">
        <f t="shared" si="176"/>
        <v>1</v>
      </c>
      <c r="O835" s="344" t="str">
        <f t="shared" si="177"/>
        <v>2CDS212001R0324</v>
      </c>
      <c r="P835" s="344" t="str">
        <f t="shared" si="178"/>
        <v>ITM Riel-Din 2x32A - SH202-C-32A - 10kA@230Vac, 6kA@400Vac-IEC60898 - marca ABB.</v>
      </c>
      <c r="Q835" s="195" t="str">
        <f t="shared" si="179"/>
        <v>SH202-C-32A</v>
      </c>
      <c r="R835" s="195"/>
    </row>
    <row r="836" spans="1:18" s="195" customFormat="1">
      <c r="A836" s="856"/>
      <c r="B836" s="895"/>
      <c r="C836" s="337" t="s">
        <v>729</v>
      </c>
      <c r="D836" s="182"/>
      <c r="E836" s="1874"/>
      <c r="F836" s="1875"/>
      <c r="G836" s="891"/>
      <c r="H836" s="891"/>
      <c r="I836" s="891"/>
      <c r="J836" s="892"/>
      <c r="K836" s="843">
        <f t="shared" si="187"/>
        <v>1</v>
      </c>
      <c r="L836" s="888">
        <v>1</v>
      </c>
      <c r="M836" s="843">
        <f t="shared" si="188"/>
        <v>1</v>
      </c>
      <c r="N836" s="890" t="str">
        <f t="shared" si="176"/>
        <v/>
      </c>
      <c r="O836" s="344" t="str">
        <f t="shared" si="177"/>
        <v/>
      </c>
      <c r="P836" s="344" t="str">
        <f t="shared" si="178"/>
        <v/>
      </c>
      <c r="Q836" s="195" t="str">
        <f t="shared" si="179"/>
        <v/>
      </c>
    </row>
    <row r="837" spans="1:18" s="862" customFormat="1">
      <c r="A837" s="856" t="s">
        <v>3725</v>
      </c>
      <c r="B837" s="820"/>
      <c r="C837" s="859" t="s">
        <v>3535</v>
      </c>
      <c r="D837" s="1896"/>
      <c r="E837" s="1877"/>
      <c r="F837" s="1878">
        <f>+E837*B837</f>
        <v>0</v>
      </c>
      <c r="G837" s="860"/>
      <c r="H837" s="860"/>
      <c r="I837" s="860"/>
      <c r="J837" s="861"/>
      <c r="K837" s="843">
        <f t="shared" si="187"/>
        <v>1</v>
      </c>
      <c r="L837" s="412">
        <v>1</v>
      </c>
      <c r="M837" s="843">
        <f t="shared" si="188"/>
        <v>1</v>
      </c>
      <c r="N837" s="890" t="str">
        <f t="shared" si="176"/>
        <v/>
      </c>
      <c r="O837" s="344" t="str">
        <f t="shared" si="177"/>
        <v/>
      </c>
      <c r="P837" s="344" t="str">
        <f t="shared" si="178"/>
        <v/>
      </c>
      <c r="Q837" s="195" t="str">
        <f t="shared" si="179"/>
        <v/>
      </c>
      <c r="R837" s="195"/>
    </row>
    <row r="838" spans="1:18" s="862" customFormat="1">
      <c r="A838" s="856" t="s">
        <v>3726</v>
      </c>
      <c r="B838" s="1122">
        <v>2</v>
      </c>
      <c r="C838" s="857" t="str">
        <f>VLOOKUP(D838,base_datos,6,FALSE)</f>
        <v>ITM Riel-Din 2x20A - SH202-C-20A - 10kA@230Vac, 6kA@400Vac-IEC60898 - marca ABB.</v>
      </c>
      <c r="D838" s="1894" t="s">
        <v>1060</v>
      </c>
      <c r="E838" s="1871">
        <f>VLOOKUP(D838,base_datos,5,FALSE)</f>
        <v>6.54</v>
      </c>
      <c r="F838" s="1878">
        <f>+E838*B838</f>
        <v>13.08</v>
      </c>
      <c r="G838" s="860"/>
      <c r="H838" s="860"/>
      <c r="I838" s="860"/>
      <c r="J838" s="861"/>
      <c r="K838" s="843">
        <f t="shared" si="187"/>
        <v>1</v>
      </c>
      <c r="L838" s="412">
        <v>1</v>
      </c>
      <c r="M838" s="843">
        <f t="shared" si="188"/>
        <v>2</v>
      </c>
      <c r="N838" s="890">
        <f t="shared" si="176"/>
        <v>2</v>
      </c>
      <c r="O838" s="344" t="str">
        <f t="shared" si="177"/>
        <v>2CDS212001R0204</v>
      </c>
      <c r="P838" s="344" t="str">
        <f t="shared" si="178"/>
        <v>ITM Riel-Din 2x20A - SH202-C-20A - 10kA@230Vac, 6kA@400Vac-IEC60898 - marca ABB.</v>
      </c>
      <c r="Q838" s="195" t="str">
        <f t="shared" si="179"/>
        <v>SH202-C-20A</v>
      </c>
      <c r="R838" s="195"/>
    </row>
    <row r="839" spans="1:18" s="862" customFormat="1">
      <c r="A839" s="856"/>
      <c r="B839" s="1122">
        <v>2</v>
      </c>
      <c r="C839" s="857" t="str">
        <f>VLOOKUP(D839,base_datos,6,FALSE)</f>
        <v>Interruptor Diferencial 2x25A - 30mA - clase AC - FH202-AC-25A-30mA - marca ABB.</v>
      </c>
      <c r="D839" s="1894" t="s">
        <v>1109</v>
      </c>
      <c r="E839" s="1871">
        <f>VLOOKUP(D839,base_datos,5,FALSE)</f>
        <v>24.41</v>
      </c>
      <c r="F839" s="1878">
        <f>+E839*B839</f>
        <v>48.82</v>
      </c>
      <c r="G839" s="860"/>
      <c r="H839" s="860"/>
      <c r="I839" s="860"/>
      <c r="J839" s="1420"/>
      <c r="K839" s="843">
        <f t="shared" si="187"/>
        <v>1</v>
      </c>
      <c r="L839" s="412">
        <v>1</v>
      </c>
      <c r="M839" s="843">
        <f t="shared" si="188"/>
        <v>2</v>
      </c>
      <c r="N839" s="890">
        <f t="shared" si="176"/>
        <v>2</v>
      </c>
      <c r="O839" s="344" t="str">
        <f t="shared" si="177"/>
        <v>1TMF202006R1250</v>
      </c>
      <c r="P839" s="344" t="str">
        <f t="shared" si="178"/>
        <v>Interruptor Diferencial 2x25A - 30mA - clase AC - FH202-AC-25A-30mA - marca ABB.</v>
      </c>
      <c r="Q839" s="195" t="str">
        <f t="shared" si="179"/>
        <v>FH202-AC-25A-30mA</v>
      </c>
      <c r="R839" s="195"/>
    </row>
    <row r="840" spans="1:18" s="2340" customFormat="1">
      <c r="A840" s="856"/>
      <c r="B840" s="2443">
        <v>1</v>
      </c>
      <c r="C840" s="2444" t="str">
        <f>VLOOKUP(D840,base_datos,6,FALSE)</f>
        <v>Espacio de reserva monofasica + interruptor diferencial - Riel-Din.</v>
      </c>
      <c r="D840" s="2468" t="s">
        <v>3069</v>
      </c>
      <c r="E840" s="2497">
        <f>VLOOKUP(D840,base_datos,5,FALSE)</f>
        <v>2.5</v>
      </c>
      <c r="F840" s="2498">
        <f>+E840*B840</f>
        <v>2.5</v>
      </c>
      <c r="G840" s="2338"/>
      <c r="H840" s="2338"/>
      <c r="I840" s="2338"/>
      <c r="J840" s="2339"/>
      <c r="K840" s="843">
        <f t="shared" si="187"/>
        <v>1</v>
      </c>
      <c r="L840" s="412">
        <v>1</v>
      </c>
      <c r="M840" s="843">
        <f t="shared" si="188"/>
        <v>1</v>
      </c>
      <c r="N840" s="890" t="str">
        <f t="shared" si="176"/>
        <v/>
      </c>
      <c r="O840" s="344" t="str">
        <f t="shared" si="177"/>
        <v/>
      </c>
      <c r="P840" s="344" t="str">
        <f t="shared" si="178"/>
        <v/>
      </c>
      <c r="Q840" s="195" t="str">
        <f t="shared" si="179"/>
        <v/>
      </c>
      <c r="R840" s="195"/>
    </row>
    <row r="841" spans="1:18" s="870" customFormat="1">
      <c r="A841" s="1873"/>
      <c r="B841" s="866">
        <v>1</v>
      </c>
      <c r="C841" s="867" t="s">
        <v>14219</v>
      </c>
      <c r="D841" s="1896"/>
      <c r="E841" s="180">
        <v>32</v>
      </c>
      <c r="F841" s="1921">
        <f>+E841*B841</f>
        <v>32</v>
      </c>
      <c r="G841" s="868"/>
      <c r="H841" s="868"/>
      <c r="I841" s="868"/>
      <c r="J841" s="869"/>
      <c r="K841" s="843">
        <f t="shared" si="187"/>
        <v>1</v>
      </c>
      <c r="L841" s="412">
        <v>1</v>
      </c>
      <c r="M841" s="843">
        <f t="shared" si="188"/>
        <v>1</v>
      </c>
      <c r="N841" s="890" t="str">
        <f t="shared" si="176"/>
        <v/>
      </c>
      <c r="O841" s="344" t="str">
        <f t="shared" si="177"/>
        <v/>
      </c>
      <c r="P841" s="344" t="str">
        <f t="shared" si="178"/>
        <v/>
      </c>
      <c r="Q841" s="195" t="str">
        <f t="shared" si="179"/>
        <v/>
      </c>
    </row>
    <row r="842" spans="1:18" s="195" customFormat="1">
      <c r="A842" s="856"/>
      <c r="B842" s="895"/>
      <c r="C842" s="337" t="s">
        <v>729</v>
      </c>
      <c r="D842" s="182"/>
      <c r="E842" s="1874"/>
      <c r="F842" s="1875"/>
      <c r="G842" s="891"/>
      <c r="H842" s="891"/>
      <c r="I842" s="891"/>
      <c r="J842" s="892"/>
      <c r="K842" s="843">
        <f t="shared" si="187"/>
        <v>1</v>
      </c>
      <c r="L842" s="412">
        <v>1</v>
      </c>
      <c r="M842" s="843">
        <f t="shared" si="188"/>
        <v>1</v>
      </c>
      <c r="N842" s="890" t="str">
        <f t="shared" si="176"/>
        <v/>
      </c>
      <c r="O842" s="344" t="str">
        <f t="shared" si="177"/>
        <v/>
      </c>
      <c r="P842" s="344" t="str">
        <f t="shared" si="178"/>
        <v/>
      </c>
      <c r="Q842" s="195" t="str">
        <f t="shared" si="179"/>
        <v/>
      </c>
    </row>
    <row r="843" spans="1:18" s="870" customFormat="1">
      <c r="A843" s="865"/>
      <c r="B843" s="2385">
        <v>1</v>
      </c>
      <c r="C843" s="2386" t="s">
        <v>316</v>
      </c>
      <c r="D843" s="2387"/>
      <c r="E843" s="1892"/>
      <c r="F843" s="1901"/>
      <c r="G843" s="2396"/>
      <c r="H843" s="2396"/>
      <c r="I843" s="2396"/>
      <c r="J843" s="2397"/>
      <c r="K843" s="843">
        <f t="shared" si="187"/>
        <v>1</v>
      </c>
      <c r="L843" s="412">
        <v>1</v>
      </c>
      <c r="M843" s="843">
        <f t="shared" si="188"/>
        <v>1</v>
      </c>
      <c r="N843" s="890" t="str">
        <f t="shared" si="176"/>
        <v/>
      </c>
      <c r="O843" s="344" t="str">
        <f t="shared" si="177"/>
        <v/>
      </c>
      <c r="P843" s="344" t="str">
        <f t="shared" si="178"/>
        <v/>
      </c>
      <c r="Q843" s="195" t="str">
        <f t="shared" si="179"/>
        <v/>
      </c>
      <c r="R843" s="195"/>
    </row>
    <row r="844" spans="1:18" s="195" customFormat="1">
      <c r="A844" s="1108"/>
      <c r="B844" s="895"/>
      <c r="C844" s="337" t="s">
        <v>729</v>
      </c>
      <c r="D844" s="182"/>
      <c r="E844" s="1874"/>
      <c r="F844" s="1875"/>
      <c r="G844" s="891"/>
      <c r="H844" s="891"/>
      <c r="I844" s="891"/>
      <c r="J844" s="892"/>
      <c r="K844" s="843">
        <f t="shared" si="187"/>
        <v>1</v>
      </c>
      <c r="L844" s="888">
        <v>1</v>
      </c>
      <c r="M844" s="843">
        <f t="shared" si="188"/>
        <v>1</v>
      </c>
      <c r="N844" s="890" t="str">
        <f t="shared" si="176"/>
        <v/>
      </c>
      <c r="O844" s="344" t="str">
        <f t="shared" si="177"/>
        <v/>
      </c>
      <c r="P844" s="344" t="str">
        <f t="shared" si="178"/>
        <v/>
      </c>
      <c r="Q844" s="195" t="str">
        <f t="shared" si="179"/>
        <v/>
      </c>
    </row>
    <row r="845" spans="1:18" s="1088" customFormat="1">
      <c r="A845" s="865"/>
      <c r="B845" s="1085">
        <v>5</v>
      </c>
      <c r="C845" s="904" t="str">
        <f>VLOOKUP(D845,base_datos,6,FALSE)</f>
        <v>Rotulado por circuito.</v>
      </c>
      <c r="D845" s="1881" t="s">
        <v>3210</v>
      </c>
      <c r="E845" s="1892">
        <f>VLOOKUP(D845,base_datos,5,FALSE)</f>
        <v>0.7</v>
      </c>
      <c r="F845" s="1893">
        <f>+E845*B845</f>
        <v>3.5</v>
      </c>
      <c r="G845" s="1086"/>
      <c r="H845" s="1086"/>
      <c r="I845" s="1086"/>
      <c r="J845" s="1087"/>
      <c r="K845" s="843">
        <f t="shared" si="187"/>
        <v>1</v>
      </c>
      <c r="L845" s="888">
        <v>1</v>
      </c>
      <c r="M845" s="843">
        <f t="shared" si="188"/>
        <v>5</v>
      </c>
      <c r="N845" s="890" t="str">
        <f t="shared" ref="N845:N860" si="189">IF(O845&lt;&gt;"",K845*L845*M845,"")</f>
        <v/>
      </c>
      <c r="O845" s="344" t="str">
        <f t="shared" si="177"/>
        <v/>
      </c>
      <c r="P845" s="344" t="str">
        <f t="shared" si="178"/>
        <v/>
      </c>
      <c r="Q845" s="195" t="str">
        <f t="shared" si="179"/>
        <v/>
      </c>
    </row>
    <row r="846" spans="1:18" s="1088" customFormat="1">
      <c r="A846" s="865"/>
      <c r="B846" s="1085">
        <v>1</v>
      </c>
      <c r="C846" s="904" t="str">
        <f>VLOOKUP(D846,base_datos,6,FALSE)</f>
        <v>Rotulado para TAG - tablero de distribución.</v>
      </c>
      <c r="D846" s="1881" t="s">
        <v>3209</v>
      </c>
      <c r="E846" s="1892">
        <f>VLOOKUP(D846,base_datos,5,FALSE)</f>
        <v>1.5</v>
      </c>
      <c r="F846" s="1893">
        <f>+E846*B846</f>
        <v>1.5</v>
      </c>
      <c r="G846" s="1086"/>
      <c r="H846" s="1086"/>
      <c r="I846" s="1086"/>
      <c r="J846" s="1087"/>
      <c r="K846" s="843">
        <f t="shared" si="187"/>
        <v>1</v>
      </c>
      <c r="L846" s="888">
        <v>1</v>
      </c>
      <c r="M846" s="843">
        <f t="shared" si="188"/>
        <v>1</v>
      </c>
      <c r="N846" s="890" t="str">
        <f t="shared" si="189"/>
        <v/>
      </c>
      <c r="O846" s="344" t="str">
        <f t="shared" si="177"/>
        <v/>
      </c>
      <c r="P846" s="344" t="str">
        <f t="shared" si="178"/>
        <v/>
      </c>
      <c r="Q846" s="195" t="str">
        <f t="shared" si="179"/>
        <v/>
      </c>
    </row>
    <row r="847" spans="1:18" s="1479" customFormat="1">
      <c r="A847" s="1128"/>
      <c r="B847" s="1412">
        <v>1</v>
      </c>
      <c r="C847" s="1417" t="s">
        <v>5302</v>
      </c>
      <c r="D847" s="1900"/>
      <c r="E847" s="1901">
        <f>E848*15%</f>
        <v>5.25</v>
      </c>
      <c r="F847" s="1901">
        <f>+E847*B847</f>
        <v>5.25</v>
      </c>
      <c r="G847" s="1902"/>
      <c r="H847" s="1902"/>
      <c r="I847" s="1902"/>
      <c r="J847" s="1414"/>
      <c r="K847" s="889">
        <f>K845</f>
        <v>1</v>
      </c>
      <c r="L847" s="888">
        <v>1</v>
      </c>
      <c r="M847" s="889">
        <f t="shared" si="188"/>
        <v>1</v>
      </c>
      <c r="N847" s="890" t="str">
        <f t="shared" si="189"/>
        <v/>
      </c>
      <c r="O847" s="344" t="str">
        <f t="shared" ref="O847:O849" si="190">IF(D847&lt;&gt;"",IF(VLOOKUP(D847,base_datos,7,FALSE)&lt;&gt;"",VLOOKUP(D847,base_datos,7,FALSE),""),"")</f>
        <v/>
      </c>
      <c r="P847" s="344" t="str">
        <f t="shared" ref="P847:P849" si="191">IF(O847&lt;&gt;"",VLOOKUP(D847,base_datos,6,FALSE),"")</f>
        <v/>
      </c>
      <c r="Q847" s="195" t="str">
        <f t="shared" ref="Q847:Q860" si="192">IF(O847&lt;&gt;"",D847,"")</f>
        <v/>
      </c>
    </row>
    <row r="848" spans="1:18" s="1479" customFormat="1">
      <c r="A848" s="1128"/>
      <c r="B848" s="2499">
        <v>1</v>
      </c>
      <c r="C848" s="867" t="s">
        <v>14220</v>
      </c>
      <c r="D848" s="2500"/>
      <c r="E848" s="1892">
        <v>35</v>
      </c>
      <c r="F848" s="1921">
        <f>+E848*B848</f>
        <v>35</v>
      </c>
      <c r="G848" s="1413"/>
      <c r="H848" s="1413"/>
      <c r="I848" s="1413"/>
      <c r="J848" s="1414"/>
      <c r="K848" s="843">
        <f>K846</f>
        <v>1</v>
      </c>
      <c r="L848" s="888">
        <v>1</v>
      </c>
      <c r="M848" s="843">
        <f t="shared" si="188"/>
        <v>1</v>
      </c>
      <c r="N848" s="890" t="str">
        <f t="shared" si="189"/>
        <v/>
      </c>
      <c r="O848" s="344" t="str">
        <f t="shared" si="190"/>
        <v/>
      </c>
      <c r="P848" s="344" t="str">
        <f t="shared" si="191"/>
        <v/>
      </c>
      <c r="Q848" s="195" t="str">
        <f t="shared" si="192"/>
        <v/>
      </c>
    </row>
    <row r="849" spans="1:18" s="126" customFormat="1" ht="13.5" thickBot="1">
      <c r="A849" s="2331"/>
      <c r="B849" s="1916"/>
      <c r="C849" s="1909"/>
      <c r="D849" s="1917"/>
      <c r="E849" s="873"/>
      <c r="F849" s="873"/>
      <c r="G849" s="1918"/>
      <c r="H849" s="1918"/>
      <c r="I849" s="1918"/>
      <c r="J849" s="1910"/>
      <c r="K849" s="1119"/>
      <c r="L849" s="412"/>
      <c r="M849" s="843"/>
      <c r="N849" s="890" t="str">
        <f t="shared" si="189"/>
        <v/>
      </c>
      <c r="O849" s="344" t="str">
        <f t="shared" si="190"/>
        <v/>
      </c>
      <c r="P849" s="344" t="str">
        <f t="shared" si="191"/>
        <v/>
      </c>
      <c r="Q849" s="195" t="str">
        <f t="shared" si="192"/>
        <v/>
      </c>
      <c r="R849" s="195"/>
    </row>
    <row r="850" spans="1:18">
      <c r="N850" s="890" t="str">
        <f t="shared" si="189"/>
        <v/>
      </c>
      <c r="O850" s="344" t="str">
        <f t="shared" ref="O850:O860" si="193">IF(D850&lt;&gt;"",IF(VLOOKUP(D850,base_datos,7,FALSE)&lt;&gt;"",VLOOKUP(D850,base_datos,7,FALSE),""),"")</f>
        <v/>
      </c>
      <c r="P850" s="344" t="str">
        <f t="shared" ref="P850:P860" si="194">IF(O850&lt;&gt;"",VLOOKUP(D850,base_datos,6,FALSE),"")</f>
        <v/>
      </c>
      <c r="Q850" s="195" t="str">
        <f t="shared" si="192"/>
        <v/>
      </c>
      <c r="R850" s="195"/>
    </row>
    <row r="851" spans="1:18">
      <c r="N851" s="890" t="str">
        <f t="shared" si="189"/>
        <v/>
      </c>
      <c r="O851" s="344" t="str">
        <f t="shared" si="193"/>
        <v/>
      </c>
      <c r="P851" s="344" t="str">
        <f t="shared" si="194"/>
        <v/>
      </c>
      <c r="Q851" s="195" t="str">
        <f t="shared" si="192"/>
        <v/>
      </c>
      <c r="R851" s="195"/>
    </row>
    <row r="852" spans="1:18">
      <c r="A852" s="434" t="s">
        <v>742</v>
      </c>
      <c r="B852" s="434"/>
      <c r="C852" s="193"/>
      <c r="D852" s="126"/>
      <c r="E852" s="876"/>
      <c r="F852" s="879"/>
      <c r="G852" s="877"/>
      <c r="H852" s="877"/>
      <c r="I852" s="877"/>
      <c r="J852" s="875"/>
      <c r="N852" s="890" t="str">
        <f t="shared" si="189"/>
        <v/>
      </c>
      <c r="O852" s="344" t="str">
        <f t="shared" si="193"/>
        <v/>
      </c>
      <c r="P852" s="344" t="str">
        <f t="shared" si="194"/>
        <v/>
      </c>
      <c r="Q852" s="195" t="str">
        <f t="shared" si="192"/>
        <v/>
      </c>
      <c r="R852" s="195"/>
    </row>
    <row r="853" spans="1:18" s="22" customFormat="1">
      <c r="A853" s="760"/>
      <c r="B853" s="1925"/>
      <c r="C853" s="1143"/>
      <c r="D853" s="1926"/>
      <c r="E853" s="1927"/>
      <c r="F853" s="1928"/>
      <c r="G853" s="1928"/>
      <c r="H853" s="1928"/>
      <c r="I853" s="1928"/>
      <c r="J853" s="1928"/>
      <c r="K853" s="884"/>
      <c r="L853" s="1929"/>
      <c r="M853" s="884"/>
      <c r="N853" s="1808" t="str">
        <f t="shared" si="189"/>
        <v/>
      </c>
      <c r="O853" s="1930" t="str">
        <f t="shared" si="193"/>
        <v/>
      </c>
      <c r="P853" s="1930" t="str">
        <f t="shared" si="194"/>
        <v/>
      </c>
      <c r="Q853" s="21" t="str">
        <f t="shared" si="192"/>
        <v/>
      </c>
      <c r="R853" s="21"/>
    </row>
    <row r="854" spans="1:18" s="22" customFormat="1">
      <c r="A854" s="760"/>
      <c r="B854" s="1931" t="s">
        <v>1591</v>
      </c>
      <c r="C854" s="1143" t="s">
        <v>4132</v>
      </c>
      <c r="D854" s="1926"/>
      <c r="E854" s="1927"/>
      <c r="F854" s="1928"/>
      <c r="G854" s="1928"/>
      <c r="H854" s="1928"/>
      <c r="I854" s="1928"/>
      <c r="J854" s="1928"/>
      <c r="K854" s="884"/>
      <c r="L854" s="1929"/>
      <c r="M854" s="884"/>
      <c r="N854" s="1808" t="str">
        <f t="shared" si="189"/>
        <v/>
      </c>
      <c r="O854" s="1930" t="str">
        <f t="shared" si="193"/>
        <v/>
      </c>
      <c r="P854" s="1930" t="str">
        <f t="shared" si="194"/>
        <v/>
      </c>
      <c r="Q854" s="21" t="str">
        <f t="shared" si="192"/>
        <v/>
      </c>
      <c r="R854" s="21"/>
    </row>
    <row r="855" spans="1:18" s="22" customFormat="1">
      <c r="A855" s="760"/>
      <c r="B855" s="1925"/>
      <c r="C855" s="1143" t="s">
        <v>4133</v>
      </c>
      <c r="D855" s="1926"/>
      <c r="E855" s="1927"/>
      <c r="F855" s="1928"/>
      <c r="G855" s="1928"/>
      <c r="H855" s="1928"/>
      <c r="I855" s="1928"/>
      <c r="J855" s="1928"/>
      <c r="K855" s="884"/>
      <c r="L855" s="1929"/>
      <c r="M855" s="884"/>
      <c r="N855" s="1808" t="str">
        <f t="shared" si="189"/>
        <v/>
      </c>
      <c r="O855" s="1930" t="str">
        <f t="shared" si="193"/>
        <v/>
      </c>
      <c r="P855" s="1930" t="str">
        <f t="shared" si="194"/>
        <v/>
      </c>
      <c r="Q855" s="21" t="str">
        <f t="shared" si="192"/>
        <v/>
      </c>
      <c r="R855" s="21"/>
    </row>
    <row r="856" spans="1:18" s="22" customFormat="1">
      <c r="A856" s="760"/>
      <c r="B856" s="1925"/>
      <c r="C856" s="1143"/>
      <c r="D856" s="1926"/>
      <c r="E856" s="1927"/>
      <c r="F856" s="1928"/>
      <c r="G856" s="1928"/>
      <c r="H856" s="1928"/>
      <c r="I856" s="1928"/>
      <c r="J856" s="1928"/>
      <c r="K856" s="884"/>
      <c r="L856" s="1929"/>
      <c r="M856" s="884"/>
      <c r="N856" s="1808" t="str">
        <f t="shared" si="189"/>
        <v/>
      </c>
      <c r="O856" s="1930" t="str">
        <f t="shared" si="193"/>
        <v/>
      </c>
      <c r="P856" s="1930" t="str">
        <f t="shared" si="194"/>
        <v/>
      </c>
      <c r="Q856" s="21" t="str">
        <f t="shared" si="192"/>
        <v/>
      </c>
      <c r="R856" s="21"/>
    </row>
    <row r="857" spans="1:18" s="22" customFormat="1">
      <c r="A857" s="760"/>
      <c r="B857" s="1931" t="s">
        <v>2809</v>
      </c>
      <c r="C857" s="1143" t="s">
        <v>9505</v>
      </c>
      <c r="D857" s="1926"/>
      <c r="E857" s="1927"/>
      <c r="F857" s="1928"/>
      <c r="G857" s="1928"/>
      <c r="H857" s="1928"/>
      <c r="I857" s="1928"/>
      <c r="J857" s="1928"/>
      <c r="K857" s="884"/>
      <c r="L857" s="1929"/>
      <c r="M857" s="884"/>
      <c r="N857" s="1808" t="str">
        <f t="shared" si="189"/>
        <v/>
      </c>
      <c r="O857" s="1930" t="str">
        <f t="shared" si="193"/>
        <v/>
      </c>
      <c r="P857" s="1930" t="str">
        <f t="shared" si="194"/>
        <v/>
      </c>
      <c r="Q857" s="21" t="str">
        <f t="shared" si="192"/>
        <v/>
      </c>
      <c r="R857" s="21"/>
    </row>
    <row r="858" spans="1:18" s="22" customFormat="1">
      <c r="A858" s="760"/>
      <c r="B858" s="1925"/>
      <c r="C858" s="1143" t="s">
        <v>9506</v>
      </c>
      <c r="D858" s="1926"/>
      <c r="E858" s="1927"/>
      <c r="F858" s="1928"/>
      <c r="G858" s="1928"/>
      <c r="H858" s="1928"/>
      <c r="I858" s="1928"/>
      <c r="J858" s="1928"/>
      <c r="K858" s="884"/>
      <c r="L858" s="1929"/>
      <c r="M858" s="884"/>
      <c r="N858" s="1808" t="str">
        <f t="shared" si="189"/>
        <v/>
      </c>
      <c r="O858" s="1930" t="str">
        <f t="shared" si="193"/>
        <v/>
      </c>
      <c r="P858" s="1930" t="str">
        <f t="shared" si="194"/>
        <v/>
      </c>
      <c r="Q858" s="21" t="str">
        <f t="shared" si="192"/>
        <v/>
      </c>
      <c r="R858" s="21"/>
    </row>
    <row r="859" spans="1:18" s="22" customFormat="1">
      <c r="A859" s="760"/>
      <c r="B859" s="1925"/>
      <c r="C859" s="1143" t="s">
        <v>9507</v>
      </c>
      <c r="D859" s="1926"/>
      <c r="E859" s="1927"/>
      <c r="F859" s="1928"/>
      <c r="G859" s="1928"/>
      <c r="H859" s="1928"/>
      <c r="I859" s="1928"/>
      <c r="J859" s="1928"/>
      <c r="K859" s="884"/>
      <c r="L859" s="1929"/>
      <c r="M859" s="884"/>
      <c r="N859" s="1808" t="str">
        <f t="shared" si="189"/>
        <v/>
      </c>
      <c r="O859" s="1930" t="str">
        <f t="shared" si="193"/>
        <v/>
      </c>
      <c r="P859" s="1930" t="str">
        <f t="shared" si="194"/>
        <v/>
      </c>
      <c r="Q859" s="21" t="str">
        <f t="shared" si="192"/>
        <v/>
      </c>
      <c r="R859" s="21"/>
    </row>
    <row r="860" spans="1:18" s="22" customFormat="1">
      <c r="A860" s="760"/>
      <c r="B860" s="1925"/>
      <c r="C860" s="1143"/>
      <c r="D860" s="1926"/>
      <c r="E860" s="1927"/>
      <c r="F860" s="1928"/>
      <c r="G860" s="1928"/>
      <c r="H860" s="1928"/>
      <c r="I860" s="1928"/>
      <c r="J860" s="1928"/>
      <c r="K860" s="884"/>
      <c r="L860" s="1929"/>
      <c r="M860" s="884"/>
      <c r="N860" s="1808" t="str">
        <f t="shared" si="189"/>
        <v/>
      </c>
      <c r="O860" s="1930" t="str">
        <f t="shared" si="193"/>
        <v/>
      </c>
      <c r="P860" s="1930" t="str">
        <f t="shared" si="194"/>
        <v/>
      </c>
      <c r="Q860" s="21" t="str">
        <f t="shared" si="192"/>
        <v/>
      </c>
      <c r="R860" s="21"/>
    </row>
    <row r="861" spans="1:18" s="22" customFormat="1">
      <c r="A861" s="760"/>
      <c r="B861" s="1931" t="s">
        <v>1832</v>
      </c>
      <c r="C861" s="1143" t="s">
        <v>14221</v>
      </c>
      <c r="D861" s="1926"/>
      <c r="E861" s="1927"/>
      <c r="F861" s="1928"/>
      <c r="G861" s="1928"/>
      <c r="H861" s="1928"/>
      <c r="I861" s="1928"/>
      <c r="J861" s="1928"/>
      <c r="K861" s="884"/>
      <c r="L861" s="1929"/>
      <c r="M861" s="884"/>
      <c r="N861" s="1808"/>
      <c r="O861" s="1930"/>
      <c r="P861" s="1930"/>
      <c r="Q861" s="21"/>
      <c r="R861" s="21"/>
    </row>
    <row r="862" spans="1:18" s="22" customFormat="1">
      <c r="A862" s="760"/>
      <c r="B862" s="1925"/>
      <c r="C862" s="1143" t="s">
        <v>9508</v>
      </c>
      <c r="D862" s="1926"/>
      <c r="E862" s="1927"/>
      <c r="F862" s="1928"/>
      <c r="G862" s="1928"/>
      <c r="H862" s="1928"/>
      <c r="I862" s="1928"/>
      <c r="J862" s="1928"/>
      <c r="K862" s="884"/>
      <c r="L862" s="1929"/>
      <c r="M862" s="884"/>
      <c r="N862" s="1808"/>
      <c r="O862" s="1930"/>
      <c r="P862" s="1930"/>
      <c r="Q862" s="21"/>
      <c r="R862" s="21"/>
    </row>
    <row r="863" spans="1:18" s="22" customFormat="1">
      <c r="A863" s="760"/>
      <c r="B863" s="1925"/>
      <c r="C863" s="1143"/>
      <c r="D863" s="1926"/>
      <c r="E863" s="1927"/>
      <c r="F863" s="1928"/>
      <c r="G863" s="1928"/>
      <c r="H863" s="1928"/>
      <c r="I863" s="1928"/>
      <c r="J863" s="1928"/>
      <c r="K863" s="884"/>
      <c r="L863" s="1929"/>
      <c r="M863" s="884"/>
      <c r="N863" s="1808"/>
      <c r="O863" s="1930"/>
      <c r="P863" s="1930"/>
      <c r="Q863" s="21"/>
      <c r="R863" s="21"/>
    </row>
    <row r="864" spans="1:18" s="22" customFormat="1">
      <c r="A864" s="760"/>
      <c r="B864" s="1931" t="s">
        <v>1833</v>
      </c>
      <c r="C864" s="1143" t="s">
        <v>9509</v>
      </c>
      <c r="D864" s="1926"/>
      <c r="E864" s="1927"/>
      <c r="F864" s="1928"/>
      <c r="G864" s="1928"/>
      <c r="H864" s="1928"/>
      <c r="I864" s="1928"/>
      <c r="J864" s="1928"/>
      <c r="K864" s="884"/>
      <c r="L864" s="1929"/>
      <c r="M864" s="884"/>
      <c r="N864" s="1808"/>
      <c r="O864" s="1930"/>
      <c r="P864" s="1930"/>
      <c r="Q864" s="21"/>
      <c r="R864" s="21"/>
    </row>
    <row r="865" spans="1:18" s="22" customFormat="1">
      <c r="A865" s="760"/>
      <c r="B865" s="1925"/>
      <c r="C865" s="1143" t="s">
        <v>9510</v>
      </c>
      <c r="D865" s="1926"/>
      <c r="E865" s="1927"/>
      <c r="F865" s="1928"/>
      <c r="G865" s="1928"/>
      <c r="H865" s="1928"/>
      <c r="I865" s="1928"/>
      <c r="J865" s="1928"/>
      <c r="K865" s="884"/>
      <c r="L865" s="1929"/>
      <c r="M865" s="884"/>
      <c r="N865" s="1808"/>
      <c r="O865" s="1930"/>
      <c r="P865" s="1930"/>
      <c r="Q865" s="21"/>
      <c r="R865" s="21"/>
    </row>
    <row r="866" spans="1:18" s="22" customFormat="1">
      <c r="A866" s="760"/>
      <c r="B866" s="1925"/>
      <c r="C866" s="1143" t="s">
        <v>9511</v>
      </c>
      <c r="D866" s="1926"/>
      <c r="E866" s="1927"/>
      <c r="F866" s="1928"/>
      <c r="G866" s="1928"/>
      <c r="H866" s="1928"/>
      <c r="I866" s="1928"/>
      <c r="J866" s="1928"/>
      <c r="K866" s="884"/>
      <c r="L866" s="1929"/>
      <c r="M866" s="884"/>
      <c r="N866" s="1808"/>
      <c r="O866" s="1930"/>
      <c r="P866" s="1930"/>
      <c r="Q866" s="21"/>
      <c r="R866" s="21"/>
    </row>
    <row r="867" spans="1:18" s="22" customFormat="1">
      <c r="A867" s="760"/>
      <c r="B867" s="1925"/>
      <c r="C867" s="1143" t="s">
        <v>9512</v>
      </c>
      <c r="D867" s="1926"/>
      <c r="E867" s="1927"/>
      <c r="F867" s="1928"/>
      <c r="G867" s="1928"/>
      <c r="H867" s="1928"/>
      <c r="I867" s="1928"/>
      <c r="J867" s="1928"/>
      <c r="K867" s="884"/>
      <c r="L867" s="1929"/>
      <c r="M867" s="884"/>
      <c r="N867" s="1808"/>
      <c r="O867" s="1930"/>
      <c r="P867" s="1930"/>
      <c r="Q867" s="21"/>
      <c r="R867" s="21"/>
    </row>
    <row r="868" spans="1:18" s="22" customFormat="1">
      <c r="A868" s="884"/>
      <c r="B868" s="884"/>
      <c r="C868" s="1932"/>
      <c r="E868" s="1933"/>
      <c r="F868" s="1217"/>
      <c r="G868" s="1934"/>
      <c r="H868" s="1934"/>
      <c r="I868" s="1934"/>
      <c r="J868" s="1935"/>
      <c r="K868" s="884"/>
      <c r="L868" s="1929"/>
      <c r="M868" s="884"/>
      <c r="N868" s="1936"/>
      <c r="O868" s="1932"/>
      <c r="Q868" s="1937"/>
    </row>
    <row r="869" spans="1:18" s="22" customFormat="1">
      <c r="A869" s="884"/>
      <c r="B869" s="1931" t="s">
        <v>3296</v>
      </c>
      <c r="C869" s="1143" t="s">
        <v>14222</v>
      </c>
      <c r="E869" s="1933"/>
      <c r="F869" s="1217"/>
      <c r="G869" s="1934"/>
      <c r="H869" s="1934"/>
      <c r="I869" s="1934"/>
      <c r="J869" s="1935"/>
      <c r="K869" s="884"/>
      <c r="L869" s="1929"/>
      <c r="M869" s="884"/>
      <c r="N869" s="1936"/>
      <c r="O869" s="1932"/>
      <c r="Q869" s="1937"/>
    </row>
    <row r="870" spans="1:18" s="22" customFormat="1">
      <c r="A870" s="884"/>
      <c r="B870" s="884"/>
      <c r="C870" s="1143" t="s">
        <v>14223</v>
      </c>
      <c r="E870" s="1933"/>
      <c r="F870" s="1217"/>
      <c r="G870" s="1934"/>
      <c r="H870" s="1934"/>
      <c r="I870" s="1934"/>
      <c r="J870" s="1935"/>
      <c r="K870" s="884"/>
      <c r="L870" s="1929"/>
      <c r="M870" s="884"/>
      <c r="N870" s="1936"/>
      <c r="O870" s="1932"/>
      <c r="Q870" s="1937"/>
    </row>
    <row r="871" spans="1:18" s="22" customFormat="1">
      <c r="A871" s="884"/>
      <c r="B871" s="884"/>
      <c r="C871" s="1932"/>
      <c r="E871" s="1933"/>
      <c r="F871" s="1217"/>
      <c r="G871" s="1934"/>
      <c r="H871" s="1934"/>
      <c r="I871" s="1934"/>
      <c r="J871" s="1935"/>
      <c r="K871" s="884"/>
      <c r="L871" s="1929"/>
      <c r="M871" s="884"/>
      <c r="N871" s="1936"/>
      <c r="O871" s="1932"/>
      <c r="Q871" s="1937"/>
    </row>
    <row r="872" spans="1:18" s="22" customFormat="1">
      <c r="A872" s="884"/>
      <c r="B872" s="1931" t="s">
        <v>3297</v>
      </c>
      <c r="C872" s="1143" t="s">
        <v>14224</v>
      </c>
      <c r="E872" s="1933"/>
      <c r="F872" s="1217"/>
      <c r="G872" s="1934"/>
      <c r="H872" s="1934"/>
      <c r="I872" s="1934"/>
      <c r="J872" s="1935"/>
      <c r="K872" s="884"/>
      <c r="L872" s="1929"/>
      <c r="M872" s="884"/>
      <c r="N872" s="1936"/>
      <c r="O872" s="1932"/>
      <c r="Q872" s="1937"/>
    </row>
    <row r="873" spans="1:18" s="22" customFormat="1">
      <c r="A873" s="884"/>
      <c r="B873" s="884"/>
      <c r="C873" s="1143"/>
      <c r="E873" s="1933"/>
      <c r="F873" s="1217"/>
      <c r="G873" s="1934"/>
      <c r="H873" s="1934"/>
      <c r="I873" s="1934"/>
      <c r="J873" s="1935"/>
      <c r="K873" s="884"/>
      <c r="L873" s="1929"/>
      <c r="M873" s="884"/>
      <c r="N873" s="1936"/>
      <c r="O873" s="1932"/>
      <c r="Q873" s="1937"/>
    </row>
    <row r="874" spans="1:18" s="22" customFormat="1">
      <c r="A874" s="884"/>
      <c r="B874" s="1931" t="s">
        <v>3314</v>
      </c>
      <c r="C874" s="1317" t="s">
        <v>14225</v>
      </c>
      <c r="E874" s="1933"/>
      <c r="F874" s="1217"/>
      <c r="G874" s="1934"/>
      <c r="H874" s="1934"/>
      <c r="I874" s="1934"/>
      <c r="J874" s="1935"/>
      <c r="K874" s="884"/>
      <c r="L874" s="1929"/>
      <c r="M874" s="884"/>
      <c r="N874" s="1936"/>
      <c r="O874" s="1932"/>
      <c r="Q874" s="1937"/>
    </row>
    <row r="875" spans="1:18">
      <c r="C875" s="1317" t="s">
        <v>14226</v>
      </c>
    </row>
    <row r="876" spans="1:18">
      <c r="C876"/>
    </row>
    <row r="877" spans="1:18">
      <c r="B877" s="1931" t="s">
        <v>3298</v>
      </c>
      <c r="C877" s="1143" t="s">
        <v>14227</v>
      </c>
    </row>
    <row r="878" spans="1:18">
      <c r="C878" s="1143"/>
    </row>
    <row r="879" spans="1:18">
      <c r="B879" s="1931" t="s">
        <v>3960</v>
      </c>
      <c r="C879" s="1143" t="s">
        <v>14228</v>
      </c>
    </row>
    <row r="880" spans="1:18">
      <c r="C880" s="1143" t="s">
        <v>14229</v>
      </c>
    </row>
  </sheetData>
  <autoFilter ref="A7:J882" xr:uid="{00000000-0009-0000-0000-000000000000}"/>
  <mergeCells count="19">
    <mergeCell ref="A5:A6"/>
    <mergeCell ref="I5:J5"/>
    <mergeCell ref="A7:A8"/>
    <mergeCell ref="B7:B8"/>
    <mergeCell ref="C7:C8"/>
    <mergeCell ref="D7:D8"/>
    <mergeCell ref="E5:F6"/>
    <mergeCell ref="B1:C1"/>
    <mergeCell ref="G5:H6"/>
    <mergeCell ref="K5:N5"/>
    <mergeCell ref="K6:N6"/>
    <mergeCell ref="I1:J4"/>
    <mergeCell ref="B2:C2"/>
    <mergeCell ref="B3:C3"/>
    <mergeCell ref="B4:C4"/>
    <mergeCell ref="K1:L1"/>
    <mergeCell ref="K2:L2"/>
    <mergeCell ref="K3:L3"/>
    <mergeCell ref="K4:L4"/>
  </mergeCells>
  <phoneticPr fontId="27" type="noConversion"/>
  <printOptions horizontalCentered="1"/>
  <pageMargins left="1" right="1" top="1" bottom="1" header="0.5" footer="0.5"/>
  <pageSetup paperSize="9" scale="10" orientation="portrait" horizontalDpi="1200" verticalDpi="1200" r:id="rId1"/>
  <headerFooter scaleWithDoc="0">
    <oddFooter>&amp;C&amp;G</oddFooter>
  </headerFooter>
  <drawing r:id="rId2"/>
  <legacyDrawing r:id="rId3"/>
  <legacyDrawingHF r:id="rId4"/>
  <controls>
    <mc:AlternateContent xmlns:mc="http://schemas.openxmlformats.org/markup-compatibility/2006">
      <mc:Choice Requires="x14">
        <control shapeId="524484" r:id="rId5" name="Contabilizar_Button">
          <controlPr defaultSize="0" autoLine="0" r:id="rId6">
            <anchor moveWithCells="1">
              <from>
                <xdr:col>3</xdr:col>
                <xdr:colOff>962025</xdr:colOff>
                <xdr:row>1</xdr:row>
                <xdr:rowOff>180975</xdr:rowOff>
              </from>
              <to>
                <xdr:col>4</xdr:col>
                <xdr:colOff>9525</xdr:colOff>
                <xdr:row>3</xdr:row>
                <xdr:rowOff>152400</xdr:rowOff>
              </to>
            </anchor>
          </controlPr>
        </control>
      </mc:Choice>
      <mc:Fallback>
        <control shapeId="524484" r:id="rId5" name="Contabilizar_Button"/>
      </mc:Fallback>
    </mc:AlternateContent>
    <mc:AlternateContent xmlns:mc="http://schemas.openxmlformats.org/markup-compatibility/2006">
      <mc:Choice Requires="x14">
        <control shapeId="44909" r:id="rId7" name="Enumerar_Button">
          <controlPr defaultSize="0" autoLine="0" r:id="rId8">
            <anchor moveWithCells="1">
              <from>
                <xdr:col>3</xdr:col>
                <xdr:colOff>971550</xdr:colOff>
                <xdr:row>0</xdr:row>
                <xdr:rowOff>76200</xdr:rowOff>
              </from>
              <to>
                <xdr:col>4</xdr:col>
                <xdr:colOff>0</xdr:colOff>
                <xdr:row>1</xdr:row>
                <xdr:rowOff>161925</xdr:rowOff>
              </to>
            </anchor>
          </controlPr>
        </control>
      </mc:Choice>
      <mc:Fallback>
        <control shapeId="44909" r:id="rId7" name="Enumerar_Button"/>
      </mc:Fallback>
    </mc:AlternateContent>
    <mc:AlternateContent xmlns:mc="http://schemas.openxmlformats.org/markup-compatibility/2006">
      <mc:Choice Requires="x14">
        <control shapeId="44078" r:id="rId9" name="RedPre_Button">
          <controlPr defaultSize="0" autoLine="0" r:id="rId10">
            <anchor moveWithCells="1">
              <from>
                <xdr:col>4</xdr:col>
                <xdr:colOff>47625</xdr:colOff>
                <xdr:row>0</xdr:row>
                <xdr:rowOff>76200</xdr:rowOff>
              </from>
              <to>
                <xdr:col>5</xdr:col>
                <xdr:colOff>466725</xdr:colOff>
                <xdr:row>3</xdr:row>
                <xdr:rowOff>161925</xdr:rowOff>
              </to>
            </anchor>
          </controlPr>
        </control>
      </mc:Choice>
      <mc:Fallback>
        <control shapeId="44078" r:id="rId9" name="RedPre_Button"/>
      </mc:Fallback>
    </mc:AlternateContent>
    <mc:AlternateContent xmlns:mc="http://schemas.openxmlformats.org/markup-compatibility/2006">
      <mc:Choice Requires="x14">
        <control shapeId="44755" r:id="rId11" name="CambMarca_Button">
          <controlPr defaultSize="0" autoLine="0" r:id="rId12">
            <anchor moveWithCells="1">
              <from>
                <xdr:col>5</xdr:col>
                <xdr:colOff>504825</xdr:colOff>
                <xdr:row>0</xdr:row>
                <xdr:rowOff>66675</xdr:rowOff>
              </from>
              <to>
                <xdr:col>7</xdr:col>
                <xdr:colOff>142875</xdr:colOff>
                <xdr:row>2</xdr:row>
                <xdr:rowOff>76200</xdr:rowOff>
              </to>
            </anchor>
          </controlPr>
        </control>
      </mc:Choice>
      <mc:Fallback>
        <control shapeId="44755" r:id="rId11" name="CambMarca_Button"/>
      </mc:Fallback>
    </mc:AlternateContent>
    <mc:AlternateContent xmlns:mc="http://schemas.openxmlformats.org/markup-compatibility/2006">
      <mc:Choice Requires="x14">
        <control shapeId="44757" r:id="rId13" name="Marca_ComboBox">
          <controlPr defaultSize="0" autoLine="0" listFillRange="'Datos(temp)'!E5:E10" r:id="rId14">
            <anchor moveWithCells="1">
              <from>
                <xdr:col>5</xdr:col>
                <xdr:colOff>523875</xdr:colOff>
                <xdr:row>2</xdr:row>
                <xdr:rowOff>123825</xdr:rowOff>
              </from>
              <to>
                <xdr:col>7</xdr:col>
                <xdr:colOff>161925</xdr:colOff>
                <xdr:row>3</xdr:row>
                <xdr:rowOff>123825</xdr:rowOff>
              </to>
            </anchor>
          </controlPr>
        </control>
      </mc:Choice>
      <mc:Fallback>
        <control shapeId="44757" r:id="rId13" name="Marca_ComboBox"/>
      </mc:Fallback>
    </mc:AlternateContent>
    <mc:AlternateContent xmlns:mc="http://schemas.openxmlformats.org/markup-compatibility/2006">
      <mc:Choice Requires="x14">
        <control shapeId="44906" r:id="rId15" name="ActBase_Button">
          <controlPr defaultSize="0" autoLine="0" r:id="rId16">
            <anchor moveWithCells="1">
              <from>
                <xdr:col>3</xdr:col>
                <xdr:colOff>76200</xdr:colOff>
                <xdr:row>0</xdr:row>
                <xdr:rowOff>66675</xdr:rowOff>
              </from>
              <to>
                <xdr:col>3</xdr:col>
                <xdr:colOff>933450</xdr:colOff>
                <xdr:row>3</xdr:row>
                <xdr:rowOff>161925</xdr:rowOff>
              </to>
            </anchor>
          </controlPr>
        </control>
      </mc:Choice>
      <mc:Fallback>
        <control shapeId="44906" r:id="rId15" name="ActBase_Button"/>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'Datos(temp)'!$F$5:$F$20</xm:f>
          </x14:formula1>
          <xm:sqref>B1:C1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pageSetUpPr fitToPage="1"/>
  </sheetPr>
  <dimension ref="A1:AD10023"/>
  <sheetViews>
    <sheetView topLeftCell="A10" zoomScale="115" zoomScaleNormal="115" workbookViewId="0">
      <selection activeCell="B30" sqref="B30"/>
    </sheetView>
  </sheetViews>
  <sheetFormatPr baseColWidth="10" defaultColWidth="11.42578125" defaultRowHeight="12.75"/>
  <cols>
    <col min="1" max="1" width="7.7109375" style="138" customWidth="1"/>
    <col min="2" max="2" width="36.140625" style="142" customWidth="1"/>
    <col min="3" max="3" width="14.7109375" style="235" customWidth="1"/>
    <col min="4" max="4" width="14.7109375" style="213" customWidth="1"/>
    <col min="5" max="5" width="12.7109375" style="226" customWidth="1"/>
    <col min="6" max="6" width="14.7109375" style="155" customWidth="1"/>
    <col min="7" max="7" width="121.28515625" style="143" customWidth="1"/>
    <col min="8" max="8" width="20.42578125" style="196" customWidth="1"/>
    <col min="9" max="9" width="10" style="196" customWidth="1"/>
    <col min="10" max="10" width="10.140625" style="196" customWidth="1"/>
    <col min="11" max="11" width="9.5703125" style="196" bestFit="1" customWidth="1"/>
    <col min="12" max="16384" width="11.42578125" style="138"/>
  </cols>
  <sheetData>
    <row r="1" spans="1:11" s="117" customFormat="1">
      <c r="A1" s="422"/>
      <c r="B1" s="151"/>
      <c r="C1" s="228"/>
      <c r="D1" s="408"/>
      <c r="E1" s="228"/>
      <c r="F1" s="585"/>
      <c r="G1" s="152"/>
      <c r="H1" s="152"/>
      <c r="I1" s="339"/>
      <c r="J1" s="589"/>
      <c r="K1" s="520"/>
    </row>
    <row r="2" spans="1:11" s="117" customFormat="1" ht="18">
      <c r="A2" s="422"/>
      <c r="B2" s="1464" t="s">
        <v>4276</v>
      </c>
      <c r="C2" s="228"/>
      <c r="D2" s="408"/>
      <c r="E2" s="228"/>
      <c r="F2" s="585"/>
      <c r="G2" s="152"/>
      <c r="H2" s="152"/>
      <c r="I2" s="339"/>
      <c r="J2" s="589"/>
      <c r="K2" s="520"/>
    </row>
    <row r="3" spans="1:11" s="194" customFormat="1">
      <c r="A3" s="422"/>
      <c r="B3" s="151"/>
      <c r="C3" s="209"/>
      <c r="D3" s="244"/>
      <c r="E3" s="228"/>
      <c r="F3" s="340"/>
      <c r="G3" s="152"/>
      <c r="H3" s="152"/>
      <c r="I3" s="339"/>
      <c r="J3" s="339"/>
    </row>
    <row r="4" spans="1:11" s="196" customFormat="1" ht="27.95" customHeight="1">
      <c r="A4" s="423"/>
      <c r="B4" s="2054" t="s">
        <v>11055</v>
      </c>
      <c r="C4" s="209"/>
      <c r="D4" s="243"/>
      <c r="E4" s="228"/>
      <c r="F4" s="340"/>
      <c r="G4" s="192"/>
      <c r="H4" s="339"/>
      <c r="I4" s="339"/>
      <c r="K4" s="194"/>
    </row>
    <row r="5" spans="1:11" s="196" customFormat="1" ht="13.5" thickBot="1">
      <c r="A5" s="418"/>
      <c r="B5" s="146"/>
      <c r="C5" s="236"/>
      <c r="D5" s="219"/>
      <c r="E5" s="117"/>
      <c r="F5" s="161"/>
      <c r="G5" s="147"/>
      <c r="H5" s="194"/>
      <c r="I5" s="194"/>
      <c r="J5" s="194"/>
      <c r="K5" s="194"/>
    </row>
    <row r="6" spans="1:11" s="196" customFormat="1" ht="20.100000000000001" customHeight="1">
      <c r="A6" s="424"/>
      <c r="B6" s="1618" t="s">
        <v>1029</v>
      </c>
      <c r="C6" s="1619" t="s">
        <v>1026</v>
      </c>
      <c r="D6" s="1620" t="s">
        <v>1027</v>
      </c>
      <c r="E6" s="1621" t="s">
        <v>1028</v>
      </c>
      <c r="F6" s="1621" t="s">
        <v>1031</v>
      </c>
      <c r="G6" s="1622" t="s">
        <v>1030</v>
      </c>
      <c r="H6" s="549"/>
      <c r="I6" s="117"/>
      <c r="J6" s="117"/>
      <c r="K6" s="194"/>
    </row>
    <row r="7" spans="1:11" s="196" customFormat="1" ht="15">
      <c r="A7" s="424"/>
      <c r="B7" s="2070" t="s">
        <v>11649</v>
      </c>
      <c r="C7" s="763">
        <v>0.22</v>
      </c>
      <c r="D7" s="403">
        <v>0.25</v>
      </c>
      <c r="E7" s="404">
        <v>0.15</v>
      </c>
      <c r="F7" s="404">
        <v>0.02</v>
      </c>
      <c r="G7" s="1623">
        <f>1-(1-C7)*(1-D7)*(1-E7)*(1-F7)</f>
        <v>0.51269500000000001</v>
      </c>
      <c r="H7" s="2073" t="s">
        <v>11651</v>
      </c>
      <c r="I7" s="117"/>
      <c r="J7" s="117"/>
      <c r="K7" s="194"/>
    </row>
    <row r="8" spans="1:11" s="194" customFormat="1" ht="15">
      <c r="A8" s="424"/>
      <c r="B8" s="2071" t="s">
        <v>11650</v>
      </c>
      <c r="C8" s="763">
        <v>0.22</v>
      </c>
      <c r="D8" s="403">
        <v>0.25</v>
      </c>
      <c r="E8" s="404">
        <v>0.15</v>
      </c>
      <c r="F8" s="404">
        <v>0.02</v>
      </c>
      <c r="G8" s="1623">
        <f t="shared" ref="G8:G11" si="0">1-(1-C8)*(1-D8)*(1-E8)*(1-F8)</f>
        <v>0.51269500000000001</v>
      </c>
      <c r="H8" s="2073" t="s">
        <v>4947</v>
      </c>
      <c r="I8" s="117"/>
      <c r="J8" s="117"/>
    </row>
    <row r="9" spans="1:11" s="194" customFormat="1" ht="15.75" thickBot="1">
      <c r="A9" s="424"/>
      <c r="B9" s="2072" t="s">
        <v>5179</v>
      </c>
      <c r="C9" s="1722">
        <v>0</v>
      </c>
      <c r="D9" s="1723">
        <v>0</v>
      </c>
      <c r="E9" s="1724">
        <v>0</v>
      </c>
      <c r="F9" s="1724">
        <v>0</v>
      </c>
      <c r="G9" s="1725">
        <f t="shared" ref="G9:G10" si="1">1-(1-C9)*(1-D9)*(1-E9)*(1-F9)</f>
        <v>0</v>
      </c>
      <c r="H9" s="2073" t="s">
        <v>11652</v>
      </c>
      <c r="I9" s="117"/>
      <c r="J9" s="117"/>
    </row>
    <row r="10" spans="1:11" s="194" customFormat="1" ht="15.75" thickBot="1">
      <c r="A10" s="424"/>
      <c r="B10" s="2072" t="s">
        <v>11053</v>
      </c>
      <c r="C10" s="1722">
        <v>0.3</v>
      </c>
      <c r="D10" s="1723">
        <v>0.16</v>
      </c>
      <c r="E10" s="1724">
        <v>0.1</v>
      </c>
      <c r="F10" s="1724">
        <v>0</v>
      </c>
      <c r="G10" s="1725">
        <f t="shared" si="1"/>
        <v>0.4708</v>
      </c>
      <c r="H10" s="2073" t="s">
        <v>11054</v>
      </c>
      <c r="I10" s="117"/>
      <c r="J10" s="117"/>
    </row>
    <row r="11" spans="1:11" s="194" customFormat="1" ht="15.75" thickBot="1">
      <c r="A11" s="424"/>
      <c r="B11" s="2072" t="s">
        <v>10379</v>
      </c>
      <c r="C11" s="1722">
        <v>0.1</v>
      </c>
      <c r="D11" s="1723">
        <v>0</v>
      </c>
      <c r="E11" s="1724">
        <v>0</v>
      </c>
      <c r="F11" s="1724">
        <v>0</v>
      </c>
      <c r="G11" s="1725">
        <f t="shared" si="0"/>
        <v>9.9999999999999978E-2</v>
      </c>
      <c r="H11" s="2073" t="s">
        <v>10380</v>
      </c>
      <c r="I11" s="117"/>
      <c r="J11" s="117"/>
    </row>
    <row r="12" spans="1:11" s="196" customFormat="1" ht="14.25">
      <c r="A12" s="418"/>
      <c r="B12" s="747"/>
      <c r="C12" s="748"/>
      <c r="D12" s="749"/>
      <c r="E12" s="750"/>
      <c r="F12" s="751"/>
      <c r="G12" s="752"/>
      <c r="H12" s="552"/>
      <c r="I12" s="194"/>
      <c r="J12" s="194"/>
      <c r="K12" s="194"/>
    </row>
    <row r="13" spans="1:11" s="196" customFormat="1" ht="15">
      <c r="A13" s="418"/>
      <c r="B13" s="753" t="s">
        <v>2586</v>
      </c>
      <c r="C13" s="1597">
        <v>1.25</v>
      </c>
      <c r="D13" s="754"/>
      <c r="E13" s="750"/>
      <c r="F13" s="755"/>
      <c r="G13" s="756"/>
      <c r="H13" s="757"/>
      <c r="I13" s="194"/>
      <c r="J13" s="194"/>
      <c r="K13" s="194"/>
    </row>
    <row r="14" spans="1:11" s="196" customFormat="1" ht="18" customHeight="1">
      <c r="A14" s="418"/>
      <c r="B14" s="753" t="s">
        <v>1032</v>
      </c>
      <c r="C14" s="758">
        <f>IF(D14="Fijo",1.67,IF(D14="Fijo proyectado",G_U/(1-G14),IF(dscto&lt;=0.25,1.67,G_U/(1-dscto))))</f>
        <v>1.67</v>
      </c>
      <c r="D14" s="2616" t="s">
        <v>14285</v>
      </c>
      <c r="E14" s="2617"/>
      <c r="F14" s="1598" t="str">
        <f>IF(D14="Fijo","Dscto.max 25%",IF(D14="Fijo proyectado","Dscto.max =", "Factor(Dscto)"))</f>
        <v>Factor(Dscto)</v>
      </c>
      <c r="G14" s="1599">
        <v>0.45</v>
      </c>
      <c r="H14" s="757"/>
      <c r="I14" s="194"/>
      <c r="J14" s="194"/>
      <c r="K14" s="194"/>
    </row>
    <row r="15" spans="1:11" s="644" customFormat="1" ht="15.75">
      <c r="A15" s="515"/>
      <c r="B15" s="1135" t="s">
        <v>3322</v>
      </c>
      <c r="C15" s="1596" t="s">
        <v>3370</v>
      </c>
      <c r="D15" s="759"/>
      <c r="E15" s="750"/>
      <c r="F15" s="751"/>
      <c r="G15" s="752"/>
      <c r="H15" s="552"/>
      <c r="I15" s="552"/>
      <c r="J15" s="552"/>
      <c r="K15" s="552"/>
    </row>
    <row r="16" spans="1:11" s="196" customFormat="1">
      <c r="A16" s="418"/>
      <c r="B16" s="146"/>
      <c r="C16" s="254"/>
      <c r="D16" s="219"/>
      <c r="E16" s="117"/>
      <c r="F16" s="161"/>
      <c r="G16" s="147"/>
      <c r="H16" s="194"/>
      <c r="I16" s="194"/>
      <c r="J16" s="194"/>
      <c r="K16" s="194"/>
    </row>
    <row r="17" spans="1:13" s="196" customFormat="1" ht="14.25">
      <c r="A17" s="589"/>
      <c r="B17" s="1466" t="s">
        <v>4277</v>
      </c>
      <c r="C17" s="1465">
        <v>3.35</v>
      </c>
      <c r="D17" s="244"/>
      <c r="E17" s="228"/>
      <c r="F17" s="585"/>
      <c r="G17" s="592"/>
      <c r="H17" s="151"/>
      <c r="I17" s="520"/>
      <c r="J17" s="589"/>
      <c r="K17" s="520"/>
      <c r="L17" s="203"/>
      <c r="M17" s="203"/>
    </row>
    <row r="18" spans="1:13" s="196" customFormat="1" ht="13.5" thickBot="1">
      <c r="A18" s="418"/>
      <c r="B18" s="146"/>
      <c r="C18" s="254"/>
      <c r="D18" s="219"/>
      <c r="E18" s="117"/>
      <c r="F18" s="161"/>
      <c r="G18" s="147"/>
      <c r="H18" s="194"/>
      <c r="I18" s="194"/>
      <c r="J18" s="194"/>
      <c r="K18" s="194"/>
    </row>
    <row r="19" spans="1:13" s="267" customFormat="1" ht="19.5" customHeight="1" thickBot="1">
      <c r="B19" s="1600" t="s">
        <v>4337</v>
      </c>
      <c r="C19" s="1601" t="s">
        <v>313</v>
      </c>
      <c r="D19" s="1602" t="s">
        <v>36</v>
      </c>
      <c r="E19" s="1600" t="s">
        <v>4278</v>
      </c>
      <c r="F19" s="1603" t="s">
        <v>4336</v>
      </c>
      <c r="G19" s="1604" t="s">
        <v>4279</v>
      </c>
      <c r="H19" s="1605" t="s">
        <v>4338</v>
      </c>
      <c r="I19" s="1604" t="s">
        <v>1029</v>
      </c>
      <c r="J19" s="1604" t="s">
        <v>2479</v>
      </c>
      <c r="K19" s="1604" t="s">
        <v>740</v>
      </c>
    </row>
    <row r="20" spans="1:13" s="106" customFormat="1" ht="19.5" customHeight="1"/>
    <row r="21" spans="1:13" s="341" customFormat="1">
      <c r="A21" s="421"/>
      <c r="B21" s="1720" t="s">
        <v>6260</v>
      </c>
      <c r="C21" s="389" t="s">
        <v>2058</v>
      </c>
      <c r="D21" s="388"/>
      <c r="E21" s="386"/>
      <c r="F21" s="582"/>
      <c r="G21" s="394"/>
      <c r="H21" s="622"/>
      <c r="I21" s="622"/>
      <c r="J21" s="1721"/>
      <c r="K21" s="622"/>
    </row>
    <row r="22" spans="1:13" s="117" customFormat="1">
      <c r="A22" s="422"/>
      <c r="B22" s="151"/>
      <c r="C22" s="228"/>
      <c r="D22" s="408"/>
      <c r="E22" s="228"/>
      <c r="F22" s="585"/>
      <c r="G22" s="152"/>
      <c r="H22" s="152"/>
      <c r="I22" s="339"/>
      <c r="J22" s="589"/>
      <c r="K22" s="520"/>
    </row>
    <row r="23" spans="1:13" s="117" customFormat="1">
      <c r="A23" s="422"/>
      <c r="B23" s="151"/>
      <c r="C23" s="228"/>
      <c r="D23" s="408"/>
      <c r="E23" s="228"/>
      <c r="F23" s="585"/>
      <c r="G23" s="152"/>
      <c r="H23" s="152"/>
      <c r="I23" s="339"/>
      <c r="J23" s="589"/>
      <c r="K23" s="520"/>
    </row>
    <row r="24" spans="1:13" s="196" customFormat="1">
      <c r="A24" s="421"/>
      <c r="B24" s="151" t="s">
        <v>6261</v>
      </c>
      <c r="C24" s="209">
        <v>20.400000000000002</v>
      </c>
      <c r="D24" s="244">
        <f>C24*(1-VLOOKUP(I24,descuentos,6,FALSE))*fcl/IF(dol_sol="dólar", TC,1)</f>
        <v>4.9556736537313437</v>
      </c>
      <c r="E24" s="228"/>
      <c r="F24" s="585">
        <f t="shared" ref="F24:F32" si="2">ROUNDUP(D24+E24,2)</f>
        <v>4.96</v>
      </c>
      <c r="G24" s="338" t="s">
        <v>6262</v>
      </c>
      <c r="H24" s="592" t="s">
        <v>12865</v>
      </c>
      <c r="I24" s="520" t="s">
        <v>11650</v>
      </c>
      <c r="J24" s="421" t="s">
        <v>753</v>
      </c>
      <c r="K24" s="520" t="s">
        <v>741</v>
      </c>
      <c r="L24" s="194"/>
    </row>
    <row r="25" spans="1:13" s="196" customFormat="1">
      <c r="A25" s="421"/>
      <c r="B25" s="151" t="s">
        <v>6263</v>
      </c>
      <c r="C25" s="209">
        <v>16.200000000000003</v>
      </c>
      <c r="D25" s="244">
        <f>C25*(1-VLOOKUP(I25,descuentos,6,FALSE))*fcl/IF(dol_sol="dólar", TC,1)</f>
        <v>3.9353879014925379</v>
      </c>
      <c r="E25" s="228"/>
      <c r="F25" s="585">
        <f t="shared" si="2"/>
        <v>3.94</v>
      </c>
      <c r="G25" s="338" t="s">
        <v>6264</v>
      </c>
      <c r="H25" s="592" t="s">
        <v>12866</v>
      </c>
      <c r="I25" s="520" t="s">
        <v>11650</v>
      </c>
      <c r="J25" s="421" t="s">
        <v>753</v>
      </c>
      <c r="K25" s="520" t="s">
        <v>741</v>
      </c>
      <c r="L25" s="194"/>
    </row>
    <row r="26" spans="1:13" s="196" customFormat="1">
      <c r="A26" s="421"/>
      <c r="B26" s="151" t="s">
        <v>1053</v>
      </c>
      <c r="C26" s="209">
        <v>16.200000000000003</v>
      </c>
      <c r="D26" s="244">
        <f t="shared" ref="D26:D32" si="3">C26*(1-VLOOKUP(I26,descuentos,6,FALSE))*fcl/IF(dol_sol="dólar", TC,1)</f>
        <v>3.9353879014925379</v>
      </c>
      <c r="E26" s="228"/>
      <c r="F26" s="585">
        <f t="shared" si="2"/>
        <v>3.94</v>
      </c>
      <c r="G26" s="338" t="s">
        <v>4339</v>
      </c>
      <c r="H26" s="592" t="s">
        <v>12867</v>
      </c>
      <c r="I26" s="520" t="s">
        <v>11650</v>
      </c>
      <c r="J26" s="421" t="s">
        <v>753</v>
      </c>
      <c r="K26" s="520" t="s">
        <v>741</v>
      </c>
      <c r="L26" s="194"/>
    </row>
    <row r="27" spans="1:13" s="196" customFormat="1">
      <c r="A27" s="421"/>
      <c r="B27" s="151" t="s">
        <v>1054</v>
      </c>
      <c r="C27" s="209">
        <v>16.200000000000003</v>
      </c>
      <c r="D27" s="244">
        <f t="shared" si="3"/>
        <v>3.9353879014925379</v>
      </c>
      <c r="E27" s="228"/>
      <c r="F27" s="585">
        <f t="shared" si="2"/>
        <v>3.94</v>
      </c>
      <c r="G27" s="338" t="s">
        <v>4340</v>
      </c>
      <c r="H27" s="592" t="s">
        <v>12868</v>
      </c>
      <c r="I27" s="520" t="s">
        <v>11650</v>
      </c>
      <c r="J27" s="421" t="s">
        <v>753</v>
      </c>
      <c r="K27" s="520" t="s">
        <v>741</v>
      </c>
      <c r="L27" s="194"/>
    </row>
    <row r="28" spans="1:13" s="196" customFormat="1">
      <c r="A28" s="421"/>
      <c r="B28" s="151" t="s">
        <v>1055</v>
      </c>
      <c r="C28" s="209">
        <v>16.200000000000003</v>
      </c>
      <c r="D28" s="244">
        <f t="shared" si="3"/>
        <v>3.9353879014925379</v>
      </c>
      <c r="E28" s="228"/>
      <c r="F28" s="585">
        <f t="shared" si="2"/>
        <v>3.94</v>
      </c>
      <c r="G28" s="338" t="s">
        <v>4341</v>
      </c>
      <c r="H28" s="592" t="s">
        <v>12869</v>
      </c>
      <c r="I28" s="520" t="s">
        <v>11650</v>
      </c>
      <c r="J28" s="421" t="s">
        <v>753</v>
      </c>
      <c r="K28" s="520" t="s">
        <v>741</v>
      </c>
      <c r="L28" s="194"/>
    </row>
    <row r="29" spans="1:13" s="196" customFormat="1">
      <c r="A29" s="421"/>
      <c r="B29" s="151" t="s">
        <v>1056</v>
      </c>
      <c r="C29" s="209">
        <v>16.200000000000003</v>
      </c>
      <c r="D29" s="244">
        <f t="shared" si="3"/>
        <v>3.9353879014925379</v>
      </c>
      <c r="E29" s="228"/>
      <c r="F29" s="585">
        <f t="shared" si="2"/>
        <v>3.94</v>
      </c>
      <c r="G29" s="338" t="s">
        <v>4342</v>
      </c>
      <c r="H29" s="592" t="s">
        <v>12870</v>
      </c>
      <c r="I29" s="520" t="s">
        <v>11650</v>
      </c>
      <c r="J29" s="421" t="s">
        <v>753</v>
      </c>
      <c r="K29" s="520" t="s">
        <v>741</v>
      </c>
      <c r="L29" s="194"/>
    </row>
    <row r="30" spans="1:13" s="196" customFormat="1">
      <c r="A30" s="421"/>
      <c r="B30" s="151" t="s">
        <v>1057</v>
      </c>
      <c r="C30" s="209">
        <v>18.400000000000002</v>
      </c>
      <c r="D30" s="244">
        <f t="shared" si="3"/>
        <v>4.4698232955223878</v>
      </c>
      <c r="E30" s="228"/>
      <c r="F30" s="585">
        <f t="shared" si="2"/>
        <v>4.47</v>
      </c>
      <c r="G30" s="338" t="s">
        <v>4343</v>
      </c>
      <c r="H30" s="592" t="s">
        <v>12871</v>
      </c>
      <c r="I30" s="520" t="s">
        <v>11650</v>
      </c>
      <c r="J30" s="421" t="s">
        <v>753</v>
      </c>
      <c r="K30" s="520" t="s">
        <v>741</v>
      </c>
      <c r="L30" s="194"/>
    </row>
    <row r="31" spans="1:13" s="196" customFormat="1">
      <c r="A31" s="421"/>
      <c r="B31" s="151" t="s">
        <v>1058</v>
      </c>
      <c r="C31" s="209">
        <v>22.6</v>
      </c>
      <c r="D31" s="244">
        <f t="shared" si="3"/>
        <v>5.4901090477611936</v>
      </c>
      <c r="E31" s="228"/>
      <c r="F31" s="585">
        <f t="shared" si="2"/>
        <v>5.5</v>
      </c>
      <c r="G31" s="338" t="s">
        <v>4344</v>
      </c>
      <c r="H31" s="592" t="s">
        <v>12872</v>
      </c>
      <c r="I31" s="520" t="s">
        <v>11650</v>
      </c>
      <c r="J31" s="421" t="s">
        <v>753</v>
      </c>
      <c r="K31" s="520" t="s">
        <v>741</v>
      </c>
      <c r="L31" s="194"/>
    </row>
    <row r="32" spans="1:13" s="196" customFormat="1">
      <c r="A32" s="421"/>
      <c r="B32" s="151" t="s">
        <v>1162</v>
      </c>
      <c r="C32" s="209">
        <v>22.6</v>
      </c>
      <c r="D32" s="244">
        <f t="shared" si="3"/>
        <v>5.4901090477611936</v>
      </c>
      <c r="E32" s="228"/>
      <c r="F32" s="585">
        <f t="shared" si="2"/>
        <v>5.5</v>
      </c>
      <c r="G32" s="338" t="s">
        <v>4345</v>
      </c>
      <c r="H32" s="592" t="s">
        <v>12873</v>
      </c>
      <c r="I32" s="520" t="s">
        <v>11650</v>
      </c>
      <c r="J32" s="421" t="s">
        <v>753</v>
      </c>
      <c r="K32" s="520" t="s">
        <v>741</v>
      </c>
      <c r="L32" s="194"/>
    </row>
    <row r="33" spans="1:12" s="196" customFormat="1">
      <c r="A33" s="421"/>
      <c r="B33" s="151"/>
      <c r="C33" s="209" t="s">
        <v>2058</v>
      </c>
      <c r="D33" s="244"/>
      <c r="E33" s="228"/>
      <c r="F33" s="585"/>
      <c r="G33" s="338"/>
      <c r="H33" s="592"/>
      <c r="I33" s="520"/>
      <c r="J33" s="421"/>
      <c r="K33" s="520"/>
      <c r="L33" s="194"/>
    </row>
    <row r="34" spans="1:12" s="196" customFormat="1">
      <c r="A34" s="421"/>
      <c r="B34" s="151" t="s">
        <v>6232</v>
      </c>
      <c r="C34" s="209">
        <v>41.9</v>
      </c>
      <c r="D34" s="244">
        <f>C34*(1-VLOOKUP(I34,descuentos,6,FALSE))*fcl/IF(dol_sol="dólar", TC,1)</f>
        <v>10.17856500447761</v>
      </c>
      <c r="E34" s="228"/>
      <c r="F34" s="585">
        <f t="shared" ref="F34:F42" si="4">ROUNDUP(D34+E34,2)</f>
        <v>10.18</v>
      </c>
      <c r="G34" s="338" t="s">
        <v>6233</v>
      </c>
      <c r="H34" s="592" t="s">
        <v>12874</v>
      </c>
      <c r="I34" s="520" t="s">
        <v>11650</v>
      </c>
      <c r="J34" s="421" t="s">
        <v>753</v>
      </c>
      <c r="K34" s="520" t="s">
        <v>741</v>
      </c>
      <c r="L34" s="194"/>
    </row>
    <row r="35" spans="1:12" s="196" customFormat="1">
      <c r="A35" s="421"/>
      <c r="B35" s="151" t="s">
        <v>6234</v>
      </c>
      <c r="C35" s="209">
        <v>26.900000000000002</v>
      </c>
      <c r="D35" s="244">
        <f>C35*(1-VLOOKUP(I35,descuentos,6,FALSE))*fcl/IF(dol_sol="dólar", TC,1)</f>
        <v>6.5346873179104472</v>
      </c>
      <c r="E35" s="228"/>
      <c r="F35" s="585">
        <f t="shared" si="4"/>
        <v>6.54</v>
      </c>
      <c r="G35" s="338" t="s">
        <v>6235</v>
      </c>
      <c r="H35" s="592" t="s">
        <v>12875</v>
      </c>
      <c r="I35" s="520" t="s">
        <v>11650</v>
      </c>
      <c r="J35" s="421" t="s">
        <v>753</v>
      </c>
      <c r="K35" s="520" t="s">
        <v>741</v>
      </c>
      <c r="L35" s="194"/>
    </row>
    <row r="36" spans="1:12" s="196" customFormat="1">
      <c r="A36" s="421"/>
      <c r="B36" s="151" t="s">
        <v>1059</v>
      </c>
      <c r="C36" s="209">
        <v>26.900000000000002</v>
      </c>
      <c r="D36" s="244">
        <f t="shared" ref="D36:D42" si="5">C36*(1-VLOOKUP(I36,descuentos,6,FALSE))*fcl/IF(dol_sol="dólar", TC,1)</f>
        <v>6.5346873179104472</v>
      </c>
      <c r="E36" s="228"/>
      <c r="F36" s="585">
        <f t="shared" si="4"/>
        <v>6.54</v>
      </c>
      <c r="G36" s="338" t="s">
        <v>4346</v>
      </c>
      <c r="H36" s="592" t="s">
        <v>12876</v>
      </c>
      <c r="I36" s="520" t="s">
        <v>11650</v>
      </c>
      <c r="J36" s="421" t="s">
        <v>753</v>
      </c>
      <c r="K36" s="520" t="s">
        <v>741</v>
      </c>
      <c r="L36" s="194"/>
    </row>
    <row r="37" spans="1:12" s="196" customFormat="1">
      <c r="A37" s="421"/>
      <c r="B37" s="151" t="s">
        <v>1060</v>
      </c>
      <c r="C37" s="209">
        <v>26.900000000000002</v>
      </c>
      <c r="D37" s="244">
        <f t="shared" si="5"/>
        <v>6.5346873179104472</v>
      </c>
      <c r="E37" s="228"/>
      <c r="F37" s="585">
        <f t="shared" si="4"/>
        <v>6.54</v>
      </c>
      <c r="G37" s="338" t="s">
        <v>4347</v>
      </c>
      <c r="H37" s="592" t="s">
        <v>12877</v>
      </c>
      <c r="I37" s="520" t="s">
        <v>11650</v>
      </c>
      <c r="J37" s="421" t="s">
        <v>753</v>
      </c>
      <c r="K37" s="520" t="s">
        <v>741</v>
      </c>
      <c r="L37" s="194"/>
    </row>
    <row r="38" spans="1:12" s="196" customFormat="1">
      <c r="A38" s="421"/>
      <c r="B38" s="151" t="s">
        <v>1061</v>
      </c>
      <c r="C38" s="209">
        <v>26.900000000000002</v>
      </c>
      <c r="D38" s="244">
        <f t="shared" si="5"/>
        <v>6.5346873179104472</v>
      </c>
      <c r="E38" s="228"/>
      <c r="F38" s="585">
        <f t="shared" si="4"/>
        <v>6.54</v>
      </c>
      <c r="G38" s="338" t="s">
        <v>4348</v>
      </c>
      <c r="H38" s="592" t="s">
        <v>12878</v>
      </c>
      <c r="I38" s="520" t="s">
        <v>11650</v>
      </c>
      <c r="J38" s="421" t="s">
        <v>753</v>
      </c>
      <c r="K38" s="520" t="s">
        <v>741</v>
      </c>
      <c r="L38" s="194"/>
    </row>
    <row r="39" spans="1:12" s="196" customFormat="1">
      <c r="A39" s="421"/>
      <c r="B39" s="151" t="s">
        <v>1062</v>
      </c>
      <c r="C39" s="209">
        <v>29.1</v>
      </c>
      <c r="D39" s="244">
        <f t="shared" si="5"/>
        <v>7.069122711940298</v>
      </c>
      <c r="E39" s="228"/>
      <c r="F39" s="585">
        <f t="shared" si="4"/>
        <v>7.0699999999999994</v>
      </c>
      <c r="G39" s="338" t="s">
        <v>4349</v>
      </c>
      <c r="H39" s="592" t="s">
        <v>12879</v>
      </c>
      <c r="I39" s="520" t="s">
        <v>11650</v>
      </c>
      <c r="J39" s="421" t="s">
        <v>753</v>
      </c>
      <c r="K39" s="520" t="s">
        <v>741</v>
      </c>
      <c r="L39" s="194"/>
    </row>
    <row r="40" spans="1:12" s="196" customFormat="1">
      <c r="A40" s="421"/>
      <c r="B40" s="151" t="s">
        <v>1063</v>
      </c>
      <c r="C40" s="209">
        <v>33.300000000000004</v>
      </c>
      <c r="D40" s="244">
        <f t="shared" si="5"/>
        <v>8.0894084641791064</v>
      </c>
      <c r="E40" s="228"/>
      <c r="F40" s="585">
        <f t="shared" si="4"/>
        <v>8.09</v>
      </c>
      <c r="G40" s="338" t="s">
        <v>4350</v>
      </c>
      <c r="H40" s="592" t="s">
        <v>12880</v>
      </c>
      <c r="I40" s="520" t="s">
        <v>11650</v>
      </c>
      <c r="J40" s="421" t="s">
        <v>753</v>
      </c>
      <c r="K40" s="520" t="s">
        <v>741</v>
      </c>
      <c r="L40" s="194"/>
    </row>
    <row r="41" spans="1:12" s="196" customFormat="1">
      <c r="A41" s="421"/>
      <c r="B41" s="151" t="s">
        <v>1064</v>
      </c>
      <c r="C41" s="209">
        <v>37.6</v>
      </c>
      <c r="D41" s="244">
        <f t="shared" si="5"/>
        <v>9.1339867343283583</v>
      </c>
      <c r="E41" s="228"/>
      <c r="F41" s="585">
        <f t="shared" si="4"/>
        <v>9.14</v>
      </c>
      <c r="G41" s="338" t="s">
        <v>4351</v>
      </c>
      <c r="H41" s="592" t="s">
        <v>12881</v>
      </c>
      <c r="I41" s="520" t="s">
        <v>11650</v>
      </c>
      <c r="J41" s="421" t="s">
        <v>753</v>
      </c>
      <c r="K41" s="520" t="s">
        <v>741</v>
      </c>
      <c r="L41" s="194"/>
    </row>
    <row r="42" spans="1:12" s="196" customFormat="1">
      <c r="A42" s="421"/>
      <c r="B42" s="151" t="s">
        <v>1065</v>
      </c>
      <c r="C42" s="209">
        <v>48.300000000000004</v>
      </c>
      <c r="D42" s="244">
        <f t="shared" si="5"/>
        <v>11.733286150746268</v>
      </c>
      <c r="E42" s="228"/>
      <c r="F42" s="585">
        <f t="shared" si="4"/>
        <v>11.74</v>
      </c>
      <c r="G42" s="338" t="s">
        <v>4352</v>
      </c>
      <c r="H42" s="592" t="s">
        <v>12882</v>
      </c>
      <c r="I42" s="520" t="s">
        <v>11650</v>
      </c>
      <c r="J42" s="421" t="s">
        <v>753</v>
      </c>
      <c r="K42" s="520" t="s">
        <v>741</v>
      </c>
      <c r="L42" s="194"/>
    </row>
    <row r="43" spans="1:12" s="196" customFormat="1">
      <c r="A43" s="421"/>
      <c r="B43" s="151"/>
      <c r="C43" s="209" t="s">
        <v>2058</v>
      </c>
      <c r="D43" s="244"/>
      <c r="E43" s="228"/>
      <c r="F43" s="585"/>
      <c r="G43" s="338"/>
      <c r="H43" s="592"/>
      <c r="I43" s="520"/>
      <c r="J43" s="421"/>
      <c r="K43" s="520"/>
      <c r="L43" s="194"/>
    </row>
    <row r="44" spans="1:12" s="196" customFormat="1">
      <c r="A44" s="421"/>
      <c r="B44" s="151" t="s">
        <v>4977</v>
      </c>
      <c r="C44" s="209">
        <v>59</v>
      </c>
      <c r="D44" s="244">
        <f>C44*(1-VLOOKUP(I44,descuentos,6,FALSE))*fcl/IF(dol_sol="dólar", TC,1)</f>
        <v>14.332585567164179</v>
      </c>
      <c r="E44" s="228"/>
      <c r="F44" s="585">
        <f t="shared" ref="F44:F51" si="6">ROUNDUP(D44+E44,2)</f>
        <v>14.34</v>
      </c>
      <c r="G44" s="338" t="s">
        <v>4985</v>
      </c>
      <c r="H44" s="592" t="s">
        <v>12883</v>
      </c>
      <c r="I44" s="520" t="s">
        <v>11650</v>
      </c>
      <c r="J44" s="421" t="s">
        <v>753</v>
      </c>
      <c r="K44" s="520" t="s">
        <v>741</v>
      </c>
      <c r="L44" s="194"/>
    </row>
    <row r="45" spans="1:12" s="196" customFormat="1">
      <c r="A45" s="421"/>
      <c r="B45" s="151" t="s">
        <v>1066</v>
      </c>
      <c r="C45" s="209">
        <v>59</v>
      </c>
      <c r="D45" s="244">
        <f t="shared" ref="D45:D51" si="7">C45*(1-VLOOKUP(I45,descuentos,6,FALSE))*fcl/IF(dol_sol="dólar", TC,1)</f>
        <v>14.332585567164179</v>
      </c>
      <c r="E45" s="228"/>
      <c r="F45" s="585">
        <f t="shared" si="6"/>
        <v>14.34</v>
      </c>
      <c r="G45" s="338" t="s">
        <v>4353</v>
      </c>
      <c r="H45" s="592" t="s">
        <v>12884</v>
      </c>
      <c r="I45" s="520" t="s">
        <v>11650</v>
      </c>
      <c r="J45" s="421" t="s">
        <v>753</v>
      </c>
      <c r="K45" s="520" t="s">
        <v>741</v>
      </c>
      <c r="L45" s="194"/>
    </row>
    <row r="46" spans="1:12" s="196" customFormat="1">
      <c r="A46" s="421"/>
      <c r="B46" s="151" t="s">
        <v>1067</v>
      </c>
      <c r="C46" s="209">
        <v>59</v>
      </c>
      <c r="D46" s="244">
        <f t="shared" si="7"/>
        <v>14.332585567164179</v>
      </c>
      <c r="E46" s="228"/>
      <c r="F46" s="585">
        <f t="shared" si="6"/>
        <v>14.34</v>
      </c>
      <c r="G46" s="338" t="s">
        <v>4354</v>
      </c>
      <c r="H46" s="592" t="s">
        <v>12885</v>
      </c>
      <c r="I46" s="520" t="s">
        <v>11650</v>
      </c>
      <c r="J46" s="421" t="s">
        <v>753</v>
      </c>
      <c r="K46" s="520" t="s">
        <v>741</v>
      </c>
      <c r="L46" s="194"/>
    </row>
    <row r="47" spans="1:12" s="196" customFormat="1">
      <c r="A47" s="421"/>
      <c r="B47" s="151" t="s">
        <v>1068</v>
      </c>
      <c r="C47" s="209">
        <v>59</v>
      </c>
      <c r="D47" s="244">
        <f t="shared" si="7"/>
        <v>14.332585567164179</v>
      </c>
      <c r="E47" s="228"/>
      <c r="F47" s="585">
        <f t="shared" si="6"/>
        <v>14.34</v>
      </c>
      <c r="G47" s="338" t="s">
        <v>4355</v>
      </c>
      <c r="H47" s="592" t="s">
        <v>12886</v>
      </c>
      <c r="I47" s="520" t="s">
        <v>11650</v>
      </c>
      <c r="J47" s="421" t="s">
        <v>753</v>
      </c>
      <c r="K47" s="520" t="s">
        <v>741</v>
      </c>
      <c r="L47" s="194"/>
    </row>
    <row r="48" spans="1:12" s="196" customFormat="1">
      <c r="A48" s="421"/>
      <c r="B48" s="151" t="s">
        <v>1069</v>
      </c>
      <c r="C48" s="209">
        <v>63.300000000000004</v>
      </c>
      <c r="D48" s="244">
        <f t="shared" si="7"/>
        <v>15.377163837313432</v>
      </c>
      <c r="E48" s="228"/>
      <c r="F48" s="585">
        <f t="shared" si="6"/>
        <v>15.379999999999999</v>
      </c>
      <c r="G48" s="338" t="s">
        <v>4356</v>
      </c>
      <c r="H48" s="592" t="s">
        <v>12887</v>
      </c>
      <c r="I48" s="520" t="s">
        <v>11650</v>
      </c>
      <c r="J48" s="421" t="s">
        <v>753</v>
      </c>
      <c r="K48" s="520" t="s">
        <v>741</v>
      </c>
      <c r="L48" s="194"/>
    </row>
    <row r="49" spans="1:11" s="194" customFormat="1">
      <c r="A49" s="421"/>
      <c r="B49" s="151" t="s">
        <v>1070</v>
      </c>
      <c r="C49" s="209">
        <v>67.5</v>
      </c>
      <c r="D49" s="244">
        <f t="shared" si="7"/>
        <v>16.397449589552238</v>
      </c>
      <c r="E49" s="228"/>
      <c r="F49" s="585">
        <f t="shared" si="6"/>
        <v>16.400000000000002</v>
      </c>
      <c r="G49" s="338" t="s">
        <v>4357</v>
      </c>
      <c r="H49" s="592" t="s">
        <v>12888</v>
      </c>
      <c r="I49" s="520" t="s">
        <v>11650</v>
      </c>
      <c r="J49" s="421" t="s">
        <v>753</v>
      </c>
      <c r="K49" s="520" t="s">
        <v>741</v>
      </c>
    </row>
    <row r="50" spans="1:11" s="194" customFormat="1">
      <c r="A50" s="421"/>
      <c r="B50" s="151" t="s">
        <v>1071</v>
      </c>
      <c r="C50" s="209">
        <v>79.399999999999991</v>
      </c>
      <c r="D50" s="244">
        <f t="shared" si="7"/>
        <v>19.288259220895515</v>
      </c>
      <c r="E50" s="228"/>
      <c r="F50" s="585">
        <f t="shared" si="6"/>
        <v>19.290000000000003</v>
      </c>
      <c r="G50" s="338" t="s">
        <v>4358</v>
      </c>
      <c r="H50" s="592" t="s">
        <v>12889</v>
      </c>
      <c r="I50" s="520" t="s">
        <v>11650</v>
      </c>
      <c r="J50" s="421" t="s">
        <v>753</v>
      </c>
      <c r="K50" s="520" t="s">
        <v>741</v>
      </c>
    </row>
    <row r="51" spans="1:11" s="194" customFormat="1">
      <c r="A51" s="421"/>
      <c r="B51" s="151" t="s">
        <v>1072</v>
      </c>
      <c r="C51" s="209">
        <v>87.899999999999991</v>
      </c>
      <c r="D51" s="244">
        <f t="shared" si="7"/>
        <v>21.353123243283576</v>
      </c>
      <c r="E51" s="228"/>
      <c r="F51" s="585">
        <f t="shared" si="6"/>
        <v>21.360000000000003</v>
      </c>
      <c r="G51" s="338" t="s">
        <v>4359</v>
      </c>
      <c r="H51" s="592" t="s">
        <v>12890</v>
      </c>
      <c r="I51" s="520" t="s">
        <v>11650</v>
      </c>
      <c r="J51" s="421" t="s">
        <v>753</v>
      </c>
      <c r="K51" s="520" t="s">
        <v>741</v>
      </c>
    </row>
    <row r="52" spans="1:11" s="194" customFormat="1">
      <c r="A52" s="421"/>
      <c r="B52" s="151"/>
      <c r="C52" s="209" t="s">
        <v>2058</v>
      </c>
      <c r="D52" s="244"/>
      <c r="E52" s="228"/>
      <c r="F52" s="585"/>
      <c r="G52" s="338"/>
      <c r="H52" s="592"/>
      <c r="I52" s="520"/>
      <c r="J52" s="421"/>
      <c r="K52" s="520"/>
    </row>
    <row r="53" spans="1:11" s="341" customFormat="1">
      <c r="A53" s="421"/>
      <c r="B53" s="473" t="s">
        <v>6265</v>
      </c>
      <c r="C53" s="389">
        <v>120</v>
      </c>
      <c r="D53" s="388">
        <f t="shared" ref="D53:D59" si="8">C53*(1-VLOOKUP(I53,descuentos,6,FALSE))*fcl/IF(dol_sol="dólar", TC,1)</f>
        <v>29.151021492537311</v>
      </c>
      <c r="E53" s="386"/>
      <c r="F53" s="582">
        <f t="shared" ref="F53:F60" si="9">ROUNDUP(D53+E53,2)</f>
        <v>29.16</v>
      </c>
      <c r="G53" s="338" t="s">
        <v>6266</v>
      </c>
      <c r="H53" s="592" t="s">
        <v>12891</v>
      </c>
      <c r="I53" s="520" t="s">
        <v>11650</v>
      </c>
      <c r="J53" s="421" t="s">
        <v>753</v>
      </c>
      <c r="K53" s="520" t="s">
        <v>741</v>
      </c>
    </row>
    <row r="54" spans="1:11" s="341" customFormat="1">
      <c r="A54" s="421"/>
      <c r="B54" s="473" t="s">
        <v>6267</v>
      </c>
      <c r="C54" s="389">
        <v>81</v>
      </c>
      <c r="D54" s="388">
        <f t="shared" si="8"/>
        <v>19.676939507462684</v>
      </c>
      <c r="E54" s="386"/>
      <c r="F54" s="582">
        <f t="shared" si="9"/>
        <v>19.680000000000003</v>
      </c>
      <c r="G54" s="338" t="s">
        <v>6268</v>
      </c>
      <c r="H54" s="592" t="s">
        <v>12892</v>
      </c>
      <c r="I54" s="520" t="s">
        <v>11650</v>
      </c>
      <c r="J54" s="421" t="s">
        <v>753</v>
      </c>
      <c r="K54" s="520" t="s">
        <v>741</v>
      </c>
    </row>
    <row r="55" spans="1:11" s="341" customFormat="1">
      <c r="A55" s="421"/>
      <c r="B55" s="473" t="s">
        <v>6269</v>
      </c>
      <c r="C55" s="389">
        <v>81</v>
      </c>
      <c r="D55" s="388">
        <f t="shared" si="8"/>
        <v>19.676939507462684</v>
      </c>
      <c r="E55" s="386"/>
      <c r="F55" s="582">
        <f t="shared" si="9"/>
        <v>19.680000000000003</v>
      </c>
      <c r="G55" s="338" t="s">
        <v>6270</v>
      </c>
      <c r="H55" s="592" t="s">
        <v>12893</v>
      </c>
      <c r="I55" s="520" t="s">
        <v>11650</v>
      </c>
      <c r="J55" s="421" t="s">
        <v>753</v>
      </c>
      <c r="K55" s="520" t="s">
        <v>741</v>
      </c>
    </row>
    <row r="56" spans="1:11" s="341" customFormat="1">
      <c r="A56" s="421"/>
      <c r="B56" s="473" t="s">
        <v>6271</v>
      </c>
      <c r="C56" s="389">
        <v>97</v>
      </c>
      <c r="D56" s="388">
        <f t="shared" si="8"/>
        <v>23.563742373134328</v>
      </c>
      <c r="E56" s="386"/>
      <c r="F56" s="582">
        <f t="shared" si="9"/>
        <v>23.57</v>
      </c>
      <c r="G56" s="338" t="s">
        <v>6272</v>
      </c>
      <c r="H56" s="592" t="s">
        <v>12894</v>
      </c>
      <c r="I56" s="520" t="s">
        <v>11650</v>
      </c>
      <c r="J56" s="421" t="s">
        <v>753</v>
      </c>
      <c r="K56" s="520" t="s">
        <v>741</v>
      </c>
    </row>
    <row r="57" spans="1:11" s="341" customFormat="1">
      <c r="A57" s="421"/>
      <c r="B57" s="473" t="s">
        <v>6273</v>
      </c>
      <c r="C57" s="389">
        <v>88</v>
      </c>
      <c r="D57" s="388">
        <f t="shared" si="8"/>
        <v>21.37741576119403</v>
      </c>
      <c r="E57" s="386"/>
      <c r="F57" s="582">
        <f t="shared" si="9"/>
        <v>21.380000000000003</v>
      </c>
      <c r="G57" s="338" t="s">
        <v>6274</v>
      </c>
      <c r="H57" s="592" t="s">
        <v>12895</v>
      </c>
      <c r="I57" s="520" t="s">
        <v>11650</v>
      </c>
      <c r="J57" s="421" t="s">
        <v>753</v>
      </c>
      <c r="K57" s="520" t="s">
        <v>741</v>
      </c>
    </row>
    <row r="58" spans="1:11" s="341" customFormat="1">
      <c r="A58" s="421"/>
      <c r="B58" s="473" t="s">
        <v>6275</v>
      </c>
      <c r="C58" s="389">
        <v>100</v>
      </c>
      <c r="D58" s="388">
        <f t="shared" si="8"/>
        <v>24.292517910447756</v>
      </c>
      <c r="E58" s="386"/>
      <c r="F58" s="582">
        <f t="shared" si="9"/>
        <v>24.3</v>
      </c>
      <c r="G58" s="338" t="s">
        <v>6276</v>
      </c>
      <c r="H58" s="592" t="s">
        <v>12896</v>
      </c>
      <c r="I58" s="520" t="s">
        <v>11650</v>
      </c>
      <c r="J58" s="421" t="s">
        <v>753</v>
      </c>
      <c r="K58" s="520" t="s">
        <v>741</v>
      </c>
    </row>
    <row r="59" spans="1:11" s="341" customFormat="1">
      <c r="A59" s="421"/>
      <c r="B59" s="473" t="s">
        <v>9871</v>
      </c>
      <c r="C59" s="389">
        <v>160</v>
      </c>
      <c r="D59" s="388">
        <f t="shared" si="8"/>
        <v>38.868028656716419</v>
      </c>
      <c r="E59" s="386"/>
      <c r="F59" s="582">
        <f t="shared" si="9"/>
        <v>38.869999999999997</v>
      </c>
      <c r="G59" s="338" t="s">
        <v>9872</v>
      </c>
      <c r="H59" s="592" t="s">
        <v>12897</v>
      </c>
      <c r="I59" s="520" t="s">
        <v>11650</v>
      </c>
      <c r="J59" s="421" t="s">
        <v>753</v>
      </c>
      <c r="K59" s="520" t="s">
        <v>741</v>
      </c>
    </row>
    <row r="60" spans="1:11" s="341" customFormat="1">
      <c r="A60" s="421"/>
      <c r="B60" s="473" t="s">
        <v>9873</v>
      </c>
      <c r="C60" s="389">
        <v>168</v>
      </c>
      <c r="D60" s="388">
        <f t="shared" ref="D60" si="10">C60*(1-VLOOKUP(I60,descuentos,6,FALSE))*fcl/IF(dol_sol="dólar", TC,1)</f>
        <v>40.811430089552232</v>
      </c>
      <c r="E60" s="386"/>
      <c r="F60" s="582">
        <f t="shared" si="9"/>
        <v>40.82</v>
      </c>
      <c r="G60" s="338" t="s">
        <v>9874</v>
      </c>
      <c r="H60" s="592" t="s">
        <v>12898</v>
      </c>
      <c r="I60" s="520" t="s">
        <v>11650</v>
      </c>
      <c r="J60" s="421" t="s">
        <v>753</v>
      </c>
      <c r="K60" s="520" t="s">
        <v>741</v>
      </c>
    </row>
    <row r="61" spans="1:11" s="194" customFormat="1">
      <c r="A61" s="421"/>
      <c r="B61" s="151"/>
      <c r="C61" s="209" t="s">
        <v>2058</v>
      </c>
      <c r="D61" s="244"/>
      <c r="E61" s="228"/>
      <c r="F61" s="585"/>
      <c r="G61" s="338"/>
      <c r="H61" s="592"/>
      <c r="I61" s="520"/>
      <c r="J61" s="421"/>
      <c r="K61" s="520"/>
    </row>
    <row r="62" spans="1:11" s="196" customFormat="1">
      <c r="A62" s="1726"/>
      <c r="B62" s="1727" t="s">
        <v>6277</v>
      </c>
      <c r="C62" s="209">
        <v>83</v>
      </c>
      <c r="D62" s="244">
        <f>C62*(1-VLOOKUP(I62,descuentos,6,FALSE))*fcl/IF(dol_sol="dólar", TC,1)</f>
        <v>20.162789865671638</v>
      </c>
      <c r="E62" s="228"/>
      <c r="F62" s="585">
        <f>ROUNDUP(D62+E62,2)</f>
        <v>20.170000000000002</v>
      </c>
      <c r="G62" s="338" t="s">
        <v>6278</v>
      </c>
      <c r="H62" s="592" t="s">
        <v>6279</v>
      </c>
      <c r="I62" s="520" t="s">
        <v>11650</v>
      </c>
      <c r="J62" s="421" t="s">
        <v>753</v>
      </c>
      <c r="K62" s="520" t="s">
        <v>741</v>
      </c>
    </row>
    <row r="63" spans="1:11" s="196" customFormat="1">
      <c r="A63" s="1726"/>
      <c r="B63" s="1727" t="s">
        <v>6280</v>
      </c>
      <c r="C63" s="209">
        <v>83</v>
      </c>
      <c r="D63" s="244">
        <f>C63*(1-VLOOKUP(I63,descuentos,6,FALSE))*fcl/IF(dol_sol="dólar", TC,1)</f>
        <v>20.162789865671638</v>
      </c>
      <c r="E63" s="228"/>
      <c r="F63" s="585">
        <f>ROUNDUP(D63+E63,2)</f>
        <v>20.170000000000002</v>
      </c>
      <c r="G63" s="338" t="s">
        <v>6281</v>
      </c>
      <c r="H63" s="592" t="s">
        <v>6282</v>
      </c>
      <c r="I63" s="520" t="s">
        <v>11650</v>
      </c>
      <c r="J63" s="421" t="s">
        <v>753</v>
      </c>
      <c r="K63" s="520" t="s">
        <v>741</v>
      </c>
    </row>
    <row r="64" spans="1:11" s="196" customFormat="1">
      <c r="A64" s="1726"/>
      <c r="B64" s="1727" t="s">
        <v>6283</v>
      </c>
      <c r="C64" s="209">
        <v>95</v>
      </c>
      <c r="D64" s="244">
        <f t="shared" ref="D64:D72" si="11">C64*(1-VLOOKUP(I64,descuentos,6,FALSE))*fcl/IF(dol_sol="dólar", TC,1)</f>
        <v>23.077892014925371</v>
      </c>
      <c r="E64" s="228"/>
      <c r="F64" s="585">
        <f t="shared" ref="F64:F72" si="12">ROUNDUP(D64+E64,2)</f>
        <v>23.080000000000002</v>
      </c>
      <c r="G64" s="338" t="s">
        <v>6284</v>
      </c>
      <c r="H64" s="592" t="s">
        <v>6285</v>
      </c>
      <c r="I64" s="520" t="s">
        <v>11650</v>
      </c>
      <c r="J64" s="421" t="s">
        <v>753</v>
      </c>
      <c r="K64" s="520" t="s">
        <v>741</v>
      </c>
    </row>
    <row r="65" spans="1:11" s="196" customFormat="1">
      <c r="A65" s="1728"/>
      <c r="B65" s="1729" t="s">
        <v>6286</v>
      </c>
      <c r="C65" s="209">
        <v>99</v>
      </c>
      <c r="D65" s="244">
        <f t="shared" si="11"/>
        <v>24.049592731343282</v>
      </c>
      <c r="E65" s="228"/>
      <c r="F65" s="585">
        <f t="shared" si="12"/>
        <v>24.05</v>
      </c>
      <c r="G65" s="338" t="s">
        <v>6287</v>
      </c>
      <c r="H65" s="592" t="s">
        <v>6288</v>
      </c>
      <c r="I65" s="520" t="s">
        <v>11650</v>
      </c>
      <c r="J65" s="421" t="s">
        <v>753</v>
      </c>
      <c r="K65" s="520" t="s">
        <v>741</v>
      </c>
    </row>
    <row r="66" spans="1:11" s="196" customFormat="1">
      <c r="A66" s="1728"/>
      <c r="B66" s="1729" t="s">
        <v>6289</v>
      </c>
      <c r="C66" s="209">
        <v>99</v>
      </c>
      <c r="D66" s="244">
        <f t="shared" si="11"/>
        <v>24.049592731343282</v>
      </c>
      <c r="E66" s="228"/>
      <c r="F66" s="585">
        <f t="shared" si="12"/>
        <v>24.05</v>
      </c>
      <c r="G66" s="338" t="s">
        <v>6290</v>
      </c>
      <c r="H66" s="592" t="s">
        <v>6291</v>
      </c>
      <c r="I66" s="520" t="s">
        <v>11650</v>
      </c>
      <c r="J66" s="421" t="s">
        <v>753</v>
      </c>
      <c r="K66" s="520" t="s">
        <v>741</v>
      </c>
    </row>
    <row r="67" spans="1:11" s="196" customFormat="1">
      <c r="A67" s="1728"/>
      <c r="B67" s="1729" t="s">
        <v>6292</v>
      </c>
      <c r="C67" s="209">
        <v>99</v>
      </c>
      <c r="D67" s="244">
        <f>C67*(1-VLOOKUP(I67,descuentos,6,FALSE))*fcl/IF(dol_sol="dólar", TC,1)</f>
        <v>24.049592731343282</v>
      </c>
      <c r="E67" s="228"/>
      <c r="F67" s="585">
        <f>ROUNDUP(D67+E67,2)</f>
        <v>24.05</v>
      </c>
      <c r="G67" s="338" t="s">
        <v>6293</v>
      </c>
      <c r="H67" s="592" t="s">
        <v>6294</v>
      </c>
      <c r="I67" s="520" t="s">
        <v>11650</v>
      </c>
      <c r="J67" s="421" t="s">
        <v>753</v>
      </c>
      <c r="K67" s="520" t="s">
        <v>741</v>
      </c>
    </row>
    <row r="68" spans="1:11" s="196" customFormat="1">
      <c r="A68" s="1728"/>
      <c r="B68" s="1729" t="s">
        <v>6295</v>
      </c>
      <c r="C68" s="209">
        <v>99</v>
      </c>
      <c r="D68" s="244">
        <f>C68*(1-VLOOKUP(I68,descuentos,6,FALSE))*fcl/IF(dol_sol="dólar", TC,1)</f>
        <v>24.049592731343282</v>
      </c>
      <c r="E68" s="228"/>
      <c r="F68" s="585">
        <f>ROUNDUP(D68+E68,2)</f>
        <v>24.05</v>
      </c>
      <c r="G68" s="338" t="s">
        <v>6296</v>
      </c>
      <c r="H68" s="592" t="s">
        <v>6297</v>
      </c>
      <c r="I68" s="520" t="s">
        <v>11650</v>
      </c>
      <c r="J68" s="421" t="s">
        <v>753</v>
      </c>
      <c r="K68" s="520" t="s">
        <v>741</v>
      </c>
    </row>
    <row r="69" spans="1:11" s="196" customFormat="1">
      <c r="A69" s="1728"/>
      <c r="B69" s="1729" t="s">
        <v>6298</v>
      </c>
      <c r="C69" s="209">
        <v>99</v>
      </c>
      <c r="D69" s="244">
        <f>C69*(1-VLOOKUP(I69,descuentos,6,FALSE))*fcl/IF(dol_sol="dólar", TC,1)</f>
        <v>24.049592731343282</v>
      </c>
      <c r="E69" s="228"/>
      <c r="F69" s="585">
        <f>ROUNDUP(D69+E69,2)</f>
        <v>24.05</v>
      </c>
      <c r="G69" s="338" t="s">
        <v>6299</v>
      </c>
      <c r="H69" s="592" t="s">
        <v>6300</v>
      </c>
      <c r="I69" s="520" t="s">
        <v>11650</v>
      </c>
      <c r="J69" s="421" t="s">
        <v>753</v>
      </c>
      <c r="K69" s="520" t="s">
        <v>741</v>
      </c>
    </row>
    <row r="70" spans="1:11" s="196" customFormat="1">
      <c r="A70" s="1730"/>
      <c r="B70" s="1731"/>
      <c r="C70" s="209" t="s">
        <v>2058</v>
      </c>
      <c r="D70" s="244"/>
      <c r="E70" s="228"/>
      <c r="F70" s="585"/>
      <c r="G70" s="338"/>
      <c r="H70" s="592"/>
      <c r="I70" s="520"/>
      <c r="J70" s="421"/>
      <c r="K70" s="520"/>
    </row>
    <row r="71" spans="1:11" s="196" customFormat="1">
      <c r="A71" s="1730"/>
      <c r="B71" s="1731"/>
      <c r="C71" s="209" t="s">
        <v>2058</v>
      </c>
      <c r="D71" s="244"/>
      <c r="E71" s="228"/>
      <c r="F71" s="585"/>
      <c r="G71" s="338"/>
      <c r="H71" s="592"/>
      <c r="I71" s="520"/>
      <c r="J71" s="421"/>
      <c r="K71" s="520"/>
    </row>
    <row r="72" spans="1:11" s="196" customFormat="1">
      <c r="A72" s="1726"/>
      <c r="B72" s="1727" t="s">
        <v>6301</v>
      </c>
      <c r="C72" s="209">
        <v>194</v>
      </c>
      <c r="D72" s="244">
        <f t="shared" si="11"/>
        <v>47.127484746268657</v>
      </c>
      <c r="E72" s="228"/>
      <c r="F72" s="585">
        <f t="shared" si="12"/>
        <v>47.129999999999995</v>
      </c>
      <c r="G72" s="338" t="s">
        <v>6302</v>
      </c>
      <c r="H72" s="592" t="s">
        <v>6303</v>
      </c>
      <c r="I72" s="520" t="s">
        <v>11650</v>
      </c>
      <c r="J72" s="421" t="s">
        <v>753</v>
      </c>
      <c r="K72" s="520" t="s">
        <v>741</v>
      </c>
    </row>
    <row r="73" spans="1:11" s="196" customFormat="1">
      <c r="A73" s="1726"/>
      <c r="B73" s="1727" t="s">
        <v>6304</v>
      </c>
      <c r="C73" s="209">
        <v>194</v>
      </c>
      <c r="D73" s="244">
        <f>C73*(1-VLOOKUP(I73,descuentos,6,FALSE))*fcl/IF(dol_sol="dólar", TC,1)</f>
        <v>47.127484746268657</v>
      </c>
      <c r="E73" s="228"/>
      <c r="F73" s="585">
        <f>ROUNDUP(D73+E73,2)</f>
        <v>47.129999999999995</v>
      </c>
      <c r="G73" s="338" t="s">
        <v>6305</v>
      </c>
      <c r="H73" s="592" t="s">
        <v>6306</v>
      </c>
      <c r="I73" s="520" t="s">
        <v>11650</v>
      </c>
      <c r="J73" s="421" t="s">
        <v>753</v>
      </c>
      <c r="K73" s="520" t="s">
        <v>741</v>
      </c>
    </row>
    <row r="74" spans="1:11" s="196" customFormat="1">
      <c r="A74" s="1726"/>
      <c r="B74" s="1727" t="s">
        <v>6307</v>
      </c>
      <c r="C74" s="209">
        <v>232</v>
      </c>
      <c r="D74" s="244">
        <f>C74*(1-VLOOKUP(I74,descuentos,6,FALSE))*fcl/IF(dol_sol="dólar", TC,1)</f>
        <v>56.358641552238808</v>
      </c>
      <c r="E74" s="228"/>
      <c r="F74" s="585">
        <f>ROUNDUP(D74+E74,2)</f>
        <v>56.36</v>
      </c>
      <c r="G74" s="338" t="s">
        <v>6308</v>
      </c>
      <c r="H74" s="592" t="s">
        <v>6309</v>
      </c>
      <c r="I74" s="520" t="s">
        <v>11650</v>
      </c>
      <c r="J74" s="421" t="s">
        <v>753</v>
      </c>
      <c r="K74" s="520" t="s">
        <v>741</v>
      </c>
    </row>
    <row r="75" spans="1:11" s="196" customFormat="1">
      <c r="A75" s="1726"/>
      <c r="B75" s="1727" t="s">
        <v>6310</v>
      </c>
      <c r="C75" s="209">
        <v>252</v>
      </c>
      <c r="D75" s="244">
        <f>C75*(1-VLOOKUP(I75,descuentos,6,FALSE))*fcl/IF(dol_sol="dólar", TC,1)</f>
        <v>61.217145134328355</v>
      </c>
      <c r="E75" s="228"/>
      <c r="F75" s="585">
        <f>ROUNDUP(D75+E75,2)</f>
        <v>61.22</v>
      </c>
      <c r="G75" s="338" t="s">
        <v>6311</v>
      </c>
      <c r="H75" s="592" t="s">
        <v>6312</v>
      </c>
      <c r="I75" s="520" t="s">
        <v>11650</v>
      </c>
      <c r="J75" s="421" t="s">
        <v>753</v>
      </c>
      <c r="K75" s="520" t="s">
        <v>741</v>
      </c>
    </row>
    <row r="76" spans="1:11" s="196" customFormat="1">
      <c r="A76" s="1728"/>
      <c r="B76" s="1729" t="s">
        <v>6313</v>
      </c>
      <c r="C76" s="209">
        <v>232</v>
      </c>
      <c r="D76" s="244">
        <f>C76*(1-VLOOKUP(I76,descuentos,6,FALSE))*fcl/IF(dol_sol="dólar", TC,1)</f>
        <v>56.358641552238808</v>
      </c>
      <c r="E76" s="228"/>
      <c r="F76" s="585">
        <f>ROUNDUP(D76+E76,2)</f>
        <v>56.36</v>
      </c>
      <c r="G76" s="338" t="s">
        <v>6314</v>
      </c>
      <c r="H76" s="592" t="s">
        <v>6315</v>
      </c>
      <c r="I76" s="520" t="s">
        <v>11650</v>
      </c>
      <c r="J76" s="421" t="s">
        <v>753</v>
      </c>
      <c r="K76" s="520" t="s">
        <v>741</v>
      </c>
    </row>
    <row r="77" spans="1:11" s="196" customFormat="1">
      <c r="A77" s="1728"/>
      <c r="B77" s="1729" t="s">
        <v>6316</v>
      </c>
      <c r="C77" s="209">
        <v>245</v>
      </c>
      <c r="D77" s="244">
        <f>C77*(1-VLOOKUP(I77,descuentos,6,FALSE))*fcl/IF(dol_sol="dólar", TC,1)</f>
        <v>59.51666888059701</v>
      </c>
      <c r="E77" s="228"/>
      <c r="F77" s="585">
        <f>ROUNDUP(D77+E77,2)</f>
        <v>59.519999999999996</v>
      </c>
      <c r="G77" s="338" t="s">
        <v>6317</v>
      </c>
      <c r="H77" s="592" t="s">
        <v>1430</v>
      </c>
      <c r="I77" s="520" t="s">
        <v>11650</v>
      </c>
      <c r="J77" s="421" t="s">
        <v>753</v>
      </c>
      <c r="K77" s="520" t="s">
        <v>741</v>
      </c>
    </row>
    <row r="78" spans="1:11" s="194" customFormat="1">
      <c r="A78" s="421"/>
      <c r="B78" s="151"/>
      <c r="C78" s="209" t="s">
        <v>2058</v>
      </c>
      <c r="D78" s="244"/>
      <c r="E78" s="228"/>
      <c r="F78" s="585"/>
      <c r="G78" s="338"/>
      <c r="H78" s="592"/>
      <c r="I78" s="520"/>
      <c r="J78" s="421"/>
      <c r="K78" s="520"/>
    </row>
    <row r="79" spans="1:11" s="194" customFormat="1">
      <c r="A79" s="421"/>
      <c r="B79" s="151"/>
      <c r="C79" s="209" t="s">
        <v>2058</v>
      </c>
      <c r="D79" s="244"/>
      <c r="E79" s="228"/>
      <c r="F79" s="585"/>
      <c r="G79" s="338"/>
      <c r="H79" s="592"/>
      <c r="I79" s="520"/>
      <c r="J79" s="421"/>
      <c r="K79" s="520"/>
    </row>
    <row r="80" spans="1:11" s="194" customFormat="1">
      <c r="A80" s="1653"/>
      <c r="B80" s="151" t="s">
        <v>5371</v>
      </c>
      <c r="C80" s="209">
        <v>51</v>
      </c>
      <c r="D80" s="244">
        <f>C80*(1-VLOOKUP(I80,descuentos,6,FALSE))*fcl/TC</f>
        <v>12.389184134328357</v>
      </c>
      <c r="E80" s="228"/>
      <c r="F80" s="585">
        <f t="shared" ref="F80:F88" si="13">ROUNDUP(D80+E80,2)</f>
        <v>12.39</v>
      </c>
      <c r="G80" s="338" t="s">
        <v>5372</v>
      </c>
      <c r="H80" s="592" t="s">
        <v>12899</v>
      </c>
      <c r="I80" s="520" t="s">
        <v>11650</v>
      </c>
      <c r="J80" s="421" t="s">
        <v>753</v>
      </c>
      <c r="K80" s="520" t="s">
        <v>741</v>
      </c>
    </row>
    <row r="81" spans="1:11" s="194" customFormat="1">
      <c r="A81" s="1653"/>
      <c r="B81" s="151" t="s">
        <v>5373</v>
      </c>
      <c r="C81" s="209">
        <v>44</v>
      </c>
      <c r="D81" s="244">
        <f>C81*(1-VLOOKUP(I81,descuentos,6,FALSE))*fcl/TC</f>
        <v>10.688707880597015</v>
      </c>
      <c r="E81" s="228"/>
      <c r="F81" s="585">
        <f t="shared" si="13"/>
        <v>10.69</v>
      </c>
      <c r="G81" s="338" t="s">
        <v>5374</v>
      </c>
      <c r="H81" s="592" t="s">
        <v>12900</v>
      </c>
      <c r="I81" s="520" t="s">
        <v>11650</v>
      </c>
      <c r="J81" s="421" t="s">
        <v>753</v>
      </c>
      <c r="K81" s="520" t="s">
        <v>741</v>
      </c>
    </row>
    <row r="82" spans="1:11" s="194" customFormat="1">
      <c r="A82" s="1653"/>
      <c r="B82" s="151" t="s">
        <v>5375</v>
      </c>
      <c r="C82" s="209">
        <v>44</v>
      </c>
      <c r="D82" s="244">
        <f t="shared" ref="D82:D88" si="14">C82*(1-VLOOKUP(I82,descuentos,6,FALSE))*fcl/TC</f>
        <v>10.688707880597015</v>
      </c>
      <c r="E82" s="228"/>
      <c r="F82" s="585">
        <f t="shared" si="13"/>
        <v>10.69</v>
      </c>
      <c r="G82" s="338" t="s">
        <v>5376</v>
      </c>
      <c r="H82" s="592" t="s">
        <v>5377</v>
      </c>
      <c r="I82" s="520" t="s">
        <v>11650</v>
      </c>
      <c r="J82" s="421" t="s">
        <v>753</v>
      </c>
      <c r="K82" s="520" t="s">
        <v>741</v>
      </c>
    </row>
    <row r="83" spans="1:11" s="194" customFormat="1">
      <c r="A83" s="1653"/>
      <c r="B83" s="151" t="s">
        <v>5378</v>
      </c>
      <c r="C83" s="209">
        <v>44</v>
      </c>
      <c r="D83" s="244">
        <f t="shared" si="14"/>
        <v>10.688707880597015</v>
      </c>
      <c r="E83" s="228"/>
      <c r="F83" s="585">
        <f t="shared" si="13"/>
        <v>10.69</v>
      </c>
      <c r="G83" s="338" t="s">
        <v>5379</v>
      </c>
      <c r="H83" s="592" t="s">
        <v>12901</v>
      </c>
      <c r="I83" s="520" t="s">
        <v>11650</v>
      </c>
      <c r="J83" s="421" t="s">
        <v>753</v>
      </c>
      <c r="K83" s="520" t="s">
        <v>741</v>
      </c>
    </row>
    <row r="84" spans="1:11" s="194" customFormat="1">
      <c r="A84" s="1653"/>
      <c r="B84" s="151" t="s">
        <v>5380</v>
      </c>
      <c r="C84" s="209">
        <v>44</v>
      </c>
      <c r="D84" s="244">
        <f t="shared" si="14"/>
        <v>10.688707880597015</v>
      </c>
      <c r="E84" s="228"/>
      <c r="F84" s="585">
        <f t="shared" si="13"/>
        <v>10.69</v>
      </c>
      <c r="G84" s="338" t="s">
        <v>5381</v>
      </c>
      <c r="H84" s="592" t="s">
        <v>12902</v>
      </c>
      <c r="I84" s="520" t="s">
        <v>11650</v>
      </c>
      <c r="J84" s="421" t="s">
        <v>753</v>
      </c>
      <c r="K84" s="520" t="s">
        <v>741</v>
      </c>
    </row>
    <row r="85" spans="1:11" s="196" customFormat="1">
      <c r="A85" s="1653"/>
      <c r="B85" s="151" t="s">
        <v>5382</v>
      </c>
      <c r="C85" s="209">
        <v>44</v>
      </c>
      <c r="D85" s="244">
        <f t="shared" si="14"/>
        <v>10.688707880597015</v>
      </c>
      <c r="E85" s="228"/>
      <c r="F85" s="585">
        <f t="shared" si="13"/>
        <v>10.69</v>
      </c>
      <c r="G85" s="338" t="s">
        <v>5383</v>
      </c>
      <c r="H85" s="592" t="s">
        <v>12903</v>
      </c>
      <c r="I85" s="520" t="s">
        <v>11650</v>
      </c>
      <c r="J85" s="421" t="s">
        <v>753</v>
      </c>
      <c r="K85" s="520" t="s">
        <v>741</v>
      </c>
    </row>
    <row r="86" spans="1:11" s="196" customFormat="1">
      <c r="A86" s="1653"/>
      <c r="B86" s="151" t="s">
        <v>5384</v>
      </c>
      <c r="C86" s="209">
        <v>60</v>
      </c>
      <c r="D86" s="244">
        <f t="shared" si="14"/>
        <v>14.575510746268655</v>
      </c>
      <c r="E86" s="228"/>
      <c r="F86" s="585">
        <f t="shared" si="13"/>
        <v>14.58</v>
      </c>
      <c r="G86" s="338" t="s">
        <v>5385</v>
      </c>
      <c r="H86" s="592" t="s">
        <v>12904</v>
      </c>
      <c r="I86" s="520" t="s">
        <v>11650</v>
      </c>
      <c r="J86" s="421" t="s">
        <v>753</v>
      </c>
      <c r="K86" s="520" t="s">
        <v>741</v>
      </c>
    </row>
    <row r="87" spans="1:11" s="196" customFormat="1">
      <c r="A87" s="1653"/>
      <c r="B87" s="151" t="s">
        <v>5386</v>
      </c>
      <c r="C87" s="209">
        <v>60</v>
      </c>
      <c r="D87" s="244">
        <f t="shared" si="14"/>
        <v>14.575510746268655</v>
      </c>
      <c r="E87" s="228"/>
      <c r="F87" s="585">
        <f t="shared" si="13"/>
        <v>14.58</v>
      </c>
      <c r="G87" s="338" t="s">
        <v>5387</v>
      </c>
      <c r="H87" s="592" t="s">
        <v>12905</v>
      </c>
      <c r="I87" s="520" t="s">
        <v>11650</v>
      </c>
      <c r="J87" s="421" t="s">
        <v>753</v>
      </c>
      <c r="K87" s="520" t="s">
        <v>741</v>
      </c>
    </row>
    <row r="88" spans="1:11" s="194" customFormat="1">
      <c r="A88" s="1653"/>
      <c r="B88" s="151" t="s">
        <v>5388</v>
      </c>
      <c r="C88" s="209">
        <v>60</v>
      </c>
      <c r="D88" s="244">
        <f t="shared" si="14"/>
        <v>14.575510746268655</v>
      </c>
      <c r="E88" s="228"/>
      <c r="F88" s="585">
        <f t="shared" si="13"/>
        <v>14.58</v>
      </c>
      <c r="G88" s="338" t="s">
        <v>5389</v>
      </c>
      <c r="H88" s="592" t="s">
        <v>12906</v>
      </c>
      <c r="I88" s="520" t="s">
        <v>11650</v>
      </c>
      <c r="J88" s="421" t="s">
        <v>753</v>
      </c>
      <c r="K88" s="520" t="s">
        <v>741</v>
      </c>
    </row>
    <row r="89" spans="1:11" s="194" customFormat="1">
      <c r="A89" s="421"/>
      <c r="B89" s="151"/>
      <c r="C89" s="1654" t="s">
        <v>2058</v>
      </c>
      <c r="D89" s="244"/>
      <c r="E89" s="228"/>
      <c r="F89" s="585"/>
      <c r="G89" s="338"/>
      <c r="H89" s="592"/>
      <c r="I89" s="520"/>
      <c r="J89" s="421"/>
      <c r="K89" s="520"/>
    </row>
    <row r="90" spans="1:11" s="194" customFormat="1">
      <c r="A90" s="421"/>
      <c r="B90" s="151" t="s">
        <v>9730</v>
      </c>
      <c r="C90" s="209">
        <v>35.4</v>
      </c>
      <c r="D90" s="244">
        <f>C90*(1-VLOOKUP(I90,descuentos,6,FALSE))*fcl/IF(dol_sol="dólar", TC,1)</f>
        <v>8.5995513402985075</v>
      </c>
      <c r="E90" s="228"/>
      <c r="F90" s="585">
        <f t="shared" ref="F90:F98" si="15">ROUNDUP(D90+E90,2)</f>
        <v>8.6</v>
      </c>
      <c r="G90" s="338" t="s">
        <v>9731</v>
      </c>
      <c r="H90" s="592" t="s">
        <v>12907</v>
      </c>
      <c r="I90" s="520" t="s">
        <v>11650</v>
      </c>
      <c r="J90" s="421" t="s">
        <v>753</v>
      </c>
      <c r="K90" s="520" t="s">
        <v>741</v>
      </c>
    </row>
    <row r="91" spans="1:11" s="194" customFormat="1">
      <c r="A91" s="421"/>
      <c r="B91" s="151" t="s">
        <v>6318</v>
      </c>
      <c r="C91" s="209">
        <v>33.300000000000004</v>
      </c>
      <c r="D91" s="244">
        <f>C91*(1-VLOOKUP(I91,descuentos,6,FALSE))*fcl/IF(dol_sol="dólar", TC,1)</f>
        <v>8.0894084641791064</v>
      </c>
      <c r="E91" s="228"/>
      <c r="F91" s="585">
        <f t="shared" si="15"/>
        <v>8.09</v>
      </c>
      <c r="G91" s="338" t="s">
        <v>6319</v>
      </c>
      <c r="H91" s="592" t="s">
        <v>12908</v>
      </c>
      <c r="I91" s="520" t="s">
        <v>11650</v>
      </c>
      <c r="J91" s="421" t="s">
        <v>753</v>
      </c>
      <c r="K91" s="520" t="s">
        <v>741</v>
      </c>
    </row>
    <row r="92" spans="1:11" s="194" customFormat="1">
      <c r="A92" s="421"/>
      <c r="B92" s="151" t="s">
        <v>972</v>
      </c>
      <c r="C92" s="209">
        <v>33.300000000000004</v>
      </c>
      <c r="D92" s="244">
        <f t="shared" ref="D92:D98" si="16">C92*(1-VLOOKUP(I92,descuentos,6,FALSE))*fcl/IF(dol_sol="dólar", TC,1)</f>
        <v>8.0894084641791064</v>
      </c>
      <c r="E92" s="228"/>
      <c r="F92" s="585">
        <f t="shared" si="15"/>
        <v>8.09</v>
      </c>
      <c r="G92" s="338" t="s">
        <v>4360</v>
      </c>
      <c r="H92" s="592" t="s">
        <v>12909</v>
      </c>
      <c r="I92" s="520" t="s">
        <v>11650</v>
      </c>
      <c r="J92" s="421" t="s">
        <v>753</v>
      </c>
      <c r="K92" s="520" t="s">
        <v>741</v>
      </c>
    </row>
    <row r="93" spans="1:11" s="194" customFormat="1">
      <c r="A93" s="421"/>
      <c r="B93" s="151" t="s">
        <v>971</v>
      </c>
      <c r="C93" s="209">
        <v>33.300000000000004</v>
      </c>
      <c r="D93" s="244">
        <f t="shared" si="16"/>
        <v>8.0894084641791064</v>
      </c>
      <c r="E93" s="228"/>
      <c r="F93" s="585">
        <f t="shared" si="15"/>
        <v>8.09</v>
      </c>
      <c r="G93" s="338" t="s">
        <v>4361</v>
      </c>
      <c r="H93" s="592" t="s">
        <v>12910</v>
      </c>
      <c r="I93" s="520" t="s">
        <v>11650</v>
      </c>
      <c r="J93" s="421" t="s">
        <v>753</v>
      </c>
      <c r="K93" s="520" t="s">
        <v>741</v>
      </c>
    </row>
    <row r="94" spans="1:11" s="194" customFormat="1">
      <c r="A94" s="421"/>
      <c r="B94" s="151" t="s">
        <v>1007</v>
      </c>
      <c r="C94" s="209">
        <v>33.300000000000004</v>
      </c>
      <c r="D94" s="244">
        <f t="shared" si="16"/>
        <v>8.0894084641791064</v>
      </c>
      <c r="E94" s="228"/>
      <c r="F94" s="585">
        <f t="shared" si="15"/>
        <v>8.09</v>
      </c>
      <c r="G94" s="338" t="s">
        <v>4362</v>
      </c>
      <c r="H94" s="592" t="s">
        <v>12911</v>
      </c>
      <c r="I94" s="520" t="s">
        <v>11650</v>
      </c>
      <c r="J94" s="421" t="s">
        <v>753</v>
      </c>
      <c r="K94" s="520" t="s">
        <v>741</v>
      </c>
    </row>
    <row r="95" spans="1:11" s="194" customFormat="1">
      <c r="A95" s="421"/>
      <c r="B95" s="151" t="s">
        <v>1008</v>
      </c>
      <c r="C95" s="209">
        <v>35.4</v>
      </c>
      <c r="D95" s="244">
        <f t="shared" si="16"/>
        <v>8.5995513402985075</v>
      </c>
      <c r="E95" s="228"/>
      <c r="F95" s="585">
        <f t="shared" si="15"/>
        <v>8.6</v>
      </c>
      <c r="G95" s="338" t="s">
        <v>4363</v>
      </c>
      <c r="H95" s="592" t="s">
        <v>12912</v>
      </c>
      <c r="I95" s="520" t="s">
        <v>11650</v>
      </c>
      <c r="J95" s="421" t="s">
        <v>753</v>
      </c>
      <c r="K95" s="520" t="s">
        <v>741</v>
      </c>
    </row>
    <row r="96" spans="1:11" s="196" customFormat="1">
      <c r="A96" s="421"/>
      <c r="B96" s="151" t="s">
        <v>1009</v>
      </c>
      <c r="C96" s="209">
        <v>45.1</v>
      </c>
      <c r="D96" s="244">
        <f t="shared" si="16"/>
        <v>10.955925577611939</v>
      </c>
      <c r="E96" s="228"/>
      <c r="F96" s="585">
        <f t="shared" si="15"/>
        <v>10.959999999999999</v>
      </c>
      <c r="G96" s="338" t="s">
        <v>4364</v>
      </c>
      <c r="H96" s="592" t="s">
        <v>12913</v>
      </c>
      <c r="I96" s="520" t="s">
        <v>11650</v>
      </c>
      <c r="J96" s="421" t="s">
        <v>753</v>
      </c>
      <c r="K96" s="520" t="s">
        <v>741</v>
      </c>
    </row>
    <row r="97" spans="1:11" s="196" customFormat="1">
      <c r="A97" s="421"/>
      <c r="B97" s="151" t="s">
        <v>1010</v>
      </c>
      <c r="C97" s="209">
        <v>45.1</v>
      </c>
      <c r="D97" s="244">
        <f t="shared" si="16"/>
        <v>10.955925577611939</v>
      </c>
      <c r="E97" s="228"/>
      <c r="F97" s="585">
        <f t="shared" si="15"/>
        <v>10.959999999999999</v>
      </c>
      <c r="G97" s="338" t="s">
        <v>4365</v>
      </c>
      <c r="H97" s="592" t="s">
        <v>12914</v>
      </c>
      <c r="I97" s="520" t="s">
        <v>11650</v>
      </c>
      <c r="J97" s="421" t="s">
        <v>753</v>
      </c>
      <c r="K97" s="520" t="s">
        <v>741</v>
      </c>
    </row>
    <row r="98" spans="1:11" s="196" customFormat="1">
      <c r="A98" s="421"/>
      <c r="B98" s="151" t="s">
        <v>1011</v>
      </c>
      <c r="C98" s="209">
        <v>45.1</v>
      </c>
      <c r="D98" s="244">
        <f t="shared" si="16"/>
        <v>10.955925577611939</v>
      </c>
      <c r="E98" s="228"/>
      <c r="F98" s="585">
        <f t="shared" si="15"/>
        <v>10.959999999999999</v>
      </c>
      <c r="G98" s="338" t="s">
        <v>4366</v>
      </c>
      <c r="H98" s="592" t="s">
        <v>12915</v>
      </c>
      <c r="I98" s="520" t="s">
        <v>11650</v>
      </c>
      <c r="J98" s="421" t="s">
        <v>753</v>
      </c>
      <c r="K98" s="520" t="s">
        <v>741</v>
      </c>
    </row>
    <row r="99" spans="1:11" s="194" customFormat="1">
      <c r="A99" s="421"/>
      <c r="B99" s="151"/>
      <c r="C99" s="209" t="s">
        <v>2058</v>
      </c>
      <c r="D99" s="244"/>
      <c r="E99" s="228"/>
      <c r="F99" s="585"/>
      <c r="G99" s="338"/>
      <c r="H99" s="592"/>
      <c r="I99" s="520"/>
      <c r="J99" s="421"/>
      <c r="K99" s="520"/>
    </row>
    <row r="100" spans="1:11" s="196" customFormat="1">
      <c r="A100" s="421"/>
      <c r="B100" s="151"/>
      <c r="C100" s="209" t="s">
        <v>2058</v>
      </c>
      <c r="D100" s="244"/>
      <c r="E100" s="228"/>
      <c r="F100" s="585"/>
      <c r="G100" s="338"/>
      <c r="H100" s="592"/>
      <c r="I100" s="520"/>
      <c r="J100" s="421"/>
      <c r="K100" s="520"/>
    </row>
    <row r="101" spans="1:11" s="196" customFormat="1">
      <c r="A101" s="1962"/>
      <c r="B101" s="151" t="s">
        <v>12187</v>
      </c>
      <c r="C101" s="209">
        <v>52</v>
      </c>
      <c r="D101" s="244">
        <f>C101*(1-VLOOKUP(I101,descuentos,6,FALSE))*fcl/IF(dol_sol="dólar", TC,1)</f>
        <v>12.632109313432833</v>
      </c>
      <c r="E101" s="228"/>
      <c r="F101" s="585">
        <f t="shared" ref="F101:F108" si="17">ROUNDUP(D101+E101,2)</f>
        <v>12.64</v>
      </c>
      <c r="G101" s="338" t="s">
        <v>12188</v>
      </c>
      <c r="H101" s="592" t="s">
        <v>12916</v>
      </c>
      <c r="I101" s="520" t="s">
        <v>11650</v>
      </c>
      <c r="J101" s="421" t="s">
        <v>753</v>
      </c>
      <c r="K101" s="520" t="s">
        <v>741</v>
      </c>
    </row>
    <row r="102" spans="1:11" s="196" customFormat="1">
      <c r="A102" s="1962"/>
      <c r="B102" s="151" t="s">
        <v>12189</v>
      </c>
      <c r="C102" s="209">
        <v>52</v>
      </c>
      <c r="D102" s="244">
        <f t="shared" ref="D102:D108" si="18">C102*(1-VLOOKUP(I102,descuentos,6,FALSE))*fcl/IF(dol_sol="dólar", TC,1)</f>
        <v>12.632109313432833</v>
      </c>
      <c r="E102" s="228"/>
      <c r="F102" s="585">
        <f t="shared" si="17"/>
        <v>12.64</v>
      </c>
      <c r="G102" s="338" t="s">
        <v>12190</v>
      </c>
      <c r="H102" s="592" t="s">
        <v>12917</v>
      </c>
      <c r="I102" s="520" t="s">
        <v>11650</v>
      </c>
      <c r="J102" s="421" t="s">
        <v>753</v>
      </c>
      <c r="K102" s="520" t="s">
        <v>741</v>
      </c>
    </row>
    <row r="103" spans="1:11" s="196" customFormat="1">
      <c r="A103" s="1962"/>
      <c r="B103" s="151" t="s">
        <v>12191</v>
      </c>
      <c r="C103" s="209">
        <v>52</v>
      </c>
      <c r="D103" s="244">
        <f t="shared" si="18"/>
        <v>12.632109313432833</v>
      </c>
      <c r="E103" s="228"/>
      <c r="F103" s="585">
        <f t="shared" si="17"/>
        <v>12.64</v>
      </c>
      <c r="G103" s="338" t="s">
        <v>12192</v>
      </c>
      <c r="H103" s="592" t="s">
        <v>12918</v>
      </c>
      <c r="I103" s="520" t="s">
        <v>11650</v>
      </c>
      <c r="J103" s="421" t="s">
        <v>753</v>
      </c>
      <c r="K103" s="520" t="s">
        <v>741</v>
      </c>
    </row>
    <row r="104" spans="1:11" s="196" customFormat="1">
      <c r="A104" s="1962"/>
      <c r="B104" s="151" t="s">
        <v>12193</v>
      </c>
      <c r="C104" s="209">
        <v>52</v>
      </c>
      <c r="D104" s="244">
        <f t="shared" si="18"/>
        <v>12.632109313432833</v>
      </c>
      <c r="E104" s="228"/>
      <c r="F104" s="585">
        <f t="shared" si="17"/>
        <v>12.64</v>
      </c>
      <c r="G104" s="338" t="s">
        <v>12194</v>
      </c>
      <c r="H104" s="592" t="s">
        <v>12919</v>
      </c>
      <c r="I104" s="520" t="s">
        <v>11650</v>
      </c>
      <c r="J104" s="421" t="s">
        <v>753</v>
      </c>
      <c r="K104" s="520" t="s">
        <v>741</v>
      </c>
    </row>
    <row r="105" spans="1:11" s="196" customFormat="1">
      <c r="A105" s="1962"/>
      <c r="B105" s="151" t="s">
        <v>12195</v>
      </c>
      <c r="C105" s="209">
        <v>52</v>
      </c>
      <c r="D105" s="244">
        <f t="shared" si="18"/>
        <v>12.632109313432833</v>
      </c>
      <c r="E105" s="228"/>
      <c r="F105" s="585">
        <f t="shared" si="17"/>
        <v>12.64</v>
      </c>
      <c r="G105" s="338" t="s">
        <v>12196</v>
      </c>
      <c r="H105" s="592" t="s">
        <v>12920</v>
      </c>
      <c r="I105" s="520" t="s">
        <v>11650</v>
      </c>
      <c r="J105" s="421" t="s">
        <v>753</v>
      </c>
      <c r="K105" s="520" t="s">
        <v>741</v>
      </c>
    </row>
    <row r="106" spans="1:11" s="196" customFormat="1">
      <c r="A106" s="1962"/>
      <c r="B106" s="151" t="s">
        <v>12197</v>
      </c>
      <c r="C106" s="209">
        <v>71</v>
      </c>
      <c r="D106" s="244">
        <f t="shared" si="18"/>
        <v>17.247687716417911</v>
      </c>
      <c r="E106" s="228"/>
      <c r="F106" s="585">
        <f t="shared" si="17"/>
        <v>17.25</v>
      </c>
      <c r="G106" s="338" t="s">
        <v>12198</v>
      </c>
      <c r="H106" s="592" t="s">
        <v>12921</v>
      </c>
      <c r="I106" s="520" t="s">
        <v>11650</v>
      </c>
      <c r="J106" s="421" t="s">
        <v>753</v>
      </c>
      <c r="K106" s="520" t="s">
        <v>741</v>
      </c>
    </row>
    <row r="107" spans="1:11" s="196" customFormat="1">
      <c r="A107" s="1962"/>
      <c r="B107" s="151" t="s">
        <v>12199</v>
      </c>
      <c r="C107" s="209">
        <v>71</v>
      </c>
      <c r="D107" s="244">
        <f t="shared" si="18"/>
        <v>17.247687716417911</v>
      </c>
      <c r="E107" s="228"/>
      <c r="F107" s="585">
        <f t="shared" si="17"/>
        <v>17.25</v>
      </c>
      <c r="G107" s="338" t="s">
        <v>12200</v>
      </c>
      <c r="H107" s="592" t="s">
        <v>12922</v>
      </c>
      <c r="I107" s="520" t="s">
        <v>11650</v>
      </c>
      <c r="J107" s="421" t="s">
        <v>753</v>
      </c>
      <c r="K107" s="520" t="s">
        <v>741</v>
      </c>
    </row>
    <row r="108" spans="1:11" s="196" customFormat="1">
      <c r="A108" s="1962"/>
      <c r="B108" s="151" t="s">
        <v>12201</v>
      </c>
      <c r="C108" s="209">
        <v>71</v>
      </c>
      <c r="D108" s="244">
        <f t="shared" si="18"/>
        <v>17.247687716417911</v>
      </c>
      <c r="E108" s="228"/>
      <c r="F108" s="585">
        <f t="shared" si="17"/>
        <v>17.25</v>
      </c>
      <c r="G108" s="338" t="s">
        <v>12202</v>
      </c>
      <c r="H108" s="592" t="s">
        <v>12923</v>
      </c>
      <c r="I108" s="520" t="s">
        <v>11650</v>
      </c>
      <c r="J108" s="421" t="s">
        <v>753</v>
      </c>
      <c r="K108" s="520" t="s">
        <v>741</v>
      </c>
    </row>
    <row r="109" spans="1:11" s="196" customFormat="1">
      <c r="A109" s="421"/>
      <c r="B109" s="151"/>
      <c r="C109" s="209" t="s">
        <v>2058</v>
      </c>
      <c r="D109" s="244"/>
      <c r="E109" s="228"/>
      <c r="F109" s="585"/>
      <c r="G109" s="338"/>
      <c r="H109" s="592"/>
      <c r="I109" s="520"/>
      <c r="J109" s="421"/>
      <c r="K109" s="520"/>
    </row>
    <row r="110" spans="1:11" s="194" customFormat="1">
      <c r="A110" s="421"/>
      <c r="B110" s="151"/>
      <c r="C110" s="209" t="s">
        <v>2058</v>
      </c>
      <c r="D110" s="244"/>
      <c r="E110" s="228"/>
      <c r="F110" s="585"/>
      <c r="G110" s="338"/>
      <c r="H110" s="592"/>
      <c r="I110" s="520"/>
      <c r="J110" s="421"/>
      <c r="K110" s="520"/>
    </row>
    <row r="111" spans="1:11" s="196" customFormat="1">
      <c r="A111" s="421"/>
      <c r="B111" s="151" t="s">
        <v>1464</v>
      </c>
      <c r="C111" s="209">
        <v>87</v>
      </c>
      <c r="D111" s="244">
        <f>C111*(1-VLOOKUP(I111,descuentos,6,FALSE))*fcl/IF(dol_sol="dólar", TC,1)</f>
        <v>21.134490582089555</v>
      </c>
      <c r="E111" s="228"/>
      <c r="F111" s="585">
        <f>ROUNDUP(D111+E111,2)</f>
        <v>21.14</v>
      </c>
      <c r="G111" s="338" t="s">
        <v>4361</v>
      </c>
      <c r="H111" s="2013" t="s">
        <v>1516</v>
      </c>
      <c r="I111" s="520" t="s">
        <v>11650</v>
      </c>
      <c r="J111" s="421" t="s">
        <v>753</v>
      </c>
      <c r="K111" s="520" t="s">
        <v>741</v>
      </c>
    </row>
    <row r="112" spans="1:11" s="196" customFormat="1">
      <c r="A112" s="421"/>
      <c r="B112" s="151"/>
      <c r="C112" s="209" t="s">
        <v>2058</v>
      </c>
      <c r="D112" s="244"/>
      <c r="E112" s="228"/>
      <c r="F112" s="585"/>
      <c r="G112" s="338"/>
      <c r="H112" s="592"/>
      <c r="I112" s="520"/>
      <c r="J112" s="421"/>
      <c r="K112" s="520"/>
    </row>
    <row r="113" spans="1:11" s="196" customFormat="1">
      <c r="A113" s="421"/>
      <c r="B113" s="151"/>
      <c r="C113" s="209" t="s">
        <v>2058</v>
      </c>
      <c r="D113" s="244"/>
      <c r="E113" s="228"/>
      <c r="F113" s="585"/>
      <c r="G113" s="338"/>
      <c r="H113" s="592"/>
      <c r="I113" s="520"/>
      <c r="J113" s="421"/>
      <c r="K113" s="520"/>
    </row>
    <row r="114" spans="1:11" s="194" customFormat="1">
      <c r="A114" s="1653"/>
      <c r="B114" s="151" t="s">
        <v>5390</v>
      </c>
      <c r="C114" s="209">
        <v>110</v>
      </c>
      <c r="D114" s="244">
        <f t="shared" ref="D114:D122" si="19">C114*(1-VLOOKUP(I114,descuentos,6,FALSE))*fcl/TC</f>
        <v>26.721769701492537</v>
      </c>
      <c r="E114" s="228"/>
      <c r="F114" s="585">
        <f t="shared" ref="F114:F122" si="20">ROUNDUP(D114+E114,2)</f>
        <v>26.73</v>
      </c>
      <c r="G114" s="338" t="s">
        <v>5391</v>
      </c>
      <c r="H114" s="592" t="s">
        <v>12924</v>
      </c>
      <c r="I114" s="520" t="s">
        <v>11650</v>
      </c>
      <c r="J114" s="421" t="s">
        <v>753</v>
      </c>
      <c r="K114" s="520" t="s">
        <v>741</v>
      </c>
    </row>
    <row r="115" spans="1:11" s="194" customFormat="1">
      <c r="A115" s="1653"/>
      <c r="B115" s="151" t="s">
        <v>5392</v>
      </c>
      <c r="C115" s="209">
        <v>75</v>
      </c>
      <c r="D115" s="244">
        <f t="shared" si="19"/>
        <v>18.219388432835817</v>
      </c>
      <c r="E115" s="228"/>
      <c r="F115" s="585">
        <f t="shared" si="20"/>
        <v>18.220000000000002</v>
      </c>
      <c r="G115" s="338" t="s">
        <v>5393</v>
      </c>
      <c r="H115" s="592" t="s">
        <v>12925</v>
      </c>
      <c r="I115" s="520" t="s">
        <v>11650</v>
      </c>
      <c r="J115" s="421" t="s">
        <v>753</v>
      </c>
      <c r="K115" s="520" t="s">
        <v>741</v>
      </c>
    </row>
    <row r="116" spans="1:11" s="194" customFormat="1">
      <c r="A116" s="1653"/>
      <c r="B116" s="151" t="s">
        <v>5394</v>
      </c>
      <c r="C116" s="209">
        <v>75</v>
      </c>
      <c r="D116" s="244">
        <f t="shared" si="19"/>
        <v>18.219388432835817</v>
      </c>
      <c r="E116" s="228"/>
      <c r="F116" s="585">
        <f t="shared" si="20"/>
        <v>18.220000000000002</v>
      </c>
      <c r="G116" s="338" t="s">
        <v>5395</v>
      </c>
      <c r="H116" s="592" t="s">
        <v>12926</v>
      </c>
      <c r="I116" s="520" t="s">
        <v>11650</v>
      </c>
      <c r="J116" s="421" t="s">
        <v>753</v>
      </c>
      <c r="K116" s="520" t="s">
        <v>741</v>
      </c>
    </row>
    <row r="117" spans="1:11" s="194" customFormat="1">
      <c r="A117" s="1653"/>
      <c r="B117" s="151" t="s">
        <v>5396</v>
      </c>
      <c r="C117" s="209">
        <v>96</v>
      </c>
      <c r="D117" s="244">
        <f t="shared" si="19"/>
        <v>23.320817194029846</v>
      </c>
      <c r="E117" s="228"/>
      <c r="F117" s="585">
        <f t="shared" si="20"/>
        <v>23.330000000000002</v>
      </c>
      <c r="G117" s="338" t="s">
        <v>5397</v>
      </c>
      <c r="H117" s="592" t="s">
        <v>12927</v>
      </c>
      <c r="I117" s="520" t="s">
        <v>11650</v>
      </c>
      <c r="J117" s="421" t="s">
        <v>753</v>
      </c>
      <c r="K117" s="520" t="s">
        <v>741</v>
      </c>
    </row>
    <row r="118" spans="1:11" s="194" customFormat="1">
      <c r="A118" s="1653"/>
      <c r="B118" s="151" t="s">
        <v>5398</v>
      </c>
      <c r="C118" s="209">
        <v>75</v>
      </c>
      <c r="D118" s="244">
        <f t="shared" si="19"/>
        <v>18.219388432835817</v>
      </c>
      <c r="E118" s="228"/>
      <c r="F118" s="585">
        <f t="shared" si="20"/>
        <v>18.220000000000002</v>
      </c>
      <c r="G118" s="338" t="s">
        <v>5399</v>
      </c>
      <c r="H118" s="592" t="s">
        <v>12928</v>
      </c>
      <c r="I118" s="520" t="s">
        <v>11650</v>
      </c>
      <c r="J118" s="421" t="s">
        <v>753</v>
      </c>
      <c r="K118" s="520" t="s">
        <v>741</v>
      </c>
    </row>
    <row r="119" spans="1:11" s="196" customFormat="1">
      <c r="A119" s="1653"/>
      <c r="B119" s="151" t="s">
        <v>5400</v>
      </c>
      <c r="C119" s="209">
        <v>96</v>
      </c>
      <c r="D119" s="244">
        <f t="shared" si="19"/>
        <v>23.320817194029846</v>
      </c>
      <c r="E119" s="228"/>
      <c r="F119" s="585">
        <f t="shared" si="20"/>
        <v>23.330000000000002</v>
      </c>
      <c r="G119" s="338" t="s">
        <v>5401</v>
      </c>
      <c r="H119" s="592" t="s">
        <v>12929</v>
      </c>
      <c r="I119" s="520" t="s">
        <v>11650</v>
      </c>
      <c r="J119" s="421" t="s">
        <v>753</v>
      </c>
      <c r="K119" s="520" t="s">
        <v>741</v>
      </c>
    </row>
    <row r="120" spans="1:11" s="196" customFormat="1">
      <c r="A120" s="1653"/>
      <c r="B120" s="151" t="s">
        <v>5402</v>
      </c>
      <c r="C120" s="209">
        <v>129</v>
      </c>
      <c r="D120" s="244">
        <f t="shared" si="19"/>
        <v>31.337348104477606</v>
      </c>
      <c r="E120" s="228"/>
      <c r="F120" s="585">
        <f t="shared" si="20"/>
        <v>31.34</v>
      </c>
      <c r="G120" s="338" t="s">
        <v>5403</v>
      </c>
      <c r="H120" s="592" t="s">
        <v>12930</v>
      </c>
      <c r="I120" s="520" t="s">
        <v>11650</v>
      </c>
      <c r="J120" s="421" t="s">
        <v>753</v>
      </c>
      <c r="K120" s="520" t="s">
        <v>741</v>
      </c>
    </row>
    <row r="121" spans="1:11" s="196" customFormat="1">
      <c r="A121" s="1653"/>
      <c r="B121" s="151" t="s">
        <v>5404</v>
      </c>
      <c r="C121" s="209">
        <v>102</v>
      </c>
      <c r="D121" s="244">
        <f t="shared" si="19"/>
        <v>24.778368268656713</v>
      </c>
      <c r="E121" s="228"/>
      <c r="F121" s="585">
        <f t="shared" si="20"/>
        <v>24.78</v>
      </c>
      <c r="G121" s="338" t="s">
        <v>5405</v>
      </c>
      <c r="H121" s="592" t="s">
        <v>12931</v>
      </c>
      <c r="I121" s="520" t="s">
        <v>11650</v>
      </c>
      <c r="J121" s="421" t="s">
        <v>753</v>
      </c>
      <c r="K121" s="520" t="s">
        <v>741</v>
      </c>
    </row>
    <row r="122" spans="1:11" s="194" customFormat="1">
      <c r="A122" s="1653"/>
      <c r="B122" s="151" t="s">
        <v>5406</v>
      </c>
      <c r="C122" s="209">
        <v>129</v>
      </c>
      <c r="D122" s="244">
        <f t="shared" si="19"/>
        <v>31.337348104477606</v>
      </c>
      <c r="E122" s="228"/>
      <c r="F122" s="585">
        <f t="shared" si="20"/>
        <v>31.34</v>
      </c>
      <c r="G122" s="338" t="s">
        <v>5407</v>
      </c>
      <c r="H122" s="592" t="s">
        <v>12932</v>
      </c>
      <c r="I122" s="520" t="s">
        <v>11650</v>
      </c>
      <c r="J122" s="421" t="s">
        <v>753</v>
      </c>
      <c r="K122" s="520" t="s">
        <v>741</v>
      </c>
    </row>
    <row r="123" spans="1:11" s="194" customFormat="1">
      <c r="A123" s="421"/>
      <c r="B123" s="151"/>
      <c r="C123" s="1654" t="s">
        <v>2058</v>
      </c>
      <c r="D123" s="244"/>
      <c r="E123" s="228"/>
      <c r="F123" s="585"/>
      <c r="G123" s="338"/>
      <c r="H123" s="592"/>
      <c r="I123" s="520"/>
      <c r="J123" s="421"/>
      <c r="K123" s="520"/>
    </row>
    <row r="124" spans="1:11" s="196" customFormat="1">
      <c r="A124" s="1655"/>
      <c r="B124" s="151" t="s">
        <v>6320</v>
      </c>
      <c r="C124" s="209">
        <v>95.399999999999991</v>
      </c>
      <c r="D124" s="244">
        <f>C124*(1-VLOOKUP(I124,descuentos,6,FALSE))*fcl/TC</f>
        <v>23.175062086567159</v>
      </c>
      <c r="E124" s="228"/>
      <c r="F124" s="585">
        <f t="shared" ref="F124:F137" si="21">ROUNDUP(D124+E124,2)</f>
        <v>23.180000000000003</v>
      </c>
      <c r="G124" s="338" t="s">
        <v>6321</v>
      </c>
      <c r="H124" s="592" t="s">
        <v>12933</v>
      </c>
      <c r="I124" s="520" t="s">
        <v>11650</v>
      </c>
      <c r="J124" s="421" t="s">
        <v>753</v>
      </c>
      <c r="K124" s="520" t="s">
        <v>741</v>
      </c>
    </row>
    <row r="125" spans="1:11" s="196" customFormat="1">
      <c r="A125" s="1655"/>
      <c r="B125" s="151" t="s">
        <v>6322</v>
      </c>
      <c r="C125" s="209">
        <v>95.399999999999991</v>
      </c>
      <c r="D125" s="244">
        <f>C125*(1-VLOOKUP(I125,descuentos,6,FALSE))*fcl/TC</f>
        <v>23.175062086567159</v>
      </c>
      <c r="E125" s="228"/>
      <c r="F125" s="585">
        <f t="shared" si="21"/>
        <v>23.180000000000003</v>
      </c>
      <c r="G125" s="338" t="s">
        <v>6323</v>
      </c>
      <c r="H125" s="592" t="s">
        <v>12934</v>
      </c>
      <c r="I125" s="520" t="s">
        <v>11650</v>
      </c>
      <c r="J125" s="421" t="s">
        <v>753</v>
      </c>
      <c r="K125" s="520" t="s">
        <v>741</v>
      </c>
    </row>
    <row r="126" spans="1:11" s="196" customFormat="1">
      <c r="A126" s="1655"/>
      <c r="B126" s="151" t="s">
        <v>5444</v>
      </c>
      <c r="C126" s="209">
        <v>73</v>
      </c>
      <c r="D126" s="244">
        <f>C126*(1-VLOOKUP(I126,descuentos,6,FALSE))*fcl/TC</f>
        <v>17.733538074626864</v>
      </c>
      <c r="E126" s="228"/>
      <c r="F126" s="585">
        <f t="shared" si="21"/>
        <v>17.740000000000002</v>
      </c>
      <c r="G126" s="338" t="s">
        <v>5445</v>
      </c>
      <c r="H126" s="592" t="s">
        <v>12935</v>
      </c>
      <c r="I126" s="520" t="s">
        <v>11650</v>
      </c>
      <c r="J126" s="421" t="s">
        <v>753</v>
      </c>
      <c r="K126" s="520" t="s">
        <v>741</v>
      </c>
    </row>
    <row r="127" spans="1:11" s="196" customFormat="1">
      <c r="A127" s="421"/>
      <c r="B127" s="151" t="s">
        <v>1997</v>
      </c>
      <c r="C127" s="209">
        <v>61.2</v>
      </c>
      <c r="D127" s="244">
        <f t="shared" ref="D127:D134" si="22">C127*(1-VLOOKUP(I127,descuentos,6,FALSE))*fcl/IF(dol_sol="dólar", TC,1)</f>
        <v>14.867020961194029</v>
      </c>
      <c r="E127" s="228"/>
      <c r="F127" s="585">
        <f t="shared" si="21"/>
        <v>14.87</v>
      </c>
      <c r="G127" s="338" t="s">
        <v>4367</v>
      </c>
      <c r="H127" s="592" t="s">
        <v>12936</v>
      </c>
      <c r="I127" s="520" t="s">
        <v>11650</v>
      </c>
      <c r="J127" s="421" t="s">
        <v>753</v>
      </c>
      <c r="K127" s="520" t="s">
        <v>741</v>
      </c>
    </row>
    <row r="128" spans="1:11" s="196" customFormat="1">
      <c r="A128" s="421"/>
      <c r="B128" s="151" t="s">
        <v>974</v>
      </c>
      <c r="C128" s="209">
        <v>61.2</v>
      </c>
      <c r="D128" s="244">
        <f t="shared" si="22"/>
        <v>14.867020961194029</v>
      </c>
      <c r="E128" s="228"/>
      <c r="F128" s="585">
        <f t="shared" si="21"/>
        <v>14.87</v>
      </c>
      <c r="G128" s="338" t="s">
        <v>4368</v>
      </c>
      <c r="H128" s="592" t="s">
        <v>12937</v>
      </c>
      <c r="I128" s="520" t="s">
        <v>11650</v>
      </c>
      <c r="J128" s="421" t="s">
        <v>753</v>
      </c>
      <c r="K128" s="520" t="s">
        <v>741</v>
      </c>
    </row>
    <row r="129" spans="1:11" s="196" customFormat="1">
      <c r="A129" s="421"/>
      <c r="B129" s="151" t="s">
        <v>973</v>
      </c>
      <c r="C129" s="209">
        <v>61.1</v>
      </c>
      <c r="D129" s="244">
        <f t="shared" si="22"/>
        <v>14.842728443283582</v>
      </c>
      <c r="E129" s="228"/>
      <c r="F129" s="585">
        <f t="shared" si="21"/>
        <v>14.85</v>
      </c>
      <c r="G129" s="338" t="s">
        <v>4369</v>
      </c>
      <c r="H129" s="592" t="s">
        <v>12938</v>
      </c>
      <c r="I129" s="520" t="s">
        <v>11650</v>
      </c>
      <c r="J129" s="421" t="s">
        <v>753</v>
      </c>
      <c r="K129" s="520" t="s">
        <v>741</v>
      </c>
    </row>
    <row r="130" spans="1:11" s="196" customFormat="1">
      <c r="A130" s="421"/>
      <c r="B130" s="151" t="s">
        <v>977</v>
      </c>
      <c r="C130" s="209">
        <v>61.1</v>
      </c>
      <c r="D130" s="244">
        <f t="shared" si="22"/>
        <v>14.842728443283582</v>
      </c>
      <c r="E130" s="228"/>
      <c r="F130" s="585">
        <f t="shared" si="21"/>
        <v>14.85</v>
      </c>
      <c r="G130" s="338" t="s">
        <v>4370</v>
      </c>
      <c r="H130" s="592" t="s">
        <v>12939</v>
      </c>
      <c r="I130" s="520" t="s">
        <v>11650</v>
      </c>
      <c r="J130" s="421" t="s">
        <v>753</v>
      </c>
      <c r="K130" s="520" t="s">
        <v>741</v>
      </c>
    </row>
    <row r="131" spans="1:11" s="196" customFormat="1">
      <c r="A131" s="421"/>
      <c r="B131" s="151" t="s">
        <v>975</v>
      </c>
      <c r="C131" s="209">
        <v>61.1</v>
      </c>
      <c r="D131" s="244">
        <f t="shared" si="22"/>
        <v>14.842728443283582</v>
      </c>
      <c r="E131" s="228"/>
      <c r="F131" s="585">
        <f t="shared" si="21"/>
        <v>14.85</v>
      </c>
      <c r="G131" s="338" t="s">
        <v>4371</v>
      </c>
      <c r="H131" s="592" t="s">
        <v>12940</v>
      </c>
      <c r="I131" s="520" t="s">
        <v>11650</v>
      </c>
      <c r="J131" s="421" t="s">
        <v>753</v>
      </c>
      <c r="K131" s="520" t="s">
        <v>741</v>
      </c>
    </row>
    <row r="132" spans="1:11" s="196" customFormat="1">
      <c r="A132" s="421"/>
      <c r="B132" s="151" t="s">
        <v>1013</v>
      </c>
      <c r="C132" s="209">
        <v>80.399999999999991</v>
      </c>
      <c r="D132" s="244">
        <f t="shared" si="22"/>
        <v>19.531184399999994</v>
      </c>
      <c r="E132" s="228"/>
      <c r="F132" s="585">
        <f t="shared" si="21"/>
        <v>19.540000000000003</v>
      </c>
      <c r="G132" s="338" t="s">
        <v>4372</v>
      </c>
      <c r="H132" s="592" t="s">
        <v>12941</v>
      </c>
      <c r="I132" s="520" t="s">
        <v>11650</v>
      </c>
      <c r="J132" s="421" t="s">
        <v>753</v>
      </c>
      <c r="K132" s="520" t="s">
        <v>741</v>
      </c>
    </row>
    <row r="133" spans="1:11" s="196" customFormat="1">
      <c r="A133" s="421"/>
      <c r="B133" s="151" t="s">
        <v>976</v>
      </c>
      <c r="C133" s="209">
        <v>82.6</v>
      </c>
      <c r="D133" s="244">
        <f t="shared" si="22"/>
        <v>20.065619794029846</v>
      </c>
      <c r="E133" s="228"/>
      <c r="F133" s="585">
        <f t="shared" si="21"/>
        <v>20.07</v>
      </c>
      <c r="G133" s="338" t="s">
        <v>4373</v>
      </c>
      <c r="H133" s="592" t="s">
        <v>12942</v>
      </c>
      <c r="I133" s="520" t="s">
        <v>11650</v>
      </c>
      <c r="J133" s="421" t="s">
        <v>753</v>
      </c>
      <c r="K133" s="520" t="s">
        <v>741</v>
      </c>
    </row>
    <row r="134" spans="1:11" s="196" customFormat="1">
      <c r="A134" s="421"/>
      <c r="B134" s="151" t="s">
        <v>1006</v>
      </c>
      <c r="C134" s="209">
        <v>82.6</v>
      </c>
      <c r="D134" s="244">
        <f t="shared" si="22"/>
        <v>20.065619794029846</v>
      </c>
      <c r="E134" s="228"/>
      <c r="F134" s="585">
        <f t="shared" si="21"/>
        <v>20.07</v>
      </c>
      <c r="G134" s="338" t="s">
        <v>4374</v>
      </c>
      <c r="H134" s="592" t="s">
        <v>12943</v>
      </c>
      <c r="I134" s="520" t="s">
        <v>11650</v>
      </c>
      <c r="J134" s="421" t="s">
        <v>753</v>
      </c>
      <c r="K134" s="520" t="s">
        <v>741</v>
      </c>
    </row>
    <row r="135" spans="1:11" s="196" customFormat="1">
      <c r="A135" s="421"/>
      <c r="B135" s="151" t="s">
        <v>5446</v>
      </c>
      <c r="C135" s="209">
        <v>213.2</v>
      </c>
      <c r="D135" s="244">
        <f>C135*(1-VLOOKUP(I135,descuentos,6,FALSE))*fcl/IF(dol_sol="dólar", TC,1)</f>
        <v>51.791648185074621</v>
      </c>
      <c r="E135" s="228"/>
      <c r="F135" s="585">
        <f t="shared" si="21"/>
        <v>51.8</v>
      </c>
      <c r="G135" s="338" t="s">
        <v>5447</v>
      </c>
      <c r="H135" s="592" t="s">
        <v>5448</v>
      </c>
      <c r="I135" s="520" t="s">
        <v>11650</v>
      </c>
      <c r="J135" s="421" t="s">
        <v>753</v>
      </c>
      <c r="K135" s="520" t="s">
        <v>741</v>
      </c>
    </row>
    <row r="136" spans="1:11" s="196" customFormat="1">
      <c r="A136" s="421"/>
      <c r="B136" s="151" t="s">
        <v>5449</v>
      </c>
      <c r="C136" s="209">
        <v>260.40000000000003</v>
      </c>
      <c r="D136" s="244">
        <f>C136*(1-VLOOKUP(I136,descuentos,6,FALSE))*fcl/IF(dol_sol="dólar", TC,1)</f>
        <v>63.257716638805974</v>
      </c>
      <c r="E136" s="228"/>
      <c r="F136" s="585">
        <f t="shared" si="21"/>
        <v>63.26</v>
      </c>
      <c r="G136" s="338" t="s">
        <v>5450</v>
      </c>
      <c r="H136" s="592" t="s">
        <v>5451</v>
      </c>
      <c r="I136" s="520" t="s">
        <v>11650</v>
      </c>
      <c r="J136" s="421" t="s">
        <v>753</v>
      </c>
      <c r="K136" s="520" t="s">
        <v>741</v>
      </c>
    </row>
    <row r="137" spans="1:11" s="196" customFormat="1">
      <c r="A137" s="421"/>
      <c r="B137" s="151"/>
      <c r="C137" s="209" t="s">
        <v>2058</v>
      </c>
      <c r="D137" s="244"/>
      <c r="E137" s="228"/>
      <c r="F137" s="585">
        <f t="shared" si="21"/>
        <v>0</v>
      </c>
      <c r="G137" s="338"/>
      <c r="H137" s="592"/>
      <c r="I137" s="520"/>
      <c r="J137" s="421"/>
      <c r="K137" s="520"/>
    </row>
    <row r="138" spans="1:11" s="196" customFormat="1">
      <c r="A138" s="421"/>
      <c r="B138" s="151"/>
      <c r="C138" s="209" t="s">
        <v>2058</v>
      </c>
      <c r="D138" s="244"/>
      <c r="E138" s="228"/>
      <c r="F138" s="585"/>
      <c r="G138" s="338"/>
      <c r="H138" s="592"/>
      <c r="I138" s="520"/>
      <c r="J138" s="421"/>
      <c r="K138" s="520"/>
    </row>
    <row r="139" spans="1:11" s="196" customFormat="1">
      <c r="A139" s="421"/>
      <c r="B139" s="151" t="s">
        <v>9109</v>
      </c>
      <c r="C139" s="209">
        <v>115</v>
      </c>
      <c r="D139" s="244">
        <f>C139*(1-VLOOKUP(I139,descuentos,6,FALSE))*fcl/IF(dol_sol="dólar", TC,1)</f>
        <v>27.936395597014922</v>
      </c>
      <c r="E139" s="228"/>
      <c r="F139" s="585">
        <f>ROUNDUP(D139+E139,2)</f>
        <v>27.94</v>
      </c>
      <c r="G139" s="338" t="s">
        <v>9110</v>
      </c>
      <c r="H139" s="592" t="s">
        <v>12944</v>
      </c>
      <c r="I139" s="520" t="s">
        <v>11650</v>
      </c>
      <c r="J139" s="421" t="s">
        <v>753</v>
      </c>
      <c r="K139" s="520" t="s">
        <v>741</v>
      </c>
    </row>
    <row r="140" spans="1:11" s="196" customFormat="1">
      <c r="A140" s="421"/>
      <c r="B140" s="151"/>
      <c r="C140" s="209" t="s">
        <v>2058</v>
      </c>
      <c r="D140" s="244"/>
      <c r="E140" s="228"/>
      <c r="F140" s="585"/>
      <c r="G140" s="338"/>
      <c r="H140" s="592"/>
      <c r="I140" s="520"/>
      <c r="J140" s="421"/>
      <c r="K140" s="520"/>
    </row>
    <row r="141" spans="1:11" s="196" customFormat="1">
      <c r="A141" s="421"/>
      <c r="B141" s="151" t="s">
        <v>6324</v>
      </c>
      <c r="C141" s="209">
        <v>106</v>
      </c>
      <c r="D141" s="244">
        <f>C141*(1-VLOOKUP(I141,descuentos,6,FALSE))*fcl/IF(dol_sol="dólar", TC,1)</f>
        <v>25.750068985074623</v>
      </c>
      <c r="E141" s="228"/>
      <c r="F141" s="585">
        <f t="shared" ref="F141:F148" si="23">ROUNDUP(D141+E141,2)</f>
        <v>25.76</v>
      </c>
      <c r="G141" s="338" t="s">
        <v>6325</v>
      </c>
      <c r="H141" s="592" t="s">
        <v>12945</v>
      </c>
      <c r="I141" s="520" t="s">
        <v>11650</v>
      </c>
      <c r="J141" s="421" t="s">
        <v>753</v>
      </c>
      <c r="K141" s="520" t="s">
        <v>741</v>
      </c>
    </row>
    <row r="142" spans="1:11" s="196" customFormat="1">
      <c r="A142" s="421"/>
      <c r="B142" s="151" t="s">
        <v>979</v>
      </c>
      <c r="C142" s="209">
        <v>106</v>
      </c>
      <c r="D142" s="244">
        <f t="shared" ref="D142:D148" si="24">C142*(1-VLOOKUP(I142,descuentos,6,FALSE))*fcl/IF(dol_sol="dólar", TC,1)</f>
        <v>25.750068985074623</v>
      </c>
      <c r="E142" s="228"/>
      <c r="F142" s="585">
        <f t="shared" si="23"/>
        <v>25.76</v>
      </c>
      <c r="G142" s="338" t="s">
        <v>4375</v>
      </c>
      <c r="H142" s="592" t="s">
        <v>12946</v>
      </c>
      <c r="I142" s="520" t="s">
        <v>11650</v>
      </c>
      <c r="J142" s="421" t="s">
        <v>753</v>
      </c>
      <c r="K142" s="520" t="s">
        <v>741</v>
      </c>
    </row>
    <row r="143" spans="1:11" s="196" customFormat="1">
      <c r="A143" s="421"/>
      <c r="B143" s="151" t="s">
        <v>978</v>
      </c>
      <c r="C143" s="209">
        <v>106</v>
      </c>
      <c r="D143" s="244">
        <f t="shared" si="24"/>
        <v>25.750068985074623</v>
      </c>
      <c r="E143" s="228"/>
      <c r="F143" s="585">
        <f t="shared" si="23"/>
        <v>25.76</v>
      </c>
      <c r="G143" s="338" t="s">
        <v>4376</v>
      </c>
      <c r="H143" s="592" t="s">
        <v>12947</v>
      </c>
      <c r="I143" s="520" t="s">
        <v>11650</v>
      </c>
      <c r="J143" s="421" t="s">
        <v>753</v>
      </c>
      <c r="K143" s="520" t="s">
        <v>741</v>
      </c>
    </row>
    <row r="144" spans="1:11" s="196" customFormat="1">
      <c r="A144" s="421"/>
      <c r="B144" s="151" t="s">
        <v>996</v>
      </c>
      <c r="C144" s="209">
        <v>106</v>
      </c>
      <c r="D144" s="244">
        <f t="shared" si="24"/>
        <v>25.750068985074623</v>
      </c>
      <c r="E144" s="228"/>
      <c r="F144" s="585">
        <f t="shared" si="23"/>
        <v>25.76</v>
      </c>
      <c r="G144" s="338" t="s">
        <v>4377</v>
      </c>
      <c r="H144" s="592" t="s">
        <v>12948</v>
      </c>
      <c r="I144" s="520" t="s">
        <v>11650</v>
      </c>
      <c r="J144" s="421" t="s">
        <v>753</v>
      </c>
      <c r="K144" s="520" t="s">
        <v>741</v>
      </c>
    </row>
    <row r="145" spans="1:11" s="196" customFormat="1">
      <c r="A145" s="421"/>
      <c r="B145" s="151" t="s">
        <v>997</v>
      </c>
      <c r="C145" s="209">
        <v>106</v>
      </c>
      <c r="D145" s="244">
        <f t="shared" si="24"/>
        <v>25.750068985074623</v>
      </c>
      <c r="E145" s="228"/>
      <c r="F145" s="585">
        <f t="shared" si="23"/>
        <v>25.76</v>
      </c>
      <c r="G145" s="338" t="s">
        <v>4378</v>
      </c>
      <c r="H145" s="592" t="s">
        <v>12949</v>
      </c>
      <c r="I145" s="520" t="s">
        <v>11650</v>
      </c>
      <c r="J145" s="421" t="s">
        <v>753</v>
      </c>
      <c r="K145" s="520" t="s">
        <v>741</v>
      </c>
    </row>
    <row r="146" spans="1:11" s="196" customFormat="1">
      <c r="A146" s="421"/>
      <c r="B146" s="151" t="s">
        <v>998</v>
      </c>
      <c r="C146" s="209">
        <v>139</v>
      </c>
      <c r="D146" s="244">
        <f t="shared" si="24"/>
        <v>33.766599895522383</v>
      </c>
      <c r="E146" s="228"/>
      <c r="F146" s="585">
        <f t="shared" si="23"/>
        <v>33.769999999999996</v>
      </c>
      <c r="G146" s="338" t="s">
        <v>4379</v>
      </c>
      <c r="H146" s="592" t="s">
        <v>12950</v>
      </c>
      <c r="I146" s="520" t="s">
        <v>11650</v>
      </c>
      <c r="J146" s="421" t="s">
        <v>753</v>
      </c>
      <c r="K146" s="520" t="s">
        <v>741</v>
      </c>
    </row>
    <row r="147" spans="1:11" s="196" customFormat="1">
      <c r="A147" s="421"/>
      <c r="B147" s="151" t="s">
        <v>999</v>
      </c>
      <c r="C147" s="209">
        <v>139</v>
      </c>
      <c r="D147" s="244">
        <f t="shared" si="24"/>
        <v>33.766599895522383</v>
      </c>
      <c r="E147" s="228"/>
      <c r="F147" s="585">
        <f t="shared" si="23"/>
        <v>33.769999999999996</v>
      </c>
      <c r="G147" s="338" t="s">
        <v>4380</v>
      </c>
      <c r="H147" s="592" t="s">
        <v>12951</v>
      </c>
      <c r="I147" s="520" t="s">
        <v>11650</v>
      </c>
      <c r="J147" s="421" t="s">
        <v>753</v>
      </c>
      <c r="K147" s="520" t="s">
        <v>741</v>
      </c>
    </row>
    <row r="148" spans="1:11" s="196" customFormat="1">
      <c r="A148" s="421"/>
      <c r="B148" s="151" t="s">
        <v>1014</v>
      </c>
      <c r="C148" s="209">
        <v>139</v>
      </c>
      <c r="D148" s="244">
        <f t="shared" si="24"/>
        <v>33.766599895522383</v>
      </c>
      <c r="E148" s="228"/>
      <c r="F148" s="585">
        <f t="shared" si="23"/>
        <v>33.769999999999996</v>
      </c>
      <c r="G148" s="338" t="s">
        <v>4381</v>
      </c>
      <c r="H148" s="592" t="s">
        <v>12952</v>
      </c>
      <c r="I148" s="520" t="s">
        <v>11650</v>
      </c>
      <c r="J148" s="421" t="s">
        <v>753</v>
      </c>
      <c r="K148" s="520" t="s">
        <v>741</v>
      </c>
    </row>
    <row r="149" spans="1:11" s="196" customFormat="1">
      <c r="A149" s="421"/>
      <c r="B149" s="151"/>
      <c r="C149" s="209" t="s">
        <v>2058</v>
      </c>
      <c r="D149" s="244"/>
      <c r="E149" s="228"/>
      <c r="F149" s="585"/>
      <c r="G149" s="338"/>
      <c r="H149" s="592"/>
      <c r="I149" s="520"/>
      <c r="J149" s="421"/>
      <c r="K149" s="520"/>
    </row>
    <row r="150" spans="1:11" s="196" customFormat="1">
      <c r="A150" s="421"/>
      <c r="B150" s="151"/>
      <c r="C150" s="209" t="s">
        <v>2058</v>
      </c>
      <c r="D150" s="244"/>
      <c r="E150" s="228"/>
      <c r="F150" s="585">
        <f t="shared" ref="F150:F168" si="25">ROUNDUP(D150+E150,2)</f>
        <v>0</v>
      </c>
      <c r="G150" s="338"/>
      <c r="H150" s="592"/>
      <c r="I150" s="520"/>
      <c r="J150" s="421"/>
      <c r="K150" s="520"/>
    </row>
    <row r="151" spans="1:11" s="196" customFormat="1">
      <c r="A151" s="421"/>
      <c r="B151" s="151" t="s">
        <v>9111</v>
      </c>
      <c r="C151" s="209">
        <v>177</v>
      </c>
      <c r="D151" s="244">
        <f>C151*(1-VLOOKUP(I151,descuentos,6,FALSE))*fcl/IF(dol_sol="dólar", TC,1)</f>
        <v>42.997756701492534</v>
      </c>
      <c r="E151" s="228"/>
      <c r="F151" s="585">
        <f t="shared" si="25"/>
        <v>43</v>
      </c>
      <c r="G151" s="338" t="s">
        <v>9112</v>
      </c>
      <c r="H151" s="2013" t="s">
        <v>9113</v>
      </c>
      <c r="I151" s="520" t="s">
        <v>11650</v>
      </c>
      <c r="J151" s="421" t="s">
        <v>753</v>
      </c>
      <c r="K151" s="520" t="s">
        <v>741</v>
      </c>
    </row>
    <row r="152" spans="1:11" s="196" customFormat="1">
      <c r="A152" s="421"/>
      <c r="B152" s="151" t="s">
        <v>981</v>
      </c>
      <c r="C152" s="209">
        <v>177</v>
      </c>
      <c r="D152" s="244">
        <f t="shared" ref="D152:D158" si="26">C152*(1-VLOOKUP(I152,descuentos,6,FALSE))*fcl/IF(dol_sol="dólar", TC,1)</f>
        <v>42.997756701492534</v>
      </c>
      <c r="E152" s="228"/>
      <c r="F152" s="585">
        <f t="shared" si="25"/>
        <v>43</v>
      </c>
      <c r="G152" s="338" t="s">
        <v>4382</v>
      </c>
      <c r="H152" s="2013" t="s">
        <v>1517</v>
      </c>
      <c r="I152" s="520" t="s">
        <v>11650</v>
      </c>
      <c r="J152" s="421" t="s">
        <v>753</v>
      </c>
      <c r="K152" s="520" t="s">
        <v>741</v>
      </c>
    </row>
    <row r="153" spans="1:11" s="196" customFormat="1">
      <c r="A153" s="421"/>
      <c r="B153" s="151" t="s">
        <v>980</v>
      </c>
      <c r="C153" s="209">
        <v>177</v>
      </c>
      <c r="D153" s="244">
        <f t="shared" si="26"/>
        <v>42.997756701492534</v>
      </c>
      <c r="E153" s="228"/>
      <c r="F153" s="585">
        <f t="shared" si="25"/>
        <v>43</v>
      </c>
      <c r="G153" s="338" t="s">
        <v>4383</v>
      </c>
      <c r="H153" s="2013" t="s">
        <v>1518</v>
      </c>
      <c r="I153" s="520" t="s">
        <v>11650</v>
      </c>
      <c r="J153" s="421" t="s">
        <v>753</v>
      </c>
      <c r="K153" s="520" t="s">
        <v>741</v>
      </c>
    </row>
    <row r="154" spans="1:11" s="196" customFormat="1">
      <c r="A154" s="421"/>
      <c r="B154" s="151" t="s">
        <v>982</v>
      </c>
      <c r="C154" s="209">
        <v>177</v>
      </c>
      <c r="D154" s="244">
        <f t="shared" si="26"/>
        <v>42.997756701492534</v>
      </c>
      <c r="E154" s="228"/>
      <c r="F154" s="585">
        <f t="shared" si="25"/>
        <v>43</v>
      </c>
      <c r="G154" s="338" t="s">
        <v>4384</v>
      </c>
      <c r="H154" s="2013" t="s">
        <v>1519</v>
      </c>
      <c r="I154" s="520" t="s">
        <v>11650</v>
      </c>
      <c r="J154" s="421" t="s">
        <v>753</v>
      </c>
      <c r="K154" s="520" t="s">
        <v>741</v>
      </c>
    </row>
    <row r="155" spans="1:11" s="341" customFormat="1">
      <c r="A155" s="421"/>
      <c r="B155" s="151" t="s">
        <v>1000</v>
      </c>
      <c r="C155" s="209">
        <v>177</v>
      </c>
      <c r="D155" s="244">
        <f t="shared" si="26"/>
        <v>42.997756701492534</v>
      </c>
      <c r="E155" s="228"/>
      <c r="F155" s="585">
        <f t="shared" si="25"/>
        <v>43</v>
      </c>
      <c r="G155" s="338" t="s">
        <v>4385</v>
      </c>
      <c r="H155" s="2013" t="s">
        <v>1520</v>
      </c>
      <c r="I155" s="520" t="s">
        <v>11650</v>
      </c>
      <c r="J155" s="421" t="s">
        <v>753</v>
      </c>
      <c r="K155" s="520" t="s">
        <v>741</v>
      </c>
    </row>
    <row r="156" spans="1:11" s="341" customFormat="1">
      <c r="A156" s="421"/>
      <c r="B156" s="151" t="s">
        <v>1015</v>
      </c>
      <c r="C156" s="209">
        <v>213</v>
      </c>
      <c r="D156" s="244">
        <f t="shared" si="26"/>
        <v>51.743063149253722</v>
      </c>
      <c r="E156" s="228"/>
      <c r="F156" s="585">
        <f t="shared" si="25"/>
        <v>51.75</v>
      </c>
      <c r="G156" s="338" t="s">
        <v>4386</v>
      </c>
      <c r="H156" s="2013" t="s">
        <v>1521</v>
      </c>
      <c r="I156" s="520" t="s">
        <v>11650</v>
      </c>
      <c r="J156" s="421" t="s">
        <v>753</v>
      </c>
      <c r="K156" s="520" t="s">
        <v>741</v>
      </c>
    </row>
    <row r="157" spans="1:11" s="341" customFormat="1">
      <c r="A157" s="421"/>
      <c r="B157" s="151" t="s">
        <v>1016</v>
      </c>
      <c r="C157" s="209">
        <v>223</v>
      </c>
      <c r="D157" s="244">
        <f t="shared" si="26"/>
        <v>54.172314940298506</v>
      </c>
      <c r="E157" s="228"/>
      <c r="F157" s="585">
        <f t="shared" si="25"/>
        <v>54.18</v>
      </c>
      <c r="G157" s="338" t="s">
        <v>4387</v>
      </c>
      <c r="H157" s="2013" t="s">
        <v>1522</v>
      </c>
      <c r="I157" s="520" t="s">
        <v>11650</v>
      </c>
      <c r="J157" s="421" t="s">
        <v>753</v>
      </c>
      <c r="K157" s="520" t="s">
        <v>741</v>
      </c>
    </row>
    <row r="158" spans="1:11" s="341" customFormat="1">
      <c r="A158" s="421"/>
      <c r="B158" s="151" t="s">
        <v>1017</v>
      </c>
      <c r="C158" s="209">
        <v>223</v>
      </c>
      <c r="D158" s="244">
        <f t="shared" si="26"/>
        <v>54.172314940298506</v>
      </c>
      <c r="E158" s="228"/>
      <c r="F158" s="585">
        <f t="shared" si="25"/>
        <v>54.18</v>
      </c>
      <c r="G158" s="338" t="s">
        <v>4388</v>
      </c>
      <c r="H158" s="2013" t="s">
        <v>1523</v>
      </c>
      <c r="I158" s="520" t="s">
        <v>11650</v>
      </c>
      <c r="J158" s="421" t="s">
        <v>753</v>
      </c>
      <c r="K158" s="520" t="s">
        <v>741</v>
      </c>
    </row>
    <row r="159" spans="1:11" s="341" customFormat="1">
      <c r="A159" s="421"/>
      <c r="B159" s="151"/>
      <c r="C159" s="209" t="s">
        <v>2058</v>
      </c>
      <c r="D159" s="244"/>
      <c r="E159" s="228"/>
      <c r="F159" s="585">
        <f t="shared" si="25"/>
        <v>0</v>
      </c>
      <c r="G159" s="338"/>
      <c r="H159" s="592"/>
      <c r="I159" s="520"/>
      <c r="J159" s="421"/>
      <c r="K159" s="520"/>
    </row>
    <row r="160" spans="1:11" s="194" customFormat="1">
      <c r="A160" s="1653"/>
      <c r="B160" s="151" t="s">
        <v>5408</v>
      </c>
      <c r="C160" s="209">
        <v>170</v>
      </c>
      <c r="D160" s="244">
        <f t="shared" ref="D160:D168" si="27">C160*(1-VLOOKUP(I160,descuentos,6,FALSE))*fcl/TC</f>
        <v>41.297280447761182</v>
      </c>
      <c r="E160" s="228"/>
      <c r="F160" s="585">
        <f t="shared" si="25"/>
        <v>41.3</v>
      </c>
      <c r="G160" s="338" t="s">
        <v>5409</v>
      </c>
      <c r="H160" s="592" t="s">
        <v>12953</v>
      </c>
      <c r="I160" s="520" t="s">
        <v>11650</v>
      </c>
      <c r="J160" s="421" t="s">
        <v>753</v>
      </c>
      <c r="K160" s="520" t="s">
        <v>741</v>
      </c>
    </row>
    <row r="161" spans="1:11" s="194" customFormat="1">
      <c r="A161" s="1653"/>
      <c r="B161" s="151" t="s">
        <v>5410</v>
      </c>
      <c r="C161" s="209">
        <v>151</v>
      </c>
      <c r="D161" s="244">
        <f t="shared" si="27"/>
        <v>36.681702044776117</v>
      </c>
      <c r="E161" s="228"/>
      <c r="F161" s="585">
        <f t="shared" si="25"/>
        <v>36.69</v>
      </c>
      <c r="G161" s="338" t="s">
        <v>5411</v>
      </c>
      <c r="H161" s="592" t="s">
        <v>12954</v>
      </c>
      <c r="I161" s="520" t="s">
        <v>11650</v>
      </c>
      <c r="J161" s="421" t="s">
        <v>753</v>
      </c>
      <c r="K161" s="520" t="s">
        <v>741</v>
      </c>
    </row>
    <row r="162" spans="1:11" s="194" customFormat="1">
      <c r="A162" s="1653"/>
      <c r="B162" s="151" t="s">
        <v>5412</v>
      </c>
      <c r="C162" s="209">
        <v>151</v>
      </c>
      <c r="D162" s="244">
        <f t="shared" si="27"/>
        <v>36.681702044776117</v>
      </c>
      <c r="E162" s="228"/>
      <c r="F162" s="585">
        <f t="shared" si="25"/>
        <v>36.69</v>
      </c>
      <c r="G162" s="338" t="s">
        <v>5413</v>
      </c>
      <c r="H162" s="592" t="s">
        <v>12955</v>
      </c>
      <c r="I162" s="520" t="s">
        <v>11650</v>
      </c>
      <c r="J162" s="421" t="s">
        <v>753</v>
      </c>
      <c r="K162" s="520" t="s">
        <v>741</v>
      </c>
    </row>
    <row r="163" spans="1:11" s="194" customFormat="1">
      <c r="A163" s="1653"/>
      <c r="B163" s="151" t="s">
        <v>5414</v>
      </c>
      <c r="C163" s="209">
        <v>151</v>
      </c>
      <c r="D163" s="244">
        <f t="shared" si="27"/>
        <v>36.681702044776117</v>
      </c>
      <c r="E163" s="228"/>
      <c r="F163" s="585">
        <f t="shared" si="25"/>
        <v>36.69</v>
      </c>
      <c r="G163" s="338" t="s">
        <v>5415</v>
      </c>
      <c r="H163" s="592" t="s">
        <v>12956</v>
      </c>
      <c r="I163" s="520" t="s">
        <v>11650</v>
      </c>
      <c r="J163" s="421" t="s">
        <v>753</v>
      </c>
      <c r="K163" s="520" t="s">
        <v>741</v>
      </c>
    </row>
    <row r="164" spans="1:11" s="194" customFormat="1">
      <c r="A164" s="1653"/>
      <c r="B164" s="151" t="s">
        <v>5416</v>
      </c>
      <c r="C164" s="209">
        <v>151</v>
      </c>
      <c r="D164" s="244">
        <f t="shared" si="27"/>
        <v>36.681702044776117</v>
      </c>
      <c r="E164" s="228"/>
      <c r="F164" s="585">
        <f t="shared" si="25"/>
        <v>36.69</v>
      </c>
      <c r="G164" s="338" t="s">
        <v>5417</v>
      </c>
      <c r="H164" s="592" t="s">
        <v>12957</v>
      </c>
      <c r="I164" s="520" t="s">
        <v>11650</v>
      </c>
      <c r="J164" s="421" t="s">
        <v>753</v>
      </c>
      <c r="K164" s="520" t="s">
        <v>741</v>
      </c>
    </row>
    <row r="165" spans="1:11" s="196" customFormat="1">
      <c r="A165" s="1653"/>
      <c r="B165" s="151" t="s">
        <v>5418</v>
      </c>
      <c r="C165" s="209">
        <v>151</v>
      </c>
      <c r="D165" s="244">
        <f t="shared" si="27"/>
        <v>36.681702044776117</v>
      </c>
      <c r="E165" s="228"/>
      <c r="F165" s="585">
        <f t="shared" si="25"/>
        <v>36.69</v>
      </c>
      <c r="G165" s="338" t="s">
        <v>5419</v>
      </c>
      <c r="H165" s="592" t="s">
        <v>12958</v>
      </c>
      <c r="I165" s="520" t="s">
        <v>11650</v>
      </c>
      <c r="J165" s="421" t="s">
        <v>753</v>
      </c>
      <c r="K165" s="520" t="s">
        <v>741</v>
      </c>
    </row>
    <row r="166" spans="1:11" s="196" customFormat="1">
      <c r="A166" s="1653"/>
      <c r="B166" s="151" t="s">
        <v>5420</v>
      </c>
      <c r="C166" s="209">
        <v>213</v>
      </c>
      <c r="D166" s="244">
        <f t="shared" si="27"/>
        <v>51.743063149253722</v>
      </c>
      <c r="E166" s="228"/>
      <c r="F166" s="585">
        <f t="shared" si="25"/>
        <v>51.75</v>
      </c>
      <c r="G166" s="338" t="s">
        <v>5421</v>
      </c>
      <c r="H166" s="592" t="s">
        <v>12959</v>
      </c>
      <c r="I166" s="520" t="s">
        <v>11650</v>
      </c>
      <c r="J166" s="421" t="s">
        <v>753</v>
      </c>
      <c r="K166" s="520" t="s">
        <v>741</v>
      </c>
    </row>
    <row r="167" spans="1:11" s="196" customFormat="1">
      <c r="A167" s="1653"/>
      <c r="B167" s="151" t="s">
        <v>5422</v>
      </c>
      <c r="C167" s="209">
        <v>213</v>
      </c>
      <c r="D167" s="244">
        <f t="shared" si="27"/>
        <v>51.743063149253722</v>
      </c>
      <c r="E167" s="228"/>
      <c r="F167" s="585">
        <f t="shared" si="25"/>
        <v>51.75</v>
      </c>
      <c r="G167" s="338" t="s">
        <v>5423</v>
      </c>
      <c r="H167" s="592" t="s">
        <v>12960</v>
      </c>
      <c r="I167" s="520" t="s">
        <v>11650</v>
      </c>
      <c r="J167" s="421" t="s">
        <v>753</v>
      </c>
      <c r="K167" s="520" t="s">
        <v>741</v>
      </c>
    </row>
    <row r="168" spans="1:11" s="194" customFormat="1">
      <c r="A168" s="1653"/>
      <c r="B168" s="151" t="s">
        <v>5424</v>
      </c>
      <c r="C168" s="209">
        <v>213</v>
      </c>
      <c r="D168" s="244">
        <f t="shared" si="27"/>
        <v>51.743063149253722</v>
      </c>
      <c r="E168" s="228"/>
      <c r="F168" s="585">
        <f t="shared" si="25"/>
        <v>51.75</v>
      </c>
      <c r="G168" s="338" t="s">
        <v>5425</v>
      </c>
      <c r="H168" s="592" t="s">
        <v>12961</v>
      </c>
      <c r="I168" s="520" t="s">
        <v>11650</v>
      </c>
      <c r="J168" s="421" t="s">
        <v>753</v>
      </c>
      <c r="K168" s="520" t="s">
        <v>741</v>
      </c>
    </row>
    <row r="169" spans="1:11" s="194" customFormat="1">
      <c r="A169" s="421"/>
      <c r="B169" s="151"/>
      <c r="C169" s="1654" t="s">
        <v>2058</v>
      </c>
      <c r="D169" s="244"/>
      <c r="E169" s="228"/>
      <c r="F169" s="585"/>
      <c r="G169" s="338"/>
      <c r="H169" s="592"/>
      <c r="I169" s="520"/>
      <c r="J169" s="421"/>
      <c r="K169" s="520"/>
    </row>
    <row r="170" spans="1:11" s="196" customFormat="1">
      <c r="A170" s="1655"/>
      <c r="B170" s="151" t="s">
        <v>5452</v>
      </c>
      <c r="C170" s="209">
        <v>112.6</v>
      </c>
      <c r="D170" s="244">
        <f>C170*(1-VLOOKUP(I170,descuentos,6,FALSE))*fcl/TC</f>
        <v>27.353375167164177</v>
      </c>
      <c r="E170" s="228"/>
      <c r="F170" s="585">
        <f t="shared" ref="F170:F207" si="28">ROUNDUP(D170+E170,2)</f>
        <v>27.360000000000003</v>
      </c>
      <c r="G170" s="338" t="s">
        <v>5453</v>
      </c>
      <c r="H170" s="592" t="s">
        <v>12962</v>
      </c>
      <c r="I170" s="520" t="s">
        <v>11650</v>
      </c>
      <c r="J170" s="421" t="s">
        <v>753</v>
      </c>
      <c r="K170" s="520" t="s">
        <v>741</v>
      </c>
    </row>
    <row r="171" spans="1:11" s="341" customFormat="1">
      <c r="A171" s="421"/>
      <c r="B171" s="151" t="s">
        <v>1998</v>
      </c>
      <c r="C171" s="209">
        <v>111.5</v>
      </c>
      <c r="D171" s="244">
        <f t="shared" ref="D171:D180" si="29">C171*(1-VLOOKUP(I171,descuentos,6,FALSE))*fcl/IF(dol_sol="dólar", TC,1)</f>
        <v>27.086157470149253</v>
      </c>
      <c r="E171" s="228"/>
      <c r="F171" s="585">
        <f t="shared" si="28"/>
        <v>27.09</v>
      </c>
      <c r="G171" s="338" t="s">
        <v>4389</v>
      </c>
      <c r="H171" s="592" t="s">
        <v>12963</v>
      </c>
      <c r="I171" s="520" t="s">
        <v>11650</v>
      </c>
      <c r="J171" s="421" t="s">
        <v>753</v>
      </c>
      <c r="K171" s="520" t="s">
        <v>741</v>
      </c>
    </row>
    <row r="172" spans="1:11" s="341" customFormat="1">
      <c r="A172" s="421"/>
      <c r="B172" s="151" t="s">
        <v>988</v>
      </c>
      <c r="C172" s="209">
        <v>111.5</v>
      </c>
      <c r="D172" s="244">
        <f t="shared" si="29"/>
        <v>27.086157470149253</v>
      </c>
      <c r="E172" s="228"/>
      <c r="F172" s="585">
        <f t="shared" si="28"/>
        <v>27.09</v>
      </c>
      <c r="G172" s="338" t="s">
        <v>4390</v>
      </c>
      <c r="H172" s="592" t="s">
        <v>12964</v>
      </c>
      <c r="I172" s="520" t="s">
        <v>11650</v>
      </c>
      <c r="J172" s="421" t="s">
        <v>753</v>
      </c>
      <c r="K172" s="520" t="s">
        <v>741</v>
      </c>
    </row>
    <row r="173" spans="1:11" s="341" customFormat="1">
      <c r="A173" s="421"/>
      <c r="B173" s="151" t="s">
        <v>990</v>
      </c>
      <c r="C173" s="209">
        <v>111.5</v>
      </c>
      <c r="D173" s="244">
        <f t="shared" si="29"/>
        <v>27.086157470149253</v>
      </c>
      <c r="E173" s="228"/>
      <c r="F173" s="585">
        <f t="shared" si="28"/>
        <v>27.09</v>
      </c>
      <c r="G173" s="338" t="s">
        <v>4391</v>
      </c>
      <c r="H173" s="592" t="s">
        <v>12965</v>
      </c>
      <c r="I173" s="520" t="s">
        <v>11650</v>
      </c>
      <c r="J173" s="421" t="s">
        <v>753</v>
      </c>
      <c r="K173" s="520" t="s">
        <v>741</v>
      </c>
    </row>
    <row r="174" spans="1:11" s="341" customFormat="1">
      <c r="A174" s="421"/>
      <c r="B174" s="151" t="s">
        <v>993</v>
      </c>
      <c r="C174" s="209">
        <v>111.5</v>
      </c>
      <c r="D174" s="244">
        <f t="shared" si="29"/>
        <v>27.086157470149253</v>
      </c>
      <c r="E174" s="228"/>
      <c r="F174" s="585">
        <f t="shared" si="28"/>
        <v>27.09</v>
      </c>
      <c r="G174" s="338" t="s">
        <v>4392</v>
      </c>
      <c r="H174" s="592" t="s">
        <v>12966</v>
      </c>
      <c r="I174" s="520" t="s">
        <v>11650</v>
      </c>
      <c r="J174" s="421" t="s">
        <v>753</v>
      </c>
      <c r="K174" s="520" t="s">
        <v>741</v>
      </c>
    </row>
    <row r="175" spans="1:11" s="341" customFormat="1">
      <c r="A175" s="421"/>
      <c r="B175" s="151" t="s">
        <v>985</v>
      </c>
      <c r="C175" s="209">
        <v>112.6</v>
      </c>
      <c r="D175" s="244">
        <f t="shared" si="29"/>
        <v>27.353375167164177</v>
      </c>
      <c r="E175" s="228"/>
      <c r="F175" s="585">
        <f t="shared" si="28"/>
        <v>27.360000000000003</v>
      </c>
      <c r="G175" s="338" t="s">
        <v>4393</v>
      </c>
      <c r="H175" s="592" t="s">
        <v>12967</v>
      </c>
      <c r="I175" s="520" t="s">
        <v>11650</v>
      </c>
      <c r="J175" s="421" t="s">
        <v>753</v>
      </c>
      <c r="K175" s="520" t="s">
        <v>741</v>
      </c>
    </row>
    <row r="176" spans="1:11" s="341" customFormat="1">
      <c r="A176" s="421"/>
      <c r="B176" s="151" t="s">
        <v>1001</v>
      </c>
      <c r="C176" s="209">
        <v>150</v>
      </c>
      <c r="D176" s="244">
        <f t="shared" si="29"/>
        <v>36.438776865671635</v>
      </c>
      <c r="E176" s="228"/>
      <c r="F176" s="585">
        <f t="shared" si="28"/>
        <v>36.44</v>
      </c>
      <c r="G176" s="338" t="s">
        <v>4394</v>
      </c>
      <c r="H176" s="592" t="s">
        <v>12968</v>
      </c>
      <c r="I176" s="520" t="s">
        <v>11650</v>
      </c>
      <c r="J176" s="421" t="s">
        <v>753</v>
      </c>
      <c r="K176" s="520" t="s">
        <v>741</v>
      </c>
    </row>
    <row r="177" spans="1:11" s="341" customFormat="1">
      <c r="A177" s="421"/>
      <c r="B177" s="151" t="s">
        <v>989</v>
      </c>
      <c r="C177" s="209">
        <v>150</v>
      </c>
      <c r="D177" s="244">
        <f t="shared" si="29"/>
        <v>36.438776865671635</v>
      </c>
      <c r="E177" s="228"/>
      <c r="F177" s="585">
        <f t="shared" si="28"/>
        <v>36.44</v>
      </c>
      <c r="G177" s="338" t="s">
        <v>4395</v>
      </c>
      <c r="H177" s="592" t="s">
        <v>12969</v>
      </c>
      <c r="I177" s="520" t="s">
        <v>11650</v>
      </c>
      <c r="J177" s="421" t="s">
        <v>753</v>
      </c>
      <c r="K177" s="520" t="s">
        <v>741</v>
      </c>
    </row>
    <row r="178" spans="1:11" s="341" customFormat="1">
      <c r="A178" s="421"/>
      <c r="B178" s="151" t="s">
        <v>986</v>
      </c>
      <c r="C178" s="209">
        <v>150</v>
      </c>
      <c r="D178" s="244">
        <f t="shared" si="29"/>
        <v>36.438776865671635</v>
      </c>
      <c r="E178" s="228"/>
      <c r="F178" s="585">
        <f t="shared" si="28"/>
        <v>36.44</v>
      </c>
      <c r="G178" s="338" t="s">
        <v>4396</v>
      </c>
      <c r="H178" s="592" t="s">
        <v>12970</v>
      </c>
      <c r="I178" s="520" t="s">
        <v>11650</v>
      </c>
      <c r="J178" s="421" t="s">
        <v>753</v>
      </c>
      <c r="K178" s="520" t="s">
        <v>741</v>
      </c>
    </row>
    <row r="179" spans="1:11" s="196" customFormat="1">
      <c r="A179" s="421"/>
      <c r="B179" s="151" t="s">
        <v>5454</v>
      </c>
      <c r="C179" s="209">
        <v>320.40000000000003</v>
      </c>
      <c r="D179" s="244">
        <f t="shared" si="29"/>
        <v>77.833227385074636</v>
      </c>
      <c r="E179" s="228"/>
      <c r="F179" s="585">
        <f t="shared" si="28"/>
        <v>77.84</v>
      </c>
      <c r="G179" s="338" t="s">
        <v>5455</v>
      </c>
      <c r="H179" s="592" t="s">
        <v>5456</v>
      </c>
      <c r="I179" s="520" t="s">
        <v>11650</v>
      </c>
      <c r="J179" s="421" t="s">
        <v>753</v>
      </c>
      <c r="K179" s="520" t="s">
        <v>741</v>
      </c>
    </row>
    <row r="180" spans="1:11" s="196" customFormat="1">
      <c r="A180" s="421"/>
      <c r="B180" s="151" t="s">
        <v>5457</v>
      </c>
      <c r="C180" s="209">
        <v>340.8</v>
      </c>
      <c r="D180" s="244">
        <f t="shared" si="29"/>
        <v>82.788901038805975</v>
      </c>
      <c r="E180" s="228"/>
      <c r="F180" s="585">
        <f t="shared" si="28"/>
        <v>82.79</v>
      </c>
      <c r="G180" s="338" t="s">
        <v>5458</v>
      </c>
      <c r="H180" s="592" t="s">
        <v>5459</v>
      </c>
      <c r="I180" s="520" t="s">
        <v>11650</v>
      </c>
      <c r="J180" s="421" t="s">
        <v>753</v>
      </c>
      <c r="K180" s="520" t="s">
        <v>741</v>
      </c>
    </row>
    <row r="181" spans="1:11" s="341" customFormat="1">
      <c r="A181" s="421"/>
      <c r="B181" s="151"/>
      <c r="C181" s="209" t="s">
        <v>2058</v>
      </c>
      <c r="D181" s="244"/>
      <c r="E181" s="228"/>
      <c r="F181" s="585">
        <f t="shared" si="28"/>
        <v>0</v>
      </c>
      <c r="G181" s="338"/>
      <c r="H181" s="592"/>
      <c r="I181" s="520"/>
      <c r="J181" s="421"/>
      <c r="K181" s="520"/>
    </row>
    <row r="182" spans="1:11" s="341" customFormat="1">
      <c r="A182" s="421"/>
      <c r="B182" s="151" t="s">
        <v>9114</v>
      </c>
      <c r="C182" s="209">
        <v>166</v>
      </c>
      <c r="D182" s="244">
        <f>C182*(1-VLOOKUP(I182,descuentos,6,FALSE))*fcl/IF(dol_sol="dólar", TC,1)</f>
        <v>40.325579731343275</v>
      </c>
      <c r="E182" s="228"/>
      <c r="F182" s="585">
        <f t="shared" si="28"/>
        <v>40.33</v>
      </c>
      <c r="G182" s="338" t="s">
        <v>12203</v>
      </c>
      <c r="H182" s="592" t="s">
        <v>12971</v>
      </c>
      <c r="I182" s="520" t="s">
        <v>11650</v>
      </c>
      <c r="J182" s="421" t="s">
        <v>753</v>
      </c>
      <c r="K182" s="520" t="s">
        <v>741</v>
      </c>
    </row>
    <row r="183" spans="1:11" s="341" customFormat="1">
      <c r="A183" s="421"/>
      <c r="B183" s="151" t="s">
        <v>992</v>
      </c>
      <c r="C183" s="209">
        <v>166</v>
      </c>
      <c r="D183" s="244">
        <f t="shared" ref="D183:D189" si="30">C183*(1-VLOOKUP(I183,descuentos,6,FALSE))*fcl/IF(dol_sol="dólar", TC,1)</f>
        <v>40.325579731343275</v>
      </c>
      <c r="E183" s="228"/>
      <c r="F183" s="585">
        <f t="shared" si="28"/>
        <v>40.33</v>
      </c>
      <c r="G183" s="338" t="s">
        <v>12204</v>
      </c>
      <c r="H183" s="592" t="s">
        <v>12972</v>
      </c>
      <c r="I183" s="520" t="s">
        <v>11650</v>
      </c>
      <c r="J183" s="421" t="s">
        <v>753</v>
      </c>
      <c r="K183" s="520" t="s">
        <v>741</v>
      </c>
    </row>
    <row r="184" spans="1:11" s="341" customFormat="1">
      <c r="A184" s="421"/>
      <c r="B184" s="151" t="s">
        <v>995</v>
      </c>
      <c r="C184" s="209">
        <v>166</v>
      </c>
      <c r="D184" s="244">
        <f t="shared" si="30"/>
        <v>40.325579731343275</v>
      </c>
      <c r="E184" s="228"/>
      <c r="F184" s="585">
        <f t="shared" si="28"/>
        <v>40.33</v>
      </c>
      <c r="G184" s="338" t="s">
        <v>12205</v>
      </c>
      <c r="H184" s="592" t="s">
        <v>12973</v>
      </c>
      <c r="I184" s="520" t="s">
        <v>11650</v>
      </c>
      <c r="J184" s="421" t="s">
        <v>753</v>
      </c>
      <c r="K184" s="520" t="s">
        <v>741</v>
      </c>
    </row>
    <row r="185" spans="1:11" s="341" customFormat="1">
      <c r="A185" s="421"/>
      <c r="B185" s="151" t="s">
        <v>1002</v>
      </c>
      <c r="C185" s="209">
        <v>166</v>
      </c>
      <c r="D185" s="244">
        <f t="shared" si="30"/>
        <v>40.325579731343275</v>
      </c>
      <c r="E185" s="228"/>
      <c r="F185" s="585">
        <f t="shared" si="28"/>
        <v>40.33</v>
      </c>
      <c r="G185" s="338" t="s">
        <v>12206</v>
      </c>
      <c r="H185" s="592" t="s">
        <v>12974</v>
      </c>
      <c r="I185" s="520" t="s">
        <v>11650</v>
      </c>
      <c r="J185" s="421" t="s">
        <v>753</v>
      </c>
      <c r="K185" s="520" t="s">
        <v>741</v>
      </c>
    </row>
    <row r="186" spans="1:11" s="341" customFormat="1">
      <c r="A186" s="421"/>
      <c r="B186" s="151" t="s">
        <v>991</v>
      </c>
      <c r="C186" s="209">
        <v>166</v>
      </c>
      <c r="D186" s="244">
        <f t="shared" si="30"/>
        <v>40.325579731343275</v>
      </c>
      <c r="E186" s="228"/>
      <c r="F186" s="585">
        <f t="shared" si="28"/>
        <v>40.33</v>
      </c>
      <c r="G186" s="338" t="s">
        <v>12207</v>
      </c>
      <c r="H186" s="592" t="s">
        <v>12975</v>
      </c>
      <c r="I186" s="520" t="s">
        <v>11650</v>
      </c>
      <c r="J186" s="421" t="s">
        <v>753</v>
      </c>
      <c r="K186" s="520" t="s">
        <v>741</v>
      </c>
    </row>
    <row r="187" spans="1:11" s="341" customFormat="1">
      <c r="A187" s="421"/>
      <c r="B187" s="151" t="s">
        <v>1003</v>
      </c>
      <c r="C187" s="209">
        <v>224</v>
      </c>
      <c r="D187" s="244">
        <f t="shared" si="30"/>
        <v>54.415240119402981</v>
      </c>
      <c r="E187" s="228"/>
      <c r="F187" s="585">
        <f t="shared" si="28"/>
        <v>54.419999999999995</v>
      </c>
      <c r="G187" s="338" t="s">
        <v>12208</v>
      </c>
      <c r="H187" s="592" t="s">
        <v>12976</v>
      </c>
      <c r="I187" s="520" t="s">
        <v>11650</v>
      </c>
      <c r="J187" s="421" t="s">
        <v>753</v>
      </c>
      <c r="K187" s="520" t="s">
        <v>741</v>
      </c>
    </row>
    <row r="188" spans="1:11" s="341" customFormat="1">
      <c r="A188" s="421"/>
      <c r="B188" s="151" t="s">
        <v>1004</v>
      </c>
      <c r="C188" s="209">
        <v>224</v>
      </c>
      <c r="D188" s="244">
        <f t="shared" si="30"/>
        <v>54.415240119402981</v>
      </c>
      <c r="E188" s="228"/>
      <c r="F188" s="585">
        <f t="shared" si="28"/>
        <v>54.419999999999995</v>
      </c>
      <c r="G188" s="338" t="s">
        <v>12209</v>
      </c>
      <c r="H188" s="592" t="s">
        <v>12977</v>
      </c>
      <c r="I188" s="520" t="s">
        <v>11650</v>
      </c>
      <c r="J188" s="421" t="s">
        <v>753</v>
      </c>
      <c r="K188" s="520" t="s">
        <v>741</v>
      </c>
    </row>
    <row r="189" spans="1:11" s="341" customFormat="1">
      <c r="A189" s="421"/>
      <c r="B189" s="151" t="s">
        <v>1005</v>
      </c>
      <c r="C189" s="209">
        <v>224</v>
      </c>
      <c r="D189" s="244">
        <f t="shared" si="30"/>
        <v>54.415240119402981</v>
      </c>
      <c r="E189" s="228"/>
      <c r="F189" s="585">
        <f t="shared" si="28"/>
        <v>54.419999999999995</v>
      </c>
      <c r="G189" s="338" t="s">
        <v>12210</v>
      </c>
      <c r="H189" s="592" t="s">
        <v>12978</v>
      </c>
      <c r="I189" s="520" t="s">
        <v>11650</v>
      </c>
      <c r="J189" s="421" t="s">
        <v>753</v>
      </c>
      <c r="K189" s="520" t="s">
        <v>741</v>
      </c>
    </row>
    <row r="190" spans="1:11" s="341" customFormat="1">
      <c r="A190" s="421"/>
      <c r="B190" s="151"/>
      <c r="C190" s="209" t="s">
        <v>2058</v>
      </c>
      <c r="D190" s="244"/>
      <c r="E190" s="228"/>
      <c r="F190" s="585">
        <f t="shared" si="28"/>
        <v>0</v>
      </c>
      <c r="G190" s="338"/>
      <c r="H190" s="592"/>
      <c r="I190" s="520"/>
      <c r="J190" s="421"/>
      <c r="K190" s="520"/>
    </row>
    <row r="191" spans="1:11" s="341" customFormat="1">
      <c r="A191" s="421"/>
      <c r="B191" s="151" t="s">
        <v>994</v>
      </c>
      <c r="C191" s="209">
        <v>279</v>
      </c>
      <c r="D191" s="244">
        <f t="shared" ref="D191:D197" si="31">C191*(1-VLOOKUP(I191,descuentos,6,FALSE))*fcl/IF(dol_sol="dólar", TC,1)</f>
        <v>67.77612497014924</v>
      </c>
      <c r="E191" s="228"/>
      <c r="F191" s="585">
        <f t="shared" si="28"/>
        <v>67.78</v>
      </c>
      <c r="G191" s="338" t="s">
        <v>4397</v>
      </c>
      <c r="H191" s="2013" t="s">
        <v>1524</v>
      </c>
      <c r="I191" s="520" t="s">
        <v>11650</v>
      </c>
      <c r="J191" s="421" t="s">
        <v>753</v>
      </c>
      <c r="K191" s="520" t="s">
        <v>741</v>
      </c>
    </row>
    <row r="192" spans="1:11" s="341" customFormat="1">
      <c r="A192" s="421"/>
      <c r="B192" s="151" t="s">
        <v>1021</v>
      </c>
      <c r="C192" s="209">
        <v>279</v>
      </c>
      <c r="D192" s="244">
        <f t="shared" si="31"/>
        <v>67.77612497014924</v>
      </c>
      <c r="E192" s="228"/>
      <c r="F192" s="585">
        <f t="shared" si="28"/>
        <v>67.78</v>
      </c>
      <c r="G192" s="338" t="s">
        <v>4398</v>
      </c>
      <c r="H192" s="2013" t="s">
        <v>1525</v>
      </c>
      <c r="I192" s="520" t="s">
        <v>11650</v>
      </c>
      <c r="J192" s="421" t="s">
        <v>753</v>
      </c>
      <c r="K192" s="520" t="s">
        <v>741</v>
      </c>
    </row>
    <row r="193" spans="1:11" s="341" customFormat="1">
      <c r="A193" s="421"/>
      <c r="B193" s="151" t="s">
        <v>1022</v>
      </c>
      <c r="C193" s="209">
        <v>279</v>
      </c>
      <c r="D193" s="244">
        <f t="shared" si="31"/>
        <v>67.77612497014924</v>
      </c>
      <c r="E193" s="228"/>
      <c r="F193" s="585">
        <f t="shared" si="28"/>
        <v>67.78</v>
      </c>
      <c r="G193" s="338" t="s">
        <v>4399</v>
      </c>
      <c r="H193" s="2013" t="s">
        <v>1526</v>
      </c>
      <c r="I193" s="520" t="s">
        <v>11650</v>
      </c>
      <c r="J193" s="421" t="s">
        <v>753</v>
      </c>
      <c r="K193" s="520" t="s">
        <v>741</v>
      </c>
    </row>
    <row r="194" spans="1:11" s="341" customFormat="1">
      <c r="A194" s="421"/>
      <c r="B194" s="151" t="s">
        <v>1023</v>
      </c>
      <c r="C194" s="209">
        <v>279</v>
      </c>
      <c r="D194" s="244">
        <f t="shared" si="31"/>
        <v>67.77612497014924</v>
      </c>
      <c r="E194" s="228"/>
      <c r="F194" s="585">
        <f t="shared" si="28"/>
        <v>67.78</v>
      </c>
      <c r="G194" s="338" t="s">
        <v>4400</v>
      </c>
      <c r="H194" s="2013" t="s">
        <v>1527</v>
      </c>
      <c r="I194" s="520" t="s">
        <v>11650</v>
      </c>
      <c r="J194" s="421" t="s">
        <v>753</v>
      </c>
      <c r="K194" s="520" t="s">
        <v>741</v>
      </c>
    </row>
    <row r="195" spans="1:11" s="341" customFormat="1">
      <c r="A195" s="421"/>
      <c r="B195" s="151" t="s">
        <v>1024</v>
      </c>
      <c r="C195" s="209">
        <v>360</v>
      </c>
      <c r="D195" s="244">
        <f t="shared" si="31"/>
        <v>87.453064477611932</v>
      </c>
      <c r="E195" s="228"/>
      <c r="F195" s="585">
        <f t="shared" si="28"/>
        <v>87.460000000000008</v>
      </c>
      <c r="G195" s="338" t="s">
        <v>4401</v>
      </c>
      <c r="H195" s="2013" t="s">
        <v>1528</v>
      </c>
      <c r="I195" s="520" t="s">
        <v>11650</v>
      </c>
      <c r="J195" s="421" t="s">
        <v>753</v>
      </c>
      <c r="K195" s="520" t="s">
        <v>741</v>
      </c>
    </row>
    <row r="196" spans="1:11" s="341" customFormat="1">
      <c r="A196" s="421"/>
      <c r="B196" s="151" t="s">
        <v>987</v>
      </c>
      <c r="C196" s="209">
        <v>378</v>
      </c>
      <c r="D196" s="244">
        <f t="shared" si="31"/>
        <v>91.825717701492536</v>
      </c>
      <c r="E196" s="228"/>
      <c r="F196" s="585">
        <f t="shared" si="28"/>
        <v>91.83</v>
      </c>
      <c r="G196" s="338" t="s">
        <v>4402</v>
      </c>
      <c r="H196" s="2013" t="s">
        <v>1529</v>
      </c>
      <c r="I196" s="520" t="s">
        <v>11650</v>
      </c>
      <c r="J196" s="421" t="s">
        <v>753</v>
      </c>
      <c r="K196" s="520" t="s">
        <v>741</v>
      </c>
    </row>
    <row r="197" spans="1:11" s="341" customFormat="1">
      <c r="A197" s="421"/>
      <c r="B197" s="151" t="s">
        <v>1025</v>
      </c>
      <c r="C197" s="209">
        <v>378</v>
      </c>
      <c r="D197" s="244">
        <f t="shared" si="31"/>
        <v>91.825717701492536</v>
      </c>
      <c r="E197" s="228"/>
      <c r="F197" s="585">
        <f t="shared" si="28"/>
        <v>91.83</v>
      </c>
      <c r="G197" s="338" t="s">
        <v>4403</v>
      </c>
      <c r="H197" s="2013" t="s">
        <v>1530</v>
      </c>
      <c r="I197" s="520" t="s">
        <v>11650</v>
      </c>
      <c r="J197" s="421" t="s">
        <v>753</v>
      </c>
      <c r="K197" s="520" t="s">
        <v>741</v>
      </c>
    </row>
    <row r="198" spans="1:11" s="341" customFormat="1">
      <c r="A198" s="421"/>
      <c r="B198" s="151"/>
      <c r="C198" s="209" t="s">
        <v>2058</v>
      </c>
      <c r="D198" s="244"/>
      <c r="E198" s="228"/>
      <c r="F198" s="585">
        <f t="shared" si="28"/>
        <v>0</v>
      </c>
      <c r="G198" s="338"/>
      <c r="H198" s="592"/>
      <c r="I198" s="520"/>
      <c r="J198" s="421"/>
      <c r="K198" s="520"/>
    </row>
    <row r="199" spans="1:11" s="194" customFormat="1">
      <c r="A199" s="1653"/>
      <c r="B199" s="151" t="s">
        <v>5426</v>
      </c>
      <c r="C199" s="209">
        <v>203</v>
      </c>
      <c r="D199" s="244">
        <f t="shared" ref="D199:D207" si="32">C199*(1-VLOOKUP(I199,descuentos,6,FALSE))*fcl/TC</f>
        <v>49.313811358208959</v>
      </c>
      <c r="E199" s="228"/>
      <c r="F199" s="585">
        <f t="shared" si="28"/>
        <v>49.32</v>
      </c>
      <c r="G199" s="338" t="s">
        <v>5427</v>
      </c>
      <c r="H199" s="592" t="s">
        <v>12979</v>
      </c>
      <c r="I199" s="520" t="s">
        <v>11650</v>
      </c>
      <c r="J199" s="421" t="s">
        <v>753</v>
      </c>
      <c r="K199" s="520" t="s">
        <v>741</v>
      </c>
    </row>
    <row r="200" spans="1:11" s="194" customFormat="1">
      <c r="A200" s="1653"/>
      <c r="B200" s="151" t="s">
        <v>5428</v>
      </c>
      <c r="C200" s="209">
        <v>165</v>
      </c>
      <c r="D200" s="244">
        <f t="shared" si="32"/>
        <v>40.082654552238807</v>
      </c>
      <c r="E200" s="228"/>
      <c r="F200" s="585">
        <f t="shared" si="28"/>
        <v>40.089999999999996</v>
      </c>
      <c r="G200" s="338" t="s">
        <v>5429</v>
      </c>
      <c r="H200" s="592" t="s">
        <v>12980</v>
      </c>
      <c r="I200" s="520" t="s">
        <v>11650</v>
      </c>
      <c r="J200" s="421" t="s">
        <v>753</v>
      </c>
      <c r="K200" s="520" t="s">
        <v>741</v>
      </c>
    </row>
    <row r="201" spans="1:11" s="194" customFormat="1">
      <c r="A201" s="1653"/>
      <c r="B201" s="151" t="s">
        <v>5430</v>
      </c>
      <c r="C201" s="209">
        <v>165</v>
      </c>
      <c r="D201" s="244">
        <f t="shared" si="32"/>
        <v>40.082654552238807</v>
      </c>
      <c r="E201" s="228"/>
      <c r="F201" s="585">
        <f t="shared" si="28"/>
        <v>40.089999999999996</v>
      </c>
      <c r="G201" s="338" t="s">
        <v>5431</v>
      </c>
      <c r="H201" s="592" t="s">
        <v>12981</v>
      </c>
      <c r="I201" s="520" t="s">
        <v>11650</v>
      </c>
      <c r="J201" s="421" t="s">
        <v>753</v>
      </c>
      <c r="K201" s="520" t="s">
        <v>741</v>
      </c>
    </row>
    <row r="202" spans="1:11" s="194" customFormat="1">
      <c r="A202" s="1653"/>
      <c r="B202" s="151" t="s">
        <v>5432</v>
      </c>
      <c r="C202" s="209">
        <v>165</v>
      </c>
      <c r="D202" s="244">
        <f t="shared" si="32"/>
        <v>40.082654552238807</v>
      </c>
      <c r="E202" s="228"/>
      <c r="F202" s="585">
        <f t="shared" si="28"/>
        <v>40.089999999999996</v>
      </c>
      <c r="G202" s="338" t="s">
        <v>5433</v>
      </c>
      <c r="H202" s="592" t="s">
        <v>12982</v>
      </c>
      <c r="I202" s="520" t="s">
        <v>11650</v>
      </c>
      <c r="J202" s="421" t="s">
        <v>753</v>
      </c>
      <c r="K202" s="520" t="s">
        <v>741</v>
      </c>
    </row>
    <row r="203" spans="1:11" s="194" customFormat="1">
      <c r="A203" s="1653"/>
      <c r="B203" s="151" t="s">
        <v>5434</v>
      </c>
      <c r="C203" s="209">
        <v>165</v>
      </c>
      <c r="D203" s="244">
        <f t="shared" si="32"/>
        <v>40.082654552238807</v>
      </c>
      <c r="E203" s="228"/>
      <c r="F203" s="585">
        <f t="shared" si="28"/>
        <v>40.089999999999996</v>
      </c>
      <c r="G203" s="338" t="s">
        <v>5435</v>
      </c>
      <c r="H203" s="592" t="s">
        <v>12983</v>
      </c>
      <c r="I203" s="520" t="s">
        <v>11650</v>
      </c>
      <c r="J203" s="421" t="s">
        <v>753</v>
      </c>
      <c r="K203" s="520" t="s">
        <v>741</v>
      </c>
    </row>
    <row r="204" spans="1:11" s="196" customFormat="1">
      <c r="A204" s="1653"/>
      <c r="B204" s="151" t="s">
        <v>5436</v>
      </c>
      <c r="C204" s="209">
        <v>165</v>
      </c>
      <c r="D204" s="244">
        <f t="shared" si="32"/>
        <v>40.082654552238807</v>
      </c>
      <c r="E204" s="228"/>
      <c r="F204" s="585">
        <f t="shared" si="28"/>
        <v>40.089999999999996</v>
      </c>
      <c r="G204" s="338" t="s">
        <v>5437</v>
      </c>
      <c r="H204" s="592" t="s">
        <v>12984</v>
      </c>
      <c r="I204" s="520" t="s">
        <v>11650</v>
      </c>
      <c r="J204" s="421" t="s">
        <v>753</v>
      </c>
      <c r="K204" s="520" t="s">
        <v>741</v>
      </c>
    </row>
    <row r="205" spans="1:11" s="196" customFormat="1">
      <c r="A205" s="1653"/>
      <c r="B205" s="151" t="s">
        <v>5438</v>
      </c>
      <c r="C205" s="209">
        <v>240</v>
      </c>
      <c r="D205" s="244">
        <f t="shared" si="32"/>
        <v>58.302042985074621</v>
      </c>
      <c r="E205" s="228"/>
      <c r="F205" s="585">
        <f t="shared" si="28"/>
        <v>58.309999999999995</v>
      </c>
      <c r="G205" s="338" t="s">
        <v>5439</v>
      </c>
      <c r="H205" s="592" t="s">
        <v>12985</v>
      </c>
      <c r="I205" s="520" t="s">
        <v>11650</v>
      </c>
      <c r="J205" s="421" t="s">
        <v>753</v>
      </c>
      <c r="K205" s="520" t="s">
        <v>741</v>
      </c>
    </row>
    <row r="206" spans="1:11" s="196" customFormat="1">
      <c r="A206" s="1653"/>
      <c r="B206" s="151" t="s">
        <v>5440</v>
      </c>
      <c r="C206" s="209">
        <v>240</v>
      </c>
      <c r="D206" s="244">
        <f t="shared" si="32"/>
        <v>58.302042985074621</v>
      </c>
      <c r="E206" s="228"/>
      <c r="F206" s="585">
        <f t="shared" si="28"/>
        <v>58.309999999999995</v>
      </c>
      <c r="G206" s="338" t="s">
        <v>5441</v>
      </c>
      <c r="H206" s="592" t="s">
        <v>12986</v>
      </c>
      <c r="I206" s="520" t="s">
        <v>11650</v>
      </c>
      <c r="J206" s="421" t="s">
        <v>753</v>
      </c>
      <c r="K206" s="520" t="s">
        <v>741</v>
      </c>
    </row>
    <row r="207" spans="1:11" s="194" customFormat="1">
      <c r="A207" s="1653"/>
      <c r="B207" s="151" t="s">
        <v>5442</v>
      </c>
      <c r="C207" s="209">
        <v>240</v>
      </c>
      <c r="D207" s="244">
        <f t="shared" si="32"/>
        <v>58.302042985074621</v>
      </c>
      <c r="E207" s="228"/>
      <c r="F207" s="585">
        <f t="shared" si="28"/>
        <v>58.309999999999995</v>
      </c>
      <c r="G207" s="338" t="s">
        <v>5443</v>
      </c>
      <c r="H207" s="592" t="s">
        <v>12987</v>
      </c>
      <c r="I207" s="520" t="s">
        <v>11650</v>
      </c>
      <c r="J207" s="421" t="s">
        <v>753</v>
      </c>
      <c r="K207" s="520" t="s">
        <v>741</v>
      </c>
    </row>
    <row r="208" spans="1:11" s="194" customFormat="1">
      <c r="A208" s="421"/>
      <c r="B208" s="151"/>
      <c r="C208" s="209" t="s">
        <v>2058</v>
      </c>
      <c r="D208" s="244"/>
      <c r="E208" s="228"/>
      <c r="F208" s="585"/>
      <c r="G208" s="338"/>
      <c r="H208" s="592"/>
      <c r="I208" s="520"/>
      <c r="J208" s="421"/>
      <c r="K208" s="520"/>
    </row>
    <row r="209" spans="1:11" s="341" customFormat="1">
      <c r="A209" s="421"/>
      <c r="B209" s="473" t="s">
        <v>1999</v>
      </c>
      <c r="C209" s="389">
        <v>155</v>
      </c>
      <c r="D209" s="388">
        <f t="shared" ref="D209:D216" si="33">C209*(1-VLOOKUP(I209,descuentos,6,FALSE))*fcl/IF(dol_sol="dólar", TC,1)</f>
        <v>37.65340276119403</v>
      </c>
      <c r="E209" s="386"/>
      <c r="F209" s="582">
        <f t="shared" ref="F209:F217" si="34">ROUNDUP(D209+E209,2)</f>
        <v>37.659999999999997</v>
      </c>
      <c r="G209" s="394" t="s">
        <v>4404</v>
      </c>
      <c r="H209" s="592" t="s">
        <v>12988</v>
      </c>
      <c r="I209" s="520" t="s">
        <v>11650</v>
      </c>
      <c r="J209" s="421" t="s">
        <v>753</v>
      </c>
      <c r="K209" s="520" t="s">
        <v>741</v>
      </c>
    </row>
    <row r="210" spans="1:11" s="341" customFormat="1">
      <c r="A210" s="421"/>
      <c r="B210" s="473" t="s">
        <v>2000</v>
      </c>
      <c r="C210" s="389">
        <v>141</v>
      </c>
      <c r="D210" s="388">
        <f t="shared" si="33"/>
        <v>34.25245025373134</v>
      </c>
      <c r="E210" s="386"/>
      <c r="F210" s="582">
        <f t="shared" si="34"/>
        <v>34.26</v>
      </c>
      <c r="G210" s="394" t="s">
        <v>4405</v>
      </c>
      <c r="H210" s="592" t="s">
        <v>12989</v>
      </c>
      <c r="I210" s="520" t="s">
        <v>11650</v>
      </c>
      <c r="J210" s="421" t="s">
        <v>753</v>
      </c>
      <c r="K210" s="520" t="s">
        <v>741</v>
      </c>
    </row>
    <row r="211" spans="1:11" s="341" customFormat="1">
      <c r="A211" s="421"/>
      <c r="B211" s="473" t="s">
        <v>2001</v>
      </c>
      <c r="C211" s="389">
        <v>141</v>
      </c>
      <c r="D211" s="388">
        <f t="shared" si="33"/>
        <v>34.25245025373134</v>
      </c>
      <c r="E211" s="386"/>
      <c r="F211" s="582">
        <f t="shared" si="34"/>
        <v>34.26</v>
      </c>
      <c r="G211" s="394" t="s">
        <v>4406</v>
      </c>
      <c r="H211" s="592" t="s">
        <v>12990</v>
      </c>
      <c r="I211" s="520" t="s">
        <v>11650</v>
      </c>
      <c r="J211" s="421" t="s">
        <v>753</v>
      </c>
      <c r="K211" s="520" t="s">
        <v>741</v>
      </c>
    </row>
    <row r="212" spans="1:11" s="341" customFormat="1">
      <c r="A212" s="421"/>
      <c r="B212" s="473" t="s">
        <v>2002</v>
      </c>
      <c r="C212" s="389">
        <v>141</v>
      </c>
      <c r="D212" s="388">
        <f t="shared" si="33"/>
        <v>34.25245025373134</v>
      </c>
      <c r="E212" s="386"/>
      <c r="F212" s="582">
        <f t="shared" si="34"/>
        <v>34.26</v>
      </c>
      <c r="G212" s="394" t="s">
        <v>4407</v>
      </c>
      <c r="H212" s="592" t="s">
        <v>12991</v>
      </c>
      <c r="I212" s="520" t="s">
        <v>11650</v>
      </c>
      <c r="J212" s="421" t="s">
        <v>753</v>
      </c>
      <c r="K212" s="520" t="s">
        <v>741</v>
      </c>
    </row>
    <row r="213" spans="1:11" s="341" customFormat="1">
      <c r="A213" s="421"/>
      <c r="B213" s="473" t="s">
        <v>2003</v>
      </c>
      <c r="C213" s="389">
        <v>141</v>
      </c>
      <c r="D213" s="388">
        <f t="shared" si="33"/>
        <v>34.25245025373134</v>
      </c>
      <c r="E213" s="386"/>
      <c r="F213" s="582">
        <f t="shared" si="34"/>
        <v>34.26</v>
      </c>
      <c r="G213" s="394" t="s">
        <v>4408</v>
      </c>
      <c r="H213" s="592" t="s">
        <v>12992</v>
      </c>
      <c r="I213" s="520" t="s">
        <v>11650</v>
      </c>
      <c r="J213" s="421" t="s">
        <v>753</v>
      </c>
      <c r="K213" s="520" t="s">
        <v>741</v>
      </c>
    </row>
    <row r="214" spans="1:11" s="341" customFormat="1">
      <c r="A214" s="421"/>
      <c r="B214" s="473" t="s">
        <v>2004</v>
      </c>
      <c r="C214" s="389">
        <v>199</v>
      </c>
      <c r="D214" s="388">
        <f t="shared" si="33"/>
        <v>48.342110641791031</v>
      </c>
      <c r="E214" s="386"/>
      <c r="F214" s="582">
        <f t="shared" si="34"/>
        <v>48.35</v>
      </c>
      <c r="G214" s="394" t="s">
        <v>4409</v>
      </c>
      <c r="H214" s="592" t="s">
        <v>12993</v>
      </c>
      <c r="I214" s="520" t="s">
        <v>11650</v>
      </c>
      <c r="J214" s="421" t="s">
        <v>753</v>
      </c>
      <c r="K214" s="520" t="s">
        <v>741</v>
      </c>
    </row>
    <row r="215" spans="1:11" s="341" customFormat="1">
      <c r="A215" s="421"/>
      <c r="B215" s="473" t="s">
        <v>2005</v>
      </c>
      <c r="C215" s="389">
        <v>199</v>
      </c>
      <c r="D215" s="388">
        <f t="shared" si="33"/>
        <v>48.342110641791031</v>
      </c>
      <c r="E215" s="386"/>
      <c r="F215" s="582">
        <f t="shared" si="34"/>
        <v>48.35</v>
      </c>
      <c r="G215" s="394" t="s">
        <v>4410</v>
      </c>
      <c r="H215" s="592" t="s">
        <v>12994</v>
      </c>
      <c r="I215" s="520" t="s">
        <v>11650</v>
      </c>
      <c r="J215" s="421" t="s">
        <v>753</v>
      </c>
      <c r="K215" s="520" t="s">
        <v>741</v>
      </c>
    </row>
    <row r="216" spans="1:11" s="341" customFormat="1">
      <c r="A216" s="421"/>
      <c r="B216" s="473" t="s">
        <v>2006</v>
      </c>
      <c r="C216" s="389">
        <v>199</v>
      </c>
      <c r="D216" s="388">
        <f t="shared" si="33"/>
        <v>48.342110641791031</v>
      </c>
      <c r="E216" s="386"/>
      <c r="F216" s="582">
        <f t="shared" si="34"/>
        <v>48.35</v>
      </c>
      <c r="G216" s="394" t="s">
        <v>4411</v>
      </c>
      <c r="H216" s="592" t="s">
        <v>12995</v>
      </c>
      <c r="I216" s="520" t="s">
        <v>11650</v>
      </c>
      <c r="J216" s="421" t="s">
        <v>753</v>
      </c>
      <c r="K216" s="520" t="s">
        <v>741</v>
      </c>
    </row>
    <row r="217" spans="1:11" s="341" customFormat="1">
      <c r="A217" s="421"/>
      <c r="B217" s="151"/>
      <c r="C217" s="209" t="s">
        <v>2058</v>
      </c>
      <c r="D217" s="244"/>
      <c r="E217" s="228"/>
      <c r="F217" s="585">
        <f t="shared" si="34"/>
        <v>0</v>
      </c>
      <c r="G217" s="338"/>
      <c r="H217" s="592"/>
      <c r="I217" s="520"/>
      <c r="J217" s="421"/>
      <c r="K217" s="520"/>
    </row>
    <row r="218" spans="1:11" s="341" customFormat="1">
      <c r="A218" s="421"/>
      <c r="B218" s="151"/>
      <c r="C218" s="209" t="s">
        <v>2058</v>
      </c>
      <c r="D218" s="244"/>
      <c r="E218" s="228"/>
      <c r="F218" s="585"/>
      <c r="G218" s="338"/>
      <c r="H218" s="592"/>
      <c r="I218" s="520"/>
      <c r="J218" s="421"/>
      <c r="K218" s="520"/>
    </row>
    <row r="219" spans="1:11" s="341" customFormat="1">
      <c r="A219" s="421"/>
      <c r="B219" s="473" t="s">
        <v>9115</v>
      </c>
      <c r="C219" s="389">
        <v>226</v>
      </c>
      <c r="D219" s="388">
        <f>C219*(1-VLOOKUP(I219,descuentos,6,FALSE))*fcl/IF(dol_sol="dólar", TC,1)</f>
        <v>54.90109047761193</v>
      </c>
      <c r="E219" s="386"/>
      <c r="F219" s="582">
        <f>ROUNDUP(D219+E219,2)</f>
        <v>54.91</v>
      </c>
      <c r="G219" s="394" t="s">
        <v>9116</v>
      </c>
      <c r="H219" s="592" t="s">
        <v>12996</v>
      </c>
      <c r="I219" s="520" t="s">
        <v>11650</v>
      </c>
      <c r="J219" s="421" t="s">
        <v>753</v>
      </c>
      <c r="K219" s="520" t="s">
        <v>741</v>
      </c>
    </row>
    <row r="220" spans="1:11" s="341" customFormat="1">
      <c r="A220" s="421"/>
      <c r="B220" s="151"/>
      <c r="C220" s="209" t="s">
        <v>2058</v>
      </c>
      <c r="D220" s="244"/>
      <c r="E220" s="228"/>
      <c r="F220" s="585"/>
      <c r="G220" s="338"/>
      <c r="H220" s="592"/>
      <c r="I220" s="520"/>
      <c r="J220" s="421"/>
      <c r="K220" s="520"/>
    </row>
    <row r="221" spans="1:11" s="341" customFormat="1">
      <c r="A221" s="421"/>
      <c r="B221" s="151"/>
      <c r="C221" s="209" t="s">
        <v>2058</v>
      </c>
      <c r="D221" s="244"/>
      <c r="E221" s="228"/>
      <c r="F221" s="585"/>
      <c r="G221" s="338"/>
      <c r="H221" s="592"/>
      <c r="I221" s="520"/>
      <c r="J221" s="421"/>
      <c r="K221" s="520"/>
    </row>
    <row r="222" spans="1:11" s="341" customFormat="1">
      <c r="A222" s="421"/>
      <c r="B222" s="473" t="s">
        <v>6326</v>
      </c>
      <c r="C222" s="389">
        <v>207</v>
      </c>
      <c r="D222" s="388">
        <f>C222*(1-VLOOKUP(I222,descuentos,6,FALSE))*fcl/IF(dol_sol="dólar", TC,1)</f>
        <v>50.285512074626865</v>
      </c>
      <c r="E222" s="386"/>
      <c r="F222" s="582">
        <f t="shared" ref="F222:F239" si="35">ROUNDUP(D222+E222,2)</f>
        <v>50.29</v>
      </c>
      <c r="G222" s="394" t="s">
        <v>6327</v>
      </c>
      <c r="H222" s="592" t="s">
        <v>12997</v>
      </c>
      <c r="I222" s="520" t="s">
        <v>11650</v>
      </c>
      <c r="J222" s="421" t="s">
        <v>753</v>
      </c>
      <c r="K222" s="520" t="s">
        <v>741</v>
      </c>
    </row>
    <row r="223" spans="1:11" s="341" customFormat="1">
      <c r="A223" s="421"/>
      <c r="B223" s="473" t="s">
        <v>2007</v>
      </c>
      <c r="C223" s="389">
        <v>207</v>
      </c>
      <c r="D223" s="388">
        <f t="shared" ref="D223:D229" si="36">C223*(1-VLOOKUP(I223,descuentos,6,FALSE))*fcl/IF(dol_sol="dólar", TC,1)</f>
        <v>50.285512074626865</v>
      </c>
      <c r="E223" s="386"/>
      <c r="F223" s="582">
        <f t="shared" si="35"/>
        <v>50.29</v>
      </c>
      <c r="G223" s="394" t="s">
        <v>4412</v>
      </c>
      <c r="H223" s="592" t="s">
        <v>12998</v>
      </c>
      <c r="I223" s="520" t="s">
        <v>11650</v>
      </c>
      <c r="J223" s="421" t="s">
        <v>753</v>
      </c>
      <c r="K223" s="520" t="s">
        <v>741</v>
      </c>
    </row>
    <row r="224" spans="1:11" s="341" customFormat="1">
      <c r="A224" s="421"/>
      <c r="B224" s="473" t="s">
        <v>2008</v>
      </c>
      <c r="C224" s="389">
        <v>207</v>
      </c>
      <c r="D224" s="388">
        <f t="shared" si="36"/>
        <v>50.285512074626865</v>
      </c>
      <c r="E224" s="386"/>
      <c r="F224" s="582">
        <f t="shared" si="35"/>
        <v>50.29</v>
      </c>
      <c r="G224" s="394" t="s">
        <v>4413</v>
      </c>
      <c r="H224" s="592" t="s">
        <v>12999</v>
      </c>
      <c r="I224" s="520" t="s">
        <v>11650</v>
      </c>
      <c r="J224" s="421" t="s">
        <v>753</v>
      </c>
      <c r="K224" s="520" t="s">
        <v>741</v>
      </c>
    </row>
    <row r="225" spans="1:11" s="196" customFormat="1">
      <c r="A225" s="421"/>
      <c r="B225" s="473" t="s">
        <v>2009</v>
      </c>
      <c r="C225" s="389">
        <v>207</v>
      </c>
      <c r="D225" s="388">
        <f t="shared" si="36"/>
        <v>50.285512074626865</v>
      </c>
      <c r="E225" s="386"/>
      <c r="F225" s="582">
        <f t="shared" si="35"/>
        <v>50.29</v>
      </c>
      <c r="G225" s="394" t="s">
        <v>4414</v>
      </c>
      <c r="H225" s="592" t="s">
        <v>13000</v>
      </c>
      <c r="I225" s="520" t="s">
        <v>11650</v>
      </c>
      <c r="J225" s="421" t="s">
        <v>753</v>
      </c>
      <c r="K225" s="520" t="s">
        <v>741</v>
      </c>
    </row>
    <row r="226" spans="1:11" s="196" customFormat="1">
      <c r="A226" s="421"/>
      <c r="B226" s="473" t="s">
        <v>2010</v>
      </c>
      <c r="C226" s="389">
        <v>207</v>
      </c>
      <c r="D226" s="388">
        <f t="shared" si="36"/>
        <v>50.285512074626865</v>
      </c>
      <c r="E226" s="386"/>
      <c r="F226" s="582">
        <f t="shared" si="35"/>
        <v>50.29</v>
      </c>
      <c r="G226" s="394" t="s">
        <v>4415</v>
      </c>
      <c r="H226" s="592" t="s">
        <v>13001</v>
      </c>
      <c r="I226" s="520" t="s">
        <v>11650</v>
      </c>
      <c r="J226" s="421" t="s">
        <v>753</v>
      </c>
      <c r="K226" s="520" t="s">
        <v>741</v>
      </c>
    </row>
    <row r="227" spans="1:11" s="196" customFormat="1">
      <c r="A227" s="421"/>
      <c r="B227" s="473" t="s">
        <v>2011</v>
      </c>
      <c r="C227" s="389">
        <v>295</v>
      </c>
      <c r="D227" s="388">
        <f t="shared" si="36"/>
        <v>71.662927835820895</v>
      </c>
      <c r="E227" s="386"/>
      <c r="F227" s="582">
        <f t="shared" si="35"/>
        <v>71.67</v>
      </c>
      <c r="G227" s="394" t="s">
        <v>4416</v>
      </c>
      <c r="H227" s="592" t="s">
        <v>13002</v>
      </c>
      <c r="I227" s="520" t="s">
        <v>11650</v>
      </c>
      <c r="J227" s="421" t="s">
        <v>753</v>
      </c>
      <c r="K227" s="520" t="s">
        <v>741</v>
      </c>
    </row>
    <row r="228" spans="1:11" s="196" customFormat="1">
      <c r="A228" s="421"/>
      <c r="B228" s="473" t="s">
        <v>2012</v>
      </c>
      <c r="C228" s="389">
        <v>295</v>
      </c>
      <c r="D228" s="388">
        <f t="shared" si="36"/>
        <v>71.662927835820895</v>
      </c>
      <c r="E228" s="386"/>
      <c r="F228" s="582">
        <f t="shared" si="35"/>
        <v>71.67</v>
      </c>
      <c r="G228" s="394" t="s">
        <v>9117</v>
      </c>
      <c r="H228" s="592" t="s">
        <v>13003</v>
      </c>
      <c r="I228" s="520" t="s">
        <v>11650</v>
      </c>
      <c r="J228" s="421" t="s">
        <v>753</v>
      </c>
      <c r="K228" s="520" t="s">
        <v>741</v>
      </c>
    </row>
    <row r="229" spans="1:11" s="196" customFormat="1" ht="12" customHeight="1">
      <c r="A229" s="421"/>
      <c r="B229" s="473" t="s">
        <v>2013</v>
      </c>
      <c r="C229" s="389">
        <v>295</v>
      </c>
      <c r="D229" s="388">
        <f t="shared" si="36"/>
        <v>71.662927835820895</v>
      </c>
      <c r="E229" s="386"/>
      <c r="F229" s="582">
        <f t="shared" si="35"/>
        <v>71.67</v>
      </c>
      <c r="G229" s="394" t="s">
        <v>9118</v>
      </c>
      <c r="H229" s="592" t="s">
        <v>13004</v>
      </c>
      <c r="I229" s="520" t="s">
        <v>11650</v>
      </c>
      <c r="J229" s="421" t="s">
        <v>753</v>
      </c>
      <c r="K229" s="520" t="s">
        <v>741</v>
      </c>
    </row>
    <row r="230" spans="1:11" s="196" customFormat="1">
      <c r="A230" s="421"/>
      <c r="B230" s="151"/>
      <c r="C230" s="209" t="s">
        <v>2058</v>
      </c>
      <c r="D230" s="244"/>
      <c r="E230" s="228"/>
      <c r="F230" s="585">
        <f t="shared" si="35"/>
        <v>0</v>
      </c>
      <c r="G230" s="338"/>
      <c r="H230" s="592"/>
      <c r="I230" s="520"/>
      <c r="J230" s="421"/>
      <c r="K230" s="520"/>
    </row>
    <row r="231" spans="1:11" s="196" customFormat="1">
      <c r="A231" s="421"/>
      <c r="B231" s="151"/>
      <c r="C231" s="209" t="s">
        <v>2058</v>
      </c>
      <c r="D231" s="244"/>
      <c r="E231" s="228"/>
      <c r="F231" s="585">
        <f t="shared" si="35"/>
        <v>0</v>
      </c>
      <c r="G231" s="338"/>
      <c r="H231" s="592"/>
      <c r="I231" s="520"/>
      <c r="J231" s="421"/>
      <c r="K231" s="520"/>
    </row>
    <row r="232" spans="1:11" s="196" customFormat="1">
      <c r="A232" s="421"/>
      <c r="B232" s="473" t="s">
        <v>9119</v>
      </c>
      <c r="C232" s="209">
        <v>374</v>
      </c>
      <c r="D232" s="388">
        <f>C232*(1-VLOOKUP(I232,descuentos,6,FALSE))*fcl/IF(dol_sol="dólar", TC,1)</f>
        <v>90.854016985074637</v>
      </c>
      <c r="E232" s="386"/>
      <c r="F232" s="582">
        <f>ROUNDUP(D232+E232,2)</f>
        <v>90.86</v>
      </c>
      <c r="G232" s="394" t="s">
        <v>9120</v>
      </c>
      <c r="H232" s="592" t="s">
        <v>9121</v>
      </c>
      <c r="I232" s="520" t="s">
        <v>11650</v>
      </c>
      <c r="J232" s="421" t="s">
        <v>753</v>
      </c>
      <c r="K232" s="520" t="s">
        <v>741</v>
      </c>
    </row>
    <row r="233" spans="1:11" s="196" customFormat="1">
      <c r="A233" s="421"/>
      <c r="B233" s="473" t="s">
        <v>9122</v>
      </c>
      <c r="C233" s="209">
        <v>374</v>
      </c>
      <c r="D233" s="388">
        <f t="shared" ref="D233:D239" si="37">C233*(1-VLOOKUP(I233,descuentos,6,FALSE))*fcl/IF(dol_sol="dólar", TC,1)</f>
        <v>90.854016985074637</v>
      </c>
      <c r="E233" s="386"/>
      <c r="F233" s="582">
        <f t="shared" si="35"/>
        <v>90.86</v>
      </c>
      <c r="G233" s="394" t="s">
        <v>9123</v>
      </c>
      <c r="H233" s="592" t="s">
        <v>9124</v>
      </c>
      <c r="I233" s="520" t="s">
        <v>11650</v>
      </c>
      <c r="J233" s="421" t="s">
        <v>753</v>
      </c>
      <c r="K233" s="520" t="s">
        <v>741</v>
      </c>
    </row>
    <row r="234" spans="1:11" s="341" customFormat="1">
      <c r="A234" s="421"/>
      <c r="B234" s="473" t="s">
        <v>9125</v>
      </c>
      <c r="C234" s="209">
        <v>374</v>
      </c>
      <c r="D234" s="388">
        <f t="shared" si="37"/>
        <v>90.854016985074637</v>
      </c>
      <c r="E234" s="386"/>
      <c r="F234" s="582">
        <f t="shared" si="35"/>
        <v>90.86</v>
      </c>
      <c r="G234" s="394" t="s">
        <v>9126</v>
      </c>
      <c r="H234" s="592" t="s">
        <v>9127</v>
      </c>
      <c r="I234" s="520" t="s">
        <v>11650</v>
      </c>
      <c r="J234" s="421" t="s">
        <v>753</v>
      </c>
      <c r="K234" s="520" t="s">
        <v>741</v>
      </c>
    </row>
    <row r="235" spans="1:11" s="196" customFormat="1">
      <c r="A235" s="421"/>
      <c r="B235" s="473" t="s">
        <v>9128</v>
      </c>
      <c r="C235" s="209">
        <v>374</v>
      </c>
      <c r="D235" s="388">
        <f t="shared" si="37"/>
        <v>90.854016985074637</v>
      </c>
      <c r="E235" s="386"/>
      <c r="F235" s="582">
        <f t="shared" si="35"/>
        <v>90.86</v>
      </c>
      <c r="G235" s="394" t="s">
        <v>9129</v>
      </c>
      <c r="H235" s="592" t="s">
        <v>9130</v>
      </c>
      <c r="I235" s="520" t="s">
        <v>11650</v>
      </c>
      <c r="J235" s="421" t="s">
        <v>753</v>
      </c>
      <c r="K235" s="520" t="s">
        <v>741</v>
      </c>
    </row>
    <row r="236" spans="1:11" s="196" customFormat="1">
      <c r="A236" s="421"/>
      <c r="B236" s="473" t="s">
        <v>9131</v>
      </c>
      <c r="C236" s="209">
        <v>374</v>
      </c>
      <c r="D236" s="388">
        <f t="shared" si="37"/>
        <v>90.854016985074637</v>
      </c>
      <c r="E236" s="386"/>
      <c r="F236" s="582">
        <f t="shared" si="35"/>
        <v>90.86</v>
      </c>
      <c r="G236" s="394" t="s">
        <v>9132</v>
      </c>
      <c r="H236" s="592" t="s">
        <v>9133</v>
      </c>
      <c r="I236" s="520" t="s">
        <v>11650</v>
      </c>
      <c r="J236" s="421" t="s">
        <v>753</v>
      </c>
      <c r="K236" s="520" t="s">
        <v>741</v>
      </c>
    </row>
    <row r="237" spans="1:11" s="196" customFormat="1">
      <c r="A237" s="421"/>
      <c r="B237" s="473" t="s">
        <v>9134</v>
      </c>
      <c r="C237" s="209">
        <v>516</v>
      </c>
      <c r="D237" s="388">
        <f t="shared" si="37"/>
        <v>125.34939241791042</v>
      </c>
      <c r="E237" s="386"/>
      <c r="F237" s="582">
        <f t="shared" si="35"/>
        <v>125.35000000000001</v>
      </c>
      <c r="G237" s="394" t="s">
        <v>9135</v>
      </c>
      <c r="H237" s="592" t="s">
        <v>9136</v>
      </c>
      <c r="I237" s="520" t="s">
        <v>11650</v>
      </c>
      <c r="J237" s="421" t="s">
        <v>753</v>
      </c>
      <c r="K237" s="520" t="s">
        <v>741</v>
      </c>
    </row>
    <row r="238" spans="1:11" s="196" customFormat="1">
      <c r="A238" s="421"/>
      <c r="B238" s="473" t="s">
        <v>9137</v>
      </c>
      <c r="C238" s="209">
        <v>541</v>
      </c>
      <c r="D238" s="388">
        <f t="shared" si="37"/>
        <v>131.42252189552238</v>
      </c>
      <c r="E238" s="386"/>
      <c r="F238" s="582">
        <f t="shared" si="35"/>
        <v>131.42999999999998</v>
      </c>
      <c r="G238" s="394" t="s">
        <v>9138</v>
      </c>
      <c r="H238" s="592" t="s">
        <v>9139</v>
      </c>
      <c r="I238" s="520" t="s">
        <v>11650</v>
      </c>
      <c r="J238" s="421" t="s">
        <v>753</v>
      </c>
      <c r="K238" s="520" t="s">
        <v>741</v>
      </c>
    </row>
    <row r="239" spans="1:11" s="196" customFormat="1">
      <c r="A239" s="421"/>
      <c r="B239" s="473" t="s">
        <v>9140</v>
      </c>
      <c r="C239" s="209">
        <v>773</v>
      </c>
      <c r="D239" s="388">
        <f t="shared" si="37"/>
        <v>187.78116344776117</v>
      </c>
      <c r="E239" s="386"/>
      <c r="F239" s="582">
        <f t="shared" si="35"/>
        <v>187.79</v>
      </c>
      <c r="G239" s="394" t="s">
        <v>9141</v>
      </c>
      <c r="H239" s="592" t="s">
        <v>9142</v>
      </c>
      <c r="I239" s="520" t="s">
        <v>11650</v>
      </c>
      <c r="J239" s="421" t="s">
        <v>753</v>
      </c>
      <c r="K239" s="520" t="s">
        <v>741</v>
      </c>
    </row>
    <row r="240" spans="1:11" s="196" customFormat="1">
      <c r="A240" s="421"/>
      <c r="B240" s="151"/>
      <c r="C240" s="209" t="s">
        <v>2058</v>
      </c>
      <c r="D240" s="244"/>
      <c r="E240" s="228"/>
      <c r="F240" s="585"/>
      <c r="G240" s="338"/>
      <c r="H240" s="592"/>
      <c r="I240" s="520"/>
      <c r="J240" s="421"/>
      <c r="K240" s="520"/>
    </row>
    <row r="241" spans="1:11" s="196" customFormat="1">
      <c r="A241" s="421"/>
      <c r="B241" s="473" t="s">
        <v>9143</v>
      </c>
      <c r="C241" s="389">
        <v>350</v>
      </c>
      <c r="D241" s="388">
        <f>C241*(1-VLOOKUP(I241,descuentos,6,FALSE))*fcl/IF(dol_sol="dólar", TC,1)</f>
        <v>85.023812686567155</v>
      </c>
      <c r="E241" s="386"/>
      <c r="F241" s="582">
        <f t="shared" ref="F241:F248" si="38">ROUNDUP(D241+E241,2)</f>
        <v>85.03</v>
      </c>
      <c r="G241" s="394" t="s">
        <v>9144</v>
      </c>
      <c r="H241" s="2013" t="s">
        <v>9145</v>
      </c>
      <c r="I241" s="520" t="s">
        <v>11650</v>
      </c>
      <c r="J241" s="421" t="s">
        <v>753</v>
      </c>
      <c r="K241" s="520" t="s">
        <v>741</v>
      </c>
    </row>
    <row r="242" spans="1:11" s="196" customFormat="1">
      <c r="A242" s="421"/>
      <c r="B242" s="473" t="s">
        <v>2014</v>
      </c>
      <c r="C242" s="389">
        <v>350</v>
      </c>
      <c r="D242" s="388">
        <f t="shared" ref="D242:D248" si="39">C242*(1-VLOOKUP(I242,descuentos,6,FALSE))*fcl/IF(dol_sol="dólar", TC,1)</f>
        <v>85.023812686567155</v>
      </c>
      <c r="E242" s="386"/>
      <c r="F242" s="582">
        <f t="shared" si="38"/>
        <v>85.03</v>
      </c>
      <c r="G242" s="394" t="s">
        <v>4417</v>
      </c>
      <c r="H242" s="2013" t="s">
        <v>2015</v>
      </c>
      <c r="I242" s="520" t="s">
        <v>11650</v>
      </c>
      <c r="J242" s="421" t="s">
        <v>753</v>
      </c>
      <c r="K242" s="520" t="s">
        <v>741</v>
      </c>
    </row>
    <row r="243" spans="1:11" s="341" customFormat="1">
      <c r="A243" s="421"/>
      <c r="B243" s="473" t="s">
        <v>2016</v>
      </c>
      <c r="C243" s="389">
        <v>350</v>
      </c>
      <c r="D243" s="388">
        <f t="shared" si="39"/>
        <v>85.023812686567155</v>
      </c>
      <c r="E243" s="386"/>
      <c r="F243" s="582">
        <f t="shared" si="38"/>
        <v>85.03</v>
      </c>
      <c r="G243" s="394" t="s">
        <v>4418</v>
      </c>
      <c r="H243" s="2013" t="s">
        <v>2017</v>
      </c>
      <c r="I243" s="520" t="s">
        <v>11650</v>
      </c>
      <c r="J243" s="421" t="s">
        <v>753</v>
      </c>
      <c r="K243" s="520" t="s">
        <v>741</v>
      </c>
    </row>
    <row r="244" spans="1:11" s="196" customFormat="1">
      <c r="A244" s="421"/>
      <c r="B244" s="473" t="s">
        <v>2018</v>
      </c>
      <c r="C244" s="389">
        <v>350</v>
      </c>
      <c r="D244" s="388">
        <f t="shared" si="39"/>
        <v>85.023812686567155</v>
      </c>
      <c r="E244" s="386"/>
      <c r="F244" s="582">
        <f t="shared" si="38"/>
        <v>85.03</v>
      </c>
      <c r="G244" s="394" t="s">
        <v>4419</v>
      </c>
      <c r="H244" s="2013" t="s">
        <v>2019</v>
      </c>
      <c r="I244" s="520" t="s">
        <v>11650</v>
      </c>
      <c r="J244" s="421" t="s">
        <v>753</v>
      </c>
      <c r="K244" s="520" t="s">
        <v>741</v>
      </c>
    </row>
    <row r="245" spans="1:11" s="196" customFormat="1">
      <c r="A245" s="421"/>
      <c r="B245" s="473" t="s">
        <v>2020</v>
      </c>
      <c r="C245" s="389">
        <v>350</v>
      </c>
      <c r="D245" s="388">
        <f t="shared" si="39"/>
        <v>85.023812686567155</v>
      </c>
      <c r="E245" s="386"/>
      <c r="F245" s="582">
        <f t="shared" si="38"/>
        <v>85.03</v>
      </c>
      <c r="G245" s="394" t="s">
        <v>4420</v>
      </c>
      <c r="H245" s="2013" t="s">
        <v>2021</v>
      </c>
      <c r="I245" s="520" t="s">
        <v>11650</v>
      </c>
      <c r="J245" s="421" t="s">
        <v>753</v>
      </c>
      <c r="K245" s="520" t="s">
        <v>741</v>
      </c>
    </row>
    <row r="246" spans="1:11" s="196" customFormat="1">
      <c r="A246" s="421"/>
      <c r="B246" s="473" t="s">
        <v>2022</v>
      </c>
      <c r="C246" s="389">
        <v>483</v>
      </c>
      <c r="D246" s="388">
        <f t="shared" si="39"/>
        <v>117.33286150746268</v>
      </c>
      <c r="E246" s="386"/>
      <c r="F246" s="582">
        <f t="shared" si="38"/>
        <v>117.34</v>
      </c>
      <c r="G246" s="394" t="s">
        <v>4421</v>
      </c>
      <c r="H246" s="2013" t="s">
        <v>2023</v>
      </c>
      <c r="I246" s="520" t="s">
        <v>11650</v>
      </c>
      <c r="J246" s="421" t="s">
        <v>753</v>
      </c>
      <c r="K246" s="520" t="s">
        <v>741</v>
      </c>
    </row>
    <row r="247" spans="1:11" s="196" customFormat="1">
      <c r="A247" s="421"/>
      <c r="B247" s="473" t="s">
        <v>2024</v>
      </c>
      <c r="C247" s="389">
        <v>507</v>
      </c>
      <c r="D247" s="388">
        <f t="shared" si="39"/>
        <v>123.16306580597013</v>
      </c>
      <c r="E247" s="386"/>
      <c r="F247" s="582">
        <f t="shared" si="38"/>
        <v>123.17</v>
      </c>
      <c r="G247" s="394" t="s">
        <v>9146</v>
      </c>
      <c r="H247" s="2013" t="s">
        <v>2025</v>
      </c>
      <c r="I247" s="520" t="s">
        <v>11650</v>
      </c>
      <c r="J247" s="421" t="s">
        <v>753</v>
      </c>
      <c r="K247" s="520" t="s">
        <v>741</v>
      </c>
    </row>
    <row r="248" spans="1:11" s="196" customFormat="1">
      <c r="A248" s="421"/>
      <c r="B248" s="473" t="s">
        <v>2026</v>
      </c>
      <c r="C248" s="389">
        <v>507</v>
      </c>
      <c r="D248" s="388">
        <f t="shared" si="39"/>
        <v>123.16306580597013</v>
      </c>
      <c r="E248" s="386"/>
      <c r="F248" s="582">
        <f t="shared" si="38"/>
        <v>123.17</v>
      </c>
      <c r="G248" s="394" t="s">
        <v>9147</v>
      </c>
      <c r="H248" s="2013" t="s">
        <v>2027</v>
      </c>
      <c r="I248" s="520" t="s">
        <v>11650</v>
      </c>
      <c r="J248" s="421" t="s">
        <v>753</v>
      </c>
      <c r="K248" s="520" t="s">
        <v>741</v>
      </c>
    </row>
    <row r="249" spans="1:11" s="194" customFormat="1">
      <c r="A249" s="421"/>
      <c r="B249" s="151"/>
      <c r="C249" s="209" t="s">
        <v>2058</v>
      </c>
      <c r="D249" s="244"/>
      <c r="E249" s="228"/>
      <c r="F249" s="585"/>
      <c r="G249" s="338"/>
      <c r="H249" s="592"/>
      <c r="I249" s="520"/>
      <c r="J249" s="421"/>
      <c r="K249" s="520"/>
    </row>
    <row r="250" spans="1:11" s="194" customFormat="1">
      <c r="A250" s="421"/>
      <c r="B250" s="151"/>
      <c r="C250" s="209" t="s">
        <v>2058</v>
      </c>
      <c r="D250" s="244"/>
      <c r="E250" s="228"/>
      <c r="F250" s="585"/>
      <c r="G250" s="338"/>
      <c r="H250" s="592"/>
      <c r="I250" s="520"/>
      <c r="J250" s="421"/>
      <c r="K250" s="520"/>
    </row>
    <row r="251" spans="1:11" s="194" customFormat="1">
      <c r="A251" s="1655"/>
      <c r="B251" s="151" t="s">
        <v>6328</v>
      </c>
      <c r="C251" s="209">
        <v>55</v>
      </c>
      <c r="D251" s="244">
        <f>C251*(1-VLOOKUP(I251,descuentos,6,FALSE))*fcl/IF(dol_sol="dólar", TC,1)</f>
        <v>13.360884850746269</v>
      </c>
      <c r="E251" s="228"/>
      <c r="F251" s="585">
        <f>ROUNDUP(D251+E251,2)</f>
        <v>13.37</v>
      </c>
      <c r="G251" s="338" t="s">
        <v>6329</v>
      </c>
      <c r="H251" s="592" t="s">
        <v>6330</v>
      </c>
      <c r="I251" s="520" t="s">
        <v>11650</v>
      </c>
      <c r="J251" s="421" t="s">
        <v>753</v>
      </c>
      <c r="K251" s="520" t="s">
        <v>741</v>
      </c>
    </row>
    <row r="252" spans="1:11" s="194" customFormat="1">
      <c r="A252" s="1655"/>
      <c r="B252" s="151" t="s">
        <v>6331</v>
      </c>
      <c r="C252" s="209">
        <v>46</v>
      </c>
      <c r="D252" s="244">
        <f t="shared" ref="D252:D259" si="40">C252*(1-VLOOKUP(I252,descuentos,6,FALSE))*fcl/IF(dol_sol="dólar", TC,1)</f>
        <v>11.174558238805968</v>
      </c>
      <c r="E252" s="228"/>
      <c r="F252" s="585">
        <f t="shared" ref="F252:F259" si="41">ROUNDUP(D252+E252,2)</f>
        <v>11.18</v>
      </c>
      <c r="G252" s="338" t="s">
        <v>6332</v>
      </c>
      <c r="H252" s="592" t="s">
        <v>6333</v>
      </c>
      <c r="I252" s="520" t="s">
        <v>11650</v>
      </c>
      <c r="J252" s="421" t="s">
        <v>753</v>
      </c>
      <c r="K252" s="520" t="s">
        <v>741</v>
      </c>
    </row>
    <row r="253" spans="1:11" s="194" customFormat="1">
      <c r="A253" s="421"/>
      <c r="B253" s="151" t="s">
        <v>6334</v>
      </c>
      <c r="C253" s="209">
        <v>46</v>
      </c>
      <c r="D253" s="244">
        <f t="shared" si="40"/>
        <v>11.174558238805968</v>
      </c>
      <c r="E253" s="228"/>
      <c r="F253" s="585">
        <f t="shared" si="41"/>
        <v>11.18</v>
      </c>
      <c r="G253" s="338" t="s">
        <v>6335</v>
      </c>
      <c r="H253" s="592" t="s">
        <v>6336</v>
      </c>
      <c r="I253" s="520" t="s">
        <v>11650</v>
      </c>
      <c r="J253" s="421" t="s">
        <v>753</v>
      </c>
      <c r="K253" s="520" t="s">
        <v>741</v>
      </c>
    </row>
    <row r="254" spans="1:11" s="194" customFormat="1">
      <c r="A254" s="421"/>
      <c r="B254" s="151" t="s">
        <v>6337</v>
      </c>
      <c r="C254" s="209">
        <v>46</v>
      </c>
      <c r="D254" s="244">
        <f t="shared" si="40"/>
        <v>11.174558238805968</v>
      </c>
      <c r="E254" s="228"/>
      <c r="F254" s="585">
        <f t="shared" si="41"/>
        <v>11.18</v>
      </c>
      <c r="G254" s="338" t="s">
        <v>6338</v>
      </c>
      <c r="H254" s="592" t="s">
        <v>6339</v>
      </c>
      <c r="I254" s="520" t="s">
        <v>11650</v>
      </c>
      <c r="J254" s="421" t="s">
        <v>753</v>
      </c>
      <c r="K254" s="520" t="s">
        <v>741</v>
      </c>
    </row>
    <row r="255" spans="1:11" s="194" customFormat="1">
      <c r="A255" s="421"/>
      <c r="B255" s="151" t="s">
        <v>6340</v>
      </c>
      <c r="C255" s="209">
        <v>46</v>
      </c>
      <c r="D255" s="244">
        <f t="shared" si="40"/>
        <v>11.174558238805968</v>
      </c>
      <c r="E255" s="228"/>
      <c r="F255" s="585">
        <f t="shared" si="41"/>
        <v>11.18</v>
      </c>
      <c r="G255" s="338" t="s">
        <v>6341</v>
      </c>
      <c r="H255" s="592" t="s">
        <v>6342</v>
      </c>
      <c r="I255" s="520" t="s">
        <v>11650</v>
      </c>
      <c r="J255" s="421" t="s">
        <v>753</v>
      </c>
      <c r="K255" s="520" t="s">
        <v>741</v>
      </c>
    </row>
    <row r="256" spans="1:11" s="194" customFormat="1">
      <c r="A256" s="421"/>
      <c r="B256" s="151" t="s">
        <v>6343</v>
      </c>
      <c r="C256" s="209">
        <v>46</v>
      </c>
      <c r="D256" s="244">
        <f t="shared" si="40"/>
        <v>11.174558238805968</v>
      </c>
      <c r="E256" s="228"/>
      <c r="F256" s="585">
        <f t="shared" si="41"/>
        <v>11.18</v>
      </c>
      <c r="G256" s="338" t="s">
        <v>6344</v>
      </c>
      <c r="H256" s="592" t="s">
        <v>6345</v>
      </c>
      <c r="I256" s="520" t="s">
        <v>11650</v>
      </c>
      <c r="J256" s="421" t="s">
        <v>753</v>
      </c>
      <c r="K256" s="520" t="s">
        <v>741</v>
      </c>
    </row>
    <row r="257" spans="1:11" s="196" customFormat="1">
      <c r="A257" s="421"/>
      <c r="B257" s="151" t="s">
        <v>6346</v>
      </c>
      <c r="C257" s="209">
        <v>65</v>
      </c>
      <c r="D257" s="244">
        <f t="shared" si="40"/>
        <v>15.790136641791044</v>
      </c>
      <c r="E257" s="228"/>
      <c r="F257" s="585">
        <f t="shared" si="41"/>
        <v>15.799999999999999</v>
      </c>
      <c r="G257" s="338" t="s">
        <v>6347</v>
      </c>
      <c r="H257" s="592" t="s">
        <v>6348</v>
      </c>
      <c r="I257" s="520" t="s">
        <v>11650</v>
      </c>
      <c r="J257" s="421" t="s">
        <v>753</v>
      </c>
      <c r="K257" s="520" t="s">
        <v>741</v>
      </c>
    </row>
    <row r="258" spans="1:11" s="196" customFormat="1">
      <c r="A258" s="421"/>
      <c r="B258" s="151" t="s">
        <v>6349</v>
      </c>
      <c r="C258" s="209">
        <v>65</v>
      </c>
      <c r="D258" s="244">
        <f t="shared" si="40"/>
        <v>15.790136641791044</v>
      </c>
      <c r="E258" s="228"/>
      <c r="F258" s="585">
        <f t="shared" si="41"/>
        <v>15.799999999999999</v>
      </c>
      <c r="G258" s="338" t="s">
        <v>6350</v>
      </c>
      <c r="H258" s="592" t="s">
        <v>6351</v>
      </c>
      <c r="I258" s="520" t="s">
        <v>11650</v>
      </c>
      <c r="J258" s="421" t="s">
        <v>753</v>
      </c>
      <c r="K258" s="520" t="s">
        <v>741</v>
      </c>
    </row>
    <row r="259" spans="1:11" s="196" customFormat="1">
      <c r="A259" s="421"/>
      <c r="B259" s="151" t="s">
        <v>6352</v>
      </c>
      <c r="C259" s="209">
        <v>65</v>
      </c>
      <c r="D259" s="244">
        <f t="shared" si="40"/>
        <v>15.790136641791044</v>
      </c>
      <c r="E259" s="228"/>
      <c r="F259" s="585">
        <f t="shared" si="41"/>
        <v>15.799999999999999</v>
      </c>
      <c r="G259" s="338" t="s">
        <v>6353</v>
      </c>
      <c r="H259" s="592" t="s">
        <v>6354</v>
      </c>
      <c r="I259" s="520" t="s">
        <v>11650</v>
      </c>
      <c r="J259" s="421" t="s">
        <v>753</v>
      </c>
      <c r="K259" s="520" t="s">
        <v>741</v>
      </c>
    </row>
    <row r="260" spans="1:11" s="194" customFormat="1">
      <c r="A260" s="421"/>
      <c r="B260" s="151"/>
      <c r="C260" s="209" t="s">
        <v>2058</v>
      </c>
      <c r="D260" s="244"/>
      <c r="E260" s="228"/>
      <c r="F260" s="585"/>
      <c r="G260" s="338"/>
      <c r="H260" s="592"/>
      <c r="I260" s="520"/>
      <c r="J260" s="421"/>
      <c r="K260" s="520"/>
    </row>
    <row r="261" spans="1:11" s="194" customFormat="1">
      <c r="A261" s="421"/>
      <c r="B261" s="151" t="s">
        <v>6355</v>
      </c>
      <c r="C261" s="209">
        <v>117</v>
      </c>
      <c r="D261" s="244">
        <f t="shared" ref="D261:D269" si="42">C261*(1-VLOOKUP(I261,descuentos,6,FALSE))*fcl/IF(dol_sol="dólar", TC,1)</f>
        <v>28.422245955223879</v>
      </c>
      <c r="E261" s="228"/>
      <c r="F261" s="585">
        <f t="shared" ref="F261:F269" si="43">ROUNDUP(D261+E261,2)</f>
        <v>28.430000000000003</v>
      </c>
      <c r="G261" s="338" t="s">
        <v>6356</v>
      </c>
      <c r="H261" s="592" t="s">
        <v>6357</v>
      </c>
      <c r="I261" s="520" t="s">
        <v>11650</v>
      </c>
      <c r="J261" s="421" t="s">
        <v>753</v>
      </c>
      <c r="K261" s="520" t="s">
        <v>741</v>
      </c>
    </row>
    <row r="262" spans="1:11" s="194" customFormat="1">
      <c r="A262" s="421"/>
      <c r="B262" s="151" t="s">
        <v>6358</v>
      </c>
      <c r="C262" s="209">
        <v>101</v>
      </c>
      <c r="D262" s="244">
        <f t="shared" si="42"/>
        <v>24.535443089552238</v>
      </c>
      <c r="E262" s="228"/>
      <c r="F262" s="585">
        <f t="shared" si="43"/>
        <v>24.540000000000003</v>
      </c>
      <c r="G262" s="338" t="s">
        <v>6359</v>
      </c>
      <c r="H262" s="592" t="s">
        <v>6360</v>
      </c>
      <c r="I262" s="520" t="s">
        <v>11650</v>
      </c>
      <c r="J262" s="421" t="s">
        <v>753</v>
      </c>
      <c r="K262" s="520" t="s">
        <v>741</v>
      </c>
    </row>
    <row r="263" spans="1:11" s="194" customFormat="1">
      <c r="A263" s="421"/>
      <c r="B263" s="151" t="s">
        <v>6361</v>
      </c>
      <c r="C263" s="209">
        <v>101</v>
      </c>
      <c r="D263" s="244">
        <f t="shared" si="42"/>
        <v>24.535443089552238</v>
      </c>
      <c r="E263" s="228"/>
      <c r="F263" s="585">
        <f t="shared" si="43"/>
        <v>24.540000000000003</v>
      </c>
      <c r="G263" s="338" t="s">
        <v>6362</v>
      </c>
      <c r="H263" s="592" t="s">
        <v>6363</v>
      </c>
      <c r="I263" s="520" t="s">
        <v>11650</v>
      </c>
      <c r="J263" s="421" t="s">
        <v>753</v>
      </c>
      <c r="K263" s="520" t="s">
        <v>741</v>
      </c>
    </row>
    <row r="264" spans="1:11" s="194" customFormat="1">
      <c r="A264" s="421"/>
      <c r="B264" s="151" t="s">
        <v>6364</v>
      </c>
      <c r="C264" s="209">
        <v>101</v>
      </c>
      <c r="D264" s="244">
        <f t="shared" si="42"/>
        <v>24.535443089552238</v>
      </c>
      <c r="E264" s="228"/>
      <c r="F264" s="585">
        <f t="shared" si="43"/>
        <v>24.540000000000003</v>
      </c>
      <c r="G264" s="338" t="s">
        <v>6365</v>
      </c>
      <c r="H264" s="592" t="s">
        <v>6366</v>
      </c>
      <c r="I264" s="520" t="s">
        <v>11650</v>
      </c>
      <c r="J264" s="421" t="s">
        <v>753</v>
      </c>
      <c r="K264" s="520" t="s">
        <v>741</v>
      </c>
    </row>
    <row r="265" spans="1:11" s="194" customFormat="1">
      <c r="A265" s="421"/>
      <c r="B265" s="151" t="s">
        <v>6367</v>
      </c>
      <c r="C265" s="209">
        <v>101</v>
      </c>
      <c r="D265" s="244">
        <f t="shared" si="42"/>
        <v>24.535443089552238</v>
      </c>
      <c r="E265" s="228"/>
      <c r="F265" s="585">
        <f t="shared" si="43"/>
        <v>24.540000000000003</v>
      </c>
      <c r="G265" s="338" t="s">
        <v>6368</v>
      </c>
      <c r="H265" s="592" t="s">
        <v>6369</v>
      </c>
      <c r="I265" s="520" t="s">
        <v>11650</v>
      </c>
      <c r="J265" s="421" t="s">
        <v>753</v>
      </c>
      <c r="K265" s="520" t="s">
        <v>741</v>
      </c>
    </row>
    <row r="266" spans="1:11" s="194" customFormat="1">
      <c r="A266" s="421"/>
      <c r="B266" s="151" t="s">
        <v>6370</v>
      </c>
      <c r="C266" s="209">
        <v>101</v>
      </c>
      <c r="D266" s="244">
        <f t="shared" si="42"/>
        <v>24.535443089552238</v>
      </c>
      <c r="E266" s="228"/>
      <c r="F266" s="585">
        <f t="shared" si="43"/>
        <v>24.540000000000003</v>
      </c>
      <c r="G266" s="338" t="s">
        <v>6371</v>
      </c>
      <c r="H266" s="592" t="s">
        <v>6372</v>
      </c>
      <c r="I266" s="520" t="s">
        <v>11650</v>
      </c>
      <c r="J266" s="421" t="s">
        <v>753</v>
      </c>
      <c r="K266" s="520" t="s">
        <v>741</v>
      </c>
    </row>
    <row r="267" spans="1:11" s="196" customFormat="1">
      <c r="A267" s="421"/>
      <c r="B267" s="151" t="s">
        <v>6373</v>
      </c>
      <c r="C267" s="209">
        <v>137</v>
      </c>
      <c r="D267" s="244">
        <f t="shared" si="42"/>
        <v>33.280749537313426</v>
      </c>
      <c r="E267" s="228"/>
      <c r="F267" s="585">
        <f t="shared" si="43"/>
        <v>33.29</v>
      </c>
      <c r="G267" s="338" t="s">
        <v>6374</v>
      </c>
      <c r="H267" s="592" t="s">
        <v>6375</v>
      </c>
      <c r="I267" s="520" t="s">
        <v>11650</v>
      </c>
      <c r="J267" s="421" t="s">
        <v>753</v>
      </c>
      <c r="K267" s="520" t="s">
        <v>741</v>
      </c>
    </row>
    <row r="268" spans="1:11" s="196" customFormat="1">
      <c r="A268" s="421"/>
      <c r="B268" s="151" t="s">
        <v>6376</v>
      </c>
      <c r="C268" s="209">
        <v>137</v>
      </c>
      <c r="D268" s="244">
        <f t="shared" si="42"/>
        <v>33.280749537313426</v>
      </c>
      <c r="E268" s="228"/>
      <c r="F268" s="585">
        <f t="shared" si="43"/>
        <v>33.29</v>
      </c>
      <c r="G268" s="338" t="s">
        <v>6377</v>
      </c>
      <c r="H268" s="592" t="s">
        <v>6378</v>
      </c>
      <c r="I268" s="520" t="s">
        <v>11650</v>
      </c>
      <c r="J268" s="421" t="s">
        <v>753</v>
      </c>
      <c r="K268" s="520" t="s">
        <v>741</v>
      </c>
    </row>
    <row r="269" spans="1:11" s="196" customFormat="1">
      <c r="A269" s="421"/>
      <c r="B269" s="151" t="s">
        <v>6379</v>
      </c>
      <c r="C269" s="209">
        <v>137</v>
      </c>
      <c r="D269" s="244">
        <f t="shared" si="42"/>
        <v>33.280749537313426</v>
      </c>
      <c r="E269" s="228"/>
      <c r="F269" s="585">
        <f t="shared" si="43"/>
        <v>33.29</v>
      </c>
      <c r="G269" s="338" t="s">
        <v>6380</v>
      </c>
      <c r="H269" s="592" t="s">
        <v>6381</v>
      </c>
      <c r="I269" s="520" t="s">
        <v>11650</v>
      </c>
      <c r="J269" s="421" t="s">
        <v>753</v>
      </c>
      <c r="K269" s="520" t="s">
        <v>741</v>
      </c>
    </row>
    <row r="270" spans="1:11" s="194" customFormat="1">
      <c r="A270" s="421"/>
      <c r="B270" s="151"/>
      <c r="C270" s="209" t="s">
        <v>2058</v>
      </c>
      <c r="D270" s="244"/>
      <c r="E270" s="228"/>
      <c r="F270" s="585"/>
      <c r="G270" s="338"/>
      <c r="H270" s="592"/>
      <c r="I270" s="520"/>
      <c r="J270" s="421"/>
      <c r="K270" s="520"/>
    </row>
    <row r="271" spans="1:11" s="194" customFormat="1">
      <c r="A271" s="421"/>
      <c r="B271" s="151" t="s">
        <v>6382</v>
      </c>
      <c r="C271" s="209">
        <v>175</v>
      </c>
      <c r="D271" s="244">
        <f t="shared" ref="D271:D279" si="44">C271*(1-VLOOKUP(I271,descuentos,6,FALSE))*fcl/IF(dol_sol="dólar", TC,1)</f>
        <v>42.511906343283577</v>
      </c>
      <c r="E271" s="228"/>
      <c r="F271" s="585">
        <f t="shared" ref="F271:F279" si="45">ROUNDUP(D271+E271,2)</f>
        <v>42.519999999999996</v>
      </c>
      <c r="G271" s="338" t="s">
        <v>6383</v>
      </c>
      <c r="H271" s="592" t="s">
        <v>6384</v>
      </c>
      <c r="I271" s="520" t="s">
        <v>11650</v>
      </c>
      <c r="J271" s="421" t="s">
        <v>753</v>
      </c>
      <c r="K271" s="520" t="s">
        <v>741</v>
      </c>
    </row>
    <row r="272" spans="1:11" s="194" customFormat="1">
      <c r="A272" s="421"/>
      <c r="B272" s="151" t="s">
        <v>6385</v>
      </c>
      <c r="C272" s="209">
        <v>155</v>
      </c>
      <c r="D272" s="244">
        <f t="shared" si="44"/>
        <v>37.65340276119403</v>
      </c>
      <c r="E272" s="228"/>
      <c r="F272" s="585">
        <f t="shared" si="45"/>
        <v>37.659999999999997</v>
      </c>
      <c r="G272" s="338" t="s">
        <v>6386</v>
      </c>
      <c r="H272" s="592" t="s">
        <v>6387</v>
      </c>
      <c r="I272" s="520" t="s">
        <v>11650</v>
      </c>
      <c r="J272" s="421" t="s">
        <v>753</v>
      </c>
      <c r="K272" s="520" t="s">
        <v>741</v>
      </c>
    </row>
    <row r="273" spans="1:11" s="194" customFormat="1">
      <c r="A273" s="421"/>
      <c r="B273" s="151" t="s">
        <v>6388</v>
      </c>
      <c r="C273" s="209">
        <v>155</v>
      </c>
      <c r="D273" s="244">
        <f t="shared" si="44"/>
        <v>37.65340276119403</v>
      </c>
      <c r="E273" s="228"/>
      <c r="F273" s="585">
        <f t="shared" si="45"/>
        <v>37.659999999999997</v>
      </c>
      <c r="G273" s="338" t="s">
        <v>6389</v>
      </c>
      <c r="H273" s="592" t="s">
        <v>6390</v>
      </c>
      <c r="I273" s="520" t="s">
        <v>11650</v>
      </c>
      <c r="J273" s="421" t="s">
        <v>753</v>
      </c>
      <c r="K273" s="520" t="s">
        <v>741</v>
      </c>
    </row>
    <row r="274" spans="1:11" s="194" customFormat="1">
      <c r="A274" s="421"/>
      <c r="B274" s="151" t="s">
        <v>6391</v>
      </c>
      <c r="C274" s="209">
        <v>155</v>
      </c>
      <c r="D274" s="244">
        <f t="shared" si="44"/>
        <v>37.65340276119403</v>
      </c>
      <c r="E274" s="228"/>
      <c r="F274" s="585">
        <f t="shared" si="45"/>
        <v>37.659999999999997</v>
      </c>
      <c r="G274" s="338" t="s">
        <v>6392</v>
      </c>
      <c r="H274" s="592" t="s">
        <v>6393</v>
      </c>
      <c r="I274" s="520" t="s">
        <v>11650</v>
      </c>
      <c r="J274" s="421" t="s">
        <v>753</v>
      </c>
      <c r="K274" s="520" t="s">
        <v>741</v>
      </c>
    </row>
    <row r="275" spans="1:11" s="194" customFormat="1">
      <c r="A275" s="421"/>
      <c r="B275" s="151" t="s">
        <v>6394</v>
      </c>
      <c r="C275" s="209">
        <v>155</v>
      </c>
      <c r="D275" s="244">
        <f t="shared" si="44"/>
        <v>37.65340276119403</v>
      </c>
      <c r="E275" s="228"/>
      <c r="F275" s="585">
        <f t="shared" si="45"/>
        <v>37.659999999999997</v>
      </c>
      <c r="G275" s="338" t="s">
        <v>6395</v>
      </c>
      <c r="H275" s="592" t="s">
        <v>6396</v>
      </c>
      <c r="I275" s="520" t="s">
        <v>11650</v>
      </c>
      <c r="J275" s="421" t="s">
        <v>753</v>
      </c>
      <c r="K275" s="520" t="s">
        <v>741</v>
      </c>
    </row>
    <row r="276" spans="1:11" s="194" customFormat="1">
      <c r="A276" s="421"/>
      <c r="B276" s="151" t="s">
        <v>6397</v>
      </c>
      <c r="C276" s="209">
        <v>155</v>
      </c>
      <c r="D276" s="244">
        <f t="shared" si="44"/>
        <v>37.65340276119403</v>
      </c>
      <c r="E276" s="228"/>
      <c r="F276" s="585">
        <f t="shared" si="45"/>
        <v>37.659999999999997</v>
      </c>
      <c r="G276" s="338" t="s">
        <v>6398</v>
      </c>
      <c r="H276" s="592" t="s">
        <v>6399</v>
      </c>
      <c r="I276" s="520" t="s">
        <v>11650</v>
      </c>
      <c r="J276" s="421" t="s">
        <v>753</v>
      </c>
      <c r="K276" s="520" t="s">
        <v>741</v>
      </c>
    </row>
    <row r="277" spans="1:11" s="196" customFormat="1">
      <c r="A277" s="421"/>
      <c r="B277" s="151" t="s">
        <v>6400</v>
      </c>
      <c r="C277" s="209">
        <v>218</v>
      </c>
      <c r="D277" s="244">
        <f t="shared" si="44"/>
        <v>52.957689044776117</v>
      </c>
      <c r="E277" s="228"/>
      <c r="F277" s="585">
        <f t="shared" si="45"/>
        <v>52.96</v>
      </c>
      <c r="G277" s="338" t="s">
        <v>6401</v>
      </c>
      <c r="H277" s="592" t="s">
        <v>6402</v>
      </c>
      <c r="I277" s="520" t="s">
        <v>11650</v>
      </c>
      <c r="J277" s="421" t="s">
        <v>753</v>
      </c>
      <c r="K277" s="520" t="s">
        <v>741</v>
      </c>
    </row>
    <row r="278" spans="1:11" s="196" customFormat="1">
      <c r="A278" s="421"/>
      <c r="B278" s="151" t="s">
        <v>6403</v>
      </c>
      <c r="C278" s="209">
        <v>218</v>
      </c>
      <c r="D278" s="244">
        <f t="shared" si="44"/>
        <v>52.957689044776117</v>
      </c>
      <c r="E278" s="228"/>
      <c r="F278" s="585">
        <f t="shared" si="45"/>
        <v>52.96</v>
      </c>
      <c r="G278" s="338" t="s">
        <v>6404</v>
      </c>
      <c r="H278" s="592" t="s">
        <v>6405</v>
      </c>
      <c r="I278" s="520" t="s">
        <v>11650</v>
      </c>
      <c r="J278" s="421" t="s">
        <v>753</v>
      </c>
      <c r="K278" s="520" t="s">
        <v>741</v>
      </c>
    </row>
    <row r="279" spans="1:11" s="196" customFormat="1">
      <c r="A279" s="421"/>
      <c r="B279" s="151" t="s">
        <v>6406</v>
      </c>
      <c r="C279" s="209">
        <v>218</v>
      </c>
      <c r="D279" s="244">
        <f t="shared" si="44"/>
        <v>52.957689044776117</v>
      </c>
      <c r="E279" s="228"/>
      <c r="F279" s="585">
        <f t="shared" si="45"/>
        <v>52.96</v>
      </c>
      <c r="G279" s="338" t="s">
        <v>6407</v>
      </c>
      <c r="H279" s="592" t="s">
        <v>6408</v>
      </c>
      <c r="I279" s="520" t="s">
        <v>11650</v>
      </c>
      <c r="J279" s="421" t="s">
        <v>753</v>
      </c>
      <c r="K279" s="520" t="s">
        <v>741</v>
      </c>
    </row>
    <row r="280" spans="1:11" s="194" customFormat="1">
      <c r="A280" s="421"/>
      <c r="B280" s="151"/>
      <c r="C280" s="209" t="s">
        <v>2058</v>
      </c>
      <c r="D280" s="244"/>
      <c r="E280" s="228"/>
      <c r="F280" s="585"/>
      <c r="G280" s="338"/>
      <c r="H280" s="592"/>
      <c r="I280" s="520"/>
      <c r="J280" s="421"/>
      <c r="K280" s="520"/>
    </row>
    <row r="281" spans="1:11" s="194" customFormat="1">
      <c r="A281" s="421"/>
      <c r="B281" s="151" t="s">
        <v>6409</v>
      </c>
      <c r="C281" s="209">
        <v>229</v>
      </c>
      <c r="D281" s="244">
        <f t="shared" ref="D281:D289" si="46">C281*(1-VLOOKUP(I281,descuentos,6,FALSE))*fcl/IF(dol_sol="dólar", TC,1)</f>
        <v>55.629866014925362</v>
      </c>
      <c r="E281" s="228"/>
      <c r="F281" s="585">
        <f t="shared" ref="F281:F289" si="47">ROUNDUP(D281+E281,2)</f>
        <v>55.629999999999995</v>
      </c>
      <c r="G281" s="338" t="s">
        <v>6410</v>
      </c>
      <c r="H281" s="592" t="s">
        <v>6411</v>
      </c>
      <c r="I281" s="520" t="s">
        <v>11650</v>
      </c>
      <c r="J281" s="421" t="s">
        <v>753</v>
      </c>
      <c r="K281" s="520" t="s">
        <v>741</v>
      </c>
    </row>
    <row r="282" spans="1:11" s="194" customFormat="1">
      <c r="A282" s="421"/>
      <c r="B282" s="151" t="s">
        <v>6412</v>
      </c>
      <c r="C282" s="209">
        <v>188</v>
      </c>
      <c r="D282" s="244">
        <f t="shared" si="46"/>
        <v>45.669933671641786</v>
      </c>
      <c r="E282" s="228"/>
      <c r="F282" s="585">
        <f t="shared" si="47"/>
        <v>45.669999999999995</v>
      </c>
      <c r="G282" s="338" t="s">
        <v>6413</v>
      </c>
      <c r="H282" s="592" t="s">
        <v>6414</v>
      </c>
      <c r="I282" s="520" t="s">
        <v>11650</v>
      </c>
      <c r="J282" s="421" t="s">
        <v>753</v>
      </c>
      <c r="K282" s="520" t="s">
        <v>741</v>
      </c>
    </row>
    <row r="283" spans="1:11" s="194" customFormat="1">
      <c r="A283" s="421"/>
      <c r="B283" s="151" t="s">
        <v>6415</v>
      </c>
      <c r="C283" s="209">
        <v>188</v>
      </c>
      <c r="D283" s="244">
        <f t="shared" si="46"/>
        <v>45.669933671641786</v>
      </c>
      <c r="E283" s="228"/>
      <c r="F283" s="585">
        <f t="shared" si="47"/>
        <v>45.669999999999995</v>
      </c>
      <c r="G283" s="338" t="s">
        <v>6416</v>
      </c>
      <c r="H283" s="592" t="s">
        <v>6417</v>
      </c>
      <c r="I283" s="520" t="s">
        <v>11650</v>
      </c>
      <c r="J283" s="421" t="s">
        <v>753</v>
      </c>
      <c r="K283" s="520" t="s">
        <v>741</v>
      </c>
    </row>
    <row r="284" spans="1:11" s="194" customFormat="1">
      <c r="A284" s="421"/>
      <c r="B284" s="151" t="s">
        <v>6418</v>
      </c>
      <c r="C284" s="209">
        <v>188</v>
      </c>
      <c r="D284" s="244">
        <f t="shared" si="46"/>
        <v>45.669933671641786</v>
      </c>
      <c r="E284" s="228"/>
      <c r="F284" s="585">
        <f t="shared" si="47"/>
        <v>45.669999999999995</v>
      </c>
      <c r="G284" s="338" t="s">
        <v>6419</v>
      </c>
      <c r="H284" s="592" t="s">
        <v>6420</v>
      </c>
      <c r="I284" s="520" t="s">
        <v>11650</v>
      </c>
      <c r="J284" s="421" t="s">
        <v>753</v>
      </c>
      <c r="K284" s="520" t="s">
        <v>741</v>
      </c>
    </row>
    <row r="285" spans="1:11" s="194" customFormat="1">
      <c r="A285" s="421"/>
      <c r="B285" s="151" t="s">
        <v>6421</v>
      </c>
      <c r="C285" s="209">
        <v>188</v>
      </c>
      <c r="D285" s="244">
        <f t="shared" si="46"/>
        <v>45.669933671641786</v>
      </c>
      <c r="E285" s="228"/>
      <c r="F285" s="585">
        <f t="shared" si="47"/>
        <v>45.669999999999995</v>
      </c>
      <c r="G285" s="338" t="s">
        <v>6422</v>
      </c>
      <c r="H285" s="592" t="s">
        <v>6423</v>
      </c>
      <c r="I285" s="520" t="s">
        <v>11650</v>
      </c>
      <c r="J285" s="421" t="s">
        <v>753</v>
      </c>
      <c r="K285" s="520" t="s">
        <v>741</v>
      </c>
    </row>
    <row r="286" spans="1:11" s="194" customFormat="1">
      <c r="A286" s="421"/>
      <c r="B286" s="151" t="s">
        <v>6424</v>
      </c>
      <c r="C286" s="209">
        <v>188</v>
      </c>
      <c r="D286" s="244">
        <f t="shared" si="46"/>
        <v>45.669933671641786</v>
      </c>
      <c r="E286" s="228"/>
      <c r="F286" s="585">
        <f t="shared" si="47"/>
        <v>45.669999999999995</v>
      </c>
      <c r="G286" s="338" t="s">
        <v>6425</v>
      </c>
      <c r="H286" s="592" t="s">
        <v>6426</v>
      </c>
      <c r="I286" s="520" t="s">
        <v>11650</v>
      </c>
      <c r="J286" s="421" t="s">
        <v>753</v>
      </c>
      <c r="K286" s="520" t="s">
        <v>741</v>
      </c>
    </row>
    <row r="287" spans="1:11" s="196" customFormat="1">
      <c r="A287" s="421"/>
      <c r="B287" s="151" t="s">
        <v>6427</v>
      </c>
      <c r="C287" s="209">
        <v>272</v>
      </c>
      <c r="D287" s="244">
        <f t="shared" si="46"/>
        <v>66.075648716417888</v>
      </c>
      <c r="E287" s="228"/>
      <c r="F287" s="585">
        <f t="shared" si="47"/>
        <v>66.08</v>
      </c>
      <c r="G287" s="338" t="s">
        <v>6428</v>
      </c>
      <c r="H287" s="592" t="s">
        <v>6429</v>
      </c>
      <c r="I287" s="520" t="s">
        <v>11650</v>
      </c>
      <c r="J287" s="421" t="s">
        <v>753</v>
      </c>
      <c r="K287" s="520" t="s">
        <v>741</v>
      </c>
    </row>
    <row r="288" spans="1:11" s="196" customFormat="1">
      <c r="A288" s="1655"/>
      <c r="B288" s="151" t="s">
        <v>6430</v>
      </c>
      <c r="C288" s="209">
        <v>272</v>
      </c>
      <c r="D288" s="244">
        <f t="shared" si="46"/>
        <v>66.075648716417888</v>
      </c>
      <c r="E288" s="228"/>
      <c r="F288" s="585">
        <f t="shared" si="47"/>
        <v>66.08</v>
      </c>
      <c r="G288" s="338" t="s">
        <v>6431</v>
      </c>
      <c r="H288" s="592" t="s">
        <v>6432</v>
      </c>
      <c r="I288" s="520" t="s">
        <v>11650</v>
      </c>
      <c r="J288" s="421" t="s">
        <v>753</v>
      </c>
      <c r="K288" s="520" t="s">
        <v>741</v>
      </c>
    </row>
    <row r="289" spans="1:11" s="196" customFormat="1">
      <c r="A289" s="1655"/>
      <c r="B289" s="151" t="s">
        <v>6433</v>
      </c>
      <c r="C289" s="209">
        <v>272</v>
      </c>
      <c r="D289" s="244">
        <f t="shared" si="46"/>
        <v>66.075648716417888</v>
      </c>
      <c r="E289" s="228"/>
      <c r="F289" s="585">
        <f t="shared" si="47"/>
        <v>66.08</v>
      </c>
      <c r="G289" s="338" t="s">
        <v>6434</v>
      </c>
      <c r="H289" s="592" t="s">
        <v>6435</v>
      </c>
      <c r="I289" s="520" t="s">
        <v>11650</v>
      </c>
      <c r="J289" s="421" t="s">
        <v>753</v>
      </c>
      <c r="K289" s="520" t="s">
        <v>741</v>
      </c>
    </row>
    <row r="290" spans="1:11" s="194" customFormat="1">
      <c r="A290" s="421"/>
      <c r="B290" s="151"/>
      <c r="C290" s="209" t="s">
        <v>2058</v>
      </c>
      <c r="D290" s="244"/>
      <c r="E290" s="228"/>
      <c r="F290" s="585"/>
      <c r="G290" s="338"/>
      <c r="H290" s="592"/>
      <c r="I290" s="520"/>
      <c r="J290" s="421"/>
      <c r="K290" s="520"/>
    </row>
    <row r="291" spans="1:11" s="194" customFormat="1">
      <c r="A291" s="421"/>
      <c r="B291" s="151"/>
      <c r="C291" s="209" t="s">
        <v>2058</v>
      </c>
      <c r="D291" s="244"/>
      <c r="E291" s="228"/>
      <c r="F291" s="585"/>
      <c r="G291" s="338"/>
      <c r="H291" s="592"/>
      <c r="I291" s="520"/>
      <c r="J291" s="421"/>
      <c r="K291" s="520"/>
    </row>
    <row r="292" spans="1:11" s="194" customFormat="1">
      <c r="A292" s="421"/>
      <c r="B292" s="151" t="s">
        <v>6436</v>
      </c>
      <c r="C292" s="209">
        <v>46</v>
      </c>
      <c r="D292" s="244">
        <f t="shared" ref="D292:D298" si="48">C292*(1-VLOOKUP(I292,descuentos,6,FALSE))*fcl/IF(dol_sol="dólar", TC,1)</f>
        <v>11.174558238805968</v>
      </c>
      <c r="E292" s="228"/>
      <c r="F292" s="585">
        <f t="shared" ref="F292:F307" si="49">ROUNDUP(D292+E292,2)</f>
        <v>11.18</v>
      </c>
      <c r="G292" s="338" t="s">
        <v>6437</v>
      </c>
      <c r="H292" s="592" t="s">
        <v>6438</v>
      </c>
      <c r="I292" s="520" t="s">
        <v>11650</v>
      </c>
      <c r="J292" s="421" t="s">
        <v>753</v>
      </c>
      <c r="K292" s="520" t="s">
        <v>741</v>
      </c>
    </row>
    <row r="293" spans="1:11" s="194" customFormat="1">
      <c r="A293" s="421"/>
      <c r="B293" s="151" t="s">
        <v>6439</v>
      </c>
      <c r="C293" s="209">
        <v>46</v>
      </c>
      <c r="D293" s="244">
        <f t="shared" si="48"/>
        <v>11.174558238805968</v>
      </c>
      <c r="E293" s="228"/>
      <c r="F293" s="585">
        <f t="shared" si="49"/>
        <v>11.18</v>
      </c>
      <c r="G293" s="338" t="s">
        <v>6440</v>
      </c>
      <c r="H293" s="592" t="s">
        <v>6441</v>
      </c>
      <c r="I293" s="520" t="s">
        <v>11650</v>
      </c>
      <c r="J293" s="421" t="s">
        <v>753</v>
      </c>
      <c r="K293" s="520" t="s">
        <v>741</v>
      </c>
    </row>
    <row r="294" spans="1:11" s="194" customFormat="1">
      <c r="A294" s="421"/>
      <c r="B294" s="151" t="s">
        <v>6442</v>
      </c>
      <c r="C294" s="209">
        <v>46</v>
      </c>
      <c r="D294" s="244">
        <f t="shared" si="48"/>
        <v>11.174558238805968</v>
      </c>
      <c r="E294" s="228"/>
      <c r="F294" s="585">
        <f t="shared" si="49"/>
        <v>11.18</v>
      </c>
      <c r="G294" s="338" t="s">
        <v>6443</v>
      </c>
      <c r="H294" s="592" t="s">
        <v>6444</v>
      </c>
      <c r="I294" s="520" t="s">
        <v>11650</v>
      </c>
      <c r="J294" s="421" t="s">
        <v>753</v>
      </c>
      <c r="K294" s="520" t="s">
        <v>741</v>
      </c>
    </row>
    <row r="295" spans="1:11" s="194" customFormat="1">
      <c r="A295" s="421"/>
      <c r="B295" s="151" t="s">
        <v>6445</v>
      </c>
      <c r="C295" s="209">
        <v>46</v>
      </c>
      <c r="D295" s="244">
        <f t="shared" si="48"/>
        <v>11.174558238805968</v>
      </c>
      <c r="E295" s="228"/>
      <c r="F295" s="585">
        <f t="shared" si="49"/>
        <v>11.18</v>
      </c>
      <c r="G295" s="338" t="s">
        <v>6446</v>
      </c>
      <c r="H295" s="592" t="s">
        <v>6447</v>
      </c>
      <c r="I295" s="520" t="s">
        <v>11650</v>
      </c>
      <c r="J295" s="421" t="s">
        <v>753</v>
      </c>
      <c r="K295" s="520" t="s">
        <v>741</v>
      </c>
    </row>
    <row r="296" spans="1:11" s="196" customFormat="1">
      <c r="A296" s="421"/>
      <c r="B296" s="151" t="s">
        <v>6448</v>
      </c>
      <c r="C296" s="209">
        <v>65</v>
      </c>
      <c r="D296" s="244">
        <f t="shared" si="48"/>
        <v>15.790136641791044</v>
      </c>
      <c r="E296" s="228"/>
      <c r="F296" s="585">
        <f t="shared" si="49"/>
        <v>15.799999999999999</v>
      </c>
      <c r="G296" s="338" t="s">
        <v>6449</v>
      </c>
      <c r="H296" s="592" t="s">
        <v>6450</v>
      </c>
      <c r="I296" s="520" t="s">
        <v>11650</v>
      </c>
      <c r="J296" s="421" t="s">
        <v>753</v>
      </c>
      <c r="K296" s="520" t="s">
        <v>741</v>
      </c>
    </row>
    <row r="297" spans="1:11" s="196" customFormat="1">
      <c r="A297" s="421"/>
      <c r="B297" s="151" t="s">
        <v>6451</v>
      </c>
      <c r="C297" s="209">
        <v>65</v>
      </c>
      <c r="D297" s="244">
        <f t="shared" si="48"/>
        <v>15.790136641791044</v>
      </c>
      <c r="E297" s="228"/>
      <c r="F297" s="585">
        <f t="shared" si="49"/>
        <v>15.799999999999999</v>
      </c>
      <c r="G297" s="338" t="s">
        <v>6452</v>
      </c>
      <c r="H297" s="592" t="s">
        <v>6453</v>
      </c>
      <c r="I297" s="520" t="s">
        <v>11650</v>
      </c>
      <c r="J297" s="421" t="s">
        <v>753</v>
      </c>
      <c r="K297" s="520" t="s">
        <v>741</v>
      </c>
    </row>
    <row r="298" spans="1:11" s="196" customFormat="1">
      <c r="A298" s="421"/>
      <c r="B298" s="151" t="s">
        <v>6454</v>
      </c>
      <c r="C298" s="209">
        <v>65</v>
      </c>
      <c r="D298" s="244">
        <f t="shared" si="48"/>
        <v>15.790136641791044</v>
      </c>
      <c r="E298" s="228"/>
      <c r="F298" s="585">
        <f t="shared" si="49"/>
        <v>15.799999999999999</v>
      </c>
      <c r="G298" s="338" t="s">
        <v>6455</v>
      </c>
      <c r="H298" s="592" t="s">
        <v>6456</v>
      </c>
      <c r="I298" s="520" t="s">
        <v>11650</v>
      </c>
      <c r="J298" s="421" t="s">
        <v>753</v>
      </c>
      <c r="K298" s="520" t="s">
        <v>741</v>
      </c>
    </row>
    <row r="299" spans="1:11" s="196" customFormat="1">
      <c r="A299" s="421"/>
      <c r="B299" s="151"/>
      <c r="C299" s="209" t="s">
        <v>2058</v>
      </c>
      <c r="D299" s="244"/>
      <c r="E299" s="228"/>
      <c r="F299" s="585"/>
      <c r="G299" s="338"/>
      <c r="H299" s="592"/>
      <c r="I299" s="520"/>
      <c r="J299" s="421"/>
      <c r="K299" s="520"/>
    </row>
    <row r="300" spans="1:11" s="194" customFormat="1">
      <c r="A300" s="421"/>
      <c r="B300" s="151" t="s">
        <v>11234</v>
      </c>
      <c r="C300" s="209">
        <v>84</v>
      </c>
      <c r="D300" s="244">
        <f t="shared" ref="D300" si="50">C300*(1-VLOOKUP(I300,descuentos,6,FALSE))*fcl/IF(dol_sol="dólar", TC,1)</f>
        <v>20.405715044776116</v>
      </c>
      <c r="E300" s="228"/>
      <c r="F300" s="585">
        <f t="shared" si="49"/>
        <v>20.41</v>
      </c>
      <c r="G300" s="338" t="s">
        <v>11235</v>
      </c>
      <c r="H300" s="592" t="s">
        <v>11236</v>
      </c>
      <c r="I300" s="520" t="s">
        <v>11650</v>
      </c>
      <c r="J300" s="421" t="s">
        <v>753</v>
      </c>
      <c r="K300" s="520" t="s">
        <v>741</v>
      </c>
    </row>
    <row r="301" spans="1:11" s="194" customFormat="1">
      <c r="A301" s="421"/>
      <c r="B301" s="151" t="s">
        <v>6457</v>
      </c>
      <c r="C301" s="209">
        <v>84</v>
      </c>
      <c r="D301" s="244">
        <f t="shared" ref="D301:D307" si="51">C301*(1-VLOOKUP(I301,descuentos,6,FALSE))*fcl/IF(dol_sol="dólar", TC,1)</f>
        <v>20.405715044776116</v>
      </c>
      <c r="E301" s="228"/>
      <c r="F301" s="585">
        <f t="shared" si="49"/>
        <v>20.41</v>
      </c>
      <c r="G301" s="338" t="s">
        <v>6458</v>
      </c>
      <c r="H301" s="592" t="s">
        <v>5468</v>
      </c>
      <c r="I301" s="520" t="s">
        <v>11650</v>
      </c>
      <c r="J301" s="421" t="s">
        <v>753</v>
      </c>
      <c r="K301" s="520" t="s">
        <v>741</v>
      </c>
    </row>
    <row r="302" spans="1:11" s="194" customFormat="1">
      <c r="A302" s="421"/>
      <c r="B302" s="151" t="s">
        <v>6459</v>
      </c>
      <c r="C302" s="209">
        <v>84</v>
      </c>
      <c r="D302" s="244">
        <f t="shared" si="51"/>
        <v>20.405715044776116</v>
      </c>
      <c r="E302" s="228"/>
      <c r="F302" s="585">
        <f t="shared" si="49"/>
        <v>20.41</v>
      </c>
      <c r="G302" s="338" t="s">
        <v>6460</v>
      </c>
      <c r="H302" s="592" t="s">
        <v>5471</v>
      </c>
      <c r="I302" s="520" t="s">
        <v>11650</v>
      </c>
      <c r="J302" s="421" t="s">
        <v>753</v>
      </c>
      <c r="K302" s="520" t="s">
        <v>741</v>
      </c>
    </row>
    <row r="303" spans="1:11" s="194" customFormat="1">
      <c r="A303" s="421"/>
      <c r="B303" s="151" t="s">
        <v>6461</v>
      </c>
      <c r="C303" s="209">
        <v>84</v>
      </c>
      <c r="D303" s="244">
        <f t="shared" si="51"/>
        <v>20.405715044776116</v>
      </c>
      <c r="E303" s="228"/>
      <c r="F303" s="585">
        <f t="shared" si="49"/>
        <v>20.41</v>
      </c>
      <c r="G303" s="338" t="s">
        <v>6462</v>
      </c>
      <c r="H303" s="592" t="s">
        <v>5474</v>
      </c>
      <c r="I303" s="520" t="s">
        <v>11650</v>
      </c>
      <c r="J303" s="421" t="s">
        <v>753</v>
      </c>
      <c r="K303" s="520" t="s">
        <v>741</v>
      </c>
    </row>
    <row r="304" spans="1:11" s="194" customFormat="1">
      <c r="A304" s="421"/>
      <c r="B304" s="151" t="s">
        <v>6463</v>
      </c>
      <c r="C304" s="209">
        <v>84</v>
      </c>
      <c r="D304" s="244">
        <f t="shared" si="51"/>
        <v>20.405715044776116</v>
      </c>
      <c r="E304" s="228"/>
      <c r="F304" s="585">
        <f t="shared" si="49"/>
        <v>20.41</v>
      </c>
      <c r="G304" s="338" t="s">
        <v>6464</v>
      </c>
      <c r="H304" s="592" t="s">
        <v>5477</v>
      </c>
      <c r="I304" s="520" t="s">
        <v>11650</v>
      </c>
      <c r="J304" s="421" t="s">
        <v>753</v>
      </c>
      <c r="K304" s="520" t="s">
        <v>741</v>
      </c>
    </row>
    <row r="305" spans="1:11" s="196" customFormat="1">
      <c r="A305" s="421"/>
      <c r="B305" s="151" t="s">
        <v>6465</v>
      </c>
      <c r="C305" s="209">
        <v>115.8</v>
      </c>
      <c r="D305" s="244">
        <f t="shared" si="51"/>
        <v>28.130735740298501</v>
      </c>
      <c r="E305" s="228"/>
      <c r="F305" s="585">
        <f t="shared" si="49"/>
        <v>28.14</v>
      </c>
      <c r="G305" s="338" t="s">
        <v>6466</v>
      </c>
      <c r="H305" s="592" t="s">
        <v>5480</v>
      </c>
      <c r="I305" s="520" t="s">
        <v>11650</v>
      </c>
      <c r="J305" s="421" t="s">
        <v>753</v>
      </c>
      <c r="K305" s="520" t="s">
        <v>741</v>
      </c>
    </row>
    <row r="306" spans="1:11" s="196" customFormat="1">
      <c r="A306" s="421"/>
      <c r="B306" s="151" t="s">
        <v>6467</v>
      </c>
      <c r="C306" s="209">
        <v>115.8</v>
      </c>
      <c r="D306" s="244">
        <f t="shared" si="51"/>
        <v>28.130735740298501</v>
      </c>
      <c r="E306" s="228"/>
      <c r="F306" s="585">
        <f t="shared" si="49"/>
        <v>28.14</v>
      </c>
      <c r="G306" s="338" t="s">
        <v>6468</v>
      </c>
      <c r="H306" s="592" t="s">
        <v>5483</v>
      </c>
      <c r="I306" s="520" t="s">
        <v>11650</v>
      </c>
      <c r="J306" s="421" t="s">
        <v>753</v>
      </c>
      <c r="K306" s="520" t="s">
        <v>741</v>
      </c>
    </row>
    <row r="307" spans="1:11" s="196" customFormat="1">
      <c r="A307" s="421"/>
      <c r="B307" s="151" t="s">
        <v>6469</v>
      </c>
      <c r="C307" s="209">
        <v>115.8</v>
      </c>
      <c r="D307" s="244">
        <f t="shared" si="51"/>
        <v>28.130735740298501</v>
      </c>
      <c r="E307" s="228"/>
      <c r="F307" s="585">
        <f t="shared" si="49"/>
        <v>28.14</v>
      </c>
      <c r="G307" s="338" t="s">
        <v>6470</v>
      </c>
      <c r="H307" s="592" t="s">
        <v>5486</v>
      </c>
      <c r="I307" s="520" t="s">
        <v>11650</v>
      </c>
      <c r="J307" s="421" t="s">
        <v>753</v>
      </c>
      <c r="K307" s="520" t="s">
        <v>741</v>
      </c>
    </row>
    <row r="308" spans="1:11" s="341" customFormat="1">
      <c r="A308" s="421"/>
      <c r="B308" s="151"/>
      <c r="C308" s="209" t="s">
        <v>2058</v>
      </c>
      <c r="D308" s="244"/>
      <c r="E308" s="228"/>
      <c r="F308" s="585"/>
      <c r="G308" s="338"/>
      <c r="H308" s="592"/>
      <c r="I308" s="520"/>
      <c r="J308" s="421"/>
      <c r="K308" s="520"/>
    </row>
    <row r="309" spans="1:11" s="194" customFormat="1">
      <c r="A309" s="421"/>
      <c r="B309" s="151" t="s">
        <v>11237</v>
      </c>
      <c r="C309" s="209">
        <v>132.19999999999999</v>
      </c>
      <c r="D309" s="244">
        <f t="shared" ref="D309" si="52">C309*(1-VLOOKUP(I309,descuentos,6,FALSE))*fcl/IF(dol_sol="dólar", TC,1)</f>
        <v>32.114708677611929</v>
      </c>
      <c r="E309" s="228"/>
      <c r="F309" s="585">
        <f t="shared" ref="F309:F316" si="53">ROUNDUP(D309+E309,2)</f>
        <v>32.119999999999997</v>
      </c>
      <c r="G309" s="338" t="s">
        <v>11238</v>
      </c>
      <c r="H309" s="592" t="s">
        <v>5489</v>
      </c>
      <c r="I309" s="520" t="s">
        <v>11650</v>
      </c>
      <c r="J309" s="421" t="s">
        <v>753</v>
      </c>
      <c r="K309" s="520" t="s">
        <v>741</v>
      </c>
    </row>
    <row r="310" spans="1:11" s="194" customFormat="1">
      <c r="A310" s="421"/>
      <c r="B310" s="151" t="s">
        <v>6471</v>
      </c>
      <c r="C310" s="209">
        <v>132.19999999999999</v>
      </c>
      <c r="D310" s="244">
        <f t="shared" ref="D310:D316" si="54">C310*(1-VLOOKUP(I310,descuentos,6,FALSE))*fcl/IF(dol_sol="dólar", TC,1)</f>
        <v>32.114708677611929</v>
      </c>
      <c r="E310" s="228"/>
      <c r="F310" s="585">
        <f t="shared" si="53"/>
        <v>32.119999999999997</v>
      </c>
      <c r="G310" s="338" t="s">
        <v>6472</v>
      </c>
      <c r="H310" s="592" t="s">
        <v>5492</v>
      </c>
      <c r="I310" s="520" t="s">
        <v>11650</v>
      </c>
      <c r="J310" s="421" t="s">
        <v>753</v>
      </c>
      <c r="K310" s="520" t="s">
        <v>741</v>
      </c>
    </row>
    <row r="311" spans="1:11" s="194" customFormat="1">
      <c r="A311" s="421"/>
      <c r="B311" s="151" t="s">
        <v>6473</v>
      </c>
      <c r="C311" s="209">
        <v>132.19999999999999</v>
      </c>
      <c r="D311" s="244">
        <f t="shared" si="54"/>
        <v>32.114708677611929</v>
      </c>
      <c r="E311" s="228"/>
      <c r="F311" s="585">
        <f t="shared" si="53"/>
        <v>32.119999999999997</v>
      </c>
      <c r="G311" s="338" t="s">
        <v>6474</v>
      </c>
      <c r="H311" s="592" t="s">
        <v>5495</v>
      </c>
      <c r="I311" s="520" t="s">
        <v>11650</v>
      </c>
      <c r="J311" s="421" t="s">
        <v>753</v>
      </c>
      <c r="K311" s="520" t="s">
        <v>741</v>
      </c>
    </row>
    <row r="312" spans="1:11" s="194" customFormat="1">
      <c r="A312" s="421"/>
      <c r="B312" s="151" t="s">
        <v>6475</v>
      </c>
      <c r="C312" s="209">
        <v>132.19999999999999</v>
      </c>
      <c r="D312" s="244">
        <f t="shared" si="54"/>
        <v>32.114708677611929</v>
      </c>
      <c r="E312" s="228"/>
      <c r="F312" s="585">
        <f t="shared" si="53"/>
        <v>32.119999999999997</v>
      </c>
      <c r="G312" s="338" t="s">
        <v>6476</v>
      </c>
      <c r="H312" s="592" t="s">
        <v>5498</v>
      </c>
      <c r="I312" s="520" t="s">
        <v>11650</v>
      </c>
      <c r="J312" s="421" t="s">
        <v>753</v>
      </c>
      <c r="K312" s="520" t="s">
        <v>741</v>
      </c>
    </row>
    <row r="313" spans="1:11" s="194" customFormat="1">
      <c r="A313" s="421"/>
      <c r="B313" s="151" t="s">
        <v>6477</v>
      </c>
      <c r="C313" s="209">
        <v>132.19999999999999</v>
      </c>
      <c r="D313" s="244">
        <f t="shared" si="54"/>
        <v>32.114708677611929</v>
      </c>
      <c r="E313" s="228"/>
      <c r="F313" s="585">
        <f t="shared" si="53"/>
        <v>32.119999999999997</v>
      </c>
      <c r="G313" s="338" t="s">
        <v>6478</v>
      </c>
      <c r="H313" s="592" t="s">
        <v>5501</v>
      </c>
      <c r="I313" s="520" t="s">
        <v>11650</v>
      </c>
      <c r="J313" s="421" t="s">
        <v>753</v>
      </c>
      <c r="K313" s="520" t="s">
        <v>741</v>
      </c>
    </row>
    <row r="314" spans="1:11" s="196" customFormat="1">
      <c r="A314" s="421"/>
      <c r="B314" s="151" t="s">
        <v>6479</v>
      </c>
      <c r="C314" s="209">
        <v>186.79999999999998</v>
      </c>
      <c r="D314" s="244">
        <f t="shared" si="54"/>
        <v>45.378423456716412</v>
      </c>
      <c r="E314" s="228"/>
      <c r="F314" s="585">
        <f t="shared" si="53"/>
        <v>45.379999999999995</v>
      </c>
      <c r="G314" s="338" t="s">
        <v>6480</v>
      </c>
      <c r="H314" s="592" t="s">
        <v>5504</v>
      </c>
      <c r="I314" s="520" t="s">
        <v>11650</v>
      </c>
      <c r="J314" s="421" t="s">
        <v>753</v>
      </c>
      <c r="K314" s="520" t="s">
        <v>741</v>
      </c>
    </row>
    <row r="315" spans="1:11" s="196" customFormat="1">
      <c r="A315" s="421"/>
      <c r="B315" s="151" t="s">
        <v>6481</v>
      </c>
      <c r="C315" s="209">
        <v>186.79999999999998</v>
      </c>
      <c r="D315" s="244">
        <f t="shared" si="54"/>
        <v>45.378423456716412</v>
      </c>
      <c r="E315" s="228"/>
      <c r="F315" s="585">
        <f t="shared" si="53"/>
        <v>45.379999999999995</v>
      </c>
      <c r="G315" s="338" t="s">
        <v>6482</v>
      </c>
      <c r="H315" s="592" t="s">
        <v>5507</v>
      </c>
      <c r="I315" s="520" t="s">
        <v>11650</v>
      </c>
      <c r="J315" s="421" t="s">
        <v>753</v>
      </c>
      <c r="K315" s="520" t="s">
        <v>741</v>
      </c>
    </row>
    <row r="316" spans="1:11" s="196" customFormat="1">
      <c r="A316" s="421"/>
      <c r="B316" s="151" t="s">
        <v>6483</v>
      </c>
      <c r="C316" s="209">
        <v>186.79999999999998</v>
      </c>
      <c r="D316" s="244">
        <f t="shared" si="54"/>
        <v>45.378423456716412</v>
      </c>
      <c r="E316" s="228"/>
      <c r="F316" s="585">
        <f t="shared" si="53"/>
        <v>45.379999999999995</v>
      </c>
      <c r="G316" s="338" t="s">
        <v>6484</v>
      </c>
      <c r="H316" s="592" t="s">
        <v>5510</v>
      </c>
      <c r="I316" s="520" t="s">
        <v>11650</v>
      </c>
      <c r="J316" s="421" t="s">
        <v>753</v>
      </c>
      <c r="K316" s="520" t="s">
        <v>741</v>
      </c>
    </row>
    <row r="317" spans="1:11" s="196" customFormat="1">
      <c r="A317" s="421"/>
      <c r="B317" s="151"/>
      <c r="C317" s="209" t="s">
        <v>2058</v>
      </c>
      <c r="D317" s="244"/>
      <c r="E317" s="228"/>
      <c r="F317" s="585"/>
      <c r="G317" s="338"/>
      <c r="H317" s="592"/>
      <c r="I317" s="520"/>
      <c r="J317" s="421"/>
      <c r="K317" s="520"/>
    </row>
    <row r="318" spans="1:11" s="341" customFormat="1">
      <c r="A318" s="421"/>
      <c r="B318" s="338"/>
      <c r="C318" s="209" t="s">
        <v>2058</v>
      </c>
      <c r="D318" s="244"/>
      <c r="E318" s="228"/>
      <c r="F318" s="585"/>
      <c r="G318" s="338"/>
      <c r="H318" s="592"/>
      <c r="I318" s="520"/>
      <c r="J318" s="421"/>
      <c r="K318" s="520"/>
    </row>
    <row r="319" spans="1:11" s="341" customFormat="1">
      <c r="A319" s="421"/>
      <c r="B319" s="342" t="s">
        <v>1419</v>
      </c>
      <c r="C319" s="209">
        <v>291</v>
      </c>
      <c r="D319" s="244">
        <f>C319*(1-VLOOKUP(I319,descuentos,6,FALSE))*fcl/IF(dol_sol="dólar", TC,1)</f>
        <v>70.691227119402981</v>
      </c>
      <c r="E319" s="228">
        <v>0</v>
      </c>
      <c r="F319" s="585">
        <f t="shared" ref="F319:F326" si="55">ROUNDUP(D319+E319,2)</f>
        <v>70.7</v>
      </c>
      <c r="G319" s="338" t="s">
        <v>5460</v>
      </c>
      <c r="H319" s="2013" t="s">
        <v>1429</v>
      </c>
      <c r="I319" s="520" t="s">
        <v>11650</v>
      </c>
      <c r="J319" s="421" t="s">
        <v>753</v>
      </c>
      <c r="K319" s="520" t="s">
        <v>741</v>
      </c>
    </row>
    <row r="320" spans="1:11" s="341" customFormat="1">
      <c r="A320" s="421"/>
      <c r="B320" s="342" t="s">
        <v>1421</v>
      </c>
      <c r="C320" s="209">
        <v>245</v>
      </c>
      <c r="D320" s="244">
        <f>C320*(1-VLOOKUP(I320,descuentos,6,FALSE))*fcl/IF(dol_sol="dólar", TC,1)</f>
        <v>59.51666888059701</v>
      </c>
      <c r="E320" s="228">
        <v>0</v>
      </c>
      <c r="F320" s="585">
        <f t="shared" si="55"/>
        <v>59.519999999999996</v>
      </c>
      <c r="G320" s="338" t="s">
        <v>5461</v>
      </c>
      <c r="H320" s="2013" t="s">
        <v>1430</v>
      </c>
      <c r="I320" s="520" t="s">
        <v>11650</v>
      </c>
      <c r="J320" s="421" t="s">
        <v>753</v>
      </c>
      <c r="K320" s="520" t="s">
        <v>741</v>
      </c>
    </row>
    <row r="321" spans="1:11" s="341" customFormat="1">
      <c r="A321" s="421"/>
      <c r="B321" s="338"/>
      <c r="C321" s="209" t="s">
        <v>2058</v>
      </c>
      <c r="D321" s="244"/>
      <c r="E321" s="228"/>
      <c r="F321" s="585">
        <f t="shared" si="55"/>
        <v>0</v>
      </c>
      <c r="G321" s="338"/>
      <c r="H321" s="592"/>
      <c r="I321" s="520"/>
      <c r="J321" s="421"/>
      <c r="K321" s="520"/>
    </row>
    <row r="322" spans="1:11" s="341" customFormat="1">
      <c r="A322" s="421"/>
      <c r="B322" s="342" t="s">
        <v>1425</v>
      </c>
      <c r="C322" s="209">
        <v>336</v>
      </c>
      <c r="D322" s="244">
        <f>C322*(1-VLOOKUP(I322,descuentos,6,FALSE))*fcl/IF(dol_sol="dólar", TC,1)</f>
        <v>81.622860179104464</v>
      </c>
      <c r="E322" s="228">
        <v>0</v>
      </c>
      <c r="F322" s="585">
        <f t="shared" si="55"/>
        <v>81.63000000000001</v>
      </c>
      <c r="G322" s="338" t="s">
        <v>5462</v>
      </c>
      <c r="H322" s="2013" t="s">
        <v>1427</v>
      </c>
      <c r="I322" s="520" t="s">
        <v>11650</v>
      </c>
      <c r="J322" s="421" t="s">
        <v>753</v>
      </c>
      <c r="K322" s="520" t="s">
        <v>741</v>
      </c>
    </row>
    <row r="323" spans="1:11" s="341" customFormat="1">
      <c r="A323" s="421"/>
      <c r="B323" s="342" t="s">
        <v>1426</v>
      </c>
      <c r="C323" s="209">
        <v>280</v>
      </c>
      <c r="D323" s="244">
        <f>C323*(1-VLOOKUP(I323,descuentos,6,FALSE))*fcl/IF(dol_sol="dólar", TC,1)</f>
        <v>68.019050149253729</v>
      </c>
      <c r="E323" s="228">
        <v>0</v>
      </c>
      <c r="F323" s="585">
        <f t="shared" si="55"/>
        <v>68.02000000000001</v>
      </c>
      <c r="G323" s="338" t="s">
        <v>5463</v>
      </c>
      <c r="H323" s="2013" t="s">
        <v>1428</v>
      </c>
      <c r="I323" s="520" t="s">
        <v>11650</v>
      </c>
      <c r="J323" s="421" t="s">
        <v>753</v>
      </c>
      <c r="K323" s="520" t="s">
        <v>741</v>
      </c>
    </row>
    <row r="324" spans="1:11" s="341" customFormat="1">
      <c r="A324" s="421"/>
      <c r="B324" s="338"/>
      <c r="C324" s="209" t="s">
        <v>2058</v>
      </c>
      <c r="D324" s="244"/>
      <c r="E324" s="228"/>
      <c r="F324" s="585"/>
      <c r="G324" s="338"/>
      <c r="H324" s="592"/>
      <c r="I324" s="520"/>
      <c r="J324" s="421"/>
      <c r="K324" s="520"/>
    </row>
    <row r="325" spans="1:11" s="341" customFormat="1">
      <c r="A325" s="421"/>
      <c r="B325" s="338" t="s">
        <v>1423</v>
      </c>
      <c r="C325" s="209">
        <v>556</v>
      </c>
      <c r="D325" s="244">
        <f>C325*(1-VLOOKUP(I325,descuentos,6,FALSE))*fcl/IF(dol_sol="dólar", TC,1)</f>
        <v>135.06639958208953</v>
      </c>
      <c r="E325" s="228">
        <v>0</v>
      </c>
      <c r="F325" s="585">
        <f t="shared" si="55"/>
        <v>135.07</v>
      </c>
      <c r="G325" s="338" t="s">
        <v>5464</v>
      </c>
      <c r="H325" s="2013" t="s">
        <v>1420</v>
      </c>
      <c r="I325" s="520" t="s">
        <v>11650</v>
      </c>
      <c r="J325" s="421" t="s">
        <v>753</v>
      </c>
      <c r="K325" s="520" t="s">
        <v>741</v>
      </c>
    </row>
    <row r="326" spans="1:11" s="341" customFormat="1">
      <c r="A326" s="421"/>
      <c r="B326" s="338" t="s">
        <v>1424</v>
      </c>
      <c r="C326" s="209">
        <v>463</v>
      </c>
      <c r="D326" s="244">
        <f>C326*(1-VLOOKUP(I326,descuentos,6,FALSE))*fcl/IF(dol_sol="dólar", TC,1)</f>
        <v>112.47435792537311</v>
      </c>
      <c r="E326" s="228">
        <v>0</v>
      </c>
      <c r="F326" s="585">
        <f t="shared" si="55"/>
        <v>112.48</v>
      </c>
      <c r="G326" s="338" t="s">
        <v>5465</v>
      </c>
      <c r="H326" s="2013" t="s">
        <v>1422</v>
      </c>
      <c r="I326" s="520" t="s">
        <v>11650</v>
      </c>
      <c r="J326" s="421" t="s">
        <v>753</v>
      </c>
      <c r="K326" s="520" t="s">
        <v>741</v>
      </c>
    </row>
    <row r="327" spans="1:11" s="341" customFormat="1">
      <c r="A327" s="421"/>
      <c r="B327" s="338"/>
      <c r="C327" s="209" t="s">
        <v>2058</v>
      </c>
      <c r="D327" s="244"/>
      <c r="E327" s="228"/>
      <c r="F327" s="585"/>
      <c r="G327" s="338"/>
      <c r="H327" s="592"/>
      <c r="I327" s="520"/>
      <c r="J327" s="421"/>
      <c r="K327" s="520"/>
    </row>
    <row r="328" spans="1:11" s="341" customFormat="1">
      <c r="A328" s="1170"/>
      <c r="B328" s="151" t="s">
        <v>5466</v>
      </c>
      <c r="C328" s="209">
        <v>84</v>
      </c>
      <c r="D328" s="244">
        <f t="shared" ref="D328:D334" si="56">C328*(1-VLOOKUP(I328,descuentos,6,FALSE))*fcl/IF(dol_sol="dólar", TC,1)</f>
        <v>20.405715044776116</v>
      </c>
      <c r="E328" s="228">
        <v>0</v>
      </c>
      <c r="F328" s="585">
        <f t="shared" ref="F328:F334" si="57">ROUNDUP(D328+E328,2)</f>
        <v>20.41</v>
      </c>
      <c r="G328" s="338" t="s">
        <v>5467</v>
      </c>
      <c r="H328" s="592" t="s">
        <v>5468</v>
      </c>
      <c r="I328" s="520" t="s">
        <v>11650</v>
      </c>
      <c r="J328" s="421" t="s">
        <v>753</v>
      </c>
      <c r="K328" s="520" t="s">
        <v>741</v>
      </c>
    </row>
    <row r="329" spans="1:11" s="341" customFormat="1">
      <c r="A329" s="1170"/>
      <c r="B329" s="151" t="s">
        <v>5469</v>
      </c>
      <c r="C329" s="209">
        <v>84</v>
      </c>
      <c r="D329" s="244">
        <f t="shared" si="56"/>
        <v>20.405715044776116</v>
      </c>
      <c r="E329" s="228">
        <v>0</v>
      </c>
      <c r="F329" s="585">
        <f t="shared" si="57"/>
        <v>20.41</v>
      </c>
      <c r="G329" s="338" t="s">
        <v>5470</v>
      </c>
      <c r="H329" s="592" t="s">
        <v>5471</v>
      </c>
      <c r="I329" s="520" t="s">
        <v>11650</v>
      </c>
      <c r="J329" s="421" t="s">
        <v>753</v>
      </c>
      <c r="K329" s="520" t="s">
        <v>741</v>
      </c>
    </row>
    <row r="330" spans="1:11" s="341" customFormat="1">
      <c r="A330" s="1170"/>
      <c r="B330" s="151" t="s">
        <v>5472</v>
      </c>
      <c r="C330" s="209">
        <v>84</v>
      </c>
      <c r="D330" s="244">
        <f t="shared" si="56"/>
        <v>20.405715044776116</v>
      </c>
      <c r="E330" s="228">
        <v>0</v>
      </c>
      <c r="F330" s="585">
        <f t="shared" si="57"/>
        <v>20.41</v>
      </c>
      <c r="G330" s="338" t="s">
        <v>5473</v>
      </c>
      <c r="H330" s="592" t="s">
        <v>5474</v>
      </c>
      <c r="I330" s="520" t="s">
        <v>11650</v>
      </c>
      <c r="J330" s="421" t="s">
        <v>753</v>
      </c>
      <c r="K330" s="520" t="s">
        <v>741</v>
      </c>
    </row>
    <row r="331" spans="1:11" s="341" customFormat="1">
      <c r="A331" s="1170"/>
      <c r="B331" s="151" t="s">
        <v>5475</v>
      </c>
      <c r="C331" s="209">
        <v>84</v>
      </c>
      <c r="D331" s="244">
        <f t="shared" si="56"/>
        <v>20.405715044776116</v>
      </c>
      <c r="E331" s="228">
        <v>0</v>
      </c>
      <c r="F331" s="585">
        <f t="shared" si="57"/>
        <v>20.41</v>
      </c>
      <c r="G331" s="338" t="s">
        <v>5476</v>
      </c>
      <c r="H331" s="592" t="s">
        <v>5477</v>
      </c>
      <c r="I331" s="520" t="s">
        <v>11650</v>
      </c>
      <c r="J331" s="421" t="s">
        <v>753</v>
      </c>
      <c r="K331" s="520" t="s">
        <v>741</v>
      </c>
    </row>
    <row r="332" spans="1:11" s="341" customFormat="1">
      <c r="A332" s="1170"/>
      <c r="B332" s="151" t="s">
        <v>5478</v>
      </c>
      <c r="C332" s="209">
        <v>115.8</v>
      </c>
      <c r="D332" s="244">
        <f t="shared" si="56"/>
        <v>28.130735740298501</v>
      </c>
      <c r="E332" s="228">
        <v>0</v>
      </c>
      <c r="F332" s="585">
        <f t="shared" si="57"/>
        <v>28.14</v>
      </c>
      <c r="G332" s="338" t="s">
        <v>5479</v>
      </c>
      <c r="H332" s="592" t="s">
        <v>5480</v>
      </c>
      <c r="I332" s="520" t="s">
        <v>11650</v>
      </c>
      <c r="J332" s="421" t="s">
        <v>753</v>
      </c>
      <c r="K332" s="520" t="s">
        <v>741</v>
      </c>
    </row>
    <row r="333" spans="1:11" s="341" customFormat="1">
      <c r="A333" s="1170"/>
      <c r="B333" s="151" t="s">
        <v>5481</v>
      </c>
      <c r="C333" s="209">
        <v>115.8</v>
      </c>
      <c r="D333" s="244">
        <f t="shared" si="56"/>
        <v>28.130735740298501</v>
      </c>
      <c r="E333" s="228">
        <v>0</v>
      </c>
      <c r="F333" s="585">
        <f t="shared" si="57"/>
        <v>28.14</v>
      </c>
      <c r="G333" s="338" t="s">
        <v>5482</v>
      </c>
      <c r="H333" s="592" t="s">
        <v>5483</v>
      </c>
      <c r="I333" s="520" t="s">
        <v>11650</v>
      </c>
      <c r="J333" s="421" t="s">
        <v>753</v>
      </c>
      <c r="K333" s="520" t="s">
        <v>741</v>
      </c>
    </row>
    <row r="334" spans="1:11" s="341" customFormat="1">
      <c r="A334" s="1170"/>
      <c r="B334" s="151" t="s">
        <v>5484</v>
      </c>
      <c r="C334" s="209">
        <v>115.8</v>
      </c>
      <c r="D334" s="244">
        <f t="shared" si="56"/>
        <v>28.130735740298501</v>
      </c>
      <c r="E334" s="228">
        <v>0</v>
      </c>
      <c r="F334" s="585">
        <f t="shared" si="57"/>
        <v>28.14</v>
      </c>
      <c r="G334" s="338" t="s">
        <v>5485</v>
      </c>
      <c r="H334" s="592" t="s">
        <v>5486</v>
      </c>
      <c r="I334" s="520" t="s">
        <v>11650</v>
      </c>
      <c r="J334" s="421" t="s">
        <v>753</v>
      </c>
      <c r="K334" s="520" t="s">
        <v>741</v>
      </c>
    </row>
    <row r="335" spans="1:11" s="341" customFormat="1">
      <c r="A335" s="1170"/>
      <c r="B335" s="338"/>
      <c r="C335" s="209" t="s">
        <v>2058</v>
      </c>
      <c r="D335" s="244"/>
      <c r="E335" s="228"/>
      <c r="F335" s="585"/>
      <c r="G335" s="338"/>
      <c r="H335" s="592"/>
      <c r="I335" s="520"/>
      <c r="J335" s="421"/>
      <c r="K335" s="520"/>
    </row>
    <row r="336" spans="1:11" s="341" customFormat="1">
      <c r="A336" s="1170"/>
      <c r="B336" s="338"/>
      <c r="C336" s="209" t="s">
        <v>2058</v>
      </c>
      <c r="D336" s="244"/>
      <c r="E336" s="228"/>
      <c r="F336" s="585">
        <f t="shared" ref="F336:F344" si="58">ROUNDUP(D336+E336,2)</f>
        <v>0</v>
      </c>
      <c r="G336" s="338"/>
      <c r="H336" s="592"/>
      <c r="I336" s="520"/>
      <c r="J336" s="421"/>
      <c r="K336" s="520"/>
    </row>
    <row r="337" spans="1:11" s="341" customFormat="1">
      <c r="A337" s="1170"/>
      <c r="B337" s="151" t="s">
        <v>5487</v>
      </c>
      <c r="C337" s="209">
        <v>132.19999999999999</v>
      </c>
      <c r="D337" s="244">
        <f t="shared" ref="D337:D344" si="59">C337*(1-VLOOKUP(I337,descuentos,6,FALSE))*fcl/IF(dol_sol="dólar", TC,1)</f>
        <v>32.114708677611929</v>
      </c>
      <c r="E337" s="228">
        <v>0</v>
      </c>
      <c r="F337" s="585">
        <f t="shared" si="58"/>
        <v>32.119999999999997</v>
      </c>
      <c r="G337" s="338" t="s">
        <v>5488</v>
      </c>
      <c r="H337" s="592" t="s">
        <v>5489</v>
      </c>
      <c r="I337" s="520" t="s">
        <v>11650</v>
      </c>
      <c r="J337" s="421" t="s">
        <v>753</v>
      </c>
      <c r="K337" s="520" t="s">
        <v>741</v>
      </c>
    </row>
    <row r="338" spans="1:11" s="341" customFormat="1">
      <c r="A338" s="1170"/>
      <c r="B338" s="151" t="s">
        <v>5490</v>
      </c>
      <c r="C338" s="209">
        <v>132.19999999999999</v>
      </c>
      <c r="D338" s="244">
        <f t="shared" si="59"/>
        <v>32.114708677611929</v>
      </c>
      <c r="E338" s="228">
        <v>0</v>
      </c>
      <c r="F338" s="585">
        <f t="shared" si="58"/>
        <v>32.119999999999997</v>
      </c>
      <c r="G338" s="338" t="s">
        <v>5491</v>
      </c>
      <c r="H338" s="592" t="s">
        <v>5492</v>
      </c>
      <c r="I338" s="520" t="s">
        <v>11650</v>
      </c>
      <c r="J338" s="421" t="s">
        <v>753</v>
      </c>
      <c r="K338" s="520" t="s">
        <v>741</v>
      </c>
    </row>
    <row r="339" spans="1:11" s="341" customFormat="1">
      <c r="A339" s="1170"/>
      <c r="B339" s="151" t="s">
        <v>5493</v>
      </c>
      <c r="C339" s="209">
        <v>132.19999999999999</v>
      </c>
      <c r="D339" s="244">
        <f t="shared" si="59"/>
        <v>32.114708677611929</v>
      </c>
      <c r="E339" s="228">
        <v>0</v>
      </c>
      <c r="F339" s="585">
        <f t="shared" si="58"/>
        <v>32.119999999999997</v>
      </c>
      <c r="G339" s="338" t="s">
        <v>5494</v>
      </c>
      <c r="H339" s="592" t="s">
        <v>5495</v>
      </c>
      <c r="I339" s="520" t="s">
        <v>11650</v>
      </c>
      <c r="J339" s="421" t="s">
        <v>753</v>
      </c>
      <c r="K339" s="520" t="s">
        <v>741</v>
      </c>
    </row>
    <row r="340" spans="1:11" s="341" customFormat="1">
      <c r="A340" s="1170"/>
      <c r="B340" s="151" t="s">
        <v>5496</v>
      </c>
      <c r="C340" s="209">
        <v>132.19999999999999</v>
      </c>
      <c r="D340" s="244">
        <f t="shared" si="59"/>
        <v>32.114708677611929</v>
      </c>
      <c r="E340" s="228">
        <v>0</v>
      </c>
      <c r="F340" s="585">
        <f t="shared" si="58"/>
        <v>32.119999999999997</v>
      </c>
      <c r="G340" s="338" t="s">
        <v>5497</v>
      </c>
      <c r="H340" s="592" t="s">
        <v>5498</v>
      </c>
      <c r="I340" s="520" t="s">
        <v>11650</v>
      </c>
      <c r="J340" s="421" t="s">
        <v>753</v>
      </c>
      <c r="K340" s="520" t="s">
        <v>741</v>
      </c>
    </row>
    <row r="341" spans="1:11" s="341" customFormat="1">
      <c r="A341" s="1170"/>
      <c r="B341" s="151" t="s">
        <v>5499</v>
      </c>
      <c r="C341" s="209">
        <v>132.19999999999999</v>
      </c>
      <c r="D341" s="244">
        <f t="shared" si="59"/>
        <v>32.114708677611929</v>
      </c>
      <c r="E341" s="228">
        <v>0</v>
      </c>
      <c r="F341" s="585">
        <f t="shared" si="58"/>
        <v>32.119999999999997</v>
      </c>
      <c r="G341" s="338" t="s">
        <v>5500</v>
      </c>
      <c r="H341" s="592" t="s">
        <v>5501</v>
      </c>
      <c r="I341" s="520" t="s">
        <v>11650</v>
      </c>
      <c r="J341" s="421" t="s">
        <v>753</v>
      </c>
      <c r="K341" s="520" t="s">
        <v>741</v>
      </c>
    </row>
    <row r="342" spans="1:11" s="341" customFormat="1">
      <c r="A342" s="1170"/>
      <c r="B342" s="151" t="s">
        <v>5502</v>
      </c>
      <c r="C342" s="209">
        <v>186.79999999999998</v>
      </c>
      <c r="D342" s="244">
        <f t="shared" si="59"/>
        <v>45.378423456716412</v>
      </c>
      <c r="E342" s="228">
        <v>0</v>
      </c>
      <c r="F342" s="585">
        <f t="shared" si="58"/>
        <v>45.379999999999995</v>
      </c>
      <c r="G342" s="338" t="s">
        <v>5503</v>
      </c>
      <c r="H342" s="592" t="s">
        <v>5504</v>
      </c>
      <c r="I342" s="520" t="s">
        <v>11650</v>
      </c>
      <c r="J342" s="421" t="s">
        <v>753</v>
      </c>
      <c r="K342" s="520" t="s">
        <v>741</v>
      </c>
    </row>
    <row r="343" spans="1:11" s="341" customFormat="1">
      <c r="A343" s="1170"/>
      <c r="B343" s="151" t="s">
        <v>5505</v>
      </c>
      <c r="C343" s="209">
        <v>186.79999999999998</v>
      </c>
      <c r="D343" s="244">
        <f t="shared" si="59"/>
        <v>45.378423456716412</v>
      </c>
      <c r="E343" s="228">
        <v>0</v>
      </c>
      <c r="F343" s="585">
        <f t="shared" si="58"/>
        <v>45.379999999999995</v>
      </c>
      <c r="G343" s="338" t="s">
        <v>5506</v>
      </c>
      <c r="H343" s="592" t="s">
        <v>5507</v>
      </c>
      <c r="I343" s="520" t="s">
        <v>11650</v>
      </c>
      <c r="J343" s="421" t="s">
        <v>753</v>
      </c>
      <c r="K343" s="520" t="s">
        <v>741</v>
      </c>
    </row>
    <row r="344" spans="1:11" s="341" customFormat="1">
      <c r="A344" s="1170"/>
      <c r="B344" s="151" t="s">
        <v>5508</v>
      </c>
      <c r="C344" s="209">
        <v>186.79999999999998</v>
      </c>
      <c r="D344" s="244">
        <f t="shared" si="59"/>
        <v>45.378423456716412</v>
      </c>
      <c r="E344" s="228">
        <v>0</v>
      </c>
      <c r="F344" s="585">
        <f t="shared" si="58"/>
        <v>45.379999999999995</v>
      </c>
      <c r="G344" s="338" t="s">
        <v>5509</v>
      </c>
      <c r="H344" s="592" t="s">
        <v>5510</v>
      </c>
      <c r="I344" s="520" t="s">
        <v>11650</v>
      </c>
      <c r="J344" s="421" t="s">
        <v>753</v>
      </c>
      <c r="K344" s="520" t="s">
        <v>741</v>
      </c>
    </row>
    <row r="345" spans="1:11" s="341" customFormat="1">
      <c r="A345" s="421"/>
      <c r="B345" s="338"/>
      <c r="C345" s="209" t="s">
        <v>2058</v>
      </c>
      <c r="D345" s="244"/>
      <c r="E345" s="228"/>
      <c r="F345" s="585"/>
      <c r="G345" s="338"/>
      <c r="H345" s="592"/>
      <c r="I345" s="520"/>
      <c r="J345" s="421"/>
      <c r="K345" s="520"/>
    </row>
    <row r="346" spans="1:11" s="341" customFormat="1">
      <c r="A346" s="421"/>
      <c r="B346" s="338"/>
      <c r="C346" s="209" t="s">
        <v>2058</v>
      </c>
      <c r="D346" s="244"/>
      <c r="E346" s="228"/>
      <c r="F346" s="585"/>
      <c r="G346" s="338"/>
      <c r="H346" s="592"/>
      <c r="I346" s="520"/>
      <c r="J346" s="421"/>
      <c r="K346" s="520"/>
    </row>
    <row r="347" spans="1:11" s="341" customFormat="1">
      <c r="A347" s="421"/>
      <c r="B347" s="621" t="s">
        <v>2028</v>
      </c>
      <c r="C347" s="209" t="s">
        <v>2058</v>
      </c>
      <c r="D347" s="244"/>
      <c r="E347" s="228"/>
      <c r="F347" s="585">
        <f t="shared" ref="F347:F438" si="60">ROUNDUP(D347+E347,2)</f>
        <v>0</v>
      </c>
      <c r="G347" s="338"/>
      <c r="H347" s="592"/>
      <c r="I347" s="520"/>
      <c r="J347" s="421"/>
      <c r="K347" s="520"/>
    </row>
    <row r="348" spans="1:11" s="341" customFormat="1">
      <c r="A348" s="421"/>
      <c r="B348" s="338"/>
      <c r="C348" s="209" t="s">
        <v>2058</v>
      </c>
      <c r="D348" s="244"/>
      <c r="E348" s="228"/>
      <c r="F348" s="585">
        <f t="shared" si="60"/>
        <v>0</v>
      </c>
      <c r="G348" s="338"/>
      <c r="H348" s="592"/>
      <c r="I348" s="520"/>
      <c r="J348" s="421"/>
      <c r="K348" s="520"/>
    </row>
    <row r="349" spans="1:11" s="341" customFormat="1">
      <c r="A349" s="421"/>
      <c r="B349" s="338" t="s">
        <v>1109</v>
      </c>
      <c r="C349" s="209">
        <v>88.1</v>
      </c>
      <c r="D349" s="244">
        <f>C349*(1-VLOOKUP(I349,descuentos,6,FALSE))*fcl/IF(dol_sol="dólar", TC,1)</f>
        <v>21.401708279104476</v>
      </c>
      <c r="E349" s="228">
        <v>3</v>
      </c>
      <c r="F349" s="585">
        <f t="shared" si="60"/>
        <v>24.41</v>
      </c>
      <c r="G349" s="338" t="s">
        <v>2029</v>
      </c>
      <c r="H349" s="592" t="s">
        <v>1110</v>
      </c>
      <c r="I349" s="520" t="s">
        <v>11650</v>
      </c>
      <c r="J349" s="421" t="s">
        <v>753</v>
      </c>
      <c r="K349" s="520" t="s">
        <v>741</v>
      </c>
    </row>
    <row r="350" spans="1:11" s="341" customFormat="1">
      <c r="A350" s="421"/>
      <c r="B350" s="338" t="s">
        <v>1111</v>
      </c>
      <c r="C350" s="209">
        <v>109.39999999999999</v>
      </c>
      <c r="D350" s="244">
        <f>C350*(1-VLOOKUP(I350,descuentos,6,FALSE))*fcl/IF(dol_sol="dólar", TC,1)</f>
        <v>26.576014594029846</v>
      </c>
      <c r="E350" s="228">
        <v>3</v>
      </c>
      <c r="F350" s="585">
        <f t="shared" si="60"/>
        <v>29.580000000000002</v>
      </c>
      <c r="G350" s="338" t="s">
        <v>2030</v>
      </c>
      <c r="H350" s="592" t="s">
        <v>1113</v>
      </c>
      <c r="I350" s="520" t="s">
        <v>11650</v>
      </c>
      <c r="J350" s="421" t="s">
        <v>753</v>
      </c>
      <c r="K350" s="520" t="s">
        <v>741</v>
      </c>
    </row>
    <row r="351" spans="1:11" s="341" customFormat="1">
      <c r="A351" s="421"/>
      <c r="B351" s="338" t="s">
        <v>1112</v>
      </c>
      <c r="C351" s="209">
        <v>138</v>
      </c>
      <c r="D351" s="244">
        <f>C351*(1-VLOOKUP(I351,descuentos,6,FALSE))*fcl/IF(dol_sol="dólar", TC,1)</f>
        <v>33.523674716417908</v>
      </c>
      <c r="E351" s="228">
        <v>3</v>
      </c>
      <c r="F351" s="585">
        <f t="shared" si="60"/>
        <v>36.53</v>
      </c>
      <c r="G351" s="338" t="s">
        <v>2031</v>
      </c>
      <c r="H351" s="592" t="s">
        <v>1114</v>
      </c>
      <c r="I351" s="520" t="s">
        <v>11650</v>
      </c>
      <c r="J351" s="421" t="s">
        <v>753</v>
      </c>
      <c r="K351" s="520" t="s">
        <v>741</v>
      </c>
    </row>
    <row r="352" spans="1:11" s="341" customFormat="1">
      <c r="A352" s="421"/>
      <c r="B352" s="338"/>
      <c r="C352" s="209" t="s">
        <v>2058</v>
      </c>
      <c r="D352" s="244"/>
      <c r="E352" s="228"/>
      <c r="F352" s="585">
        <f t="shared" si="60"/>
        <v>0</v>
      </c>
      <c r="G352" s="338"/>
      <c r="H352" s="592"/>
      <c r="I352" s="520"/>
      <c r="J352" s="421"/>
      <c r="K352" s="520"/>
    </row>
    <row r="353" spans="1:11" s="341" customFormat="1">
      <c r="A353" s="421"/>
      <c r="B353" s="338" t="s">
        <v>1438</v>
      </c>
      <c r="C353" s="209">
        <v>205.9</v>
      </c>
      <c r="D353" s="244">
        <f>C353*(1-VLOOKUP(I353,descuentos,6,FALSE))*fcl/IF(dol_sol="dólar", TC,1)</f>
        <v>50.018294377611937</v>
      </c>
      <c r="E353" s="228">
        <v>3</v>
      </c>
      <c r="F353" s="585">
        <f t="shared" si="60"/>
        <v>53.019999999999996</v>
      </c>
      <c r="G353" s="338" t="s">
        <v>2032</v>
      </c>
      <c r="H353" s="592" t="s">
        <v>1439</v>
      </c>
      <c r="I353" s="520" t="s">
        <v>11650</v>
      </c>
      <c r="J353" s="421" t="s">
        <v>753</v>
      </c>
      <c r="K353" s="520" t="s">
        <v>741</v>
      </c>
    </row>
    <row r="354" spans="1:11" s="341" customFormat="1">
      <c r="A354" s="421"/>
      <c r="B354" s="338" t="s">
        <v>1440</v>
      </c>
      <c r="C354" s="209">
        <v>211.2</v>
      </c>
      <c r="D354" s="244">
        <f>C354*(1-VLOOKUP(I354,descuentos,6,FALSE))*fcl/IF(dol_sol="dólar", TC,1)</f>
        <v>51.305797826865664</v>
      </c>
      <c r="E354" s="228">
        <v>3</v>
      </c>
      <c r="F354" s="585">
        <f t="shared" si="60"/>
        <v>54.309999999999995</v>
      </c>
      <c r="G354" s="338" t="s">
        <v>2033</v>
      </c>
      <c r="H354" s="592" t="s">
        <v>1441</v>
      </c>
      <c r="I354" s="520" t="s">
        <v>11650</v>
      </c>
      <c r="J354" s="421" t="s">
        <v>753</v>
      </c>
      <c r="K354" s="520" t="s">
        <v>741</v>
      </c>
    </row>
    <row r="355" spans="1:11" s="341" customFormat="1">
      <c r="A355" s="421"/>
      <c r="B355" s="338"/>
      <c r="C355" s="209" t="s">
        <v>2058</v>
      </c>
      <c r="D355" s="244"/>
      <c r="E355" s="228"/>
      <c r="F355" s="585">
        <f t="shared" si="60"/>
        <v>0</v>
      </c>
      <c r="G355" s="338"/>
      <c r="H355" s="592"/>
      <c r="I355" s="520"/>
      <c r="J355" s="421"/>
      <c r="K355" s="520"/>
    </row>
    <row r="356" spans="1:11" s="341" customFormat="1">
      <c r="A356" s="421"/>
      <c r="B356" s="338"/>
      <c r="C356" s="209" t="s">
        <v>2058</v>
      </c>
      <c r="D356" s="244"/>
      <c r="E356" s="228"/>
      <c r="F356" s="585">
        <f t="shared" si="60"/>
        <v>0</v>
      </c>
      <c r="G356" s="338"/>
      <c r="H356" s="592"/>
      <c r="I356" s="520"/>
      <c r="J356" s="421"/>
      <c r="K356" s="520"/>
    </row>
    <row r="357" spans="1:11" s="341" customFormat="1">
      <c r="A357" s="421"/>
      <c r="B357" s="338" t="s">
        <v>1115</v>
      </c>
      <c r="C357" s="209">
        <v>227.2</v>
      </c>
      <c r="D357" s="244">
        <f>C357*(1-VLOOKUP(I357,descuentos,6,FALSE))*fcl/IF(dol_sol="dólar", TC,1)</f>
        <v>55.192600692537304</v>
      </c>
      <c r="E357" s="228">
        <v>6</v>
      </c>
      <c r="F357" s="585">
        <f t="shared" si="60"/>
        <v>61.199999999999996</v>
      </c>
      <c r="G357" s="338" t="s">
        <v>2034</v>
      </c>
      <c r="H357" s="592" t="s">
        <v>1118</v>
      </c>
      <c r="I357" s="520" t="s">
        <v>11650</v>
      </c>
      <c r="J357" s="421" t="s">
        <v>753</v>
      </c>
      <c r="K357" s="520" t="s">
        <v>741</v>
      </c>
    </row>
    <row r="358" spans="1:11" s="339" customFormat="1">
      <c r="A358" s="421"/>
      <c r="B358" s="338" t="s">
        <v>1116</v>
      </c>
      <c r="C358" s="209">
        <v>249.6</v>
      </c>
      <c r="D358" s="244">
        <f>C358*(1-VLOOKUP(I358,descuentos,6,FALSE))*fcl/IF(dol_sol="dólar", TC,1)</f>
        <v>60.634124704477607</v>
      </c>
      <c r="E358" s="228">
        <v>6</v>
      </c>
      <c r="F358" s="585">
        <f t="shared" si="60"/>
        <v>66.64</v>
      </c>
      <c r="G358" s="338" t="s">
        <v>2035</v>
      </c>
      <c r="H358" s="592" t="s">
        <v>1119</v>
      </c>
      <c r="I358" s="520" t="s">
        <v>11650</v>
      </c>
      <c r="J358" s="421" t="s">
        <v>753</v>
      </c>
      <c r="K358" s="520" t="s">
        <v>741</v>
      </c>
    </row>
    <row r="359" spans="1:11" s="341" customFormat="1">
      <c r="A359" s="421"/>
      <c r="B359" s="338" t="s">
        <v>1117</v>
      </c>
      <c r="C359" s="209">
        <v>284</v>
      </c>
      <c r="D359" s="244">
        <f>C359*(1-VLOOKUP(I359,descuentos,6,FALSE))*fcl/IF(dol_sol="dólar", TC,1)</f>
        <v>68.990750865671643</v>
      </c>
      <c r="E359" s="228">
        <v>6</v>
      </c>
      <c r="F359" s="585">
        <f t="shared" si="60"/>
        <v>75</v>
      </c>
      <c r="G359" s="338" t="s">
        <v>2036</v>
      </c>
      <c r="H359" s="592" t="s">
        <v>1120</v>
      </c>
      <c r="I359" s="520" t="s">
        <v>11650</v>
      </c>
      <c r="J359" s="421" t="s">
        <v>753</v>
      </c>
      <c r="K359" s="520" t="s">
        <v>741</v>
      </c>
    </row>
    <row r="360" spans="1:11" s="341" customFormat="1">
      <c r="A360" s="421"/>
      <c r="B360" s="338"/>
      <c r="C360" s="209" t="s">
        <v>2058</v>
      </c>
      <c r="D360" s="244"/>
      <c r="E360" s="228"/>
      <c r="F360" s="585">
        <f t="shared" si="60"/>
        <v>0</v>
      </c>
      <c r="G360" s="338"/>
      <c r="H360" s="592"/>
      <c r="I360" s="520"/>
      <c r="J360" s="421"/>
      <c r="K360" s="520"/>
    </row>
    <row r="361" spans="1:11" s="341" customFormat="1">
      <c r="A361" s="421"/>
      <c r="B361" s="338" t="s">
        <v>1121</v>
      </c>
      <c r="C361" s="209">
        <v>311.90000000000003</v>
      </c>
      <c r="D361" s="244">
        <f>C361*(1-VLOOKUP(I361,descuentos,6,FALSE))*fcl/IF(dol_sol="dólar", TC,1)</f>
        <v>75.768363362686571</v>
      </c>
      <c r="E361" s="228">
        <v>6</v>
      </c>
      <c r="F361" s="585">
        <f t="shared" si="60"/>
        <v>81.77000000000001</v>
      </c>
      <c r="G361" s="338" t="s">
        <v>2037</v>
      </c>
      <c r="H361" s="592" t="s">
        <v>1123</v>
      </c>
      <c r="I361" s="520" t="s">
        <v>11650</v>
      </c>
      <c r="J361" s="421" t="s">
        <v>753</v>
      </c>
      <c r="K361" s="520" t="s">
        <v>741</v>
      </c>
    </row>
    <row r="362" spans="1:11" s="341" customFormat="1">
      <c r="A362" s="421"/>
      <c r="B362" s="338" t="s">
        <v>1122</v>
      </c>
      <c r="C362" s="209">
        <v>357.6</v>
      </c>
      <c r="D362" s="244">
        <f>C362*(1-VLOOKUP(I362,descuentos,6,FALSE))*fcl/IF(dol_sol="dólar", TC,1)</f>
        <v>86.870044047761183</v>
      </c>
      <c r="E362" s="228">
        <v>6</v>
      </c>
      <c r="F362" s="585">
        <f t="shared" si="60"/>
        <v>92.88000000000001</v>
      </c>
      <c r="G362" s="338" t="s">
        <v>2038</v>
      </c>
      <c r="H362" s="592" t="s">
        <v>1124</v>
      </c>
      <c r="I362" s="520" t="s">
        <v>11650</v>
      </c>
      <c r="J362" s="421" t="s">
        <v>753</v>
      </c>
      <c r="K362" s="520" t="s">
        <v>741</v>
      </c>
    </row>
    <row r="363" spans="1:11" s="341" customFormat="1">
      <c r="A363" s="421"/>
      <c r="B363" s="338" t="s">
        <v>1442</v>
      </c>
      <c r="C363" s="248">
        <v>2395</v>
      </c>
      <c r="D363" s="244">
        <f>C363*(1-VLOOKUP(I363,descuentos,6,FALSE))*fcl/IF(dol_sol="dólar", TC,1)</f>
        <v>581.80580395522384</v>
      </c>
      <c r="E363" s="228">
        <v>6</v>
      </c>
      <c r="F363" s="585">
        <f t="shared" si="60"/>
        <v>587.80999999999995</v>
      </c>
      <c r="G363" s="338" t="s">
        <v>2039</v>
      </c>
      <c r="H363" s="592" t="s">
        <v>1443</v>
      </c>
      <c r="I363" s="520" t="s">
        <v>11650</v>
      </c>
      <c r="J363" s="421" t="s">
        <v>753</v>
      </c>
      <c r="K363" s="520" t="s">
        <v>741</v>
      </c>
    </row>
    <row r="364" spans="1:11" s="341" customFormat="1">
      <c r="A364" s="421"/>
      <c r="B364" s="338"/>
      <c r="C364" s="209" t="s">
        <v>2058</v>
      </c>
      <c r="D364" s="244"/>
      <c r="E364" s="228"/>
      <c r="F364" s="585"/>
      <c r="G364" s="338"/>
      <c r="H364" s="592"/>
      <c r="I364" s="520"/>
      <c r="J364" s="421"/>
      <c r="K364" s="520"/>
    </row>
    <row r="365" spans="1:11" s="35" customFormat="1">
      <c r="A365" s="523"/>
      <c r="B365" s="338"/>
      <c r="C365" s="209" t="s">
        <v>2058</v>
      </c>
      <c r="D365" s="244"/>
      <c r="E365" s="228"/>
      <c r="F365" s="585"/>
      <c r="G365" s="338"/>
      <c r="H365" s="592"/>
      <c r="I365" s="520"/>
      <c r="J365" s="421"/>
      <c r="K365" s="520"/>
    </row>
    <row r="366" spans="1:11" s="35" customFormat="1">
      <c r="A366" s="523"/>
      <c r="B366" s="621" t="s">
        <v>2040</v>
      </c>
      <c r="C366" s="209" t="s">
        <v>2058</v>
      </c>
      <c r="D366" s="244"/>
      <c r="E366" s="228"/>
      <c r="F366" s="585"/>
      <c r="G366" s="338"/>
      <c r="H366" s="592"/>
      <c r="I366" s="520"/>
      <c r="J366" s="421"/>
      <c r="K366" s="520"/>
    </row>
    <row r="367" spans="1:11" s="341" customFormat="1">
      <c r="A367" s="421"/>
      <c r="B367" s="621"/>
      <c r="C367" s="209" t="s">
        <v>2058</v>
      </c>
      <c r="D367" s="244"/>
      <c r="E367" s="228"/>
      <c r="F367" s="585"/>
      <c r="G367" s="338"/>
      <c r="H367" s="592"/>
      <c r="I367" s="520"/>
      <c r="J367" s="421"/>
      <c r="K367" s="520"/>
    </row>
    <row r="368" spans="1:11" s="341" customFormat="1">
      <c r="A368" s="421"/>
      <c r="B368" s="394" t="s">
        <v>2041</v>
      </c>
      <c r="C368" s="389">
        <v>198</v>
      </c>
      <c r="D368" s="388">
        <f>C368*(1-VLOOKUP(I368,descuentos,6,FALSE))*fcl/IF(dol_sol="dólar", TC,1)</f>
        <v>48.099185462686563</v>
      </c>
      <c r="E368" s="386">
        <v>3</v>
      </c>
      <c r="F368" s="582">
        <f t="shared" si="60"/>
        <v>51.1</v>
      </c>
      <c r="G368" s="394" t="s">
        <v>2042</v>
      </c>
      <c r="H368" s="592" t="s">
        <v>2043</v>
      </c>
      <c r="I368" s="520" t="s">
        <v>11650</v>
      </c>
      <c r="J368" s="421" t="s">
        <v>753</v>
      </c>
      <c r="K368" s="520" t="s">
        <v>741</v>
      </c>
    </row>
    <row r="369" spans="1:15" s="341" customFormat="1">
      <c r="A369" s="421"/>
      <c r="B369" s="394" t="s">
        <v>2044</v>
      </c>
      <c r="C369" s="389">
        <v>204</v>
      </c>
      <c r="D369" s="388">
        <f>C369*(1-VLOOKUP(I369,descuentos,6,FALSE))*fcl/IF(dol_sol="dólar", TC,1)</f>
        <v>49.556736537313427</v>
      </c>
      <c r="E369" s="386">
        <v>3</v>
      </c>
      <c r="F369" s="582">
        <f t="shared" si="60"/>
        <v>52.559999999999995</v>
      </c>
      <c r="G369" s="394" t="s">
        <v>2045</v>
      </c>
      <c r="H369" s="592" t="s">
        <v>2046</v>
      </c>
      <c r="I369" s="520" t="s">
        <v>11650</v>
      </c>
      <c r="J369" s="421" t="s">
        <v>753</v>
      </c>
      <c r="K369" s="520" t="s">
        <v>741</v>
      </c>
    </row>
    <row r="370" spans="1:15" s="341" customFormat="1">
      <c r="A370" s="421"/>
      <c r="B370" s="394" t="s">
        <v>2047</v>
      </c>
      <c r="C370" s="389">
        <v>207</v>
      </c>
      <c r="D370" s="388">
        <f>C370*(1-VLOOKUP(I370,descuentos,6,FALSE))*fcl/IF(dol_sol="dólar", TC,1)</f>
        <v>50.285512074626865</v>
      </c>
      <c r="E370" s="386">
        <v>3</v>
      </c>
      <c r="F370" s="582">
        <f t="shared" si="60"/>
        <v>53.29</v>
      </c>
      <c r="G370" s="394" t="s">
        <v>2048</v>
      </c>
      <c r="H370" s="592" t="s">
        <v>2049</v>
      </c>
      <c r="I370" s="520" t="s">
        <v>11650</v>
      </c>
      <c r="J370" s="421" t="s">
        <v>753</v>
      </c>
      <c r="K370" s="520" t="s">
        <v>741</v>
      </c>
    </row>
    <row r="371" spans="1:15" s="341" customFormat="1">
      <c r="A371" s="421"/>
      <c r="B371" s="338"/>
      <c r="C371" s="209" t="s">
        <v>2058</v>
      </c>
      <c r="D371" s="244"/>
      <c r="E371" s="228"/>
      <c r="F371" s="585">
        <f t="shared" si="60"/>
        <v>0</v>
      </c>
      <c r="G371" s="338"/>
      <c r="H371" s="592"/>
      <c r="I371" s="520"/>
      <c r="J371" s="421"/>
      <c r="K371" s="520"/>
    </row>
    <row r="372" spans="1:15" s="341" customFormat="1">
      <c r="A372" s="421"/>
      <c r="B372" s="394" t="s">
        <v>2050</v>
      </c>
      <c r="C372" s="389">
        <v>259</v>
      </c>
      <c r="D372" s="388">
        <f>C372*(1-VLOOKUP(I372,descuentos,6,FALSE))*fcl/IF(dol_sol="dólar", TC,1)</f>
        <v>62.917621388059693</v>
      </c>
      <c r="E372" s="386">
        <v>6</v>
      </c>
      <c r="F372" s="582">
        <f t="shared" si="60"/>
        <v>68.92</v>
      </c>
      <c r="G372" s="394" t="s">
        <v>2051</v>
      </c>
      <c r="H372" s="592" t="s">
        <v>2052</v>
      </c>
      <c r="I372" s="520" t="s">
        <v>11650</v>
      </c>
      <c r="J372" s="421" t="s">
        <v>753</v>
      </c>
      <c r="K372" s="520" t="s">
        <v>741</v>
      </c>
    </row>
    <row r="373" spans="1:15" s="341" customFormat="1">
      <c r="A373" s="421"/>
      <c r="B373" s="394" t="s">
        <v>2053</v>
      </c>
      <c r="C373" s="389">
        <v>272</v>
      </c>
      <c r="D373" s="388">
        <f>C373*(1-VLOOKUP(I373,descuentos,6,FALSE))*fcl/IF(dol_sol="dólar", TC,1)</f>
        <v>66.075648716417888</v>
      </c>
      <c r="E373" s="386">
        <v>6</v>
      </c>
      <c r="F373" s="582">
        <f t="shared" si="60"/>
        <v>72.08</v>
      </c>
      <c r="G373" s="394" t="s">
        <v>2054</v>
      </c>
      <c r="H373" s="592" t="s">
        <v>2055</v>
      </c>
      <c r="I373" s="520" t="s">
        <v>11650</v>
      </c>
      <c r="J373" s="421" t="s">
        <v>753</v>
      </c>
      <c r="K373" s="520" t="s">
        <v>741</v>
      </c>
    </row>
    <row r="374" spans="1:15" s="339" customFormat="1">
      <c r="A374" s="1170"/>
      <c r="B374" s="394" t="s">
        <v>2056</v>
      </c>
      <c r="C374" s="389">
        <v>642</v>
      </c>
      <c r="D374" s="388">
        <f>C374*(1-VLOOKUP(I374,descuentos,6,FALSE))*fcl/IF(dol_sol="dólar", TC,1)</f>
        <v>155.9579649850746</v>
      </c>
      <c r="E374" s="386">
        <v>6</v>
      </c>
      <c r="F374" s="582">
        <f t="shared" si="60"/>
        <v>161.95999999999998</v>
      </c>
      <c r="G374" s="394" t="s">
        <v>2057</v>
      </c>
      <c r="H374" s="592" t="s">
        <v>13587</v>
      </c>
      <c r="I374" s="520" t="s">
        <v>11650</v>
      </c>
      <c r="J374" s="421" t="s">
        <v>753</v>
      </c>
      <c r="K374" s="520" t="s">
        <v>741</v>
      </c>
    </row>
    <row r="375" spans="1:15" s="341" customFormat="1">
      <c r="A375" s="421"/>
      <c r="B375" s="394"/>
      <c r="C375" s="389" t="s">
        <v>2058</v>
      </c>
      <c r="D375" s="388"/>
      <c r="E375" s="386"/>
      <c r="F375" s="582">
        <f t="shared" si="60"/>
        <v>0</v>
      </c>
      <c r="G375" s="394"/>
      <c r="H375" s="592"/>
      <c r="I375" s="520"/>
      <c r="J375" s="421"/>
      <c r="K375" s="520"/>
    </row>
    <row r="376" spans="1:15" s="341" customFormat="1">
      <c r="A376" s="421"/>
      <c r="B376" s="394" t="s">
        <v>2059</v>
      </c>
      <c r="C376" s="389">
        <v>327</v>
      </c>
      <c r="D376" s="388">
        <f>C376*(1-VLOOKUP(I376,descuentos,6,FALSE))*fcl/IF(dol_sol="dólar", TC,1)</f>
        <v>79.436533567164162</v>
      </c>
      <c r="E376" s="386">
        <v>6</v>
      </c>
      <c r="F376" s="582">
        <f t="shared" si="60"/>
        <v>85.440000000000012</v>
      </c>
      <c r="G376" s="394" t="s">
        <v>2060</v>
      </c>
      <c r="H376" s="592" t="s">
        <v>2061</v>
      </c>
      <c r="I376" s="520" t="s">
        <v>11650</v>
      </c>
      <c r="J376" s="421" t="s">
        <v>753</v>
      </c>
      <c r="K376" s="520" t="s">
        <v>741</v>
      </c>
    </row>
    <row r="377" spans="1:15" s="341" customFormat="1">
      <c r="A377" s="421"/>
      <c r="B377" s="394" t="s">
        <v>2062</v>
      </c>
      <c r="C377" s="389">
        <v>404</v>
      </c>
      <c r="D377" s="388">
        <f>C377*(1-VLOOKUP(I377,descuentos,6,FALSE))*fcl/IF(dol_sol="dólar", TC,1)</f>
        <v>98.141772358208954</v>
      </c>
      <c r="E377" s="386">
        <v>6</v>
      </c>
      <c r="F377" s="582">
        <f t="shared" si="60"/>
        <v>104.15</v>
      </c>
      <c r="G377" s="394" t="s">
        <v>2063</v>
      </c>
      <c r="H377" s="592" t="s">
        <v>2064</v>
      </c>
      <c r="I377" s="520" t="s">
        <v>11650</v>
      </c>
      <c r="J377" s="421" t="s">
        <v>753</v>
      </c>
      <c r="K377" s="520" t="s">
        <v>741</v>
      </c>
    </row>
    <row r="378" spans="1:15" s="341" customFormat="1">
      <c r="A378" s="421"/>
      <c r="B378" s="338"/>
      <c r="C378" s="209" t="s">
        <v>2058</v>
      </c>
      <c r="D378" s="244"/>
      <c r="E378" s="228"/>
      <c r="F378" s="585"/>
      <c r="G378" s="338"/>
      <c r="H378" s="592"/>
      <c r="I378" s="520"/>
      <c r="J378" s="421"/>
      <c r="K378" s="520"/>
    </row>
    <row r="379" spans="1:15" s="341" customFormat="1">
      <c r="A379" s="421"/>
      <c r="B379" s="338"/>
      <c r="C379" s="209" t="s">
        <v>2058</v>
      </c>
      <c r="D379" s="244"/>
      <c r="E379" s="228"/>
      <c r="F379" s="585"/>
      <c r="G379" s="338"/>
      <c r="H379" s="592"/>
      <c r="I379" s="520"/>
      <c r="J379" s="421"/>
      <c r="K379" s="520"/>
    </row>
    <row r="380" spans="1:15" s="196" customFormat="1">
      <c r="A380" s="421"/>
      <c r="B380" s="621" t="s">
        <v>5511</v>
      </c>
      <c r="C380" s="209" t="s">
        <v>2058</v>
      </c>
      <c r="D380" s="244"/>
      <c r="E380" s="228"/>
      <c r="F380" s="585"/>
      <c r="G380" s="338"/>
      <c r="H380" s="592"/>
      <c r="I380" s="520"/>
      <c r="J380" s="421"/>
      <c r="K380" s="520"/>
      <c r="L380" s="203"/>
      <c r="M380" s="203"/>
      <c r="N380" s="203"/>
      <c r="O380" s="203"/>
    </row>
    <row r="381" spans="1:15" s="341" customFormat="1">
      <c r="A381" s="421"/>
      <c r="B381" s="338"/>
      <c r="C381" s="209" t="s">
        <v>2058</v>
      </c>
      <c r="D381" s="244"/>
      <c r="E381" s="228"/>
      <c r="F381" s="585"/>
      <c r="G381" s="338"/>
      <c r="H381" s="592"/>
      <c r="I381" s="520"/>
      <c r="J381" s="421"/>
      <c r="K381" s="520"/>
    </row>
    <row r="382" spans="1:15" s="341" customFormat="1">
      <c r="A382" s="1656"/>
      <c r="B382" s="1657" t="s">
        <v>5512</v>
      </c>
      <c r="C382" s="588">
        <v>160</v>
      </c>
      <c r="D382" s="244">
        <f>C382*(1-VLOOKUP(I382,descuentos,6,FALSE))*fcl/TC</f>
        <v>38.868028656716419</v>
      </c>
      <c r="E382" s="228">
        <v>3</v>
      </c>
      <c r="F382" s="585">
        <f t="shared" ref="F382:F388" si="61">ROUNDUP(D382+E382,1)</f>
        <v>41.9</v>
      </c>
      <c r="G382" s="338" t="s">
        <v>5513</v>
      </c>
      <c r="H382" s="592" t="s">
        <v>5514</v>
      </c>
      <c r="I382" s="520" t="s">
        <v>11650</v>
      </c>
      <c r="J382" s="421" t="s">
        <v>753</v>
      </c>
      <c r="K382" s="520" t="s">
        <v>741</v>
      </c>
    </row>
    <row r="383" spans="1:15" s="341" customFormat="1">
      <c r="A383" s="1656"/>
      <c r="B383" s="1657" t="s">
        <v>5515</v>
      </c>
      <c r="C383" s="588">
        <v>186</v>
      </c>
      <c r="D383" s="244">
        <f>C383*(1-VLOOKUP(I383,descuentos,6,FALSE))*fcl/TC</f>
        <v>45.184083313432836</v>
      </c>
      <c r="E383" s="228">
        <v>3</v>
      </c>
      <c r="F383" s="585">
        <f t="shared" si="61"/>
        <v>48.2</v>
      </c>
      <c r="G383" s="338" t="s">
        <v>5516</v>
      </c>
      <c r="H383" s="592" t="s">
        <v>5517</v>
      </c>
      <c r="I383" s="520" t="s">
        <v>11650</v>
      </c>
      <c r="J383" s="421" t="s">
        <v>753</v>
      </c>
      <c r="K383" s="520" t="s">
        <v>741</v>
      </c>
    </row>
    <row r="384" spans="1:15" s="341" customFormat="1">
      <c r="A384" s="1656"/>
      <c r="B384" s="1657" t="s">
        <v>5518</v>
      </c>
      <c r="C384" s="588">
        <v>223</v>
      </c>
      <c r="D384" s="244">
        <f>C384*(1-VLOOKUP(I384,descuentos,6,FALSE))*fcl/TC</f>
        <v>54.172314940298506</v>
      </c>
      <c r="E384" s="228">
        <v>3</v>
      </c>
      <c r="F384" s="585">
        <f t="shared" si="61"/>
        <v>57.2</v>
      </c>
      <c r="G384" s="338" t="s">
        <v>5519</v>
      </c>
      <c r="H384" s="592" t="s">
        <v>5520</v>
      </c>
      <c r="I384" s="520" t="s">
        <v>11650</v>
      </c>
      <c r="J384" s="421" t="s">
        <v>753</v>
      </c>
      <c r="K384" s="520" t="s">
        <v>741</v>
      </c>
    </row>
    <row r="385" spans="1:11" s="341" customFormat="1">
      <c r="A385" s="421"/>
      <c r="B385" s="338"/>
      <c r="C385" s="209" t="s">
        <v>2058</v>
      </c>
      <c r="D385" s="244"/>
      <c r="E385" s="228"/>
      <c r="F385" s="585"/>
      <c r="G385" s="338"/>
      <c r="H385" s="592"/>
      <c r="I385" s="520"/>
      <c r="J385" s="421"/>
      <c r="K385" s="520"/>
    </row>
    <row r="386" spans="1:11" s="196" customFormat="1">
      <c r="A386" s="1656"/>
      <c r="B386" s="1657" t="s">
        <v>5521</v>
      </c>
      <c r="C386" s="588">
        <v>228</v>
      </c>
      <c r="D386" s="244">
        <f>C386*(1-VLOOKUP(I386,descuentos,6,FALSE))*fcl/TC</f>
        <v>55.38694083582088</v>
      </c>
      <c r="E386" s="228">
        <v>6</v>
      </c>
      <c r="F386" s="585">
        <f t="shared" si="61"/>
        <v>61.4</v>
      </c>
      <c r="G386" s="338" t="s">
        <v>5522</v>
      </c>
      <c r="H386" s="592" t="s">
        <v>5523</v>
      </c>
      <c r="I386" s="520" t="s">
        <v>11650</v>
      </c>
      <c r="J386" s="421" t="s">
        <v>753</v>
      </c>
      <c r="K386" s="520" t="s">
        <v>741</v>
      </c>
    </row>
    <row r="387" spans="1:11" s="196" customFormat="1">
      <c r="A387" s="1656"/>
      <c r="B387" s="1657" t="s">
        <v>5524</v>
      </c>
      <c r="C387" s="588">
        <v>263</v>
      </c>
      <c r="D387" s="244">
        <f>C387*(1-VLOOKUP(I387,descuentos,6,FALSE))*fcl/TC</f>
        <v>63.889322104477607</v>
      </c>
      <c r="E387" s="228">
        <v>6</v>
      </c>
      <c r="F387" s="585">
        <f t="shared" si="61"/>
        <v>69.899999999999991</v>
      </c>
      <c r="G387" s="338" t="s">
        <v>5525</v>
      </c>
      <c r="H387" s="592" t="s">
        <v>5526</v>
      </c>
      <c r="I387" s="520" t="s">
        <v>11650</v>
      </c>
      <c r="J387" s="421" t="s">
        <v>753</v>
      </c>
      <c r="K387" s="520" t="s">
        <v>741</v>
      </c>
    </row>
    <row r="388" spans="1:11" s="341" customFormat="1">
      <c r="A388" s="1656"/>
      <c r="B388" s="1657" t="s">
        <v>5527</v>
      </c>
      <c r="C388" s="588">
        <v>302</v>
      </c>
      <c r="D388" s="244">
        <f>C388*(1-VLOOKUP(I388,descuentos,6,FALSE))*fcl/TC</f>
        <v>73.363404089552233</v>
      </c>
      <c r="E388" s="228">
        <v>6</v>
      </c>
      <c r="F388" s="585">
        <f t="shared" si="61"/>
        <v>79.399999999999991</v>
      </c>
      <c r="G388" s="338" t="s">
        <v>5528</v>
      </c>
      <c r="H388" s="592" t="s">
        <v>5529</v>
      </c>
      <c r="I388" s="520" t="s">
        <v>11650</v>
      </c>
      <c r="J388" s="421" t="s">
        <v>753</v>
      </c>
      <c r="K388" s="520" t="s">
        <v>741</v>
      </c>
    </row>
    <row r="389" spans="1:11" s="341" customFormat="1">
      <c r="A389" s="421"/>
      <c r="B389" s="338"/>
      <c r="C389" s="209" t="s">
        <v>2058</v>
      </c>
      <c r="D389" s="244"/>
      <c r="E389" s="228"/>
      <c r="F389" s="585"/>
      <c r="G389" s="338"/>
      <c r="H389" s="592"/>
      <c r="I389" s="520"/>
      <c r="J389" s="421"/>
      <c r="K389" s="520"/>
    </row>
    <row r="390" spans="1:11" s="341" customFormat="1">
      <c r="A390" s="421"/>
      <c r="B390" s="621" t="s">
        <v>2065</v>
      </c>
      <c r="C390" s="209" t="s">
        <v>2058</v>
      </c>
      <c r="D390" s="244"/>
      <c r="E390" s="228"/>
      <c r="F390" s="585"/>
      <c r="G390" s="338"/>
      <c r="H390" s="592"/>
      <c r="I390" s="520"/>
      <c r="J390" s="421"/>
      <c r="K390" s="520"/>
    </row>
    <row r="391" spans="1:11" s="341" customFormat="1">
      <c r="A391" s="421"/>
      <c r="B391" s="621"/>
      <c r="C391" s="209" t="s">
        <v>2058</v>
      </c>
      <c r="D391" s="244"/>
      <c r="E391" s="228"/>
      <c r="F391" s="585"/>
      <c r="G391" s="338"/>
      <c r="H391" s="592"/>
      <c r="I391" s="520"/>
      <c r="J391" s="421"/>
      <c r="K391" s="520"/>
    </row>
    <row r="392" spans="1:11" s="341" customFormat="1">
      <c r="A392" s="421"/>
      <c r="B392" s="338" t="s">
        <v>1125</v>
      </c>
      <c r="C392" s="209">
        <v>271.5</v>
      </c>
      <c r="D392" s="244">
        <f>C392*(1-VLOOKUP(I392,descuentos,6,FALSE))*fcl/IF(dol_sol="dólar", TC,1)</f>
        <v>65.954186126865665</v>
      </c>
      <c r="E392" s="228">
        <v>3</v>
      </c>
      <c r="F392" s="585">
        <f t="shared" si="60"/>
        <v>68.960000000000008</v>
      </c>
      <c r="G392" s="338" t="s">
        <v>2066</v>
      </c>
      <c r="H392" s="592" t="s">
        <v>1128</v>
      </c>
      <c r="I392" s="520" t="s">
        <v>11650</v>
      </c>
      <c r="J392" s="421" t="s">
        <v>753</v>
      </c>
      <c r="K392" s="520" t="s">
        <v>741</v>
      </c>
    </row>
    <row r="393" spans="1:11" s="196" customFormat="1">
      <c r="A393" s="421"/>
      <c r="B393" s="338" t="s">
        <v>1126</v>
      </c>
      <c r="C393" s="209">
        <v>288.10000000000002</v>
      </c>
      <c r="D393" s="244">
        <f>C393*(1-VLOOKUP(I393,descuentos,6,FALSE))*fcl/IF(dol_sol="dólar", TC,1)</f>
        <v>69.986744099999996</v>
      </c>
      <c r="E393" s="228">
        <v>3</v>
      </c>
      <c r="F393" s="585">
        <f t="shared" si="60"/>
        <v>72.990000000000009</v>
      </c>
      <c r="G393" s="338" t="s">
        <v>2067</v>
      </c>
      <c r="H393" s="592" t="s">
        <v>1129</v>
      </c>
      <c r="I393" s="520" t="s">
        <v>11650</v>
      </c>
      <c r="J393" s="421" t="s">
        <v>753</v>
      </c>
      <c r="K393" s="520" t="s">
        <v>741</v>
      </c>
    </row>
    <row r="394" spans="1:11" s="196" customFormat="1">
      <c r="A394" s="421"/>
      <c r="B394" s="338" t="s">
        <v>1127</v>
      </c>
      <c r="C394" s="209">
        <v>374.4</v>
      </c>
      <c r="D394" s="244">
        <f>C394*(1-VLOOKUP(I394,descuentos,6,FALSE))*fcl/IF(dol_sol="dólar", TC,1)</f>
        <v>90.951187056716407</v>
      </c>
      <c r="E394" s="228">
        <v>3</v>
      </c>
      <c r="F394" s="585">
        <f t="shared" si="60"/>
        <v>93.960000000000008</v>
      </c>
      <c r="G394" s="338" t="s">
        <v>2068</v>
      </c>
      <c r="H394" s="592" t="s">
        <v>1130</v>
      </c>
      <c r="I394" s="520" t="s">
        <v>11650</v>
      </c>
      <c r="J394" s="421" t="s">
        <v>753</v>
      </c>
      <c r="K394" s="520" t="s">
        <v>741</v>
      </c>
    </row>
    <row r="395" spans="1:11" s="196" customFormat="1">
      <c r="A395" s="421"/>
      <c r="B395" s="338" t="s">
        <v>1446</v>
      </c>
      <c r="C395" s="209">
        <v>706.6</v>
      </c>
      <c r="D395" s="244">
        <f>C395*(1-VLOOKUP(I395,descuentos,6,FALSE))*fcl/IF(dol_sol="dólar", TC,1)</f>
        <v>171.65093155522388</v>
      </c>
      <c r="E395" s="228">
        <v>3</v>
      </c>
      <c r="F395" s="585">
        <f t="shared" si="60"/>
        <v>174.66</v>
      </c>
      <c r="G395" s="338" t="s">
        <v>2069</v>
      </c>
      <c r="H395" s="592" t="s">
        <v>1447</v>
      </c>
      <c r="I395" s="520" t="s">
        <v>11650</v>
      </c>
      <c r="J395" s="421" t="s">
        <v>753</v>
      </c>
      <c r="K395" s="520" t="s">
        <v>741</v>
      </c>
    </row>
    <row r="396" spans="1:11" s="341" customFormat="1">
      <c r="A396" s="421"/>
      <c r="B396" s="338" t="s">
        <v>1448</v>
      </c>
      <c r="C396" s="209">
        <v>882.7</v>
      </c>
      <c r="D396" s="244">
        <f>C396*(1-VLOOKUP(I396,descuentos,6,FALSE))*fcl/IF(dol_sol="dólar", TC,1)</f>
        <v>214.43005559552239</v>
      </c>
      <c r="E396" s="228">
        <v>3</v>
      </c>
      <c r="F396" s="585">
        <f t="shared" si="60"/>
        <v>217.44</v>
      </c>
      <c r="G396" s="338" t="s">
        <v>2070</v>
      </c>
      <c r="H396" s="592" t="s">
        <v>1449</v>
      </c>
      <c r="I396" s="520" t="s">
        <v>11650</v>
      </c>
      <c r="J396" s="421" t="s">
        <v>753</v>
      </c>
      <c r="K396" s="520" t="s">
        <v>741</v>
      </c>
    </row>
    <row r="397" spans="1:11" s="341" customFormat="1">
      <c r="A397" s="421"/>
      <c r="B397" s="338"/>
      <c r="C397" s="209" t="s">
        <v>2058</v>
      </c>
      <c r="D397" s="244"/>
      <c r="E397" s="228"/>
      <c r="F397" s="585"/>
      <c r="G397" s="338"/>
      <c r="H397" s="592"/>
      <c r="I397" s="520"/>
      <c r="J397" s="421"/>
      <c r="K397" s="520"/>
    </row>
    <row r="398" spans="1:11" s="339" customFormat="1">
      <c r="A398" s="421"/>
      <c r="B398" s="338" t="s">
        <v>1131</v>
      </c>
      <c r="C398" s="209">
        <v>424.40000000000003</v>
      </c>
      <c r="D398" s="244">
        <f t="shared" ref="D398:D403" si="62">C398*(1-VLOOKUP(I398,descuentos,6,FALSE))*fcl/IF(dol_sol="dólar", TC,1)</f>
        <v>103.09744601194029</v>
      </c>
      <c r="E398" s="228">
        <v>6</v>
      </c>
      <c r="F398" s="585">
        <f t="shared" si="60"/>
        <v>109.10000000000001</v>
      </c>
      <c r="G398" s="338" t="s">
        <v>2071</v>
      </c>
      <c r="H398" s="592" t="s">
        <v>1136</v>
      </c>
      <c r="I398" s="520" t="s">
        <v>11650</v>
      </c>
      <c r="J398" s="421" t="s">
        <v>753</v>
      </c>
      <c r="K398" s="520" t="s">
        <v>741</v>
      </c>
    </row>
    <row r="399" spans="1:11" s="339" customFormat="1">
      <c r="A399" s="421"/>
      <c r="B399" s="338" t="s">
        <v>1132</v>
      </c>
      <c r="C399" s="209">
        <v>460.5</v>
      </c>
      <c r="D399" s="244">
        <f t="shared" si="62"/>
        <v>111.86704497761194</v>
      </c>
      <c r="E399" s="228">
        <v>6</v>
      </c>
      <c r="F399" s="585">
        <f t="shared" si="60"/>
        <v>117.87</v>
      </c>
      <c r="G399" s="338" t="s">
        <v>2072</v>
      </c>
      <c r="H399" s="592" t="s">
        <v>1137</v>
      </c>
      <c r="I399" s="520" t="s">
        <v>11650</v>
      </c>
      <c r="J399" s="421" t="s">
        <v>753</v>
      </c>
      <c r="K399" s="520" t="s">
        <v>741</v>
      </c>
    </row>
    <row r="400" spans="1:11" s="339" customFormat="1">
      <c r="A400" s="421"/>
      <c r="B400" s="338" t="s">
        <v>1133</v>
      </c>
      <c r="C400" s="209">
        <v>713</v>
      </c>
      <c r="D400" s="244">
        <f t="shared" si="62"/>
        <v>173.20565270149251</v>
      </c>
      <c r="E400" s="228">
        <v>6</v>
      </c>
      <c r="F400" s="585">
        <f t="shared" si="60"/>
        <v>179.20999999999998</v>
      </c>
      <c r="G400" s="338" t="s">
        <v>2073</v>
      </c>
      <c r="H400" s="592" t="s">
        <v>1138</v>
      </c>
      <c r="I400" s="520" t="s">
        <v>11650</v>
      </c>
      <c r="J400" s="421" t="s">
        <v>753</v>
      </c>
      <c r="K400" s="520" t="s">
        <v>741</v>
      </c>
    </row>
    <row r="401" spans="1:15" s="196" customFormat="1">
      <c r="A401" s="421"/>
      <c r="B401" s="338" t="s">
        <v>1134</v>
      </c>
      <c r="C401" s="209">
        <v>1551</v>
      </c>
      <c r="D401" s="244">
        <f t="shared" si="62"/>
        <v>376.77695279104478</v>
      </c>
      <c r="E401" s="228">
        <v>6</v>
      </c>
      <c r="F401" s="585">
        <f t="shared" si="60"/>
        <v>382.78</v>
      </c>
      <c r="G401" s="338" t="s">
        <v>2074</v>
      </c>
      <c r="H401" s="592" t="s">
        <v>1139</v>
      </c>
      <c r="I401" s="520" t="s">
        <v>11650</v>
      </c>
      <c r="J401" s="421" t="s">
        <v>753</v>
      </c>
      <c r="K401" s="520" t="s">
        <v>741</v>
      </c>
      <c r="L401" s="203"/>
      <c r="M401" s="203"/>
      <c r="N401" s="203"/>
      <c r="O401" s="203"/>
    </row>
    <row r="402" spans="1:15" s="339" customFormat="1">
      <c r="A402" s="421"/>
      <c r="B402" s="338" t="s">
        <v>1135</v>
      </c>
      <c r="C402" s="209">
        <v>1903.1</v>
      </c>
      <c r="D402" s="244">
        <f t="shared" si="62"/>
        <v>462.31090835373129</v>
      </c>
      <c r="E402" s="228">
        <v>6</v>
      </c>
      <c r="F402" s="585">
        <f t="shared" si="60"/>
        <v>468.32</v>
      </c>
      <c r="G402" s="338" t="s">
        <v>2075</v>
      </c>
      <c r="H402" s="592" t="s">
        <v>1140</v>
      </c>
      <c r="I402" s="520" t="s">
        <v>11650</v>
      </c>
      <c r="J402" s="421" t="s">
        <v>753</v>
      </c>
      <c r="K402" s="520" t="s">
        <v>741</v>
      </c>
    </row>
    <row r="403" spans="1:15" s="196" customFormat="1">
      <c r="A403" s="421"/>
      <c r="B403" s="338" t="s">
        <v>1444</v>
      </c>
      <c r="C403" s="248">
        <v>4076</v>
      </c>
      <c r="D403" s="244">
        <f t="shared" si="62"/>
        <v>990.16303002985057</v>
      </c>
      <c r="E403" s="228">
        <v>6</v>
      </c>
      <c r="F403" s="585">
        <f t="shared" si="60"/>
        <v>996.17</v>
      </c>
      <c r="G403" s="338" t="s">
        <v>2076</v>
      </c>
      <c r="H403" s="592" t="s">
        <v>1445</v>
      </c>
      <c r="I403" s="520" t="s">
        <v>11650</v>
      </c>
      <c r="J403" s="421" t="s">
        <v>753</v>
      </c>
      <c r="K403" s="520" t="s">
        <v>741</v>
      </c>
      <c r="L403" s="203"/>
      <c r="M403" s="203"/>
      <c r="N403" s="203"/>
      <c r="O403" s="203"/>
    </row>
    <row r="404" spans="1:15" s="196" customFormat="1">
      <c r="A404" s="421"/>
      <c r="B404" s="338"/>
      <c r="C404" s="209" t="s">
        <v>2058</v>
      </c>
      <c r="D404" s="244"/>
      <c r="E404" s="228"/>
      <c r="F404" s="585"/>
      <c r="G404" s="338"/>
      <c r="H404" s="592"/>
      <c r="I404" s="520"/>
      <c r="J404" s="421"/>
      <c r="K404" s="520"/>
      <c r="L404" s="203"/>
      <c r="M404" s="203"/>
      <c r="N404" s="203"/>
      <c r="O404" s="203"/>
    </row>
    <row r="405" spans="1:15" s="341" customFormat="1">
      <c r="A405" s="421"/>
      <c r="B405" s="338"/>
      <c r="C405" s="209" t="s">
        <v>2058</v>
      </c>
      <c r="D405" s="244"/>
      <c r="E405" s="228"/>
      <c r="F405" s="585"/>
      <c r="G405" s="338"/>
      <c r="H405" s="592"/>
      <c r="I405" s="520"/>
      <c r="J405" s="421"/>
      <c r="K405" s="520"/>
    </row>
    <row r="406" spans="1:15" s="339" customFormat="1">
      <c r="A406" s="421"/>
      <c r="B406" s="338" t="s">
        <v>6485</v>
      </c>
      <c r="C406" s="209">
        <v>385</v>
      </c>
      <c r="D406" s="244">
        <f>C406*(1-VLOOKUP(I406,descuentos,6,FALSE))*fcl/IF(dol_sol="dólar", TC,1)</f>
        <v>93.526193955223874</v>
      </c>
      <c r="E406" s="228">
        <v>3</v>
      </c>
      <c r="F406" s="585">
        <f>ROUNDUP(D406+E406,2)</f>
        <v>96.53</v>
      </c>
      <c r="G406" s="338" t="s">
        <v>6486</v>
      </c>
      <c r="H406" s="592" t="s">
        <v>6487</v>
      </c>
      <c r="I406" s="520" t="s">
        <v>11650</v>
      </c>
      <c r="J406" s="421" t="s">
        <v>753</v>
      </c>
      <c r="K406" s="520" t="s">
        <v>741</v>
      </c>
    </row>
    <row r="407" spans="1:15" s="339" customFormat="1">
      <c r="A407" s="421"/>
      <c r="B407" s="338" t="s">
        <v>6488</v>
      </c>
      <c r="C407" s="209">
        <v>409</v>
      </c>
      <c r="D407" s="244">
        <f>C407*(1-VLOOKUP(I407,descuentos,6,FALSE))*fcl/IF(dol_sol="dólar", TC,1)</f>
        <v>99.356398253731328</v>
      </c>
      <c r="E407" s="228">
        <v>3</v>
      </c>
      <c r="F407" s="585">
        <f>ROUNDUP(D407+E407,2)</f>
        <v>102.36</v>
      </c>
      <c r="G407" s="338" t="s">
        <v>6489</v>
      </c>
      <c r="H407" s="592" t="s">
        <v>6490</v>
      </c>
      <c r="I407" s="520" t="s">
        <v>11650</v>
      </c>
      <c r="J407" s="421" t="s">
        <v>753</v>
      </c>
      <c r="K407" s="520" t="s">
        <v>741</v>
      </c>
    </row>
    <row r="408" spans="1:15" s="339" customFormat="1">
      <c r="A408" s="421"/>
      <c r="B408" s="338" t="s">
        <v>6491</v>
      </c>
      <c r="C408" s="209">
        <v>533</v>
      </c>
      <c r="D408" s="244">
        <f>C408*(1-VLOOKUP(I408,descuentos,6,FALSE))*fcl/IF(dol_sol="dólar", TC,1)</f>
        <v>129.47912046268655</v>
      </c>
      <c r="E408" s="228">
        <v>3</v>
      </c>
      <c r="F408" s="585">
        <f>ROUNDUP(D408+E408,2)</f>
        <v>132.47999999999999</v>
      </c>
      <c r="G408" s="338" t="s">
        <v>6492</v>
      </c>
      <c r="H408" s="592" t="s">
        <v>6493</v>
      </c>
      <c r="I408" s="520" t="s">
        <v>11650</v>
      </c>
      <c r="J408" s="421" t="s">
        <v>753</v>
      </c>
      <c r="K408" s="520" t="s">
        <v>741</v>
      </c>
    </row>
    <row r="409" spans="1:15" s="196" customFormat="1">
      <c r="A409" s="421"/>
      <c r="B409" s="338" t="s">
        <v>6494</v>
      </c>
      <c r="C409" s="209">
        <v>685</v>
      </c>
      <c r="D409" s="244">
        <f>C409*(1-VLOOKUP(I409,descuentos,6,FALSE))*fcl/IF(dol_sol="dólar", TC,1)</f>
        <v>166.40374768656716</v>
      </c>
      <c r="E409" s="228">
        <v>3</v>
      </c>
      <c r="F409" s="585">
        <f>ROUNDUP(D409+E409,2)</f>
        <v>169.41</v>
      </c>
      <c r="G409" s="338" t="s">
        <v>6495</v>
      </c>
      <c r="H409" s="592" t="s">
        <v>6496</v>
      </c>
      <c r="I409" s="520" t="s">
        <v>11650</v>
      </c>
      <c r="J409" s="421" t="s">
        <v>753</v>
      </c>
      <c r="K409" s="520" t="s">
        <v>741</v>
      </c>
      <c r="L409" s="203"/>
      <c r="M409" s="203"/>
      <c r="N409" s="203"/>
      <c r="O409" s="203"/>
    </row>
    <row r="410" spans="1:15" s="339" customFormat="1">
      <c r="A410" s="421"/>
      <c r="B410" s="338" t="s">
        <v>6497</v>
      </c>
      <c r="C410" s="209">
        <v>836</v>
      </c>
      <c r="D410" s="244">
        <f>C410*(1-VLOOKUP(I410,descuentos,6,FALSE))*fcl/IF(dol_sol="dólar", TC,1)</f>
        <v>203.08544973134326</v>
      </c>
      <c r="E410" s="228">
        <v>3</v>
      </c>
      <c r="F410" s="585">
        <f>ROUNDUP(D410+E410,2)</f>
        <v>206.09</v>
      </c>
      <c r="G410" s="338" t="s">
        <v>6498</v>
      </c>
      <c r="H410" s="592" t="s">
        <v>6499</v>
      </c>
      <c r="I410" s="520" t="s">
        <v>11650</v>
      </c>
      <c r="J410" s="421" t="s">
        <v>753</v>
      </c>
      <c r="K410" s="520" t="s">
        <v>741</v>
      </c>
    </row>
    <row r="411" spans="1:15" s="196" customFormat="1">
      <c r="A411" s="421"/>
      <c r="B411" s="338"/>
      <c r="C411" s="209" t="s">
        <v>2058</v>
      </c>
      <c r="D411" s="244"/>
      <c r="E411" s="228"/>
      <c r="F411" s="585"/>
      <c r="G411" s="338"/>
      <c r="H411" s="592"/>
      <c r="I411" s="520"/>
      <c r="J411" s="421"/>
      <c r="K411" s="520"/>
      <c r="L411" s="203"/>
      <c r="M411" s="203"/>
      <c r="N411" s="203"/>
      <c r="O411" s="203"/>
    </row>
    <row r="412" spans="1:15" s="196" customFormat="1">
      <c r="A412" s="421"/>
      <c r="B412" s="338"/>
      <c r="C412" s="209" t="s">
        <v>2058</v>
      </c>
      <c r="D412" s="244"/>
      <c r="E412" s="228"/>
      <c r="F412" s="585"/>
      <c r="G412" s="338"/>
      <c r="H412" s="592"/>
      <c r="I412" s="520"/>
      <c r="J412" s="421"/>
      <c r="K412" s="520"/>
      <c r="L412" s="203"/>
      <c r="M412" s="203"/>
      <c r="N412" s="203"/>
      <c r="O412" s="203"/>
    </row>
    <row r="413" spans="1:15" s="339" customFormat="1">
      <c r="A413" s="421"/>
      <c r="B413" s="338" t="s">
        <v>2085</v>
      </c>
      <c r="C413" s="209">
        <v>554</v>
      </c>
      <c r="D413" s="244">
        <f t="shared" ref="D413:D418" si="63">C413*(1-VLOOKUP(I413,descuentos,6,FALSE))*fcl/IF(dol_sol="dólar", TC,1)</f>
        <v>134.58054922388061</v>
      </c>
      <c r="E413" s="228">
        <v>6</v>
      </c>
      <c r="F413" s="585">
        <f t="shared" ref="F413:F418" si="64">ROUNDUP(D413+E413,2)</f>
        <v>140.59</v>
      </c>
      <c r="G413" s="338" t="s">
        <v>2086</v>
      </c>
      <c r="H413" s="592" t="s">
        <v>2087</v>
      </c>
      <c r="I413" s="520" t="s">
        <v>11650</v>
      </c>
      <c r="J413" s="421" t="s">
        <v>753</v>
      </c>
      <c r="K413" s="520" t="s">
        <v>741</v>
      </c>
    </row>
    <row r="414" spans="1:15" s="339" customFormat="1">
      <c r="A414" s="421"/>
      <c r="B414" s="338" t="s">
        <v>2088</v>
      </c>
      <c r="C414" s="209">
        <v>602</v>
      </c>
      <c r="D414" s="244">
        <f t="shared" si="63"/>
        <v>146.24095782089549</v>
      </c>
      <c r="E414" s="228">
        <v>6</v>
      </c>
      <c r="F414" s="585">
        <f t="shared" si="64"/>
        <v>152.25</v>
      </c>
      <c r="G414" s="338" t="s">
        <v>2089</v>
      </c>
      <c r="H414" s="592" t="s">
        <v>2090</v>
      </c>
      <c r="I414" s="520" t="s">
        <v>11650</v>
      </c>
      <c r="J414" s="421" t="s">
        <v>753</v>
      </c>
      <c r="K414" s="520" t="s">
        <v>741</v>
      </c>
    </row>
    <row r="415" spans="1:15" s="339" customFormat="1">
      <c r="A415" s="421"/>
      <c r="B415" s="338" t="s">
        <v>2091</v>
      </c>
      <c r="C415" s="209">
        <v>932</v>
      </c>
      <c r="D415" s="244">
        <f t="shared" si="63"/>
        <v>226.4062669253731</v>
      </c>
      <c r="E415" s="228">
        <v>6</v>
      </c>
      <c r="F415" s="585">
        <f t="shared" si="64"/>
        <v>232.41</v>
      </c>
      <c r="G415" s="338" t="s">
        <v>2092</v>
      </c>
      <c r="H415" s="592" t="s">
        <v>2093</v>
      </c>
      <c r="I415" s="520" t="s">
        <v>11650</v>
      </c>
      <c r="J415" s="421" t="s">
        <v>753</v>
      </c>
      <c r="K415" s="520" t="s">
        <v>741</v>
      </c>
    </row>
    <row r="416" spans="1:15" s="196" customFormat="1">
      <c r="A416" s="421"/>
      <c r="B416" s="338" t="s">
        <v>2094</v>
      </c>
      <c r="C416" s="209">
        <v>1128</v>
      </c>
      <c r="D416" s="244">
        <f t="shared" si="63"/>
        <v>274.01960202985072</v>
      </c>
      <c r="E416" s="228">
        <v>6</v>
      </c>
      <c r="F416" s="585">
        <f t="shared" si="64"/>
        <v>280.02</v>
      </c>
      <c r="G416" s="338" t="s">
        <v>2095</v>
      </c>
      <c r="H416" s="592" t="s">
        <v>2096</v>
      </c>
      <c r="I416" s="520" t="s">
        <v>11650</v>
      </c>
      <c r="J416" s="421" t="s">
        <v>753</v>
      </c>
      <c r="K416" s="520" t="s">
        <v>741</v>
      </c>
      <c r="L416" s="203"/>
      <c r="M416" s="203"/>
      <c r="N416" s="203"/>
      <c r="O416" s="203"/>
    </row>
    <row r="417" spans="1:15" s="339" customFormat="1">
      <c r="A417" s="421"/>
      <c r="B417" s="338" t="s">
        <v>2097</v>
      </c>
      <c r="C417" s="209">
        <v>1383</v>
      </c>
      <c r="D417" s="244">
        <f t="shared" si="63"/>
        <v>335.96552270149249</v>
      </c>
      <c r="E417" s="228">
        <v>6</v>
      </c>
      <c r="F417" s="585">
        <f t="shared" si="64"/>
        <v>341.96999999999997</v>
      </c>
      <c r="G417" s="338" t="s">
        <v>2098</v>
      </c>
      <c r="H417" s="592" t="s">
        <v>2099</v>
      </c>
      <c r="I417" s="520" t="s">
        <v>11650</v>
      </c>
      <c r="J417" s="421" t="s">
        <v>753</v>
      </c>
      <c r="K417" s="520" t="s">
        <v>741</v>
      </c>
    </row>
    <row r="418" spans="1:15" s="339" customFormat="1">
      <c r="A418" s="421"/>
      <c r="B418" s="338" t="s">
        <v>2100</v>
      </c>
      <c r="C418" s="209">
        <v>3670</v>
      </c>
      <c r="D418" s="244">
        <f t="shared" si="63"/>
        <v>891.53540731343276</v>
      </c>
      <c r="E418" s="228">
        <v>6</v>
      </c>
      <c r="F418" s="585">
        <f t="shared" si="64"/>
        <v>897.54</v>
      </c>
      <c r="G418" s="338" t="s">
        <v>2101</v>
      </c>
      <c r="H418" s="592" t="s">
        <v>2102</v>
      </c>
      <c r="I418" s="520" t="s">
        <v>11650</v>
      </c>
      <c r="J418" s="421" t="s">
        <v>753</v>
      </c>
      <c r="K418" s="520" t="s">
        <v>741</v>
      </c>
    </row>
    <row r="419" spans="1:15" s="196" customFormat="1">
      <c r="A419" s="421"/>
      <c r="B419" s="338"/>
      <c r="C419" s="209" t="s">
        <v>2058</v>
      </c>
      <c r="D419" s="244"/>
      <c r="E419" s="228"/>
      <c r="F419" s="585"/>
      <c r="G419" s="338"/>
      <c r="H419" s="592"/>
      <c r="I419" s="520"/>
      <c r="J419" s="421"/>
      <c r="K419" s="520"/>
      <c r="L419" s="203"/>
      <c r="M419" s="203"/>
      <c r="N419" s="203"/>
      <c r="O419" s="203"/>
    </row>
    <row r="420" spans="1:15" s="196" customFormat="1">
      <c r="A420" s="421"/>
      <c r="B420" s="338"/>
      <c r="C420" s="209" t="s">
        <v>2058</v>
      </c>
      <c r="D420" s="244"/>
      <c r="E420" s="228"/>
      <c r="F420" s="585"/>
      <c r="G420" s="338"/>
      <c r="H420" s="592"/>
      <c r="I420" s="520"/>
      <c r="J420" s="421"/>
      <c r="K420" s="520"/>
      <c r="L420" s="203"/>
      <c r="M420" s="203"/>
      <c r="N420" s="203"/>
      <c r="O420" s="203"/>
    </row>
    <row r="421" spans="1:15" s="196" customFormat="1">
      <c r="A421" s="421"/>
      <c r="B421" s="338"/>
      <c r="C421" s="209" t="s">
        <v>2058</v>
      </c>
      <c r="D421" s="244"/>
      <c r="E421" s="228"/>
      <c r="F421" s="585"/>
      <c r="G421" s="338"/>
      <c r="H421" s="592"/>
      <c r="I421" s="520"/>
      <c r="J421" s="421"/>
      <c r="K421" s="520"/>
      <c r="L421" s="203"/>
      <c r="M421" s="203"/>
      <c r="N421" s="203"/>
      <c r="O421" s="203"/>
    </row>
    <row r="422" spans="1:15" s="341" customFormat="1">
      <c r="A422" s="421"/>
      <c r="B422" s="621" t="s">
        <v>5530</v>
      </c>
      <c r="C422" s="209" t="s">
        <v>2058</v>
      </c>
      <c r="D422" s="244"/>
      <c r="E422" s="228"/>
      <c r="F422" s="585"/>
      <c r="G422" s="338"/>
      <c r="H422" s="592"/>
      <c r="I422" s="520"/>
      <c r="J422" s="421"/>
      <c r="K422" s="520"/>
    </row>
    <row r="423" spans="1:15" s="196" customFormat="1">
      <c r="A423" s="421"/>
      <c r="B423" s="338"/>
      <c r="C423" s="209" t="s">
        <v>2058</v>
      </c>
      <c r="D423" s="244"/>
      <c r="E423" s="228"/>
      <c r="F423" s="585"/>
      <c r="G423" s="338"/>
      <c r="H423" s="592"/>
      <c r="I423" s="520"/>
      <c r="J423" s="421"/>
      <c r="K423" s="520"/>
      <c r="L423" s="203"/>
      <c r="M423" s="203"/>
      <c r="N423" s="203"/>
      <c r="O423" s="203"/>
    </row>
    <row r="424" spans="1:15" s="196" customFormat="1">
      <c r="A424" s="421"/>
      <c r="B424" s="338" t="s">
        <v>1141</v>
      </c>
      <c r="C424" s="209">
        <v>285.60000000000002</v>
      </c>
      <c r="D424" s="244">
        <f>C424*(1-VLOOKUP(I424,descuentos,6,FALSE))*fcl/IF(dol_sol="dólar", TC,1)</f>
        <v>69.379431152238794</v>
      </c>
      <c r="E424" s="228">
        <v>3</v>
      </c>
      <c r="F424" s="585">
        <f t="shared" si="60"/>
        <v>72.38000000000001</v>
      </c>
      <c r="G424" s="338" t="s">
        <v>2077</v>
      </c>
      <c r="H424" s="592" t="s">
        <v>1149</v>
      </c>
      <c r="I424" s="520" t="s">
        <v>11650</v>
      </c>
      <c r="J424" s="421" t="s">
        <v>753</v>
      </c>
      <c r="K424" s="520" t="s">
        <v>741</v>
      </c>
      <c r="L424" s="203"/>
      <c r="M424" s="203"/>
      <c r="N424" s="203"/>
      <c r="O424" s="203"/>
    </row>
    <row r="425" spans="1:15" s="196" customFormat="1">
      <c r="A425" s="421"/>
      <c r="B425" s="338" t="s">
        <v>1142</v>
      </c>
      <c r="C425" s="209">
        <v>308.70000000000005</v>
      </c>
      <c r="D425" s="244">
        <f>C425*(1-VLOOKUP(I425,descuentos,6,FALSE))*fcl/IF(dol_sol="dólar", TC,1)</f>
        <v>74.99100278955224</v>
      </c>
      <c r="E425" s="228">
        <v>3</v>
      </c>
      <c r="F425" s="585">
        <f t="shared" si="60"/>
        <v>78</v>
      </c>
      <c r="G425" s="338" t="s">
        <v>2078</v>
      </c>
      <c r="H425" s="592" t="s">
        <v>1150</v>
      </c>
      <c r="I425" s="520" t="s">
        <v>11650</v>
      </c>
      <c r="J425" s="421" t="s">
        <v>753</v>
      </c>
      <c r="K425" s="520" t="s">
        <v>741</v>
      </c>
      <c r="L425" s="203"/>
      <c r="M425" s="203"/>
      <c r="N425" s="203"/>
      <c r="O425" s="203"/>
    </row>
    <row r="426" spans="1:15" s="339" customFormat="1">
      <c r="A426" s="421"/>
      <c r="B426" s="338" t="s">
        <v>1143</v>
      </c>
      <c r="C426" s="209">
        <v>404.1</v>
      </c>
      <c r="D426" s="244">
        <f>C426*(1-VLOOKUP(I426,descuentos,6,FALSE))*fcl/IF(dol_sol="dólar", TC,1)</f>
        <v>98.166064876119393</v>
      </c>
      <c r="E426" s="228">
        <v>3</v>
      </c>
      <c r="F426" s="585">
        <f t="shared" si="60"/>
        <v>101.17</v>
      </c>
      <c r="G426" s="338" t="s">
        <v>2079</v>
      </c>
      <c r="H426" s="592" t="s">
        <v>1151</v>
      </c>
      <c r="I426" s="520" t="s">
        <v>11650</v>
      </c>
      <c r="J426" s="421" t="s">
        <v>753</v>
      </c>
      <c r="K426" s="520" t="s">
        <v>741</v>
      </c>
    </row>
    <row r="427" spans="1:15" s="339" customFormat="1">
      <c r="A427" s="421"/>
      <c r="B427" s="338"/>
      <c r="C427" s="209" t="s">
        <v>2058</v>
      </c>
      <c r="D427" s="244"/>
      <c r="E427" s="228"/>
      <c r="F427" s="585">
        <f t="shared" si="60"/>
        <v>0</v>
      </c>
      <c r="G427" s="338"/>
      <c r="H427" s="592"/>
      <c r="I427" s="520"/>
      <c r="J427" s="421"/>
      <c r="K427" s="520"/>
    </row>
    <row r="428" spans="1:15" s="339" customFormat="1">
      <c r="A428" s="421"/>
      <c r="B428" s="338" t="s">
        <v>1144</v>
      </c>
      <c r="C428" s="209">
        <v>438.8</v>
      </c>
      <c r="D428" s="244">
        <f>C428*(1-VLOOKUP(I428,descuentos,6,FALSE))*fcl/IF(dol_sol="dólar", TC,1)</f>
        <v>106.59556859104477</v>
      </c>
      <c r="E428" s="228">
        <v>6</v>
      </c>
      <c r="F428" s="585">
        <f t="shared" si="60"/>
        <v>112.60000000000001</v>
      </c>
      <c r="G428" s="338" t="s">
        <v>2080</v>
      </c>
      <c r="H428" s="592" t="s">
        <v>1152</v>
      </c>
      <c r="I428" s="520" t="s">
        <v>11650</v>
      </c>
      <c r="J428" s="421" t="s">
        <v>753</v>
      </c>
      <c r="K428" s="520" t="s">
        <v>741</v>
      </c>
    </row>
    <row r="429" spans="1:15" s="339" customFormat="1">
      <c r="A429" s="421"/>
      <c r="B429" s="338" t="s">
        <v>1145</v>
      </c>
      <c r="C429" s="209">
        <v>476.40000000000003</v>
      </c>
      <c r="D429" s="244">
        <f>C429*(1-VLOOKUP(I429,descuentos,6,FALSE))*fcl/IF(dol_sol="dólar", TC,1)</f>
        <v>115.72955532537314</v>
      </c>
      <c r="E429" s="228">
        <v>6</v>
      </c>
      <c r="F429" s="585">
        <f t="shared" si="60"/>
        <v>121.73</v>
      </c>
      <c r="G429" s="338" t="s">
        <v>2081</v>
      </c>
      <c r="H429" s="592" t="s">
        <v>1153</v>
      </c>
      <c r="I429" s="520" t="s">
        <v>11650</v>
      </c>
      <c r="J429" s="421" t="s">
        <v>753</v>
      </c>
      <c r="K429" s="520" t="s">
        <v>741</v>
      </c>
    </row>
    <row r="430" spans="1:15" s="196" customFormat="1">
      <c r="A430" s="421"/>
      <c r="B430" s="338" t="s">
        <v>1146</v>
      </c>
      <c r="C430" s="209">
        <v>755.2</v>
      </c>
      <c r="D430" s="244">
        <f>C430*(1-VLOOKUP(I430,descuentos,6,FALSE))*fcl/IF(dol_sol="dólar", TC,1)</f>
        <v>183.45709525970148</v>
      </c>
      <c r="E430" s="228">
        <v>6</v>
      </c>
      <c r="F430" s="585">
        <f t="shared" si="60"/>
        <v>189.45999999999998</v>
      </c>
      <c r="G430" s="338" t="s">
        <v>2082</v>
      </c>
      <c r="H430" s="592" t="s">
        <v>1154</v>
      </c>
      <c r="I430" s="520" t="s">
        <v>11650</v>
      </c>
      <c r="J430" s="421" t="s">
        <v>753</v>
      </c>
      <c r="K430" s="520" t="s">
        <v>741</v>
      </c>
    </row>
    <row r="431" spans="1:15" s="196" customFormat="1">
      <c r="A431" s="421"/>
      <c r="B431" s="338" t="s">
        <v>1147</v>
      </c>
      <c r="C431" s="209">
        <v>1638.3</v>
      </c>
      <c r="D431" s="244">
        <f>C431*(1-VLOOKUP(I431,descuentos,6,FALSE))*fcl/IF(dol_sol="dólar", TC,1)</f>
        <v>397.98432092686556</v>
      </c>
      <c r="E431" s="228">
        <v>6</v>
      </c>
      <c r="F431" s="585">
        <f t="shared" si="60"/>
        <v>403.99</v>
      </c>
      <c r="G431" s="338" t="s">
        <v>2083</v>
      </c>
      <c r="H431" s="592" t="s">
        <v>1155</v>
      </c>
      <c r="I431" s="520" t="s">
        <v>11650</v>
      </c>
      <c r="J431" s="421" t="s">
        <v>753</v>
      </c>
      <c r="K431" s="520" t="s">
        <v>741</v>
      </c>
    </row>
    <row r="432" spans="1:15" s="341" customFormat="1">
      <c r="A432" s="421"/>
      <c r="B432" s="338" t="s">
        <v>1148</v>
      </c>
      <c r="C432" s="209">
        <v>2010.8999999999999</v>
      </c>
      <c r="D432" s="244">
        <f>C432*(1-VLOOKUP(I432,descuentos,6,FALSE))*fcl/IF(dol_sol="dólar", TC,1)</f>
        <v>488.4982426611939</v>
      </c>
      <c r="E432" s="228">
        <v>6</v>
      </c>
      <c r="F432" s="585">
        <f t="shared" si="60"/>
        <v>494.5</v>
      </c>
      <c r="G432" s="338" t="s">
        <v>2084</v>
      </c>
      <c r="H432" s="592" t="s">
        <v>1156</v>
      </c>
      <c r="I432" s="520" t="s">
        <v>11650</v>
      </c>
      <c r="J432" s="421" t="s">
        <v>753</v>
      </c>
      <c r="K432" s="520" t="s">
        <v>741</v>
      </c>
    </row>
    <row r="433" spans="1:15" s="341" customFormat="1">
      <c r="A433" s="421"/>
      <c r="B433" s="338"/>
      <c r="C433" s="209" t="s">
        <v>2058</v>
      </c>
      <c r="D433" s="244"/>
      <c r="E433" s="228"/>
      <c r="F433" s="585">
        <f t="shared" si="60"/>
        <v>0</v>
      </c>
      <c r="G433" s="338"/>
      <c r="H433" s="592"/>
      <c r="I433" s="520"/>
      <c r="J433" s="421"/>
      <c r="K433" s="520"/>
    </row>
    <row r="434" spans="1:15" s="339" customFormat="1">
      <c r="A434" s="421"/>
      <c r="B434" s="394" t="s">
        <v>2085</v>
      </c>
      <c r="C434" s="389">
        <v>554</v>
      </c>
      <c r="D434" s="388">
        <f t="shared" ref="D434:D439" si="65">C434*(1-VLOOKUP(I434,descuentos,6,FALSE))*fcl/IF(dol_sol="dólar", TC,1)</f>
        <v>134.58054922388061</v>
      </c>
      <c r="E434" s="386">
        <v>6</v>
      </c>
      <c r="F434" s="582">
        <f t="shared" si="60"/>
        <v>140.59</v>
      </c>
      <c r="G434" s="394" t="s">
        <v>2086</v>
      </c>
      <c r="H434" s="580" t="s">
        <v>2087</v>
      </c>
      <c r="I434" s="520" t="s">
        <v>11650</v>
      </c>
      <c r="J434" s="421" t="s">
        <v>753</v>
      </c>
      <c r="K434" s="520" t="s">
        <v>741</v>
      </c>
    </row>
    <row r="435" spans="1:15" s="339" customFormat="1">
      <c r="A435" s="421"/>
      <c r="B435" s="394" t="s">
        <v>2088</v>
      </c>
      <c r="C435" s="389">
        <v>602</v>
      </c>
      <c r="D435" s="388">
        <f t="shared" si="65"/>
        <v>146.24095782089549</v>
      </c>
      <c r="E435" s="386">
        <v>6</v>
      </c>
      <c r="F435" s="582">
        <f t="shared" si="60"/>
        <v>152.25</v>
      </c>
      <c r="G435" s="394" t="s">
        <v>2089</v>
      </c>
      <c r="H435" s="580" t="s">
        <v>2090</v>
      </c>
      <c r="I435" s="520" t="s">
        <v>11650</v>
      </c>
      <c r="J435" s="421" t="s">
        <v>753</v>
      </c>
      <c r="K435" s="520" t="s">
        <v>741</v>
      </c>
    </row>
    <row r="436" spans="1:15" s="339" customFormat="1">
      <c r="A436" s="421"/>
      <c r="B436" s="394" t="s">
        <v>2091</v>
      </c>
      <c r="C436" s="389">
        <v>932</v>
      </c>
      <c r="D436" s="388">
        <f t="shared" si="65"/>
        <v>226.4062669253731</v>
      </c>
      <c r="E436" s="386">
        <v>6</v>
      </c>
      <c r="F436" s="582">
        <f t="shared" si="60"/>
        <v>232.41</v>
      </c>
      <c r="G436" s="394" t="s">
        <v>2092</v>
      </c>
      <c r="H436" s="580" t="s">
        <v>2093</v>
      </c>
      <c r="I436" s="520" t="s">
        <v>11650</v>
      </c>
      <c r="J436" s="421" t="s">
        <v>753</v>
      </c>
      <c r="K436" s="520" t="s">
        <v>741</v>
      </c>
    </row>
    <row r="437" spans="1:15" s="339" customFormat="1">
      <c r="A437" s="421"/>
      <c r="B437" s="394" t="s">
        <v>2094</v>
      </c>
      <c r="C437" s="389">
        <v>1128</v>
      </c>
      <c r="D437" s="388">
        <f t="shared" si="65"/>
        <v>274.01960202985072</v>
      </c>
      <c r="E437" s="386">
        <v>6</v>
      </c>
      <c r="F437" s="582">
        <f t="shared" si="60"/>
        <v>280.02</v>
      </c>
      <c r="G437" s="394" t="s">
        <v>2095</v>
      </c>
      <c r="H437" s="580" t="s">
        <v>2096</v>
      </c>
      <c r="I437" s="520" t="s">
        <v>11650</v>
      </c>
      <c r="J437" s="421" t="s">
        <v>753</v>
      </c>
      <c r="K437" s="520" t="s">
        <v>741</v>
      </c>
    </row>
    <row r="438" spans="1:15" s="339" customFormat="1">
      <c r="A438" s="421"/>
      <c r="B438" s="394" t="s">
        <v>2097</v>
      </c>
      <c r="C438" s="389">
        <v>1383</v>
      </c>
      <c r="D438" s="388">
        <f t="shared" si="65"/>
        <v>335.96552270149249</v>
      </c>
      <c r="E438" s="386">
        <v>6</v>
      </c>
      <c r="F438" s="582">
        <f t="shared" si="60"/>
        <v>341.96999999999997</v>
      </c>
      <c r="G438" s="394" t="s">
        <v>2098</v>
      </c>
      <c r="H438" s="580" t="s">
        <v>2099</v>
      </c>
      <c r="I438" s="520" t="s">
        <v>11650</v>
      </c>
      <c r="J438" s="421" t="s">
        <v>753</v>
      </c>
      <c r="K438" s="520" t="s">
        <v>741</v>
      </c>
    </row>
    <row r="439" spans="1:15" s="339" customFormat="1">
      <c r="A439" s="421"/>
      <c r="B439" s="394" t="s">
        <v>2100</v>
      </c>
      <c r="C439" s="248">
        <v>3670</v>
      </c>
      <c r="D439" s="388">
        <f t="shared" si="65"/>
        <v>891.53540731343276</v>
      </c>
      <c r="E439" s="386">
        <v>6</v>
      </c>
      <c r="F439" s="582">
        <f t="shared" ref="F439:F453" si="66">ROUNDUP(D439+E439,2)</f>
        <v>897.54</v>
      </c>
      <c r="G439" s="394" t="s">
        <v>2101</v>
      </c>
      <c r="H439" s="580" t="s">
        <v>2102</v>
      </c>
      <c r="I439" s="520" t="s">
        <v>11650</v>
      </c>
      <c r="J439" s="421" t="s">
        <v>753</v>
      </c>
      <c r="K439" s="520" t="s">
        <v>741</v>
      </c>
    </row>
    <row r="440" spans="1:15" s="196" customFormat="1">
      <c r="A440" s="421"/>
      <c r="B440" s="394"/>
      <c r="C440" s="389" t="s">
        <v>2058</v>
      </c>
      <c r="D440" s="388"/>
      <c r="E440" s="386"/>
      <c r="F440" s="582">
        <f t="shared" si="66"/>
        <v>0</v>
      </c>
      <c r="G440" s="394"/>
      <c r="H440" s="580"/>
      <c r="I440" s="520"/>
      <c r="J440" s="421"/>
      <c r="K440" s="520"/>
      <c r="L440" s="203"/>
      <c r="M440" s="203"/>
      <c r="N440" s="203"/>
      <c r="O440" s="203"/>
    </row>
    <row r="441" spans="1:15" s="339" customFormat="1">
      <c r="A441" s="421"/>
      <c r="B441" s="338"/>
      <c r="C441" s="209" t="s">
        <v>2058</v>
      </c>
      <c r="D441" s="244"/>
      <c r="E441" s="228"/>
      <c r="F441" s="585">
        <f t="shared" si="66"/>
        <v>0</v>
      </c>
      <c r="G441" s="338"/>
      <c r="H441" s="592"/>
      <c r="I441" s="520"/>
      <c r="J441" s="421"/>
      <c r="K441" s="520"/>
    </row>
    <row r="442" spans="1:15" s="339" customFormat="1">
      <c r="A442" s="421"/>
      <c r="B442" s="621" t="s">
        <v>2103</v>
      </c>
      <c r="C442" s="209" t="s">
        <v>2058</v>
      </c>
      <c r="D442" s="244"/>
      <c r="E442" s="228"/>
      <c r="F442" s="585">
        <f t="shared" si="66"/>
        <v>0</v>
      </c>
      <c r="G442" s="338"/>
      <c r="H442" s="592"/>
      <c r="I442" s="520"/>
      <c r="J442" s="421"/>
      <c r="K442" s="520"/>
    </row>
    <row r="443" spans="1:15" s="339" customFormat="1">
      <c r="A443" s="421"/>
      <c r="B443" s="394" t="s">
        <v>13345</v>
      </c>
      <c r="C443" s="389">
        <v>723</v>
      </c>
      <c r="D443" s="388">
        <f>C443*(1-VLOOKUP(I443,descuentos,6,FALSE))*fcl/IF(dol_sol="dólar", TC,1)</f>
        <v>175.63490449253729</v>
      </c>
      <c r="E443" s="386">
        <v>6</v>
      </c>
      <c r="F443" s="582">
        <f t="shared" si="66"/>
        <v>181.64</v>
      </c>
      <c r="G443" s="394" t="s">
        <v>13346</v>
      </c>
      <c r="H443" s="592" t="s">
        <v>13347</v>
      </c>
      <c r="I443" s="520" t="s">
        <v>11650</v>
      </c>
      <c r="J443" s="421" t="s">
        <v>753</v>
      </c>
      <c r="K443" s="520" t="s">
        <v>741</v>
      </c>
    </row>
    <row r="444" spans="1:15" s="339" customFormat="1">
      <c r="A444" s="421"/>
      <c r="B444" s="394" t="s">
        <v>13945</v>
      </c>
      <c r="C444" s="389">
        <v>746</v>
      </c>
      <c r="D444" s="388">
        <f>C444*(1-VLOOKUP(I444,descuentos,6,FALSE))*fcl/IF(dol_sol="dólar", TC,1)</f>
        <v>181.22218361194027</v>
      </c>
      <c r="E444" s="386">
        <v>6</v>
      </c>
      <c r="F444" s="582">
        <f t="shared" si="66"/>
        <v>187.23</v>
      </c>
      <c r="G444" s="394" t="s">
        <v>13946</v>
      </c>
      <c r="H444" s="592" t="s">
        <v>13947</v>
      </c>
      <c r="I444" s="520" t="s">
        <v>11650</v>
      </c>
      <c r="J444" s="421" t="s">
        <v>753</v>
      </c>
      <c r="K444" s="520" t="s">
        <v>741</v>
      </c>
    </row>
    <row r="445" spans="1:15" s="339" customFormat="1">
      <c r="A445" s="421"/>
      <c r="B445" s="338"/>
      <c r="C445" s="209" t="s">
        <v>2058</v>
      </c>
      <c r="D445" s="244"/>
      <c r="E445" s="228"/>
      <c r="F445" s="585">
        <f t="shared" si="66"/>
        <v>0</v>
      </c>
      <c r="G445" s="338"/>
      <c r="H445" s="592"/>
      <c r="I445" s="520"/>
      <c r="J445" s="421"/>
      <c r="K445" s="520"/>
    </row>
    <row r="446" spans="1:15" s="339" customFormat="1">
      <c r="A446" s="421"/>
      <c r="B446" s="394" t="s">
        <v>2104</v>
      </c>
      <c r="C446" s="389">
        <v>5443</v>
      </c>
      <c r="D446" s="388">
        <f>C446*(1-VLOOKUP(I446,descuentos,6,FALSE))*fcl/IF(dol_sol="dólar", TC,1)</f>
        <v>1322.2417498656716</v>
      </c>
      <c r="E446" s="386">
        <v>6</v>
      </c>
      <c r="F446" s="582">
        <f t="shared" si="66"/>
        <v>1328.25</v>
      </c>
      <c r="G446" s="394" t="s">
        <v>6500</v>
      </c>
      <c r="H446" s="592" t="s">
        <v>2105</v>
      </c>
      <c r="I446" s="520" t="s">
        <v>11650</v>
      </c>
      <c r="J446" s="421" t="s">
        <v>753</v>
      </c>
      <c r="K446" s="520" t="s">
        <v>741</v>
      </c>
    </row>
    <row r="447" spans="1:15" s="339" customFormat="1">
      <c r="A447" s="421"/>
      <c r="B447" s="394" t="s">
        <v>2106</v>
      </c>
      <c r="C447" s="389">
        <v>7456</v>
      </c>
      <c r="D447" s="388">
        <f>C447*(1-VLOOKUP(I447,descuentos,6,FALSE))*fcl/IF(dol_sol="dólar", TC,1)</f>
        <v>1811.2501354029848</v>
      </c>
      <c r="E447" s="386">
        <v>6</v>
      </c>
      <c r="F447" s="582">
        <f t="shared" si="66"/>
        <v>1817.26</v>
      </c>
      <c r="G447" s="394" t="s">
        <v>6501</v>
      </c>
      <c r="H447" s="592" t="s">
        <v>2107</v>
      </c>
      <c r="I447" s="520" t="s">
        <v>11650</v>
      </c>
      <c r="J447" s="421" t="s">
        <v>753</v>
      </c>
      <c r="K447" s="520" t="s">
        <v>741</v>
      </c>
    </row>
    <row r="448" spans="1:15" s="339" customFormat="1">
      <c r="A448" s="421"/>
      <c r="B448" s="394" t="s">
        <v>2108</v>
      </c>
      <c r="C448" s="389">
        <v>19879</v>
      </c>
      <c r="D448" s="388">
        <f>C448*(1-VLOOKUP(I448,descuentos,6,FALSE))*fcl/IF(dol_sol="dólar", TC,1)</f>
        <v>4829.1096354179099</v>
      </c>
      <c r="E448" s="386">
        <v>6</v>
      </c>
      <c r="F448" s="582">
        <f t="shared" si="66"/>
        <v>4835.1100000000006</v>
      </c>
      <c r="G448" s="394" t="s">
        <v>6502</v>
      </c>
      <c r="H448" s="592" t="s">
        <v>2109</v>
      </c>
      <c r="I448" s="520" t="s">
        <v>11650</v>
      </c>
      <c r="J448" s="421" t="s">
        <v>753</v>
      </c>
      <c r="K448" s="520" t="s">
        <v>741</v>
      </c>
    </row>
    <row r="449" spans="1:15" s="339" customFormat="1">
      <c r="A449" s="421"/>
      <c r="B449" s="338"/>
      <c r="C449" s="209" t="s">
        <v>2058</v>
      </c>
      <c r="D449" s="244"/>
      <c r="E449" s="228"/>
      <c r="F449" s="585">
        <f t="shared" si="66"/>
        <v>0</v>
      </c>
      <c r="G449" s="338"/>
      <c r="H449" s="592"/>
      <c r="I449" s="520"/>
      <c r="J449" s="421"/>
      <c r="K449" s="520"/>
    </row>
    <row r="450" spans="1:15" s="339" customFormat="1">
      <c r="A450" s="421"/>
      <c r="B450" s="394" t="s">
        <v>11084</v>
      </c>
      <c r="C450" s="389">
        <v>2982</v>
      </c>
      <c r="D450" s="388">
        <f>C450*(1-VLOOKUP(I450,descuentos,6,FALSE))*fcl/IF(dol_sol="dólar", TC,1)</f>
        <v>724.40288408955212</v>
      </c>
      <c r="E450" s="386">
        <v>6</v>
      </c>
      <c r="F450" s="582">
        <f t="shared" si="66"/>
        <v>730.41</v>
      </c>
      <c r="G450" s="394" t="s">
        <v>11085</v>
      </c>
      <c r="H450" s="592" t="s">
        <v>11086</v>
      </c>
      <c r="I450" s="520" t="s">
        <v>11650</v>
      </c>
      <c r="J450" s="421" t="s">
        <v>753</v>
      </c>
      <c r="K450" s="520" t="s">
        <v>741</v>
      </c>
    </row>
    <row r="451" spans="1:15" s="339" customFormat="1">
      <c r="A451" s="421"/>
      <c r="B451" s="394" t="s">
        <v>11087</v>
      </c>
      <c r="C451" s="389">
        <v>3231</v>
      </c>
      <c r="D451" s="388">
        <f>C451*(1-VLOOKUP(I451,descuentos,6,FALSE))*fcl/IF(dol_sol="dólar", TC,1)</f>
        <v>784.89125368656721</v>
      </c>
      <c r="E451" s="386">
        <v>6</v>
      </c>
      <c r="F451" s="582">
        <f t="shared" si="66"/>
        <v>790.9</v>
      </c>
      <c r="G451" s="394" t="s">
        <v>11088</v>
      </c>
      <c r="H451" s="592" t="s">
        <v>11089</v>
      </c>
      <c r="I451" s="520" t="s">
        <v>11650</v>
      </c>
      <c r="J451" s="421" t="s">
        <v>753</v>
      </c>
      <c r="K451" s="520" t="s">
        <v>741</v>
      </c>
    </row>
    <row r="452" spans="1:15" s="339" customFormat="1">
      <c r="A452" s="421"/>
      <c r="B452" s="394" t="s">
        <v>2110</v>
      </c>
      <c r="C452" s="389">
        <v>3479</v>
      </c>
      <c r="D452" s="388">
        <f>C452*(1-VLOOKUP(I452,descuentos,6,FALSE))*fcl/IF(dol_sol="dólar", TC,1)</f>
        <v>845.13669810447755</v>
      </c>
      <c r="E452" s="386">
        <v>6</v>
      </c>
      <c r="F452" s="582">
        <f t="shared" si="66"/>
        <v>851.14</v>
      </c>
      <c r="G452" s="394" t="s">
        <v>6503</v>
      </c>
      <c r="H452" s="592" t="s">
        <v>13167</v>
      </c>
      <c r="I452" s="520" t="s">
        <v>11650</v>
      </c>
      <c r="J452" s="421" t="s">
        <v>753</v>
      </c>
      <c r="K452" s="520" t="s">
        <v>741</v>
      </c>
    </row>
    <row r="453" spans="1:15" s="196" customFormat="1">
      <c r="A453" s="421"/>
      <c r="B453" s="394" t="s">
        <v>2111</v>
      </c>
      <c r="C453" s="389">
        <v>19879</v>
      </c>
      <c r="D453" s="388">
        <f>C453*(1-VLOOKUP(I453,descuentos,6,FALSE))*fcl/IF(dol_sol="dólar", TC,1)</f>
        <v>4829.1096354179099</v>
      </c>
      <c r="E453" s="386">
        <v>12</v>
      </c>
      <c r="F453" s="582">
        <f t="shared" si="66"/>
        <v>4841.1100000000006</v>
      </c>
      <c r="G453" s="394" t="s">
        <v>6504</v>
      </c>
      <c r="H453" s="592" t="s">
        <v>2112</v>
      </c>
      <c r="I453" s="520" t="s">
        <v>11650</v>
      </c>
      <c r="J453" s="421" t="s">
        <v>753</v>
      </c>
      <c r="K453" s="520" t="s">
        <v>741</v>
      </c>
      <c r="L453" s="203"/>
      <c r="M453" s="203"/>
      <c r="N453" s="203"/>
      <c r="O453" s="203"/>
    </row>
    <row r="454" spans="1:15" s="106" customFormat="1">
      <c r="C454" s="106" t="s">
        <v>2058</v>
      </c>
      <c r="H454" s="724"/>
    </row>
    <row r="455" spans="1:15" s="339" customFormat="1">
      <c r="A455" s="421"/>
      <c r="B455" s="394" t="s">
        <v>9875</v>
      </c>
      <c r="C455" s="389">
        <v>723</v>
      </c>
      <c r="D455" s="388">
        <f>C455*(1-VLOOKUP(I455,descuentos,6,FALSE))*fcl/IF(dol_sol="dólar", TC,1)</f>
        <v>175.63490449253729</v>
      </c>
      <c r="E455" s="386">
        <v>6</v>
      </c>
      <c r="F455" s="582">
        <f t="shared" ref="F455:F463" si="67">ROUNDUP(D455+E455,2)</f>
        <v>181.64</v>
      </c>
      <c r="G455" s="394" t="s">
        <v>9876</v>
      </c>
      <c r="H455" s="592" t="s">
        <v>9877</v>
      </c>
      <c r="I455" s="520" t="s">
        <v>11650</v>
      </c>
      <c r="J455" s="421" t="s">
        <v>753</v>
      </c>
      <c r="K455" s="520" t="s">
        <v>741</v>
      </c>
    </row>
    <row r="456" spans="1:15" s="339" customFormat="1">
      <c r="A456" s="421"/>
      <c r="B456" s="394" t="s">
        <v>9878</v>
      </c>
      <c r="C456" s="389">
        <v>768</v>
      </c>
      <c r="D456" s="388">
        <f>C456*(1-VLOOKUP(I456,descuentos,6,FALSE))*fcl/IF(dol_sol="dólar", TC,1)</f>
        <v>186.56653755223877</v>
      </c>
      <c r="E456" s="386">
        <v>6</v>
      </c>
      <c r="F456" s="582">
        <f t="shared" si="67"/>
        <v>192.57</v>
      </c>
      <c r="G456" s="394" t="s">
        <v>9879</v>
      </c>
      <c r="H456" s="592" t="s">
        <v>9880</v>
      </c>
      <c r="I456" s="520" t="s">
        <v>11650</v>
      </c>
      <c r="J456" s="421" t="s">
        <v>753</v>
      </c>
      <c r="K456" s="520" t="s">
        <v>741</v>
      </c>
    </row>
    <row r="457" spans="1:15" s="339" customFormat="1">
      <c r="A457" s="106"/>
      <c r="B457" s="342" t="s">
        <v>9881</v>
      </c>
      <c r="C457" s="389">
        <v>2896</v>
      </c>
      <c r="D457" s="388">
        <f>C457*(1-VLOOKUP(I457,descuentos,6,FALSE))*fcl/IF(dol_sol="dólar", TC,1)</f>
        <v>703.51131868656705</v>
      </c>
      <c r="E457" s="386">
        <v>6</v>
      </c>
      <c r="F457" s="582">
        <f t="shared" si="67"/>
        <v>709.52</v>
      </c>
      <c r="G457" s="394" t="s">
        <v>9882</v>
      </c>
      <c r="H457" s="592" t="s">
        <v>10381</v>
      </c>
      <c r="I457" s="520" t="s">
        <v>11650</v>
      </c>
      <c r="J457" s="421" t="s">
        <v>753</v>
      </c>
      <c r="K457" s="520" t="s">
        <v>741</v>
      </c>
    </row>
    <row r="458" spans="1:15" s="339" customFormat="1">
      <c r="A458" s="106"/>
      <c r="B458" s="394" t="s">
        <v>9883</v>
      </c>
      <c r="C458" s="389">
        <v>3231</v>
      </c>
      <c r="D458" s="388">
        <f>C458*(1-VLOOKUP(I458,descuentos,6,FALSE))*fcl/IF(dol_sol="dólar", TC,1)</f>
        <v>784.89125368656721</v>
      </c>
      <c r="E458" s="386">
        <v>6</v>
      </c>
      <c r="F458" s="582">
        <f t="shared" si="67"/>
        <v>790.9</v>
      </c>
      <c r="G458" s="394" t="s">
        <v>6500</v>
      </c>
      <c r="H458" s="592" t="s">
        <v>9884</v>
      </c>
      <c r="I458" s="520" t="s">
        <v>11650</v>
      </c>
      <c r="J458" s="421" t="s">
        <v>753</v>
      </c>
      <c r="K458" s="520" t="s">
        <v>741</v>
      </c>
    </row>
    <row r="459" spans="1:15" s="339" customFormat="1">
      <c r="A459" s="421"/>
      <c r="B459" s="338"/>
      <c r="C459" s="209" t="s">
        <v>2058</v>
      </c>
      <c r="D459" s="244"/>
      <c r="E459" s="228"/>
      <c r="F459" s="585"/>
      <c r="G459" s="338"/>
      <c r="H459" s="592"/>
      <c r="I459" s="520"/>
      <c r="J459" s="421"/>
      <c r="K459" s="520"/>
    </row>
    <row r="460" spans="1:15" s="339" customFormat="1">
      <c r="A460" s="421"/>
      <c r="B460" s="621" t="s">
        <v>10382</v>
      </c>
      <c r="C460" s="209" t="s">
        <v>2058</v>
      </c>
      <c r="D460" s="244"/>
      <c r="E460" s="228"/>
      <c r="F460" s="585"/>
      <c r="G460" s="338"/>
      <c r="H460" s="592"/>
      <c r="I460" s="520"/>
      <c r="J460" s="421"/>
      <c r="K460" s="520"/>
    </row>
    <row r="461" spans="1:15" s="339" customFormat="1">
      <c r="A461" s="421"/>
      <c r="B461" s="338"/>
      <c r="C461" s="209" t="s">
        <v>2058</v>
      </c>
      <c r="D461" s="244"/>
      <c r="E461" s="228"/>
      <c r="F461" s="585"/>
      <c r="G461" s="338"/>
      <c r="H461" s="592"/>
      <c r="I461" s="520"/>
      <c r="J461" s="421"/>
      <c r="K461" s="520"/>
    </row>
    <row r="462" spans="1:15" s="339" customFormat="1">
      <c r="A462" s="421"/>
      <c r="B462" s="394" t="s">
        <v>10383</v>
      </c>
      <c r="C462" s="389">
        <v>1390</v>
      </c>
      <c r="D462" s="388">
        <f>C462*(1-VLOOKUP(I462,descuentos,6,FALSE))*fcl/IF(dol_sol="dólar", TC,1)</f>
        <v>337.66599895522381</v>
      </c>
      <c r="E462" s="386">
        <v>6</v>
      </c>
      <c r="F462" s="582">
        <f t="shared" si="67"/>
        <v>343.67</v>
      </c>
      <c r="G462" s="338" t="s">
        <v>10384</v>
      </c>
      <c r="H462" s="592" t="s">
        <v>10385</v>
      </c>
      <c r="I462" s="520" t="s">
        <v>11650</v>
      </c>
      <c r="J462" s="421" t="s">
        <v>753</v>
      </c>
      <c r="K462" s="520" t="s">
        <v>741</v>
      </c>
    </row>
    <row r="463" spans="1:15" s="339" customFormat="1">
      <c r="A463" s="421"/>
      <c r="B463" s="394" t="s">
        <v>10386</v>
      </c>
      <c r="C463" s="389">
        <v>1489</v>
      </c>
      <c r="D463" s="388">
        <f>C463*(1-VLOOKUP(I463,descuentos,6,FALSE))*fcl/IF(dol_sol="dólar", TC,1)</f>
        <v>361.71559168656717</v>
      </c>
      <c r="E463" s="386">
        <v>6</v>
      </c>
      <c r="F463" s="582">
        <f t="shared" si="67"/>
        <v>367.71999999999997</v>
      </c>
      <c r="G463" s="338" t="s">
        <v>10387</v>
      </c>
      <c r="H463" s="592" t="s">
        <v>10388</v>
      </c>
      <c r="I463" s="520" t="s">
        <v>11650</v>
      </c>
      <c r="J463" s="421" t="s">
        <v>753</v>
      </c>
      <c r="K463" s="520" t="s">
        <v>741</v>
      </c>
    </row>
    <row r="464" spans="1:15" s="194" customFormat="1">
      <c r="A464" s="421"/>
      <c r="B464" s="338"/>
      <c r="C464" s="209" t="s">
        <v>2058</v>
      </c>
      <c r="D464" s="244"/>
      <c r="E464" s="228"/>
      <c r="F464" s="585"/>
      <c r="G464" s="338"/>
      <c r="H464" s="592"/>
      <c r="I464" s="520"/>
      <c r="J464" s="421"/>
      <c r="K464" s="520"/>
      <c r="L464" s="106"/>
      <c r="M464" s="106"/>
      <c r="N464" s="106"/>
      <c r="O464" s="106"/>
    </row>
    <row r="465" spans="1:15" s="339" customFormat="1">
      <c r="A465" s="421"/>
      <c r="B465" s="338" t="s">
        <v>14233</v>
      </c>
      <c r="C465" s="209">
        <v>1075</v>
      </c>
      <c r="D465" s="244">
        <f>C465*(1-VLOOKUP(I465,descuentos,6,FALSE))*fcl/IF(dol_sol="dólar", TC,1)</f>
        <v>261.14456753731343</v>
      </c>
      <c r="E465" s="228">
        <v>6</v>
      </c>
      <c r="F465" s="585">
        <f t="shared" ref="F465:F468" si="68">ROUNDUP(D465+E465,2)</f>
        <v>267.14999999999998</v>
      </c>
      <c r="G465" s="338" t="s">
        <v>14234</v>
      </c>
      <c r="H465" s="592" t="s">
        <v>14235</v>
      </c>
      <c r="I465" s="520" t="s">
        <v>11650</v>
      </c>
      <c r="J465" s="421" t="s">
        <v>753</v>
      </c>
      <c r="K465" s="520" t="s">
        <v>741</v>
      </c>
    </row>
    <row r="466" spans="1:15" s="339" customFormat="1">
      <c r="A466" s="421"/>
      <c r="B466" s="338" t="s">
        <v>14236</v>
      </c>
      <c r="C466" s="209">
        <v>1075</v>
      </c>
      <c r="D466" s="244">
        <f>C466*(1-VLOOKUP(I466,descuentos,6,FALSE))*fcl/IF(dol_sol="dólar", TC,1)</f>
        <v>261.14456753731343</v>
      </c>
      <c r="E466" s="228">
        <v>6</v>
      </c>
      <c r="F466" s="585">
        <f t="shared" si="68"/>
        <v>267.14999999999998</v>
      </c>
      <c r="G466" s="338" t="s">
        <v>14237</v>
      </c>
      <c r="H466" s="592" t="s">
        <v>14238</v>
      </c>
      <c r="I466" s="520" t="s">
        <v>11650</v>
      </c>
      <c r="J466" s="421" t="s">
        <v>753</v>
      </c>
      <c r="K466" s="520" t="s">
        <v>741</v>
      </c>
    </row>
    <row r="467" spans="1:15" s="196" customFormat="1">
      <c r="A467" s="421"/>
      <c r="B467" s="338" t="s">
        <v>14239</v>
      </c>
      <c r="C467" s="209">
        <v>1075</v>
      </c>
      <c r="D467" s="244">
        <f>C467*(1-VLOOKUP(I467,descuentos,6,FALSE))*fcl/IF(dol_sol="dólar", TC,1)</f>
        <v>261.14456753731343</v>
      </c>
      <c r="E467" s="228">
        <v>6</v>
      </c>
      <c r="F467" s="585">
        <f t="shared" si="68"/>
        <v>267.14999999999998</v>
      </c>
      <c r="G467" s="338" t="s">
        <v>14240</v>
      </c>
      <c r="H467" s="592" t="s">
        <v>14241</v>
      </c>
      <c r="I467" s="520" t="s">
        <v>11650</v>
      </c>
      <c r="J467" s="421" t="s">
        <v>753</v>
      </c>
      <c r="K467" s="520" t="s">
        <v>741</v>
      </c>
    </row>
    <row r="468" spans="1:15" s="341" customFormat="1">
      <c r="A468" s="421"/>
      <c r="B468" s="338"/>
      <c r="C468" s="209" t="s">
        <v>2058</v>
      </c>
      <c r="D468" s="244"/>
      <c r="E468" s="228"/>
      <c r="F468" s="585">
        <f t="shared" si="68"/>
        <v>0</v>
      </c>
      <c r="G468" s="338"/>
      <c r="H468" s="592"/>
      <c r="I468" s="520"/>
      <c r="J468" s="421"/>
      <c r="K468" s="520"/>
    </row>
    <row r="469" spans="1:15" s="194" customFormat="1">
      <c r="A469" s="421"/>
      <c r="B469" s="1733" t="s">
        <v>6505</v>
      </c>
      <c r="C469" s="209" t="s">
        <v>2058</v>
      </c>
      <c r="D469" s="244"/>
      <c r="E469" s="228"/>
      <c r="F469" s="585"/>
      <c r="G469" s="338"/>
      <c r="H469" s="592"/>
      <c r="I469" s="520"/>
      <c r="J469" s="421"/>
      <c r="K469" s="520"/>
      <c r="L469" s="106"/>
      <c r="M469" s="106"/>
      <c r="N469" s="106"/>
      <c r="O469" s="106"/>
    </row>
    <row r="470" spans="1:15" s="194" customFormat="1">
      <c r="A470" s="421"/>
      <c r="B470" s="338"/>
      <c r="C470" s="209" t="s">
        <v>2058</v>
      </c>
      <c r="D470" s="244"/>
      <c r="E470" s="228"/>
      <c r="F470" s="585"/>
      <c r="G470" s="338"/>
      <c r="H470" s="592"/>
      <c r="I470" s="520"/>
      <c r="J470" s="421"/>
      <c r="K470" s="520"/>
      <c r="L470" s="106"/>
      <c r="M470" s="106"/>
      <c r="N470" s="106"/>
      <c r="O470" s="106"/>
    </row>
    <row r="471" spans="1:15" s="194" customFormat="1">
      <c r="A471" s="421"/>
      <c r="B471" s="338" t="s">
        <v>3371</v>
      </c>
      <c r="C471" s="209">
        <v>66.5</v>
      </c>
      <c r="D471" s="244">
        <f t="shared" ref="D471:D477" si="69">C471*(1-VLOOKUP(I471,descuentos,6,FALSE))*fcl/IF(dol_sol="dólar", TC,1)</f>
        <v>16.15452441044776</v>
      </c>
      <c r="E471" s="228">
        <v>1</v>
      </c>
      <c r="F471" s="585">
        <f t="shared" ref="F471:F477" si="70">ROUNDUP(D471+E471,2)</f>
        <v>17.16</v>
      </c>
      <c r="G471" s="338" t="s">
        <v>6506</v>
      </c>
      <c r="H471" s="592" t="s">
        <v>3372</v>
      </c>
      <c r="I471" s="520" t="s">
        <v>11650</v>
      </c>
      <c r="J471" s="421" t="s">
        <v>753</v>
      </c>
      <c r="K471" s="520" t="s">
        <v>741</v>
      </c>
      <c r="L471" s="106"/>
      <c r="M471" s="106"/>
      <c r="N471" s="106"/>
      <c r="O471" s="106"/>
    </row>
    <row r="472" spans="1:15" s="194" customFormat="1">
      <c r="A472" s="421"/>
      <c r="B472" s="338" t="s">
        <v>3373</v>
      </c>
      <c r="C472" s="209">
        <v>45.1</v>
      </c>
      <c r="D472" s="244">
        <f>C472*(1-VLOOKUP(I472,descuentos,6,FALSE))*fcl/IF(dol_sol="dólar", TC,1)</f>
        <v>10.955925577611939</v>
      </c>
      <c r="E472" s="228">
        <v>1</v>
      </c>
      <c r="F472" s="585">
        <f t="shared" si="70"/>
        <v>11.959999999999999</v>
      </c>
      <c r="G472" s="338" t="s">
        <v>6507</v>
      </c>
      <c r="H472" s="592" t="s">
        <v>3374</v>
      </c>
      <c r="I472" s="520" t="s">
        <v>11650</v>
      </c>
      <c r="J472" s="421" t="s">
        <v>753</v>
      </c>
      <c r="K472" s="520" t="s">
        <v>741</v>
      </c>
      <c r="L472" s="106"/>
      <c r="M472" s="106"/>
      <c r="N472" s="106"/>
      <c r="O472" s="106"/>
    </row>
    <row r="473" spans="1:15" s="194" customFormat="1">
      <c r="A473" s="421"/>
      <c r="B473" s="338" t="s">
        <v>3385</v>
      </c>
      <c r="C473" s="209">
        <v>61.6</v>
      </c>
      <c r="D473" s="244">
        <f t="shared" si="69"/>
        <v>14.964191032835819</v>
      </c>
      <c r="E473" s="228">
        <v>1</v>
      </c>
      <c r="F473" s="585">
        <f t="shared" si="70"/>
        <v>15.97</v>
      </c>
      <c r="G473" s="338" t="s">
        <v>3386</v>
      </c>
      <c r="H473" s="592" t="s">
        <v>6508</v>
      </c>
      <c r="I473" s="520" t="s">
        <v>11650</v>
      </c>
      <c r="J473" s="421" t="s">
        <v>753</v>
      </c>
      <c r="K473" s="520" t="s">
        <v>741</v>
      </c>
      <c r="L473" s="106"/>
      <c r="M473" s="106"/>
      <c r="N473" s="106"/>
      <c r="O473" s="106"/>
    </row>
    <row r="474" spans="1:15" s="194" customFormat="1">
      <c r="A474" s="421"/>
      <c r="B474" s="338" t="s">
        <v>6509</v>
      </c>
      <c r="C474" s="209">
        <v>61.6</v>
      </c>
      <c r="D474" s="244">
        <f t="shared" si="69"/>
        <v>14.964191032835819</v>
      </c>
      <c r="E474" s="228">
        <v>1</v>
      </c>
      <c r="F474" s="585">
        <f t="shared" si="70"/>
        <v>15.97</v>
      </c>
      <c r="G474" s="338" t="s">
        <v>6510</v>
      </c>
      <c r="H474" s="592" t="s">
        <v>6511</v>
      </c>
      <c r="I474" s="520" t="s">
        <v>11650</v>
      </c>
      <c r="J474" s="421" t="s">
        <v>753</v>
      </c>
      <c r="K474" s="520" t="s">
        <v>741</v>
      </c>
      <c r="L474" s="106"/>
      <c r="M474" s="106"/>
      <c r="N474" s="106"/>
      <c r="O474" s="106"/>
    </row>
    <row r="475" spans="1:15" s="194" customFormat="1">
      <c r="A475" s="421"/>
      <c r="B475" s="338" t="s">
        <v>6512</v>
      </c>
      <c r="C475" s="209">
        <v>48</v>
      </c>
      <c r="D475" s="244">
        <f t="shared" si="69"/>
        <v>11.660408597014923</v>
      </c>
      <c r="E475" s="228">
        <v>1</v>
      </c>
      <c r="F475" s="585">
        <f t="shared" si="70"/>
        <v>12.67</v>
      </c>
      <c r="G475" s="338" t="s">
        <v>6513</v>
      </c>
      <c r="H475" s="592" t="s">
        <v>3387</v>
      </c>
      <c r="I475" s="520" t="s">
        <v>11650</v>
      </c>
      <c r="J475" s="421" t="s">
        <v>753</v>
      </c>
      <c r="K475" s="520" t="s">
        <v>741</v>
      </c>
      <c r="L475" s="106"/>
      <c r="M475" s="106"/>
      <c r="N475" s="106"/>
      <c r="O475" s="106"/>
    </row>
    <row r="476" spans="1:15" s="194" customFormat="1">
      <c r="A476" s="421"/>
      <c r="B476" s="338" t="s">
        <v>3375</v>
      </c>
      <c r="C476" s="209">
        <v>152</v>
      </c>
      <c r="D476" s="244">
        <f t="shared" si="69"/>
        <v>36.924627223880591</v>
      </c>
      <c r="E476" s="228">
        <v>1</v>
      </c>
      <c r="F476" s="585">
        <f t="shared" si="70"/>
        <v>37.93</v>
      </c>
      <c r="G476" s="338" t="s">
        <v>3377</v>
      </c>
      <c r="H476" s="592" t="s">
        <v>3376</v>
      </c>
      <c r="I476" s="520" t="s">
        <v>11650</v>
      </c>
      <c r="J476" s="421" t="s">
        <v>753</v>
      </c>
      <c r="K476" s="520" t="s">
        <v>741</v>
      </c>
      <c r="L476" s="106"/>
      <c r="M476" s="106"/>
      <c r="N476" s="106"/>
      <c r="O476" s="106"/>
    </row>
    <row r="477" spans="1:15" s="194" customFormat="1">
      <c r="A477" s="421"/>
      <c r="B477" s="338" t="s">
        <v>3382</v>
      </c>
      <c r="C477" s="209">
        <v>160</v>
      </c>
      <c r="D477" s="244">
        <f t="shared" si="69"/>
        <v>38.868028656716419</v>
      </c>
      <c r="E477" s="228">
        <v>1</v>
      </c>
      <c r="F477" s="585">
        <f t="shared" si="70"/>
        <v>39.869999999999997</v>
      </c>
      <c r="G477" s="338" t="s">
        <v>3383</v>
      </c>
      <c r="H477" s="592" t="s">
        <v>3384</v>
      </c>
      <c r="I477" s="520" t="s">
        <v>11650</v>
      </c>
      <c r="J477" s="421" t="s">
        <v>753</v>
      </c>
      <c r="K477" s="520" t="s">
        <v>741</v>
      </c>
      <c r="L477" s="106"/>
      <c r="M477" s="106"/>
      <c r="N477" s="106"/>
      <c r="O477" s="106"/>
    </row>
    <row r="478" spans="1:15" s="194" customFormat="1">
      <c r="A478" s="421"/>
      <c r="B478" s="338"/>
      <c r="C478" s="209" t="s">
        <v>2058</v>
      </c>
      <c r="D478" s="244"/>
      <c r="E478" s="228"/>
      <c r="F478" s="585"/>
      <c r="G478" s="338"/>
      <c r="H478" s="592"/>
      <c r="I478" s="520"/>
      <c r="J478" s="421"/>
      <c r="K478" s="520"/>
      <c r="L478" s="106"/>
      <c r="M478" s="106"/>
      <c r="N478" s="106"/>
      <c r="O478" s="106"/>
    </row>
    <row r="479" spans="1:15" s="194" customFormat="1">
      <c r="A479" s="421"/>
      <c r="B479" s="338" t="s">
        <v>4422</v>
      </c>
      <c r="C479" s="209">
        <v>217</v>
      </c>
      <c r="D479" s="244">
        <f>C479*(1-VLOOKUP(I479,descuentos,6,FALSE))*fcl/IF(dol_sol="dólar", TC,1)</f>
        <v>52.714763865671635</v>
      </c>
      <c r="E479" s="228">
        <v>2</v>
      </c>
      <c r="F479" s="585">
        <f>ROUNDUP(D479+E479,2)</f>
        <v>54.72</v>
      </c>
      <c r="G479" s="338" t="s">
        <v>4423</v>
      </c>
      <c r="H479" s="592" t="s">
        <v>4424</v>
      </c>
      <c r="I479" s="520" t="s">
        <v>11650</v>
      </c>
      <c r="J479" s="421" t="s">
        <v>753</v>
      </c>
      <c r="K479" s="520" t="s">
        <v>741</v>
      </c>
      <c r="L479" s="106"/>
      <c r="M479" s="106"/>
      <c r="N479" s="106"/>
      <c r="O479" s="106"/>
    </row>
    <row r="480" spans="1:15" s="194" customFormat="1">
      <c r="A480" s="421"/>
      <c r="B480" s="338"/>
      <c r="C480" s="209" t="s">
        <v>2058</v>
      </c>
      <c r="D480" s="244"/>
      <c r="E480" s="228"/>
      <c r="F480" s="585"/>
      <c r="G480" s="338"/>
      <c r="H480" s="592"/>
      <c r="I480" s="520"/>
      <c r="J480" s="421"/>
      <c r="K480" s="520"/>
      <c r="L480" s="106"/>
      <c r="M480" s="106"/>
      <c r="N480" s="106"/>
      <c r="O480" s="106"/>
    </row>
    <row r="481" spans="1:15" s="339" customFormat="1">
      <c r="A481" s="421"/>
      <c r="B481" s="1659" t="s">
        <v>5531</v>
      </c>
      <c r="C481" s="389">
        <v>163</v>
      </c>
      <c r="D481" s="388">
        <f>C481*(1-VLOOKUP(I481,descuentos,6,FALSE))*fcl/TC</f>
        <v>39.596804194029843</v>
      </c>
      <c r="E481" s="386">
        <v>1</v>
      </c>
      <c r="F481" s="582">
        <f>ROUNDUP(D481+E481,2)</f>
        <v>40.6</v>
      </c>
      <c r="G481" s="1659" t="s">
        <v>5532</v>
      </c>
      <c r="H481" s="2014" t="s">
        <v>5533</v>
      </c>
      <c r="I481" s="1659" t="s">
        <v>11650</v>
      </c>
      <c r="J481" s="1660" t="s">
        <v>753</v>
      </c>
      <c r="K481" s="1659" t="s">
        <v>741</v>
      </c>
    </row>
    <row r="482" spans="1:15" s="339" customFormat="1">
      <c r="A482" s="421"/>
      <c r="B482" s="1114"/>
      <c r="C482" s="209" t="s">
        <v>2058</v>
      </c>
      <c r="D482" s="244"/>
      <c r="E482" s="228"/>
      <c r="F482" s="585"/>
      <c r="G482" s="1114"/>
      <c r="H482" s="2015"/>
      <c r="I482" s="1114"/>
      <c r="J482" s="1658"/>
      <c r="K482" s="1114"/>
    </row>
    <row r="483" spans="1:15" s="194" customFormat="1">
      <c r="A483" s="1734"/>
      <c r="B483" s="338" t="s">
        <v>6514</v>
      </c>
      <c r="C483" s="209">
        <v>23</v>
      </c>
      <c r="D483" s="244">
        <f>C483*(1-VLOOKUP(I483,descuentos,6,FALSE))*fcl/IF(dol_sol="dólar", TC,1)</f>
        <v>5.5872791194029841</v>
      </c>
      <c r="E483" s="228">
        <v>0</v>
      </c>
      <c r="F483" s="585">
        <f>ROUNDUP(D483+E483,2)</f>
        <v>5.59</v>
      </c>
      <c r="G483" s="338" t="s">
        <v>6515</v>
      </c>
      <c r="H483" s="592" t="s">
        <v>6516</v>
      </c>
      <c r="I483" s="520" t="s">
        <v>11650</v>
      </c>
      <c r="J483" s="421" t="s">
        <v>753</v>
      </c>
      <c r="K483" s="520" t="s">
        <v>741</v>
      </c>
      <c r="L483" s="106"/>
      <c r="M483" s="106"/>
      <c r="N483" s="106"/>
      <c r="O483" s="106"/>
    </row>
    <row r="484" spans="1:15" s="194" customFormat="1">
      <c r="A484" s="421"/>
      <c r="B484" s="338"/>
      <c r="C484" s="209" t="s">
        <v>2058</v>
      </c>
      <c r="D484" s="244"/>
      <c r="E484" s="228"/>
      <c r="F484" s="585"/>
      <c r="G484" s="338"/>
      <c r="H484" s="592"/>
      <c r="I484" s="520"/>
      <c r="J484" s="421"/>
      <c r="K484" s="520"/>
      <c r="L484" s="106"/>
      <c r="M484" s="106"/>
      <c r="N484" s="106"/>
      <c r="O484" s="106"/>
    </row>
    <row r="485" spans="1:15" s="194" customFormat="1">
      <c r="A485" s="421"/>
      <c r="B485" s="338" t="s">
        <v>12523</v>
      </c>
      <c r="C485" s="209">
        <v>4684.3</v>
      </c>
      <c r="D485" s="244">
        <f t="shared" ref="D485:D500" si="71">C485*(1-VLOOKUP(I485,descuentos,6,FALSE))*fcl/IF(dol_sol="dólar", TC,1)</f>
        <v>1137.9344164791044</v>
      </c>
      <c r="E485" s="228">
        <v>10</v>
      </c>
      <c r="F485" s="585">
        <f t="shared" ref="F485:F500" si="72">ROUNDUP(D485+E485,2)</f>
        <v>1147.94</v>
      </c>
      <c r="G485" s="338" t="s">
        <v>12524</v>
      </c>
      <c r="H485" s="520" t="s">
        <v>12525</v>
      </c>
      <c r="I485" s="520" t="s">
        <v>11650</v>
      </c>
      <c r="J485" s="421" t="s">
        <v>753</v>
      </c>
      <c r="K485" s="520" t="s">
        <v>741</v>
      </c>
      <c r="L485" s="106"/>
      <c r="M485" s="106"/>
      <c r="N485" s="106"/>
      <c r="O485" s="106"/>
    </row>
    <row r="486" spans="1:15" s="194" customFormat="1">
      <c r="A486" s="421"/>
      <c r="B486" s="338" t="s">
        <v>12526</v>
      </c>
      <c r="C486" s="209">
        <v>6206.8</v>
      </c>
      <c r="D486" s="244">
        <f t="shared" si="71"/>
        <v>1507.7880016656716</v>
      </c>
      <c r="E486" s="228">
        <v>10</v>
      </c>
      <c r="F486" s="585">
        <f t="shared" si="72"/>
        <v>1517.79</v>
      </c>
      <c r="G486" s="338" t="s">
        <v>12527</v>
      </c>
      <c r="H486" s="520" t="s">
        <v>12528</v>
      </c>
      <c r="I486" s="520" t="s">
        <v>11650</v>
      </c>
      <c r="J486" s="421" t="s">
        <v>753</v>
      </c>
      <c r="K486" s="520" t="s">
        <v>741</v>
      </c>
      <c r="L486" s="106"/>
      <c r="M486" s="106"/>
      <c r="N486" s="106"/>
      <c r="O486" s="106"/>
    </row>
    <row r="487" spans="1:15" s="194" customFormat="1">
      <c r="A487" s="421"/>
      <c r="B487" s="338" t="s">
        <v>12529</v>
      </c>
      <c r="C487" s="209">
        <v>1787.6</v>
      </c>
      <c r="D487" s="244">
        <f t="shared" si="71"/>
        <v>434.25305016716413</v>
      </c>
      <c r="E487" s="228">
        <v>10</v>
      </c>
      <c r="F487" s="585">
        <f t="shared" si="72"/>
        <v>444.26</v>
      </c>
      <c r="G487" s="338" t="s">
        <v>12530</v>
      </c>
      <c r="H487" s="520" t="s">
        <v>12531</v>
      </c>
      <c r="I487" s="520" t="s">
        <v>11650</v>
      </c>
      <c r="J487" s="421" t="s">
        <v>753</v>
      </c>
      <c r="K487" s="520" t="s">
        <v>741</v>
      </c>
      <c r="L487" s="106"/>
      <c r="M487" s="106"/>
      <c r="N487" s="106"/>
      <c r="O487" s="106"/>
    </row>
    <row r="488" spans="1:15" s="194" customFormat="1">
      <c r="A488" s="421"/>
      <c r="B488" s="338" t="s">
        <v>12532</v>
      </c>
      <c r="C488" s="209">
        <v>821.2</v>
      </c>
      <c r="D488" s="244">
        <f t="shared" si="71"/>
        <v>199.49015708059702</v>
      </c>
      <c r="E488" s="228">
        <v>10</v>
      </c>
      <c r="F488" s="585">
        <f t="shared" si="72"/>
        <v>209.5</v>
      </c>
      <c r="G488" s="338" t="s">
        <v>12533</v>
      </c>
      <c r="H488" s="520" t="s">
        <v>12534</v>
      </c>
      <c r="I488" s="520" t="s">
        <v>11650</v>
      </c>
      <c r="J488" s="421" t="s">
        <v>753</v>
      </c>
      <c r="K488" s="520" t="s">
        <v>741</v>
      </c>
      <c r="L488" s="106"/>
      <c r="M488" s="106"/>
      <c r="N488" s="106"/>
      <c r="O488" s="106"/>
    </row>
    <row r="489" spans="1:15" s="194" customFormat="1">
      <c r="A489" s="421"/>
      <c r="B489" s="338" t="s">
        <v>12535</v>
      </c>
      <c r="C489" s="209">
        <v>3938.7999999999997</v>
      </c>
      <c r="D489" s="244">
        <f t="shared" si="71"/>
        <v>956.83369545671621</v>
      </c>
      <c r="E489" s="228">
        <v>20</v>
      </c>
      <c r="F489" s="585">
        <f t="shared" si="72"/>
        <v>976.84</v>
      </c>
      <c r="G489" s="338" t="s">
        <v>12536</v>
      </c>
      <c r="H489" s="520" t="s">
        <v>12537</v>
      </c>
      <c r="I489" s="520" t="s">
        <v>11650</v>
      </c>
      <c r="J489" s="421" t="s">
        <v>753</v>
      </c>
      <c r="K489" s="520" t="s">
        <v>741</v>
      </c>
      <c r="L489" s="106"/>
      <c r="M489" s="106"/>
      <c r="N489" s="106"/>
      <c r="O489" s="106"/>
    </row>
    <row r="490" spans="1:15" s="194" customFormat="1">
      <c r="A490" s="421"/>
      <c r="B490" s="338" t="s">
        <v>12538</v>
      </c>
      <c r="C490" s="209">
        <v>5684.4000000000005</v>
      </c>
      <c r="D490" s="244">
        <f t="shared" si="71"/>
        <v>1380.8838881014924</v>
      </c>
      <c r="E490" s="228">
        <v>20</v>
      </c>
      <c r="F490" s="585">
        <f t="shared" si="72"/>
        <v>1400.89</v>
      </c>
      <c r="G490" s="338" t="s">
        <v>12539</v>
      </c>
      <c r="H490" s="520" t="s">
        <v>12540</v>
      </c>
      <c r="I490" s="520" t="s">
        <v>11650</v>
      </c>
      <c r="J490" s="421" t="s">
        <v>753</v>
      </c>
      <c r="K490" s="520" t="s">
        <v>741</v>
      </c>
      <c r="L490" s="106"/>
      <c r="M490" s="106"/>
      <c r="N490" s="106"/>
      <c r="O490" s="106"/>
    </row>
    <row r="491" spans="1:15" s="194" customFormat="1">
      <c r="A491" s="421"/>
      <c r="B491" s="338" t="s">
        <v>12541</v>
      </c>
      <c r="C491" s="209">
        <v>7173.6</v>
      </c>
      <c r="D491" s="244">
        <f t="shared" si="71"/>
        <v>1742.6480648238808</v>
      </c>
      <c r="E491" s="228">
        <v>20</v>
      </c>
      <c r="F491" s="585">
        <f t="shared" si="72"/>
        <v>1762.65</v>
      </c>
      <c r="G491" s="338" t="s">
        <v>12542</v>
      </c>
      <c r="H491" s="520" t="s">
        <v>12543</v>
      </c>
      <c r="I491" s="520" t="s">
        <v>11650</v>
      </c>
      <c r="J491" s="421" t="s">
        <v>753</v>
      </c>
      <c r="K491" s="520" t="s">
        <v>741</v>
      </c>
      <c r="L491" s="106"/>
      <c r="M491" s="106"/>
      <c r="N491" s="106"/>
      <c r="O491" s="106"/>
    </row>
    <row r="492" spans="1:15" s="194" customFormat="1">
      <c r="A492" s="421"/>
      <c r="B492" s="338" t="s">
        <v>12544</v>
      </c>
      <c r="C492" s="209">
        <v>8946.2000000000007</v>
      </c>
      <c r="D492" s="244">
        <f t="shared" si="71"/>
        <v>2173.2572373044773</v>
      </c>
      <c r="E492" s="228">
        <v>20</v>
      </c>
      <c r="F492" s="585">
        <f t="shared" si="72"/>
        <v>2193.2600000000002</v>
      </c>
      <c r="G492" s="338" t="s">
        <v>12545</v>
      </c>
      <c r="H492" s="520" t="s">
        <v>12546</v>
      </c>
      <c r="I492" s="520" t="s">
        <v>11650</v>
      </c>
      <c r="J492" s="421" t="s">
        <v>753</v>
      </c>
      <c r="K492" s="520" t="s">
        <v>741</v>
      </c>
      <c r="L492" s="106"/>
      <c r="M492" s="106"/>
      <c r="N492" s="106"/>
      <c r="O492" s="106"/>
    </row>
    <row r="493" spans="1:15" s="194" customFormat="1">
      <c r="A493" s="421"/>
      <c r="B493" s="338" t="s">
        <v>12547</v>
      </c>
      <c r="C493" s="209">
        <v>4804.9000000000005</v>
      </c>
      <c r="D493" s="244">
        <f t="shared" si="71"/>
        <v>1167.2311930791045</v>
      </c>
      <c r="E493" s="228">
        <v>20</v>
      </c>
      <c r="F493" s="585">
        <f t="shared" si="72"/>
        <v>1187.24</v>
      </c>
      <c r="G493" s="338" t="s">
        <v>12548</v>
      </c>
      <c r="H493" s="520" t="s">
        <v>12549</v>
      </c>
      <c r="I493" s="520" t="s">
        <v>11650</v>
      </c>
      <c r="J493" s="421" t="s">
        <v>753</v>
      </c>
      <c r="K493" s="520" t="s">
        <v>741</v>
      </c>
      <c r="L493" s="106"/>
      <c r="M493" s="106"/>
      <c r="N493" s="106"/>
      <c r="O493" s="106"/>
    </row>
    <row r="494" spans="1:15" s="194" customFormat="1">
      <c r="A494" s="421"/>
      <c r="B494" s="338" t="s">
        <v>12550</v>
      </c>
      <c r="C494" s="209">
        <v>7268.2000000000007</v>
      </c>
      <c r="D494" s="244">
        <f t="shared" si="71"/>
        <v>1765.628786767164</v>
      </c>
      <c r="E494" s="228">
        <v>20</v>
      </c>
      <c r="F494" s="585">
        <f t="shared" si="72"/>
        <v>1785.6299999999999</v>
      </c>
      <c r="G494" s="338" t="s">
        <v>12551</v>
      </c>
      <c r="H494" s="520" t="s">
        <v>12552</v>
      </c>
      <c r="I494" s="520" t="s">
        <v>11650</v>
      </c>
      <c r="J494" s="421" t="s">
        <v>753</v>
      </c>
      <c r="K494" s="520" t="s">
        <v>741</v>
      </c>
      <c r="L494" s="106"/>
      <c r="M494" s="106"/>
      <c r="N494" s="106"/>
      <c r="O494" s="106"/>
    </row>
    <row r="495" spans="1:15" s="194" customFormat="1">
      <c r="A495" s="421"/>
      <c r="B495" s="338" t="s">
        <v>12553</v>
      </c>
      <c r="C495" s="209">
        <v>8066.8</v>
      </c>
      <c r="D495" s="244">
        <f t="shared" si="71"/>
        <v>1959.6288347999998</v>
      </c>
      <c r="E495" s="228">
        <v>20</v>
      </c>
      <c r="F495" s="585">
        <f t="shared" si="72"/>
        <v>1979.6299999999999</v>
      </c>
      <c r="G495" s="338" t="s">
        <v>12554</v>
      </c>
      <c r="H495" s="520" t="s">
        <v>12555</v>
      </c>
      <c r="I495" s="520" t="s">
        <v>11650</v>
      </c>
      <c r="J495" s="421" t="s">
        <v>753</v>
      </c>
      <c r="K495" s="520" t="s">
        <v>741</v>
      </c>
      <c r="L495" s="106"/>
      <c r="M495" s="106"/>
      <c r="N495" s="106"/>
      <c r="O495" s="106"/>
    </row>
    <row r="496" spans="1:15" s="194" customFormat="1">
      <c r="A496" s="421"/>
      <c r="B496" s="338" t="s">
        <v>12556</v>
      </c>
      <c r="C496" s="209">
        <v>9785.7000000000007</v>
      </c>
      <c r="D496" s="244">
        <f t="shared" si="71"/>
        <v>2377.1929251626866</v>
      </c>
      <c r="E496" s="228">
        <v>20</v>
      </c>
      <c r="F496" s="585">
        <f t="shared" si="72"/>
        <v>2397.2000000000003</v>
      </c>
      <c r="G496" s="338" t="s">
        <v>12557</v>
      </c>
      <c r="H496" s="520" t="s">
        <v>12558</v>
      </c>
      <c r="I496" s="520" t="s">
        <v>11650</v>
      </c>
      <c r="J496" s="421" t="s">
        <v>753</v>
      </c>
      <c r="K496" s="520" t="s">
        <v>741</v>
      </c>
      <c r="L496" s="106"/>
      <c r="M496" s="106"/>
      <c r="N496" s="106"/>
      <c r="O496" s="106"/>
    </row>
    <row r="497" spans="1:15" s="194" customFormat="1">
      <c r="A497" s="421"/>
      <c r="B497" s="338" t="s">
        <v>12559</v>
      </c>
      <c r="C497" s="209">
        <v>178.7</v>
      </c>
      <c r="D497" s="244">
        <f t="shared" si="71"/>
        <v>43.410729505970139</v>
      </c>
      <c r="E497" s="228">
        <v>5</v>
      </c>
      <c r="F497" s="585">
        <f t="shared" si="72"/>
        <v>48.419999999999995</v>
      </c>
      <c r="G497" s="338" t="s">
        <v>12560</v>
      </c>
      <c r="H497" s="520" t="s">
        <v>12561</v>
      </c>
      <c r="I497" s="520" t="s">
        <v>11650</v>
      </c>
      <c r="J497" s="421" t="s">
        <v>753</v>
      </c>
      <c r="K497" s="520" t="s">
        <v>741</v>
      </c>
      <c r="L497" s="106"/>
      <c r="M497" s="106"/>
      <c r="N497" s="106"/>
      <c r="O497" s="106"/>
    </row>
    <row r="498" spans="1:15" s="194" customFormat="1">
      <c r="A498" s="421"/>
      <c r="B498" s="338" t="s">
        <v>12562</v>
      </c>
      <c r="C498" s="209">
        <v>2068</v>
      </c>
      <c r="D498" s="244">
        <f t="shared" si="71"/>
        <v>502.36927038805965</v>
      </c>
      <c r="E498" s="228">
        <v>10</v>
      </c>
      <c r="F498" s="585">
        <f t="shared" si="72"/>
        <v>512.37</v>
      </c>
      <c r="G498" s="338" t="s">
        <v>12563</v>
      </c>
      <c r="H498" s="520" t="s">
        <v>12564</v>
      </c>
      <c r="I498" s="520" t="s">
        <v>11650</v>
      </c>
      <c r="J498" s="421" t="s">
        <v>753</v>
      </c>
      <c r="K498" s="520" t="s">
        <v>741</v>
      </c>
      <c r="L498" s="106"/>
      <c r="M498" s="106"/>
      <c r="N498" s="106"/>
      <c r="O498" s="106"/>
    </row>
    <row r="499" spans="1:15" s="194" customFormat="1">
      <c r="A499" s="421"/>
      <c r="B499" s="338" t="s">
        <v>12565</v>
      </c>
      <c r="C499" s="209">
        <v>121</v>
      </c>
      <c r="D499" s="244">
        <f t="shared" ref="D499" si="73">C499*(1-VLOOKUP(I499,descuentos,6,FALSE))*fcl/IF(dol_sol="dólar", TC,1)</f>
        <v>29.393946671641785</v>
      </c>
      <c r="E499" s="228">
        <v>5</v>
      </c>
      <c r="F499" s="585">
        <f t="shared" si="72"/>
        <v>34.4</v>
      </c>
      <c r="G499" s="338" t="s">
        <v>12566</v>
      </c>
      <c r="H499" s="520" t="s">
        <v>12567</v>
      </c>
      <c r="I499" s="520" t="s">
        <v>11650</v>
      </c>
      <c r="J499" s="421" t="s">
        <v>753</v>
      </c>
      <c r="K499" s="520" t="s">
        <v>741</v>
      </c>
      <c r="L499" s="106"/>
      <c r="M499" s="106"/>
      <c r="N499" s="106"/>
      <c r="O499" s="106"/>
    </row>
    <row r="500" spans="1:15" s="194" customFormat="1">
      <c r="A500" s="421"/>
      <c r="B500" s="338" t="s">
        <v>12568</v>
      </c>
      <c r="C500" s="209">
        <v>121</v>
      </c>
      <c r="D500" s="244">
        <f t="shared" si="71"/>
        <v>29.393946671641785</v>
      </c>
      <c r="E500" s="228">
        <v>5</v>
      </c>
      <c r="F500" s="585">
        <f t="shared" si="72"/>
        <v>34.4</v>
      </c>
      <c r="G500" s="338" t="s">
        <v>12569</v>
      </c>
      <c r="H500" s="520" t="s">
        <v>12570</v>
      </c>
      <c r="I500" s="520" t="s">
        <v>11650</v>
      </c>
      <c r="J500" s="421" t="s">
        <v>753</v>
      </c>
      <c r="K500" s="520" t="s">
        <v>741</v>
      </c>
      <c r="L500" s="106"/>
      <c r="M500" s="106"/>
      <c r="N500" s="106"/>
      <c r="O500" s="106"/>
    </row>
    <row r="501" spans="1:15" s="194" customFormat="1">
      <c r="A501" s="421"/>
      <c r="B501" s="338"/>
      <c r="C501" s="209" t="s">
        <v>2058</v>
      </c>
      <c r="D501" s="244"/>
      <c r="E501" s="228"/>
      <c r="F501" s="585"/>
      <c r="G501" s="338"/>
      <c r="H501" s="592"/>
      <c r="I501" s="520"/>
      <c r="J501" s="421"/>
      <c r="K501" s="520"/>
      <c r="L501" s="106"/>
      <c r="M501" s="106"/>
      <c r="N501" s="106"/>
      <c r="O501" s="106"/>
    </row>
    <row r="502" spans="1:15" s="194" customFormat="1">
      <c r="A502" s="421"/>
      <c r="B502" s="1694" t="s">
        <v>6236</v>
      </c>
      <c r="C502" s="209" t="s">
        <v>2058</v>
      </c>
      <c r="D502" s="244"/>
      <c r="E502" s="228"/>
      <c r="F502" s="585"/>
      <c r="G502" s="338"/>
      <c r="H502" s="592"/>
      <c r="I502" s="520"/>
      <c r="J502" s="421"/>
      <c r="K502" s="520"/>
      <c r="L502" s="106"/>
      <c r="M502" s="106"/>
      <c r="N502" s="106"/>
      <c r="O502" s="106"/>
    </row>
    <row r="503" spans="1:15" s="106" customFormat="1">
      <c r="B503" s="338" t="s">
        <v>1225</v>
      </c>
      <c r="C503" s="209">
        <v>1031.5999999999999</v>
      </c>
      <c r="D503" s="244">
        <f>C503*(1-VLOOKUP(I503,descuentos,6,FALSE))*fcl/IF(dol_sol="dólar", TC,1)</f>
        <v>250.60161476417906</v>
      </c>
      <c r="E503" s="228">
        <v>10</v>
      </c>
      <c r="F503" s="585">
        <f>ROUNDUP(D503+E503,2)</f>
        <v>260.61</v>
      </c>
      <c r="G503" s="338" t="s">
        <v>4425</v>
      </c>
      <c r="H503" s="592" t="s">
        <v>1226</v>
      </c>
      <c r="I503" s="520" t="s">
        <v>11650</v>
      </c>
      <c r="J503" s="421" t="s">
        <v>753</v>
      </c>
      <c r="K503" s="520" t="s">
        <v>741</v>
      </c>
    </row>
    <row r="504" spans="1:15" s="106" customFormat="1">
      <c r="B504" s="338" t="s">
        <v>9148</v>
      </c>
      <c r="C504" s="209">
        <v>1031.5999999999999</v>
      </c>
      <c r="D504" s="244">
        <f>C504*(1-VLOOKUP(I504,descuentos,6,FALSE))*fcl/IF(dol_sol="dólar", TC,1)</f>
        <v>250.60161476417906</v>
      </c>
      <c r="E504" s="228">
        <v>10</v>
      </c>
      <c r="F504" s="585">
        <f>ROUNDUP(D504+E504,2)</f>
        <v>260.61</v>
      </c>
      <c r="G504" s="338" t="s">
        <v>9149</v>
      </c>
      <c r="H504" s="592" t="s">
        <v>1226</v>
      </c>
      <c r="I504" s="520" t="s">
        <v>11650</v>
      </c>
      <c r="J504" s="421" t="s">
        <v>753</v>
      </c>
      <c r="K504" s="520" t="s">
        <v>741</v>
      </c>
    </row>
    <row r="505" spans="1:15" s="106" customFormat="1">
      <c r="B505" s="338" t="s">
        <v>1224</v>
      </c>
      <c r="C505" s="209">
        <v>1226.8999999999999</v>
      </c>
      <c r="D505" s="244">
        <f>C505*(1-VLOOKUP(I505,descuentos,6,FALSE))*fcl/IF(dol_sol="dólar", TC,1)</f>
        <v>298.04490224328356</v>
      </c>
      <c r="E505" s="228">
        <v>10</v>
      </c>
      <c r="F505" s="585">
        <f>ROUNDUP(D505+E505,2)</f>
        <v>308.05</v>
      </c>
      <c r="G505" s="359" t="s">
        <v>4426</v>
      </c>
      <c r="H505" s="592" t="s">
        <v>1227</v>
      </c>
      <c r="I505" s="520" t="s">
        <v>11650</v>
      </c>
      <c r="J505" s="421" t="s">
        <v>753</v>
      </c>
      <c r="K505" s="520" t="s">
        <v>741</v>
      </c>
    </row>
    <row r="506" spans="1:15" s="106" customFormat="1">
      <c r="B506" s="338"/>
      <c r="C506" s="209" t="s">
        <v>2058</v>
      </c>
      <c r="D506" s="244"/>
      <c r="E506" s="228"/>
      <c r="F506" s="585"/>
      <c r="G506" s="338"/>
      <c r="H506" s="592"/>
      <c r="I506" s="520"/>
      <c r="J506" s="421"/>
      <c r="K506" s="520"/>
    </row>
    <row r="507" spans="1:15" s="194" customFormat="1">
      <c r="A507" s="421"/>
      <c r="B507" s="1694" t="s">
        <v>6237</v>
      </c>
      <c r="C507" s="209" t="s">
        <v>2058</v>
      </c>
      <c r="D507" s="244"/>
      <c r="E507" s="228"/>
      <c r="F507" s="585"/>
      <c r="G507" s="338"/>
      <c r="H507" s="592"/>
      <c r="I507" s="520"/>
      <c r="J507" s="421"/>
      <c r="K507" s="520"/>
      <c r="L507" s="106"/>
      <c r="M507" s="106"/>
      <c r="N507" s="106"/>
      <c r="O507" s="106"/>
    </row>
    <row r="508" spans="1:15" s="106" customFormat="1">
      <c r="B508" s="338" t="s">
        <v>14108</v>
      </c>
      <c r="C508" s="209">
        <v>817</v>
      </c>
      <c r="D508" s="244">
        <f t="shared" ref="D508" si="74">C508*(1-VLOOKUP(I508,descuentos,6,FALSE))*fcl/IF(dol_sol="dólar", TC,1)</f>
        <v>198.46987132835818</v>
      </c>
      <c r="E508" s="228">
        <v>5</v>
      </c>
      <c r="F508" s="585">
        <f t="shared" ref="F508" si="75">ROUNDUP(D508+E508,2)</f>
        <v>203.47</v>
      </c>
      <c r="G508" s="338" t="s">
        <v>12429</v>
      </c>
      <c r="H508" s="592" t="s">
        <v>12430</v>
      </c>
      <c r="I508" s="520" t="s">
        <v>11650</v>
      </c>
      <c r="J508" s="421" t="s">
        <v>753</v>
      </c>
      <c r="K508" s="520" t="s">
        <v>741</v>
      </c>
    </row>
    <row r="509" spans="1:15" s="106" customFormat="1">
      <c r="B509" s="338"/>
      <c r="C509" s="209" t="s">
        <v>2058</v>
      </c>
      <c r="D509" s="244"/>
      <c r="E509" s="228"/>
      <c r="F509" s="585"/>
      <c r="G509" s="338"/>
      <c r="H509" s="592"/>
      <c r="I509" s="520"/>
      <c r="J509" s="421"/>
      <c r="K509" s="520"/>
    </row>
    <row r="510" spans="1:15" s="106" customFormat="1">
      <c r="B510" s="338" t="s">
        <v>6517</v>
      </c>
      <c r="C510" s="209">
        <v>240.6</v>
      </c>
      <c r="D510" s="244">
        <f t="shared" ref="D510:D515" si="76">C510*(1-VLOOKUP(I510,descuentos,6,FALSE))*fcl/IF(dol_sol="dólar", TC,1)</f>
        <v>58.447798092537305</v>
      </c>
      <c r="E510" s="228">
        <v>5</v>
      </c>
      <c r="F510" s="585">
        <f t="shared" ref="F510:F517" si="77">ROUNDUP(D510+E510,2)</f>
        <v>63.449999999999996</v>
      </c>
      <c r="G510" s="338" t="s">
        <v>6518</v>
      </c>
      <c r="H510" s="592" t="s">
        <v>6519</v>
      </c>
      <c r="I510" s="520" t="s">
        <v>11650</v>
      </c>
      <c r="J510" s="421" t="s">
        <v>753</v>
      </c>
      <c r="K510" s="520" t="s">
        <v>741</v>
      </c>
    </row>
    <row r="511" spans="1:15" s="106" customFormat="1">
      <c r="B511" s="338" t="s">
        <v>10975</v>
      </c>
      <c r="C511" s="209">
        <v>1034</v>
      </c>
      <c r="D511" s="244">
        <f t="shared" si="76"/>
        <v>251.18463519402982</v>
      </c>
      <c r="E511" s="228">
        <v>5</v>
      </c>
      <c r="F511" s="585">
        <f t="shared" si="77"/>
        <v>256.19</v>
      </c>
      <c r="G511" s="623" t="s">
        <v>10976</v>
      </c>
      <c r="H511" s="592" t="s">
        <v>10977</v>
      </c>
      <c r="I511" s="520" t="s">
        <v>11650</v>
      </c>
      <c r="J511" s="421" t="s">
        <v>753</v>
      </c>
      <c r="K511" s="520" t="s">
        <v>741</v>
      </c>
    </row>
    <row r="512" spans="1:15" s="106" customFormat="1">
      <c r="B512" s="338" t="s">
        <v>6238</v>
      </c>
      <c r="C512" s="209">
        <v>407.6</v>
      </c>
      <c r="D512" s="244">
        <f t="shared" si="76"/>
        <v>99.016303002985069</v>
      </c>
      <c r="E512" s="228">
        <v>5</v>
      </c>
      <c r="F512" s="585">
        <f t="shared" si="77"/>
        <v>104.02000000000001</v>
      </c>
      <c r="G512" s="338" t="s">
        <v>6239</v>
      </c>
      <c r="H512" s="592" t="s">
        <v>5534</v>
      </c>
      <c r="I512" s="520" t="s">
        <v>11650</v>
      </c>
      <c r="J512" s="421" t="s">
        <v>753</v>
      </c>
      <c r="K512" s="520" t="s">
        <v>741</v>
      </c>
    </row>
    <row r="513" spans="1:15" s="1678" customFormat="1">
      <c r="A513" s="1170"/>
      <c r="B513" s="342" t="s">
        <v>13278</v>
      </c>
      <c r="C513" s="248">
        <v>723</v>
      </c>
      <c r="D513" s="400">
        <f t="shared" ref="D513" si="78">C513*(1-VLOOKUP(I513,descuentos,6,FALSE))*fcl/IF(dol_sol="dólar", TC,1)</f>
        <v>175.63490449253729</v>
      </c>
      <c r="E513" s="1668">
        <v>5</v>
      </c>
      <c r="F513" s="591">
        <f t="shared" si="77"/>
        <v>180.64</v>
      </c>
      <c r="G513" s="342" t="s">
        <v>13279</v>
      </c>
      <c r="H513" s="592" t="s">
        <v>13280</v>
      </c>
      <c r="I513" s="620" t="s">
        <v>11650</v>
      </c>
      <c r="J513" s="1170" t="s">
        <v>753</v>
      </c>
      <c r="K513" s="620" t="s">
        <v>741</v>
      </c>
      <c r="L513" s="1735"/>
      <c r="M513" s="1735"/>
      <c r="N513" s="1735"/>
      <c r="O513" s="1735"/>
    </row>
    <row r="514" spans="1:15" s="1678" customFormat="1">
      <c r="A514" s="1170"/>
      <c r="B514" s="342" t="s">
        <v>6520</v>
      </c>
      <c r="C514" s="248">
        <v>688</v>
      </c>
      <c r="D514" s="400">
        <f t="shared" si="76"/>
        <v>167.13252322388058</v>
      </c>
      <c r="E514" s="1668">
        <v>5</v>
      </c>
      <c r="F514" s="591">
        <f t="shared" si="77"/>
        <v>172.14</v>
      </c>
      <c r="G514" s="342" t="s">
        <v>6521</v>
      </c>
      <c r="H514" s="2013" t="s">
        <v>6522</v>
      </c>
      <c r="I514" s="620" t="s">
        <v>11650</v>
      </c>
      <c r="J514" s="1170" t="s">
        <v>753</v>
      </c>
      <c r="K514" s="620" t="s">
        <v>741</v>
      </c>
      <c r="L514" s="1735"/>
      <c r="M514" s="1735"/>
      <c r="N514" s="1735"/>
      <c r="O514" s="1735"/>
    </row>
    <row r="515" spans="1:15" s="1678" customFormat="1">
      <c r="A515" s="1170"/>
      <c r="B515" s="342" t="s">
        <v>11815</v>
      </c>
      <c r="C515" s="248">
        <v>1884</v>
      </c>
      <c r="D515" s="400">
        <f t="shared" si="76"/>
        <v>457.67103743283576</v>
      </c>
      <c r="E515" s="1668">
        <v>5</v>
      </c>
      <c r="F515" s="591">
        <f t="shared" si="77"/>
        <v>462.68</v>
      </c>
      <c r="G515" s="342" t="s">
        <v>11816</v>
      </c>
      <c r="H515" s="2013" t="s">
        <v>11817</v>
      </c>
      <c r="I515" s="620" t="s">
        <v>11650</v>
      </c>
      <c r="J515" s="1170" t="s">
        <v>753</v>
      </c>
      <c r="K515" s="620" t="s">
        <v>741</v>
      </c>
      <c r="L515" s="1735"/>
      <c r="M515" s="1735"/>
      <c r="N515" s="1735"/>
      <c r="O515" s="1735"/>
    </row>
    <row r="516" spans="1:15" s="1678" customFormat="1">
      <c r="A516" s="1170"/>
      <c r="B516" s="342" t="s">
        <v>11818</v>
      </c>
      <c r="C516" s="248">
        <v>1033</v>
      </c>
      <c r="D516" s="400">
        <f t="shared" ref="D516:D517" si="79">C516*(1-VLOOKUP(I516,descuentos,6,FALSE))*fcl/IF(dol_sol="dólar", TC,1)</f>
        <v>250.94171001492535</v>
      </c>
      <c r="E516" s="1668">
        <v>5</v>
      </c>
      <c r="F516" s="591">
        <f t="shared" si="77"/>
        <v>255.95</v>
      </c>
      <c r="G516" s="342" t="s">
        <v>11819</v>
      </c>
      <c r="H516" s="2013" t="s">
        <v>11820</v>
      </c>
      <c r="I516" s="620" t="s">
        <v>11650</v>
      </c>
      <c r="J516" s="1170" t="s">
        <v>753</v>
      </c>
      <c r="K516" s="620" t="s">
        <v>741</v>
      </c>
      <c r="L516" s="1735"/>
      <c r="M516" s="1735"/>
      <c r="N516" s="1735"/>
      <c r="O516" s="1735"/>
    </row>
    <row r="517" spans="1:15" s="196" customFormat="1">
      <c r="A517" s="421"/>
      <c r="B517" s="338" t="s">
        <v>4427</v>
      </c>
      <c r="C517" s="209">
        <v>909.7</v>
      </c>
      <c r="D517" s="244">
        <f t="shared" si="79"/>
        <v>220.98903543134324</v>
      </c>
      <c r="E517" s="228">
        <v>20</v>
      </c>
      <c r="F517" s="585">
        <f t="shared" si="77"/>
        <v>240.98999999999998</v>
      </c>
      <c r="G517" s="338" t="s">
        <v>6523</v>
      </c>
      <c r="H517" s="592" t="s">
        <v>4428</v>
      </c>
      <c r="I517" s="520" t="s">
        <v>11650</v>
      </c>
      <c r="J517" s="421" t="s">
        <v>753</v>
      </c>
      <c r="K517" s="520" t="s">
        <v>741</v>
      </c>
      <c r="L517" s="203"/>
      <c r="M517" s="203"/>
      <c r="N517" s="203"/>
      <c r="O517" s="203"/>
    </row>
    <row r="518" spans="1:15" s="196" customFormat="1">
      <c r="A518" s="421"/>
      <c r="B518" s="338"/>
      <c r="C518" s="209" t="s">
        <v>2058</v>
      </c>
      <c r="D518" s="244"/>
      <c r="E518" s="228"/>
      <c r="F518" s="585"/>
      <c r="G518" s="338"/>
      <c r="H518" s="592"/>
      <c r="I518" s="520"/>
      <c r="J518" s="421"/>
      <c r="K518" s="520"/>
      <c r="L518" s="203"/>
      <c r="M518" s="203"/>
      <c r="N518" s="203"/>
      <c r="O518" s="203"/>
    </row>
    <row r="519" spans="1:15" s="196" customFormat="1">
      <c r="A519" s="421"/>
      <c r="B519" s="394" t="s">
        <v>6524</v>
      </c>
      <c r="C519" s="389">
        <v>657</v>
      </c>
      <c r="D519" s="388">
        <f>C519*(1-VLOOKUP(I519,descuentos,6,FALSE))*fcl/IF(dol_sol="dólar", TC,1)</f>
        <v>159.60184267164178</v>
      </c>
      <c r="E519" s="228">
        <v>20</v>
      </c>
      <c r="F519" s="585">
        <f>ROUNDUP(D519+E519,2)</f>
        <v>179.60999999999999</v>
      </c>
      <c r="G519" s="912" t="s">
        <v>6525</v>
      </c>
      <c r="H519" s="592" t="s">
        <v>6526</v>
      </c>
      <c r="I519" s="520" t="s">
        <v>11650</v>
      </c>
      <c r="J519" s="421" t="s">
        <v>753</v>
      </c>
      <c r="K519" s="520" t="s">
        <v>741</v>
      </c>
      <c r="L519" s="203"/>
      <c r="M519" s="203"/>
      <c r="N519" s="203"/>
      <c r="O519" s="203"/>
    </row>
    <row r="520" spans="1:15" s="196" customFormat="1">
      <c r="A520" s="421"/>
      <c r="B520" s="394" t="s">
        <v>6527</v>
      </c>
      <c r="C520" s="910">
        <v>756</v>
      </c>
      <c r="D520" s="451">
        <f>C520*(1-VLOOKUP(I520,descuentos,6,FALSE))*fcl/IF(dol_sol="dólar", TC,1)</f>
        <v>183.65143540298507</v>
      </c>
      <c r="E520" s="626">
        <v>20</v>
      </c>
      <c r="F520" s="911">
        <f>ROUNDUP(D520+E520,2)</f>
        <v>203.66</v>
      </c>
      <c r="G520" s="359" t="s">
        <v>6528</v>
      </c>
      <c r="H520" s="592" t="s">
        <v>6529</v>
      </c>
      <c r="I520" s="520" t="s">
        <v>11650</v>
      </c>
      <c r="J520" s="421" t="s">
        <v>753</v>
      </c>
      <c r="K520" s="520" t="s">
        <v>741</v>
      </c>
      <c r="L520" s="203"/>
      <c r="M520" s="203"/>
      <c r="N520" s="203"/>
      <c r="O520" s="203"/>
    </row>
    <row r="521" spans="1:15" s="196" customFormat="1">
      <c r="A521" s="421"/>
      <c r="B521" s="338"/>
      <c r="C521" s="209" t="s">
        <v>2058</v>
      </c>
      <c r="D521" s="244"/>
      <c r="E521" s="228"/>
      <c r="F521" s="585"/>
      <c r="G521" s="338"/>
      <c r="H521" s="592"/>
      <c r="I521" s="520"/>
      <c r="J521" s="421"/>
      <c r="K521" s="520"/>
      <c r="L521" s="203"/>
      <c r="M521" s="203"/>
      <c r="N521" s="203"/>
      <c r="O521" s="203"/>
    </row>
    <row r="522" spans="1:15" s="196" customFormat="1">
      <c r="A522" s="421"/>
      <c r="B522" s="394" t="s">
        <v>13520</v>
      </c>
      <c r="C522" s="910">
        <v>3925</v>
      </c>
      <c r="D522" s="451">
        <f t="shared" ref="D522" si="80">C522*(1-VLOOKUP(I522,descuentos,6,FALSE))*fcl/IF(dol_sol="dólar", TC,1)</f>
        <v>953.48132798507459</v>
      </c>
      <c r="E522" s="626">
        <v>20</v>
      </c>
      <c r="F522" s="911">
        <f t="shared" ref="F522" si="81">ROUNDUP(D522+E522,2)</f>
        <v>973.49</v>
      </c>
      <c r="G522" s="338" t="s">
        <v>13521</v>
      </c>
      <c r="H522" s="592" t="s">
        <v>13522</v>
      </c>
      <c r="I522" s="520" t="s">
        <v>11650</v>
      </c>
      <c r="J522" s="421" t="s">
        <v>753</v>
      </c>
      <c r="K522" s="520" t="s">
        <v>741</v>
      </c>
      <c r="L522" s="203"/>
      <c r="M522" s="203"/>
      <c r="N522" s="203"/>
      <c r="O522" s="203"/>
    </row>
    <row r="523" spans="1:15" s="196" customFormat="1">
      <c r="A523" s="421"/>
      <c r="B523" s="338"/>
      <c r="C523" s="209" t="s">
        <v>2058</v>
      </c>
      <c r="D523" s="228"/>
      <c r="F523" s="585"/>
      <c r="G523" s="338"/>
      <c r="H523" s="592"/>
      <c r="I523" s="520"/>
      <c r="J523" s="421"/>
      <c r="K523" s="520"/>
      <c r="L523" s="203"/>
      <c r="M523" s="203"/>
      <c r="N523" s="203"/>
      <c r="O523" s="203"/>
    </row>
    <row r="524" spans="1:15" s="196" customFormat="1">
      <c r="A524" s="421"/>
      <c r="B524" s="338"/>
      <c r="C524" s="209" t="s">
        <v>2058</v>
      </c>
      <c r="D524" s="244"/>
      <c r="E524" s="228"/>
      <c r="F524" s="585"/>
      <c r="G524" s="338"/>
      <c r="H524" s="592"/>
      <c r="I524" s="520"/>
      <c r="J524" s="421"/>
      <c r="K524" s="520"/>
      <c r="L524" s="203"/>
      <c r="M524" s="203"/>
      <c r="N524" s="203"/>
      <c r="O524" s="203"/>
    </row>
    <row r="525" spans="1:15" s="196" customFormat="1">
      <c r="A525" s="421"/>
      <c r="B525" s="338"/>
      <c r="C525" s="338" t="s">
        <v>2058</v>
      </c>
      <c r="D525" s="338"/>
      <c r="E525" s="338"/>
      <c r="F525" s="338"/>
      <c r="G525" s="338"/>
      <c r="H525" s="2016"/>
      <c r="I525" s="338"/>
      <c r="J525" s="338"/>
      <c r="K525" s="338"/>
      <c r="L525" s="203"/>
      <c r="M525" s="203"/>
      <c r="N525" s="203"/>
      <c r="O525" s="203"/>
    </row>
    <row r="526" spans="1:15" s="194" customFormat="1">
      <c r="A526" s="421"/>
      <c r="B526" s="1736" t="s">
        <v>6530</v>
      </c>
      <c r="C526" s="209" t="s">
        <v>2058</v>
      </c>
      <c r="D526" s="244"/>
      <c r="E526" s="228"/>
      <c r="F526" s="585"/>
      <c r="G526" s="338"/>
      <c r="H526" s="592"/>
      <c r="I526" s="520"/>
      <c r="J526" s="421"/>
      <c r="K526" s="520"/>
      <c r="L526" s="106"/>
      <c r="M526" s="106"/>
      <c r="N526" s="106"/>
      <c r="O526" s="106"/>
    </row>
    <row r="527" spans="1:15" s="106" customFormat="1">
      <c r="B527" s="338" t="s">
        <v>6531</v>
      </c>
      <c r="C527" s="209">
        <v>4012.4</v>
      </c>
      <c r="D527" s="244">
        <f t="shared" ref="D527:D540" si="82">C527*(1-VLOOKUP(I527,descuentos,6,FALSE))*fcl/IF(dol_sol="dólar", TC,1)</f>
        <v>974.71298863880588</v>
      </c>
      <c r="E527" s="228">
        <v>20</v>
      </c>
      <c r="F527" s="585">
        <f t="shared" ref="F527:F541" si="83">ROUNDUP(D527+E527,2)</f>
        <v>994.72</v>
      </c>
      <c r="G527" s="338" t="s">
        <v>6532</v>
      </c>
      <c r="H527" s="592" t="s">
        <v>6533</v>
      </c>
      <c r="I527" s="520" t="s">
        <v>11650</v>
      </c>
      <c r="J527" s="421" t="s">
        <v>753</v>
      </c>
      <c r="K527" s="520" t="s">
        <v>741</v>
      </c>
    </row>
    <row r="528" spans="1:15" s="106" customFormat="1">
      <c r="B528" s="338" t="s">
        <v>6534</v>
      </c>
      <c r="C528" s="209">
        <v>4808</v>
      </c>
      <c r="D528" s="244">
        <f t="shared" si="82"/>
        <v>1167.9842611343281</v>
      </c>
      <c r="E528" s="228">
        <v>20</v>
      </c>
      <c r="F528" s="585">
        <f t="shared" si="83"/>
        <v>1187.99</v>
      </c>
      <c r="G528" s="338" t="s">
        <v>6535</v>
      </c>
      <c r="H528" s="592" t="s">
        <v>6536</v>
      </c>
      <c r="I528" s="520" t="s">
        <v>11650</v>
      </c>
      <c r="J528" s="421" t="s">
        <v>753</v>
      </c>
      <c r="K528" s="520" t="s">
        <v>741</v>
      </c>
    </row>
    <row r="529" spans="1:15" s="106" customFormat="1" ht="14.25" customHeight="1">
      <c r="B529" s="338" t="s">
        <v>6537</v>
      </c>
      <c r="C529" s="209">
        <v>5452</v>
      </c>
      <c r="D529" s="244">
        <f t="shared" ref="D529:D530" si="84">C529*(1-VLOOKUP(I529,descuentos,6,FALSE))*fcl/IF(dol_sol="dólar", TC,1)</f>
        <v>1324.428076477612</v>
      </c>
      <c r="E529" s="228">
        <v>20</v>
      </c>
      <c r="F529" s="585">
        <f t="shared" si="83"/>
        <v>1344.43</v>
      </c>
      <c r="G529" s="338" t="s">
        <v>6538</v>
      </c>
      <c r="H529" s="592" t="s">
        <v>6539</v>
      </c>
      <c r="I529" s="520" t="s">
        <v>11650</v>
      </c>
      <c r="J529" s="421" t="s">
        <v>753</v>
      </c>
      <c r="K529" s="520" t="s">
        <v>741</v>
      </c>
    </row>
    <row r="530" spans="1:15" s="106" customFormat="1">
      <c r="A530" s="599"/>
      <c r="B530" s="338" t="s">
        <v>9787</v>
      </c>
      <c r="C530" s="209">
        <v>6465.7000000000007</v>
      </c>
      <c r="D530" s="244">
        <f t="shared" si="84"/>
        <v>1570.681330535821</v>
      </c>
      <c r="E530" s="228">
        <v>20</v>
      </c>
      <c r="F530" s="585">
        <f t="shared" si="83"/>
        <v>1590.69</v>
      </c>
      <c r="G530" s="338" t="s">
        <v>12431</v>
      </c>
      <c r="H530" s="592" t="s">
        <v>9788</v>
      </c>
      <c r="I530" s="520" t="s">
        <v>11650</v>
      </c>
      <c r="J530" s="421" t="s">
        <v>753</v>
      </c>
      <c r="K530" s="520" t="s">
        <v>741</v>
      </c>
    </row>
    <row r="531" spans="1:15" s="106" customFormat="1">
      <c r="A531" s="599"/>
      <c r="B531" s="338" t="s">
        <v>9789</v>
      </c>
      <c r="C531" s="209">
        <v>7820.8</v>
      </c>
      <c r="D531" s="244">
        <f t="shared" si="82"/>
        <v>1899.8692407402984</v>
      </c>
      <c r="E531" s="228">
        <v>20</v>
      </c>
      <c r="F531" s="585">
        <f t="shared" si="83"/>
        <v>1919.87</v>
      </c>
      <c r="G531" s="338" t="s">
        <v>9733</v>
      </c>
      <c r="H531" s="592" t="s">
        <v>9732</v>
      </c>
      <c r="I531" s="520" t="s">
        <v>11650</v>
      </c>
      <c r="J531" s="421" t="s">
        <v>753</v>
      </c>
      <c r="K531" s="520" t="s">
        <v>741</v>
      </c>
    </row>
    <row r="532" spans="1:15" s="106" customFormat="1">
      <c r="A532" s="599"/>
      <c r="B532" s="338" t="s">
        <v>9956</v>
      </c>
      <c r="C532" s="209">
        <v>7821</v>
      </c>
      <c r="D532" s="244">
        <f t="shared" ref="D532" si="85">C532*(1-VLOOKUP(I532,descuentos,6,FALSE))*fcl/IF(dol_sol="dólar", TC,1)</f>
        <v>1899.9178257761193</v>
      </c>
      <c r="E532" s="228">
        <v>20</v>
      </c>
      <c r="F532" s="585">
        <f t="shared" si="83"/>
        <v>1919.92</v>
      </c>
      <c r="G532" s="338" t="s">
        <v>9957</v>
      </c>
      <c r="H532" s="592" t="s">
        <v>9958</v>
      </c>
      <c r="I532" s="520" t="s">
        <v>11650</v>
      </c>
      <c r="J532" s="421" t="s">
        <v>753</v>
      </c>
      <c r="K532" s="520" t="s">
        <v>741</v>
      </c>
    </row>
    <row r="533" spans="1:15" s="106" customFormat="1">
      <c r="B533" s="338" t="s">
        <v>6540</v>
      </c>
      <c r="C533" s="209">
        <v>9479</v>
      </c>
      <c r="D533" s="244">
        <f t="shared" si="82"/>
        <v>2302.6877727313431</v>
      </c>
      <c r="E533" s="228">
        <v>35</v>
      </c>
      <c r="F533" s="585">
        <f t="shared" si="83"/>
        <v>2337.69</v>
      </c>
      <c r="G533" s="338" t="s">
        <v>6541</v>
      </c>
      <c r="H533" s="592" t="s">
        <v>6542</v>
      </c>
      <c r="I533" s="520" t="s">
        <v>11650</v>
      </c>
      <c r="J533" s="421" t="s">
        <v>753</v>
      </c>
      <c r="K533" s="520" t="s">
        <v>741</v>
      </c>
    </row>
    <row r="534" spans="1:15" s="106" customFormat="1">
      <c r="B534" s="338" t="s">
        <v>6543</v>
      </c>
      <c r="C534" s="209">
        <v>11799.9</v>
      </c>
      <c r="D534" s="244">
        <f t="shared" si="82"/>
        <v>2866.4928209149252</v>
      </c>
      <c r="E534" s="228">
        <v>35</v>
      </c>
      <c r="F534" s="585">
        <f t="shared" si="83"/>
        <v>2901.5</v>
      </c>
      <c r="G534" s="338" t="s">
        <v>6544</v>
      </c>
      <c r="H534" s="592" t="s">
        <v>6545</v>
      </c>
      <c r="I534" s="520" t="s">
        <v>11650</v>
      </c>
      <c r="J534" s="421" t="s">
        <v>753</v>
      </c>
      <c r="K534" s="520" t="s">
        <v>741</v>
      </c>
    </row>
    <row r="535" spans="1:15" s="106" customFormat="1">
      <c r="B535" s="338" t="s">
        <v>6546</v>
      </c>
      <c r="C535" s="209">
        <v>15029.1</v>
      </c>
      <c r="D535" s="244">
        <f t="shared" si="82"/>
        <v>3650.9468092791044</v>
      </c>
      <c r="E535" s="228">
        <v>35</v>
      </c>
      <c r="F535" s="585">
        <f t="shared" si="83"/>
        <v>3685.9500000000003</v>
      </c>
      <c r="G535" s="338" t="s">
        <v>6547</v>
      </c>
      <c r="H535" s="592" t="s">
        <v>6548</v>
      </c>
      <c r="I535" s="520" t="s">
        <v>11650</v>
      </c>
      <c r="J535" s="421" t="s">
        <v>753</v>
      </c>
      <c r="K535" s="520" t="s">
        <v>741</v>
      </c>
    </row>
    <row r="536" spans="1:15" s="106" customFormat="1">
      <c r="B536" s="338"/>
      <c r="C536" s="209" t="s">
        <v>2058</v>
      </c>
      <c r="D536" s="244"/>
      <c r="E536" s="228"/>
      <c r="F536" s="585"/>
      <c r="G536" s="338"/>
      <c r="H536" s="592"/>
      <c r="I536" s="520"/>
      <c r="J536" s="421"/>
      <c r="K536" s="520"/>
    </row>
    <row r="537" spans="1:15" s="106" customFormat="1">
      <c r="A537" s="2215"/>
      <c r="B537" s="338" t="s">
        <v>13168</v>
      </c>
      <c r="C537" s="209">
        <v>5406</v>
      </c>
      <c r="D537" s="244">
        <f t="shared" ref="D537" si="86">C537*(1-VLOOKUP(I537,descuentos,6,FALSE))*fcl/IF(dol_sol="dólar", TC,1)</f>
        <v>1313.2535182388058</v>
      </c>
      <c r="E537" s="228">
        <v>20</v>
      </c>
      <c r="F537" s="585">
        <f t="shared" ref="F537:F538" si="87">ROUNDUP(D537+E537,2)</f>
        <v>1333.26</v>
      </c>
      <c r="G537" s="338" t="s">
        <v>13169</v>
      </c>
      <c r="H537" s="592" t="s">
        <v>13170</v>
      </c>
      <c r="I537" s="520" t="s">
        <v>11650</v>
      </c>
      <c r="J537" s="421" t="s">
        <v>753</v>
      </c>
      <c r="K537" s="520" t="s">
        <v>741</v>
      </c>
    </row>
    <row r="538" spans="1:15" s="106" customFormat="1">
      <c r="A538" s="2215"/>
      <c r="B538" t="s">
        <v>13948</v>
      </c>
      <c r="C538" s="209">
        <v>3904</v>
      </c>
      <c r="D538" s="244">
        <f t="shared" ref="D538" si="88">C538*(1-VLOOKUP(I538,descuentos,6,FALSE))*fcl/IF(dol_sol="dólar", TC,1)</f>
        <v>948.37989922388044</v>
      </c>
      <c r="E538" s="228">
        <v>20</v>
      </c>
      <c r="F538" s="585">
        <f t="shared" si="87"/>
        <v>968.38</v>
      </c>
      <c r="G538" s="338" t="s">
        <v>13949</v>
      </c>
      <c r="H538" s="592" t="s">
        <v>13950</v>
      </c>
      <c r="I538" s="520" t="s">
        <v>11650</v>
      </c>
      <c r="J538" s="421" t="s">
        <v>753</v>
      </c>
      <c r="K538" s="520" t="s">
        <v>741</v>
      </c>
    </row>
    <row r="539" spans="1:15" s="106" customFormat="1">
      <c r="B539" s="338"/>
      <c r="C539" s="209" t="s">
        <v>2058</v>
      </c>
      <c r="D539" s="244"/>
      <c r="E539" s="228"/>
      <c r="F539" s="585"/>
      <c r="G539" s="338"/>
      <c r="H539" s="592"/>
      <c r="I539" s="520"/>
      <c r="J539" s="421"/>
      <c r="K539" s="520"/>
    </row>
    <row r="540" spans="1:15" s="106" customFormat="1">
      <c r="A540" s="2165"/>
      <c r="B540" s="338" t="s">
        <v>12423</v>
      </c>
      <c r="C540" s="209">
        <v>1187.6999999999998</v>
      </c>
      <c r="D540" s="244">
        <f t="shared" si="82"/>
        <v>288.52223522238796</v>
      </c>
      <c r="E540" s="228">
        <v>38</v>
      </c>
      <c r="F540" s="585">
        <f t="shared" si="83"/>
        <v>326.52999999999997</v>
      </c>
      <c r="G540" s="338" t="s">
        <v>12424</v>
      </c>
      <c r="H540" s="592" t="s">
        <v>12425</v>
      </c>
      <c r="I540" s="520" t="s">
        <v>11650</v>
      </c>
      <c r="J540" s="421" t="s">
        <v>753</v>
      </c>
      <c r="K540" s="520" t="s">
        <v>741</v>
      </c>
    </row>
    <row r="541" spans="1:15" s="106" customFormat="1">
      <c r="A541" s="2165"/>
      <c r="B541" s="338" t="s">
        <v>12426</v>
      </c>
      <c r="C541" s="209">
        <v>929.80000000000007</v>
      </c>
      <c r="D541" s="244">
        <f t="shared" ref="D541" si="89">C541*(1-VLOOKUP(I541,descuentos,6,FALSE))*fcl/IF(dol_sol="dólar", TC,1)</f>
        <v>225.87183153134328</v>
      </c>
      <c r="E541" s="228">
        <v>38</v>
      </c>
      <c r="F541" s="585">
        <f t="shared" si="83"/>
        <v>263.88</v>
      </c>
      <c r="G541" s="338" t="s">
        <v>12427</v>
      </c>
      <c r="H541" s="592" t="s">
        <v>12428</v>
      </c>
      <c r="I541" s="520" t="s">
        <v>11650</v>
      </c>
      <c r="J541" s="421" t="s">
        <v>753</v>
      </c>
      <c r="K541" s="520" t="s">
        <v>741</v>
      </c>
    </row>
    <row r="542" spans="1:15" s="106" customFormat="1">
      <c r="B542" s="338"/>
      <c r="C542" s="209" t="s">
        <v>2058</v>
      </c>
      <c r="D542" s="244"/>
      <c r="E542" s="228"/>
      <c r="F542" s="585"/>
      <c r="G542" s="338"/>
      <c r="H542" s="592"/>
      <c r="I542" s="520"/>
      <c r="J542" s="421"/>
      <c r="K542" s="520"/>
    </row>
    <row r="543" spans="1:15" s="196" customFormat="1">
      <c r="A543" s="421"/>
      <c r="B543" s="338"/>
      <c r="C543" s="209" t="s">
        <v>2058</v>
      </c>
      <c r="D543" s="228"/>
      <c r="F543" s="585"/>
      <c r="G543" s="338"/>
      <c r="H543" s="592"/>
      <c r="I543" s="520"/>
      <c r="J543" s="421"/>
      <c r="K543" s="520"/>
      <c r="L543" s="203"/>
      <c r="M543" s="203"/>
      <c r="N543" s="203"/>
      <c r="O543" s="203"/>
    </row>
    <row r="544" spans="1:15" s="106" customFormat="1">
      <c r="A544" s="1805"/>
      <c r="B544" s="338" t="s">
        <v>12211</v>
      </c>
      <c r="C544" s="209">
        <v>3097</v>
      </c>
      <c r="D544" s="244">
        <f t="shared" ref="D544:D545" si="90">C544*(1-VLOOKUP(I544,descuentos,6,FALSE))*fcl/IF(dol_sol="dólar", TC,1)</f>
        <v>752.33927968656712</v>
      </c>
      <c r="E544" s="228">
        <v>20</v>
      </c>
      <c r="F544" s="585">
        <f t="shared" ref="F544:F545" si="91">ROUNDUP(D544+E544,2)</f>
        <v>772.34</v>
      </c>
      <c r="G544" s="338" t="s">
        <v>12212</v>
      </c>
      <c r="H544" s="592" t="s">
        <v>12213</v>
      </c>
      <c r="I544" s="520" t="s">
        <v>11650</v>
      </c>
      <c r="J544" s="421" t="s">
        <v>753</v>
      </c>
      <c r="K544" s="520" t="s">
        <v>741</v>
      </c>
    </row>
    <row r="545" spans="1:15" s="106" customFormat="1">
      <c r="A545" s="1805"/>
      <c r="B545" s="338" t="s">
        <v>12214</v>
      </c>
      <c r="C545" s="209">
        <v>3600</v>
      </c>
      <c r="D545" s="244">
        <f t="shared" si="90"/>
        <v>874.53064477611929</v>
      </c>
      <c r="E545" s="228">
        <v>20</v>
      </c>
      <c r="F545" s="585">
        <f t="shared" si="91"/>
        <v>894.54</v>
      </c>
      <c r="G545" s="338" t="s">
        <v>12215</v>
      </c>
      <c r="H545" s="592" t="s">
        <v>12216</v>
      </c>
      <c r="I545" s="520" t="s">
        <v>11650</v>
      </c>
      <c r="J545" s="421" t="s">
        <v>753</v>
      </c>
      <c r="K545" s="520" t="s">
        <v>741</v>
      </c>
    </row>
    <row r="546" spans="1:15" s="196" customFormat="1">
      <c r="A546" s="421"/>
      <c r="B546" s="338"/>
      <c r="C546" s="209" t="s">
        <v>2058</v>
      </c>
      <c r="D546" s="244"/>
      <c r="E546" s="228"/>
      <c r="F546" s="585"/>
      <c r="G546" s="338"/>
      <c r="H546" s="592"/>
      <c r="I546" s="520"/>
      <c r="J546" s="421"/>
      <c r="K546" s="520"/>
      <c r="L546" s="203"/>
      <c r="M546" s="203"/>
      <c r="N546" s="203"/>
      <c r="O546" s="203"/>
    </row>
    <row r="547" spans="1:15" s="196" customFormat="1">
      <c r="A547" s="421"/>
      <c r="B547" s="338"/>
      <c r="C547" s="209" t="s">
        <v>2058</v>
      </c>
      <c r="D547" s="244"/>
      <c r="E547" s="228"/>
      <c r="F547" s="585"/>
      <c r="G547" s="338"/>
      <c r="H547" s="592"/>
      <c r="I547" s="520"/>
      <c r="J547" s="421"/>
      <c r="K547" s="520"/>
      <c r="L547" s="203"/>
      <c r="M547" s="203"/>
      <c r="N547" s="203"/>
      <c r="O547" s="203"/>
    </row>
    <row r="548" spans="1:15" s="194" customFormat="1">
      <c r="A548" s="421"/>
      <c r="B548" s="1736" t="s">
        <v>6549</v>
      </c>
      <c r="C548" s="209" t="s">
        <v>2058</v>
      </c>
      <c r="D548" s="244"/>
      <c r="E548" s="228"/>
      <c r="F548" s="585"/>
      <c r="G548" s="338"/>
      <c r="H548" s="592"/>
      <c r="I548" s="520"/>
      <c r="J548" s="421"/>
      <c r="K548" s="520"/>
      <c r="L548" s="106"/>
      <c r="M548" s="106"/>
      <c r="N548" s="106"/>
      <c r="O548" s="106"/>
    </row>
    <row r="549" spans="1:15" s="106" customFormat="1">
      <c r="B549" s="338" t="s">
        <v>6550</v>
      </c>
      <c r="C549" s="209">
        <v>3340</v>
      </c>
      <c r="D549" s="244">
        <f>C549*(1-VLOOKUP(I549,descuentos,6,FALSE))*fcl/IF(dol_sol="dólar", TC,1)</f>
        <v>811.37009820895526</v>
      </c>
      <c r="E549" s="228">
        <v>15</v>
      </c>
      <c r="F549" s="585">
        <f t="shared" ref="F549:F568" si="92">ROUNDUP(D549+E549,2)</f>
        <v>826.38</v>
      </c>
      <c r="G549" s="338" t="s">
        <v>11239</v>
      </c>
      <c r="H549" s="592" t="s">
        <v>6551</v>
      </c>
      <c r="I549" s="520" t="s">
        <v>11650</v>
      </c>
      <c r="J549" s="421" t="s">
        <v>753</v>
      </c>
      <c r="K549" s="520" t="s">
        <v>741</v>
      </c>
    </row>
    <row r="550" spans="1:15" s="106" customFormat="1">
      <c r="B550" s="338" t="s">
        <v>6552</v>
      </c>
      <c r="C550" s="209">
        <v>3809</v>
      </c>
      <c r="D550" s="244">
        <f>C550*(1-VLOOKUP(I550,descuentos,6,FALSE))*fcl/IF(dol_sol="dólar", TC,1)</f>
        <v>925.30200720895527</v>
      </c>
      <c r="E550" s="228">
        <v>15</v>
      </c>
      <c r="F550" s="585">
        <f t="shared" si="92"/>
        <v>940.31</v>
      </c>
      <c r="G550" s="338" t="s">
        <v>11240</v>
      </c>
      <c r="H550" s="592" t="s">
        <v>6553</v>
      </c>
      <c r="I550" s="520" t="s">
        <v>11650</v>
      </c>
      <c r="J550" s="421" t="s">
        <v>753</v>
      </c>
      <c r="K550" s="520" t="s">
        <v>741</v>
      </c>
    </row>
    <row r="551" spans="1:15" s="106" customFormat="1">
      <c r="B551" s="338" t="s">
        <v>14109</v>
      </c>
      <c r="C551" s="209">
        <v>470</v>
      </c>
      <c r="D551" s="244">
        <f>C551*(1-VLOOKUP(I551,descuentos,6,FALSE))*fcl/IF(dol_sol="dólar", TC,1)</f>
        <v>114.17483417910447</v>
      </c>
      <c r="E551" s="228">
        <v>15</v>
      </c>
      <c r="F551" s="585">
        <f t="shared" si="92"/>
        <v>129.17999999999998</v>
      </c>
      <c r="G551" s="338" t="s">
        <v>14110</v>
      </c>
      <c r="H551" s="592" t="s">
        <v>14111</v>
      </c>
      <c r="I551" s="520" t="s">
        <v>11650</v>
      </c>
      <c r="J551" s="421" t="s">
        <v>753</v>
      </c>
      <c r="K551" s="520" t="s">
        <v>741</v>
      </c>
    </row>
    <row r="552" spans="1:15" s="106" customFormat="1">
      <c r="B552" s="338"/>
      <c r="C552" s="209"/>
      <c r="D552" s="244"/>
      <c r="E552" s="228"/>
      <c r="F552" s="585"/>
      <c r="G552" s="338"/>
      <c r="H552" s="592"/>
      <c r="I552" s="520"/>
      <c r="J552" s="421"/>
      <c r="K552" s="520"/>
    </row>
    <row r="553" spans="1:15" s="341" customFormat="1">
      <c r="A553" s="421"/>
      <c r="B553" s="338"/>
      <c r="C553" s="209" t="s">
        <v>2058</v>
      </c>
      <c r="D553" s="244"/>
      <c r="E553" s="228"/>
      <c r="F553" s="585">
        <f t="shared" si="92"/>
        <v>0</v>
      </c>
      <c r="G553" s="338"/>
      <c r="H553" s="592"/>
      <c r="I553" s="520"/>
      <c r="J553" s="421"/>
      <c r="K553" s="520"/>
    </row>
    <row r="554" spans="1:15" s="341" customFormat="1">
      <c r="A554" s="421"/>
      <c r="B554" s="247" t="s">
        <v>6554</v>
      </c>
      <c r="C554" s="209">
        <v>782.1</v>
      </c>
      <c r="D554" s="244">
        <f t="shared" ref="D554:D561" si="93">C554*(1-VLOOKUP(I554,descuentos,6,FALSE))*fcl/IF(dol_sol="dólar", TC,1)</f>
        <v>189.9917825776119</v>
      </c>
      <c r="E554" s="228">
        <v>10</v>
      </c>
      <c r="F554" s="585">
        <f t="shared" si="92"/>
        <v>200</v>
      </c>
      <c r="G554" s="338" t="s">
        <v>6555</v>
      </c>
      <c r="H554" s="592" t="s">
        <v>6556</v>
      </c>
      <c r="I554" s="520" t="s">
        <v>11650</v>
      </c>
      <c r="J554" s="421" t="s">
        <v>753</v>
      </c>
      <c r="K554" s="520" t="s">
        <v>741</v>
      </c>
    </row>
    <row r="555" spans="1:15" s="341" customFormat="1">
      <c r="A555" s="421"/>
      <c r="B555" s="246" t="s">
        <v>6557</v>
      </c>
      <c r="C555" s="209">
        <v>797.7</v>
      </c>
      <c r="D555" s="244">
        <f>C555*(1-VLOOKUP(I555,descuentos,6,FALSE))*fcl/IF(dol_sol="dólar", TC,1)</f>
        <v>193.78141537164177</v>
      </c>
      <c r="E555" s="228">
        <v>10</v>
      </c>
      <c r="F555" s="585">
        <f t="shared" si="92"/>
        <v>203.79</v>
      </c>
      <c r="G555" s="338" t="s">
        <v>6558</v>
      </c>
      <c r="H555" s="592" t="s">
        <v>6559</v>
      </c>
      <c r="I555" s="520" t="s">
        <v>11650</v>
      </c>
      <c r="J555" s="421" t="s">
        <v>753</v>
      </c>
      <c r="K555" s="520" t="s">
        <v>741</v>
      </c>
    </row>
    <row r="556" spans="1:15" s="341" customFormat="1">
      <c r="A556" s="421"/>
      <c r="B556" s="247" t="s">
        <v>13867</v>
      </c>
      <c r="C556" s="209">
        <v>1169</v>
      </c>
      <c r="D556" s="244">
        <f t="shared" ref="D556" si="94">C556*(1-VLOOKUP(I556,descuentos,6,FALSE))*fcl/IF(dol_sol="dólar", TC,1)</f>
        <v>283.9795343731343</v>
      </c>
      <c r="E556" s="228">
        <v>10</v>
      </c>
      <c r="F556" s="585">
        <f t="shared" si="92"/>
        <v>293.98</v>
      </c>
      <c r="G556" s="338" t="s">
        <v>13868</v>
      </c>
      <c r="H556" s="592" t="s">
        <v>13869</v>
      </c>
      <c r="I556" s="520" t="s">
        <v>11650</v>
      </c>
      <c r="J556" s="421" t="s">
        <v>753</v>
      </c>
      <c r="K556" s="520" t="s">
        <v>741</v>
      </c>
    </row>
    <row r="557" spans="1:15" s="341" customFormat="1">
      <c r="A557" s="421"/>
      <c r="B557" s="246" t="s">
        <v>13870</v>
      </c>
      <c r="C557" s="209">
        <v>1216</v>
      </c>
      <c r="D557" s="244">
        <f t="shared" ref="D557" si="95">C557*(1-VLOOKUP(I557,descuentos,6,FALSE))*fcl/IF(dol_sol="dólar", TC,1)</f>
        <v>295.39701779104473</v>
      </c>
      <c r="E557" s="228">
        <v>10</v>
      </c>
      <c r="F557" s="585">
        <f t="shared" si="92"/>
        <v>305.39999999999998</v>
      </c>
      <c r="G557" s="338" t="s">
        <v>13871</v>
      </c>
      <c r="H557" s="592" t="s">
        <v>13872</v>
      </c>
      <c r="I557" s="520" t="s">
        <v>11650</v>
      </c>
      <c r="J557" s="421" t="s">
        <v>753</v>
      </c>
      <c r="K557" s="520" t="s">
        <v>741</v>
      </c>
    </row>
    <row r="558" spans="1:15" s="341" customFormat="1">
      <c r="A558" s="421"/>
      <c r="B558" s="247" t="s">
        <v>1681</v>
      </c>
      <c r="C558" s="209">
        <v>277.20000000000005</v>
      </c>
      <c r="D558" s="244">
        <f t="shared" si="93"/>
        <v>67.338859647761197</v>
      </c>
      <c r="E558" s="228">
        <v>20</v>
      </c>
      <c r="F558" s="585">
        <f t="shared" si="92"/>
        <v>87.34</v>
      </c>
      <c r="G558" s="338" t="s">
        <v>1683</v>
      </c>
      <c r="H558" s="592" t="s">
        <v>1687</v>
      </c>
      <c r="I558" s="520" t="s">
        <v>11650</v>
      </c>
      <c r="J558" s="421" t="s">
        <v>753</v>
      </c>
      <c r="K558" s="520" t="s">
        <v>741</v>
      </c>
    </row>
    <row r="559" spans="1:15" s="341" customFormat="1">
      <c r="A559" s="421"/>
      <c r="B559" s="245" t="s">
        <v>1682</v>
      </c>
      <c r="C559" s="209">
        <v>244.9</v>
      </c>
      <c r="D559" s="244">
        <f t="shared" si="93"/>
        <v>59.492376362686556</v>
      </c>
      <c r="E559" s="228">
        <v>20</v>
      </c>
      <c r="F559" s="585">
        <f t="shared" si="92"/>
        <v>79.5</v>
      </c>
      <c r="G559" s="338" t="s">
        <v>2114</v>
      </c>
      <c r="H559" s="592" t="s">
        <v>1688</v>
      </c>
      <c r="I559" s="520" t="s">
        <v>11650</v>
      </c>
      <c r="J559" s="421" t="s">
        <v>753</v>
      </c>
      <c r="K559" s="520" t="s">
        <v>741</v>
      </c>
    </row>
    <row r="560" spans="1:15" s="341" customFormat="1">
      <c r="A560" s="421"/>
      <c r="B560" s="245" t="s">
        <v>1684</v>
      </c>
      <c r="C560" s="209">
        <v>277.20000000000005</v>
      </c>
      <c r="D560" s="244">
        <f t="shared" si="93"/>
        <v>67.338859647761197</v>
      </c>
      <c r="E560" s="228">
        <v>20</v>
      </c>
      <c r="F560" s="585">
        <f t="shared" si="92"/>
        <v>87.34</v>
      </c>
      <c r="G560" s="338" t="s">
        <v>2115</v>
      </c>
      <c r="H560" s="592" t="s">
        <v>1689</v>
      </c>
      <c r="I560" s="520" t="s">
        <v>11650</v>
      </c>
      <c r="J560" s="421" t="s">
        <v>753</v>
      </c>
      <c r="K560" s="520" t="s">
        <v>741</v>
      </c>
    </row>
    <row r="561" spans="1:15" s="341" customFormat="1">
      <c r="A561" s="421"/>
      <c r="B561" s="245" t="s">
        <v>1685</v>
      </c>
      <c r="C561" s="209">
        <v>385.20000000000005</v>
      </c>
      <c r="D561" s="244">
        <f t="shared" si="93"/>
        <v>93.574778991044781</v>
      </c>
      <c r="E561" s="228">
        <v>20</v>
      </c>
      <c r="F561" s="585">
        <f t="shared" si="92"/>
        <v>113.58</v>
      </c>
      <c r="G561" s="338" t="s">
        <v>2116</v>
      </c>
      <c r="H561" s="592" t="s">
        <v>1690</v>
      </c>
      <c r="I561" s="520" t="s">
        <v>11650</v>
      </c>
      <c r="J561" s="421" t="s">
        <v>753</v>
      </c>
      <c r="K561" s="520" t="s">
        <v>741</v>
      </c>
    </row>
    <row r="562" spans="1:15" s="341" customFormat="1">
      <c r="A562" s="421"/>
      <c r="B562" s="246" t="s">
        <v>1686</v>
      </c>
      <c r="C562" s="209">
        <v>474.20000000000005</v>
      </c>
      <c r="D562" s="244">
        <f t="shared" ref="D562" si="96">C562*(1-VLOOKUP(I562,descuentos,6,FALSE))*fcl/IF(dol_sol="dólar", TC,1)</f>
        <v>115.19511993134329</v>
      </c>
      <c r="E562" s="228">
        <v>20</v>
      </c>
      <c r="F562" s="585">
        <f t="shared" si="92"/>
        <v>135.19999999999999</v>
      </c>
      <c r="G562" s="338" t="s">
        <v>2117</v>
      </c>
      <c r="H562" s="592" t="s">
        <v>1691</v>
      </c>
      <c r="I562" s="520" t="s">
        <v>11650</v>
      </c>
      <c r="J562" s="421" t="s">
        <v>753</v>
      </c>
      <c r="K562" s="520" t="s">
        <v>741</v>
      </c>
    </row>
    <row r="563" spans="1:15" s="341" customFormat="1">
      <c r="A563" s="421"/>
      <c r="B563" s="338"/>
      <c r="C563" s="209" t="s">
        <v>2058</v>
      </c>
      <c r="D563" s="244"/>
      <c r="E563" s="228"/>
      <c r="F563" s="585">
        <f t="shared" si="92"/>
        <v>0</v>
      </c>
      <c r="G563" s="338"/>
      <c r="H563" s="592"/>
      <c r="I563" s="520"/>
      <c r="J563" s="421"/>
      <c r="K563" s="520"/>
    </row>
    <row r="564" spans="1:15" s="341" customFormat="1">
      <c r="A564" s="421"/>
      <c r="B564" s="338"/>
      <c r="C564" s="209" t="s">
        <v>2058</v>
      </c>
      <c r="D564" s="244"/>
      <c r="E564" s="228"/>
      <c r="F564" s="585">
        <f t="shared" si="92"/>
        <v>0</v>
      </c>
      <c r="G564" s="338"/>
      <c r="H564" s="592"/>
      <c r="I564" s="520"/>
      <c r="J564" s="421"/>
      <c r="K564" s="520"/>
    </row>
    <row r="565" spans="1:15" s="341" customFormat="1">
      <c r="A565" s="421"/>
      <c r="B565" s="247" t="s">
        <v>6560</v>
      </c>
      <c r="C565" s="209">
        <v>997.1</v>
      </c>
      <c r="D565" s="244">
        <f>C565*(1-VLOOKUP(I565,descuentos,6,FALSE))*fcl/IF(dol_sol="dólar", TC,1)</f>
        <v>242.22069608507462</v>
      </c>
      <c r="E565" s="228">
        <v>20</v>
      </c>
      <c r="F565" s="585">
        <f t="shared" si="92"/>
        <v>262.23</v>
      </c>
      <c r="G565" s="338" t="s">
        <v>6561</v>
      </c>
      <c r="H565" s="592" t="s">
        <v>6562</v>
      </c>
      <c r="I565" s="520" t="s">
        <v>11650</v>
      </c>
      <c r="J565" s="421" t="s">
        <v>753</v>
      </c>
      <c r="K565" s="520" t="s">
        <v>741</v>
      </c>
    </row>
    <row r="566" spans="1:15" s="341" customFormat="1">
      <c r="A566" s="421"/>
      <c r="B566" s="246" t="s">
        <v>2118</v>
      </c>
      <c r="C566" s="209">
        <v>1281</v>
      </c>
      <c r="D566" s="244">
        <f>C566*(1-VLOOKUP(I566,descuentos,6,FALSE))*fcl/IF(dol_sol="dólar", TC,1)</f>
        <v>311.18715443283583</v>
      </c>
      <c r="E566" s="228">
        <v>20</v>
      </c>
      <c r="F566" s="585">
        <f t="shared" si="92"/>
        <v>331.19</v>
      </c>
      <c r="G566" s="338" t="s">
        <v>2119</v>
      </c>
      <c r="H566" s="592" t="s">
        <v>2120</v>
      </c>
      <c r="I566" s="520" t="s">
        <v>11650</v>
      </c>
      <c r="J566" s="421" t="s">
        <v>753</v>
      </c>
      <c r="K566" s="520" t="s">
        <v>741</v>
      </c>
    </row>
    <row r="567" spans="1:15" s="341" customFormat="1">
      <c r="A567" s="421"/>
      <c r="B567" s="247" t="s">
        <v>1694</v>
      </c>
      <c r="C567" s="209">
        <v>1173</v>
      </c>
      <c r="D567" s="244">
        <f>C567*(1-VLOOKUP(I567,descuentos,6,FALSE))*fcl/IF(dol_sol="dólar", TC,1)</f>
        <v>284.9512350895522</v>
      </c>
      <c r="E567" s="228">
        <v>30</v>
      </c>
      <c r="F567" s="585">
        <f t="shared" si="92"/>
        <v>314.95999999999998</v>
      </c>
      <c r="G567" s="338" t="s">
        <v>2121</v>
      </c>
      <c r="H567" s="592" t="s">
        <v>1695</v>
      </c>
      <c r="I567" s="520" t="s">
        <v>11650</v>
      </c>
      <c r="J567" s="421" t="s">
        <v>753</v>
      </c>
      <c r="K567" s="520" t="s">
        <v>741</v>
      </c>
    </row>
    <row r="568" spans="1:15" s="341" customFormat="1">
      <c r="A568" s="421"/>
      <c r="B568" s="246" t="s">
        <v>1693</v>
      </c>
      <c r="C568" s="209">
        <v>1230.5999999999999</v>
      </c>
      <c r="D568" s="244">
        <f>C568*(1-VLOOKUP(I568,descuentos,6,FALSE))*fcl/IF(dol_sol="dólar", TC,1)</f>
        <v>298.9437254059701</v>
      </c>
      <c r="E568" s="228">
        <v>40</v>
      </c>
      <c r="F568" s="585">
        <f t="shared" si="92"/>
        <v>338.95</v>
      </c>
      <c r="G568" s="338" t="s">
        <v>2122</v>
      </c>
      <c r="H568" s="592" t="s">
        <v>1692</v>
      </c>
      <c r="I568" s="520" t="s">
        <v>11650</v>
      </c>
      <c r="J568" s="421" t="s">
        <v>753</v>
      </c>
      <c r="K568" s="520" t="s">
        <v>741</v>
      </c>
    </row>
    <row r="569" spans="1:15" s="341" customFormat="1">
      <c r="A569" s="421"/>
      <c r="B569" s="460"/>
      <c r="C569" s="461" t="s">
        <v>2058</v>
      </c>
      <c r="D569" s="462"/>
      <c r="E569" s="463"/>
      <c r="F569" s="464"/>
      <c r="G569" s="465"/>
      <c r="H569" s="2017"/>
      <c r="I569" s="624"/>
      <c r="J569" s="515"/>
      <c r="K569" s="625"/>
    </row>
    <row r="570" spans="1:15" s="341" customFormat="1">
      <c r="A570" s="421"/>
      <c r="B570" s="460"/>
      <c r="C570" s="461" t="s">
        <v>2058</v>
      </c>
      <c r="D570" s="462"/>
      <c r="E570" s="463"/>
      <c r="F570" s="464"/>
      <c r="G570" s="465"/>
      <c r="H570" s="2017"/>
      <c r="I570" s="624"/>
      <c r="J570" s="515"/>
      <c r="K570" s="625"/>
    </row>
    <row r="571" spans="1:15" s="341" customFormat="1">
      <c r="A571" s="421"/>
      <c r="B571" s="151" t="s">
        <v>6563</v>
      </c>
      <c r="C571" s="209">
        <v>2762.6</v>
      </c>
      <c r="D571" s="244">
        <f>C571*(1-VLOOKUP(I571,descuentos,6,FALSE))*fcl/IF(dol_sol="dólar", TC,1)</f>
        <v>671.1050997940298</v>
      </c>
      <c r="E571" s="228">
        <v>30</v>
      </c>
      <c r="F571" s="585">
        <f>ROUNDUP(D571+E571,2)</f>
        <v>701.11</v>
      </c>
      <c r="G571" s="338" t="s">
        <v>6564</v>
      </c>
      <c r="H571" s="592" t="s">
        <v>6565</v>
      </c>
      <c r="I571" s="520" t="s">
        <v>11650</v>
      </c>
      <c r="J571" s="589" t="s">
        <v>753</v>
      </c>
      <c r="K571" s="520" t="s">
        <v>741</v>
      </c>
    </row>
    <row r="572" spans="1:15" s="341" customFormat="1">
      <c r="A572" s="421"/>
      <c r="B572" s="338"/>
      <c r="C572" s="209" t="s">
        <v>2058</v>
      </c>
      <c r="D572" s="244"/>
      <c r="E572" s="228"/>
      <c r="F572" s="585"/>
      <c r="G572" s="338"/>
      <c r="H572" s="592"/>
      <c r="I572" s="520"/>
      <c r="J572" s="421"/>
      <c r="K572" s="520"/>
    </row>
    <row r="573" spans="1:15" s="341" customFormat="1">
      <c r="A573" s="421"/>
      <c r="B573" s="151" t="s">
        <v>4429</v>
      </c>
      <c r="C573" s="209">
        <v>1441</v>
      </c>
      <c r="D573" s="244">
        <f>C573*(1-VLOOKUP(I573,descuentos,6,FALSE))*fcl/TC</f>
        <v>350.0551830895522</v>
      </c>
      <c r="E573" s="228">
        <v>10</v>
      </c>
      <c r="F573" s="585">
        <f>ROUNDUP(D573+E573,2)</f>
        <v>360.06</v>
      </c>
      <c r="G573" s="592" t="s">
        <v>4430</v>
      </c>
      <c r="H573" s="1647" t="s">
        <v>4431</v>
      </c>
      <c r="I573" s="520" t="s">
        <v>11650</v>
      </c>
      <c r="J573" s="589" t="s">
        <v>753</v>
      </c>
      <c r="K573" s="520" t="s">
        <v>741</v>
      </c>
    </row>
    <row r="574" spans="1:15" s="341" customFormat="1">
      <c r="A574" s="421"/>
      <c r="B574" s="151" t="s">
        <v>4432</v>
      </c>
      <c r="C574" s="209">
        <v>1033</v>
      </c>
      <c r="D574" s="244">
        <f>C574*(1-VLOOKUP(I574,descuentos,6,FALSE))*fcl/TC</f>
        <v>250.94171001492535</v>
      </c>
      <c r="E574" s="228">
        <v>10</v>
      </c>
      <c r="F574" s="585">
        <f>ROUNDUP(D574+E574,2)</f>
        <v>260.95</v>
      </c>
      <c r="G574" s="592" t="s">
        <v>4433</v>
      </c>
      <c r="H574" s="1647" t="s">
        <v>4434</v>
      </c>
      <c r="I574" s="520" t="s">
        <v>11650</v>
      </c>
      <c r="J574" s="589" t="s">
        <v>753</v>
      </c>
      <c r="K574" s="520" t="s">
        <v>741</v>
      </c>
    </row>
    <row r="575" spans="1:15" s="341" customFormat="1">
      <c r="A575" s="421"/>
      <c r="B575" s="151"/>
      <c r="C575" s="209" t="s">
        <v>2058</v>
      </c>
      <c r="D575" s="244"/>
      <c r="E575" s="228"/>
      <c r="F575" s="585"/>
      <c r="G575" s="592"/>
      <c r="H575" s="1647"/>
      <c r="I575" s="520"/>
      <c r="J575" s="589"/>
      <c r="K575" s="520"/>
    </row>
    <row r="576" spans="1:15" s="196" customFormat="1">
      <c r="A576" s="589"/>
      <c r="B576" s="151" t="s">
        <v>5535</v>
      </c>
      <c r="C576" s="209">
        <v>1196</v>
      </c>
      <c r="D576" s="244">
        <f>C576*(1-VLOOKUP(I576,descuentos,6,FALSE))*fcl/TC</f>
        <v>290.53851420895518</v>
      </c>
      <c r="E576" s="228">
        <v>10</v>
      </c>
      <c r="F576" s="585">
        <f>ROUNDUP(D576+E576,2)</f>
        <v>300.53999999999996</v>
      </c>
      <c r="G576" s="592" t="s">
        <v>5536</v>
      </c>
      <c r="H576" s="1647" t="s">
        <v>5537</v>
      </c>
      <c r="I576" s="520" t="s">
        <v>11650</v>
      </c>
      <c r="J576" s="589" t="s">
        <v>753</v>
      </c>
      <c r="K576" s="520" t="s">
        <v>741</v>
      </c>
      <c r="L576" s="203"/>
      <c r="M576" s="203"/>
      <c r="N576" s="203"/>
      <c r="O576" s="203"/>
    </row>
    <row r="577" spans="1:15" s="196" customFormat="1">
      <c r="A577" s="589"/>
      <c r="B577" s="151" t="s">
        <v>5538</v>
      </c>
      <c r="C577" s="209">
        <v>2485</v>
      </c>
      <c r="D577" s="244">
        <f>C577*(1-VLOOKUP(I577,descuentos,6,FALSE))*fcl/TC</f>
        <v>603.6690700746268</v>
      </c>
      <c r="E577" s="228">
        <v>10</v>
      </c>
      <c r="F577" s="585">
        <f>ROUNDUP(D577+E577,2)</f>
        <v>613.66999999999996</v>
      </c>
      <c r="G577" s="592" t="s">
        <v>5539</v>
      </c>
      <c r="H577" s="1647" t="s">
        <v>5540</v>
      </c>
      <c r="I577" s="520" t="s">
        <v>11650</v>
      </c>
      <c r="J577" s="589" t="s">
        <v>753</v>
      </c>
      <c r="K577" s="520" t="s">
        <v>741</v>
      </c>
      <c r="L577" s="203"/>
      <c r="M577" s="203"/>
      <c r="N577" s="203"/>
      <c r="O577" s="203"/>
    </row>
    <row r="578" spans="1:15" s="196" customFormat="1">
      <c r="A578" s="589"/>
      <c r="B578" s="151"/>
      <c r="C578" s="209" t="s">
        <v>2058</v>
      </c>
      <c r="D578" s="244"/>
      <c r="E578" s="228"/>
      <c r="F578" s="585"/>
      <c r="G578" s="592"/>
      <c r="H578" s="1647"/>
      <c r="I578" s="520"/>
      <c r="J578" s="589"/>
      <c r="K578" s="520"/>
      <c r="L578" s="203"/>
      <c r="M578" s="203"/>
      <c r="N578" s="203"/>
      <c r="O578" s="203"/>
    </row>
    <row r="579" spans="1:15" s="196" customFormat="1">
      <c r="A579" s="589"/>
      <c r="B579" s="151" t="s">
        <v>12862</v>
      </c>
      <c r="C579" s="209">
        <v>3482</v>
      </c>
      <c r="D579" s="244">
        <f>C579*(1-VLOOKUP(I579,descuentos,6,FALSE))*fcl/TC</f>
        <v>845.86547364179091</v>
      </c>
      <c r="E579" s="228">
        <v>10</v>
      </c>
      <c r="F579" s="585">
        <f>ROUNDUP(D579+E579,2)</f>
        <v>855.87</v>
      </c>
      <c r="G579" s="592" t="s">
        <v>12863</v>
      </c>
      <c r="H579" s="1647" t="s">
        <v>12864</v>
      </c>
      <c r="I579" s="520" t="s">
        <v>11650</v>
      </c>
      <c r="J579" s="589" t="s">
        <v>753</v>
      </c>
      <c r="K579" s="520" t="s">
        <v>741</v>
      </c>
      <c r="L579" s="203"/>
      <c r="M579" s="203"/>
      <c r="N579" s="203"/>
      <c r="O579" s="203"/>
    </row>
    <row r="580" spans="1:15" s="341" customFormat="1">
      <c r="A580" s="421"/>
      <c r="B580" s="338"/>
      <c r="C580" s="209" t="s">
        <v>2058</v>
      </c>
      <c r="D580" s="244"/>
      <c r="E580" s="228"/>
      <c r="F580" s="585"/>
      <c r="G580" s="338"/>
      <c r="H580" s="592"/>
      <c r="I580" s="520"/>
      <c r="J580" s="421"/>
      <c r="K580" s="520"/>
    </row>
    <row r="581" spans="1:15" s="341" customFormat="1">
      <c r="A581" s="1739"/>
      <c r="B581" s="151" t="s">
        <v>13523</v>
      </c>
      <c r="C581" s="209">
        <v>676</v>
      </c>
      <c r="D581" s="244">
        <f>C581*(1-VLOOKUP(I581,descuentos,6,FALSE))*fcl/TC</f>
        <v>164.21742107462686</v>
      </c>
      <c r="E581" s="228">
        <v>10</v>
      </c>
      <c r="F581" s="585">
        <f>ROUNDUP(D581+E581,2)</f>
        <v>174.22</v>
      </c>
      <c r="G581" s="592" t="s">
        <v>13524</v>
      </c>
      <c r="H581" s="1647" t="s">
        <v>13525</v>
      </c>
      <c r="I581" s="520" t="s">
        <v>11650</v>
      </c>
      <c r="J581" s="589" t="s">
        <v>753</v>
      </c>
      <c r="K581" s="520" t="s">
        <v>741</v>
      </c>
    </row>
    <row r="582" spans="1:15" s="341" customFormat="1">
      <c r="A582" s="421"/>
      <c r="B582" s="460"/>
      <c r="C582" s="461" t="s">
        <v>2058</v>
      </c>
      <c r="D582" s="462"/>
      <c r="E582" s="463"/>
      <c r="F582" s="464"/>
      <c r="G582" s="465"/>
      <c r="H582" s="2017"/>
      <c r="I582" s="624"/>
      <c r="J582" s="515"/>
      <c r="K582" s="625"/>
    </row>
    <row r="583" spans="1:15" s="341" customFormat="1">
      <c r="A583" s="589"/>
      <c r="B583" s="150" t="s">
        <v>9150</v>
      </c>
      <c r="C583" s="209">
        <v>169</v>
      </c>
      <c r="D583" s="244">
        <f>C583*(1-VLOOKUP(I583,descuentos,6,FALSE))*fcl/IF(dol_sol="dólar", TC,1)</f>
        <v>41.054355268656714</v>
      </c>
      <c r="E583" s="228">
        <v>5</v>
      </c>
      <c r="F583" s="585">
        <f>ROUNDUP(D583+E583,2)</f>
        <v>46.059999999999995</v>
      </c>
      <c r="G583" s="338" t="s">
        <v>9151</v>
      </c>
      <c r="H583" s="592" t="s">
        <v>9152</v>
      </c>
      <c r="I583" s="520" t="s">
        <v>11650</v>
      </c>
      <c r="J583" s="589" t="s">
        <v>753</v>
      </c>
      <c r="K583" s="520" t="s">
        <v>741</v>
      </c>
    </row>
    <row r="584" spans="1:15" s="341" customFormat="1">
      <c r="A584" s="421"/>
      <c r="B584" s="338"/>
      <c r="C584" s="209" t="s">
        <v>2058</v>
      </c>
      <c r="D584" s="244"/>
      <c r="E584" s="228"/>
      <c r="F584" s="585"/>
      <c r="G584" s="338"/>
      <c r="H584" s="592"/>
      <c r="I584" s="520"/>
      <c r="J584" s="421"/>
      <c r="K584" s="520"/>
    </row>
    <row r="585" spans="1:15" s="341" customFormat="1">
      <c r="A585" s="515"/>
      <c r="B585" s="150" t="s">
        <v>4435</v>
      </c>
      <c r="C585" s="209">
        <v>377</v>
      </c>
      <c r="D585" s="244">
        <f>C585*(1-VLOOKUP(I585,descuentos,6,FALSE))*fcl/IF(dol_sol="dólar", TC,1)</f>
        <v>91.582792522388061</v>
      </c>
      <c r="E585" s="228">
        <v>5</v>
      </c>
      <c r="F585" s="585">
        <f>ROUNDUP(D585+E585,2)</f>
        <v>96.59</v>
      </c>
      <c r="G585" s="338" t="s">
        <v>4436</v>
      </c>
      <c r="H585" s="592" t="s">
        <v>4437</v>
      </c>
      <c r="I585" s="520" t="s">
        <v>11650</v>
      </c>
      <c r="J585" s="589" t="s">
        <v>753</v>
      </c>
      <c r="K585" s="520" t="s">
        <v>741</v>
      </c>
    </row>
    <row r="586" spans="1:15" s="341" customFormat="1">
      <c r="A586" s="515"/>
      <c r="B586" s="150" t="s">
        <v>4438</v>
      </c>
      <c r="C586" s="209">
        <v>377</v>
      </c>
      <c r="D586" s="244">
        <f>C586*(1-VLOOKUP(I586,descuentos,6,FALSE))*fcl/IF(dol_sol="dólar", TC,1)</f>
        <v>91.582792522388061</v>
      </c>
      <c r="E586" s="228">
        <v>5</v>
      </c>
      <c r="F586" s="585">
        <f>ROUNDUP(D586+E586,2)</f>
        <v>96.59</v>
      </c>
      <c r="G586" s="338" t="s">
        <v>4439</v>
      </c>
      <c r="H586" s="592" t="s">
        <v>4440</v>
      </c>
      <c r="I586" s="520" t="s">
        <v>11650</v>
      </c>
      <c r="J586" s="589" t="s">
        <v>753</v>
      </c>
      <c r="K586" s="520" t="s">
        <v>741</v>
      </c>
    </row>
    <row r="587" spans="1:15" s="341" customFormat="1">
      <c r="A587" s="421"/>
      <c r="B587" s="150" t="s">
        <v>4441</v>
      </c>
      <c r="C587" s="209">
        <v>377</v>
      </c>
      <c r="D587" s="244">
        <f>C587*(1-VLOOKUP(I587,descuentos,6,FALSE))*fcl/IF(dol_sol="dólar", TC,1)</f>
        <v>91.582792522388061</v>
      </c>
      <c r="E587" s="228">
        <v>5</v>
      </c>
      <c r="F587" s="585">
        <f>ROUNDUP(D587+E587,2)</f>
        <v>96.59</v>
      </c>
      <c r="G587" s="338" t="s">
        <v>4442</v>
      </c>
      <c r="H587" s="592" t="s">
        <v>4443</v>
      </c>
      <c r="I587" s="520" t="s">
        <v>11650</v>
      </c>
      <c r="J587" s="589" t="s">
        <v>753</v>
      </c>
      <c r="K587" s="520" t="s">
        <v>741</v>
      </c>
    </row>
    <row r="588" spans="1:15" s="341" customFormat="1">
      <c r="A588" s="589"/>
      <c r="B588" s="150" t="s">
        <v>4444</v>
      </c>
      <c r="C588" s="209">
        <v>377</v>
      </c>
      <c r="D588" s="244">
        <f>C588*(1-VLOOKUP(I588,descuentos,6,FALSE))*fcl/IF(dol_sol="dólar", TC,1)</f>
        <v>91.582792522388061</v>
      </c>
      <c r="E588" s="228">
        <v>5</v>
      </c>
      <c r="F588" s="585">
        <f>ROUNDUP(D588+E588,2)</f>
        <v>96.59</v>
      </c>
      <c r="G588" s="338" t="s">
        <v>4445</v>
      </c>
      <c r="H588" s="592" t="s">
        <v>4446</v>
      </c>
      <c r="I588" s="520" t="s">
        <v>11650</v>
      </c>
      <c r="J588" s="589" t="s">
        <v>753</v>
      </c>
      <c r="K588" s="520" t="s">
        <v>741</v>
      </c>
    </row>
    <row r="589" spans="1:15" s="341" customFormat="1">
      <c r="A589" s="589"/>
      <c r="B589" s="150" t="s">
        <v>4447</v>
      </c>
      <c r="C589" s="209">
        <v>245</v>
      </c>
      <c r="D589" s="244">
        <f>C589*(1-VLOOKUP(I589,descuentos,6,FALSE))*fcl/IF(dol_sol="dólar", TC,1)</f>
        <v>59.51666888059701</v>
      </c>
      <c r="E589" s="228">
        <v>2</v>
      </c>
      <c r="F589" s="585">
        <f>ROUNDUP(D589+E589,2)</f>
        <v>61.519999999999996</v>
      </c>
      <c r="G589" s="338" t="s">
        <v>4448</v>
      </c>
      <c r="H589" s="592" t="s">
        <v>4449</v>
      </c>
      <c r="I589" s="520" t="s">
        <v>11650</v>
      </c>
      <c r="J589" s="589" t="s">
        <v>753</v>
      </c>
      <c r="K589" s="520" t="s">
        <v>741</v>
      </c>
    </row>
    <row r="590" spans="1:15" s="341" customFormat="1">
      <c r="A590" s="589"/>
      <c r="B590" s="338"/>
      <c r="C590" s="209" t="s">
        <v>2058</v>
      </c>
      <c r="D590" s="244"/>
      <c r="E590" s="228"/>
      <c r="F590" s="585"/>
      <c r="G590" s="338"/>
      <c r="H590" s="592"/>
      <c r="I590" s="520"/>
      <c r="J590" s="421"/>
      <c r="K590" s="520"/>
    </row>
    <row r="591" spans="1:15" s="341" customFormat="1">
      <c r="A591" s="515"/>
      <c r="B591" s="150" t="s">
        <v>4450</v>
      </c>
      <c r="C591" s="209">
        <v>412</v>
      </c>
      <c r="D591" s="244">
        <f>C591*(1-VLOOKUP(I591,descuentos,6,FALSE))*fcl/IF(dol_sol="dólar", TC,1)</f>
        <v>100.08517379104477</v>
      </c>
      <c r="E591" s="228">
        <v>5</v>
      </c>
      <c r="F591" s="585">
        <f>ROUNDUP(D591+E591,2)</f>
        <v>105.09</v>
      </c>
      <c r="G591" s="338" t="s">
        <v>4451</v>
      </c>
      <c r="H591" s="592" t="s">
        <v>4452</v>
      </c>
      <c r="I591" s="520" t="s">
        <v>11650</v>
      </c>
      <c r="J591" s="589" t="s">
        <v>753</v>
      </c>
      <c r="K591" s="520" t="s">
        <v>741</v>
      </c>
    </row>
    <row r="592" spans="1:15" s="341" customFormat="1">
      <c r="A592" s="421"/>
      <c r="B592" s="150" t="s">
        <v>4453</v>
      </c>
      <c r="C592" s="209">
        <v>412</v>
      </c>
      <c r="D592" s="244">
        <f>C592*(1-VLOOKUP(I592,descuentos,6,FALSE))*fcl/IF(dol_sol="dólar", TC,1)</f>
        <v>100.08517379104477</v>
      </c>
      <c r="E592" s="228">
        <v>5</v>
      </c>
      <c r="F592" s="585">
        <f>ROUNDUP(D592+E592,2)</f>
        <v>105.09</v>
      </c>
      <c r="G592" s="338" t="s">
        <v>4454</v>
      </c>
      <c r="H592" s="592" t="s">
        <v>4455</v>
      </c>
      <c r="I592" s="520" t="s">
        <v>11650</v>
      </c>
      <c r="J592" s="589" t="s">
        <v>753</v>
      </c>
      <c r="K592" s="520" t="s">
        <v>741</v>
      </c>
    </row>
    <row r="593" spans="1:11" s="196" customFormat="1">
      <c r="A593" s="421"/>
      <c r="B593" s="150" t="s">
        <v>4456</v>
      </c>
      <c r="C593" s="209">
        <v>412</v>
      </c>
      <c r="D593" s="244">
        <f>C593*(1-VLOOKUP(I593,descuentos,6,FALSE))*fcl/IF(dol_sol="dólar", TC,1)</f>
        <v>100.08517379104477</v>
      </c>
      <c r="E593" s="228">
        <v>5</v>
      </c>
      <c r="F593" s="585">
        <f>ROUNDUP(D593+E593,2)</f>
        <v>105.09</v>
      </c>
      <c r="G593" s="338" t="s">
        <v>4457</v>
      </c>
      <c r="H593" s="592" t="s">
        <v>4458</v>
      </c>
      <c r="I593" s="520" t="s">
        <v>11650</v>
      </c>
      <c r="J593" s="589" t="s">
        <v>753</v>
      </c>
      <c r="K593" s="520" t="s">
        <v>741</v>
      </c>
    </row>
    <row r="594" spans="1:11" s="196" customFormat="1">
      <c r="A594" s="421"/>
      <c r="B594" s="150" t="s">
        <v>4459</v>
      </c>
      <c r="C594" s="209">
        <v>412</v>
      </c>
      <c r="D594" s="244">
        <f>C594*(1-VLOOKUP(I594,descuentos,6,FALSE))*fcl/IF(dol_sol="dólar", TC,1)</f>
        <v>100.08517379104477</v>
      </c>
      <c r="E594" s="228">
        <v>5</v>
      </c>
      <c r="F594" s="585">
        <f>ROUNDUP(D594+E594,2)</f>
        <v>105.09</v>
      </c>
      <c r="G594" s="338" t="s">
        <v>4460</v>
      </c>
      <c r="H594" s="592" t="s">
        <v>4461</v>
      </c>
      <c r="I594" s="520" t="s">
        <v>11650</v>
      </c>
      <c r="J594" s="589" t="s">
        <v>753</v>
      </c>
      <c r="K594" s="520" t="s">
        <v>741</v>
      </c>
    </row>
    <row r="595" spans="1:11" s="196" customFormat="1">
      <c r="A595" s="421"/>
      <c r="B595" s="150" t="s">
        <v>4462</v>
      </c>
      <c r="C595" s="209">
        <v>222</v>
      </c>
      <c r="D595" s="244">
        <f>C595*(1-VLOOKUP(I595,descuentos,6,FALSE))*fcl/IF(dol_sol="dólar", TC,1)</f>
        <v>53.929389761194024</v>
      </c>
      <c r="E595" s="228">
        <v>3</v>
      </c>
      <c r="F595" s="585">
        <f>ROUNDUP(D595+E595,2)</f>
        <v>56.93</v>
      </c>
      <c r="G595" s="338" t="s">
        <v>4463</v>
      </c>
      <c r="H595" s="592" t="s">
        <v>4464</v>
      </c>
      <c r="I595" s="520" t="s">
        <v>11650</v>
      </c>
      <c r="J595" s="589" t="s">
        <v>753</v>
      </c>
      <c r="K595" s="520" t="s">
        <v>741</v>
      </c>
    </row>
    <row r="596" spans="1:11" s="196" customFormat="1">
      <c r="A596" s="421"/>
      <c r="B596" s="338"/>
      <c r="C596" s="209" t="s">
        <v>2058</v>
      </c>
      <c r="D596" s="244"/>
      <c r="E596" s="228"/>
      <c r="F596" s="585"/>
      <c r="G596" s="338"/>
      <c r="H596" s="592"/>
      <c r="I596" s="520"/>
      <c r="J596" s="421"/>
      <c r="K596" s="520"/>
    </row>
    <row r="597" spans="1:11" s="196" customFormat="1">
      <c r="A597" s="589"/>
      <c r="B597" s="150" t="s">
        <v>3324</v>
      </c>
      <c r="C597" s="209">
        <v>503.90000000000003</v>
      </c>
      <c r="D597" s="244">
        <f>C597*(1-VLOOKUP(I597,descuentos,6,FALSE))*fcl/IF(dol_sol="dólar", TC,1)</f>
        <v>122.40999775074627</v>
      </c>
      <c r="E597" s="228">
        <v>10</v>
      </c>
      <c r="F597" s="585">
        <f>ROUNDUP(D597+E597,2)</f>
        <v>132.41</v>
      </c>
      <c r="G597" s="338" t="s">
        <v>4465</v>
      </c>
      <c r="H597" s="592" t="s">
        <v>3323</v>
      </c>
      <c r="I597" s="520" t="s">
        <v>11650</v>
      </c>
      <c r="J597" s="589" t="s">
        <v>753</v>
      </c>
      <c r="K597" s="520" t="s">
        <v>741</v>
      </c>
    </row>
    <row r="598" spans="1:11" s="341" customFormat="1">
      <c r="A598" s="589"/>
      <c r="B598" s="150"/>
      <c r="C598" s="209" t="s">
        <v>2058</v>
      </c>
      <c r="D598" s="244"/>
      <c r="E598" s="228"/>
      <c r="F598" s="585"/>
      <c r="G598" s="338"/>
      <c r="H598" s="592"/>
      <c r="I598" s="520"/>
      <c r="J598" s="589"/>
      <c r="K598" s="520"/>
    </row>
    <row r="599" spans="1:11" s="196" customFormat="1">
      <c r="A599" s="1938"/>
      <c r="B599" s="150" t="s">
        <v>9513</v>
      </c>
      <c r="C599" s="209">
        <v>124</v>
      </c>
      <c r="D599" s="244">
        <f>C599*(1-VLOOKUP(I599,descuentos,6,FALSE))*fcl/IF(dol_sol="dólar", TC,1)</f>
        <v>30.122722208955224</v>
      </c>
      <c r="E599" s="228">
        <v>15</v>
      </c>
      <c r="F599" s="585">
        <f>ROUNDUP(D599+E599,2)</f>
        <v>45.129999999999995</v>
      </c>
      <c r="G599" s="338" t="s">
        <v>9514</v>
      </c>
      <c r="H599" s="592" t="s">
        <v>9515</v>
      </c>
      <c r="I599" s="520" t="s">
        <v>11650</v>
      </c>
      <c r="J599" s="589" t="s">
        <v>753</v>
      </c>
      <c r="K599" s="520" t="s">
        <v>741</v>
      </c>
    </row>
    <row r="600" spans="1:11" s="196" customFormat="1">
      <c r="A600" s="1938"/>
      <c r="B600" s="150" t="s">
        <v>9516</v>
      </c>
      <c r="C600" s="209">
        <v>138</v>
      </c>
      <c r="D600" s="244">
        <f>C600*(1-VLOOKUP(I600,descuentos,6,FALSE))*fcl/IF(dol_sol="dólar", TC,1)</f>
        <v>33.523674716417908</v>
      </c>
      <c r="E600" s="228">
        <v>15</v>
      </c>
      <c r="F600" s="585">
        <f>ROUNDUP(D600+E600,2)</f>
        <v>48.53</v>
      </c>
      <c r="G600" s="338" t="s">
        <v>9517</v>
      </c>
      <c r="H600" s="592" t="s">
        <v>9518</v>
      </c>
      <c r="I600" s="520" t="s">
        <v>11650</v>
      </c>
      <c r="J600" s="589" t="s">
        <v>753</v>
      </c>
      <c r="K600" s="520" t="s">
        <v>741</v>
      </c>
    </row>
    <row r="601" spans="1:11" s="341" customFormat="1">
      <c r="A601" s="589"/>
      <c r="B601" s="150"/>
      <c r="C601" s="209" t="s">
        <v>2058</v>
      </c>
      <c r="D601" s="244"/>
      <c r="E601" s="228"/>
      <c r="F601" s="585"/>
      <c r="G601" s="338"/>
      <c r="H601" s="592"/>
      <c r="I601" s="520"/>
      <c r="J601" s="589"/>
      <c r="K601" s="520"/>
    </row>
    <row r="602" spans="1:11" s="196" customFormat="1">
      <c r="A602" s="421"/>
      <c r="B602" s="150"/>
      <c r="C602" s="209" t="s">
        <v>2058</v>
      </c>
      <c r="D602" s="244"/>
      <c r="E602" s="228"/>
      <c r="F602" s="585"/>
      <c r="G602" s="338"/>
      <c r="H602" s="592"/>
      <c r="I602" s="520"/>
      <c r="J602" s="589"/>
      <c r="K602" s="520"/>
    </row>
    <row r="603" spans="1:11" s="196" customFormat="1">
      <c r="A603" s="421"/>
      <c r="B603" s="150" t="s">
        <v>9153</v>
      </c>
      <c r="C603" s="209">
        <v>169</v>
      </c>
      <c r="D603" s="244">
        <f>C603*(1-VLOOKUP(I603,descuentos,6,FALSE))*fcl/IF(dol_sol="dólar", TC,1)</f>
        <v>41.054355268656714</v>
      </c>
      <c r="E603" s="228">
        <v>5</v>
      </c>
      <c r="F603" s="585">
        <f>ROUNDUP(D603+E603,2)</f>
        <v>46.059999999999995</v>
      </c>
      <c r="G603" s="338" t="s">
        <v>9154</v>
      </c>
      <c r="H603" s="592" t="s">
        <v>9155</v>
      </c>
      <c r="I603" s="520" t="s">
        <v>11650</v>
      </c>
      <c r="J603" s="589" t="s">
        <v>753</v>
      </c>
      <c r="K603" s="520" t="s">
        <v>741</v>
      </c>
    </row>
    <row r="604" spans="1:11" s="196" customFormat="1">
      <c r="A604" s="421"/>
      <c r="B604" s="150" t="s">
        <v>9885</v>
      </c>
      <c r="C604" s="209">
        <v>169</v>
      </c>
      <c r="D604" s="244">
        <f>C604*(1-VLOOKUP(I604,descuentos,6,FALSE))*fcl/IF(dol_sol="dólar", TC,1)</f>
        <v>41.054355268656714</v>
      </c>
      <c r="E604" s="228">
        <v>5</v>
      </c>
      <c r="F604" s="585">
        <f>ROUNDUP(D604+E604,2)</f>
        <v>46.059999999999995</v>
      </c>
      <c r="G604" s="338" t="s">
        <v>9886</v>
      </c>
      <c r="H604" s="592" t="s">
        <v>9887</v>
      </c>
      <c r="I604" s="520" t="s">
        <v>11650</v>
      </c>
      <c r="J604" s="589" t="s">
        <v>753</v>
      </c>
      <c r="K604" s="520" t="s">
        <v>741</v>
      </c>
    </row>
    <row r="605" spans="1:11" s="196" customFormat="1">
      <c r="A605" s="421"/>
      <c r="B605" s="150"/>
      <c r="C605" s="209" t="s">
        <v>2058</v>
      </c>
      <c r="D605" s="244"/>
      <c r="E605" s="228"/>
      <c r="F605" s="585"/>
      <c r="G605" s="338"/>
      <c r="H605" s="592"/>
      <c r="I605" s="520"/>
      <c r="J605" s="589"/>
      <c r="K605" s="520"/>
    </row>
    <row r="606" spans="1:11" s="196" customFormat="1">
      <c r="A606" s="421"/>
      <c r="B606" s="150" t="s">
        <v>4466</v>
      </c>
      <c r="C606" s="209">
        <v>374</v>
      </c>
      <c r="D606" s="244">
        <f>C606*(1-VLOOKUP(I606,descuentos,6,FALSE))*fcl/IF(dol_sol="dólar", TC,1)</f>
        <v>90.854016985074637</v>
      </c>
      <c r="E606" s="228">
        <v>5</v>
      </c>
      <c r="F606" s="585">
        <f>ROUNDUP(D606+E606,2)</f>
        <v>95.86</v>
      </c>
      <c r="G606" s="338" t="s">
        <v>4467</v>
      </c>
      <c r="H606" s="592" t="s">
        <v>4468</v>
      </c>
      <c r="I606" s="520" t="s">
        <v>11650</v>
      </c>
      <c r="J606" s="589" t="s">
        <v>753</v>
      </c>
      <c r="K606" s="520" t="s">
        <v>741</v>
      </c>
    </row>
    <row r="607" spans="1:11" s="341" customFormat="1">
      <c r="A607" s="421"/>
      <c r="B607" s="150" t="s">
        <v>4447</v>
      </c>
      <c r="C607" s="209">
        <v>245</v>
      </c>
      <c r="D607" s="244">
        <f>C607*(1-VLOOKUP(I607,descuentos,6,FALSE))*fcl/IF(dol_sol="dólar", TC,1)</f>
        <v>59.51666888059701</v>
      </c>
      <c r="E607" s="228">
        <v>2</v>
      </c>
      <c r="F607" s="585">
        <f>ROUNDUP(D607+E607,2)</f>
        <v>61.519999999999996</v>
      </c>
      <c r="G607" s="338" t="s">
        <v>4448</v>
      </c>
      <c r="H607" s="592" t="s">
        <v>4449</v>
      </c>
      <c r="I607" s="520" t="s">
        <v>11650</v>
      </c>
      <c r="J607" s="589" t="s">
        <v>753</v>
      </c>
      <c r="K607" s="520" t="s">
        <v>741</v>
      </c>
    </row>
    <row r="608" spans="1:11" s="196" customFormat="1">
      <c r="A608" s="421"/>
      <c r="B608" s="150" t="s">
        <v>4469</v>
      </c>
      <c r="C608" s="209">
        <v>17</v>
      </c>
      <c r="D608" s="244">
        <f>C608*(1-VLOOKUP(I608,descuentos,6,FALSE))*fcl/IF(dol_sol="dólar", TC,1)</f>
        <v>4.129728044776118</v>
      </c>
      <c r="E608" s="228">
        <v>2</v>
      </c>
      <c r="F608" s="585">
        <f>ROUNDUP(D608+E608,2)</f>
        <v>6.13</v>
      </c>
      <c r="G608" s="338" t="s">
        <v>4470</v>
      </c>
      <c r="H608" s="592" t="s">
        <v>4471</v>
      </c>
      <c r="I608" s="520" t="s">
        <v>11650</v>
      </c>
      <c r="J608" s="589" t="s">
        <v>753</v>
      </c>
      <c r="K608" s="520" t="s">
        <v>741</v>
      </c>
    </row>
    <row r="609" spans="1:11" s="196" customFormat="1">
      <c r="A609" s="421"/>
      <c r="B609" s="150" t="s">
        <v>4472</v>
      </c>
      <c r="C609" s="209">
        <v>17</v>
      </c>
      <c r="D609" s="244">
        <f>C609*(1-VLOOKUP(I609,descuentos,6,FALSE))*fcl/IF(dol_sol="dólar", TC,1)</f>
        <v>4.129728044776118</v>
      </c>
      <c r="E609" s="228">
        <v>2</v>
      </c>
      <c r="F609" s="585">
        <f>ROUNDUP(D609+E609,2)</f>
        <v>6.13</v>
      </c>
      <c r="G609" s="338" t="s">
        <v>4473</v>
      </c>
      <c r="H609" s="592" t="s">
        <v>4474</v>
      </c>
      <c r="I609" s="520" t="s">
        <v>11650</v>
      </c>
      <c r="J609" s="589" t="s">
        <v>753</v>
      </c>
      <c r="K609" s="520" t="s">
        <v>741</v>
      </c>
    </row>
    <row r="610" spans="1:11" s="196" customFormat="1">
      <c r="A610" s="421"/>
      <c r="B610" s="150" t="s">
        <v>4475</v>
      </c>
      <c r="C610" s="209">
        <v>17</v>
      </c>
      <c r="D610" s="244">
        <f>C610*(1-VLOOKUP(I610,descuentos,6,FALSE))*fcl/IF(dol_sol="dólar", TC,1)</f>
        <v>4.129728044776118</v>
      </c>
      <c r="E610" s="228">
        <v>2</v>
      </c>
      <c r="F610" s="585">
        <f>ROUNDUP(D610+E610,2)</f>
        <v>6.13</v>
      </c>
      <c r="G610" s="338" t="s">
        <v>4476</v>
      </c>
      <c r="H610" s="592" t="s">
        <v>4477</v>
      </c>
      <c r="I610" s="520" t="s">
        <v>11650</v>
      </c>
      <c r="J610" s="589" t="s">
        <v>753</v>
      </c>
      <c r="K610" s="520" t="s">
        <v>741</v>
      </c>
    </row>
    <row r="611" spans="1:11" s="341" customFormat="1">
      <c r="A611" s="421"/>
      <c r="B611" s="150"/>
      <c r="C611" s="209" t="s">
        <v>2058</v>
      </c>
      <c r="D611" s="244"/>
      <c r="E611" s="228"/>
      <c r="F611" s="585"/>
      <c r="G611" s="338"/>
      <c r="H611" s="592"/>
      <c r="I611" s="520"/>
      <c r="J611" s="589"/>
      <c r="K611" s="520"/>
    </row>
    <row r="612" spans="1:11" s="341" customFormat="1">
      <c r="A612" s="421"/>
      <c r="B612" s="150" t="s">
        <v>4478</v>
      </c>
      <c r="C612" s="209">
        <v>412</v>
      </c>
      <c r="D612" s="244">
        <f>C612*(1-VLOOKUP(I612,descuentos,6,FALSE))*fcl/IF(dol_sol="dólar", TC,1)</f>
        <v>100.08517379104477</v>
      </c>
      <c r="E612" s="228">
        <v>6</v>
      </c>
      <c r="F612" s="585">
        <f>ROUNDUP(D612+E612,2)</f>
        <v>106.09</v>
      </c>
      <c r="G612" s="338" t="s">
        <v>4479</v>
      </c>
      <c r="H612" s="592" t="s">
        <v>4480</v>
      </c>
      <c r="I612" s="520" t="s">
        <v>11650</v>
      </c>
      <c r="J612" s="589" t="s">
        <v>753</v>
      </c>
      <c r="K612" s="520" t="s">
        <v>741</v>
      </c>
    </row>
    <row r="613" spans="1:11" s="341" customFormat="1">
      <c r="A613" s="421"/>
      <c r="B613" s="150" t="s">
        <v>4462</v>
      </c>
      <c r="C613" s="209">
        <v>222</v>
      </c>
      <c r="D613" s="244">
        <f>C613*(1-VLOOKUP(I613,descuentos,6,FALSE))*fcl/IF(dol_sol="dólar", TC,1)</f>
        <v>53.929389761194024</v>
      </c>
      <c r="E613" s="228">
        <v>3</v>
      </c>
      <c r="F613" s="585">
        <f>ROUNDUP(D613+E613,2)</f>
        <v>56.93</v>
      </c>
      <c r="G613" s="338" t="s">
        <v>4463</v>
      </c>
      <c r="H613" s="592" t="s">
        <v>4464</v>
      </c>
      <c r="I613" s="520" t="s">
        <v>11650</v>
      </c>
      <c r="J613" s="589" t="s">
        <v>753</v>
      </c>
      <c r="K613" s="520" t="s">
        <v>741</v>
      </c>
    </row>
    <row r="614" spans="1:11" s="341" customFormat="1">
      <c r="A614" s="421"/>
      <c r="B614" s="150" t="s">
        <v>4481</v>
      </c>
      <c r="C614" s="209">
        <v>17</v>
      </c>
      <c r="D614" s="244">
        <f>C614*(1-VLOOKUP(I614,descuentos,6,FALSE))*fcl/IF(dol_sol="dólar", TC,1)</f>
        <v>4.129728044776118</v>
      </c>
      <c r="E614" s="228">
        <v>2</v>
      </c>
      <c r="F614" s="585">
        <f>ROUNDUP(D614+E614,2)</f>
        <v>6.13</v>
      </c>
      <c r="G614" s="338" t="s">
        <v>4482</v>
      </c>
      <c r="H614" s="592" t="s">
        <v>4483</v>
      </c>
      <c r="I614" s="520" t="s">
        <v>11650</v>
      </c>
      <c r="J614" s="589" t="s">
        <v>753</v>
      </c>
      <c r="K614" s="520" t="s">
        <v>741</v>
      </c>
    </row>
    <row r="615" spans="1:11" s="341" customFormat="1">
      <c r="A615" s="421"/>
      <c r="B615" s="150" t="s">
        <v>4484</v>
      </c>
      <c r="C615" s="209">
        <v>17</v>
      </c>
      <c r="D615" s="244">
        <f>C615*(1-VLOOKUP(I615,descuentos,6,FALSE))*fcl/IF(dol_sol="dólar", TC,1)</f>
        <v>4.129728044776118</v>
      </c>
      <c r="E615" s="228">
        <v>2</v>
      </c>
      <c r="F615" s="585">
        <f>ROUNDUP(D615+E615,2)</f>
        <v>6.13</v>
      </c>
      <c r="G615" s="338" t="s">
        <v>4485</v>
      </c>
      <c r="H615" s="592" t="s">
        <v>4486</v>
      </c>
      <c r="I615" s="520" t="s">
        <v>11650</v>
      </c>
      <c r="J615" s="589" t="s">
        <v>753</v>
      </c>
      <c r="K615" s="520" t="s">
        <v>741</v>
      </c>
    </row>
    <row r="616" spans="1:11" s="341" customFormat="1">
      <c r="A616" s="421"/>
      <c r="B616" s="150" t="s">
        <v>4487</v>
      </c>
      <c r="C616" s="209">
        <v>17</v>
      </c>
      <c r="D616" s="244">
        <f>C616*(1-VLOOKUP(I616,descuentos,6,FALSE))*fcl/IF(dol_sol="dólar", TC,1)</f>
        <v>4.129728044776118</v>
      </c>
      <c r="E616" s="228">
        <v>2</v>
      </c>
      <c r="F616" s="585">
        <f>ROUNDUP(D616+E616,2)</f>
        <v>6.13</v>
      </c>
      <c r="G616" s="338" t="s">
        <v>4488</v>
      </c>
      <c r="H616" s="592" t="s">
        <v>4489</v>
      </c>
      <c r="I616" s="520" t="s">
        <v>11650</v>
      </c>
      <c r="J616" s="589" t="s">
        <v>753</v>
      </c>
      <c r="K616" s="520" t="s">
        <v>741</v>
      </c>
    </row>
    <row r="617" spans="1:11" s="341" customFormat="1">
      <c r="A617" s="421"/>
      <c r="B617" s="150"/>
      <c r="C617" s="209" t="s">
        <v>2058</v>
      </c>
      <c r="D617" s="244"/>
      <c r="E617" s="228"/>
      <c r="F617" s="585"/>
      <c r="G617" s="338"/>
      <c r="H617" s="592"/>
      <c r="I617" s="520"/>
      <c r="J617" s="589"/>
      <c r="K617" s="520"/>
    </row>
    <row r="618" spans="1:11" s="341" customFormat="1">
      <c r="A618" s="421"/>
      <c r="B618" s="150" t="s">
        <v>3326</v>
      </c>
      <c r="C618" s="209">
        <v>540.20000000000005</v>
      </c>
      <c r="D618" s="244">
        <f>C618*(1-VLOOKUP(I618,descuentos,6,FALSE))*fcl/IF(dol_sol="dólar", TC,1)</f>
        <v>131.22818175223878</v>
      </c>
      <c r="E618" s="228">
        <v>10</v>
      </c>
      <c r="F618" s="585">
        <f>ROUNDUP(D618+E618,2)</f>
        <v>141.22999999999999</v>
      </c>
      <c r="G618" s="338" t="s">
        <v>4490</v>
      </c>
      <c r="H618" s="592" t="s">
        <v>3325</v>
      </c>
      <c r="I618" s="520" t="s">
        <v>11650</v>
      </c>
      <c r="J618" s="589" t="s">
        <v>753</v>
      </c>
      <c r="K618" s="520" t="s">
        <v>741</v>
      </c>
    </row>
    <row r="619" spans="1:11" s="339" customFormat="1">
      <c r="A619" s="421"/>
      <c r="B619" s="150"/>
      <c r="C619" s="209" t="s">
        <v>2058</v>
      </c>
      <c r="D619" s="244"/>
      <c r="E619" s="228"/>
      <c r="F619" s="585"/>
      <c r="G619" s="338"/>
      <c r="H619" s="592"/>
      <c r="I619" s="520"/>
      <c r="J619" s="589"/>
      <c r="K619" s="520"/>
    </row>
    <row r="620" spans="1:11" s="339" customFormat="1">
      <c r="A620" s="421"/>
      <c r="B620" s="150" t="s">
        <v>4491</v>
      </c>
      <c r="C620" s="209">
        <v>171.4</v>
      </c>
      <c r="D620" s="244">
        <f>C620*(1-VLOOKUP(I620,descuentos,6,FALSE))*fcl/IF(dol_sol="dólar", TC,1)</f>
        <v>41.637375698507462</v>
      </c>
      <c r="E620" s="228">
        <v>10</v>
      </c>
      <c r="F620" s="585">
        <f>ROUNDUP(D620+E620,2)</f>
        <v>51.64</v>
      </c>
      <c r="G620" s="338" t="s">
        <v>4492</v>
      </c>
      <c r="H620" s="592" t="s">
        <v>4493</v>
      </c>
      <c r="I620" s="520" t="s">
        <v>11650</v>
      </c>
      <c r="J620" s="589" t="s">
        <v>753</v>
      </c>
      <c r="K620" s="520" t="s">
        <v>741</v>
      </c>
    </row>
    <row r="621" spans="1:11" s="339" customFormat="1">
      <c r="A621" s="421"/>
      <c r="B621" s="150" t="s">
        <v>3717</v>
      </c>
      <c r="C621" s="209">
        <v>171.4</v>
      </c>
      <c r="D621" s="244">
        <f>C621*(1-VLOOKUP(I621,descuentos,6,FALSE))*fcl/IF(dol_sol="dólar", TC,1)</f>
        <v>41.637375698507462</v>
      </c>
      <c r="E621" s="228">
        <v>10</v>
      </c>
      <c r="F621" s="585">
        <f>ROUNDUP(D621+E621,2)</f>
        <v>51.64</v>
      </c>
      <c r="G621" s="338" t="s">
        <v>3718</v>
      </c>
      <c r="H621" s="592" t="s">
        <v>3719</v>
      </c>
      <c r="I621" s="520" t="s">
        <v>11650</v>
      </c>
      <c r="J621" s="589" t="s">
        <v>753</v>
      </c>
      <c r="K621" s="520" t="s">
        <v>741</v>
      </c>
    </row>
    <row r="622" spans="1:11" s="341" customFormat="1">
      <c r="A622" s="421"/>
      <c r="B622" s="150" t="s">
        <v>3328</v>
      </c>
      <c r="C622" s="209">
        <v>157.29999999999998</v>
      </c>
      <c r="D622" s="244">
        <f>C622*(1-VLOOKUP(I622,descuentos,6,FALSE))*fcl/IF(dol_sol="dólar", TC,1)</f>
        <v>38.212130673134318</v>
      </c>
      <c r="E622" s="228">
        <v>10</v>
      </c>
      <c r="F622" s="585">
        <f>ROUNDUP(D622+E622,2)</f>
        <v>48.22</v>
      </c>
      <c r="G622" s="338" t="s">
        <v>3329</v>
      </c>
      <c r="H622" s="592" t="s">
        <v>3327</v>
      </c>
      <c r="I622" s="520" t="s">
        <v>11650</v>
      </c>
      <c r="J622" s="589" t="s">
        <v>753</v>
      </c>
      <c r="K622" s="520" t="s">
        <v>741</v>
      </c>
    </row>
    <row r="623" spans="1:11" s="341" customFormat="1">
      <c r="A623" s="421"/>
      <c r="B623" s="150"/>
      <c r="C623" s="209" t="s">
        <v>2058</v>
      </c>
      <c r="D623" s="244"/>
      <c r="E623" s="228"/>
      <c r="F623" s="585"/>
      <c r="G623" s="338"/>
      <c r="H623" s="592"/>
      <c r="I623" s="520"/>
      <c r="J623" s="589"/>
      <c r="K623" s="520"/>
    </row>
    <row r="624" spans="1:11" s="341" customFormat="1">
      <c r="A624" s="421"/>
      <c r="B624" s="150" t="s">
        <v>13526</v>
      </c>
      <c r="C624" s="209">
        <v>433.90000000000003</v>
      </c>
      <c r="D624" s="244">
        <f>C624*(1-VLOOKUP(I624,descuentos,6,FALSE))*fcl/IF(dol_sol="dólar", TC,1)</f>
        <v>105.40523521343283</v>
      </c>
      <c r="E624" s="228">
        <v>10</v>
      </c>
      <c r="F624" s="585">
        <f>ROUNDUP(D624+E624,2)</f>
        <v>115.41000000000001</v>
      </c>
      <c r="G624" s="338" t="s">
        <v>13527</v>
      </c>
      <c r="H624" s="592" t="s">
        <v>13528</v>
      </c>
      <c r="I624" s="520" t="s">
        <v>11650</v>
      </c>
      <c r="J624" s="589" t="s">
        <v>753</v>
      </c>
      <c r="K624" s="520" t="s">
        <v>741</v>
      </c>
    </row>
    <row r="625" spans="1:11" s="341" customFormat="1">
      <c r="A625" s="421"/>
      <c r="B625" s="150"/>
      <c r="C625" s="209" t="s">
        <v>2058</v>
      </c>
      <c r="D625" s="244"/>
      <c r="E625" s="228"/>
      <c r="F625" s="585"/>
      <c r="G625" s="338"/>
      <c r="H625" s="592"/>
      <c r="I625" s="520"/>
      <c r="J625" s="589"/>
      <c r="K625" s="520"/>
    </row>
    <row r="626" spans="1:11" s="341" customFormat="1">
      <c r="A626" s="421"/>
      <c r="B626" s="150"/>
      <c r="C626" s="209" t="s">
        <v>2058</v>
      </c>
      <c r="D626" s="244"/>
      <c r="E626" s="228"/>
      <c r="F626" s="585"/>
      <c r="G626" s="338"/>
      <c r="H626" s="592"/>
      <c r="I626" s="520"/>
      <c r="J626" s="589"/>
      <c r="K626" s="520"/>
    </row>
    <row r="627" spans="1:11" s="341" customFormat="1">
      <c r="A627" s="421"/>
      <c r="B627" s="1720" t="s">
        <v>6566</v>
      </c>
      <c r="C627" s="389" t="s">
        <v>2058</v>
      </c>
      <c r="D627" s="388"/>
      <c r="E627" s="386"/>
      <c r="F627" s="582"/>
      <c r="G627" s="394"/>
      <c r="H627" s="580"/>
      <c r="I627" s="622"/>
      <c r="J627" s="1721"/>
      <c r="K627" s="622"/>
    </row>
    <row r="628" spans="1:11" s="341" customFormat="1">
      <c r="A628" s="421"/>
      <c r="B628" s="150"/>
      <c r="C628" s="209" t="s">
        <v>2058</v>
      </c>
      <c r="D628" s="244"/>
      <c r="E628" s="228"/>
      <c r="F628" s="585"/>
      <c r="G628" s="338"/>
      <c r="H628" s="592"/>
      <c r="I628" s="520"/>
      <c r="J628" s="589"/>
      <c r="K628" s="520"/>
    </row>
    <row r="629" spans="1:11" s="341" customFormat="1">
      <c r="A629" s="1737"/>
      <c r="B629" s="338" t="s">
        <v>6567</v>
      </c>
      <c r="C629" s="209">
        <v>134</v>
      </c>
      <c r="D629" s="244">
        <f t="shared" ref="D629:D637" si="97">C629*(1-VLOOKUP(I629,descuentos,6,FALSE))*fcl/IF(dol_sol="dólar", TC,1)</f>
        <v>32.551973999999994</v>
      </c>
      <c r="E629" s="472">
        <v>10</v>
      </c>
      <c r="F629" s="585">
        <f t="shared" ref="F629:F637" si="98">ROUNDUP(D629+E629,2)</f>
        <v>42.559999999999995</v>
      </c>
      <c r="G629" s="338" t="s">
        <v>13161</v>
      </c>
      <c r="H629" s="592" t="s">
        <v>6568</v>
      </c>
      <c r="I629" s="520" t="s">
        <v>11649</v>
      </c>
      <c r="J629" s="421" t="s">
        <v>753</v>
      </c>
      <c r="K629" s="520" t="s">
        <v>741</v>
      </c>
    </row>
    <row r="630" spans="1:11" s="341" customFormat="1">
      <c r="A630" s="1642"/>
      <c r="B630" s="338" t="s">
        <v>12217</v>
      </c>
      <c r="C630" s="209">
        <v>134</v>
      </c>
      <c r="D630" s="244">
        <f t="shared" ref="D630" si="99">C630*(1-VLOOKUP(I630,descuentos,6,FALSE))*fcl/IF(dol_sol="dólar", TC,1)</f>
        <v>32.551973999999994</v>
      </c>
      <c r="E630" s="472">
        <v>10</v>
      </c>
      <c r="F630" s="585">
        <f t="shared" si="98"/>
        <v>42.559999999999995</v>
      </c>
      <c r="G630" s="338" t="s">
        <v>12218</v>
      </c>
      <c r="H630" s="592" t="s">
        <v>12219</v>
      </c>
      <c r="I630" s="520" t="s">
        <v>11649</v>
      </c>
      <c r="J630" s="421" t="s">
        <v>753</v>
      </c>
      <c r="K630" s="520" t="s">
        <v>741</v>
      </c>
    </row>
    <row r="631" spans="1:11" s="341" customFormat="1">
      <c r="A631" s="1642"/>
      <c r="B631" s="338" t="s">
        <v>4986</v>
      </c>
      <c r="C631" s="209">
        <v>134</v>
      </c>
      <c r="D631" s="244">
        <f t="shared" si="97"/>
        <v>32.551973999999994</v>
      </c>
      <c r="E631" s="472">
        <v>10</v>
      </c>
      <c r="F631" s="585">
        <f t="shared" si="98"/>
        <v>42.559999999999995</v>
      </c>
      <c r="G631" s="338" t="s">
        <v>4987</v>
      </c>
      <c r="H631" s="592" t="s">
        <v>4988</v>
      </c>
      <c r="I631" s="520" t="s">
        <v>11649</v>
      </c>
      <c r="J631" s="421" t="s">
        <v>753</v>
      </c>
      <c r="K631" s="520" t="s">
        <v>741</v>
      </c>
    </row>
    <row r="632" spans="1:11" s="341" customFormat="1">
      <c r="A632" s="1642"/>
      <c r="B632" s="338" t="s">
        <v>6569</v>
      </c>
      <c r="C632" s="209">
        <v>134</v>
      </c>
      <c r="D632" s="244">
        <f t="shared" si="97"/>
        <v>32.551973999999994</v>
      </c>
      <c r="E632" s="472">
        <v>10</v>
      </c>
      <c r="F632" s="585">
        <f t="shared" si="98"/>
        <v>42.559999999999995</v>
      </c>
      <c r="G632" s="338" t="s">
        <v>6570</v>
      </c>
      <c r="H632" s="592" t="s">
        <v>6571</v>
      </c>
      <c r="I632" s="520" t="s">
        <v>11649</v>
      </c>
      <c r="J632" s="421" t="s">
        <v>753</v>
      </c>
      <c r="K632" s="520" t="s">
        <v>741</v>
      </c>
    </row>
    <row r="633" spans="1:11" s="341" customFormat="1">
      <c r="A633" s="1642"/>
      <c r="B633" s="338" t="s">
        <v>6572</v>
      </c>
      <c r="C633" s="209">
        <v>141</v>
      </c>
      <c r="D633" s="244">
        <f t="shared" ref="D633" si="100">C633*(1-VLOOKUP(I633,descuentos,6,FALSE))*fcl/IF(dol_sol="dólar", TC,1)</f>
        <v>34.25245025373134</v>
      </c>
      <c r="E633" s="472">
        <v>10</v>
      </c>
      <c r="F633" s="585">
        <f t="shared" si="98"/>
        <v>44.26</v>
      </c>
      <c r="G633" s="338" t="s">
        <v>6573</v>
      </c>
      <c r="H633" s="592" t="s">
        <v>6574</v>
      </c>
      <c r="I633" s="520" t="s">
        <v>11649</v>
      </c>
      <c r="J633" s="421" t="s">
        <v>753</v>
      </c>
      <c r="K633" s="520" t="s">
        <v>741</v>
      </c>
    </row>
    <row r="634" spans="1:11" s="341" customFormat="1">
      <c r="A634" s="1642"/>
      <c r="B634" s="338" t="s">
        <v>12220</v>
      </c>
      <c r="C634" s="209">
        <v>141</v>
      </c>
      <c r="D634" s="244">
        <f t="shared" si="97"/>
        <v>34.25245025373134</v>
      </c>
      <c r="E634" s="472">
        <v>10</v>
      </c>
      <c r="F634" s="585">
        <f t="shared" si="98"/>
        <v>44.26</v>
      </c>
      <c r="G634" s="338" t="s">
        <v>12221</v>
      </c>
      <c r="H634" s="592" t="s">
        <v>12222</v>
      </c>
      <c r="I634" s="520" t="s">
        <v>11649</v>
      </c>
      <c r="J634" s="421" t="s">
        <v>753</v>
      </c>
      <c r="K634" s="520" t="s">
        <v>741</v>
      </c>
    </row>
    <row r="635" spans="1:11" s="341" customFormat="1">
      <c r="A635" s="1642"/>
      <c r="B635" s="338" t="s">
        <v>9519</v>
      </c>
      <c r="C635" s="209">
        <v>141</v>
      </c>
      <c r="D635" s="244">
        <f t="shared" si="97"/>
        <v>34.25245025373134</v>
      </c>
      <c r="E635" s="472">
        <v>10</v>
      </c>
      <c r="F635" s="585">
        <f t="shared" si="98"/>
        <v>44.26</v>
      </c>
      <c r="G635" s="338" t="s">
        <v>9520</v>
      </c>
      <c r="H635" s="592" t="s">
        <v>9521</v>
      </c>
      <c r="I635" s="520" t="s">
        <v>11649</v>
      </c>
      <c r="J635" s="421" t="s">
        <v>753</v>
      </c>
      <c r="K635" s="520" t="s">
        <v>741</v>
      </c>
    </row>
    <row r="636" spans="1:11" s="341" customFormat="1">
      <c r="A636" s="1642"/>
      <c r="B636" s="338" t="s">
        <v>13162</v>
      </c>
      <c r="C636" s="209">
        <v>141</v>
      </c>
      <c r="D636" s="244">
        <f t="shared" ref="D636" si="101">C636*(1-VLOOKUP(I636,descuentos,6,FALSE))*fcl/IF(dol_sol="dólar", TC,1)</f>
        <v>34.25245025373134</v>
      </c>
      <c r="E636" s="472">
        <v>10</v>
      </c>
      <c r="F636" s="585">
        <f t="shared" si="98"/>
        <v>44.26</v>
      </c>
      <c r="G636" s="338" t="s">
        <v>13163</v>
      </c>
      <c r="H636" s="592" t="s">
        <v>13164</v>
      </c>
      <c r="I636" s="520" t="s">
        <v>11649</v>
      </c>
      <c r="J636" s="421" t="s">
        <v>753</v>
      </c>
      <c r="K636" s="520" t="s">
        <v>741</v>
      </c>
    </row>
    <row r="637" spans="1:11" s="341" customFormat="1">
      <c r="A637" s="1642"/>
      <c r="B637" s="338" t="s">
        <v>11241</v>
      </c>
      <c r="C637" s="209">
        <v>196</v>
      </c>
      <c r="D637" s="244">
        <f t="shared" si="97"/>
        <v>47.613335104477606</v>
      </c>
      <c r="E637" s="472">
        <v>10</v>
      </c>
      <c r="F637" s="585">
        <f t="shared" si="98"/>
        <v>57.62</v>
      </c>
      <c r="G637" s="338" t="s">
        <v>13165</v>
      </c>
      <c r="H637" s="592" t="s">
        <v>11242</v>
      </c>
      <c r="I637" s="520" t="s">
        <v>11649</v>
      </c>
      <c r="J637" s="421" t="s">
        <v>753</v>
      </c>
      <c r="K637" s="520" t="s">
        <v>741</v>
      </c>
    </row>
    <row r="638" spans="1:11" s="341" customFormat="1">
      <c r="A638" s="421"/>
      <c r="B638" s="150"/>
      <c r="C638" s="209" t="s">
        <v>2058</v>
      </c>
      <c r="D638" s="244"/>
      <c r="E638" s="228"/>
      <c r="F638" s="585"/>
      <c r="G638" s="338"/>
      <c r="H638" s="592"/>
      <c r="I638" s="520"/>
      <c r="J638" s="589"/>
      <c r="K638" s="520"/>
    </row>
    <row r="639" spans="1:11" s="341" customFormat="1">
      <c r="A639" s="421"/>
      <c r="B639" s="338" t="s">
        <v>3769</v>
      </c>
      <c r="C639" s="209">
        <v>163</v>
      </c>
      <c r="D639" s="244">
        <f>C639*(1-VLOOKUP(I639,descuentos,6,FALSE))*fcl/IF(dol_sol="dólar", TC,1)</f>
        <v>39.596804194029843</v>
      </c>
      <c r="E639" s="472">
        <v>10</v>
      </c>
      <c r="F639" s="585">
        <f t="shared" ref="F639:F776" si="102">ROUNDUP(D639+E639,2)</f>
        <v>49.6</v>
      </c>
      <c r="G639" s="338" t="s">
        <v>13166</v>
      </c>
      <c r="H639" s="592" t="s">
        <v>3770</v>
      </c>
      <c r="I639" s="520" t="s">
        <v>11649</v>
      </c>
      <c r="J639" s="421" t="s">
        <v>753</v>
      </c>
      <c r="K639" s="520" t="s">
        <v>741</v>
      </c>
    </row>
    <row r="640" spans="1:11" s="341" customFormat="1">
      <c r="A640" s="421"/>
      <c r="B640" s="338" t="s">
        <v>1178</v>
      </c>
      <c r="C640" s="209">
        <v>162</v>
      </c>
      <c r="D640" s="244">
        <f t="shared" ref="D640:D646" si="103">C640*(1-VLOOKUP(I640,descuentos,6,FALSE))*fcl/IF(dol_sol="dólar", TC,1)</f>
        <v>39.353879014925369</v>
      </c>
      <c r="E640" s="472">
        <v>10</v>
      </c>
      <c r="F640" s="585">
        <f t="shared" si="102"/>
        <v>49.36</v>
      </c>
      <c r="G640" s="338" t="s">
        <v>4494</v>
      </c>
      <c r="H640" s="592" t="s">
        <v>1185</v>
      </c>
      <c r="I640" s="520" t="s">
        <v>11649</v>
      </c>
      <c r="J640" s="421" t="s">
        <v>753</v>
      </c>
      <c r="K640" s="520" t="s">
        <v>741</v>
      </c>
    </row>
    <row r="641" spans="1:11" s="341" customFormat="1">
      <c r="A641" s="421"/>
      <c r="B641" s="338" t="s">
        <v>1179</v>
      </c>
      <c r="C641" s="209">
        <v>162</v>
      </c>
      <c r="D641" s="244">
        <f t="shared" si="103"/>
        <v>39.353879014925369</v>
      </c>
      <c r="E641" s="472">
        <v>10</v>
      </c>
      <c r="F641" s="585">
        <f t="shared" si="102"/>
        <v>49.36</v>
      </c>
      <c r="G641" s="338" t="s">
        <v>4495</v>
      </c>
      <c r="H641" s="592" t="s">
        <v>1186</v>
      </c>
      <c r="I641" s="520" t="s">
        <v>11649</v>
      </c>
      <c r="J641" s="421" t="s">
        <v>753</v>
      </c>
      <c r="K641" s="520" t="s">
        <v>741</v>
      </c>
    </row>
    <row r="642" spans="1:11" s="341" customFormat="1">
      <c r="A642" s="421"/>
      <c r="B642" s="338" t="s">
        <v>1180</v>
      </c>
      <c r="C642" s="209">
        <v>162</v>
      </c>
      <c r="D642" s="244">
        <f t="shared" si="103"/>
        <v>39.353879014925369</v>
      </c>
      <c r="E642" s="472">
        <v>10</v>
      </c>
      <c r="F642" s="585">
        <f t="shared" si="102"/>
        <v>49.36</v>
      </c>
      <c r="G642" s="338" t="s">
        <v>4496</v>
      </c>
      <c r="H642" s="592" t="s">
        <v>1187</v>
      </c>
      <c r="I642" s="520" t="s">
        <v>11649</v>
      </c>
      <c r="J642" s="421" t="s">
        <v>753</v>
      </c>
      <c r="K642" s="520" t="s">
        <v>741</v>
      </c>
    </row>
    <row r="643" spans="1:11" s="341" customFormat="1">
      <c r="A643" s="421"/>
      <c r="B643" s="338" t="s">
        <v>1181</v>
      </c>
      <c r="C643" s="209">
        <v>162</v>
      </c>
      <c r="D643" s="244">
        <f t="shared" si="103"/>
        <v>39.353879014925369</v>
      </c>
      <c r="E643" s="472">
        <v>10</v>
      </c>
      <c r="F643" s="585">
        <f t="shared" si="102"/>
        <v>49.36</v>
      </c>
      <c r="G643" s="338" t="s">
        <v>4497</v>
      </c>
      <c r="H643" s="592" t="s">
        <v>1188</v>
      </c>
      <c r="I643" s="520" t="s">
        <v>11649</v>
      </c>
      <c r="J643" s="421" t="s">
        <v>753</v>
      </c>
      <c r="K643" s="520" t="s">
        <v>741</v>
      </c>
    </row>
    <row r="644" spans="1:11" s="341" customFormat="1">
      <c r="A644" s="421"/>
      <c r="B644" s="338" t="s">
        <v>1182</v>
      </c>
      <c r="C644" s="209">
        <v>162</v>
      </c>
      <c r="D644" s="244">
        <f t="shared" si="103"/>
        <v>39.353879014925369</v>
      </c>
      <c r="E644" s="472">
        <v>10</v>
      </c>
      <c r="F644" s="585">
        <f t="shared" si="102"/>
        <v>49.36</v>
      </c>
      <c r="G644" s="338" t="s">
        <v>4498</v>
      </c>
      <c r="H644" s="592" t="s">
        <v>1189</v>
      </c>
      <c r="I644" s="520" t="s">
        <v>11649</v>
      </c>
      <c r="J644" s="421" t="s">
        <v>753</v>
      </c>
      <c r="K644" s="520" t="s">
        <v>741</v>
      </c>
    </row>
    <row r="645" spans="1:11" s="341" customFormat="1">
      <c r="A645" s="421"/>
      <c r="B645" s="342" t="s">
        <v>1183</v>
      </c>
      <c r="C645" s="209">
        <v>175</v>
      </c>
      <c r="D645" s="244">
        <f t="shared" si="103"/>
        <v>42.511906343283577</v>
      </c>
      <c r="E645" s="472">
        <v>10</v>
      </c>
      <c r="F645" s="585">
        <f t="shared" si="102"/>
        <v>52.519999999999996</v>
      </c>
      <c r="G645" s="338" t="s">
        <v>4499</v>
      </c>
      <c r="H645" s="592" t="s">
        <v>1190</v>
      </c>
      <c r="I645" s="520" t="s">
        <v>11649</v>
      </c>
      <c r="J645" s="421" t="s">
        <v>753</v>
      </c>
      <c r="K645" s="520" t="s">
        <v>741</v>
      </c>
    </row>
    <row r="646" spans="1:11" s="341" customFormat="1">
      <c r="A646" s="421"/>
      <c r="B646" s="338" t="s">
        <v>1184</v>
      </c>
      <c r="C646" s="209">
        <v>175</v>
      </c>
      <c r="D646" s="244">
        <f t="shared" si="103"/>
        <v>42.511906343283577</v>
      </c>
      <c r="E646" s="472">
        <v>10</v>
      </c>
      <c r="F646" s="585">
        <f t="shared" si="102"/>
        <v>52.519999999999996</v>
      </c>
      <c r="G646" s="338" t="s">
        <v>4500</v>
      </c>
      <c r="H646" s="592" t="s">
        <v>1191</v>
      </c>
      <c r="I646" s="520" t="s">
        <v>11649</v>
      </c>
      <c r="J646" s="421" t="s">
        <v>753</v>
      </c>
      <c r="K646" s="520" t="s">
        <v>741</v>
      </c>
    </row>
    <row r="647" spans="1:11" s="341" customFormat="1">
      <c r="A647" s="421"/>
      <c r="B647" s="623" t="s">
        <v>2123</v>
      </c>
      <c r="C647" s="209">
        <v>176</v>
      </c>
      <c r="D647" s="244">
        <f>C647*(1-VLOOKUP(I647,descuentos,6,FALSE))*fcl/IF(dol_sol="dólar", TC,1)</f>
        <v>42.754831522388059</v>
      </c>
      <c r="E647" s="472">
        <v>10</v>
      </c>
      <c r="F647" s="585">
        <f t="shared" si="102"/>
        <v>52.76</v>
      </c>
      <c r="G647" s="623" t="s">
        <v>4501</v>
      </c>
      <c r="H647" s="592" t="s">
        <v>2124</v>
      </c>
      <c r="I647" s="520" t="s">
        <v>11649</v>
      </c>
      <c r="J647" s="421" t="s">
        <v>753</v>
      </c>
      <c r="K647" s="520" t="s">
        <v>741</v>
      </c>
    </row>
    <row r="648" spans="1:11" s="341" customFormat="1">
      <c r="A648" s="421"/>
      <c r="B648" s="623" t="s">
        <v>2732</v>
      </c>
      <c r="C648" s="209">
        <v>176</v>
      </c>
      <c r="D648" s="244">
        <f>C648*(1-VLOOKUP(I648,descuentos,6,FALSE))*fcl/IF(dol_sol="dólar", TC,1)</f>
        <v>42.754831522388059</v>
      </c>
      <c r="E648" s="472">
        <v>10</v>
      </c>
      <c r="F648" s="585">
        <f t="shared" si="102"/>
        <v>52.76</v>
      </c>
      <c r="G648" s="623" t="s">
        <v>4502</v>
      </c>
      <c r="H648" s="592" t="s">
        <v>2733</v>
      </c>
      <c r="I648" s="520" t="s">
        <v>11649</v>
      </c>
      <c r="J648" s="421" t="s">
        <v>753</v>
      </c>
      <c r="K648" s="520" t="s">
        <v>741</v>
      </c>
    </row>
    <row r="649" spans="1:11" s="341" customFormat="1">
      <c r="A649" s="421"/>
      <c r="B649" s="623" t="s">
        <v>2734</v>
      </c>
      <c r="C649" s="209">
        <v>176</v>
      </c>
      <c r="D649" s="244">
        <f>C649*(1-VLOOKUP(I649,descuentos,6,FALSE))*fcl/IF(dol_sol="dólar", TC,1)</f>
        <v>42.754831522388059</v>
      </c>
      <c r="E649" s="472">
        <v>10</v>
      </c>
      <c r="F649" s="585">
        <f t="shared" si="102"/>
        <v>52.76</v>
      </c>
      <c r="G649" s="623" t="s">
        <v>4503</v>
      </c>
      <c r="H649" s="592" t="s">
        <v>2735</v>
      </c>
      <c r="I649" s="520" t="s">
        <v>11649</v>
      </c>
      <c r="J649" s="421" t="s">
        <v>753</v>
      </c>
      <c r="K649" s="520" t="s">
        <v>741</v>
      </c>
    </row>
    <row r="650" spans="1:11" s="341" customFormat="1">
      <c r="A650" s="421"/>
      <c r="B650" s="623" t="s">
        <v>2736</v>
      </c>
      <c r="C650" s="209">
        <v>176</v>
      </c>
      <c r="D650" s="244">
        <f>C650*(1-VLOOKUP(I650,descuentos,6,FALSE))*fcl/IF(dol_sol="dólar", TC,1)</f>
        <v>42.754831522388059</v>
      </c>
      <c r="E650" s="472">
        <v>10</v>
      </c>
      <c r="F650" s="585">
        <f t="shared" si="102"/>
        <v>52.76</v>
      </c>
      <c r="G650" s="623" t="s">
        <v>4504</v>
      </c>
      <c r="H650" s="592" t="s">
        <v>2737</v>
      </c>
      <c r="I650" s="520" t="s">
        <v>11649</v>
      </c>
      <c r="J650" s="421" t="s">
        <v>753</v>
      </c>
      <c r="K650" s="520" t="s">
        <v>741</v>
      </c>
    </row>
    <row r="651" spans="1:11" s="341" customFormat="1">
      <c r="A651" s="421"/>
      <c r="B651" s="623" t="s">
        <v>3715</v>
      </c>
      <c r="C651" s="209">
        <v>245</v>
      </c>
      <c r="D651" s="244">
        <f>C651*(1-VLOOKUP(I651,descuentos,6,FALSE))*fcl/IF(dol_sol="dólar", TC,1)</f>
        <v>59.51666888059701</v>
      </c>
      <c r="E651" s="472">
        <v>10</v>
      </c>
      <c r="F651" s="585">
        <f t="shared" si="102"/>
        <v>69.52000000000001</v>
      </c>
      <c r="G651" s="623" t="s">
        <v>4505</v>
      </c>
      <c r="H651" s="592" t="s">
        <v>3716</v>
      </c>
      <c r="I651" s="520" t="s">
        <v>11649</v>
      </c>
      <c r="J651" s="421" t="s">
        <v>753</v>
      </c>
      <c r="K651" s="520" t="s">
        <v>741</v>
      </c>
    </row>
    <row r="652" spans="1:11" s="341" customFormat="1">
      <c r="A652" s="421"/>
      <c r="B652" s="338"/>
      <c r="C652" s="209" t="s">
        <v>2058</v>
      </c>
      <c r="D652" s="244"/>
      <c r="E652" s="228"/>
      <c r="F652" s="585"/>
      <c r="G652" s="338"/>
      <c r="H652" s="592"/>
      <c r="I652" s="520"/>
      <c r="J652" s="421"/>
      <c r="K652" s="520"/>
    </row>
    <row r="653" spans="1:11" s="341" customFormat="1">
      <c r="A653" s="2329"/>
      <c r="B653" s="338" t="s">
        <v>1183</v>
      </c>
      <c r="C653" s="209">
        <v>166</v>
      </c>
      <c r="D653" s="244">
        <f t="shared" ref="D653" si="104">C653*(1-VLOOKUP(I653,descuentos,6,FALSE))*fcl/IF(dol_sol="dólar", TC,1)</f>
        <v>40.325579731343275</v>
      </c>
      <c r="E653" s="472">
        <v>10</v>
      </c>
      <c r="F653" s="585">
        <f t="shared" ref="F653" si="105">ROUNDUP(D653+E653,2)</f>
        <v>50.33</v>
      </c>
      <c r="G653" s="338" t="s">
        <v>4499</v>
      </c>
      <c r="H653" s="592" t="s">
        <v>13912</v>
      </c>
      <c r="I653" s="520" t="s">
        <v>11649</v>
      </c>
      <c r="J653" s="421" t="s">
        <v>753</v>
      </c>
      <c r="K653" s="520" t="s">
        <v>741</v>
      </c>
    </row>
    <row r="654" spans="1:11" s="341" customFormat="1">
      <c r="A654" s="421"/>
      <c r="B654" s="338"/>
      <c r="C654" s="209" t="s">
        <v>2058</v>
      </c>
      <c r="D654" s="244"/>
      <c r="E654" s="228"/>
      <c r="F654" s="585"/>
      <c r="G654" s="338"/>
      <c r="H654" s="592"/>
      <c r="I654" s="520"/>
      <c r="J654" s="421"/>
      <c r="K654" s="520"/>
    </row>
    <row r="655" spans="1:11" s="339" customFormat="1">
      <c r="A655" s="421"/>
      <c r="B655" s="338" t="s">
        <v>3713</v>
      </c>
      <c r="C655" s="209">
        <v>237</v>
      </c>
      <c r="D655" s="244">
        <f>C655*(1-VLOOKUP(I655,descuentos,6,FALSE))*fcl/IF(dol_sol="dólar", TC,1)</f>
        <v>57.573267447761182</v>
      </c>
      <c r="E655" s="472">
        <v>15</v>
      </c>
      <c r="F655" s="585">
        <f t="shared" si="102"/>
        <v>72.58</v>
      </c>
      <c r="G655" s="338" t="s">
        <v>4506</v>
      </c>
      <c r="H655" s="592" t="s">
        <v>3714</v>
      </c>
      <c r="I655" s="520" t="s">
        <v>11649</v>
      </c>
      <c r="J655" s="421" t="s">
        <v>753</v>
      </c>
      <c r="K655" s="520" t="s">
        <v>741</v>
      </c>
    </row>
    <row r="656" spans="1:11" s="339" customFormat="1">
      <c r="A656" s="421"/>
      <c r="B656" s="338" t="s">
        <v>9522</v>
      </c>
      <c r="C656" s="209">
        <v>244</v>
      </c>
      <c r="D656" s="244">
        <f t="shared" ref="D656" si="106">C656*(1-VLOOKUP(I656,descuentos,6,FALSE))*fcl/IF(dol_sol="dólar", TC,1)</f>
        <v>59.273743701492528</v>
      </c>
      <c r="E656" s="472">
        <v>15</v>
      </c>
      <c r="F656" s="585">
        <f t="shared" si="102"/>
        <v>74.28</v>
      </c>
      <c r="G656" s="338" t="s">
        <v>9523</v>
      </c>
      <c r="H656" s="592" t="s">
        <v>9524</v>
      </c>
      <c r="I656" s="520" t="s">
        <v>11649</v>
      </c>
      <c r="J656" s="421" t="s">
        <v>753</v>
      </c>
      <c r="K656" s="520" t="s">
        <v>741</v>
      </c>
    </row>
    <row r="657" spans="1:11" s="339" customFormat="1">
      <c r="A657" s="421"/>
      <c r="B657" s="338" t="s">
        <v>1192</v>
      </c>
      <c r="C657" s="209">
        <v>235</v>
      </c>
      <c r="D657" s="244">
        <f t="shared" ref="D657:D667" si="107">C657*(1-VLOOKUP(I657,descuentos,6,FALSE))*fcl/IF(dol_sol="dólar", TC,1)</f>
        <v>57.087417089552233</v>
      </c>
      <c r="E657" s="472">
        <v>15</v>
      </c>
      <c r="F657" s="585">
        <f t="shared" si="102"/>
        <v>72.09</v>
      </c>
      <c r="G657" s="338" t="s">
        <v>4507</v>
      </c>
      <c r="H657" s="592" t="s">
        <v>1201</v>
      </c>
      <c r="I657" s="520" t="s">
        <v>11649</v>
      </c>
      <c r="J657" s="421" t="s">
        <v>753</v>
      </c>
      <c r="K657" s="520" t="s">
        <v>741</v>
      </c>
    </row>
    <row r="658" spans="1:11" s="341" customFormat="1">
      <c r="A658" s="421"/>
      <c r="B658" s="338" t="s">
        <v>1193</v>
      </c>
      <c r="C658" s="209">
        <v>235</v>
      </c>
      <c r="D658" s="244">
        <f t="shared" si="107"/>
        <v>57.087417089552233</v>
      </c>
      <c r="E658" s="472">
        <v>15</v>
      </c>
      <c r="F658" s="585">
        <f t="shared" si="102"/>
        <v>72.09</v>
      </c>
      <c r="G658" s="338" t="s">
        <v>4508</v>
      </c>
      <c r="H658" s="592" t="s">
        <v>1202</v>
      </c>
      <c r="I658" s="520" t="s">
        <v>11649</v>
      </c>
      <c r="J658" s="421" t="s">
        <v>753</v>
      </c>
      <c r="K658" s="520" t="s">
        <v>741</v>
      </c>
    </row>
    <row r="659" spans="1:11" s="341" customFormat="1">
      <c r="A659" s="421"/>
      <c r="B659" s="338" t="s">
        <v>4975</v>
      </c>
      <c r="C659" s="209">
        <v>235</v>
      </c>
      <c r="D659" s="244">
        <f t="shared" si="107"/>
        <v>57.087417089552233</v>
      </c>
      <c r="E659" s="472">
        <v>15</v>
      </c>
      <c r="F659" s="585">
        <f t="shared" si="102"/>
        <v>72.09</v>
      </c>
      <c r="G659" s="338" t="s">
        <v>4989</v>
      </c>
      <c r="H659" s="592" t="s">
        <v>1203</v>
      </c>
      <c r="I659" s="520" t="s">
        <v>11649</v>
      </c>
      <c r="J659" s="421" t="s">
        <v>753</v>
      </c>
      <c r="K659" s="520" t="s">
        <v>741</v>
      </c>
    </row>
    <row r="660" spans="1:11" s="341" customFormat="1">
      <c r="A660" s="421"/>
      <c r="B660" s="338" t="s">
        <v>1194</v>
      </c>
      <c r="C660" s="209">
        <v>235</v>
      </c>
      <c r="D660" s="244">
        <f t="shared" si="107"/>
        <v>57.087417089552233</v>
      </c>
      <c r="E660" s="472">
        <v>15</v>
      </c>
      <c r="F660" s="585">
        <f t="shared" si="102"/>
        <v>72.09</v>
      </c>
      <c r="G660" s="338" t="s">
        <v>4509</v>
      </c>
      <c r="H660" s="592" t="s">
        <v>1204</v>
      </c>
      <c r="I660" s="520" t="s">
        <v>11649</v>
      </c>
      <c r="J660" s="421" t="s">
        <v>753</v>
      </c>
      <c r="K660" s="520" t="s">
        <v>741</v>
      </c>
    </row>
    <row r="661" spans="1:11" s="341" customFormat="1">
      <c r="A661" s="421"/>
      <c r="B661" s="338" t="s">
        <v>1195</v>
      </c>
      <c r="C661" s="209">
        <v>235</v>
      </c>
      <c r="D661" s="244">
        <f t="shared" si="107"/>
        <v>57.087417089552233</v>
      </c>
      <c r="E661" s="472">
        <v>15</v>
      </c>
      <c r="F661" s="585">
        <f t="shared" si="102"/>
        <v>72.09</v>
      </c>
      <c r="G661" s="338" t="s">
        <v>4510</v>
      </c>
      <c r="H661" s="592" t="s">
        <v>1205</v>
      </c>
      <c r="I661" s="520" t="s">
        <v>11649</v>
      </c>
      <c r="J661" s="421" t="s">
        <v>753</v>
      </c>
      <c r="K661" s="520" t="s">
        <v>741</v>
      </c>
    </row>
    <row r="662" spans="1:11" s="341" customFormat="1">
      <c r="A662" s="421"/>
      <c r="B662" s="338" t="s">
        <v>4974</v>
      </c>
      <c r="C662" s="209">
        <v>235</v>
      </c>
      <c r="D662" s="244">
        <f t="shared" si="107"/>
        <v>57.087417089552233</v>
      </c>
      <c r="E662" s="472">
        <v>15</v>
      </c>
      <c r="F662" s="585">
        <f t="shared" si="102"/>
        <v>72.09</v>
      </c>
      <c r="G662" s="338" t="s">
        <v>4990</v>
      </c>
      <c r="H662" s="592" t="s">
        <v>1206</v>
      </c>
      <c r="I662" s="520" t="s">
        <v>11649</v>
      </c>
      <c r="J662" s="421" t="s">
        <v>753</v>
      </c>
      <c r="K662" s="520" t="s">
        <v>741</v>
      </c>
    </row>
    <row r="663" spans="1:11" s="341" customFormat="1">
      <c r="A663" s="421"/>
      <c r="B663" s="338" t="s">
        <v>1196</v>
      </c>
      <c r="C663" s="209">
        <v>235</v>
      </c>
      <c r="D663" s="244">
        <f t="shared" si="107"/>
        <v>57.087417089552233</v>
      </c>
      <c r="E663" s="472">
        <v>15</v>
      </c>
      <c r="F663" s="585">
        <f t="shared" si="102"/>
        <v>72.09</v>
      </c>
      <c r="G663" s="338" t="s">
        <v>4511</v>
      </c>
      <c r="H663" s="592" t="s">
        <v>1207</v>
      </c>
      <c r="I663" s="520" t="s">
        <v>11649</v>
      </c>
      <c r="J663" s="421" t="s">
        <v>753</v>
      </c>
      <c r="K663" s="520" t="s">
        <v>741</v>
      </c>
    </row>
    <row r="664" spans="1:11" s="341" customFormat="1">
      <c r="A664" s="421"/>
      <c r="B664" s="338" t="s">
        <v>1197</v>
      </c>
      <c r="C664" s="209">
        <v>248</v>
      </c>
      <c r="D664" s="244">
        <f t="shared" si="107"/>
        <v>60.245444417910448</v>
      </c>
      <c r="E664" s="472">
        <v>15</v>
      </c>
      <c r="F664" s="585">
        <f t="shared" si="102"/>
        <v>75.25</v>
      </c>
      <c r="G664" s="338" t="s">
        <v>4512</v>
      </c>
      <c r="H664" s="592" t="s">
        <v>1208</v>
      </c>
      <c r="I664" s="520" t="s">
        <v>11649</v>
      </c>
      <c r="J664" s="421" t="s">
        <v>753</v>
      </c>
      <c r="K664" s="520" t="s">
        <v>741</v>
      </c>
    </row>
    <row r="665" spans="1:11" s="341" customFormat="1">
      <c r="A665" s="421"/>
      <c r="B665" s="338" t="s">
        <v>1198</v>
      </c>
      <c r="C665" s="209">
        <v>248</v>
      </c>
      <c r="D665" s="244">
        <f t="shared" si="107"/>
        <v>60.245444417910448</v>
      </c>
      <c r="E665" s="472">
        <v>15</v>
      </c>
      <c r="F665" s="585">
        <f t="shared" si="102"/>
        <v>75.25</v>
      </c>
      <c r="G665" s="338" t="s">
        <v>4513</v>
      </c>
      <c r="H665" s="592" t="s">
        <v>1209</v>
      </c>
      <c r="I665" s="520" t="s">
        <v>11649</v>
      </c>
      <c r="J665" s="421" t="s">
        <v>753</v>
      </c>
      <c r="K665" s="520" t="s">
        <v>741</v>
      </c>
    </row>
    <row r="666" spans="1:11" s="341" customFormat="1">
      <c r="A666" s="421"/>
      <c r="B666" s="338" t="s">
        <v>1199</v>
      </c>
      <c r="C666" s="209">
        <v>248</v>
      </c>
      <c r="D666" s="244">
        <f t="shared" si="107"/>
        <v>60.245444417910448</v>
      </c>
      <c r="E666" s="472">
        <v>15</v>
      </c>
      <c r="F666" s="585">
        <f t="shared" si="102"/>
        <v>75.25</v>
      </c>
      <c r="G666" s="338" t="s">
        <v>4514</v>
      </c>
      <c r="H666" s="592" t="s">
        <v>1210</v>
      </c>
      <c r="I666" s="520" t="s">
        <v>11649</v>
      </c>
      <c r="J666" s="421" t="s">
        <v>753</v>
      </c>
      <c r="K666" s="520" t="s">
        <v>741</v>
      </c>
    </row>
    <row r="667" spans="1:11" s="341" customFormat="1">
      <c r="A667" s="421"/>
      <c r="B667" s="338" t="s">
        <v>1200</v>
      </c>
      <c r="C667" s="209">
        <v>350</v>
      </c>
      <c r="D667" s="244">
        <f t="shared" si="107"/>
        <v>85.023812686567155</v>
      </c>
      <c r="E667" s="472">
        <v>15</v>
      </c>
      <c r="F667" s="585">
        <f t="shared" si="102"/>
        <v>100.03</v>
      </c>
      <c r="G667" s="338" t="s">
        <v>4515</v>
      </c>
      <c r="H667" s="592" t="s">
        <v>1211</v>
      </c>
      <c r="I667" s="520" t="s">
        <v>11649</v>
      </c>
      <c r="J667" s="421" t="s">
        <v>753</v>
      </c>
      <c r="K667" s="520" t="s">
        <v>741</v>
      </c>
    </row>
    <row r="668" spans="1:11" s="341" customFormat="1">
      <c r="A668" s="421"/>
      <c r="B668" s="338"/>
      <c r="C668" s="209" t="s">
        <v>2058</v>
      </c>
      <c r="D668" s="244"/>
      <c r="E668" s="228"/>
      <c r="F668" s="585"/>
      <c r="G668" s="338"/>
      <c r="H668" s="592"/>
      <c r="I668" s="520"/>
      <c r="J668" s="421"/>
      <c r="K668" s="520"/>
    </row>
    <row r="669" spans="1:11" s="339" customFormat="1">
      <c r="A669" s="421"/>
      <c r="B669" s="338"/>
      <c r="C669" s="209" t="s">
        <v>2058</v>
      </c>
      <c r="D669" s="244"/>
      <c r="E669" s="228"/>
      <c r="F669" s="585"/>
      <c r="G669" s="338"/>
      <c r="H669" s="592"/>
      <c r="I669" s="520"/>
      <c r="J669" s="421"/>
      <c r="K669" s="520"/>
    </row>
    <row r="670" spans="1:11" s="341" customFormat="1">
      <c r="A670" s="421"/>
      <c r="B670" s="338"/>
      <c r="C670" s="209" t="s">
        <v>2058</v>
      </c>
      <c r="D670" s="244"/>
      <c r="E670" s="228"/>
      <c r="F670" s="585"/>
      <c r="G670" s="338"/>
      <c r="H670" s="592"/>
      <c r="I670" s="520"/>
      <c r="J670" s="421"/>
      <c r="K670" s="520"/>
    </row>
    <row r="671" spans="1:11" s="341" customFormat="1">
      <c r="A671" s="421"/>
      <c r="B671" s="338" t="s">
        <v>3767</v>
      </c>
      <c r="C671" s="209">
        <v>333</v>
      </c>
      <c r="D671" s="244">
        <f>C671*(1-VLOOKUP(I671,descuentos,6,FALSE))*fcl/IF(dol_sol="dólar", TC,1)</f>
        <v>80.894084641791039</v>
      </c>
      <c r="E671" s="472">
        <v>15</v>
      </c>
      <c r="F671" s="585">
        <f t="shared" si="102"/>
        <v>95.9</v>
      </c>
      <c r="G671" s="338" t="s">
        <v>6575</v>
      </c>
      <c r="H671" s="592" t="s">
        <v>3768</v>
      </c>
      <c r="I671" s="520" t="s">
        <v>11649</v>
      </c>
      <c r="J671" s="421" t="s">
        <v>753</v>
      </c>
      <c r="K671" s="520" t="s">
        <v>741</v>
      </c>
    </row>
    <row r="672" spans="1:11" s="341" customFormat="1">
      <c r="A672" s="421"/>
      <c r="B672" s="338" t="s">
        <v>9525</v>
      </c>
      <c r="C672" s="209">
        <v>337</v>
      </c>
      <c r="D672" s="244">
        <f>C672*(1-VLOOKUP(I672,descuentos,6,FALSE))*fcl/IF(dol_sol="dólar", TC,1)</f>
        <v>81.865785358208939</v>
      </c>
      <c r="E672" s="472">
        <v>15</v>
      </c>
      <c r="F672" s="585">
        <f t="shared" si="102"/>
        <v>96.87</v>
      </c>
      <c r="G672" s="338" t="s">
        <v>9526</v>
      </c>
      <c r="H672" s="592" t="s">
        <v>9527</v>
      </c>
      <c r="I672" s="520" t="s">
        <v>11649</v>
      </c>
      <c r="J672" s="421" t="s">
        <v>753</v>
      </c>
      <c r="K672" s="520" t="s">
        <v>741</v>
      </c>
    </row>
    <row r="673" spans="1:11" s="341" customFormat="1">
      <c r="A673" s="421"/>
      <c r="B673" s="338" t="s">
        <v>2143</v>
      </c>
      <c r="C673" s="209">
        <v>333</v>
      </c>
      <c r="D673" s="244">
        <f t="shared" ref="D673:D683" si="108">C673*(1-VLOOKUP(I673,descuentos,6,FALSE))*fcl/IF(dol_sol="dólar", TC,1)</f>
        <v>80.894084641791039</v>
      </c>
      <c r="E673" s="472">
        <f t="shared" ref="E673:E683" si="109">E657</f>
        <v>15</v>
      </c>
      <c r="F673" s="585">
        <f t="shared" si="102"/>
        <v>95.9</v>
      </c>
      <c r="G673" s="338" t="s">
        <v>6576</v>
      </c>
      <c r="H673" s="592" t="s">
        <v>2144</v>
      </c>
      <c r="I673" s="520" t="s">
        <v>11649</v>
      </c>
      <c r="J673" s="421" t="s">
        <v>753</v>
      </c>
      <c r="K673" s="520" t="s">
        <v>741</v>
      </c>
    </row>
    <row r="674" spans="1:11" s="341" customFormat="1">
      <c r="A674" s="421"/>
      <c r="B674" s="338" t="s">
        <v>2145</v>
      </c>
      <c r="C674" s="209">
        <v>333</v>
      </c>
      <c r="D674" s="244">
        <f t="shared" si="108"/>
        <v>80.894084641791039</v>
      </c>
      <c r="E674" s="472">
        <f t="shared" si="109"/>
        <v>15</v>
      </c>
      <c r="F674" s="585">
        <f t="shared" si="102"/>
        <v>95.9</v>
      </c>
      <c r="G674" s="338" t="s">
        <v>6577</v>
      </c>
      <c r="H674" s="592" t="s">
        <v>2146</v>
      </c>
      <c r="I674" s="520" t="s">
        <v>11649</v>
      </c>
      <c r="J674" s="421" t="s">
        <v>753</v>
      </c>
      <c r="K674" s="520" t="s">
        <v>741</v>
      </c>
    </row>
    <row r="675" spans="1:11" s="341" customFormat="1">
      <c r="A675" s="421"/>
      <c r="B675" s="338" t="s">
        <v>4995</v>
      </c>
      <c r="C675" s="209">
        <v>333</v>
      </c>
      <c r="D675" s="244">
        <f t="shared" si="108"/>
        <v>80.894084641791039</v>
      </c>
      <c r="E675" s="472">
        <f t="shared" si="109"/>
        <v>15</v>
      </c>
      <c r="F675" s="585">
        <f t="shared" si="102"/>
        <v>95.9</v>
      </c>
      <c r="G675" s="338" t="s">
        <v>6578</v>
      </c>
      <c r="H675" s="592" t="s">
        <v>2147</v>
      </c>
      <c r="I675" s="520" t="s">
        <v>11649</v>
      </c>
      <c r="J675" s="421" t="s">
        <v>753</v>
      </c>
      <c r="K675" s="520" t="s">
        <v>741</v>
      </c>
    </row>
    <row r="676" spans="1:11" s="341" customFormat="1">
      <c r="A676" s="421"/>
      <c r="B676" s="338" t="s">
        <v>2148</v>
      </c>
      <c r="C676" s="209">
        <v>333</v>
      </c>
      <c r="D676" s="244">
        <f t="shared" si="108"/>
        <v>80.894084641791039</v>
      </c>
      <c r="E676" s="472">
        <f t="shared" si="109"/>
        <v>15</v>
      </c>
      <c r="F676" s="585">
        <f t="shared" si="102"/>
        <v>95.9</v>
      </c>
      <c r="G676" s="338" t="s">
        <v>6579</v>
      </c>
      <c r="H676" s="592" t="s">
        <v>2149</v>
      </c>
      <c r="I676" s="520" t="s">
        <v>11649</v>
      </c>
      <c r="J676" s="421" t="s">
        <v>753</v>
      </c>
      <c r="K676" s="520" t="s">
        <v>741</v>
      </c>
    </row>
    <row r="677" spans="1:11" s="341" customFormat="1">
      <c r="A677" s="421"/>
      <c r="B677" s="338" t="s">
        <v>2150</v>
      </c>
      <c r="C677" s="209">
        <v>333</v>
      </c>
      <c r="D677" s="244">
        <f t="shared" si="108"/>
        <v>80.894084641791039</v>
      </c>
      <c r="E677" s="472">
        <f t="shared" si="109"/>
        <v>15</v>
      </c>
      <c r="F677" s="585">
        <f t="shared" si="102"/>
        <v>95.9</v>
      </c>
      <c r="G677" s="338" t="s">
        <v>6580</v>
      </c>
      <c r="H677" s="592" t="s">
        <v>2151</v>
      </c>
      <c r="I677" s="520" t="s">
        <v>11649</v>
      </c>
      <c r="J677" s="421" t="s">
        <v>753</v>
      </c>
      <c r="K677" s="520" t="s">
        <v>741</v>
      </c>
    </row>
    <row r="678" spans="1:11" s="341" customFormat="1">
      <c r="A678" s="421"/>
      <c r="B678" s="338" t="s">
        <v>4996</v>
      </c>
      <c r="C678" s="209">
        <v>333</v>
      </c>
      <c r="D678" s="244">
        <f t="shared" si="108"/>
        <v>80.894084641791039</v>
      </c>
      <c r="E678" s="472">
        <f t="shared" si="109"/>
        <v>15</v>
      </c>
      <c r="F678" s="585">
        <f t="shared" si="102"/>
        <v>95.9</v>
      </c>
      <c r="G678" s="338" t="s">
        <v>6581</v>
      </c>
      <c r="H678" s="592" t="s">
        <v>2152</v>
      </c>
      <c r="I678" s="520" t="s">
        <v>11649</v>
      </c>
      <c r="J678" s="421" t="s">
        <v>753</v>
      </c>
      <c r="K678" s="520" t="s">
        <v>741</v>
      </c>
    </row>
    <row r="679" spans="1:11" s="341" customFormat="1">
      <c r="A679" s="421"/>
      <c r="B679" s="338" t="s">
        <v>2153</v>
      </c>
      <c r="C679" s="209">
        <v>350</v>
      </c>
      <c r="D679" s="244">
        <f t="shared" si="108"/>
        <v>85.023812686567155</v>
      </c>
      <c r="E679" s="472">
        <f t="shared" si="109"/>
        <v>15</v>
      </c>
      <c r="F679" s="585">
        <f t="shared" si="102"/>
        <v>100.03</v>
      </c>
      <c r="G679" s="338" t="s">
        <v>6582</v>
      </c>
      <c r="H679" s="592" t="s">
        <v>2154</v>
      </c>
      <c r="I679" s="520" t="s">
        <v>11649</v>
      </c>
      <c r="J679" s="421" t="s">
        <v>753</v>
      </c>
      <c r="K679" s="520" t="s">
        <v>741</v>
      </c>
    </row>
    <row r="680" spans="1:11" s="341" customFormat="1">
      <c r="A680" s="421"/>
      <c r="B680" s="338" t="s">
        <v>2155</v>
      </c>
      <c r="C680" s="209">
        <v>350</v>
      </c>
      <c r="D680" s="244">
        <f t="shared" si="108"/>
        <v>85.023812686567155</v>
      </c>
      <c r="E680" s="472">
        <f t="shared" si="109"/>
        <v>15</v>
      </c>
      <c r="F680" s="585">
        <f t="shared" si="102"/>
        <v>100.03</v>
      </c>
      <c r="G680" s="338" t="s">
        <v>6583</v>
      </c>
      <c r="H680" s="592" t="s">
        <v>2156</v>
      </c>
      <c r="I680" s="520" t="s">
        <v>11649</v>
      </c>
      <c r="J680" s="421" t="s">
        <v>753</v>
      </c>
      <c r="K680" s="520" t="s">
        <v>741</v>
      </c>
    </row>
    <row r="681" spans="1:11" s="341" customFormat="1">
      <c r="A681" s="421"/>
      <c r="B681" s="338" t="s">
        <v>2157</v>
      </c>
      <c r="C681" s="209">
        <v>350</v>
      </c>
      <c r="D681" s="244">
        <f t="shared" si="108"/>
        <v>85.023812686567155</v>
      </c>
      <c r="E681" s="472">
        <f t="shared" si="109"/>
        <v>15</v>
      </c>
      <c r="F681" s="585">
        <f t="shared" si="102"/>
        <v>100.03</v>
      </c>
      <c r="G681" s="338" t="s">
        <v>6584</v>
      </c>
      <c r="H681" s="592" t="s">
        <v>2158</v>
      </c>
      <c r="I681" s="520" t="s">
        <v>11649</v>
      </c>
      <c r="J681" s="421" t="s">
        <v>753</v>
      </c>
      <c r="K681" s="520" t="s">
        <v>741</v>
      </c>
    </row>
    <row r="682" spans="1:11" s="341" customFormat="1">
      <c r="A682" s="421"/>
      <c r="B682" s="338" t="s">
        <v>2159</v>
      </c>
      <c r="C682" s="209">
        <v>350</v>
      </c>
      <c r="D682" s="244">
        <f t="shared" si="108"/>
        <v>85.023812686567155</v>
      </c>
      <c r="E682" s="472">
        <f t="shared" si="109"/>
        <v>15</v>
      </c>
      <c r="F682" s="585">
        <f t="shared" si="102"/>
        <v>100.03</v>
      </c>
      <c r="G682" s="338" t="s">
        <v>6585</v>
      </c>
      <c r="H682" s="592" t="s">
        <v>2160</v>
      </c>
      <c r="I682" s="520" t="s">
        <v>11649</v>
      </c>
      <c r="J682" s="421" t="s">
        <v>753</v>
      </c>
      <c r="K682" s="520" t="s">
        <v>741</v>
      </c>
    </row>
    <row r="683" spans="1:11" s="341" customFormat="1">
      <c r="A683" s="421"/>
      <c r="B683" s="338" t="s">
        <v>2161</v>
      </c>
      <c r="C683" s="209">
        <v>424</v>
      </c>
      <c r="D683" s="244">
        <f t="shared" si="108"/>
        <v>103.00027594029849</v>
      </c>
      <c r="E683" s="472">
        <f t="shared" si="109"/>
        <v>15</v>
      </c>
      <c r="F683" s="585">
        <f t="shared" si="102"/>
        <v>118.01</v>
      </c>
      <c r="G683" s="338" t="s">
        <v>6586</v>
      </c>
      <c r="H683" s="592" t="s">
        <v>2162</v>
      </c>
      <c r="I683" s="520" t="s">
        <v>11649</v>
      </c>
      <c r="J683" s="421" t="s">
        <v>753</v>
      </c>
      <c r="K683" s="520" t="s">
        <v>741</v>
      </c>
    </row>
    <row r="684" spans="1:11" s="339" customFormat="1">
      <c r="A684" s="421"/>
      <c r="B684" s="338"/>
      <c r="C684" s="209" t="s">
        <v>2058</v>
      </c>
      <c r="D684" s="244"/>
      <c r="E684" s="228"/>
      <c r="F684" s="585"/>
      <c r="G684" s="338"/>
      <c r="H684" s="592"/>
      <c r="I684" s="520"/>
      <c r="J684" s="421"/>
      <c r="K684" s="520"/>
    </row>
    <row r="685" spans="1:11" s="341" customFormat="1">
      <c r="A685" s="421"/>
      <c r="B685" s="338" t="s">
        <v>9528</v>
      </c>
      <c r="C685" s="209">
        <v>350</v>
      </c>
      <c r="D685" s="244">
        <f t="shared" ref="D685" si="110">C685*(1-VLOOKUP(I685,descuentos,6,FALSE))*fcl/IF(dol_sol="dólar", TC,1)</f>
        <v>85.023812686567155</v>
      </c>
      <c r="E685" s="472">
        <f>E671</f>
        <v>15</v>
      </c>
      <c r="F685" s="585">
        <f t="shared" ref="F685:F697" si="111">ROUNDUP(D685+E685,2)</f>
        <v>100.03</v>
      </c>
      <c r="G685" s="338" t="s">
        <v>9529</v>
      </c>
      <c r="H685" s="592" t="s">
        <v>9530</v>
      </c>
      <c r="I685" s="520" t="s">
        <v>11649</v>
      </c>
      <c r="J685" s="421" t="s">
        <v>753</v>
      </c>
      <c r="K685" s="520" t="s">
        <v>741</v>
      </c>
    </row>
    <row r="686" spans="1:11" s="341" customFormat="1">
      <c r="A686" s="421"/>
      <c r="B686" s="338" t="s">
        <v>9531</v>
      </c>
      <c r="C686" s="209">
        <v>355</v>
      </c>
      <c r="D686" s="244">
        <f t="shared" ref="D686" si="112">C686*(1-VLOOKUP(I686,descuentos,6,FALSE))*fcl/IF(dol_sol="dólar", TC,1)</f>
        <v>86.238438582089543</v>
      </c>
      <c r="E686" s="472">
        <f>E672</f>
        <v>15</v>
      </c>
      <c r="F686" s="585">
        <f t="shared" si="111"/>
        <v>101.24000000000001</v>
      </c>
      <c r="G686" s="338" t="s">
        <v>9532</v>
      </c>
      <c r="H686" s="592" t="s">
        <v>9533</v>
      </c>
      <c r="I686" s="520" t="s">
        <v>11649</v>
      </c>
      <c r="J686" s="421" t="s">
        <v>753</v>
      </c>
      <c r="K686" s="520" t="s">
        <v>741</v>
      </c>
    </row>
    <row r="687" spans="1:11" s="341" customFormat="1">
      <c r="A687" s="421"/>
      <c r="B687" s="338" t="s">
        <v>6587</v>
      </c>
      <c r="C687" s="209">
        <v>350</v>
      </c>
      <c r="D687" s="244">
        <f t="shared" ref="D687:D697" si="113">C687*(1-VLOOKUP(I687,descuentos,6,FALSE))*fcl/IF(dol_sol="dólar", TC,1)</f>
        <v>85.023812686567155</v>
      </c>
      <c r="E687" s="472">
        <f>E673</f>
        <v>15</v>
      </c>
      <c r="F687" s="585">
        <f t="shared" si="111"/>
        <v>100.03</v>
      </c>
      <c r="G687" s="338" t="s">
        <v>6588</v>
      </c>
      <c r="H687" s="592" t="s">
        <v>6589</v>
      </c>
      <c r="I687" s="520" t="s">
        <v>11649</v>
      </c>
      <c r="J687" s="421" t="s">
        <v>753</v>
      </c>
      <c r="K687" s="520" t="s">
        <v>741</v>
      </c>
    </row>
    <row r="688" spans="1:11" s="341" customFormat="1">
      <c r="A688" s="421"/>
      <c r="B688" s="338" t="s">
        <v>6590</v>
      </c>
      <c r="C688" s="209">
        <v>350</v>
      </c>
      <c r="D688" s="244">
        <f t="shared" si="113"/>
        <v>85.023812686567155</v>
      </c>
      <c r="E688" s="472">
        <f t="shared" ref="E688:E697" si="114">E674</f>
        <v>15</v>
      </c>
      <c r="F688" s="585">
        <f t="shared" si="111"/>
        <v>100.03</v>
      </c>
      <c r="G688" s="338" t="s">
        <v>6591</v>
      </c>
      <c r="H688" s="592" t="s">
        <v>6592</v>
      </c>
      <c r="I688" s="520" t="s">
        <v>11649</v>
      </c>
      <c r="J688" s="421" t="s">
        <v>753</v>
      </c>
      <c r="K688" s="520" t="s">
        <v>741</v>
      </c>
    </row>
    <row r="689" spans="1:11" s="341" customFormat="1">
      <c r="A689" s="421"/>
      <c r="B689" s="338" t="s">
        <v>6593</v>
      </c>
      <c r="C689" s="209">
        <v>355</v>
      </c>
      <c r="D689" s="244">
        <f t="shared" si="113"/>
        <v>86.238438582089543</v>
      </c>
      <c r="E689" s="472">
        <f t="shared" si="114"/>
        <v>15</v>
      </c>
      <c r="F689" s="585">
        <f t="shared" si="111"/>
        <v>101.24000000000001</v>
      </c>
      <c r="G689" s="338" t="s">
        <v>6594</v>
      </c>
      <c r="H689" s="592" t="s">
        <v>6595</v>
      </c>
      <c r="I689" s="520" t="s">
        <v>11649</v>
      </c>
      <c r="J689" s="421" t="s">
        <v>753</v>
      </c>
      <c r="K689" s="520" t="s">
        <v>741</v>
      </c>
    </row>
    <row r="690" spans="1:11" s="341" customFormat="1">
      <c r="A690" s="421"/>
      <c r="B690" s="338" t="s">
        <v>6596</v>
      </c>
      <c r="C690" s="209">
        <v>350</v>
      </c>
      <c r="D690" s="244">
        <f t="shared" si="113"/>
        <v>85.023812686567155</v>
      </c>
      <c r="E690" s="472">
        <f t="shared" si="114"/>
        <v>15</v>
      </c>
      <c r="F690" s="585">
        <f t="shared" si="111"/>
        <v>100.03</v>
      </c>
      <c r="G690" s="338" t="s">
        <v>6597</v>
      </c>
      <c r="H690" s="592" t="s">
        <v>6598</v>
      </c>
      <c r="I690" s="520" t="s">
        <v>11649</v>
      </c>
      <c r="J690" s="421" t="s">
        <v>753</v>
      </c>
      <c r="K690" s="520" t="s">
        <v>741</v>
      </c>
    </row>
    <row r="691" spans="1:11" s="341" customFormat="1">
      <c r="A691" s="421"/>
      <c r="B691" s="338" t="s">
        <v>6599</v>
      </c>
      <c r="C691" s="209">
        <v>350</v>
      </c>
      <c r="D691" s="244">
        <f t="shared" si="113"/>
        <v>85.023812686567155</v>
      </c>
      <c r="E691" s="472">
        <f t="shared" si="114"/>
        <v>15</v>
      </c>
      <c r="F691" s="585">
        <f t="shared" si="111"/>
        <v>100.03</v>
      </c>
      <c r="G691" s="338" t="s">
        <v>6600</v>
      </c>
      <c r="H691" s="592" t="s">
        <v>6601</v>
      </c>
      <c r="I691" s="520" t="s">
        <v>11649</v>
      </c>
      <c r="J691" s="421" t="s">
        <v>753</v>
      </c>
      <c r="K691" s="520" t="s">
        <v>741</v>
      </c>
    </row>
    <row r="692" spans="1:11" s="341" customFormat="1">
      <c r="A692" s="421"/>
      <c r="B692" s="338" t="s">
        <v>6602</v>
      </c>
      <c r="C692" s="209">
        <v>355</v>
      </c>
      <c r="D692" s="244">
        <f t="shared" si="113"/>
        <v>86.238438582089543</v>
      </c>
      <c r="E692" s="472">
        <f t="shared" si="114"/>
        <v>15</v>
      </c>
      <c r="F692" s="585">
        <f t="shared" si="111"/>
        <v>101.24000000000001</v>
      </c>
      <c r="G692" s="338" t="s">
        <v>6603</v>
      </c>
      <c r="H692" s="592" t="s">
        <v>6604</v>
      </c>
      <c r="I692" s="520" t="s">
        <v>11649</v>
      </c>
      <c r="J692" s="421" t="s">
        <v>753</v>
      </c>
      <c r="K692" s="520" t="s">
        <v>741</v>
      </c>
    </row>
    <row r="693" spans="1:11" s="341" customFormat="1">
      <c r="A693" s="421"/>
      <c r="B693" s="338" t="s">
        <v>6605</v>
      </c>
      <c r="C693" s="209">
        <v>368</v>
      </c>
      <c r="D693" s="244">
        <f t="shared" si="113"/>
        <v>89.396465910447745</v>
      </c>
      <c r="E693" s="472">
        <f t="shared" si="114"/>
        <v>15</v>
      </c>
      <c r="F693" s="585">
        <f t="shared" si="111"/>
        <v>104.4</v>
      </c>
      <c r="G693" s="338" t="s">
        <v>6606</v>
      </c>
      <c r="H693" s="592" t="s">
        <v>6607</v>
      </c>
      <c r="I693" s="520" t="s">
        <v>11649</v>
      </c>
      <c r="J693" s="421" t="s">
        <v>753</v>
      </c>
      <c r="K693" s="520" t="s">
        <v>741</v>
      </c>
    </row>
    <row r="694" spans="1:11" s="341" customFormat="1">
      <c r="A694" s="421"/>
      <c r="B694" s="338" t="s">
        <v>6608</v>
      </c>
      <c r="C694" s="209">
        <v>368</v>
      </c>
      <c r="D694" s="244">
        <f t="shared" si="113"/>
        <v>89.396465910447745</v>
      </c>
      <c r="E694" s="472">
        <f t="shared" si="114"/>
        <v>15</v>
      </c>
      <c r="F694" s="585">
        <f t="shared" si="111"/>
        <v>104.4</v>
      </c>
      <c r="G694" s="338" t="s">
        <v>6609</v>
      </c>
      <c r="H694" s="592" t="s">
        <v>6610</v>
      </c>
      <c r="I694" s="520" t="s">
        <v>11649</v>
      </c>
      <c r="J694" s="421" t="s">
        <v>753</v>
      </c>
      <c r="K694" s="520" t="s">
        <v>741</v>
      </c>
    </row>
    <row r="695" spans="1:11" s="341" customFormat="1">
      <c r="A695" s="421"/>
      <c r="B695" s="338" t="s">
        <v>6611</v>
      </c>
      <c r="C695" s="209">
        <v>368</v>
      </c>
      <c r="D695" s="244">
        <f t="shared" si="113"/>
        <v>89.396465910447745</v>
      </c>
      <c r="E695" s="472">
        <f t="shared" si="114"/>
        <v>15</v>
      </c>
      <c r="F695" s="585">
        <f t="shared" si="111"/>
        <v>104.4</v>
      </c>
      <c r="G695" s="338" t="s">
        <v>6612</v>
      </c>
      <c r="H695" s="592" t="s">
        <v>6613</v>
      </c>
      <c r="I695" s="520" t="s">
        <v>11649</v>
      </c>
      <c r="J695" s="421" t="s">
        <v>753</v>
      </c>
      <c r="K695" s="520" t="s">
        <v>741</v>
      </c>
    </row>
    <row r="696" spans="1:11" s="341" customFormat="1">
      <c r="A696" s="421"/>
      <c r="B696" s="338" t="s">
        <v>6614</v>
      </c>
      <c r="C696" s="209">
        <v>368</v>
      </c>
      <c r="D696" s="244">
        <f t="shared" si="113"/>
        <v>89.396465910447745</v>
      </c>
      <c r="E696" s="472">
        <f t="shared" si="114"/>
        <v>15</v>
      </c>
      <c r="F696" s="585">
        <f t="shared" si="111"/>
        <v>104.4</v>
      </c>
      <c r="G696" s="338" t="s">
        <v>6615</v>
      </c>
      <c r="H696" s="592" t="s">
        <v>6616</v>
      </c>
      <c r="I696" s="520" t="s">
        <v>11649</v>
      </c>
      <c r="J696" s="421" t="s">
        <v>753</v>
      </c>
      <c r="K696" s="520" t="s">
        <v>741</v>
      </c>
    </row>
    <row r="697" spans="1:11" s="341" customFormat="1">
      <c r="A697" s="421"/>
      <c r="B697" s="338" t="s">
        <v>6617</v>
      </c>
      <c r="C697" s="209">
        <v>487</v>
      </c>
      <c r="D697" s="244">
        <f t="shared" si="113"/>
        <v>118.30456222388058</v>
      </c>
      <c r="E697" s="472">
        <f t="shared" si="114"/>
        <v>15</v>
      </c>
      <c r="F697" s="585">
        <f t="shared" si="111"/>
        <v>133.31</v>
      </c>
      <c r="G697" s="338" t="s">
        <v>6618</v>
      </c>
      <c r="H697" s="592" t="s">
        <v>6619</v>
      </c>
      <c r="I697" s="520" t="s">
        <v>11649</v>
      </c>
      <c r="J697" s="421" t="s">
        <v>753</v>
      </c>
      <c r="K697" s="520" t="s">
        <v>741</v>
      </c>
    </row>
    <row r="698" spans="1:11" s="341" customFormat="1">
      <c r="A698" s="421"/>
      <c r="B698" s="338"/>
      <c r="C698" s="209" t="s">
        <v>2058</v>
      </c>
      <c r="D698" s="244"/>
      <c r="E698" s="228"/>
      <c r="F698" s="585"/>
      <c r="G698" s="338"/>
      <c r="H698" s="592"/>
      <c r="I698" s="520"/>
      <c r="J698" s="421"/>
      <c r="K698" s="520"/>
    </row>
    <row r="699" spans="1:11" s="339" customFormat="1">
      <c r="A699" s="421"/>
      <c r="B699" s="394" t="s">
        <v>9534</v>
      </c>
      <c r="C699" s="389">
        <v>304</v>
      </c>
      <c r="D699" s="388">
        <f t="shared" ref="D699" si="115">C699*(1-VLOOKUP(I699,descuentos,6,FALSE))*fcl/IF(dol_sol="dólar", TC,1)</f>
        <v>73.849254447761183</v>
      </c>
      <c r="E699" s="472">
        <v>20</v>
      </c>
      <c r="F699" s="582">
        <f t="shared" ref="F699:F710" si="116">ROUNDUP(D699+E699,2)</f>
        <v>93.850000000000009</v>
      </c>
      <c r="G699" s="394" t="s">
        <v>9535</v>
      </c>
      <c r="H699" s="592" t="s">
        <v>9536</v>
      </c>
      <c r="I699" s="520" t="s">
        <v>11649</v>
      </c>
      <c r="J699" s="421" t="s">
        <v>753</v>
      </c>
      <c r="K699" s="520" t="s">
        <v>741</v>
      </c>
    </row>
    <row r="700" spans="1:11" s="339" customFormat="1">
      <c r="A700" s="421"/>
      <c r="B700" s="394" t="s">
        <v>2125</v>
      </c>
      <c r="C700" s="389">
        <v>300</v>
      </c>
      <c r="D700" s="388">
        <f t="shared" ref="D700:D710" si="117">C700*(1-VLOOKUP(I700,descuentos,6,FALSE))*fcl/IF(dol_sol="dólar", TC,1)</f>
        <v>72.877553731343269</v>
      </c>
      <c r="E700" s="472">
        <v>20</v>
      </c>
      <c r="F700" s="582">
        <f t="shared" si="116"/>
        <v>92.88000000000001</v>
      </c>
      <c r="G700" s="394" t="s">
        <v>4516</v>
      </c>
      <c r="H700" s="592" t="s">
        <v>2126</v>
      </c>
      <c r="I700" s="520" t="s">
        <v>11649</v>
      </c>
      <c r="J700" s="421" t="s">
        <v>753</v>
      </c>
      <c r="K700" s="520" t="s">
        <v>741</v>
      </c>
    </row>
    <row r="701" spans="1:11" s="339" customFormat="1">
      <c r="A701" s="421"/>
      <c r="B701" s="394" t="s">
        <v>2127</v>
      </c>
      <c r="C701" s="389">
        <v>300</v>
      </c>
      <c r="D701" s="388">
        <f t="shared" si="117"/>
        <v>72.877553731343269</v>
      </c>
      <c r="E701" s="472">
        <v>20</v>
      </c>
      <c r="F701" s="582">
        <f t="shared" si="116"/>
        <v>92.88000000000001</v>
      </c>
      <c r="G701" s="394" t="s">
        <v>4517</v>
      </c>
      <c r="H701" s="592" t="s">
        <v>2128</v>
      </c>
      <c r="I701" s="520" t="s">
        <v>11649</v>
      </c>
      <c r="J701" s="421" t="s">
        <v>753</v>
      </c>
      <c r="K701" s="520" t="s">
        <v>741</v>
      </c>
    </row>
    <row r="702" spans="1:11" s="341" customFormat="1">
      <c r="A702" s="421"/>
      <c r="B702" s="394" t="s">
        <v>4991</v>
      </c>
      <c r="C702" s="389">
        <v>304</v>
      </c>
      <c r="D702" s="388">
        <f t="shared" si="117"/>
        <v>73.849254447761183</v>
      </c>
      <c r="E702" s="472">
        <v>20</v>
      </c>
      <c r="F702" s="582">
        <f t="shared" si="116"/>
        <v>93.850000000000009</v>
      </c>
      <c r="G702" s="394" t="s">
        <v>4992</v>
      </c>
      <c r="H702" s="592" t="s">
        <v>6620</v>
      </c>
      <c r="I702" s="520" t="s">
        <v>11649</v>
      </c>
      <c r="J702" s="421" t="s">
        <v>753</v>
      </c>
      <c r="K702" s="520" t="s">
        <v>741</v>
      </c>
    </row>
    <row r="703" spans="1:11" s="341" customFormat="1">
      <c r="A703" s="421"/>
      <c r="B703" s="394" t="s">
        <v>2129</v>
      </c>
      <c r="C703" s="389">
        <v>300</v>
      </c>
      <c r="D703" s="388">
        <f t="shared" si="117"/>
        <v>72.877553731343269</v>
      </c>
      <c r="E703" s="472">
        <v>20</v>
      </c>
      <c r="F703" s="582">
        <f t="shared" si="116"/>
        <v>92.88000000000001</v>
      </c>
      <c r="G703" s="394" t="s">
        <v>4518</v>
      </c>
      <c r="H703" s="592" t="s">
        <v>2130</v>
      </c>
      <c r="I703" s="520" t="s">
        <v>11649</v>
      </c>
      <c r="J703" s="421" t="s">
        <v>753</v>
      </c>
      <c r="K703" s="520" t="s">
        <v>741</v>
      </c>
    </row>
    <row r="704" spans="1:11" s="341" customFormat="1">
      <c r="A704" s="421"/>
      <c r="B704" s="394" t="s">
        <v>2131</v>
      </c>
      <c r="C704" s="389">
        <v>300</v>
      </c>
      <c r="D704" s="388">
        <f t="shared" si="117"/>
        <v>72.877553731343269</v>
      </c>
      <c r="E704" s="472">
        <v>20</v>
      </c>
      <c r="F704" s="582">
        <f t="shared" si="116"/>
        <v>92.88000000000001</v>
      </c>
      <c r="G704" s="394" t="s">
        <v>4519</v>
      </c>
      <c r="H704" s="592" t="s">
        <v>2132</v>
      </c>
      <c r="I704" s="520" t="s">
        <v>11649</v>
      </c>
      <c r="J704" s="421" t="s">
        <v>753</v>
      </c>
      <c r="K704" s="520" t="s">
        <v>741</v>
      </c>
    </row>
    <row r="705" spans="1:11" s="341" customFormat="1">
      <c r="A705" s="421"/>
      <c r="B705" s="394" t="s">
        <v>4993</v>
      </c>
      <c r="C705" s="389">
        <v>304</v>
      </c>
      <c r="D705" s="388">
        <f t="shared" si="117"/>
        <v>73.849254447761183</v>
      </c>
      <c r="E705" s="472">
        <v>20</v>
      </c>
      <c r="F705" s="582">
        <f t="shared" si="116"/>
        <v>93.850000000000009</v>
      </c>
      <c r="G705" s="394" t="s">
        <v>4994</v>
      </c>
      <c r="H705" s="592" t="s">
        <v>6621</v>
      </c>
      <c r="I705" s="520" t="s">
        <v>11649</v>
      </c>
      <c r="J705" s="421" t="s">
        <v>753</v>
      </c>
      <c r="K705" s="520" t="s">
        <v>741</v>
      </c>
    </row>
    <row r="706" spans="1:11" s="341" customFormat="1">
      <c r="A706" s="421"/>
      <c r="B706" s="394" t="s">
        <v>2133</v>
      </c>
      <c r="C706" s="389">
        <v>316</v>
      </c>
      <c r="D706" s="388">
        <f t="shared" si="117"/>
        <v>76.764356597014924</v>
      </c>
      <c r="E706" s="472">
        <v>20</v>
      </c>
      <c r="F706" s="582">
        <f t="shared" si="116"/>
        <v>96.77000000000001</v>
      </c>
      <c r="G706" s="394" t="s">
        <v>4520</v>
      </c>
      <c r="H706" s="592" t="s">
        <v>2134</v>
      </c>
      <c r="I706" s="520" t="s">
        <v>11649</v>
      </c>
      <c r="J706" s="421" t="s">
        <v>753</v>
      </c>
      <c r="K706" s="520" t="s">
        <v>741</v>
      </c>
    </row>
    <row r="707" spans="1:11" s="341" customFormat="1">
      <c r="A707" s="421"/>
      <c r="B707" s="394" t="s">
        <v>2135</v>
      </c>
      <c r="C707" s="389">
        <v>316</v>
      </c>
      <c r="D707" s="388">
        <f t="shared" si="117"/>
        <v>76.764356597014924</v>
      </c>
      <c r="E707" s="472">
        <v>20</v>
      </c>
      <c r="F707" s="582">
        <f t="shared" si="116"/>
        <v>96.77000000000001</v>
      </c>
      <c r="G707" s="394" t="s">
        <v>4521</v>
      </c>
      <c r="H707" s="592" t="s">
        <v>2136</v>
      </c>
      <c r="I707" s="520" t="s">
        <v>11649</v>
      </c>
      <c r="J707" s="421" t="s">
        <v>753</v>
      </c>
      <c r="K707" s="520" t="s">
        <v>741</v>
      </c>
    </row>
    <row r="708" spans="1:11" s="341" customFormat="1">
      <c r="A708" s="421"/>
      <c r="B708" s="394" t="s">
        <v>2137</v>
      </c>
      <c r="C708" s="389">
        <v>316</v>
      </c>
      <c r="D708" s="388">
        <f t="shared" si="117"/>
        <v>76.764356597014924</v>
      </c>
      <c r="E708" s="472">
        <v>20</v>
      </c>
      <c r="F708" s="582">
        <f t="shared" si="116"/>
        <v>96.77000000000001</v>
      </c>
      <c r="G708" s="394" t="s">
        <v>4522</v>
      </c>
      <c r="H708" s="592" t="s">
        <v>2138</v>
      </c>
      <c r="I708" s="520" t="s">
        <v>11649</v>
      </c>
      <c r="J708" s="421" t="s">
        <v>753</v>
      </c>
      <c r="K708" s="520" t="s">
        <v>741</v>
      </c>
    </row>
    <row r="709" spans="1:11" s="341" customFormat="1">
      <c r="A709" s="421"/>
      <c r="B709" s="394" t="s">
        <v>2139</v>
      </c>
      <c r="C709" s="389">
        <v>316</v>
      </c>
      <c r="D709" s="388">
        <f t="shared" si="117"/>
        <v>76.764356597014924</v>
      </c>
      <c r="E709" s="472">
        <v>20</v>
      </c>
      <c r="F709" s="582">
        <f t="shared" si="116"/>
        <v>96.77000000000001</v>
      </c>
      <c r="G709" s="394" t="s">
        <v>4523</v>
      </c>
      <c r="H709" s="592" t="s">
        <v>2140</v>
      </c>
      <c r="I709" s="520" t="s">
        <v>11649</v>
      </c>
      <c r="J709" s="421" t="s">
        <v>753</v>
      </c>
      <c r="K709" s="520" t="s">
        <v>741</v>
      </c>
    </row>
    <row r="710" spans="1:11" s="341" customFormat="1">
      <c r="A710" s="421"/>
      <c r="B710" s="394" t="s">
        <v>2141</v>
      </c>
      <c r="C710" s="389">
        <v>348</v>
      </c>
      <c r="D710" s="388">
        <f t="shared" si="117"/>
        <v>84.537962328358219</v>
      </c>
      <c r="E710" s="472">
        <v>20</v>
      </c>
      <c r="F710" s="582">
        <f t="shared" si="116"/>
        <v>104.54</v>
      </c>
      <c r="G710" s="394" t="s">
        <v>4524</v>
      </c>
      <c r="H710" s="592" t="s">
        <v>2142</v>
      </c>
      <c r="I710" s="520" t="s">
        <v>11649</v>
      </c>
      <c r="J710" s="421" t="s">
        <v>753</v>
      </c>
      <c r="K710" s="520" t="s">
        <v>741</v>
      </c>
    </row>
    <row r="711" spans="1:11" s="341" customFormat="1">
      <c r="A711" s="421"/>
      <c r="B711" s="338"/>
      <c r="C711" s="209" t="s">
        <v>2058</v>
      </c>
      <c r="D711" s="244"/>
      <c r="E711" s="228"/>
      <c r="F711" s="585"/>
      <c r="G711" s="338"/>
      <c r="H711" s="592"/>
      <c r="I711" s="520"/>
      <c r="J711" s="421"/>
      <c r="K711" s="520"/>
    </row>
    <row r="712" spans="1:11" s="341" customFormat="1">
      <c r="A712" s="421"/>
      <c r="B712" s="394" t="s">
        <v>9537</v>
      </c>
      <c r="C712" s="389">
        <v>421</v>
      </c>
      <c r="D712" s="388">
        <f t="shared" ref="D712" si="118">C712*(1-VLOOKUP(I712,descuentos,6,FALSE))*fcl/IF(dol_sol="dólar", TC,1)</f>
        <v>102.27150040298507</v>
      </c>
      <c r="E712" s="472">
        <v>20</v>
      </c>
      <c r="F712" s="582">
        <f t="shared" ref="F712:F723" si="119">ROUNDUP(D712+E712,2)</f>
        <v>122.28</v>
      </c>
      <c r="G712" s="394" t="s">
        <v>9538</v>
      </c>
      <c r="H712" s="592" t="s">
        <v>9539</v>
      </c>
      <c r="I712" s="520" t="s">
        <v>11649</v>
      </c>
      <c r="J712" s="421" t="s">
        <v>753</v>
      </c>
      <c r="K712" s="520" t="s">
        <v>741</v>
      </c>
    </row>
    <row r="713" spans="1:11" s="341" customFormat="1">
      <c r="A713" s="421"/>
      <c r="B713" s="394" t="s">
        <v>3648</v>
      </c>
      <c r="C713" s="389">
        <v>415</v>
      </c>
      <c r="D713" s="388">
        <f t="shared" ref="D713:D723" si="120">C713*(1-VLOOKUP(I713,descuentos,6,FALSE))*fcl/IF(dol_sol="dólar", TC,1)</f>
        <v>100.81394932835819</v>
      </c>
      <c r="E713" s="472">
        <v>20</v>
      </c>
      <c r="F713" s="582">
        <f t="shared" si="119"/>
        <v>120.82000000000001</v>
      </c>
      <c r="G713" s="394" t="s">
        <v>4997</v>
      </c>
      <c r="H713" s="592" t="s">
        <v>3657</v>
      </c>
      <c r="I713" s="520" t="s">
        <v>11649</v>
      </c>
      <c r="J713" s="421" t="s">
        <v>753</v>
      </c>
      <c r="K713" s="520" t="s">
        <v>741</v>
      </c>
    </row>
    <row r="714" spans="1:11" s="341" customFormat="1">
      <c r="A714" s="421"/>
      <c r="B714" s="394" t="s">
        <v>3649</v>
      </c>
      <c r="C714" s="389">
        <v>415</v>
      </c>
      <c r="D714" s="388">
        <f t="shared" si="120"/>
        <v>100.81394932835819</v>
      </c>
      <c r="E714" s="472">
        <v>20</v>
      </c>
      <c r="F714" s="582">
        <f t="shared" si="119"/>
        <v>120.82000000000001</v>
      </c>
      <c r="G714" s="394" t="s">
        <v>4998</v>
      </c>
      <c r="H714" s="592" t="s">
        <v>3658</v>
      </c>
      <c r="I714" s="520" t="s">
        <v>11649</v>
      </c>
      <c r="J714" s="421" t="s">
        <v>753</v>
      </c>
      <c r="K714" s="520" t="s">
        <v>741</v>
      </c>
    </row>
    <row r="715" spans="1:11" s="341" customFormat="1">
      <c r="A715" s="421"/>
      <c r="B715" s="394" t="s">
        <v>4999</v>
      </c>
      <c r="C715" s="389">
        <v>415</v>
      </c>
      <c r="D715" s="388">
        <f t="shared" si="120"/>
        <v>100.81394932835819</v>
      </c>
      <c r="E715" s="472">
        <v>20</v>
      </c>
      <c r="F715" s="582">
        <f t="shared" si="119"/>
        <v>120.82000000000001</v>
      </c>
      <c r="G715" s="394" t="s">
        <v>5000</v>
      </c>
      <c r="H715" s="592" t="s">
        <v>3659</v>
      </c>
      <c r="I715" s="520" t="s">
        <v>11649</v>
      </c>
      <c r="J715" s="421" t="s">
        <v>753</v>
      </c>
      <c r="K715" s="520" t="s">
        <v>741</v>
      </c>
    </row>
    <row r="716" spans="1:11" s="341" customFormat="1">
      <c r="A716" s="421"/>
      <c r="B716" s="394" t="s">
        <v>3650</v>
      </c>
      <c r="C716" s="389">
        <v>415</v>
      </c>
      <c r="D716" s="388">
        <f t="shared" si="120"/>
        <v>100.81394932835819</v>
      </c>
      <c r="E716" s="472">
        <v>20</v>
      </c>
      <c r="F716" s="582">
        <f t="shared" si="119"/>
        <v>120.82000000000001</v>
      </c>
      <c r="G716" s="394" t="s">
        <v>5001</v>
      </c>
      <c r="H716" s="592" t="s">
        <v>3660</v>
      </c>
      <c r="I716" s="520" t="s">
        <v>11649</v>
      </c>
      <c r="J716" s="421" t="s">
        <v>753</v>
      </c>
      <c r="K716" s="520" t="s">
        <v>741</v>
      </c>
    </row>
    <row r="717" spans="1:11" s="341" customFormat="1">
      <c r="A717" s="421"/>
      <c r="B717" s="394" t="s">
        <v>3651</v>
      </c>
      <c r="C717" s="389">
        <v>415</v>
      </c>
      <c r="D717" s="388">
        <f t="shared" si="120"/>
        <v>100.81394932835819</v>
      </c>
      <c r="E717" s="472">
        <v>20</v>
      </c>
      <c r="F717" s="582">
        <f t="shared" si="119"/>
        <v>120.82000000000001</v>
      </c>
      <c r="G717" s="394" t="s">
        <v>5002</v>
      </c>
      <c r="H717" s="592" t="s">
        <v>3661</v>
      </c>
      <c r="I717" s="520" t="s">
        <v>11649</v>
      </c>
      <c r="J717" s="421" t="s">
        <v>753</v>
      </c>
      <c r="K717" s="520" t="s">
        <v>741</v>
      </c>
    </row>
    <row r="718" spans="1:11" s="341" customFormat="1">
      <c r="A718" s="421"/>
      <c r="B718" s="394" t="s">
        <v>5003</v>
      </c>
      <c r="C718" s="389">
        <v>415</v>
      </c>
      <c r="D718" s="388">
        <f t="shared" si="120"/>
        <v>100.81394932835819</v>
      </c>
      <c r="E718" s="472">
        <v>20</v>
      </c>
      <c r="F718" s="582">
        <f t="shared" si="119"/>
        <v>120.82000000000001</v>
      </c>
      <c r="G718" s="394" t="s">
        <v>5004</v>
      </c>
      <c r="H718" s="592" t="s">
        <v>3662</v>
      </c>
      <c r="I718" s="520" t="s">
        <v>11649</v>
      </c>
      <c r="J718" s="421" t="s">
        <v>753</v>
      </c>
      <c r="K718" s="520" t="s">
        <v>741</v>
      </c>
    </row>
    <row r="719" spans="1:11" s="341" customFormat="1">
      <c r="A719" s="421"/>
      <c r="B719" s="394" t="s">
        <v>3652</v>
      </c>
      <c r="C719" s="389">
        <v>437</v>
      </c>
      <c r="D719" s="388">
        <f t="shared" si="120"/>
        <v>106.1583032686567</v>
      </c>
      <c r="E719" s="472">
        <v>20</v>
      </c>
      <c r="F719" s="582">
        <f t="shared" si="119"/>
        <v>126.16000000000001</v>
      </c>
      <c r="G719" s="394" t="s">
        <v>5005</v>
      </c>
      <c r="H719" s="592" t="s">
        <v>3663</v>
      </c>
      <c r="I719" s="520" t="s">
        <v>11649</v>
      </c>
      <c r="J719" s="421" t="s">
        <v>753</v>
      </c>
      <c r="K719" s="520" t="s">
        <v>741</v>
      </c>
    </row>
    <row r="720" spans="1:11" s="341" customFormat="1">
      <c r="A720" s="421"/>
      <c r="B720" s="394" t="s">
        <v>3653</v>
      </c>
      <c r="C720" s="389">
        <v>437</v>
      </c>
      <c r="D720" s="388">
        <f t="shared" si="120"/>
        <v>106.1583032686567</v>
      </c>
      <c r="E720" s="472">
        <v>20</v>
      </c>
      <c r="F720" s="582">
        <f t="shared" si="119"/>
        <v>126.16000000000001</v>
      </c>
      <c r="G720" s="394" t="s">
        <v>5006</v>
      </c>
      <c r="H720" s="592" t="s">
        <v>3664</v>
      </c>
      <c r="I720" s="520" t="s">
        <v>11649</v>
      </c>
      <c r="J720" s="421" t="s">
        <v>753</v>
      </c>
      <c r="K720" s="520" t="s">
        <v>741</v>
      </c>
    </row>
    <row r="721" spans="1:11" s="341" customFormat="1">
      <c r="A721" s="421"/>
      <c r="B721" s="394" t="s">
        <v>3654</v>
      </c>
      <c r="C721" s="389">
        <v>437</v>
      </c>
      <c r="D721" s="388">
        <f t="shared" si="120"/>
        <v>106.1583032686567</v>
      </c>
      <c r="E721" s="472">
        <v>20</v>
      </c>
      <c r="F721" s="582">
        <f t="shared" si="119"/>
        <v>126.16000000000001</v>
      </c>
      <c r="G721" s="394" t="s">
        <v>5007</v>
      </c>
      <c r="H721" s="592" t="s">
        <v>3665</v>
      </c>
      <c r="I721" s="520" t="s">
        <v>11649</v>
      </c>
      <c r="J721" s="421" t="s">
        <v>753</v>
      </c>
      <c r="K721" s="520" t="s">
        <v>741</v>
      </c>
    </row>
    <row r="722" spans="1:11" s="341" customFormat="1">
      <c r="A722" s="421"/>
      <c r="B722" s="394" t="s">
        <v>3655</v>
      </c>
      <c r="C722" s="389">
        <v>437</v>
      </c>
      <c r="D722" s="388">
        <f t="shared" si="120"/>
        <v>106.1583032686567</v>
      </c>
      <c r="E722" s="472">
        <v>20</v>
      </c>
      <c r="F722" s="582">
        <f t="shared" si="119"/>
        <v>126.16000000000001</v>
      </c>
      <c r="G722" s="394" t="s">
        <v>5008</v>
      </c>
      <c r="H722" s="592" t="s">
        <v>3666</v>
      </c>
      <c r="I722" s="520" t="s">
        <v>11649</v>
      </c>
      <c r="J722" s="421" t="s">
        <v>753</v>
      </c>
      <c r="K722" s="520" t="s">
        <v>741</v>
      </c>
    </row>
    <row r="723" spans="1:11" s="341" customFormat="1">
      <c r="A723" s="421"/>
      <c r="B723" s="394" t="s">
        <v>3656</v>
      </c>
      <c r="C723" s="389">
        <v>482</v>
      </c>
      <c r="D723" s="388">
        <f t="shared" si="120"/>
        <v>117.08993632835821</v>
      </c>
      <c r="E723" s="472">
        <v>20</v>
      </c>
      <c r="F723" s="582">
        <f t="shared" si="119"/>
        <v>137.09</v>
      </c>
      <c r="G723" s="394" t="s">
        <v>5009</v>
      </c>
      <c r="H723" s="592" t="s">
        <v>3667</v>
      </c>
      <c r="I723" s="520" t="s">
        <v>11649</v>
      </c>
      <c r="J723" s="421" t="s">
        <v>753</v>
      </c>
      <c r="K723" s="520" t="s">
        <v>741</v>
      </c>
    </row>
    <row r="724" spans="1:11" s="341" customFormat="1">
      <c r="A724" s="421"/>
      <c r="B724" s="338"/>
      <c r="C724" s="209" t="s">
        <v>2058</v>
      </c>
      <c r="D724" s="244"/>
      <c r="E724" s="228"/>
      <c r="F724" s="585"/>
      <c r="G724" s="338"/>
      <c r="H724" s="592"/>
      <c r="I724" s="520"/>
      <c r="J724" s="421"/>
      <c r="K724" s="520"/>
    </row>
    <row r="725" spans="1:11" s="341" customFormat="1">
      <c r="A725" s="421"/>
      <c r="B725" s="394" t="s">
        <v>9540</v>
      </c>
      <c r="C725" s="389">
        <v>437</v>
      </c>
      <c r="D725" s="388">
        <f t="shared" ref="D725" si="121">C725*(1-VLOOKUP(I725,descuentos,6,FALSE))*fcl/IF(dol_sol="dólar", TC,1)</f>
        <v>106.1583032686567</v>
      </c>
      <c r="E725" s="472">
        <v>20</v>
      </c>
      <c r="F725" s="585">
        <f t="shared" ref="F725:F736" si="122">ROUNDUP(D725+E725,2)</f>
        <v>126.16000000000001</v>
      </c>
      <c r="G725" s="394" t="s">
        <v>9541</v>
      </c>
      <c r="H725" s="592" t="s">
        <v>9542</v>
      </c>
      <c r="I725" s="520" t="s">
        <v>11649</v>
      </c>
      <c r="J725" s="421" t="s">
        <v>753</v>
      </c>
      <c r="K725" s="520" t="s">
        <v>741</v>
      </c>
    </row>
    <row r="726" spans="1:11" s="341" customFormat="1">
      <c r="A726" s="421"/>
      <c r="B726" s="394" t="s">
        <v>6622</v>
      </c>
      <c r="C726" s="389">
        <v>437</v>
      </c>
      <c r="D726" s="388">
        <f t="shared" ref="D726:D735" si="123">C726*(1-VLOOKUP(I726,descuentos,6,FALSE))*fcl/IF(dol_sol="dólar", TC,1)</f>
        <v>106.1583032686567</v>
      </c>
      <c r="E726" s="472">
        <v>20</v>
      </c>
      <c r="F726" s="585">
        <f t="shared" si="122"/>
        <v>126.16000000000001</v>
      </c>
      <c r="G726" s="394" t="s">
        <v>6623</v>
      </c>
      <c r="H726" s="592" t="s">
        <v>6624</v>
      </c>
      <c r="I726" s="520" t="s">
        <v>11649</v>
      </c>
      <c r="J726" s="421" t="s">
        <v>753</v>
      </c>
      <c r="K726" s="520" t="s">
        <v>741</v>
      </c>
    </row>
    <row r="727" spans="1:11" s="341" customFormat="1">
      <c r="A727" s="421"/>
      <c r="B727" s="394" t="s">
        <v>6625</v>
      </c>
      <c r="C727" s="389">
        <v>437</v>
      </c>
      <c r="D727" s="388">
        <f t="shared" si="123"/>
        <v>106.1583032686567</v>
      </c>
      <c r="E727" s="472">
        <v>20</v>
      </c>
      <c r="F727" s="585">
        <f t="shared" si="122"/>
        <v>126.16000000000001</v>
      </c>
      <c r="G727" s="394" t="s">
        <v>6626</v>
      </c>
      <c r="H727" s="592" t="s">
        <v>6627</v>
      </c>
      <c r="I727" s="520" t="s">
        <v>11649</v>
      </c>
      <c r="J727" s="421" t="s">
        <v>753</v>
      </c>
      <c r="K727" s="520" t="s">
        <v>741</v>
      </c>
    </row>
    <row r="728" spans="1:11" s="341" customFormat="1">
      <c r="A728" s="421"/>
      <c r="B728" s="394" t="s">
        <v>6628</v>
      </c>
      <c r="C728" s="389">
        <v>443</v>
      </c>
      <c r="D728" s="388">
        <f t="shared" si="123"/>
        <v>107.61585434328357</v>
      </c>
      <c r="E728" s="472">
        <v>20</v>
      </c>
      <c r="F728" s="585">
        <f t="shared" si="122"/>
        <v>127.62</v>
      </c>
      <c r="G728" s="394" t="s">
        <v>6629</v>
      </c>
      <c r="H728" s="592" t="s">
        <v>6630</v>
      </c>
      <c r="I728" s="520" t="s">
        <v>11649</v>
      </c>
      <c r="J728" s="421" t="s">
        <v>753</v>
      </c>
      <c r="K728" s="520" t="s">
        <v>741</v>
      </c>
    </row>
    <row r="729" spans="1:11" s="341" customFormat="1">
      <c r="A729" s="421"/>
      <c r="B729" s="394" t="s">
        <v>6631</v>
      </c>
      <c r="C729" s="389">
        <v>437</v>
      </c>
      <c r="D729" s="388">
        <f t="shared" si="123"/>
        <v>106.1583032686567</v>
      </c>
      <c r="E729" s="472">
        <v>20</v>
      </c>
      <c r="F729" s="585">
        <f t="shared" si="122"/>
        <v>126.16000000000001</v>
      </c>
      <c r="G729" s="394" t="s">
        <v>6632</v>
      </c>
      <c r="H729" s="592" t="s">
        <v>6633</v>
      </c>
      <c r="I729" s="520" t="s">
        <v>11649</v>
      </c>
      <c r="J729" s="421" t="s">
        <v>753</v>
      </c>
      <c r="K729" s="520" t="s">
        <v>741</v>
      </c>
    </row>
    <row r="730" spans="1:11" s="341" customFormat="1">
      <c r="A730" s="421"/>
      <c r="B730" s="394" t="s">
        <v>6634</v>
      </c>
      <c r="C730" s="389">
        <v>437</v>
      </c>
      <c r="D730" s="388">
        <f t="shared" si="123"/>
        <v>106.1583032686567</v>
      </c>
      <c r="E730" s="472">
        <v>20</v>
      </c>
      <c r="F730" s="585">
        <f t="shared" si="122"/>
        <v>126.16000000000001</v>
      </c>
      <c r="G730" s="394" t="s">
        <v>6635</v>
      </c>
      <c r="H730" s="592" t="s">
        <v>6636</v>
      </c>
      <c r="I730" s="520" t="s">
        <v>11649</v>
      </c>
      <c r="J730" s="421" t="s">
        <v>753</v>
      </c>
      <c r="K730" s="520" t="s">
        <v>741</v>
      </c>
    </row>
    <row r="731" spans="1:11" s="341" customFormat="1">
      <c r="A731" s="421"/>
      <c r="B731" s="394" t="s">
        <v>6637</v>
      </c>
      <c r="C731" s="389">
        <v>443</v>
      </c>
      <c r="D731" s="388">
        <f t="shared" si="123"/>
        <v>107.61585434328357</v>
      </c>
      <c r="E731" s="472">
        <v>20</v>
      </c>
      <c r="F731" s="585">
        <f t="shared" si="122"/>
        <v>127.62</v>
      </c>
      <c r="G731" s="394" t="s">
        <v>6638</v>
      </c>
      <c r="H731" s="592" t="s">
        <v>6639</v>
      </c>
      <c r="I731" s="520" t="s">
        <v>11649</v>
      </c>
      <c r="J731" s="421" t="s">
        <v>753</v>
      </c>
      <c r="K731" s="520" t="s">
        <v>741</v>
      </c>
    </row>
    <row r="732" spans="1:11" s="341" customFormat="1">
      <c r="A732" s="421"/>
      <c r="B732" s="394" t="s">
        <v>6640</v>
      </c>
      <c r="C732" s="389">
        <v>460</v>
      </c>
      <c r="D732" s="388">
        <f t="shared" si="123"/>
        <v>111.74558238805969</v>
      </c>
      <c r="E732" s="472">
        <v>20</v>
      </c>
      <c r="F732" s="585">
        <f t="shared" si="122"/>
        <v>131.75</v>
      </c>
      <c r="G732" s="394" t="s">
        <v>6641</v>
      </c>
      <c r="H732" s="592" t="s">
        <v>6642</v>
      </c>
      <c r="I732" s="520" t="s">
        <v>11649</v>
      </c>
      <c r="J732" s="421" t="s">
        <v>753</v>
      </c>
      <c r="K732" s="520" t="s">
        <v>741</v>
      </c>
    </row>
    <row r="733" spans="1:11" s="341" customFormat="1">
      <c r="A733" s="421"/>
      <c r="B733" s="394" t="s">
        <v>6643</v>
      </c>
      <c r="C733" s="389">
        <v>460</v>
      </c>
      <c r="D733" s="388">
        <f t="shared" si="123"/>
        <v>111.74558238805969</v>
      </c>
      <c r="E733" s="472">
        <v>20</v>
      </c>
      <c r="F733" s="585">
        <f t="shared" si="122"/>
        <v>131.75</v>
      </c>
      <c r="G733" s="394" t="s">
        <v>6644</v>
      </c>
      <c r="H733" s="592" t="s">
        <v>6645</v>
      </c>
      <c r="I733" s="520" t="s">
        <v>11649</v>
      </c>
      <c r="J733" s="421" t="s">
        <v>753</v>
      </c>
      <c r="K733" s="520" t="s">
        <v>741</v>
      </c>
    </row>
    <row r="734" spans="1:11" s="341" customFormat="1">
      <c r="A734" s="421"/>
      <c r="B734" s="394" t="s">
        <v>6646</v>
      </c>
      <c r="C734" s="389">
        <v>460</v>
      </c>
      <c r="D734" s="388">
        <f t="shared" si="123"/>
        <v>111.74558238805969</v>
      </c>
      <c r="E734" s="472">
        <v>20</v>
      </c>
      <c r="F734" s="585">
        <f t="shared" si="122"/>
        <v>131.75</v>
      </c>
      <c r="G734" s="394" t="s">
        <v>6647</v>
      </c>
      <c r="H734" s="592" t="s">
        <v>6648</v>
      </c>
      <c r="I734" s="520" t="s">
        <v>11649</v>
      </c>
      <c r="J734" s="421" t="s">
        <v>753</v>
      </c>
      <c r="K734" s="520" t="s">
        <v>741</v>
      </c>
    </row>
    <row r="735" spans="1:11" s="341" customFormat="1">
      <c r="A735" s="421"/>
      <c r="B735" s="394" t="s">
        <v>6649</v>
      </c>
      <c r="C735" s="389">
        <v>460</v>
      </c>
      <c r="D735" s="388">
        <f t="shared" si="123"/>
        <v>111.74558238805969</v>
      </c>
      <c r="E735" s="472">
        <v>20</v>
      </c>
      <c r="F735" s="585">
        <f t="shared" si="122"/>
        <v>131.75</v>
      </c>
      <c r="G735" s="394" t="s">
        <v>6650</v>
      </c>
      <c r="H735" s="592" t="s">
        <v>6651</v>
      </c>
      <c r="I735" s="520" t="s">
        <v>11649</v>
      </c>
      <c r="J735" s="421" t="s">
        <v>753</v>
      </c>
      <c r="K735" s="520" t="s">
        <v>741</v>
      </c>
    </row>
    <row r="736" spans="1:11" s="341" customFormat="1">
      <c r="A736" s="421"/>
      <c r="B736" s="394" t="s">
        <v>9543</v>
      </c>
      <c r="C736" s="389">
        <v>506</v>
      </c>
      <c r="D736" s="388">
        <f t="shared" ref="D736" si="124">C736*(1-VLOOKUP(I736,descuentos,6,FALSE))*fcl/IF(dol_sol="dólar", TC,1)</f>
        <v>122.92014062686566</v>
      </c>
      <c r="E736" s="472">
        <v>20</v>
      </c>
      <c r="F736" s="585">
        <f t="shared" si="122"/>
        <v>142.92999999999998</v>
      </c>
      <c r="G736" s="394" t="s">
        <v>9544</v>
      </c>
      <c r="H736" s="592" t="s">
        <v>9545</v>
      </c>
      <c r="I736" s="520" t="s">
        <v>11649</v>
      </c>
      <c r="J736" s="421" t="s">
        <v>753</v>
      </c>
      <c r="K736" s="520" t="s">
        <v>741</v>
      </c>
    </row>
    <row r="737" spans="1:11" s="341" customFormat="1">
      <c r="A737" s="421"/>
      <c r="B737" s="338"/>
      <c r="C737" s="209" t="s">
        <v>2058</v>
      </c>
      <c r="D737" s="244"/>
      <c r="E737" s="228"/>
      <c r="F737" s="585"/>
      <c r="G737" s="338"/>
      <c r="H737" s="592"/>
      <c r="I737" s="520"/>
      <c r="J737" s="421"/>
      <c r="K737" s="520"/>
    </row>
    <row r="738" spans="1:11" s="341" customFormat="1">
      <c r="A738" s="421"/>
      <c r="B738" s="338" t="s">
        <v>5541</v>
      </c>
      <c r="C738" s="209">
        <v>517</v>
      </c>
      <c r="D738" s="244">
        <f>C738*(1-VLOOKUP(I738,descuentos,6,FALSE))*fcl/IF(dol_sol="dólar", TC,1)</f>
        <v>125.59231759701491</v>
      </c>
      <c r="E738" s="228">
        <f>D738/8</f>
        <v>15.699039699626864</v>
      </c>
      <c r="F738" s="585">
        <f>ROUNDUP(D738+E738,2)</f>
        <v>141.29999999999998</v>
      </c>
      <c r="G738" s="338" t="s">
        <v>5542</v>
      </c>
      <c r="H738" s="592" t="s">
        <v>5543</v>
      </c>
      <c r="I738" s="520" t="s">
        <v>11649</v>
      </c>
      <c r="J738" s="421" t="s">
        <v>753</v>
      </c>
      <c r="K738" s="520" t="s">
        <v>741</v>
      </c>
    </row>
    <row r="739" spans="1:11" s="341" customFormat="1">
      <c r="A739" s="421"/>
      <c r="B739" s="338" t="s">
        <v>5544</v>
      </c>
      <c r="C739" s="209">
        <v>517</v>
      </c>
      <c r="D739" s="244">
        <f>C739*(1-VLOOKUP(I739,descuentos,6,FALSE))*fcl/IF(dol_sol="dólar", TC,1)</f>
        <v>125.59231759701491</v>
      </c>
      <c r="E739" s="228">
        <f>D739/8</f>
        <v>15.699039699626864</v>
      </c>
      <c r="F739" s="585">
        <f>ROUNDUP(D739+E739,2)</f>
        <v>141.29999999999998</v>
      </c>
      <c r="G739" s="338" t="s">
        <v>5545</v>
      </c>
      <c r="H739" s="592" t="s">
        <v>5546</v>
      </c>
      <c r="I739" s="520" t="s">
        <v>11649</v>
      </c>
      <c r="J739" s="421" t="s">
        <v>753</v>
      </c>
      <c r="K739" s="520" t="s">
        <v>741</v>
      </c>
    </row>
    <row r="740" spans="1:11" s="341" customFormat="1">
      <c r="A740" s="421"/>
      <c r="B740" s="338" t="s">
        <v>5547</v>
      </c>
      <c r="C740" s="209">
        <v>549</v>
      </c>
      <c r="D740" s="244">
        <f>C740*(1-VLOOKUP(I740,descuentos,6,FALSE))*fcl/IF(dol_sol="dólar", TC,1)</f>
        <v>133.36592332835821</v>
      </c>
      <c r="E740" s="228">
        <f>D740/8</f>
        <v>16.670740416044776</v>
      </c>
      <c r="F740" s="585">
        <f>ROUNDUP(D740+E740,2)</f>
        <v>150.04</v>
      </c>
      <c r="G740" s="338" t="s">
        <v>5548</v>
      </c>
      <c r="H740" s="592" t="s">
        <v>5549</v>
      </c>
      <c r="I740" s="520" t="s">
        <v>11649</v>
      </c>
      <c r="J740" s="421" t="s">
        <v>753</v>
      </c>
      <c r="K740" s="520" t="s">
        <v>741</v>
      </c>
    </row>
    <row r="741" spans="1:11" s="341" customFormat="1">
      <c r="A741" s="421"/>
      <c r="B741" s="338" t="s">
        <v>5550</v>
      </c>
      <c r="C741" s="209">
        <v>549</v>
      </c>
      <c r="D741" s="244">
        <f>C741*(1-VLOOKUP(I741,descuentos,6,FALSE))*fcl/IF(dol_sol="dólar", TC,1)</f>
        <v>133.36592332835821</v>
      </c>
      <c r="E741" s="228">
        <f>D741/8</f>
        <v>16.670740416044776</v>
      </c>
      <c r="F741" s="585">
        <f>ROUNDUP(D741+E741,2)</f>
        <v>150.04</v>
      </c>
      <c r="G741" s="338" t="s">
        <v>5551</v>
      </c>
      <c r="H741" s="592" t="s">
        <v>5552</v>
      </c>
      <c r="I741" s="520" t="s">
        <v>11649</v>
      </c>
      <c r="J741" s="421" t="s">
        <v>753</v>
      </c>
      <c r="K741" s="520" t="s">
        <v>741</v>
      </c>
    </row>
    <row r="742" spans="1:11" s="341" customFormat="1">
      <c r="A742" s="421"/>
      <c r="B742" s="338" t="s">
        <v>5553</v>
      </c>
      <c r="C742" s="209">
        <v>549</v>
      </c>
      <c r="D742" s="244">
        <f>C742*(1-VLOOKUP(I742,descuentos,6,FALSE))*fcl/IF(dol_sol="dólar", TC,1)</f>
        <v>133.36592332835821</v>
      </c>
      <c r="E742" s="228">
        <f>D742/8</f>
        <v>16.670740416044776</v>
      </c>
      <c r="F742" s="585">
        <f>ROUNDUP(D742+E742,2)</f>
        <v>150.04</v>
      </c>
      <c r="G742" s="338" t="s">
        <v>5554</v>
      </c>
      <c r="H742" s="592" t="s">
        <v>5555</v>
      </c>
      <c r="I742" s="520" t="s">
        <v>11649</v>
      </c>
      <c r="J742" s="421" t="s">
        <v>753</v>
      </c>
      <c r="K742" s="520" t="s">
        <v>741</v>
      </c>
    </row>
    <row r="743" spans="1:11" s="341" customFormat="1">
      <c r="A743" s="421"/>
      <c r="B743" s="338"/>
      <c r="C743" s="209" t="s">
        <v>2058</v>
      </c>
      <c r="D743" s="244"/>
      <c r="E743" s="228"/>
      <c r="F743" s="585"/>
      <c r="G743" s="338"/>
      <c r="H743" s="592"/>
      <c r="I743" s="520"/>
      <c r="J743" s="421"/>
      <c r="K743" s="520"/>
    </row>
    <row r="744" spans="1:11" s="341" customFormat="1">
      <c r="A744" s="421"/>
      <c r="B744" s="394" t="s">
        <v>2163</v>
      </c>
      <c r="C744" s="389">
        <v>646</v>
      </c>
      <c r="D744" s="388">
        <f>C744*(1-VLOOKUP(I744,descuentos,6,FALSE))*fcl/IF(dol_sol="dólar", TC,1)</f>
        <v>156.92966570149252</v>
      </c>
      <c r="E744" s="386">
        <f>D744/8</f>
        <v>19.616208212686566</v>
      </c>
      <c r="F744" s="582">
        <f t="shared" si="102"/>
        <v>176.54999999999998</v>
      </c>
      <c r="G744" s="394" t="s">
        <v>4525</v>
      </c>
      <c r="H744" s="592" t="s">
        <v>2164</v>
      </c>
      <c r="I744" s="520" t="s">
        <v>11649</v>
      </c>
      <c r="J744" s="421" t="s">
        <v>753</v>
      </c>
      <c r="K744" s="520" t="s">
        <v>741</v>
      </c>
    </row>
    <row r="745" spans="1:11" s="341" customFormat="1">
      <c r="A745" s="421"/>
      <c r="B745" s="394" t="s">
        <v>2165</v>
      </c>
      <c r="C745" s="389">
        <v>646</v>
      </c>
      <c r="D745" s="388">
        <f>C745*(1-VLOOKUP(I745,descuentos,6,FALSE))*fcl/IF(dol_sol="dólar", TC,1)</f>
        <v>156.92966570149252</v>
      </c>
      <c r="E745" s="386">
        <f>D745/8</f>
        <v>19.616208212686566</v>
      </c>
      <c r="F745" s="582">
        <f t="shared" si="102"/>
        <v>176.54999999999998</v>
      </c>
      <c r="G745" s="394" t="s">
        <v>4526</v>
      </c>
      <c r="H745" s="592" t="s">
        <v>2166</v>
      </c>
      <c r="I745" s="520" t="s">
        <v>11649</v>
      </c>
      <c r="J745" s="421" t="s">
        <v>753</v>
      </c>
      <c r="K745" s="520" t="s">
        <v>741</v>
      </c>
    </row>
    <row r="746" spans="1:11" s="341" customFormat="1">
      <c r="A746" s="421"/>
      <c r="B746" s="394" t="s">
        <v>2167</v>
      </c>
      <c r="C746" s="389">
        <v>688</v>
      </c>
      <c r="D746" s="388">
        <f>C746*(1-VLOOKUP(I746,descuentos,6,FALSE))*fcl/IF(dol_sol="dólar", TC,1)</f>
        <v>167.13252322388058</v>
      </c>
      <c r="E746" s="386">
        <f>D746/8</f>
        <v>20.891565402985073</v>
      </c>
      <c r="F746" s="582">
        <f t="shared" si="102"/>
        <v>188.03</v>
      </c>
      <c r="G746" s="394" t="s">
        <v>4527</v>
      </c>
      <c r="H746" s="592" t="s">
        <v>2168</v>
      </c>
      <c r="I746" s="520" t="s">
        <v>11649</v>
      </c>
      <c r="J746" s="421" t="s">
        <v>753</v>
      </c>
      <c r="K746" s="520" t="s">
        <v>741</v>
      </c>
    </row>
    <row r="747" spans="1:11" s="341" customFormat="1">
      <c r="A747" s="421"/>
      <c r="B747" s="394" t="s">
        <v>2169</v>
      </c>
      <c r="C747" s="389">
        <v>688</v>
      </c>
      <c r="D747" s="388">
        <f>C747*(1-VLOOKUP(I747,descuentos,6,FALSE))*fcl/IF(dol_sol="dólar", TC,1)</f>
        <v>167.13252322388058</v>
      </c>
      <c r="E747" s="386">
        <f>D747/8</f>
        <v>20.891565402985073</v>
      </c>
      <c r="F747" s="582">
        <f t="shared" si="102"/>
        <v>188.03</v>
      </c>
      <c r="G747" s="394" t="s">
        <v>4528</v>
      </c>
      <c r="H747" s="592" t="s">
        <v>2170</v>
      </c>
      <c r="I747" s="520" t="s">
        <v>11649</v>
      </c>
      <c r="J747" s="421" t="s">
        <v>753</v>
      </c>
      <c r="K747" s="520" t="s">
        <v>741</v>
      </c>
    </row>
    <row r="748" spans="1:11" s="341" customFormat="1">
      <c r="A748" s="421"/>
      <c r="B748" s="394" t="s">
        <v>2171</v>
      </c>
      <c r="C748" s="389">
        <v>688</v>
      </c>
      <c r="D748" s="388">
        <f>C748*(1-VLOOKUP(I748,descuentos,6,FALSE))*fcl/IF(dol_sol="dólar", TC,1)</f>
        <v>167.13252322388058</v>
      </c>
      <c r="E748" s="386">
        <f>D748/8</f>
        <v>20.891565402985073</v>
      </c>
      <c r="F748" s="582">
        <f t="shared" si="102"/>
        <v>188.03</v>
      </c>
      <c r="G748" s="394" t="s">
        <v>4529</v>
      </c>
      <c r="H748" s="592" t="s">
        <v>2172</v>
      </c>
      <c r="I748" s="520" t="s">
        <v>11649</v>
      </c>
      <c r="J748" s="421" t="s">
        <v>753</v>
      </c>
      <c r="K748" s="520" t="s">
        <v>741</v>
      </c>
    </row>
    <row r="749" spans="1:11" s="341" customFormat="1">
      <c r="A749" s="421"/>
      <c r="B749" s="338"/>
      <c r="C749" s="209" t="s">
        <v>2058</v>
      </c>
      <c r="D749" s="244"/>
      <c r="E749" s="228"/>
      <c r="F749" s="585">
        <f t="shared" si="102"/>
        <v>0</v>
      </c>
      <c r="G749" s="338"/>
      <c r="H749" s="592"/>
      <c r="I749" s="520"/>
      <c r="J749" s="421"/>
      <c r="K749" s="520"/>
    </row>
    <row r="750" spans="1:11" s="341" customFormat="1">
      <c r="A750" s="421"/>
      <c r="B750" s="338"/>
      <c r="C750" s="209" t="s">
        <v>2058</v>
      </c>
      <c r="D750" s="244"/>
      <c r="E750" s="228"/>
      <c r="F750" s="585">
        <f t="shared" si="102"/>
        <v>0</v>
      </c>
      <c r="G750" s="338"/>
      <c r="H750" s="592"/>
      <c r="I750" s="520"/>
      <c r="J750" s="421"/>
      <c r="K750" s="520"/>
    </row>
    <row r="751" spans="1:11" s="341" customFormat="1">
      <c r="A751" s="421"/>
      <c r="B751" s="394" t="s">
        <v>2173</v>
      </c>
      <c r="C751" s="209">
        <v>464</v>
      </c>
      <c r="D751" s="244">
        <f>C751*(1-VLOOKUP(I751,descuentos,6,FALSE))*fcl/IF(dol_sol="dólar", TC,1)</f>
        <v>112.71728310447762</v>
      </c>
      <c r="E751" s="228">
        <f>D751/8</f>
        <v>14.089660388059702</v>
      </c>
      <c r="F751" s="585">
        <f t="shared" si="102"/>
        <v>126.81</v>
      </c>
      <c r="G751" s="338" t="s">
        <v>4530</v>
      </c>
      <c r="H751" s="592" t="s">
        <v>2174</v>
      </c>
      <c r="I751" s="520" t="s">
        <v>11649</v>
      </c>
      <c r="J751" s="421" t="s">
        <v>753</v>
      </c>
      <c r="K751" s="520" t="s">
        <v>741</v>
      </c>
    </row>
    <row r="752" spans="1:11" s="341" customFormat="1">
      <c r="A752" s="421"/>
      <c r="B752" s="338" t="s">
        <v>1212</v>
      </c>
      <c r="C752" s="209">
        <v>480</v>
      </c>
      <c r="D752" s="244">
        <f>C752*(1-VLOOKUP(I752,descuentos,6,FALSE))*fcl/IF(dol_sol="dólar", TC,1)</f>
        <v>116.60408597014924</v>
      </c>
      <c r="E752" s="228">
        <f>D752/8</f>
        <v>14.575510746268655</v>
      </c>
      <c r="F752" s="585">
        <f t="shared" si="102"/>
        <v>131.17999999999998</v>
      </c>
      <c r="G752" s="338" t="s">
        <v>4531</v>
      </c>
      <c r="H752" s="592" t="s">
        <v>1215</v>
      </c>
      <c r="I752" s="520" t="s">
        <v>11649</v>
      </c>
      <c r="J752" s="421" t="s">
        <v>753</v>
      </c>
      <c r="K752" s="520" t="s">
        <v>741</v>
      </c>
    </row>
    <row r="753" spans="1:11" s="341" customFormat="1">
      <c r="A753" s="421"/>
      <c r="B753" s="338" t="s">
        <v>1213</v>
      </c>
      <c r="C753" s="209">
        <v>560</v>
      </c>
      <c r="D753" s="244">
        <f>C753*(1-VLOOKUP(I753,descuentos,6,FALSE))*fcl/IF(dol_sol="dólar", TC,1)</f>
        <v>136.03810029850746</v>
      </c>
      <c r="E753" s="228">
        <f>D753/8</f>
        <v>17.004762537313432</v>
      </c>
      <c r="F753" s="585">
        <f t="shared" si="102"/>
        <v>153.04999999999998</v>
      </c>
      <c r="G753" s="338" t="s">
        <v>4532</v>
      </c>
      <c r="H753" s="592" t="s">
        <v>1216</v>
      </c>
      <c r="I753" s="520" t="s">
        <v>11649</v>
      </c>
      <c r="J753" s="421" t="s">
        <v>753</v>
      </c>
      <c r="K753" s="520" t="s">
        <v>741</v>
      </c>
    </row>
    <row r="754" spans="1:11" s="341" customFormat="1">
      <c r="A754" s="421"/>
      <c r="B754" s="338" t="s">
        <v>1214</v>
      </c>
      <c r="C754" s="209">
        <v>580</v>
      </c>
      <c r="D754" s="244">
        <f>C754*(1-VLOOKUP(I754,descuentos,6,FALSE))*fcl/IF(dol_sol="dólar", TC,1)</f>
        <v>140.89660388059698</v>
      </c>
      <c r="E754" s="228">
        <f>D754/8</f>
        <v>17.612075485074623</v>
      </c>
      <c r="F754" s="585">
        <f t="shared" si="102"/>
        <v>158.51</v>
      </c>
      <c r="G754" s="338" t="s">
        <v>4533</v>
      </c>
      <c r="H754" s="592" t="s">
        <v>1217</v>
      </c>
      <c r="I754" s="520" t="s">
        <v>11649</v>
      </c>
      <c r="J754" s="421" t="s">
        <v>753</v>
      </c>
      <c r="K754" s="520" t="s">
        <v>741</v>
      </c>
    </row>
    <row r="755" spans="1:11" s="341" customFormat="1">
      <c r="A755" s="421"/>
      <c r="B755" s="338"/>
      <c r="C755" s="209" t="s">
        <v>2058</v>
      </c>
      <c r="D755" s="244"/>
      <c r="E755" s="228"/>
      <c r="F755" s="585"/>
      <c r="G755" s="338"/>
      <c r="H755" s="592"/>
      <c r="I755" s="520"/>
      <c r="J755" s="421"/>
      <c r="K755" s="520"/>
    </row>
    <row r="756" spans="1:11" s="341" customFormat="1">
      <c r="A756" s="421"/>
      <c r="B756" s="338"/>
      <c r="C756" s="209" t="s">
        <v>2058</v>
      </c>
      <c r="D756" s="244"/>
      <c r="E756" s="228"/>
      <c r="F756" s="585"/>
      <c r="G756" s="338"/>
      <c r="H756" s="592"/>
      <c r="I756" s="520"/>
      <c r="J756" s="421"/>
      <c r="K756" s="520"/>
    </row>
    <row r="757" spans="1:11" s="341" customFormat="1">
      <c r="A757" s="589"/>
      <c r="B757" s="1643" t="s">
        <v>5010</v>
      </c>
      <c r="C757" s="1644">
        <v>561</v>
      </c>
      <c r="D757" s="244">
        <f>C757*(1-VLOOKUP(I757,descuentos,6,FALSE))*fcl/IF(dol_sol="dólar", TC,1)</f>
        <v>136.28102547761193</v>
      </c>
      <c r="E757" s="626">
        <v>10</v>
      </c>
      <c r="F757" s="585">
        <f>ROUNDUP(D757+E757,2)</f>
        <v>146.29</v>
      </c>
      <c r="G757" s="1643" t="s">
        <v>5011</v>
      </c>
      <c r="H757" s="592" t="s">
        <v>5012</v>
      </c>
      <c r="I757" s="520" t="s">
        <v>11649</v>
      </c>
      <c r="J757" s="421" t="s">
        <v>753</v>
      </c>
      <c r="K757" s="520" t="s">
        <v>741</v>
      </c>
    </row>
    <row r="758" spans="1:11" s="341" customFormat="1">
      <c r="A758" s="589"/>
      <c r="B758" s="1643" t="s">
        <v>5013</v>
      </c>
      <c r="C758" s="1644">
        <v>597</v>
      </c>
      <c r="D758" s="244">
        <f>C758*(1-VLOOKUP(I758,descuentos,6,FALSE))*fcl/IF(dol_sol="dólar", TC,1)</f>
        <v>145.02633192537314</v>
      </c>
      <c r="E758" s="626">
        <v>15</v>
      </c>
      <c r="F758" s="585">
        <f>ROUNDUP(D758+E758,2)</f>
        <v>160.03</v>
      </c>
      <c r="G758" s="1643" t="s">
        <v>5014</v>
      </c>
      <c r="H758" s="592" t="s">
        <v>5015</v>
      </c>
      <c r="I758" s="520" t="s">
        <v>11649</v>
      </c>
      <c r="J758" s="421" t="s">
        <v>753</v>
      </c>
      <c r="K758" s="520" t="s">
        <v>741</v>
      </c>
    </row>
    <row r="759" spans="1:11" s="341" customFormat="1">
      <c r="A759" s="589"/>
      <c r="B759" s="1643" t="s">
        <v>5016</v>
      </c>
      <c r="C759" s="1644">
        <v>597</v>
      </c>
      <c r="D759" s="244">
        <f>C759*(1-VLOOKUP(I759,descuentos,6,FALSE))*fcl/IF(dol_sol="dólar", TC,1)</f>
        <v>145.02633192537314</v>
      </c>
      <c r="E759" s="626">
        <v>15</v>
      </c>
      <c r="F759" s="585">
        <f>ROUNDUP(D759+E759,2)</f>
        <v>160.03</v>
      </c>
      <c r="G759" s="1643" t="s">
        <v>5017</v>
      </c>
      <c r="H759" s="592" t="s">
        <v>5018</v>
      </c>
      <c r="I759" s="520" t="s">
        <v>11649</v>
      </c>
      <c r="J759" s="421" t="s">
        <v>753</v>
      </c>
      <c r="K759" s="520" t="s">
        <v>741</v>
      </c>
    </row>
    <row r="760" spans="1:11" s="341" customFormat="1">
      <c r="A760" s="421"/>
      <c r="B760" s="338"/>
      <c r="C760" s="209" t="s">
        <v>2058</v>
      </c>
      <c r="D760" s="244"/>
      <c r="E760" s="228"/>
      <c r="F760" s="585"/>
      <c r="G760" s="338"/>
      <c r="H760" s="592"/>
      <c r="I760" s="520"/>
      <c r="J760" s="421"/>
      <c r="K760" s="520"/>
    </row>
    <row r="761" spans="1:11" s="341" customFormat="1">
      <c r="A761" s="589"/>
      <c r="B761" s="338" t="s">
        <v>5019</v>
      </c>
      <c r="C761" s="209">
        <v>534</v>
      </c>
      <c r="D761" s="244">
        <f>C761*(1-VLOOKUP(I761,descuentos,6,FALSE))*fcl/IF(dol_sol="dólar", TC,1)</f>
        <v>129.72204564179103</v>
      </c>
      <c r="E761" s="626">
        <f>E751</f>
        <v>14.089660388059702</v>
      </c>
      <c r="F761" s="585">
        <f>ROUNDUP(D761+E761,2)</f>
        <v>143.82</v>
      </c>
      <c r="G761" s="338" t="s">
        <v>5020</v>
      </c>
      <c r="H761" s="592" t="s">
        <v>5021</v>
      </c>
      <c r="I761" s="520" t="s">
        <v>11649</v>
      </c>
      <c r="J761" s="421" t="s">
        <v>753</v>
      </c>
      <c r="K761" s="520" t="s">
        <v>741</v>
      </c>
    </row>
    <row r="762" spans="1:11" s="341" customFormat="1">
      <c r="A762" s="589"/>
      <c r="B762" s="338" t="s">
        <v>2175</v>
      </c>
      <c r="C762" s="209">
        <v>660</v>
      </c>
      <c r="D762" s="244">
        <f>C762*(1-VLOOKUP(I762,descuentos,6,FALSE))*fcl/IF(dol_sol="dólar", TC,1)</f>
        <v>160.33061820895523</v>
      </c>
      <c r="E762" s="626">
        <f>E752</f>
        <v>14.575510746268655</v>
      </c>
      <c r="F762" s="585">
        <f t="shared" si="102"/>
        <v>174.91</v>
      </c>
      <c r="G762" s="338" t="s">
        <v>4534</v>
      </c>
      <c r="H762" s="592" t="s">
        <v>2176</v>
      </c>
      <c r="I762" s="520" t="s">
        <v>11649</v>
      </c>
      <c r="J762" s="421" t="s">
        <v>753</v>
      </c>
      <c r="K762" s="520" t="s">
        <v>741</v>
      </c>
    </row>
    <row r="763" spans="1:11" s="341" customFormat="1">
      <c r="A763" s="589"/>
      <c r="B763" s="338" t="s">
        <v>2177</v>
      </c>
      <c r="C763" s="209">
        <v>702</v>
      </c>
      <c r="D763" s="244">
        <f>C763*(1-VLOOKUP(I763,descuentos,6,FALSE))*fcl/IF(dol_sol="dólar", TC,1)</f>
        <v>170.53347573134326</v>
      </c>
      <c r="E763" s="626">
        <f>E753</f>
        <v>17.004762537313432</v>
      </c>
      <c r="F763" s="585">
        <f t="shared" si="102"/>
        <v>187.54</v>
      </c>
      <c r="G763" s="338" t="s">
        <v>4535</v>
      </c>
      <c r="H763" s="592" t="s">
        <v>2178</v>
      </c>
      <c r="I763" s="520" t="s">
        <v>11649</v>
      </c>
      <c r="J763" s="421" t="s">
        <v>753</v>
      </c>
      <c r="K763" s="520" t="s">
        <v>741</v>
      </c>
    </row>
    <row r="764" spans="1:11" s="341" customFormat="1">
      <c r="A764" s="589"/>
      <c r="B764" s="338" t="s">
        <v>2179</v>
      </c>
      <c r="C764" s="209">
        <v>702</v>
      </c>
      <c r="D764" s="244">
        <f>C764*(1-VLOOKUP(I764,descuentos,6,FALSE))*fcl/IF(dol_sol="dólar", TC,1)</f>
        <v>170.53347573134326</v>
      </c>
      <c r="E764" s="626">
        <f>E754</f>
        <v>17.612075485074623</v>
      </c>
      <c r="F764" s="585">
        <f t="shared" si="102"/>
        <v>188.14999999999998</v>
      </c>
      <c r="G764" s="338" t="s">
        <v>4536</v>
      </c>
      <c r="H764" s="592" t="s">
        <v>2180</v>
      </c>
      <c r="I764" s="520" t="s">
        <v>11649</v>
      </c>
      <c r="J764" s="421" t="s">
        <v>753</v>
      </c>
      <c r="K764" s="520" t="s">
        <v>741</v>
      </c>
    </row>
    <row r="765" spans="1:11" s="341" customFormat="1">
      <c r="A765" s="589"/>
      <c r="B765" s="338"/>
      <c r="C765" s="209" t="s">
        <v>2058</v>
      </c>
      <c r="D765" s="244"/>
      <c r="E765" s="228"/>
      <c r="F765" s="585">
        <f t="shared" si="102"/>
        <v>0</v>
      </c>
      <c r="G765" s="338"/>
      <c r="H765" s="592"/>
      <c r="I765" s="520"/>
      <c r="J765" s="421"/>
      <c r="K765" s="520"/>
    </row>
    <row r="766" spans="1:11" s="341" customFormat="1">
      <c r="A766" s="589"/>
      <c r="B766" s="394" t="s">
        <v>5022</v>
      </c>
      <c r="C766" s="389">
        <v>667</v>
      </c>
      <c r="D766" s="244">
        <f>C766*(1-VLOOKUP(I766,descuentos,6,FALSE))*fcl/IF(dol_sol="dólar", TC,1)</f>
        <v>162.03109446268653</v>
      </c>
      <c r="E766" s="626">
        <f>E756</f>
        <v>0</v>
      </c>
      <c r="F766" s="585">
        <f t="shared" si="102"/>
        <v>162.04</v>
      </c>
      <c r="G766" s="394" t="s">
        <v>5023</v>
      </c>
      <c r="H766" s="592" t="s">
        <v>5024</v>
      </c>
      <c r="I766" s="520" t="s">
        <v>11649</v>
      </c>
      <c r="J766" s="421" t="s">
        <v>753</v>
      </c>
      <c r="K766" s="520" t="s">
        <v>741</v>
      </c>
    </row>
    <row r="767" spans="1:11" s="341" customFormat="1">
      <c r="A767" s="589"/>
      <c r="B767" s="394" t="s">
        <v>5025</v>
      </c>
      <c r="C767" s="389">
        <v>824</v>
      </c>
      <c r="D767" s="244">
        <f>C767*(1-VLOOKUP(I767,descuentos,6,FALSE))*fcl/IF(dol_sol="dólar", TC,1)</f>
        <v>200.17034758208953</v>
      </c>
      <c r="E767" s="626">
        <f>E757</f>
        <v>10</v>
      </c>
      <c r="F767" s="585">
        <f>ROUNDUP(D767+E767,2)</f>
        <v>210.17999999999998</v>
      </c>
      <c r="G767" s="394" t="s">
        <v>5026</v>
      </c>
      <c r="H767" s="592" t="s">
        <v>5027</v>
      </c>
      <c r="I767" s="520" t="s">
        <v>11649</v>
      </c>
      <c r="J767" s="421" t="s">
        <v>753</v>
      </c>
      <c r="K767" s="520" t="s">
        <v>741</v>
      </c>
    </row>
    <row r="768" spans="1:11" s="341" customFormat="1">
      <c r="A768" s="589"/>
      <c r="B768" s="394" t="s">
        <v>5028</v>
      </c>
      <c r="C768" s="389">
        <v>877</v>
      </c>
      <c r="D768" s="244">
        <f>C768*(1-VLOOKUP(I768,descuentos,6,FALSE))*fcl/IF(dol_sol="dólar", TC,1)</f>
        <v>213.04538207462687</v>
      </c>
      <c r="E768" s="626">
        <f>E758</f>
        <v>15</v>
      </c>
      <c r="F768" s="585">
        <f>ROUNDUP(D768+E768,2)</f>
        <v>228.04999999999998</v>
      </c>
      <c r="G768" s="394" t="s">
        <v>5029</v>
      </c>
      <c r="H768" s="592" t="s">
        <v>5030</v>
      </c>
      <c r="I768" s="520" t="s">
        <v>11649</v>
      </c>
      <c r="J768" s="421" t="s">
        <v>753</v>
      </c>
      <c r="K768" s="520" t="s">
        <v>741</v>
      </c>
    </row>
    <row r="769" spans="1:11" s="341" customFormat="1">
      <c r="A769" s="421"/>
      <c r="B769" s="394" t="s">
        <v>5031</v>
      </c>
      <c r="C769" s="389">
        <v>877</v>
      </c>
      <c r="D769" s="244">
        <f>C769*(1-VLOOKUP(I769,descuentos,6,FALSE))*fcl/IF(dol_sol="dólar", TC,1)</f>
        <v>213.04538207462687</v>
      </c>
      <c r="E769" s="626">
        <f>E759</f>
        <v>15</v>
      </c>
      <c r="F769" s="585">
        <f>ROUNDUP(D769+E769,2)</f>
        <v>228.04999999999998</v>
      </c>
      <c r="G769" s="394" t="s">
        <v>5032</v>
      </c>
      <c r="H769" s="592" t="s">
        <v>5033</v>
      </c>
      <c r="I769" s="520" t="s">
        <v>11649</v>
      </c>
      <c r="J769" s="421"/>
      <c r="K769" s="520"/>
    </row>
    <row r="770" spans="1:11" s="341" customFormat="1">
      <c r="A770" s="421"/>
      <c r="B770" s="338"/>
      <c r="C770" s="209" t="s">
        <v>2058</v>
      </c>
      <c r="D770" s="244"/>
      <c r="E770" s="228"/>
      <c r="F770" s="585"/>
      <c r="G770" s="338"/>
      <c r="H770" s="592"/>
      <c r="I770" s="520"/>
      <c r="J770" s="421"/>
      <c r="K770" s="520"/>
    </row>
    <row r="771" spans="1:11" s="341" customFormat="1">
      <c r="A771" s="589"/>
      <c r="B771" s="338"/>
      <c r="C771" s="209" t="s">
        <v>2058</v>
      </c>
      <c r="D771" s="244"/>
      <c r="E771" s="228"/>
      <c r="F771" s="585"/>
      <c r="G771" s="338"/>
      <c r="H771" s="592"/>
      <c r="I771" s="520"/>
      <c r="J771" s="421"/>
      <c r="K771" s="520"/>
    </row>
    <row r="772" spans="1:11" s="341" customFormat="1">
      <c r="A772" s="589"/>
      <c r="B772" s="338"/>
      <c r="C772" s="209" t="s">
        <v>2058</v>
      </c>
      <c r="D772" s="244"/>
      <c r="E772" s="228"/>
      <c r="F772" s="585"/>
      <c r="G772" s="338"/>
      <c r="H772" s="592"/>
      <c r="I772" s="520"/>
      <c r="J772" s="421"/>
      <c r="K772" s="520"/>
    </row>
    <row r="773" spans="1:11" s="341" customFormat="1">
      <c r="A773" s="589"/>
      <c r="B773" s="338" t="s">
        <v>1218</v>
      </c>
      <c r="C773" s="209">
        <v>1471</v>
      </c>
      <c r="D773" s="244">
        <f>C773*(1-VLOOKUP(I773,descuentos,6,FALSE))*fcl/IF(dol_sol="dólar", TC,1)</f>
        <v>357.3429384626865</v>
      </c>
      <c r="E773" s="228">
        <f>D773/8</f>
        <v>44.667867307835813</v>
      </c>
      <c r="F773" s="585">
        <f t="shared" si="102"/>
        <v>402.02</v>
      </c>
      <c r="G773" s="338" t="s">
        <v>4537</v>
      </c>
      <c r="H773" s="592" t="s">
        <v>1219</v>
      </c>
      <c r="I773" s="520" t="s">
        <v>11649</v>
      </c>
      <c r="J773" s="421" t="s">
        <v>753</v>
      </c>
      <c r="K773" s="520" t="s">
        <v>741</v>
      </c>
    </row>
    <row r="774" spans="1:11" s="341" customFormat="1">
      <c r="A774" s="589"/>
      <c r="B774" s="338" t="s">
        <v>1222</v>
      </c>
      <c r="C774" s="209">
        <v>1495</v>
      </c>
      <c r="D774" s="244">
        <f>C774*(1-VLOOKUP(I774,descuentos,6,FALSE))*fcl/IF(dol_sol="dólar", TC,1)</f>
        <v>363.17314276119401</v>
      </c>
      <c r="E774" s="228">
        <f>D774/8</f>
        <v>45.396642845149252</v>
      </c>
      <c r="F774" s="585">
        <f t="shared" si="102"/>
        <v>408.57</v>
      </c>
      <c r="G774" s="338" t="s">
        <v>4538</v>
      </c>
      <c r="H774" s="592" t="s">
        <v>1220</v>
      </c>
      <c r="I774" s="520" t="s">
        <v>11649</v>
      </c>
      <c r="J774" s="421" t="s">
        <v>753</v>
      </c>
      <c r="K774" s="520" t="s">
        <v>741</v>
      </c>
    </row>
    <row r="775" spans="1:11" s="341" customFormat="1">
      <c r="A775" s="589"/>
      <c r="B775" s="338" t="s">
        <v>1223</v>
      </c>
      <c r="C775" s="209">
        <v>1601</v>
      </c>
      <c r="D775" s="244">
        <f>C775*(1-VLOOKUP(I775,descuentos,6,FALSE))*fcl/IF(dol_sol="dólar", TC,1)</f>
        <v>388.92321174626863</v>
      </c>
      <c r="E775" s="228">
        <f>D775/8</f>
        <v>48.615401468283579</v>
      </c>
      <c r="F775" s="585">
        <f t="shared" si="102"/>
        <v>437.53999999999996</v>
      </c>
      <c r="G775" s="338" t="s">
        <v>4539</v>
      </c>
      <c r="H775" s="592" t="s">
        <v>1221</v>
      </c>
      <c r="I775" s="520" t="s">
        <v>11649</v>
      </c>
      <c r="J775" s="421" t="s">
        <v>753</v>
      </c>
      <c r="K775" s="520" t="s">
        <v>741</v>
      </c>
    </row>
    <row r="776" spans="1:11" s="341" customFormat="1">
      <c r="A776" s="589"/>
      <c r="B776" s="394" t="s">
        <v>2181</v>
      </c>
      <c r="C776" s="389">
        <v>2120</v>
      </c>
      <c r="D776" s="388">
        <f>C776*(1-VLOOKUP(I776,descuentos,6,FALSE))*fcl/IF(dol_sol="dólar", TC,1)</f>
        <v>515.0013797014924</v>
      </c>
      <c r="E776" s="386">
        <f>D776/8</f>
        <v>64.37517246268655</v>
      </c>
      <c r="F776" s="582">
        <f t="shared" si="102"/>
        <v>579.38</v>
      </c>
      <c r="G776" s="394" t="s">
        <v>4540</v>
      </c>
      <c r="H776" s="592" t="s">
        <v>2182</v>
      </c>
      <c r="I776" s="520" t="s">
        <v>11649</v>
      </c>
      <c r="J776" s="421" t="s">
        <v>753</v>
      </c>
      <c r="K776" s="520" t="s">
        <v>741</v>
      </c>
    </row>
    <row r="777" spans="1:11" s="341" customFormat="1">
      <c r="A777" s="421"/>
      <c r="B777" s="338"/>
      <c r="C777" s="209" t="s">
        <v>2058</v>
      </c>
      <c r="D777" s="244"/>
      <c r="E777" s="228"/>
      <c r="F777" s="585"/>
      <c r="G777" s="338"/>
      <c r="H777" s="592"/>
      <c r="I777" s="520"/>
      <c r="J777" s="421"/>
      <c r="K777" s="520"/>
    </row>
    <row r="778" spans="1:11" s="341" customFormat="1">
      <c r="A778" s="421"/>
      <c r="B778" s="247"/>
      <c r="C778" s="209" t="s">
        <v>2058</v>
      </c>
      <c r="D778" s="244"/>
      <c r="E778" s="228"/>
      <c r="F778" s="585"/>
      <c r="G778" s="338"/>
      <c r="H778" s="592"/>
      <c r="I778" s="520"/>
      <c r="J778" s="421"/>
      <c r="K778" s="520"/>
    </row>
    <row r="779" spans="1:11" s="341" customFormat="1">
      <c r="A779" s="421"/>
      <c r="B779" s="627" t="s">
        <v>1172</v>
      </c>
      <c r="C779" s="209">
        <v>89</v>
      </c>
      <c r="D779" s="244">
        <f>C779*(1-VLOOKUP(I779,descuentos,6,FALSE))*fcl/IF(dol_sol="dólar", TC,1)</f>
        <v>21.620340940298508</v>
      </c>
      <c r="E779" s="228">
        <v>3</v>
      </c>
      <c r="F779" s="585">
        <f t="shared" ref="F779:F810" si="125">ROUNDUP(D779+E779,2)</f>
        <v>24.630000000000003</v>
      </c>
      <c r="G779" s="592" t="s">
        <v>5034</v>
      </c>
      <c r="H779" s="592" t="s">
        <v>1175</v>
      </c>
      <c r="I779" s="520" t="s">
        <v>11649</v>
      </c>
      <c r="J779" s="589" t="s">
        <v>753</v>
      </c>
      <c r="K779" s="520" t="s">
        <v>741</v>
      </c>
    </row>
    <row r="780" spans="1:11" s="341" customFormat="1">
      <c r="A780" s="421"/>
      <c r="B780" s="627" t="s">
        <v>1173</v>
      </c>
      <c r="C780" s="209">
        <v>186</v>
      </c>
      <c r="D780" s="244">
        <f>C780*(1-VLOOKUP(I780,descuentos,6,FALSE))*fcl/IF(dol_sol="dólar", TC,1)</f>
        <v>45.184083313432836</v>
      </c>
      <c r="E780" s="228">
        <v>5</v>
      </c>
      <c r="F780" s="585">
        <f t="shared" si="125"/>
        <v>50.19</v>
      </c>
      <c r="G780" s="592" t="s">
        <v>5036</v>
      </c>
      <c r="H780" s="592" t="s">
        <v>1176</v>
      </c>
      <c r="I780" s="520" t="s">
        <v>11649</v>
      </c>
      <c r="J780" s="589" t="s">
        <v>753</v>
      </c>
      <c r="K780" s="520" t="s">
        <v>741</v>
      </c>
    </row>
    <row r="781" spans="1:11" s="341" customFormat="1">
      <c r="A781" s="421"/>
      <c r="B781" s="627" t="s">
        <v>1174</v>
      </c>
      <c r="C781" s="209">
        <v>260</v>
      </c>
      <c r="D781" s="244">
        <f>C781*(1-VLOOKUP(I781,descuentos,6,FALSE))*fcl/IF(dol_sol="dólar", TC,1)</f>
        <v>63.160546567164175</v>
      </c>
      <c r="E781" s="228">
        <v>7</v>
      </c>
      <c r="F781" s="585">
        <f t="shared" si="125"/>
        <v>70.17</v>
      </c>
      <c r="G781" s="592" t="s">
        <v>5038</v>
      </c>
      <c r="H781" s="592" t="s">
        <v>1177</v>
      </c>
      <c r="I781" s="520" t="s">
        <v>11649</v>
      </c>
      <c r="J781" s="589" t="s">
        <v>753</v>
      </c>
      <c r="K781" s="520" t="s">
        <v>741</v>
      </c>
    </row>
    <row r="782" spans="1:11" s="341" customFormat="1">
      <c r="A782" s="589"/>
      <c r="B782" s="627" t="s">
        <v>2187</v>
      </c>
      <c r="C782" s="209">
        <v>371</v>
      </c>
      <c r="D782" s="244">
        <f>C782*(1-VLOOKUP(I782,descuentos,6,FALSE))*fcl/IF(dol_sol="dólar", TC,1)</f>
        <v>90.125241447761184</v>
      </c>
      <c r="E782" s="228">
        <v>7</v>
      </c>
      <c r="F782" s="585">
        <f t="shared" si="125"/>
        <v>97.13000000000001</v>
      </c>
      <c r="G782" s="592" t="s">
        <v>5039</v>
      </c>
      <c r="H782" s="592" t="s">
        <v>1045</v>
      </c>
      <c r="I782" s="520" t="s">
        <v>11649</v>
      </c>
      <c r="J782" s="589" t="s">
        <v>753</v>
      </c>
      <c r="K782" s="520" t="s">
        <v>741</v>
      </c>
    </row>
    <row r="783" spans="1:11" s="339" customFormat="1">
      <c r="A783" s="589"/>
      <c r="B783" s="627"/>
      <c r="C783" s="209" t="s">
        <v>2058</v>
      </c>
      <c r="D783" s="244"/>
      <c r="E783" s="228"/>
      <c r="F783" s="585"/>
      <c r="G783" s="592"/>
      <c r="H783" s="592"/>
      <c r="I783" s="520"/>
      <c r="J783" s="589"/>
      <c r="K783" s="520"/>
    </row>
    <row r="784" spans="1:11" s="341" customFormat="1">
      <c r="A784" s="421"/>
      <c r="B784" s="628" t="s">
        <v>2183</v>
      </c>
      <c r="C784" s="389">
        <v>118</v>
      </c>
      <c r="D784" s="388">
        <f>C784*(1-VLOOKUP(I784,descuentos,6,FALSE))*fcl/IF(dol_sol="dólar", TC,1)</f>
        <v>28.665171134328357</v>
      </c>
      <c r="E784" s="386">
        <v>4</v>
      </c>
      <c r="F784" s="582">
        <f>ROUNDUP(D784+E784,2)</f>
        <v>32.669999999999995</v>
      </c>
      <c r="G784" s="580" t="s">
        <v>5035</v>
      </c>
      <c r="H784" s="592" t="s">
        <v>2184</v>
      </c>
      <c r="I784" s="520" t="s">
        <v>11649</v>
      </c>
      <c r="J784" s="589" t="s">
        <v>753</v>
      </c>
      <c r="K784" s="520" t="s">
        <v>741</v>
      </c>
    </row>
    <row r="785" spans="1:11" s="341" customFormat="1">
      <c r="A785" s="421"/>
      <c r="B785" s="628" t="s">
        <v>2185</v>
      </c>
      <c r="C785" s="389">
        <v>247</v>
      </c>
      <c r="D785" s="388">
        <f>C785*(1-VLOOKUP(I785,descuentos,6,FALSE))*fcl/IF(dol_sol="dólar", TC,1)</f>
        <v>60.002519238805966</v>
      </c>
      <c r="E785" s="386">
        <v>6</v>
      </c>
      <c r="F785" s="582">
        <f>ROUNDUP(D785+E785,2)</f>
        <v>66.010000000000005</v>
      </c>
      <c r="G785" s="580" t="s">
        <v>5037</v>
      </c>
      <c r="H785" s="592" t="s">
        <v>2186</v>
      </c>
      <c r="I785" s="520" t="s">
        <v>11649</v>
      </c>
      <c r="J785" s="589" t="s">
        <v>753</v>
      </c>
      <c r="K785" s="520" t="s">
        <v>741</v>
      </c>
    </row>
    <row r="786" spans="1:11" s="341" customFormat="1">
      <c r="A786" s="421"/>
      <c r="B786" s="628" t="s">
        <v>2188</v>
      </c>
      <c r="C786" s="389">
        <v>290</v>
      </c>
      <c r="D786" s="388">
        <f>C786*(1-VLOOKUP(I786,descuentos,6,FALSE))*fcl/IF(dol_sol="dólar", TC,1)</f>
        <v>70.448301940298492</v>
      </c>
      <c r="E786" s="386">
        <v>8</v>
      </c>
      <c r="F786" s="582">
        <f>ROUNDUP(D786+E786,2)</f>
        <v>78.45</v>
      </c>
      <c r="G786" s="580" t="s">
        <v>5040</v>
      </c>
      <c r="H786" s="592" t="s">
        <v>2189</v>
      </c>
      <c r="I786" s="520" t="s">
        <v>11649</v>
      </c>
      <c r="J786" s="589" t="s">
        <v>753</v>
      </c>
      <c r="K786" s="520" t="s">
        <v>741</v>
      </c>
    </row>
    <row r="787" spans="1:11" s="341" customFormat="1">
      <c r="A787" s="589"/>
      <c r="B787" s="628" t="s">
        <v>2190</v>
      </c>
      <c r="C787" s="389">
        <v>414</v>
      </c>
      <c r="D787" s="388">
        <f>C787*(1-VLOOKUP(I787,descuentos,6,FALSE))*fcl/IF(dol_sol="dólar", TC,1)</f>
        <v>100.57102414925373</v>
      </c>
      <c r="E787" s="386">
        <v>8</v>
      </c>
      <c r="F787" s="582">
        <f>ROUNDUP(D787+E787,2)</f>
        <v>108.58</v>
      </c>
      <c r="G787" s="580" t="s">
        <v>5041</v>
      </c>
      <c r="H787" s="592" t="s">
        <v>2191</v>
      </c>
      <c r="I787" s="520" t="s">
        <v>11649</v>
      </c>
      <c r="J787" s="589" t="s">
        <v>753</v>
      </c>
      <c r="K787" s="520" t="s">
        <v>741</v>
      </c>
    </row>
    <row r="788" spans="1:11" s="341" customFormat="1">
      <c r="A788" s="421"/>
      <c r="B788" s="629"/>
      <c r="C788" s="209" t="s">
        <v>2058</v>
      </c>
      <c r="D788" s="244"/>
      <c r="E788" s="228"/>
      <c r="F788" s="585"/>
      <c r="G788" s="592"/>
      <c r="H788" s="592"/>
      <c r="I788" s="520"/>
      <c r="J788" s="589"/>
      <c r="K788" s="520"/>
    </row>
    <row r="789" spans="1:11" s="341" customFormat="1">
      <c r="A789" s="589"/>
      <c r="B789" s="592"/>
      <c r="C789" s="209" t="s">
        <v>2058</v>
      </c>
      <c r="D789" s="244"/>
      <c r="E789" s="228"/>
      <c r="F789" s="585"/>
      <c r="G789" s="592"/>
      <c r="H789" s="592"/>
      <c r="I789" s="520"/>
      <c r="J789" s="589"/>
      <c r="K789" s="520"/>
    </row>
    <row r="790" spans="1:11" s="341" customFormat="1">
      <c r="A790" s="421"/>
      <c r="B790" s="592" t="s">
        <v>1728</v>
      </c>
      <c r="C790" s="209">
        <v>201</v>
      </c>
      <c r="D790" s="244">
        <f t="shared" ref="D790:D792" si="126">C790*(1-VLOOKUP(I790,descuentos,6,FALSE))*fcl/IF(dol_sol="dólar", TC,1)</f>
        <v>48.827960999999995</v>
      </c>
      <c r="E790" s="228">
        <v>15</v>
      </c>
      <c r="F790" s="585">
        <f t="shared" ref="F790:F793" si="127">ROUNDUP(D790+E790,2)</f>
        <v>63.83</v>
      </c>
      <c r="G790" s="338" t="s">
        <v>5042</v>
      </c>
      <c r="H790" s="592" t="s">
        <v>1729</v>
      </c>
      <c r="I790" s="520" t="s">
        <v>11649</v>
      </c>
      <c r="J790" s="421" t="s">
        <v>753</v>
      </c>
      <c r="K790" s="520" t="s">
        <v>741</v>
      </c>
    </row>
    <row r="791" spans="1:11" s="341" customFormat="1">
      <c r="A791" s="421"/>
      <c r="B791" s="592" t="s">
        <v>9734</v>
      </c>
      <c r="C791" s="209">
        <v>201</v>
      </c>
      <c r="D791" s="244">
        <f t="shared" ref="D791" si="128">C791*(1-VLOOKUP(I791,descuentos,6,FALSE))*fcl/IF(dol_sol="dólar", TC,1)</f>
        <v>48.827960999999995</v>
      </c>
      <c r="E791" s="228">
        <v>15</v>
      </c>
      <c r="F791" s="585">
        <f t="shared" si="127"/>
        <v>63.83</v>
      </c>
      <c r="G791" s="338" t="s">
        <v>9735</v>
      </c>
      <c r="H791" s="592" t="s">
        <v>9736</v>
      </c>
      <c r="I791" s="520" t="s">
        <v>11649</v>
      </c>
      <c r="J791" s="421" t="s">
        <v>753</v>
      </c>
      <c r="K791" s="520" t="s">
        <v>741</v>
      </c>
    </row>
    <row r="792" spans="1:11" s="341" customFormat="1">
      <c r="A792" s="421"/>
      <c r="B792" s="592" t="s">
        <v>1730</v>
      </c>
      <c r="C792" s="209">
        <v>280</v>
      </c>
      <c r="D792" s="244">
        <f t="shared" si="126"/>
        <v>68.019050149253729</v>
      </c>
      <c r="E792" s="228">
        <v>15</v>
      </c>
      <c r="F792" s="585">
        <f t="shared" si="127"/>
        <v>83.02000000000001</v>
      </c>
      <c r="G792" s="338" t="s">
        <v>5043</v>
      </c>
      <c r="H792" s="592" t="s">
        <v>1731</v>
      </c>
      <c r="I792" s="520" t="s">
        <v>11649</v>
      </c>
      <c r="J792" s="421" t="s">
        <v>753</v>
      </c>
      <c r="K792" s="520" t="s">
        <v>741</v>
      </c>
    </row>
    <row r="793" spans="1:11" s="341" customFormat="1">
      <c r="A793" s="421"/>
      <c r="B793" s="592" t="s">
        <v>9737</v>
      </c>
      <c r="C793" s="209">
        <v>273</v>
      </c>
      <c r="D793" s="244">
        <f t="shared" ref="D793" si="129">C793*(1-VLOOKUP(I793,descuentos,6,FALSE))*fcl/IF(dol_sol="dólar", TC,1)</f>
        <v>66.318573895522377</v>
      </c>
      <c r="E793" s="228">
        <v>15</v>
      </c>
      <c r="F793" s="585">
        <f t="shared" si="127"/>
        <v>81.320000000000007</v>
      </c>
      <c r="G793" s="338" t="s">
        <v>9738</v>
      </c>
      <c r="H793" s="592" t="s">
        <v>9739</v>
      </c>
      <c r="I793" s="520" t="s">
        <v>11649</v>
      </c>
      <c r="J793" s="421" t="s">
        <v>753</v>
      </c>
      <c r="K793" s="520" t="s">
        <v>741</v>
      </c>
    </row>
    <row r="794" spans="1:11" s="341" customFormat="1">
      <c r="A794" s="589"/>
      <c r="B794" s="592"/>
      <c r="C794" s="209" t="s">
        <v>2058</v>
      </c>
      <c r="D794" s="244"/>
      <c r="E794" s="228"/>
      <c r="F794" s="585"/>
      <c r="G794" s="592"/>
      <c r="H794" s="592"/>
      <c r="I794" s="520"/>
      <c r="J794" s="589"/>
      <c r="K794" s="520"/>
    </row>
    <row r="795" spans="1:11" s="341" customFormat="1">
      <c r="A795" s="421"/>
      <c r="B795" s="592" t="s">
        <v>12432</v>
      </c>
      <c r="C795" s="209">
        <v>339</v>
      </c>
      <c r="D795" s="244">
        <f t="shared" ref="D795" si="130">C795*(1-VLOOKUP(I795,descuentos,6,FALSE))*fcl/IF(dol_sol="dólar", TC,1)</f>
        <v>82.351635716417903</v>
      </c>
      <c r="E795" s="228">
        <v>15</v>
      </c>
      <c r="F795" s="585">
        <f t="shared" ref="F795" si="131">ROUNDUP(D795+E795,2)</f>
        <v>97.36</v>
      </c>
      <c r="G795" s="338" t="s">
        <v>12433</v>
      </c>
      <c r="H795" s="592" t="s">
        <v>12434</v>
      </c>
      <c r="I795" s="520" t="s">
        <v>11649</v>
      </c>
      <c r="J795" s="421" t="s">
        <v>753</v>
      </c>
      <c r="K795" s="520" t="s">
        <v>741</v>
      </c>
    </row>
    <row r="796" spans="1:11" s="341" customFormat="1">
      <c r="A796" s="589"/>
      <c r="B796" s="592"/>
      <c r="C796" s="209" t="s">
        <v>2058</v>
      </c>
      <c r="D796" s="244"/>
      <c r="E796" s="228"/>
      <c r="F796" s="585"/>
      <c r="G796" s="592"/>
      <c r="H796" s="592"/>
      <c r="I796" s="520"/>
      <c r="J796" s="589"/>
      <c r="K796" s="520"/>
    </row>
    <row r="797" spans="1:11" s="341" customFormat="1">
      <c r="A797" s="421"/>
      <c r="B797" s="580" t="s">
        <v>4541</v>
      </c>
      <c r="C797" s="209">
        <v>115</v>
      </c>
      <c r="D797" s="244">
        <f t="shared" ref="D797:D803" si="132">C797*(1-VLOOKUP(I797,descuentos,6,FALSE))*fcl/IF(dol_sol="dólar", TC,1)</f>
        <v>27.936395597014922</v>
      </c>
      <c r="E797" s="228">
        <v>2</v>
      </c>
      <c r="F797" s="585">
        <f t="shared" si="125"/>
        <v>29.94</v>
      </c>
      <c r="G797" s="592" t="s">
        <v>6652</v>
      </c>
      <c r="H797" s="592" t="s">
        <v>3318</v>
      </c>
      <c r="I797" s="520" t="s">
        <v>11649</v>
      </c>
      <c r="J797" s="421" t="s">
        <v>753</v>
      </c>
      <c r="K797" s="520" t="s">
        <v>741</v>
      </c>
    </row>
    <row r="798" spans="1:11" s="341" customFormat="1">
      <c r="A798" s="421"/>
      <c r="B798" s="592" t="s">
        <v>3771</v>
      </c>
      <c r="C798" s="209">
        <v>210</v>
      </c>
      <c r="D798" s="244">
        <f t="shared" si="132"/>
        <v>51.01428761194029</v>
      </c>
      <c r="E798" s="228">
        <v>4</v>
      </c>
      <c r="F798" s="585">
        <f t="shared" si="125"/>
        <v>55.019999999999996</v>
      </c>
      <c r="G798" s="592" t="s">
        <v>6653</v>
      </c>
      <c r="H798" s="592" t="s">
        <v>3772</v>
      </c>
      <c r="I798" s="520" t="s">
        <v>11649</v>
      </c>
      <c r="J798" s="421" t="s">
        <v>753</v>
      </c>
      <c r="K798" s="520" t="s">
        <v>741</v>
      </c>
    </row>
    <row r="799" spans="1:11" s="341" customFormat="1">
      <c r="A799" s="421"/>
      <c r="B799" s="592" t="s">
        <v>3773</v>
      </c>
      <c r="C799" s="209">
        <v>208</v>
      </c>
      <c r="D799" s="244">
        <f t="shared" si="132"/>
        <v>50.528437253731333</v>
      </c>
      <c r="E799" s="228">
        <v>4</v>
      </c>
      <c r="F799" s="585">
        <f t="shared" si="125"/>
        <v>54.53</v>
      </c>
      <c r="G799" s="592" t="s">
        <v>6654</v>
      </c>
      <c r="H799" s="592" t="s">
        <v>1732</v>
      </c>
      <c r="I799" s="520" t="s">
        <v>11649</v>
      </c>
      <c r="J799" s="421" t="s">
        <v>753</v>
      </c>
      <c r="K799" s="520" t="s">
        <v>741</v>
      </c>
    </row>
    <row r="800" spans="1:11" s="341" customFormat="1">
      <c r="A800" s="421"/>
      <c r="B800" s="592" t="s">
        <v>1733</v>
      </c>
      <c r="C800" s="209">
        <v>225</v>
      </c>
      <c r="D800" s="244">
        <f t="shared" si="132"/>
        <v>54.658165298507456</v>
      </c>
      <c r="E800" s="228">
        <v>4</v>
      </c>
      <c r="F800" s="585">
        <f t="shared" si="125"/>
        <v>58.66</v>
      </c>
      <c r="G800" s="592" t="s">
        <v>6655</v>
      </c>
      <c r="H800" s="592" t="s">
        <v>1734</v>
      </c>
      <c r="I800" s="520" t="s">
        <v>11649</v>
      </c>
      <c r="J800" s="421" t="s">
        <v>753</v>
      </c>
      <c r="K800" s="520" t="s">
        <v>741</v>
      </c>
    </row>
    <row r="801" spans="1:11" s="341" customFormat="1">
      <c r="A801" s="421"/>
      <c r="B801" s="592" t="s">
        <v>6656</v>
      </c>
      <c r="C801" s="209">
        <v>279</v>
      </c>
      <c r="D801" s="244">
        <f>C801*(1-VLOOKUP(I801,descuentos,6,FALSE))*fcl/IF(dol_sol="dólar", TC,1)</f>
        <v>67.77612497014924</v>
      </c>
      <c r="E801" s="228">
        <v>4</v>
      </c>
      <c r="F801" s="585">
        <f>ROUNDUP(D801+E801,2)</f>
        <v>71.78</v>
      </c>
      <c r="G801" s="592" t="s">
        <v>6657</v>
      </c>
      <c r="H801" s="592" t="s">
        <v>6658</v>
      </c>
      <c r="I801" s="520" t="s">
        <v>11649</v>
      </c>
      <c r="J801" s="421" t="s">
        <v>753</v>
      </c>
      <c r="K801" s="520" t="s">
        <v>741</v>
      </c>
    </row>
    <row r="802" spans="1:11" s="341" customFormat="1">
      <c r="A802" s="421"/>
      <c r="B802" s="592" t="s">
        <v>3774</v>
      </c>
      <c r="C802" s="209">
        <v>279</v>
      </c>
      <c r="D802" s="244">
        <f t="shared" si="132"/>
        <v>67.77612497014924</v>
      </c>
      <c r="E802" s="228">
        <v>4</v>
      </c>
      <c r="F802" s="585">
        <f t="shared" si="125"/>
        <v>71.78</v>
      </c>
      <c r="G802" s="592" t="s">
        <v>6659</v>
      </c>
      <c r="H802" s="592" t="s">
        <v>3315</v>
      </c>
      <c r="I802" s="520" t="s">
        <v>11649</v>
      </c>
      <c r="J802" s="421" t="s">
        <v>753</v>
      </c>
      <c r="K802" s="520" t="s">
        <v>741</v>
      </c>
    </row>
    <row r="803" spans="1:11" s="341" customFormat="1">
      <c r="A803" s="421"/>
      <c r="B803" s="592" t="s">
        <v>3316</v>
      </c>
      <c r="C803" s="209">
        <v>489</v>
      </c>
      <c r="D803" s="244">
        <f t="shared" si="132"/>
        <v>118.79041258208954</v>
      </c>
      <c r="E803" s="228">
        <v>4</v>
      </c>
      <c r="F803" s="585">
        <f t="shared" si="125"/>
        <v>122.80000000000001</v>
      </c>
      <c r="G803" s="592" t="s">
        <v>6660</v>
      </c>
      <c r="H803" s="592" t="s">
        <v>3317</v>
      </c>
      <c r="I803" s="520" t="s">
        <v>11649</v>
      </c>
      <c r="J803" s="421" t="s">
        <v>753</v>
      </c>
      <c r="K803" s="520" t="s">
        <v>741</v>
      </c>
    </row>
    <row r="804" spans="1:11" s="341" customFormat="1">
      <c r="A804" s="421"/>
      <c r="B804" s="592"/>
      <c r="C804" s="209" t="s">
        <v>2058</v>
      </c>
      <c r="D804" s="244"/>
      <c r="E804" s="228"/>
      <c r="F804" s="585"/>
      <c r="G804" s="338"/>
      <c r="H804" s="592"/>
      <c r="I804" s="520"/>
      <c r="J804" s="421"/>
      <c r="K804" s="520"/>
    </row>
    <row r="805" spans="1:11" s="341" customFormat="1">
      <c r="A805" s="1734"/>
      <c r="B805" s="592" t="s">
        <v>9546</v>
      </c>
      <c r="C805" s="209">
        <v>249</v>
      </c>
      <c r="D805" s="388">
        <f>C805*(1-VLOOKUP(I805,descuentos,6,FALSE))*fcl/IF(dol_sol="dólar", TC,1)</f>
        <v>60.488369597014923</v>
      </c>
      <c r="E805" s="626">
        <v>15</v>
      </c>
      <c r="F805" s="582">
        <f>ROUNDUP(D805+E805,2)</f>
        <v>75.490000000000009</v>
      </c>
      <c r="G805" s="338" t="s">
        <v>9547</v>
      </c>
      <c r="H805" s="592" t="s">
        <v>9548</v>
      </c>
      <c r="I805" s="520" t="s">
        <v>11649</v>
      </c>
      <c r="J805" s="421" t="s">
        <v>753</v>
      </c>
      <c r="K805" s="520" t="s">
        <v>741</v>
      </c>
    </row>
    <row r="806" spans="1:11" s="341" customFormat="1">
      <c r="A806" s="1734"/>
      <c r="B806" s="592" t="s">
        <v>9549</v>
      </c>
      <c r="C806" s="209">
        <v>442</v>
      </c>
      <c r="D806" s="388">
        <f>C806*(1-VLOOKUP(I806,descuentos,6,FALSE))*fcl/IF(dol_sol="dólar", TC,1)</f>
        <v>107.3729291641791</v>
      </c>
      <c r="E806" s="626">
        <v>20</v>
      </c>
      <c r="F806" s="582">
        <f>ROUNDUP(D806+E806,2)</f>
        <v>127.38000000000001</v>
      </c>
      <c r="G806" s="338" t="s">
        <v>9550</v>
      </c>
      <c r="H806" s="592" t="s">
        <v>9551</v>
      </c>
      <c r="I806" s="520" t="s">
        <v>11649</v>
      </c>
      <c r="J806" s="421" t="s">
        <v>753</v>
      </c>
      <c r="K806" s="520" t="s">
        <v>741</v>
      </c>
    </row>
    <row r="807" spans="1:11" s="341" customFormat="1">
      <c r="A807" s="421"/>
      <c r="B807" s="592"/>
      <c r="C807" s="209" t="s">
        <v>2058</v>
      </c>
      <c r="D807" s="244"/>
      <c r="E807" s="228"/>
      <c r="F807" s="585"/>
      <c r="G807" s="592"/>
      <c r="H807" s="592"/>
      <c r="I807" s="520"/>
      <c r="J807" s="589"/>
      <c r="K807" s="520"/>
    </row>
    <row r="808" spans="1:11" s="196" customFormat="1">
      <c r="A808" s="1740"/>
      <c r="B808" s="643" t="s">
        <v>2192</v>
      </c>
      <c r="C808" s="637">
        <v>85</v>
      </c>
      <c r="D808" s="243">
        <f>C808*(1-VLOOKUP(I808,descuentos,6,FALSE))*fcl/IF(dol_sol="dólar", TC,1)</f>
        <v>20.648640223880591</v>
      </c>
      <c r="E808" s="228">
        <v>4</v>
      </c>
      <c r="F808" s="585">
        <f>ROUNDUP(D808+E808,2)</f>
        <v>24.650000000000002</v>
      </c>
      <c r="G808" s="592" t="s">
        <v>9552</v>
      </c>
      <c r="H808" s="643" t="s">
        <v>6828</v>
      </c>
      <c r="I808" s="639" t="s">
        <v>11649</v>
      </c>
      <c r="J808" s="635" t="s">
        <v>753</v>
      </c>
      <c r="K808" s="639" t="s">
        <v>741</v>
      </c>
    </row>
    <row r="809" spans="1:11" s="341" customFormat="1">
      <c r="A809" s="421"/>
      <c r="B809" s="592" t="s">
        <v>9553</v>
      </c>
      <c r="C809" s="209">
        <v>85</v>
      </c>
      <c r="D809" s="244">
        <f>C809*(1-VLOOKUP(I809,descuentos,6,FALSE))*fcl/IF(dol_sol="dólar", TC,1)</f>
        <v>20.648640223880591</v>
      </c>
      <c r="E809" s="228">
        <v>4</v>
      </c>
      <c r="F809" s="585">
        <f>ROUNDUP(D809+E809,2)</f>
        <v>24.650000000000002</v>
      </c>
      <c r="G809" s="592" t="s">
        <v>9554</v>
      </c>
      <c r="H809" s="592" t="s">
        <v>6661</v>
      </c>
      <c r="I809" s="520" t="s">
        <v>11649</v>
      </c>
      <c r="J809" s="421" t="s">
        <v>753</v>
      </c>
      <c r="K809" s="520" t="s">
        <v>741</v>
      </c>
    </row>
    <row r="810" spans="1:11" s="341" customFormat="1">
      <c r="A810" s="421"/>
      <c r="B810" s="592" t="s">
        <v>6662</v>
      </c>
      <c r="C810" s="209">
        <v>49</v>
      </c>
      <c r="D810" s="244">
        <f>C810*(1-VLOOKUP(I810,descuentos,6,FALSE))*fcl/IF(dol_sol="dólar", TC,1)</f>
        <v>11.903333776119402</v>
      </c>
      <c r="E810" s="228">
        <v>4</v>
      </c>
      <c r="F810" s="585">
        <f t="shared" si="125"/>
        <v>15.91</v>
      </c>
      <c r="G810" s="592" t="s">
        <v>6663</v>
      </c>
      <c r="H810" s="592" t="s">
        <v>6664</v>
      </c>
      <c r="I810" s="520" t="s">
        <v>11649</v>
      </c>
      <c r="J810" s="421" t="s">
        <v>753</v>
      </c>
      <c r="K810" s="520" t="s">
        <v>741</v>
      </c>
    </row>
    <row r="811" spans="1:11" s="341" customFormat="1">
      <c r="A811" s="421"/>
      <c r="B811" s="592"/>
      <c r="C811" s="209" t="s">
        <v>2058</v>
      </c>
      <c r="D811" s="244"/>
      <c r="E811" s="228"/>
      <c r="F811" s="585"/>
      <c r="G811" s="592"/>
      <c r="H811" s="592"/>
      <c r="I811" s="520"/>
      <c r="J811" s="421"/>
      <c r="K811" s="520"/>
    </row>
    <row r="812" spans="1:11" s="341" customFormat="1">
      <c r="A812" s="421"/>
      <c r="B812" s="592"/>
      <c r="C812" s="209" t="s">
        <v>2058</v>
      </c>
      <c r="D812" s="244"/>
      <c r="E812" s="228"/>
      <c r="F812" s="585"/>
      <c r="G812" s="592"/>
      <c r="H812" s="592"/>
      <c r="I812" s="520"/>
      <c r="J812" s="421"/>
      <c r="K812" s="520"/>
    </row>
    <row r="813" spans="1:11" s="341" customFormat="1">
      <c r="A813" s="421"/>
      <c r="B813" s="592"/>
      <c r="C813" s="209" t="s">
        <v>2058</v>
      </c>
      <c r="D813" s="244"/>
      <c r="E813" s="228"/>
      <c r="F813" s="585"/>
      <c r="G813" s="592"/>
      <c r="H813" s="592"/>
      <c r="I813" s="520"/>
      <c r="J813" s="421"/>
      <c r="K813" s="520"/>
    </row>
    <row r="814" spans="1:11" s="341" customFormat="1">
      <c r="A814" s="421"/>
      <c r="B814" s="592"/>
      <c r="C814" s="209" t="s">
        <v>2058</v>
      </c>
      <c r="D814" s="244"/>
      <c r="E814" s="228"/>
      <c r="F814" s="585"/>
      <c r="G814" s="592"/>
      <c r="H814" s="592"/>
      <c r="I814" s="520"/>
      <c r="J814" s="421"/>
      <c r="K814" s="520"/>
    </row>
    <row r="815" spans="1:11" s="341" customFormat="1">
      <c r="A815" s="421"/>
      <c r="B815" s="592"/>
      <c r="C815" s="209" t="s">
        <v>2058</v>
      </c>
      <c r="D815" s="244"/>
      <c r="E815" s="228"/>
      <c r="F815" s="585"/>
      <c r="G815" s="592"/>
      <c r="H815" s="592"/>
      <c r="I815" s="520"/>
      <c r="J815" s="421"/>
      <c r="K815" s="520"/>
    </row>
    <row r="816" spans="1:11" s="341" customFormat="1">
      <c r="A816" s="421"/>
      <c r="B816" s="338" t="s">
        <v>4542</v>
      </c>
      <c r="C816" s="209">
        <v>343</v>
      </c>
      <c r="D816" s="244">
        <f t="shared" ref="D816:D826" si="133">C816*(1-VLOOKUP(I816,descuentos,6,FALSE))*fcl/IF(dol_sol="dólar", TC,1)</f>
        <v>83.323336432835816</v>
      </c>
      <c r="E816" s="472">
        <v>15</v>
      </c>
      <c r="F816" s="585">
        <f t="shared" ref="F816:F879" si="134">ROUNDUP(D816+E816,2)</f>
        <v>98.33</v>
      </c>
      <c r="G816" s="338" t="s">
        <v>6665</v>
      </c>
      <c r="H816" s="592" t="s">
        <v>4543</v>
      </c>
      <c r="I816" s="520" t="s">
        <v>11649</v>
      </c>
      <c r="J816" s="421" t="s">
        <v>753</v>
      </c>
      <c r="K816" s="520" t="s">
        <v>741</v>
      </c>
    </row>
    <row r="817" spans="1:11" s="341" customFormat="1">
      <c r="A817" s="421"/>
      <c r="B817" s="338" t="s">
        <v>4544</v>
      </c>
      <c r="C817" s="209">
        <v>343</v>
      </c>
      <c r="D817" s="244">
        <f t="shared" si="133"/>
        <v>83.323336432835816</v>
      </c>
      <c r="E817" s="472">
        <v>15</v>
      </c>
      <c r="F817" s="585">
        <f t="shared" si="134"/>
        <v>98.33</v>
      </c>
      <c r="G817" s="338" t="s">
        <v>6666</v>
      </c>
      <c r="H817" s="592" t="s">
        <v>4545</v>
      </c>
      <c r="I817" s="520" t="s">
        <v>11649</v>
      </c>
      <c r="J817" s="421" t="s">
        <v>753</v>
      </c>
      <c r="K817" s="520" t="s">
        <v>741</v>
      </c>
    </row>
    <row r="818" spans="1:11" s="341" customFormat="1">
      <c r="A818" s="421"/>
      <c r="B818" s="338" t="s">
        <v>4546</v>
      </c>
      <c r="C818" s="209">
        <v>343</v>
      </c>
      <c r="D818" s="244">
        <f t="shared" si="133"/>
        <v>83.323336432835816</v>
      </c>
      <c r="E818" s="472">
        <v>15</v>
      </c>
      <c r="F818" s="585">
        <f t="shared" si="134"/>
        <v>98.33</v>
      </c>
      <c r="G818" s="338" t="s">
        <v>6667</v>
      </c>
      <c r="H818" s="592" t="s">
        <v>4547</v>
      </c>
      <c r="I818" s="520" t="s">
        <v>11649</v>
      </c>
      <c r="J818" s="421" t="s">
        <v>753</v>
      </c>
      <c r="K818" s="520" t="s">
        <v>741</v>
      </c>
    </row>
    <row r="819" spans="1:11" s="341" customFormat="1">
      <c r="A819" s="421"/>
      <c r="B819" s="338" t="s">
        <v>4548</v>
      </c>
      <c r="C819" s="209">
        <v>343</v>
      </c>
      <c r="D819" s="244">
        <f t="shared" si="133"/>
        <v>83.323336432835816</v>
      </c>
      <c r="E819" s="472">
        <v>15</v>
      </c>
      <c r="F819" s="585">
        <f t="shared" si="134"/>
        <v>98.33</v>
      </c>
      <c r="G819" s="338" t="s">
        <v>6668</v>
      </c>
      <c r="H819" s="592" t="s">
        <v>4549</v>
      </c>
      <c r="I819" s="520" t="s">
        <v>11649</v>
      </c>
      <c r="J819" s="421" t="s">
        <v>753</v>
      </c>
      <c r="K819" s="520" t="s">
        <v>741</v>
      </c>
    </row>
    <row r="820" spans="1:11" s="341" customFormat="1">
      <c r="A820" s="421"/>
      <c r="B820" s="338" t="s">
        <v>4550</v>
      </c>
      <c r="C820" s="209">
        <v>343</v>
      </c>
      <c r="D820" s="244">
        <f t="shared" si="133"/>
        <v>83.323336432835816</v>
      </c>
      <c r="E820" s="472">
        <v>15</v>
      </c>
      <c r="F820" s="585">
        <f t="shared" si="134"/>
        <v>98.33</v>
      </c>
      <c r="G820" s="338" t="s">
        <v>6669</v>
      </c>
      <c r="H820" s="592" t="s">
        <v>4551</v>
      </c>
      <c r="I820" s="520" t="s">
        <v>11649</v>
      </c>
      <c r="J820" s="421" t="s">
        <v>753</v>
      </c>
      <c r="K820" s="520" t="s">
        <v>741</v>
      </c>
    </row>
    <row r="821" spans="1:11" s="341" customFormat="1">
      <c r="A821" s="421"/>
      <c r="B821" s="338" t="s">
        <v>4552</v>
      </c>
      <c r="C821" s="209">
        <v>343</v>
      </c>
      <c r="D821" s="244">
        <f t="shared" si="133"/>
        <v>83.323336432835816</v>
      </c>
      <c r="E821" s="472">
        <v>15</v>
      </c>
      <c r="F821" s="585">
        <f t="shared" si="134"/>
        <v>98.33</v>
      </c>
      <c r="G821" s="338" t="s">
        <v>6670</v>
      </c>
      <c r="H821" s="592" t="s">
        <v>4553</v>
      </c>
      <c r="I821" s="520" t="s">
        <v>11649</v>
      </c>
      <c r="J821" s="421" t="s">
        <v>753</v>
      </c>
      <c r="K821" s="520" t="s">
        <v>741</v>
      </c>
    </row>
    <row r="822" spans="1:11" s="341" customFormat="1">
      <c r="A822" s="421"/>
      <c r="B822" s="338" t="s">
        <v>4554</v>
      </c>
      <c r="C822" s="209">
        <v>343</v>
      </c>
      <c r="D822" s="244">
        <f t="shared" si="133"/>
        <v>83.323336432835816</v>
      </c>
      <c r="E822" s="472">
        <v>15</v>
      </c>
      <c r="F822" s="585">
        <f t="shared" si="134"/>
        <v>98.33</v>
      </c>
      <c r="G822" s="338" t="s">
        <v>6671</v>
      </c>
      <c r="H822" s="592" t="s">
        <v>4555</v>
      </c>
      <c r="I822" s="520" t="s">
        <v>11649</v>
      </c>
      <c r="J822" s="421" t="s">
        <v>753</v>
      </c>
      <c r="K822" s="520" t="s">
        <v>741</v>
      </c>
    </row>
    <row r="823" spans="1:11" s="341" customFormat="1">
      <c r="A823" s="421"/>
      <c r="B823" s="338" t="s">
        <v>4556</v>
      </c>
      <c r="C823" s="209">
        <v>373</v>
      </c>
      <c r="D823" s="244">
        <f t="shared" si="133"/>
        <v>90.611091805970133</v>
      </c>
      <c r="E823" s="472">
        <v>15</v>
      </c>
      <c r="F823" s="585">
        <f t="shared" si="134"/>
        <v>105.62</v>
      </c>
      <c r="G823" s="338" t="s">
        <v>6672</v>
      </c>
      <c r="H823" s="592" t="s">
        <v>4557</v>
      </c>
      <c r="I823" s="520" t="s">
        <v>11649</v>
      </c>
      <c r="J823" s="421" t="s">
        <v>753</v>
      </c>
      <c r="K823" s="520" t="s">
        <v>741</v>
      </c>
    </row>
    <row r="824" spans="1:11" s="341" customFormat="1">
      <c r="A824" s="421"/>
      <c r="B824" s="338" t="s">
        <v>4558</v>
      </c>
      <c r="C824" s="209">
        <v>373</v>
      </c>
      <c r="D824" s="244">
        <f t="shared" si="133"/>
        <v>90.611091805970133</v>
      </c>
      <c r="E824" s="472">
        <v>15</v>
      </c>
      <c r="F824" s="585">
        <f t="shared" si="134"/>
        <v>105.62</v>
      </c>
      <c r="G824" s="338" t="s">
        <v>6673</v>
      </c>
      <c r="H824" s="592" t="s">
        <v>4559</v>
      </c>
      <c r="I824" s="520" t="s">
        <v>11649</v>
      </c>
      <c r="J824" s="421" t="s">
        <v>753</v>
      </c>
      <c r="K824" s="520" t="s">
        <v>741</v>
      </c>
    </row>
    <row r="825" spans="1:11" s="341" customFormat="1">
      <c r="A825" s="421"/>
      <c r="B825" s="338" t="s">
        <v>4560</v>
      </c>
      <c r="C825" s="209">
        <v>482</v>
      </c>
      <c r="D825" s="244">
        <f t="shared" si="133"/>
        <v>117.08993632835821</v>
      </c>
      <c r="E825" s="472">
        <v>15</v>
      </c>
      <c r="F825" s="585">
        <f t="shared" si="134"/>
        <v>132.09</v>
      </c>
      <c r="G825" s="338" t="s">
        <v>6674</v>
      </c>
      <c r="H825" s="592" t="s">
        <v>4561</v>
      </c>
      <c r="I825" s="520" t="s">
        <v>11649</v>
      </c>
      <c r="J825" s="421" t="s">
        <v>753</v>
      </c>
      <c r="K825" s="520" t="s">
        <v>741</v>
      </c>
    </row>
    <row r="826" spans="1:11" s="341" customFormat="1">
      <c r="A826" s="421"/>
      <c r="B826" s="338" t="s">
        <v>4562</v>
      </c>
      <c r="C826" s="209">
        <v>548</v>
      </c>
      <c r="D826" s="244">
        <f t="shared" si="133"/>
        <v>133.1229981492537</v>
      </c>
      <c r="E826" s="472">
        <v>15</v>
      </c>
      <c r="F826" s="585">
        <f t="shared" si="134"/>
        <v>148.13</v>
      </c>
      <c r="G826" s="338" t="s">
        <v>6675</v>
      </c>
      <c r="H826" s="592" t="s">
        <v>4563</v>
      </c>
      <c r="I826" s="520" t="s">
        <v>11649</v>
      </c>
      <c r="J826" s="421" t="s">
        <v>753</v>
      </c>
      <c r="K826" s="520" t="s">
        <v>741</v>
      </c>
    </row>
    <row r="827" spans="1:11" s="341" customFormat="1">
      <c r="A827" s="421"/>
      <c r="B827" s="338"/>
      <c r="C827" s="209" t="s">
        <v>2058</v>
      </c>
      <c r="D827" s="244"/>
      <c r="E827" s="228"/>
      <c r="F827" s="585"/>
      <c r="G827" s="338"/>
      <c r="H827" s="592"/>
      <c r="I827" s="520"/>
      <c r="J827" s="421"/>
      <c r="K827" s="520"/>
    </row>
    <row r="828" spans="1:11" s="341" customFormat="1">
      <c r="A828" s="421"/>
      <c r="B828" s="338"/>
      <c r="C828" s="209" t="s">
        <v>2058</v>
      </c>
      <c r="D828" s="244"/>
      <c r="E828" s="228"/>
      <c r="F828" s="585"/>
      <c r="G828" s="338"/>
      <c r="H828" s="592"/>
      <c r="I828" s="520"/>
      <c r="J828" s="421"/>
      <c r="K828" s="520"/>
    </row>
    <row r="829" spans="1:11" s="339" customFormat="1">
      <c r="A829" s="421"/>
      <c r="B829" s="338" t="s">
        <v>840</v>
      </c>
      <c r="C829" s="209">
        <v>471</v>
      </c>
      <c r="D829" s="244">
        <f t="shared" ref="D829:D837" si="135">C829*(1-VLOOKUP(I829,descuentos,6,FALSE))*fcl/IF(dol_sol="dólar", TC,1)</f>
        <v>114.41775935820894</v>
      </c>
      <c r="E829" s="626">
        <f t="shared" ref="E829:E837" si="136">E818</f>
        <v>15</v>
      </c>
      <c r="F829" s="585">
        <f t="shared" si="134"/>
        <v>129.41999999999999</v>
      </c>
      <c r="G829" s="338" t="s">
        <v>4564</v>
      </c>
      <c r="H829" s="592" t="s">
        <v>845</v>
      </c>
      <c r="I829" s="520" t="s">
        <v>11649</v>
      </c>
      <c r="J829" s="421" t="s">
        <v>753</v>
      </c>
      <c r="K829" s="520" t="s">
        <v>741</v>
      </c>
    </row>
    <row r="830" spans="1:11" s="341" customFormat="1">
      <c r="A830" s="421"/>
      <c r="B830" s="338" t="s">
        <v>1416</v>
      </c>
      <c r="C830" s="209">
        <v>471</v>
      </c>
      <c r="D830" s="244">
        <f t="shared" si="135"/>
        <v>114.41775935820894</v>
      </c>
      <c r="E830" s="626">
        <f t="shared" si="136"/>
        <v>15</v>
      </c>
      <c r="F830" s="585">
        <f t="shared" si="134"/>
        <v>129.41999999999999</v>
      </c>
      <c r="G830" s="338" t="s">
        <v>4565</v>
      </c>
      <c r="H830" s="592" t="s">
        <v>1414</v>
      </c>
      <c r="I830" s="520" t="s">
        <v>11649</v>
      </c>
      <c r="J830" s="421" t="s">
        <v>753</v>
      </c>
      <c r="K830" s="520" t="s">
        <v>741</v>
      </c>
    </row>
    <row r="831" spans="1:11" s="341" customFormat="1">
      <c r="A831" s="421"/>
      <c r="B831" s="338" t="s">
        <v>1417</v>
      </c>
      <c r="C831" s="209">
        <v>471</v>
      </c>
      <c r="D831" s="244">
        <f t="shared" si="135"/>
        <v>114.41775935820894</v>
      </c>
      <c r="E831" s="626">
        <f t="shared" si="136"/>
        <v>15</v>
      </c>
      <c r="F831" s="585">
        <f t="shared" si="134"/>
        <v>129.41999999999999</v>
      </c>
      <c r="G831" s="338" t="s">
        <v>4566</v>
      </c>
      <c r="H831" s="592" t="s">
        <v>1415</v>
      </c>
      <c r="I831" s="520" t="s">
        <v>11649</v>
      </c>
      <c r="J831" s="421" t="s">
        <v>753</v>
      </c>
      <c r="K831" s="520" t="s">
        <v>741</v>
      </c>
    </row>
    <row r="832" spans="1:11" s="341" customFormat="1">
      <c r="A832" s="421"/>
      <c r="B832" s="338" t="s">
        <v>842</v>
      </c>
      <c r="C832" s="209">
        <v>471</v>
      </c>
      <c r="D832" s="244">
        <f t="shared" si="135"/>
        <v>114.41775935820894</v>
      </c>
      <c r="E832" s="626">
        <f t="shared" si="136"/>
        <v>15</v>
      </c>
      <c r="F832" s="585">
        <f t="shared" si="134"/>
        <v>129.41999999999999</v>
      </c>
      <c r="G832" s="338" t="s">
        <v>4567</v>
      </c>
      <c r="H832" s="592" t="s">
        <v>847</v>
      </c>
      <c r="I832" s="520" t="s">
        <v>11649</v>
      </c>
      <c r="J832" s="421" t="s">
        <v>753</v>
      </c>
      <c r="K832" s="520" t="s">
        <v>741</v>
      </c>
    </row>
    <row r="833" spans="1:11" s="341" customFormat="1">
      <c r="A833" s="421"/>
      <c r="B833" s="338" t="s">
        <v>839</v>
      </c>
      <c r="C833" s="209">
        <v>471</v>
      </c>
      <c r="D833" s="244">
        <f t="shared" si="135"/>
        <v>114.41775935820894</v>
      </c>
      <c r="E833" s="626">
        <f t="shared" si="136"/>
        <v>15</v>
      </c>
      <c r="F833" s="585">
        <f t="shared" si="134"/>
        <v>129.41999999999999</v>
      </c>
      <c r="G833" s="338" t="s">
        <v>4568</v>
      </c>
      <c r="H833" s="592" t="s">
        <v>844</v>
      </c>
      <c r="I833" s="520" t="s">
        <v>11649</v>
      </c>
      <c r="J833" s="421" t="s">
        <v>753</v>
      </c>
      <c r="K833" s="520" t="s">
        <v>741</v>
      </c>
    </row>
    <row r="834" spans="1:11" s="341" customFormat="1">
      <c r="A834" s="421"/>
      <c r="B834" s="338" t="s">
        <v>838</v>
      </c>
      <c r="C834" s="209">
        <v>494</v>
      </c>
      <c r="D834" s="244">
        <f t="shared" si="135"/>
        <v>120.00503847761193</v>
      </c>
      <c r="E834" s="626">
        <f t="shared" si="136"/>
        <v>15</v>
      </c>
      <c r="F834" s="585">
        <f t="shared" si="134"/>
        <v>135.01</v>
      </c>
      <c r="G834" s="338" t="s">
        <v>4569</v>
      </c>
      <c r="H834" s="592" t="s">
        <v>843</v>
      </c>
      <c r="I834" s="520" t="s">
        <v>11649</v>
      </c>
      <c r="J834" s="421" t="s">
        <v>753</v>
      </c>
      <c r="K834" s="520" t="s">
        <v>741</v>
      </c>
    </row>
    <row r="835" spans="1:11" s="341" customFormat="1">
      <c r="A835" s="421"/>
      <c r="B835" s="338" t="s">
        <v>1434</v>
      </c>
      <c r="C835" s="209">
        <v>494</v>
      </c>
      <c r="D835" s="244">
        <f t="shared" si="135"/>
        <v>120.00503847761193</v>
      </c>
      <c r="E835" s="626">
        <f t="shared" si="136"/>
        <v>15</v>
      </c>
      <c r="F835" s="585">
        <f t="shared" si="134"/>
        <v>135.01</v>
      </c>
      <c r="G835" s="338" t="s">
        <v>4570</v>
      </c>
      <c r="H835" s="592" t="s">
        <v>1435</v>
      </c>
      <c r="I835" s="520" t="s">
        <v>11649</v>
      </c>
      <c r="J835" s="421" t="s">
        <v>753</v>
      </c>
      <c r="K835" s="520" t="s">
        <v>741</v>
      </c>
    </row>
    <row r="836" spans="1:11" s="341" customFormat="1">
      <c r="A836" s="421"/>
      <c r="B836" s="338" t="s">
        <v>841</v>
      </c>
      <c r="C836" s="209">
        <v>542</v>
      </c>
      <c r="D836" s="244">
        <f t="shared" si="135"/>
        <v>131.66544707462685</v>
      </c>
      <c r="E836" s="626">
        <f t="shared" si="136"/>
        <v>15</v>
      </c>
      <c r="F836" s="585">
        <f t="shared" si="134"/>
        <v>146.66999999999999</v>
      </c>
      <c r="G836" s="338" t="s">
        <v>4571</v>
      </c>
      <c r="H836" s="592" t="s">
        <v>846</v>
      </c>
      <c r="I836" s="520" t="s">
        <v>11649</v>
      </c>
      <c r="J836" s="421" t="s">
        <v>753</v>
      </c>
      <c r="K836" s="520" t="s">
        <v>741</v>
      </c>
    </row>
    <row r="837" spans="1:11" s="341" customFormat="1">
      <c r="A837" s="421"/>
      <c r="B837" s="338" t="s">
        <v>1436</v>
      </c>
      <c r="C837" s="209">
        <v>593</v>
      </c>
      <c r="D837" s="244">
        <f t="shared" si="135"/>
        <v>144.05463120895521</v>
      </c>
      <c r="E837" s="626">
        <f t="shared" si="136"/>
        <v>15</v>
      </c>
      <c r="F837" s="585">
        <f t="shared" si="134"/>
        <v>159.06</v>
      </c>
      <c r="G837" s="338" t="s">
        <v>4572</v>
      </c>
      <c r="H837" s="592" t="s">
        <v>1437</v>
      </c>
      <c r="I837" s="520" t="s">
        <v>11649</v>
      </c>
      <c r="J837" s="421" t="s">
        <v>753</v>
      </c>
      <c r="K837" s="520" t="s">
        <v>741</v>
      </c>
    </row>
    <row r="838" spans="1:11" s="341" customFormat="1">
      <c r="A838" s="421"/>
      <c r="B838" s="338"/>
      <c r="C838" s="209" t="s">
        <v>2058</v>
      </c>
      <c r="D838" s="244"/>
      <c r="E838" s="228"/>
      <c r="F838" s="585"/>
      <c r="G838" s="338"/>
      <c r="H838" s="592"/>
      <c r="I838" s="520"/>
      <c r="J838" s="421"/>
      <c r="K838" s="520"/>
    </row>
    <row r="839" spans="1:11" s="341" customFormat="1">
      <c r="A839" s="421"/>
      <c r="B839" s="338" t="s">
        <v>1325</v>
      </c>
      <c r="C839" s="209">
        <v>608</v>
      </c>
      <c r="D839" s="244">
        <f t="shared" ref="D839:D846" si="137">C839*(1-VLOOKUP(I839,descuentos,6,FALSE))*fcl/IF(dol_sol="dólar", TC,1)</f>
        <v>147.69850889552237</v>
      </c>
      <c r="E839" s="472">
        <v>15</v>
      </c>
      <c r="F839" s="585">
        <f t="shared" si="134"/>
        <v>162.69999999999999</v>
      </c>
      <c r="G839" s="338" t="s">
        <v>4573</v>
      </c>
      <c r="H839" s="592" t="s">
        <v>1328</v>
      </c>
      <c r="I839" s="520" t="s">
        <v>11649</v>
      </c>
      <c r="J839" s="421" t="s">
        <v>753</v>
      </c>
      <c r="K839" s="520" t="s">
        <v>741</v>
      </c>
    </row>
    <row r="840" spans="1:11" s="341" customFormat="1">
      <c r="A840" s="421"/>
      <c r="B840" s="338" t="s">
        <v>1324</v>
      </c>
      <c r="C840" s="209">
        <v>608</v>
      </c>
      <c r="D840" s="244">
        <f t="shared" si="137"/>
        <v>147.69850889552237</v>
      </c>
      <c r="E840" s="472">
        <v>15</v>
      </c>
      <c r="F840" s="585">
        <f t="shared" si="134"/>
        <v>162.69999999999999</v>
      </c>
      <c r="G840" s="338" t="s">
        <v>4574</v>
      </c>
      <c r="H840" s="592" t="s">
        <v>1329</v>
      </c>
      <c r="I840" s="520" t="s">
        <v>11649</v>
      </c>
      <c r="J840" s="421" t="s">
        <v>753</v>
      </c>
      <c r="K840" s="520" t="s">
        <v>741</v>
      </c>
    </row>
    <row r="841" spans="1:11" s="341" customFormat="1">
      <c r="A841" s="421"/>
      <c r="B841" s="338" t="s">
        <v>1327</v>
      </c>
      <c r="C841" s="209">
        <v>608</v>
      </c>
      <c r="D841" s="244">
        <f t="shared" si="137"/>
        <v>147.69850889552237</v>
      </c>
      <c r="E841" s="472">
        <v>15</v>
      </c>
      <c r="F841" s="585">
        <f t="shared" si="134"/>
        <v>162.69999999999999</v>
      </c>
      <c r="G841" s="338" t="s">
        <v>4575</v>
      </c>
      <c r="H841" s="592" t="s">
        <v>1330</v>
      </c>
      <c r="I841" s="520" t="s">
        <v>11649</v>
      </c>
      <c r="J841" s="421" t="s">
        <v>753</v>
      </c>
      <c r="K841" s="520" t="s">
        <v>741</v>
      </c>
    </row>
    <row r="842" spans="1:11" s="341" customFormat="1">
      <c r="A842" s="421"/>
      <c r="B842" s="338" t="s">
        <v>798</v>
      </c>
      <c r="C842" s="209">
        <v>608</v>
      </c>
      <c r="D842" s="244">
        <f t="shared" si="137"/>
        <v>147.69850889552237</v>
      </c>
      <c r="E842" s="472">
        <v>15</v>
      </c>
      <c r="F842" s="585">
        <f t="shared" si="134"/>
        <v>162.69999999999999</v>
      </c>
      <c r="G842" s="338" t="s">
        <v>4576</v>
      </c>
      <c r="H842" s="592" t="s">
        <v>797</v>
      </c>
      <c r="I842" s="520" t="s">
        <v>11649</v>
      </c>
      <c r="J842" s="421" t="s">
        <v>753</v>
      </c>
      <c r="K842" s="520" t="s">
        <v>741</v>
      </c>
    </row>
    <row r="843" spans="1:11" s="341" customFormat="1">
      <c r="A843" s="421"/>
      <c r="B843" s="338" t="s">
        <v>796</v>
      </c>
      <c r="C843" s="209">
        <v>630</v>
      </c>
      <c r="D843" s="244">
        <f t="shared" si="137"/>
        <v>153.04286283582087</v>
      </c>
      <c r="E843" s="472">
        <v>15</v>
      </c>
      <c r="F843" s="585">
        <f t="shared" si="134"/>
        <v>168.04999999999998</v>
      </c>
      <c r="G843" s="338" t="s">
        <v>4577</v>
      </c>
      <c r="H843" s="592" t="s">
        <v>795</v>
      </c>
      <c r="I843" s="520" t="s">
        <v>11649</v>
      </c>
      <c r="J843" s="421" t="s">
        <v>753</v>
      </c>
      <c r="K843" s="520" t="s">
        <v>741</v>
      </c>
    </row>
    <row r="844" spans="1:11" s="341" customFormat="1">
      <c r="A844" s="421"/>
      <c r="B844" s="338" t="s">
        <v>799</v>
      </c>
      <c r="C844" s="209">
        <v>630</v>
      </c>
      <c r="D844" s="244">
        <f t="shared" si="137"/>
        <v>153.04286283582087</v>
      </c>
      <c r="E844" s="472">
        <v>15</v>
      </c>
      <c r="F844" s="585">
        <f t="shared" si="134"/>
        <v>168.04999999999998</v>
      </c>
      <c r="G844" s="338" t="s">
        <v>4578</v>
      </c>
      <c r="H844" s="592" t="s">
        <v>800</v>
      </c>
      <c r="I844" s="520" t="s">
        <v>11649</v>
      </c>
      <c r="J844" s="421" t="s">
        <v>753</v>
      </c>
      <c r="K844" s="520" t="s">
        <v>741</v>
      </c>
    </row>
    <row r="845" spans="1:11" s="341" customFormat="1">
      <c r="A845" s="421"/>
      <c r="B845" s="338" t="s">
        <v>1323</v>
      </c>
      <c r="C845" s="209">
        <v>662</v>
      </c>
      <c r="D845" s="244">
        <f t="shared" si="137"/>
        <v>160.81646856716418</v>
      </c>
      <c r="E845" s="472">
        <v>15</v>
      </c>
      <c r="F845" s="585">
        <f t="shared" si="134"/>
        <v>175.82</v>
      </c>
      <c r="G845" s="338" t="s">
        <v>4579</v>
      </c>
      <c r="H845" s="592" t="s">
        <v>1331</v>
      </c>
      <c r="I845" s="520" t="s">
        <v>11649</v>
      </c>
      <c r="J845" s="421" t="s">
        <v>753</v>
      </c>
      <c r="K845" s="520" t="s">
        <v>741</v>
      </c>
    </row>
    <row r="846" spans="1:11" s="341" customFormat="1">
      <c r="A846" s="421"/>
      <c r="B846" s="338" t="s">
        <v>1326</v>
      </c>
      <c r="C846" s="209">
        <v>692</v>
      </c>
      <c r="D846" s="244">
        <f t="shared" si="137"/>
        <v>168.10422394029851</v>
      </c>
      <c r="E846" s="472">
        <v>15</v>
      </c>
      <c r="F846" s="585">
        <f t="shared" si="134"/>
        <v>183.10999999999999</v>
      </c>
      <c r="G846" s="338" t="s">
        <v>4580</v>
      </c>
      <c r="H846" s="592" t="s">
        <v>1332</v>
      </c>
      <c r="I846" s="520" t="s">
        <v>11649</v>
      </c>
      <c r="J846" s="421" t="s">
        <v>753</v>
      </c>
      <c r="K846" s="520" t="s">
        <v>741</v>
      </c>
    </row>
    <row r="847" spans="1:11" s="341" customFormat="1">
      <c r="A847" s="421"/>
      <c r="B847" s="338"/>
      <c r="C847" s="209" t="s">
        <v>2058</v>
      </c>
      <c r="D847" s="244"/>
      <c r="E847" s="228"/>
      <c r="F847" s="585"/>
      <c r="G847" s="338"/>
      <c r="H847" s="592"/>
      <c r="I847" s="520"/>
      <c r="J847" s="421"/>
      <c r="K847" s="520"/>
    </row>
    <row r="848" spans="1:11" s="341" customFormat="1">
      <c r="A848" s="421"/>
      <c r="B848" s="592"/>
      <c r="C848" s="209" t="s">
        <v>2058</v>
      </c>
      <c r="D848" s="244"/>
      <c r="E848" s="228"/>
      <c r="F848" s="585"/>
      <c r="G848" s="338"/>
      <c r="H848" s="592"/>
      <c r="I848" s="520"/>
      <c r="J848" s="421"/>
      <c r="K848" s="520"/>
    </row>
    <row r="849" spans="1:11" s="196" customFormat="1">
      <c r="A849" s="421"/>
      <c r="B849" s="338"/>
      <c r="C849" s="209" t="s">
        <v>2058</v>
      </c>
      <c r="D849" s="244"/>
      <c r="E849" s="228"/>
      <c r="F849" s="585"/>
      <c r="G849" s="338"/>
      <c r="H849" s="592"/>
      <c r="I849" s="520"/>
      <c r="J849" s="421"/>
      <c r="K849" s="520"/>
    </row>
    <row r="850" spans="1:11" s="341" customFormat="1">
      <c r="A850" s="421"/>
      <c r="B850" s="394" t="s">
        <v>3013</v>
      </c>
      <c r="C850" s="389">
        <v>448</v>
      </c>
      <c r="D850" s="388">
        <f t="shared" ref="D850:D860" si="138">C850*(1-VLOOKUP(I850,descuentos,6,FALSE))*fcl/IF(dol_sol="dólar", TC,1)</f>
        <v>108.83048023880596</v>
      </c>
      <c r="E850" s="472">
        <v>20</v>
      </c>
      <c r="F850" s="582">
        <f t="shared" si="134"/>
        <v>128.84</v>
      </c>
      <c r="G850" s="394" t="s">
        <v>4581</v>
      </c>
      <c r="H850" s="592" t="s">
        <v>3016</v>
      </c>
      <c r="I850" s="520" t="s">
        <v>11649</v>
      </c>
      <c r="J850" s="421" t="s">
        <v>753</v>
      </c>
      <c r="K850" s="520" t="s">
        <v>741</v>
      </c>
    </row>
    <row r="851" spans="1:11" s="339" customFormat="1">
      <c r="A851" s="421"/>
      <c r="B851" s="394" t="s">
        <v>3012</v>
      </c>
      <c r="C851" s="389">
        <v>448</v>
      </c>
      <c r="D851" s="388">
        <f t="shared" si="138"/>
        <v>108.83048023880596</v>
      </c>
      <c r="E851" s="472">
        <v>20</v>
      </c>
      <c r="F851" s="582">
        <f t="shared" si="134"/>
        <v>128.84</v>
      </c>
      <c r="G851" s="394" t="s">
        <v>4582</v>
      </c>
      <c r="H851" s="592" t="s">
        <v>3015</v>
      </c>
      <c r="I851" s="520" t="s">
        <v>11649</v>
      </c>
      <c r="J851" s="421" t="s">
        <v>753</v>
      </c>
      <c r="K851" s="520" t="s">
        <v>741</v>
      </c>
    </row>
    <row r="852" spans="1:11" s="341" customFormat="1">
      <c r="A852" s="421"/>
      <c r="B852" s="394" t="s">
        <v>3011</v>
      </c>
      <c r="C852" s="389">
        <v>448</v>
      </c>
      <c r="D852" s="388">
        <f t="shared" si="138"/>
        <v>108.83048023880596</v>
      </c>
      <c r="E852" s="472">
        <v>20</v>
      </c>
      <c r="F852" s="582">
        <f t="shared" si="134"/>
        <v>128.84</v>
      </c>
      <c r="G852" s="394" t="s">
        <v>4583</v>
      </c>
      <c r="H852" s="592" t="s">
        <v>3014</v>
      </c>
      <c r="I852" s="520" t="s">
        <v>11649</v>
      </c>
      <c r="J852" s="421" t="s">
        <v>753</v>
      </c>
      <c r="K852" s="520" t="s">
        <v>741</v>
      </c>
    </row>
    <row r="853" spans="1:11" s="341" customFormat="1">
      <c r="A853" s="421"/>
      <c r="B853" s="394" t="s">
        <v>1460</v>
      </c>
      <c r="C853" s="389">
        <v>448</v>
      </c>
      <c r="D853" s="388">
        <f t="shared" si="138"/>
        <v>108.83048023880596</v>
      </c>
      <c r="E853" s="472">
        <v>20</v>
      </c>
      <c r="F853" s="582">
        <f t="shared" si="134"/>
        <v>128.84</v>
      </c>
      <c r="G853" s="394" t="s">
        <v>4584</v>
      </c>
      <c r="H853" s="592" t="s">
        <v>1461</v>
      </c>
      <c r="I853" s="520" t="s">
        <v>11649</v>
      </c>
      <c r="J853" s="421" t="s">
        <v>753</v>
      </c>
      <c r="K853" s="520" t="s">
        <v>741</v>
      </c>
    </row>
    <row r="854" spans="1:11" s="341" customFormat="1">
      <c r="A854" s="421"/>
      <c r="B854" s="394" t="s">
        <v>2193</v>
      </c>
      <c r="C854" s="389">
        <v>448</v>
      </c>
      <c r="D854" s="388">
        <f t="shared" si="138"/>
        <v>108.83048023880596</v>
      </c>
      <c r="E854" s="472">
        <v>20</v>
      </c>
      <c r="F854" s="582">
        <f t="shared" si="134"/>
        <v>128.84</v>
      </c>
      <c r="G854" s="394" t="s">
        <v>4585</v>
      </c>
      <c r="H854" s="592" t="s">
        <v>2194</v>
      </c>
      <c r="I854" s="520" t="s">
        <v>11649</v>
      </c>
      <c r="J854" s="421" t="s">
        <v>753</v>
      </c>
      <c r="K854" s="520" t="s">
        <v>741</v>
      </c>
    </row>
    <row r="855" spans="1:11" s="341" customFormat="1">
      <c r="A855" s="421"/>
      <c r="B855" s="394" t="s">
        <v>2195</v>
      </c>
      <c r="C855" s="389">
        <v>448</v>
      </c>
      <c r="D855" s="388">
        <f t="shared" si="138"/>
        <v>108.83048023880596</v>
      </c>
      <c r="E855" s="472">
        <v>20</v>
      </c>
      <c r="F855" s="582">
        <f t="shared" si="134"/>
        <v>128.84</v>
      </c>
      <c r="G855" s="394" t="s">
        <v>4586</v>
      </c>
      <c r="H855" s="592" t="s">
        <v>2196</v>
      </c>
      <c r="I855" s="520" t="s">
        <v>11649</v>
      </c>
      <c r="J855" s="421" t="s">
        <v>753</v>
      </c>
      <c r="K855" s="520" t="s">
        <v>741</v>
      </c>
    </row>
    <row r="856" spans="1:11" s="341" customFormat="1">
      <c r="A856" s="421"/>
      <c r="B856" s="394" t="s">
        <v>2197</v>
      </c>
      <c r="C856" s="389">
        <v>448</v>
      </c>
      <c r="D856" s="388">
        <f t="shared" si="138"/>
        <v>108.83048023880596</v>
      </c>
      <c r="E856" s="472">
        <v>20</v>
      </c>
      <c r="F856" s="582">
        <f t="shared" si="134"/>
        <v>128.84</v>
      </c>
      <c r="G856" s="394" t="s">
        <v>4587</v>
      </c>
      <c r="H856" s="592" t="s">
        <v>2198</v>
      </c>
      <c r="I856" s="520" t="s">
        <v>11649</v>
      </c>
      <c r="J856" s="421" t="s">
        <v>753</v>
      </c>
      <c r="K856" s="520" t="s">
        <v>741</v>
      </c>
    </row>
    <row r="857" spans="1:11" s="341" customFormat="1">
      <c r="A857" s="421"/>
      <c r="B857" s="394" t="s">
        <v>1456</v>
      </c>
      <c r="C857" s="389">
        <v>482</v>
      </c>
      <c r="D857" s="388">
        <f t="shared" si="138"/>
        <v>117.08993632835821</v>
      </c>
      <c r="E857" s="472">
        <v>20</v>
      </c>
      <c r="F857" s="582">
        <f t="shared" si="134"/>
        <v>137.09</v>
      </c>
      <c r="G857" s="394" t="s">
        <v>4588</v>
      </c>
      <c r="H857" s="592" t="s">
        <v>1457</v>
      </c>
      <c r="I857" s="520" t="s">
        <v>11649</v>
      </c>
      <c r="J857" s="421" t="s">
        <v>753</v>
      </c>
      <c r="K857" s="520" t="s">
        <v>741</v>
      </c>
    </row>
    <row r="858" spans="1:11" s="341" customFormat="1">
      <c r="A858" s="421"/>
      <c r="B858" s="394" t="s">
        <v>2199</v>
      </c>
      <c r="C858" s="389">
        <v>482</v>
      </c>
      <c r="D858" s="388">
        <f t="shared" si="138"/>
        <v>117.08993632835821</v>
      </c>
      <c r="E858" s="472">
        <v>20</v>
      </c>
      <c r="F858" s="582">
        <f t="shared" si="134"/>
        <v>137.09</v>
      </c>
      <c r="G858" s="394" t="s">
        <v>4589</v>
      </c>
      <c r="H858" s="592" t="s">
        <v>2200</v>
      </c>
      <c r="I858" s="520" t="s">
        <v>11649</v>
      </c>
      <c r="J858" s="421" t="s">
        <v>753</v>
      </c>
      <c r="K858" s="520" t="s">
        <v>741</v>
      </c>
    </row>
    <row r="859" spans="1:11" s="341" customFormat="1">
      <c r="A859" s="421"/>
      <c r="B859" s="394" t="s">
        <v>2201</v>
      </c>
      <c r="C859" s="389">
        <v>606</v>
      </c>
      <c r="D859" s="388">
        <f t="shared" si="138"/>
        <v>147.21265853731342</v>
      </c>
      <c r="E859" s="472">
        <v>20</v>
      </c>
      <c r="F859" s="582">
        <f t="shared" si="134"/>
        <v>167.22</v>
      </c>
      <c r="G859" s="394" t="s">
        <v>4590</v>
      </c>
      <c r="H859" s="592" t="s">
        <v>2202</v>
      </c>
      <c r="I859" s="520" t="s">
        <v>11649</v>
      </c>
      <c r="J859" s="421" t="s">
        <v>753</v>
      </c>
      <c r="K859" s="520" t="s">
        <v>741</v>
      </c>
    </row>
    <row r="860" spans="1:11" s="341" customFormat="1">
      <c r="A860" s="421"/>
      <c r="B860" s="394" t="s">
        <v>2203</v>
      </c>
      <c r="C860" s="389">
        <v>713</v>
      </c>
      <c r="D860" s="388">
        <f t="shared" si="138"/>
        <v>173.20565270149251</v>
      </c>
      <c r="E860" s="472">
        <v>20</v>
      </c>
      <c r="F860" s="582">
        <f t="shared" si="134"/>
        <v>193.20999999999998</v>
      </c>
      <c r="G860" s="394" t="s">
        <v>4591</v>
      </c>
      <c r="H860" s="592" t="s">
        <v>2204</v>
      </c>
      <c r="I860" s="520" t="s">
        <v>11649</v>
      </c>
      <c r="J860" s="421" t="s">
        <v>753</v>
      </c>
      <c r="K860" s="520" t="s">
        <v>741</v>
      </c>
    </row>
    <row r="861" spans="1:11" s="341" customFormat="1">
      <c r="A861" s="421"/>
      <c r="B861" s="338"/>
      <c r="C861" s="209" t="s">
        <v>2058</v>
      </c>
      <c r="D861" s="244"/>
      <c r="E861" s="228"/>
      <c r="F861" s="585">
        <f t="shared" si="134"/>
        <v>0</v>
      </c>
      <c r="G861" s="338"/>
      <c r="H861" s="592"/>
      <c r="I861" s="520"/>
      <c r="J861" s="421"/>
      <c r="K861" s="520"/>
    </row>
    <row r="862" spans="1:11" s="341" customFormat="1">
      <c r="A862" s="421"/>
      <c r="B862" s="338"/>
      <c r="C862" s="209" t="s">
        <v>2058</v>
      </c>
      <c r="D862" s="244"/>
      <c r="E862" s="228"/>
      <c r="F862" s="585">
        <f t="shared" si="134"/>
        <v>0</v>
      </c>
      <c r="G862" s="338"/>
      <c r="H862" s="592"/>
      <c r="I862" s="520"/>
      <c r="J862" s="421"/>
      <c r="K862" s="520"/>
    </row>
    <row r="863" spans="1:11" s="339" customFormat="1">
      <c r="A863" s="421"/>
      <c r="B863" s="394" t="s">
        <v>2205</v>
      </c>
      <c r="C863" s="389">
        <v>612</v>
      </c>
      <c r="D863" s="388">
        <f t="shared" ref="D863:D871" si="139">C863*(1-VLOOKUP(I863,descuentos,6,FALSE))*fcl/IF(dol_sol="dólar", TC,1)</f>
        <v>148.67020961194029</v>
      </c>
      <c r="E863" s="626">
        <f>E853</f>
        <v>20</v>
      </c>
      <c r="F863" s="582">
        <f t="shared" si="134"/>
        <v>168.67999999999998</v>
      </c>
      <c r="G863" s="394" t="s">
        <v>4592</v>
      </c>
      <c r="H863" s="592" t="s">
        <v>2207</v>
      </c>
      <c r="I863" s="520" t="s">
        <v>11649</v>
      </c>
      <c r="J863" s="421" t="s">
        <v>753</v>
      </c>
      <c r="K863" s="520" t="s">
        <v>741</v>
      </c>
    </row>
    <row r="864" spans="1:11" s="339" customFormat="1">
      <c r="A864" s="421"/>
      <c r="B864" s="394" t="s">
        <v>1462</v>
      </c>
      <c r="C864" s="389">
        <v>612</v>
      </c>
      <c r="D864" s="388">
        <f t="shared" si="139"/>
        <v>148.67020961194029</v>
      </c>
      <c r="E864" s="626">
        <f t="shared" ref="E864:E871" si="140">E853</f>
        <v>20</v>
      </c>
      <c r="F864" s="582">
        <f t="shared" si="134"/>
        <v>168.67999999999998</v>
      </c>
      <c r="G864" s="394" t="s">
        <v>4593</v>
      </c>
      <c r="H864" s="592" t="s">
        <v>1463</v>
      </c>
      <c r="I864" s="520" t="s">
        <v>11649</v>
      </c>
      <c r="J864" s="421" t="s">
        <v>753</v>
      </c>
      <c r="K864" s="520" t="s">
        <v>741</v>
      </c>
    </row>
    <row r="865" spans="1:11" s="341" customFormat="1">
      <c r="A865" s="421"/>
      <c r="B865" s="394" t="s">
        <v>2208</v>
      </c>
      <c r="C865" s="389">
        <v>612</v>
      </c>
      <c r="D865" s="388">
        <f t="shared" si="139"/>
        <v>148.67020961194029</v>
      </c>
      <c r="E865" s="626">
        <f t="shared" si="140"/>
        <v>20</v>
      </c>
      <c r="F865" s="582">
        <f t="shared" si="134"/>
        <v>168.67999999999998</v>
      </c>
      <c r="G865" s="394" t="s">
        <v>4594</v>
      </c>
      <c r="H865" s="592" t="s">
        <v>2210</v>
      </c>
      <c r="I865" s="520" t="s">
        <v>11649</v>
      </c>
      <c r="J865" s="421" t="s">
        <v>753</v>
      </c>
      <c r="K865" s="520" t="s">
        <v>741</v>
      </c>
    </row>
    <row r="866" spans="1:11" s="341" customFormat="1">
      <c r="A866" s="421"/>
      <c r="B866" s="394" t="s">
        <v>2211</v>
      </c>
      <c r="C866" s="389">
        <v>612</v>
      </c>
      <c r="D866" s="388">
        <f t="shared" si="139"/>
        <v>148.67020961194029</v>
      </c>
      <c r="E866" s="626">
        <f t="shared" si="140"/>
        <v>20</v>
      </c>
      <c r="F866" s="582">
        <f t="shared" si="134"/>
        <v>168.67999999999998</v>
      </c>
      <c r="G866" s="394" t="s">
        <v>4595</v>
      </c>
      <c r="H866" s="592" t="s">
        <v>2213</v>
      </c>
      <c r="I866" s="520" t="s">
        <v>11649</v>
      </c>
      <c r="J866" s="421" t="s">
        <v>753</v>
      </c>
      <c r="K866" s="520" t="s">
        <v>741</v>
      </c>
    </row>
    <row r="867" spans="1:11" s="341" customFormat="1">
      <c r="A867" s="421"/>
      <c r="B867" s="394" t="s">
        <v>2214</v>
      </c>
      <c r="C867" s="389">
        <v>612</v>
      </c>
      <c r="D867" s="388">
        <f t="shared" si="139"/>
        <v>148.67020961194029</v>
      </c>
      <c r="E867" s="626">
        <f t="shared" si="140"/>
        <v>20</v>
      </c>
      <c r="F867" s="582">
        <f t="shared" si="134"/>
        <v>168.67999999999998</v>
      </c>
      <c r="G867" s="394" t="s">
        <v>4596</v>
      </c>
      <c r="H867" s="592" t="s">
        <v>2216</v>
      </c>
      <c r="I867" s="520" t="s">
        <v>11649</v>
      </c>
      <c r="J867" s="421" t="s">
        <v>753</v>
      </c>
      <c r="K867" s="520" t="s">
        <v>741</v>
      </c>
    </row>
    <row r="868" spans="1:11" s="341" customFormat="1">
      <c r="A868" s="421"/>
      <c r="B868" s="394" t="s">
        <v>1458</v>
      </c>
      <c r="C868" s="389">
        <v>641</v>
      </c>
      <c r="D868" s="388">
        <f t="shared" si="139"/>
        <v>155.71503980597015</v>
      </c>
      <c r="E868" s="626">
        <f t="shared" si="140"/>
        <v>20</v>
      </c>
      <c r="F868" s="582">
        <f t="shared" si="134"/>
        <v>175.72</v>
      </c>
      <c r="G868" s="394" t="s">
        <v>4597</v>
      </c>
      <c r="H868" s="592" t="s">
        <v>1459</v>
      </c>
      <c r="I868" s="520" t="s">
        <v>11649</v>
      </c>
      <c r="J868" s="421" t="s">
        <v>753</v>
      </c>
      <c r="K868" s="520" t="s">
        <v>741</v>
      </c>
    </row>
    <row r="869" spans="1:11" s="341" customFormat="1">
      <c r="A869" s="421"/>
      <c r="B869" s="394" t="s">
        <v>2217</v>
      </c>
      <c r="C869" s="389">
        <v>641</v>
      </c>
      <c r="D869" s="388">
        <f t="shared" si="139"/>
        <v>155.71503980597015</v>
      </c>
      <c r="E869" s="626">
        <f t="shared" si="140"/>
        <v>20</v>
      </c>
      <c r="F869" s="582">
        <f t="shared" si="134"/>
        <v>175.72</v>
      </c>
      <c r="G869" s="394" t="s">
        <v>4598</v>
      </c>
      <c r="H869" s="592" t="s">
        <v>2219</v>
      </c>
      <c r="I869" s="520" t="s">
        <v>11649</v>
      </c>
      <c r="J869" s="421" t="s">
        <v>753</v>
      </c>
      <c r="K869" s="520" t="s">
        <v>741</v>
      </c>
    </row>
    <row r="870" spans="1:11" s="341" customFormat="1">
      <c r="A870" s="421"/>
      <c r="B870" s="394" t="s">
        <v>2220</v>
      </c>
      <c r="C870" s="389">
        <v>705</v>
      </c>
      <c r="D870" s="388">
        <f t="shared" si="139"/>
        <v>171.26225126865671</v>
      </c>
      <c r="E870" s="626">
        <f t="shared" si="140"/>
        <v>20</v>
      </c>
      <c r="F870" s="582">
        <f t="shared" si="134"/>
        <v>191.26999999999998</v>
      </c>
      <c r="G870" s="394" t="s">
        <v>4599</v>
      </c>
      <c r="H870" s="592" t="s">
        <v>2221</v>
      </c>
      <c r="I870" s="520" t="s">
        <v>11649</v>
      </c>
      <c r="J870" s="421" t="s">
        <v>753</v>
      </c>
      <c r="K870" s="520" t="s">
        <v>741</v>
      </c>
    </row>
    <row r="871" spans="1:11" s="341" customFormat="1">
      <c r="A871" s="421"/>
      <c r="B871" s="394" t="s">
        <v>2222</v>
      </c>
      <c r="C871" s="389">
        <v>770</v>
      </c>
      <c r="D871" s="388">
        <f t="shared" si="139"/>
        <v>187.05238791044775</v>
      </c>
      <c r="E871" s="626">
        <f t="shared" si="140"/>
        <v>20</v>
      </c>
      <c r="F871" s="582">
        <f t="shared" si="134"/>
        <v>207.06</v>
      </c>
      <c r="G871" s="394" t="s">
        <v>4600</v>
      </c>
      <c r="H871" s="592" t="s">
        <v>2223</v>
      </c>
      <c r="I871" s="520" t="s">
        <v>11649</v>
      </c>
      <c r="J871" s="421" t="s">
        <v>753</v>
      </c>
      <c r="K871" s="520" t="s">
        <v>741</v>
      </c>
    </row>
    <row r="872" spans="1:11" s="341" customFormat="1">
      <c r="A872" s="421"/>
      <c r="B872" s="338"/>
      <c r="C872" s="209" t="s">
        <v>2058</v>
      </c>
      <c r="D872" s="244"/>
      <c r="E872" s="228"/>
      <c r="F872" s="585">
        <f t="shared" si="134"/>
        <v>0</v>
      </c>
      <c r="G872" s="338"/>
      <c r="H872" s="592"/>
      <c r="I872" s="520"/>
      <c r="J872" s="421"/>
      <c r="K872" s="520"/>
    </row>
    <row r="873" spans="1:11" s="341" customFormat="1">
      <c r="A873" s="421"/>
      <c r="B873" s="394" t="s">
        <v>2994</v>
      </c>
      <c r="C873" s="389">
        <v>796</v>
      </c>
      <c r="D873" s="388">
        <f t="shared" ref="D873:D880" si="141">C873*(1-VLOOKUP(I873,descuentos,6,FALSE))*fcl/IF(dol_sol="dólar", TC,1)</f>
        <v>193.36844256716412</v>
      </c>
      <c r="E873" s="626">
        <f t="shared" ref="E873:E880" si="142">E863</f>
        <v>20</v>
      </c>
      <c r="F873" s="582">
        <f t="shared" si="134"/>
        <v>213.37</v>
      </c>
      <c r="G873" s="394" t="s">
        <v>4601</v>
      </c>
      <c r="H873" s="592" t="s">
        <v>3003</v>
      </c>
      <c r="I873" s="520" t="s">
        <v>11649</v>
      </c>
      <c r="J873" s="421" t="s">
        <v>753</v>
      </c>
      <c r="K873" s="520" t="s">
        <v>741</v>
      </c>
    </row>
    <row r="874" spans="1:11" s="341" customFormat="1">
      <c r="A874" s="421"/>
      <c r="B874" s="394" t="s">
        <v>2995</v>
      </c>
      <c r="C874" s="389">
        <v>796</v>
      </c>
      <c r="D874" s="388">
        <f t="shared" si="141"/>
        <v>193.36844256716412</v>
      </c>
      <c r="E874" s="626">
        <f t="shared" si="142"/>
        <v>20</v>
      </c>
      <c r="F874" s="582">
        <f t="shared" si="134"/>
        <v>213.37</v>
      </c>
      <c r="G874" s="394" t="s">
        <v>4602</v>
      </c>
      <c r="H874" s="592" t="s">
        <v>3004</v>
      </c>
      <c r="I874" s="520" t="s">
        <v>11649</v>
      </c>
      <c r="J874" s="421" t="s">
        <v>753</v>
      </c>
      <c r="K874" s="520" t="s">
        <v>741</v>
      </c>
    </row>
    <row r="875" spans="1:11" s="341" customFormat="1">
      <c r="A875" s="421"/>
      <c r="B875" s="394" t="s">
        <v>2996</v>
      </c>
      <c r="C875" s="389">
        <v>796</v>
      </c>
      <c r="D875" s="388">
        <f t="shared" si="141"/>
        <v>193.36844256716412</v>
      </c>
      <c r="E875" s="626">
        <f t="shared" si="142"/>
        <v>20</v>
      </c>
      <c r="F875" s="582">
        <f t="shared" si="134"/>
        <v>213.37</v>
      </c>
      <c r="G875" s="394" t="s">
        <v>4603</v>
      </c>
      <c r="H875" s="592" t="s">
        <v>3005</v>
      </c>
      <c r="I875" s="520" t="s">
        <v>11649</v>
      </c>
      <c r="J875" s="421" t="s">
        <v>753</v>
      </c>
      <c r="K875" s="520" t="s">
        <v>741</v>
      </c>
    </row>
    <row r="876" spans="1:11" s="341" customFormat="1">
      <c r="A876" s="421"/>
      <c r="B876" s="394" t="s">
        <v>2997</v>
      </c>
      <c r="C876" s="389">
        <v>796</v>
      </c>
      <c r="D876" s="388">
        <f t="shared" si="141"/>
        <v>193.36844256716412</v>
      </c>
      <c r="E876" s="626">
        <f t="shared" si="142"/>
        <v>20</v>
      </c>
      <c r="F876" s="582">
        <f t="shared" si="134"/>
        <v>213.37</v>
      </c>
      <c r="G876" s="394" t="s">
        <v>12571</v>
      </c>
      <c r="H876" s="592" t="s">
        <v>3006</v>
      </c>
      <c r="I876" s="520" t="s">
        <v>11649</v>
      </c>
      <c r="J876" s="421" t="s">
        <v>753</v>
      </c>
      <c r="K876" s="520" t="s">
        <v>741</v>
      </c>
    </row>
    <row r="877" spans="1:11" s="341" customFormat="1">
      <c r="A877" s="421"/>
      <c r="B877" s="394" t="s">
        <v>2998</v>
      </c>
      <c r="C877" s="389">
        <v>808</v>
      </c>
      <c r="D877" s="388">
        <f t="shared" si="141"/>
        <v>196.28354471641791</v>
      </c>
      <c r="E877" s="626">
        <f t="shared" si="142"/>
        <v>20</v>
      </c>
      <c r="F877" s="582">
        <f t="shared" si="134"/>
        <v>216.29</v>
      </c>
      <c r="G877" s="394" t="s">
        <v>4604</v>
      </c>
      <c r="H877" s="592" t="s">
        <v>3007</v>
      </c>
      <c r="I877" s="520" t="s">
        <v>11649</v>
      </c>
      <c r="J877" s="421" t="s">
        <v>753</v>
      </c>
      <c r="K877" s="520" t="s">
        <v>741</v>
      </c>
    </row>
    <row r="878" spans="1:11" s="341" customFormat="1">
      <c r="A878" s="421"/>
      <c r="B878" s="394" t="s">
        <v>2999</v>
      </c>
      <c r="C878" s="389">
        <v>808</v>
      </c>
      <c r="D878" s="388">
        <f t="shared" si="141"/>
        <v>196.28354471641791</v>
      </c>
      <c r="E878" s="626">
        <f t="shared" si="142"/>
        <v>20</v>
      </c>
      <c r="F878" s="582">
        <f t="shared" si="134"/>
        <v>216.29</v>
      </c>
      <c r="G878" s="394" t="s">
        <v>4605</v>
      </c>
      <c r="H878" s="592" t="s">
        <v>3008</v>
      </c>
      <c r="I878" s="520" t="s">
        <v>11649</v>
      </c>
      <c r="J878" s="421" t="s">
        <v>753</v>
      </c>
      <c r="K878" s="520" t="s">
        <v>741</v>
      </c>
    </row>
    <row r="879" spans="1:11" s="341" customFormat="1">
      <c r="A879" s="421"/>
      <c r="B879" s="394" t="s">
        <v>3000</v>
      </c>
      <c r="C879" s="389">
        <v>841</v>
      </c>
      <c r="D879" s="388">
        <f t="shared" si="141"/>
        <v>204.30007562686566</v>
      </c>
      <c r="E879" s="626">
        <f t="shared" si="142"/>
        <v>20</v>
      </c>
      <c r="F879" s="582">
        <f t="shared" si="134"/>
        <v>224.31</v>
      </c>
      <c r="G879" s="394" t="s">
        <v>4606</v>
      </c>
      <c r="H879" s="592" t="s">
        <v>3009</v>
      </c>
      <c r="I879" s="520" t="s">
        <v>11649</v>
      </c>
      <c r="J879" s="421" t="s">
        <v>753</v>
      </c>
      <c r="K879" s="520" t="s">
        <v>741</v>
      </c>
    </row>
    <row r="880" spans="1:11" s="341" customFormat="1">
      <c r="A880" s="421"/>
      <c r="B880" s="394" t="s">
        <v>3001</v>
      </c>
      <c r="C880" s="389">
        <v>952</v>
      </c>
      <c r="D880" s="388">
        <f t="shared" si="141"/>
        <v>231.26477050746266</v>
      </c>
      <c r="E880" s="626">
        <f t="shared" si="142"/>
        <v>20</v>
      </c>
      <c r="F880" s="582">
        <f t="shared" ref="F880:F943" si="143">ROUNDUP(D880+E880,2)</f>
        <v>251.26999999999998</v>
      </c>
      <c r="G880" s="394" t="s">
        <v>4607</v>
      </c>
      <c r="H880" s="592" t="s">
        <v>3010</v>
      </c>
      <c r="I880" s="520" t="s">
        <v>11649</v>
      </c>
      <c r="J880" s="421" t="s">
        <v>753</v>
      </c>
      <c r="K880" s="520" t="s">
        <v>741</v>
      </c>
    </row>
    <row r="881" spans="1:11" s="341" customFormat="1">
      <c r="A881" s="421"/>
      <c r="B881" s="338"/>
      <c r="C881" s="209" t="s">
        <v>2058</v>
      </c>
      <c r="D881" s="244"/>
      <c r="E881" s="228"/>
      <c r="F881" s="585">
        <f t="shared" si="143"/>
        <v>0</v>
      </c>
      <c r="G881" s="338"/>
      <c r="H881" s="592"/>
      <c r="I881" s="520"/>
      <c r="J881" s="421"/>
      <c r="K881" s="520"/>
    </row>
    <row r="882" spans="1:11" s="341" customFormat="1">
      <c r="A882" s="421"/>
      <c r="B882" s="338"/>
      <c r="C882" s="209" t="s">
        <v>2058</v>
      </c>
      <c r="D882" s="244"/>
      <c r="E882" s="228"/>
      <c r="F882" s="585">
        <f t="shared" si="143"/>
        <v>0</v>
      </c>
      <c r="G882" s="338"/>
      <c r="H882" s="592"/>
      <c r="I882" s="520"/>
      <c r="J882" s="421"/>
      <c r="K882" s="520"/>
    </row>
    <row r="883" spans="1:11" s="341" customFormat="1">
      <c r="A883" s="421"/>
      <c r="B883" s="338"/>
      <c r="C883" s="209" t="s">
        <v>2058</v>
      </c>
      <c r="D883" s="244"/>
      <c r="E883" s="228"/>
      <c r="F883" s="585"/>
      <c r="G883" s="338"/>
      <c r="H883" s="592"/>
      <c r="I883" s="520"/>
      <c r="J883" s="421"/>
      <c r="K883" s="520"/>
    </row>
    <row r="884" spans="1:11" s="341" customFormat="1">
      <c r="A884" s="421" t="s">
        <v>11243</v>
      </c>
      <c r="B884" s="338" t="s">
        <v>6676</v>
      </c>
      <c r="C884" s="209">
        <v>625</v>
      </c>
      <c r="D884" s="244">
        <f>C884*(1-VLOOKUP(I884,descuentos,6,FALSE))*fcl/IF(dol_sol="dólar", TC,1)</f>
        <v>151.8282369402985</v>
      </c>
      <c r="E884" s="472">
        <v>15</v>
      </c>
      <c r="F884" s="585">
        <f>ROUNDUP(D884+E884,2)</f>
        <v>166.82999999999998</v>
      </c>
      <c r="G884" s="338" t="s">
        <v>11199</v>
      </c>
      <c r="H884" s="592" t="s">
        <v>6677</v>
      </c>
      <c r="I884" s="520" t="s">
        <v>11649</v>
      </c>
      <c r="J884" s="421" t="s">
        <v>753</v>
      </c>
      <c r="K884" s="520" t="s">
        <v>741</v>
      </c>
    </row>
    <row r="885" spans="1:11" s="341" customFormat="1">
      <c r="A885" s="421" t="s">
        <v>11243</v>
      </c>
      <c r="B885" s="338" t="s">
        <v>11200</v>
      </c>
      <c r="C885" s="209">
        <v>625</v>
      </c>
      <c r="D885" s="244">
        <f>C885*(1-VLOOKUP(I885,descuentos,6,FALSE))*fcl/IF(dol_sol="dólar", TC,1)</f>
        <v>151.8282369402985</v>
      </c>
      <c r="E885" s="472">
        <v>15</v>
      </c>
      <c r="F885" s="585">
        <f>ROUNDUP(D885+E885,2)</f>
        <v>166.82999999999998</v>
      </c>
      <c r="G885" s="338" t="s">
        <v>11201</v>
      </c>
      <c r="H885" s="592" t="s">
        <v>11202</v>
      </c>
      <c r="I885" s="520" t="s">
        <v>11649</v>
      </c>
      <c r="J885" s="421" t="s">
        <v>753</v>
      </c>
      <c r="K885" s="520" t="s">
        <v>741</v>
      </c>
    </row>
    <row r="886" spans="1:11" s="341" customFormat="1">
      <c r="A886" s="421" t="s">
        <v>11243</v>
      </c>
      <c r="B886" s="338" t="s">
        <v>11203</v>
      </c>
      <c r="C886" s="209">
        <v>647</v>
      </c>
      <c r="D886" s="244">
        <f>C886*(1-VLOOKUP(I886,descuentos,6,FALSE))*fcl/IF(dol_sol="dólar", TC,1)</f>
        <v>157.17259088059703</v>
      </c>
      <c r="E886" s="472">
        <v>15</v>
      </c>
      <c r="F886" s="585">
        <f>ROUNDUP(D886+E886,2)</f>
        <v>172.17999999999998</v>
      </c>
      <c r="G886" s="338" t="s">
        <v>11204</v>
      </c>
      <c r="H886" s="592" t="s">
        <v>11205</v>
      </c>
      <c r="I886" s="520" t="s">
        <v>11649</v>
      </c>
      <c r="J886" s="421" t="s">
        <v>753</v>
      </c>
      <c r="K886" s="520" t="s">
        <v>741</v>
      </c>
    </row>
    <row r="887" spans="1:11" s="341" customFormat="1">
      <c r="A887" s="421" t="s">
        <v>11243</v>
      </c>
      <c r="B887" s="338" t="s">
        <v>11206</v>
      </c>
      <c r="C887" s="209">
        <v>647</v>
      </c>
      <c r="D887" s="244">
        <f>C887*(1-VLOOKUP(I887,descuentos,6,FALSE))*fcl/IF(dol_sol="dólar", TC,1)</f>
        <v>157.17259088059703</v>
      </c>
      <c r="E887" s="472">
        <v>15</v>
      </c>
      <c r="F887" s="585">
        <f>ROUNDUP(D887+E887,2)</f>
        <v>172.17999999999998</v>
      </c>
      <c r="G887" s="338" t="s">
        <v>11207</v>
      </c>
      <c r="H887" s="592" t="s">
        <v>11208</v>
      </c>
      <c r="I887" s="520" t="s">
        <v>11649</v>
      </c>
      <c r="J887" s="421" t="s">
        <v>753</v>
      </c>
      <c r="K887" s="520" t="s">
        <v>741</v>
      </c>
    </row>
    <row r="888" spans="1:11" s="341" customFormat="1">
      <c r="A888" s="421"/>
      <c r="B888" s="592"/>
      <c r="C888" s="209" t="s">
        <v>2058</v>
      </c>
      <c r="D888" s="244"/>
      <c r="E888" s="228"/>
      <c r="F888" s="585"/>
      <c r="G888" s="338"/>
      <c r="H888" s="592"/>
      <c r="I888" s="520"/>
      <c r="J888" s="421"/>
      <c r="K888" s="520"/>
    </row>
    <row r="889" spans="1:11" s="341" customFormat="1">
      <c r="A889" s="421"/>
      <c r="B889" s="338"/>
      <c r="C889" s="209" t="s">
        <v>2058</v>
      </c>
      <c r="D889" s="244"/>
      <c r="E889" s="228"/>
      <c r="F889" s="585"/>
      <c r="G889" s="338"/>
      <c r="H889" s="592"/>
      <c r="I889" s="520"/>
      <c r="J889" s="421"/>
      <c r="K889" s="520"/>
    </row>
    <row r="890" spans="1:11" s="341" customFormat="1">
      <c r="A890" s="421"/>
      <c r="B890" s="338" t="s">
        <v>848</v>
      </c>
      <c r="C890" s="209">
        <v>608</v>
      </c>
      <c r="D890" s="244">
        <f t="shared" ref="D890:D900" si="144">C890*(1-VLOOKUP(I890,descuentos,6,FALSE))*fcl/IF(dol_sol="dólar", TC,1)</f>
        <v>147.69850889552237</v>
      </c>
      <c r="E890" s="472">
        <v>15</v>
      </c>
      <c r="F890" s="585">
        <f t="shared" si="143"/>
        <v>162.69999999999999</v>
      </c>
      <c r="G890" s="338" t="s">
        <v>4608</v>
      </c>
      <c r="H890" s="592" t="s">
        <v>857</v>
      </c>
      <c r="I890" s="520" t="s">
        <v>11649</v>
      </c>
      <c r="J890" s="421" t="s">
        <v>753</v>
      </c>
      <c r="K890" s="520" t="s">
        <v>741</v>
      </c>
    </row>
    <row r="891" spans="1:11" s="341" customFormat="1">
      <c r="A891" s="421"/>
      <c r="B891" s="338" t="s">
        <v>1339</v>
      </c>
      <c r="C891" s="209">
        <v>608</v>
      </c>
      <c r="D891" s="244">
        <f t="shared" si="144"/>
        <v>147.69850889552237</v>
      </c>
      <c r="E891" s="472">
        <v>15</v>
      </c>
      <c r="F891" s="585">
        <f t="shared" si="143"/>
        <v>162.69999999999999</v>
      </c>
      <c r="G891" s="338" t="s">
        <v>4609</v>
      </c>
      <c r="H891" s="592" t="s">
        <v>1340</v>
      </c>
      <c r="I891" s="520" t="s">
        <v>11649</v>
      </c>
      <c r="J891" s="421" t="s">
        <v>753</v>
      </c>
      <c r="K891" s="520" t="s">
        <v>741</v>
      </c>
    </row>
    <row r="892" spans="1:11" s="341" customFormat="1">
      <c r="A892" s="421"/>
      <c r="B892" s="338" t="s">
        <v>855</v>
      </c>
      <c r="C892" s="209">
        <v>608</v>
      </c>
      <c r="D892" s="244">
        <f t="shared" si="144"/>
        <v>147.69850889552237</v>
      </c>
      <c r="E892" s="472">
        <v>15</v>
      </c>
      <c r="F892" s="585">
        <f t="shared" si="143"/>
        <v>162.69999999999999</v>
      </c>
      <c r="G892" s="338" t="s">
        <v>4610</v>
      </c>
      <c r="H892" s="592" t="s">
        <v>863</v>
      </c>
      <c r="I892" s="520" t="s">
        <v>11649</v>
      </c>
      <c r="J892" s="421" t="s">
        <v>753</v>
      </c>
      <c r="K892" s="520" t="s">
        <v>741</v>
      </c>
    </row>
    <row r="893" spans="1:11" s="341" customFormat="1">
      <c r="A893" s="421"/>
      <c r="B893" s="338" t="s">
        <v>854</v>
      </c>
      <c r="C893" s="209">
        <v>625</v>
      </c>
      <c r="D893" s="244">
        <f t="shared" si="144"/>
        <v>151.8282369402985</v>
      </c>
      <c r="E893" s="472">
        <v>15</v>
      </c>
      <c r="F893" s="585">
        <f t="shared" si="143"/>
        <v>166.82999999999998</v>
      </c>
      <c r="G893" s="338" t="s">
        <v>4611</v>
      </c>
      <c r="H893" s="592" t="s">
        <v>866</v>
      </c>
      <c r="I893" s="520" t="s">
        <v>11649</v>
      </c>
      <c r="J893" s="421" t="s">
        <v>753</v>
      </c>
      <c r="K893" s="520" t="s">
        <v>741</v>
      </c>
    </row>
    <row r="894" spans="1:11" s="341" customFormat="1">
      <c r="A894" s="421"/>
      <c r="B894" s="338" t="s">
        <v>867</v>
      </c>
      <c r="C894" s="209">
        <v>625</v>
      </c>
      <c r="D894" s="244">
        <f t="shared" si="144"/>
        <v>151.8282369402985</v>
      </c>
      <c r="E894" s="472">
        <v>15</v>
      </c>
      <c r="F894" s="585">
        <f t="shared" si="143"/>
        <v>166.82999999999998</v>
      </c>
      <c r="G894" s="338" t="s">
        <v>4612</v>
      </c>
      <c r="H894" s="592" t="s">
        <v>864</v>
      </c>
      <c r="I894" s="520" t="s">
        <v>11649</v>
      </c>
      <c r="J894" s="421" t="s">
        <v>753</v>
      </c>
      <c r="K894" s="520" t="s">
        <v>741</v>
      </c>
    </row>
    <row r="895" spans="1:11" s="341" customFormat="1">
      <c r="A895" s="421"/>
      <c r="B895" s="338" t="s">
        <v>851</v>
      </c>
      <c r="C895" s="209">
        <v>625</v>
      </c>
      <c r="D895" s="244">
        <f t="shared" si="144"/>
        <v>151.8282369402985</v>
      </c>
      <c r="E895" s="472">
        <v>15</v>
      </c>
      <c r="F895" s="585">
        <f t="shared" si="143"/>
        <v>166.82999999999998</v>
      </c>
      <c r="G895" s="338" t="s">
        <v>4613</v>
      </c>
      <c r="H895" s="592" t="s">
        <v>860</v>
      </c>
      <c r="I895" s="520" t="s">
        <v>11649</v>
      </c>
      <c r="J895" s="421" t="s">
        <v>753</v>
      </c>
      <c r="K895" s="520" t="s">
        <v>741</v>
      </c>
    </row>
    <row r="896" spans="1:11" s="341" customFormat="1">
      <c r="A896" s="421"/>
      <c r="B896" s="338" t="s">
        <v>853</v>
      </c>
      <c r="C896" s="209">
        <v>625</v>
      </c>
      <c r="D896" s="244">
        <f t="shared" si="144"/>
        <v>151.8282369402985</v>
      </c>
      <c r="E896" s="472">
        <v>15</v>
      </c>
      <c r="F896" s="585">
        <f t="shared" si="143"/>
        <v>166.82999999999998</v>
      </c>
      <c r="G896" s="338" t="s">
        <v>4614</v>
      </c>
      <c r="H896" s="592" t="s">
        <v>862</v>
      </c>
      <c r="I896" s="520" t="s">
        <v>11649</v>
      </c>
      <c r="J896" s="421" t="s">
        <v>753</v>
      </c>
      <c r="K896" s="520" t="s">
        <v>741</v>
      </c>
    </row>
    <row r="897" spans="1:11" s="341" customFormat="1">
      <c r="A897" s="421"/>
      <c r="B897" s="338" t="s">
        <v>2232</v>
      </c>
      <c r="C897" s="209">
        <v>647</v>
      </c>
      <c r="D897" s="244">
        <f t="shared" si="144"/>
        <v>157.17259088059703</v>
      </c>
      <c r="E897" s="472">
        <v>15</v>
      </c>
      <c r="F897" s="585">
        <f t="shared" si="143"/>
        <v>172.17999999999998</v>
      </c>
      <c r="G897" s="338" t="s">
        <v>4615</v>
      </c>
      <c r="H897" s="592" t="s">
        <v>2798</v>
      </c>
      <c r="I897" s="520" t="s">
        <v>11649</v>
      </c>
      <c r="J897" s="421" t="s">
        <v>753</v>
      </c>
      <c r="K897" s="520" t="s">
        <v>741</v>
      </c>
    </row>
    <row r="898" spans="1:11" s="341" customFormat="1">
      <c r="A898" s="421"/>
      <c r="B898" s="338" t="s">
        <v>852</v>
      </c>
      <c r="C898" s="209">
        <v>647</v>
      </c>
      <c r="D898" s="244">
        <f t="shared" si="144"/>
        <v>157.17259088059703</v>
      </c>
      <c r="E898" s="472">
        <v>15</v>
      </c>
      <c r="F898" s="585">
        <f t="shared" si="143"/>
        <v>172.17999999999998</v>
      </c>
      <c r="G898" s="338" t="s">
        <v>4616</v>
      </c>
      <c r="H898" s="592" t="s">
        <v>861</v>
      </c>
      <c r="I898" s="520" t="s">
        <v>11649</v>
      </c>
      <c r="J898" s="421" t="s">
        <v>753</v>
      </c>
      <c r="K898" s="520" t="s">
        <v>741</v>
      </c>
    </row>
    <row r="899" spans="1:11" s="341" customFormat="1">
      <c r="A899" s="421"/>
      <c r="B899" s="338" t="s">
        <v>1333</v>
      </c>
      <c r="C899" s="209">
        <v>668</v>
      </c>
      <c r="D899" s="244">
        <f t="shared" si="144"/>
        <v>162.27401964179103</v>
      </c>
      <c r="E899" s="472">
        <v>15</v>
      </c>
      <c r="F899" s="585">
        <f t="shared" si="143"/>
        <v>177.28</v>
      </c>
      <c r="G899" s="338" t="s">
        <v>4617</v>
      </c>
      <c r="H899" s="592" t="s">
        <v>1334</v>
      </c>
      <c r="I899" s="520" t="s">
        <v>11649</v>
      </c>
      <c r="J899" s="421" t="s">
        <v>753</v>
      </c>
      <c r="K899" s="520" t="s">
        <v>741</v>
      </c>
    </row>
    <row r="900" spans="1:11" s="341" customFormat="1">
      <c r="A900" s="421"/>
      <c r="B900" s="338" t="s">
        <v>856</v>
      </c>
      <c r="C900" s="209">
        <v>697</v>
      </c>
      <c r="D900" s="244">
        <f t="shared" si="144"/>
        <v>169.31884983582088</v>
      </c>
      <c r="E900" s="472">
        <v>15</v>
      </c>
      <c r="F900" s="585">
        <f t="shared" si="143"/>
        <v>184.32</v>
      </c>
      <c r="G900" s="338" t="s">
        <v>4618</v>
      </c>
      <c r="H900" s="592" t="s">
        <v>865</v>
      </c>
      <c r="I900" s="520" t="s">
        <v>11649</v>
      </c>
      <c r="J900" s="421" t="s">
        <v>753</v>
      </c>
      <c r="K900" s="520" t="s">
        <v>741</v>
      </c>
    </row>
    <row r="901" spans="1:11" s="341" customFormat="1">
      <c r="A901" s="421"/>
      <c r="B901" s="338"/>
      <c r="C901" s="209" t="s">
        <v>2058</v>
      </c>
      <c r="D901" s="244"/>
      <c r="E901" s="228"/>
      <c r="F901" s="585">
        <f t="shared" si="143"/>
        <v>0</v>
      </c>
      <c r="G901" s="338"/>
      <c r="H901" s="592"/>
      <c r="I901" s="520"/>
      <c r="J901" s="421"/>
      <c r="K901" s="520"/>
    </row>
    <row r="902" spans="1:11" s="341" customFormat="1">
      <c r="A902" s="421"/>
      <c r="B902" s="394" t="s">
        <v>2988</v>
      </c>
      <c r="C902" s="389">
        <v>812</v>
      </c>
      <c r="D902" s="388">
        <f t="shared" ref="D902:D912" si="145">C902*(1-VLOOKUP(I902,descuentos,6,FALSE))*fcl/IF(dol_sol="dólar", TC,1)</f>
        <v>197.25524543283584</v>
      </c>
      <c r="E902" s="472">
        <v>20</v>
      </c>
      <c r="F902" s="582">
        <f t="shared" si="143"/>
        <v>217.26</v>
      </c>
      <c r="G902" s="394" t="s">
        <v>4619</v>
      </c>
      <c r="H902" s="592" t="s">
        <v>2991</v>
      </c>
      <c r="I902" s="520" t="s">
        <v>11649</v>
      </c>
      <c r="J902" s="421" t="s">
        <v>753</v>
      </c>
      <c r="K902" s="520" t="s">
        <v>741</v>
      </c>
    </row>
    <row r="903" spans="1:11" s="341" customFormat="1">
      <c r="A903" s="421"/>
      <c r="B903" s="394" t="s">
        <v>2989</v>
      </c>
      <c r="C903" s="389">
        <v>812</v>
      </c>
      <c r="D903" s="388">
        <f t="shared" si="145"/>
        <v>197.25524543283584</v>
      </c>
      <c r="E903" s="472">
        <v>20</v>
      </c>
      <c r="F903" s="582">
        <f t="shared" si="143"/>
        <v>217.26</v>
      </c>
      <c r="G903" s="394" t="s">
        <v>4620</v>
      </c>
      <c r="H903" s="592" t="s">
        <v>2992</v>
      </c>
      <c r="I903" s="520" t="s">
        <v>11649</v>
      </c>
      <c r="J903" s="421" t="s">
        <v>753</v>
      </c>
      <c r="K903" s="520" t="s">
        <v>741</v>
      </c>
    </row>
    <row r="904" spans="1:11" s="341" customFormat="1">
      <c r="A904" s="421"/>
      <c r="B904" s="394" t="s">
        <v>2990</v>
      </c>
      <c r="C904" s="389">
        <v>812</v>
      </c>
      <c r="D904" s="388">
        <f t="shared" si="145"/>
        <v>197.25524543283584</v>
      </c>
      <c r="E904" s="472">
        <v>20</v>
      </c>
      <c r="F904" s="582">
        <f t="shared" si="143"/>
        <v>217.26</v>
      </c>
      <c r="G904" s="394" t="s">
        <v>4621</v>
      </c>
      <c r="H904" s="592" t="s">
        <v>2993</v>
      </c>
      <c r="I904" s="520" t="s">
        <v>11649</v>
      </c>
      <c r="J904" s="421" t="s">
        <v>753</v>
      </c>
      <c r="K904" s="520" t="s">
        <v>741</v>
      </c>
    </row>
    <row r="905" spans="1:11" s="341" customFormat="1">
      <c r="A905" s="421"/>
      <c r="B905" s="394" t="s">
        <v>2224</v>
      </c>
      <c r="C905" s="389">
        <v>812</v>
      </c>
      <c r="D905" s="388">
        <f t="shared" si="145"/>
        <v>197.25524543283584</v>
      </c>
      <c r="E905" s="472">
        <v>20</v>
      </c>
      <c r="F905" s="582">
        <f t="shared" si="143"/>
        <v>217.26</v>
      </c>
      <c r="G905" s="394" t="s">
        <v>4622</v>
      </c>
      <c r="H905" s="592" t="s">
        <v>2225</v>
      </c>
      <c r="I905" s="520" t="s">
        <v>11649</v>
      </c>
      <c r="J905" s="421" t="s">
        <v>753</v>
      </c>
      <c r="K905" s="520" t="s">
        <v>741</v>
      </c>
    </row>
    <row r="906" spans="1:11" s="341" customFormat="1">
      <c r="A906" s="421"/>
      <c r="B906" s="394" t="s">
        <v>2226</v>
      </c>
      <c r="C906" s="389">
        <v>812</v>
      </c>
      <c r="D906" s="388">
        <f t="shared" si="145"/>
        <v>197.25524543283584</v>
      </c>
      <c r="E906" s="472">
        <v>20</v>
      </c>
      <c r="F906" s="582">
        <f t="shared" si="143"/>
        <v>217.26</v>
      </c>
      <c r="G906" s="394" t="s">
        <v>4623</v>
      </c>
      <c r="H906" s="592" t="s">
        <v>2227</v>
      </c>
      <c r="I906" s="520" t="s">
        <v>11649</v>
      </c>
      <c r="J906" s="421" t="s">
        <v>753</v>
      </c>
      <c r="K906" s="520" t="s">
        <v>741</v>
      </c>
    </row>
    <row r="907" spans="1:11" s="341" customFormat="1">
      <c r="A907" s="421"/>
      <c r="B907" s="394" t="s">
        <v>2228</v>
      </c>
      <c r="C907" s="389">
        <v>812</v>
      </c>
      <c r="D907" s="388">
        <f t="shared" si="145"/>
        <v>197.25524543283584</v>
      </c>
      <c r="E907" s="472">
        <v>20</v>
      </c>
      <c r="F907" s="582">
        <f t="shared" si="143"/>
        <v>217.26</v>
      </c>
      <c r="G907" s="394" t="s">
        <v>4624</v>
      </c>
      <c r="H907" s="592" t="s">
        <v>2229</v>
      </c>
      <c r="I907" s="520" t="s">
        <v>11649</v>
      </c>
      <c r="J907" s="421" t="s">
        <v>753</v>
      </c>
      <c r="K907" s="520" t="s">
        <v>741</v>
      </c>
    </row>
    <row r="908" spans="1:11" s="341" customFormat="1">
      <c r="A908" s="421"/>
      <c r="B908" s="394" t="s">
        <v>2230</v>
      </c>
      <c r="C908" s="389">
        <v>812</v>
      </c>
      <c r="D908" s="388">
        <f t="shared" si="145"/>
        <v>197.25524543283584</v>
      </c>
      <c r="E908" s="472">
        <v>20</v>
      </c>
      <c r="F908" s="582">
        <f t="shared" si="143"/>
        <v>217.26</v>
      </c>
      <c r="G908" s="394" t="s">
        <v>4625</v>
      </c>
      <c r="H908" s="592" t="s">
        <v>2231</v>
      </c>
      <c r="I908" s="520" t="s">
        <v>11649</v>
      </c>
      <c r="J908" s="421" t="s">
        <v>753</v>
      </c>
      <c r="K908" s="520" t="s">
        <v>741</v>
      </c>
    </row>
    <row r="909" spans="1:11" s="341" customFormat="1">
      <c r="A909" s="421"/>
      <c r="B909" s="394" t="s">
        <v>2233</v>
      </c>
      <c r="C909" s="389">
        <v>840</v>
      </c>
      <c r="D909" s="388">
        <f t="shared" si="145"/>
        <v>204.05715044776116</v>
      </c>
      <c r="E909" s="472">
        <v>20</v>
      </c>
      <c r="F909" s="582">
        <f t="shared" si="143"/>
        <v>224.06</v>
      </c>
      <c r="G909" s="394" t="s">
        <v>4626</v>
      </c>
      <c r="H909" s="592" t="s">
        <v>2234</v>
      </c>
      <c r="I909" s="520" t="s">
        <v>11649</v>
      </c>
      <c r="J909" s="421" t="s">
        <v>753</v>
      </c>
      <c r="K909" s="520" t="s">
        <v>741</v>
      </c>
    </row>
    <row r="910" spans="1:11" s="341" customFormat="1">
      <c r="A910" s="421"/>
      <c r="B910" s="394" t="s">
        <v>2235</v>
      </c>
      <c r="C910" s="389">
        <v>840</v>
      </c>
      <c r="D910" s="388">
        <f t="shared" si="145"/>
        <v>204.05715044776116</v>
      </c>
      <c r="E910" s="472">
        <v>20</v>
      </c>
      <c r="F910" s="582">
        <f t="shared" si="143"/>
        <v>224.06</v>
      </c>
      <c r="G910" s="394" t="s">
        <v>4627</v>
      </c>
      <c r="H910" s="592" t="s">
        <v>2236</v>
      </c>
      <c r="I910" s="520" t="s">
        <v>11649</v>
      </c>
      <c r="J910" s="421" t="s">
        <v>753</v>
      </c>
      <c r="K910" s="520" t="s">
        <v>741</v>
      </c>
    </row>
    <row r="911" spans="1:11" s="341" customFormat="1">
      <c r="A911" s="421"/>
      <c r="B911" s="394" t="s">
        <v>2960</v>
      </c>
      <c r="C911" s="389">
        <v>868</v>
      </c>
      <c r="D911" s="388">
        <f t="shared" si="145"/>
        <v>210.85905546268654</v>
      </c>
      <c r="E911" s="472">
        <v>20</v>
      </c>
      <c r="F911" s="582">
        <f t="shared" si="143"/>
        <v>230.85999999999999</v>
      </c>
      <c r="G911" s="394" t="s">
        <v>4628</v>
      </c>
      <c r="H911" s="592" t="s">
        <v>2958</v>
      </c>
      <c r="I911" s="520" t="s">
        <v>11649</v>
      </c>
      <c r="J911" s="421" t="s">
        <v>753</v>
      </c>
      <c r="K911" s="520" t="s">
        <v>741</v>
      </c>
    </row>
    <row r="912" spans="1:11" s="341" customFormat="1">
      <c r="A912" s="421"/>
      <c r="B912" s="394" t="s">
        <v>2961</v>
      </c>
      <c r="C912" s="389">
        <v>906</v>
      </c>
      <c r="D912" s="388">
        <f t="shared" si="145"/>
        <v>220.09021226865673</v>
      </c>
      <c r="E912" s="472">
        <v>20</v>
      </c>
      <c r="F912" s="582">
        <f t="shared" si="143"/>
        <v>240.1</v>
      </c>
      <c r="G912" s="394" t="s">
        <v>6678</v>
      </c>
      <c r="H912" s="592" t="s">
        <v>2959</v>
      </c>
      <c r="I912" s="520" t="s">
        <v>11649</v>
      </c>
      <c r="J912" s="421" t="s">
        <v>753</v>
      </c>
      <c r="K912" s="520" t="s">
        <v>741</v>
      </c>
    </row>
    <row r="913" spans="1:11" s="341" customFormat="1">
      <c r="A913" s="421"/>
      <c r="B913" s="338"/>
      <c r="C913" s="209" t="s">
        <v>2058</v>
      </c>
      <c r="D913" s="244"/>
      <c r="E913" s="228"/>
      <c r="F913" s="585">
        <f t="shared" si="143"/>
        <v>0</v>
      </c>
      <c r="G913" s="338"/>
      <c r="H913" s="592"/>
      <c r="I913" s="520"/>
      <c r="J913" s="421"/>
      <c r="K913" s="520"/>
    </row>
    <row r="914" spans="1:11" s="341" customFormat="1">
      <c r="A914" s="421"/>
      <c r="B914" s="338"/>
      <c r="C914" s="209" t="s">
        <v>2058</v>
      </c>
      <c r="D914" s="244"/>
      <c r="E914" s="228"/>
      <c r="F914" s="585">
        <f t="shared" si="143"/>
        <v>0</v>
      </c>
      <c r="G914" s="338"/>
      <c r="H914" s="592"/>
      <c r="I914" s="520"/>
      <c r="J914" s="421"/>
      <c r="K914" s="520"/>
    </row>
    <row r="915" spans="1:11" s="341" customFormat="1">
      <c r="A915" s="421"/>
      <c r="B915" s="592" t="s">
        <v>9156</v>
      </c>
      <c r="C915" s="209">
        <v>688</v>
      </c>
      <c r="D915" s="244">
        <f>C915*(1-VLOOKUP(I915,descuentos,6,FALSE))*fcl/IF(dol_sol="dólar", TC,1)</f>
        <v>167.13252322388058</v>
      </c>
      <c r="E915" s="472">
        <v>15</v>
      </c>
      <c r="F915" s="585">
        <f>ROUNDUP(D915+E915,2)</f>
        <v>182.14</v>
      </c>
      <c r="G915" s="338" t="s">
        <v>9157</v>
      </c>
      <c r="H915" s="592" t="s">
        <v>9158</v>
      </c>
      <c r="I915" s="520" t="s">
        <v>11649</v>
      </c>
      <c r="J915" s="421" t="s">
        <v>753</v>
      </c>
      <c r="K915" s="520" t="s">
        <v>741</v>
      </c>
    </row>
    <row r="916" spans="1:11" s="341" customFormat="1">
      <c r="A916" s="421"/>
      <c r="B916" s="592" t="s">
        <v>1336</v>
      </c>
      <c r="C916" s="209">
        <v>639</v>
      </c>
      <c r="D916" s="244">
        <f t="shared" ref="D916:D926" si="146">C916*(1-VLOOKUP(I916,descuentos,6,FALSE))*fcl/IF(dol_sol="dólar", TC,1)</f>
        <v>155.22918944776117</v>
      </c>
      <c r="E916" s="472">
        <v>15</v>
      </c>
      <c r="F916" s="585">
        <f t="shared" si="143"/>
        <v>170.23</v>
      </c>
      <c r="G916" s="338" t="s">
        <v>4629</v>
      </c>
      <c r="H916" s="592" t="s">
        <v>1337</v>
      </c>
      <c r="I916" s="520" t="s">
        <v>11649</v>
      </c>
      <c r="J916" s="421" t="s">
        <v>753</v>
      </c>
      <c r="K916" s="520" t="s">
        <v>741</v>
      </c>
    </row>
    <row r="917" spans="1:11" s="341" customFormat="1">
      <c r="A917" s="421"/>
      <c r="B917" s="592" t="s">
        <v>1338</v>
      </c>
      <c r="C917" s="209">
        <v>639</v>
      </c>
      <c r="D917" s="244">
        <f t="shared" si="146"/>
        <v>155.22918944776117</v>
      </c>
      <c r="E917" s="472">
        <v>15</v>
      </c>
      <c r="F917" s="585">
        <f t="shared" si="143"/>
        <v>170.23</v>
      </c>
      <c r="G917" s="338" t="s">
        <v>4630</v>
      </c>
      <c r="H917" s="592" t="s">
        <v>1348</v>
      </c>
      <c r="I917" s="520" t="s">
        <v>11649</v>
      </c>
      <c r="J917" s="421" t="s">
        <v>753</v>
      </c>
      <c r="K917" s="520" t="s">
        <v>741</v>
      </c>
    </row>
    <row r="918" spans="1:11" s="341" customFormat="1">
      <c r="A918" s="421"/>
      <c r="B918" s="592" t="s">
        <v>1341</v>
      </c>
      <c r="C918" s="209">
        <v>639</v>
      </c>
      <c r="D918" s="244">
        <f t="shared" si="146"/>
        <v>155.22918944776117</v>
      </c>
      <c r="E918" s="472">
        <v>15</v>
      </c>
      <c r="F918" s="585">
        <f t="shared" si="143"/>
        <v>170.23</v>
      </c>
      <c r="G918" s="338" t="s">
        <v>4631</v>
      </c>
      <c r="H918" s="592" t="s">
        <v>1349</v>
      </c>
      <c r="I918" s="520" t="s">
        <v>11649</v>
      </c>
      <c r="J918" s="421" t="s">
        <v>753</v>
      </c>
      <c r="K918" s="520" t="s">
        <v>741</v>
      </c>
    </row>
    <row r="919" spans="1:11" s="341" customFormat="1">
      <c r="A919" s="421"/>
      <c r="B919" s="592" t="s">
        <v>825</v>
      </c>
      <c r="C919" s="209">
        <v>639</v>
      </c>
      <c r="D919" s="244">
        <f t="shared" si="146"/>
        <v>155.22918944776117</v>
      </c>
      <c r="E919" s="472">
        <v>15</v>
      </c>
      <c r="F919" s="585">
        <f t="shared" si="143"/>
        <v>170.23</v>
      </c>
      <c r="G919" s="338" t="s">
        <v>4632</v>
      </c>
      <c r="H919" s="592" t="s">
        <v>1335</v>
      </c>
      <c r="I919" s="520" t="s">
        <v>11649</v>
      </c>
      <c r="J919" s="421" t="s">
        <v>753</v>
      </c>
      <c r="K919" s="520" t="s">
        <v>741</v>
      </c>
    </row>
    <row r="920" spans="1:11" s="341" customFormat="1">
      <c r="A920" s="421"/>
      <c r="B920" s="592" t="s">
        <v>1342</v>
      </c>
      <c r="C920" s="209">
        <v>639</v>
      </c>
      <c r="D920" s="244">
        <f t="shared" si="146"/>
        <v>155.22918944776117</v>
      </c>
      <c r="E920" s="472">
        <v>15</v>
      </c>
      <c r="F920" s="585">
        <f t="shared" si="143"/>
        <v>170.23</v>
      </c>
      <c r="G920" s="338" t="s">
        <v>4633</v>
      </c>
      <c r="H920" s="592" t="s">
        <v>1350</v>
      </c>
      <c r="I920" s="520" t="s">
        <v>11649</v>
      </c>
      <c r="J920" s="421" t="s">
        <v>753</v>
      </c>
      <c r="K920" s="520" t="s">
        <v>741</v>
      </c>
    </row>
    <row r="921" spans="1:11" s="341" customFormat="1">
      <c r="A921" s="421"/>
      <c r="B921" s="592" t="s">
        <v>1343</v>
      </c>
      <c r="C921" s="209">
        <v>639</v>
      </c>
      <c r="D921" s="244">
        <f t="shared" si="146"/>
        <v>155.22918944776117</v>
      </c>
      <c r="E921" s="472">
        <v>15</v>
      </c>
      <c r="F921" s="585">
        <f t="shared" si="143"/>
        <v>170.23</v>
      </c>
      <c r="G921" s="338" t="s">
        <v>4634</v>
      </c>
      <c r="H921" s="592" t="s">
        <v>1351</v>
      </c>
      <c r="I921" s="520" t="s">
        <v>11649</v>
      </c>
      <c r="J921" s="421" t="s">
        <v>753</v>
      </c>
      <c r="K921" s="520" t="s">
        <v>741</v>
      </c>
    </row>
    <row r="922" spans="1:11" s="341" customFormat="1">
      <c r="A922" s="421"/>
      <c r="B922" s="592" t="s">
        <v>1344</v>
      </c>
      <c r="C922" s="209">
        <v>639</v>
      </c>
      <c r="D922" s="244">
        <f t="shared" si="146"/>
        <v>155.22918944776117</v>
      </c>
      <c r="E922" s="472">
        <v>15</v>
      </c>
      <c r="F922" s="585">
        <f t="shared" si="143"/>
        <v>170.23</v>
      </c>
      <c r="G922" s="338" t="s">
        <v>4635</v>
      </c>
      <c r="H922" s="592" t="s">
        <v>1352</v>
      </c>
      <c r="I922" s="520" t="s">
        <v>11649</v>
      </c>
      <c r="J922" s="421" t="s">
        <v>753</v>
      </c>
      <c r="K922" s="520" t="s">
        <v>741</v>
      </c>
    </row>
    <row r="923" spans="1:11" s="341" customFormat="1">
      <c r="A923" s="421"/>
      <c r="B923" s="592" t="s">
        <v>1345</v>
      </c>
      <c r="C923" s="209">
        <v>644</v>
      </c>
      <c r="D923" s="244">
        <f t="shared" si="146"/>
        <v>156.44381534328357</v>
      </c>
      <c r="E923" s="472">
        <v>15</v>
      </c>
      <c r="F923" s="585">
        <f t="shared" si="143"/>
        <v>171.45</v>
      </c>
      <c r="G923" s="338" t="s">
        <v>4636</v>
      </c>
      <c r="H923" s="592" t="s">
        <v>1353</v>
      </c>
      <c r="I923" s="520" t="s">
        <v>11649</v>
      </c>
      <c r="J923" s="421" t="s">
        <v>753</v>
      </c>
      <c r="K923" s="520" t="s">
        <v>741</v>
      </c>
    </row>
    <row r="924" spans="1:11" s="341" customFormat="1">
      <c r="A924" s="421"/>
      <c r="B924" s="338" t="s">
        <v>870</v>
      </c>
      <c r="C924" s="209">
        <v>644</v>
      </c>
      <c r="D924" s="244">
        <f t="shared" si="146"/>
        <v>156.44381534328357</v>
      </c>
      <c r="E924" s="472">
        <v>15</v>
      </c>
      <c r="F924" s="585">
        <f t="shared" si="143"/>
        <v>171.45</v>
      </c>
      <c r="G924" s="338" t="s">
        <v>4637</v>
      </c>
      <c r="H924" s="592" t="s">
        <v>873</v>
      </c>
      <c r="I924" s="520" t="s">
        <v>11649</v>
      </c>
      <c r="J924" s="421" t="s">
        <v>753</v>
      </c>
      <c r="K924" s="520" t="s">
        <v>741</v>
      </c>
    </row>
    <row r="925" spans="1:11" s="341" customFormat="1">
      <c r="A925" s="421"/>
      <c r="B925" s="338" t="s">
        <v>1346</v>
      </c>
      <c r="C925" s="209">
        <v>743</v>
      </c>
      <c r="D925" s="244">
        <f t="shared" si="146"/>
        <v>180.49340807462684</v>
      </c>
      <c r="E925" s="472">
        <v>15</v>
      </c>
      <c r="F925" s="585">
        <f t="shared" si="143"/>
        <v>195.5</v>
      </c>
      <c r="G925" s="338" t="s">
        <v>4638</v>
      </c>
      <c r="H925" s="592" t="s">
        <v>1354</v>
      </c>
      <c r="I925" s="520" t="s">
        <v>11649</v>
      </c>
      <c r="J925" s="421" t="s">
        <v>753</v>
      </c>
      <c r="K925" s="520" t="s">
        <v>741</v>
      </c>
    </row>
    <row r="926" spans="1:11" s="341" customFormat="1">
      <c r="A926" s="421"/>
      <c r="B926" s="338" t="s">
        <v>1347</v>
      </c>
      <c r="C926" s="209">
        <v>862</v>
      </c>
      <c r="D926" s="244">
        <f t="shared" si="146"/>
        <v>209.40150438805969</v>
      </c>
      <c r="E926" s="472">
        <v>15</v>
      </c>
      <c r="F926" s="585">
        <f t="shared" si="143"/>
        <v>224.41</v>
      </c>
      <c r="G926" s="338" t="s">
        <v>4639</v>
      </c>
      <c r="H926" s="592" t="s">
        <v>1355</v>
      </c>
      <c r="I926" s="520" t="s">
        <v>11649</v>
      </c>
      <c r="J926" s="421" t="s">
        <v>753</v>
      </c>
      <c r="K926" s="520" t="s">
        <v>741</v>
      </c>
    </row>
    <row r="927" spans="1:11" s="341" customFormat="1">
      <c r="A927" s="421"/>
      <c r="B927" s="338"/>
      <c r="C927" s="209" t="s">
        <v>2058</v>
      </c>
      <c r="D927" s="244"/>
      <c r="E927" s="228"/>
      <c r="F927" s="585"/>
      <c r="G927" s="338"/>
      <c r="H927" s="592"/>
      <c r="I927" s="520"/>
      <c r="J927" s="421"/>
      <c r="K927" s="520"/>
    </row>
    <row r="928" spans="1:11" s="341" customFormat="1">
      <c r="A928" s="421"/>
      <c r="B928" s="338"/>
      <c r="C928" s="209" t="s">
        <v>2058</v>
      </c>
      <c r="D928" s="244"/>
      <c r="E928" s="228"/>
      <c r="F928" s="585"/>
      <c r="G928" s="338"/>
      <c r="H928" s="592"/>
      <c r="I928" s="520"/>
      <c r="J928" s="421"/>
      <c r="K928" s="520"/>
    </row>
    <row r="929" spans="1:11" s="341" customFormat="1">
      <c r="A929" s="421"/>
      <c r="B929" s="580" t="s">
        <v>9159</v>
      </c>
      <c r="C929" s="389">
        <v>892</v>
      </c>
      <c r="D929" s="388">
        <f>C929*(1-VLOOKUP(I929,descuentos,6,FALSE))*fcl/IF(dol_sol="dólar", TC,1)</f>
        <v>216.68925976119402</v>
      </c>
      <c r="E929" s="472">
        <v>20</v>
      </c>
      <c r="F929" s="582">
        <f>ROUNDUP(D929+E929,2)</f>
        <v>236.69</v>
      </c>
      <c r="G929" s="394" t="s">
        <v>9160</v>
      </c>
      <c r="H929" s="592" t="s">
        <v>9161</v>
      </c>
      <c r="I929" s="520" t="s">
        <v>11649</v>
      </c>
      <c r="J929" s="421" t="s">
        <v>753</v>
      </c>
      <c r="K929" s="520" t="s">
        <v>741</v>
      </c>
    </row>
    <row r="930" spans="1:11" s="341" customFormat="1">
      <c r="A930" s="421"/>
      <c r="B930" s="580" t="s">
        <v>9162</v>
      </c>
      <c r="C930" s="389">
        <v>892</v>
      </c>
      <c r="D930" s="388">
        <f>C930*(1-VLOOKUP(I930,descuentos,6,FALSE))*fcl/IF(dol_sol="dólar", TC,1)</f>
        <v>216.68925976119402</v>
      </c>
      <c r="E930" s="472">
        <v>20</v>
      </c>
      <c r="F930" s="582">
        <f>ROUNDUP(D930+E930,2)</f>
        <v>236.69</v>
      </c>
      <c r="G930" s="394" t="s">
        <v>9163</v>
      </c>
      <c r="H930" s="592" t="s">
        <v>9164</v>
      </c>
      <c r="I930" s="520" t="s">
        <v>11649</v>
      </c>
      <c r="J930" s="421" t="s">
        <v>753</v>
      </c>
      <c r="K930" s="520" t="s">
        <v>741</v>
      </c>
    </row>
    <row r="931" spans="1:11" s="341" customFormat="1">
      <c r="A931" s="421"/>
      <c r="B931" s="580" t="s">
        <v>2237</v>
      </c>
      <c r="C931" s="389">
        <v>892</v>
      </c>
      <c r="D931" s="388">
        <f t="shared" ref="D931:D940" si="147">C931*(1-VLOOKUP(I931,descuentos,6,FALSE))*fcl/IF(dol_sol="dólar", TC,1)</f>
        <v>216.68925976119402</v>
      </c>
      <c r="E931" s="472">
        <v>20</v>
      </c>
      <c r="F931" s="582">
        <f t="shared" si="143"/>
        <v>236.69</v>
      </c>
      <c r="G931" s="394" t="s">
        <v>4640</v>
      </c>
      <c r="H931" s="592" t="s">
        <v>2238</v>
      </c>
      <c r="I931" s="520" t="s">
        <v>11649</v>
      </c>
      <c r="J931" s="421" t="s">
        <v>753</v>
      </c>
      <c r="K931" s="520" t="s">
        <v>741</v>
      </c>
    </row>
    <row r="932" spans="1:11" s="341" customFormat="1">
      <c r="A932" s="421"/>
      <c r="B932" s="580" t="s">
        <v>9790</v>
      </c>
      <c r="C932" s="389">
        <v>892</v>
      </c>
      <c r="D932" s="388">
        <f t="shared" ref="D932" si="148">C932*(1-VLOOKUP(I932,descuentos,6,FALSE))*fcl/IF(dol_sol="dólar", TC,1)</f>
        <v>216.68925976119402</v>
      </c>
      <c r="E932" s="472">
        <v>20</v>
      </c>
      <c r="F932" s="582">
        <f t="shared" si="143"/>
        <v>236.69</v>
      </c>
      <c r="G932" s="394" t="s">
        <v>9791</v>
      </c>
      <c r="H932" s="592" t="s">
        <v>9792</v>
      </c>
      <c r="I932" s="520" t="s">
        <v>11649</v>
      </c>
      <c r="J932" s="421" t="s">
        <v>753</v>
      </c>
      <c r="K932" s="520" t="s">
        <v>741</v>
      </c>
    </row>
    <row r="933" spans="1:11" s="341" customFormat="1">
      <c r="A933" s="421"/>
      <c r="B933" s="580" t="s">
        <v>2239</v>
      </c>
      <c r="C933" s="389">
        <v>892</v>
      </c>
      <c r="D933" s="388">
        <f t="shared" si="147"/>
        <v>216.68925976119402</v>
      </c>
      <c r="E933" s="472">
        <v>20</v>
      </c>
      <c r="F933" s="582">
        <f t="shared" si="143"/>
        <v>236.69</v>
      </c>
      <c r="G933" s="394" t="s">
        <v>4641</v>
      </c>
      <c r="H933" s="592" t="s">
        <v>2240</v>
      </c>
      <c r="I933" s="520" t="s">
        <v>11649</v>
      </c>
      <c r="J933" s="421" t="s">
        <v>753</v>
      </c>
      <c r="K933" s="520" t="s">
        <v>741</v>
      </c>
    </row>
    <row r="934" spans="1:11" s="341" customFormat="1">
      <c r="A934" s="421"/>
      <c r="B934" s="580" t="s">
        <v>2241</v>
      </c>
      <c r="C934" s="389">
        <v>892</v>
      </c>
      <c r="D934" s="388">
        <f t="shared" si="147"/>
        <v>216.68925976119402</v>
      </c>
      <c r="E934" s="472">
        <v>20</v>
      </c>
      <c r="F934" s="582">
        <f t="shared" si="143"/>
        <v>236.69</v>
      </c>
      <c r="G934" s="394" t="s">
        <v>4642</v>
      </c>
      <c r="H934" s="592" t="s">
        <v>2242</v>
      </c>
      <c r="I934" s="520" t="s">
        <v>11649</v>
      </c>
      <c r="J934" s="421" t="s">
        <v>753</v>
      </c>
      <c r="K934" s="520" t="s">
        <v>741</v>
      </c>
    </row>
    <row r="935" spans="1:11" s="341" customFormat="1">
      <c r="A935" s="421"/>
      <c r="B935" s="580" t="s">
        <v>2243</v>
      </c>
      <c r="C935" s="389">
        <v>892</v>
      </c>
      <c r="D935" s="388">
        <f t="shared" si="147"/>
        <v>216.68925976119402</v>
      </c>
      <c r="E935" s="472">
        <v>20</v>
      </c>
      <c r="F935" s="582">
        <f t="shared" si="143"/>
        <v>236.69</v>
      </c>
      <c r="G935" s="394" t="s">
        <v>4643</v>
      </c>
      <c r="H935" s="592" t="s">
        <v>2244</v>
      </c>
      <c r="I935" s="520" t="s">
        <v>11649</v>
      </c>
      <c r="J935" s="421" t="s">
        <v>753</v>
      </c>
      <c r="K935" s="520" t="s">
        <v>741</v>
      </c>
    </row>
    <row r="936" spans="1:11" s="341" customFormat="1">
      <c r="A936" s="421"/>
      <c r="B936" s="580" t="s">
        <v>2245</v>
      </c>
      <c r="C936" s="389">
        <v>892</v>
      </c>
      <c r="D936" s="388">
        <f t="shared" si="147"/>
        <v>216.68925976119402</v>
      </c>
      <c r="E936" s="472">
        <v>20</v>
      </c>
      <c r="F936" s="582">
        <f t="shared" si="143"/>
        <v>236.69</v>
      </c>
      <c r="G936" s="394" t="s">
        <v>4644</v>
      </c>
      <c r="H936" s="592" t="s">
        <v>2246</v>
      </c>
      <c r="I936" s="520" t="s">
        <v>11649</v>
      </c>
      <c r="J936" s="421" t="s">
        <v>753</v>
      </c>
      <c r="K936" s="520" t="s">
        <v>741</v>
      </c>
    </row>
    <row r="937" spans="1:11" s="341" customFormat="1">
      <c r="A937" s="421"/>
      <c r="B937" s="580" t="s">
        <v>2247</v>
      </c>
      <c r="C937" s="389">
        <v>921</v>
      </c>
      <c r="D937" s="388">
        <f t="shared" si="147"/>
        <v>223.73408995522388</v>
      </c>
      <c r="E937" s="472">
        <v>20</v>
      </c>
      <c r="F937" s="582">
        <f t="shared" si="143"/>
        <v>243.73999999999998</v>
      </c>
      <c r="G937" s="394" t="s">
        <v>4645</v>
      </c>
      <c r="H937" s="592" t="s">
        <v>2248</v>
      </c>
      <c r="I937" s="520" t="s">
        <v>11649</v>
      </c>
      <c r="J937" s="421" t="s">
        <v>753</v>
      </c>
      <c r="K937" s="520" t="s">
        <v>741</v>
      </c>
    </row>
    <row r="938" spans="1:11" s="341" customFormat="1">
      <c r="A938" s="421"/>
      <c r="B938" s="394" t="s">
        <v>2249</v>
      </c>
      <c r="C938" s="389">
        <v>921</v>
      </c>
      <c r="D938" s="388">
        <f t="shared" si="147"/>
        <v>223.73408995522388</v>
      </c>
      <c r="E938" s="472">
        <v>20</v>
      </c>
      <c r="F938" s="582">
        <f t="shared" si="143"/>
        <v>243.73999999999998</v>
      </c>
      <c r="G938" s="394" t="s">
        <v>4646</v>
      </c>
      <c r="H938" s="592" t="s">
        <v>2250</v>
      </c>
      <c r="I938" s="520" t="s">
        <v>11649</v>
      </c>
      <c r="J938" s="421" t="s">
        <v>753</v>
      </c>
      <c r="K938" s="520" t="s">
        <v>741</v>
      </c>
    </row>
    <row r="939" spans="1:11" s="341" customFormat="1">
      <c r="A939" s="421"/>
      <c r="B939" s="394" t="s">
        <v>3269</v>
      </c>
      <c r="C939" s="389">
        <v>976</v>
      </c>
      <c r="D939" s="388">
        <f t="shared" si="147"/>
        <v>237.09497480597011</v>
      </c>
      <c r="E939" s="472">
        <v>20</v>
      </c>
      <c r="F939" s="582">
        <f t="shared" si="143"/>
        <v>257.09999999999997</v>
      </c>
      <c r="G939" s="394" t="s">
        <v>4647</v>
      </c>
      <c r="H939" s="592" t="s">
        <v>3270</v>
      </c>
      <c r="I939" s="520" t="s">
        <v>11649</v>
      </c>
      <c r="J939" s="421" t="s">
        <v>753</v>
      </c>
      <c r="K939" s="520" t="s">
        <v>741</v>
      </c>
    </row>
    <row r="940" spans="1:11" s="341" customFormat="1">
      <c r="A940" s="421"/>
      <c r="B940" s="394" t="s">
        <v>3271</v>
      </c>
      <c r="C940" s="389">
        <v>1009</v>
      </c>
      <c r="D940" s="388">
        <f t="shared" si="147"/>
        <v>245.11150571641789</v>
      </c>
      <c r="E940" s="472">
        <v>20</v>
      </c>
      <c r="F940" s="582">
        <f t="shared" si="143"/>
        <v>265.12</v>
      </c>
      <c r="G940" s="394" t="s">
        <v>4648</v>
      </c>
      <c r="H940" s="592" t="s">
        <v>3272</v>
      </c>
      <c r="I940" s="520" t="s">
        <v>11649</v>
      </c>
      <c r="J940" s="421" t="s">
        <v>753</v>
      </c>
      <c r="K940" s="520" t="s">
        <v>741</v>
      </c>
    </row>
    <row r="941" spans="1:11" s="341" customFormat="1">
      <c r="A941" s="421"/>
      <c r="B941" s="338"/>
      <c r="C941" s="209" t="s">
        <v>2058</v>
      </c>
      <c r="D941" s="244"/>
      <c r="E941" s="228"/>
      <c r="F941" s="585">
        <f t="shared" si="143"/>
        <v>0</v>
      </c>
      <c r="G941" s="338"/>
      <c r="H941" s="592"/>
      <c r="I941" s="520"/>
      <c r="J941" s="421"/>
      <c r="K941" s="520"/>
    </row>
    <row r="942" spans="1:11" s="341" customFormat="1">
      <c r="A942" s="421"/>
      <c r="B942" s="338"/>
      <c r="C942" s="209" t="s">
        <v>2058</v>
      </c>
      <c r="D942" s="244"/>
      <c r="E942" s="228"/>
      <c r="F942" s="585">
        <f t="shared" si="143"/>
        <v>0</v>
      </c>
      <c r="G942" s="338"/>
      <c r="H942" s="592"/>
      <c r="I942" s="520"/>
      <c r="J942" s="421"/>
      <c r="K942" s="520"/>
    </row>
    <row r="943" spans="1:11" s="341" customFormat="1">
      <c r="A943" s="421"/>
      <c r="B943" s="338" t="s">
        <v>14242</v>
      </c>
      <c r="C943" s="209">
        <v>815</v>
      </c>
      <c r="D943" s="244">
        <f t="shared" ref="D943:D944" si="149">C943*(1-VLOOKUP(I943,descuentos,6,FALSE))*fcl/IF(dol_sol="dólar", TC,1)</f>
        <v>197.98402097014923</v>
      </c>
      <c r="E943" s="472">
        <v>15</v>
      </c>
      <c r="F943" s="585">
        <f t="shared" si="143"/>
        <v>212.98999999999998</v>
      </c>
      <c r="G943" s="338" t="s">
        <v>14243</v>
      </c>
      <c r="H943" s="592" t="s">
        <v>14244</v>
      </c>
      <c r="I943" s="520" t="s">
        <v>11649</v>
      </c>
      <c r="J943" s="421" t="s">
        <v>753</v>
      </c>
      <c r="K943" s="520" t="s">
        <v>741</v>
      </c>
    </row>
    <row r="944" spans="1:11" s="341" customFormat="1">
      <c r="A944" s="421"/>
      <c r="B944" s="338" t="s">
        <v>14245</v>
      </c>
      <c r="C944" s="209">
        <v>815</v>
      </c>
      <c r="D944" s="244">
        <f t="shared" si="149"/>
        <v>197.98402097014923</v>
      </c>
      <c r="E944" s="472">
        <v>15</v>
      </c>
      <c r="F944" s="585">
        <f t="shared" ref="F944:F1046" si="150">ROUNDUP(D944+E944,2)</f>
        <v>212.98999999999998</v>
      </c>
      <c r="G944" s="338" t="s">
        <v>14246</v>
      </c>
      <c r="H944" s="592" t="s">
        <v>14247</v>
      </c>
      <c r="I944" s="520" t="s">
        <v>11649</v>
      </c>
      <c r="J944" s="421" t="s">
        <v>753</v>
      </c>
      <c r="K944" s="520" t="s">
        <v>741</v>
      </c>
    </row>
    <row r="945" spans="1:11" s="341" customFormat="1">
      <c r="A945" s="421"/>
      <c r="B945" s="338" t="s">
        <v>14248</v>
      </c>
      <c r="C945" s="209">
        <v>815</v>
      </c>
      <c r="D945" s="244">
        <f t="shared" ref="D945" si="151">C945*(1-VLOOKUP(I945,descuentos,6,FALSE))*fcl/IF(dol_sol="dólar", TC,1)</f>
        <v>197.98402097014923</v>
      </c>
      <c r="E945" s="472">
        <v>15</v>
      </c>
      <c r="F945" s="585">
        <f t="shared" si="150"/>
        <v>212.98999999999998</v>
      </c>
      <c r="G945" s="338" t="s">
        <v>14249</v>
      </c>
      <c r="H945" s="592" t="s">
        <v>14250</v>
      </c>
      <c r="I945" s="520" t="s">
        <v>11649</v>
      </c>
      <c r="J945" s="421" t="s">
        <v>753</v>
      </c>
      <c r="K945" s="520" t="s">
        <v>741</v>
      </c>
    </row>
    <row r="946" spans="1:11" s="341" customFormat="1">
      <c r="A946" s="421"/>
      <c r="B946" s="338" t="s">
        <v>2801</v>
      </c>
      <c r="C946" s="209">
        <v>791</v>
      </c>
      <c r="D946" s="244">
        <f t="shared" ref="D946:D956" si="152">C946*(1-VLOOKUP(I946,descuentos,6,FALSE))*fcl/IF(dol_sol="dólar", TC,1)</f>
        <v>192.15381667164178</v>
      </c>
      <c r="E946" s="472">
        <v>15</v>
      </c>
      <c r="F946" s="585">
        <f t="shared" si="150"/>
        <v>207.16</v>
      </c>
      <c r="G946" s="338" t="s">
        <v>4649</v>
      </c>
      <c r="H946" s="592" t="s">
        <v>2748</v>
      </c>
      <c r="I946" s="520" t="s">
        <v>11649</v>
      </c>
      <c r="J946" s="421" t="s">
        <v>753</v>
      </c>
      <c r="K946" s="520" t="s">
        <v>741</v>
      </c>
    </row>
    <row r="947" spans="1:11" s="341" customFormat="1">
      <c r="A947" s="421"/>
      <c r="B947" s="338" t="s">
        <v>2802</v>
      </c>
      <c r="C947" s="209">
        <v>791</v>
      </c>
      <c r="D947" s="244">
        <f t="shared" si="152"/>
        <v>192.15381667164178</v>
      </c>
      <c r="E947" s="472">
        <v>15</v>
      </c>
      <c r="F947" s="585">
        <f t="shared" si="150"/>
        <v>207.16</v>
      </c>
      <c r="G947" s="338" t="s">
        <v>4650</v>
      </c>
      <c r="H947" s="592" t="s">
        <v>2747</v>
      </c>
      <c r="I947" s="520" t="s">
        <v>11649</v>
      </c>
      <c r="J947" s="421" t="s">
        <v>753</v>
      </c>
      <c r="K947" s="520" t="s">
        <v>741</v>
      </c>
    </row>
    <row r="948" spans="1:11" s="341" customFormat="1">
      <c r="A948" s="421"/>
      <c r="B948" s="338" t="s">
        <v>2803</v>
      </c>
      <c r="C948" s="209">
        <v>791</v>
      </c>
      <c r="D948" s="244">
        <f t="shared" si="152"/>
        <v>192.15381667164178</v>
      </c>
      <c r="E948" s="472">
        <v>15</v>
      </c>
      <c r="F948" s="585">
        <f t="shared" si="150"/>
        <v>207.16</v>
      </c>
      <c r="G948" s="338" t="s">
        <v>4651</v>
      </c>
      <c r="H948" s="592" t="s">
        <v>2746</v>
      </c>
      <c r="I948" s="520" t="s">
        <v>11649</v>
      </c>
      <c r="J948" s="421" t="s">
        <v>753</v>
      </c>
      <c r="K948" s="520" t="s">
        <v>741</v>
      </c>
    </row>
    <row r="949" spans="1:11" s="341" customFormat="1">
      <c r="A949" s="421"/>
      <c r="B949" s="338" t="s">
        <v>2804</v>
      </c>
      <c r="C949" s="209">
        <v>791</v>
      </c>
      <c r="D949" s="244">
        <f t="shared" si="152"/>
        <v>192.15381667164178</v>
      </c>
      <c r="E949" s="472">
        <v>15</v>
      </c>
      <c r="F949" s="585">
        <f t="shared" si="150"/>
        <v>207.16</v>
      </c>
      <c r="G949" s="338" t="s">
        <v>4652</v>
      </c>
      <c r="H949" s="592" t="s">
        <v>2745</v>
      </c>
      <c r="I949" s="520" t="s">
        <v>11649</v>
      </c>
      <c r="J949" s="421" t="s">
        <v>753</v>
      </c>
      <c r="K949" s="520" t="s">
        <v>741</v>
      </c>
    </row>
    <row r="950" spans="1:11" s="341" customFormat="1">
      <c r="A950" s="421"/>
      <c r="B950" s="338" t="s">
        <v>2726</v>
      </c>
      <c r="C950" s="209">
        <v>791</v>
      </c>
      <c r="D950" s="244">
        <f t="shared" si="152"/>
        <v>192.15381667164178</v>
      </c>
      <c r="E950" s="472">
        <v>15</v>
      </c>
      <c r="F950" s="585">
        <f t="shared" si="150"/>
        <v>207.16</v>
      </c>
      <c r="G950" s="338" t="s">
        <v>4653</v>
      </c>
      <c r="H950" s="592" t="s">
        <v>2727</v>
      </c>
      <c r="I950" s="520" t="s">
        <v>11649</v>
      </c>
      <c r="J950" s="421" t="s">
        <v>753</v>
      </c>
      <c r="K950" s="520" t="s">
        <v>741</v>
      </c>
    </row>
    <row r="951" spans="1:11" s="341" customFormat="1">
      <c r="A951" s="421"/>
      <c r="B951" s="338" t="s">
        <v>2744</v>
      </c>
      <c r="C951" s="209">
        <v>791</v>
      </c>
      <c r="D951" s="244">
        <f t="shared" si="152"/>
        <v>192.15381667164178</v>
      </c>
      <c r="E951" s="472">
        <v>15</v>
      </c>
      <c r="F951" s="585">
        <f t="shared" si="150"/>
        <v>207.16</v>
      </c>
      <c r="G951" s="338" t="s">
        <v>4654</v>
      </c>
      <c r="H951" s="592" t="s">
        <v>2749</v>
      </c>
      <c r="I951" s="520" t="s">
        <v>11649</v>
      </c>
      <c r="J951" s="421" t="s">
        <v>753</v>
      </c>
      <c r="K951" s="520" t="s">
        <v>741</v>
      </c>
    </row>
    <row r="952" spans="1:11" s="341" customFormat="1">
      <c r="A952" s="421"/>
      <c r="B952" s="338" t="s">
        <v>2724</v>
      </c>
      <c r="C952" s="209">
        <v>791</v>
      </c>
      <c r="D952" s="244">
        <f t="shared" si="152"/>
        <v>192.15381667164178</v>
      </c>
      <c r="E952" s="472">
        <v>15</v>
      </c>
      <c r="F952" s="585">
        <f t="shared" si="150"/>
        <v>207.16</v>
      </c>
      <c r="G952" s="338" t="s">
        <v>4655</v>
      </c>
      <c r="H952" s="592" t="s">
        <v>2725</v>
      </c>
      <c r="I952" s="520" t="s">
        <v>11649</v>
      </c>
      <c r="J952" s="421" t="s">
        <v>753</v>
      </c>
      <c r="K952" s="520" t="s">
        <v>741</v>
      </c>
    </row>
    <row r="953" spans="1:11" s="341" customFormat="1">
      <c r="A953" s="421"/>
      <c r="B953" s="338" t="s">
        <v>2742</v>
      </c>
      <c r="C953" s="209">
        <v>808</v>
      </c>
      <c r="D953" s="244">
        <f t="shared" si="152"/>
        <v>196.28354471641791</v>
      </c>
      <c r="E953" s="472">
        <v>15</v>
      </c>
      <c r="F953" s="585">
        <f t="shared" si="150"/>
        <v>211.29</v>
      </c>
      <c r="G953" s="338" t="s">
        <v>4656</v>
      </c>
      <c r="H953" s="592" t="s">
        <v>2743</v>
      </c>
      <c r="I953" s="520" t="s">
        <v>11649</v>
      </c>
      <c r="J953" s="421" t="s">
        <v>753</v>
      </c>
      <c r="K953" s="520" t="s">
        <v>741</v>
      </c>
    </row>
    <row r="954" spans="1:11" s="341" customFormat="1">
      <c r="A954" s="421"/>
      <c r="B954" s="338" t="s">
        <v>2741</v>
      </c>
      <c r="C954" s="209">
        <v>808</v>
      </c>
      <c r="D954" s="244">
        <f t="shared" si="152"/>
        <v>196.28354471641791</v>
      </c>
      <c r="E954" s="472">
        <v>15</v>
      </c>
      <c r="F954" s="585">
        <f t="shared" si="150"/>
        <v>211.29</v>
      </c>
      <c r="G954" s="338" t="s">
        <v>4657</v>
      </c>
      <c r="H954" s="592" t="s">
        <v>2740</v>
      </c>
      <c r="I954" s="520" t="s">
        <v>11649</v>
      </c>
      <c r="J954" s="421" t="s">
        <v>753</v>
      </c>
      <c r="K954" s="520" t="s">
        <v>741</v>
      </c>
    </row>
    <row r="955" spans="1:11" s="341" customFormat="1">
      <c r="A955" s="421"/>
      <c r="B955" s="338" t="s">
        <v>2738</v>
      </c>
      <c r="C955" s="209">
        <v>1422</v>
      </c>
      <c r="D955" s="244">
        <f t="shared" si="152"/>
        <v>345.43960468656718</v>
      </c>
      <c r="E955" s="472">
        <v>15</v>
      </c>
      <c r="F955" s="585">
        <f t="shared" si="150"/>
        <v>360.44</v>
      </c>
      <c r="G955" s="338" t="s">
        <v>4658</v>
      </c>
      <c r="H955" s="592" t="s">
        <v>2739</v>
      </c>
      <c r="I955" s="520" t="s">
        <v>11649</v>
      </c>
      <c r="J955" s="421" t="s">
        <v>753</v>
      </c>
      <c r="K955" s="520" t="s">
        <v>741</v>
      </c>
    </row>
    <row r="956" spans="1:11" s="341" customFormat="1">
      <c r="A956" s="421"/>
      <c r="B956" s="338" t="s">
        <v>2722</v>
      </c>
      <c r="C956" s="209">
        <v>1488</v>
      </c>
      <c r="D956" s="244">
        <f t="shared" si="152"/>
        <v>361.47266650746269</v>
      </c>
      <c r="E956" s="472">
        <v>15</v>
      </c>
      <c r="F956" s="585">
        <f t="shared" si="150"/>
        <v>376.48</v>
      </c>
      <c r="G956" s="338" t="s">
        <v>4659</v>
      </c>
      <c r="H956" s="592" t="s">
        <v>2723</v>
      </c>
      <c r="I956" s="520" t="s">
        <v>11649</v>
      </c>
      <c r="J956" s="421" t="s">
        <v>753</v>
      </c>
      <c r="K956" s="520" t="s">
        <v>741</v>
      </c>
    </row>
    <row r="957" spans="1:11" s="341" customFormat="1">
      <c r="A957" s="421"/>
      <c r="B957" s="338"/>
      <c r="C957" s="209" t="s">
        <v>2058</v>
      </c>
      <c r="D957" s="244"/>
      <c r="E957" s="472"/>
      <c r="F957" s="585"/>
      <c r="G957" s="338"/>
      <c r="H957" s="592"/>
      <c r="I957" s="520"/>
      <c r="J957" s="421"/>
      <c r="K957" s="520"/>
    </row>
    <row r="958" spans="1:11" s="341" customFormat="1">
      <c r="A958" s="421"/>
      <c r="B958" s="338"/>
      <c r="C958" s="209" t="s">
        <v>2058</v>
      </c>
      <c r="D958" s="244"/>
      <c r="E958" s="228"/>
      <c r="F958" s="585"/>
      <c r="G958" s="338"/>
      <c r="H958" s="592"/>
      <c r="I958" s="520"/>
      <c r="J958" s="421"/>
      <c r="K958" s="520"/>
    </row>
    <row r="959" spans="1:11" s="341" customFormat="1">
      <c r="A959" s="1642"/>
      <c r="B959" s="394" t="s">
        <v>6679</v>
      </c>
      <c r="C959" s="389">
        <v>1235</v>
      </c>
      <c r="D959" s="388">
        <f>C959*(1-VLOOKUP(I959,descuentos,6,FALSE))*fcl/IF(dol_sol="dólar", TC,1)</f>
        <v>300.01259619402981</v>
      </c>
      <c r="E959" s="472">
        <v>20</v>
      </c>
      <c r="F959" s="582">
        <f>ROUNDUP(D959+E959,2)</f>
        <v>320.02</v>
      </c>
      <c r="G959" s="394" t="s">
        <v>6680</v>
      </c>
      <c r="H959" s="592" t="s">
        <v>6681</v>
      </c>
      <c r="I959" s="520" t="s">
        <v>11649</v>
      </c>
      <c r="J959" s="421" t="s">
        <v>753</v>
      </c>
      <c r="K959" s="520" t="s">
        <v>741</v>
      </c>
    </row>
    <row r="960" spans="1:11" s="341" customFormat="1">
      <c r="A960" s="421"/>
      <c r="B960" s="394" t="s">
        <v>3028</v>
      </c>
      <c r="C960" s="389">
        <v>1235</v>
      </c>
      <c r="D960" s="388">
        <f t="shared" ref="D960:D967" si="153">C960*(1-VLOOKUP(I960,descuentos,6,FALSE))*fcl/IF(dol_sol="dólar", TC,1)</f>
        <v>300.01259619402981</v>
      </c>
      <c r="E960" s="472">
        <v>20</v>
      </c>
      <c r="F960" s="582">
        <f t="shared" si="150"/>
        <v>320.02</v>
      </c>
      <c r="G960" s="394" t="s">
        <v>6682</v>
      </c>
      <c r="H960" s="592" t="s">
        <v>2934</v>
      </c>
      <c r="I960" s="520" t="s">
        <v>11649</v>
      </c>
      <c r="J960" s="421" t="s">
        <v>753</v>
      </c>
      <c r="K960" s="520" t="s">
        <v>741</v>
      </c>
    </row>
    <row r="961" spans="1:11" s="341" customFormat="1">
      <c r="A961" s="421"/>
      <c r="B961" s="394" t="s">
        <v>2730</v>
      </c>
      <c r="C961" s="389">
        <v>1235</v>
      </c>
      <c r="D961" s="388">
        <f t="shared" si="153"/>
        <v>300.01259619402981</v>
      </c>
      <c r="E961" s="472">
        <v>20</v>
      </c>
      <c r="F961" s="582">
        <f t="shared" si="150"/>
        <v>320.02</v>
      </c>
      <c r="G961" s="394" t="s">
        <v>4660</v>
      </c>
      <c r="H961" s="592" t="s">
        <v>2731</v>
      </c>
      <c r="I961" s="520" t="s">
        <v>11649</v>
      </c>
      <c r="J961" s="421" t="s">
        <v>753</v>
      </c>
      <c r="K961" s="520" t="s">
        <v>741</v>
      </c>
    </row>
    <row r="962" spans="1:11" s="341" customFormat="1">
      <c r="A962" s="421"/>
      <c r="B962" s="394" t="s">
        <v>2940</v>
      </c>
      <c r="C962" s="389">
        <v>1235</v>
      </c>
      <c r="D962" s="388">
        <f t="shared" si="153"/>
        <v>300.01259619402981</v>
      </c>
      <c r="E962" s="472">
        <v>20</v>
      </c>
      <c r="F962" s="582">
        <f t="shared" si="150"/>
        <v>320.02</v>
      </c>
      <c r="G962" s="394" t="s">
        <v>4661</v>
      </c>
      <c r="H962" s="592" t="s">
        <v>2933</v>
      </c>
      <c r="I962" s="520" t="s">
        <v>11649</v>
      </c>
      <c r="J962" s="421" t="s">
        <v>753</v>
      </c>
      <c r="K962" s="520" t="s">
        <v>741</v>
      </c>
    </row>
    <row r="963" spans="1:11" s="341" customFormat="1">
      <c r="A963" s="421"/>
      <c r="B963" s="394" t="s">
        <v>2941</v>
      </c>
      <c r="C963" s="389">
        <v>1235</v>
      </c>
      <c r="D963" s="388">
        <f t="shared" si="153"/>
        <v>300.01259619402981</v>
      </c>
      <c r="E963" s="472">
        <v>20</v>
      </c>
      <c r="F963" s="582">
        <f t="shared" si="150"/>
        <v>320.02</v>
      </c>
      <c r="G963" s="394" t="s">
        <v>4662</v>
      </c>
      <c r="H963" s="592" t="s">
        <v>2935</v>
      </c>
      <c r="I963" s="520" t="s">
        <v>11649</v>
      </c>
      <c r="J963" s="421" t="s">
        <v>753</v>
      </c>
      <c r="K963" s="520" t="s">
        <v>741</v>
      </c>
    </row>
    <row r="964" spans="1:11" s="341" customFormat="1">
      <c r="A964" s="421"/>
      <c r="B964" s="394" t="s">
        <v>2942</v>
      </c>
      <c r="C964" s="389">
        <v>1300</v>
      </c>
      <c r="D964" s="388">
        <f t="shared" si="153"/>
        <v>315.80273283582085</v>
      </c>
      <c r="E964" s="472">
        <v>20</v>
      </c>
      <c r="F964" s="582">
        <f t="shared" si="150"/>
        <v>335.81</v>
      </c>
      <c r="G964" s="394" t="s">
        <v>4663</v>
      </c>
      <c r="H964" s="592" t="s">
        <v>2936</v>
      </c>
      <c r="I964" s="520" t="s">
        <v>11649</v>
      </c>
      <c r="J964" s="421" t="s">
        <v>753</v>
      </c>
      <c r="K964" s="520" t="s">
        <v>741</v>
      </c>
    </row>
    <row r="965" spans="1:11" s="341" customFormat="1">
      <c r="A965" s="421"/>
      <c r="B965" s="394" t="s">
        <v>2943</v>
      </c>
      <c r="C965" s="389">
        <v>1300</v>
      </c>
      <c r="D965" s="388">
        <f t="shared" si="153"/>
        <v>315.80273283582085</v>
      </c>
      <c r="E965" s="472">
        <v>20</v>
      </c>
      <c r="F965" s="582">
        <f t="shared" si="150"/>
        <v>335.81</v>
      </c>
      <c r="G965" s="394" t="s">
        <v>4664</v>
      </c>
      <c r="H965" s="592" t="s">
        <v>2937</v>
      </c>
      <c r="I965" s="520" t="s">
        <v>11649</v>
      </c>
      <c r="J965" s="421" t="s">
        <v>753</v>
      </c>
      <c r="K965" s="520" t="s">
        <v>741</v>
      </c>
    </row>
    <row r="966" spans="1:11" s="341" customFormat="1">
      <c r="A966" s="421"/>
      <c r="B966" s="394" t="s">
        <v>2944</v>
      </c>
      <c r="C966" s="389">
        <v>1707</v>
      </c>
      <c r="D966" s="388">
        <f t="shared" si="153"/>
        <v>414.67328073134325</v>
      </c>
      <c r="E966" s="472">
        <v>20</v>
      </c>
      <c r="F966" s="582">
        <f t="shared" si="150"/>
        <v>434.68</v>
      </c>
      <c r="G966" s="394" t="s">
        <v>4665</v>
      </c>
      <c r="H966" s="592" t="s">
        <v>2938</v>
      </c>
      <c r="I966" s="520" t="s">
        <v>11649</v>
      </c>
      <c r="J966" s="421" t="s">
        <v>753</v>
      </c>
      <c r="K966" s="520" t="s">
        <v>741</v>
      </c>
    </row>
    <row r="967" spans="1:11" s="341" customFormat="1">
      <c r="A967" s="421"/>
      <c r="B967" s="394" t="s">
        <v>2945</v>
      </c>
      <c r="C967" s="389">
        <v>1803</v>
      </c>
      <c r="D967" s="388">
        <f t="shared" si="153"/>
        <v>437.99409792537313</v>
      </c>
      <c r="E967" s="472">
        <v>20</v>
      </c>
      <c r="F967" s="582">
        <f t="shared" si="150"/>
        <v>458</v>
      </c>
      <c r="G967" s="394" t="s">
        <v>4666</v>
      </c>
      <c r="H967" s="592" t="s">
        <v>2939</v>
      </c>
      <c r="I967" s="520" t="s">
        <v>11649</v>
      </c>
      <c r="J967" s="421" t="s">
        <v>753</v>
      </c>
      <c r="K967" s="520" t="s">
        <v>741</v>
      </c>
    </row>
    <row r="968" spans="1:11" s="339" customFormat="1">
      <c r="A968" s="421"/>
      <c r="B968" s="338"/>
      <c r="C968" s="209" t="s">
        <v>2058</v>
      </c>
      <c r="D968" s="244"/>
      <c r="E968" s="228"/>
      <c r="F968" s="585"/>
      <c r="G968" s="338"/>
      <c r="H968" s="592"/>
      <c r="I968" s="520"/>
      <c r="J968" s="421"/>
      <c r="K968" s="520"/>
    </row>
    <row r="969" spans="1:11" s="341" customFormat="1">
      <c r="A969" s="2117"/>
      <c r="B969" s="338" t="s">
        <v>12223</v>
      </c>
      <c r="C969" s="209">
        <v>1150</v>
      </c>
      <c r="D969" s="244">
        <f t="shared" ref="D969:D979" si="154">C969*(1-VLOOKUP(I969,descuentos,6,FALSE))*fcl/IF(dol_sol="dólar", TC,1)</f>
        <v>279.36395597014928</v>
      </c>
      <c r="E969" s="472">
        <v>15</v>
      </c>
      <c r="F969" s="585">
        <f t="shared" ref="F969:F979" si="155">ROUNDUP(D969+E969,2)</f>
        <v>294.37</v>
      </c>
      <c r="G969" s="338" t="s">
        <v>12224</v>
      </c>
      <c r="H969" s="592" t="s">
        <v>12225</v>
      </c>
      <c r="I969" s="520" t="s">
        <v>11649</v>
      </c>
      <c r="J969" s="421" t="s">
        <v>753</v>
      </c>
      <c r="K969" s="520" t="s">
        <v>741</v>
      </c>
    </row>
    <row r="970" spans="1:11" s="341" customFormat="1">
      <c r="A970" s="2117"/>
      <c r="B970" s="338" t="s">
        <v>12226</v>
      </c>
      <c r="C970" s="209">
        <v>1150</v>
      </c>
      <c r="D970" s="244">
        <f t="shared" si="154"/>
        <v>279.36395597014928</v>
      </c>
      <c r="E970" s="472">
        <v>15</v>
      </c>
      <c r="F970" s="585">
        <f t="shared" si="155"/>
        <v>294.37</v>
      </c>
      <c r="G970" s="338" t="s">
        <v>12227</v>
      </c>
      <c r="H970" s="592" t="s">
        <v>12228</v>
      </c>
      <c r="I970" s="520" t="s">
        <v>11649</v>
      </c>
      <c r="J970" s="421" t="s">
        <v>753</v>
      </c>
      <c r="K970" s="520" t="s">
        <v>741</v>
      </c>
    </row>
    <row r="971" spans="1:11" s="341" customFormat="1">
      <c r="A971" s="2117"/>
      <c r="B971" s="338" t="s">
        <v>12229</v>
      </c>
      <c r="C971" s="209">
        <v>1150</v>
      </c>
      <c r="D971" s="244">
        <f t="shared" si="154"/>
        <v>279.36395597014928</v>
      </c>
      <c r="E971" s="472">
        <v>15</v>
      </c>
      <c r="F971" s="585">
        <f t="shared" si="155"/>
        <v>294.37</v>
      </c>
      <c r="G971" s="338" t="s">
        <v>12230</v>
      </c>
      <c r="H971" s="592" t="s">
        <v>12231</v>
      </c>
      <c r="I971" s="520" t="s">
        <v>11649</v>
      </c>
      <c r="J971" s="421" t="s">
        <v>753</v>
      </c>
      <c r="K971" s="520" t="s">
        <v>741</v>
      </c>
    </row>
    <row r="972" spans="1:11" s="341" customFormat="1">
      <c r="A972" s="2117"/>
      <c r="B972" s="338" t="s">
        <v>12232</v>
      </c>
      <c r="C972" s="209">
        <v>1150</v>
      </c>
      <c r="D972" s="244">
        <f t="shared" si="154"/>
        <v>279.36395597014928</v>
      </c>
      <c r="E972" s="472">
        <v>15</v>
      </c>
      <c r="F972" s="585">
        <f t="shared" si="155"/>
        <v>294.37</v>
      </c>
      <c r="G972" s="338" t="s">
        <v>12233</v>
      </c>
      <c r="H972" s="592" t="s">
        <v>12234</v>
      </c>
      <c r="I972" s="520" t="s">
        <v>11649</v>
      </c>
      <c r="J972" s="421" t="s">
        <v>753</v>
      </c>
      <c r="K972" s="520" t="s">
        <v>741</v>
      </c>
    </row>
    <row r="973" spans="1:11" s="341" customFormat="1">
      <c r="A973" s="2117"/>
      <c r="B973" s="338" t="s">
        <v>12235</v>
      </c>
      <c r="C973" s="209">
        <v>1150</v>
      </c>
      <c r="D973" s="244">
        <f t="shared" si="154"/>
        <v>279.36395597014928</v>
      </c>
      <c r="E973" s="472">
        <v>15</v>
      </c>
      <c r="F973" s="585">
        <f t="shared" si="155"/>
        <v>294.37</v>
      </c>
      <c r="G973" s="338" t="s">
        <v>12236</v>
      </c>
      <c r="H973" s="592" t="s">
        <v>12237</v>
      </c>
      <c r="I973" s="520" t="s">
        <v>11649</v>
      </c>
      <c r="J973" s="421" t="s">
        <v>753</v>
      </c>
      <c r="K973" s="520" t="s">
        <v>741</v>
      </c>
    </row>
    <row r="974" spans="1:11" s="341" customFormat="1">
      <c r="A974" s="2117"/>
      <c r="B974" s="338" t="s">
        <v>12238</v>
      </c>
      <c r="C974" s="209">
        <v>1150</v>
      </c>
      <c r="D974" s="244">
        <f t="shared" si="154"/>
        <v>279.36395597014928</v>
      </c>
      <c r="E974" s="472">
        <v>15</v>
      </c>
      <c r="F974" s="585">
        <f t="shared" si="155"/>
        <v>294.37</v>
      </c>
      <c r="G974" s="338" t="s">
        <v>12239</v>
      </c>
      <c r="H974" s="592" t="s">
        <v>12240</v>
      </c>
      <c r="I974" s="520" t="s">
        <v>11649</v>
      </c>
      <c r="J974" s="421" t="s">
        <v>753</v>
      </c>
      <c r="K974" s="520" t="s">
        <v>741</v>
      </c>
    </row>
    <row r="975" spans="1:11" s="341" customFormat="1">
      <c r="A975" s="2117"/>
      <c r="B975" s="338" t="s">
        <v>12241</v>
      </c>
      <c r="C975" s="209">
        <v>1150</v>
      </c>
      <c r="D975" s="244">
        <f t="shared" si="154"/>
        <v>279.36395597014928</v>
      </c>
      <c r="E975" s="472">
        <v>15</v>
      </c>
      <c r="F975" s="585">
        <f t="shared" si="155"/>
        <v>294.37</v>
      </c>
      <c r="G975" s="338" t="s">
        <v>12242</v>
      </c>
      <c r="H975" s="592" t="s">
        <v>12243</v>
      </c>
      <c r="I975" s="520" t="s">
        <v>11649</v>
      </c>
      <c r="J975" s="421" t="s">
        <v>753</v>
      </c>
      <c r="K975" s="520" t="s">
        <v>741</v>
      </c>
    </row>
    <row r="976" spans="1:11" s="341" customFormat="1">
      <c r="A976" s="2117"/>
      <c r="B976" s="338" t="s">
        <v>12244</v>
      </c>
      <c r="C976" s="209">
        <v>1212</v>
      </c>
      <c r="D976" s="244">
        <f t="shared" si="154"/>
        <v>294.42531707462683</v>
      </c>
      <c r="E976" s="472">
        <v>15</v>
      </c>
      <c r="F976" s="585">
        <f t="shared" si="155"/>
        <v>309.43</v>
      </c>
      <c r="G976" s="338" t="s">
        <v>12245</v>
      </c>
      <c r="H976" s="592" t="s">
        <v>12246</v>
      </c>
      <c r="I976" s="520" t="s">
        <v>11649</v>
      </c>
      <c r="J976" s="421" t="s">
        <v>753</v>
      </c>
      <c r="K976" s="520" t="s">
        <v>741</v>
      </c>
    </row>
    <row r="977" spans="1:11" s="341" customFormat="1">
      <c r="A977" s="2117"/>
      <c r="B977" s="338" t="s">
        <v>12247</v>
      </c>
      <c r="C977" s="209">
        <v>1212</v>
      </c>
      <c r="D977" s="244">
        <f t="shared" si="154"/>
        <v>294.42531707462683</v>
      </c>
      <c r="E977" s="472">
        <v>15</v>
      </c>
      <c r="F977" s="585">
        <f t="shared" si="155"/>
        <v>309.43</v>
      </c>
      <c r="G977" s="338" t="s">
        <v>12248</v>
      </c>
      <c r="H977" s="592" t="s">
        <v>12249</v>
      </c>
      <c r="I977" s="520" t="s">
        <v>11649</v>
      </c>
      <c r="J977" s="421" t="s">
        <v>753</v>
      </c>
      <c r="K977" s="520" t="s">
        <v>741</v>
      </c>
    </row>
    <row r="978" spans="1:11" s="341" customFormat="1">
      <c r="A978" s="2117"/>
      <c r="B978" s="338" t="s">
        <v>12250</v>
      </c>
      <c r="C978" s="209">
        <v>1384</v>
      </c>
      <c r="D978" s="244">
        <f t="shared" si="154"/>
        <v>336.20844788059702</v>
      </c>
      <c r="E978" s="472">
        <v>15</v>
      </c>
      <c r="F978" s="585">
        <f t="shared" si="155"/>
        <v>351.21</v>
      </c>
      <c r="G978" s="338" t="s">
        <v>12251</v>
      </c>
      <c r="H978" s="592" t="s">
        <v>12252</v>
      </c>
      <c r="I978" s="520" t="s">
        <v>11649</v>
      </c>
      <c r="J978" s="421" t="s">
        <v>753</v>
      </c>
      <c r="K978" s="520" t="s">
        <v>741</v>
      </c>
    </row>
    <row r="979" spans="1:11" s="341" customFormat="1">
      <c r="A979" s="2117"/>
      <c r="B979" s="338" t="s">
        <v>12253</v>
      </c>
      <c r="C979" s="209">
        <v>1481</v>
      </c>
      <c r="D979" s="244">
        <f t="shared" si="154"/>
        <v>359.77219025373137</v>
      </c>
      <c r="E979" s="472">
        <v>15</v>
      </c>
      <c r="F979" s="585">
        <f t="shared" si="155"/>
        <v>374.78</v>
      </c>
      <c r="G979" s="338" t="s">
        <v>12254</v>
      </c>
      <c r="H979" s="592" t="s">
        <v>12255</v>
      </c>
      <c r="I979" s="520" t="s">
        <v>11649</v>
      </c>
      <c r="J979" s="421" t="s">
        <v>753</v>
      </c>
      <c r="K979" s="520" t="s">
        <v>741</v>
      </c>
    </row>
    <row r="980" spans="1:11" s="339" customFormat="1">
      <c r="A980" s="421"/>
      <c r="B980" s="338"/>
      <c r="C980" s="209" t="s">
        <v>2058</v>
      </c>
      <c r="D980" s="244"/>
      <c r="E980" s="228"/>
      <c r="F980" s="585"/>
      <c r="G980" s="338"/>
      <c r="H980" s="592"/>
      <c r="I980" s="520"/>
      <c r="J980" s="421"/>
      <c r="K980" s="520"/>
    </row>
    <row r="981" spans="1:11" s="339" customFormat="1">
      <c r="A981" s="421"/>
      <c r="B981" s="338"/>
      <c r="C981" s="209" t="s">
        <v>2058</v>
      </c>
      <c r="D981" s="244"/>
      <c r="E981" s="228"/>
      <c r="F981" s="585"/>
      <c r="G981" s="338"/>
      <c r="H981" s="592"/>
      <c r="I981" s="520"/>
      <c r="J981" s="421"/>
      <c r="K981" s="520"/>
    </row>
    <row r="982" spans="1:11" s="341" customFormat="1">
      <c r="A982" s="2117"/>
      <c r="B982" s="338" t="s">
        <v>13171</v>
      </c>
      <c r="C982" s="209">
        <v>1495</v>
      </c>
      <c r="D982" s="244">
        <f t="shared" ref="D982:D983" si="156">C982*(1-VLOOKUP(I982,descuentos,6,FALSE))*fcl/IF(dol_sol="dólar", TC,1)</f>
        <v>363.17314276119401</v>
      </c>
      <c r="E982" s="472">
        <v>15</v>
      </c>
      <c r="F982" s="585">
        <f t="shared" ref="F982:F983" si="157">ROUNDUP(D982+E982,2)</f>
        <v>378.18</v>
      </c>
      <c r="G982" s="338" t="s">
        <v>13172</v>
      </c>
      <c r="H982" s="592" t="s">
        <v>13173</v>
      </c>
      <c r="I982" s="520" t="s">
        <v>11649</v>
      </c>
      <c r="J982" s="421" t="s">
        <v>753</v>
      </c>
      <c r="K982" s="520" t="s">
        <v>741</v>
      </c>
    </row>
    <row r="983" spans="1:11" s="341" customFormat="1">
      <c r="A983" s="2117"/>
      <c r="B983" s="338" t="s">
        <v>13174</v>
      </c>
      <c r="C983" s="209">
        <v>1495</v>
      </c>
      <c r="D983" s="244">
        <f t="shared" si="156"/>
        <v>363.17314276119401</v>
      </c>
      <c r="E983" s="472">
        <v>15</v>
      </c>
      <c r="F983" s="585">
        <f t="shared" si="157"/>
        <v>378.18</v>
      </c>
      <c r="G983" s="338" t="s">
        <v>13175</v>
      </c>
      <c r="H983" s="592" t="s">
        <v>13176</v>
      </c>
      <c r="I983" s="520" t="s">
        <v>11649</v>
      </c>
      <c r="J983" s="421" t="s">
        <v>753</v>
      </c>
      <c r="K983" s="520" t="s">
        <v>741</v>
      </c>
    </row>
    <row r="984" spans="1:11" s="339" customFormat="1">
      <c r="A984" s="421"/>
      <c r="C984" s="209" t="s">
        <v>2058</v>
      </c>
      <c r="D984" s="244"/>
      <c r="E984" s="228"/>
      <c r="F984" s="585"/>
      <c r="G984" s="338"/>
      <c r="H984" s="592"/>
      <c r="I984" s="520"/>
      <c r="J984" s="421"/>
      <c r="K984" s="520"/>
    </row>
    <row r="985" spans="1:11" s="341" customFormat="1" ht="35.25" customHeight="1">
      <c r="A985" s="421"/>
      <c r="B985" s="1738" t="s">
        <v>6683</v>
      </c>
      <c r="C985" s="209" t="s">
        <v>2058</v>
      </c>
      <c r="D985" s="244"/>
      <c r="E985" s="228"/>
      <c r="F985" s="585"/>
      <c r="G985" s="338"/>
      <c r="H985" s="592"/>
      <c r="I985" s="520"/>
      <c r="J985" s="421"/>
      <c r="K985" s="520"/>
    </row>
    <row r="986" spans="1:11" s="341" customFormat="1">
      <c r="A986" s="1737"/>
      <c r="B986" s="394" t="s">
        <v>6684</v>
      </c>
      <c r="C986" s="389">
        <v>3133</v>
      </c>
      <c r="D986" s="388">
        <f t="shared" ref="D986:D995" si="158">C986*(1-VLOOKUP(I986,descuentos,6,FALSE))*fcl/IF(dol_sol="dólar", TC,1)</f>
        <v>761.08458613432833</v>
      </c>
      <c r="E986" s="228">
        <f t="shared" ref="E986:E994" si="159">D986/8</f>
        <v>95.135573266791042</v>
      </c>
      <c r="F986" s="582">
        <f t="shared" ref="F986:F995" si="160">ROUNDUP(D986+E986,2)</f>
        <v>856.23</v>
      </c>
      <c r="G986" s="394" t="s">
        <v>6685</v>
      </c>
      <c r="H986" s="592" t="s">
        <v>6686</v>
      </c>
      <c r="I986" s="520" t="s">
        <v>11649</v>
      </c>
      <c r="J986" s="421" t="s">
        <v>753</v>
      </c>
      <c r="K986" s="520" t="s">
        <v>741</v>
      </c>
    </row>
    <row r="987" spans="1:11" s="341" customFormat="1">
      <c r="A987" s="1737"/>
      <c r="B987" s="1939" t="s">
        <v>9888</v>
      </c>
      <c r="C987" s="389">
        <v>2962</v>
      </c>
      <c r="D987" s="388">
        <f t="shared" ref="D987" si="161">C987*(1-VLOOKUP(I987,descuentos,6,FALSE))*fcl/IF(dol_sol="dólar", TC,1)</f>
        <v>719.54438050746273</v>
      </c>
      <c r="E987" s="228">
        <f t="shared" si="159"/>
        <v>89.943047563432842</v>
      </c>
      <c r="F987" s="582">
        <f t="shared" si="160"/>
        <v>809.49</v>
      </c>
      <c r="G987" s="394" t="s">
        <v>9889</v>
      </c>
      <c r="H987" s="592" t="s">
        <v>9890</v>
      </c>
      <c r="I987" s="520" t="s">
        <v>11649</v>
      </c>
      <c r="J987" s="421" t="s">
        <v>753</v>
      </c>
      <c r="K987" s="520" t="s">
        <v>741</v>
      </c>
    </row>
    <row r="988" spans="1:11" s="341" customFormat="1">
      <c r="A988" s="1737"/>
      <c r="B988" s="1939" t="s">
        <v>9555</v>
      </c>
      <c r="C988" s="389">
        <v>2878</v>
      </c>
      <c r="D988" s="388">
        <f t="shared" si="158"/>
        <v>699.1386654626865</v>
      </c>
      <c r="E988" s="228">
        <f t="shared" si="159"/>
        <v>87.392333182835813</v>
      </c>
      <c r="F988" s="582">
        <f t="shared" si="160"/>
        <v>786.54</v>
      </c>
      <c r="G988" s="394" t="s">
        <v>9556</v>
      </c>
      <c r="H988" s="592" t="s">
        <v>9557</v>
      </c>
      <c r="I988" s="520" t="s">
        <v>11649</v>
      </c>
      <c r="J988" s="421" t="s">
        <v>753</v>
      </c>
      <c r="K988" s="520" t="s">
        <v>741</v>
      </c>
    </row>
    <row r="989" spans="1:11" s="341" customFormat="1">
      <c r="A989" s="1737"/>
      <c r="B989" s="1939" t="s">
        <v>9891</v>
      </c>
      <c r="C989" s="389">
        <v>2810</v>
      </c>
      <c r="D989" s="388">
        <f t="shared" ref="D989" si="162">C989*(1-VLOOKUP(I989,descuentos,6,FALSE))*fcl/IF(dol_sol="dólar", TC,1)</f>
        <v>682.6197532835821</v>
      </c>
      <c r="E989" s="228">
        <f t="shared" si="159"/>
        <v>85.327469160447762</v>
      </c>
      <c r="F989" s="582">
        <f t="shared" si="160"/>
        <v>767.95</v>
      </c>
      <c r="G989" s="394" t="s">
        <v>9892</v>
      </c>
      <c r="H989" s="592" t="s">
        <v>9893</v>
      </c>
      <c r="I989" s="520" t="s">
        <v>11649</v>
      </c>
      <c r="J989" s="421" t="s">
        <v>753</v>
      </c>
      <c r="K989" s="520" t="s">
        <v>741</v>
      </c>
    </row>
    <row r="990" spans="1:11" s="341" customFormat="1">
      <c r="A990" s="1737"/>
      <c r="B990" s="394" t="s">
        <v>9558</v>
      </c>
      <c r="C990" s="389">
        <v>2810</v>
      </c>
      <c r="D990" s="388">
        <f t="shared" ref="D990" si="163">C990*(1-VLOOKUP(I990,descuentos,6,FALSE))*fcl/IF(dol_sol="dólar", TC,1)</f>
        <v>682.6197532835821</v>
      </c>
      <c r="E990" s="228">
        <f t="shared" si="159"/>
        <v>85.327469160447762</v>
      </c>
      <c r="F990" s="582">
        <f t="shared" si="160"/>
        <v>767.95</v>
      </c>
      <c r="G990" s="394" t="s">
        <v>9559</v>
      </c>
      <c r="H990" s="592" t="s">
        <v>9560</v>
      </c>
      <c r="I990" s="520" t="s">
        <v>11649</v>
      </c>
      <c r="J990" s="421" t="s">
        <v>753</v>
      </c>
      <c r="K990" s="520" t="s">
        <v>741</v>
      </c>
    </row>
    <row r="991" spans="1:11" s="341" customFormat="1">
      <c r="A991" s="1737"/>
      <c r="B991" s="394" t="s">
        <v>6687</v>
      </c>
      <c r="C991" s="389">
        <v>637</v>
      </c>
      <c r="D991" s="388">
        <f t="shared" si="158"/>
        <v>154.74333908955222</v>
      </c>
      <c r="E991" s="228">
        <f t="shared" si="159"/>
        <v>19.342917386194028</v>
      </c>
      <c r="F991" s="582">
        <f t="shared" si="160"/>
        <v>174.09</v>
      </c>
      <c r="G991" s="394" t="s">
        <v>6688</v>
      </c>
      <c r="H991" s="592" t="s">
        <v>6689</v>
      </c>
      <c r="I991" s="520" t="s">
        <v>11649</v>
      </c>
      <c r="J991" s="421" t="s">
        <v>753</v>
      </c>
      <c r="K991" s="520" t="s">
        <v>741</v>
      </c>
    </row>
    <row r="992" spans="1:11" s="341" customFormat="1">
      <c r="A992" s="1737"/>
      <c r="B992" s="394" t="s">
        <v>6690</v>
      </c>
      <c r="C992" s="389">
        <v>258</v>
      </c>
      <c r="D992" s="388">
        <f t="shared" si="158"/>
        <v>62.674696208955211</v>
      </c>
      <c r="E992" s="228">
        <f t="shared" si="159"/>
        <v>7.8343370261194014</v>
      </c>
      <c r="F992" s="582">
        <f t="shared" si="160"/>
        <v>70.510000000000005</v>
      </c>
      <c r="G992" s="394" t="s">
        <v>6691</v>
      </c>
      <c r="H992" s="592" t="s">
        <v>6692</v>
      </c>
      <c r="I992" s="520" t="s">
        <v>11649</v>
      </c>
      <c r="J992" s="421" t="s">
        <v>753</v>
      </c>
      <c r="K992" s="520" t="s">
        <v>741</v>
      </c>
    </row>
    <row r="993" spans="1:11" s="341" customFormat="1">
      <c r="A993" s="1737"/>
      <c r="B993" s="394" t="s">
        <v>6693</v>
      </c>
      <c r="C993" s="389">
        <v>265</v>
      </c>
      <c r="D993" s="388">
        <f t="shared" si="158"/>
        <v>64.37517246268655</v>
      </c>
      <c r="E993" s="228">
        <f t="shared" si="159"/>
        <v>8.0468965578358187</v>
      </c>
      <c r="F993" s="582">
        <f t="shared" si="160"/>
        <v>72.430000000000007</v>
      </c>
      <c r="G993" s="394" t="s">
        <v>6694</v>
      </c>
      <c r="H993" s="592" t="s">
        <v>6695</v>
      </c>
      <c r="I993" s="520" t="s">
        <v>11649</v>
      </c>
      <c r="J993" s="421" t="s">
        <v>753</v>
      </c>
      <c r="K993" s="520" t="s">
        <v>741</v>
      </c>
    </row>
    <row r="994" spans="1:11" s="341" customFormat="1">
      <c r="A994" s="1737"/>
      <c r="B994" s="394" t="s">
        <v>6696</v>
      </c>
      <c r="C994" s="389">
        <v>617</v>
      </c>
      <c r="D994" s="388">
        <f t="shared" si="158"/>
        <v>149.8848355074627</v>
      </c>
      <c r="E994" s="228">
        <f t="shared" si="159"/>
        <v>18.735604438432837</v>
      </c>
      <c r="F994" s="582">
        <f t="shared" si="160"/>
        <v>168.63</v>
      </c>
      <c r="G994" s="394" t="s">
        <v>6697</v>
      </c>
      <c r="H994" s="592" t="s">
        <v>6698</v>
      </c>
      <c r="I994" s="520" t="s">
        <v>11649</v>
      </c>
      <c r="J994" s="421" t="s">
        <v>753</v>
      </c>
      <c r="K994" s="520" t="s">
        <v>741</v>
      </c>
    </row>
    <row r="995" spans="1:11" s="341" customFormat="1">
      <c r="A995" s="1737"/>
      <c r="B995" s="592" t="s">
        <v>1389</v>
      </c>
      <c r="C995" s="209">
        <v>1842</v>
      </c>
      <c r="D995" s="244">
        <f t="shared" si="158"/>
        <v>447.46817991044776</v>
      </c>
      <c r="E995" s="228">
        <v>30</v>
      </c>
      <c r="F995" s="585">
        <f t="shared" si="160"/>
        <v>477.46999999999997</v>
      </c>
      <c r="G995" s="338" t="s">
        <v>3697</v>
      </c>
      <c r="H995" s="592" t="s">
        <v>1390</v>
      </c>
      <c r="I995" s="520" t="s">
        <v>11649</v>
      </c>
      <c r="J995" s="421" t="s">
        <v>753</v>
      </c>
      <c r="K995" s="520" t="s">
        <v>741</v>
      </c>
    </row>
    <row r="996" spans="1:11" s="341" customFormat="1">
      <c r="A996" s="421"/>
      <c r="B996" s="592"/>
      <c r="C996" s="209" t="s">
        <v>2058</v>
      </c>
      <c r="D996" s="244"/>
      <c r="E996" s="228"/>
      <c r="F996" s="585"/>
      <c r="G996" s="338"/>
      <c r="H996" s="592"/>
      <c r="I996" s="520"/>
      <c r="J996" s="421"/>
      <c r="K996" s="520"/>
    </row>
    <row r="997" spans="1:11" s="341" customFormat="1">
      <c r="A997" s="421"/>
      <c r="B997" s="338"/>
      <c r="C997" s="209" t="s">
        <v>2058</v>
      </c>
      <c r="D997" s="388"/>
      <c r="E997" s="228"/>
      <c r="F997" s="582"/>
      <c r="G997" s="338"/>
      <c r="H997" s="592"/>
      <c r="I997" s="520"/>
      <c r="J997" s="421"/>
      <c r="K997" s="520"/>
    </row>
    <row r="998" spans="1:11" s="341" customFormat="1">
      <c r="A998" s="421"/>
      <c r="B998" s="338" t="s">
        <v>874</v>
      </c>
      <c r="C998" s="209">
        <v>905</v>
      </c>
      <c r="D998" s="244">
        <f>C998*(1-VLOOKUP(I998,descuentos,6,FALSE))*fcl/IF(dol_sol="dólar", TC,1)</f>
        <v>219.84728708955222</v>
      </c>
      <c r="E998" s="228">
        <f>D998/8</f>
        <v>27.480910886194028</v>
      </c>
      <c r="F998" s="585">
        <f t="shared" si="150"/>
        <v>247.32999999999998</v>
      </c>
      <c r="G998" s="338" t="s">
        <v>4667</v>
      </c>
      <c r="H998" s="592" t="s">
        <v>877</v>
      </c>
      <c r="I998" s="520" t="s">
        <v>11649</v>
      </c>
      <c r="J998" s="421" t="s">
        <v>753</v>
      </c>
      <c r="K998" s="520" t="s">
        <v>741</v>
      </c>
    </row>
    <row r="999" spans="1:11" s="341" customFormat="1">
      <c r="A999" s="421"/>
      <c r="B999" s="338" t="s">
        <v>875</v>
      </c>
      <c r="C999" s="209">
        <v>926</v>
      </c>
      <c r="D999" s="244">
        <f>C999*(1-VLOOKUP(I999,descuentos,6,FALSE))*fcl/IF(dol_sol="dólar", TC,1)</f>
        <v>224.94871585074623</v>
      </c>
      <c r="E999" s="228">
        <f>D999/8</f>
        <v>28.118589481343278</v>
      </c>
      <c r="F999" s="585">
        <f t="shared" si="150"/>
        <v>253.07</v>
      </c>
      <c r="G999" s="338" t="s">
        <v>4668</v>
      </c>
      <c r="H999" s="592" t="s">
        <v>878</v>
      </c>
      <c r="I999" s="520" t="s">
        <v>11649</v>
      </c>
      <c r="J999" s="421" t="s">
        <v>753</v>
      </c>
      <c r="K999" s="520" t="s">
        <v>741</v>
      </c>
    </row>
    <row r="1000" spans="1:11" s="341" customFormat="1">
      <c r="A1000" s="421"/>
      <c r="B1000" s="338"/>
      <c r="C1000" s="209" t="s">
        <v>2058</v>
      </c>
      <c r="D1000" s="244"/>
      <c r="E1000" s="228"/>
      <c r="F1000" s="585"/>
      <c r="G1000" s="338"/>
      <c r="H1000" s="592"/>
      <c r="I1000" s="520"/>
      <c r="J1000" s="421"/>
      <c r="K1000" s="520"/>
    </row>
    <row r="1001" spans="1:11" s="341" customFormat="1">
      <c r="A1001" s="421"/>
      <c r="B1001" s="338" t="s">
        <v>823</v>
      </c>
      <c r="C1001" s="209">
        <v>1182</v>
      </c>
      <c r="D1001" s="244">
        <f>C1001*(1-VLOOKUP(I1001,descuentos,6,FALSE))*fcl/IF(dol_sol="dólar", TC,1)</f>
        <v>287.13756170149247</v>
      </c>
      <c r="E1001" s="228">
        <f>D1001/8</f>
        <v>35.892195212686559</v>
      </c>
      <c r="F1001" s="585">
        <f t="shared" si="150"/>
        <v>323.02999999999997</v>
      </c>
      <c r="G1001" s="338" t="s">
        <v>4670</v>
      </c>
      <c r="H1001" s="592" t="s">
        <v>824</v>
      </c>
      <c r="I1001" s="520" t="s">
        <v>11649</v>
      </c>
      <c r="J1001" s="421" t="s">
        <v>753</v>
      </c>
      <c r="K1001" s="520" t="s">
        <v>741</v>
      </c>
    </row>
    <row r="1002" spans="1:11" s="341" customFormat="1">
      <c r="A1002" s="421"/>
      <c r="B1002" s="338" t="s">
        <v>876</v>
      </c>
      <c r="C1002" s="209">
        <v>1222</v>
      </c>
      <c r="D1002" s="244">
        <f>C1002*(1-VLOOKUP(I1002,descuentos,6,FALSE))*fcl/IF(dol_sol="dólar", TC,1)</f>
        <v>296.85456886567164</v>
      </c>
      <c r="E1002" s="228">
        <f>D1002/8</f>
        <v>37.106821108208955</v>
      </c>
      <c r="F1002" s="585">
        <f t="shared" si="150"/>
        <v>333.96999999999997</v>
      </c>
      <c r="G1002" s="338" t="s">
        <v>4671</v>
      </c>
      <c r="H1002" s="592" t="s">
        <v>879</v>
      </c>
      <c r="I1002" s="520" t="s">
        <v>11649</v>
      </c>
      <c r="J1002" s="421" t="s">
        <v>753</v>
      </c>
      <c r="K1002" s="520" t="s">
        <v>741</v>
      </c>
    </row>
    <row r="1003" spans="1:11" s="341" customFormat="1">
      <c r="A1003" s="421"/>
      <c r="B1003" s="338"/>
      <c r="C1003" s="209" t="s">
        <v>2058</v>
      </c>
      <c r="D1003" s="244"/>
      <c r="E1003" s="228"/>
      <c r="F1003" s="585"/>
      <c r="G1003" s="338"/>
      <c r="H1003" s="592"/>
      <c r="I1003" s="520"/>
      <c r="J1003" s="421"/>
      <c r="K1003" s="520"/>
    </row>
    <row r="1004" spans="1:11" s="341" customFormat="1">
      <c r="A1004" s="421"/>
      <c r="B1004" s="394" t="s">
        <v>2251</v>
      </c>
      <c r="C1004" s="389">
        <v>1177</v>
      </c>
      <c r="D1004" s="388">
        <f>C1004*(1-VLOOKUP(I1004,descuentos,6,FALSE))*fcl/IF(dol_sol="dólar", TC,1)</f>
        <v>285.92293580597016</v>
      </c>
      <c r="E1004" s="386">
        <f>D1004/8</f>
        <v>35.740366975746269</v>
      </c>
      <c r="F1004" s="582">
        <f>ROUNDUP(D1004+E1004,2)</f>
        <v>321.67</v>
      </c>
      <c r="G1004" s="394" t="s">
        <v>6699</v>
      </c>
      <c r="H1004" s="592" t="s">
        <v>2252</v>
      </c>
      <c r="I1004" s="520" t="s">
        <v>11649</v>
      </c>
      <c r="J1004" s="421" t="s">
        <v>753</v>
      </c>
      <c r="K1004" s="520" t="s">
        <v>741</v>
      </c>
    </row>
    <row r="1005" spans="1:11" s="341" customFormat="1">
      <c r="A1005" s="421"/>
      <c r="B1005" s="394" t="s">
        <v>2253</v>
      </c>
      <c r="C1005" s="389">
        <v>1201</v>
      </c>
      <c r="D1005" s="388">
        <f>C1005*(1-VLOOKUP(I1005,descuentos,6,FALSE))*fcl/IF(dol_sol="dólar", TC,1)</f>
        <v>291.75314010447761</v>
      </c>
      <c r="E1005" s="386">
        <f>D1005/8</f>
        <v>36.469142513059701</v>
      </c>
      <c r="F1005" s="582">
        <f>ROUNDUP(D1005+E1005,2)</f>
        <v>328.23</v>
      </c>
      <c r="G1005" s="394" t="s">
        <v>4669</v>
      </c>
      <c r="H1005" s="592" t="s">
        <v>2254</v>
      </c>
      <c r="I1005" s="520" t="s">
        <v>11649</v>
      </c>
      <c r="J1005" s="421" t="s">
        <v>753</v>
      </c>
      <c r="K1005" s="520" t="s">
        <v>741</v>
      </c>
    </row>
    <row r="1006" spans="1:11" s="341" customFormat="1">
      <c r="A1006" s="421"/>
      <c r="B1006" s="394"/>
      <c r="C1006" s="389" t="s">
        <v>2058</v>
      </c>
      <c r="D1006" s="388"/>
      <c r="E1006" s="386"/>
      <c r="F1006" s="582"/>
      <c r="G1006" s="394"/>
      <c r="H1006" s="592"/>
      <c r="I1006" s="520"/>
      <c r="J1006" s="421"/>
      <c r="K1006" s="520"/>
    </row>
    <row r="1007" spans="1:11" s="341" customFormat="1">
      <c r="A1007" s="421"/>
      <c r="B1007" s="394" t="s">
        <v>2255</v>
      </c>
      <c r="C1007" s="389">
        <v>1587</v>
      </c>
      <c r="D1007" s="388">
        <f>C1007*(1-VLOOKUP(I1007,descuentos,6,FALSE))*fcl/IF(dol_sol="dólar", TC,1)</f>
        <v>385.52225923880593</v>
      </c>
      <c r="E1007" s="386">
        <f>D1007/8</f>
        <v>48.190282404850741</v>
      </c>
      <c r="F1007" s="582">
        <f t="shared" si="150"/>
        <v>433.71999999999997</v>
      </c>
      <c r="G1007" s="394" t="s">
        <v>4672</v>
      </c>
      <c r="H1007" s="592" t="s">
        <v>2256</v>
      </c>
      <c r="I1007" s="520" t="s">
        <v>11649</v>
      </c>
      <c r="J1007" s="421" t="s">
        <v>753</v>
      </c>
      <c r="K1007" s="520" t="s">
        <v>741</v>
      </c>
    </row>
    <row r="1008" spans="1:11" s="341" customFormat="1">
      <c r="A1008" s="421"/>
      <c r="B1008" s="338"/>
      <c r="C1008" s="209" t="s">
        <v>2058</v>
      </c>
      <c r="D1008" s="244"/>
      <c r="E1008" s="228"/>
      <c r="F1008" s="585"/>
      <c r="G1008" s="338"/>
      <c r="H1008" s="592"/>
      <c r="I1008" s="520"/>
      <c r="J1008" s="421"/>
      <c r="K1008" s="520"/>
    </row>
    <row r="1009" spans="1:11" s="341" customFormat="1">
      <c r="A1009" s="421"/>
      <c r="B1009" s="338"/>
      <c r="C1009" s="209" t="s">
        <v>2058</v>
      </c>
      <c r="D1009" s="244"/>
      <c r="E1009" s="228"/>
      <c r="F1009" s="585"/>
      <c r="G1009" s="338"/>
      <c r="H1009" s="592"/>
      <c r="I1009" s="520"/>
      <c r="J1009" s="421"/>
      <c r="K1009" s="520"/>
    </row>
    <row r="1010" spans="1:11" s="341" customFormat="1">
      <c r="A1010" s="421"/>
      <c r="B1010" s="338" t="s">
        <v>13005</v>
      </c>
      <c r="C1010" s="209">
        <v>856</v>
      </c>
      <c r="D1010" s="244">
        <f>C1010*(1-VLOOKUP(I1010,descuentos,6,FALSE))*fcl/IF(dol_sol="dólar", TC,1)</f>
        <v>207.94395331343281</v>
      </c>
      <c r="E1010" s="228">
        <f>D1010/8</f>
        <v>25.992994164179102</v>
      </c>
      <c r="F1010" s="585">
        <f>ROUNDUP(D1010+E1010,2)</f>
        <v>233.94</v>
      </c>
      <c r="G1010" s="338" t="s">
        <v>13006</v>
      </c>
      <c r="H1010" s="592" t="s">
        <v>13007</v>
      </c>
      <c r="I1010" s="520" t="s">
        <v>11649</v>
      </c>
      <c r="J1010" s="421" t="s">
        <v>753</v>
      </c>
      <c r="K1010" s="520" t="s">
        <v>741</v>
      </c>
    </row>
    <row r="1011" spans="1:11" s="341" customFormat="1">
      <c r="A1011" s="421"/>
      <c r="B1011" s="338" t="s">
        <v>13008</v>
      </c>
      <c r="C1011" s="209">
        <v>856</v>
      </c>
      <c r="D1011" s="244">
        <f>C1011*(1-VLOOKUP(I1011,descuentos,6,FALSE))*fcl/IF(dol_sol="dólar", TC,1)</f>
        <v>207.94395331343281</v>
      </c>
      <c r="E1011" s="228">
        <f>D1011/8</f>
        <v>25.992994164179102</v>
      </c>
      <c r="F1011" s="585">
        <f>ROUNDUP(D1011+E1011,2)</f>
        <v>233.94</v>
      </c>
      <c r="G1011" s="338" t="s">
        <v>13009</v>
      </c>
      <c r="H1011" s="592" t="s">
        <v>13010</v>
      </c>
      <c r="I1011" s="520" t="s">
        <v>11649</v>
      </c>
      <c r="J1011" s="421" t="s">
        <v>753</v>
      </c>
      <c r="K1011" s="520" t="s">
        <v>741</v>
      </c>
    </row>
    <row r="1012" spans="1:11" s="341" customFormat="1">
      <c r="A1012" s="421"/>
      <c r="B1012" s="338" t="s">
        <v>5044</v>
      </c>
      <c r="C1012" s="209">
        <v>856</v>
      </c>
      <c r="D1012" s="244">
        <f>C1012*(1-VLOOKUP(I1012,descuentos,6,FALSE))*fcl/IF(dol_sol="dólar", TC,1)</f>
        <v>207.94395331343281</v>
      </c>
      <c r="E1012" s="228">
        <f>D1012/8</f>
        <v>25.992994164179102</v>
      </c>
      <c r="F1012" s="585">
        <f>ROUNDUP(D1012+E1012,2)</f>
        <v>233.94</v>
      </c>
      <c r="G1012" s="338" t="s">
        <v>5045</v>
      </c>
      <c r="H1012" s="592" t="s">
        <v>5046</v>
      </c>
      <c r="I1012" s="520" t="s">
        <v>11649</v>
      </c>
      <c r="J1012" s="421" t="s">
        <v>753</v>
      </c>
      <c r="K1012" s="520" t="s">
        <v>741</v>
      </c>
    </row>
    <row r="1013" spans="1:11" s="341" customFormat="1">
      <c r="A1013" s="421"/>
      <c r="B1013" s="338" t="s">
        <v>890</v>
      </c>
      <c r="C1013" s="209">
        <v>856</v>
      </c>
      <c r="D1013" s="244">
        <f t="shared" ref="D1013:D1019" si="164">C1013*(1-VLOOKUP(I1013,descuentos,6,FALSE))*fcl/IF(dol_sol="dólar", TC,1)</f>
        <v>207.94395331343281</v>
      </c>
      <c r="E1013" s="228">
        <f t="shared" ref="E1013:E1019" si="165">D1013/8</f>
        <v>25.992994164179102</v>
      </c>
      <c r="F1013" s="585">
        <f t="shared" si="150"/>
        <v>233.94</v>
      </c>
      <c r="G1013" s="338" t="s">
        <v>4673</v>
      </c>
      <c r="H1013" s="592" t="s">
        <v>906</v>
      </c>
      <c r="I1013" s="520" t="s">
        <v>11649</v>
      </c>
      <c r="J1013" s="421" t="s">
        <v>753</v>
      </c>
      <c r="K1013" s="520" t="s">
        <v>741</v>
      </c>
    </row>
    <row r="1014" spans="1:11" s="341" customFormat="1">
      <c r="A1014" s="421"/>
      <c r="B1014" s="338" t="s">
        <v>888</v>
      </c>
      <c r="C1014" s="209">
        <v>914</v>
      </c>
      <c r="D1014" s="244">
        <f t="shared" si="164"/>
        <v>222.03361370149253</v>
      </c>
      <c r="E1014" s="228">
        <f t="shared" si="165"/>
        <v>27.754201712686566</v>
      </c>
      <c r="F1014" s="585">
        <f t="shared" si="150"/>
        <v>249.79</v>
      </c>
      <c r="G1014" s="338" t="s">
        <v>4674</v>
      </c>
      <c r="H1014" s="592" t="s">
        <v>904</v>
      </c>
      <c r="I1014" s="520" t="s">
        <v>11649</v>
      </c>
      <c r="J1014" s="421" t="s">
        <v>753</v>
      </c>
      <c r="K1014" s="520" t="s">
        <v>741</v>
      </c>
    </row>
    <row r="1015" spans="1:11" s="341" customFormat="1">
      <c r="A1015" s="421"/>
      <c r="B1015" s="338" t="s">
        <v>885</v>
      </c>
      <c r="C1015" s="209">
        <v>914</v>
      </c>
      <c r="D1015" s="244">
        <f t="shared" si="164"/>
        <v>222.03361370149253</v>
      </c>
      <c r="E1015" s="228">
        <f t="shared" si="165"/>
        <v>27.754201712686566</v>
      </c>
      <c r="F1015" s="585">
        <f t="shared" si="150"/>
        <v>249.79</v>
      </c>
      <c r="G1015" s="338" t="s">
        <v>4675</v>
      </c>
      <c r="H1015" s="592" t="s">
        <v>900</v>
      </c>
      <c r="I1015" s="520" t="s">
        <v>11649</v>
      </c>
      <c r="J1015" s="421" t="s">
        <v>753</v>
      </c>
      <c r="K1015" s="520" t="s">
        <v>741</v>
      </c>
    </row>
    <row r="1016" spans="1:11" s="341" customFormat="1">
      <c r="A1016" s="421"/>
      <c r="B1016" s="338" t="s">
        <v>3891</v>
      </c>
      <c r="C1016" s="209">
        <v>971</v>
      </c>
      <c r="D1016" s="244">
        <f>C1016*(1-VLOOKUP(I1016,descuentos,6,FALSE))*fcl/IF(dol_sol="dólar", TC,1)</f>
        <v>235.88034891044774</v>
      </c>
      <c r="E1016" s="228">
        <f t="shared" si="165"/>
        <v>29.485043613805967</v>
      </c>
      <c r="F1016" s="585">
        <f t="shared" si="150"/>
        <v>265.37</v>
      </c>
      <c r="G1016" s="338" t="s">
        <v>4676</v>
      </c>
      <c r="H1016" s="592" t="s">
        <v>3892</v>
      </c>
      <c r="I1016" s="520" t="s">
        <v>11649</v>
      </c>
      <c r="J1016" s="421" t="s">
        <v>753</v>
      </c>
      <c r="K1016" s="520" t="s">
        <v>741</v>
      </c>
    </row>
    <row r="1017" spans="1:11" s="341" customFormat="1">
      <c r="A1017" s="421"/>
      <c r="B1017" s="338" t="s">
        <v>892</v>
      </c>
      <c r="C1017" s="209">
        <v>971</v>
      </c>
      <c r="D1017" s="244">
        <f t="shared" si="164"/>
        <v>235.88034891044774</v>
      </c>
      <c r="E1017" s="228">
        <f t="shared" si="165"/>
        <v>29.485043613805967</v>
      </c>
      <c r="F1017" s="585">
        <f t="shared" si="150"/>
        <v>265.37</v>
      </c>
      <c r="G1017" s="338" t="s">
        <v>4677</v>
      </c>
      <c r="H1017" s="592" t="s">
        <v>908</v>
      </c>
      <c r="I1017" s="520" t="s">
        <v>11649</v>
      </c>
      <c r="J1017" s="421" t="s">
        <v>753</v>
      </c>
      <c r="K1017" s="520" t="s">
        <v>741</v>
      </c>
    </row>
    <row r="1018" spans="1:11" s="341" customFormat="1">
      <c r="A1018" s="421"/>
      <c r="B1018" s="338" t="s">
        <v>883</v>
      </c>
      <c r="C1018" s="209">
        <v>971</v>
      </c>
      <c r="D1018" s="244">
        <f t="shared" si="164"/>
        <v>235.88034891044774</v>
      </c>
      <c r="E1018" s="228">
        <f t="shared" si="165"/>
        <v>29.485043613805967</v>
      </c>
      <c r="F1018" s="585">
        <f t="shared" si="150"/>
        <v>265.37</v>
      </c>
      <c r="G1018" s="338" t="s">
        <v>4678</v>
      </c>
      <c r="H1018" s="592" t="s">
        <v>898</v>
      </c>
      <c r="I1018" s="520" t="s">
        <v>11649</v>
      </c>
      <c r="J1018" s="421" t="s">
        <v>753</v>
      </c>
      <c r="K1018" s="520" t="s">
        <v>741</v>
      </c>
    </row>
    <row r="1019" spans="1:11" s="341" customFormat="1">
      <c r="A1019" s="421"/>
      <c r="B1019" s="338" t="s">
        <v>889</v>
      </c>
      <c r="C1019" s="209">
        <v>1027</v>
      </c>
      <c r="D1019" s="244">
        <f t="shared" si="164"/>
        <v>249.48415894029847</v>
      </c>
      <c r="E1019" s="228">
        <f t="shared" si="165"/>
        <v>31.185519867537309</v>
      </c>
      <c r="F1019" s="585">
        <f t="shared" si="150"/>
        <v>280.67</v>
      </c>
      <c r="G1019" s="338" t="s">
        <v>4679</v>
      </c>
      <c r="H1019" s="592" t="s">
        <v>905</v>
      </c>
      <c r="I1019" s="520" t="s">
        <v>11649</v>
      </c>
      <c r="J1019" s="421" t="s">
        <v>753</v>
      </c>
      <c r="K1019" s="520" t="s">
        <v>741</v>
      </c>
    </row>
    <row r="1020" spans="1:11" s="341" customFormat="1">
      <c r="A1020" s="421"/>
      <c r="B1020" s="338"/>
      <c r="C1020" s="209" t="s">
        <v>2058</v>
      </c>
      <c r="D1020" s="244"/>
      <c r="E1020" s="228"/>
      <c r="F1020" s="585"/>
      <c r="G1020" s="630"/>
      <c r="H1020" s="592"/>
      <c r="I1020" s="520"/>
      <c r="J1020" s="421"/>
      <c r="K1020" s="520"/>
    </row>
    <row r="1021" spans="1:11" s="341" customFormat="1">
      <c r="A1021" s="421"/>
      <c r="B1021" s="338"/>
      <c r="C1021" s="209" t="s">
        <v>2058</v>
      </c>
      <c r="D1021" s="244"/>
      <c r="E1021" s="228"/>
      <c r="F1021" s="585"/>
      <c r="G1021" s="338"/>
      <c r="H1021" s="592"/>
      <c r="I1021" s="520"/>
      <c r="J1021" s="421"/>
      <c r="K1021" s="520"/>
    </row>
    <row r="1022" spans="1:11" s="341" customFormat="1">
      <c r="A1022" s="421"/>
      <c r="B1022" s="394" t="s">
        <v>13011</v>
      </c>
      <c r="C1022" s="389">
        <v>1114</v>
      </c>
      <c r="D1022" s="388">
        <f t="shared" ref="D1022:D1029" si="166">C1022*(1-VLOOKUP(I1022,descuentos,6,FALSE))*fcl/IF(dol_sol="dólar", TC,1)</f>
        <v>270.61864952238801</v>
      </c>
      <c r="E1022" s="386">
        <f>D1022/8</f>
        <v>33.827331190298501</v>
      </c>
      <c r="F1022" s="582">
        <f>ROUNDUP(D1022+E1022,2)</f>
        <v>304.45</v>
      </c>
      <c r="G1022" s="394" t="s">
        <v>13012</v>
      </c>
      <c r="H1022" s="580" t="s">
        <v>6700</v>
      </c>
      <c r="I1022" s="520" t="s">
        <v>11649</v>
      </c>
      <c r="J1022" s="421" t="s">
        <v>753</v>
      </c>
      <c r="K1022" s="520" t="s">
        <v>741</v>
      </c>
    </row>
    <row r="1023" spans="1:11" s="341" customFormat="1">
      <c r="A1023" s="421"/>
      <c r="B1023" s="394" t="s">
        <v>5047</v>
      </c>
      <c r="C1023" s="389">
        <v>1114</v>
      </c>
      <c r="D1023" s="388">
        <f t="shared" si="166"/>
        <v>270.61864952238801</v>
      </c>
      <c r="E1023" s="386">
        <f>D1023/8</f>
        <v>33.827331190298501</v>
      </c>
      <c r="F1023" s="582">
        <f t="shared" si="150"/>
        <v>304.45</v>
      </c>
      <c r="G1023" s="394" t="s">
        <v>5048</v>
      </c>
      <c r="H1023" s="580" t="s">
        <v>5049</v>
      </c>
      <c r="I1023" s="520" t="s">
        <v>11649</v>
      </c>
      <c r="J1023" s="421" t="s">
        <v>753</v>
      </c>
      <c r="K1023" s="520" t="s">
        <v>741</v>
      </c>
    </row>
    <row r="1024" spans="1:11" s="341" customFormat="1">
      <c r="A1024" s="421"/>
      <c r="B1024" s="394" t="s">
        <v>5050</v>
      </c>
      <c r="C1024" s="389">
        <v>1114</v>
      </c>
      <c r="D1024" s="388">
        <f t="shared" si="166"/>
        <v>270.61864952238801</v>
      </c>
      <c r="E1024" s="386">
        <f>D1024/8</f>
        <v>33.827331190298501</v>
      </c>
      <c r="F1024" s="582">
        <f>ROUNDUP(D1024+E1024,2)</f>
        <v>304.45</v>
      </c>
      <c r="G1024" s="394" t="s">
        <v>5051</v>
      </c>
      <c r="H1024" s="580" t="s">
        <v>5052</v>
      </c>
      <c r="I1024" s="520" t="s">
        <v>11649</v>
      </c>
      <c r="J1024" s="421" t="s">
        <v>753</v>
      </c>
      <c r="K1024" s="520" t="s">
        <v>741</v>
      </c>
    </row>
    <row r="1025" spans="1:11" s="341" customFormat="1">
      <c r="A1025" s="421"/>
      <c r="B1025" s="394" t="s">
        <v>3886</v>
      </c>
      <c r="C1025" s="389">
        <v>1114</v>
      </c>
      <c r="D1025" s="388">
        <f t="shared" si="166"/>
        <v>270.61864952238801</v>
      </c>
      <c r="E1025" s="386">
        <f t="shared" ref="E1025:E1059" si="167">D1025/8</f>
        <v>33.827331190298501</v>
      </c>
      <c r="F1025" s="582">
        <f t="shared" si="150"/>
        <v>304.45</v>
      </c>
      <c r="G1025" s="394" t="s">
        <v>5053</v>
      </c>
      <c r="H1025" s="580" t="s">
        <v>3898</v>
      </c>
      <c r="I1025" s="520" t="s">
        <v>11649</v>
      </c>
      <c r="J1025" s="421" t="s">
        <v>753</v>
      </c>
      <c r="K1025" s="520" t="s">
        <v>741</v>
      </c>
    </row>
    <row r="1026" spans="1:11" s="196" customFormat="1">
      <c r="A1026" s="421"/>
      <c r="B1026" s="394" t="s">
        <v>3887</v>
      </c>
      <c r="C1026" s="389">
        <v>1187</v>
      </c>
      <c r="D1026" s="388">
        <f t="shared" si="166"/>
        <v>288.3521875970149</v>
      </c>
      <c r="E1026" s="386">
        <f t="shared" si="167"/>
        <v>36.044023449626863</v>
      </c>
      <c r="F1026" s="582">
        <f t="shared" si="150"/>
        <v>324.39999999999998</v>
      </c>
      <c r="G1026" s="394" t="s">
        <v>5054</v>
      </c>
      <c r="H1026" s="580" t="s">
        <v>3897</v>
      </c>
      <c r="I1026" s="520" t="s">
        <v>11649</v>
      </c>
      <c r="J1026" s="421" t="s">
        <v>753</v>
      </c>
      <c r="K1026" s="520" t="s">
        <v>741</v>
      </c>
    </row>
    <row r="1027" spans="1:11" s="341" customFormat="1">
      <c r="A1027" s="421"/>
      <c r="B1027" s="394" t="s">
        <v>3888</v>
      </c>
      <c r="C1027" s="389">
        <v>1187</v>
      </c>
      <c r="D1027" s="388">
        <f t="shared" si="166"/>
        <v>288.3521875970149</v>
      </c>
      <c r="E1027" s="386">
        <f t="shared" si="167"/>
        <v>36.044023449626863</v>
      </c>
      <c r="F1027" s="582">
        <f t="shared" si="150"/>
        <v>324.39999999999998</v>
      </c>
      <c r="G1027" s="394" t="s">
        <v>5055</v>
      </c>
      <c r="H1027" s="580" t="s">
        <v>3896</v>
      </c>
      <c r="I1027" s="520" t="s">
        <v>11649</v>
      </c>
      <c r="J1027" s="421" t="s">
        <v>753</v>
      </c>
      <c r="K1027" s="520" t="s">
        <v>741</v>
      </c>
    </row>
    <row r="1028" spans="1:11" s="341" customFormat="1">
      <c r="A1028" s="421"/>
      <c r="B1028" s="394" t="s">
        <v>3893</v>
      </c>
      <c r="C1028" s="389">
        <v>1261</v>
      </c>
      <c r="D1028" s="388">
        <f t="shared" si="166"/>
        <v>306.32865085074621</v>
      </c>
      <c r="E1028" s="386">
        <f t="shared" si="167"/>
        <v>38.291081356343277</v>
      </c>
      <c r="F1028" s="582">
        <f t="shared" si="150"/>
        <v>344.62</v>
      </c>
      <c r="G1028" s="394" t="s">
        <v>5056</v>
      </c>
      <c r="H1028" s="580" t="s">
        <v>3895</v>
      </c>
      <c r="I1028" s="520" t="s">
        <v>11649</v>
      </c>
      <c r="J1028" s="421" t="s">
        <v>753</v>
      </c>
      <c r="K1028" s="520" t="s">
        <v>741</v>
      </c>
    </row>
    <row r="1029" spans="1:11" s="341" customFormat="1">
      <c r="A1029" s="421"/>
      <c r="B1029" s="394" t="s">
        <v>3889</v>
      </c>
      <c r="C1029" s="389">
        <v>1261</v>
      </c>
      <c r="D1029" s="388">
        <f t="shared" si="166"/>
        <v>306.32865085074621</v>
      </c>
      <c r="E1029" s="386">
        <f t="shared" si="167"/>
        <v>38.291081356343277</v>
      </c>
      <c r="F1029" s="582">
        <f t="shared" si="150"/>
        <v>344.62</v>
      </c>
      <c r="G1029" s="394" t="s">
        <v>5057</v>
      </c>
      <c r="H1029" s="580" t="s">
        <v>3890</v>
      </c>
      <c r="I1029" s="520" t="s">
        <v>11649</v>
      </c>
      <c r="J1029" s="421" t="s">
        <v>753</v>
      </c>
      <c r="K1029" s="520" t="s">
        <v>741</v>
      </c>
    </row>
    <row r="1030" spans="1:11" s="341" customFormat="1">
      <c r="A1030" s="421"/>
      <c r="B1030" s="394" t="s">
        <v>3217</v>
      </c>
      <c r="C1030" s="389">
        <v>1261</v>
      </c>
      <c r="D1030" s="388">
        <f t="shared" ref="D1030:D1049" si="168">C1030*(1-VLOOKUP(I1030,descuentos,6,FALSE))*fcl/IF(dol_sol="dólar", TC,1)</f>
        <v>306.32865085074621</v>
      </c>
      <c r="E1030" s="386">
        <f t="shared" si="167"/>
        <v>38.291081356343277</v>
      </c>
      <c r="F1030" s="582">
        <f t="shared" si="150"/>
        <v>344.62</v>
      </c>
      <c r="G1030" s="394" t="s">
        <v>5058</v>
      </c>
      <c r="H1030" s="580" t="s">
        <v>3218</v>
      </c>
      <c r="I1030" s="520" t="s">
        <v>11649</v>
      </c>
      <c r="J1030" s="421" t="s">
        <v>753</v>
      </c>
      <c r="K1030" s="520" t="s">
        <v>741</v>
      </c>
    </row>
    <row r="1031" spans="1:11" s="341" customFormat="1">
      <c r="A1031" s="421"/>
      <c r="B1031" s="394" t="s">
        <v>3042</v>
      </c>
      <c r="C1031" s="389">
        <v>1335</v>
      </c>
      <c r="D1031" s="388">
        <f t="shared" si="168"/>
        <v>324.30511410447758</v>
      </c>
      <c r="E1031" s="386">
        <f t="shared" si="167"/>
        <v>40.538139263059698</v>
      </c>
      <c r="F1031" s="582">
        <f t="shared" si="150"/>
        <v>364.84999999999997</v>
      </c>
      <c r="G1031" s="394" t="s">
        <v>5059</v>
      </c>
      <c r="H1031" s="580" t="s">
        <v>3219</v>
      </c>
      <c r="I1031" s="520" t="s">
        <v>11649</v>
      </c>
      <c r="J1031" s="421" t="s">
        <v>753</v>
      </c>
      <c r="K1031" s="520" t="s">
        <v>741</v>
      </c>
    </row>
    <row r="1032" spans="1:11" s="196" customFormat="1">
      <c r="A1032" s="421"/>
      <c r="B1032" s="338"/>
      <c r="C1032" s="209" t="s">
        <v>2058</v>
      </c>
      <c r="D1032" s="244"/>
      <c r="E1032" s="228"/>
      <c r="F1032" s="585"/>
      <c r="G1032" s="338"/>
      <c r="H1032" s="592"/>
      <c r="I1032" s="520"/>
      <c r="J1032" s="421"/>
      <c r="K1032" s="520"/>
    </row>
    <row r="1033" spans="1:11" s="341" customFormat="1">
      <c r="A1033" s="421" t="s">
        <v>11243</v>
      </c>
      <c r="B1033" s="394" t="s">
        <v>11209</v>
      </c>
      <c r="C1033" s="389">
        <v>914</v>
      </c>
      <c r="D1033" s="388">
        <f>C1033*(1-VLOOKUP(I1033,descuentos,6,FALSE))*fcl/IF(dol_sol="dólar", TC,1)</f>
        <v>222.03361370149253</v>
      </c>
      <c r="E1033" s="386">
        <f>D1033/8</f>
        <v>27.754201712686566</v>
      </c>
      <c r="F1033" s="582">
        <f>ROUNDUP(D1033+E1033,2)</f>
        <v>249.79</v>
      </c>
      <c r="G1033" s="394" t="s">
        <v>11210</v>
      </c>
      <c r="H1033" s="580" t="s">
        <v>11211</v>
      </c>
      <c r="I1033" s="520" t="s">
        <v>11649</v>
      </c>
      <c r="J1033" s="421" t="s">
        <v>753</v>
      </c>
      <c r="K1033" s="520" t="s">
        <v>741</v>
      </c>
    </row>
    <row r="1034" spans="1:11" s="341" customFormat="1">
      <c r="A1034" s="421" t="s">
        <v>11243</v>
      </c>
      <c r="B1034" s="394" t="s">
        <v>11212</v>
      </c>
      <c r="C1034" s="389">
        <v>914</v>
      </c>
      <c r="D1034" s="388">
        <f>C1034*(1-VLOOKUP(I1034,descuentos,6,FALSE))*fcl/IF(dol_sol="dólar", TC,1)</f>
        <v>222.03361370149253</v>
      </c>
      <c r="E1034" s="386">
        <f>D1034/8</f>
        <v>27.754201712686566</v>
      </c>
      <c r="F1034" s="582">
        <f>ROUNDUP(D1034+E1034,2)</f>
        <v>249.79</v>
      </c>
      <c r="G1034" s="394" t="s">
        <v>11213</v>
      </c>
      <c r="H1034" s="580" t="s">
        <v>11214</v>
      </c>
      <c r="I1034" s="520" t="s">
        <v>11649</v>
      </c>
      <c r="J1034" s="421" t="s">
        <v>753</v>
      </c>
      <c r="K1034" s="520" t="s">
        <v>741</v>
      </c>
    </row>
    <row r="1035" spans="1:11" s="341" customFormat="1">
      <c r="A1035" s="421" t="s">
        <v>11243</v>
      </c>
      <c r="B1035" s="394" t="s">
        <v>6701</v>
      </c>
      <c r="C1035" s="389">
        <v>971</v>
      </c>
      <c r="D1035" s="388">
        <f>C1035*(1-VLOOKUP(I1035,descuentos,6,FALSE))*fcl/IF(dol_sol="dólar", TC,1)</f>
        <v>235.88034891044774</v>
      </c>
      <c r="E1035" s="386">
        <f>D1035/8</f>
        <v>29.485043613805967</v>
      </c>
      <c r="F1035" s="582">
        <f>ROUNDUP(D1035+E1035,2)</f>
        <v>265.37</v>
      </c>
      <c r="G1035" s="394" t="s">
        <v>11215</v>
      </c>
      <c r="H1035" s="580" t="s">
        <v>6702</v>
      </c>
      <c r="I1035" s="520" t="s">
        <v>11649</v>
      </c>
      <c r="J1035" s="421" t="s">
        <v>753</v>
      </c>
      <c r="K1035" s="520" t="s">
        <v>741</v>
      </c>
    </row>
    <row r="1036" spans="1:11" s="339" customFormat="1">
      <c r="A1036" s="421"/>
      <c r="B1036" s="338"/>
      <c r="C1036" s="209" t="s">
        <v>2058</v>
      </c>
      <c r="D1036" s="244"/>
      <c r="E1036" s="228"/>
      <c r="F1036" s="585"/>
      <c r="G1036" s="338"/>
      <c r="H1036" s="592"/>
      <c r="I1036" s="520"/>
      <c r="J1036" s="421"/>
      <c r="K1036" s="520"/>
    </row>
    <row r="1037" spans="1:11" s="339" customFormat="1">
      <c r="A1037" s="421"/>
      <c r="B1037" s="338"/>
      <c r="C1037" s="209" t="s">
        <v>2058</v>
      </c>
      <c r="D1037" s="244"/>
      <c r="E1037" s="228"/>
      <c r="F1037" s="585"/>
      <c r="G1037" s="338"/>
      <c r="H1037" s="592"/>
      <c r="I1037" s="520"/>
      <c r="J1037" s="421"/>
      <c r="K1037" s="520"/>
    </row>
    <row r="1038" spans="1:11" s="196" customFormat="1">
      <c r="A1038" s="421"/>
      <c r="B1038" s="338"/>
      <c r="C1038" s="209" t="s">
        <v>2058</v>
      </c>
      <c r="D1038" s="244"/>
      <c r="E1038" s="228"/>
      <c r="F1038" s="585"/>
      <c r="G1038" s="338"/>
      <c r="H1038" s="592"/>
      <c r="I1038" s="520"/>
      <c r="J1038" s="421"/>
      <c r="K1038" s="520"/>
    </row>
    <row r="1039" spans="1:11" s="194" customFormat="1">
      <c r="A1039" s="421"/>
      <c r="B1039" s="338" t="s">
        <v>13013</v>
      </c>
      <c r="C1039" s="209">
        <v>1005</v>
      </c>
      <c r="D1039" s="244">
        <f>C1039*(1-VLOOKUP(I1039,descuentos,6,FALSE))*fcl/IF(dol_sol="dólar", TC,1)</f>
        <v>244.13980499999997</v>
      </c>
      <c r="E1039" s="228">
        <f>D1039/8</f>
        <v>30.517475624999996</v>
      </c>
      <c r="F1039" s="585">
        <f>ROUNDUP(D1039+E1039,2)</f>
        <v>274.65999999999997</v>
      </c>
      <c r="G1039" s="338" t="s">
        <v>13014</v>
      </c>
      <c r="H1039" s="592" t="s">
        <v>13015</v>
      </c>
      <c r="I1039" s="520" t="s">
        <v>11649</v>
      </c>
      <c r="J1039" s="421" t="s">
        <v>753</v>
      </c>
      <c r="K1039" s="520" t="s">
        <v>741</v>
      </c>
    </row>
    <row r="1040" spans="1:11" s="194" customFormat="1">
      <c r="A1040" s="421"/>
      <c r="B1040" s="338" t="s">
        <v>13016</v>
      </c>
      <c r="C1040" s="209">
        <v>1005</v>
      </c>
      <c r="D1040" s="244">
        <f>C1040*(1-VLOOKUP(I1040,descuentos,6,FALSE))*fcl/IF(dol_sol="dólar", TC,1)</f>
        <v>244.13980499999997</v>
      </c>
      <c r="E1040" s="228">
        <f>D1040/8</f>
        <v>30.517475624999996</v>
      </c>
      <c r="F1040" s="585">
        <f>ROUNDUP(D1040+E1040,2)</f>
        <v>274.65999999999997</v>
      </c>
      <c r="G1040" s="338" t="s">
        <v>13017</v>
      </c>
      <c r="H1040" s="592" t="s">
        <v>13018</v>
      </c>
      <c r="I1040" s="520" t="s">
        <v>11649</v>
      </c>
      <c r="J1040" s="421" t="s">
        <v>753</v>
      </c>
      <c r="K1040" s="520" t="s">
        <v>741</v>
      </c>
    </row>
    <row r="1041" spans="1:11" s="194" customFormat="1">
      <c r="A1041" s="421"/>
      <c r="B1041" s="338" t="s">
        <v>5060</v>
      </c>
      <c r="C1041" s="209">
        <v>1005</v>
      </c>
      <c r="D1041" s="244">
        <f>C1041*(1-VLOOKUP(I1041,descuentos,6,FALSE))*fcl/IF(dol_sol="dólar", TC,1)</f>
        <v>244.13980499999997</v>
      </c>
      <c r="E1041" s="228">
        <f>D1041/8</f>
        <v>30.517475624999996</v>
      </c>
      <c r="F1041" s="585">
        <f>ROUNDUP(D1041+E1041,2)</f>
        <v>274.65999999999997</v>
      </c>
      <c r="G1041" s="338" t="s">
        <v>5061</v>
      </c>
      <c r="H1041" s="592" t="s">
        <v>5062</v>
      </c>
      <c r="I1041" s="520" t="s">
        <v>11649</v>
      </c>
      <c r="J1041" s="421" t="s">
        <v>753</v>
      </c>
      <c r="K1041" s="520" t="s">
        <v>741</v>
      </c>
    </row>
    <row r="1042" spans="1:11" s="194" customFormat="1">
      <c r="A1042" s="421"/>
      <c r="B1042" s="338" t="s">
        <v>911</v>
      </c>
      <c r="C1042" s="209">
        <v>1005</v>
      </c>
      <c r="D1042" s="244">
        <f t="shared" si="168"/>
        <v>244.13980499999997</v>
      </c>
      <c r="E1042" s="228">
        <f t="shared" si="167"/>
        <v>30.517475624999996</v>
      </c>
      <c r="F1042" s="585">
        <f t="shared" si="150"/>
        <v>274.65999999999997</v>
      </c>
      <c r="G1042" s="338" t="s">
        <v>4680</v>
      </c>
      <c r="H1042" s="592" t="s">
        <v>903</v>
      </c>
      <c r="I1042" s="520" t="s">
        <v>11649</v>
      </c>
      <c r="J1042" s="421" t="s">
        <v>753</v>
      </c>
      <c r="K1042" s="520" t="s">
        <v>741</v>
      </c>
    </row>
    <row r="1043" spans="1:11" s="194" customFormat="1">
      <c r="A1043" s="421"/>
      <c r="B1043" s="338" t="s">
        <v>3476</v>
      </c>
      <c r="C1043" s="209">
        <v>1062</v>
      </c>
      <c r="D1043" s="244">
        <f>C1043*(1-VLOOKUP(I1043,descuentos,6,FALSE))*fcl/IF(dol_sol="dólar", TC,1)</f>
        <v>257.9865402089552</v>
      </c>
      <c r="E1043" s="228">
        <f t="shared" si="167"/>
        <v>32.248317526119401</v>
      </c>
      <c r="F1043" s="585">
        <f t="shared" si="150"/>
        <v>290.24</v>
      </c>
      <c r="G1043" s="338" t="s">
        <v>4681</v>
      </c>
      <c r="H1043" s="592" t="s">
        <v>3478</v>
      </c>
      <c r="I1043" s="520" t="s">
        <v>11649</v>
      </c>
      <c r="J1043" s="421" t="s">
        <v>753</v>
      </c>
      <c r="K1043" s="520" t="s">
        <v>741</v>
      </c>
    </row>
    <row r="1044" spans="1:11" s="196" customFormat="1">
      <c r="A1044" s="421"/>
      <c r="B1044" s="338" t="s">
        <v>3477</v>
      </c>
      <c r="C1044" s="209">
        <v>1062</v>
      </c>
      <c r="D1044" s="244">
        <f t="shared" si="168"/>
        <v>257.9865402089552</v>
      </c>
      <c r="E1044" s="228">
        <f t="shared" si="167"/>
        <v>32.248317526119401</v>
      </c>
      <c r="F1044" s="585">
        <f t="shared" si="150"/>
        <v>290.24</v>
      </c>
      <c r="G1044" s="338" t="s">
        <v>4682</v>
      </c>
      <c r="H1044" s="592" t="s">
        <v>3479</v>
      </c>
      <c r="I1044" s="520" t="s">
        <v>11649</v>
      </c>
      <c r="J1044" s="421" t="s">
        <v>753</v>
      </c>
      <c r="K1044" s="520" t="s">
        <v>741</v>
      </c>
    </row>
    <row r="1045" spans="1:11" s="196" customFormat="1">
      <c r="A1045" s="421"/>
      <c r="B1045" s="338" t="s">
        <v>3475</v>
      </c>
      <c r="C1045" s="209">
        <v>1119</v>
      </c>
      <c r="D1045" s="244">
        <f>C1045*(1-VLOOKUP(I1045,descuentos,6,FALSE))*fcl/IF(dol_sol="dólar", TC,1)</f>
        <v>271.83327541791044</v>
      </c>
      <c r="E1045" s="228">
        <f t="shared" si="167"/>
        <v>33.979159427238805</v>
      </c>
      <c r="F1045" s="585">
        <f t="shared" si="150"/>
        <v>305.82</v>
      </c>
      <c r="G1045" s="338" t="s">
        <v>4683</v>
      </c>
      <c r="H1045" s="592" t="s">
        <v>3480</v>
      </c>
      <c r="I1045" s="520" t="s">
        <v>11649</v>
      </c>
      <c r="J1045" s="421" t="s">
        <v>753</v>
      </c>
      <c r="K1045" s="520" t="s">
        <v>741</v>
      </c>
    </row>
    <row r="1046" spans="1:11" s="196" customFormat="1">
      <c r="A1046" s="421"/>
      <c r="B1046" s="338" t="s">
        <v>894</v>
      </c>
      <c r="C1046" s="209">
        <v>1119</v>
      </c>
      <c r="D1046" s="244">
        <f t="shared" si="168"/>
        <v>271.83327541791044</v>
      </c>
      <c r="E1046" s="228">
        <f t="shared" si="167"/>
        <v>33.979159427238805</v>
      </c>
      <c r="F1046" s="585">
        <f t="shared" si="150"/>
        <v>305.82</v>
      </c>
      <c r="G1046" s="338" t="s">
        <v>4684</v>
      </c>
      <c r="H1046" s="592" t="s">
        <v>910</v>
      </c>
      <c r="I1046" s="520" t="s">
        <v>11649</v>
      </c>
      <c r="J1046" s="421" t="s">
        <v>753</v>
      </c>
      <c r="K1046" s="520" t="s">
        <v>741</v>
      </c>
    </row>
    <row r="1047" spans="1:11" s="196" customFormat="1">
      <c r="A1047" s="421"/>
      <c r="B1047" s="338" t="s">
        <v>886</v>
      </c>
      <c r="C1047" s="209">
        <v>1119</v>
      </c>
      <c r="D1047" s="244">
        <f t="shared" si="168"/>
        <v>271.83327541791044</v>
      </c>
      <c r="E1047" s="228">
        <f t="shared" si="167"/>
        <v>33.979159427238805</v>
      </c>
      <c r="F1047" s="585">
        <f>ROUNDUP(D1047+E1047,2)</f>
        <v>305.82</v>
      </c>
      <c r="G1047" s="338" t="s">
        <v>4685</v>
      </c>
      <c r="H1047" s="592" t="s">
        <v>901</v>
      </c>
      <c r="I1047" s="520" t="s">
        <v>11649</v>
      </c>
      <c r="J1047" s="421" t="s">
        <v>753</v>
      </c>
      <c r="K1047" s="520" t="s">
        <v>741</v>
      </c>
    </row>
    <row r="1048" spans="1:11" s="196" customFormat="1">
      <c r="A1048" s="421"/>
      <c r="B1048" s="338" t="s">
        <v>1368</v>
      </c>
      <c r="C1048" s="209">
        <v>1176</v>
      </c>
      <c r="D1048" s="244">
        <f t="shared" si="168"/>
        <v>285.68001062686568</v>
      </c>
      <c r="E1048" s="228">
        <f t="shared" si="167"/>
        <v>35.71000132835821</v>
      </c>
      <c r="F1048" s="585">
        <f>ROUNDUP(D1048+E1048,2)</f>
        <v>321.39999999999998</v>
      </c>
      <c r="G1048" s="338" t="s">
        <v>4686</v>
      </c>
      <c r="H1048" s="592" t="s">
        <v>1367</v>
      </c>
      <c r="I1048" s="520" t="s">
        <v>11649</v>
      </c>
      <c r="J1048" s="421" t="s">
        <v>753</v>
      </c>
      <c r="K1048" s="520" t="s">
        <v>741</v>
      </c>
    </row>
    <row r="1049" spans="1:11" s="341" customFormat="1">
      <c r="A1049" s="421"/>
      <c r="B1049" s="338" t="s">
        <v>887</v>
      </c>
      <c r="C1049" s="209">
        <v>1176</v>
      </c>
      <c r="D1049" s="244">
        <f t="shared" si="168"/>
        <v>285.68001062686568</v>
      </c>
      <c r="E1049" s="228">
        <f t="shared" si="167"/>
        <v>35.71000132835821</v>
      </c>
      <c r="F1049" s="585">
        <f>ROUNDUP(D1049+E1049,2)</f>
        <v>321.39999999999998</v>
      </c>
      <c r="G1049" s="338" t="s">
        <v>4687</v>
      </c>
      <c r="H1049" s="592" t="s">
        <v>902</v>
      </c>
      <c r="I1049" s="520" t="s">
        <v>11649</v>
      </c>
      <c r="J1049" s="421" t="s">
        <v>753</v>
      </c>
      <c r="K1049" s="520" t="s">
        <v>741</v>
      </c>
    </row>
    <row r="1050" spans="1:11" s="341" customFormat="1">
      <c r="A1050" s="421"/>
      <c r="B1050" s="338"/>
      <c r="C1050" s="209" t="s">
        <v>2058</v>
      </c>
      <c r="D1050" s="244"/>
      <c r="E1050" s="228"/>
      <c r="F1050" s="585"/>
      <c r="G1050" s="338"/>
      <c r="H1050" s="592"/>
      <c r="I1050" s="520"/>
      <c r="J1050" s="421"/>
      <c r="K1050" s="520"/>
    </row>
    <row r="1051" spans="1:11" s="194" customFormat="1">
      <c r="A1051" s="421"/>
      <c r="B1051" s="394" t="s">
        <v>5063</v>
      </c>
      <c r="C1051" s="389">
        <v>1306</v>
      </c>
      <c r="D1051" s="388">
        <f t="shared" ref="D1051:D1056" si="169">C1051*(1-VLOOKUP(I1051,descuentos,6,FALSE))*fcl/IF(dol_sol="dólar", TC,1)</f>
        <v>317.26028391044775</v>
      </c>
      <c r="E1051" s="386">
        <f t="shared" ref="E1051:E1056" si="170">D1051/8</f>
        <v>39.657535488805969</v>
      </c>
      <c r="F1051" s="582">
        <f t="shared" ref="F1051:F1056" si="171">ROUNDUP(D1051+E1051,2)</f>
        <v>356.92</v>
      </c>
      <c r="G1051" s="394" t="s">
        <v>5064</v>
      </c>
      <c r="H1051" s="580" t="s">
        <v>5065</v>
      </c>
      <c r="I1051" s="520" t="s">
        <v>11649</v>
      </c>
      <c r="J1051" s="421" t="s">
        <v>753</v>
      </c>
      <c r="K1051" s="520" t="s">
        <v>741</v>
      </c>
    </row>
    <row r="1052" spans="1:11" s="194" customFormat="1">
      <c r="A1052" s="421"/>
      <c r="B1052" s="394" t="s">
        <v>5066</v>
      </c>
      <c r="C1052" s="389">
        <v>1306</v>
      </c>
      <c r="D1052" s="388">
        <f t="shared" si="169"/>
        <v>317.26028391044775</v>
      </c>
      <c r="E1052" s="386">
        <f t="shared" si="170"/>
        <v>39.657535488805969</v>
      </c>
      <c r="F1052" s="582">
        <f t="shared" si="171"/>
        <v>356.92</v>
      </c>
      <c r="G1052" s="394" t="s">
        <v>5067</v>
      </c>
      <c r="H1052" s="580" t="s">
        <v>5068</v>
      </c>
      <c r="I1052" s="520" t="s">
        <v>11649</v>
      </c>
      <c r="J1052" s="421" t="s">
        <v>753</v>
      </c>
      <c r="K1052" s="520" t="s">
        <v>741</v>
      </c>
    </row>
    <row r="1053" spans="1:11" s="194" customFormat="1">
      <c r="A1053" s="421"/>
      <c r="B1053" s="394" t="s">
        <v>5069</v>
      </c>
      <c r="C1053" s="389">
        <v>1381</v>
      </c>
      <c r="D1053" s="388">
        <f t="shared" si="169"/>
        <v>335.47967234328354</v>
      </c>
      <c r="E1053" s="386">
        <f t="shared" si="170"/>
        <v>41.934959042910442</v>
      </c>
      <c r="F1053" s="582">
        <f t="shared" si="171"/>
        <v>377.42</v>
      </c>
      <c r="G1053" s="394" t="s">
        <v>5070</v>
      </c>
      <c r="H1053" s="580" t="s">
        <v>5071</v>
      </c>
      <c r="I1053" s="520" t="s">
        <v>11649</v>
      </c>
      <c r="J1053" s="421" t="s">
        <v>753</v>
      </c>
      <c r="K1053" s="520" t="s">
        <v>741</v>
      </c>
    </row>
    <row r="1054" spans="1:11" s="196" customFormat="1">
      <c r="A1054" s="421"/>
      <c r="B1054" s="394" t="s">
        <v>5072</v>
      </c>
      <c r="C1054" s="389">
        <v>1381</v>
      </c>
      <c r="D1054" s="388">
        <f t="shared" si="169"/>
        <v>335.47967234328354</v>
      </c>
      <c r="E1054" s="386">
        <f t="shared" si="170"/>
        <v>41.934959042910442</v>
      </c>
      <c r="F1054" s="582">
        <f t="shared" si="171"/>
        <v>377.42</v>
      </c>
      <c r="G1054" s="394" t="s">
        <v>5073</v>
      </c>
      <c r="H1054" s="580" t="s">
        <v>5074</v>
      </c>
      <c r="I1054" s="520" t="s">
        <v>11649</v>
      </c>
      <c r="J1054" s="421" t="s">
        <v>753</v>
      </c>
      <c r="K1054" s="520" t="s">
        <v>741</v>
      </c>
    </row>
    <row r="1055" spans="1:11" s="196" customFormat="1">
      <c r="A1055" s="421"/>
      <c r="B1055" s="394" t="s">
        <v>5075</v>
      </c>
      <c r="C1055" s="389">
        <v>1454</v>
      </c>
      <c r="D1055" s="388">
        <f t="shared" si="169"/>
        <v>353.21321041791043</v>
      </c>
      <c r="E1055" s="386">
        <f t="shared" si="170"/>
        <v>44.151651302238804</v>
      </c>
      <c r="F1055" s="582">
        <f t="shared" si="171"/>
        <v>397.37</v>
      </c>
      <c r="G1055" s="394" t="s">
        <v>5076</v>
      </c>
      <c r="H1055" s="580" t="s">
        <v>5077</v>
      </c>
      <c r="I1055" s="520" t="s">
        <v>11649</v>
      </c>
      <c r="J1055" s="421" t="s">
        <v>753</v>
      </c>
      <c r="K1055" s="520" t="s">
        <v>741</v>
      </c>
    </row>
    <row r="1056" spans="1:11" s="196" customFormat="1">
      <c r="A1056" s="421"/>
      <c r="B1056" s="394" t="s">
        <v>5078</v>
      </c>
      <c r="C1056" s="389">
        <v>1454</v>
      </c>
      <c r="D1056" s="388">
        <f t="shared" si="169"/>
        <v>353.21321041791043</v>
      </c>
      <c r="E1056" s="386">
        <f t="shared" si="170"/>
        <v>44.151651302238804</v>
      </c>
      <c r="F1056" s="582">
        <f t="shared" si="171"/>
        <v>397.37</v>
      </c>
      <c r="G1056" s="394" t="s">
        <v>5079</v>
      </c>
      <c r="H1056" s="580" t="s">
        <v>5080</v>
      </c>
      <c r="I1056" s="520" t="s">
        <v>11649</v>
      </c>
      <c r="J1056" s="421" t="s">
        <v>753</v>
      </c>
      <c r="K1056" s="520" t="s">
        <v>741</v>
      </c>
    </row>
    <row r="1057" spans="1:11" s="196" customFormat="1">
      <c r="A1057" s="421"/>
      <c r="B1057" s="394" t="s">
        <v>2257</v>
      </c>
      <c r="C1057" s="389">
        <v>1454</v>
      </c>
      <c r="D1057" s="388">
        <f>C1057*(1-VLOOKUP(I1057,descuentos,6,FALSE))*fcl/IF(dol_sol="dólar", TC,1)</f>
        <v>353.21321041791043</v>
      </c>
      <c r="E1057" s="386">
        <f>D1057/8</f>
        <v>44.151651302238804</v>
      </c>
      <c r="F1057" s="582">
        <f>ROUNDUP(D1057+E1057,2)</f>
        <v>397.37</v>
      </c>
      <c r="G1057" s="394" t="s">
        <v>5081</v>
      </c>
      <c r="H1057" s="580" t="s">
        <v>2258</v>
      </c>
      <c r="I1057" s="520" t="s">
        <v>11649</v>
      </c>
      <c r="J1057" s="421" t="s">
        <v>753</v>
      </c>
      <c r="K1057" s="520" t="s">
        <v>741</v>
      </c>
    </row>
    <row r="1058" spans="1:11" s="196" customFormat="1">
      <c r="A1058" s="421"/>
      <c r="B1058" s="394" t="s">
        <v>5082</v>
      </c>
      <c r="C1058" s="389">
        <v>1529</v>
      </c>
      <c r="D1058" s="388">
        <f>C1058*(1-VLOOKUP(I1058,descuentos,6,FALSE))*fcl/IF(dol_sol="dólar", TC,1)</f>
        <v>371.43259885074622</v>
      </c>
      <c r="E1058" s="386">
        <f>D1058/8</f>
        <v>46.429074856343277</v>
      </c>
      <c r="F1058" s="582">
        <f>ROUNDUP(D1058+E1058,2)</f>
        <v>417.87</v>
      </c>
      <c r="G1058" s="394" t="s">
        <v>5083</v>
      </c>
      <c r="H1058" s="580" t="s">
        <v>5084</v>
      </c>
      <c r="I1058" s="520" t="s">
        <v>11649</v>
      </c>
      <c r="J1058" s="421" t="s">
        <v>753</v>
      </c>
      <c r="K1058" s="520" t="s">
        <v>741</v>
      </c>
    </row>
    <row r="1059" spans="1:11" s="196" customFormat="1">
      <c r="A1059" s="421"/>
      <c r="B1059" s="394" t="s">
        <v>2259</v>
      </c>
      <c r="C1059" s="389">
        <v>1529</v>
      </c>
      <c r="D1059" s="388">
        <f>C1059*(1-VLOOKUP(I1059,descuentos,6,FALSE))*fcl/IF(dol_sol="dólar", TC,1)</f>
        <v>371.43259885074622</v>
      </c>
      <c r="E1059" s="386">
        <f t="shared" si="167"/>
        <v>46.429074856343277</v>
      </c>
      <c r="F1059" s="582">
        <f>ROUNDUP(D1059+E1059,2)</f>
        <v>417.87</v>
      </c>
      <c r="G1059" s="394" t="s">
        <v>5085</v>
      </c>
      <c r="H1059" s="580" t="s">
        <v>2260</v>
      </c>
      <c r="I1059" s="520" t="s">
        <v>11649</v>
      </c>
      <c r="J1059" s="421" t="s">
        <v>753</v>
      </c>
      <c r="K1059" s="520" t="s">
        <v>741</v>
      </c>
    </row>
    <row r="1060" spans="1:11" s="196" customFormat="1">
      <c r="A1060" s="421"/>
      <c r="B1060" s="338"/>
      <c r="C1060" s="209" t="s">
        <v>2058</v>
      </c>
      <c r="D1060" s="244"/>
      <c r="E1060" s="228"/>
      <c r="F1060" s="585"/>
      <c r="G1060" s="338"/>
      <c r="H1060" s="592"/>
      <c r="I1060" s="520"/>
      <c r="J1060" s="421"/>
      <c r="K1060" s="520"/>
    </row>
    <row r="1061" spans="1:11" s="196" customFormat="1">
      <c r="A1061" s="421"/>
      <c r="B1061" s="338"/>
      <c r="C1061" s="209" t="s">
        <v>2058</v>
      </c>
      <c r="D1061" s="244"/>
      <c r="E1061" s="228"/>
      <c r="F1061" s="585"/>
      <c r="G1061" s="338"/>
      <c r="H1061" s="592"/>
      <c r="I1061" s="520"/>
      <c r="J1061" s="421"/>
      <c r="K1061" s="520"/>
    </row>
    <row r="1062" spans="1:11" s="196" customFormat="1">
      <c r="A1062" s="421"/>
      <c r="B1062" s="338" t="s">
        <v>9165</v>
      </c>
      <c r="C1062" s="209">
        <v>1255</v>
      </c>
      <c r="D1062" s="244">
        <f>C1062*(1-VLOOKUP(I1062,descuentos,6,FALSE))*fcl/IF(dol_sol="dólar", TC,1)</f>
        <v>304.87109977611937</v>
      </c>
      <c r="E1062" s="228">
        <f>D1062/8</f>
        <v>38.108887472014921</v>
      </c>
      <c r="F1062" s="585">
        <f t="shared" ref="F1062:F1069" si="172">ROUNDUP(D1062+E1062,2)</f>
        <v>342.98</v>
      </c>
      <c r="G1062" s="338" t="s">
        <v>9166</v>
      </c>
      <c r="H1062" s="592" t="s">
        <v>9167</v>
      </c>
      <c r="I1062" s="520" t="s">
        <v>11649</v>
      </c>
      <c r="J1062" s="421" t="s">
        <v>753</v>
      </c>
      <c r="K1062" s="520" t="s">
        <v>741</v>
      </c>
    </row>
    <row r="1063" spans="1:11" s="196" customFormat="1">
      <c r="A1063" s="421"/>
      <c r="B1063" s="338" t="s">
        <v>9168</v>
      </c>
      <c r="C1063" s="209">
        <v>1312</v>
      </c>
      <c r="D1063" s="244">
        <f>C1063*(1-VLOOKUP(I1063,descuentos,6,FALSE))*fcl/IF(dol_sol="dólar", TC,1)</f>
        <v>318.7178349850746</v>
      </c>
      <c r="E1063" s="228">
        <f>D1063/8</f>
        <v>39.839729373134325</v>
      </c>
      <c r="F1063" s="585">
        <f t="shared" si="172"/>
        <v>358.56</v>
      </c>
      <c r="G1063" s="338" t="s">
        <v>9169</v>
      </c>
      <c r="H1063" s="592" t="s">
        <v>9170</v>
      </c>
      <c r="I1063" s="520" t="s">
        <v>11649</v>
      </c>
      <c r="J1063" s="421" t="s">
        <v>753</v>
      </c>
      <c r="K1063" s="520" t="s">
        <v>741</v>
      </c>
    </row>
    <row r="1064" spans="1:11" s="196" customFormat="1">
      <c r="A1064" s="421"/>
      <c r="B1064" s="338" t="s">
        <v>5556</v>
      </c>
      <c r="C1064" s="209">
        <v>1312</v>
      </c>
      <c r="D1064" s="244">
        <f t="shared" ref="D1064:D1069" si="173">C1064*(1-VLOOKUP(I1064,descuentos,6,FALSE))*fcl/IF(dol_sol="dólar", TC,1)</f>
        <v>318.7178349850746</v>
      </c>
      <c r="E1064" s="228">
        <f t="shared" ref="E1064:E1069" si="174">D1064/8</f>
        <v>39.839729373134325</v>
      </c>
      <c r="F1064" s="585">
        <f t="shared" si="172"/>
        <v>358.56</v>
      </c>
      <c r="G1064" s="338" t="s">
        <v>5557</v>
      </c>
      <c r="H1064" s="592" t="s">
        <v>5558</v>
      </c>
      <c r="I1064" s="520" t="s">
        <v>11649</v>
      </c>
      <c r="J1064" s="421" t="s">
        <v>753</v>
      </c>
      <c r="K1064" s="520" t="s">
        <v>741</v>
      </c>
    </row>
    <row r="1065" spans="1:11" s="196" customFormat="1">
      <c r="A1065" s="421"/>
      <c r="B1065" s="338" t="s">
        <v>6703</v>
      </c>
      <c r="C1065" s="209">
        <v>1370</v>
      </c>
      <c r="D1065" s="244">
        <f t="shared" si="173"/>
        <v>332.80749537313432</v>
      </c>
      <c r="E1065" s="228">
        <f t="shared" si="174"/>
        <v>41.600936921641789</v>
      </c>
      <c r="F1065" s="585">
        <f t="shared" si="172"/>
        <v>374.40999999999997</v>
      </c>
      <c r="G1065" s="338" t="s">
        <v>6704</v>
      </c>
      <c r="H1065" s="592" t="s">
        <v>6705</v>
      </c>
      <c r="I1065" s="520" t="s">
        <v>11649</v>
      </c>
      <c r="J1065" s="421" t="s">
        <v>753</v>
      </c>
      <c r="K1065" s="520" t="s">
        <v>741</v>
      </c>
    </row>
    <row r="1066" spans="1:11" s="196" customFormat="1">
      <c r="A1066" s="421"/>
      <c r="B1066" s="338" t="s">
        <v>6706</v>
      </c>
      <c r="C1066" s="209">
        <v>1370</v>
      </c>
      <c r="D1066" s="244">
        <f t="shared" si="173"/>
        <v>332.80749537313432</v>
      </c>
      <c r="E1066" s="228">
        <f t="shared" si="174"/>
        <v>41.600936921641789</v>
      </c>
      <c r="F1066" s="585">
        <f t="shared" si="172"/>
        <v>374.40999999999997</v>
      </c>
      <c r="G1066" s="338" t="s">
        <v>6707</v>
      </c>
      <c r="H1066" s="592" t="s">
        <v>6708</v>
      </c>
      <c r="I1066" s="520" t="s">
        <v>11649</v>
      </c>
      <c r="J1066" s="421" t="s">
        <v>753</v>
      </c>
      <c r="K1066" s="520" t="s">
        <v>741</v>
      </c>
    </row>
    <row r="1067" spans="1:11" s="196" customFormat="1">
      <c r="A1067" s="421"/>
      <c r="B1067" s="338" t="s">
        <v>1369</v>
      </c>
      <c r="C1067" s="209">
        <v>1561</v>
      </c>
      <c r="D1067" s="244">
        <f t="shared" si="173"/>
        <v>379.20620458208947</v>
      </c>
      <c r="E1067" s="228">
        <f t="shared" si="174"/>
        <v>47.400775572761184</v>
      </c>
      <c r="F1067" s="585">
        <f t="shared" si="172"/>
        <v>426.61</v>
      </c>
      <c r="G1067" s="338" t="s">
        <v>4688</v>
      </c>
      <c r="H1067" s="592" t="s">
        <v>1372</v>
      </c>
      <c r="I1067" s="520" t="s">
        <v>11649</v>
      </c>
      <c r="J1067" s="421" t="s">
        <v>753</v>
      </c>
      <c r="K1067" s="520" t="s">
        <v>741</v>
      </c>
    </row>
    <row r="1068" spans="1:11" s="196" customFormat="1">
      <c r="A1068" s="421"/>
      <c r="B1068" s="338" t="s">
        <v>1370</v>
      </c>
      <c r="C1068" s="209">
        <v>1588</v>
      </c>
      <c r="D1068" s="244">
        <f t="shared" si="173"/>
        <v>385.7651844179104</v>
      </c>
      <c r="E1068" s="228">
        <f t="shared" si="174"/>
        <v>48.220648052238801</v>
      </c>
      <c r="F1068" s="585">
        <f t="shared" si="172"/>
        <v>433.99</v>
      </c>
      <c r="G1068" s="338" t="s">
        <v>4689</v>
      </c>
      <c r="H1068" s="592" t="s">
        <v>1373</v>
      </c>
      <c r="I1068" s="520" t="s">
        <v>11649</v>
      </c>
      <c r="J1068" s="421" t="s">
        <v>753</v>
      </c>
      <c r="K1068" s="520" t="s">
        <v>741</v>
      </c>
    </row>
    <row r="1069" spans="1:11" s="196" customFormat="1">
      <c r="A1069" s="421"/>
      <c r="B1069" s="338" t="s">
        <v>1371</v>
      </c>
      <c r="C1069" s="209">
        <v>1588</v>
      </c>
      <c r="D1069" s="244">
        <f t="shared" si="173"/>
        <v>385.7651844179104</v>
      </c>
      <c r="E1069" s="228">
        <f t="shared" si="174"/>
        <v>48.220648052238801</v>
      </c>
      <c r="F1069" s="585">
        <f t="shared" si="172"/>
        <v>433.99</v>
      </c>
      <c r="G1069" s="338" t="s">
        <v>4690</v>
      </c>
      <c r="H1069" s="592" t="s">
        <v>1374</v>
      </c>
      <c r="I1069" s="520" t="s">
        <v>11649</v>
      </c>
      <c r="J1069" s="421" t="s">
        <v>753</v>
      </c>
      <c r="K1069" s="520" t="s">
        <v>741</v>
      </c>
    </row>
    <row r="1070" spans="1:11" s="341" customFormat="1">
      <c r="A1070" s="421"/>
      <c r="B1070" s="338"/>
      <c r="C1070" s="209" t="s">
        <v>2058</v>
      </c>
      <c r="D1070" s="244"/>
      <c r="E1070" s="228"/>
      <c r="F1070" s="585"/>
      <c r="G1070" s="338"/>
      <c r="H1070" s="592"/>
      <c r="I1070" s="520"/>
      <c r="J1070" s="421"/>
      <c r="K1070" s="520"/>
    </row>
    <row r="1071" spans="1:11" s="196" customFormat="1">
      <c r="A1071" s="421"/>
      <c r="B1071" s="394" t="s">
        <v>6709</v>
      </c>
      <c r="C1071" s="389">
        <v>1779</v>
      </c>
      <c r="D1071" s="388">
        <f>C1071*(1-VLOOKUP(I1071,descuentos,6,FALSE))*fcl/IF(dol_sol="dólar", TC,1)</f>
        <v>432.16389362686556</v>
      </c>
      <c r="E1071" s="386">
        <f>D1071/8</f>
        <v>54.020486703358195</v>
      </c>
      <c r="F1071" s="582">
        <f>ROUNDUP(D1071+E1071,2)</f>
        <v>486.19</v>
      </c>
      <c r="G1071" s="394" t="s">
        <v>6710</v>
      </c>
      <c r="H1071" s="580" t="s">
        <v>6711</v>
      </c>
      <c r="I1071" s="520" t="s">
        <v>11649</v>
      </c>
      <c r="J1071" s="421" t="s">
        <v>753</v>
      </c>
      <c r="K1071" s="520" t="s">
        <v>741</v>
      </c>
    </row>
    <row r="1072" spans="1:11" s="196" customFormat="1">
      <c r="A1072" s="421"/>
      <c r="B1072" s="394" t="s">
        <v>6712</v>
      </c>
      <c r="C1072" s="389">
        <v>1854</v>
      </c>
      <c r="D1072" s="388">
        <f>C1072*(1-VLOOKUP(I1072,descuentos,6,FALSE))*fcl/IF(dol_sol="dólar", TC,1)</f>
        <v>450.38328205970146</v>
      </c>
      <c r="E1072" s="386">
        <f>D1072/8</f>
        <v>56.297910257462682</v>
      </c>
      <c r="F1072" s="582">
        <f>ROUNDUP(D1072+E1072,2)</f>
        <v>506.69</v>
      </c>
      <c r="G1072" s="394" t="s">
        <v>6713</v>
      </c>
      <c r="H1072" s="580" t="s">
        <v>6714</v>
      </c>
      <c r="I1072" s="520" t="s">
        <v>11649</v>
      </c>
      <c r="J1072" s="421" t="s">
        <v>753</v>
      </c>
      <c r="K1072" s="520" t="s">
        <v>741</v>
      </c>
    </row>
    <row r="1073" spans="1:11" s="196" customFormat="1">
      <c r="A1073" s="421"/>
      <c r="B1073" s="394"/>
      <c r="C1073" s="389" t="s">
        <v>2058</v>
      </c>
      <c r="D1073" s="388"/>
      <c r="E1073" s="386"/>
      <c r="F1073" s="582"/>
      <c r="G1073" s="394"/>
      <c r="H1073" s="580"/>
      <c r="I1073" s="520"/>
      <c r="J1073" s="421"/>
      <c r="K1073" s="520"/>
    </row>
    <row r="1074" spans="1:11" s="196" customFormat="1">
      <c r="A1074" s="2117"/>
      <c r="B1074" s="338" t="s">
        <v>12256</v>
      </c>
      <c r="C1074" s="209">
        <v>1621</v>
      </c>
      <c r="D1074" s="244">
        <f t="shared" ref="D1074:D1076" si="175">C1074*(1-VLOOKUP(I1074,descuentos,6,FALSE))*fcl/IF(dol_sol="dólar", TC,1)</f>
        <v>393.78171532835813</v>
      </c>
      <c r="E1074" s="228">
        <f t="shared" ref="E1074:E1076" si="176">D1074/8</f>
        <v>49.222714416044766</v>
      </c>
      <c r="F1074" s="585">
        <f t="shared" ref="F1074:F1076" si="177">ROUNDUP(D1074+E1074,2)</f>
        <v>443.01</v>
      </c>
      <c r="G1074" s="338" t="s">
        <v>12257</v>
      </c>
      <c r="H1074" s="592" t="s">
        <v>12258</v>
      </c>
      <c r="I1074" s="520" t="s">
        <v>11649</v>
      </c>
      <c r="J1074" s="421" t="s">
        <v>753</v>
      </c>
      <c r="K1074" s="520" t="s">
        <v>741</v>
      </c>
    </row>
    <row r="1075" spans="1:11" s="196" customFormat="1">
      <c r="A1075" s="2117"/>
      <c r="B1075" s="338" t="s">
        <v>12259</v>
      </c>
      <c r="C1075" s="209">
        <v>1677</v>
      </c>
      <c r="D1075" s="244">
        <f t="shared" si="175"/>
        <v>407.38552535820889</v>
      </c>
      <c r="E1075" s="228">
        <f t="shared" si="176"/>
        <v>50.923190669776112</v>
      </c>
      <c r="F1075" s="585">
        <f t="shared" si="177"/>
        <v>458.31</v>
      </c>
      <c r="G1075" s="338" t="s">
        <v>12260</v>
      </c>
      <c r="H1075" s="592" t="s">
        <v>12261</v>
      </c>
      <c r="I1075" s="520" t="s">
        <v>11649</v>
      </c>
      <c r="J1075" s="421" t="s">
        <v>753</v>
      </c>
      <c r="K1075" s="520" t="s">
        <v>741</v>
      </c>
    </row>
    <row r="1076" spans="1:11" s="196" customFormat="1">
      <c r="A1076" s="2117"/>
      <c r="B1076" s="338" t="s">
        <v>12262</v>
      </c>
      <c r="C1076" s="209">
        <v>1677</v>
      </c>
      <c r="D1076" s="244">
        <f t="shared" si="175"/>
        <v>407.38552535820889</v>
      </c>
      <c r="E1076" s="228">
        <f t="shared" si="176"/>
        <v>50.923190669776112</v>
      </c>
      <c r="F1076" s="585">
        <f t="shared" si="177"/>
        <v>458.31</v>
      </c>
      <c r="G1076" s="338" t="s">
        <v>12263</v>
      </c>
      <c r="H1076" s="592" t="s">
        <v>12264</v>
      </c>
      <c r="I1076" s="520" t="s">
        <v>11649</v>
      </c>
      <c r="J1076" s="421" t="s">
        <v>753</v>
      </c>
      <c r="K1076" s="520" t="s">
        <v>741</v>
      </c>
    </row>
    <row r="1077" spans="1:11" s="341" customFormat="1">
      <c r="A1077" s="421"/>
      <c r="B1077" s="338"/>
      <c r="C1077" s="209" t="s">
        <v>2058</v>
      </c>
      <c r="D1077" s="244"/>
      <c r="E1077" s="228"/>
      <c r="F1077" s="585"/>
      <c r="G1077" s="338"/>
      <c r="H1077" s="592"/>
      <c r="I1077" s="520"/>
      <c r="J1077" s="421"/>
      <c r="K1077" s="520"/>
    </row>
    <row r="1078" spans="1:11" s="196" customFormat="1">
      <c r="A1078" s="421"/>
      <c r="B1078" s="394"/>
      <c r="C1078" s="389" t="s">
        <v>2058</v>
      </c>
      <c r="D1078" s="388"/>
      <c r="E1078" s="386"/>
      <c r="F1078" s="582"/>
      <c r="G1078" s="394"/>
      <c r="H1078" s="580"/>
      <c r="I1078" s="520"/>
      <c r="J1078" s="421"/>
      <c r="K1078" s="520"/>
    </row>
    <row r="1079" spans="1:11" s="341" customFormat="1" ht="35.25" customHeight="1">
      <c r="A1079" s="421"/>
      <c r="B1079" s="1738" t="s">
        <v>6715</v>
      </c>
      <c r="C1079" s="209" t="s">
        <v>2058</v>
      </c>
      <c r="D1079" s="244"/>
      <c r="E1079" s="228"/>
      <c r="F1079" s="585"/>
      <c r="G1079" s="338"/>
      <c r="H1079" s="592"/>
      <c r="I1079" s="520"/>
      <c r="J1079" s="421"/>
      <c r="K1079" s="520"/>
    </row>
    <row r="1080" spans="1:11" s="341" customFormat="1">
      <c r="A1080" s="1737"/>
      <c r="B1080" s="394" t="s">
        <v>6716</v>
      </c>
      <c r="C1080" s="389">
        <v>3678</v>
      </c>
      <c r="D1080" s="388">
        <f t="shared" ref="D1080:D1089" si="178">C1080*(1-VLOOKUP(I1080,descuentos,6,FALSE))*fcl/IF(dol_sol="dólar", TC,1)</f>
        <v>893.47880874626856</v>
      </c>
      <c r="E1080" s="386">
        <f t="shared" ref="E1080:E1088" si="179">D1080/8</f>
        <v>111.68485109328357</v>
      </c>
      <c r="F1080" s="582">
        <f t="shared" ref="F1080:F1089" si="180">ROUNDUP(D1080+E1080,2)</f>
        <v>1005.17</v>
      </c>
      <c r="G1080" s="394" t="s">
        <v>6717</v>
      </c>
      <c r="H1080" s="592" t="s">
        <v>6718</v>
      </c>
      <c r="I1080" s="520" t="s">
        <v>11649</v>
      </c>
      <c r="J1080" s="421" t="s">
        <v>753</v>
      </c>
      <c r="K1080" s="520" t="s">
        <v>741</v>
      </c>
    </row>
    <row r="1081" spans="1:11" s="341" customFormat="1">
      <c r="A1081" s="1737"/>
      <c r="B1081" s="1939" t="s">
        <v>9894</v>
      </c>
      <c r="C1081" s="389">
        <v>3391</v>
      </c>
      <c r="D1081" s="388">
        <f t="shared" ref="D1081" si="181">C1081*(1-VLOOKUP(I1081,descuentos,6,FALSE))*fcl/IF(dol_sol="dólar", TC,1)</f>
        <v>823.75928234328353</v>
      </c>
      <c r="E1081" s="386">
        <f t="shared" si="179"/>
        <v>102.96991029291044</v>
      </c>
      <c r="F1081" s="582">
        <f t="shared" si="180"/>
        <v>926.73</v>
      </c>
      <c r="G1081" s="394" t="s">
        <v>9895</v>
      </c>
      <c r="H1081" s="592" t="s">
        <v>9563</v>
      </c>
      <c r="I1081" s="520" t="s">
        <v>11649</v>
      </c>
      <c r="J1081" s="421" t="s">
        <v>753</v>
      </c>
      <c r="K1081" s="520" t="s">
        <v>741</v>
      </c>
    </row>
    <row r="1082" spans="1:11" s="341" customFormat="1">
      <c r="A1082" s="1737"/>
      <c r="B1082" s="1939" t="s">
        <v>9561</v>
      </c>
      <c r="C1082" s="389">
        <v>3391</v>
      </c>
      <c r="D1082" s="388">
        <f t="shared" si="178"/>
        <v>823.75928234328353</v>
      </c>
      <c r="E1082" s="386">
        <f t="shared" si="179"/>
        <v>102.96991029291044</v>
      </c>
      <c r="F1082" s="582">
        <f t="shared" si="180"/>
        <v>926.73</v>
      </c>
      <c r="G1082" s="394" t="s">
        <v>9562</v>
      </c>
      <c r="H1082" s="592" t="s">
        <v>9563</v>
      </c>
      <c r="I1082" s="520" t="s">
        <v>11649</v>
      </c>
      <c r="J1082" s="421" t="s">
        <v>753</v>
      </c>
      <c r="K1082" s="520" t="s">
        <v>741</v>
      </c>
    </row>
    <row r="1083" spans="1:11" s="341" customFormat="1">
      <c r="A1083" s="1737"/>
      <c r="B1083" s="1939" t="s">
        <v>9564</v>
      </c>
      <c r="C1083" s="389">
        <v>3066</v>
      </c>
      <c r="D1083" s="388">
        <f t="shared" ref="D1083" si="182">C1083*(1-VLOOKUP(I1083,descuentos,6,FALSE))*fcl/IF(dol_sol="dólar", TC,1)</f>
        <v>744.80859913432835</v>
      </c>
      <c r="E1083" s="386">
        <f t="shared" si="179"/>
        <v>93.101074891791043</v>
      </c>
      <c r="F1083" s="582">
        <f t="shared" si="180"/>
        <v>837.91</v>
      </c>
      <c r="G1083" s="394" t="s">
        <v>9565</v>
      </c>
      <c r="H1083" s="592" t="s">
        <v>9566</v>
      </c>
      <c r="I1083" s="520" t="s">
        <v>11649</v>
      </c>
      <c r="J1083" s="421" t="s">
        <v>753</v>
      </c>
      <c r="K1083" s="520" t="s">
        <v>741</v>
      </c>
    </row>
    <row r="1084" spans="1:11" s="341" customFormat="1">
      <c r="A1084" s="1737"/>
      <c r="B1084" s="394" t="s">
        <v>6719</v>
      </c>
      <c r="C1084" s="389">
        <v>1084</v>
      </c>
      <c r="D1084" s="388">
        <f t="shared" si="178"/>
        <v>263.33089414925371</v>
      </c>
      <c r="E1084" s="386">
        <f t="shared" si="179"/>
        <v>32.916361768656714</v>
      </c>
      <c r="F1084" s="582">
        <f t="shared" si="180"/>
        <v>296.25</v>
      </c>
      <c r="G1084" s="394" t="s">
        <v>6720</v>
      </c>
      <c r="H1084" s="592" t="s">
        <v>6721</v>
      </c>
      <c r="I1084" s="520" t="s">
        <v>11649</v>
      </c>
      <c r="J1084" s="421" t="s">
        <v>753</v>
      </c>
      <c r="K1084" s="520" t="s">
        <v>741</v>
      </c>
    </row>
    <row r="1085" spans="1:11" s="341" customFormat="1">
      <c r="A1085" s="1737"/>
      <c r="B1085" s="394" t="s">
        <v>6722</v>
      </c>
      <c r="C1085" s="389">
        <v>349</v>
      </c>
      <c r="D1085" s="388">
        <f t="shared" si="178"/>
        <v>84.78088750746268</v>
      </c>
      <c r="E1085" s="386">
        <f t="shared" si="179"/>
        <v>10.597610938432835</v>
      </c>
      <c r="F1085" s="582">
        <f t="shared" si="180"/>
        <v>95.38000000000001</v>
      </c>
      <c r="G1085" s="394" t="s">
        <v>6723</v>
      </c>
      <c r="H1085" s="592" t="s">
        <v>6724</v>
      </c>
      <c r="I1085" s="520" t="s">
        <v>11649</v>
      </c>
      <c r="J1085" s="421" t="s">
        <v>753</v>
      </c>
      <c r="K1085" s="520" t="s">
        <v>741</v>
      </c>
    </row>
    <row r="1086" spans="1:11" s="341" customFormat="1">
      <c r="A1086" s="1737"/>
      <c r="B1086" s="394" t="s">
        <v>6725</v>
      </c>
      <c r="C1086" s="389">
        <v>411</v>
      </c>
      <c r="D1086" s="388">
        <f t="shared" si="178"/>
        <v>99.842248611940278</v>
      </c>
      <c r="E1086" s="386">
        <f t="shared" si="179"/>
        <v>12.480281076492535</v>
      </c>
      <c r="F1086" s="582">
        <f t="shared" si="180"/>
        <v>112.33</v>
      </c>
      <c r="G1086" s="394" t="s">
        <v>6726</v>
      </c>
      <c r="H1086" s="592" t="s">
        <v>6727</v>
      </c>
      <c r="I1086" s="520" t="s">
        <v>11649</v>
      </c>
      <c r="J1086" s="421" t="s">
        <v>753</v>
      </c>
      <c r="K1086" s="520" t="s">
        <v>741</v>
      </c>
    </row>
    <row r="1087" spans="1:11" s="341" customFormat="1">
      <c r="A1087" s="1737"/>
      <c r="B1087" s="394" t="s">
        <v>6693</v>
      </c>
      <c r="C1087" s="389">
        <v>265</v>
      </c>
      <c r="D1087" s="388">
        <f t="shared" si="178"/>
        <v>64.37517246268655</v>
      </c>
      <c r="E1087" s="386">
        <f t="shared" si="179"/>
        <v>8.0468965578358187</v>
      </c>
      <c r="F1087" s="582">
        <f t="shared" si="180"/>
        <v>72.430000000000007</v>
      </c>
      <c r="G1087" s="394" t="s">
        <v>6728</v>
      </c>
      <c r="H1087" s="592" t="s">
        <v>6695</v>
      </c>
      <c r="I1087" s="520" t="s">
        <v>11649</v>
      </c>
      <c r="J1087" s="421" t="s">
        <v>753</v>
      </c>
      <c r="K1087" s="520" t="s">
        <v>741</v>
      </c>
    </row>
    <row r="1088" spans="1:11" s="341" customFormat="1">
      <c r="A1088" s="1737"/>
      <c r="B1088" s="394" t="s">
        <v>6696</v>
      </c>
      <c r="C1088" s="389">
        <v>617</v>
      </c>
      <c r="D1088" s="388">
        <f t="shared" si="178"/>
        <v>149.8848355074627</v>
      </c>
      <c r="E1088" s="386">
        <f t="shared" si="179"/>
        <v>18.735604438432837</v>
      </c>
      <c r="F1088" s="582">
        <f t="shared" si="180"/>
        <v>168.63</v>
      </c>
      <c r="G1088" s="394" t="s">
        <v>6729</v>
      </c>
      <c r="H1088" s="592" t="s">
        <v>6698</v>
      </c>
      <c r="I1088" s="520" t="s">
        <v>11649</v>
      </c>
      <c r="J1088" s="421" t="s">
        <v>753</v>
      </c>
      <c r="K1088" s="520" t="s">
        <v>741</v>
      </c>
    </row>
    <row r="1089" spans="1:11" s="341" customFormat="1">
      <c r="A1089" s="1737"/>
      <c r="B1089" s="592" t="s">
        <v>1389</v>
      </c>
      <c r="C1089" s="209">
        <v>1842</v>
      </c>
      <c r="D1089" s="244">
        <f t="shared" si="178"/>
        <v>447.46817991044776</v>
      </c>
      <c r="E1089" s="228">
        <v>30</v>
      </c>
      <c r="F1089" s="585">
        <f t="shared" si="180"/>
        <v>477.46999999999997</v>
      </c>
      <c r="G1089" s="338" t="s">
        <v>3697</v>
      </c>
      <c r="H1089" s="592" t="s">
        <v>1390</v>
      </c>
      <c r="I1089" s="520" t="s">
        <v>11649</v>
      </c>
      <c r="J1089" s="421" t="s">
        <v>753</v>
      </c>
      <c r="K1089" s="520" t="s">
        <v>741</v>
      </c>
    </row>
    <row r="1090" spans="1:11" s="341" customFormat="1">
      <c r="A1090" s="421"/>
      <c r="B1090" s="338"/>
      <c r="C1090" s="209" t="s">
        <v>2058</v>
      </c>
      <c r="D1090" s="388"/>
      <c r="E1090" s="228"/>
      <c r="F1090" s="582"/>
      <c r="G1090" s="338"/>
      <c r="H1090" s="592"/>
      <c r="I1090" s="520"/>
      <c r="J1090" s="421"/>
      <c r="K1090" s="520"/>
    </row>
    <row r="1091" spans="1:11" s="341" customFormat="1">
      <c r="A1091" s="421"/>
      <c r="B1091" s="338"/>
      <c r="C1091" s="209" t="s">
        <v>2058</v>
      </c>
      <c r="D1091" s="244"/>
      <c r="E1091" s="228"/>
      <c r="F1091" s="585"/>
      <c r="G1091" s="338"/>
      <c r="H1091" s="592"/>
      <c r="I1091" s="520"/>
      <c r="J1091" s="421"/>
      <c r="K1091" s="520"/>
    </row>
    <row r="1092" spans="1:11" s="341" customFormat="1" ht="35.25" customHeight="1">
      <c r="A1092" s="421"/>
      <c r="B1092" s="1738" t="s">
        <v>6730</v>
      </c>
      <c r="C1092" s="209" t="s">
        <v>2058</v>
      </c>
      <c r="D1092" s="244"/>
      <c r="E1092" s="228"/>
      <c r="F1092" s="585"/>
      <c r="G1092" s="338"/>
      <c r="H1092" s="592"/>
      <c r="I1092" s="520"/>
      <c r="J1092" s="421"/>
      <c r="K1092" s="520"/>
    </row>
    <row r="1093" spans="1:11" s="341" customFormat="1">
      <c r="A1093" s="1737"/>
      <c r="B1093" s="394" t="s">
        <v>6731</v>
      </c>
      <c r="C1093" s="389">
        <v>3797</v>
      </c>
      <c r="D1093" s="388">
        <f t="shared" ref="D1093:D1100" si="183">C1093*(1-VLOOKUP(I1093,descuentos,6,FALSE))*fcl/IF(dol_sol="dólar", TC,1)</f>
        <v>922.38690505970146</v>
      </c>
      <c r="E1093" s="386">
        <f t="shared" ref="E1093:E1099" si="184">D1093/8</f>
        <v>115.29836313246268</v>
      </c>
      <c r="F1093" s="582">
        <f t="shared" ref="F1093:F1100" si="185">ROUNDUP(D1093+E1093,2)</f>
        <v>1037.69</v>
      </c>
      <c r="G1093" s="394" t="s">
        <v>6732</v>
      </c>
      <c r="H1093" s="592" t="s">
        <v>6733</v>
      </c>
      <c r="I1093" s="520" t="s">
        <v>11649</v>
      </c>
      <c r="J1093" s="421" t="s">
        <v>753</v>
      </c>
      <c r="K1093" s="520" t="s">
        <v>741</v>
      </c>
    </row>
    <row r="1094" spans="1:11" s="341" customFormat="1">
      <c r="A1094" s="1737"/>
      <c r="B1094" s="1939" t="s">
        <v>9567</v>
      </c>
      <c r="C1094" s="389">
        <v>3510</v>
      </c>
      <c r="D1094" s="388">
        <f t="shared" ref="D1094" si="186">C1094*(1-VLOOKUP(I1094,descuentos,6,FALSE))*fcl/IF(dol_sol="dólar", TC,1)</f>
        <v>852.66737865671632</v>
      </c>
      <c r="E1094" s="386">
        <f t="shared" si="184"/>
        <v>106.58342233208954</v>
      </c>
      <c r="F1094" s="582">
        <f t="shared" si="185"/>
        <v>959.26</v>
      </c>
      <c r="G1094" s="394" t="s">
        <v>9568</v>
      </c>
      <c r="H1094" s="592" t="s">
        <v>9569</v>
      </c>
      <c r="I1094" s="520" t="s">
        <v>11649</v>
      </c>
      <c r="J1094" s="421" t="s">
        <v>753</v>
      </c>
      <c r="K1094" s="520" t="s">
        <v>741</v>
      </c>
    </row>
    <row r="1095" spans="1:11" s="341" customFormat="1">
      <c r="A1095" s="1737"/>
      <c r="B1095" s="394" t="s">
        <v>6719</v>
      </c>
      <c r="C1095" s="389">
        <v>1084</v>
      </c>
      <c r="D1095" s="388">
        <f t="shared" si="183"/>
        <v>263.33089414925371</v>
      </c>
      <c r="E1095" s="386">
        <f t="shared" si="184"/>
        <v>32.916361768656714</v>
      </c>
      <c r="F1095" s="582">
        <f t="shared" si="185"/>
        <v>296.25</v>
      </c>
      <c r="G1095" s="394" t="s">
        <v>6720</v>
      </c>
      <c r="H1095" s="592" t="s">
        <v>6721</v>
      </c>
      <c r="I1095" s="520" t="s">
        <v>11649</v>
      </c>
      <c r="J1095" s="421" t="s">
        <v>753</v>
      </c>
      <c r="K1095" s="520" t="s">
        <v>741</v>
      </c>
    </row>
    <row r="1096" spans="1:11" s="341" customFormat="1">
      <c r="A1096" s="1737"/>
      <c r="B1096" s="394" t="s">
        <v>6722</v>
      </c>
      <c r="C1096" s="389">
        <v>349</v>
      </c>
      <c r="D1096" s="388">
        <f t="shared" si="183"/>
        <v>84.78088750746268</v>
      </c>
      <c r="E1096" s="386">
        <f t="shared" si="184"/>
        <v>10.597610938432835</v>
      </c>
      <c r="F1096" s="582">
        <f t="shared" si="185"/>
        <v>95.38000000000001</v>
      </c>
      <c r="G1096" s="394" t="s">
        <v>6723</v>
      </c>
      <c r="H1096" s="592" t="s">
        <v>6724</v>
      </c>
      <c r="I1096" s="520" t="s">
        <v>11649</v>
      </c>
      <c r="J1096" s="421" t="s">
        <v>753</v>
      </c>
      <c r="K1096" s="520" t="s">
        <v>741</v>
      </c>
    </row>
    <row r="1097" spans="1:11" s="341" customFormat="1">
      <c r="A1097" s="1737"/>
      <c r="B1097" s="394" t="s">
        <v>6725</v>
      </c>
      <c r="C1097" s="389">
        <v>411</v>
      </c>
      <c r="D1097" s="388">
        <f t="shared" si="183"/>
        <v>99.842248611940278</v>
      </c>
      <c r="E1097" s="386">
        <f t="shared" si="184"/>
        <v>12.480281076492535</v>
      </c>
      <c r="F1097" s="582">
        <f t="shared" si="185"/>
        <v>112.33</v>
      </c>
      <c r="G1097" s="394" t="s">
        <v>6726</v>
      </c>
      <c r="H1097" s="592" t="s">
        <v>6727</v>
      </c>
      <c r="I1097" s="520" t="s">
        <v>11649</v>
      </c>
      <c r="J1097" s="421" t="s">
        <v>753</v>
      </c>
      <c r="K1097" s="520" t="s">
        <v>741</v>
      </c>
    </row>
    <row r="1098" spans="1:11" s="341" customFormat="1">
      <c r="A1098" s="1737"/>
      <c r="B1098" s="394" t="s">
        <v>6693</v>
      </c>
      <c r="C1098" s="389">
        <v>265</v>
      </c>
      <c r="D1098" s="388">
        <f t="shared" si="183"/>
        <v>64.37517246268655</v>
      </c>
      <c r="E1098" s="386">
        <f t="shared" si="184"/>
        <v>8.0468965578358187</v>
      </c>
      <c r="F1098" s="582">
        <f t="shared" si="185"/>
        <v>72.430000000000007</v>
      </c>
      <c r="G1098" s="394" t="s">
        <v>6728</v>
      </c>
      <c r="H1098" s="592" t="s">
        <v>6695</v>
      </c>
      <c r="I1098" s="520" t="s">
        <v>11649</v>
      </c>
      <c r="J1098" s="421" t="s">
        <v>753</v>
      </c>
      <c r="K1098" s="520" t="s">
        <v>741</v>
      </c>
    </row>
    <row r="1099" spans="1:11" s="341" customFormat="1">
      <c r="A1099" s="1737"/>
      <c r="B1099" s="394" t="s">
        <v>6696</v>
      </c>
      <c r="C1099" s="389">
        <v>617</v>
      </c>
      <c r="D1099" s="388">
        <f t="shared" si="183"/>
        <v>149.8848355074627</v>
      </c>
      <c r="E1099" s="386">
        <f t="shared" si="184"/>
        <v>18.735604438432837</v>
      </c>
      <c r="F1099" s="582">
        <f t="shared" si="185"/>
        <v>168.63</v>
      </c>
      <c r="G1099" s="394" t="s">
        <v>6729</v>
      </c>
      <c r="H1099" s="592" t="s">
        <v>6698</v>
      </c>
      <c r="I1099" s="520" t="s">
        <v>11649</v>
      </c>
      <c r="J1099" s="421" t="s">
        <v>753</v>
      </c>
      <c r="K1099" s="520" t="s">
        <v>741</v>
      </c>
    </row>
    <row r="1100" spans="1:11" s="341" customFormat="1">
      <c r="A1100" s="1737"/>
      <c r="B1100" s="394" t="s">
        <v>1389</v>
      </c>
      <c r="C1100" s="389">
        <v>1842</v>
      </c>
      <c r="D1100" s="388">
        <f t="shared" si="183"/>
        <v>447.46817991044776</v>
      </c>
      <c r="E1100" s="386">
        <v>30</v>
      </c>
      <c r="F1100" s="582">
        <f t="shared" si="185"/>
        <v>477.46999999999997</v>
      </c>
      <c r="G1100" s="394" t="s">
        <v>3697</v>
      </c>
      <c r="H1100" s="592" t="s">
        <v>1390</v>
      </c>
      <c r="I1100" s="520" t="s">
        <v>11649</v>
      </c>
      <c r="J1100" s="421" t="s">
        <v>753</v>
      </c>
      <c r="K1100" s="520" t="s">
        <v>741</v>
      </c>
    </row>
    <row r="1101" spans="1:11" s="339" customFormat="1">
      <c r="A1101" s="421"/>
      <c r="B1101" s="338"/>
      <c r="C1101" s="209" t="s">
        <v>2058</v>
      </c>
      <c r="D1101" s="244"/>
      <c r="E1101" s="228"/>
      <c r="F1101" s="585"/>
      <c r="G1101" s="338"/>
      <c r="H1101" s="592"/>
      <c r="I1101" s="520"/>
      <c r="J1101" s="421"/>
      <c r="K1101" s="520"/>
    </row>
    <row r="1102" spans="1:11" s="341" customFormat="1">
      <c r="A1102" s="421"/>
      <c r="B1102" s="338"/>
      <c r="C1102" s="209" t="s">
        <v>2058</v>
      </c>
      <c r="D1102" s="244"/>
      <c r="E1102" s="228"/>
      <c r="F1102" s="585"/>
      <c r="G1102" s="338"/>
      <c r="H1102" s="592"/>
      <c r="I1102" s="520"/>
      <c r="J1102" s="421"/>
      <c r="K1102" s="520"/>
    </row>
    <row r="1103" spans="1:11" s="341" customFormat="1">
      <c r="A1103" s="421"/>
      <c r="B1103" s="338"/>
      <c r="C1103" s="209" t="s">
        <v>2058</v>
      </c>
      <c r="D1103" s="244"/>
      <c r="E1103" s="228"/>
      <c r="F1103" s="585"/>
      <c r="G1103" s="338"/>
      <c r="H1103" s="592"/>
      <c r="I1103" s="520"/>
      <c r="J1103" s="421"/>
      <c r="K1103" s="520"/>
    </row>
    <row r="1104" spans="1:11" s="341" customFormat="1">
      <c r="A1104" s="421"/>
      <c r="B1104" s="338"/>
      <c r="C1104" s="209" t="s">
        <v>2058</v>
      </c>
      <c r="D1104" s="244"/>
      <c r="E1104" s="228"/>
      <c r="F1104" s="585"/>
      <c r="G1104" s="338"/>
      <c r="H1104" s="592"/>
      <c r="I1104" s="520"/>
      <c r="J1104" s="421"/>
      <c r="K1104" s="520"/>
    </row>
    <row r="1105" spans="1:11" s="341" customFormat="1">
      <c r="A1105" s="421"/>
      <c r="B1105" s="247"/>
      <c r="C1105" s="209" t="s">
        <v>2058</v>
      </c>
      <c r="D1105" s="244"/>
      <c r="E1105" s="228"/>
      <c r="F1105" s="585"/>
      <c r="G1105" s="338"/>
      <c r="H1105" s="2018"/>
      <c r="I1105" s="520"/>
      <c r="J1105" s="421"/>
      <c r="K1105" s="520"/>
    </row>
    <row r="1106" spans="1:11" s="341" customFormat="1">
      <c r="A1106" s="421"/>
      <c r="B1106" s="245" t="s">
        <v>1487</v>
      </c>
      <c r="C1106" s="209">
        <v>1475</v>
      </c>
      <c r="D1106" s="244">
        <f>C1106*(1-VLOOKUP(I1106,descuentos,6,FALSE))*fcl/IF(dol_sol="dólar", TC,1)</f>
        <v>358.31463917910446</v>
      </c>
      <c r="E1106" s="472">
        <v>15</v>
      </c>
      <c r="F1106" s="585">
        <f>ROUNDUP(D1106+E1106,2)</f>
        <v>373.32</v>
      </c>
      <c r="G1106" s="338" t="s">
        <v>4691</v>
      </c>
      <c r="H1106" s="592" t="s">
        <v>1486</v>
      </c>
      <c r="I1106" s="520" t="s">
        <v>11649</v>
      </c>
      <c r="J1106" s="421" t="s">
        <v>753</v>
      </c>
      <c r="K1106" s="520" t="s">
        <v>741</v>
      </c>
    </row>
    <row r="1107" spans="1:11" s="341" customFormat="1">
      <c r="A1107" s="421"/>
      <c r="B1107" s="245" t="s">
        <v>850</v>
      </c>
      <c r="C1107" s="209">
        <v>1475</v>
      </c>
      <c r="D1107" s="244">
        <f>C1107*(1-VLOOKUP(I1107,descuentos,6,FALSE))*fcl/IF(dol_sol="dólar", TC,1)</f>
        <v>358.31463917910446</v>
      </c>
      <c r="E1107" s="472">
        <v>15</v>
      </c>
      <c r="F1107" s="585">
        <f>ROUNDUP(D1107+E1107,2)</f>
        <v>373.32</v>
      </c>
      <c r="G1107" s="338" t="s">
        <v>4692</v>
      </c>
      <c r="H1107" s="592" t="s">
        <v>859</v>
      </c>
      <c r="I1107" s="520" t="s">
        <v>11649</v>
      </c>
      <c r="J1107" s="421" t="s">
        <v>753</v>
      </c>
      <c r="K1107" s="520" t="s">
        <v>741</v>
      </c>
    </row>
    <row r="1108" spans="1:11" s="341" customFormat="1">
      <c r="A1108" s="421"/>
      <c r="B1108" s="245" t="s">
        <v>849</v>
      </c>
      <c r="C1108" s="209">
        <v>1475</v>
      </c>
      <c r="D1108" s="244">
        <f>C1108*(1-VLOOKUP(I1108,descuentos,6,FALSE))*fcl/IF(dol_sol="dólar", TC,1)</f>
        <v>358.31463917910446</v>
      </c>
      <c r="E1108" s="472">
        <v>15</v>
      </c>
      <c r="F1108" s="585">
        <f>ROUNDUP(D1108+E1108,2)</f>
        <v>373.32</v>
      </c>
      <c r="G1108" s="338" t="s">
        <v>4693</v>
      </c>
      <c r="H1108" s="592" t="s">
        <v>858</v>
      </c>
      <c r="I1108" s="520" t="s">
        <v>11649</v>
      </c>
      <c r="J1108" s="421" t="s">
        <v>753</v>
      </c>
      <c r="K1108" s="520" t="s">
        <v>741</v>
      </c>
    </row>
    <row r="1109" spans="1:11" s="341" customFormat="1">
      <c r="A1109" s="421"/>
      <c r="B1109" s="245" t="s">
        <v>3453</v>
      </c>
      <c r="C1109" s="209">
        <v>1536</v>
      </c>
      <c r="D1109" s="244">
        <f>C1109*(1-VLOOKUP(I1109,descuentos,6,FALSE))*fcl/IF(dol_sol="dólar", TC,1)</f>
        <v>373.13307510447754</v>
      </c>
      <c r="E1109" s="472">
        <v>15</v>
      </c>
      <c r="F1109" s="585">
        <f>ROUNDUP(D1109+E1109,2)</f>
        <v>388.14</v>
      </c>
      <c r="G1109" s="338" t="s">
        <v>4694</v>
      </c>
      <c r="H1109" s="592" t="s">
        <v>3454</v>
      </c>
      <c r="I1109" s="520" t="s">
        <v>11649</v>
      </c>
      <c r="J1109" s="421" t="s">
        <v>753</v>
      </c>
      <c r="K1109" s="520" t="s">
        <v>741</v>
      </c>
    </row>
    <row r="1110" spans="1:11" s="341" customFormat="1">
      <c r="A1110" s="421"/>
      <c r="B1110" s="245"/>
      <c r="C1110" s="209" t="s">
        <v>2058</v>
      </c>
      <c r="D1110" s="244"/>
      <c r="E1110" s="228"/>
      <c r="F1110" s="585"/>
      <c r="G1110" s="338"/>
      <c r="H1110" s="592"/>
      <c r="I1110" s="520"/>
      <c r="J1110" s="421"/>
      <c r="K1110" s="520"/>
    </row>
    <row r="1111" spans="1:11" s="341" customFormat="1">
      <c r="A1111" s="421"/>
      <c r="B1111" s="245" t="s">
        <v>869</v>
      </c>
      <c r="C1111" s="209">
        <v>1772</v>
      </c>
      <c r="D1111" s="244">
        <f>C1111*(1-VLOOKUP(I1111,descuentos,6,FALSE))*fcl/IF(dol_sol="dólar", TC,1)</f>
        <v>430.46341737313429</v>
      </c>
      <c r="E1111" s="472">
        <v>15</v>
      </c>
      <c r="F1111" s="585">
        <f>ROUNDUP(D1111+E1111,2)</f>
        <v>445.46999999999997</v>
      </c>
      <c r="G1111" s="338" t="s">
        <v>4695</v>
      </c>
      <c r="H1111" s="592" t="s">
        <v>872</v>
      </c>
      <c r="I1111" s="520" t="s">
        <v>11649</v>
      </c>
      <c r="J1111" s="421" t="s">
        <v>753</v>
      </c>
      <c r="K1111" s="520" t="s">
        <v>741</v>
      </c>
    </row>
    <row r="1112" spans="1:11" s="341" customFormat="1">
      <c r="A1112" s="421"/>
      <c r="B1112" s="245" t="s">
        <v>868</v>
      </c>
      <c r="C1112" s="209">
        <v>1772</v>
      </c>
      <c r="D1112" s="244">
        <f>C1112*(1-VLOOKUP(I1112,descuentos,6,FALSE))*fcl/IF(dol_sol="dólar", TC,1)</f>
        <v>430.46341737313429</v>
      </c>
      <c r="E1112" s="472">
        <v>15</v>
      </c>
      <c r="F1112" s="585">
        <f>ROUNDUP(D1112+E1112,2)</f>
        <v>445.46999999999997</v>
      </c>
      <c r="G1112" s="338" t="s">
        <v>4696</v>
      </c>
      <c r="H1112" s="592" t="s">
        <v>871</v>
      </c>
      <c r="I1112" s="520" t="s">
        <v>11649</v>
      </c>
      <c r="J1112" s="421" t="s">
        <v>753</v>
      </c>
      <c r="K1112" s="520" t="s">
        <v>741</v>
      </c>
    </row>
    <row r="1113" spans="1:11" s="341" customFormat="1">
      <c r="A1113" s="421"/>
      <c r="B1113" s="245" t="s">
        <v>2926</v>
      </c>
      <c r="C1113" s="209">
        <v>1839</v>
      </c>
      <c r="D1113" s="244">
        <f>C1113*(1-VLOOKUP(I1113,descuentos,6,FALSE))*fcl/IF(dol_sol="dólar", TC,1)</f>
        <v>446.73940437313428</v>
      </c>
      <c r="E1113" s="472">
        <v>15</v>
      </c>
      <c r="F1113" s="585">
        <f>ROUNDUP(D1113+E1113,2)</f>
        <v>461.74</v>
      </c>
      <c r="G1113" s="338" t="s">
        <v>4697</v>
      </c>
      <c r="H1113" s="592" t="s">
        <v>2925</v>
      </c>
      <c r="I1113" s="520" t="s">
        <v>11649</v>
      </c>
      <c r="J1113" s="421" t="s">
        <v>753</v>
      </c>
      <c r="K1113" s="520" t="s">
        <v>741</v>
      </c>
    </row>
    <row r="1114" spans="1:11" s="341" customFormat="1">
      <c r="A1114" s="421"/>
      <c r="B1114" s="245"/>
      <c r="C1114" s="209" t="s">
        <v>2058</v>
      </c>
      <c r="D1114" s="244"/>
      <c r="E1114" s="228"/>
      <c r="F1114" s="585"/>
      <c r="G1114" s="338"/>
      <c r="H1114" s="592"/>
      <c r="I1114" s="520"/>
      <c r="J1114" s="421"/>
      <c r="K1114" s="520"/>
    </row>
    <row r="1115" spans="1:11" s="341" customFormat="1">
      <c r="A1115" s="421"/>
      <c r="B1115" s="245" t="s">
        <v>14251</v>
      </c>
      <c r="C1115" s="209">
        <v>1824</v>
      </c>
      <c r="D1115" s="244">
        <f>C1115*(1-VLOOKUP(I1115,descuentos,6,FALSE))*fcl/IF(dol_sol="dólar", TC,1)</f>
        <v>443.09552668656704</v>
      </c>
      <c r="E1115" s="472">
        <v>15</v>
      </c>
      <c r="F1115" s="585">
        <f>ROUNDUP(D1115+E1115,2)</f>
        <v>458.09999999999997</v>
      </c>
      <c r="G1115" s="338" t="s">
        <v>14252</v>
      </c>
      <c r="H1115" s="592" t="s">
        <v>14253</v>
      </c>
      <c r="I1115" s="520" t="s">
        <v>11649</v>
      </c>
      <c r="J1115" s="421" t="s">
        <v>753</v>
      </c>
      <c r="K1115" s="520" t="s">
        <v>741</v>
      </c>
    </row>
    <row r="1116" spans="1:11" s="341" customFormat="1">
      <c r="A1116" s="421"/>
      <c r="B1116" s="245" t="s">
        <v>5559</v>
      </c>
      <c r="C1116" s="209">
        <v>1824</v>
      </c>
      <c r="D1116" s="244">
        <f>C1116*(1-VLOOKUP(I1116,descuentos,6,FALSE))*fcl/IF(dol_sol="dólar", TC,1)</f>
        <v>443.09552668656704</v>
      </c>
      <c r="E1116" s="472">
        <v>15</v>
      </c>
      <c r="F1116" s="585">
        <f>ROUNDUP(D1116+E1116,2)</f>
        <v>458.09999999999997</v>
      </c>
      <c r="G1116" s="338" t="s">
        <v>5560</v>
      </c>
      <c r="H1116" s="592" t="s">
        <v>5561</v>
      </c>
      <c r="I1116" s="520" t="s">
        <v>11649</v>
      </c>
      <c r="J1116" s="421" t="s">
        <v>753</v>
      </c>
      <c r="K1116" s="520" t="s">
        <v>741</v>
      </c>
    </row>
    <row r="1117" spans="1:11" s="341" customFormat="1">
      <c r="A1117" s="421"/>
      <c r="B1117" s="245" t="s">
        <v>5562</v>
      </c>
      <c r="C1117" s="209">
        <v>1824</v>
      </c>
      <c r="D1117" s="244">
        <f>C1117*(1-VLOOKUP(I1117,descuentos,6,FALSE))*fcl/IF(dol_sol="dólar", TC,1)</f>
        <v>443.09552668656704</v>
      </c>
      <c r="E1117" s="472">
        <v>15</v>
      </c>
      <c r="F1117" s="585">
        <f>ROUNDUP(D1117+E1117,2)</f>
        <v>458.09999999999997</v>
      </c>
      <c r="G1117" s="338" t="s">
        <v>5563</v>
      </c>
      <c r="H1117" s="592" t="s">
        <v>5564</v>
      </c>
      <c r="I1117" s="520" t="s">
        <v>11649</v>
      </c>
      <c r="J1117" s="421" t="s">
        <v>753</v>
      </c>
      <c r="K1117" s="520" t="s">
        <v>741</v>
      </c>
    </row>
    <row r="1118" spans="1:11" s="341" customFormat="1">
      <c r="A1118" s="421"/>
      <c r="B1118" s="245" t="s">
        <v>5565</v>
      </c>
      <c r="C1118" s="209">
        <v>1888</v>
      </c>
      <c r="D1118" s="244">
        <f>C1118*(1-VLOOKUP(I1118,descuentos,6,FALSE))*fcl/IF(dol_sol="dólar", TC,1)</f>
        <v>458.64273814925372</v>
      </c>
      <c r="E1118" s="472">
        <v>15</v>
      </c>
      <c r="F1118" s="585">
        <f>ROUNDUP(D1118+E1118,2)</f>
        <v>473.65</v>
      </c>
      <c r="G1118" s="338" t="s">
        <v>5566</v>
      </c>
      <c r="H1118" s="592" t="s">
        <v>5567</v>
      </c>
      <c r="I1118" s="520" t="s">
        <v>11649</v>
      </c>
      <c r="J1118" s="421" t="s">
        <v>753</v>
      </c>
      <c r="K1118" s="520" t="s">
        <v>741</v>
      </c>
    </row>
    <row r="1119" spans="1:11" s="341" customFormat="1">
      <c r="A1119" s="421"/>
      <c r="B1119" s="245"/>
      <c r="C1119" s="209" t="s">
        <v>2058</v>
      </c>
      <c r="D1119" s="244"/>
      <c r="E1119" s="228"/>
      <c r="F1119" s="585"/>
      <c r="G1119" s="338"/>
      <c r="H1119" s="592"/>
      <c r="I1119" s="520"/>
      <c r="J1119" s="421"/>
      <c r="K1119" s="520"/>
    </row>
    <row r="1120" spans="1:11" s="341" customFormat="1">
      <c r="A1120" s="421"/>
      <c r="B1120" s="245"/>
      <c r="C1120" s="209" t="s">
        <v>2058</v>
      </c>
      <c r="D1120" s="244"/>
      <c r="E1120" s="228"/>
      <c r="F1120" s="585"/>
      <c r="G1120" s="338"/>
      <c r="H1120" s="592"/>
      <c r="I1120" s="520"/>
      <c r="J1120" s="421"/>
      <c r="K1120" s="520"/>
    </row>
    <row r="1121" spans="1:11" s="341" customFormat="1">
      <c r="A1121" s="421"/>
      <c r="B1121" s="917" t="s">
        <v>2954</v>
      </c>
      <c r="C1121" s="389">
        <v>1916</v>
      </c>
      <c r="D1121" s="388">
        <f>C1121*(1-VLOOKUP(I1121,descuentos,6,FALSE))*fcl/IF(dol_sol="dólar", TC,1)</f>
        <v>465.44464316417907</v>
      </c>
      <c r="E1121" s="386">
        <v>20</v>
      </c>
      <c r="F1121" s="582">
        <f>ROUNDUP(D1121+E1121,2)</f>
        <v>485.45</v>
      </c>
      <c r="G1121" s="394" t="s">
        <v>4698</v>
      </c>
      <c r="H1121" s="580" t="s">
        <v>2952</v>
      </c>
      <c r="I1121" s="520" t="s">
        <v>11649</v>
      </c>
      <c r="J1121" s="421" t="s">
        <v>753</v>
      </c>
      <c r="K1121" s="520" t="s">
        <v>741</v>
      </c>
    </row>
    <row r="1122" spans="1:11" s="341" customFormat="1">
      <c r="A1122" s="421"/>
      <c r="B1122" s="917" t="s">
        <v>1454</v>
      </c>
      <c r="C1122" s="389">
        <v>1916</v>
      </c>
      <c r="D1122" s="388">
        <f>C1122*(1-VLOOKUP(I1122,descuentos,6,FALSE))*fcl/IF(dol_sol="dólar", TC,1)</f>
        <v>465.44464316417907</v>
      </c>
      <c r="E1122" s="386">
        <v>20</v>
      </c>
      <c r="F1122" s="582">
        <f>ROUNDUP(D1122+E1122,2)</f>
        <v>485.45</v>
      </c>
      <c r="G1122" s="394" t="s">
        <v>4699</v>
      </c>
      <c r="H1122" s="580" t="s">
        <v>1455</v>
      </c>
      <c r="I1122" s="520" t="s">
        <v>11649</v>
      </c>
      <c r="J1122" s="421" t="s">
        <v>753</v>
      </c>
      <c r="K1122" s="520" t="s">
        <v>741</v>
      </c>
    </row>
    <row r="1123" spans="1:11" s="341" customFormat="1">
      <c r="A1123" s="421"/>
      <c r="B1123" s="917" t="s">
        <v>2955</v>
      </c>
      <c r="C1123" s="389">
        <v>1996</v>
      </c>
      <c r="D1123" s="388">
        <f>C1123*(1-VLOOKUP(I1123,descuentos,6,FALSE))*fcl/IF(dol_sol="dólar", TC,1)</f>
        <v>484.87865749253723</v>
      </c>
      <c r="E1123" s="386">
        <v>20</v>
      </c>
      <c r="F1123" s="582">
        <f>ROUNDUP(D1123+E1123,2)</f>
        <v>504.88</v>
      </c>
      <c r="G1123" s="394" t="s">
        <v>4700</v>
      </c>
      <c r="H1123" s="580" t="s">
        <v>2953</v>
      </c>
      <c r="I1123" s="520" t="s">
        <v>11649</v>
      </c>
      <c r="J1123" s="421" t="s">
        <v>753</v>
      </c>
      <c r="K1123" s="520" t="s">
        <v>741</v>
      </c>
    </row>
    <row r="1124" spans="1:11" s="341" customFormat="1">
      <c r="A1124" s="421"/>
      <c r="B1124" s="245"/>
      <c r="C1124" s="209" t="s">
        <v>2058</v>
      </c>
      <c r="D1124" s="244"/>
      <c r="E1124" s="228"/>
      <c r="F1124" s="585"/>
      <c r="G1124" s="338"/>
      <c r="H1124" s="592"/>
      <c r="I1124" s="520"/>
      <c r="J1124" s="421"/>
      <c r="K1124" s="520"/>
    </row>
    <row r="1125" spans="1:11" s="341" customFormat="1">
      <c r="A1125" s="421"/>
      <c r="B1125" s="917" t="s">
        <v>2963</v>
      </c>
      <c r="C1125" s="389">
        <v>2303</v>
      </c>
      <c r="D1125" s="388">
        <f>C1125*(1-VLOOKUP(I1125,descuentos,6,FALSE))*fcl/IF(dol_sol="dólar", TC,1)</f>
        <v>559.45668747761181</v>
      </c>
      <c r="E1125" s="386">
        <v>20</v>
      </c>
      <c r="F1125" s="582">
        <f>ROUNDUP(D1125+E1125,2)</f>
        <v>579.46</v>
      </c>
      <c r="G1125" s="394" t="s">
        <v>4701</v>
      </c>
      <c r="H1125" s="580" t="s">
        <v>2967</v>
      </c>
      <c r="I1125" s="520" t="s">
        <v>11649</v>
      </c>
      <c r="J1125" s="421" t="s">
        <v>753</v>
      </c>
      <c r="K1125" s="520" t="s">
        <v>741</v>
      </c>
    </row>
    <row r="1126" spans="1:11" s="341" customFormat="1">
      <c r="A1126" s="421"/>
      <c r="B1126" s="917" t="s">
        <v>2962</v>
      </c>
      <c r="C1126" s="389">
        <v>2303</v>
      </c>
      <c r="D1126" s="388">
        <f>C1126*(1-VLOOKUP(I1126,descuentos,6,FALSE))*fcl/IF(dol_sol="dólar", TC,1)</f>
        <v>559.45668747761181</v>
      </c>
      <c r="E1126" s="386">
        <v>20</v>
      </c>
      <c r="F1126" s="582">
        <f>ROUNDUP(D1126+E1126,2)</f>
        <v>579.46</v>
      </c>
      <c r="G1126" s="394" t="s">
        <v>4702</v>
      </c>
      <c r="H1126" s="580" t="s">
        <v>2968</v>
      </c>
      <c r="I1126" s="520" t="s">
        <v>11649</v>
      </c>
      <c r="J1126" s="421" t="s">
        <v>753</v>
      </c>
      <c r="K1126" s="520" t="s">
        <v>741</v>
      </c>
    </row>
    <row r="1127" spans="1:11" s="341" customFormat="1">
      <c r="A1127" s="421"/>
      <c r="B1127" s="917" t="s">
        <v>2964</v>
      </c>
      <c r="C1127" s="389">
        <v>2391</v>
      </c>
      <c r="D1127" s="388">
        <f>C1127*(1-VLOOKUP(I1127,descuentos,6,FALSE))*fcl/IF(dol_sol="dólar", TC,1)</f>
        <v>580.83410323880582</v>
      </c>
      <c r="E1127" s="386">
        <v>20</v>
      </c>
      <c r="F1127" s="582">
        <f>ROUNDUP(D1127+E1127,2)</f>
        <v>600.84</v>
      </c>
      <c r="G1127" s="394" t="s">
        <v>4703</v>
      </c>
      <c r="H1127" s="580" t="s">
        <v>2969</v>
      </c>
      <c r="I1127" s="520" t="s">
        <v>11649</v>
      </c>
      <c r="J1127" s="421" t="s">
        <v>753</v>
      </c>
      <c r="K1127" s="520" t="s">
        <v>741</v>
      </c>
    </row>
    <row r="1128" spans="1:11" s="341" customFormat="1">
      <c r="A1128" s="421"/>
      <c r="B1128" s="245"/>
      <c r="C1128" s="209" t="s">
        <v>2058</v>
      </c>
      <c r="D1128" s="244"/>
      <c r="E1128" s="228"/>
      <c r="F1128" s="585"/>
      <c r="G1128" s="338"/>
      <c r="H1128" s="592"/>
      <c r="I1128" s="520"/>
      <c r="J1128" s="421"/>
      <c r="K1128" s="520"/>
    </row>
    <row r="1129" spans="1:11" s="341" customFormat="1">
      <c r="A1129" s="421"/>
      <c r="B1129" s="917" t="s">
        <v>2927</v>
      </c>
      <c r="C1129" s="389">
        <v>2372</v>
      </c>
      <c r="D1129" s="388">
        <f>C1129*(1-VLOOKUP(I1129,descuentos,6,FALSE))*fcl/IF(dol_sol="dólar", TC,1)</f>
        <v>576.21852483582086</v>
      </c>
      <c r="E1129" s="386">
        <v>20</v>
      </c>
      <c r="F1129" s="582">
        <f>ROUNDUP(D1129+E1129,2)</f>
        <v>596.22</v>
      </c>
      <c r="G1129" s="394" t="s">
        <v>4704</v>
      </c>
      <c r="H1129" s="580" t="s">
        <v>2930</v>
      </c>
      <c r="I1129" s="520" t="s">
        <v>11649</v>
      </c>
      <c r="J1129" s="421" t="s">
        <v>753</v>
      </c>
      <c r="K1129" s="520" t="s">
        <v>741</v>
      </c>
    </row>
    <row r="1130" spans="1:11" s="341" customFormat="1">
      <c r="A1130" s="421"/>
      <c r="B1130" s="917" t="s">
        <v>2928</v>
      </c>
      <c r="C1130" s="389">
        <v>2372</v>
      </c>
      <c r="D1130" s="388">
        <f>C1130*(1-VLOOKUP(I1130,descuentos,6,FALSE))*fcl/IF(dol_sol="dólar", TC,1)</f>
        <v>576.21852483582086</v>
      </c>
      <c r="E1130" s="386">
        <v>20</v>
      </c>
      <c r="F1130" s="582">
        <f>ROUNDUP(D1130+E1130,2)</f>
        <v>596.22</v>
      </c>
      <c r="G1130" s="394" t="s">
        <v>4705</v>
      </c>
      <c r="H1130" s="580" t="s">
        <v>2931</v>
      </c>
      <c r="I1130" s="520" t="s">
        <v>11649</v>
      </c>
      <c r="J1130" s="421" t="s">
        <v>753</v>
      </c>
      <c r="K1130" s="520" t="s">
        <v>741</v>
      </c>
    </row>
    <row r="1131" spans="1:11" s="341" customFormat="1">
      <c r="A1131" s="421"/>
      <c r="B1131" s="917" t="s">
        <v>2929</v>
      </c>
      <c r="C1131" s="389">
        <v>2454</v>
      </c>
      <c r="D1131" s="388">
        <f>C1131*(1-VLOOKUP(I1131,descuentos,6,FALSE))*fcl/IF(dol_sol="dólar", TC,1)</f>
        <v>596.13838952238802</v>
      </c>
      <c r="E1131" s="386">
        <v>20</v>
      </c>
      <c r="F1131" s="582">
        <f>ROUNDUP(D1131+E1131,2)</f>
        <v>616.14</v>
      </c>
      <c r="G1131" s="394" t="s">
        <v>4706</v>
      </c>
      <c r="H1131" s="580" t="s">
        <v>2932</v>
      </c>
      <c r="I1131" s="520" t="s">
        <v>11649</v>
      </c>
      <c r="J1131" s="421" t="s">
        <v>753</v>
      </c>
      <c r="K1131" s="520" t="s">
        <v>741</v>
      </c>
    </row>
    <row r="1132" spans="1:11" s="341" customFormat="1">
      <c r="A1132" s="421"/>
      <c r="B1132" s="245"/>
      <c r="C1132" s="209" t="s">
        <v>2058</v>
      </c>
      <c r="D1132" s="244"/>
      <c r="E1132" s="228"/>
      <c r="F1132" s="585"/>
      <c r="G1132" s="338"/>
      <c r="H1132" s="592"/>
      <c r="I1132" s="520"/>
      <c r="J1132" s="421"/>
      <c r="K1132" s="520"/>
    </row>
    <row r="1133" spans="1:11" s="341" customFormat="1">
      <c r="A1133" s="421"/>
      <c r="B1133" s="917" t="s">
        <v>6734</v>
      </c>
      <c r="C1133" s="389">
        <v>2845</v>
      </c>
      <c r="D1133" s="388">
        <f>C1133*(1-VLOOKUP(I1133,descuentos,6,FALSE))*fcl/IF(dol_sol="dólar", TC,1)</f>
        <v>691.12213455223866</v>
      </c>
      <c r="E1133" s="386">
        <v>20</v>
      </c>
      <c r="F1133" s="582">
        <f>ROUNDUP(D1133+E1133,2)</f>
        <v>711.13</v>
      </c>
      <c r="G1133" s="394" t="s">
        <v>6735</v>
      </c>
      <c r="H1133" s="580" t="s">
        <v>6736</v>
      </c>
      <c r="I1133" s="520" t="s">
        <v>11649</v>
      </c>
      <c r="J1133" s="421" t="s">
        <v>753</v>
      </c>
      <c r="K1133" s="520" t="s">
        <v>741</v>
      </c>
    </row>
    <row r="1134" spans="1:11" s="341" customFormat="1">
      <c r="A1134" s="421"/>
      <c r="B1134" s="917" t="s">
        <v>6737</v>
      </c>
      <c r="C1134" s="389">
        <v>2845</v>
      </c>
      <c r="D1134" s="388">
        <f>C1134*(1-VLOOKUP(I1134,descuentos,6,FALSE))*fcl/IF(dol_sol="dólar", TC,1)</f>
        <v>691.12213455223866</v>
      </c>
      <c r="E1134" s="386">
        <v>20</v>
      </c>
      <c r="F1134" s="582">
        <f>ROUNDUP(D1134+E1134,2)</f>
        <v>711.13</v>
      </c>
      <c r="G1134" s="394" t="s">
        <v>6738</v>
      </c>
      <c r="H1134" s="580" t="s">
        <v>6739</v>
      </c>
      <c r="I1134" s="520" t="s">
        <v>11649</v>
      </c>
      <c r="J1134" s="421" t="s">
        <v>753</v>
      </c>
      <c r="K1134" s="520" t="s">
        <v>741</v>
      </c>
    </row>
    <row r="1135" spans="1:11" s="341" customFormat="1">
      <c r="A1135" s="421"/>
      <c r="B1135" s="917" t="s">
        <v>6740</v>
      </c>
      <c r="C1135" s="389">
        <v>2945</v>
      </c>
      <c r="D1135" s="388">
        <f>C1135*(1-VLOOKUP(I1135,descuentos,6,FALSE))*fcl/IF(dol_sol="dólar", TC,1)</f>
        <v>715.4146524626866</v>
      </c>
      <c r="E1135" s="386">
        <v>20</v>
      </c>
      <c r="F1135" s="582">
        <f>ROUNDUP(D1135+E1135,2)</f>
        <v>735.42</v>
      </c>
      <c r="G1135" s="394" t="s">
        <v>6741</v>
      </c>
      <c r="H1135" s="580" t="s">
        <v>6742</v>
      </c>
      <c r="I1135" s="520" t="s">
        <v>11649</v>
      </c>
      <c r="J1135" s="421" t="s">
        <v>753</v>
      </c>
      <c r="K1135" s="520" t="s">
        <v>741</v>
      </c>
    </row>
    <row r="1136" spans="1:11" s="341" customFormat="1">
      <c r="A1136" s="421"/>
      <c r="B1136" s="245"/>
      <c r="C1136" s="209" t="s">
        <v>2058</v>
      </c>
      <c r="D1136" s="244"/>
      <c r="E1136" s="228"/>
      <c r="F1136" s="585"/>
      <c r="G1136" s="338"/>
      <c r="H1136" s="592"/>
      <c r="I1136" s="520"/>
      <c r="J1136" s="421"/>
      <c r="K1136" s="520"/>
    </row>
    <row r="1137" spans="1:11" s="341" customFormat="1">
      <c r="A1137" s="421"/>
      <c r="B1137" s="245"/>
      <c r="C1137" s="209" t="s">
        <v>2058</v>
      </c>
      <c r="D1137" s="244"/>
      <c r="E1137" s="228"/>
      <c r="F1137" s="585"/>
      <c r="G1137" s="338"/>
      <c r="H1137" s="592"/>
      <c r="I1137" s="520"/>
      <c r="J1137" s="421"/>
      <c r="K1137" s="520"/>
    </row>
    <row r="1138" spans="1:11" s="341" customFormat="1">
      <c r="A1138" s="421"/>
      <c r="B1138" s="245" t="s">
        <v>881</v>
      </c>
      <c r="C1138" s="209">
        <v>1769</v>
      </c>
      <c r="D1138" s="244">
        <f>C1138*(1-VLOOKUP(I1138,descuentos,6,FALSE))*fcl/IF(dol_sol="dólar", TC,1)</f>
        <v>429.73464183582087</v>
      </c>
      <c r="E1138" s="228">
        <f>D1138/8</f>
        <v>53.716830229477608</v>
      </c>
      <c r="F1138" s="585">
        <f>ROUNDUP(D1138+E1138,2)</f>
        <v>483.46</v>
      </c>
      <c r="G1138" s="338" t="s">
        <v>4707</v>
      </c>
      <c r="H1138" s="592" t="s">
        <v>896</v>
      </c>
      <c r="I1138" s="520" t="s">
        <v>11649</v>
      </c>
      <c r="J1138" s="421" t="s">
        <v>753</v>
      </c>
      <c r="K1138" s="520" t="s">
        <v>741</v>
      </c>
    </row>
    <row r="1139" spans="1:11" s="341" customFormat="1">
      <c r="A1139" s="421"/>
      <c r="B1139" s="245" t="s">
        <v>880</v>
      </c>
      <c r="C1139" s="209">
        <v>1769</v>
      </c>
      <c r="D1139" s="244">
        <f>C1139*(1-VLOOKUP(I1139,descuentos,6,FALSE))*fcl/IF(dol_sol="dólar", TC,1)</f>
        <v>429.73464183582087</v>
      </c>
      <c r="E1139" s="228">
        <f>D1139/8</f>
        <v>53.716830229477608</v>
      </c>
      <c r="F1139" s="585">
        <f>ROUNDUP(D1139+E1139,2)</f>
        <v>483.46</v>
      </c>
      <c r="G1139" s="338" t="s">
        <v>4708</v>
      </c>
      <c r="H1139" s="592" t="s">
        <v>895</v>
      </c>
      <c r="I1139" s="520" t="s">
        <v>11649</v>
      </c>
      <c r="J1139" s="421" t="s">
        <v>753</v>
      </c>
      <c r="K1139" s="520" t="s">
        <v>741</v>
      </c>
    </row>
    <row r="1140" spans="1:11" s="341" customFormat="1">
      <c r="A1140" s="421"/>
      <c r="B1140" s="245" t="s">
        <v>891</v>
      </c>
      <c r="C1140" s="209">
        <v>1861</v>
      </c>
      <c r="D1140" s="244">
        <f>C1140*(1-VLOOKUP(I1140,descuentos,6,FALSE))*fcl/IF(dol_sol="dólar", TC,1)</f>
        <v>452.08375831343278</v>
      </c>
      <c r="E1140" s="228">
        <f>D1140/8</f>
        <v>56.510469789179098</v>
      </c>
      <c r="F1140" s="585">
        <f>ROUNDUP(D1140+E1140,2)</f>
        <v>508.59999999999997</v>
      </c>
      <c r="G1140" s="338" t="s">
        <v>4709</v>
      </c>
      <c r="H1140" s="592" t="s">
        <v>907</v>
      </c>
      <c r="I1140" s="520" t="s">
        <v>11649</v>
      </c>
      <c r="J1140" s="421" t="s">
        <v>753</v>
      </c>
      <c r="K1140" s="520" t="s">
        <v>741</v>
      </c>
    </row>
    <row r="1141" spans="1:11" s="341" customFormat="1">
      <c r="A1141" s="421"/>
      <c r="B1141" s="245"/>
      <c r="C1141" s="209" t="s">
        <v>2058</v>
      </c>
      <c r="D1141" s="244"/>
      <c r="E1141" s="228"/>
      <c r="F1141" s="585"/>
      <c r="G1141" s="338"/>
      <c r="H1141" s="592"/>
      <c r="I1141" s="520"/>
      <c r="J1141" s="421"/>
      <c r="K1141" s="520"/>
    </row>
    <row r="1142" spans="1:11" s="341" customFormat="1">
      <c r="A1142" s="421"/>
      <c r="B1142" s="245" t="s">
        <v>893</v>
      </c>
      <c r="C1142" s="209">
        <v>1917</v>
      </c>
      <c r="D1142" s="244">
        <f>C1142*(1-VLOOKUP(I1142,descuentos,6,FALSE))*fcl/IF(dol_sol="dólar", TC,1)</f>
        <v>465.68756834328354</v>
      </c>
      <c r="E1142" s="228">
        <f>D1142/8</f>
        <v>58.210946042910443</v>
      </c>
      <c r="F1142" s="585">
        <f>ROUNDUP(D1142+E1142,2)</f>
        <v>523.9</v>
      </c>
      <c r="G1142" s="338" t="s">
        <v>4710</v>
      </c>
      <c r="H1142" s="592" t="s">
        <v>909</v>
      </c>
      <c r="I1142" s="520" t="s">
        <v>11649</v>
      </c>
      <c r="J1142" s="421" t="s">
        <v>753</v>
      </c>
      <c r="K1142" s="520" t="s">
        <v>741</v>
      </c>
    </row>
    <row r="1143" spans="1:11" s="341" customFormat="1">
      <c r="A1143" s="421"/>
      <c r="B1143" s="245" t="s">
        <v>882</v>
      </c>
      <c r="C1143" s="209">
        <v>1917</v>
      </c>
      <c r="D1143" s="244">
        <f>C1143*(1-VLOOKUP(I1143,descuentos,6,FALSE))*fcl/IF(dol_sol="dólar", TC,1)</f>
        <v>465.68756834328354</v>
      </c>
      <c r="E1143" s="228">
        <f>D1143/8</f>
        <v>58.210946042910443</v>
      </c>
      <c r="F1143" s="585">
        <f>ROUNDUP(D1143+E1143,2)</f>
        <v>523.9</v>
      </c>
      <c r="G1143" s="338" t="s">
        <v>4711</v>
      </c>
      <c r="H1143" s="592" t="s">
        <v>897</v>
      </c>
      <c r="I1143" s="520" t="s">
        <v>11649</v>
      </c>
      <c r="J1143" s="421" t="s">
        <v>753</v>
      </c>
      <c r="K1143" s="520" t="s">
        <v>741</v>
      </c>
    </row>
    <row r="1144" spans="1:11" s="341" customFormat="1">
      <c r="A1144" s="421"/>
      <c r="B1144" s="245" t="s">
        <v>884</v>
      </c>
      <c r="C1144" s="209">
        <v>2008</v>
      </c>
      <c r="D1144" s="244">
        <f>C1144*(1-VLOOKUP(I1144,descuentos,6,FALSE))*fcl/IF(dol_sol="dólar", TC,1)</f>
        <v>487.79375964179098</v>
      </c>
      <c r="E1144" s="228">
        <f>D1144/8</f>
        <v>60.974219955223873</v>
      </c>
      <c r="F1144" s="585">
        <f>ROUNDUP(D1144+E1144,2)</f>
        <v>548.77</v>
      </c>
      <c r="G1144" s="338" t="s">
        <v>4712</v>
      </c>
      <c r="H1144" s="592" t="s">
        <v>899</v>
      </c>
      <c r="I1144" s="520" t="s">
        <v>11649</v>
      </c>
      <c r="J1144" s="421" t="s">
        <v>753</v>
      </c>
      <c r="K1144" s="520" t="s">
        <v>741</v>
      </c>
    </row>
    <row r="1145" spans="1:11" s="341" customFormat="1">
      <c r="A1145" s="421"/>
      <c r="B1145" s="245"/>
      <c r="C1145" s="209" t="s">
        <v>2058</v>
      </c>
      <c r="D1145" s="244"/>
      <c r="E1145" s="228"/>
      <c r="F1145" s="585"/>
      <c r="G1145" s="338"/>
      <c r="H1145" s="592"/>
      <c r="I1145" s="520"/>
      <c r="J1145" s="421"/>
      <c r="K1145" s="520"/>
    </row>
    <row r="1146" spans="1:11" s="341" customFormat="1">
      <c r="A1146" s="421"/>
      <c r="B1146" s="245" t="s">
        <v>5568</v>
      </c>
      <c r="C1146" s="209">
        <v>2169</v>
      </c>
      <c r="D1146" s="244">
        <f>C1146*(1-VLOOKUP(I1146,descuentos,6,FALSE))*fcl/IF(dol_sol="dólar", TC,1)</f>
        <v>526.90471347761195</v>
      </c>
      <c r="E1146" s="228">
        <f>D1146/8</f>
        <v>65.863089184701494</v>
      </c>
      <c r="F1146" s="585">
        <f>ROUNDUP(D1146+E1146,2)</f>
        <v>592.77</v>
      </c>
      <c r="G1146" s="338" t="s">
        <v>5569</v>
      </c>
      <c r="H1146" s="592" t="s">
        <v>5570</v>
      </c>
      <c r="I1146" s="520" t="s">
        <v>11649</v>
      </c>
      <c r="J1146" s="421" t="s">
        <v>753</v>
      </c>
      <c r="K1146" s="520" t="s">
        <v>741</v>
      </c>
    </row>
    <row r="1147" spans="1:11" s="341" customFormat="1">
      <c r="A1147" s="421"/>
      <c r="B1147" s="245" t="s">
        <v>5571</v>
      </c>
      <c r="C1147" s="209">
        <v>2169</v>
      </c>
      <c r="D1147" s="244">
        <f>C1147*(1-VLOOKUP(I1147,descuentos,6,FALSE))*fcl/IF(dol_sol="dólar", TC,1)</f>
        <v>526.90471347761195</v>
      </c>
      <c r="E1147" s="228">
        <f>D1147/8</f>
        <v>65.863089184701494</v>
      </c>
      <c r="F1147" s="585">
        <f>ROUNDUP(D1147+E1147,2)</f>
        <v>592.77</v>
      </c>
      <c r="G1147" s="338" t="s">
        <v>5572</v>
      </c>
      <c r="H1147" s="592" t="s">
        <v>5573</v>
      </c>
      <c r="I1147" s="520" t="s">
        <v>11649</v>
      </c>
      <c r="J1147" s="421" t="s">
        <v>753</v>
      </c>
      <c r="K1147" s="520" t="s">
        <v>741</v>
      </c>
    </row>
    <row r="1148" spans="1:11" s="341" customFormat="1">
      <c r="A1148" s="421"/>
      <c r="B1148" s="245" t="s">
        <v>5574</v>
      </c>
      <c r="C1148" s="209">
        <v>2258</v>
      </c>
      <c r="D1148" s="244">
        <f>C1148*(1-VLOOKUP(I1148,descuentos,6,FALSE))*fcl/IF(dol_sol="dólar", TC,1)</f>
        <v>548.52505441791038</v>
      </c>
      <c r="E1148" s="228">
        <f>D1148/8</f>
        <v>68.565631802238798</v>
      </c>
      <c r="F1148" s="585">
        <f>ROUNDUP(D1148+E1148,2)</f>
        <v>617.1</v>
      </c>
      <c r="G1148" s="338" t="s">
        <v>5575</v>
      </c>
      <c r="H1148" s="592" t="s">
        <v>5576</v>
      </c>
      <c r="I1148" s="520" t="s">
        <v>11649</v>
      </c>
      <c r="J1148" s="421" t="s">
        <v>753</v>
      </c>
      <c r="K1148" s="520" t="s">
        <v>741</v>
      </c>
    </row>
    <row r="1149" spans="1:11" s="341" customFormat="1">
      <c r="A1149" s="421"/>
      <c r="B1149" s="245"/>
      <c r="C1149" s="209" t="s">
        <v>2058</v>
      </c>
      <c r="D1149" s="244"/>
      <c r="E1149" s="228"/>
      <c r="F1149" s="585"/>
      <c r="G1149" s="338"/>
      <c r="H1149" s="592"/>
      <c r="I1149" s="520"/>
      <c r="J1149" s="421"/>
      <c r="K1149" s="520"/>
    </row>
    <row r="1150" spans="1:11" s="341" customFormat="1">
      <c r="A1150" s="421"/>
      <c r="B1150" s="917" t="s">
        <v>4713</v>
      </c>
      <c r="C1150" s="389">
        <v>2298</v>
      </c>
      <c r="D1150" s="388">
        <f>C1150*(1-VLOOKUP(I1150,descuentos,6,FALSE))*fcl/IF(dol_sol="dólar", TC,1)</f>
        <v>558.24206158208949</v>
      </c>
      <c r="E1150" s="386">
        <f>D1150/8</f>
        <v>69.780257697761186</v>
      </c>
      <c r="F1150" s="582">
        <f>ROUNDUP(D1150+E1150,2)</f>
        <v>628.03</v>
      </c>
      <c r="G1150" s="394" t="s">
        <v>4714</v>
      </c>
      <c r="H1150" s="580" t="s">
        <v>4715</v>
      </c>
      <c r="I1150" s="520" t="s">
        <v>11649</v>
      </c>
      <c r="J1150" s="421" t="s">
        <v>753</v>
      </c>
      <c r="K1150" s="520" t="s">
        <v>741</v>
      </c>
    </row>
    <row r="1151" spans="1:11" s="341" customFormat="1">
      <c r="A1151" s="421"/>
      <c r="B1151" s="917" t="s">
        <v>2970</v>
      </c>
      <c r="C1151" s="389">
        <v>2298</v>
      </c>
      <c r="D1151" s="388">
        <f>C1151*(1-VLOOKUP(I1151,descuentos,6,FALSE))*fcl/IF(dol_sol="dólar", TC,1)</f>
        <v>558.24206158208949</v>
      </c>
      <c r="E1151" s="386">
        <f>D1151/8</f>
        <v>69.780257697761186</v>
      </c>
      <c r="F1151" s="582">
        <f>ROUNDUP(D1151+E1151,2)</f>
        <v>628.03</v>
      </c>
      <c r="G1151" s="394" t="s">
        <v>4716</v>
      </c>
      <c r="H1151" s="580" t="s">
        <v>2979</v>
      </c>
      <c r="I1151" s="520" t="s">
        <v>11649</v>
      </c>
      <c r="J1151" s="421" t="s">
        <v>753</v>
      </c>
      <c r="K1151" s="520" t="s">
        <v>741</v>
      </c>
    </row>
    <row r="1152" spans="1:11" s="341" customFormat="1">
      <c r="A1152" s="421"/>
      <c r="B1152" s="917" t="s">
        <v>2971</v>
      </c>
      <c r="C1152" s="389">
        <v>2298</v>
      </c>
      <c r="D1152" s="388">
        <f>C1152*(1-VLOOKUP(I1152,descuentos,6,FALSE))*fcl/IF(dol_sol="dólar", TC,1)</f>
        <v>558.24206158208949</v>
      </c>
      <c r="E1152" s="386">
        <f>D1152/8</f>
        <v>69.780257697761186</v>
      </c>
      <c r="F1152" s="582">
        <f>ROUNDUP(D1152+E1152,2)</f>
        <v>628.03</v>
      </c>
      <c r="G1152" s="394" t="s">
        <v>4717</v>
      </c>
      <c r="H1152" s="580" t="s">
        <v>2980</v>
      </c>
      <c r="I1152" s="520" t="s">
        <v>11649</v>
      </c>
      <c r="J1152" s="421" t="s">
        <v>753</v>
      </c>
      <c r="K1152" s="520" t="s">
        <v>741</v>
      </c>
    </row>
    <row r="1153" spans="1:11" s="341" customFormat="1">
      <c r="A1153" s="421"/>
      <c r="B1153" s="917" t="s">
        <v>2972</v>
      </c>
      <c r="C1153" s="389">
        <v>2417</v>
      </c>
      <c r="D1153" s="388">
        <f>C1153*(1-VLOOKUP(I1153,descuentos,6,FALSE))*fcl/IF(dol_sol="dólar", TC,1)</f>
        <v>587.15015789552228</v>
      </c>
      <c r="E1153" s="386">
        <f>D1153/8</f>
        <v>73.393769736940285</v>
      </c>
      <c r="F1153" s="582">
        <f>ROUNDUP(D1153+E1153,2)</f>
        <v>660.55</v>
      </c>
      <c r="G1153" s="394" t="s">
        <v>9171</v>
      </c>
      <c r="H1153" s="580" t="s">
        <v>2981</v>
      </c>
      <c r="I1153" s="520" t="s">
        <v>11649</v>
      </c>
      <c r="J1153" s="421" t="s">
        <v>753</v>
      </c>
      <c r="K1153" s="520" t="s">
        <v>741</v>
      </c>
    </row>
    <row r="1154" spans="1:11" s="341" customFormat="1">
      <c r="A1154" s="421"/>
      <c r="B1154" s="245"/>
      <c r="C1154" s="209" t="s">
        <v>2058</v>
      </c>
      <c r="D1154" s="244"/>
      <c r="E1154" s="228"/>
      <c r="F1154" s="585"/>
      <c r="G1154" s="338"/>
      <c r="H1154" s="592"/>
      <c r="I1154" s="520"/>
      <c r="J1154" s="421"/>
      <c r="K1154" s="520"/>
    </row>
    <row r="1155" spans="1:11" s="341" customFormat="1">
      <c r="A1155" s="421"/>
      <c r="B1155" s="917" t="s">
        <v>2973</v>
      </c>
      <c r="C1155" s="389">
        <v>2492</v>
      </c>
      <c r="D1155" s="388">
        <f>C1155*(1-VLOOKUP(I1155,descuentos,6,FALSE))*fcl/IF(dol_sol="dólar", TC,1)</f>
        <v>605.36954632835818</v>
      </c>
      <c r="E1155" s="386">
        <f>D1155/8</f>
        <v>75.671193291044773</v>
      </c>
      <c r="F1155" s="582">
        <f>ROUNDUP(D1155+E1155,2)</f>
        <v>681.05</v>
      </c>
      <c r="G1155" s="394" t="s">
        <v>4718</v>
      </c>
      <c r="H1155" s="580" t="s">
        <v>2982</v>
      </c>
      <c r="I1155" s="520" t="s">
        <v>11649</v>
      </c>
      <c r="J1155" s="421" t="s">
        <v>753</v>
      </c>
      <c r="K1155" s="520" t="s">
        <v>741</v>
      </c>
    </row>
    <row r="1156" spans="1:11" s="341" customFormat="1">
      <c r="A1156" s="421"/>
      <c r="B1156" s="917" t="s">
        <v>2974</v>
      </c>
      <c r="C1156" s="389">
        <v>2492</v>
      </c>
      <c r="D1156" s="388">
        <f>C1156*(1-VLOOKUP(I1156,descuentos,6,FALSE))*fcl/IF(dol_sol="dólar", TC,1)</f>
        <v>605.36954632835818</v>
      </c>
      <c r="E1156" s="386">
        <f>D1156/8</f>
        <v>75.671193291044773</v>
      </c>
      <c r="F1156" s="582">
        <f>ROUNDUP(D1156+E1156,2)</f>
        <v>681.05</v>
      </c>
      <c r="G1156" s="394" t="s">
        <v>4719</v>
      </c>
      <c r="H1156" s="580" t="s">
        <v>2983</v>
      </c>
      <c r="I1156" s="520" t="s">
        <v>11649</v>
      </c>
      <c r="J1156" s="421" t="s">
        <v>753</v>
      </c>
      <c r="K1156" s="520" t="s">
        <v>741</v>
      </c>
    </row>
    <row r="1157" spans="1:11" s="341" customFormat="1">
      <c r="A1157" s="421"/>
      <c r="B1157" s="917" t="s">
        <v>2975</v>
      </c>
      <c r="C1157" s="389">
        <v>2609</v>
      </c>
      <c r="D1157" s="388">
        <f>C1157*(1-VLOOKUP(I1157,descuentos,6,FALSE))*fcl/IF(dol_sol="dólar", TC,1)</f>
        <v>633.79179228358214</v>
      </c>
      <c r="E1157" s="386">
        <f>D1157/8</f>
        <v>79.223974035447768</v>
      </c>
      <c r="F1157" s="582">
        <f>ROUNDUP(D1157+E1157,2)</f>
        <v>713.02</v>
      </c>
      <c r="G1157" s="394" t="s">
        <v>9172</v>
      </c>
      <c r="H1157" s="580" t="s">
        <v>2984</v>
      </c>
      <c r="I1157" s="520" t="s">
        <v>11649</v>
      </c>
      <c r="J1157" s="421" t="s">
        <v>753</v>
      </c>
      <c r="K1157" s="520" t="s">
        <v>741</v>
      </c>
    </row>
    <row r="1158" spans="1:11" s="341" customFormat="1">
      <c r="A1158" s="421"/>
      <c r="B1158" s="245"/>
      <c r="C1158" s="209" t="s">
        <v>2058</v>
      </c>
      <c r="D1158" s="244"/>
      <c r="E1158" s="228"/>
      <c r="F1158" s="585"/>
      <c r="G1158" s="338"/>
      <c r="H1158" s="592"/>
      <c r="I1158" s="520"/>
      <c r="J1158" s="421"/>
      <c r="K1158" s="520"/>
    </row>
    <row r="1159" spans="1:11" s="341" customFormat="1">
      <c r="A1159" s="421"/>
      <c r="B1159" s="917" t="s">
        <v>2976</v>
      </c>
      <c r="C1159" s="389">
        <v>2818</v>
      </c>
      <c r="D1159" s="388">
        <f>C1159*(1-VLOOKUP(I1159,descuentos,6,FALSE))*fcl/IF(dol_sol="dólar", TC,1)</f>
        <v>684.5631547164179</v>
      </c>
      <c r="E1159" s="386">
        <f>D1159/8</f>
        <v>85.570394339552237</v>
      </c>
      <c r="F1159" s="582">
        <f>ROUNDUP(D1159+E1159,2)</f>
        <v>770.14</v>
      </c>
      <c r="G1159" s="394" t="s">
        <v>4720</v>
      </c>
      <c r="H1159" s="580" t="s">
        <v>2985</v>
      </c>
      <c r="I1159" s="520" t="s">
        <v>11649</v>
      </c>
      <c r="J1159" s="421" t="s">
        <v>753</v>
      </c>
      <c r="K1159" s="520" t="s">
        <v>741</v>
      </c>
    </row>
    <row r="1160" spans="1:11" s="341" customFormat="1">
      <c r="A1160" s="421"/>
      <c r="B1160" s="917" t="s">
        <v>2977</v>
      </c>
      <c r="C1160" s="389">
        <v>2818</v>
      </c>
      <c r="D1160" s="388">
        <f>C1160*(1-VLOOKUP(I1160,descuentos,6,FALSE))*fcl/IF(dol_sol="dólar", TC,1)</f>
        <v>684.5631547164179</v>
      </c>
      <c r="E1160" s="386">
        <f>D1160/8</f>
        <v>85.570394339552237</v>
      </c>
      <c r="F1160" s="582">
        <f>ROUNDUP(D1160+E1160,2)</f>
        <v>770.14</v>
      </c>
      <c r="G1160" s="394" t="s">
        <v>4721</v>
      </c>
      <c r="H1160" s="580" t="s">
        <v>2986</v>
      </c>
      <c r="I1160" s="520" t="s">
        <v>11649</v>
      </c>
      <c r="J1160" s="421" t="s">
        <v>753</v>
      </c>
      <c r="K1160" s="520" t="s">
        <v>741</v>
      </c>
    </row>
    <row r="1161" spans="1:11" s="341" customFormat="1">
      <c r="A1161" s="421"/>
      <c r="B1161" s="917" t="s">
        <v>2978</v>
      </c>
      <c r="C1161" s="389">
        <v>2936</v>
      </c>
      <c r="D1161" s="388">
        <f>C1161*(1-VLOOKUP(I1161,descuentos,6,FALSE))*fcl/IF(dol_sol="dólar", TC,1)</f>
        <v>713.22832585074627</v>
      </c>
      <c r="E1161" s="386">
        <f>D1161/8</f>
        <v>89.153540731343284</v>
      </c>
      <c r="F1161" s="582">
        <f>ROUNDUP(D1161+E1161,2)</f>
        <v>802.39</v>
      </c>
      <c r="G1161" s="394" t="s">
        <v>4722</v>
      </c>
      <c r="H1161" s="580" t="s">
        <v>2987</v>
      </c>
      <c r="I1161" s="520" t="s">
        <v>11649</v>
      </c>
      <c r="J1161" s="421" t="s">
        <v>753</v>
      </c>
      <c r="K1161" s="520" t="s">
        <v>741</v>
      </c>
    </row>
    <row r="1162" spans="1:11" s="341" customFormat="1">
      <c r="A1162" s="421"/>
      <c r="B1162" s="245"/>
      <c r="C1162" s="209" t="s">
        <v>2058</v>
      </c>
      <c r="D1162" s="244"/>
      <c r="E1162" s="228"/>
      <c r="F1162" s="585"/>
      <c r="G1162" s="338"/>
      <c r="H1162" s="592"/>
      <c r="I1162" s="520"/>
      <c r="J1162" s="421"/>
      <c r="K1162" s="520"/>
    </row>
    <row r="1163" spans="1:11" s="341" customFormat="1">
      <c r="A1163" s="421"/>
      <c r="B1163" s="917" t="s">
        <v>6743</v>
      </c>
      <c r="C1163" s="389">
        <v>3143</v>
      </c>
      <c r="D1163" s="388">
        <f>C1163*(1-VLOOKUP(I1163,descuentos,6,FALSE))*fcl/IF(dol_sol="dólar", TC,1)</f>
        <v>763.51383792537297</v>
      </c>
      <c r="E1163" s="386">
        <f>D1163/8</f>
        <v>95.439229740671621</v>
      </c>
      <c r="F1163" s="582">
        <f>ROUNDUP(D1163+E1163,2)</f>
        <v>858.96</v>
      </c>
      <c r="G1163" s="394" t="s">
        <v>6744</v>
      </c>
      <c r="H1163" s="580" t="s">
        <v>6745</v>
      </c>
      <c r="I1163" s="520" t="s">
        <v>11649</v>
      </c>
      <c r="J1163" s="421" t="s">
        <v>753</v>
      </c>
      <c r="K1163" s="520" t="s">
        <v>741</v>
      </c>
    </row>
    <row r="1164" spans="1:11" s="341" customFormat="1">
      <c r="A1164" s="421"/>
      <c r="B1164" s="917" t="s">
        <v>6746</v>
      </c>
      <c r="C1164" s="389">
        <v>3143</v>
      </c>
      <c r="D1164" s="388">
        <f>C1164*(1-VLOOKUP(I1164,descuentos,6,FALSE))*fcl/IF(dol_sol="dólar", TC,1)</f>
        <v>763.51383792537297</v>
      </c>
      <c r="E1164" s="386">
        <f>D1164/8</f>
        <v>95.439229740671621</v>
      </c>
      <c r="F1164" s="582">
        <f>ROUNDUP(D1164+E1164,2)</f>
        <v>858.96</v>
      </c>
      <c r="G1164" s="394" t="s">
        <v>6747</v>
      </c>
      <c r="H1164" s="580" t="s">
        <v>6748</v>
      </c>
      <c r="I1164" s="520" t="s">
        <v>11649</v>
      </c>
      <c r="J1164" s="421" t="s">
        <v>753</v>
      </c>
      <c r="K1164" s="520" t="s">
        <v>741</v>
      </c>
    </row>
    <row r="1165" spans="1:11" s="341" customFormat="1">
      <c r="A1165" s="421"/>
      <c r="B1165" s="917" t="s">
        <v>6749</v>
      </c>
      <c r="C1165" s="389">
        <v>3263</v>
      </c>
      <c r="D1165" s="388">
        <f>C1165*(1-VLOOKUP(I1165,descuentos,6,FALSE))*fcl/IF(dol_sol="dólar", TC,1)</f>
        <v>792.66485941791041</v>
      </c>
      <c r="E1165" s="386">
        <f>D1165/8</f>
        <v>99.083107427238801</v>
      </c>
      <c r="F1165" s="582">
        <f>ROUNDUP(D1165+E1165,2)</f>
        <v>891.75</v>
      </c>
      <c r="G1165" s="394" t="s">
        <v>6750</v>
      </c>
      <c r="H1165" s="580" t="s">
        <v>6751</v>
      </c>
      <c r="I1165" s="520" t="s">
        <v>11649</v>
      </c>
      <c r="J1165" s="421" t="s">
        <v>753</v>
      </c>
      <c r="K1165" s="520" t="s">
        <v>741</v>
      </c>
    </row>
    <row r="1166" spans="1:11" s="341" customFormat="1">
      <c r="A1166" s="421"/>
      <c r="B1166" s="246"/>
      <c r="C1166" s="209" t="s">
        <v>2058</v>
      </c>
      <c r="D1166" s="244"/>
      <c r="E1166" s="228"/>
      <c r="F1166" s="585"/>
      <c r="G1166" s="338"/>
      <c r="H1166" s="2018"/>
      <c r="I1166" s="520"/>
      <c r="J1166" s="421"/>
      <c r="K1166" s="520"/>
    </row>
    <row r="1167" spans="1:11" s="341" customFormat="1">
      <c r="A1167" s="421"/>
      <c r="B1167" s="1661"/>
      <c r="C1167" s="798" t="s">
        <v>2058</v>
      </c>
      <c r="D1167" s="244"/>
      <c r="E1167" s="228"/>
      <c r="F1167" s="585"/>
      <c r="G1167" s="338"/>
      <c r="H1167" s="2018"/>
      <c r="I1167" s="520"/>
      <c r="J1167" s="421"/>
      <c r="K1167" s="520"/>
    </row>
    <row r="1168" spans="1:11" s="341" customFormat="1">
      <c r="A1168" s="421"/>
      <c r="B1168" s="1661"/>
      <c r="C1168" s="798" t="s">
        <v>2058</v>
      </c>
      <c r="D1168" s="244"/>
      <c r="E1168" s="228"/>
      <c r="F1168" s="585"/>
      <c r="G1168" s="338"/>
      <c r="H1168" s="2018"/>
      <c r="I1168" s="520"/>
      <c r="J1168" s="421"/>
      <c r="K1168" s="520"/>
    </row>
    <row r="1169" spans="1:11" s="341" customFormat="1" ht="14.25">
      <c r="A1169" s="421"/>
      <c r="B1169" s="1662" t="s">
        <v>5577</v>
      </c>
      <c r="C1169" s="798" t="s">
        <v>2058</v>
      </c>
      <c r="D1169" s="244"/>
      <c r="E1169" s="228"/>
      <c r="F1169" s="585"/>
      <c r="G1169" s="338"/>
      <c r="H1169" s="2018"/>
      <c r="I1169" s="520"/>
      <c r="J1169" s="421"/>
      <c r="K1169" s="520"/>
    </row>
    <row r="1170" spans="1:11" s="341" customFormat="1" ht="14.25">
      <c r="A1170" s="421"/>
      <c r="B1170" s="1662" t="s">
        <v>5578</v>
      </c>
      <c r="C1170" s="798" t="s">
        <v>2058</v>
      </c>
      <c r="D1170" s="244"/>
      <c r="E1170" s="228"/>
      <c r="F1170" s="585"/>
      <c r="G1170" s="338"/>
      <c r="H1170" s="2018"/>
      <c r="I1170" s="520"/>
      <c r="J1170" s="421"/>
      <c r="K1170" s="520"/>
    </row>
    <row r="1171" spans="1:11" s="341" customFormat="1">
      <c r="A1171" s="421"/>
      <c r="B1171" s="247"/>
      <c r="C1171" s="209" t="s">
        <v>2058</v>
      </c>
      <c r="D1171" s="244"/>
      <c r="E1171" s="228"/>
      <c r="F1171" s="585"/>
      <c r="G1171" s="338"/>
      <c r="H1171" s="2018"/>
      <c r="I1171" s="520"/>
      <c r="J1171" s="421"/>
      <c r="K1171" s="520"/>
    </row>
    <row r="1172" spans="1:11" s="341" customFormat="1">
      <c r="A1172" s="421"/>
      <c r="B1172" s="245" t="s">
        <v>13951</v>
      </c>
      <c r="C1172" s="209">
        <v>1910</v>
      </c>
      <c r="D1172" s="244">
        <f t="shared" ref="D1172:D1179" si="187">C1172*(1-VLOOKUP(I1172,descuentos,6,FALSE))*fcl/IF(dol_sol="dólar", TC,1)</f>
        <v>463.98709208955216</v>
      </c>
      <c r="E1172" s="472">
        <v>15</v>
      </c>
      <c r="F1172" s="585">
        <f t="shared" ref="F1172:F1179" si="188">ROUNDUP(D1172+E1172,2)</f>
        <v>478.99</v>
      </c>
      <c r="G1172" s="338" t="s">
        <v>13952</v>
      </c>
      <c r="H1172" s="592" t="s">
        <v>13953</v>
      </c>
      <c r="I1172" s="520" t="s">
        <v>11649</v>
      </c>
      <c r="J1172" s="421" t="s">
        <v>753</v>
      </c>
      <c r="K1172" s="520" t="s">
        <v>741</v>
      </c>
    </row>
    <row r="1173" spans="1:11" s="339" customFormat="1">
      <c r="A1173" s="421"/>
      <c r="B1173" s="2508" t="s">
        <v>13954</v>
      </c>
      <c r="C1173" s="2509">
        <v>2351</v>
      </c>
      <c r="D1173" s="2168">
        <f t="shared" si="187"/>
        <v>571.11709607462683</v>
      </c>
      <c r="E1173" s="2232">
        <v>15</v>
      </c>
      <c r="F1173" s="2233">
        <f t="shared" si="188"/>
        <v>586.12</v>
      </c>
      <c r="G1173" s="1969" t="s">
        <v>13955</v>
      </c>
      <c r="H1173" s="2234" t="s">
        <v>13956</v>
      </c>
      <c r="I1173" s="2097" t="s">
        <v>11649</v>
      </c>
      <c r="J1173" s="1728" t="s">
        <v>753</v>
      </c>
      <c r="K1173" s="2097" t="s">
        <v>741</v>
      </c>
    </row>
    <row r="1174" spans="1:11" s="339" customFormat="1">
      <c r="A1174" s="421"/>
      <c r="B1174" s="2508" t="s">
        <v>14254</v>
      </c>
      <c r="C1174" s="2509">
        <v>1910</v>
      </c>
      <c r="D1174" s="2168">
        <f t="shared" si="187"/>
        <v>463.98709208955216</v>
      </c>
      <c r="E1174" s="2232">
        <v>15</v>
      </c>
      <c r="F1174" s="2233">
        <f t="shared" si="188"/>
        <v>478.99</v>
      </c>
      <c r="G1174" s="1969" t="s">
        <v>5579</v>
      </c>
      <c r="H1174" s="2234" t="s">
        <v>5580</v>
      </c>
      <c r="I1174" s="2097" t="s">
        <v>11649</v>
      </c>
      <c r="J1174" s="1728" t="s">
        <v>753</v>
      </c>
      <c r="K1174" s="2097" t="s">
        <v>741</v>
      </c>
    </row>
    <row r="1175" spans="1:11" s="339" customFormat="1">
      <c r="A1175" s="421"/>
      <c r="B1175" s="2508" t="s">
        <v>13957</v>
      </c>
      <c r="C1175" s="2509">
        <v>2351</v>
      </c>
      <c r="D1175" s="2168">
        <f t="shared" ref="D1175" si="189">C1175*(1-VLOOKUP(I1175,descuentos,6,FALSE))*fcl/IF(dol_sol="dólar", TC,1)</f>
        <v>571.11709607462683</v>
      </c>
      <c r="E1175" s="2232">
        <v>15</v>
      </c>
      <c r="F1175" s="2233">
        <f t="shared" si="188"/>
        <v>586.12</v>
      </c>
      <c r="G1175" s="1969" t="s">
        <v>14255</v>
      </c>
      <c r="H1175" s="2234" t="s">
        <v>14256</v>
      </c>
      <c r="I1175" s="2097" t="s">
        <v>11649</v>
      </c>
      <c r="J1175" s="1728" t="s">
        <v>753</v>
      </c>
      <c r="K1175" s="2097" t="s">
        <v>741</v>
      </c>
    </row>
    <row r="1176" spans="1:11" s="339" customFormat="1">
      <c r="A1176" s="421"/>
      <c r="B1176" s="245" t="s">
        <v>5581</v>
      </c>
      <c r="C1176" s="209">
        <v>1910</v>
      </c>
      <c r="D1176" s="244">
        <f t="shared" si="187"/>
        <v>463.98709208955216</v>
      </c>
      <c r="E1176" s="472">
        <v>15</v>
      </c>
      <c r="F1176" s="585">
        <f t="shared" si="188"/>
        <v>478.99</v>
      </c>
      <c r="G1176" s="338" t="s">
        <v>5582</v>
      </c>
      <c r="H1176" s="592" t="s">
        <v>5583</v>
      </c>
      <c r="I1176" s="520" t="s">
        <v>11649</v>
      </c>
      <c r="J1176" s="421" t="s">
        <v>753</v>
      </c>
      <c r="K1176" s="520" t="s">
        <v>741</v>
      </c>
    </row>
    <row r="1177" spans="1:11" s="339" customFormat="1">
      <c r="A1177" s="421"/>
      <c r="B1177" s="2508" t="s">
        <v>14257</v>
      </c>
      <c r="C1177" s="2509">
        <v>2351</v>
      </c>
      <c r="D1177" s="2168">
        <f t="shared" ref="D1177" si="190">C1177*(1-VLOOKUP(I1177,descuentos,6,FALSE))*fcl/IF(dol_sol="dólar", TC,1)</f>
        <v>571.11709607462683</v>
      </c>
      <c r="E1177" s="2232">
        <v>15</v>
      </c>
      <c r="F1177" s="2233">
        <f t="shared" si="188"/>
        <v>586.12</v>
      </c>
      <c r="G1177" s="1969" t="s">
        <v>14258</v>
      </c>
      <c r="H1177" s="2234" t="s">
        <v>14259</v>
      </c>
      <c r="I1177" s="2097" t="s">
        <v>11649</v>
      </c>
      <c r="J1177" s="1728" t="s">
        <v>753</v>
      </c>
      <c r="K1177" s="2097" t="s">
        <v>741</v>
      </c>
    </row>
    <row r="1178" spans="1:11" s="339" customFormat="1">
      <c r="A1178" s="421"/>
      <c r="B1178" s="245" t="s">
        <v>5584</v>
      </c>
      <c r="C1178" s="209">
        <v>1971</v>
      </c>
      <c r="D1178" s="244">
        <f t="shared" si="187"/>
        <v>478.80552801492536</v>
      </c>
      <c r="E1178" s="472">
        <v>15</v>
      </c>
      <c r="F1178" s="585">
        <f t="shared" si="188"/>
        <v>493.81</v>
      </c>
      <c r="G1178" s="338" t="s">
        <v>5585</v>
      </c>
      <c r="H1178" s="592" t="s">
        <v>5586</v>
      </c>
      <c r="I1178" s="520" t="s">
        <v>11649</v>
      </c>
      <c r="J1178" s="421" t="s">
        <v>753</v>
      </c>
      <c r="K1178" s="520" t="s">
        <v>741</v>
      </c>
    </row>
    <row r="1179" spans="1:11" s="339" customFormat="1">
      <c r="A1179" s="421"/>
      <c r="B1179" s="2508" t="s">
        <v>14112</v>
      </c>
      <c r="C1179" s="2509">
        <v>2431</v>
      </c>
      <c r="D1179" s="2168">
        <f t="shared" si="187"/>
        <v>590.55111040298505</v>
      </c>
      <c r="E1179" s="2232">
        <v>15</v>
      </c>
      <c r="F1179" s="2233">
        <f t="shared" si="188"/>
        <v>605.55999999999995</v>
      </c>
      <c r="G1179" s="1969" t="s">
        <v>14113</v>
      </c>
      <c r="H1179" s="2234" t="s">
        <v>14114</v>
      </c>
      <c r="I1179" s="2097" t="s">
        <v>11649</v>
      </c>
      <c r="J1179" s="1728" t="s">
        <v>753</v>
      </c>
      <c r="K1179" s="2097" t="s">
        <v>741</v>
      </c>
    </row>
    <row r="1180" spans="1:11" s="339" customFormat="1">
      <c r="A1180" s="421"/>
      <c r="B1180" s="245"/>
      <c r="C1180" s="209" t="s">
        <v>2058</v>
      </c>
      <c r="D1180" s="244"/>
      <c r="E1180" s="472"/>
      <c r="F1180" s="585"/>
      <c r="G1180" s="338"/>
      <c r="H1180" s="592"/>
      <c r="I1180" s="520"/>
      <c r="J1180" s="421"/>
      <c r="K1180" s="520"/>
    </row>
    <row r="1181" spans="1:11" s="339" customFormat="1">
      <c r="A1181" s="421"/>
      <c r="B1181" s="245" t="s">
        <v>6752</v>
      </c>
      <c r="C1181" s="209">
        <v>2358</v>
      </c>
      <c r="D1181" s="244">
        <f>C1181*(1-VLOOKUP(I1181,descuentos,6,FALSE))*fcl/IF(dol_sol="dólar", TC,1)</f>
        <v>572.8175723283581</v>
      </c>
      <c r="E1181" s="472">
        <v>15</v>
      </c>
      <c r="F1181" s="585">
        <f>ROUNDUP(D1181+E1181,2)</f>
        <v>587.81999999999994</v>
      </c>
      <c r="G1181" s="338" t="s">
        <v>6753</v>
      </c>
      <c r="H1181" s="592" t="s">
        <v>6754</v>
      </c>
      <c r="I1181" s="520" t="s">
        <v>11649</v>
      </c>
      <c r="J1181" s="421" t="s">
        <v>753</v>
      </c>
      <c r="K1181" s="520" t="s">
        <v>741</v>
      </c>
    </row>
    <row r="1182" spans="1:11" s="341" customFormat="1">
      <c r="A1182" s="421"/>
      <c r="B1182" s="245"/>
      <c r="C1182" s="209" t="s">
        <v>2058</v>
      </c>
      <c r="D1182" s="244"/>
      <c r="E1182" s="228"/>
      <c r="F1182" s="585"/>
      <c r="G1182" s="338"/>
      <c r="H1182" s="592"/>
      <c r="I1182" s="520"/>
      <c r="J1182" s="421"/>
      <c r="K1182" s="520"/>
    </row>
    <row r="1183" spans="1:11" s="339" customFormat="1">
      <c r="A1183" s="421"/>
      <c r="B1183" s="245" t="s">
        <v>5587</v>
      </c>
      <c r="C1183" s="209">
        <v>2211</v>
      </c>
      <c r="D1183" s="244">
        <f>C1183*(1-VLOOKUP(I1183,descuentos,6,FALSE))*fcl/IF(dol_sol="dólar", TC,1)</f>
        <v>537.10757099999989</v>
      </c>
      <c r="E1183" s="472">
        <v>15</v>
      </c>
      <c r="F1183" s="585">
        <f>ROUNDUP(D1183+E1183,2)</f>
        <v>552.11</v>
      </c>
      <c r="G1183" s="338" t="s">
        <v>6755</v>
      </c>
      <c r="H1183" s="592" t="s">
        <v>5588</v>
      </c>
      <c r="I1183" s="520" t="s">
        <v>11649</v>
      </c>
      <c r="J1183" s="421" t="s">
        <v>753</v>
      </c>
      <c r="K1183" s="520" t="s">
        <v>741</v>
      </c>
    </row>
    <row r="1184" spans="1:11" s="339" customFormat="1">
      <c r="A1184" s="421"/>
      <c r="B1184" s="245" t="s">
        <v>5589</v>
      </c>
      <c r="C1184" s="209">
        <v>2302</v>
      </c>
      <c r="D1184" s="244">
        <f>C1184*(1-VLOOKUP(I1184,descuentos,6,FALSE))*fcl/IF(dol_sol="dólar", TC,1)</f>
        <v>559.21376229850739</v>
      </c>
      <c r="E1184" s="472">
        <v>15</v>
      </c>
      <c r="F1184" s="585">
        <f>ROUNDUP(D1184+E1184,2)</f>
        <v>574.22</v>
      </c>
      <c r="G1184" s="338" t="s">
        <v>5590</v>
      </c>
      <c r="H1184" s="592" t="s">
        <v>5591</v>
      </c>
      <c r="I1184" s="520" t="s">
        <v>11649</v>
      </c>
      <c r="J1184" s="421" t="s">
        <v>753</v>
      </c>
      <c r="K1184" s="520" t="s">
        <v>741</v>
      </c>
    </row>
    <row r="1185" spans="1:11" s="341" customFormat="1">
      <c r="A1185" s="421"/>
      <c r="B1185" s="245"/>
      <c r="C1185" s="209" t="s">
        <v>2058</v>
      </c>
      <c r="D1185" s="244"/>
      <c r="E1185" s="228"/>
      <c r="F1185" s="585"/>
      <c r="G1185" s="338"/>
      <c r="H1185" s="592"/>
      <c r="I1185" s="520"/>
      <c r="J1185" s="421"/>
      <c r="K1185" s="520"/>
    </row>
    <row r="1186" spans="1:11" s="339" customFormat="1">
      <c r="A1186" s="421"/>
      <c r="B1186" s="245" t="s">
        <v>11805</v>
      </c>
      <c r="C1186" s="209">
        <v>2450</v>
      </c>
      <c r="D1186" s="244">
        <f>C1186*(1-VLOOKUP(I1186,descuentos,6,FALSE))*fcl/IF(dol_sol="dólar", TC,1)</f>
        <v>595.16668880597013</v>
      </c>
      <c r="E1186" s="472">
        <v>15</v>
      </c>
      <c r="F1186" s="585">
        <f>ROUNDUP(D1186+E1186,2)</f>
        <v>610.16999999999996</v>
      </c>
      <c r="G1186" s="338" t="s">
        <v>11806</v>
      </c>
      <c r="H1186" s="592" t="s">
        <v>11807</v>
      </c>
      <c r="I1186" s="520" t="s">
        <v>11649</v>
      </c>
      <c r="J1186" s="421" t="s">
        <v>753</v>
      </c>
      <c r="K1186" s="520" t="s">
        <v>741</v>
      </c>
    </row>
    <row r="1187" spans="1:11" s="341" customFormat="1">
      <c r="A1187" s="421"/>
      <c r="B1187" s="245"/>
      <c r="C1187" s="209" t="s">
        <v>2058</v>
      </c>
      <c r="D1187" s="244"/>
      <c r="E1187" s="228"/>
      <c r="F1187" s="585"/>
      <c r="G1187" s="338"/>
      <c r="H1187" s="592"/>
      <c r="I1187" s="520"/>
      <c r="J1187" s="421"/>
      <c r="K1187" s="520"/>
    </row>
    <row r="1188" spans="1:11" s="339" customFormat="1">
      <c r="A1188" s="421"/>
      <c r="B1188" s="2508" t="s">
        <v>9173</v>
      </c>
      <c r="C1188" s="2509">
        <v>2991</v>
      </c>
      <c r="D1188" s="2168">
        <f>C1188*(1-VLOOKUP(I1188,descuentos,6,FALSE))*fcl/IF(dol_sol="dólar", TC,1)</f>
        <v>726.58921070149245</v>
      </c>
      <c r="E1188" s="2232">
        <v>15</v>
      </c>
      <c r="F1188" s="2233">
        <f>ROUNDUP(D1188+E1188,2)</f>
        <v>741.59</v>
      </c>
      <c r="G1188" s="1969" t="s">
        <v>9174</v>
      </c>
      <c r="H1188" s="2234" t="s">
        <v>9175</v>
      </c>
      <c r="I1188" s="2097" t="s">
        <v>11649</v>
      </c>
      <c r="J1188" s="1728" t="s">
        <v>753</v>
      </c>
      <c r="K1188" s="2097" t="s">
        <v>741</v>
      </c>
    </row>
    <row r="1189" spans="1:11" s="341" customFormat="1">
      <c r="A1189" s="421"/>
      <c r="B1189" s="246"/>
      <c r="C1189" s="209" t="s">
        <v>2058</v>
      </c>
      <c r="D1189" s="244"/>
      <c r="E1189" s="228"/>
      <c r="F1189" s="585"/>
      <c r="G1189" s="338"/>
      <c r="H1189" s="592"/>
      <c r="I1189" s="520"/>
      <c r="J1189" s="421"/>
      <c r="K1189" s="520"/>
    </row>
    <row r="1190" spans="1:11" s="341" customFormat="1">
      <c r="A1190" s="421"/>
      <c r="B1190" s="338"/>
      <c r="C1190" s="209" t="s">
        <v>2058</v>
      </c>
      <c r="D1190" s="244"/>
      <c r="E1190" s="228"/>
      <c r="F1190" s="585"/>
      <c r="G1190" s="338"/>
      <c r="H1190" s="592"/>
      <c r="I1190" s="520"/>
      <c r="J1190" s="421"/>
      <c r="K1190" s="520"/>
    </row>
    <row r="1191" spans="1:11" s="341" customFormat="1">
      <c r="A1191" s="1739"/>
      <c r="B1191" s="338" t="s">
        <v>9740</v>
      </c>
      <c r="C1191" s="209">
        <v>2127</v>
      </c>
      <c r="D1191" s="244">
        <f>C1191*(1-VLOOKUP(I1191,descuentos,6,FALSE))*fcl/IF(dol_sol="dólar", TC,1)</f>
        <v>516.70185595522378</v>
      </c>
      <c r="E1191" s="472">
        <v>15</v>
      </c>
      <c r="F1191" s="585">
        <f>ROUNDUP(D1191+E1191,2)</f>
        <v>531.71</v>
      </c>
      <c r="G1191" s="338" t="s">
        <v>9741</v>
      </c>
      <c r="H1191" s="592" t="s">
        <v>9742</v>
      </c>
      <c r="I1191" s="520" t="s">
        <v>11649</v>
      </c>
      <c r="J1191" s="421" t="s">
        <v>753</v>
      </c>
      <c r="K1191" s="520" t="s">
        <v>741</v>
      </c>
    </row>
    <row r="1192" spans="1:11" s="341" customFormat="1">
      <c r="A1192" s="1739"/>
      <c r="B1192" s="338" t="s">
        <v>9743</v>
      </c>
      <c r="C1192" s="209">
        <v>2127</v>
      </c>
      <c r="D1192" s="244">
        <f>C1192*(1-VLOOKUP(I1192,descuentos,6,FALSE))*fcl/IF(dol_sol="dólar", TC,1)</f>
        <v>516.70185595522378</v>
      </c>
      <c r="E1192" s="472">
        <v>15</v>
      </c>
      <c r="F1192" s="585">
        <f>ROUNDUP(D1192+E1192,2)</f>
        <v>531.71</v>
      </c>
      <c r="G1192" s="338" t="s">
        <v>9744</v>
      </c>
      <c r="H1192" s="592" t="s">
        <v>9745</v>
      </c>
      <c r="I1192" s="520" t="s">
        <v>11649</v>
      </c>
      <c r="J1192" s="421" t="s">
        <v>753</v>
      </c>
      <c r="K1192" s="520" t="s">
        <v>741</v>
      </c>
    </row>
    <row r="1193" spans="1:11" s="341" customFormat="1">
      <c r="A1193" s="1739"/>
      <c r="B1193" s="338" t="s">
        <v>9746</v>
      </c>
      <c r="C1193" s="209">
        <v>2188</v>
      </c>
      <c r="D1193" s="244">
        <f>C1193*(1-VLOOKUP(I1193,descuentos,6,FALSE))*fcl/IF(dol_sol="dólar", TC,1)</f>
        <v>531.52029188059703</v>
      </c>
      <c r="E1193" s="472">
        <v>15</v>
      </c>
      <c r="F1193" s="585">
        <f>ROUNDUP(D1193+E1193,2)</f>
        <v>546.53</v>
      </c>
      <c r="G1193" s="338" t="s">
        <v>9747</v>
      </c>
      <c r="H1193" s="592" t="s">
        <v>9748</v>
      </c>
      <c r="I1193" s="520" t="s">
        <v>11649</v>
      </c>
      <c r="J1193" s="421" t="s">
        <v>753</v>
      </c>
      <c r="K1193" s="520" t="s">
        <v>741</v>
      </c>
    </row>
    <row r="1194" spans="1:11" s="341" customFormat="1">
      <c r="A1194" s="421"/>
      <c r="B1194" s="338"/>
      <c r="C1194" s="209" t="s">
        <v>2058</v>
      </c>
      <c r="D1194" s="244"/>
      <c r="E1194" s="228"/>
      <c r="F1194" s="585"/>
      <c r="G1194" s="338"/>
      <c r="H1194" s="592"/>
      <c r="I1194" s="520"/>
      <c r="J1194" s="421"/>
      <c r="K1194" s="520"/>
    </row>
    <row r="1195" spans="1:11" s="341" customFormat="1">
      <c r="A1195" s="1739"/>
      <c r="B1195" s="338" t="s">
        <v>6756</v>
      </c>
      <c r="C1195" s="209">
        <v>2568</v>
      </c>
      <c r="D1195" s="244">
        <f>C1195*(1-VLOOKUP(I1195,descuentos,6,FALSE))*fcl/IF(dol_sol="dólar", TC,1)</f>
        <v>623.83185994029839</v>
      </c>
      <c r="E1195" s="472">
        <v>15</v>
      </c>
      <c r="F1195" s="585">
        <f>ROUNDUP(D1195+E1195,2)</f>
        <v>638.84</v>
      </c>
      <c r="G1195" s="338" t="s">
        <v>6757</v>
      </c>
      <c r="H1195" s="592" t="s">
        <v>6758</v>
      </c>
      <c r="I1195" s="520" t="s">
        <v>11649</v>
      </c>
      <c r="J1195" s="421" t="s">
        <v>753</v>
      </c>
      <c r="K1195" s="520" t="s">
        <v>741</v>
      </c>
    </row>
    <row r="1196" spans="1:11" s="341" customFormat="1">
      <c r="A1196" s="1739"/>
      <c r="B1196" s="338" t="s">
        <v>6759</v>
      </c>
      <c r="C1196" s="209">
        <v>2568</v>
      </c>
      <c r="D1196" s="244">
        <f>C1196*(1-VLOOKUP(I1196,descuentos,6,FALSE))*fcl/IF(dol_sol="dólar", TC,1)</f>
        <v>623.83185994029839</v>
      </c>
      <c r="E1196" s="472">
        <v>15</v>
      </c>
      <c r="F1196" s="585">
        <f>ROUNDUP(D1196+E1196,2)</f>
        <v>638.84</v>
      </c>
      <c r="G1196" s="338" t="s">
        <v>6760</v>
      </c>
      <c r="H1196" s="592" t="s">
        <v>6761</v>
      </c>
      <c r="I1196" s="520" t="s">
        <v>11649</v>
      </c>
      <c r="J1196" s="421" t="s">
        <v>753</v>
      </c>
      <c r="K1196" s="520" t="s">
        <v>741</v>
      </c>
    </row>
    <row r="1197" spans="1:11" s="341" customFormat="1">
      <c r="A1197" s="421"/>
      <c r="B1197" s="338"/>
      <c r="C1197" s="798" t="s">
        <v>2058</v>
      </c>
      <c r="D1197" s="244"/>
      <c r="E1197" s="228"/>
      <c r="F1197" s="585"/>
      <c r="G1197" s="338"/>
      <c r="H1197" s="592"/>
      <c r="I1197" s="520"/>
      <c r="J1197" s="421"/>
      <c r="K1197" s="520"/>
    </row>
    <row r="1198" spans="1:11" s="341" customFormat="1">
      <c r="A1198" s="1739"/>
      <c r="B1198" s="338" t="s">
        <v>6762</v>
      </c>
      <c r="C1198" s="209">
        <v>3065</v>
      </c>
      <c r="D1198" s="244">
        <f>C1198*(1-VLOOKUP(I1198,descuentos,6,FALSE))*fcl/IF(dol_sol="dólar", TC,1)</f>
        <v>744.56567395522382</v>
      </c>
      <c r="E1198" s="472">
        <v>15</v>
      </c>
      <c r="F1198" s="585">
        <f>ROUNDUP(D1198+E1198,2)</f>
        <v>759.56999999999994</v>
      </c>
      <c r="G1198" s="338" t="s">
        <v>6763</v>
      </c>
      <c r="H1198" s="592" t="s">
        <v>6764</v>
      </c>
      <c r="I1198" s="520" t="s">
        <v>11649</v>
      </c>
      <c r="J1198" s="421" t="s">
        <v>753</v>
      </c>
      <c r="K1198" s="520" t="s">
        <v>741</v>
      </c>
    </row>
    <row r="1199" spans="1:11" s="341" customFormat="1">
      <c r="A1199" s="1739"/>
      <c r="B1199" s="338" t="s">
        <v>6765</v>
      </c>
      <c r="C1199" s="209">
        <v>3065</v>
      </c>
      <c r="D1199" s="244">
        <f>C1199*(1-VLOOKUP(I1199,descuentos,6,FALSE))*fcl/IF(dol_sol="dólar", TC,1)</f>
        <v>744.56567395522382</v>
      </c>
      <c r="E1199" s="472">
        <v>15</v>
      </c>
      <c r="F1199" s="585">
        <f>ROUNDUP(D1199+E1199,2)</f>
        <v>759.56999999999994</v>
      </c>
      <c r="G1199" s="338" t="s">
        <v>6766</v>
      </c>
      <c r="H1199" s="592" t="s">
        <v>6767</v>
      </c>
      <c r="I1199" s="520" t="s">
        <v>11649</v>
      </c>
      <c r="J1199" s="421" t="s">
        <v>753</v>
      </c>
      <c r="K1199" s="520" t="s">
        <v>741</v>
      </c>
    </row>
    <row r="1200" spans="1:11" s="341" customFormat="1">
      <c r="A1200" s="1739"/>
      <c r="B1200" s="338" t="s">
        <v>6768</v>
      </c>
      <c r="C1200" s="209">
        <v>3152</v>
      </c>
      <c r="D1200" s="244">
        <f>C1200*(1-VLOOKUP(I1200,descuentos,6,FALSE))*fcl/IF(dol_sol="dólar", TC,1)</f>
        <v>765.7001645373133</v>
      </c>
      <c r="E1200" s="472">
        <v>15</v>
      </c>
      <c r="F1200" s="585">
        <f>ROUNDUP(D1200+E1200,2)</f>
        <v>780.71</v>
      </c>
      <c r="G1200" s="338" t="s">
        <v>6769</v>
      </c>
      <c r="H1200" s="592" t="s">
        <v>6770</v>
      </c>
      <c r="I1200" s="520" t="s">
        <v>11649</v>
      </c>
      <c r="J1200" s="421" t="s">
        <v>753</v>
      </c>
      <c r="K1200" s="520" t="s">
        <v>741</v>
      </c>
    </row>
    <row r="1201" spans="1:11" s="339" customFormat="1">
      <c r="A1201" s="421"/>
      <c r="B1201" s="338"/>
      <c r="C1201" s="209" t="s">
        <v>2058</v>
      </c>
      <c r="D1201" s="244"/>
      <c r="E1201" s="228"/>
      <c r="F1201" s="585"/>
      <c r="G1201" s="338"/>
      <c r="H1201" s="592"/>
      <c r="I1201" s="520"/>
      <c r="J1201" s="421"/>
      <c r="K1201" s="520"/>
    </row>
    <row r="1202" spans="1:11" s="341" customFormat="1">
      <c r="A1202" s="1739"/>
      <c r="B1202" s="394" t="s">
        <v>6771</v>
      </c>
      <c r="C1202" s="389">
        <v>2580</v>
      </c>
      <c r="D1202" s="388">
        <f>C1202*(1-VLOOKUP(I1202,descuentos,6,FALSE))*fcl/IF(dol_sol="dólar", TC,1)</f>
        <v>626.74696208955208</v>
      </c>
      <c r="E1202" s="386">
        <f>D1202/8</f>
        <v>78.343370261194011</v>
      </c>
      <c r="F1202" s="582">
        <f>ROUNDUP(D1202+E1202,2)</f>
        <v>705.1</v>
      </c>
      <c r="G1202" s="394" t="s">
        <v>6772</v>
      </c>
      <c r="H1202" s="580" t="s">
        <v>6773</v>
      </c>
      <c r="I1202" s="520" t="s">
        <v>11649</v>
      </c>
      <c r="J1202" s="421" t="s">
        <v>753</v>
      </c>
      <c r="K1202" s="520" t="s">
        <v>741</v>
      </c>
    </row>
    <row r="1203" spans="1:11" s="339" customFormat="1">
      <c r="A1203" s="421"/>
      <c r="B1203" s="338"/>
      <c r="C1203" s="209" t="s">
        <v>2058</v>
      </c>
      <c r="D1203" s="244"/>
      <c r="E1203" s="228"/>
      <c r="F1203" s="585"/>
      <c r="G1203" s="338"/>
      <c r="H1203" s="592"/>
      <c r="I1203" s="520"/>
      <c r="J1203" s="421"/>
      <c r="K1203" s="520"/>
    </row>
    <row r="1204" spans="1:11" s="341" customFormat="1">
      <c r="A1204" s="1739"/>
      <c r="B1204" s="394" t="s">
        <v>9793</v>
      </c>
      <c r="C1204" s="389">
        <v>2872</v>
      </c>
      <c r="D1204" s="388">
        <f>C1204*(1-VLOOKUP(I1204,descuentos,6,FALSE))*fcl/IF(dol_sol="dólar", TC,1)</f>
        <v>697.68111438805977</v>
      </c>
      <c r="E1204" s="386">
        <f>D1204/8</f>
        <v>87.210139298507471</v>
      </c>
      <c r="F1204" s="582">
        <f>ROUNDUP(D1204+E1204,2)</f>
        <v>784.9</v>
      </c>
      <c r="G1204" s="394" t="s">
        <v>9794</v>
      </c>
      <c r="H1204" s="580" t="s">
        <v>9795</v>
      </c>
      <c r="I1204" s="520" t="s">
        <v>11649</v>
      </c>
      <c r="J1204" s="421" t="s">
        <v>753</v>
      </c>
      <c r="K1204" s="520" t="s">
        <v>741</v>
      </c>
    </row>
    <row r="1205" spans="1:11" s="339" customFormat="1">
      <c r="A1205" s="421"/>
      <c r="B1205" s="338"/>
      <c r="C1205" s="209" t="s">
        <v>2058</v>
      </c>
      <c r="D1205" s="244"/>
      <c r="E1205" s="228"/>
      <c r="F1205" s="585"/>
      <c r="G1205" s="338"/>
      <c r="H1205" s="592"/>
      <c r="I1205" s="520"/>
      <c r="J1205" s="421"/>
      <c r="K1205" s="520"/>
    </row>
    <row r="1206" spans="1:11" s="341" customFormat="1">
      <c r="A1206" s="1739"/>
      <c r="B1206" s="394" t="s">
        <v>6774</v>
      </c>
      <c r="C1206" s="389">
        <v>3161</v>
      </c>
      <c r="D1206" s="388">
        <f>C1206*(1-VLOOKUP(I1206,descuentos,6,FALSE))*fcl/IF(dol_sol="dólar", TC,1)</f>
        <v>767.88649114925363</v>
      </c>
      <c r="E1206" s="386">
        <f>D1206/8</f>
        <v>95.985811393656704</v>
      </c>
      <c r="F1206" s="582">
        <f>ROUNDUP(D1206+E1206,2)</f>
        <v>863.88</v>
      </c>
      <c r="G1206" s="394" t="s">
        <v>6775</v>
      </c>
      <c r="H1206" s="580" t="s">
        <v>6776</v>
      </c>
      <c r="I1206" s="520" t="s">
        <v>11649</v>
      </c>
      <c r="J1206" s="421" t="s">
        <v>753</v>
      </c>
      <c r="K1206" s="520" t="s">
        <v>741</v>
      </c>
    </row>
    <row r="1207" spans="1:11" s="341" customFormat="1">
      <c r="A1207" s="1739"/>
      <c r="B1207" s="394" t="s">
        <v>6777</v>
      </c>
      <c r="C1207" s="389">
        <v>3161</v>
      </c>
      <c r="D1207" s="388">
        <f>C1207*(1-VLOOKUP(I1207,descuentos,6,FALSE))*fcl/IF(dol_sol="dólar", TC,1)</f>
        <v>767.88649114925363</v>
      </c>
      <c r="E1207" s="386">
        <f>D1207/8</f>
        <v>95.985811393656704</v>
      </c>
      <c r="F1207" s="582">
        <f>ROUNDUP(D1207+E1207,2)</f>
        <v>863.88</v>
      </c>
      <c r="G1207" s="394" t="s">
        <v>6778</v>
      </c>
      <c r="H1207" s="580" t="s">
        <v>6779</v>
      </c>
      <c r="I1207" s="520" t="s">
        <v>11649</v>
      </c>
      <c r="J1207" s="421" t="s">
        <v>753</v>
      </c>
      <c r="K1207" s="520" t="s">
        <v>741</v>
      </c>
    </row>
    <row r="1208" spans="1:11" s="341" customFormat="1">
      <c r="A1208" s="1739"/>
      <c r="B1208" s="394" t="s">
        <v>6780</v>
      </c>
      <c r="C1208" s="389">
        <v>3161</v>
      </c>
      <c r="D1208" s="388">
        <f>C1208*(1-VLOOKUP(I1208,descuentos,6,FALSE))*fcl/IF(dol_sol="dólar", TC,1)</f>
        <v>767.88649114925363</v>
      </c>
      <c r="E1208" s="386">
        <f>D1208/8</f>
        <v>95.985811393656704</v>
      </c>
      <c r="F1208" s="582">
        <f>ROUNDUP(D1208+E1208,2)</f>
        <v>863.88</v>
      </c>
      <c r="G1208" s="394" t="s">
        <v>6781</v>
      </c>
      <c r="H1208" s="580" t="s">
        <v>6782</v>
      </c>
      <c r="I1208" s="520" t="s">
        <v>11649</v>
      </c>
      <c r="J1208" s="421" t="s">
        <v>753</v>
      </c>
      <c r="K1208" s="520" t="s">
        <v>741</v>
      </c>
    </row>
    <row r="1209" spans="1:11" s="339" customFormat="1">
      <c r="A1209" s="421"/>
      <c r="B1209" s="338"/>
      <c r="C1209" s="209" t="s">
        <v>2058</v>
      </c>
      <c r="D1209" s="244"/>
      <c r="E1209" s="228"/>
      <c r="F1209" s="585"/>
      <c r="G1209" s="338"/>
      <c r="H1209" s="592"/>
      <c r="I1209" s="520"/>
      <c r="J1209" s="421"/>
      <c r="K1209" s="520"/>
    </row>
    <row r="1210" spans="1:11" s="341" customFormat="1">
      <c r="A1210" s="1739"/>
      <c r="B1210" s="394" t="s">
        <v>6783</v>
      </c>
      <c r="C1210" s="389">
        <v>3352</v>
      </c>
      <c r="D1210" s="388">
        <f>C1210*(1-VLOOKUP(I1210,descuentos,6,FALSE))*fcl/IF(dol_sol="dólar", TC,1)</f>
        <v>814.28520035820895</v>
      </c>
      <c r="E1210" s="386">
        <f>D1210/8</f>
        <v>101.78565004477612</v>
      </c>
      <c r="F1210" s="582">
        <f>ROUNDUP(D1210+E1210,2)</f>
        <v>916.08</v>
      </c>
      <c r="G1210" s="394" t="s">
        <v>6784</v>
      </c>
      <c r="H1210" s="580" t="s">
        <v>6785</v>
      </c>
      <c r="I1210" s="520" t="s">
        <v>11649</v>
      </c>
      <c r="J1210" s="421" t="s">
        <v>753</v>
      </c>
      <c r="K1210" s="520" t="s">
        <v>741</v>
      </c>
    </row>
    <row r="1211" spans="1:11" s="341" customFormat="1">
      <c r="A1211" s="1739"/>
      <c r="B1211" s="394" t="s">
        <v>6786</v>
      </c>
      <c r="C1211" s="389">
        <v>3352</v>
      </c>
      <c r="D1211" s="388">
        <f>C1211*(1-VLOOKUP(I1211,descuentos,6,FALSE))*fcl/IF(dol_sol="dólar", TC,1)</f>
        <v>814.28520035820895</v>
      </c>
      <c r="E1211" s="386">
        <f>D1211/8</f>
        <v>101.78565004477612</v>
      </c>
      <c r="F1211" s="582">
        <f>ROUNDUP(D1211+E1211,2)</f>
        <v>916.08</v>
      </c>
      <c r="G1211" s="394" t="s">
        <v>6787</v>
      </c>
      <c r="H1211" s="580" t="s">
        <v>6788</v>
      </c>
      <c r="I1211" s="520" t="s">
        <v>11649</v>
      </c>
      <c r="J1211" s="421" t="s">
        <v>753</v>
      </c>
      <c r="K1211" s="520" t="s">
        <v>741</v>
      </c>
    </row>
    <row r="1212" spans="1:11" s="341" customFormat="1">
      <c r="A1212" s="421"/>
      <c r="B1212" s="338"/>
      <c r="C1212" s="798" t="s">
        <v>2058</v>
      </c>
      <c r="D1212" s="244"/>
      <c r="E1212" s="228"/>
      <c r="F1212" s="585"/>
      <c r="G1212" s="338"/>
      <c r="H1212" s="592"/>
      <c r="I1212" s="520"/>
      <c r="J1212" s="421"/>
      <c r="K1212" s="520"/>
    </row>
    <row r="1213" spans="1:11" s="339" customFormat="1">
      <c r="A1213" s="1739"/>
      <c r="B1213" s="338" t="s">
        <v>6789</v>
      </c>
      <c r="C1213" s="209">
        <v>2522</v>
      </c>
      <c r="D1213" s="244">
        <f>C1213*(1-VLOOKUP(I1213,descuentos,6,FALSE))*fcl/IF(dol_sol="dólar", TC,1)</f>
        <v>612.65730170149243</v>
      </c>
      <c r="E1213" s="472">
        <v>15</v>
      </c>
      <c r="F1213" s="585">
        <f>ROUNDUP(D1213+E1213,2)</f>
        <v>627.66</v>
      </c>
      <c r="G1213" s="338" t="s">
        <v>6790</v>
      </c>
      <c r="H1213" s="592" t="s">
        <v>6791</v>
      </c>
      <c r="I1213" s="520" t="s">
        <v>11649</v>
      </c>
      <c r="J1213" s="421" t="s">
        <v>753</v>
      </c>
      <c r="K1213" s="520" t="s">
        <v>741</v>
      </c>
    </row>
    <row r="1214" spans="1:11" s="339" customFormat="1">
      <c r="A1214" s="1739"/>
      <c r="B1214" s="338" t="s">
        <v>6792</v>
      </c>
      <c r="C1214" s="209">
        <v>3278</v>
      </c>
      <c r="D1214" s="244">
        <f>C1214*(1-VLOOKUP(I1214,descuentos,6,FALSE))*fcl/IF(dol_sol="dólar", TC,1)</f>
        <v>796.30873710447759</v>
      </c>
      <c r="E1214" s="472">
        <v>15</v>
      </c>
      <c r="F1214" s="585">
        <f>ROUNDUP(D1214+E1214,2)</f>
        <v>811.31</v>
      </c>
      <c r="G1214" s="338" t="s">
        <v>6793</v>
      </c>
      <c r="H1214" s="592" t="s">
        <v>6794</v>
      </c>
      <c r="I1214" s="520" t="s">
        <v>11649</v>
      </c>
      <c r="J1214" s="421" t="s">
        <v>753</v>
      </c>
      <c r="K1214" s="520" t="s">
        <v>741</v>
      </c>
    </row>
    <row r="1215" spans="1:11" s="339" customFormat="1">
      <c r="A1215" s="421"/>
      <c r="B1215" s="338"/>
      <c r="C1215" s="209" t="s">
        <v>2058</v>
      </c>
      <c r="D1215" s="244"/>
      <c r="E1215" s="228"/>
      <c r="F1215" s="585"/>
      <c r="G1215" s="338"/>
      <c r="H1215" s="592"/>
      <c r="I1215" s="520"/>
      <c r="J1215" s="421"/>
      <c r="K1215" s="520"/>
    </row>
    <row r="1216" spans="1:11" s="341" customFormat="1">
      <c r="A1216" s="421"/>
      <c r="B1216" s="247"/>
      <c r="C1216" s="209" t="s">
        <v>2058</v>
      </c>
      <c r="D1216" s="244"/>
      <c r="E1216" s="228"/>
      <c r="F1216" s="585"/>
      <c r="G1216" s="338"/>
      <c r="H1216" s="592"/>
      <c r="I1216" s="520"/>
      <c r="J1216" s="421"/>
      <c r="K1216" s="520"/>
    </row>
    <row r="1217" spans="1:11" s="341" customFormat="1">
      <c r="A1217" s="421"/>
      <c r="B1217" s="627" t="s">
        <v>827</v>
      </c>
      <c r="C1217" s="209">
        <v>22</v>
      </c>
      <c r="D1217" s="244">
        <f t="shared" ref="D1217:D1224" si="191">C1217*(1-VLOOKUP(I1217,descuentos,6,FALSE))*fcl/IF(dol_sol="dólar", TC,1)</f>
        <v>5.3443539402985074</v>
      </c>
      <c r="E1217" s="228">
        <v>3</v>
      </c>
      <c r="F1217" s="585">
        <f>ROUNDUP(D1217+E1217,2)</f>
        <v>8.35</v>
      </c>
      <c r="G1217" s="592" t="s">
        <v>5086</v>
      </c>
      <c r="H1217" s="592" t="s">
        <v>826</v>
      </c>
      <c r="I1217" s="520" t="s">
        <v>11649</v>
      </c>
      <c r="J1217" s="589" t="s">
        <v>753</v>
      </c>
      <c r="K1217" s="520" t="s">
        <v>741</v>
      </c>
    </row>
    <row r="1218" spans="1:11" s="341" customFormat="1">
      <c r="A1218" s="589"/>
      <c r="B1218" s="627" t="s">
        <v>960</v>
      </c>
      <c r="C1218" s="209">
        <v>94</v>
      </c>
      <c r="D1218" s="244">
        <f t="shared" si="191"/>
        <v>22.834966835820893</v>
      </c>
      <c r="E1218" s="228">
        <v>3</v>
      </c>
      <c r="F1218" s="585">
        <f>ROUNDUP(D1218+E1218,2)</f>
        <v>25.84</v>
      </c>
      <c r="G1218" s="592" t="s">
        <v>5088</v>
      </c>
      <c r="H1218" s="592" t="s">
        <v>828</v>
      </c>
      <c r="I1218" s="520" t="s">
        <v>11649</v>
      </c>
      <c r="J1218" s="589" t="s">
        <v>753</v>
      </c>
      <c r="K1218" s="520" t="s">
        <v>741</v>
      </c>
    </row>
    <row r="1219" spans="1:11" s="341" customFormat="1">
      <c r="A1219" s="589"/>
      <c r="B1219" s="627" t="s">
        <v>830</v>
      </c>
      <c r="C1219" s="209">
        <v>24</v>
      </c>
      <c r="D1219" s="244">
        <f t="shared" si="191"/>
        <v>5.8302042985074616</v>
      </c>
      <c r="E1219" s="228">
        <v>3</v>
      </c>
      <c r="F1219" s="585">
        <f>ROUNDUP(D1219+E1219,2)</f>
        <v>8.84</v>
      </c>
      <c r="G1219" s="592" t="s">
        <v>5090</v>
      </c>
      <c r="H1219" s="592" t="s">
        <v>829</v>
      </c>
      <c r="I1219" s="520" t="s">
        <v>11649</v>
      </c>
      <c r="J1219" s="589" t="s">
        <v>753</v>
      </c>
      <c r="K1219" s="520" t="s">
        <v>741</v>
      </c>
    </row>
    <row r="1220" spans="1:11" s="341" customFormat="1">
      <c r="A1220" s="589"/>
      <c r="B1220" s="627" t="s">
        <v>961</v>
      </c>
      <c r="C1220" s="209">
        <v>216</v>
      </c>
      <c r="D1220" s="244">
        <f t="shared" si="191"/>
        <v>52.471838686567153</v>
      </c>
      <c r="E1220" s="228">
        <v>3</v>
      </c>
      <c r="F1220" s="585">
        <f>ROUNDUP(D1220+E1220,2)</f>
        <v>55.48</v>
      </c>
      <c r="G1220" s="592" t="s">
        <v>5092</v>
      </c>
      <c r="H1220" s="592" t="s">
        <v>831</v>
      </c>
      <c r="I1220" s="520" t="s">
        <v>11649</v>
      </c>
      <c r="J1220" s="589" t="s">
        <v>753</v>
      </c>
      <c r="K1220" s="520" t="s">
        <v>741</v>
      </c>
    </row>
    <row r="1221" spans="1:11" s="341" customFormat="1">
      <c r="A1221" s="589"/>
      <c r="B1221" s="627" t="s">
        <v>832</v>
      </c>
      <c r="C1221" s="209">
        <v>48</v>
      </c>
      <c r="D1221" s="244">
        <f t="shared" si="191"/>
        <v>11.660408597014923</v>
      </c>
      <c r="E1221" s="228">
        <v>5</v>
      </c>
      <c r="F1221" s="585">
        <f>ROUNDUP(D1221+E1221,2)</f>
        <v>16.670000000000002</v>
      </c>
      <c r="G1221" s="592" t="s">
        <v>5094</v>
      </c>
      <c r="H1221" s="592" t="s">
        <v>833</v>
      </c>
      <c r="I1221" s="520" t="s">
        <v>11649</v>
      </c>
      <c r="J1221" s="589" t="s">
        <v>753</v>
      </c>
      <c r="K1221" s="520" t="s">
        <v>741</v>
      </c>
    </row>
    <row r="1222" spans="1:11" s="341" customFormat="1">
      <c r="A1222" s="589"/>
      <c r="B1222" s="627" t="s">
        <v>962</v>
      </c>
      <c r="C1222" s="209">
        <v>296</v>
      </c>
      <c r="D1222" s="244">
        <f t="shared" si="191"/>
        <v>71.90585301492537</v>
      </c>
      <c r="E1222" s="228">
        <v>5</v>
      </c>
      <c r="F1222" s="585">
        <f t="shared" ref="F1222:F1266" si="192">ROUNDUP(D1222+E1222,2)</f>
        <v>76.910000000000011</v>
      </c>
      <c r="G1222" s="592" t="s">
        <v>5096</v>
      </c>
      <c r="H1222" s="592" t="s">
        <v>834</v>
      </c>
      <c r="I1222" s="520" t="s">
        <v>11649</v>
      </c>
      <c r="J1222" s="589" t="s">
        <v>753</v>
      </c>
      <c r="K1222" s="520" t="s">
        <v>741</v>
      </c>
    </row>
    <row r="1223" spans="1:11" s="341" customFormat="1">
      <c r="A1223" s="589"/>
      <c r="B1223" s="627" t="s">
        <v>835</v>
      </c>
      <c r="C1223" s="209">
        <v>226</v>
      </c>
      <c r="D1223" s="244">
        <f t="shared" si="191"/>
        <v>54.90109047761193</v>
      </c>
      <c r="E1223" s="228">
        <v>5</v>
      </c>
      <c r="F1223" s="585">
        <f t="shared" si="192"/>
        <v>59.91</v>
      </c>
      <c r="G1223" s="592" t="s">
        <v>5098</v>
      </c>
      <c r="H1223" s="592" t="s">
        <v>836</v>
      </c>
      <c r="I1223" s="520" t="s">
        <v>11649</v>
      </c>
      <c r="J1223" s="589" t="s">
        <v>753</v>
      </c>
      <c r="K1223" s="520" t="s">
        <v>741</v>
      </c>
    </row>
    <row r="1224" spans="1:11" s="341" customFormat="1">
      <c r="A1224" s="589"/>
      <c r="B1224" s="627" t="s">
        <v>963</v>
      </c>
      <c r="C1224" s="209">
        <v>244</v>
      </c>
      <c r="D1224" s="244">
        <f t="shared" si="191"/>
        <v>59.273743701492528</v>
      </c>
      <c r="E1224" s="228">
        <v>5</v>
      </c>
      <c r="F1224" s="585">
        <f t="shared" si="192"/>
        <v>64.28</v>
      </c>
      <c r="G1224" s="592" t="s">
        <v>5100</v>
      </c>
      <c r="H1224" s="592" t="s">
        <v>837</v>
      </c>
      <c r="I1224" s="520" t="s">
        <v>11649</v>
      </c>
      <c r="J1224" s="589" t="s">
        <v>753</v>
      </c>
      <c r="K1224" s="520" t="s">
        <v>741</v>
      </c>
    </row>
    <row r="1225" spans="1:11" s="339" customFormat="1">
      <c r="A1225" s="589"/>
      <c r="B1225" s="627"/>
      <c r="C1225" s="209" t="s">
        <v>2058</v>
      </c>
      <c r="D1225" s="244"/>
      <c r="E1225" s="228"/>
      <c r="F1225" s="585"/>
      <c r="G1225" s="592"/>
      <c r="H1225" s="592"/>
      <c r="I1225" s="520"/>
      <c r="J1225" s="589"/>
      <c r="K1225" s="520"/>
    </row>
    <row r="1226" spans="1:11" s="341" customFormat="1">
      <c r="A1226" s="589"/>
      <c r="B1226" s="628" t="s">
        <v>2269</v>
      </c>
      <c r="C1226" s="248">
        <v>29</v>
      </c>
      <c r="D1226" s="388">
        <f t="shared" ref="D1226:D1233" si="193">C1226*(1-VLOOKUP(I1226,descuentos,6,FALSE))*fcl/IF(dol_sol="dólar", TC,1)</f>
        <v>7.044830194029851</v>
      </c>
      <c r="E1226" s="386">
        <v>4</v>
      </c>
      <c r="F1226" s="582">
        <f t="shared" ref="F1226:F1233" si="194">ROUNDUP(D1226+E1226,2)</f>
        <v>11.049999999999999</v>
      </c>
      <c r="G1226" s="580" t="s">
        <v>5087</v>
      </c>
      <c r="H1226" s="592" t="s">
        <v>2270</v>
      </c>
      <c r="I1226" s="520" t="s">
        <v>11649</v>
      </c>
      <c r="J1226" s="589" t="s">
        <v>753</v>
      </c>
      <c r="K1226" s="520" t="s">
        <v>741</v>
      </c>
    </row>
    <row r="1227" spans="1:11" s="341" customFormat="1">
      <c r="A1227" s="589"/>
      <c r="B1227" s="628" t="s">
        <v>2271</v>
      </c>
      <c r="C1227" s="389">
        <v>127</v>
      </c>
      <c r="D1227" s="388">
        <f t="shared" si="193"/>
        <v>30.851497746268652</v>
      </c>
      <c r="E1227" s="386">
        <v>4</v>
      </c>
      <c r="F1227" s="582">
        <f t="shared" si="194"/>
        <v>34.86</v>
      </c>
      <c r="G1227" s="580" t="s">
        <v>5089</v>
      </c>
      <c r="H1227" s="592" t="s">
        <v>2272</v>
      </c>
      <c r="I1227" s="520" t="s">
        <v>11649</v>
      </c>
      <c r="J1227" s="589" t="s">
        <v>753</v>
      </c>
      <c r="K1227" s="520" t="s">
        <v>741</v>
      </c>
    </row>
    <row r="1228" spans="1:11" s="341" customFormat="1">
      <c r="A1228" s="589"/>
      <c r="B1228" s="628" t="s">
        <v>2273</v>
      </c>
      <c r="C1228" s="389">
        <v>32</v>
      </c>
      <c r="D1228" s="388">
        <f t="shared" si="193"/>
        <v>7.7736057313432827</v>
      </c>
      <c r="E1228" s="386">
        <v>4</v>
      </c>
      <c r="F1228" s="582">
        <f t="shared" si="194"/>
        <v>11.78</v>
      </c>
      <c r="G1228" s="580" t="s">
        <v>5091</v>
      </c>
      <c r="H1228" s="592" t="s">
        <v>2274</v>
      </c>
      <c r="I1228" s="520" t="s">
        <v>11649</v>
      </c>
      <c r="J1228" s="589" t="s">
        <v>753</v>
      </c>
      <c r="K1228" s="520" t="s">
        <v>741</v>
      </c>
    </row>
    <row r="1229" spans="1:11" s="341" customFormat="1">
      <c r="A1229" s="589"/>
      <c r="B1229" s="628" t="s">
        <v>2275</v>
      </c>
      <c r="C1229" s="389">
        <v>237</v>
      </c>
      <c r="D1229" s="388">
        <f t="shared" si="193"/>
        <v>57.573267447761182</v>
      </c>
      <c r="E1229" s="386">
        <v>4</v>
      </c>
      <c r="F1229" s="582">
        <f t="shared" si="194"/>
        <v>61.58</v>
      </c>
      <c r="G1229" s="580" t="s">
        <v>5093</v>
      </c>
      <c r="H1229" s="592" t="s">
        <v>2276</v>
      </c>
      <c r="I1229" s="520" t="s">
        <v>11649</v>
      </c>
      <c r="J1229" s="589" t="s">
        <v>753</v>
      </c>
      <c r="K1229" s="520" t="s">
        <v>741</v>
      </c>
    </row>
    <row r="1230" spans="1:11" s="341" customFormat="1">
      <c r="A1230" s="589"/>
      <c r="B1230" s="628" t="s">
        <v>2277</v>
      </c>
      <c r="C1230" s="389">
        <v>64</v>
      </c>
      <c r="D1230" s="388">
        <f t="shared" si="193"/>
        <v>15.547211462686565</v>
      </c>
      <c r="E1230" s="386">
        <v>6</v>
      </c>
      <c r="F1230" s="582">
        <f t="shared" si="194"/>
        <v>21.55</v>
      </c>
      <c r="G1230" s="580" t="s">
        <v>5095</v>
      </c>
      <c r="H1230" s="592" t="s">
        <v>2278</v>
      </c>
      <c r="I1230" s="520" t="s">
        <v>11649</v>
      </c>
      <c r="J1230" s="589" t="s">
        <v>753</v>
      </c>
      <c r="K1230" s="520" t="s">
        <v>741</v>
      </c>
    </row>
    <row r="1231" spans="1:11" s="341" customFormat="1">
      <c r="A1231" s="589"/>
      <c r="B1231" s="628" t="s">
        <v>2279</v>
      </c>
      <c r="C1231" s="389">
        <v>355</v>
      </c>
      <c r="D1231" s="388">
        <f t="shared" si="193"/>
        <v>86.238438582089543</v>
      </c>
      <c r="E1231" s="386">
        <v>6</v>
      </c>
      <c r="F1231" s="582">
        <f t="shared" si="194"/>
        <v>92.240000000000009</v>
      </c>
      <c r="G1231" s="580" t="s">
        <v>5097</v>
      </c>
      <c r="H1231" s="592" t="s">
        <v>2280</v>
      </c>
      <c r="I1231" s="520" t="s">
        <v>11649</v>
      </c>
      <c r="J1231" s="589" t="s">
        <v>753</v>
      </c>
      <c r="K1231" s="520" t="s">
        <v>741</v>
      </c>
    </row>
    <row r="1232" spans="1:11" s="341" customFormat="1">
      <c r="A1232" s="589"/>
      <c r="B1232" s="628" t="s">
        <v>2281</v>
      </c>
      <c r="C1232" s="389">
        <v>294</v>
      </c>
      <c r="D1232" s="388">
        <f t="shared" si="193"/>
        <v>71.42000265671642</v>
      </c>
      <c r="E1232" s="386">
        <v>6</v>
      </c>
      <c r="F1232" s="582">
        <f t="shared" si="194"/>
        <v>77.430000000000007</v>
      </c>
      <c r="G1232" s="580" t="s">
        <v>5099</v>
      </c>
      <c r="H1232" s="592" t="s">
        <v>2282</v>
      </c>
      <c r="I1232" s="520" t="s">
        <v>11649</v>
      </c>
      <c r="J1232" s="589" t="s">
        <v>753</v>
      </c>
      <c r="K1232" s="520" t="s">
        <v>741</v>
      </c>
    </row>
    <row r="1233" spans="1:11" s="341" customFormat="1">
      <c r="A1233" s="589"/>
      <c r="B1233" s="628" t="s">
        <v>2283</v>
      </c>
      <c r="C1233" s="389">
        <v>324</v>
      </c>
      <c r="D1233" s="388">
        <f t="shared" si="193"/>
        <v>78.707758029850737</v>
      </c>
      <c r="E1233" s="386">
        <v>6</v>
      </c>
      <c r="F1233" s="582">
        <f t="shared" si="194"/>
        <v>84.710000000000008</v>
      </c>
      <c r="G1233" s="580" t="s">
        <v>5101</v>
      </c>
      <c r="H1233" s="592" t="s">
        <v>2284</v>
      </c>
      <c r="I1233" s="520" t="s">
        <v>11649</v>
      </c>
      <c r="J1233" s="589" t="s">
        <v>753</v>
      </c>
      <c r="K1233" s="520" t="s">
        <v>741</v>
      </c>
    </row>
    <row r="1234" spans="1:11" s="341" customFormat="1">
      <c r="A1234" s="589"/>
      <c r="B1234" s="629"/>
      <c r="C1234" s="209" t="s">
        <v>2058</v>
      </c>
      <c r="D1234" s="244"/>
      <c r="E1234" s="228"/>
      <c r="F1234" s="585">
        <f t="shared" si="192"/>
        <v>0</v>
      </c>
      <c r="G1234" s="592"/>
      <c r="H1234" s="592"/>
      <c r="I1234" s="520"/>
      <c r="J1234" s="589"/>
      <c r="K1234" s="520"/>
    </row>
    <row r="1235" spans="1:11" s="341" customFormat="1">
      <c r="A1235" s="589"/>
      <c r="B1235" s="338"/>
      <c r="C1235" s="209" t="s">
        <v>2058</v>
      </c>
      <c r="D1235" s="244"/>
      <c r="E1235" s="228"/>
      <c r="F1235" s="585">
        <f t="shared" si="192"/>
        <v>0</v>
      </c>
      <c r="G1235" s="338"/>
      <c r="H1235" s="592"/>
      <c r="I1235" s="520"/>
      <c r="J1235" s="421"/>
      <c r="K1235" s="520"/>
    </row>
    <row r="1236" spans="1:11" s="341" customFormat="1">
      <c r="A1236" s="421"/>
      <c r="B1236" s="592" t="s">
        <v>3526</v>
      </c>
      <c r="C1236" s="209">
        <v>224</v>
      </c>
      <c r="D1236" s="244">
        <f t="shared" ref="D1236:D1250" si="195">C1236*(1-VLOOKUP(I1236,descuentos,6,FALSE))*fcl/IF(dol_sol="dólar", TC,1)</f>
        <v>54.415240119402981</v>
      </c>
      <c r="E1236" s="228">
        <v>15</v>
      </c>
      <c r="F1236" s="585">
        <f t="shared" si="192"/>
        <v>69.42</v>
      </c>
      <c r="G1236" s="338" t="s">
        <v>5102</v>
      </c>
      <c r="H1236" s="592" t="s">
        <v>3238</v>
      </c>
      <c r="I1236" s="520" t="s">
        <v>11649</v>
      </c>
      <c r="J1236" s="421" t="s">
        <v>753</v>
      </c>
      <c r="K1236" s="520" t="s">
        <v>741</v>
      </c>
    </row>
    <row r="1237" spans="1:11" s="341" customFormat="1">
      <c r="A1237" s="421"/>
      <c r="B1237" s="592" t="s">
        <v>6795</v>
      </c>
      <c r="C1237" s="209">
        <v>224</v>
      </c>
      <c r="D1237" s="244">
        <f>C1237*(1-VLOOKUP(I1237,descuentos,6,FALSE))*fcl/IF(dol_sol="dólar", TC,1)</f>
        <v>54.415240119402981</v>
      </c>
      <c r="E1237" s="228">
        <v>15</v>
      </c>
      <c r="F1237" s="585">
        <f>ROUNDUP(D1237+E1237,2)</f>
        <v>69.42</v>
      </c>
      <c r="G1237" s="338" t="s">
        <v>6796</v>
      </c>
      <c r="H1237" s="592" t="s">
        <v>6797</v>
      </c>
      <c r="I1237" s="520" t="s">
        <v>11649</v>
      </c>
      <c r="J1237" s="421" t="s">
        <v>753</v>
      </c>
      <c r="K1237" s="520" t="s">
        <v>741</v>
      </c>
    </row>
    <row r="1238" spans="1:11" s="341" customFormat="1">
      <c r="A1238" s="421"/>
      <c r="B1238" s="592" t="s">
        <v>5592</v>
      </c>
      <c r="C1238" s="209">
        <v>224</v>
      </c>
      <c r="D1238" s="244">
        <f>C1238*(1-VLOOKUP(I1238,descuentos,6,FALSE))*fcl/IF(dol_sol="dólar", TC,1)</f>
        <v>54.415240119402981</v>
      </c>
      <c r="E1238" s="228">
        <v>15</v>
      </c>
      <c r="F1238" s="585">
        <f t="shared" si="192"/>
        <v>69.42</v>
      </c>
      <c r="G1238" s="338" t="s">
        <v>5593</v>
      </c>
      <c r="H1238" s="592" t="s">
        <v>5594</v>
      </c>
      <c r="I1238" s="520" t="s">
        <v>11649</v>
      </c>
      <c r="J1238" s="421" t="s">
        <v>753</v>
      </c>
      <c r="K1238" s="520" t="s">
        <v>741</v>
      </c>
    </row>
    <row r="1239" spans="1:11" s="341" customFormat="1">
      <c r="A1239" s="421"/>
      <c r="B1239" s="592" t="s">
        <v>6798</v>
      </c>
      <c r="C1239" s="588">
        <v>376</v>
      </c>
      <c r="D1239" s="244">
        <f>C1239*(1-VLOOKUP(I1239,descuentos,6,FALSE))*fcl/IF(dol_sol="dólar", TC,1)</f>
        <v>91.339867343283572</v>
      </c>
      <c r="E1239" s="228">
        <v>15</v>
      </c>
      <c r="F1239" s="585">
        <f>ROUNDUP(D1239+E1239,2)</f>
        <v>106.34</v>
      </c>
      <c r="G1239" s="338" t="s">
        <v>6799</v>
      </c>
      <c r="H1239" s="592" t="s">
        <v>6800</v>
      </c>
      <c r="I1239" s="520" t="s">
        <v>11649</v>
      </c>
      <c r="J1239" s="421" t="s">
        <v>753</v>
      </c>
      <c r="K1239" s="520" t="s">
        <v>741</v>
      </c>
    </row>
    <row r="1240" spans="1:11" s="339" customFormat="1">
      <c r="A1240" s="421"/>
      <c r="B1240" s="592"/>
      <c r="C1240" s="209" t="s">
        <v>2058</v>
      </c>
      <c r="D1240" s="244"/>
      <c r="E1240" s="228"/>
      <c r="F1240" s="585"/>
      <c r="G1240" s="338"/>
      <c r="H1240" s="592"/>
      <c r="I1240" s="520"/>
      <c r="J1240" s="421"/>
      <c r="K1240" s="520"/>
    </row>
    <row r="1241" spans="1:11" s="341" customFormat="1">
      <c r="A1241" s="421"/>
      <c r="B1241" s="592" t="s">
        <v>1388</v>
      </c>
      <c r="C1241" s="209">
        <v>923</v>
      </c>
      <c r="D1241" s="244">
        <f t="shared" si="195"/>
        <v>224.2199403134328</v>
      </c>
      <c r="E1241" s="228">
        <v>30</v>
      </c>
      <c r="F1241" s="585">
        <f t="shared" si="192"/>
        <v>254.22</v>
      </c>
      <c r="G1241" s="338" t="s">
        <v>3696</v>
      </c>
      <c r="H1241" s="592" t="s">
        <v>1387</v>
      </c>
      <c r="I1241" s="520" t="s">
        <v>11649</v>
      </c>
      <c r="J1241" s="421" t="s">
        <v>753</v>
      </c>
      <c r="K1241" s="520" t="s">
        <v>741</v>
      </c>
    </row>
    <row r="1242" spans="1:11" s="341" customFormat="1">
      <c r="A1242" s="421"/>
      <c r="B1242" s="592" t="s">
        <v>1389</v>
      </c>
      <c r="C1242" s="209">
        <v>1842</v>
      </c>
      <c r="D1242" s="244">
        <f t="shared" si="195"/>
        <v>447.46817991044776</v>
      </c>
      <c r="E1242" s="228">
        <v>30</v>
      </c>
      <c r="F1242" s="585">
        <f t="shared" si="192"/>
        <v>477.46999999999997</v>
      </c>
      <c r="G1242" s="338" t="s">
        <v>3697</v>
      </c>
      <c r="H1242" s="592" t="s">
        <v>1390</v>
      </c>
      <c r="I1242" s="520" t="s">
        <v>11649</v>
      </c>
      <c r="J1242" s="421" t="s">
        <v>753</v>
      </c>
      <c r="K1242" s="520" t="s">
        <v>741</v>
      </c>
    </row>
    <row r="1243" spans="1:11" s="341" customFormat="1">
      <c r="A1243" s="421"/>
      <c r="B1243" s="592"/>
      <c r="C1243" s="209" t="s">
        <v>2058</v>
      </c>
      <c r="D1243" s="244"/>
      <c r="E1243" s="228"/>
      <c r="F1243" s="585"/>
      <c r="G1243" s="338"/>
      <c r="H1243" s="592"/>
      <c r="I1243" s="520"/>
      <c r="J1243" s="421"/>
      <c r="K1243" s="520"/>
    </row>
    <row r="1244" spans="1:11" s="341" customFormat="1">
      <c r="A1244" s="421"/>
      <c r="B1244" s="592" t="s">
        <v>3388</v>
      </c>
      <c r="C1244" s="209">
        <v>121</v>
      </c>
      <c r="D1244" s="244">
        <f t="shared" si="195"/>
        <v>29.393946671641785</v>
      </c>
      <c r="E1244" s="228">
        <v>6</v>
      </c>
      <c r="F1244" s="585">
        <f t="shared" si="192"/>
        <v>35.4</v>
      </c>
      <c r="G1244" s="592" t="s">
        <v>6801</v>
      </c>
      <c r="H1244" s="592" t="s">
        <v>1391</v>
      </c>
      <c r="I1244" s="520" t="s">
        <v>11649</v>
      </c>
      <c r="J1244" s="421" t="s">
        <v>753</v>
      </c>
      <c r="K1244" s="520" t="s">
        <v>741</v>
      </c>
    </row>
    <row r="1245" spans="1:11" s="341" customFormat="1">
      <c r="A1245" s="421"/>
      <c r="B1245" s="592" t="s">
        <v>3390</v>
      </c>
      <c r="C1245" s="209">
        <v>262</v>
      </c>
      <c r="D1245" s="244">
        <f>C1245*(1-VLOOKUP(I1245,descuentos,6,FALSE))*fcl/IF(dol_sol="dólar", TC,1)</f>
        <v>63.646396925373132</v>
      </c>
      <c r="E1245" s="228">
        <v>4</v>
      </c>
      <c r="F1245" s="585">
        <f t="shared" si="192"/>
        <v>67.650000000000006</v>
      </c>
      <c r="G1245" s="592" t="s">
        <v>6802</v>
      </c>
      <c r="H1245" s="592" t="s">
        <v>3391</v>
      </c>
      <c r="I1245" s="520" t="s">
        <v>11649</v>
      </c>
      <c r="J1245" s="421" t="s">
        <v>753</v>
      </c>
      <c r="K1245" s="520" t="s">
        <v>741</v>
      </c>
    </row>
    <row r="1246" spans="1:11" s="341" customFormat="1">
      <c r="A1246" s="421"/>
      <c r="B1246" s="592" t="s">
        <v>3392</v>
      </c>
      <c r="C1246" s="209">
        <v>417</v>
      </c>
      <c r="D1246" s="244">
        <f t="shared" si="195"/>
        <v>101.29979968656716</v>
      </c>
      <c r="E1246" s="228">
        <v>4</v>
      </c>
      <c r="F1246" s="585">
        <f t="shared" si="192"/>
        <v>105.30000000000001</v>
      </c>
      <c r="G1246" s="592" t="s">
        <v>6803</v>
      </c>
      <c r="H1246" s="592" t="s">
        <v>1392</v>
      </c>
      <c r="I1246" s="520" t="s">
        <v>11649</v>
      </c>
      <c r="J1246" s="421" t="s">
        <v>753</v>
      </c>
      <c r="K1246" s="520" t="s">
        <v>741</v>
      </c>
    </row>
    <row r="1247" spans="1:11" s="341" customFormat="1">
      <c r="A1247" s="421"/>
      <c r="B1247" s="592" t="s">
        <v>2285</v>
      </c>
      <c r="C1247" s="209">
        <v>417</v>
      </c>
      <c r="D1247" s="244">
        <f t="shared" si="195"/>
        <v>101.29979968656716</v>
      </c>
      <c r="E1247" s="228">
        <v>4</v>
      </c>
      <c r="F1247" s="585">
        <f t="shared" si="192"/>
        <v>105.30000000000001</v>
      </c>
      <c r="G1247" s="592" t="s">
        <v>6804</v>
      </c>
      <c r="H1247" s="592" t="s">
        <v>2286</v>
      </c>
      <c r="I1247" s="520" t="s">
        <v>11649</v>
      </c>
      <c r="J1247" s="421" t="s">
        <v>753</v>
      </c>
      <c r="K1247" s="520" t="s">
        <v>741</v>
      </c>
    </row>
    <row r="1248" spans="1:11" s="341" customFormat="1">
      <c r="A1248" s="421"/>
      <c r="B1248" s="592" t="s">
        <v>2287</v>
      </c>
      <c r="C1248" s="209">
        <v>417</v>
      </c>
      <c r="D1248" s="244">
        <f>C1248*(1-VLOOKUP(I1248,descuentos,6,FALSE))*fcl/IF(dol_sol="dólar", TC,1)</f>
        <v>101.29979968656716</v>
      </c>
      <c r="E1248" s="228">
        <v>4</v>
      </c>
      <c r="F1248" s="585">
        <f t="shared" si="192"/>
        <v>105.30000000000001</v>
      </c>
      <c r="G1248" s="592" t="s">
        <v>6805</v>
      </c>
      <c r="H1248" s="592" t="s">
        <v>2288</v>
      </c>
      <c r="I1248" s="520" t="s">
        <v>11649</v>
      </c>
      <c r="J1248" s="421" t="s">
        <v>753</v>
      </c>
      <c r="K1248" s="520" t="s">
        <v>741</v>
      </c>
    </row>
    <row r="1249" spans="1:11" s="341" customFormat="1">
      <c r="A1249" s="421"/>
      <c r="B1249" s="592" t="s">
        <v>2289</v>
      </c>
      <c r="C1249" s="209">
        <v>417</v>
      </c>
      <c r="D1249" s="244">
        <f t="shared" si="195"/>
        <v>101.29979968656716</v>
      </c>
      <c r="E1249" s="228">
        <v>4</v>
      </c>
      <c r="F1249" s="585">
        <f t="shared" si="192"/>
        <v>105.30000000000001</v>
      </c>
      <c r="G1249" s="592" t="s">
        <v>6806</v>
      </c>
      <c r="H1249" s="592" t="s">
        <v>2290</v>
      </c>
      <c r="I1249" s="520" t="s">
        <v>11649</v>
      </c>
      <c r="J1249" s="421" t="s">
        <v>753</v>
      </c>
      <c r="K1249" s="520" t="s">
        <v>741</v>
      </c>
    </row>
    <row r="1250" spans="1:11" s="341" customFormat="1">
      <c r="A1250" s="421"/>
      <c r="B1250" s="592" t="s">
        <v>1394</v>
      </c>
      <c r="C1250" s="209">
        <v>121</v>
      </c>
      <c r="D1250" s="244">
        <f t="shared" si="195"/>
        <v>29.393946671641785</v>
      </c>
      <c r="E1250" s="228">
        <v>4</v>
      </c>
      <c r="F1250" s="585">
        <f t="shared" si="192"/>
        <v>33.4</v>
      </c>
      <c r="G1250" s="592" t="s">
        <v>2291</v>
      </c>
      <c r="H1250" s="592" t="s">
        <v>1393</v>
      </c>
      <c r="I1250" s="520" t="s">
        <v>11649</v>
      </c>
      <c r="J1250" s="421"/>
      <c r="K1250" s="520"/>
    </row>
    <row r="1251" spans="1:11" s="339" customFormat="1">
      <c r="A1251" s="421"/>
      <c r="B1251" s="592"/>
      <c r="C1251" s="209" t="s">
        <v>2058</v>
      </c>
      <c r="D1251" s="244"/>
      <c r="E1251" s="228"/>
      <c r="F1251" s="585">
        <f t="shared" si="192"/>
        <v>0</v>
      </c>
      <c r="G1251" s="338"/>
      <c r="H1251" s="592"/>
      <c r="I1251" s="520"/>
      <c r="J1251" s="421"/>
      <c r="K1251" s="520"/>
    </row>
    <row r="1252" spans="1:11" s="341" customFormat="1">
      <c r="A1252" s="421"/>
      <c r="B1252" s="631" t="s">
        <v>2292</v>
      </c>
      <c r="C1252" s="389">
        <v>679</v>
      </c>
      <c r="D1252" s="388">
        <f t="shared" ref="D1252:D1257" si="196">C1252*(1-VLOOKUP(I1252,descuentos,6,FALSE))*fcl/IF(dol_sol="dólar", TC,1)</f>
        <v>164.94619661194028</v>
      </c>
      <c r="E1252" s="386">
        <v>40</v>
      </c>
      <c r="F1252" s="582">
        <f t="shared" si="192"/>
        <v>204.95</v>
      </c>
      <c r="G1252" s="592" t="s">
        <v>2293</v>
      </c>
      <c r="H1252" s="592" t="s">
        <v>2294</v>
      </c>
      <c r="I1252" s="520" t="s">
        <v>11649</v>
      </c>
      <c r="J1252" s="421" t="s">
        <v>753</v>
      </c>
      <c r="K1252" s="520" t="s">
        <v>741</v>
      </c>
    </row>
    <row r="1253" spans="1:11" s="196" customFormat="1" ht="12" customHeight="1">
      <c r="A1253" s="421"/>
      <c r="B1253" s="629" t="s">
        <v>2295</v>
      </c>
      <c r="C1253" s="389">
        <v>629</v>
      </c>
      <c r="D1253" s="388">
        <f t="shared" si="196"/>
        <v>152.79993765671639</v>
      </c>
      <c r="E1253" s="386">
        <v>40</v>
      </c>
      <c r="F1253" s="582">
        <f t="shared" si="192"/>
        <v>192.79999999999998</v>
      </c>
      <c r="G1253" s="592" t="s">
        <v>2296</v>
      </c>
      <c r="H1253" s="592" t="s">
        <v>2297</v>
      </c>
      <c r="I1253" s="520" t="s">
        <v>11649</v>
      </c>
      <c r="J1253" s="421" t="s">
        <v>753</v>
      </c>
      <c r="K1253" s="520" t="s">
        <v>741</v>
      </c>
    </row>
    <row r="1254" spans="1:11" s="196" customFormat="1">
      <c r="A1254" s="421"/>
      <c r="B1254" s="631" t="s">
        <v>2298</v>
      </c>
      <c r="C1254" s="209">
        <v>119</v>
      </c>
      <c r="D1254" s="244">
        <f t="shared" si="196"/>
        <v>28.908096313432832</v>
      </c>
      <c r="E1254" s="228">
        <v>0</v>
      </c>
      <c r="F1254" s="585">
        <f t="shared" si="192"/>
        <v>28.91</v>
      </c>
      <c r="G1254" s="592" t="s">
        <v>2299</v>
      </c>
      <c r="H1254" s="592" t="s">
        <v>2300</v>
      </c>
      <c r="I1254" s="520" t="s">
        <v>11649</v>
      </c>
      <c r="J1254" s="421" t="s">
        <v>753</v>
      </c>
      <c r="K1254" s="520" t="s">
        <v>741</v>
      </c>
    </row>
    <row r="1255" spans="1:11" s="196" customFormat="1">
      <c r="A1255" s="421"/>
      <c r="B1255" s="629" t="s">
        <v>2301</v>
      </c>
      <c r="C1255" s="209">
        <v>119</v>
      </c>
      <c r="D1255" s="244">
        <f t="shared" si="196"/>
        <v>28.908096313432832</v>
      </c>
      <c r="E1255" s="228">
        <v>0</v>
      </c>
      <c r="F1255" s="585">
        <f t="shared" si="192"/>
        <v>28.91</v>
      </c>
      <c r="G1255" s="592" t="s">
        <v>2302</v>
      </c>
      <c r="H1255" s="592" t="s">
        <v>2303</v>
      </c>
      <c r="I1255" s="520" t="s">
        <v>11649</v>
      </c>
      <c r="J1255" s="421" t="s">
        <v>753</v>
      </c>
      <c r="K1255" s="520" t="s">
        <v>741</v>
      </c>
    </row>
    <row r="1256" spans="1:11" s="196" customFormat="1">
      <c r="A1256" s="421"/>
      <c r="B1256" s="631" t="s">
        <v>2304</v>
      </c>
      <c r="C1256" s="209">
        <v>119</v>
      </c>
      <c r="D1256" s="244">
        <f t="shared" si="196"/>
        <v>28.908096313432832</v>
      </c>
      <c r="E1256" s="228">
        <v>0</v>
      </c>
      <c r="F1256" s="585">
        <f t="shared" si="192"/>
        <v>28.91</v>
      </c>
      <c r="G1256" s="592" t="s">
        <v>2305</v>
      </c>
      <c r="H1256" s="592" t="s">
        <v>2306</v>
      </c>
      <c r="I1256" s="520" t="s">
        <v>11649</v>
      </c>
      <c r="J1256" s="421" t="s">
        <v>753</v>
      </c>
      <c r="K1256" s="520" t="s">
        <v>741</v>
      </c>
    </row>
    <row r="1257" spans="1:11" s="196" customFormat="1">
      <c r="A1257" s="421"/>
      <c r="B1257" s="629" t="s">
        <v>2307</v>
      </c>
      <c r="C1257" s="209">
        <v>119</v>
      </c>
      <c r="D1257" s="244">
        <f t="shared" si="196"/>
        <v>28.908096313432832</v>
      </c>
      <c r="E1257" s="228">
        <v>0</v>
      </c>
      <c r="F1257" s="585">
        <f t="shared" si="192"/>
        <v>28.91</v>
      </c>
      <c r="G1257" s="592" t="s">
        <v>2308</v>
      </c>
      <c r="H1257" s="592" t="s">
        <v>2309</v>
      </c>
      <c r="I1257" s="520" t="s">
        <v>11649</v>
      </c>
      <c r="J1257" s="421" t="s">
        <v>753</v>
      </c>
      <c r="K1257" s="520" t="s">
        <v>741</v>
      </c>
    </row>
    <row r="1258" spans="1:11" s="194" customFormat="1">
      <c r="A1258" s="421"/>
      <c r="B1258" s="592"/>
      <c r="C1258" s="209" t="s">
        <v>2058</v>
      </c>
      <c r="D1258" s="244"/>
      <c r="E1258" s="228"/>
      <c r="F1258" s="585">
        <f t="shared" si="192"/>
        <v>0</v>
      </c>
      <c r="G1258" s="592"/>
      <c r="H1258" s="592"/>
      <c r="I1258" s="520"/>
      <c r="J1258" s="421"/>
      <c r="K1258" s="520"/>
    </row>
    <row r="1259" spans="1:11" s="341" customFormat="1">
      <c r="A1259" s="421"/>
      <c r="B1259" s="592"/>
      <c r="C1259" s="209" t="s">
        <v>2058</v>
      </c>
      <c r="D1259" s="244"/>
      <c r="E1259" s="228"/>
      <c r="F1259" s="585"/>
      <c r="G1259" s="338"/>
      <c r="H1259" s="592"/>
      <c r="I1259" s="520"/>
      <c r="J1259" s="421"/>
      <c r="K1259" s="520"/>
    </row>
    <row r="1260" spans="1:11" s="341" customFormat="1">
      <c r="A1260" s="421"/>
      <c r="B1260" s="2265" t="s">
        <v>13529</v>
      </c>
      <c r="C1260" s="2266">
        <v>410</v>
      </c>
      <c r="D1260" s="244">
        <f t="shared" ref="D1260" si="197">C1260*(1-VLOOKUP(I1260,descuentos,6,FALSE))*fcl/IF(dol_sol="dólar", TC,1)</f>
        <v>99.599323432835817</v>
      </c>
      <c r="E1260" s="228">
        <v>6</v>
      </c>
      <c r="F1260" s="585">
        <f t="shared" ref="F1260:F1263" si="198">ROUNDUP(D1260+E1260,2)</f>
        <v>105.60000000000001</v>
      </c>
      <c r="G1260" s="592" t="s">
        <v>13530</v>
      </c>
      <c r="H1260" s="592" t="s">
        <v>13531</v>
      </c>
      <c r="I1260" s="520" t="s">
        <v>11649</v>
      </c>
      <c r="J1260" s="421" t="s">
        <v>753</v>
      </c>
      <c r="K1260" s="520" t="s">
        <v>741</v>
      </c>
    </row>
    <row r="1261" spans="1:11" s="341" customFormat="1">
      <c r="A1261" s="421"/>
      <c r="B1261" s="2265" t="s">
        <v>13532</v>
      </c>
      <c r="C1261" s="2266">
        <v>462</v>
      </c>
      <c r="D1261" s="244">
        <f>C1261*(1-VLOOKUP(I1261,descuentos,6,FALSE))*fcl/IF(dol_sol="dólar", TC,1)</f>
        <v>112.23143274626865</v>
      </c>
      <c r="E1261" s="228">
        <v>4</v>
      </c>
      <c r="F1261" s="585">
        <f t="shared" si="198"/>
        <v>116.24000000000001</v>
      </c>
      <c r="G1261" s="592" t="s">
        <v>13533</v>
      </c>
      <c r="H1261" s="592" t="s">
        <v>13534</v>
      </c>
      <c r="I1261" s="520" t="s">
        <v>11649</v>
      </c>
      <c r="J1261" s="421" t="s">
        <v>753</v>
      </c>
      <c r="K1261" s="520" t="s">
        <v>741</v>
      </c>
    </row>
    <row r="1262" spans="1:11" s="341" customFormat="1">
      <c r="A1262" s="421"/>
      <c r="B1262" s="2265" t="s">
        <v>13535</v>
      </c>
      <c r="C1262" s="2266">
        <v>499</v>
      </c>
      <c r="D1262" s="244">
        <f t="shared" ref="D1262" si="199">C1262*(1-VLOOKUP(I1262,descuentos,6,FALSE))*fcl/IF(dol_sol="dólar", TC,1)</f>
        <v>121.21966437313431</v>
      </c>
      <c r="E1262" s="228">
        <v>4</v>
      </c>
      <c r="F1262" s="585">
        <f t="shared" si="198"/>
        <v>125.22</v>
      </c>
      <c r="G1262" s="592" t="s">
        <v>13536</v>
      </c>
      <c r="H1262" s="592" t="s">
        <v>13537</v>
      </c>
      <c r="I1262" s="520" t="s">
        <v>11649</v>
      </c>
      <c r="J1262" s="421" t="s">
        <v>753</v>
      </c>
      <c r="K1262" s="520" t="s">
        <v>741</v>
      </c>
    </row>
    <row r="1263" spans="1:11" s="341" customFormat="1">
      <c r="A1263" s="421"/>
      <c r="B1263" s="2265" t="s">
        <v>13538</v>
      </c>
      <c r="C1263" s="2266">
        <v>482</v>
      </c>
      <c r="D1263" s="244">
        <f t="shared" ref="D1263" si="200">C1263*(1-VLOOKUP(I1263,descuentos,6,FALSE))*fcl/IF(dol_sol="dólar", TC,1)</f>
        <v>117.08993632835821</v>
      </c>
      <c r="E1263" s="228">
        <v>4</v>
      </c>
      <c r="F1263" s="585">
        <f t="shared" si="198"/>
        <v>121.09</v>
      </c>
      <c r="G1263" s="592" t="s">
        <v>13539</v>
      </c>
      <c r="H1263" s="592" t="s">
        <v>13540</v>
      </c>
      <c r="I1263" s="520" t="s">
        <v>11649</v>
      </c>
      <c r="J1263" s="421" t="s">
        <v>753</v>
      </c>
      <c r="K1263" s="520" t="s">
        <v>741</v>
      </c>
    </row>
    <row r="1264" spans="1:11" s="196" customFormat="1">
      <c r="A1264" s="421"/>
      <c r="B1264" s="592"/>
      <c r="C1264" s="209" t="s">
        <v>2058</v>
      </c>
      <c r="D1264" s="244"/>
      <c r="E1264" s="228"/>
      <c r="F1264" s="585">
        <f t="shared" si="192"/>
        <v>0</v>
      </c>
      <c r="G1264" s="592"/>
      <c r="H1264" s="592"/>
      <c r="I1264" s="520"/>
      <c r="J1264" s="421"/>
      <c r="K1264" s="520"/>
    </row>
    <row r="1265" spans="1:11" s="196" customFormat="1">
      <c r="A1265" s="421"/>
      <c r="B1265" s="592" t="s">
        <v>6807</v>
      </c>
      <c r="C1265" s="209">
        <v>1545</v>
      </c>
      <c r="D1265" s="244">
        <f>C1265*(1-VLOOKUP(I1265,descuentos,6,FALSE))*fcl/IF(dol_sol="dólar", TC,1)</f>
        <v>375.31940171641787</v>
      </c>
      <c r="E1265" s="228">
        <v>20</v>
      </c>
      <c r="F1265" s="585">
        <f t="shared" si="192"/>
        <v>395.32</v>
      </c>
      <c r="G1265" s="338" t="s">
        <v>6808</v>
      </c>
      <c r="H1265" s="592" t="s">
        <v>1735</v>
      </c>
      <c r="I1265" s="520" t="s">
        <v>11649</v>
      </c>
      <c r="J1265" s="421" t="s">
        <v>753</v>
      </c>
      <c r="K1265" s="520" t="s">
        <v>741</v>
      </c>
    </row>
    <row r="1266" spans="1:11" s="341" customFormat="1">
      <c r="A1266" s="421"/>
      <c r="B1266" s="592" t="s">
        <v>6809</v>
      </c>
      <c r="C1266" s="209">
        <v>2805</v>
      </c>
      <c r="D1266" s="244">
        <f>C1266*(1-VLOOKUP(I1266,descuentos,6,FALSE))*fcl/IF(dol_sol="dólar", TC,1)</f>
        <v>681.40512738805978</v>
      </c>
      <c r="E1266" s="228">
        <v>20</v>
      </c>
      <c r="F1266" s="585">
        <f t="shared" si="192"/>
        <v>701.41</v>
      </c>
      <c r="G1266" s="338" t="s">
        <v>6810</v>
      </c>
      <c r="H1266" s="592" t="s">
        <v>1736</v>
      </c>
      <c r="I1266" s="520" t="s">
        <v>11649</v>
      </c>
      <c r="J1266" s="421" t="s">
        <v>753</v>
      </c>
      <c r="K1266" s="520" t="s">
        <v>741</v>
      </c>
    </row>
    <row r="1267" spans="1:11" s="341" customFormat="1">
      <c r="A1267" s="421"/>
      <c r="B1267" s="592"/>
      <c r="C1267" s="209" t="s">
        <v>2058</v>
      </c>
      <c r="D1267" s="244"/>
      <c r="E1267" s="228"/>
      <c r="F1267" s="585"/>
      <c r="G1267" s="338"/>
      <c r="H1267" s="592"/>
      <c r="I1267" s="520"/>
      <c r="J1267" s="421"/>
      <c r="K1267" s="520"/>
    </row>
    <row r="1268" spans="1:11" s="106" customFormat="1">
      <c r="B1268" s="1114" t="s">
        <v>6811</v>
      </c>
      <c r="C1268" s="209">
        <v>2387</v>
      </c>
      <c r="D1268" s="244">
        <f>C1268*(1-VLOOKUP(I1268,descuentos,6,FALSE))*fcl/IF(dol_sol="dólar", TC,1)</f>
        <v>579.86240252238804</v>
      </c>
      <c r="E1268" s="228">
        <v>20</v>
      </c>
      <c r="F1268" s="585">
        <f>ROUNDUP(D1268+E1268,2)</f>
        <v>599.87</v>
      </c>
      <c r="G1268" s="338" t="s">
        <v>6812</v>
      </c>
      <c r="H1268" s="2015" t="s">
        <v>6813</v>
      </c>
      <c r="I1268" s="520" t="s">
        <v>11649</v>
      </c>
      <c r="J1268" s="589" t="s">
        <v>753</v>
      </c>
      <c r="K1268" s="520" t="s">
        <v>741</v>
      </c>
    </row>
    <row r="1269" spans="1:11" s="106" customFormat="1">
      <c r="B1269" s="1114" t="s">
        <v>6814</v>
      </c>
      <c r="C1269" s="209">
        <v>3742</v>
      </c>
      <c r="D1269" s="244">
        <f>C1269*(1-VLOOKUP(I1269,descuentos,6,FALSE))*fcl/IF(dol_sol="dólar", TC,1)</f>
        <v>909.02602020895517</v>
      </c>
      <c r="E1269" s="228">
        <v>20</v>
      </c>
      <c r="F1269" s="585">
        <f>ROUNDUP(D1269+E1269,2)</f>
        <v>929.03</v>
      </c>
      <c r="G1269" s="338" t="s">
        <v>6815</v>
      </c>
      <c r="H1269" s="2015" t="s">
        <v>6816</v>
      </c>
      <c r="I1269" s="520" t="s">
        <v>11649</v>
      </c>
      <c r="J1269" s="589" t="s">
        <v>753</v>
      </c>
      <c r="K1269" s="520" t="s">
        <v>741</v>
      </c>
    </row>
    <row r="1270" spans="1:11" s="196" customFormat="1">
      <c r="A1270" s="421"/>
      <c r="B1270" s="592"/>
      <c r="C1270" s="209" t="s">
        <v>2058</v>
      </c>
      <c r="D1270" s="244"/>
      <c r="E1270" s="228"/>
      <c r="F1270" s="585"/>
      <c r="G1270" s="592"/>
      <c r="H1270" s="592"/>
      <c r="I1270" s="520"/>
      <c r="J1270" s="421"/>
      <c r="K1270" s="520"/>
    </row>
    <row r="1271" spans="1:11" s="341" customFormat="1">
      <c r="A1271" s="421"/>
      <c r="B1271" s="592"/>
      <c r="C1271" s="209" t="s">
        <v>2058</v>
      </c>
      <c r="D1271" s="244"/>
      <c r="E1271" s="228"/>
      <c r="F1271" s="585"/>
      <c r="G1271" s="338"/>
      <c r="H1271" s="592"/>
      <c r="I1271" s="520"/>
      <c r="J1271" s="421"/>
      <c r="K1271" s="520"/>
    </row>
    <row r="1272" spans="1:11" s="341" customFormat="1">
      <c r="A1272" s="1734"/>
      <c r="B1272" s="592" t="s">
        <v>5595</v>
      </c>
      <c r="C1272" s="209">
        <v>272</v>
      </c>
      <c r="D1272" s="388">
        <f>C1272*(1-VLOOKUP(I1272,descuentos,6,FALSE))*fcl/IF(dol_sol="dólar", TC,1)</f>
        <v>66.075648716417888</v>
      </c>
      <c r="E1272" s="626">
        <v>15</v>
      </c>
      <c r="F1272" s="582">
        <f>ROUNDUP(D1272+E1272,2)</f>
        <v>81.08</v>
      </c>
      <c r="G1272" s="338" t="s">
        <v>6817</v>
      </c>
      <c r="H1272" s="592" t="s">
        <v>5596</v>
      </c>
      <c r="I1272" s="520" t="s">
        <v>11649</v>
      </c>
      <c r="J1272" s="421" t="s">
        <v>753</v>
      </c>
      <c r="K1272" s="520" t="s">
        <v>741</v>
      </c>
    </row>
    <row r="1273" spans="1:11" s="341" customFormat="1">
      <c r="A1273" s="1734"/>
      <c r="B1273" s="592" t="s">
        <v>5597</v>
      </c>
      <c r="C1273" s="209">
        <v>272</v>
      </c>
      <c r="D1273" s="388">
        <f>C1273*(1-VLOOKUP(I1273,descuentos,6,FALSE))*fcl/IF(dol_sol="dólar", TC,1)</f>
        <v>66.075648716417888</v>
      </c>
      <c r="E1273" s="626">
        <v>20</v>
      </c>
      <c r="F1273" s="582">
        <f>ROUNDUP(D1273+E1273,2)</f>
        <v>86.08</v>
      </c>
      <c r="G1273" s="338" t="s">
        <v>6818</v>
      </c>
      <c r="H1273" s="592" t="s">
        <v>5598</v>
      </c>
      <c r="I1273" s="520" t="s">
        <v>11649</v>
      </c>
      <c r="J1273" s="421" t="s">
        <v>753</v>
      </c>
      <c r="K1273" s="520" t="s">
        <v>741</v>
      </c>
    </row>
    <row r="1274" spans="1:11" s="106" customFormat="1">
      <c r="C1274" s="106" t="s">
        <v>2058</v>
      </c>
      <c r="H1274" s="724"/>
    </row>
    <row r="1275" spans="1:11" s="341" customFormat="1">
      <c r="A1275" s="1734"/>
      <c r="B1275" s="592" t="s">
        <v>6819</v>
      </c>
      <c r="C1275" s="209">
        <v>64</v>
      </c>
      <c r="D1275" s="388">
        <f>C1275*(1-VLOOKUP(I1275,descuentos,6,FALSE))*fcl/IF(dol_sol="dólar", TC,1)</f>
        <v>15.547211462686565</v>
      </c>
      <c r="E1275" s="626">
        <v>6</v>
      </c>
      <c r="F1275" s="582">
        <f>ROUNDUP(D1275+E1275,2)</f>
        <v>21.55</v>
      </c>
      <c r="G1275" s="338" t="s">
        <v>6820</v>
      </c>
      <c r="H1275" s="592" t="s">
        <v>6821</v>
      </c>
      <c r="I1275" s="520" t="s">
        <v>11649</v>
      </c>
      <c r="J1275" s="421" t="s">
        <v>753</v>
      </c>
      <c r="K1275" s="520" t="s">
        <v>741</v>
      </c>
    </row>
    <row r="1276" spans="1:11" s="341" customFormat="1">
      <c r="A1276" s="421"/>
      <c r="B1276" s="592"/>
      <c r="C1276" s="209" t="s">
        <v>2058</v>
      </c>
      <c r="D1276" s="244"/>
      <c r="E1276" s="228"/>
      <c r="F1276" s="585"/>
      <c r="G1276" s="338"/>
      <c r="H1276" s="592"/>
      <c r="I1276" s="520"/>
      <c r="J1276" s="421"/>
      <c r="K1276" s="520"/>
    </row>
    <row r="1277" spans="1:11" s="196" customFormat="1">
      <c r="A1277" s="1740"/>
      <c r="B1277" s="643" t="s">
        <v>9176</v>
      </c>
      <c r="C1277" s="637">
        <v>56</v>
      </c>
      <c r="D1277" s="243">
        <f>C1277*(1-VLOOKUP(I1277,descuentos,6,FALSE))*fcl/IF(dol_sol="dólar", TC,1)</f>
        <v>13.603810029850745</v>
      </c>
      <c r="E1277" s="228">
        <v>4</v>
      </c>
      <c r="F1277" s="585">
        <f>ROUNDUP(D1277+E1277,2)</f>
        <v>17.610000000000003</v>
      </c>
      <c r="G1277" s="592" t="s">
        <v>9177</v>
      </c>
      <c r="H1277" s="2019" t="s">
        <v>9178</v>
      </c>
      <c r="I1277" s="639" t="s">
        <v>11649</v>
      </c>
      <c r="J1277" s="635" t="s">
        <v>753</v>
      </c>
      <c r="K1277" s="639" t="s">
        <v>741</v>
      </c>
    </row>
    <row r="1278" spans="1:11" s="196" customFormat="1">
      <c r="A1278" s="1740"/>
      <c r="B1278" s="643" t="s">
        <v>6822</v>
      </c>
      <c r="C1278" s="637">
        <v>85</v>
      </c>
      <c r="D1278" s="243">
        <f>C1278*(1-VLOOKUP(I1278,descuentos,6,FALSE))*fcl/IF(dol_sol="dólar", TC,1)</f>
        <v>20.648640223880591</v>
      </c>
      <c r="E1278" s="228">
        <v>4</v>
      </c>
      <c r="F1278" s="585">
        <f>ROUNDUP(D1278+E1278,2)</f>
        <v>24.650000000000002</v>
      </c>
      <c r="G1278" s="592" t="s">
        <v>6823</v>
      </c>
      <c r="H1278" s="643" t="s">
        <v>6824</v>
      </c>
      <c r="I1278" s="639" t="s">
        <v>11649</v>
      </c>
      <c r="J1278" s="635" t="s">
        <v>753</v>
      </c>
      <c r="K1278" s="639" t="s">
        <v>741</v>
      </c>
    </row>
    <row r="1279" spans="1:11" s="196" customFormat="1">
      <c r="A1279" s="1740"/>
      <c r="B1279" s="643" t="s">
        <v>6825</v>
      </c>
      <c r="C1279" s="637">
        <v>85</v>
      </c>
      <c r="D1279" s="243">
        <f>C1279*(1-VLOOKUP(I1279,descuentos,6,FALSE))*fcl/IF(dol_sol="dólar", TC,1)</f>
        <v>20.648640223880591</v>
      </c>
      <c r="E1279" s="228">
        <v>4</v>
      </c>
      <c r="F1279" s="585">
        <f>ROUNDUP(D1279+E1279,2)</f>
        <v>24.650000000000002</v>
      </c>
      <c r="G1279" s="592" t="s">
        <v>6826</v>
      </c>
      <c r="H1279" s="2019" t="s">
        <v>6827</v>
      </c>
      <c r="I1279" s="639" t="s">
        <v>11649</v>
      </c>
      <c r="J1279" s="635" t="s">
        <v>753</v>
      </c>
      <c r="K1279" s="639" t="s">
        <v>741</v>
      </c>
    </row>
    <row r="1280" spans="1:11" s="341" customFormat="1">
      <c r="A1280" s="421"/>
      <c r="B1280" s="592"/>
      <c r="C1280" s="209" t="s">
        <v>2058</v>
      </c>
      <c r="D1280" s="244"/>
      <c r="E1280" s="228"/>
      <c r="F1280" s="585"/>
      <c r="G1280" s="338"/>
      <c r="H1280" s="592"/>
      <c r="I1280" s="520"/>
      <c r="J1280" s="421"/>
      <c r="K1280" s="520"/>
    </row>
    <row r="1281" spans="1:11" s="196" customFormat="1">
      <c r="A1281" s="1740"/>
      <c r="B1281" s="643" t="s">
        <v>9179</v>
      </c>
      <c r="C1281" s="637">
        <v>84</v>
      </c>
      <c r="D1281" s="243">
        <f>C1281*(1-VLOOKUP(I1281,descuentos,6,FALSE))*fcl/IF(dol_sol="dólar", TC,1)</f>
        <v>20.405715044776116</v>
      </c>
      <c r="E1281" s="228">
        <v>8</v>
      </c>
      <c r="F1281" s="585">
        <f>ROUNDUP(D1281+E1281,2)</f>
        <v>28.41</v>
      </c>
      <c r="G1281" s="592" t="s">
        <v>9180</v>
      </c>
      <c r="H1281" s="643" t="s">
        <v>9181</v>
      </c>
      <c r="I1281" s="639" t="s">
        <v>11649</v>
      </c>
      <c r="J1281" s="635" t="s">
        <v>753</v>
      </c>
      <c r="K1281" s="639" t="s">
        <v>741</v>
      </c>
    </row>
    <row r="1282" spans="1:11" s="196" customFormat="1">
      <c r="A1282" s="1740"/>
      <c r="B1282" s="643" t="s">
        <v>9182</v>
      </c>
      <c r="C1282" s="637">
        <v>84</v>
      </c>
      <c r="D1282" s="243">
        <f>C1282*(1-VLOOKUP(I1282,descuentos,6,FALSE))*fcl/IF(dol_sol="dólar", TC,1)</f>
        <v>20.405715044776116</v>
      </c>
      <c r="E1282" s="228">
        <v>8</v>
      </c>
      <c r="F1282" s="585">
        <f>ROUNDUP(D1282+E1282,2)</f>
        <v>28.41</v>
      </c>
      <c r="G1282" s="592" t="s">
        <v>9183</v>
      </c>
      <c r="H1282" s="643" t="s">
        <v>9184</v>
      </c>
      <c r="I1282" s="639" t="s">
        <v>11649</v>
      </c>
      <c r="J1282" s="635" t="s">
        <v>753</v>
      </c>
      <c r="K1282" s="639" t="s">
        <v>741</v>
      </c>
    </row>
    <row r="1283" spans="1:11" s="341" customFormat="1">
      <c r="A1283" s="421"/>
      <c r="B1283" s="592"/>
      <c r="C1283" s="209" t="s">
        <v>2058</v>
      </c>
      <c r="D1283" s="244"/>
      <c r="E1283" s="228"/>
      <c r="F1283" s="585"/>
      <c r="G1283" s="338"/>
      <c r="H1283" s="592"/>
      <c r="I1283" s="520"/>
      <c r="J1283" s="421"/>
      <c r="K1283" s="520"/>
    </row>
    <row r="1284" spans="1:11" s="196" customFormat="1">
      <c r="A1284" s="1740"/>
      <c r="B1284" s="643" t="s">
        <v>6829</v>
      </c>
      <c r="C1284" s="637">
        <v>1034</v>
      </c>
      <c r="D1284" s="243">
        <f>C1284*(1-VLOOKUP(I1284,descuentos,6,FALSE))*fcl/IF(dol_sol="dólar", TC,1)</f>
        <v>251.18463519402982</v>
      </c>
      <c r="E1284" s="228">
        <v>10</v>
      </c>
      <c r="F1284" s="585">
        <f>ROUNDUP(D1284+E1284,2)</f>
        <v>261.19</v>
      </c>
      <c r="G1284" s="592" t="s">
        <v>6830</v>
      </c>
      <c r="H1284" s="643" t="s">
        <v>6831</v>
      </c>
      <c r="I1284" s="639" t="s">
        <v>11649</v>
      </c>
      <c r="J1284" s="635" t="s">
        <v>753</v>
      </c>
      <c r="K1284" s="639" t="s">
        <v>741</v>
      </c>
    </row>
    <row r="1285" spans="1:11" s="341" customFormat="1">
      <c r="A1285" s="421"/>
      <c r="B1285" s="592"/>
      <c r="C1285" s="209" t="s">
        <v>2058</v>
      </c>
      <c r="D1285" s="244"/>
      <c r="E1285" s="228"/>
      <c r="F1285" s="585"/>
      <c r="G1285" s="338"/>
      <c r="H1285" s="592"/>
      <c r="I1285" s="520"/>
      <c r="J1285" s="421"/>
      <c r="K1285" s="520"/>
    </row>
    <row r="1286" spans="1:11" s="341" customFormat="1" ht="12" customHeight="1">
      <c r="A1286" s="421"/>
      <c r="B1286" s="592" t="s">
        <v>6832</v>
      </c>
      <c r="C1286" s="209">
        <v>192</v>
      </c>
      <c r="D1286" s="388">
        <f>C1286*(1-VLOOKUP(I1286,descuentos,6,FALSE))*fcl/IF(dol_sol="dólar", TC,1)</f>
        <v>46.641634388059693</v>
      </c>
      <c r="E1286" s="626">
        <v>6</v>
      </c>
      <c r="F1286" s="582">
        <f>ROUNDUP(D1286+E1286,2)</f>
        <v>52.65</v>
      </c>
      <c r="G1286" s="338" t="s">
        <v>6833</v>
      </c>
      <c r="H1286" s="592" t="s">
        <v>6834</v>
      </c>
      <c r="I1286" s="520" t="s">
        <v>11649</v>
      </c>
      <c r="J1286" s="421" t="s">
        <v>753</v>
      </c>
      <c r="K1286" s="520" t="s">
        <v>741</v>
      </c>
    </row>
    <row r="1287" spans="1:11" s="341" customFormat="1" ht="12" customHeight="1">
      <c r="A1287" s="421"/>
      <c r="B1287" s="592" t="s">
        <v>6835</v>
      </c>
      <c r="C1287" s="209">
        <v>192</v>
      </c>
      <c r="D1287" s="388">
        <f>C1287*(1-VLOOKUP(I1287,descuentos,6,FALSE))*fcl/IF(dol_sol="dólar", TC,1)</f>
        <v>46.641634388059693</v>
      </c>
      <c r="E1287" s="626">
        <v>6</v>
      </c>
      <c r="F1287" s="582">
        <f>ROUNDUP(D1287+E1287,2)</f>
        <v>52.65</v>
      </c>
      <c r="G1287" s="338" t="s">
        <v>6836</v>
      </c>
      <c r="H1287" s="592" t="s">
        <v>6837</v>
      </c>
      <c r="I1287" s="520" t="s">
        <v>11649</v>
      </c>
      <c r="J1287" s="421" t="s">
        <v>753</v>
      </c>
      <c r="K1287" s="520" t="s">
        <v>741</v>
      </c>
    </row>
    <row r="1288" spans="1:11" s="341" customFormat="1">
      <c r="A1288" s="421"/>
      <c r="B1288" s="592"/>
      <c r="C1288" s="209" t="s">
        <v>2058</v>
      </c>
      <c r="D1288" s="244"/>
      <c r="E1288" s="228"/>
      <c r="F1288" s="585"/>
      <c r="G1288" s="338"/>
      <c r="H1288" s="592"/>
      <c r="I1288" s="520"/>
      <c r="J1288" s="421"/>
      <c r="K1288" s="520"/>
    </row>
    <row r="1289" spans="1:11" s="341" customFormat="1">
      <c r="A1289" s="421"/>
      <c r="B1289" s="592"/>
      <c r="C1289" s="209" t="s">
        <v>2058</v>
      </c>
      <c r="D1289" s="244"/>
      <c r="E1289" s="228"/>
      <c r="F1289" s="585"/>
      <c r="G1289" s="338"/>
      <c r="H1289" s="2020"/>
      <c r="I1289" s="1968"/>
      <c r="J1289" s="421"/>
      <c r="K1289" s="520"/>
    </row>
    <row r="1290" spans="1:11" s="341" customFormat="1">
      <c r="A1290" s="421"/>
      <c r="B1290" s="338"/>
      <c r="C1290" s="209" t="s">
        <v>2058</v>
      </c>
      <c r="D1290" s="244"/>
      <c r="E1290" s="228"/>
      <c r="F1290" s="585"/>
      <c r="G1290" s="338"/>
      <c r="H1290" s="2020"/>
      <c r="I1290" s="1968"/>
      <c r="J1290" s="421"/>
      <c r="K1290" s="520"/>
    </row>
    <row r="1291" spans="1:11" s="341" customFormat="1">
      <c r="A1291" s="421"/>
      <c r="B1291" s="247"/>
      <c r="C1291" s="209" t="s">
        <v>2058</v>
      </c>
      <c r="D1291" s="244"/>
      <c r="E1291" s="228"/>
      <c r="F1291" s="585"/>
      <c r="G1291" s="338"/>
      <c r="H1291" s="592"/>
      <c r="I1291" s="520"/>
      <c r="J1291" s="421"/>
      <c r="K1291" s="520"/>
    </row>
    <row r="1292" spans="1:11" s="341" customFormat="1">
      <c r="A1292" s="421"/>
      <c r="B1292" s="245" t="s">
        <v>9959</v>
      </c>
      <c r="C1292" s="209">
        <v>1182</v>
      </c>
      <c r="D1292" s="244">
        <f>C1292*(1-VLOOKUP(I1292,descuentos,6,FALSE))*fcl/IF(dol_sol="dólar", TC,1)</f>
        <v>287.13756170149247</v>
      </c>
      <c r="E1292" s="228">
        <v>20</v>
      </c>
      <c r="F1292" s="585">
        <f>ROUNDUP(D1292+E1292,2)</f>
        <v>307.14</v>
      </c>
      <c r="G1292" s="338" t="s">
        <v>9960</v>
      </c>
      <c r="H1292" s="592" t="s">
        <v>9961</v>
      </c>
      <c r="I1292" s="520" t="s">
        <v>11649</v>
      </c>
      <c r="J1292" s="421" t="s">
        <v>753</v>
      </c>
      <c r="K1292" s="520" t="s">
        <v>741</v>
      </c>
    </row>
    <row r="1293" spans="1:11" s="341" customFormat="1">
      <c r="A1293" s="421"/>
      <c r="B1293" s="245" t="s">
        <v>9962</v>
      </c>
      <c r="C1293" s="209">
        <v>1182</v>
      </c>
      <c r="D1293" s="244">
        <f>C1293*(1-VLOOKUP(I1293,descuentos,6,FALSE))*fcl/IF(dol_sol="dólar", TC,1)</f>
        <v>287.13756170149247</v>
      </c>
      <c r="E1293" s="228">
        <v>20</v>
      </c>
      <c r="F1293" s="585">
        <f>ROUNDUP(D1293+E1293,2)</f>
        <v>307.14</v>
      </c>
      <c r="G1293" s="338" t="s">
        <v>9963</v>
      </c>
      <c r="H1293" s="592" t="s">
        <v>9964</v>
      </c>
      <c r="I1293" s="520" t="s">
        <v>11649</v>
      </c>
      <c r="J1293" s="421" t="s">
        <v>753</v>
      </c>
      <c r="K1293" s="520" t="s">
        <v>741</v>
      </c>
    </row>
    <row r="1294" spans="1:11" s="341" customFormat="1">
      <c r="A1294" s="421"/>
      <c r="B1294" s="245" t="s">
        <v>6838</v>
      </c>
      <c r="C1294" s="209">
        <v>1252</v>
      </c>
      <c r="D1294" s="244">
        <f>C1294*(1-VLOOKUP(I1294,descuentos,6,FALSE))*fcl/IF(dol_sol="dólar", TC,1)</f>
        <v>304.14232423880594</v>
      </c>
      <c r="E1294" s="228">
        <v>20</v>
      </c>
      <c r="F1294" s="585">
        <f>ROUNDUP(D1294+E1294,2)</f>
        <v>324.14999999999998</v>
      </c>
      <c r="G1294" s="338" t="s">
        <v>9965</v>
      </c>
      <c r="H1294" s="592" t="s">
        <v>6839</v>
      </c>
      <c r="I1294" s="520" t="s">
        <v>11649</v>
      </c>
      <c r="J1294" s="421" t="s">
        <v>753</v>
      </c>
      <c r="K1294" s="520" t="s">
        <v>741</v>
      </c>
    </row>
    <row r="1295" spans="1:11" s="341" customFormat="1">
      <c r="A1295" s="421"/>
      <c r="B1295" s="245"/>
      <c r="C1295" s="209" t="s">
        <v>2058</v>
      </c>
      <c r="D1295" s="244"/>
      <c r="E1295" s="228"/>
      <c r="F1295" s="585"/>
      <c r="G1295" s="338"/>
      <c r="H1295" s="592"/>
      <c r="I1295" s="520"/>
      <c r="J1295" s="421"/>
      <c r="K1295" s="520"/>
    </row>
    <row r="1296" spans="1:11" s="341" customFormat="1">
      <c r="A1296" s="421"/>
      <c r="B1296" s="917" t="s">
        <v>6840</v>
      </c>
      <c r="C1296" s="389">
        <v>1536</v>
      </c>
      <c r="D1296" s="388">
        <f>C1296*(1-VLOOKUP(I1296,descuentos,6,FALSE))*fcl/IF(dol_sol="dólar", TC,1)</f>
        <v>373.13307510447754</v>
      </c>
      <c r="E1296" s="386">
        <v>30</v>
      </c>
      <c r="F1296" s="582">
        <f>ROUNDUP(D1296+E1296,2)</f>
        <v>403.14</v>
      </c>
      <c r="G1296" s="394" t="s">
        <v>9966</v>
      </c>
      <c r="H1296" s="592" t="s">
        <v>6841</v>
      </c>
      <c r="I1296" s="520" t="s">
        <v>11649</v>
      </c>
      <c r="J1296" s="421" t="s">
        <v>753</v>
      </c>
      <c r="K1296" s="520" t="s">
        <v>741</v>
      </c>
    </row>
    <row r="1297" spans="1:11" s="341" customFormat="1">
      <c r="A1297" s="421"/>
      <c r="B1297" s="917" t="s">
        <v>6842</v>
      </c>
      <c r="C1297" s="389">
        <v>1536</v>
      </c>
      <c r="D1297" s="388">
        <f>C1297*(1-VLOOKUP(I1297,descuentos,6,FALSE))*fcl/IF(dol_sol="dólar", TC,1)</f>
        <v>373.13307510447754</v>
      </c>
      <c r="E1297" s="386">
        <v>30</v>
      </c>
      <c r="F1297" s="582">
        <f>ROUNDUP(D1297+E1297,2)</f>
        <v>403.14</v>
      </c>
      <c r="G1297" s="394" t="s">
        <v>9967</v>
      </c>
      <c r="H1297" s="592" t="s">
        <v>6843</v>
      </c>
      <c r="I1297" s="520" t="s">
        <v>11649</v>
      </c>
      <c r="J1297" s="421" t="s">
        <v>753</v>
      </c>
      <c r="K1297" s="520" t="s">
        <v>741</v>
      </c>
    </row>
    <row r="1298" spans="1:11" s="341" customFormat="1">
      <c r="A1298" s="421"/>
      <c r="B1298" s="917" t="s">
        <v>6844</v>
      </c>
      <c r="C1298" s="389">
        <v>1628</v>
      </c>
      <c r="D1298" s="388">
        <f>C1298*(1-VLOOKUP(I1298,descuentos,6,FALSE))*fcl/IF(dol_sol="dólar", TC,1)</f>
        <v>395.48219158208951</v>
      </c>
      <c r="E1298" s="386">
        <v>30</v>
      </c>
      <c r="F1298" s="582">
        <f>ROUNDUP(D1298+E1298,2)</f>
        <v>425.49</v>
      </c>
      <c r="G1298" s="394" t="s">
        <v>9968</v>
      </c>
      <c r="H1298" s="592" t="s">
        <v>6845</v>
      </c>
      <c r="I1298" s="520" t="s">
        <v>11649</v>
      </c>
      <c r="J1298" s="421" t="s">
        <v>753</v>
      </c>
      <c r="K1298" s="520" t="s">
        <v>741</v>
      </c>
    </row>
    <row r="1299" spans="1:11" s="341" customFormat="1">
      <c r="A1299" s="421"/>
      <c r="B1299" s="245"/>
      <c r="C1299" s="209" t="s">
        <v>2058</v>
      </c>
      <c r="D1299" s="244"/>
      <c r="E1299" s="228"/>
      <c r="F1299" s="585"/>
      <c r="G1299" s="338"/>
      <c r="H1299" s="592"/>
      <c r="I1299" s="520"/>
      <c r="J1299" s="421"/>
      <c r="K1299" s="520"/>
    </row>
    <row r="1300" spans="1:11" s="341" customFormat="1">
      <c r="A1300" s="421"/>
      <c r="B1300" s="245" t="s">
        <v>5103</v>
      </c>
      <c r="C1300" s="209">
        <v>2270</v>
      </c>
      <c r="D1300" s="244">
        <f>C1300*(1-VLOOKUP(I1300,descuentos,6,FALSE))*fcl/IF(dol_sol="dólar", TC,1)</f>
        <v>551.44015656716419</v>
      </c>
      <c r="E1300" s="228">
        <f>D1300/8</f>
        <v>68.930019570895524</v>
      </c>
      <c r="F1300" s="585">
        <f>ROUNDUP(D1300+E1300,2)</f>
        <v>620.38</v>
      </c>
      <c r="G1300" s="338" t="s">
        <v>5104</v>
      </c>
      <c r="H1300" s="592" t="s">
        <v>5105</v>
      </c>
      <c r="I1300" s="520" t="s">
        <v>11649</v>
      </c>
      <c r="J1300" s="421" t="s">
        <v>753</v>
      </c>
      <c r="K1300" s="520" t="s">
        <v>741</v>
      </c>
    </row>
    <row r="1301" spans="1:11" s="341" customFormat="1">
      <c r="A1301" s="421"/>
      <c r="B1301" s="245" t="s">
        <v>5106</v>
      </c>
      <c r="C1301" s="209">
        <v>2270</v>
      </c>
      <c r="D1301" s="244">
        <f>C1301*(1-VLOOKUP(I1301,descuentos,6,FALSE))*fcl/IF(dol_sol="dólar", TC,1)</f>
        <v>551.44015656716419</v>
      </c>
      <c r="E1301" s="228">
        <f>D1301/8</f>
        <v>68.930019570895524</v>
      </c>
      <c r="F1301" s="585">
        <f>ROUNDUP(D1301+E1301,2)</f>
        <v>620.38</v>
      </c>
      <c r="G1301" s="338" t="s">
        <v>5107</v>
      </c>
      <c r="H1301" s="592" t="s">
        <v>5108</v>
      </c>
      <c r="I1301" s="520" t="s">
        <v>11649</v>
      </c>
      <c r="J1301" s="421" t="s">
        <v>753</v>
      </c>
      <c r="K1301" s="520" t="s">
        <v>741</v>
      </c>
    </row>
    <row r="1302" spans="1:11" s="341" customFormat="1">
      <c r="A1302" s="421"/>
      <c r="B1302" s="245" t="s">
        <v>3449</v>
      </c>
      <c r="C1302" s="209">
        <v>2510</v>
      </c>
      <c r="D1302" s="244">
        <f>C1302*(1-VLOOKUP(I1302,descuentos,6,FALSE))*fcl/IF(dol_sol="dólar", TC,1)</f>
        <v>609.74219955223873</v>
      </c>
      <c r="E1302" s="228">
        <f>D1302/8</f>
        <v>76.217774944029841</v>
      </c>
      <c r="F1302" s="585">
        <f>ROUNDUP(D1302+E1302,2)</f>
        <v>685.96</v>
      </c>
      <c r="G1302" s="338" t="s">
        <v>4760</v>
      </c>
      <c r="H1302" s="592" t="s">
        <v>3450</v>
      </c>
      <c r="I1302" s="520" t="s">
        <v>11649</v>
      </c>
      <c r="J1302" s="421" t="s">
        <v>753</v>
      </c>
      <c r="K1302" s="520" t="s">
        <v>741</v>
      </c>
    </row>
    <row r="1303" spans="1:11" s="341" customFormat="1">
      <c r="A1303" s="421"/>
      <c r="B1303" s="245"/>
      <c r="C1303" s="209" t="s">
        <v>2058</v>
      </c>
      <c r="D1303" s="244"/>
      <c r="E1303" s="228"/>
      <c r="F1303" s="585"/>
      <c r="G1303" s="338"/>
      <c r="H1303" s="592"/>
      <c r="I1303" s="520"/>
      <c r="J1303" s="421"/>
      <c r="K1303" s="520"/>
    </row>
    <row r="1304" spans="1:11" s="341" customFormat="1">
      <c r="A1304" s="421"/>
      <c r="B1304" s="245" t="s">
        <v>5109</v>
      </c>
      <c r="C1304" s="209">
        <v>2476</v>
      </c>
      <c r="D1304" s="244">
        <f>C1304*(1-VLOOKUP(I1304,descuentos,6,FALSE))*fcl/IF(dol_sol="dólar", TC,1)</f>
        <v>601.48274346268647</v>
      </c>
      <c r="E1304" s="228">
        <f>D1304/8</f>
        <v>75.185342932835809</v>
      </c>
      <c r="F1304" s="585">
        <f>ROUNDUP(D1304+E1304,2)</f>
        <v>676.67</v>
      </c>
      <c r="G1304" s="338" t="s">
        <v>5110</v>
      </c>
      <c r="H1304" s="592" t="s">
        <v>5111</v>
      </c>
      <c r="I1304" s="520" t="s">
        <v>11649</v>
      </c>
      <c r="J1304" s="421" t="s">
        <v>753</v>
      </c>
      <c r="K1304" s="520" t="s">
        <v>741</v>
      </c>
    </row>
    <row r="1305" spans="1:11" s="341" customFormat="1">
      <c r="A1305" s="421"/>
      <c r="B1305" s="245" t="s">
        <v>5112</v>
      </c>
      <c r="C1305" s="209">
        <v>2476</v>
      </c>
      <c r="D1305" s="244">
        <f>C1305*(1-VLOOKUP(I1305,descuentos,6,FALSE))*fcl/IF(dol_sol="dólar", TC,1)</f>
        <v>601.48274346268647</v>
      </c>
      <c r="E1305" s="228">
        <f>D1305/8</f>
        <v>75.185342932835809</v>
      </c>
      <c r="F1305" s="585">
        <f>ROUNDUP(D1305+E1305,2)</f>
        <v>676.67</v>
      </c>
      <c r="G1305" s="338" t="s">
        <v>5113</v>
      </c>
      <c r="H1305" s="592" t="s">
        <v>5114</v>
      </c>
      <c r="I1305" s="520" t="s">
        <v>11649</v>
      </c>
      <c r="J1305" s="421" t="s">
        <v>753</v>
      </c>
      <c r="K1305" s="520" t="s">
        <v>741</v>
      </c>
    </row>
    <row r="1306" spans="1:11" s="341" customFormat="1">
      <c r="A1306" s="421"/>
      <c r="B1306" s="245" t="s">
        <v>3451</v>
      </c>
      <c r="C1306" s="209">
        <v>2935</v>
      </c>
      <c r="D1306" s="244">
        <f>C1306*(1-VLOOKUP(I1306,descuentos,6,FALSE))*fcl/IF(dol_sol="dólar", TC,1)</f>
        <v>712.98540067164163</v>
      </c>
      <c r="E1306" s="228">
        <f>D1306/8</f>
        <v>89.123175083955203</v>
      </c>
      <c r="F1306" s="585">
        <f>ROUNDUP(D1306+E1306,2)</f>
        <v>802.11</v>
      </c>
      <c r="G1306" s="338" t="s">
        <v>4761</v>
      </c>
      <c r="H1306" s="592" t="s">
        <v>3452</v>
      </c>
      <c r="I1306" s="520" t="s">
        <v>11649</v>
      </c>
      <c r="J1306" s="421" t="s">
        <v>753</v>
      </c>
      <c r="K1306" s="520" t="s">
        <v>741</v>
      </c>
    </row>
    <row r="1307" spans="1:11" s="341" customFormat="1">
      <c r="A1307" s="421"/>
      <c r="B1307" s="245"/>
      <c r="C1307" s="209" t="s">
        <v>2058</v>
      </c>
      <c r="D1307" s="244"/>
      <c r="E1307" s="228"/>
      <c r="F1307" s="585"/>
      <c r="G1307" s="338"/>
      <c r="H1307" s="592"/>
      <c r="I1307" s="520"/>
      <c r="J1307" s="421"/>
      <c r="K1307" s="520"/>
    </row>
    <row r="1308" spans="1:11" s="341" customFormat="1">
      <c r="A1308" s="421"/>
      <c r="B1308" s="245" t="s">
        <v>13019</v>
      </c>
      <c r="C1308" s="209">
        <v>2695</v>
      </c>
      <c r="D1308" s="244">
        <f>C1308*(1-VLOOKUP(I1308,descuentos,6,FALSE))*fcl/IF(dol_sol="dólar", TC,1)</f>
        <v>654.68335768656709</v>
      </c>
      <c r="E1308" s="228">
        <f>D1308/8</f>
        <v>81.835419710820887</v>
      </c>
      <c r="F1308" s="585">
        <f>ROUNDUP(D1308+E1308,2)</f>
        <v>736.52</v>
      </c>
      <c r="G1308" s="338" t="s">
        <v>13020</v>
      </c>
      <c r="H1308" s="592" t="s">
        <v>13021</v>
      </c>
      <c r="I1308" s="520" t="s">
        <v>11649</v>
      </c>
      <c r="J1308" s="421" t="s">
        <v>753</v>
      </c>
      <c r="K1308" s="520" t="s">
        <v>741</v>
      </c>
    </row>
    <row r="1309" spans="1:11" s="341" customFormat="1">
      <c r="A1309" s="421"/>
      <c r="B1309" s="245"/>
      <c r="C1309" s="209" t="s">
        <v>2058</v>
      </c>
      <c r="D1309" s="244"/>
      <c r="E1309" s="228"/>
      <c r="F1309" s="585"/>
      <c r="G1309" s="338"/>
      <c r="H1309" s="592"/>
      <c r="I1309" s="520"/>
      <c r="J1309" s="421"/>
      <c r="K1309" s="520"/>
    </row>
    <row r="1310" spans="1:11" s="341" customFormat="1">
      <c r="A1310" s="421"/>
      <c r="B1310" s="917" t="s">
        <v>5115</v>
      </c>
      <c r="C1310" s="389">
        <v>2949</v>
      </c>
      <c r="D1310" s="388">
        <f>C1310*(1-VLOOKUP(I1310,descuentos,6,FALSE))*fcl/IF(dol_sol="dólar", TC,1)</f>
        <v>716.38635317910439</v>
      </c>
      <c r="E1310" s="386">
        <f>D1310/8</f>
        <v>89.548294147388049</v>
      </c>
      <c r="F1310" s="582">
        <f>ROUNDUP(D1310+E1310,2)</f>
        <v>805.93999999999994</v>
      </c>
      <c r="G1310" s="394" t="s">
        <v>5116</v>
      </c>
      <c r="H1310" s="580" t="s">
        <v>5117</v>
      </c>
      <c r="I1310" s="520" t="s">
        <v>11649</v>
      </c>
      <c r="J1310" s="421" t="s">
        <v>753</v>
      </c>
      <c r="K1310" s="520" t="s">
        <v>741</v>
      </c>
    </row>
    <row r="1311" spans="1:11" s="341" customFormat="1">
      <c r="A1311" s="421"/>
      <c r="B1311" s="917" t="s">
        <v>5118</v>
      </c>
      <c r="C1311" s="389">
        <v>2949</v>
      </c>
      <c r="D1311" s="388">
        <f>C1311*(1-VLOOKUP(I1311,descuentos,6,FALSE))*fcl/IF(dol_sol="dólar", TC,1)</f>
        <v>716.38635317910439</v>
      </c>
      <c r="E1311" s="386">
        <f>D1311/8</f>
        <v>89.548294147388049</v>
      </c>
      <c r="F1311" s="582">
        <f>ROUNDUP(D1311+E1311,2)</f>
        <v>805.93999999999994</v>
      </c>
      <c r="G1311" s="394" t="s">
        <v>5119</v>
      </c>
      <c r="H1311" s="580" t="s">
        <v>5120</v>
      </c>
      <c r="I1311" s="520" t="s">
        <v>11649</v>
      </c>
      <c r="J1311" s="421" t="s">
        <v>753</v>
      </c>
      <c r="K1311" s="520" t="s">
        <v>741</v>
      </c>
    </row>
    <row r="1312" spans="1:11" s="341" customFormat="1">
      <c r="A1312" s="421"/>
      <c r="B1312" s="917" t="s">
        <v>5121</v>
      </c>
      <c r="C1312" s="389">
        <v>3264</v>
      </c>
      <c r="D1312" s="388">
        <f>C1312*(1-VLOOKUP(I1312,descuentos,6,FALSE))*fcl/IF(dol_sol="dólar", TC,1)</f>
        <v>792.90778459701482</v>
      </c>
      <c r="E1312" s="386">
        <f>D1312/8</f>
        <v>99.113473074626853</v>
      </c>
      <c r="F1312" s="582">
        <f>ROUNDUP(D1312+E1312,2)</f>
        <v>892.03</v>
      </c>
      <c r="G1312" s="394" t="s">
        <v>5122</v>
      </c>
      <c r="H1312" s="580" t="s">
        <v>5123</v>
      </c>
      <c r="I1312" s="520" t="s">
        <v>11649</v>
      </c>
      <c r="J1312" s="421" t="s">
        <v>753</v>
      </c>
      <c r="K1312" s="520" t="s">
        <v>741</v>
      </c>
    </row>
    <row r="1313" spans="1:11" s="341" customFormat="1">
      <c r="A1313" s="421"/>
      <c r="B1313" s="245"/>
      <c r="C1313" s="209" t="s">
        <v>2058</v>
      </c>
      <c r="D1313" s="244"/>
      <c r="E1313" s="228"/>
      <c r="F1313" s="585"/>
      <c r="G1313" s="338"/>
      <c r="H1313" s="592"/>
      <c r="I1313" s="520"/>
      <c r="J1313" s="421"/>
      <c r="K1313" s="520"/>
    </row>
    <row r="1314" spans="1:11" s="341" customFormat="1">
      <c r="A1314" s="421"/>
      <c r="B1314" s="917" t="s">
        <v>5124</v>
      </c>
      <c r="C1314" s="389">
        <v>3218</v>
      </c>
      <c r="D1314" s="388">
        <f>C1314*(1-VLOOKUP(I1314,descuentos,6,FALSE))*fcl/IF(dol_sol="dólar", TC,1)</f>
        <v>781.73322635820898</v>
      </c>
      <c r="E1314" s="386">
        <f>D1314/8</f>
        <v>97.716653294776123</v>
      </c>
      <c r="F1314" s="582">
        <f>ROUNDUP(D1314+E1314,2)</f>
        <v>879.45</v>
      </c>
      <c r="G1314" s="394" t="s">
        <v>5125</v>
      </c>
      <c r="H1314" s="580" t="s">
        <v>5126</v>
      </c>
      <c r="I1314" s="520" t="s">
        <v>11649</v>
      </c>
      <c r="J1314" s="421" t="s">
        <v>753</v>
      </c>
      <c r="K1314" s="520" t="s">
        <v>741</v>
      </c>
    </row>
    <row r="1315" spans="1:11" s="341" customFormat="1">
      <c r="A1315" s="421"/>
      <c r="B1315" s="917" t="s">
        <v>5127</v>
      </c>
      <c r="C1315" s="389">
        <v>3218</v>
      </c>
      <c r="D1315" s="388">
        <f>C1315*(1-VLOOKUP(I1315,descuentos,6,FALSE))*fcl/IF(dol_sol="dólar", TC,1)</f>
        <v>781.73322635820898</v>
      </c>
      <c r="E1315" s="386">
        <f>D1315/8</f>
        <v>97.716653294776123</v>
      </c>
      <c r="F1315" s="582">
        <f>ROUNDUP(D1315+E1315,2)</f>
        <v>879.45</v>
      </c>
      <c r="G1315" s="394" t="s">
        <v>5128</v>
      </c>
      <c r="H1315" s="580" t="s">
        <v>5129</v>
      </c>
      <c r="I1315" s="520" t="s">
        <v>11649</v>
      </c>
      <c r="J1315" s="421" t="s">
        <v>753</v>
      </c>
      <c r="K1315" s="520" t="s">
        <v>741</v>
      </c>
    </row>
    <row r="1316" spans="1:11" s="341" customFormat="1">
      <c r="A1316" s="421"/>
      <c r="B1316" s="917" t="s">
        <v>5130</v>
      </c>
      <c r="C1316" s="389">
        <v>3816</v>
      </c>
      <c r="D1316" s="388">
        <f>C1316*(1-VLOOKUP(I1316,descuentos,6,FALSE))*fcl/IF(dol_sol="dólar", TC,1)</f>
        <v>927.00248346268654</v>
      </c>
      <c r="E1316" s="386">
        <f>D1316/8</f>
        <v>115.87531043283582</v>
      </c>
      <c r="F1316" s="582">
        <f>ROUNDUP(D1316+E1316,2)</f>
        <v>1042.8799999999999</v>
      </c>
      <c r="G1316" s="394" t="s">
        <v>5131</v>
      </c>
      <c r="H1316" s="580" t="s">
        <v>5132</v>
      </c>
      <c r="I1316" s="520" t="s">
        <v>11649</v>
      </c>
      <c r="J1316" s="421" t="s">
        <v>753</v>
      </c>
      <c r="K1316" s="520" t="s">
        <v>741</v>
      </c>
    </row>
    <row r="1317" spans="1:11" s="341" customFormat="1">
      <c r="A1317" s="421"/>
      <c r="B1317" s="245"/>
      <c r="C1317" s="209" t="s">
        <v>2058</v>
      </c>
      <c r="D1317" s="244"/>
      <c r="E1317" s="228"/>
      <c r="F1317" s="585"/>
      <c r="G1317" s="338"/>
      <c r="H1317" s="592"/>
      <c r="I1317" s="520"/>
      <c r="J1317" s="421"/>
      <c r="K1317" s="520"/>
    </row>
    <row r="1318" spans="1:11" s="341" customFormat="1">
      <c r="A1318" s="421"/>
      <c r="B1318" s="245" t="s">
        <v>6846</v>
      </c>
      <c r="C1318" s="209">
        <v>3332</v>
      </c>
      <c r="D1318" s="244">
        <f>C1318*(1-VLOOKUP(I1318,descuentos,6,FALSE))*fcl/IF(dol_sol="dólar", TC,1)</f>
        <v>809.42669677611934</v>
      </c>
      <c r="E1318" s="228">
        <f>D1318/8</f>
        <v>101.17833709701492</v>
      </c>
      <c r="F1318" s="585">
        <f>ROUNDUP(D1318+E1318,2)</f>
        <v>910.61</v>
      </c>
      <c r="G1318" s="338" t="s">
        <v>10389</v>
      </c>
      <c r="H1318" s="592" t="s">
        <v>6847</v>
      </c>
      <c r="I1318" s="520" t="s">
        <v>11649</v>
      </c>
      <c r="J1318" s="421" t="s">
        <v>753</v>
      </c>
      <c r="K1318" s="520" t="s">
        <v>741</v>
      </c>
    </row>
    <row r="1319" spans="1:11" s="341" customFormat="1">
      <c r="A1319" s="421"/>
      <c r="B1319" s="245" t="s">
        <v>10390</v>
      </c>
      <c r="C1319" s="209">
        <v>4610</v>
      </c>
      <c r="D1319" s="244">
        <f>C1319*(1-VLOOKUP(I1319,descuentos,6,FALSE))*fcl/IF(dol_sol="dólar", TC,1)</f>
        <v>1119.8850756716417</v>
      </c>
      <c r="E1319" s="228">
        <f>D1319/8</f>
        <v>139.98563445895522</v>
      </c>
      <c r="F1319" s="585">
        <f>ROUNDUP(D1319+E1319,2)</f>
        <v>1259.8799999999999</v>
      </c>
      <c r="G1319" s="338" t="s">
        <v>10391</v>
      </c>
      <c r="H1319" s="592" t="s">
        <v>10392</v>
      </c>
      <c r="I1319" s="520" t="s">
        <v>11649</v>
      </c>
      <c r="J1319" s="421" t="s">
        <v>753</v>
      </c>
      <c r="K1319" s="520" t="s">
        <v>741</v>
      </c>
    </row>
    <row r="1320" spans="1:11" s="341" customFormat="1">
      <c r="A1320" s="421"/>
      <c r="B1320" s="245"/>
      <c r="C1320" s="209" t="s">
        <v>2058</v>
      </c>
      <c r="D1320" s="244"/>
      <c r="E1320" s="228"/>
      <c r="F1320" s="585"/>
      <c r="G1320" s="338"/>
      <c r="H1320" s="592"/>
      <c r="I1320" s="520"/>
      <c r="J1320" s="421"/>
      <c r="K1320" s="520"/>
    </row>
    <row r="1321" spans="1:11" s="341" customFormat="1">
      <c r="A1321" s="421"/>
      <c r="B1321" s="245" t="s">
        <v>13119</v>
      </c>
      <c r="C1321" s="209">
        <v>3585</v>
      </c>
      <c r="D1321" s="244">
        <f>C1321*(1-VLOOKUP(I1321,descuentos,6,FALSE))*fcl/IF(dol_sol="dólar", TC,1)</f>
        <v>870.88676708955222</v>
      </c>
      <c r="E1321" s="228">
        <f>D1321/8</f>
        <v>108.86084588619403</v>
      </c>
      <c r="F1321" s="585">
        <f>ROUNDUP(D1321+E1321,2)</f>
        <v>979.75</v>
      </c>
      <c r="G1321" s="338" t="s">
        <v>13120</v>
      </c>
      <c r="H1321" s="592" t="s">
        <v>13121</v>
      </c>
      <c r="I1321" s="520" t="s">
        <v>11649</v>
      </c>
      <c r="J1321" s="421" t="s">
        <v>753</v>
      </c>
      <c r="K1321" s="520" t="s">
        <v>741</v>
      </c>
    </row>
    <row r="1322" spans="1:11" s="341" customFormat="1">
      <c r="A1322" s="421"/>
      <c r="B1322" s="245" t="s">
        <v>11831</v>
      </c>
      <c r="C1322" s="209">
        <v>5609</v>
      </c>
      <c r="D1322" s="244">
        <f>C1322*(1-VLOOKUP(I1322,descuentos,6,FALSE))*fcl/IF(dol_sol="dólar", TC,1)</f>
        <v>1362.5673295970148</v>
      </c>
      <c r="E1322" s="228">
        <f>D1322/8</f>
        <v>170.32091619962685</v>
      </c>
      <c r="F1322" s="585">
        <f>ROUNDUP(D1322+E1322,2)</f>
        <v>1532.89</v>
      </c>
      <c r="G1322" s="338" t="s">
        <v>11832</v>
      </c>
      <c r="H1322" s="592" t="s">
        <v>11833</v>
      </c>
      <c r="I1322" s="520" t="s">
        <v>11649</v>
      </c>
      <c r="J1322" s="421" t="s">
        <v>753</v>
      </c>
      <c r="K1322" s="520" t="s">
        <v>741</v>
      </c>
    </row>
    <row r="1323" spans="1:11" s="341" customFormat="1">
      <c r="A1323" s="421"/>
      <c r="B1323" s="246"/>
      <c r="C1323" s="209" t="s">
        <v>2058</v>
      </c>
      <c r="D1323" s="244"/>
      <c r="E1323" s="228"/>
      <c r="F1323" s="585"/>
      <c r="G1323" s="338"/>
      <c r="H1323" s="592"/>
      <c r="I1323" s="520"/>
      <c r="J1323" s="421"/>
      <c r="K1323" s="520"/>
    </row>
    <row r="1324" spans="1:11" s="341" customFormat="1">
      <c r="A1324" s="421"/>
      <c r="B1324" s="338"/>
      <c r="C1324" s="209" t="s">
        <v>2058</v>
      </c>
      <c r="D1324" s="244"/>
      <c r="E1324" s="228"/>
      <c r="F1324" s="585"/>
      <c r="G1324" s="338"/>
      <c r="H1324" s="592"/>
      <c r="I1324" s="520"/>
      <c r="J1324" s="421"/>
      <c r="K1324" s="520"/>
    </row>
    <row r="1325" spans="1:11" s="341" customFormat="1">
      <c r="A1325" s="421"/>
      <c r="B1325" s="592"/>
      <c r="C1325" s="209" t="s">
        <v>2058</v>
      </c>
      <c r="D1325" s="244"/>
      <c r="E1325" s="228"/>
      <c r="F1325" s="585"/>
      <c r="G1325" s="338"/>
      <c r="H1325" s="592"/>
      <c r="I1325" s="520"/>
      <c r="J1325" s="421"/>
      <c r="K1325" s="520"/>
    </row>
    <row r="1326" spans="1:11" s="341" customFormat="1">
      <c r="A1326" s="421"/>
      <c r="B1326" s="338"/>
      <c r="C1326" s="209" t="s">
        <v>2058</v>
      </c>
      <c r="D1326" s="244"/>
      <c r="E1326" s="228"/>
      <c r="F1326" s="585"/>
      <c r="G1326" s="338"/>
      <c r="H1326" s="592"/>
      <c r="I1326" s="520"/>
      <c r="J1326" s="421"/>
      <c r="K1326" s="520"/>
    </row>
    <row r="1327" spans="1:11" s="341" customFormat="1">
      <c r="A1327" s="421"/>
      <c r="B1327" s="338" t="s">
        <v>1073</v>
      </c>
      <c r="C1327" s="209">
        <v>1839</v>
      </c>
      <c r="D1327" s="244">
        <f>C1327*(1-VLOOKUP(I1327,descuentos,6,FALSE))*fcl/IF(dol_sol="dólar", TC,1)</f>
        <v>446.73940437313428</v>
      </c>
      <c r="E1327" s="228">
        <f>D1327/8</f>
        <v>55.842425546641785</v>
      </c>
      <c r="F1327" s="585">
        <f>ROUNDUP(D1327+E1327,2)</f>
        <v>502.59</v>
      </c>
      <c r="G1327" s="338" t="s">
        <v>4723</v>
      </c>
      <c r="H1327" s="592" t="s">
        <v>1074</v>
      </c>
      <c r="I1327" s="520" t="s">
        <v>11649</v>
      </c>
      <c r="J1327" s="421" t="s">
        <v>753</v>
      </c>
      <c r="K1327" s="520" t="s">
        <v>741</v>
      </c>
    </row>
    <row r="1328" spans="1:11" s="341" customFormat="1">
      <c r="A1328" s="421"/>
      <c r="B1328" s="338" t="s">
        <v>13302</v>
      </c>
      <c r="C1328" s="209">
        <v>2386</v>
      </c>
      <c r="D1328" s="244">
        <f>C1328*(1-VLOOKUP(I1328,descuentos,6,FALSE))*fcl/IF(dol_sol="dólar", TC,1)</f>
        <v>579.61947734328351</v>
      </c>
      <c r="E1328" s="228">
        <f>D1328/8</f>
        <v>72.452434667910438</v>
      </c>
      <c r="F1328" s="585">
        <f>ROUNDUP(D1328+E1328,2)</f>
        <v>652.08000000000004</v>
      </c>
      <c r="G1328" s="338" t="s">
        <v>13303</v>
      </c>
      <c r="H1328" s="592" t="s">
        <v>13304</v>
      </c>
      <c r="I1328" s="520" t="s">
        <v>11649</v>
      </c>
      <c r="J1328" s="421" t="s">
        <v>753</v>
      </c>
      <c r="K1328" s="520" t="s">
        <v>741</v>
      </c>
    </row>
    <row r="1329" spans="1:11" s="341" customFormat="1">
      <c r="A1329" s="421" t="s">
        <v>11243</v>
      </c>
      <c r="B1329" s="338" t="s">
        <v>11821</v>
      </c>
      <c r="C1329" s="209">
        <v>1835</v>
      </c>
      <c r="D1329" s="244">
        <f>C1329*(1-VLOOKUP(I1329,descuentos,6,FALSE))*fcl/IF(dol_sol="dólar", TC,1)</f>
        <v>445.76770365671638</v>
      </c>
      <c r="E1329" s="228">
        <f>D1329/8</f>
        <v>55.720962957089547</v>
      </c>
      <c r="F1329" s="585">
        <f>ROUNDUP(D1329+E1329,2)</f>
        <v>501.49</v>
      </c>
      <c r="G1329" s="338" t="s">
        <v>11822</v>
      </c>
      <c r="H1329" s="592" t="s">
        <v>11823</v>
      </c>
      <c r="I1329" s="520" t="s">
        <v>11649</v>
      </c>
      <c r="J1329" s="421" t="s">
        <v>753</v>
      </c>
      <c r="K1329" s="520" t="s">
        <v>741</v>
      </c>
    </row>
    <row r="1330" spans="1:11" s="341" customFormat="1">
      <c r="A1330" s="421"/>
      <c r="B1330" s="338"/>
      <c r="C1330" s="209" t="s">
        <v>2058</v>
      </c>
      <c r="D1330" s="244"/>
      <c r="E1330" s="228"/>
      <c r="F1330" s="585"/>
      <c r="G1330" s="338"/>
      <c r="H1330" s="592"/>
      <c r="I1330" s="520"/>
      <c r="J1330" s="421"/>
      <c r="K1330" s="520"/>
    </row>
    <row r="1331" spans="1:11" s="341" customFormat="1">
      <c r="A1331" s="421"/>
      <c r="B1331" s="338" t="s">
        <v>1075</v>
      </c>
      <c r="C1331" s="209">
        <v>2090</v>
      </c>
      <c r="D1331" s="244">
        <f>C1331*(1-VLOOKUP(I1331,descuentos,6,FALSE))*fcl/IF(dol_sol="dólar", TC,1)</f>
        <v>507.71362432835821</v>
      </c>
      <c r="E1331" s="228">
        <f>D1331/8</f>
        <v>63.464203041044776</v>
      </c>
      <c r="F1331" s="585">
        <f>ROUNDUP(D1331+E1331,2)</f>
        <v>571.17999999999995</v>
      </c>
      <c r="G1331" s="338" t="s">
        <v>4724</v>
      </c>
      <c r="H1331" s="592" t="s">
        <v>1076</v>
      </c>
      <c r="I1331" s="520" t="s">
        <v>11649</v>
      </c>
      <c r="J1331" s="421" t="s">
        <v>753</v>
      </c>
      <c r="K1331" s="520" t="s">
        <v>741</v>
      </c>
    </row>
    <row r="1332" spans="1:11" s="341" customFormat="1">
      <c r="A1332" s="421" t="s">
        <v>11243</v>
      </c>
      <c r="B1332" s="338" t="s">
        <v>11824</v>
      </c>
      <c r="C1332" s="209">
        <v>2105</v>
      </c>
      <c r="D1332" s="244">
        <f>C1332*(1-VLOOKUP(I1332,descuentos,6,FALSE))*fcl/IF(dol_sol="dólar", TC,1)</f>
        <v>511.35750201492527</v>
      </c>
      <c r="E1332" s="228">
        <f>D1332/8</f>
        <v>63.919687751865659</v>
      </c>
      <c r="F1332" s="585">
        <f>ROUNDUP(D1332+E1332,2)</f>
        <v>575.28</v>
      </c>
      <c r="G1332" s="338" t="s">
        <v>11825</v>
      </c>
      <c r="H1332" s="592" t="s">
        <v>11826</v>
      </c>
      <c r="I1332" s="520" t="s">
        <v>11649</v>
      </c>
      <c r="J1332" s="421" t="s">
        <v>753</v>
      </c>
      <c r="K1332" s="520" t="s">
        <v>741</v>
      </c>
    </row>
    <row r="1333" spans="1:11" s="341" customFormat="1">
      <c r="A1333" s="421"/>
      <c r="B1333" s="338"/>
      <c r="C1333" s="209" t="s">
        <v>2058</v>
      </c>
      <c r="D1333" s="244"/>
      <c r="E1333" s="228"/>
      <c r="F1333" s="585"/>
      <c r="G1333" s="338"/>
      <c r="H1333" s="592"/>
      <c r="I1333" s="520"/>
      <c r="J1333" s="421"/>
      <c r="K1333" s="520"/>
    </row>
    <row r="1334" spans="1:11" s="341" customFormat="1">
      <c r="A1334" s="421"/>
      <c r="B1334" s="338" t="s">
        <v>5605</v>
      </c>
      <c r="C1334" s="209">
        <v>2233</v>
      </c>
      <c r="D1334" s="244">
        <f>C1334*(1-VLOOKUP(I1334,descuentos,6,FALSE))*fcl/IF(dol_sol="dólar", TC,1)</f>
        <v>542.45192494029845</v>
      </c>
      <c r="E1334" s="228">
        <f>D1334/8</f>
        <v>67.806490617537307</v>
      </c>
      <c r="F1334" s="585">
        <f>ROUNDUP(D1334+E1334,2)</f>
        <v>610.26</v>
      </c>
      <c r="G1334" s="338" t="s">
        <v>5606</v>
      </c>
      <c r="H1334" s="592" t="s">
        <v>5607</v>
      </c>
      <c r="I1334" s="520" t="s">
        <v>11649</v>
      </c>
      <c r="J1334" s="421" t="s">
        <v>753</v>
      </c>
      <c r="K1334" s="520" t="s">
        <v>741</v>
      </c>
    </row>
    <row r="1335" spans="1:11" s="341" customFormat="1">
      <c r="A1335" s="421"/>
      <c r="B1335" s="338"/>
      <c r="C1335" s="209" t="s">
        <v>2058</v>
      </c>
      <c r="D1335" s="244"/>
      <c r="E1335" s="228"/>
      <c r="F1335" s="585"/>
      <c r="G1335" s="338"/>
      <c r="H1335" s="592"/>
      <c r="I1335" s="520"/>
      <c r="J1335" s="421"/>
      <c r="K1335" s="520"/>
    </row>
    <row r="1336" spans="1:11" s="341" customFormat="1">
      <c r="A1336" s="421" t="s">
        <v>11243</v>
      </c>
      <c r="B1336" s="338" t="s">
        <v>9570</v>
      </c>
      <c r="C1336" s="209">
        <v>2035</v>
      </c>
      <c r="D1336" s="244">
        <f>C1336*(1-VLOOKUP(I1336,descuentos,6,FALSE))*fcl/IF(dol_sol="dólar", TC,1)</f>
        <v>494.35273947761186</v>
      </c>
      <c r="E1336" s="228">
        <f>D1336/8</f>
        <v>61.794092434701483</v>
      </c>
      <c r="F1336" s="585">
        <f>ROUNDUP(D1336+E1336,2)</f>
        <v>556.15</v>
      </c>
      <c r="G1336" s="338" t="s">
        <v>11827</v>
      </c>
      <c r="H1336" s="592" t="s">
        <v>9571</v>
      </c>
      <c r="I1336" s="520" t="s">
        <v>11649</v>
      </c>
      <c r="J1336" s="421" t="s">
        <v>753</v>
      </c>
      <c r="K1336" s="520" t="s">
        <v>741</v>
      </c>
    </row>
    <row r="1337" spans="1:11" s="341" customFormat="1">
      <c r="A1337" s="421"/>
      <c r="B1337" s="338"/>
      <c r="C1337" s="209" t="s">
        <v>2058</v>
      </c>
      <c r="D1337" s="244"/>
      <c r="E1337" s="228"/>
      <c r="F1337" s="585"/>
      <c r="G1337" s="338"/>
      <c r="H1337" s="592"/>
      <c r="I1337" s="520"/>
      <c r="J1337" s="421"/>
      <c r="K1337" s="520"/>
    </row>
    <row r="1338" spans="1:11" s="341" customFormat="1">
      <c r="A1338" s="421"/>
      <c r="B1338" s="338" t="s">
        <v>6848</v>
      </c>
      <c r="C1338" s="209">
        <v>2047</v>
      </c>
      <c r="D1338" s="244">
        <f>C1338*(1-VLOOKUP(I1338,descuentos,6,FALSE))*fcl/IF(dol_sol="dólar", TC,1)</f>
        <v>497.26784162686562</v>
      </c>
      <c r="E1338" s="228">
        <f>D1338/8</f>
        <v>62.158480203358202</v>
      </c>
      <c r="F1338" s="585">
        <f>ROUNDUP(D1338+E1338,2)</f>
        <v>559.42999999999995</v>
      </c>
      <c r="G1338" s="338" t="s">
        <v>6849</v>
      </c>
      <c r="H1338" s="592" t="s">
        <v>6850</v>
      </c>
      <c r="I1338" s="520" t="s">
        <v>11649</v>
      </c>
      <c r="J1338" s="421" t="s">
        <v>753</v>
      </c>
      <c r="K1338" s="520" t="s">
        <v>741</v>
      </c>
    </row>
    <row r="1339" spans="1:11" s="341" customFormat="1">
      <c r="A1339" s="421"/>
      <c r="B1339" s="338" t="s">
        <v>1077</v>
      </c>
      <c r="C1339" s="209">
        <v>1938</v>
      </c>
      <c r="D1339" s="244">
        <f>C1339*(1-VLOOKUP(I1339,descuentos,6,FALSE))*fcl/IF(dol_sol="dólar", TC,1)</f>
        <v>470.78899710447757</v>
      </c>
      <c r="E1339" s="228">
        <f>D1339/8</f>
        <v>58.848624638059697</v>
      </c>
      <c r="F1339" s="585">
        <f>ROUNDUP(D1339+E1339,2)</f>
        <v>529.64</v>
      </c>
      <c r="G1339" s="338" t="s">
        <v>4725</v>
      </c>
      <c r="H1339" s="592" t="s">
        <v>1078</v>
      </c>
      <c r="I1339" s="520" t="s">
        <v>11649</v>
      </c>
      <c r="J1339" s="421" t="s">
        <v>753</v>
      </c>
      <c r="K1339" s="520" t="s">
        <v>741</v>
      </c>
    </row>
    <row r="1340" spans="1:11" s="341" customFormat="1">
      <c r="A1340" s="421"/>
      <c r="B1340" s="338" t="s">
        <v>1084</v>
      </c>
      <c r="C1340" s="209">
        <v>2561</v>
      </c>
      <c r="D1340" s="244">
        <f>C1340*(1-VLOOKUP(I1340,descuentos,6,FALSE))*fcl/IF(dol_sol="dólar", TC,1)</f>
        <v>622.13138368656701</v>
      </c>
      <c r="E1340" s="228">
        <f>D1340/8</f>
        <v>77.766422960820876</v>
      </c>
      <c r="F1340" s="585">
        <f>ROUNDUP(D1340+E1340,2)</f>
        <v>699.9</v>
      </c>
      <c r="G1340" s="338" t="s">
        <v>4726</v>
      </c>
      <c r="H1340" s="592" t="s">
        <v>1082</v>
      </c>
      <c r="I1340" s="520" t="s">
        <v>11649</v>
      </c>
      <c r="J1340" s="421" t="s">
        <v>753</v>
      </c>
      <c r="K1340" s="520" t="s">
        <v>741</v>
      </c>
    </row>
    <row r="1341" spans="1:11" s="341" customFormat="1">
      <c r="A1341" s="421"/>
      <c r="B1341" s="338"/>
      <c r="C1341" s="209" t="s">
        <v>2058</v>
      </c>
      <c r="D1341" s="244"/>
      <c r="E1341" s="228"/>
      <c r="F1341" s="585"/>
      <c r="G1341" s="338"/>
      <c r="H1341" s="592"/>
      <c r="I1341" s="520"/>
      <c r="J1341" s="421"/>
      <c r="K1341" s="520"/>
    </row>
    <row r="1342" spans="1:11" s="341" customFormat="1">
      <c r="A1342" s="421" t="s">
        <v>11243</v>
      </c>
      <c r="B1342" s="338" t="s">
        <v>13958</v>
      </c>
      <c r="C1342" s="209">
        <v>2554</v>
      </c>
      <c r="D1342" s="244">
        <f>C1342*(1-VLOOKUP(I1342,descuentos,6,FALSE))*fcl/IF(dol_sol="dólar", TC,1)</f>
        <v>620.43090743283574</v>
      </c>
      <c r="E1342" s="228">
        <f>D1342/8</f>
        <v>77.553863429104467</v>
      </c>
      <c r="F1342" s="585">
        <f>ROUNDUP(D1342+E1342,2)</f>
        <v>697.99</v>
      </c>
      <c r="G1342" s="338" t="s">
        <v>13959</v>
      </c>
      <c r="H1342" s="592" t="s">
        <v>13960</v>
      </c>
      <c r="I1342" s="520" t="s">
        <v>11649</v>
      </c>
      <c r="J1342" s="421" t="s">
        <v>753</v>
      </c>
      <c r="K1342" s="520" t="s">
        <v>741</v>
      </c>
    </row>
    <row r="1343" spans="1:11" s="341" customFormat="1">
      <c r="A1343" s="421"/>
      <c r="B1343" s="338"/>
      <c r="C1343" s="209" t="s">
        <v>2058</v>
      </c>
      <c r="D1343" s="244"/>
      <c r="E1343" s="228"/>
      <c r="F1343" s="585"/>
      <c r="G1343" s="338"/>
      <c r="H1343" s="592"/>
      <c r="I1343" s="520"/>
      <c r="J1343" s="421"/>
      <c r="K1343" s="520"/>
    </row>
    <row r="1344" spans="1:11" s="341" customFormat="1">
      <c r="A1344" s="421"/>
      <c r="B1344" s="338" t="s">
        <v>13022</v>
      </c>
      <c r="C1344" s="209">
        <v>2263</v>
      </c>
      <c r="D1344" s="244">
        <f>C1344*(1-VLOOKUP(I1344,descuentos,6,FALSE))*fcl/IF(dol_sol="dólar", TC,1)</f>
        <v>549.73968031343281</v>
      </c>
      <c r="E1344" s="228">
        <f>D1344/8</f>
        <v>68.717460039179102</v>
      </c>
      <c r="F1344" s="585">
        <f>ROUNDUP(D1344+E1344,2)</f>
        <v>618.46</v>
      </c>
      <c r="G1344" s="338" t="s">
        <v>13023</v>
      </c>
      <c r="H1344" s="592" t="s">
        <v>13024</v>
      </c>
      <c r="I1344" s="520" t="s">
        <v>11649</v>
      </c>
      <c r="J1344" s="421" t="s">
        <v>753</v>
      </c>
      <c r="K1344" s="520" t="s">
        <v>741</v>
      </c>
    </row>
    <row r="1345" spans="1:11" s="341" customFormat="1">
      <c r="A1345" s="421"/>
      <c r="B1345" s="338" t="s">
        <v>1079</v>
      </c>
      <c r="C1345" s="209">
        <v>2156</v>
      </c>
      <c r="D1345" s="244">
        <f>C1345*(1-VLOOKUP(I1345,descuentos,6,FALSE))*fcl/IF(dol_sol="dólar", TC,1)</f>
        <v>523.74668614925372</v>
      </c>
      <c r="E1345" s="228">
        <f>D1345/8</f>
        <v>65.468335768656715</v>
      </c>
      <c r="F1345" s="585">
        <f>ROUNDUP(D1345+E1345,2)</f>
        <v>589.22</v>
      </c>
      <c r="G1345" s="338" t="s">
        <v>4727</v>
      </c>
      <c r="H1345" s="592" t="s">
        <v>1080</v>
      </c>
      <c r="I1345" s="520" t="s">
        <v>11649</v>
      </c>
      <c r="J1345" s="421" t="s">
        <v>753</v>
      </c>
      <c r="K1345" s="520" t="s">
        <v>741</v>
      </c>
    </row>
    <row r="1346" spans="1:11" s="341" customFormat="1">
      <c r="A1346" s="421"/>
      <c r="B1346" s="338" t="s">
        <v>1081</v>
      </c>
      <c r="C1346" s="209">
        <v>2991</v>
      </c>
      <c r="D1346" s="244">
        <f>C1346*(1-VLOOKUP(I1346,descuentos,6,FALSE))*fcl/IF(dol_sol="dólar", TC,1)</f>
        <v>726.58921070149245</v>
      </c>
      <c r="E1346" s="228">
        <f>D1346/8</f>
        <v>90.823651337686556</v>
      </c>
      <c r="F1346" s="585">
        <f>ROUNDUP(D1346+E1346,2)</f>
        <v>817.42</v>
      </c>
      <c r="G1346" s="338" t="s">
        <v>4728</v>
      </c>
      <c r="H1346" s="592" t="s">
        <v>1083</v>
      </c>
      <c r="I1346" s="520" t="s">
        <v>11649</v>
      </c>
      <c r="J1346" s="421" t="s">
        <v>753</v>
      </c>
      <c r="K1346" s="520" t="s">
        <v>741</v>
      </c>
    </row>
    <row r="1347" spans="1:11" s="341" customFormat="1">
      <c r="A1347" s="421"/>
      <c r="B1347" s="338"/>
      <c r="C1347" s="209" t="s">
        <v>2058</v>
      </c>
      <c r="D1347" s="244"/>
      <c r="E1347" s="228"/>
      <c r="F1347" s="585"/>
      <c r="G1347" s="338"/>
      <c r="H1347" s="592"/>
      <c r="I1347" s="520"/>
      <c r="J1347" s="421"/>
      <c r="K1347" s="520"/>
    </row>
    <row r="1348" spans="1:11" s="341" customFormat="1">
      <c r="A1348" s="421" t="s">
        <v>11243</v>
      </c>
      <c r="B1348" s="338" t="s">
        <v>11828</v>
      </c>
      <c r="C1348" s="209">
        <v>2263</v>
      </c>
      <c r="D1348" s="244">
        <f>C1348*(1-VLOOKUP(I1348,descuentos,6,FALSE))*fcl/IF(dol_sol="dólar", TC,1)</f>
        <v>549.73968031343281</v>
      </c>
      <c r="E1348" s="228">
        <f>D1348/8</f>
        <v>68.717460039179102</v>
      </c>
      <c r="F1348" s="585">
        <f>ROUNDUP(D1348+E1348,2)</f>
        <v>618.46</v>
      </c>
      <c r="G1348" s="338" t="s">
        <v>11829</v>
      </c>
      <c r="H1348" s="592" t="s">
        <v>11830</v>
      </c>
      <c r="I1348" s="520" t="s">
        <v>11649</v>
      </c>
      <c r="J1348" s="421" t="s">
        <v>753</v>
      </c>
      <c r="K1348" s="520" t="s">
        <v>741</v>
      </c>
    </row>
    <row r="1349" spans="1:11" s="341" customFormat="1">
      <c r="A1349" s="421"/>
      <c r="B1349" s="338"/>
      <c r="C1349" s="209" t="s">
        <v>2058</v>
      </c>
      <c r="D1349" s="244"/>
      <c r="E1349" s="228"/>
      <c r="F1349" s="585"/>
      <c r="G1349" s="338"/>
      <c r="H1349" s="592"/>
      <c r="I1349" s="520"/>
      <c r="J1349" s="421"/>
      <c r="K1349" s="520"/>
    </row>
    <row r="1350" spans="1:11" s="341" customFormat="1">
      <c r="A1350" s="421"/>
      <c r="B1350" s="338" t="s">
        <v>10393</v>
      </c>
      <c r="C1350" s="209">
        <v>2646</v>
      </c>
      <c r="D1350" s="244">
        <f>C1350*(1-VLOOKUP(I1350,descuentos,6,FALSE))*fcl/IF(dol_sol="dólar", TC,1)</f>
        <v>642.78002391044765</v>
      </c>
      <c r="E1350" s="228">
        <f>D1350/8</f>
        <v>80.347502988805957</v>
      </c>
      <c r="F1350" s="585">
        <f>ROUNDUP(D1350+E1350,2)</f>
        <v>723.13</v>
      </c>
      <c r="G1350" s="338" t="s">
        <v>10394</v>
      </c>
      <c r="H1350" s="592" t="s">
        <v>10395</v>
      </c>
      <c r="I1350" s="520" t="s">
        <v>11649</v>
      </c>
      <c r="J1350" s="421" t="s">
        <v>753</v>
      </c>
      <c r="K1350" s="520" t="s">
        <v>741</v>
      </c>
    </row>
    <row r="1351" spans="1:11" s="341" customFormat="1">
      <c r="A1351" s="421"/>
      <c r="B1351" s="394" t="s">
        <v>3046</v>
      </c>
      <c r="C1351" s="389">
        <v>2646</v>
      </c>
      <c r="D1351" s="388">
        <f>C1351*(1-VLOOKUP(I1351,descuentos,6,FALSE))*fcl/IF(dol_sol="dólar", TC,1)</f>
        <v>642.78002391044765</v>
      </c>
      <c r="E1351" s="386">
        <f>D1351/8</f>
        <v>80.347502988805957</v>
      </c>
      <c r="F1351" s="582">
        <f>ROUNDUP(D1351+E1351,2)</f>
        <v>723.13</v>
      </c>
      <c r="G1351" s="394" t="s">
        <v>4729</v>
      </c>
      <c r="H1351" s="592" t="s">
        <v>3047</v>
      </c>
      <c r="I1351" s="520" t="s">
        <v>11649</v>
      </c>
      <c r="J1351" s="421" t="s">
        <v>753</v>
      </c>
      <c r="K1351" s="520" t="s">
        <v>741</v>
      </c>
    </row>
    <row r="1352" spans="1:11" s="341" customFormat="1">
      <c r="A1352" s="421"/>
      <c r="B1352" s="394" t="s">
        <v>5133</v>
      </c>
      <c r="C1352" s="389">
        <v>3320</v>
      </c>
      <c r="D1352" s="388">
        <f>C1352*(1-VLOOKUP(I1352,descuentos,6,FALSE))*fcl/IF(dol_sol="dólar", TC,1)</f>
        <v>806.51159462686553</v>
      </c>
      <c r="E1352" s="386">
        <f>D1352/8</f>
        <v>100.81394932835819</v>
      </c>
      <c r="F1352" s="582">
        <f>ROUNDUP(D1352+E1352,2)</f>
        <v>907.33</v>
      </c>
      <c r="G1352" s="394" t="s">
        <v>5134</v>
      </c>
      <c r="H1352" s="592" t="s">
        <v>5135</v>
      </c>
      <c r="I1352" s="520" t="s">
        <v>11649</v>
      </c>
      <c r="J1352" s="421" t="s">
        <v>753</v>
      </c>
      <c r="K1352" s="520" t="s">
        <v>741</v>
      </c>
    </row>
    <row r="1353" spans="1:11" s="341" customFormat="1">
      <c r="A1353" s="421"/>
      <c r="B1353" s="394" t="s">
        <v>2310</v>
      </c>
      <c r="C1353" s="389">
        <v>2941</v>
      </c>
      <c r="D1353" s="388">
        <f>C1353*(1-VLOOKUP(I1353,descuentos,6,FALSE))*fcl/IF(dol_sol="dólar", TC,1)</f>
        <v>714.44295174626859</v>
      </c>
      <c r="E1353" s="386">
        <f>D1353/8</f>
        <v>89.305368968283574</v>
      </c>
      <c r="F1353" s="582">
        <f>ROUNDUP(D1353+E1353,2)</f>
        <v>803.75</v>
      </c>
      <c r="G1353" s="394" t="s">
        <v>4730</v>
      </c>
      <c r="H1353" s="592" t="s">
        <v>2311</v>
      </c>
      <c r="I1353" s="520" t="s">
        <v>11649</v>
      </c>
      <c r="J1353" s="421" t="s">
        <v>753</v>
      </c>
      <c r="K1353" s="520" t="s">
        <v>741</v>
      </c>
    </row>
    <row r="1354" spans="1:11" s="341" customFormat="1">
      <c r="A1354" s="421"/>
      <c r="B1354" s="394" t="s">
        <v>2312</v>
      </c>
      <c r="C1354" s="389">
        <v>3872</v>
      </c>
      <c r="D1354" s="388">
        <f>C1354*(1-VLOOKUP(I1354,descuentos,6,FALSE))*fcl/IF(dol_sol="dólar", TC,1)</f>
        <v>940.60629349253713</v>
      </c>
      <c r="E1354" s="386">
        <f>D1354/8</f>
        <v>117.57578668656714</v>
      </c>
      <c r="F1354" s="582">
        <f>ROUNDUP(D1354+E1354,2)</f>
        <v>1058.19</v>
      </c>
      <c r="G1354" s="394" t="s">
        <v>4731</v>
      </c>
      <c r="H1354" s="592" t="s">
        <v>2313</v>
      </c>
      <c r="I1354" s="520" t="s">
        <v>11649</v>
      </c>
      <c r="J1354" s="421" t="s">
        <v>753</v>
      </c>
      <c r="K1354" s="520" t="s">
        <v>741</v>
      </c>
    </row>
    <row r="1355" spans="1:11" s="341" customFormat="1">
      <c r="A1355" s="421"/>
      <c r="B1355" s="338"/>
      <c r="C1355" s="209" t="s">
        <v>2058</v>
      </c>
      <c r="D1355" s="244"/>
      <c r="E1355" s="228"/>
      <c r="F1355" s="585"/>
      <c r="G1355" s="338"/>
      <c r="H1355" s="592"/>
      <c r="I1355" s="520"/>
      <c r="J1355" s="421"/>
      <c r="K1355" s="520"/>
    </row>
    <row r="1356" spans="1:11" s="341" customFormat="1">
      <c r="A1356" s="421"/>
      <c r="B1356" s="338" t="s">
        <v>13262</v>
      </c>
      <c r="C1356" s="209">
        <v>2509</v>
      </c>
      <c r="D1356" s="244">
        <f>C1356*(1-VLOOKUP(I1356,descuentos,6,FALSE))*fcl/IF(dol_sol="dólar", TC,1)</f>
        <v>609.4992743731342</v>
      </c>
      <c r="E1356" s="228">
        <f>D1356/8</f>
        <v>76.187409296641775</v>
      </c>
      <c r="F1356" s="585">
        <f>ROUNDUP(D1356+E1356,2)</f>
        <v>685.68999999999994</v>
      </c>
      <c r="G1356" s="338" t="s">
        <v>13263</v>
      </c>
      <c r="H1356" s="592" t="s">
        <v>13264</v>
      </c>
      <c r="I1356" s="520" t="s">
        <v>11649</v>
      </c>
      <c r="J1356" s="421" t="s">
        <v>753</v>
      </c>
      <c r="K1356" s="520" t="s">
        <v>741</v>
      </c>
    </row>
    <row r="1357" spans="1:11" s="341" customFormat="1">
      <c r="A1357" s="421"/>
      <c r="B1357" s="338" t="s">
        <v>1375</v>
      </c>
      <c r="C1357" s="209">
        <v>2516</v>
      </c>
      <c r="D1357" s="244">
        <f>C1357*(1-VLOOKUP(I1357,descuentos,6,FALSE))*fcl/IF(dol_sol="dólar", TC,1)</f>
        <v>611.19975062686558</v>
      </c>
      <c r="E1357" s="228">
        <f>D1357/8</f>
        <v>76.399968828358197</v>
      </c>
      <c r="F1357" s="585">
        <f>ROUNDUP(D1357+E1357,2)</f>
        <v>687.6</v>
      </c>
      <c r="G1357" s="338" t="s">
        <v>4732</v>
      </c>
      <c r="H1357" s="592" t="s">
        <v>1378</v>
      </c>
      <c r="I1357" s="520" t="s">
        <v>11649</v>
      </c>
      <c r="J1357" s="421" t="s">
        <v>753</v>
      </c>
      <c r="K1357" s="520" t="s">
        <v>741</v>
      </c>
    </row>
    <row r="1358" spans="1:11" s="196" customFormat="1">
      <c r="A1358" s="421"/>
      <c r="B1358" s="338" t="s">
        <v>1376</v>
      </c>
      <c r="C1358" s="209">
        <v>3413</v>
      </c>
      <c r="D1358" s="244">
        <f>C1358*(1-VLOOKUP(I1358,descuentos,6,FALSE))*fcl/IF(dol_sol="dólar", TC,1)</f>
        <v>829.10363628358198</v>
      </c>
      <c r="E1358" s="228">
        <f>D1358/8</f>
        <v>103.63795453544775</v>
      </c>
      <c r="F1358" s="585">
        <f>ROUNDUP(D1358+E1358,2)</f>
        <v>932.75</v>
      </c>
      <c r="G1358" s="338" t="s">
        <v>4733</v>
      </c>
      <c r="H1358" s="592" t="s">
        <v>1377</v>
      </c>
      <c r="I1358" s="520" t="s">
        <v>11649</v>
      </c>
      <c r="J1358" s="421" t="s">
        <v>753</v>
      </c>
      <c r="K1358" s="520" t="s">
        <v>741</v>
      </c>
    </row>
    <row r="1359" spans="1:11" s="341" customFormat="1">
      <c r="A1359" s="421"/>
      <c r="B1359" s="338"/>
      <c r="C1359" s="209" t="s">
        <v>2058</v>
      </c>
      <c r="D1359" s="244"/>
      <c r="E1359" s="228"/>
      <c r="F1359" s="585"/>
      <c r="G1359" s="338"/>
      <c r="H1359" s="592"/>
      <c r="I1359" s="520"/>
      <c r="J1359" s="421"/>
      <c r="K1359" s="520"/>
    </row>
    <row r="1360" spans="1:11" s="341" customFormat="1">
      <c r="A1360" s="421"/>
      <c r="B1360" s="338"/>
      <c r="C1360" s="209" t="s">
        <v>2058</v>
      </c>
      <c r="D1360" s="244"/>
      <c r="E1360" s="228"/>
      <c r="F1360" s="585"/>
      <c r="G1360" s="338"/>
      <c r="H1360" s="592"/>
      <c r="I1360" s="520"/>
      <c r="J1360" s="421"/>
      <c r="K1360" s="520"/>
    </row>
    <row r="1361" spans="1:11" s="341" customFormat="1" ht="35.25" customHeight="1">
      <c r="A1361" s="421"/>
      <c r="B1361" s="1738" t="s">
        <v>6851</v>
      </c>
      <c r="C1361" s="209" t="s">
        <v>2058</v>
      </c>
      <c r="D1361" s="244"/>
      <c r="E1361" s="228"/>
      <c r="F1361" s="585"/>
      <c r="G1361" s="338"/>
      <c r="H1361" s="592"/>
      <c r="I1361" s="520"/>
      <c r="J1361" s="421"/>
      <c r="K1361" s="520"/>
    </row>
    <row r="1362" spans="1:11" s="341" customFormat="1">
      <c r="A1362" s="1737"/>
      <c r="B1362" s="394" t="s">
        <v>6852</v>
      </c>
      <c r="C1362" s="389">
        <v>3818</v>
      </c>
      <c r="D1362" s="388">
        <f t="shared" ref="D1362:D1370" si="201">C1362*(1-VLOOKUP(I1362,descuentos,6,FALSE))*fcl/IF(dol_sol="dólar", TC,1)</f>
        <v>927.48833382089538</v>
      </c>
      <c r="E1362" s="386">
        <f t="shared" ref="E1362:E1370" si="202">D1362/8</f>
        <v>115.93604172761192</v>
      </c>
      <c r="F1362" s="582">
        <f>ROUNDUP(D1362+E1362,2)</f>
        <v>1043.43</v>
      </c>
      <c r="G1362" s="338" t="s">
        <v>6853</v>
      </c>
      <c r="H1362" s="592" t="s">
        <v>6854</v>
      </c>
      <c r="I1362" s="520" t="s">
        <v>11649</v>
      </c>
      <c r="J1362" s="421" t="s">
        <v>753</v>
      </c>
      <c r="K1362" s="520" t="s">
        <v>741</v>
      </c>
    </row>
    <row r="1363" spans="1:11" s="341" customFormat="1">
      <c r="A1363" s="1737"/>
      <c r="B1363" s="1939" t="s">
        <v>9572</v>
      </c>
      <c r="C1363" s="389">
        <v>3706</v>
      </c>
      <c r="D1363" s="388">
        <f t="shared" si="201"/>
        <v>900.28071376119385</v>
      </c>
      <c r="E1363" s="386">
        <f t="shared" si="202"/>
        <v>112.53508922014923</v>
      </c>
      <c r="F1363" s="582">
        <f>ROUNDUP(D1363+E1363,2)</f>
        <v>1012.8199999999999</v>
      </c>
      <c r="G1363" s="338" t="s">
        <v>9573</v>
      </c>
      <c r="H1363" s="592" t="s">
        <v>6968</v>
      </c>
      <c r="I1363" s="520" t="s">
        <v>11649</v>
      </c>
      <c r="J1363" s="421" t="s">
        <v>753</v>
      </c>
      <c r="K1363" s="520" t="s">
        <v>741</v>
      </c>
    </row>
    <row r="1364" spans="1:11" s="341" customFormat="1">
      <c r="A1364" s="1737"/>
      <c r="B1364" s="394" t="s">
        <v>9574</v>
      </c>
      <c r="C1364" s="389">
        <v>3379</v>
      </c>
      <c r="D1364" s="388">
        <f t="shared" ref="D1364" si="203">C1364*(1-VLOOKUP(I1364,descuentos,6,FALSE))*fcl/IF(dol_sol="dólar", TC,1)</f>
        <v>820.84418019402983</v>
      </c>
      <c r="E1364" s="386">
        <f t="shared" si="202"/>
        <v>102.60552252425373</v>
      </c>
      <c r="F1364" s="582">
        <f>ROUNDUP(D1364+E1364,2)</f>
        <v>923.45</v>
      </c>
      <c r="G1364" s="338" t="s">
        <v>9575</v>
      </c>
      <c r="H1364" s="592" t="s">
        <v>6959</v>
      </c>
      <c r="I1364" s="520" t="s">
        <v>11649</v>
      </c>
      <c r="J1364" s="421" t="s">
        <v>753</v>
      </c>
      <c r="K1364" s="520" t="s">
        <v>741</v>
      </c>
    </row>
    <row r="1365" spans="1:11" s="341" customFormat="1">
      <c r="A1365" s="1737"/>
      <c r="B1365" s="394" t="s">
        <v>6855</v>
      </c>
      <c r="C1365" s="389">
        <v>1241</v>
      </c>
      <c r="D1365" s="388">
        <f t="shared" si="201"/>
        <v>301.47014726865666</v>
      </c>
      <c r="E1365" s="386">
        <f t="shared" si="202"/>
        <v>37.683768408582083</v>
      </c>
      <c r="F1365" s="582">
        <f t="shared" ref="F1365:F1370" si="204">ROUNDUP(D1365+E1365,2)</f>
        <v>339.15999999999997</v>
      </c>
      <c r="G1365" s="394" t="s">
        <v>6856</v>
      </c>
      <c r="H1365" s="592" t="s">
        <v>6857</v>
      </c>
      <c r="I1365" s="520" t="s">
        <v>11649</v>
      </c>
      <c r="J1365" s="421" t="s">
        <v>753</v>
      </c>
      <c r="K1365" s="520" t="s">
        <v>741</v>
      </c>
    </row>
    <row r="1366" spans="1:11" s="341" customFormat="1">
      <c r="A1366" s="1737"/>
      <c r="B1366" s="394" t="s">
        <v>6858</v>
      </c>
      <c r="C1366" s="389">
        <v>937</v>
      </c>
      <c r="D1366" s="388">
        <f t="shared" si="201"/>
        <v>227.62089282089551</v>
      </c>
      <c r="E1366" s="386">
        <f t="shared" si="202"/>
        <v>28.452611602611938</v>
      </c>
      <c r="F1366" s="582">
        <f t="shared" si="204"/>
        <v>256.08</v>
      </c>
      <c r="G1366" s="394" t="s">
        <v>6859</v>
      </c>
      <c r="H1366" s="592" t="s">
        <v>6860</v>
      </c>
      <c r="I1366" s="520" t="s">
        <v>11649</v>
      </c>
      <c r="J1366" s="421" t="s">
        <v>753</v>
      </c>
      <c r="K1366" s="520" t="s">
        <v>741</v>
      </c>
    </row>
    <row r="1367" spans="1:11" s="341" customFormat="1">
      <c r="A1367" s="1737"/>
      <c r="B1367" s="592" t="s">
        <v>1289</v>
      </c>
      <c r="C1367" s="209">
        <v>479</v>
      </c>
      <c r="D1367" s="244">
        <f>C1367*(1-VLOOKUP(I1367,descuentos,6,FALSE))*fcl/IF(dol_sol="dólar", TC,1)</f>
        <v>116.36116079104477</v>
      </c>
      <c r="E1367" s="228">
        <v>8</v>
      </c>
      <c r="F1367" s="585">
        <f t="shared" si="204"/>
        <v>124.37</v>
      </c>
      <c r="G1367" s="592" t="s">
        <v>2338</v>
      </c>
      <c r="H1367" s="592" t="s">
        <v>1288</v>
      </c>
      <c r="I1367" s="520" t="s">
        <v>11649</v>
      </c>
      <c r="J1367" s="421" t="s">
        <v>753</v>
      </c>
      <c r="K1367" s="520" t="s">
        <v>741</v>
      </c>
    </row>
    <row r="1368" spans="1:11" s="341" customFormat="1">
      <c r="A1368" s="1737"/>
      <c r="B1368" s="592" t="s">
        <v>1236</v>
      </c>
      <c r="C1368" s="209">
        <v>2382</v>
      </c>
      <c r="D1368" s="244">
        <f>C1368*(1-VLOOKUP(I1368,descuentos,6,FALSE))*fcl/IF(dol_sol="dólar", TC,1)</f>
        <v>578.64777662686572</v>
      </c>
      <c r="E1368" s="228">
        <v>25</v>
      </c>
      <c r="F1368" s="585">
        <f t="shared" si="204"/>
        <v>603.65</v>
      </c>
      <c r="G1368" s="338" t="s">
        <v>2332</v>
      </c>
      <c r="H1368" s="592" t="s">
        <v>1237</v>
      </c>
      <c r="I1368" s="520" t="s">
        <v>11649</v>
      </c>
      <c r="J1368" s="421" t="s">
        <v>753</v>
      </c>
      <c r="K1368" s="520" t="s">
        <v>741</v>
      </c>
    </row>
    <row r="1369" spans="1:11" s="341" customFormat="1">
      <c r="A1369" s="1737"/>
      <c r="B1369" s="592" t="s">
        <v>5153</v>
      </c>
      <c r="C1369" s="209">
        <v>269</v>
      </c>
      <c r="D1369" s="244">
        <f>C1369*(1-VLOOKUP(I1369,descuentos,6,FALSE))*fcl/IF(dol_sol="dólar", TC,1)</f>
        <v>65.346873179104477</v>
      </c>
      <c r="E1369" s="228">
        <v>15</v>
      </c>
      <c r="F1369" s="585">
        <f t="shared" si="204"/>
        <v>80.350000000000009</v>
      </c>
      <c r="G1369" s="592" t="s">
        <v>5154</v>
      </c>
      <c r="H1369" s="592" t="s">
        <v>1737</v>
      </c>
      <c r="I1369" s="520" t="s">
        <v>11649</v>
      </c>
      <c r="J1369" s="421" t="s">
        <v>753</v>
      </c>
      <c r="K1369" s="520" t="s">
        <v>741</v>
      </c>
    </row>
    <row r="1370" spans="1:11" s="341" customFormat="1">
      <c r="A1370" s="1737"/>
      <c r="B1370" s="394" t="s">
        <v>6861</v>
      </c>
      <c r="C1370" s="389">
        <v>166</v>
      </c>
      <c r="D1370" s="388">
        <f t="shared" si="201"/>
        <v>40.325579731343275</v>
      </c>
      <c r="E1370" s="386">
        <f t="shared" si="202"/>
        <v>5.0406974664179094</v>
      </c>
      <c r="F1370" s="582">
        <f t="shared" si="204"/>
        <v>45.37</v>
      </c>
      <c r="G1370" s="394" t="s">
        <v>6862</v>
      </c>
      <c r="H1370" s="592" t="s">
        <v>6863</v>
      </c>
      <c r="I1370" s="520" t="s">
        <v>11649</v>
      </c>
      <c r="J1370" s="421" t="s">
        <v>753</v>
      </c>
      <c r="K1370" s="520" t="s">
        <v>741</v>
      </c>
    </row>
    <row r="1371" spans="1:11" s="341" customFormat="1">
      <c r="A1371" s="421"/>
      <c r="B1371" s="338"/>
      <c r="C1371" s="209" t="s">
        <v>2058</v>
      </c>
      <c r="D1371" s="388"/>
      <c r="E1371" s="386"/>
      <c r="F1371" s="582"/>
      <c r="G1371" s="338"/>
      <c r="H1371" s="592"/>
      <c r="I1371" s="520"/>
      <c r="J1371" s="421"/>
      <c r="K1371" s="520"/>
    </row>
    <row r="1372" spans="1:11" s="341" customFormat="1">
      <c r="A1372" s="421"/>
      <c r="B1372" s="338"/>
      <c r="C1372" s="209" t="s">
        <v>2058</v>
      </c>
      <c r="D1372" s="244"/>
      <c r="E1372" s="228"/>
      <c r="F1372" s="585"/>
      <c r="G1372" s="338"/>
      <c r="H1372" s="592"/>
      <c r="I1372" s="520"/>
      <c r="J1372" s="421"/>
      <c r="K1372" s="520"/>
    </row>
    <row r="1373" spans="1:11" s="341" customFormat="1" ht="35.25" customHeight="1">
      <c r="A1373" s="421"/>
      <c r="B1373" s="1738" t="s">
        <v>6864</v>
      </c>
      <c r="C1373" s="209" t="s">
        <v>2058</v>
      </c>
      <c r="D1373" s="244"/>
      <c r="E1373" s="228"/>
      <c r="F1373" s="585"/>
      <c r="G1373" s="338"/>
      <c r="H1373" s="592"/>
      <c r="I1373" s="520"/>
      <c r="J1373" s="421"/>
      <c r="K1373" s="520"/>
    </row>
    <row r="1374" spans="1:11" s="341" customFormat="1">
      <c r="A1374" s="1737"/>
      <c r="B1374" s="394" t="s">
        <v>6865</v>
      </c>
      <c r="C1374" s="389">
        <v>4717</v>
      </c>
      <c r="D1374" s="388">
        <f t="shared" ref="D1374:D1381" si="205">C1374*(1-VLOOKUP(I1374,descuentos,6,FALSE))*fcl/IF(dol_sol="dólar", TC,1)</f>
        <v>1145.878069835821</v>
      </c>
      <c r="E1374" s="386">
        <f>D1374/8</f>
        <v>143.23475872947762</v>
      </c>
      <c r="F1374" s="582">
        <f>ROUNDUP(D1374+E1374,2)</f>
        <v>1289.1199999999999</v>
      </c>
      <c r="G1374" s="338" t="s">
        <v>6866</v>
      </c>
      <c r="H1374" s="592" t="s">
        <v>6867</v>
      </c>
      <c r="I1374" s="520" t="s">
        <v>11649</v>
      </c>
      <c r="J1374" s="421" t="s">
        <v>753</v>
      </c>
      <c r="K1374" s="520" t="s">
        <v>741</v>
      </c>
    </row>
    <row r="1375" spans="1:11" s="341" customFormat="1">
      <c r="A1375" s="1737"/>
      <c r="B1375" s="394" t="s">
        <v>9969</v>
      </c>
      <c r="C1375" s="389">
        <v>4595</v>
      </c>
      <c r="D1375" s="388">
        <f t="shared" ref="D1375" si="206">C1375*(1-VLOOKUP(I1375,descuentos,6,FALSE))*fcl/IF(dol_sol="dólar", TC,1)</f>
        <v>1116.2411979850745</v>
      </c>
      <c r="E1375" s="386">
        <f>D1375/8</f>
        <v>139.53014974813431</v>
      </c>
      <c r="F1375" s="582">
        <f>ROUNDUP(D1375+E1375,2)</f>
        <v>1255.78</v>
      </c>
      <c r="G1375" s="338" t="s">
        <v>9970</v>
      </c>
      <c r="H1375" s="592" t="s">
        <v>3021</v>
      </c>
      <c r="I1375" s="520" t="s">
        <v>11649</v>
      </c>
      <c r="J1375" s="421" t="s">
        <v>753</v>
      </c>
      <c r="K1375" s="520" t="s">
        <v>741</v>
      </c>
    </row>
    <row r="1376" spans="1:11" s="341" customFormat="1">
      <c r="A1376" s="1737"/>
      <c r="B1376" s="394" t="s">
        <v>6868</v>
      </c>
      <c r="C1376" s="389">
        <v>1392</v>
      </c>
      <c r="D1376" s="388">
        <f t="shared" si="205"/>
        <v>338.15184931343288</v>
      </c>
      <c r="E1376" s="386">
        <f>D1376/8</f>
        <v>42.26898116417911</v>
      </c>
      <c r="F1376" s="582">
        <f t="shared" ref="F1376:F1381" si="207">ROUNDUP(D1376+E1376,2)</f>
        <v>380.43</v>
      </c>
      <c r="G1376" s="394" t="s">
        <v>6869</v>
      </c>
      <c r="H1376" s="592" t="s">
        <v>6870</v>
      </c>
      <c r="I1376" s="520" t="s">
        <v>11649</v>
      </c>
      <c r="J1376" s="421" t="s">
        <v>753</v>
      </c>
      <c r="K1376" s="520" t="s">
        <v>741</v>
      </c>
    </row>
    <row r="1377" spans="1:11" s="341" customFormat="1">
      <c r="A1377" s="1737"/>
      <c r="B1377" s="394" t="s">
        <v>6871</v>
      </c>
      <c r="C1377" s="389">
        <v>998</v>
      </c>
      <c r="D1377" s="388">
        <f t="shared" si="205"/>
        <v>242.43932874626861</v>
      </c>
      <c r="E1377" s="386">
        <f>D1377/8</f>
        <v>30.304916093283577</v>
      </c>
      <c r="F1377" s="582">
        <f t="shared" si="207"/>
        <v>272.75</v>
      </c>
      <c r="G1377" s="394" t="s">
        <v>6859</v>
      </c>
      <c r="H1377" s="592" t="s">
        <v>6872</v>
      </c>
      <c r="I1377" s="520" t="s">
        <v>11649</v>
      </c>
      <c r="J1377" s="421" t="s">
        <v>753</v>
      </c>
      <c r="K1377" s="520" t="s">
        <v>741</v>
      </c>
    </row>
    <row r="1378" spans="1:11" s="341" customFormat="1">
      <c r="A1378" s="1737"/>
      <c r="B1378" s="592" t="s">
        <v>1289</v>
      </c>
      <c r="C1378" s="209">
        <v>479</v>
      </c>
      <c r="D1378" s="244">
        <f t="shared" si="205"/>
        <v>116.36116079104477</v>
      </c>
      <c r="E1378" s="228">
        <v>8</v>
      </c>
      <c r="F1378" s="585">
        <f t="shared" si="207"/>
        <v>124.37</v>
      </c>
      <c r="G1378" s="592" t="s">
        <v>2338</v>
      </c>
      <c r="H1378" s="592" t="s">
        <v>1288</v>
      </c>
      <c r="I1378" s="520" t="s">
        <v>11649</v>
      </c>
      <c r="J1378" s="421" t="s">
        <v>753</v>
      </c>
      <c r="K1378" s="520" t="s">
        <v>741</v>
      </c>
    </row>
    <row r="1379" spans="1:11" s="341" customFormat="1">
      <c r="A1379" s="1737"/>
      <c r="B1379" s="592" t="s">
        <v>1236</v>
      </c>
      <c r="C1379" s="209">
        <v>2382</v>
      </c>
      <c r="D1379" s="244">
        <f t="shared" si="205"/>
        <v>578.64777662686572</v>
      </c>
      <c r="E1379" s="228">
        <v>25</v>
      </c>
      <c r="F1379" s="585">
        <f t="shared" si="207"/>
        <v>603.65</v>
      </c>
      <c r="G1379" s="338" t="s">
        <v>2332</v>
      </c>
      <c r="H1379" s="592" t="s">
        <v>1237</v>
      </c>
      <c r="I1379" s="520" t="s">
        <v>11649</v>
      </c>
      <c r="J1379" s="421" t="s">
        <v>753</v>
      </c>
      <c r="K1379" s="520" t="s">
        <v>741</v>
      </c>
    </row>
    <row r="1380" spans="1:11" s="341" customFormat="1">
      <c r="A1380" s="1737"/>
      <c r="B1380" s="592" t="s">
        <v>5153</v>
      </c>
      <c r="C1380" s="209">
        <v>269</v>
      </c>
      <c r="D1380" s="244">
        <f t="shared" si="205"/>
        <v>65.346873179104477</v>
      </c>
      <c r="E1380" s="228">
        <v>15</v>
      </c>
      <c r="F1380" s="585">
        <f t="shared" si="207"/>
        <v>80.350000000000009</v>
      </c>
      <c r="G1380" s="592" t="s">
        <v>5154</v>
      </c>
      <c r="H1380" s="592" t="s">
        <v>1737</v>
      </c>
      <c r="I1380" s="520" t="s">
        <v>11649</v>
      </c>
      <c r="J1380" s="421" t="s">
        <v>753</v>
      </c>
      <c r="K1380" s="520" t="s">
        <v>741</v>
      </c>
    </row>
    <row r="1381" spans="1:11" s="341" customFormat="1">
      <c r="A1381" s="1737"/>
      <c r="B1381" s="394" t="s">
        <v>6861</v>
      </c>
      <c r="C1381" s="389">
        <v>166</v>
      </c>
      <c r="D1381" s="388">
        <f t="shared" si="205"/>
        <v>40.325579731343275</v>
      </c>
      <c r="E1381" s="386">
        <f>D1381/8</f>
        <v>5.0406974664179094</v>
      </c>
      <c r="F1381" s="582">
        <f t="shared" si="207"/>
        <v>45.37</v>
      </c>
      <c r="G1381" s="394" t="s">
        <v>6862</v>
      </c>
      <c r="H1381" s="592" t="s">
        <v>6863</v>
      </c>
      <c r="I1381" s="520" t="s">
        <v>11649</v>
      </c>
      <c r="J1381" s="421" t="s">
        <v>753</v>
      </c>
      <c r="K1381" s="520" t="s">
        <v>741</v>
      </c>
    </row>
    <row r="1382" spans="1:11" s="341" customFormat="1">
      <c r="A1382" s="421"/>
      <c r="B1382" s="338"/>
      <c r="C1382" s="209" t="s">
        <v>2058</v>
      </c>
      <c r="D1382" s="388"/>
      <c r="E1382" s="386"/>
      <c r="F1382" s="582"/>
      <c r="G1382" s="338"/>
      <c r="H1382" s="592"/>
      <c r="I1382" s="520"/>
      <c r="J1382" s="421"/>
      <c r="K1382" s="520"/>
    </row>
    <row r="1383" spans="1:11" s="341" customFormat="1">
      <c r="A1383" s="421"/>
      <c r="B1383" s="338"/>
      <c r="C1383" s="209" t="s">
        <v>2058</v>
      </c>
      <c r="D1383" s="244"/>
      <c r="E1383" s="228"/>
      <c r="F1383" s="585"/>
      <c r="G1383" s="338"/>
      <c r="H1383" s="592"/>
      <c r="I1383" s="520"/>
      <c r="J1383" s="421"/>
      <c r="K1383" s="520"/>
    </row>
    <row r="1384" spans="1:11" s="341" customFormat="1">
      <c r="A1384" s="421"/>
      <c r="B1384" s="338"/>
      <c r="C1384" s="209" t="s">
        <v>2058</v>
      </c>
      <c r="D1384" s="244"/>
      <c r="E1384" s="228"/>
      <c r="F1384" s="585"/>
      <c r="G1384" s="338"/>
      <c r="H1384" s="592"/>
      <c r="I1384" s="520"/>
      <c r="J1384" s="421"/>
      <c r="K1384" s="520"/>
    </row>
    <row r="1385" spans="1:11" s="341" customFormat="1">
      <c r="A1385" s="421"/>
      <c r="B1385" s="338" t="s">
        <v>6873</v>
      </c>
      <c r="C1385" s="209">
        <v>3435</v>
      </c>
      <c r="D1385" s="244">
        <f>C1385*(1-VLOOKUP(I1385,descuentos,6,FALSE))*fcl/IF(dol_sol="dólar", TC,1)</f>
        <v>834.44799022388065</v>
      </c>
      <c r="E1385" s="228">
        <f>D1385/8</f>
        <v>104.30599877798508</v>
      </c>
      <c r="F1385" s="585">
        <f>ROUNDUP(D1385+E1385,2)</f>
        <v>938.76</v>
      </c>
      <c r="G1385" s="338" t="s">
        <v>6874</v>
      </c>
      <c r="H1385" s="592" t="s">
        <v>6875</v>
      </c>
      <c r="I1385" s="520" t="s">
        <v>11649</v>
      </c>
      <c r="J1385" s="421" t="s">
        <v>753</v>
      </c>
      <c r="K1385" s="520" t="s">
        <v>741</v>
      </c>
    </row>
    <row r="1386" spans="1:11" s="341" customFormat="1">
      <c r="A1386" s="421"/>
      <c r="B1386" s="338" t="s">
        <v>1085</v>
      </c>
      <c r="C1386" s="209">
        <v>4584</v>
      </c>
      <c r="D1386" s="244">
        <f>C1386*(1-VLOOKUP(I1386,descuentos,6,FALSE))*fcl/IF(dol_sol="dólar", TC,1)</f>
        <v>1113.5690210149253</v>
      </c>
      <c r="E1386" s="228">
        <f>D1386/8</f>
        <v>139.19612762686566</v>
      </c>
      <c r="F1386" s="585">
        <f>ROUNDUP(D1386+E1386,2)</f>
        <v>1252.77</v>
      </c>
      <c r="G1386" s="338" t="s">
        <v>4734</v>
      </c>
      <c r="H1386" s="592" t="s">
        <v>1086</v>
      </c>
      <c r="I1386" s="520" t="s">
        <v>11649</v>
      </c>
      <c r="J1386" s="421" t="s">
        <v>753</v>
      </c>
      <c r="K1386" s="520" t="s">
        <v>741</v>
      </c>
    </row>
    <row r="1387" spans="1:11" s="341" customFormat="1">
      <c r="A1387" s="421"/>
      <c r="B1387" s="338" t="s">
        <v>1088</v>
      </c>
      <c r="C1387" s="209">
        <v>6244</v>
      </c>
      <c r="D1387" s="244">
        <f>C1387*(1-VLOOKUP(I1387,descuentos,6,FALSE))*fcl/IF(dol_sol="dólar", TC,1)</f>
        <v>1516.8248183283579</v>
      </c>
      <c r="E1387" s="228">
        <f>D1387/8</f>
        <v>189.60310229104473</v>
      </c>
      <c r="F1387" s="585">
        <f>ROUNDUP(D1387+E1387,2)</f>
        <v>1706.43</v>
      </c>
      <c r="G1387" s="338" t="s">
        <v>4735</v>
      </c>
      <c r="H1387" s="592" t="s">
        <v>1089</v>
      </c>
      <c r="I1387" s="520" t="s">
        <v>11649</v>
      </c>
      <c r="J1387" s="421" t="s">
        <v>753</v>
      </c>
      <c r="K1387" s="520" t="s">
        <v>741</v>
      </c>
    </row>
    <row r="1388" spans="1:11" s="341" customFormat="1">
      <c r="A1388" s="421"/>
      <c r="B1388" s="338"/>
      <c r="C1388" s="209" t="s">
        <v>2058</v>
      </c>
      <c r="D1388" s="244"/>
      <c r="E1388" s="228"/>
      <c r="F1388" s="585"/>
      <c r="G1388" s="338"/>
      <c r="H1388" s="592"/>
      <c r="I1388" s="520"/>
      <c r="J1388" s="421"/>
      <c r="K1388" s="520"/>
    </row>
    <row r="1389" spans="1:11" s="393" customFormat="1">
      <c r="A1389" s="1642"/>
      <c r="B1389" s="394" t="s">
        <v>5136</v>
      </c>
      <c r="C1389" s="389">
        <v>5536</v>
      </c>
      <c r="D1389" s="388">
        <f>C1389*(1-VLOOKUP(I1389,descuentos,6,FALSE))*fcl/IF(dol_sol="dólar", TC,1)</f>
        <v>1344.8337915223881</v>
      </c>
      <c r="E1389" s="386">
        <f>D1389/8</f>
        <v>168.10422394029851</v>
      </c>
      <c r="F1389" s="582">
        <f>ROUNDUP(D1389+E1389,2)</f>
        <v>1512.94</v>
      </c>
      <c r="G1389" s="394" t="s">
        <v>5137</v>
      </c>
      <c r="H1389" s="592" t="s">
        <v>5138</v>
      </c>
      <c r="I1389" s="520" t="s">
        <v>11649</v>
      </c>
      <c r="J1389" s="421" t="s">
        <v>753</v>
      </c>
      <c r="K1389" s="520" t="s">
        <v>741</v>
      </c>
    </row>
    <row r="1390" spans="1:11" s="341" customFormat="1">
      <c r="A1390" s="1642"/>
      <c r="B1390" s="394" t="s">
        <v>5139</v>
      </c>
      <c r="C1390" s="389">
        <v>7562</v>
      </c>
      <c r="D1390" s="388">
        <f>C1390*(1-VLOOKUP(I1390,descuentos,6,FALSE))*fcl/IF(dol_sol="dólar", TC,1)</f>
        <v>1837.0002043880597</v>
      </c>
      <c r="E1390" s="386">
        <f>D1390/8</f>
        <v>229.62502554850747</v>
      </c>
      <c r="F1390" s="582">
        <f>ROUNDUP(D1390+E1390,2)</f>
        <v>2066.63</v>
      </c>
      <c r="G1390" s="394" t="s">
        <v>5140</v>
      </c>
      <c r="H1390" s="592" t="s">
        <v>5141</v>
      </c>
      <c r="I1390" s="520" t="s">
        <v>11649</v>
      </c>
      <c r="J1390" s="421" t="s">
        <v>753</v>
      </c>
      <c r="K1390" s="520" t="s">
        <v>741</v>
      </c>
    </row>
    <row r="1391" spans="1:11" s="341" customFormat="1">
      <c r="A1391" s="421"/>
      <c r="B1391" s="338"/>
      <c r="C1391" s="209" t="s">
        <v>2058</v>
      </c>
      <c r="D1391" s="244"/>
      <c r="E1391" s="228"/>
      <c r="F1391" s="585"/>
      <c r="G1391" s="338"/>
      <c r="H1391" s="592"/>
      <c r="I1391" s="520"/>
      <c r="J1391" s="421"/>
      <c r="K1391" s="520"/>
    </row>
    <row r="1392" spans="1:11" s="393" customFormat="1">
      <c r="A1392" s="421"/>
      <c r="B1392" s="338" t="s">
        <v>6876</v>
      </c>
      <c r="C1392" s="209">
        <v>6264</v>
      </c>
      <c r="D1392" s="244">
        <f>C1392*(1-VLOOKUP(I1392,descuentos,6,FALSE))*fcl/IF(dol_sol="dólar", TC,1)</f>
        <v>1521.6833219104478</v>
      </c>
      <c r="E1392" s="228">
        <f>D1392/8</f>
        <v>190.21041523880598</v>
      </c>
      <c r="F1392" s="585">
        <f>ROUNDUP(D1392+E1392,2)</f>
        <v>1711.9</v>
      </c>
      <c r="G1392" s="338" t="s">
        <v>6877</v>
      </c>
      <c r="H1392" s="592" t="s">
        <v>6878</v>
      </c>
      <c r="I1392" s="520" t="s">
        <v>11649</v>
      </c>
      <c r="J1392" s="421" t="s">
        <v>753</v>
      </c>
      <c r="K1392" s="520" t="s">
        <v>741</v>
      </c>
    </row>
    <row r="1393" spans="1:11" s="393" customFormat="1">
      <c r="A1393" s="421"/>
      <c r="B1393" s="338"/>
      <c r="C1393" s="209" t="s">
        <v>2058</v>
      </c>
      <c r="D1393" s="244"/>
      <c r="E1393" s="228"/>
      <c r="F1393" s="585"/>
      <c r="G1393" s="338"/>
      <c r="H1393" s="592"/>
      <c r="I1393" s="520"/>
      <c r="J1393" s="421"/>
      <c r="K1393" s="520"/>
    </row>
    <row r="1394" spans="1:11" s="341" customFormat="1">
      <c r="A1394" s="1170"/>
      <c r="B1394" s="592" t="s">
        <v>13177</v>
      </c>
      <c r="C1394" s="209">
        <v>6600</v>
      </c>
      <c r="D1394" s="244">
        <f>C1394*(1-VLOOKUP(I1394,descuentos,6,FALSE))*fcl/IF(dol_sol="dólar", TC,1)</f>
        <v>1603.3061820895518</v>
      </c>
      <c r="E1394" s="228">
        <f>D1394/8</f>
        <v>200.41327276119398</v>
      </c>
      <c r="F1394" s="585">
        <f>ROUNDUP(D1394+E1394,2)</f>
        <v>1803.72</v>
      </c>
      <c r="G1394" s="338" t="s">
        <v>13178</v>
      </c>
      <c r="H1394" s="592" t="s">
        <v>13179</v>
      </c>
      <c r="I1394" s="520" t="s">
        <v>11649</v>
      </c>
      <c r="J1394" s="421" t="s">
        <v>753</v>
      </c>
      <c r="K1394" s="520" t="s">
        <v>741</v>
      </c>
    </row>
    <row r="1395" spans="1:11" s="341" customFormat="1">
      <c r="A1395" s="421"/>
      <c r="B1395" s="338"/>
      <c r="C1395" s="209" t="s">
        <v>2058</v>
      </c>
      <c r="D1395" s="244"/>
      <c r="E1395" s="228"/>
      <c r="F1395" s="585"/>
      <c r="G1395" s="338"/>
      <c r="H1395" s="592"/>
      <c r="I1395" s="520"/>
      <c r="J1395" s="421"/>
      <c r="K1395" s="520"/>
    </row>
    <row r="1396" spans="1:11" s="393" customFormat="1">
      <c r="A1396" s="421"/>
      <c r="B1396" s="338" t="s">
        <v>11653</v>
      </c>
      <c r="C1396" s="209">
        <v>3695</v>
      </c>
      <c r="D1396" s="244">
        <f>C1396*(1-VLOOKUP(I1396,descuentos,6,FALSE))*fcl/IF(dol_sol="dólar", TC,1)</f>
        <v>897.6085367910448</v>
      </c>
      <c r="E1396" s="228">
        <f>D1396/8</f>
        <v>112.2010670988806</v>
      </c>
      <c r="F1396" s="585">
        <f>ROUNDUP(D1396+E1396,2)</f>
        <v>1009.81</v>
      </c>
      <c r="G1396" s="338" t="s">
        <v>11654</v>
      </c>
      <c r="H1396" s="592" t="s">
        <v>11655</v>
      </c>
      <c r="I1396" s="520" t="s">
        <v>11649</v>
      </c>
      <c r="J1396" s="421" t="s">
        <v>753</v>
      </c>
      <c r="K1396" s="520" t="s">
        <v>741</v>
      </c>
    </row>
    <row r="1397" spans="1:11" s="393" customFormat="1">
      <c r="A1397" s="421"/>
      <c r="B1397" s="338" t="s">
        <v>1090</v>
      </c>
      <c r="C1397" s="209">
        <v>5629</v>
      </c>
      <c r="D1397" s="244">
        <f>C1397*(1-VLOOKUP(I1397,descuentos,6,FALSE))*fcl/IF(dol_sol="dólar", TC,1)</f>
        <v>1367.4258331791043</v>
      </c>
      <c r="E1397" s="228">
        <f>D1397/8</f>
        <v>170.92822914738804</v>
      </c>
      <c r="F1397" s="585">
        <f>ROUNDUP(D1397+E1397,2)</f>
        <v>1538.36</v>
      </c>
      <c r="G1397" s="338" t="s">
        <v>4736</v>
      </c>
      <c r="H1397" s="592" t="s">
        <v>1087</v>
      </c>
      <c r="I1397" s="520" t="s">
        <v>11649</v>
      </c>
      <c r="J1397" s="421" t="s">
        <v>753</v>
      </c>
      <c r="K1397" s="520" t="s">
        <v>741</v>
      </c>
    </row>
    <row r="1398" spans="1:11" s="341" customFormat="1">
      <c r="A1398" s="421"/>
      <c r="B1398" s="338" t="s">
        <v>1091</v>
      </c>
      <c r="C1398" s="209">
        <v>6636</v>
      </c>
      <c r="D1398" s="244">
        <f>C1398*(1-VLOOKUP(I1398,descuentos,6,FALSE))*fcl/IF(dol_sol="dólar", TC,1)</f>
        <v>1612.0514885373132</v>
      </c>
      <c r="E1398" s="228">
        <f>D1398/8</f>
        <v>201.50643606716415</v>
      </c>
      <c r="F1398" s="585">
        <f>ROUNDUP(D1398+E1398,2)</f>
        <v>1813.56</v>
      </c>
      <c r="G1398" s="338" t="s">
        <v>4737</v>
      </c>
      <c r="H1398" s="592" t="s">
        <v>1092</v>
      </c>
      <c r="I1398" s="520" t="s">
        <v>11649</v>
      </c>
      <c r="J1398" s="421" t="s">
        <v>753</v>
      </c>
      <c r="K1398" s="520" t="s">
        <v>741</v>
      </c>
    </row>
    <row r="1399" spans="1:11" s="341" customFormat="1">
      <c r="A1399" s="421"/>
      <c r="B1399" s="338"/>
      <c r="C1399" s="209" t="s">
        <v>2058</v>
      </c>
      <c r="D1399" s="244"/>
      <c r="E1399" s="228"/>
      <c r="F1399" s="585"/>
      <c r="G1399" s="338"/>
      <c r="H1399" s="592"/>
      <c r="I1399" s="520"/>
      <c r="J1399" s="421"/>
      <c r="K1399" s="520"/>
    </row>
    <row r="1400" spans="1:11" s="393" customFormat="1">
      <c r="A1400" s="421"/>
      <c r="B1400" s="394" t="s">
        <v>2314</v>
      </c>
      <c r="C1400" s="389">
        <v>7034</v>
      </c>
      <c r="D1400" s="388">
        <f>C1400*(1-VLOOKUP(I1400,descuentos,6,FALSE))*fcl/IF(dol_sol="dólar", TC,1)</f>
        <v>1708.7357098208952</v>
      </c>
      <c r="E1400" s="386">
        <f>D1400/8</f>
        <v>213.5919637276119</v>
      </c>
      <c r="F1400" s="582">
        <f>ROUNDUP(D1400+E1400,2)</f>
        <v>1922.33</v>
      </c>
      <c r="G1400" s="394" t="s">
        <v>4738</v>
      </c>
      <c r="H1400" s="592" t="s">
        <v>2315</v>
      </c>
      <c r="I1400" s="520" t="s">
        <v>11649</v>
      </c>
      <c r="J1400" s="421" t="s">
        <v>753</v>
      </c>
      <c r="K1400" s="520" t="s">
        <v>741</v>
      </c>
    </row>
    <row r="1401" spans="1:11" s="341" customFormat="1">
      <c r="A1401" s="421"/>
      <c r="B1401" s="394" t="s">
        <v>2316</v>
      </c>
      <c r="C1401" s="389">
        <v>8051</v>
      </c>
      <c r="D1401" s="388">
        <f>C1401*(1-VLOOKUP(I1401,descuentos,6,FALSE))*fcl/IF(dol_sol="dólar", TC,1)</f>
        <v>1955.7906169701491</v>
      </c>
      <c r="E1401" s="386">
        <f>D1401/8</f>
        <v>244.47382712126864</v>
      </c>
      <c r="F1401" s="582">
        <f>ROUNDUP(D1401+E1401,2)</f>
        <v>2200.2700000000004</v>
      </c>
      <c r="G1401" s="394" t="s">
        <v>4739</v>
      </c>
      <c r="H1401" s="592" t="s">
        <v>2317</v>
      </c>
      <c r="I1401" s="520" t="s">
        <v>11649</v>
      </c>
      <c r="J1401" s="421" t="s">
        <v>753</v>
      </c>
      <c r="K1401" s="520" t="s">
        <v>741</v>
      </c>
    </row>
    <row r="1402" spans="1:11" s="339" customFormat="1">
      <c r="A1402" s="421"/>
      <c r="B1402" s="338"/>
      <c r="C1402" s="209" t="s">
        <v>2058</v>
      </c>
      <c r="D1402" s="244"/>
      <c r="E1402" s="228"/>
      <c r="F1402" s="585"/>
      <c r="G1402" s="338"/>
      <c r="H1402" s="592"/>
      <c r="I1402" s="520"/>
      <c r="J1402" s="421"/>
      <c r="K1402" s="520"/>
    </row>
    <row r="1403" spans="1:11" s="341" customFormat="1">
      <c r="A1403" s="425"/>
      <c r="B1403" s="580" t="s">
        <v>13180</v>
      </c>
      <c r="C1403" s="389">
        <v>8056</v>
      </c>
      <c r="D1403" s="388">
        <f>C1403*(1-VLOOKUP(I1403,descuentos,6,FALSE))*fcl/IF(dol_sol="dólar", TC,1)</f>
        <v>1957.0052428656716</v>
      </c>
      <c r="E1403" s="386">
        <f>D1403/8</f>
        <v>244.62565535820895</v>
      </c>
      <c r="F1403" s="582">
        <f>ROUNDUP(D1403+E1403,2)</f>
        <v>2201.6400000000003</v>
      </c>
      <c r="G1403" s="394" t="s">
        <v>13181</v>
      </c>
      <c r="H1403" s="580" t="s">
        <v>13182</v>
      </c>
      <c r="I1403" s="622" t="s">
        <v>11649</v>
      </c>
      <c r="J1403" s="425" t="s">
        <v>753</v>
      </c>
      <c r="K1403" s="622" t="s">
        <v>741</v>
      </c>
    </row>
    <row r="1404" spans="1:11" s="341" customFormat="1">
      <c r="A1404" s="421"/>
      <c r="B1404" s="338"/>
      <c r="C1404" s="209" t="s">
        <v>2058</v>
      </c>
      <c r="D1404" s="244"/>
      <c r="E1404" s="228"/>
      <c r="F1404" s="585"/>
      <c r="G1404" s="338"/>
      <c r="H1404" s="592"/>
      <c r="I1404" s="520"/>
      <c r="J1404" s="421"/>
      <c r="K1404" s="520"/>
    </row>
    <row r="1405" spans="1:11" s="196" customFormat="1">
      <c r="A1405" s="1740"/>
      <c r="B1405" s="643" t="s">
        <v>14260</v>
      </c>
      <c r="C1405" s="637">
        <v>1181</v>
      </c>
      <c r="D1405" s="243">
        <f>C1405*(1-VLOOKUP(I1405,descuentos,6,FALSE))*fcl/IF(dol_sol="dólar", TC,1)</f>
        <v>286.89463652238805</v>
      </c>
      <c r="E1405" s="228">
        <v>10</v>
      </c>
      <c r="F1405" s="585">
        <f>ROUNDUP(D1405+E1405,2)</f>
        <v>296.89999999999998</v>
      </c>
      <c r="G1405" s="592" t="s">
        <v>14261</v>
      </c>
      <c r="H1405" s="643" t="s">
        <v>14262</v>
      </c>
      <c r="I1405" s="639" t="s">
        <v>11649</v>
      </c>
      <c r="J1405" s="635" t="s">
        <v>753</v>
      </c>
      <c r="K1405" s="639" t="s">
        <v>741</v>
      </c>
    </row>
    <row r="1406" spans="1:11" s="341" customFormat="1">
      <c r="A1406" s="421"/>
      <c r="B1406" s="338"/>
      <c r="C1406" s="209" t="s">
        <v>2058</v>
      </c>
      <c r="D1406" s="244"/>
      <c r="E1406" s="228"/>
      <c r="F1406" s="585"/>
      <c r="G1406" s="338"/>
      <c r="H1406" s="592"/>
      <c r="I1406" s="520"/>
      <c r="J1406" s="421"/>
      <c r="K1406" s="520"/>
    </row>
    <row r="1407" spans="1:11" s="341" customFormat="1" ht="35.25" customHeight="1">
      <c r="A1407" s="421"/>
      <c r="B1407" s="1738" t="s">
        <v>6879</v>
      </c>
      <c r="C1407" s="209" t="s">
        <v>2058</v>
      </c>
      <c r="D1407" s="244"/>
      <c r="E1407" s="228"/>
      <c r="F1407" s="585"/>
      <c r="G1407" s="338"/>
      <c r="H1407" s="592"/>
      <c r="I1407" s="520"/>
      <c r="J1407" s="421"/>
      <c r="K1407" s="520"/>
    </row>
    <row r="1408" spans="1:11" s="341" customFormat="1">
      <c r="A1408" s="1737"/>
      <c r="B1408" s="394" t="s">
        <v>6880</v>
      </c>
      <c r="C1408" s="389">
        <v>8436</v>
      </c>
      <c r="D1408" s="244">
        <f t="shared" ref="D1408:D1414" si="208">C1408*(1-VLOOKUP(I1408,descuentos,6,FALSE))*fcl/IF(dol_sol="dólar", TC,1)</f>
        <v>2049.3168109253729</v>
      </c>
      <c r="E1408" s="228">
        <f>D1408/8</f>
        <v>256.16460136567161</v>
      </c>
      <c r="F1408" s="585">
        <f t="shared" ref="F1408:F1414" si="209">ROUNDUP(D1408+E1408,2)</f>
        <v>2305.4900000000002</v>
      </c>
      <c r="G1408" s="338" t="s">
        <v>6881</v>
      </c>
      <c r="H1408" s="592" t="s">
        <v>6882</v>
      </c>
      <c r="I1408" s="520" t="s">
        <v>11649</v>
      </c>
      <c r="J1408" s="421" t="s">
        <v>753</v>
      </c>
      <c r="K1408" s="520" t="s">
        <v>741</v>
      </c>
    </row>
    <row r="1409" spans="1:11" s="341" customFormat="1">
      <c r="A1409" s="1737"/>
      <c r="B1409" s="1939" t="s">
        <v>9576</v>
      </c>
      <c r="C1409" s="389">
        <v>8295</v>
      </c>
      <c r="D1409" s="244">
        <f t="shared" ref="D1409" si="210">C1409*(1-VLOOKUP(I1409,descuentos,6,FALSE))*fcl/IF(dol_sol="dólar", TC,1)</f>
        <v>2015.0643606716417</v>
      </c>
      <c r="E1409" s="228">
        <f>D1409/8</f>
        <v>251.88304508395521</v>
      </c>
      <c r="F1409" s="585">
        <f t="shared" si="209"/>
        <v>2266.9500000000003</v>
      </c>
      <c r="G1409" s="338" t="s">
        <v>9577</v>
      </c>
      <c r="H1409" s="592" t="s">
        <v>9578</v>
      </c>
      <c r="I1409" s="520" t="s">
        <v>11649</v>
      </c>
      <c r="J1409" s="421" t="s">
        <v>753</v>
      </c>
      <c r="K1409" s="520" t="s">
        <v>741</v>
      </c>
    </row>
    <row r="1410" spans="1:11" s="341" customFormat="1">
      <c r="A1410" s="1737"/>
      <c r="B1410" s="394" t="s">
        <v>6883</v>
      </c>
      <c r="C1410" s="389">
        <v>5226</v>
      </c>
      <c r="D1410" s="244">
        <f t="shared" si="208"/>
        <v>1269.5269859999999</v>
      </c>
      <c r="E1410" s="228">
        <f>D1410/8</f>
        <v>158.69087324999998</v>
      </c>
      <c r="F1410" s="585">
        <f t="shared" si="209"/>
        <v>1428.22</v>
      </c>
      <c r="G1410" s="394" t="s">
        <v>6884</v>
      </c>
      <c r="H1410" s="592" t="s">
        <v>6885</v>
      </c>
      <c r="I1410" s="520" t="s">
        <v>11649</v>
      </c>
      <c r="J1410" s="421" t="s">
        <v>753</v>
      </c>
      <c r="K1410" s="520" t="s">
        <v>741</v>
      </c>
    </row>
    <row r="1411" spans="1:11" s="341" customFormat="1">
      <c r="A1411" s="1737"/>
      <c r="B1411" s="394" t="s">
        <v>6886</v>
      </c>
      <c r="C1411" s="389">
        <v>1656</v>
      </c>
      <c r="D1411" s="244">
        <f t="shared" si="208"/>
        <v>402.28409659701492</v>
      </c>
      <c r="E1411" s="228">
        <f>D1411/8</f>
        <v>50.285512074626865</v>
      </c>
      <c r="F1411" s="585">
        <f t="shared" si="209"/>
        <v>452.57</v>
      </c>
      <c r="G1411" s="394" t="s">
        <v>6887</v>
      </c>
      <c r="H1411" s="592" t="s">
        <v>6888</v>
      </c>
      <c r="I1411" s="520" t="s">
        <v>11649</v>
      </c>
      <c r="J1411" s="421" t="s">
        <v>753</v>
      </c>
      <c r="K1411" s="520" t="s">
        <v>741</v>
      </c>
    </row>
    <row r="1412" spans="1:11" s="341" customFormat="1">
      <c r="A1412" s="1737"/>
      <c r="B1412" s="592" t="s">
        <v>5153</v>
      </c>
      <c r="C1412" s="209">
        <v>269</v>
      </c>
      <c r="D1412" s="244">
        <f t="shared" si="208"/>
        <v>65.346873179104477</v>
      </c>
      <c r="E1412" s="228">
        <v>15</v>
      </c>
      <c r="F1412" s="585">
        <f t="shared" si="209"/>
        <v>80.350000000000009</v>
      </c>
      <c r="G1412" s="592" t="s">
        <v>5154</v>
      </c>
      <c r="H1412" s="592" t="s">
        <v>1737</v>
      </c>
      <c r="I1412" s="520" t="s">
        <v>11649</v>
      </c>
      <c r="J1412" s="421" t="s">
        <v>753</v>
      </c>
      <c r="K1412" s="520" t="s">
        <v>741</v>
      </c>
    </row>
    <row r="1413" spans="1:11" s="341" customFormat="1">
      <c r="A1413" s="1737"/>
      <c r="B1413" s="592" t="s">
        <v>1289</v>
      </c>
      <c r="C1413" s="209">
        <v>479</v>
      </c>
      <c r="D1413" s="244">
        <f t="shared" si="208"/>
        <v>116.36116079104477</v>
      </c>
      <c r="E1413" s="228">
        <v>8</v>
      </c>
      <c r="F1413" s="585">
        <f t="shared" si="209"/>
        <v>124.37</v>
      </c>
      <c r="G1413" s="592" t="s">
        <v>2338</v>
      </c>
      <c r="H1413" s="592" t="s">
        <v>1288</v>
      </c>
      <c r="I1413" s="520" t="s">
        <v>11649</v>
      </c>
      <c r="J1413" s="421" t="s">
        <v>753</v>
      </c>
      <c r="K1413" s="520" t="s">
        <v>741</v>
      </c>
    </row>
    <row r="1414" spans="1:11" s="341" customFormat="1">
      <c r="A1414" s="1737"/>
      <c r="B1414" s="592" t="s">
        <v>1238</v>
      </c>
      <c r="C1414" s="209">
        <v>4633</v>
      </c>
      <c r="D1414" s="244">
        <f t="shared" si="208"/>
        <v>1125.4723547910446</v>
      </c>
      <c r="E1414" s="228">
        <v>35</v>
      </c>
      <c r="F1414" s="585">
        <f t="shared" si="209"/>
        <v>1160.48</v>
      </c>
      <c r="G1414" s="338" t="s">
        <v>2333</v>
      </c>
      <c r="H1414" s="592" t="s">
        <v>1239</v>
      </c>
      <c r="I1414" s="520" t="s">
        <v>11649</v>
      </c>
      <c r="J1414" s="421" t="s">
        <v>753</v>
      </c>
      <c r="K1414" s="520" t="s">
        <v>741</v>
      </c>
    </row>
    <row r="1415" spans="1:11" s="341" customFormat="1">
      <c r="A1415" s="421"/>
      <c r="B1415" s="338"/>
      <c r="C1415" s="209" t="s">
        <v>2058</v>
      </c>
      <c r="D1415" s="388"/>
      <c r="E1415" s="386"/>
      <c r="F1415" s="582"/>
      <c r="G1415" s="338"/>
      <c r="H1415" s="592"/>
      <c r="I1415" s="520"/>
      <c r="J1415" s="421"/>
      <c r="K1415" s="520"/>
    </row>
    <row r="1416" spans="1:11" s="341" customFormat="1">
      <c r="A1416" s="421"/>
      <c r="B1416" s="338"/>
      <c r="C1416" s="209" t="s">
        <v>2058</v>
      </c>
      <c r="D1416" s="244"/>
      <c r="E1416" s="228"/>
      <c r="F1416" s="585"/>
      <c r="G1416" s="338"/>
      <c r="H1416" s="592"/>
      <c r="I1416" s="520"/>
      <c r="J1416" s="421"/>
      <c r="K1416" s="520"/>
    </row>
    <row r="1417" spans="1:11" s="341" customFormat="1">
      <c r="A1417" s="421"/>
      <c r="B1417" s="338"/>
      <c r="C1417" s="209" t="s">
        <v>2058</v>
      </c>
      <c r="D1417" s="244"/>
      <c r="E1417" s="228"/>
      <c r="F1417" s="585">
        <f t="shared" ref="F1417:F1443" si="211">ROUNDUP(D1417+E1417,2)</f>
        <v>0</v>
      </c>
      <c r="G1417" s="338"/>
      <c r="H1417" s="592"/>
      <c r="I1417" s="520"/>
      <c r="J1417" s="421"/>
      <c r="K1417" s="520"/>
    </row>
    <row r="1418" spans="1:11" s="341" customFormat="1">
      <c r="A1418" s="421"/>
      <c r="B1418" s="338" t="s">
        <v>6889</v>
      </c>
      <c r="C1418" s="209">
        <v>6671</v>
      </c>
      <c r="D1418" s="244">
        <f>C1418*(1-VLOOKUP(I1418,descuentos,6,FALSE))*fcl/IF(dol_sol="dólar", TC,1)</f>
        <v>1620.5538698059702</v>
      </c>
      <c r="E1418" s="228">
        <f>D1418/8</f>
        <v>202.56923372574627</v>
      </c>
      <c r="F1418" s="585">
        <f t="shared" si="211"/>
        <v>1823.1299999999999</v>
      </c>
      <c r="G1418" s="338" t="s">
        <v>12265</v>
      </c>
      <c r="H1418" s="592" t="s">
        <v>6890</v>
      </c>
      <c r="I1418" s="520" t="s">
        <v>11649</v>
      </c>
      <c r="J1418" s="421" t="s">
        <v>753</v>
      </c>
      <c r="K1418" s="520" t="s">
        <v>741</v>
      </c>
    </row>
    <row r="1419" spans="1:11" s="341" customFormat="1">
      <c r="A1419" s="421"/>
      <c r="B1419" s="338" t="s">
        <v>1097</v>
      </c>
      <c r="C1419" s="209">
        <v>8502</v>
      </c>
      <c r="D1419" s="244">
        <f>C1419*(1-VLOOKUP(I1419,descuentos,6,FALSE))*fcl/IF(dol_sol="dólar", TC,1)</f>
        <v>2065.3498727462684</v>
      </c>
      <c r="E1419" s="228">
        <f>D1419/8</f>
        <v>258.16873409328355</v>
      </c>
      <c r="F1419" s="585">
        <f t="shared" si="211"/>
        <v>2323.5200000000004</v>
      </c>
      <c r="G1419" s="338" t="s">
        <v>12266</v>
      </c>
      <c r="H1419" s="592" t="s">
        <v>1093</v>
      </c>
      <c r="I1419" s="520" t="s">
        <v>11649</v>
      </c>
      <c r="J1419" s="421" t="s">
        <v>753</v>
      </c>
      <c r="K1419" s="520" t="s">
        <v>741</v>
      </c>
    </row>
    <row r="1420" spans="1:11" s="341" customFormat="1">
      <c r="A1420" s="421"/>
      <c r="B1420" s="338" t="s">
        <v>1098</v>
      </c>
      <c r="C1420" s="209">
        <v>11505</v>
      </c>
      <c r="D1420" s="244">
        <f>C1420*(1-VLOOKUP(I1420,descuentos,6,FALSE))*fcl/IF(dol_sol="dólar", TC,1)</f>
        <v>2794.8541855970143</v>
      </c>
      <c r="E1420" s="228">
        <f>D1420/8</f>
        <v>349.35677319962679</v>
      </c>
      <c r="F1420" s="585">
        <f t="shared" si="211"/>
        <v>3144.2200000000003</v>
      </c>
      <c r="G1420" s="338" t="s">
        <v>12267</v>
      </c>
      <c r="H1420" s="592" t="s">
        <v>1094</v>
      </c>
      <c r="I1420" s="520" t="s">
        <v>11649</v>
      </c>
      <c r="J1420" s="421" t="s">
        <v>753</v>
      </c>
      <c r="K1420" s="520" t="s">
        <v>741</v>
      </c>
    </row>
    <row r="1421" spans="1:11" s="341" customFormat="1">
      <c r="A1421" s="421"/>
      <c r="B1421" s="338"/>
      <c r="C1421" s="209" t="s">
        <v>2058</v>
      </c>
      <c r="D1421" s="244"/>
      <c r="E1421" s="228"/>
      <c r="F1421" s="585">
        <f t="shared" si="211"/>
        <v>0</v>
      </c>
      <c r="G1421" s="338"/>
      <c r="H1421" s="592"/>
      <c r="I1421" s="520"/>
      <c r="J1421" s="421"/>
      <c r="K1421" s="520"/>
    </row>
    <row r="1422" spans="1:11" s="341" customFormat="1">
      <c r="A1422" s="421"/>
      <c r="B1422" s="394" t="s">
        <v>6891</v>
      </c>
      <c r="C1422" s="389">
        <v>8538</v>
      </c>
      <c r="D1422" s="388">
        <f>C1422*(1-VLOOKUP(I1422,descuentos,6,FALSE))*fcl/IF(dol_sol="dólar", TC,1)</f>
        <v>2074.0951791940297</v>
      </c>
      <c r="E1422" s="386">
        <f>D1422/8</f>
        <v>259.26189739925371</v>
      </c>
      <c r="F1422" s="582">
        <f t="shared" si="211"/>
        <v>2333.36</v>
      </c>
      <c r="G1422" s="394" t="s">
        <v>6892</v>
      </c>
      <c r="H1422" s="592" t="s">
        <v>6893</v>
      </c>
      <c r="I1422" s="520" t="s">
        <v>11649</v>
      </c>
      <c r="J1422" s="421" t="s">
        <v>753</v>
      </c>
      <c r="K1422" s="520" t="s">
        <v>741</v>
      </c>
    </row>
    <row r="1423" spans="1:11" s="341" customFormat="1">
      <c r="A1423" s="421"/>
      <c r="B1423" s="394" t="s">
        <v>2318</v>
      </c>
      <c r="C1423" s="389">
        <v>10594</v>
      </c>
      <c r="D1423" s="388">
        <f>C1423*(1-VLOOKUP(I1423,descuentos,6,FALSE))*fcl/IF(dol_sol="dólar", TC,1)</f>
        <v>2573.5493474328355</v>
      </c>
      <c r="E1423" s="386">
        <f>D1423/8</f>
        <v>321.69366842910443</v>
      </c>
      <c r="F1423" s="582">
        <f t="shared" si="211"/>
        <v>2895.25</v>
      </c>
      <c r="G1423" s="394" t="s">
        <v>4740</v>
      </c>
      <c r="H1423" s="592" t="s">
        <v>2319</v>
      </c>
      <c r="I1423" s="520" t="s">
        <v>11649</v>
      </c>
      <c r="J1423" s="421" t="s">
        <v>753</v>
      </c>
      <c r="K1423" s="520" t="s">
        <v>741</v>
      </c>
    </row>
    <row r="1424" spans="1:11" s="341" customFormat="1">
      <c r="A1424" s="421"/>
      <c r="B1424" s="394" t="s">
        <v>6894</v>
      </c>
      <c r="C1424" s="389">
        <v>14659</v>
      </c>
      <c r="D1424" s="388">
        <f>C1424*(1-VLOOKUP(I1424,descuentos,6,FALSE))*fcl/IF(dol_sol="dólar", TC,1)</f>
        <v>3561.0402004925372</v>
      </c>
      <c r="E1424" s="386">
        <f>D1424/8</f>
        <v>445.13002506156715</v>
      </c>
      <c r="F1424" s="582">
        <f t="shared" si="211"/>
        <v>4006.1800000000003</v>
      </c>
      <c r="G1424" s="394" t="s">
        <v>6895</v>
      </c>
      <c r="H1424" s="592" t="s">
        <v>6896</v>
      </c>
      <c r="I1424" s="520" t="s">
        <v>11649</v>
      </c>
      <c r="J1424" s="421" t="s">
        <v>753</v>
      </c>
      <c r="K1424" s="520" t="s">
        <v>741</v>
      </c>
    </row>
    <row r="1425" spans="1:11" s="341" customFormat="1" ht="13.5" customHeight="1">
      <c r="A1425" s="421"/>
      <c r="B1425" s="338"/>
      <c r="C1425" s="209" t="s">
        <v>2058</v>
      </c>
      <c r="D1425" s="244"/>
      <c r="E1425" s="228"/>
      <c r="F1425" s="585">
        <f t="shared" si="211"/>
        <v>0</v>
      </c>
      <c r="G1425" s="338"/>
      <c r="H1425" s="592"/>
      <c r="I1425" s="520"/>
      <c r="J1425" s="421"/>
      <c r="K1425" s="520"/>
    </row>
    <row r="1426" spans="1:11" s="341" customFormat="1">
      <c r="A1426" s="421"/>
      <c r="B1426" s="338" t="s">
        <v>13025</v>
      </c>
      <c r="C1426" s="209">
        <v>7673</v>
      </c>
      <c r="D1426" s="244">
        <f>C1426*(1-VLOOKUP(I1426,descuentos,6,FALSE))*fcl/IF(dol_sol="dólar", TC,1)</f>
        <v>1863.9648992686566</v>
      </c>
      <c r="E1426" s="228">
        <f>D1426/8</f>
        <v>232.99561240858208</v>
      </c>
      <c r="F1426" s="585">
        <f t="shared" si="211"/>
        <v>2096.9700000000003</v>
      </c>
      <c r="G1426" s="338" t="s">
        <v>13026</v>
      </c>
      <c r="H1426" s="592" t="s">
        <v>13027</v>
      </c>
      <c r="I1426" s="520" t="s">
        <v>11649</v>
      </c>
      <c r="J1426" s="421" t="s">
        <v>753</v>
      </c>
      <c r="K1426" s="520" t="s">
        <v>741</v>
      </c>
    </row>
    <row r="1427" spans="1:11" s="341" customFormat="1">
      <c r="A1427" s="421"/>
      <c r="B1427" s="338" t="s">
        <v>1099</v>
      </c>
      <c r="C1427" s="209">
        <v>8980</v>
      </c>
      <c r="D1427" s="244">
        <f>C1427*(1-VLOOKUP(I1427,descuentos,6,FALSE))*fcl/IF(dol_sol="dólar", TC,1)</f>
        <v>2181.4681083582086</v>
      </c>
      <c r="E1427" s="228">
        <f>D1427/8</f>
        <v>272.68351354477608</v>
      </c>
      <c r="F1427" s="585">
        <f t="shared" si="211"/>
        <v>2454.1600000000003</v>
      </c>
      <c r="G1427" s="338" t="s">
        <v>4741</v>
      </c>
      <c r="H1427" s="592" t="s">
        <v>1095</v>
      </c>
      <c r="I1427" s="520" t="s">
        <v>11649</v>
      </c>
      <c r="J1427" s="421" t="s">
        <v>753</v>
      </c>
      <c r="K1427" s="520" t="s">
        <v>741</v>
      </c>
    </row>
    <row r="1428" spans="1:11" s="341" customFormat="1">
      <c r="A1428" s="421"/>
      <c r="B1428" s="338" t="s">
        <v>1100</v>
      </c>
      <c r="C1428" s="209">
        <v>11887</v>
      </c>
      <c r="D1428" s="244">
        <f>C1428*(1-VLOOKUP(I1428,descuentos,6,FALSE))*fcl/IF(dol_sol="dólar", TC,1)</f>
        <v>2887.6516040149254</v>
      </c>
      <c r="E1428" s="228">
        <f>D1428/8</f>
        <v>360.95645050186567</v>
      </c>
      <c r="F1428" s="585">
        <f t="shared" si="211"/>
        <v>3248.61</v>
      </c>
      <c r="G1428" s="338" t="s">
        <v>4742</v>
      </c>
      <c r="H1428" s="592" t="s">
        <v>1096</v>
      </c>
      <c r="I1428" s="520" t="s">
        <v>11649</v>
      </c>
      <c r="J1428" s="421" t="s">
        <v>753</v>
      </c>
      <c r="K1428" s="520" t="s">
        <v>741</v>
      </c>
    </row>
    <row r="1429" spans="1:11" s="341" customFormat="1">
      <c r="A1429" s="421"/>
      <c r="B1429" s="338"/>
      <c r="C1429" s="209" t="s">
        <v>2058</v>
      </c>
      <c r="D1429" s="244"/>
      <c r="E1429" s="228"/>
      <c r="F1429" s="585">
        <f t="shared" si="211"/>
        <v>0</v>
      </c>
      <c r="G1429" s="338"/>
      <c r="H1429" s="592"/>
      <c r="I1429" s="520"/>
      <c r="J1429" s="421"/>
      <c r="K1429" s="520"/>
    </row>
    <row r="1430" spans="1:11" s="341" customFormat="1">
      <c r="A1430" s="421"/>
      <c r="B1430" s="338" t="s">
        <v>6897</v>
      </c>
      <c r="C1430" s="209">
        <v>10937</v>
      </c>
      <c r="D1430" s="244">
        <f>C1430*(1-VLOOKUP(I1430,descuentos,6,FALSE))*fcl/IF(dol_sol="dólar", TC,1)</f>
        <v>2656.8726838656717</v>
      </c>
      <c r="E1430" s="228">
        <f>D1430/8</f>
        <v>332.10908548320896</v>
      </c>
      <c r="F1430" s="585">
        <f t="shared" si="211"/>
        <v>2988.9900000000002</v>
      </c>
      <c r="G1430" s="338" t="s">
        <v>6898</v>
      </c>
      <c r="H1430" s="592" t="s">
        <v>6899</v>
      </c>
      <c r="I1430" s="520" t="s">
        <v>11649</v>
      </c>
      <c r="J1430" s="421" t="s">
        <v>753</v>
      </c>
      <c r="K1430" s="520" t="s">
        <v>741</v>
      </c>
    </row>
    <row r="1431" spans="1:11" s="341" customFormat="1">
      <c r="A1431" s="421"/>
      <c r="B1431" s="338"/>
      <c r="C1431" s="209" t="s">
        <v>2058</v>
      </c>
      <c r="D1431" s="244"/>
      <c r="E1431" s="228"/>
      <c r="F1431" s="585">
        <f t="shared" si="211"/>
        <v>0</v>
      </c>
      <c r="G1431" s="338"/>
      <c r="H1431" s="592"/>
      <c r="I1431" s="520"/>
      <c r="J1431" s="421"/>
      <c r="K1431" s="520"/>
    </row>
    <row r="1432" spans="1:11" s="196" customFormat="1">
      <c r="A1432" s="421"/>
      <c r="B1432" s="338" t="s">
        <v>6900</v>
      </c>
      <c r="C1432" s="209">
        <v>7672</v>
      </c>
      <c r="D1432" s="244">
        <f>C1432*(1-VLOOKUP(I1432,descuentos,6,FALSE))*fcl/IF(dol_sol="dólar", TC,1)</f>
        <v>1863.7219740895521</v>
      </c>
      <c r="E1432" s="228">
        <f>D1432/8</f>
        <v>232.96524676119401</v>
      </c>
      <c r="F1432" s="585">
        <f t="shared" si="211"/>
        <v>2096.69</v>
      </c>
      <c r="G1432" s="338" t="s">
        <v>6901</v>
      </c>
      <c r="H1432" s="592" t="s">
        <v>6902</v>
      </c>
      <c r="I1432" s="520" t="s">
        <v>11649</v>
      </c>
      <c r="J1432" s="421" t="s">
        <v>753</v>
      </c>
      <c r="K1432" s="520" t="s">
        <v>741</v>
      </c>
    </row>
    <row r="1433" spans="1:11" s="196" customFormat="1">
      <c r="A1433" s="421"/>
      <c r="B1433" s="338" t="s">
        <v>1101</v>
      </c>
      <c r="C1433" s="209">
        <v>9579</v>
      </c>
      <c r="D1433" s="244">
        <f>C1433*(1-VLOOKUP(I1433,descuentos,6,FALSE))*fcl/IF(dol_sol="dólar", TC,1)</f>
        <v>2326.9802906417908</v>
      </c>
      <c r="E1433" s="228">
        <f>D1433/8</f>
        <v>290.87253633022385</v>
      </c>
      <c r="F1433" s="585">
        <f t="shared" si="211"/>
        <v>2617.86</v>
      </c>
      <c r="G1433" s="338" t="s">
        <v>4743</v>
      </c>
      <c r="H1433" s="592" t="s">
        <v>1105</v>
      </c>
      <c r="I1433" s="520" t="s">
        <v>11649</v>
      </c>
      <c r="J1433" s="421" t="s">
        <v>753</v>
      </c>
      <c r="K1433" s="520" t="s">
        <v>741</v>
      </c>
    </row>
    <row r="1434" spans="1:11" s="196" customFormat="1">
      <c r="A1434" s="421"/>
      <c r="B1434" s="338" t="s">
        <v>11792</v>
      </c>
      <c r="C1434" s="209">
        <v>10263</v>
      </c>
      <c r="D1434" s="244">
        <f>C1434*(1-VLOOKUP(I1434,descuentos,6,FALSE))*fcl/IF(dol_sol="dólar", TC,1)</f>
        <v>2493.1411131492537</v>
      </c>
      <c r="E1434" s="228">
        <f>D1434/8</f>
        <v>311.64263914365671</v>
      </c>
      <c r="F1434" s="585">
        <f t="shared" si="211"/>
        <v>2804.7900000000004</v>
      </c>
      <c r="G1434" s="338" t="s">
        <v>11793</v>
      </c>
      <c r="H1434" s="592" t="s">
        <v>3622</v>
      </c>
      <c r="I1434" s="520" t="s">
        <v>11649</v>
      </c>
      <c r="J1434" s="421" t="s">
        <v>753</v>
      </c>
      <c r="K1434" s="520" t="s">
        <v>741</v>
      </c>
    </row>
    <row r="1435" spans="1:11" s="196" customFormat="1">
      <c r="A1435" s="421"/>
      <c r="B1435" s="338" t="s">
        <v>1102</v>
      </c>
      <c r="C1435" s="209">
        <v>12677</v>
      </c>
      <c r="D1435" s="244">
        <f>C1435*(1-VLOOKUP(I1435,descuentos,6,FALSE))*fcl/IF(dol_sol="dólar", TC,1)</f>
        <v>3079.5624955074622</v>
      </c>
      <c r="E1435" s="228">
        <f>D1435/8</f>
        <v>384.94531193843278</v>
      </c>
      <c r="F1435" s="585">
        <f t="shared" si="211"/>
        <v>3464.51</v>
      </c>
      <c r="G1435" s="338" t="s">
        <v>4745</v>
      </c>
      <c r="H1435" s="592" t="s">
        <v>1106</v>
      </c>
      <c r="I1435" s="520" t="s">
        <v>11649</v>
      </c>
      <c r="J1435" s="421" t="s">
        <v>753</v>
      </c>
      <c r="K1435" s="520" t="s">
        <v>741</v>
      </c>
    </row>
    <row r="1436" spans="1:11" s="196" customFormat="1">
      <c r="A1436" s="421"/>
      <c r="B1436" s="338"/>
      <c r="C1436" s="209" t="s">
        <v>2058</v>
      </c>
      <c r="D1436" s="244"/>
      <c r="E1436" s="228"/>
      <c r="F1436" s="585">
        <f t="shared" si="211"/>
        <v>0</v>
      </c>
      <c r="G1436" s="338"/>
      <c r="H1436" s="592"/>
      <c r="I1436" s="520"/>
      <c r="J1436" s="421"/>
      <c r="K1436" s="520"/>
    </row>
    <row r="1437" spans="1:11" s="196" customFormat="1">
      <c r="A1437" s="421"/>
      <c r="B1437" s="394" t="s">
        <v>6903</v>
      </c>
      <c r="C1437" s="389">
        <v>9818</v>
      </c>
      <c r="D1437" s="388">
        <f>C1437*(1-VLOOKUP(I1437,descuentos,6,FALSE))*fcl/IF(dol_sol="dólar", TC,1)</f>
        <v>2385.0394084477612</v>
      </c>
      <c r="E1437" s="386">
        <f>D1437/8</f>
        <v>298.12992605597015</v>
      </c>
      <c r="F1437" s="582">
        <f t="shared" si="211"/>
        <v>2683.17</v>
      </c>
      <c r="G1437" s="394" t="s">
        <v>6904</v>
      </c>
      <c r="H1437" s="592" t="s">
        <v>6905</v>
      </c>
      <c r="I1437" s="520" t="s">
        <v>11649</v>
      </c>
      <c r="J1437" s="421" t="s">
        <v>753</v>
      </c>
      <c r="K1437" s="520" t="s">
        <v>741</v>
      </c>
    </row>
    <row r="1438" spans="1:11" s="196" customFormat="1">
      <c r="A1438" s="421"/>
      <c r="B1438" s="394" t="s">
        <v>2320</v>
      </c>
      <c r="C1438" s="389">
        <v>12182</v>
      </c>
      <c r="D1438" s="388">
        <f>C1438*(1-VLOOKUP(I1438,descuentos,6,FALSE))*fcl/IF(dol_sol="dólar", TC,1)</f>
        <v>2959.3145318507459</v>
      </c>
      <c r="E1438" s="386">
        <f>D1438/8</f>
        <v>369.91431648134323</v>
      </c>
      <c r="F1438" s="582">
        <f t="shared" si="211"/>
        <v>3329.23</v>
      </c>
      <c r="G1438" s="394" t="s">
        <v>4744</v>
      </c>
      <c r="H1438" s="592" t="s">
        <v>2321</v>
      </c>
      <c r="I1438" s="520" t="s">
        <v>11649</v>
      </c>
      <c r="J1438" s="421" t="s">
        <v>753</v>
      </c>
      <c r="K1438" s="520" t="s">
        <v>741</v>
      </c>
    </row>
    <row r="1439" spans="1:11" s="196" customFormat="1">
      <c r="A1439" s="421"/>
      <c r="B1439" s="394" t="s">
        <v>6906</v>
      </c>
      <c r="C1439" s="389">
        <v>16124</v>
      </c>
      <c r="D1439" s="388">
        <f>C1439*(1-VLOOKUP(I1439,descuentos,6,FALSE))*fcl/IF(dol_sol="dólar", TC,1)</f>
        <v>3916.9255878805961</v>
      </c>
      <c r="E1439" s="386">
        <f>D1439/8</f>
        <v>489.61569848507452</v>
      </c>
      <c r="F1439" s="582">
        <f t="shared" si="211"/>
        <v>4406.55</v>
      </c>
      <c r="G1439" s="394" t="s">
        <v>6907</v>
      </c>
      <c r="H1439" s="592" t="s">
        <v>6908</v>
      </c>
      <c r="I1439" s="520" t="s">
        <v>11649</v>
      </c>
      <c r="J1439" s="421" t="s">
        <v>753</v>
      </c>
      <c r="K1439" s="520" t="s">
        <v>741</v>
      </c>
    </row>
    <row r="1440" spans="1:11" s="196" customFormat="1">
      <c r="A1440" s="421"/>
      <c r="B1440" s="338"/>
      <c r="C1440" s="209" t="s">
        <v>2058</v>
      </c>
      <c r="D1440" s="244"/>
      <c r="E1440" s="228"/>
      <c r="F1440" s="585">
        <f t="shared" si="211"/>
        <v>0</v>
      </c>
      <c r="G1440" s="338"/>
      <c r="H1440" s="592"/>
      <c r="I1440" s="520"/>
      <c r="J1440" s="421"/>
      <c r="K1440" s="520"/>
    </row>
    <row r="1441" spans="1:11" s="196" customFormat="1">
      <c r="A1441" s="421"/>
      <c r="B1441" s="338" t="s">
        <v>1103</v>
      </c>
      <c r="C1441" s="209">
        <v>9742</v>
      </c>
      <c r="D1441" s="244">
        <f>C1441*(1-VLOOKUP(I1441,descuentos,6,FALSE))*fcl/IF(dol_sol="dólar", TC,1)</f>
        <v>2366.5770948358208</v>
      </c>
      <c r="E1441" s="228">
        <f>D1441/8</f>
        <v>295.82213685447761</v>
      </c>
      <c r="F1441" s="585">
        <f t="shared" si="211"/>
        <v>2662.4</v>
      </c>
      <c r="G1441" s="338" t="s">
        <v>4746</v>
      </c>
      <c r="H1441" s="592" t="s">
        <v>1107</v>
      </c>
      <c r="I1441" s="520" t="s">
        <v>11649</v>
      </c>
      <c r="J1441" s="421" t="s">
        <v>753</v>
      </c>
      <c r="K1441" s="520" t="s">
        <v>741</v>
      </c>
    </row>
    <row r="1442" spans="1:11" s="196" customFormat="1">
      <c r="A1442" s="421"/>
      <c r="B1442" s="338" t="s">
        <v>1104</v>
      </c>
      <c r="C1442" s="209">
        <v>13225</v>
      </c>
      <c r="D1442" s="244">
        <f>C1442*(1-VLOOKUP(I1442,descuentos,6,FALSE))*fcl/IF(dol_sol="dólar", TC,1)</f>
        <v>3212.6854936567161</v>
      </c>
      <c r="E1442" s="228">
        <f>D1442/8</f>
        <v>401.58568670708951</v>
      </c>
      <c r="F1442" s="585">
        <f t="shared" si="211"/>
        <v>3614.28</v>
      </c>
      <c r="G1442" s="338" t="s">
        <v>4747</v>
      </c>
      <c r="H1442" s="592" t="s">
        <v>1108</v>
      </c>
      <c r="I1442" s="520" t="s">
        <v>11649</v>
      </c>
      <c r="J1442" s="421" t="s">
        <v>753</v>
      </c>
      <c r="K1442" s="520" t="s">
        <v>741</v>
      </c>
    </row>
    <row r="1443" spans="1:11" s="341" customFormat="1">
      <c r="A1443" s="421"/>
      <c r="B1443" s="338"/>
      <c r="C1443" s="209" t="s">
        <v>2058</v>
      </c>
      <c r="D1443" s="244"/>
      <c r="E1443" s="228"/>
      <c r="F1443" s="585">
        <f t="shared" si="211"/>
        <v>0</v>
      </c>
      <c r="G1443" s="338"/>
      <c r="H1443" s="592"/>
      <c r="I1443" s="520"/>
      <c r="J1443" s="421"/>
      <c r="K1443" s="520"/>
    </row>
    <row r="1444" spans="1:11" s="341" customFormat="1">
      <c r="A1444" s="421"/>
      <c r="B1444" s="338"/>
      <c r="C1444" s="209" t="s">
        <v>2058</v>
      </c>
      <c r="D1444" s="244"/>
      <c r="E1444" s="228"/>
      <c r="F1444" s="585"/>
      <c r="G1444" s="338"/>
      <c r="H1444" s="592"/>
      <c r="I1444" s="520"/>
      <c r="J1444" s="421"/>
      <c r="K1444" s="520"/>
    </row>
    <row r="1445" spans="1:11" s="341" customFormat="1" ht="35.25" customHeight="1">
      <c r="A1445" s="421"/>
      <c r="B1445" s="1738" t="s">
        <v>6909</v>
      </c>
      <c r="C1445" s="209" t="s">
        <v>2058</v>
      </c>
      <c r="D1445" s="244"/>
      <c r="E1445" s="228"/>
      <c r="F1445" s="585"/>
      <c r="G1445" s="338"/>
      <c r="H1445" s="592"/>
      <c r="I1445" s="520"/>
      <c r="J1445" s="421"/>
      <c r="K1445" s="520"/>
    </row>
    <row r="1446" spans="1:11" s="341" customFormat="1">
      <c r="A1446" s="1737"/>
      <c r="B1446" s="394" t="s">
        <v>6910</v>
      </c>
      <c r="C1446" s="389">
        <v>11895</v>
      </c>
      <c r="D1446" s="244">
        <f t="shared" ref="D1446:D1453" si="212">C1446*(1-VLOOKUP(I1446,descuentos,6,FALSE))*fcl/IF(dol_sol="dólar", TC,1)</f>
        <v>2889.5950054477612</v>
      </c>
      <c r="E1446" s="228">
        <f>D1446/8</f>
        <v>361.19937568097015</v>
      </c>
      <c r="F1446" s="585">
        <f t="shared" ref="F1446:F1453" si="213">ROUNDUP(D1446+E1446,2)</f>
        <v>3250.8</v>
      </c>
      <c r="G1446" s="394" t="s">
        <v>6911</v>
      </c>
      <c r="H1446" s="592" t="s">
        <v>6912</v>
      </c>
      <c r="I1446" s="520" t="s">
        <v>11649</v>
      </c>
      <c r="J1446" s="421" t="s">
        <v>753</v>
      </c>
      <c r="K1446" s="520" t="s">
        <v>741</v>
      </c>
    </row>
    <row r="1447" spans="1:11" s="341" customFormat="1">
      <c r="A1447" s="1737"/>
      <c r="B1447" s="1939" t="s">
        <v>9579</v>
      </c>
      <c r="C1447" s="1940">
        <v>16712</v>
      </c>
      <c r="D1447" s="1941">
        <f t="shared" ref="D1447" si="214">C1447*(1-VLOOKUP(I1447,descuentos,6,FALSE))*fcl/IF(dol_sol="dólar", TC,1)</f>
        <v>4059.7655931940299</v>
      </c>
      <c r="E1447" s="1942">
        <f>D1447/8</f>
        <v>507.47069914925373</v>
      </c>
      <c r="F1447" s="1943">
        <f t="shared" si="213"/>
        <v>4567.24</v>
      </c>
      <c r="G1447" s="394" t="s">
        <v>9580</v>
      </c>
      <c r="H1447" s="592" t="s">
        <v>9581</v>
      </c>
      <c r="I1447" s="520" t="s">
        <v>11649</v>
      </c>
      <c r="J1447" s="421" t="s">
        <v>753</v>
      </c>
      <c r="K1447" s="520" t="s">
        <v>741</v>
      </c>
    </row>
    <row r="1448" spans="1:11" s="341" customFormat="1">
      <c r="A1448" s="1737"/>
      <c r="B1448" s="1939" t="s">
        <v>9582</v>
      </c>
      <c r="C1448" s="1940">
        <v>12198</v>
      </c>
      <c r="D1448" s="1941">
        <f t="shared" ref="D1448" si="215">C1448*(1-VLOOKUP(I1448,descuentos,6,FALSE))*fcl/IF(dol_sol="dólar", TC,1)</f>
        <v>2963.2013347164179</v>
      </c>
      <c r="E1448" s="1942">
        <f>D1448/8</f>
        <v>370.40016683955224</v>
      </c>
      <c r="F1448" s="1943">
        <f t="shared" si="213"/>
        <v>3333.61</v>
      </c>
      <c r="G1448" s="394" t="s">
        <v>9583</v>
      </c>
      <c r="H1448" s="592" t="s">
        <v>3030</v>
      </c>
      <c r="I1448" s="520" t="s">
        <v>11649</v>
      </c>
      <c r="J1448" s="421" t="s">
        <v>753</v>
      </c>
      <c r="K1448" s="520" t="s">
        <v>741</v>
      </c>
    </row>
    <row r="1449" spans="1:11" s="341" customFormat="1">
      <c r="A1449" s="1737"/>
      <c r="B1449" s="394" t="s">
        <v>6913</v>
      </c>
      <c r="C1449" s="389">
        <v>5030</v>
      </c>
      <c r="D1449" s="244">
        <f t="shared" si="212"/>
        <v>1221.9136508955223</v>
      </c>
      <c r="E1449" s="228">
        <f>D1449/8</f>
        <v>152.73920636194029</v>
      </c>
      <c r="F1449" s="585">
        <f t="shared" si="213"/>
        <v>1374.66</v>
      </c>
      <c r="G1449" s="394" t="s">
        <v>6914</v>
      </c>
      <c r="H1449" s="592" t="s">
        <v>6915</v>
      </c>
      <c r="I1449" s="520" t="s">
        <v>11649</v>
      </c>
      <c r="J1449" s="421" t="s">
        <v>753</v>
      </c>
      <c r="K1449" s="520" t="s">
        <v>741</v>
      </c>
    </row>
    <row r="1450" spans="1:11" s="341" customFormat="1">
      <c r="A1450" s="1737"/>
      <c r="B1450" s="394" t="s">
        <v>6916</v>
      </c>
      <c r="C1450" s="389">
        <v>815</v>
      </c>
      <c r="D1450" s="244">
        <f t="shared" si="212"/>
        <v>197.98402097014923</v>
      </c>
      <c r="E1450" s="228">
        <f>D1450/8</f>
        <v>24.748002621268654</v>
      </c>
      <c r="F1450" s="585">
        <f t="shared" si="213"/>
        <v>222.73999999999998</v>
      </c>
      <c r="G1450" s="394" t="s">
        <v>6917</v>
      </c>
      <c r="H1450" s="592" t="s">
        <v>6918</v>
      </c>
      <c r="I1450" s="520" t="s">
        <v>11649</v>
      </c>
      <c r="J1450" s="421" t="s">
        <v>753</v>
      </c>
      <c r="K1450" s="520" t="s">
        <v>741</v>
      </c>
    </row>
    <row r="1451" spans="1:11" s="341" customFormat="1">
      <c r="A1451" s="1737"/>
      <c r="B1451" s="592" t="s">
        <v>1248</v>
      </c>
      <c r="C1451" s="209">
        <v>529</v>
      </c>
      <c r="D1451" s="244">
        <f t="shared" si="212"/>
        <v>128.50741974626862</v>
      </c>
      <c r="E1451" s="228">
        <v>15</v>
      </c>
      <c r="F1451" s="585">
        <f t="shared" si="213"/>
        <v>143.51</v>
      </c>
      <c r="G1451" s="592" t="s">
        <v>5159</v>
      </c>
      <c r="H1451" s="592" t="s">
        <v>1250</v>
      </c>
      <c r="I1451" s="520" t="s">
        <v>11649</v>
      </c>
      <c r="J1451" s="421" t="s">
        <v>753</v>
      </c>
      <c r="K1451" s="520" t="s">
        <v>741</v>
      </c>
    </row>
    <row r="1452" spans="1:11" s="341" customFormat="1">
      <c r="A1452" s="1737"/>
      <c r="B1452" s="592" t="s">
        <v>1302</v>
      </c>
      <c r="C1452" s="209">
        <v>272</v>
      </c>
      <c r="D1452" s="244">
        <f t="shared" si="212"/>
        <v>66.075648716417888</v>
      </c>
      <c r="E1452" s="228">
        <v>8</v>
      </c>
      <c r="F1452" s="585">
        <f t="shared" si="213"/>
        <v>74.08</v>
      </c>
      <c r="G1452" s="592" t="s">
        <v>2340</v>
      </c>
      <c r="H1452" s="592" t="s">
        <v>1303</v>
      </c>
      <c r="I1452" s="520" t="s">
        <v>11649</v>
      </c>
      <c r="J1452" s="421" t="s">
        <v>753</v>
      </c>
      <c r="K1452" s="520" t="s">
        <v>741</v>
      </c>
    </row>
    <row r="1453" spans="1:11" s="341" customFormat="1">
      <c r="A1453" s="1737"/>
      <c r="B1453" s="592" t="s">
        <v>1254</v>
      </c>
      <c r="C1453" s="209">
        <v>3174</v>
      </c>
      <c r="D1453" s="244">
        <f t="shared" si="212"/>
        <v>771.04451847761186</v>
      </c>
      <c r="E1453" s="228">
        <v>15</v>
      </c>
      <c r="F1453" s="585">
        <f t="shared" si="213"/>
        <v>786.05</v>
      </c>
      <c r="G1453" s="592" t="s">
        <v>2334</v>
      </c>
      <c r="H1453" s="592" t="s">
        <v>1249</v>
      </c>
      <c r="I1453" s="520" t="s">
        <v>11649</v>
      </c>
      <c r="J1453" s="421" t="s">
        <v>753</v>
      </c>
      <c r="K1453" s="520" t="s">
        <v>741</v>
      </c>
    </row>
    <row r="1454" spans="1:11" s="341" customFormat="1">
      <c r="A1454" s="421"/>
      <c r="B1454" s="338"/>
      <c r="C1454" s="209" t="s">
        <v>2058</v>
      </c>
      <c r="D1454" s="388"/>
      <c r="E1454" s="386"/>
      <c r="F1454" s="582"/>
      <c r="G1454" s="338"/>
      <c r="H1454" s="592"/>
      <c r="I1454" s="520"/>
      <c r="J1454" s="421"/>
      <c r="K1454" s="520"/>
    </row>
    <row r="1455" spans="1:11" s="341" customFormat="1">
      <c r="A1455" s="421"/>
      <c r="B1455" s="338"/>
      <c r="C1455" s="209" t="s">
        <v>2058</v>
      </c>
      <c r="D1455" s="244"/>
      <c r="E1455" s="228"/>
      <c r="F1455" s="585"/>
      <c r="G1455" s="338"/>
      <c r="H1455" s="592"/>
      <c r="I1455" s="520"/>
      <c r="J1455" s="421"/>
      <c r="K1455" s="520"/>
    </row>
    <row r="1456" spans="1:11" s="341" customFormat="1" ht="35.25" customHeight="1">
      <c r="A1456" s="421"/>
      <c r="B1456" s="1738" t="s">
        <v>6919</v>
      </c>
      <c r="C1456" s="209" t="s">
        <v>2058</v>
      </c>
      <c r="D1456" s="244"/>
      <c r="E1456" s="228"/>
      <c r="F1456" s="585"/>
      <c r="G1456" s="338"/>
      <c r="H1456" s="592"/>
      <c r="I1456" s="520"/>
      <c r="J1456" s="421"/>
      <c r="K1456" s="520"/>
    </row>
    <row r="1457" spans="1:11" s="341" customFormat="1">
      <c r="A1457" s="1737"/>
      <c r="B1457" s="394" t="s">
        <v>6920</v>
      </c>
      <c r="C1457" s="389">
        <v>11895</v>
      </c>
      <c r="D1457" s="244">
        <f t="shared" ref="D1457:D1464" si="216">C1457*(1-VLOOKUP(I1457,descuentos,6,FALSE))*fcl/IF(dol_sol="dólar", TC,1)</f>
        <v>2889.5950054477612</v>
      </c>
      <c r="E1457" s="228">
        <f>D1457/8</f>
        <v>361.19937568097015</v>
      </c>
      <c r="F1457" s="585">
        <f t="shared" ref="F1457:F1464" si="217">ROUNDUP(D1457+E1457,2)</f>
        <v>3250.8</v>
      </c>
      <c r="G1457" s="394" t="s">
        <v>6921</v>
      </c>
      <c r="H1457" s="592" t="s">
        <v>6912</v>
      </c>
      <c r="I1457" s="520" t="s">
        <v>11649</v>
      </c>
      <c r="J1457" s="421" t="s">
        <v>753</v>
      </c>
      <c r="K1457" s="520" t="s">
        <v>741</v>
      </c>
    </row>
    <row r="1458" spans="1:11" s="341" customFormat="1">
      <c r="A1458" s="1737"/>
      <c r="B1458" s="394" t="s">
        <v>9971</v>
      </c>
      <c r="C1458" s="389">
        <v>10566</v>
      </c>
      <c r="D1458" s="244">
        <f t="shared" ref="D1458" si="218">C1458*(1-VLOOKUP(I1458,descuentos,6,FALSE))*fcl/IF(dol_sol="dólar", TC,1)</f>
        <v>2566.74744241791</v>
      </c>
      <c r="E1458" s="228">
        <f>D1458/8</f>
        <v>320.84343030223874</v>
      </c>
      <c r="F1458" s="585">
        <f t="shared" si="217"/>
        <v>2887.6000000000004</v>
      </c>
      <c r="G1458" s="394" t="s">
        <v>9585</v>
      </c>
      <c r="H1458" s="592" t="s">
        <v>9586</v>
      </c>
      <c r="I1458" s="520" t="s">
        <v>11649</v>
      </c>
      <c r="J1458" s="421" t="s">
        <v>753</v>
      </c>
      <c r="K1458" s="520" t="s">
        <v>741</v>
      </c>
    </row>
    <row r="1459" spans="1:11" s="341" customFormat="1">
      <c r="A1459" s="1737"/>
      <c r="B1459" s="1939" t="s">
        <v>9584</v>
      </c>
      <c r="C1459" s="389">
        <v>10566</v>
      </c>
      <c r="D1459" s="244">
        <f t="shared" ref="D1459" si="219">C1459*(1-VLOOKUP(I1459,descuentos,6,FALSE))*fcl/IF(dol_sol="dólar", TC,1)</f>
        <v>2566.74744241791</v>
      </c>
      <c r="E1459" s="228">
        <f>D1459/8</f>
        <v>320.84343030223874</v>
      </c>
      <c r="F1459" s="585">
        <f t="shared" si="217"/>
        <v>2887.6000000000004</v>
      </c>
      <c r="G1459" s="394" t="s">
        <v>9585</v>
      </c>
      <c r="H1459" s="592" t="s">
        <v>9586</v>
      </c>
      <c r="I1459" s="520" t="s">
        <v>11649</v>
      </c>
      <c r="J1459" s="421" t="s">
        <v>753</v>
      </c>
      <c r="K1459" s="520" t="s">
        <v>741</v>
      </c>
    </row>
    <row r="1460" spans="1:11" s="341" customFormat="1">
      <c r="A1460" s="1737"/>
      <c r="B1460" s="394" t="s">
        <v>6913</v>
      </c>
      <c r="C1460" s="389">
        <v>5030</v>
      </c>
      <c r="D1460" s="244">
        <f t="shared" si="216"/>
        <v>1221.9136508955223</v>
      </c>
      <c r="E1460" s="228">
        <f>D1460/8</f>
        <v>152.73920636194029</v>
      </c>
      <c r="F1460" s="585">
        <f t="shared" si="217"/>
        <v>1374.66</v>
      </c>
      <c r="G1460" s="394" t="s">
        <v>6914</v>
      </c>
      <c r="H1460" s="592" t="s">
        <v>6915</v>
      </c>
      <c r="I1460" s="520" t="s">
        <v>11649</v>
      </c>
      <c r="J1460" s="421" t="s">
        <v>753</v>
      </c>
      <c r="K1460" s="520" t="s">
        <v>741</v>
      </c>
    </row>
    <row r="1461" spans="1:11" s="341" customFormat="1">
      <c r="A1461" s="1737"/>
      <c r="B1461" s="394" t="s">
        <v>6916</v>
      </c>
      <c r="C1461" s="389">
        <v>815</v>
      </c>
      <c r="D1461" s="244">
        <f t="shared" si="216"/>
        <v>197.98402097014923</v>
      </c>
      <c r="E1461" s="228">
        <f>D1461/8</f>
        <v>24.748002621268654</v>
      </c>
      <c r="F1461" s="585">
        <f t="shared" si="217"/>
        <v>222.73999999999998</v>
      </c>
      <c r="G1461" s="394" t="s">
        <v>6917</v>
      </c>
      <c r="H1461" s="592" t="s">
        <v>6918</v>
      </c>
      <c r="I1461" s="520" t="s">
        <v>11649</v>
      </c>
      <c r="J1461" s="421" t="s">
        <v>753</v>
      </c>
      <c r="K1461" s="520" t="s">
        <v>741</v>
      </c>
    </row>
    <row r="1462" spans="1:11" s="341" customFormat="1">
      <c r="A1462" s="1737"/>
      <c r="B1462" s="592" t="s">
        <v>1248</v>
      </c>
      <c r="C1462" s="209">
        <v>529</v>
      </c>
      <c r="D1462" s="244">
        <f t="shared" si="216"/>
        <v>128.50741974626862</v>
      </c>
      <c r="E1462" s="228">
        <v>15</v>
      </c>
      <c r="F1462" s="585">
        <f t="shared" si="217"/>
        <v>143.51</v>
      </c>
      <c r="G1462" s="592" t="s">
        <v>5159</v>
      </c>
      <c r="H1462" s="592" t="s">
        <v>1250</v>
      </c>
      <c r="I1462" s="520" t="s">
        <v>11649</v>
      </c>
      <c r="J1462" s="421" t="s">
        <v>753</v>
      </c>
      <c r="K1462" s="520" t="s">
        <v>741</v>
      </c>
    </row>
    <row r="1463" spans="1:11" s="341" customFormat="1">
      <c r="A1463" s="1737"/>
      <c r="B1463" s="592" t="s">
        <v>1302</v>
      </c>
      <c r="C1463" s="209">
        <v>272</v>
      </c>
      <c r="D1463" s="244">
        <f t="shared" si="216"/>
        <v>66.075648716417888</v>
      </c>
      <c r="E1463" s="228">
        <v>8</v>
      </c>
      <c r="F1463" s="585">
        <f t="shared" si="217"/>
        <v>74.08</v>
      </c>
      <c r="G1463" s="592" t="s">
        <v>2340</v>
      </c>
      <c r="H1463" s="592" t="s">
        <v>1303</v>
      </c>
      <c r="I1463" s="520" t="s">
        <v>11649</v>
      </c>
      <c r="J1463" s="421" t="s">
        <v>753</v>
      </c>
      <c r="K1463" s="520" t="s">
        <v>741</v>
      </c>
    </row>
    <row r="1464" spans="1:11" s="341" customFormat="1">
      <c r="A1464" s="1737"/>
      <c r="B1464" s="592" t="s">
        <v>1254</v>
      </c>
      <c r="C1464" s="209">
        <v>3174</v>
      </c>
      <c r="D1464" s="244">
        <f t="shared" si="216"/>
        <v>771.04451847761186</v>
      </c>
      <c r="E1464" s="228">
        <v>15</v>
      </c>
      <c r="F1464" s="585">
        <f t="shared" si="217"/>
        <v>786.05</v>
      </c>
      <c r="G1464" s="592" t="s">
        <v>2334</v>
      </c>
      <c r="H1464" s="592" t="s">
        <v>1249</v>
      </c>
      <c r="I1464" s="520" t="s">
        <v>11649</v>
      </c>
      <c r="J1464" s="421" t="s">
        <v>753</v>
      </c>
      <c r="K1464" s="520" t="s">
        <v>741</v>
      </c>
    </row>
    <row r="1465" spans="1:11" s="341" customFormat="1">
      <c r="A1465" s="421"/>
      <c r="B1465" s="338"/>
      <c r="C1465" s="209" t="s">
        <v>2058</v>
      </c>
      <c r="D1465" s="388"/>
      <c r="E1465" s="386"/>
      <c r="F1465" s="582"/>
      <c r="G1465" s="338"/>
      <c r="H1465" s="592"/>
      <c r="I1465" s="520"/>
      <c r="J1465" s="421"/>
      <c r="K1465" s="520"/>
    </row>
    <row r="1466" spans="1:11" s="341" customFormat="1">
      <c r="A1466" s="421"/>
      <c r="B1466" s="338"/>
      <c r="C1466" s="209" t="s">
        <v>2058</v>
      </c>
      <c r="D1466" s="244"/>
      <c r="E1466" s="228"/>
      <c r="F1466" s="585"/>
      <c r="G1466" s="338"/>
      <c r="H1466" s="592"/>
      <c r="I1466" s="520"/>
      <c r="J1466" s="421"/>
      <c r="K1466" s="520"/>
    </row>
    <row r="1467" spans="1:11" s="341" customFormat="1">
      <c r="A1467" s="421"/>
      <c r="B1467" s="338" t="s">
        <v>1536</v>
      </c>
      <c r="C1467" s="209">
        <v>17649</v>
      </c>
      <c r="D1467" s="244">
        <f>C1467*(1-VLOOKUP(I1467,descuentos,6,FALSE))*fcl/IF(dol_sol="dólar", TC,1)</f>
        <v>4287.3864860149251</v>
      </c>
      <c r="E1467" s="472">
        <v>450</v>
      </c>
      <c r="F1467" s="585">
        <f>ROUNDUP(D1467+E1467,2)</f>
        <v>4737.3900000000003</v>
      </c>
      <c r="G1467" s="338" t="s">
        <v>4748</v>
      </c>
      <c r="H1467" s="592" t="s">
        <v>1537</v>
      </c>
      <c r="I1467" s="520" t="s">
        <v>11649</v>
      </c>
      <c r="J1467" s="421" t="s">
        <v>753</v>
      </c>
      <c r="K1467" s="520" t="s">
        <v>741</v>
      </c>
    </row>
    <row r="1468" spans="1:11" s="341" customFormat="1">
      <c r="A1468" s="421"/>
      <c r="B1468" s="338" t="s">
        <v>1538</v>
      </c>
      <c r="C1468" s="209">
        <v>19936</v>
      </c>
      <c r="D1468" s="244">
        <f>C1468*(1-VLOOKUP(I1468,descuentos,6,FALSE))*fcl/IF(dol_sol="dólar", TC,1)</f>
        <v>4842.9563706268655</v>
      </c>
      <c r="E1468" s="472">
        <v>450</v>
      </c>
      <c r="F1468" s="585">
        <f>ROUNDUP(D1468+E1468,2)</f>
        <v>5292.96</v>
      </c>
      <c r="G1468" s="338" t="s">
        <v>4749</v>
      </c>
      <c r="H1468" s="592" t="s">
        <v>1539</v>
      </c>
      <c r="I1468" s="520" t="s">
        <v>11649</v>
      </c>
      <c r="J1468" s="421" t="s">
        <v>753</v>
      </c>
      <c r="K1468" s="520" t="s">
        <v>741</v>
      </c>
    </row>
    <row r="1469" spans="1:11" s="341" customFormat="1">
      <c r="A1469" s="421"/>
      <c r="B1469" s="338"/>
      <c r="C1469" s="209" t="s">
        <v>2058</v>
      </c>
      <c r="D1469" s="244"/>
      <c r="E1469" s="228"/>
      <c r="F1469" s="585"/>
      <c r="G1469" s="338"/>
      <c r="H1469" s="592"/>
      <c r="I1469" s="520"/>
      <c r="J1469" s="421"/>
      <c r="K1469" s="520"/>
    </row>
    <row r="1470" spans="1:11" s="341" customFormat="1">
      <c r="A1470" s="421"/>
      <c r="B1470" s="338"/>
      <c r="C1470" s="209" t="s">
        <v>2058</v>
      </c>
      <c r="D1470" s="244"/>
      <c r="E1470" s="228"/>
      <c r="F1470" s="585"/>
      <c r="G1470" s="338"/>
      <c r="H1470" s="592"/>
      <c r="I1470" s="520"/>
      <c r="J1470" s="421"/>
      <c r="K1470" s="520"/>
    </row>
    <row r="1471" spans="1:11" s="341" customFormat="1">
      <c r="A1471" s="421"/>
      <c r="B1471" s="338"/>
      <c r="C1471" s="209" t="s">
        <v>2058</v>
      </c>
      <c r="D1471" s="244"/>
      <c r="E1471" s="228"/>
      <c r="F1471" s="585"/>
      <c r="G1471" s="338"/>
      <c r="H1471" s="592"/>
      <c r="I1471" s="520"/>
      <c r="J1471" s="421"/>
      <c r="K1471" s="520"/>
    </row>
    <row r="1472" spans="1:11" s="341" customFormat="1">
      <c r="A1472" s="421"/>
      <c r="B1472" s="338"/>
      <c r="C1472" s="209" t="s">
        <v>2058</v>
      </c>
      <c r="D1472" s="244"/>
      <c r="E1472" s="228"/>
      <c r="F1472" s="585"/>
      <c r="G1472" s="338"/>
      <c r="H1472" s="592"/>
      <c r="I1472" s="520"/>
      <c r="J1472" s="421"/>
      <c r="K1472" s="520"/>
    </row>
    <row r="1473" spans="1:11" s="341" customFormat="1">
      <c r="A1473" s="421"/>
      <c r="B1473" s="838" t="s">
        <v>2712</v>
      </c>
      <c r="C1473" s="209" t="s">
        <v>2058</v>
      </c>
      <c r="D1473" s="244"/>
      <c r="E1473" s="228"/>
      <c r="F1473" s="585"/>
      <c r="G1473" s="338"/>
      <c r="H1473" s="592"/>
      <c r="I1473" s="520"/>
      <c r="J1473" s="421"/>
      <c r="K1473" s="520"/>
    </row>
    <row r="1474" spans="1:11" s="341" customFormat="1">
      <c r="A1474" s="421"/>
      <c r="B1474" s="338"/>
      <c r="C1474" s="209" t="s">
        <v>2058</v>
      </c>
      <c r="D1474" s="244"/>
      <c r="E1474" s="228"/>
      <c r="F1474" s="585"/>
      <c r="G1474" s="338"/>
      <c r="H1474" s="592"/>
      <c r="I1474" s="520"/>
      <c r="J1474" s="421"/>
      <c r="K1474" s="520"/>
    </row>
    <row r="1475" spans="1:11" s="341" customFormat="1">
      <c r="A1475" s="1961"/>
      <c r="B1475" s="394" t="s">
        <v>9749</v>
      </c>
      <c r="C1475" s="389">
        <v>3409</v>
      </c>
      <c r="D1475" s="388">
        <f>C1475*(1-VLOOKUP(I1475,descuentos,6,FALSE))*fcl/IF(dol_sol="dólar", TC,1)</f>
        <v>828.13193556716419</v>
      </c>
      <c r="E1475" s="386">
        <f>D1475/8</f>
        <v>103.51649194589552</v>
      </c>
      <c r="F1475" s="582">
        <f>ROUNDUP(D1475+E1475,2)</f>
        <v>931.65</v>
      </c>
      <c r="G1475" s="394" t="s">
        <v>9750</v>
      </c>
      <c r="H1475" s="580" t="s">
        <v>9751</v>
      </c>
      <c r="I1475" s="622" t="s">
        <v>11649</v>
      </c>
      <c r="J1475" s="425" t="s">
        <v>753</v>
      </c>
      <c r="K1475" s="520" t="s">
        <v>741</v>
      </c>
    </row>
    <row r="1476" spans="1:11" s="339" customFormat="1">
      <c r="A1476" s="421"/>
      <c r="B1476" s="338"/>
      <c r="C1476" s="209" t="s">
        <v>2058</v>
      </c>
      <c r="D1476" s="244"/>
      <c r="E1476" s="228"/>
      <c r="F1476" s="585"/>
      <c r="G1476" s="338"/>
      <c r="H1476" s="592"/>
      <c r="I1476" s="520"/>
      <c r="J1476" s="421"/>
      <c r="K1476" s="520"/>
    </row>
    <row r="1477" spans="1:11" s="341" customFormat="1">
      <c r="A1477" s="1961"/>
      <c r="B1477" s="394" t="s">
        <v>9752</v>
      </c>
      <c r="C1477" s="389">
        <v>3409</v>
      </c>
      <c r="D1477" s="388">
        <f>C1477*(1-VLOOKUP(I1477,descuentos,6,FALSE))*fcl/IF(dol_sol="dólar", TC,1)</f>
        <v>828.13193556716419</v>
      </c>
      <c r="E1477" s="386">
        <f>D1477/8</f>
        <v>103.51649194589552</v>
      </c>
      <c r="F1477" s="582">
        <f>ROUNDUP(D1477+E1477,2)</f>
        <v>931.65</v>
      </c>
      <c r="G1477" s="394" t="s">
        <v>9753</v>
      </c>
      <c r="H1477" s="580" t="s">
        <v>9751</v>
      </c>
      <c r="I1477" s="622" t="s">
        <v>11649</v>
      </c>
      <c r="J1477" s="425" t="s">
        <v>753</v>
      </c>
      <c r="K1477" s="520" t="s">
        <v>741</v>
      </c>
    </row>
    <row r="1478" spans="1:11" s="341" customFormat="1">
      <c r="A1478" s="421"/>
      <c r="B1478" s="338"/>
      <c r="C1478" s="209" t="s">
        <v>2058</v>
      </c>
      <c r="D1478" s="244"/>
      <c r="E1478" s="228"/>
      <c r="F1478" s="585"/>
      <c r="G1478" s="338"/>
      <c r="H1478" s="592"/>
      <c r="I1478" s="520"/>
      <c r="J1478" s="421"/>
      <c r="K1478" s="520"/>
    </row>
    <row r="1479" spans="1:11" s="341" customFormat="1">
      <c r="A1479" s="1962"/>
      <c r="B1479" s="394" t="s">
        <v>9754</v>
      </c>
      <c r="C1479" s="389">
        <v>2880</v>
      </c>
      <c r="D1479" s="388">
        <f>C1479*(1-VLOOKUP(I1479,descuentos,6,FALSE))*fcl/IF(dol_sol="dólar", TC,1)</f>
        <v>699.62451582089545</v>
      </c>
      <c r="E1479" s="386">
        <f>D1479/8</f>
        <v>87.453064477611932</v>
      </c>
      <c r="F1479" s="582">
        <f>ROUNDUP(D1479+E1479,2)</f>
        <v>787.08</v>
      </c>
      <c r="G1479" s="394" t="s">
        <v>9755</v>
      </c>
      <c r="H1479" s="580" t="s">
        <v>9756</v>
      </c>
      <c r="I1479" s="622" t="s">
        <v>11649</v>
      </c>
      <c r="J1479" s="425" t="s">
        <v>753</v>
      </c>
      <c r="K1479" s="520" t="s">
        <v>741</v>
      </c>
    </row>
    <row r="1480" spans="1:11" s="341" customFormat="1">
      <c r="A1480" s="1963"/>
      <c r="B1480" s="394" t="s">
        <v>14130</v>
      </c>
      <c r="C1480" s="389">
        <v>3020</v>
      </c>
      <c r="D1480" s="388">
        <f>C1480*(1-VLOOKUP(I1480,descuentos,6,FALSE))*fcl/IF(dol_sol="dólar", TC,1)</f>
        <v>733.63404089552228</v>
      </c>
      <c r="E1480" s="386">
        <f>D1480/8</f>
        <v>91.704255111940284</v>
      </c>
      <c r="F1480" s="582">
        <f>ROUNDUP(D1480+E1480,2)</f>
        <v>825.34</v>
      </c>
      <c r="G1480" s="394" t="s">
        <v>14131</v>
      </c>
      <c r="H1480" s="580" t="s">
        <v>14132</v>
      </c>
      <c r="I1480" s="622" t="s">
        <v>11649</v>
      </c>
      <c r="J1480" s="425" t="s">
        <v>753</v>
      </c>
      <c r="K1480" s="520" t="s">
        <v>741</v>
      </c>
    </row>
    <row r="1481" spans="1:11" s="341" customFormat="1">
      <c r="A1481" s="1963"/>
      <c r="B1481" s="394" t="s">
        <v>9757</v>
      </c>
      <c r="C1481" s="389">
        <v>3572</v>
      </c>
      <c r="D1481" s="388">
        <f>C1481*(1-VLOOKUP(I1481,descuentos,6,FALSE))*fcl/IF(dol_sol="dólar", TC,1)</f>
        <v>867.72873976119388</v>
      </c>
      <c r="E1481" s="386">
        <f>D1481/8</f>
        <v>108.46609247014923</v>
      </c>
      <c r="F1481" s="582">
        <f>ROUNDUP(D1481+E1481,2)</f>
        <v>976.2</v>
      </c>
      <c r="G1481" s="394" t="s">
        <v>9758</v>
      </c>
      <c r="H1481" s="580" t="s">
        <v>9759</v>
      </c>
      <c r="I1481" s="622" t="s">
        <v>11649</v>
      </c>
      <c r="J1481" s="425" t="s">
        <v>753</v>
      </c>
      <c r="K1481" s="520" t="s">
        <v>741</v>
      </c>
    </row>
    <row r="1482" spans="1:11" s="341" customFormat="1">
      <c r="A1482" s="421"/>
      <c r="B1482" s="338"/>
      <c r="C1482" s="209" t="s">
        <v>2058</v>
      </c>
      <c r="D1482" s="244"/>
      <c r="E1482" s="228"/>
      <c r="F1482" s="585"/>
      <c r="G1482" s="338"/>
      <c r="H1482" s="592"/>
      <c r="I1482" s="520"/>
      <c r="J1482" s="421"/>
      <c r="K1482" s="520"/>
    </row>
    <row r="1483" spans="1:11" s="341" customFormat="1">
      <c r="A1483" s="421"/>
      <c r="B1483" s="338" t="s">
        <v>915</v>
      </c>
      <c r="C1483" s="209">
        <v>2264</v>
      </c>
      <c r="D1483" s="244">
        <f>C1483*(1-VLOOKUP(I1483,descuentos,6,FALSE))*fcl/IF(dol_sol="dólar", TC,1)</f>
        <v>549.98260549253723</v>
      </c>
      <c r="E1483" s="228">
        <f>D1483/8</f>
        <v>68.747825686567154</v>
      </c>
      <c r="F1483" s="585">
        <f>ROUNDUP(D1483+E1483,2)</f>
        <v>618.74</v>
      </c>
      <c r="G1483" s="338" t="s">
        <v>4750</v>
      </c>
      <c r="H1483" s="592" t="s">
        <v>914</v>
      </c>
      <c r="I1483" s="520" t="s">
        <v>11649</v>
      </c>
      <c r="J1483" s="421" t="s">
        <v>753</v>
      </c>
      <c r="K1483" s="520" t="s">
        <v>741</v>
      </c>
    </row>
    <row r="1484" spans="1:11" s="341" customFormat="1">
      <c r="A1484" s="421"/>
      <c r="B1484" s="338" t="s">
        <v>912</v>
      </c>
      <c r="C1484" s="209">
        <v>2562</v>
      </c>
      <c r="D1484" s="244">
        <f>C1484*(1-VLOOKUP(I1484,descuentos,6,FALSE))*fcl/IF(dol_sol="dólar", TC,1)</f>
        <v>622.37430886567165</v>
      </c>
      <c r="E1484" s="228">
        <f>D1484/8</f>
        <v>77.796788608208956</v>
      </c>
      <c r="F1484" s="585">
        <f>ROUNDUP(D1484+E1484,2)</f>
        <v>700.18</v>
      </c>
      <c r="G1484" s="338" t="s">
        <v>4751</v>
      </c>
      <c r="H1484" s="592" t="s">
        <v>913</v>
      </c>
      <c r="I1484" s="520" t="s">
        <v>11649</v>
      </c>
      <c r="J1484" s="421" t="s">
        <v>753</v>
      </c>
      <c r="K1484" s="520" t="s">
        <v>741</v>
      </c>
    </row>
    <row r="1485" spans="1:11" s="341" customFormat="1">
      <c r="A1485" s="421"/>
      <c r="B1485" s="338" t="s">
        <v>4752</v>
      </c>
      <c r="C1485" s="209">
        <v>2676</v>
      </c>
      <c r="D1485" s="244">
        <f>C1485*(1-VLOOKUP(I1485,descuentos,6,FALSE))*fcl/IF(dol_sol="dólar", TC,1)</f>
        <v>650.06777928358201</v>
      </c>
      <c r="E1485" s="228">
        <f>D1485/8</f>
        <v>81.258472410447752</v>
      </c>
      <c r="F1485" s="585">
        <f>ROUNDUP(D1485+E1485,2)</f>
        <v>731.33</v>
      </c>
      <c r="G1485" s="338" t="s">
        <v>4753</v>
      </c>
      <c r="H1485" s="592" t="s">
        <v>4754</v>
      </c>
      <c r="I1485" s="520" t="s">
        <v>11649</v>
      </c>
      <c r="J1485" s="421" t="s">
        <v>753</v>
      </c>
      <c r="K1485" s="520" t="s">
        <v>741</v>
      </c>
    </row>
    <row r="1486" spans="1:11" s="341" customFormat="1">
      <c r="A1486" s="421"/>
      <c r="B1486" s="338"/>
      <c r="C1486" s="209" t="s">
        <v>2058</v>
      </c>
      <c r="D1486" s="244"/>
      <c r="E1486" s="228"/>
      <c r="F1486" s="585"/>
      <c r="G1486" s="338"/>
      <c r="H1486" s="592"/>
      <c r="I1486" s="520"/>
      <c r="J1486" s="421"/>
      <c r="K1486" s="520"/>
    </row>
    <row r="1487" spans="1:11" s="341" customFormat="1">
      <c r="A1487" s="1642"/>
      <c r="B1487" s="338" t="s">
        <v>6922</v>
      </c>
      <c r="C1487" s="209">
        <v>3348</v>
      </c>
      <c r="D1487" s="244">
        <f>C1487*(1-VLOOKUP(I1487,descuentos,6,FALSE))*fcl/IF(dol_sol="dólar", TC,1)</f>
        <v>813.31349964179094</v>
      </c>
      <c r="E1487" s="228">
        <f>D1487/8</f>
        <v>101.66418745522387</v>
      </c>
      <c r="F1487" s="585">
        <f>ROUNDUP(D1487+E1487,2)</f>
        <v>914.98</v>
      </c>
      <c r="G1487" s="338" t="s">
        <v>6923</v>
      </c>
      <c r="H1487" s="592" t="s">
        <v>6924</v>
      </c>
      <c r="I1487" s="520" t="s">
        <v>11649</v>
      </c>
      <c r="J1487" s="421" t="s">
        <v>753</v>
      </c>
      <c r="K1487" s="520" t="s">
        <v>741</v>
      </c>
    </row>
    <row r="1488" spans="1:11" s="341" customFormat="1">
      <c r="A1488" s="421"/>
      <c r="B1488" s="338"/>
      <c r="C1488" s="209" t="s">
        <v>2058</v>
      </c>
      <c r="D1488" s="244"/>
      <c r="E1488" s="228"/>
      <c r="F1488" s="585"/>
      <c r="G1488" s="338"/>
      <c r="H1488" s="592"/>
      <c r="I1488" s="520"/>
      <c r="J1488" s="421"/>
      <c r="K1488" s="520"/>
    </row>
    <row r="1489" spans="1:11" s="341" customFormat="1">
      <c r="A1489" s="421"/>
      <c r="B1489" s="394" t="s">
        <v>3031</v>
      </c>
      <c r="C1489" s="389">
        <v>2813</v>
      </c>
      <c r="D1489" s="388">
        <f>C1489*(1-VLOOKUP(I1489,descuentos,6,FALSE))*fcl/IF(dol_sol="dólar", TC,1)</f>
        <v>683.34852882089547</v>
      </c>
      <c r="E1489" s="386">
        <f>D1489/8</f>
        <v>85.418566102611933</v>
      </c>
      <c r="F1489" s="582">
        <f>ROUNDUP(D1489+E1489,2)</f>
        <v>768.77</v>
      </c>
      <c r="G1489" s="394" t="s">
        <v>4755</v>
      </c>
      <c r="H1489" s="580" t="s">
        <v>3033</v>
      </c>
      <c r="I1489" s="622" t="s">
        <v>11649</v>
      </c>
      <c r="J1489" s="425" t="s">
        <v>753</v>
      </c>
      <c r="K1489" s="520" t="s">
        <v>741</v>
      </c>
    </row>
    <row r="1490" spans="1:11" s="341" customFormat="1">
      <c r="A1490" s="1739"/>
      <c r="B1490" s="394" t="s">
        <v>6925</v>
      </c>
      <c r="C1490" s="389">
        <v>2921</v>
      </c>
      <c r="D1490" s="388">
        <f>C1490*(1-VLOOKUP(I1490,descuentos,6,FALSE))*fcl/IF(dol_sol="dólar", TC,1)</f>
        <v>709.58444816417898</v>
      </c>
      <c r="E1490" s="386">
        <f>D1490/8</f>
        <v>88.698056020522372</v>
      </c>
      <c r="F1490" s="582">
        <f>ROUNDUP(D1490+E1490,2)</f>
        <v>798.29</v>
      </c>
      <c r="G1490" s="394" t="s">
        <v>6926</v>
      </c>
      <c r="H1490" s="580" t="s">
        <v>6927</v>
      </c>
      <c r="I1490" s="622" t="s">
        <v>11649</v>
      </c>
      <c r="J1490" s="425" t="s">
        <v>753</v>
      </c>
      <c r="K1490" s="520" t="s">
        <v>741</v>
      </c>
    </row>
    <row r="1491" spans="1:11" s="341" customFormat="1">
      <c r="A1491" s="421"/>
      <c r="B1491" s="394" t="s">
        <v>3032</v>
      </c>
      <c r="C1491" s="389">
        <v>3193</v>
      </c>
      <c r="D1491" s="388">
        <f>C1491*(1-VLOOKUP(I1491,descuentos,6,FALSE))*fcl/IF(dol_sol="dólar", TC,1)</f>
        <v>775.66009688059694</v>
      </c>
      <c r="E1491" s="386">
        <f>D1491/8</f>
        <v>96.957512110074617</v>
      </c>
      <c r="F1491" s="582">
        <f>ROUNDUP(D1491+E1491,2)</f>
        <v>872.62</v>
      </c>
      <c r="G1491" s="394" t="s">
        <v>4756</v>
      </c>
      <c r="H1491" s="580" t="s">
        <v>3034</v>
      </c>
      <c r="I1491" s="622" t="s">
        <v>11649</v>
      </c>
      <c r="J1491" s="425" t="s">
        <v>753</v>
      </c>
      <c r="K1491" s="520" t="s">
        <v>741</v>
      </c>
    </row>
    <row r="1492" spans="1:11" s="341" customFormat="1">
      <c r="A1492" s="421"/>
      <c r="B1492" s="394" t="s">
        <v>6922</v>
      </c>
      <c r="C1492" s="389">
        <v>3348</v>
      </c>
      <c r="D1492" s="388">
        <f>C1492*(1-VLOOKUP(I1492,descuentos,6,FALSE))*fcl/IF(dol_sol="dólar", TC,1)</f>
        <v>813.31349964179094</v>
      </c>
      <c r="E1492" s="386">
        <f>D1492/8</f>
        <v>101.66418745522387</v>
      </c>
      <c r="F1492" s="582">
        <f>ROUNDUP(D1492+E1492,2)</f>
        <v>914.98</v>
      </c>
      <c r="G1492" s="394" t="s">
        <v>6923</v>
      </c>
      <c r="H1492" s="580" t="s">
        <v>6924</v>
      </c>
      <c r="I1492" s="622" t="s">
        <v>11649</v>
      </c>
      <c r="J1492" s="425" t="s">
        <v>753</v>
      </c>
      <c r="K1492" s="520" t="s">
        <v>741</v>
      </c>
    </row>
    <row r="1493" spans="1:11" s="341" customFormat="1">
      <c r="A1493" s="421"/>
      <c r="B1493" s="338"/>
      <c r="C1493" s="209" t="s">
        <v>2058</v>
      </c>
      <c r="D1493" s="244"/>
      <c r="E1493" s="228"/>
      <c r="F1493" s="585"/>
      <c r="G1493" s="338"/>
      <c r="H1493" s="592"/>
      <c r="I1493" s="520"/>
      <c r="J1493" s="421"/>
      <c r="K1493" s="520"/>
    </row>
    <row r="1494" spans="1:11" s="341" customFormat="1">
      <c r="A1494" s="1962"/>
      <c r="B1494" s="338" t="s">
        <v>12268</v>
      </c>
      <c r="C1494" s="209">
        <v>2886</v>
      </c>
      <c r="D1494" s="244">
        <f>C1494*(1-VLOOKUP(I1494,descuentos,6,FALSE))*fcl/IF(dol_sol="dólar", TC,1)</f>
        <v>701.08206689552242</v>
      </c>
      <c r="E1494" s="228">
        <f>D1494/8</f>
        <v>87.635258361940302</v>
      </c>
      <c r="F1494" s="585">
        <f>ROUNDUP(D1494+E1494,2)</f>
        <v>788.72</v>
      </c>
      <c r="G1494" s="338" t="s">
        <v>12269</v>
      </c>
      <c r="H1494" s="592" t="s">
        <v>12270</v>
      </c>
      <c r="I1494" s="520" t="s">
        <v>11649</v>
      </c>
      <c r="J1494" s="421" t="s">
        <v>753</v>
      </c>
      <c r="K1494" s="520" t="s">
        <v>741</v>
      </c>
    </row>
    <row r="1495" spans="1:11" s="341" customFormat="1">
      <c r="A1495" s="421"/>
      <c r="B1495" s="394" t="s">
        <v>6928</v>
      </c>
      <c r="C1495" s="389">
        <v>3619</v>
      </c>
      <c r="D1495" s="388">
        <f>C1495*(1-VLOOKUP(I1495,descuentos,6,FALSE))*fcl/IF(dol_sol="dólar", TC,1)</f>
        <v>879.14622317910437</v>
      </c>
      <c r="E1495" s="386">
        <f>D1495/8</f>
        <v>109.89327789738805</v>
      </c>
      <c r="F1495" s="582">
        <f>ROUNDUP(D1495+E1495,2)</f>
        <v>989.04</v>
      </c>
      <c r="G1495" s="394" t="s">
        <v>6929</v>
      </c>
      <c r="H1495" s="580" t="s">
        <v>6930</v>
      </c>
      <c r="I1495" s="622" t="s">
        <v>11649</v>
      </c>
      <c r="J1495" s="425" t="s">
        <v>753</v>
      </c>
      <c r="K1495" s="520" t="s">
        <v>741</v>
      </c>
    </row>
    <row r="1496" spans="1:11" s="339" customFormat="1" ht="15">
      <c r="A1496" s="421"/>
      <c r="B1496" s="2388"/>
      <c r="C1496" s="209" t="s">
        <v>2058</v>
      </c>
      <c r="D1496" s="244"/>
      <c r="E1496" s="228"/>
      <c r="F1496" s="585"/>
      <c r="G1496" s="338"/>
      <c r="H1496" s="592"/>
      <c r="I1496" s="520"/>
      <c r="J1496" s="421"/>
      <c r="K1496" s="520"/>
    </row>
    <row r="1497" spans="1:11" s="341" customFormat="1">
      <c r="A1497" s="421"/>
      <c r="B1497" s="338"/>
      <c r="C1497" s="209" t="s">
        <v>2058</v>
      </c>
      <c r="D1497" s="244"/>
      <c r="E1497" s="228"/>
      <c r="F1497" s="585"/>
      <c r="G1497" s="338"/>
      <c r="H1497" s="592"/>
      <c r="I1497" s="520"/>
      <c r="J1497" s="421"/>
      <c r="K1497" s="520"/>
    </row>
    <row r="1498" spans="1:11" s="341" customFormat="1">
      <c r="A1498" s="421"/>
      <c r="B1498" s="338" t="s">
        <v>917</v>
      </c>
      <c r="C1498" s="209">
        <v>2514</v>
      </c>
      <c r="D1498" s="244">
        <f>C1498*(1-VLOOKUP(I1498,descuentos,6,FALSE))*fcl/IF(dol_sol="dólar", TC,1)</f>
        <v>610.71390026865663</v>
      </c>
      <c r="E1498" s="228">
        <f>D1498/8</f>
        <v>76.339237533582079</v>
      </c>
      <c r="F1498" s="585">
        <f>ROUNDUP(D1498+E1498,2)</f>
        <v>687.06</v>
      </c>
      <c r="G1498" s="338" t="s">
        <v>4757</v>
      </c>
      <c r="H1498" s="592" t="s">
        <v>9185</v>
      </c>
      <c r="I1498" s="520" t="s">
        <v>11649</v>
      </c>
      <c r="J1498" s="421" t="s">
        <v>753</v>
      </c>
      <c r="K1498" s="520" t="s">
        <v>741</v>
      </c>
    </row>
    <row r="1499" spans="1:11" s="341" customFormat="1">
      <c r="A1499" s="421"/>
      <c r="B1499" s="338" t="s">
        <v>916</v>
      </c>
      <c r="C1499" s="209">
        <v>2514</v>
      </c>
      <c r="D1499" s="244">
        <f>C1499*(1-VLOOKUP(I1499,descuentos,6,FALSE))*fcl/IF(dol_sol="dólar", TC,1)</f>
        <v>610.71390026865663</v>
      </c>
      <c r="E1499" s="228">
        <f>D1499/8</f>
        <v>76.339237533582079</v>
      </c>
      <c r="F1499" s="585">
        <f>ROUNDUP(D1499+E1499,2)</f>
        <v>687.06</v>
      </c>
      <c r="G1499" s="338" t="s">
        <v>4758</v>
      </c>
      <c r="H1499" s="592" t="s">
        <v>918</v>
      </c>
      <c r="I1499" s="520" t="s">
        <v>11649</v>
      </c>
      <c r="J1499" s="421" t="s">
        <v>753</v>
      </c>
      <c r="K1499" s="520" t="s">
        <v>741</v>
      </c>
    </row>
    <row r="1500" spans="1:11" s="341" customFormat="1">
      <c r="A1500" s="421"/>
      <c r="B1500" s="338" t="s">
        <v>6939</v>
      </c>
      <c r="C1500" s="209">
        <v>2623</v>
      </c>
      <c r="D1500" s="244">
        <f>C1500*(1-VLOOKUP(I1500,descuentos,6,FALSE))*fcl/IF(dol_sol="dólar", TC,1)</f>
        <v>637.19274479104467</v>
      </c>
      <c r="E1500" s="228">
        <f>D1500/8</f>
        <v>79.649093098880584</v>
      </c>
      <c r="F1500" s="585">
        <f>ROUNDUP(D1500+E1500,2)</f>
        <v>716.85</v>
      </c>
      <c r="G1500" s="338" t="s">
        <v>13541</v>
      </c>
      <c r="H1500" s="592" t="s">
        <v>6941</v>
      </c>
      <c r="I1500" s="520" t="s">
        <v>11649</v>
      </c>
      <c r="J1500" s="421" t="s">
        <v>753</v>
      </c>
      <c r="K1500" s="520" t="s">
        <v>741</v>
      </c>
    </row>
    <row r="1501" spans="1:11" s="341" customFormat="1">
      <c r="A1501" s="421"/>
      <c r="B1501" s="338" t="s">
        <v>815</v>
      </c>
      <c r="C1501" s="209">
        <v>3040</v>
      </c>
      <c r="D1501" s="244">
        <f>C1501*(1-VLOOKUP(I1501,descuentos,6,FALSE))*fcl/IF(dol_sol="dólar", TC,1)</f>
        <v>738.49254447761189</v>
      </c>
      <c r="E1501" s="228">
        <f>D1501/8</f>
        <v>92.311568059701486</v>
      </c>
      <c r="F1501" s="585">
        <f t="shared" ref="F1501:F1652" si="220">ROUNDUP(D1501+E1501,2)</f>
        <v>830.81</v>
      </c>
      <c r="G1501" s="338" t="s">
        <v>4759</v>
      </c>
      <c r="H1501" s="592" t="s">
        <v>816</v>
      </c>
      <c r="I1501" s="520" t="s">
        <v>11649</v>
      </c>
      <c r="J1501" s="421" t="s">
        <v>753</v>
      </c>
      <c r="K1501" s="520" t="s">
        <v>741</v>
      </c>
    </row>
    <row r="1502" spans="1:11" s="341" customFormat="1">
      <c r="A1502" s="421"/>
      <c r="B1502" s="338"/>
      <c r="C1502" s="209" t="s">
        <v>2058</v>
      </c>
      <c r="D1502" s="244"/>
      <c r="E1502" s="228"/>
      <c r="F1502" s="585">
        <f t="shared" si="220"/>
        <v>0</v>
      </c>
      <c r="G1502" s="338"/>
      <c r="H1502" s="592"/>
      <c r="I1502" s="520"/>
      <c r="J1502" s="421"/>
      <c r="K1502" s="520"/>
    </row>
    <row r="1503" spans="1:11" s="341" customFormat="1">
      <c r="A1503" s="421"/>
      <c r="B1503" s="338" t="s">
        <v>6931</v>
      </c>
      <c r="C1503" s="209">
        <v>2699</v>
      </c>
      <c r="D1503" s="244">
        <f>C1503*(1-VLOOKUP(I1503,descuentos,6,FALSE))*fcl/IF(dol_sol="dólar", TC,1)</f>
        <v>655.65505840298511</v>
      </c>
      <c r="E1503" s="228">
        <f>D1503/8</f>
        <v>81.956882300373138</v>
      </c>
      <c r="F1503" s="585">
        <f>ROUNDUP(D1503+E1503,2)</f>
        <v>737.62</v>
      </c>
      <c r="G1503" s="338" t="s">
        <v>6932</v>
      </c>
      <c r="H1503" s="592" t="s">
        <v>6933</v>
      </c>
      <c r="I1503" s="520" t="s">
        <v>11649</v>
      </c>
      <c r="J1503" s="421" t="s">
        <v>753</v>
      </c>
      <c r="K1503" s="520" t="s">
        <v>741</v>
      </c>
    </row>
    <row r="1504" spans="1:11" s="341" customFormat="1">
      <c r="A1504" s="421"/>
      <c r="B1504" s="338" t="s">
        <v>821</v>
      </c>
      <c r="C1504" s="209">
        <v>2699</v>
      </c>
      <c r="D1504" s="244">
        <f>C1504*(1-VLOOKUP(I1504,descuentos,6,FALSE))*fcl/IF(dol_sol="dólar", TC,1)</f>
        <v>655.65505840298511</v>
      </c>
      <c r="E1504" s="228">
        <f>D1504/8</f>
        <v>81.956882300373138</v>
      </c>
      <c r="F1504" s="585">
        <f t="shared" si="220"/>
        <v>737.62</v>
      </c>
      <c r="G1504" s="338" t="s">
        <v>4762</v>
      </c>
      <c r="H1504" s="592" t="s">
        <v>822</v>
      </c>
      <c r="I1504" s="520" t="s">
        <v>11649</v>
      </c>
      <c r="J1504" s="421" t="s">
        <v>753</v>
      </c>
      <c r="K1504" s="520" t="s">
        <v>741</v>
      </c>
    </row>
    <row r="1505" spans="1:11" s="341" customFormat="1">
      <c r="A1505" s="421"/>
      <c r="B1505" s="338" t="s">
        <v>13961</v>
      </c>
      <c r="C1505" s="209">
        <v>2808</v>
      </c>
      <c r="D1505" s="244">
        <f>C1505*(1-VLOOKUP(I1505,descuentos,6,FALSE))*fcl/IF(dol_sol="dólar", TC,1)</f>
        <v>682.13390292537304</v>
      </c>
      <c r="E1505" s="228">
        <f>D1505/8</f>
        <v>85.266737865671629</v>
      </c>
      <c r="F1505" s="585">
        <f t="shared" si="220"/>
        <v>767.41</v>
      </c>
      <c r="G1505" s="338" t="s">
        <v>13962</v>
      </c>
      <c r="H1505" s="592" t="s">
        <v>13963</v>
      </c>
      <c r="I1505" s="520" t="s">
        <v>11649</v>
      </c>
      <c r="J1505" s="421" t="s">
        <v>753</v>
      </c>
      <c r="K1505" s="520" t="s">
        <v>741</v>
      </c>
    </row>
    <row r="1506" spans="1:11" s="341" customFormat="1">
      <c r="A1506" s="421"/>
      <c r="B1506" s="338" t="s">
        <v>820</v>
      </c>
      <c r="C1506" s="209">
        <v>3465</v>
      </c>
      <c r="D1506" s="244">
        <f>C1506*(1-VLOOKUP(I1506,descuentos,6,FALSE))*fcl/IF(dol_sol="dólar", TC,1)</f>
        <v>841.7357455970149</v>
      </c>
      <c r="E1506" s="228">
        <f>D1506/8</f>
        <v>105.21696819962686</v>
      </c>
      <c r="F1506" s="585">
        <f t="shared" si="220"/>
        <v>946.96</v>
      </c>
      <c r="G1506" s="338" t="s">
        <v>4763</v>
      </c>
      <c r="H1506" s="592" t="s">
        <v>819</v>
      </c>
      <c r="I1506" s="520" t="s">
        <v>11649</v>
      </c>
      <c r="J1506" s="421" t="s">
        <v>753</v>
      </c>
      <c r="K1506" s="520" t="s">
        <v>741</v>
      </c>
    </row>
    <row r="1507" spans="1:11" s="341" customFormat="1">
      <c r="A1507" s="421"/>
      <c r="B1507" s="338" t="s">
        <v>13964</v>
      </c>
      <c r="C1507" s="209">
        <v>3587</v>
      </c>
      <c r="D1507" s="244">
        <f>C1507*(1-VLOOKUP(I1507,descuentos,6,FALSE))*fcl/IF(dol_sol="dólar", TC,1)</f>
        <v>871.37261744776117</v>
      </c>
      <c r="E1507" s="228">
        <f>D1507/8</f>
        <v>108.92157718097015</v>
      </c>
      <c r="F1507" s="585">
        <f t="shared" si="220"/>
        <v>980.3</v>
      </c>
      <c r="G1507" s="338" t="s">
        <v>13965</v>
      </c>
      <c r="H1507" s="592" t="s">
        <v>13966</v>
      </c>
      <c r="I1507" s="520" t="s">
        <v>11649</v>
      </c>
      <c r="J1507" s="421" t="s">
        <v>753</v>
      </c>
      <c r="K1507" s="520" t="s">
        <v>741</v>
      </c>
    </row>
    <row r="1508" spans="1:11" s="341" customFormat="1">
      <c r="A1508" s="421"/>
      <c r="B1508" s="338"/>
      <c r="C1508" s="209" t="s">
        <v>2058</v>
      </c>
      <c r="D1508" s="244"/>
      <c r="E1508" s="228"/>
      <c r="F1508" s="585">
        <f t="shared" si="220"/>
        <v>0</v>
      </c>
      <c r="G1508" s="338"/>
      <c r="H1508" s="592"/>
      <c r="I1508" s="520"/>
      <c r="J1508" s="421"/>
      <c r="K1508" s="520"/>
    </row>
    <row r="1509" spans="1:11" s="341" customFormat="1">
      <c r="A1509" s="1663"/>
      <c r="B1509" s="338" t="s">
        <v>13183</v>
      </c>
      <c r="C1509" s="209">
        <v>2955</v>
      </c>
      <c r="D1509" s="244">
        <f>C1509*(1-VLOOKUP(I1509,descuentos,6,FALSE))*fcl/IF(dol_sol="dólar", TC,1)</f>
        <v>717.84390425373135</v>
      </c>
      <c r="E1509" s="228">
        <f>D1509/8</f>
        <v>89.730488031716419</v>
      </c>
      <c r="F1509" s="585">
        <f>ROUNDUP(D1509+E1509,2)</f>
        <v>807.58</v>
      </c>
      <c r="G1509" s="338" t="s">
        <v>13184</v>
      </c>
      <c r="H1509" s="592" t="s">
        <v>5608</v>
      </c>
      <c r="I1509" s="520" t="s">
        <v>11649</v>
      </c>
      <c r="J1509" s="421" t="s">
        <v>753</v>
      </c>
      <c r="K1509" s="520" t="s">
        <v>741</v>
      </c>
    </row>
    <row r="1510" spans="1:11" s="341" customFormat="1">
      <c r="A1510" s="421"/>
      <c r="B1510" s="338" t="s">
        <v>1366</v>
      </c>
      <c r="C1510" s="209">
        <v>2955</v>
      </c>
      <c r="D1510" s="244">
        <f>C1510*(1-VLOOKUP(I1510,descuentos,6,FALSE))*fcl/IF(dol_sol="dólar", TC,1)</f>
        <v>717.84390425373135</v>
      </c>
      <c r="E1510" s="228">
        <f>D1510/8</f>
        <v>89.730488031716419</v>
      </c>
      <c r="F1510" s="585">
        <f>ROUNDUP(D1510+E1510,2)</f>
        <v>807.58</v>
      </c>
      <c r="G1510" s="338" t="s">
        <v>4764</v>
      </c>
      <c r="H1510" s="592" t="s">
        <v>1380</v>
      </c>
      <c r="I1510" s="520" t="s">
        <v>11649</v>
      </c>
      <c r="J1510" s="421" t="s">
        <v>753</v>
      </c>
      <c r="K1510" s="520" t="s">
        <v>741</v>
      </c>
    </row>
    <row r="1511" spans="1:11" s="341" customFormat="1">
      <c r="A1511" s="1663"/>
      <c r="B1511" s="338" t="s">
        <v>6934</v>
      </c>
      <c r="C1511" s="209">
        <v>3066</v>
      </c>
      <c r="D1511" s="244">
        <f>C1511*(1-VLOOKUP(I1511,descuentos,6,FALSE))*fcl/IF(dol_sol="dólar", TC,1)</f>
        <v>744.80859913432835</v>
      </c>
      <c r="E1511" s="228">
        <f>D1511/8</f>
        <v>93.101074891791043</v>
      </c>
      <c r="F1511" s="585">
        <f t="shared" si="220"/>
        <v>837.91</v>
      </c>
      <c r="G1511" s="338" t="s">
        <v>6935</v>
      </c>
      <c r="H1511" s="592" t="s">
        <v>6936</v>
      </c>
      <c r="I1511" s="520" t="s">
        <v>11649</v>
      </c>
      <c r="J1511" s="421" t="s">
        <v>753</v>
      </c>
      <c r="K1511" s="520" t="s">
        <v>741</v>
      </c>
    </row>
    <row r="1512" spans="1:11" s="341" customFormat="1">
      <c r="A1512" s="421"/>
      <c r="B1512" s="338" t="s">
        <v>1379</v>
      </c>
      <c r="C1512" s="209">
        <v>3648</v>
      </c>
      <c r="D1512" s="244">
        <f>C1512*(1-VLOOKUP(I1512,descuentos,6,FALSE))*fcl/IF(dol_sol="dólar", TC,1)</f>
        <v>886.19105337313408</v>
      </c>
      <c r="E1512" s="228">
        <f>D1512/8</f>
        <v>110.77388167164176</v>
      </c>
      <c r="F1512" s="585">
        <f t="shared" si="220"/>
        <v>996.97</v>
      </c>
      <c r="G1512" s="338" t="s">
        <v>4765</v>
      </c>
      <c r="H1512" s="592" t="s">
        <v>1381</v>
      </c>
      <c r="I1512" s="520" t="s">
        <v>11649</v>
      </c>
      <c r="J1512" s="421" t="s">
        <v>753</v>
      </c>
      <c r="K1512" s="520" t="s">
        <v>741</v>
      </c>
    </row>
    <row r="1513" spans="1:11" s="341" customFormat="1">
      <c r="A1513" s="421"/>
      <c r="B1513" s="338" t="s">
        <v>13967</v>
      </c>
      <c r="C1513" s="209">
        <v>3769</v>
      </c>
      <c r="D1513" s="244">
        <f>C1513*(1-VLOOKUP(I1513,descuentos,6,FALSE))*fcl/IF(dol_sol="dólar", TC,1)</f>
        <v>915.58500004477605</v>
      </c>
      <c r="E1513" s="228">
        <f>D1513/8</f>
        <v>114.44812500559701</v>
      </c>
      <c r="F1513" s="585">
        <f t="shared" si="220"/>
        <v>1030.04</v>
      </c>
      <c r="G1513" s="338" t="s">
        <v>13968</v>
      </c>
      <c r="H1513" s="592" t="s">
        <v>13969</v>
      </c>
      <c r="I1513" s="520" t="s">
        <v>11649</v>
      </c>
      <c r="J1513" s="421" t="s">
        <v>753</v>
      </c>
      <c r="K1513" s="520" t="s">
        <v>741</v>
      </c>
    </row>
    <row r="1514" spans="1:11" s="341" customFormat="1">
      <c r="A1514" s="421"/>
      <c r="B1514" s="338"/>
      <c r="C1514" s="209" t="s">
        <v>2058</v>
      </c>
      <c r="D1514" s="244"/>
      <c r="E1514" s="228"/>
      <c r="F1514" s="585"/>
      <c r="G1514" s="338"/>
      <c r="H1514" s="592"/>
      <c r="I1514" s="520"/>
      <c r="J1514" s="421"/>
      <c r="K1514" s="520"/>
    </row>
    <row r="1515" spans="1:11" s="341" customFormat="1">
      <c r="A1515" s="1739"/>
      <c r="B1515" s="394" t="s">
        <v>6937</v>
      </c>
      <c r="C1515" s="389">
        <v>3830</v>
      </c>
      <c r="D1515" s="388">
        <f>C1515*(1-VLOOKUP(I1515,descuentos,6,FALSE))*fcl/IF(dol_sol="dólar", TC,1)</f>
        <v>930.40343597014908</v>
      </c>
      <c r="E1515" s="386">
        <f>D1515/8</f>
        <v>116.30042949626863</v>
      </c>
      <c r="F1515" s="582">
        <f t="shared" si="220"/>
        <v>1046.71</v>
      </c>
      <c r="G1515" s="394" t="s">
        <v>9896</v>
      </c>
      <c r="H1515" s="592" t="s">
        <v>6938</v>
      </c>
      <c r="I1515" s="520" t="s">
        <v>11649</v>
      </c>
      <c r="J1515" s="421" t="s">
        <v>753</v>
      </c>
      <c r="K1515" s="520" t="s">
        <v>741</v>
      </c>
    </row>
    <row r="1516" spans="1:11" s="341" customFormat="1">
      <c r="A1516" s="421"/>
      <c r="B1516" s="151"/>
      <c r="C1516" s="209" t="s">
        <v>2058</v>
      </c>
      <c r="D1516" s="244"/>
      <c r="E1516" s="228"/>
      <c r="F1516" s="585">
        <f t="shared" si="220"/>
        <v>0</v>
      </c>
      <c r="G1516" s="338"/>
      <c r="H1516" s="592"/>
      <c r="I1516" s="520"/>
      <c r="J1516" s="421"/>
      <c r="K1516" s="520"/>
    </row>
    <row r="1517" spans="1:11" s="341" customFormat="1">
      <c r="A1517" s="1739"/>
      <c r="B1517" s="394" t="s">
        <v>6939</v>
      </c>
      <c r="C1517" s="389">
        <v>2623</v>
      </c>
      <c r="D1517" s="388">
        <f>C1517*(1-VLOOKUP(I1517,descuentos,6,FALSE))*fcl/IF(dol_sol="dólar", TC,1)</f>
        <v>637.19274479104467</v>
      </c>
      <c r="E1517" s="386">
        <f>D1517/8</f>
        <v>79.649093098880584</v>
      </c>
      <c r="F1517" s="582">
        <f>ROUNDUP(D1517+E1517,2)</f>
        <v>716.85</v>
      </c>
      <c r="G1517" s="394" t="s">
        <v>6940</v>
      </c>
      <c r="H1517" s="592" t="s">
        <v>6941</v>
      </c>
      <c r="I1517" s="520" t="s">
        <v>11649</v>
      </c>
      <c r="J1517" s="421" t="s">
        <v>753</v>
      </c>
      <c r="K1517" s="520" t="s">
        <v>741</v>
      </c>
    </row>
    <row r="1518" spans="1:11" s="341" customFormat="1">
      <c r="A1518" s="421"/>
      <c r="B1518" s="151"/>
      <c r="C1518" s="209" t="s">
        <v>2058</v>
      </c>
      <c r="D1518" s="244"/>
      <c r="E1518" s="228"/>
      <c r="F1518" s="585">
        <f>ROUNDUP(D1518+E1518,2)</f>
        <v>0</v>
      </c>
      <c r="G1518" s="338"/>
      <c r="H1518" s="592"/>
      <c r="I1518" s="520"/>
      <c r="J1518" s="421"/>
      <c r="K1518" s="520"/>
    </row>
    <row r="1519" spans="1:11" s="341" customFormat="1">
      <c r="A1519" s="421"/>
      <c r="B1519" s="151" t="s">
        <v>6942</v>
      </c>
      <c r="C1519" s="209">
        <v>3162</v>
      </c>
      <c r="D1519" s="244">
        <v>1037.9353880877736</v>
      </c>
      <c r="E1519" s="386">
        <f>D1519/8</f>
        <v>129.7419235109717</v>
      </c>
      <c r="F1519" s="582">
        <f>ROUNDUP(D1519+E1519,2)</f>
        <v>1167.68</v>
      </c>
      <c r="G1519" s="338" t="s">
        <v>6943</v>
      </c>
      <c r="H1519" s="592" t="s">
        <v>6944</v>
      </c>
      <c r="I1519" s="520" t="s">
        <v>11649</v>
      </c>
      <c r="J1519" s="421" t="s">
        <v>753</v>
      </c>
      <c r="K1519" s="520" t="s">
        <v>741</v>
      </c>
    </row>
    <row r="1520" spans="1:11" s="341" customFormat="1">
      <c r="A1520" s="421"/>
      <c r="B1520" s="151"/>
      <c r="C1520" s="209" t="s">
        <v>2058</v>
      </c>
      <c r="D1520" s="244"/>
      <c r="E1520" s="228"/>
      <c r="F1520" s="585">
        <f t="shared" si="220"/>
        <v>0</v>
      </c>
      <c r="G1520" s="338"/>
      <c r="H1520" s="592"/>
      <c r="I1520" s="520"/>
      <c r="J1520" s="421"/>
      <c r="K1520" s="520"/>
    </row>
    <row r="1521" spans="1:11" s="341" customFormat="1">
      <c r="A1521" s="421"/>
      <c r="B1521" s="394" t="s">
        <v>3900</v>
      </c>
      <c r="C1521" s="389">
        <v>3136</v>
      </c>
      <c r="D1521" s="388">
        <f t="shared" ref="D1521:D1526" si="221">C1521*(1-VLOOKUP(I1521,descuentos,6,FALSE))*fcl/IF(dol_sol="dólar", TC,1)</f>
        <v>761.8133616716417</v>
      </c>
      <c r="E1521" s="386">
        <f t="shared" ref="E1521:E1526" si="222">D1521/8</f>
        <v>95.226670208955213</v>
      </c>
      <c r="F1521" s="582">
        <f>ROUNDUP(D1521+E1521,2)</f>
        <v>857.05</v>
      </c>
      <c r="G1521" s="394" t="s">
        <v>4766</v>
      </c>
      <c r="H1521" s="592" t="s">
        <v>3048</v>
      </c>
      <c r="I1521" s="520" t="s">
        <v>11649</v>
      </c>
      <c r="J1521" s="421" t="s">
        <v>753</v>
      </c>
      <c r="K1521" s="520" t="s">
        <v>741</v>
      </c>
    </row>
    <row r="1522" spans="1:11" s="341" customFormat="1">
      <c r="A1522" s="1739"/>
      <c r="B1522" s="394" t="s">
        <v>6945</v>
      </c>
      <c r="C1522" s="389">
        <v>3246</v>
      </c>
      <c r="D1522" s="388">
        <f t="shared" si="221"/>
        <v>788.53513137313428</v>
      </c>
      <c r="E1522" s="386">
        <f t="shared" si="222"/>
        <v>98.566891421641785</v>
      </c>
      <c r="F1522" s="582">
        <f t="shared" si="220"/>
        <v>887.11</v>
      </c>
      <c r="G1522" s="394" t="s">
        <v>6946</v>
      </c>
      <c r="H1522" s="592" t="s">
        <v>6947</v>
      </c>
      <c r="I1522" s="520" t="s">
        <v>11649</v>
      </c>
      <c r="J1522" s="421" t="s">
        <v>753</v>
      </c>
      <c r="K1522" s="520" t="s">
        <v>741</v>
      </c>
    </row>
    <row r="1523" spans="1:11" s="341" customFormat="1">
      <c r="A1523" s="421"/>
      <c r="B1523" s="394" t="s">
        <v>3049</v>
      </c>
      <c r="C1523" s="389">
        <v>3136</v>
      </c>
      <c r="D1523" s="388">
        <f t="shared" si="221"/>
        <v>761.8133616716417</v>
      </c>
      <c r="E1523" s="386">
        <f t="shared" si="222"/>
        <v>95.226670208955213</v>
      </c>
      <c r="F1523" s="582">
        <f>ROUNDUP(D1523+E1523,2)</f>
        <v>857.05</v>
      </c>
      <c r="G1523" s="394" t="s">
        <v>4767</v>
      </c>
      <c r="H1523" s="592" t="s">
        <v>3899</v>
      </c>
      <c r="I1523" s="520" t="s">
        <v>11649</v>
      </c>
      <c r="J1523" s="421" t="s">
        <v>753</v>
      </c>
      <c r="K1523" s="520" t="s">
        <v>741</v>
      </c>
    </row>
    <row r="1524" spans="1:11" s="341" customFormat="1">
      <c r="A1524" s="1739"/>
      <c r="B1524" s="394" t="s">
        <v>6948</v>
      </c>
      <c r="C1524" s="389">
        <v>3246</v>
      </c>
      <c r="D1524" s="388">
        <f t="shared" si="221"/>
        <v>788.53513137313428</v>
      </c>
      <c r="E1524" s="386">
        <f t="shared" si="222"/>
        <v>98.566891421641785</v>
      </c>
      <c r="F1524" s="582">
        <f t="shared" si="220"/>
        <v>887.11</v>
      </c>
      <c r="G1524" s="394" t="s">
        <v>6949</v>
      </c>
      <c r="H1524" s="592" t="s">
        <v>6950</v>
      </c>
      <c r="I1524" s="520" t="s">
        <v>11649</v>
      </c>
      <c r="J1524" s="421" t="s">
        <v>753</v>
      </c>
      <c r="K1524" s="520" t="s">
        <v>741</v>
      </c>
    </row>
    <row r="1525" spans="1:11" s="339" customFormat="1">
      <c r="A1525" s="421"/>
      <c r="B1525" s="394" t="s">
        <v>3243</v>
      </c>
      <c r="C1525" s="389">
        <v>3805</v>
      </c>
      <c r="D1525" s="388">
        <f t="shared" si="221"/>
        <v>924.33030649253715</v>
      </c>
      <c r="E1525" s="386">
        <f t="shared" si="222"/>
        <v>115.54128831156714</v>
      </c>
      <c r="F1525" s="582">
        <f>ROUNDUP(D1525+E1525,2)</f>
        <v>1039.8799999999999</v>
      </c>
      <c r="G1525" s="394" t="s">
        <v>4768</v>
      </c>
      <c r="H1525" s="592" t="s">
        <v>3244</v>
      </c>
      <c r="I1525" s="520" t="s">
        <v>11649</v>
      </c>
      <c r="J1525" s="421" t="s">
        <v>753</v>
      </c>
      <c r="K1525" s="520" t="s">
        <v>741</v>
      </c>
    </row>
    <row r="1526" spans="1:11" s="339" customFormat="1">
      <c r="A1526" s="1739"/>
      <c r="B1526" s="394" t="s">
        <v>6951</v>
      </c>
      <c r="C1526" s="389">
        <v>3927</v>
      </c>
      <c r="D1526" s="388">
        <f t="shared" si="221"/>
        <v>953.96717834328354</v>
      </c>
      <c r="E1526" s="386">
        <f t="shared" si="222"/>
        <v>119.24589729291044</v>
      </c>
      <c r="F1526" s="582">
        <f t="shared" si="220"/>
        <v>1073.22</v>
      </c>
      <c r="G1526" s="394" t="s">
        <v>6952</v>
      </c>
      <c r="H1526" s="592" t="s">
        <v>6953</v>
      </c>
      <c r="I1526" s="520" t="s">
        <v>11649</v>
      </c>
      <c r="J1526" s="421" t="s">
        <v>753</v>
      </c>
      <c r="K1526" s="520" t="s">
        <v>741</v>
      </c>
    </row>
    <row r="1527" spans="1:11" s="341" customFormat="1">
      <c r="A1527" s="421"/>
      <c r="B1527" s="338"/>
      <c r="C1527" s="209" t="s">
        <v>2058</v>
      </c>
      <c r="D1527" s="244"/>
      <c r="E1527" s="228"/>
      <c r="F1527" s="585">
        <f t="shared" si="220"/>
        <v>0</v>
      </c>
      <c r="G1527" s="338"/>
      <c r="H1527" s="592"/>
      <c r="I1527" s="520"/>
      <c r="J1527" s="421"/>
      <c r="K1527" s="520"/>
    </row>
    <row r="1528" spans="1:11" s="341" customFormat="1">
      <c r="A1528" s="421"/>
      <c r="B1528" s="394" t="s">
        <v>6954</v>
      </c>
      <c r="C1528" s="389">
        <v>3379</v>
      </c>
      <c r="D1528" s="388">
        <f t="shared" ref="D1528:D1533" si="223">C1528*(1-VLOOKUP(I1528,descuentos,6,FALSE))*fcl/IF(dol_sol="dólar", TC,1)</f>
        <v>820.84418019402983</v>
      </c>
      <c r="E1528" s="386">
        <f t="shared" ref="E1528:E1533" si="224">D1528/8</f>
        <v>102.60552252425373</v>
      </c>
      <c r="F1528" s="582">
        <f t="shared" si="220"/>
        <v>923.45</v>
      </c>
      <c r="G1528" s="394" t="s">
        <v>6955</v>
      </c>
      <c r="H1528" s="592" t="s">
        <v>3258</v>
      </c>
      <c r="I1528" s="520" t="s">
        <v>11649</v>
      </c>
      <c r="J1528" s="421" t="s">
        <v>753</v>
      </c>
      <c r="K1528" s="520" t="s">
        <v>741</v>
      </c>
    </row>
    <row r="1529" spans="1:11" s="341" customFormat="1">
      <c r="A1529" s="1739"/>
      <c r="B1529" s="394" t="s">
        <v>6956</v>
      </c>
      <c r="C1529" s="389">
        <v>3488</v>
      </c>
      <c r="D1529" s="388">
        <f t="shared" si="223"/>
        <v>847.32302471641788</v>
      </c>
      <c r="E1529" s="386">
        <f t="shared" si="224"/>
        <v>105.91537808955223</v>
      </c>
      <c r="F1529" s="582">
        <f>ROUNDUP(D1529+E1529,2)</f>
        <v>953.24</v>
      </c>
      <c r="G1529" s="394" t="s">
        <v>6957</v>
      </c>
      <c r="H1529" s="592" t="s">
        <v>6958</v>
      </c>
      <c r="I1529" s="520" t="s">
        <v>11649</v>
      </c>
      <c r="J1529" s="421" t="s">
        <v>753</v>
      </c>
      <c r="K1529" s="520" t="s">
        <v>741</v>
      </c>
    </row>
    <row r="1530" spans="1:11" s="341" customFormat="1">
      <c r="A1530" s="421"/>
      <c r="B1530" s="394" t="s">
        <v>3257</v>
      </c>
      <c r="C1530" s="389">
        <v>3379</v>
      </c>
      <c r="D1530" s="388">
        <f t="shared" si="223"/>
        <v>820.84418019402983</v>
      </c>
      <c r="E1530" s="386">
        <f t="shared" si="224"/>
        <v>102.60552252425373</v>
      </c>
      <c r="F1530" s="582">
        <f>ROUNDUP(D1530+E1530,2)</f>
        <v>923.45</v>
      </c>
      <c r="G1530" s="394" t="s">
        <v>4769</v>
      </c>
      <c r="H1530" s="592" t="s">
        <v>6959</v>
      </c>
      <c r="I1530" s="520" t="s">
        <v>11649</v>
      </c>
      <c r="J1530" s="421" t="s">
        <v>753</v>
      </c>
      <c r="K1530" s="520" t="s">
        <v>741</v>
      </c>
    </row>
    <row r="1531" spans="1:11" s="341" customFormat="1">
      <c r="A1531" s="1739"/>
      <c r="B1531" s="394" t="s">
        <v>6960</v>
      </c>
      <c r="C1531" s="389">
        <v>3488</v>
      </c>
      <c r="D1531" s="388">
        <f t="shared" si="223"/>
        <v>847.32302471641788</v>
      </c>
      <c r="E1531" s="386">
        <f t="shared" si="224"/>
        <v>105.91537808955223</v>
      </c>
      <c r="F1531" s="582">
        <f t="shared" si="220"/>
        <v>953.24</v>
      </c>
      <c r="G1531" s="394" t="s">
        <v>6961</v>
      </c>
      <c r="H1531" s="592" t="s">
        <v>6962</v>
      </c>
      <c r="I1531" s="520" t="s">
        <v>11649</v>
      </c>
      <c r="J1531" s="421" t="s">
        <v>753</v>
      </c>
      <c r="K1531" s="520" t="s">
        <v>741</v>
      </c>
    </row>
    <row r="1532" spans="1:11" s="341" customFormat="1">
      <c r="A1532" s="421"/>
      <c r="B1532" s="394" t="s">
        <v>3241</v>
      </c>
      <c r="C1532" s="389">
        <v>4358</v>
      </c>
      <c r="D1532" s="388">
        <f t="shared" si="223"/>
        <v>1058.6679305373134</v>
      </c>
      <c r="E1532" s="386">
        <f t="shared" si="224"/>
        <v>132.33349131716417</v>
      </c>
      <c r="F1532" s="582">
        <f>ROUNDUP(D1532+E1532,2)</f>
        <v>1191.01</v>
      </c>
      <c r="G1532" s="394" t="s">
        <v>4770</v>
      </c>
      <c r="H1532" s="592" t="s">
        <v>3242</v>
      </c>
      <c r="I1532" s="520" t="s">
        <v>11649</v>
      </c>
      <c r="J1532" s="421" t="s">
        <v>753</v>
      </c>
      <c r="K1532" s="520" t="s">
        <v>741</v>
      </c>
    </row>
    <row r="1533" spans="1:11" s="341" customFormat="1">
      <c r="A1533" s="1739"/>
      <c r="B1533" s="394" t="s">
        <v>6963</v>
      </c>
      <c r="C1533" s="389">
        <v>4481</v>
      </c>
      <c r="D1533" s="388">
        <f t="shared" si="223"/>
        <v>1088.547727567164</v>
      </c>
      <c r="E1533" s="386">
        <f t="shared" si="224"/>
        <v>136.0684659458955</v>
      </c>
      <c r="F1533" s="582">
        <f t="shared" si="220"/>
        <v>1224.6199999999999</v>
      </c>
      <c r="G1533" s="394" t="s">
        <v>6964</v>
      </c>
      <c r="H1533" s="592" t="s">
        <v>6965</v>
      </c>
      <c r="I1533" s="520" t="s">
        <v>11649</v>
      </c>
      <c r="J1533" s="421" t="s">
        <v>753</v>
      </c>
      <c r="K1533" s="520" t="s">
        <v>741</v>
      </c>
    </row>
    <row r="1534" spans="1:11" s="341" customFormat="1">
      <c r="A1534" s="421"/>
      <c r="B1534" s="151"/>
      <c r="C1534" s="209" t="s">
        <v>2058</v>
      </c>
      <c r="D1534" s="244"/>
      <c r="E1534" s="228"/>
      <c r="F1534" s="585">
        <f t="shared" si="220"/>
        <v>0</v>
      </c>
      <c r="G1534" s="338"/>
      <c r="H1534" s="592"/>
      <c r="I1534" s="520"/>
      <c r="J1534" s="421"/>
      <c r="K1534" s="520"/>
    </row>
    <row r="1535" spans="1:11" s="341" customFormat="1">
      <c r="A1535" s="421"/>
      <c r="B1535" s="394" t="s">
        <v>6966</v>
      </c>
      <c r="C1535" s="389">
        <v>3706</v>
      </c>
      <c r="D1535" s="388">
        <f>C1535*(1-VLOOKUP(I1535,descuentos,6,FALSE))*fcl/IF(dol_sol="dólar", TC,1)</f>
        <v>900.28071376119385</v>
      </c>
      <c r="E1535" s="386">
        <f>D1535/8</f>
        <v>112.53508922014923</v>
      </c>
      <c r="F1535" s="582">
        <f t="shared" si="220"/>
        <v>1012.8199999999999</v>
      </c>
      <c r="G1535" s="394" t="s">
        <v>6967</v>
      </c>
      <c r="H1535" s="592" t="s">
        <v>6968</v>
      </c>
      <c r="I1535" s="520" t="s">
        <v>11649</v>
      </c>
      <c r="J1535" s="421" t="s">
        <v>753</v>
      </c>
      <c r="K1535" s="520" t="s">
        <v>741</v>
      </c>
    </row>
    <row r="1536" spans="1:11" s="341" customFormat="1">
      <c r="A1536" s="421"/>
      <c r="B1536" s="394" t="s">
        <v>3020</v>
      </c>
      <c r="C1536" s="389">
        <v>4595</v>
      </c>
      <c r="D1536" s="388">
        <f>C1536*(1-VLOOKUP(I1536,descuentos,6,FALSE))*fcl/IF(dol_sol="dólar", TC,1)</f>
        <v>1116.2411979850745</v>
      </c>
      <c r="E1536" s="386">
        <f>D1536/8</f>
        <v>139.53014974813431</v>
      </c>
      <c r="F1536" s="582">
        <f t="shared" si="220"/>
        <v>1255.78</v>
      </c>
      <c r="G1536" s="394" t="s">
        <v>4771</v>
      </c>
      <c r="H1536" s="592" t="s">
        <v>3021</v>
      </c>
      <c r="I1536" s="520" t="s">
        <v>11649</v>
      </c>
      <c r="J1536" s="421" t="s">
        <v>753</v>
      </c>
      <c r="K1536" s="520" t="s">
        <v>741</v>
      </c>
    </row>
    <row r="1537" spans="1:11" s="341" customFormat="1">
      <c r="A1537" s="421"/>
      <c r="B1537" s="151"/>
      <c r="C1537" s="209" t="s">
        <v>2058</v>
      </c>
      <c r="D1537" s="244"/>
      <c r="E1537" s="228"/>
      <c r="F1537" s="585">
        <f t="shared" si="220"/>
        <v>0</v>
      </c>
      <c r="G1537" s="338"/>
      <c r="H1537" s="592"/>
      <c r="I1537" s="520"/>
      <c r="J1537" s="421"/>
      <c r="K1537" s="520"/>
    </row>
    <row r="1538" spans="1:11" s="341" customFormat="1">
      <c r="A1538" s="421"/>
      <c r="B1538" s="394" t="s">
        <v>9897</v>
      </c>
      <c r="C1538" s="389">
        <v>3155</v>
      </c>
      <c r="D1538" s="388">
        <f>C1538*(1-VLOOKUP(I1538,descuentos,6,FALSE))*fcl/IF(dol_sol="dólar", TC,1)</f>
        <v>766.42894007462678</v>
      </c>
      <c r="E1538" s="386">
        <f>D1538/8</f>
        <v>95.803617509328348</v>
      </c>
      <c r="F1538" s="582">
        <f t="shared" si="220"/>
        <v>862.24</v>
      </c>
      <c r="G1538" s="394" t="s">
        <v>12271</v>
      </c>
      <c r="H1538" s="592" t="s">
        <v>9898</v>
      </c>
      <c r="I1538" s="520" t="s">
        <v>11649</v>
      </c>
      <c r="J1538" s="421" t="s">
        <v>753</v>
      </c>
      <c r="K1538" s="520" t="s">
        <v>741</v>
      </c>
    </row>
    <row r="1539" spans="1:11" s="341" customFormat="1">
      <c r="A1539" s="421"/>
      <c r="B1539" s="394" t="s">
        <v>6969</v>
      </c>
      <c r="C1539" s="389">
        <v>3967</v>
      </c>
      <c r="D1539" s="388">
        <f>C1539*(1-VLOOKUP(I1539,descuentos,6,FALSE))*fcl/IF(dol_sol="dólar", TC,1)</f>
        <v>963.68418550746253</v>
      </c>
      <c r="E1539" s="386">
        <f>D1539/8</f>
        <v>120.46052318843282</v>
      </c>
      <c r="F1539" s="582">
        <f t="shared" si="220"/>
        <v>1084.1500000000001</v>
      </c>
      <c r="G1539" s="394" t="s">
        <v>12272</v>
      </c>
      <c r="H1539" s="592" t="s">
        <v>6970</v>
      </c>
      <c r="I1539" s="520" t="s">
        <v>11649</v>
      </c>
      <c r="J1539" s="421" t="s">
        <v>753</v>
      </c>
      <c r="K1539" s="520" t="s">
        <v>741</v>
      </c>
    </row>
    <row r="1540" spans="1:11" s="341" customFormat="1">
      <c r="A1540" s="421"/>
      <c r="B1540" s="394" t="s">
        <v>6971</v>
      </c>
      <c r="C1540" s="389">
        <v>4832</v>
      </c>
      <c r="D1540" s="388">
        <f>C1540*(1-VLOOKUP(I1540,descuentos,6,FALSE))*fcl/IF(dol_sol="dólar", TC,1)</f>
        <v>1173.8144654328357</v>
      </c>
      <c r="E1540" s="386">
        <f>D1540/8</f>
        <v>146.72680817910447</v>
      </c>
      <c r="F1540" s="582">
        <f t="shared" si="220"/>
        <v>1320.55</v>
      </c>
      <c r="G1540" s="394" t="s">
        <v>12273</v>
      </c>
      <c r="H1540" s="592" t="s">
        <v>6972</v>
      </c>
      <c r="I1540" s="520" t="s">
        <v>11649</v>
      </c>
      <c r="J1540" s="421" t="s">
        <v>753</v>
      </c>
      <c r="K1540" s="520" t="s">
        <v>741</v>
      </c>
    </row>
    <row r="1541" spans="1:11" s="339" customFormat="1">
      <c r="A1541" s="421"/>
      <c r="B1541" s="151"/>
      <c r="C1541" s="209" t="s">
        <v>2058</v>
      </c>
      <c r="D1541" s="244"/>
      <c r="E1541" s="228"/>
      <c r="F1541" s="585">
        <f t="shared" si="220"/>
        <v>0</v>
      </c>
      <c r="G1541" s="338"/>
      <c r="H1541" s="592"/>
      <c r="I1541" s="520"/>
      <c r="J1541" s="421"/>
      <c r="K1541" s="520"/>
    </row>
    <row r="1542" spans="1:11" s="339" customFormat="1">
      <c r="A1542" s="421"/>
      <c r="B1542" s="151"/>
      <c r="C1542" s="209" t="s">
        <v>2058</v>
      </c>
      <c r="D1542" s="244"/>
      <c r="E1542" s="228"/>
      <c r="F1542" s="585">
        <f t="shared" si="220"/>
        <v>0</v>
      </c>
      <c r="G1542" s="338"/>
      <c r="H1542" s="592"/>
      <c r="I1542" s="520"/>
      <c r="J1542" s="421"/>
      <c r="K1542" s="520"/>
    </row>
    <row r="1543" spans="1:11" s="341" customFormat="1">
      <c r="A1543" s="421"/>
      <c r="B1543" s="592" t="s">
        <v>919</v>
      </c>
      <c r="C1543" s="209">
        <v>3855</v>
      </c>
      <c r="D1543" s="244">
        <f>C1543*(1-VLOOKUP(I1543,descuentos,6,FALSE))*fcl/IF(dol_sol="dólar", TC,1)</f>
        <v>936.47656544776112</v>
      </c>
      <c r="E1543" s="228">
        <f>D1543/8</f>
        <v>117.05957068097014</v>
      </c>
      <c r="F1543" s="585">
        <f t="shared" si="220"/>
        <v>1053.54</v>
      </c>
      <c r="G1543" s="338" t="s">
        <v>4772</v>
      </c>
      <c r="H1543" s="592" t="s">
        <v>921</v>
      </c>
      <c r="I1543" s="520" t="s">
        <v>11649</v>
      </c>
      <c r="J1543" s="421" t="s">
        <v>753</v>
      </c>
      <c r="K1543" s="520" t="s">
        <v>741</v>
      </c>
    </row>
    <row r="1544" spans="1:11" s="341" customFormat="1">
      <c r="A1544" s="421"/>
      <c r="B1544" s="592" t="s">
        <v>813</v>
      </c>
      <c r="C1544" s="209">
        <v>5023</v>
      </c>
      <c r="D1544" s="244">
        <f>C1544*(1-VLOOKUP(I1544,descuentos,6,FALSE))*fcl/IF(dol_sol="dólar", TC,1)</f>
        <v>1220.2131746417908</v>
      </c>
      <c r="E1544" s="228">
        <f>D1544/8</f>
        <v>152.52664683022385</v>
      </c>
      <c r="F1544" s="585">
        <f t="shared" si="220"/>
        <v>1372.74</v>
      </c>
      <c r="G1544" s="338" t="s">
        <v>4773</v>
      </c>
      <c r="H1544" s="592" t="s">
        <v>814</v>
      </c>
      <c r="I1544" s="520" t="s">
        <v>11649</v>
      </c>
      <c r="J1544" s="421" t="s">
        <v>753</v>
      </c>
      <c r="K1544" s="520" t="s">
        <v>741</v>
      </c>
    </row>
    <row r="1545" spans="1:11" s="341" customFormat="1">
      <c r="A1545" s="421"/>
      <c r="B1545" s="592" t="s">
        <v>13542</v>
      </c>
      <c r="C1545" s="209">
        <v>5174</v>
      </c>
      <c r="D1545" s="244">
        <f>C1545*(1-VLOOKUP(I1545,descuentos,6,FALSE))*fcl/IF(dol_sol="dólar", TC,1)</f>
        <v>1256.8948766865669</v>
      </c>
      <c r="E1545" s="228">
        <f>D1545/8</f>
        <v>157.11185958582087</v>
      </c>
      <c r="F1545" s="585">
        <f t="shared" si="220"/>
        <v>1414.01</v>
      </c>
      <c r="G1545" s="338" t="s">
        <v>13543</v>
      </c>
      <c r="H1545" s="592" t="s">
        <v>13544</v>
      </c>
      <c r="I1545" s="520" t="s">
        <v>11649</v>
      </c>
      <c r="J1545" s="421" t="s">
        <v>753</v>
      </c>
      <c r="K1545" s="520" t="s">
        <v>741</v>
      </c>
    </row>
    <row r="1546" spans="1:11" s="341" customFormat="1">
      <c r="A1546" s="421"/>
      <c r="B1546" s="592" t="s">
        <v>3527</v>
      </c>
      <c r="C1546" s="209">
        <v>6710</v>
      </c>
      <c r="D1546" s="244">
        <f>C1546*(1-VLOOKUP(I1546,descuentos,6,FALSE))*fcl/IF(dol_sol="dólar", TC,1)</f>
        <v>1630.0279517910446</v>
      </c>
      <c r="E1546" s="228">
        <f>D1546/8</f>
        <v>203.75349397388058</v>
      </c>
      <c r="F1546" s="585">
        <f t="shared" si="220"/>
        <v>1833.79</v>
      </c>
      <c r="G1546" s="338" t="s">
        <v>4774</v>
      </c>
      <c r="H1546" s="592" t="s">
        <v>3528</v>
      </c>
      <c r="I1546" s="520" t="s">
        <v>11649</v>
      </c>
      <c r="J1546" s="421" t="s">
        <v>753</v>
      </c>
      <c r="K1546" s="520" t="s">
        <v>741</v>
      </c>
    </row>
    <row r="1547" spans="1:11" s="341" customFormat="1">
      <c r="A1547" s="421"/>
      <c r="B1547" s="592" t="s">
        <v>6973</v>
      </c>
      <c r="C1547" s="209">
        <v>6871</v>
      </c>
      <c r="D1547" s="244">
        <f>C1547*(1-VLOOKUP(I1547,descuentos,6,FALSE))*fcl/IF(dol_sol="dólar", TC,1)</f>
        <v>1669.1389056268654</v>
      </c>
      <c r="E1547" s="228">
        <f>D1547/8</f>
        <v>208.64236320335817</v>
      </c>
      <c r="F1547" s="585">
        <f>ROUNDUP(D1547+E1547,2)</f>
        <v>1877.79</v>
      </c>
      <c r="G1547" s="338" t="s">
        <v>6974</v>
      </c>
      <c r="H1547" s="592" t="s">
        <v>6975</v>
      </c>
      <c r="I1547" s="520" t="s">
        <v>11649</v>
      </c>
      <c r="J1547" s="421" t="s">
        <v>753</v>
      </c>
      <c r="K1547" s="520" t="s">
        <v>741</v>
      </c>
    </row>
    <row r="1548" spans="1:11" s="341" customFormat="1">
      <c r="A1548" s="421"/>
      <c r="B1548" s="592"/>
      <c r="C1548" s="209" t="s">
        <v>2058</v>
      </c>
      <c r="D1548" s="244"/>
      <c r="E1548" s="228"/>
      <c r="F1548" s="585">
        <f t="shared" si="220"/>
        <v>0</v>
      </c>
      <c r="G1548" s="338"/>
      <c r="H1548" s="592"/>
      <c r="I1548" s="520"/>
      <c r="J1548" s="421"/>
      <c r="K1548" s="520"/>
    </row>
    <row r="1549" spans="1:11" s="341" customFormat="1">
      <c r="A1549" s="421"/>
      <c r="B1549" s="592" t="s">
        <v>920</v>
      </c>
      <c r="C1549" s="209">
        <v>4116</v>
      </c>
      <c r="D1549" s="244">
        <f t="shared" ref="D1549:D1554" si="225">C1549*(1-VLOOKUP(I1549,descuentos,6,FALSE))*fcl/IF(dol_sol="dólar", TC,1)</f>
        <v>999.88003719402991</v>
      </c>
      <c r="E1549" s="228">
        <f t="shared" ref="E1549:E1559" si="226">D1549/8</f>
        <v>124.98500464925374</v>
      </c>
      <c r="F1549" s="585">
        <f t="shared" si="220"/>
        <v>1124.8699999999999</v>
      </c>
      <c r="G1549" s="338" t="s">
        <v>4775</v>
      </c>
      <c r="H1549" s="592" t="s">
        <v>922</v>
      </c>
      <c r="I1549" s="520" t="s">
        <v>11649</v>
      </c>
      <c r="J1549" s="421" t="s">
        <v>753</v>
      </c>
      <c r="K1549" s="520" t="s">
        <v>741</v>
      </c>
    </row>
    <row r="1550" spans="1:11" s="341" customFormat="1">
      <c r="A1550" s="421"/>
      <c r="B1550" s="592" t="s">
        <v>818</v>
      </c>
      <c r="C1550" s="209">
        <v>6203</v>
      </c>
      <c r="D1550" s="244">
        <f t="shared" si="225"/>
        <v>1506.8648859850746</v>
      </c>
      <c r="E1550" s="228">
        <f>D1550/8</f>
        <v>188.35811074813432</v>
      </c>
      <c r="F1550" s="585">
        <f>ROUNDUP(D1550+E1550,2)</f>
        <v>1695.23</v>
      </c>
      <c r="G1550" s="338" t="s">
        <v>4776</v>
      </c>
      <c r="H1550" s="592" t="s">
        <v>817</v>
      </c>
      <c r="I1550" s="520" t="s">
        <v>11649</v>
      </c>
      <c r="J1550" s="421" t="s">
        <v>753</v>
      </c>
      <c r="K1550" s="520" t="s">
        <v>741</v>
      </c>
    </row>
    <row r="1551" spans="1:11" s="341" customFormat="1">
      <c r="A1551" s="1739"/>
      <c r="B1551" s="592" t="s">
        <v>6976</v>
      </c>
      <c r="C1551" s="209">
        <v>6342</v>
      </c>
      <c r="D1551" s="244">
        <f t="shared" si="225"/>
        <v>1540.6314858805968</v>
      </c>
      <c r="E1551" s="228">
        <f t="shared" si="226"/>
        <v>192.57893573507459</v>
      </c>
      <c r="F1551" s="585">
        <f t="shared" si="220"/>
        <v>1733.22</v>
      </c>
      <c r="G1551" s="338" t="s">
        <v>6977</v>
      </c>
      <c r="H1551" s="592" t="s">
        <v>6978</v>
      </c>
      <c r="I1551" s="520" t="s">
        <v>11649</v>
      </c>
      <c r="J1551" s="421" t="s">
        <v>753</v>
      </c>
      <c r="K1551" s="520" t="s">
        <v>741</v>
      </c>
    </row>
    <row r="1552" spans="1:11" s="341" customFormat="1">
      <c r="A1552" s="421"/>
      <c r="B1552" s="592" t="s">
        <v>2713</v>
      </c>
      <c r="C1552" s="209">
        <v>7099</v>
      </c>
      <c r="D1552" s="244">
        <f t="shared" si="225"/>
        <v>1724.5258464626863</v>
      </c>
      <c r="E1552" s="228">
        <f>D1552/8</f>
        <v>215.56573080783579</v>
      </c>
      <c r="F1552" s="585">
        <f>ROUNDUP(D1552+E1552,2)</f>
        <v>1940.1</v>
      </c>
      <c r="G1552" s="338" t="s">
        <v>4778</v>
      </c>
      <c r="H1552" s="592" t="s">
        <v>2715</v>
      </c>
      <c r="I1552" s="520" t="s">
        <v>11649</v>
      </c>
      <c r="J1552" s="421" t="s">
        <v>753</v>
      </c>
      <c r="K1552" s="520" t="s">
        <v>741</v>
      </c>
    </row>
    <row r="1553" spans="1:11" s="341" customFormat="1">
      <c r="A1553" s="421"/>
      <c r="B1553" s="592" t="s">
        <v>11143</v>
      </c>
      <c r="C1553" s="209">
        <v>11404</v>
      </c>
      <c r="D1553" s="244">
        <f t="shared" si="225"/>
        <v>2770.3187425074625</v>
      </c>
      <c r="E1553" s="228">
        <f>D1553/8</f>
        <v>346.28984281343281</v>
      </c>
      <c r="F1553" s="585">
        <f>ROUNDUP(D1553+E1553,2)</f>
        <v>3116.61</v>
      </c>
      <c r="G1553" s="338" t="s">
        <v>11144</v>
      </c>
      <c r="H1553" s="592" t="s">
        <v>11145</v>
      </c>
      <c r="I1553" s="520" t="s">
        <v>11649</v>
      </c>
      <c r="J1553" s="421" t="s">
        <v>753</v>
      </c>
      <c r="K1553" s="520" t="s">
        <v>741</v>
      </c>
    </row>
    <row r="1554" spans="1:11" s="341" customFormat="1">
      <c r="A1554" s="421"/>
      <c r="B1554" s="394" t="s">
        <v>13028</v>
      </c>
      <c r="C1554" s="389">
        <v>4487</v>
      </c>
      <c r="D1554" s="388">
        <f t="shared" si="225"/>
        <v>1090.0052786417909</v>
      </c>
      <c r="E1554" s="386">
        <f>D1554/8</f>
        <v>136.25065983022387</v>
      </c>
      <c r="F1554" s="582">
        <f t="shared" ref="F1554" si="227">ROUNDUP(D1554+E1554,2)</f>
        <v>1226.26</v>
      </c>
      <c r="G1554" s="394" t="s">
        <v>13029</v>
      </c>
      <c r="H1554" s="592" t="s">
        <v>13030</v>
      </c>
      <c r="I1554" s="520" t="s">
        <v>11649</v>
      </c>
      <c r="J1554" s="421" t="s">
        <v>753</v>
      </c>
      <c r="K1554" s="520" t="s">
        <v>741</v>
      </c>
    </row>
    <row r="1555" spans="1:11" s="341" customFormat="1">
      <c r="A1555" s="421"/>
      <c r="B1555" s="592"/>
      <c r="C1555" s="209" t="s">
        <v>2058</v>
      </c>
      <c r="D1555" s="244"/>
      <c r="E1555" s="228"/>
      <c r="F1555" s="585">
        <f>ROUNDUP(D1555+E1555,2)</f>
        <v>0</v>
      </c>
      <c r="G1555" s="338"/>
      <c r="H1555" s="592"/>
      <c r="I1555" s="520"/>
      <c r="J1555" s="421"/>
      <c r="K1555" s="520"/>
    </row>
    <row r="1556" spans="1:11" s="341" customFormat="1">
      <c r="A1556" s="421"/>
      <c r="B1556" s="592" t="s">
        <v>6979</v>
      </c>
      <c r="C1556" s="209">
        <v>4219</v>
      </c>
      <c r="D1556" s="244">
        <f>C1556*(1-VLOOKUP(I1556,descuentos,6,FALSE))*fcl/IF(dol_sol="dólar", TC,1)</f>
        <v>1024.9013306417908</v>
      </c>
      <c r="E1556" s="228">
        <f>D1556/8</f>
        <v>128.11266633022385</v>
      </c>
      <c r="F1556" s="585">
        <f>ROUNDUP(D1556+E1556,2)</f>
        <v>1153.02</v>
      </c>
      <c r="G1556" s="338" t="s">
        <v>6980</v>
      </c>
      <c r="H1556" s="592" t="s">
        <v>6981</v>
      </c>
      <c r="I1556" s="520" t="s">
        <v>11649</v>
      </c>
      <c r="J1556" s="421" t="s">
        <v>753</v>
      </c>
      <c r="K1556" s="520" t="s">
        <v>741</v>
      </c>
    </row>
    <row r="1557" spans="1:11" s="341" customFormat="1">
      <c r="A1557" s="421"/>
      <c r="B1557" s="592" t="s">
        <v>2718</v>
      </c>
      <c r="C1557" s="209">
        <v>6875</v>
      </c>
      <c r="D1557" s="244">
        <f>C1557*(1-VLOOKUP(I1557,descuentos,6,FALSE))*fcl/IF(dol_sol="dólar", TC,1)</f>
        <v>1670.1106063432835</v>
      </c>
      <c r="E1557" s="228">
        <f t="shared" si="226"/>
        <v>208.76382579291044</v>
      </c>
      <c r="F1557" s="585">
        <f t="shared" si="220"/>
        <v>1878.8799999999999</v>
      </c>
      <c r="G1557" s="338" t="s">
        <v>4777</v>
      </c>
      <c r="H1557" s="592" t="s">
        <v>2719</v>
      </c>
      <c r="I1557" s="520" t="s">
        <v>11649</v>
      </c>
      <c r="J1557" s="421" t="s">
        <v>753</v>
      </c>
      <c r="K1557" s="520" t="s">
        <v>741</v>
      </c>
    </row>
    <row r="1558" spans="1:11" s="341" customFormat="1">
      <c r="A1558" s="421"/>
      <c r="B1558" s="592" t="s">
        <v>9186</v>
      </c>
      <c r="C1558" s="209">
        <v>7020</v>
      </c>
      <c r="D1558" s="244">
        <f>C1558*(1-VLOOKUP(I1558,descuentos,6,FALSE))*fcl/IF(dol_sol="dólar", TC,1)</f>
        <v>1705.3347573134326</v>
      </c>
      <c r="E1558" s="228">
        <f>D1558/8</f>
        <v>213.16684466417908</v>
      </c>
      <c r="F1558" s="585">
        <f>ROUNDUP(D1558+E1558,2)</f>
        <v>1918.51</v>
      </c>
      <c r="G1558" s="338" t="s">
        <v>9187</v>
      </c>
      <c r="H1558" s="592" t="s">
        <v>9188</v>
      </c>
      <c r="I1558" s="520" t="s">
        <v>11649</v>
      </c>
      <c r="J1558" s="421" t="s">
        <v>753</v>
      </c>
      <c r="K1558" s="520" t="s">
        <v>741</v>
      </c>
    </row>
    <row r="1559" spans="1:11" s="341" customFormat="1">
      <c r="A1559" s="421"/>
      <c r="B1559" s="592" t="s">
        <v>2720</v>
      </c>
      <c r="C1559" s="209">
        <v>7819</v>
      </c>
      <c r="D1559" s="244">
        <f>C1559*(1-VLOOKUP(I1559,descuentos,6,FALSE))*fcl/IF(dol_sol="dólar", TC,1)</f>
        <v>1899.4319754179103</v>
      </c>
      <c r="E1559" s="228">
        <f t="shared" si="226"/>
        <v>237.42899692723879</v>
      </c>
      <c r="F1559" s="585">
        <f t="shared" si="220"/>
        <v>2136.8700000000003</v>
      </c>
      <c r="G1559" s="338" t="s">
        <v>4779</v>
      </c>
      <c r="H1559" s="592" t="s">
        <v>2721</v>
      </c>
      <c r="I1559" s="520" t="s">
        <v>11649</v>
      </c>
      <c r="J1559" s="421" t="s">
        <v>753</v>
      </c>
      <c r="K1559" s="520" t="s">
        <v>741</v>
      </c>
    </row>
    <row r="1560" spans="1:11" s="341" customFormat="1">
      <c r="A1560" s="421"/>
      <c r="B1560" s="592"/>
      <c r="C1560" s="209" t="s">
        <v>2058</v>
      </c>
      <c r="D1560" s="244"/>
      <c r="E1560" s="228"/>
      <c r="F1560" s="585">
        <f t="shared" si="220"/>
        <v>0</v>
      </c>
      <c r="G1560" s="338"/>
      <c r="H1560" s="592"/>
      <c r="I1560" s="520"/>
      <c r="J1560" s="421"/>
      <c r="K1560" s="520"/>
    </row>
    <row r="1561" spans="1:11" s="341" customFormat="1">
      <c r="A1561" s="425"/>
      <c r="B1561" s="580" t="s">
        <v>3213</v>
      </c>
      <c r="C1561" s="389">
        <v>4521</v>
      </c>
      <c r="D1561" s="388">
        <f>C1561*(1-VLOOKUP(I1561,descuentos,6,FALSE))*fcl/IF(dol_sol="dólar", TC,1)</f>
        <v>1098.2647347313432</v>
      </c>
      <c r="E1561" s="386">
        <f>D1561/8</f>
        <v>137.2830918414179</v>
      </c>
      <c r="F1561" s="582">
        <f t="shared" si="220"/>
        <v>1235.55</v>
      </c>
      <c r="G1561" s="394" t="s">
        <v>4780</v>
      </c>
      <c r="H1561" s="580" t="s">
        <v>3215</v>
      </c>
      <c r="I1561" s="622" t="s">
        <v>11649</v>
      </c>
      <c r="J1561" s="425" t="s">
        <v>753</v>
      </c>
      <c r="K1561" s="622" t="s">
        <v>741</v>
      </c>
    </row>
    <row r="1562" spans="1:11" s="341" customFormat="1">
      <c r="A1562" s="425"/>
      <c r="B1562" s="580" t="s">
        <v>3040</v>
      </c>
      <c r="C1562" s="389">
        <v>6027</v>
      </c>
      <c r="D1562" s="388">
        <f>C1562*(1-VLOOKUP(I1562,descuentos,6,FALSE))*fcl/IF(dol_sol="dólar", TC,1)</f>
        <v>1464.1100544626865</v>
      </c>
      <c r="E1562" s="386">
        <f>D1562/8</f>
        <v>183.01375680783582</v>
      </c>
      <c r="F1562" s="582">
        <f t="shared" si="220"/>
        <v>1647.1299999999999</v>
      </c>
      <c r="G1562" s="394" t="s">
        <v>4781</v>
      </c>
      <c r="H1562" s="580" t="s">
        <v>3216</v>
      </c>
      <c r="I1562" s="622" t="s">
        <v>11649</v>
      </c>
      <c r="J1562" s="425" t="s">
        <v>753</v>
      </c>
      <c r="K1562" s="622" t="s">
        <v>741</v>
      </c>
    </row>
    <row r="1563" spans="1:11" s="341" customFormat="1">
      <c r="A1563" s="421"/>
      <c r="B1563" s="592" t="s">
        <v>13545</v>
      </c>
      <c r="C1563" s="209">
        <v>6209</v>
      </c>
      <c r="D1563" s="244">
        <f>C1563*(1-VLOOKUP(I1563,descuentos,6,FALSE))*fcl/IF(dol_sol="dólar", TC,1)</f>
        <v>1508.3224370597013</v>
      </c>
      <c r="E1563" s="228">
        <f>D1563/8</f>
        <v>188.54030463246266</v>
      </c>
      <c r="F1563" s="585">
        <f t="shared" si="220"/>
        <v>1696.87</v>
      </c>
      <c r="G1563" s="338" t="s">
        <v>13546</v>
      </c>
      <c r="H1563" s="592" t="s">
        <v>13547</v>
      </c>
      <c r="I1563" s="520" t="s">
        <v>11649</v>
      </c>
      <c r="J1563" s="421" t="s">
        <v>753</v>
      </c>
      <c r="K1563" s="520" t="s">
        <v>741</v>
      </c>
    </row>
    <row r="1564" spans="1:11" s="341" customFormat="1">
      <c r="A1564" s="425"/>
      <c r="B1564" s="580" t="s">
        <v>5142</v>
      </c>
      <c r="C1564" s="389">
        <v>8045</v>
      </c>
      <c r="D1564" s="388">
        <f>C1564*(1-VLOOKUP(I1564,descuentos,6,FALSE))*fcl/IF(dol_sol="dólar", TC,1)</f>
        <v>1954.3330658955222</v>
      </c>
      <c r="E1564" s="386">
        <f>D1564/8</f>
        <v>244.29163323694027</v>
      </c>
      <c r="F1564" s="582">
        <f>ROUNDUP(D1564+E1564,2)</f>
        <v>2198.63</v>
      </c>
      <c r="G1564" s="394" t="s">
        <v>5143</v>
      </c>
      <c r="H1564" s="580" t="s">
        <v>5144</v>
      </c>
      <c r="I1564" s="622" t="s">
        <v>11649</v>
      </c>
      <c r="J1564" s="425" t="s">
        <v>753</v>
      </c>
      <c r="K1564" s="622" t="s">
        <v>741</v>
      </c>
    </row>
    <row r="1565" spans="1:11" s="341" customFormat="1">
      <c r="A1565" s="425"/>
      <c r="B1565" s="580"/>
      <c r="C1565" s="389" t="s">
        <v>2058</v>
      </c>
      <c r="D1565" s="388"/>
      <c r="E1565" s="386"/>
      <c r="F1565" s="582">
        <f t="shared" si="220"/>
        <v>0</v>
      </c>
      <c r="G1565" s="394"/>
      <c r="H1565" s="580"/>
      <c r="I1565" s="622"/>
      <c r="J1565" s="425"/>
      <c r="K1565" s="622"/>
    </row>
    <row r="1566" spans="1:11" s="341" customFormat="1">
      <c r="A1566" s="425"/>
      <c r="B1566" s="580" t="s">
        <v>3220</v>
      </c>
      <c r="C1566" s="389">
        <v>4847</v>
      </c>
      <c r="D1566" s="388">
        <f>C1566*(1-VLOOKUP(I1566,descuentos,6,FALSE))*fcl/IF(dol_sol="dólar", TC,1)</f>
        <v>1177.4583431194028</v>
      </c>
      <c r="E1566" s="386">
        <f>D1566/8</f>
        <v>147.18229288992535</v>
      </c>
      <c r="F1566" s="582">
        <f t="shared" si="220"/>
        <v>1324.65</v>
      </c>
      <c r="G1566" s="394" t="s">
        <v>4782</v>
      </c>
      <c r="H1566" s="580" t="s">
        <v>3221</v>
      </c>
      <c r="I1566" s="622" t="s">
        <v>11649</v>
      </c>
      <c r="J1566" s="425" t="s">
        <v>753</v>
      </c>
      <c r="K1566" s="622" t="s">
        <v>741</v>
      </c>
    </row>
    <row r="1567" spans="1:11" s="341" customFormat="1">
      <c r="A1567" s="425"/>
      <c r="B1567" s="580" t="s">
        <v>1321</v>
      </c>
      <c r="C1567" s="389">
        <v>7455</v>
      </c>
      <c r="D1567" s="388">
        <f>C1567*(1-VLOOKUP(I1567,descuentos,6,FALSE))*fcl/IF(dol_sol="dólar", TC,1)</f>
        <v>1811.0072102238803</v>
      </c>
      <c r="E1567" s="386">
        <f>D1567/8</f>
        <v>226.37590127798504</v>
      </c>
      <c r="F1567" s="582">
        <f>ROUNDUP(D1567+E1567,2)</f>
        <v>2037.39</v>
      </c>
      <c r="G1567" s="394" t="s">
        <v>4783</v>
      </c>
      <c r="H1567" s="2021" t="s">
        <v>1322</v>
      </c>
      <c r="I1567" s="622" t="s">
        <v>11649</v>
      </c>
      <c r="J1567" s="425" t="s">
        <v>753</v>
      </c>
      <c r="K1567" s="622" t="s">
        <v>741</v>
      </c>
    </row>
    <row r="1568" spans="1:11" s="341" customFormat="1">
      <c r="A1568" s="1739"/>
      <c r="B1568" s="580" t="s">
        <v>6982</v>
      </c>
      <c r="C1568" s="389">
        <v>7596</v>
      </c>
      <c r="D1568" s="388">
        <f>C1568*(1-VLOOKUP(I1568,descuentos,6,FALSE))*fcl/IF(dol_sol="dólar", TC,1)</f>
        <v>1845.2596604776118</v>
      </c>
      <c r="E1568" s="386">
        <f>D1568/8</f>
        <v>230.65745755970147</v>
      </c>
      <c r="F1568" s="582">
        <f t="shared" si="220"/>
        <v>2075.92</v>
      </c>
      <c r="G1568" s="394" t="s">
        <v>6983</v>
      </c>
      <c r="H1568" s="580" t="s">
        <v>6984</v>
      </c>
      <c r="I1568" s="622" t="s">
        <v>11649</v>
      </c>
      <c r="J1568" s="425" t="s">
        <v>753</v>
      </c>
      <c r="K1568" s="622" t="s">
        <v>741</v>
      </c>
    </row>
    <row r="1569" spans="1:11" s="341" customFormat="1">
      <c r="A1569" s="425"/>
      <c r="B1569" s="580" t="s">
        <v>3256</v>
      </c>
      <c r="C1569" s="389">
        <v>8532</v>
      </c>
      <c r="D1569" s="388">
        <f>C1569*(1-VLOOKUP(I1569,descuentos,6,FALSE))*fcl/IF(dol_sol="dólar", TC,1)</f>
        <v>2072.6376281194025</v>
      </c>
      <c r="E1569" s="386">
        <f>D1569/8</f>
        <v>259.07970351492531</v>
      </c>
      <c r="F1569" s="582">
        <f t="shared" si="220"/>
        <v>2331.7200000000003</v>
      </c>
      <c r="G1569" s="394" t="s">
        <v>4784</v>
      </c>
      <c r="H1569" s="580" t="s">
        <v>3255</v>
      </c>
      <c r="I1569" s="622" t="s">
        <v>11649</v>
      </c>
      <c r="J1569" s="425" t="s">
        <v>753</v>
      </c>
      <c r="K1569" s="622" t="s">
        <v>741</v>
      </c>
    </row>
    <row r="1570" spans="1:11" s="341" customFormat="1">
      <c r="A1570" s="425"/>
      <c r="B1570" s="580"/>
      <c r="C1570" s="389" t="s">
        <v>2058</v>
      </c>
      <c r="D1570" s="388"/>
      <c r="E1570" s="386"/>
      <c r="F1570" s="582">
        <f t="shared" si="220"/>
        <v>0</v>
      </c>
      <c r="G1570" s="394"/>
      <c r="H1570" s="580"/>
      <c r="I1570" s="622"/>
      <c r="J1570" s="425"/>
      <c r="K1570" s="622"/>
    </row>
    <row r="1571" spans="1:11" s="341" customFormat="1">
      <c r="A1571" s="425"/>
      <c r="B1571" s="580" t="s">
        <v>3027</v>
      </c>
      <c r="C1571" s="389">
        <v>8295</v>
      </c>
      <c r="D1571" s="388">
        <f>C1571*(1-VLOOKUP(I1571,descuentos,6,FALSE))*fcl/IF(dol_sol="dólar", TC,1)</f>
        <v>2015.0643606716417</v>
      </c>
      <c r="E1571" s="386">
        <f>D1571/8</f>
        <v>251.88304508395521</v>
      </c>
      <c r="F1571" s="582">
        <f t="shared" si="220"/>
        <v>2266.9500000000003</v>
      </c>
      <c r="G1571" s="394" t="s">
        <v>4785</v>
      </c>
      <c r="H1571" s="2021" t="s">
        <v>9578</v>
      </c>
      <c r="I1571" s="622" t="s">
        <v>11649</v>
      </c>
      <c r="J1571" s="425" t="s">
        <v>753</v>
      </c>
      <c r="K1571" s="622" t="s">
        <v>741</v>
      </c>
    </row>
    <row r="1572" spans="1:11" s="341" customFormat="1">
      <c r="A1572" s="425"/>
      <c r="B1572" s="580" t="s">
        <v>6985</v>
      </c>
      <c r="C1572" s="389">
        <v>9598</v>
      </c>
      <c r="D1572" s="388">
        <f>C1572*(1-VLOOKUP(I1572,descuentos,6,FALSE))*fcl/IF(dol_sol="dólar", TC,1)</f>
        <v>2331.5958690447756</v>
      </c>
      <c r="E1572" s="386">
        <f>D1572/8</f>
        <v>291.44948363059694</v>
      </c>
      <c r="F1572" s="582">
        <f t="shared" si="220"/>
        <v>2623.05</v>
      </c>
      <c r="G1572" s="394" t="s">
        <v>6986</v>
      </c>
      <c r="H1572" s="580" t="s">
        <v>6987</v>
      </c>
      <c r="I1572" s="622" t="s">
        <v>11649</v>
      </c>
      <c r="J1572" s="425" t="s">
        <v>753</v>
      </c>
      <c r="K1572" s="622" t="s">
        <v>741</v>
      </c>
    </row>
    <row r="1573" spans="1:11" s="341" customFormat="1">
      <c r="A1573" s="425"/>
      <c r="B1573" s="580"/>
      <c r="C1573" s="389" t="s">
        <v>2058</v>
      </c>
      <c r="D1573" s="388"/>
      <c r="E1573" s="386"/>
      <c r="F1573" s="582">
        <f>ROUNDUP(D1573+E1573,2)</f>
        <v>0</v>
      </c>
      <c r="G1573" s="394"/>
      <c r="H1573" s="580"/>
      <c r="I1573" s="622"/>
      <c r="J1573" s="425"/>
      <c r="K1573" s="622"/>
    </row>
    <row r="1574" spans="1:11" s="341" customFormat="1">
      <c r="A1574" s="425"/>
      <c r="B1574" s="580" t="s">
        <v>6988</v>
      </c>
      <c r="C1574" s="389">
        <v>5241</v>
      </c>
      <c r="D1574" s="388">
        <f>C1574*(1-VLOOKUP(I1574,descuentos,6,FALSE))*fcl/IF(dol_sol="dólar", TC,1)</f>
        <v>1273.1708636865669</v>
      </c>
      <c r="E1574" s="386">
        <f>D1574/8</f>
        <v>159.14635796082086</v>
      </c>
      <c r="F1574" s="582">
        <f>ROUNDUP(D1574+E1574,2)</f>
        <v>1432.32</v>
      </c>
      <c r="G1574" s="394" t="s">
        <v>6989</v>
      </c>
      <c r="H1574" s="580" t="s">
        <v>6990</v>
      </c>
      <c r="I1574" s="622" t="s">
        <v>11649</v>
      </c>
      <c r="J1574" s="425" t="s">
        <v>753</v>
      </c>
      <c r="K1574" s="622" t="s">
        <v>741</v>
      </c>
    </row>
    <row r="1575" spans="1:11" s="341" customFormat="1">
      <c r="A1575" s="425"/>
      <c r="B1575" s="580" t="s">
        <v>6991</v>
      </c>
      <c r="C1575" s="389">
        <v>8477</v>
      </c>
      <c r="D1575" s="388">
        <f>C1575*(1-VLOOKUP(I1575,descuentos,6,FALSE))*fcl/IF(dol_sol="dólar", TC,1)</f>
        <v>2059.2767432686564</v>
      </c>
      <c r="E1575" s="386">
        <f>D1575/8</f>
        <v>257.40959290858206</v>
      </c>
      <c r="F1575" s="582">
        <f>ROUNDUP(D1575+E1575,2)</f>
        <v>2316.69</v>
      </c>
      <c r="G1575" s="394" t="s">
        <v>6992</v>
      </c>
      <c r="H1575" s="580" t="s">
        <v>6993</v>
      </c>
      <c r="I1575" s="622" t="s">
        <v>11649</v>
      </c>
      <c r="J1575" s="425" t="s">
        <v>753</v>
      </c>
      <c r="K1575" s="622" t="s">
        <v>741</v>
      </c>
    </row>
    <row r="1576" spans="1:11" s="341" customFormat="1">
      <c r="A1576" s="421"/>
      <c r="B1576" s="592"/>
      <c r="C1576" s="209" t="s">
        <v>2058</v>
      </c>
      <c r="D1576" s="244"/>
      <c r="E1576" s="228"/>
      <c r="F1576" s="585"/>
      <c r="G1576" s="338"/>
      <c r="H1576" s="592"/>
      <c r="I1576" s="520"/>
      <c r="J1576" s="421"/>
      <c r="K1576" s="520"/>
    </row>
    <row r="1577" spans="1:11" s="341" customFormat="1">
      <c r="A1577" s="421"/>
      <c r="B1577" s="592"/>
      <c r="C1577" s="209" t="s">
        <v>2058</v>
      </c>
      <c r="D1577" s="244"/>
      <c r="E1577" s="228"/>
      <c r="F1577" s="585"/>
      <c r="G1577" s="338"/>
      <c r="H1577" s="592"/>
      <c r="I1577" s="520"/>
      <c r="J1577" s="421"/>
      <c r="K1577" s="520"/>
    </row>
    <row r="1578" spans="1:11" s="341" customFormat="1">
      <c r="A1578" s="421"/>
      <c r="B1578" s="592" t="s">
        <v>924</v>
      </c>
      <c r="C1578" s="209">
        <v>7253</v>
      </c>
      <c r="D1578" s="244">
        <f>C1578*(1-VLOOKUP(I1578,descuentos,6,FALSE))*fcl/IF(dol_sol="dólar", TC,1)</f>
        <v>1761.936324044776</v>
      </c>
      <c r="E1578" s="228">
        <f>D1578/8</f>
        <v>220.242040505597</v>
      </c>
      <c r="F1578" s="585">
        <f t="shared" si="220"/>
        <v>1982.18</v>
      </c>
      <c r="G1578" s="338" t="s">
        <v>12274</v>
      </c>
      <c r="H1578" s="592" t="s">
        <v>927</v>
      </c>
      <c r="I1578" s="520" t="s">
        <v>11649</v>
      </c>
      <c r="J1578" s="421" t="s">
        <v>753</v>
      </c>
      <c r="K1578" s="520" t="s">
        <v>741</v>
      </c>
    </row>
    <row r="1579" spans="1:11" s="341" customFormat="1">
      <c r="A1579" s="421"/>
      <c r="B1579" s="592" t="s">
        <v>925</v>
      </c>
      <c r="C1579" s="209">
        <v>7416</v>
      </c>
      <c r="D1579" s="244">
        <f>C1579*(1-VLOOKUP(I1579,descuentos,6,FALSE))*fcl/IF(dol_sol="dólar", TC,1)</f>
        <v>1801.5331282388058</v>
      </c>
      <c r="E1579" s="228">
        <f>D1579/8</f>
        <v>225.19164102985073</v>
      </c>
      <c r="F1579" s="585">
        <f t="shared" si="220"/>
        <v>2026.73</v>
      </c>
      <c r="G1579" s="338" t="s">
        <v>12275</v>
      </c>
      <c r="H1579" s="592" t="s">
        <v>928</v>
      </c>
      <c r="I1579" s="520" t="s">
        <v>11649</v>
      </c>
      <c r="J1579" s="421" t="s">
        <v>753</v>
      </c>
      <c r="K1579" s="520" t="s">
        <v>741</v>
      </c>
    </row>
    <row r="1580" spans="1:11" s="341" customFormat="1">
      <c r="A1580" s="421"/>
      <c r="B1580" s="592" t="s">
        <v>2322</v>
      </c>
      <c r="C1580" s="209">
        <v>9021</v>
      </c>
      <c r="D1580" s="244">
        <f>C1580*(1-VLOOKUP(I1580,descuentos,6,FALSE))*fcl/IF(dol_sol="dólar", TC,1)</f>
        <v>2191.4280407014926</v>
      </c>
      <c r="E1580" s="228">
        <f>D1580/8</f>
        <v>273.92850508768657</v>
      </c>
      <c r="F1580" s="585">
        <f t="shared" si="220"/>
        <v>2465.36</v>
      </c>
      <c r="G1580" s="338" t="s">
        <v>12276</v>
      </c>
      <c r="H1580" s="592" t="s">
        <v>2323</v>
      </c>
      <c r="I1580" s="520" t="s">
        <v>11649</v>
      </c>
      <c r="J1580" s="421" t="s">
        <v>753</v>
      </c>
      <c r="K1580" s="520" t="s">
        <v>741</v>
      </c>
    </row>
    <row r="1581" spans="1:11" s="341" customFormat="1">
      <c r="A1581" s="421"/>
      <c r="B1581" s="592" t="s">
        <v>923</v>
      </c>
      <c r="C1581" s="209">
        <v>12198</v>
      </c>
      <c r="D1581" s="244">
        <f>C1581*(1-VLOOKUP(I1581,descuentos,6,FALSE))*fcl/IF(dol_sol="dólar", TC,1)</f>
        <v>2963.2013347164179</v>
      </c>
      <c r="E1581" s="228">
        <f>D1581/8</f>
        <v>370.40016683955224</v>
      </c>
      <c r="F1581" s="585">
        <f>ROUNDUP(D1581+E1581,2)</f>
        <v>3333.61</v>
      </c>
      <c r="G1581" s="338" t="s">
        <v>12277</v>
      </c>
      <c r="H1581" s="592" t="s">
        <v>926</v>
      </c>
      <c r="I1581" s="520" t="s">
        <v>11649</v>
      </c>
      <c r="J1581" s="421" t="s">
        <v>753</v>
      </c>
      <c r="K1581" s="520" t="s">
        <v>741</v>
      </c>
    </row>
    <row r="1582" spans="1:11" s="341" customFormat="1">
      <c r="A1582" s="1734"/>
      <c r="B1582" s="592" t="s">
        <v>6994</v>
      </c>
      <c r="C1582" s="209">
        <v>14726</v>
      </c>
      <c r="D1582" s="244">
        <f>C1582*(1-VLOOKUP(I1582,descuentos,6,FALSE))*fcl/IF(dol_sol="dólar", TC,1)</f>
        <v>3577.3161874925372</v>
      </c>
      <c r="E1582" s="228">
        <f>D1582/8</f>
        <v>447.16452343656715</v>
      </c>
      <c r="F1582" s="585">
        <f>ROUNDUP(D1582+E1582,2)</f>
        <v>4024.4900000000002</v>
      </c>
      <c r="G1582" s="338" t="s">
        <v>12278</v>
      </c>
      <c r="H1582" s="592" t="s">
        <v>6995</v>
      </c>
      <c r="I1582" s="520" t="s">
        <v>11649</v>
      </c>
      <c r="J1582" s="421" t="s">
        <v>753</v>
      </c>
      <c r="K1582" s="520" t="s">
        <v>741</v>
      </c>
    </row>
    <row r="1583" spans="1:11" s="341" customFormat="1">
      <c r="A1583" s="421"/>
      <c r="B1583" s="592"/>
      <c r="C1583" s="209" t="s">
        <v>2058</v>
      </c>
      <c r="D1583" s="244"/>
      <c r="E1583" s="228"/>
      <c r="F1583" s="585"/>
      <c r="G1583" s="338"/>
      <c r="H1583" s="592"/>
      <c r="I1583" s="520"/>
      <c r="J1583" s="421"/>
      <c r="K1583" s="520"/>
    </row>
    <row r="1584" spans="1:11" s="341" customFormat="1">
      <c r="A1584" s="1833"/>
      <c r="B1584" s="592" t="s">
        <v>9760</v>
      </c>
      <c r="C1584" s="209">
        <v>13545</v>
      </c>
      <c r="D1584" s="244">
        <f>C1584*(1-VLOOKUP(I1584,descuentos,6,FALSE))*fcl/IF(dol_sol="dólar", TC,1)</f>
        <v>3290.4215509701489</v>
      </c>
      <c r="E1584" s="228">
        <f>D1584/8</f>
        <v>411.30269387126862</v>
      </c>
      <c r="F1584" s="585">
        <f>ROUNDUP(D1584+E1584,2)</f>
        <v>3701.73</v>
      </c>
      <c r="G1584" s="338" t="s">
        <v>9761</v>
      </c>
      <c r="H1584" s="592" t="s">
        <v>9762</v>
      </c>
      <c r="I1584" s="520" t="s">
        <v>11649</v>
      </c>
      <c r="J1584" s="421" t="s">
        <v>753</v>
      </c>
      <c r="K1584" s="520" t="s">
        <v>741</v>
      </c>
    </row>
    <row r="1585" spans="1:11" s="341" customFormat="1">
      <c r="A1585" s="421"/>
      <c r="B1585" s="592"/>
      <c r="C1585" s="209" t="s">
        <v>2058</v>
      </c>
      <c r="D1585" s="244"/>
      <c r="E1585" s="228"/>
      <c r="F1585" s="585"/>
      <c r="G1585" s="338"/>
      <c r="H1585" s="592"/>
      <c r="I1585" s="520"/>
      <c r="J1585" s="421"/>
      <c r="K1585" s="520"/>
    </row>
    <row r="1586" spans="1:11" s="341" customFormat="1">
      <c r="A1586" s="421"/>
      <c r="B1586" s="592" t="s">
        <v>6996</v>
      </c>
      <c r="C1586" s="209">
        <v>7887</v>
      </c>
      <c r="D1586" s="244">
        <f>C1586*(1-VLOOKUP(I1586,descuentos,6,FALSE))*fcl/IF(dol_sol="dólar", TC,1)</f>
        <v>1915.9508875970146</v>
      </c>
      <c r="E1586" s="472">
        <v>300</v>
      </c>
      <c r="F1586" s="585">
        <f>ROUNDUP(D1586+E1586,2)</f>
        <v>2215.96</v>
      </c>
      <c r="G1586" s="338" t="s">
        <v>6997</v>
      </c>
      <c r="H1586" s="592" t="s">
        <v>6998</v>
      </c>
      <c r="I1586" s="520" t="s">
        <v>11649</v>
      </c>
      <c r="J1586" s="421" t="s">
        <v>753</v>
      </c>
      <c r="K1586" s="520" t="s">
        <v>741</v>
      </c>
    </row>
    <row r="1587" spans="1:11" s="341" customFormat="1">
      <c r="A1587" s="421"/>
      <c r="B1587" s="592" t="s">
        <v>6999</v>
      </c>
      <c r="C1587" s="209">
        <v>8418</v>
      </c>
      <c r="D1587" s="244">
        <f>C1587*(1-VLOOKUP(I1587,descuentos,6,FALSE))*fcl/IF(dol_sol="dólar", TC,1)</f>
        <v>2044.9441577014925</v>
      </c>
      <c r="E1587" s="472">
        <v>400</v>
      </c>
      <c r="F1587" s="585">
        <f t="shared" si="220"/>
        <v>2444.9500000000003</v>
      </c>
      <c r="G1587" s="338" t="s">
        <v>7000</v>
      </c>
      <c r="H1587" s="592" t="s">
        <v>7001</v>
      </c>
      <c r="I1587" s="520" t="s">
        <v>11649</v>
      </c>
      <c r="J1587" s="421" t="s">
        <v>753</v>
      </c>
      <c r="K1587" s="520" t="s">
        <v>741</v>
      </c>
    </row>
    <row r="1588" spans="1:11" s="341" customFormat="1">
      <c r="A1588" s="421"/>
      <c r="B1588" s="592" t="s">
        <v>5609</v>
      </c>
      <c r="C1588" s="209">
        <v>9239</v>
      </c>
      <c r="D1588" s="244">
        <f>C1588*(1-VLOOKUP(I1588,descuentos,6,FALSE))*fcl/IF(dol_sol="dólar", TC,1)</f>
        <v>2244.3857297462687</v>
      </c>
      <c r="E1588" s="472">
        <v>400</v>
      </c>
      <c r="F1588" s="585">
        <f t="shared" si="220"/>
        <v>2644.3900000000003</v>
      </c>
      <c r="G1588" s="338" t="s">
        <v>7002</v>
      </c>
      <c r="H1588" s="592" t="s">
        <v>5610</v>
      </c>
      <c r="I1588" s="520" t="s">
        <v>11649</v>
      </c>
      <c r="J1588" s="421" t="s">
        <v>753</v>
      </c>
      <c r="K1588" s="520" t="s">
        <v>741</v>
      </c>
    </row>
    <row r="1589" spans="1:11" s="341" customFormat="1">
      <c r="A1589" s="421"/>
      <c r="B1589" s="592" t="s">
        <v>2716</v>
      </c>
      <c r="C1589" s="209">
        <v>13216</v>
      </c>
      <c r="D1589" s="244">
        <f>C1589*(1-VLOOKUP(I1589,descuentos,6,FALSE))*fcl/IF(dol_sol="dólar", TC,1)</f>
        <v>3210.4991670447757</v>
      </c>
      <c r="E1589" s="472">
        <v>400</v>
      </c>
      <c r="F1589" s="585">
        <f t="shared" si="220"/>
        <v>3610.5</v>
      </c>
      <c r="G1589" s="338" t="s">
        <v>4786</v>
      </c>
      <c r="H1589" s="592" t="s">
        <v>2717</v>
      </c>
      <c r="I1589" s="520" t="s">
        <v>11649</v>
      </c>
      <c r="J1589" s="421" t="s">
        <v>753</v>
      </c>
      <c r="K1589" s="520" t="s">
        <v>741</v>
      </c>
    </row>
    <row r="1590" spans="1:11" s="339" customFormat="1">
      <c r="A1590" s="421"/>
      <c r="B1590" s="592"/>
      <c r="C1590" s="209" t="s">
        <v>2058</v>
      </c>
      <c r="D1590" s="244"/>
      <c r="E1590" s="228"/>
      <c r="F1590" s="585"/>
      <c r="G1590" s="338"/>
      <c r="H1590" s="592"/>
      <c r="I1590" s="520"/>
      <c r="J1590" s="421"/>
      <c r="K1590" s="520"/>
    </row>
    <row r="1591" spans="1:11" s="341" customFormat="1">
      <c r="A1591" s="1655"/>
      <c r="B1591" s="592" t="s">
        <v>12279</v>
      </c>
      <c r="C1591" s="209">
        <v>10916</v>
      </c>
      <c r="D1591" s="244">
        <f>C1591*(1-VLOOKUP(I1591,descuentos,6,FALSE))*fcl/IF(dol_sol="dólar", TC,1)</f>
        <v>2651.7712551044774</v>
      </c>
      <c r="E1591" s="472">
        <v>400</v>
      </c>
      <c r="F1591" s="585">
        <f>ROUNDUP(D1591+E1591,2)</f>
        <v>3051.78</v>
      </c>
      <c r="G1591" s="338" t="s">
        <v>12280</v>
      </c>
      <c r="H1591" s="592" t="s">
        <v>12281</v>
      </c>
      <c r="I1591" s="520" t="s">
        <v>11649</v>
      </c>
      <c r="J1591" s="421" t="s">
        <v>753</v>
      </c>
      <c r="K1591" s="520" t="s">
        <v>741</v>
      </c>
    </row>
    <row r="1592" spans="1:11" s="341" customFormat="1">
      <c r="A1592" s="1655"/>
      <c r="B1592" s="592" t="s">
        <v>7003</v>
      </c>
      <c r="C1592" s="209">
        <v>12169</v>
      </c>
      <c r="D1592" s="244">
        <f>C1592*(1-VLOOKUP(I1592,descuentos,6,FALSE))*fcl/IF(dol_sol="dólar", TC,1)</f>
        <v>2956.1565045223879</v>
      </c>
      <c r="E1592" s="472">
        <v>400</v>
      </c>
      <c r="F1592" s="585">
        <f>ROUNDUP(D1592+E1592,2)</f>
        <v>3356.1600000000003</v>
      </c>
      <c r="G1592" s="338" t="s">
        <v>7004</v>
      </c>
      <c r="H1592" s="592" t="s">
        <v>7005</v>
      </c>
      <c r="I1592" s="520" t="s">
        <v>11649</v>
      </c>
      <c r="J1592" s="421" t="s">
        <v>753</v>
      </c>
      <c r="K1592" s="520" t="s">
        <v>741</v>
      </c>
    </row>
    <row r="1593" spans="1:11" s="341" customFormat="1">
      <c r="A1593" s="1962"/>
      <c r="B1593" s="580" t="s">
        <v>12282</v>
      </c>
      <c r="C1593" s="389">
        <v>12431</v>
      </c>
      <c r="D1593" s="388">
        <f>C1593*(1-VLOOKUP(I1593,descuentos,6,FALSE))*fcl/IF(dol_sol="dólar", TC,1)</f>
        <v>3019.8029014477606</v>
      </c>
      <c r="E1593" s="386">
        <v>400</v>
      </c>
      <c r="F1593" s="582">
        <f>ROUNDUP(D1593+E1593,2)</f>
        <v>3419.8100000000004</v>
      </c>
      <c r="G1593" s="394" t="s">
        <v>12283</v>
      </c>
      <c r="H1593" s="2118" t="s">
        <v>12284</v>
      </c>
      <c r="I1593" s="622" t="s">
        <v>11649</v>
      </c>
      <c r="J1593" s="425" t="s">
        <v>753</v>
      </c>
      <c r="K1593" s="622" t="s">
        <v>741</v>
      </c>
    </row>
    <row r="1594" spans="1:11" s="341" customFormat="1">
      <c r="A1594" s="1962"/>
      <c r="B1594" s="580" t="s">
        <v>13031</v>
      </c>
      <c r="C1594" s="389">
        <v>13759</v>
      </c>
      <c r="D1594" s="388">
        <f>C1594*(1-VLOOKUP(I1594,descuentos,6,FALSE))*fcl/IF(dol_sol="dólar", TC,1)</f>
        <v>3342.4075392985073</v>
      </c>
      <c r="E1594" s="386">
        <v>400</v>
      </c>
      <c r="F1594" s="582">
        <f>ROUNDUP(D1594+E1594,2)</f>
        <v>3742.4100000000003</v>
      </c>
      <c r="G1594" s="394" t="s">
        <v>13032</v>
      </c>
      <c r="H1594" s="2118" t="s">
        <v>13033</v>
      </c>
      <c r="I1594" s="622" t="s">
        <v>11649</v>
      </c>
      <c r="J1594" s="425" t="s">
        <v>753</v>
      </c>
      <c r="K1594" s="622" t="s">
        <v>741</v>
      </c>
    </row>
    <row r="1595" spans="1:11" s="341" customFormat="1">
      <c r="A1595" s="421"/>
      <c r="B1595" s="592"/>
      <c r="C1595" s="209" t="s">
        <v>2058</v>
      </c>
      <c r="D1595" s="244"/>
      <c r="E1595" s="228"/>
      <c r="F1595" s="585"/>
      <c r="G1595" s="338"/>
      <c r="H1595" s="592"/>
      <c r="I1595" s="520"/>
      <c r="J1595" s="421"/>
      <c r="K1595" s="520"/>
    </row>
    <row r="1596" spans="1:11" s="341" customFormat="1">
      <c r="A1596" s="421"/>
      <c r="B1596" s="580" t="s">
        <v>3245</v>
      </c>
      <c r="C1596" s="389">
        <v>9066</v>
      </c>
      <c r="D1596" s="388">
        <f t="shared" ref="D1596:D1601" si="228">C1596*(1-VLOOKUP(I1596,descuentos,6,FALSE))*fcl/IF(dol_sol="dólar", TC,1)</f>
        <v>2202.3596737611938</v>
      </c>
      <c r="E1596" s="386">
        <v>300</v>
      </c>
      <c r="F1596" s="582">
        <f t="shared" si="220"/>
        <v>2502.36</v>
      </c>
      <c r="G1596" s="394" t="s">
        <v>4787</v>
      </c>
      <c r="H1596" s="580" t="s">
        <v>3246</v>
      </c>
      <c r="I1596" s="622" t="s">
        <v>11649</v>
      </c>
      <c r="J1596" s="425" t="s">
        <v>753</v>
      </c>
      <c r="K1596" s="622" t="s">
        <v>741</v>
      </c>
    </row>
    <row r="1597" spans="1:11" s="341" customFormat="1">
      <c r="A1597" s="421"/>
      <c r="B1597" s="580" t="s">
        <v>3038</v>
      </c>
      <c r="C1597" s="389">
        <v>9283</v>
      </c>
      <c r="D1597" s="388">
        <f t="shared" si="228"/>
        <v>2255.0744376268658</v>
      </c>
      <c r="E1597" s="386">
        <v>400</v>
      </c>
      <c r="F1597" s="582">
        <f t="shared" si="220"/>
        <v>2655.0800000000004</v>
      </c>
      <c r="G1597" s="394" t="s">
        <v>4788</v>
      </c>
      <c r="H1597" s="580" t="s">
        <v>3039</v>
      </c>
      <c r="I1597" s="622" t="s">
        <v>11649</v>
      </c>
      <c r="J1597" s="425" t="s">
        <v>753</v>
      </c>
      <c r="K1597" s="622" t="s">
        <v>741</v>
      </c>
    </row>
    <row r="1598" spans="1:11" s="341" customFormat="1">
      <c r="A1598" s="421"/>
      <c r="B1598" s="580" t="s">
        <v>3247</v>
      </c>
      <c r="C1598" s="389">
        <v>11339</v>
      </c>
      <c r="D1598" s="388">
        <f t="shared" si="228"/>
        <v>2754.5286058656711</v>
      </c>
      <c r="E1598" s="386">
        <v>400</v>
      </c>
      <c r="F1598" s="582">
        <f t="shared" si="220"/>
        <v>3154.53</v>
      </c>
      <c r="G1598" s="394" t="s">
        <v>4789</v>
      </c>
      <c r="H1598" s="580" t="s">
        <v>3248</v>
      </c>
      <c r="I1598" s="622" t="s">
        <v>11649</v>
      </c>
      <c r="J1598" s="425" t="s">
        <v>753</v>
      </c>
      <c r="K1598" s="622" t="s">
        <v>741</v>
      </c>
    </row>
    <row r="1599" spans="1:11" s="341" customFormat="1">
      <c r="A1599" s="421"/>
      <c r="B1599" s="580" t="s">
        <v>12285</v>
      </c>
      <c r="C1599" s="389">
        <v>12668</v>
      </c>
      <c r="D1599" s="388">
        <f t="shared" si="228"/>
        <v>3077.3761688955219</v>
      </c>
      <c r="E1599" s="386">
        <v>400</v>
      </c>
      <c r="F1599" s="582">
        <f t="shared" si="220"/>
        <v>3477.38</v>
      </c>
      <c r="G1599" s="394" t="s">
        <v>12286</v>
      </c>
      <c r="H1599" s="580" t="s">
        <v>12287</v>
      </c>
      <c r="I1599" s="622" t="s">
        <v>11649</v>
      </c>
      <c r="J1599" s="425" t="s">
        <v>753</v>
      </c>
      <c r="K1599" s="622" t="s">
        <v>741</v>
      </c>
    </row>
    <row r="1600" spans="1:11" s="393" customFormat="1">
      <c r="A1600" s="421"/>
      <c r="B1600" s="580" t="s">
        <v>3029</v>
      </c>
      <c r="C1600" s="389">
        <v>12198</v>
      </c>
      <c r="D1600" s="388">
        <f t="shared" si="228"/>
        <v>2963.2013347164179</v>
      </c>
      <c r="E1600" s="386">
        <v>400</v>
      </c>
      <c r="F1600" s="582">
        <f t="shared" si="220"/>
        <v>3363.21</v>
      </c>
      <c r="G1600" s="394" t="s">
        <v>4790</v>
      </c>
      <c r="H1600" s="580" t="s">
        <v>3030</v>
      </c>
      <c r="I1600" s="622" t="s">
        <v>11649</v>
      </c>
      <c r="J1600" s="425" t="s">
        <v>753</v>
      </c>
      <c r="K1600" s="622" t="s">
        <v>741</v>
      </c>
    </row>
    <row r="1601" spans="1:11" s="393" customFormat="1">
      <c r="A1601" s="421"/>
      <c r="B1601" s="580" t="s">
        <v>9587</v>
      </c>
      <c r="C1601" s="389">
        <v>13527</v>
      </c>
      <c r="D1601" s="388">
        <f t="shared" si="228"/>
        <v>3286.0488977462683</v>
      </c>
      <c r="E1601" s="386">
        <v>400</v>
      </c>
      <c r="F1601" s="582">
        <f t="shared" si="220"/>
        <v>3686.05</v>
      </c>
      <c r="G1601" s="394" t="s">
        <v>9588</v>
      </c>
      <c r="H1601" s="580" t="s">
        <v>9589</v>
      </c>
      <c r="I1601" s="622" t="s">
        <v>11649</v>
      </c>
      <c r="J1601" s="425" t="s">
        <v>753</v>
      </c>
      <c r="K1601" s="622" t="s">
        <v>741</v>
      </c>
    </row>
    <row r="1602" spans="1:11" s="341" customFormat="1">
      <c r="A1602" s="421"/>
      <c r="B1602" s="592"/>
      <c r="C1602" s="209" t="s">
        <v>2058</v>
      </c>
      <c r="D1602" s="244"/>
      <c r="E1602" s="228"/>
      <c r="F1602" s="585"/>
      <c r="G1602" s="338"/>
      <c r="H1602" s="592"/>
      <c r="I1602" s="520"/>
      <c r="J1602" s="421"/>
      <c r="K1602" s="520"/>
    </row>
    <row r="1603" spans="1:11" s="393" customFormat="1">
      <c r="A1603" s="1833"/>
      <c r="B1603" s="580" t="s">
        <v>9763</v>
      </c>
      <c r="C1603" s="389">
        <v>13545</v>
      </c>
      <c r="D1603" s="388">
        <f>C1603*(1-VLOOKUP(I1603,descuentos,6,FALSE))*fcl/IF(dol_sol="dólar", TC,1)</f>
        <v>3290.4215509701489</v>
      </c>
      <c r="E1603" s="386">
        <v>400</v>
      </c>
      <c r="F1603" s="582">
        <f t="shared" ref="F1603" si="229">ROUNDUP(D1603+E1603,2)</f>
        <v>3690.4300000000003</v>
      </c>
      <c r="G1603" s="394" t="s">
        <v>9764</v>
      </c>
      <c r="H1603" s="580" t="s">
        <v>9765</v>
      </c>
      <c r="I1603" s="622" t="s">
        <v>11649</v>
      </c>
      <c r="J1603" s="425" t="s">
        <v>753</v>
      </c>
      <c r="K1603" s="622" t="s">
        <v>741</v>
      </c>
    </row>
    <row r="1604" spans="1:11" s="341" customFormat="1">
      <c r="A1604" s="421"/>
      <c r="B1604" s="592"/>
      <c r="C1604" s="209" t="s">
        <v>2058</v>
      </c>
      <c r="D1604" s="244"/>
      <c r="E1604" s="228"/>
      <c r="F1604" s="585"/>
      <c r="G1604" s="338"/>
      <c r="H1604" s="592"/>
      <c r="I1604" s="520"/>
      <c r="J1604" s="421"/>
      <c r="K1604" s="520"/>
    </row>
    <row r="1605" spans="1:11" s="341" customFormat="1">
      <c r="A1605" s="421"/>
      <c r="B1605" s="592" t="s">
        <v>1315</v>
      </c>
      <c r="C1605" s="209">
        <v>8224</v>
      </c>
      <c r="D1605" s="244">
        <f>C1605*(1-VLOOKUP(I1605,descuentos,6,FALSE))*fcl/IF(dol_sol="dólar", TC,1)</f>
        <v>1997.8166729552238</v>
      </c>
      <c r="E1605" s="228">
        <f>D1605/8</f>
        <v>249.72708411940297</v>
      </c>
      <c r="F1605" s="585">
        <f t="shared" si="220"/>
        <v>2247.5500000000002</v>
      </c>
      <c r="G1605" s="338" t="s">
        <v>4791</v>
      </c>
      <c r="H1605" s="592" t="s">
        <v>1318</v>
      </c>
      <c r="I1605" s="520" t="s">
        <v>11649</v>
      </c>
      <c r="J1605" s="421" t="s">
        <v>753</v>
      </c>
      <c r="K1605" s="520" t="s">
        <v>741</v>
      </c>
    </row>
    <row r="1606" spans="1:11" s="341" customFormat="1">
      <c r="A1606" s="421"/>
      <c r="B1606" s="592" t="s">
        <v>1316</v>
      </c>
      <c r="C1606" s="209">
        <v>8417</v>
      </c>
      <c r="D1606" s="244">
        <f>C1606*(1-VLOOKUP(I1606,descuentos,6,FALSE))*fcl/IF(dol_sol="dólar", TC,1)</f>
        <v>2044.7012325223877</v>
      </c>
      <c r="E1606" s="228">
        <f>D1606/8</f>
        <v>255.58765406529847</v>
      </c>
      <c r="F1606" s="585">
        <f t="shared" si="220"/>
        <v>2300.2900000000004</v>
      </c>
      <c r="G1606" s="338" t="s">
        <v>4792</v>
      </c>
      <c r="H1606" s="592" t="s">
        <v>1319</v>
      </c>
      <c r="I1606" s="520" t="s">
        <v>11649</v>
      </c>
      <c r="J1606" s="421" t="s">
        <v>753</v>
      </c>
      <c r="K1606" s="520" t="s">
        <v>741</v>
      </c>
    </row>
    <row r="1607" spans="1:11" s="341" customFormat="1">
      <c r="A1607" s="421"/>
      <c r="B1607" s="592" t="s">
        <v>3631</v>
      </c>
      <c r="C1607" s="209">
        <v>10263</v>
      </c>
      <c r="D1607" s="244">
        <f>C1607*(1-VLOOKUP(I1607,descuentos,6,FALSE))*fcl/IF(dol_sol="dólar", TC,1)</f>
        <v>2493.1411131492537</v>
      </c>
      <c r="E1607" s="228">
        <f>D1607/8</f>
        <v>311.64263914365671</v>
      </c>
      <c r="F1607" s="585">
        <f t="shared" si="220"/>
        <v>2804.7900000000004</v>
      </c>
      <c r="G1607" s="338" t="s">
        <v>4793</v>
      </c>
      <c r="H1607" s="592" t="s">
        <v>3622</v>
      </c>
      <c r="I1607" s="520" t="s">
        <v>11649</v>
      </c>
      <c r="J1607" s="421" t="s">
        <v>753</v>
      </c>
      <c r="K1607" s="520" t="s">
        <v>741</v>
      </c>
    </row>
    <row r="1608" spans="1:11" s="393" customFormat="1">
      <c r="A1608" s="421"/>
      <c r="B1608" s="592" t="s">
        <v>1317</v>
      </c>
      <c r="C1608" s="209">
        <v>13342</v>
      </c>
      <c r="D1608" s="244">
        <f>C1608*(1-VLOOKUP(I1608,descuentos,6,FALSE))*fcl/IF(dol_sol="dólar", TC,1)</f>
        <v>3241.1077396119404</v>
      </c>
      <c r="E1608" s="472">
        <v>400</v>
      </c>
      <c r="F1608" s="585">
        <f t="shared" si="220"/>
        <v>3641.11</v>
      </c>
      <c r="G1608" s="338" t="s">
        <v>4794</v>
      </c>
      <c r="H1608" s="592" t="s">
        <v>1320</v>
      </c>
      <c r="I1608" s="520" t="s">
        <v>11649</v>
      </c>
      <c r="J1608" s="421" t="s">
        <v>753</v>
      </c>
      <c r="K1608" s="520" t="s">
        <v>741</v>
      </c>
    </row>
    <row r="1609" spans="1:11" s="393" customFormat="1">
      <c r="A1609" s="1734"/>
      <c r="B1609" s="592" t="s">
        <v>7006</v>
      </c>
      <c r="C1609" s="209">
        <v>15872</v>
      </c>
      <c r="D1609" s="244">
        <f>C1609*(1-VLOOKUP(I1609,descuentos,6,FALSE))*fcl/IF(dol_sol="dólar", TC,1)</f>
        <v>3855.7084427462687</v>
      </c>
      <c r="E1609" s="472">
        <v>400</v>
      </c>
      <c r="F1609" s="585">
        <f>ROUNDUP(D1609+E1609,2)</f>
        <v>4255.71</v>
      </c>
      <c r="G1609" s="338" t="s">
        <v>7007</v>
      </c>
      <c r="H1609" s="592" t="s">
        <v>7008</v>
      </c>
      <c r="I1609" s="520" t="s">
        <v>11649</v>
      </c>
      <c r="J1609" s="421" t="s">
        <v>753</v>
      </c>
      <c r="K1609" s="520" t="s">
        <v>741</v>
      </c>
    </row>
    <row r="1610" spans="1:11" s="339" customFormat="1">
      <c r="A1610" s="421"/>
      <c r="B1610" s="592"/>
      <c r="C1610" s="209" t="s">
        <v>2058</v>
      </c>
      <c r="D1610" s="244"/>
      <c r="E1610" s="228"/>
      <c r="F1610" s="585"/>
      <c r="G1610" s="338"/>
      <c r="H1610" s="592"/>
      <c r="I1610" s="520"/>
      <c r="J1610" s="421"/>
      <c r="K1610" s="520"/>
    </row>
    <row r="1611" spans="1:11" s="341" customFormat="1">
      <c r="A1611" s="1962"/>
      <c r="B1611" s="592" t="s">
        <v>12288</v>
      </c>
      <c r="C1611" s="209">
        <v>13311</v>
      </c>
      <c r="D1611" s="244">
        <f>C1611*(1-VLOOKUP(I1611,descuentos,6,FALSE))*fcl/IF(dol_sol="dólar", TC,1)</f>
        <v>3233.5770590597012</v>
      </c>
      <c r="E1611" s="228">
        <f>D1611/8</f>
        <v>404.19713238246266</v>
      </c>
      <c r="F1611" s="585">
        <f t="shared" ref="F1611:F1613" si="230">ROUNDUP(D1611+E1611,2)</f>
        <v>3637.78</v>
      </c>
      <c r="G1611" s="394" t="s">
        <v>12289</v>
      </c>
      <c r="H1611" s="592" t="s">
        <v>12290</v>
      </c>
      <c r="I1611" s="520" t="s">
        <v>11649</v>
      </c>
      <c r="J1611" s="421" t="s">
        <v>753</v>
      </c>
      <c r="K1611" s="520" t="s">
        <v>741</v>
      </c>
    </row>
    <row r="1612" spans="1:11" s="341" customFormat="1">
      <c r="A1612" s="1962"/>
      <c r="B1612" s="592" t="s">
        <v>12291</v>
      </c>
      <c r="C1612" s="209">
        <v>13599</v>
      </c>
      <c r="D1612" s="244">
        <f>C1612*(1-VLOOKUP(I1612,descuentos,6,FALSE))*fcl/IF(dol_sol="dólar", TC,1)</f>
        <v>3303.5395106417905</v>
      </c>
      <c r="E1612" s="228">
        <f>D1612/8</f>
        <v>412.94243883022381</v>
      </c>
      <c r="F1612" s="585">
        <f t="shared" si="230"/>
        <v>3716.4900000000002</v>
      </c>
      <c r="G1612" s="394" t="s">
        <v>12292</v>
      </c>
      <c r="H1612" s="592" t="s">
        <v>12293</v>
      </c>
      <c r="I1612" s="520" t="s">
        <v>11649</v>
      </c>
      <c r="J1612" s="421" t="s">
        <v>753</v>
      </c>
      <c r="K1612" s="520" t="s">
        <v>741</v>
      </c>
    </row>
    <row r="1613" spans="1:11" s="2062" customFormat="1">
      <c r="A1613" s="1170"/>
      <c r="B1613" s="2013" t="s">
        <v>13034</v>
      </c>
      <c r="C1613" s="248">
        <v>13599</v>
      </c>
      <c r="D1613" s="400">
        <f>C1613*(1-VLOOKUP(I1613,descuentos,6,FALSE))*fcl/IF(dol_sol="dólar", TC,1)</f>
        <v>3303.5395106417905</v>
      </c>
      <c r="E1613" s="1668">
        <f>D1613/8</f>
        <v>412.94243883022381</v>
      </c>
      <c r="F1613" s="591">
        <f t="shared" si="230"/>
        <v>3716.4900000000002</v>
      </c>
      <c r="G1613" s="342" t="s">
        <v>13035</v>
      </c>
      <c r="H1613" s="2013" t="s">
        <v>12293</v>
      </c>
      <c r="I1613" s="620" t="s">
        <v>11649</v>
      </c>
      <c r="J1613" s="1170" t="s">
        <v>753</v>
      </c>
      <c r="K1613" s="620" t="s">
        <v>741</v>
      </c>
    </row>
    <row r="1614" spans="1:11" s="2062" customFormat="1">
      <c r="A1614" s="1170"/>
      <c r="B1614" s="2013" t="s">
        <v>13036</v>
      </c>
      <c r="C1614" s="248">
        <v>19239</v>
      </c>
      <c r="D1614" s="400">
        <f>C1614*(1-VLOOKUP(I1614,descuentos,6,FALSE))*fcl/IF(dol_sol="dólar", TC,1)</f>
        <v>4673.6375207910442</v>
      </c>
      <c r="E1614" s="1668">
        <v>400</v>
      </c>
      <c r="F1614" s="591">
        <f>ROUNDUP(D1614+E1614,2)</f>
        <v>5073.6400000000003</v>
      </c>
      <c r="G1614" s="342" t="s">
        <v>13037</v>
      </c>
      <c r="H1614" s="2013" t="s">
        <v>13038</v>
      </c>
      <c r="I1614" s="620" t="s">
        <v>11649</v>
      </c>
      <c r="J1614" s="1170" t="s">
        <v>753</v>
      </c>
      <c r="K1614" s="620" t="s">
        <v>741</v>
      </c>
    </row>
    <row r="1615" spans="1:11" s="341" customFormat="1">
      <c r="A1615" s="1962"/>
      <c r="B1615" s="592" t="s">
        <v>13039</v>
      </c>
      <c r="C1615" s="209">
        <v>18417</v>
      </c>
      <c r="D1615" s="244">
        <f>C1615*(1-VLOOKUP(I1615,descuentos,6,FALSE))*fcl/IF(dol_sol="dólar", TC,1)</f>
        <v>4473.9530235671637</v>
      </c>
      <c r="E1615" s="228">
        <f>D1615/8</f>
        <v>559.24412794589546</v>
      </c>
      <c r="F1615" s="585">
        <f>ROUNDUP(D1615+E1615,2)</f>
        <v>5033.2</v>
      </c>
      <c r="G1615" s="394" t="s">
        <v>13040</v>
      </c>
      <c r="H1615" s="592" t="s">
        <v>13041</v>
      </c>
      <c r="I1615" s="520" t="s">
        <v>11649</v>
      </c>
      <c r="J1615" s="421" t="s">
        <v>753</v>
      </c>
      <c r="K1615" s="520" t="s">
        <v>741</v>
      </c>
    </row>
    <row r="1616" spans="1:11" s="341" customFormat="1">
      <c r="A1616" s="421"/>
      <c r="B1616" s="592"/>
      <c r="C1616" s="209" t="s">
        <v>2058</v>
      </c>
      <c r="D1616" s="244"/>
      <c r="E1616" s="228"/>
      <c r="F1616" s="585"/>
      <c r="G1616" s="338"/>
      <c r="H1616" s="592"/>
      <c r="I1616" s="520"/>
      <c r="J1616" s="421"/>
      <c r="K1616" s="520"/>
    </row>
    <row r="1617" spans="1:11" s="341" customFormat="1">
      <c r="A1617" s="1655"/>
      <c r="B1617" s="580" t="s">
        <v>9189</v>
      </c>
      <c r="C1617" s="389">
        <v>9887</v>
      </c>
      <c r="D1617" s="388">
        <f>C1617*(1-VLOOKUP(I1617,descuentos,6,FALSE))*fcl/IF(dol_sol="dólar", TC,1)</f>
        <v>2401.8012458059698</v>
      </c>
      <c r="E1617" s="386">
        <v>400</v>
      </c>
      <c r="F1617" s="582">
        <f>ROUNDUP(D1617+E1617,2)</f>
        <v>2801.8100000000004</v>
      </c>
      <c r="G1617" s="394" t="s">
        <v>9190</v>
      </c>
      <c r="H1617" s="580" t="s">
        <v>9191</v>
      </c>
      <c r="I1617" s="622" t="s">
        <v>11649</v>
      </c>
      <c r="J1617" s="425" t="s">
        <v>753</v>
      </c>
      <c r="K1617" s="622" t="s">
        <v>741</v>
      </c>
    </row>
    <row r="1618" spans="1:11" s="341" customFormat="1">
      <c r="A1618" s="1655"/>
      <c r="B1618" s="580" t="s">
        <v>12481</v>
      </c>
      <c r="C1618" s="389">
        <v>10566</v>
      </c>
      <c r="D1618" s="388">
        <f>C1618*(1-VLOOKUP(I1618,descuentos,6,FALSE))*fcl/IF(dol_sol="dólar", TC,1)</f>
        <v>2566.74744241791</v>
      </c>
      <c r="E1618" s="386">
        <v>400</v>
      </c>
      <c r="F1618" s="582">
        <f>ROUNDUP(D1618+E1618,2)</f>
        <v>2966.75</v>
      </c>
      <c r="G1618" s="394" t="s">
        <v>12482</v>
      </c>
      <c r="H1618" s="580" t="s">
        <v>9586</v>
      </c>
      <c r="I1618" s="622" t="s">
        <v>11649</v>
      </c>
      <c r="J1618" s="425" t="s">
        <v>753</v>
      </c>
      <c r="K1618" s="622" t="s">
        <v>741</v>
      </c>
    </row>
    <row r="1619" spans="1:11" s="341" customFormat="1">
      <c r="A1619" s="1655"/>
      <c r="B1619" s="580" t="s">
        <v>7009</v>
      </c>
      <c r="C1619" s="389">
        <v>11617</v>
      </c>
      <c r="D1619" s="388">
        <f>C1619*(1-VLOOKUP(I1619,descuentos,6,FALSE))*fcl/IF(dol_sol="dólar", TC,1)</f>
        <v>2822.0618056567159</v>
      </c>
      <c r="E1619" s="386">
        <v>400</v>
      </c>
      <c r="F1619" s="582">
        <f>ROUNDUP(D1619+E1619,2)</f>
        <v>3222.07</v>
      </c>
      <c r="G1619" s="394" t="s">
        <v>7010</v>
      </c>
      <c r="H1619" s="580" t="s">
        <v>7011</v>
      </c>
      <c r="I1619" s="622" t="s">
        <v>11649</v>
      </c>
      <c r="J1619" s="425" t="s">
        <v>753</v>
      </c>
      <c r="K1619" s="622" t="s">
        <v>741</v>
      </c>
    </row>
    <row r="1620" spans="1:11" s="341" customFormat="1">
      <c r="A1620" s="1655"/>
      <c r="B1620" s="580" t="s">
        <v>7012</v>
      </c>
      <c r="C1620" s="389">
        <v>16712</v>
      </c>
      <c r="D1620" s="388">
        <f>C1620*(1-VLOOKUP(I1620,descuentos,6,FALSE))*fcl/IF(dol_sol="dólar", TC,1)</f>
        <v>4059.7655931940299</v>
      </c>
      <c r="E1620" s="386">
        <v>400</v>
      </c>
      <c r="F1620" s="582">
        <f>ROUNDUP(D1620+E1620,2)</f>
        <v>4459.7700000000004</v>
      </c>
      <c r="G1620" s="394" t="s">
        <v>7013</v>
      </c>
      <c r="H1620" s="580" t="s">
        <v>9581</v>
      </c>
      <c r="I1620" s="622" t="s">
        <v>11649</v>
      </c>
      <c r="J1620" s="425" t="s">
        <v>753</v>
      </c>
      <c r="K1620" s="622" t="s">
        <v>741</v>
      </c>
    </row>
    <row r="1621" spans="1:11" s="341" customFormat="1">
      <c r="A1621" s="421"/>
      <c r="B1621" s="592"/>
      <c r="C1621" s="209" t="s">
        <v>2058</v>
      </c>
      <c r="D1621" s="244"/>
      <c r="E1621" s="228"/>
      <c r="F1621" s="585"/>
      <c r="G1621" s="338"/>
      <c r="H1621" s="592"/>
      <c r="I1621" s="520"/>
      <c r="J1621" s="421"/>
      <c r="K1621" s="520"/>
    </row>
    <row r="1622" spans="1:11" s="341" customFormat="1">
      <c r="A1622" s="1655"/>
      <c r="B1622" s="580" t="s">
        <v>7014</v>
      </c>
      <c r="C1622" s="389">
        <v>16392</v>
      </c>
      <c r="D1622" s="388">
        <f>C1622*(1-VLOOKUP(I1622,descuentos,6,FALSE))*fcl/IF(dol_sol="dólar", TC,1)</f>
        <v>3982.0295358805965</v>
      </c>
      <c r="E1622" s="386">
        <v>400</v>
      </c>
      <c r="F1622" s="582">
        <f>ROUNDUP(D1622+E1622,2)</f>
        <v>4382.0300000000007</v>
      </c>
      <c r="G1622" s="394" t="s">
        <v>7015</v>
      </c>
      <c r="H1622" s="580" t="s">
        <v>7016</v>
      </c>
      <c r="I1622" s="622" t="s">
        <v>11649</v>
      </c>
      <c r="J1622" s="425" t="s">
        <v>753</v>
      </c>
      <c r="K1622" s="622" t="s">
        <v>741</v>
      </c>
    </row>
    <row r="1623" spans="1:11" s="341" customFormat="1">
      <c r="A1623" s="1655"/>
      <c r="B1623" s="580" t="s">
        <v>7017</v>
      </c>
      <c r="C1623" s="389">
        <v>20727</v>
      </c>
      <c r="D1623" s="388">
        <f>C1623*(1-VLOOKUP(I1623,descuentos,6,FALSE))*fcl/IF(dol_sol="dólar", TC,1)</f>
        <v>5035.1101872985082</v>
      </c>
      <c r="E1623" s="386">
        <v>400</v>
      </c>
      <c r="F1623" s="582">
        <f>ROUNDUP(D1623+E1623,2)</f>
        <v>5435.12</v>
      </c>
      <c r="G1623" s="394" t="s">
        <v>7018</v>
      </c>
      <c r="H1623" s="580" t="s">
        <v>7019</v>
      </c>
      <c r="I1623" s="622" t="s">
        <v>11649</v>
      </c>
      <c r="J1623" s="425" t="s">
        <v>753</v>
      </c>
      <c r="K1623" s="622" t="s">
        <v>741</v>
      </c>
    </row>
    <row r="1624" spans="1:11" s="341" customFormat="1">
      <c r="A1624" s="1655"/>
      <c r="B1624" s="580"/>
      <c r="C1624" s="389" t="s">
        <v>2058</v>
      </c>
      <c r="D1624" s="388"/>
      <c r="E1624" s="386"/>
      <c r="F1624" s="582"/>
      <c r="G1624" s="394"/>
      <c r="H1624" s="580"/>
      <c r="I1624" s="622"/>
      <c r="J1624" s="425"/>
      <c r="K1624" s="622"/>
    </row>
    <row r="1625" spans="1:11" s="341" customFormat="1">
      <c r="A1625" s="421"/>
      <c r="B1625" s="592" t="s">
        <v>7020</v>
      </c>
      <c r="C1625" s="209">
        <v>8958</v>
      </c>
      <c r="D1625" s="244">
        <f>C1625*(1-VLOOKUP(I1625,descuentos,6,FALSE))*fcl/IF(dol_sol="dólar", TC,1)</f>
        <v>2176.1237544179103</v>
      </c>
      <c r="E1625" s="472">
        <v>400</v>
      </c>
      <c r="F1625" s="585">
        <f>ROUNDUP(D1625+E1625,2)</f>
        <v>2576.13</v>
      </c>
      <c r="G1625" s="338" t="s">
        <v>7021</v>
      </c>
      <c r="H1625" s="592" t="s">
        <v>7022</v>
      </c>
      <c r="I1625" s="520" t="s">
        <v>11649</v>
      </c>
      <c r="J1625" s="421" t="s">
        <v>753</v>
      </c>
      <c r="K1625" s="520" t="s">
        <v>741</v>
      </c>
    </row>
    <row r="1626" spans="1:11" s="341" customFormat="1">
      <c r="A1626" s="421"/>
      <c r="B1626" s="592" t="s">
        <v>7023</v>
      </c>
      <c r="C1626" s="209">
        <v>10916</v>
      </c>
      <c r="D1626" s="244">
        <f>C1626*(1-VLOOKUP(I1626,descuentos,6,FALSE))*fcl/IF(dol_sol="dólar", TC,1)</f>
        <v>2651.7712551044774</v>
      </c>
      <c r="E1626" s="472">
        <v>400</v>
      </c>
      <c r="F1626" s="585">
        <f>ROUNDUP(D1626+E1626,2)</f>
        <v>3051.78</v>
      </c>
      <c r="G1626" s="338" t="s">
        <v>7024</v>
      </c>
      <c r="H1626" s="592" t="s">
        <v>7025</v>
      </c>
      <c r="I1626" s="520" t="s">
        <v>11649</v>
      </c>
      <c r="J1626" s="421" t="s">
        <v>753</v>
      </c>
      <c r="K1626" s="520" t="s">
        <v>741</v>
      </c>
    </row>
    <row r="1627" spans="1:11" s="341" customFormat="1">
      <c r="A1627" s="421"/>
      <c r="B1627" s="592" t="s">
        <v>2965</v>
      </c>
      <c r="C1627" s="209">
        <v>13247</v>
      </c>
      <c r="D1627" s="244">
        <f>C1627*(1-VLOOKUP(I1627,descuentos,6,FALSE))*fcl/IF(dol_sol="dólar", TC,1)</f>
        <v>3218.0298475970149</v>
      </c>
      <c r="E1627" s="472">
        <v>400</v>
      </c>
      <c r="F1627" s="585">
        <f t="shared" si="220"/>
        <v>3618.03</v>
      </c>
      <c r="G1627" s="338" t="s">
        <v>4795</v>
      </c>
      <c r="H1627" s="592" t="s">
        <v>2966</v>
      </c>
      <c r="I1627" s="520" t="s">
        <v>11649</v>
      </c>
      <c r="J1627" s="421" t="s">
        <v>753</v>
      </c>
      <c r="K1627" s="520" t="s">
        <v>741</v>
      </c>
    </row>
    <row r="1628" spans="1:11" s="341" customFormat="1">
      <c r="A1628" s="421"/>
      <c r="B1628" s="592" t="s">
        <v>2729</v>
      </c>
      <c r="C1628" s="209">
        <v>14654</v>
      </c>
      <c r="D1628" s="244">
        <f>C1628*(1-VLOOKUP(I1628,descuentos,6,FALSE))*fcl/IF(dol_sol="dólar", TC,1)</f>
        <v>3559.8255745970146</v>
      </c>
      <c r="E1628" s="472">
        <v>400</v>
      </c>
      <c r="F1628" s="585">
        <f t="shared" si="220"/>
        <v>3959.8300000000004</v>
      </c>
      <c r="G1628" s="338" t="s">
        <v>4796</v>
      </c>
      <c r="H1628" s="592" t="s">
        <v>2728</v>
      </c>
      <c r="I1628" s="520" t="s">
        <v>11649</v>
      </c>
      <c r="J1628" s="421" t="s">
        <v>753</v>
      </c>
      <c r="K1628" s="520" t="s">
        <v>741</v>
      </c>
    </row>
    <row r="1629" spans="1:11" s="341" customFormat="1">
      <c r="A1629" s="421"/>
      <c r="B1629" s="592"/>
      <c r="C1629" s="209" t="s">
        <v>2058</v>
      </c>
      <c r="D1629" s="244"/>
      <c r="E1629" s="228"/>
      <c r="F1629" s="585"/>
      <c r="G1629" s="338"/>
      <c r="H1629" s="592"/>
      <c r="I1629" s="520"/>
      <c r="J1629" s="421"/>
      <c r="K1629" s="520"/>
    </row>
    <row r="1630" spans="1:11" s="341" customFormat="1">
      <c r="A1630" s="421"/>
      <c r="B1630" s="580" t="s">
        <v>3251</v>
      </c>
      <c r="C1630" s="389">
        <v>10309</v>
      </c>
      <c r="D1630" s="388">
        <f>C1630*(1-VLOOKUP(I1630,descuentos,6,FALSE))*fcl/IF(dol_sol="dólar", TC,1)</f>
        <v>2504.3156713880594</v>
      </c>
      <c r="E1630" s="386">
        <v>300</v>
      </c>
      <c r="F1630" s="582">
        <f t="shared" si="220"/>
        <v>2804.32</v>
      </c>
      <c r="G1630" s="394" t="s">
        <v>4797</v>
      </c>
      <c r="H1630" s="580" t="s">
        <v>3252</v>
      </c>
      <c r="I1630" s="622" t="s">
        <v>11649</v>
      </c>
      <c r="J1630" s="425" t="s">
        <v>753</v>
      </c>
      <c r="K1630" s="622" t="s">
        <v>741</v>
      </c>
    </row>
    <row r="1631" spans="1:11" s="341" customFormat="1">
      <c r="A1631" s="421"/>
      <c r="B1631" s="580" t="s">
        <v>3249</v>
      </c>
      <c r="C1631" s="389">
        <v>10564</v>
      </c>
      <c r="D1631" s="388">
        <f>C1631*(1-VLOOKUP(I1631,descuentos,6,FALSE))*fcl/IF(dol_sol="dólar", TC,1)</f>
        <v>2566.2615920597013</v>
      </c>
      <c r="E1631" s="386">
        <v>400</v>
      </c>
      <c r="F1631" s="582">
        <f t="shared" si="220"/>
        <v>2966.2700000000004</v>
      </c>
      <c r="G1631" s="394" t="s">
        <v>4798</v>
      </c>
      <c r="H1631" s="580" t="s">
        <v>3250</v>
      </c>
      <c r="I1631" s="622" t="s">
        <v>11649</v>
      </c>
      <c r="J1631" s="425" t="s">
        <v>753</v>
      </c>
      <c r="K1631" s="622" t="s">
        <v>741</v>
      </c>
    </row>
    <row r="1632" spans="1:11" s="341" customFormat="1">
      <c r="A1632" s="421"/>
      <c r="B1632" s="580" t="s">
        <v>3253</v>
      </c>
      <c r="C1632" s="389">
        <v>12928</v>
      </c>
      <c r="D1632" s="388">
        <f>C1632*(1-VLOOKUP(I1632,descuentos,6,FALSE))*fcl/IF(dol_sol="dólar", TC,1)</f>
        <v>3140.5367154626865</v>
      </c>
      <c r="E1632" s="386">
        <v>500</v>
      </c>
      <c r="F1632" s="582">
        <f t="shared" si="220"/>
        <v>3640.5400000000004</v>
      </c>
      <c r="G1632" s="394" t="s">
        <v>13400</v>
      </c>
      <c r="H1632" s="580" t="s">
        <v>3254</v>
      </c>
      <c r="I1632" s="622" t="s">
        <v>11649</v>
      </c>
      <c r="J1632" s="425" t="s">
        <v>753</v>
      </c>
      <c r="K1632" s="622" t="s">
        <v>741</v>
      </c>
    </row>
    <row r="1633" spans="1:11" s="341" customFormat="1">
      <c r="A1633" s="421"/>
      <c r="B1633" s="580" t="s">
        <v>3036</v>
      </c>
      <c r="C1633" s="389">
        <v>16870</v>
      </c>
      <c r="D1633" s="388">
        <f>C1633*(1-VLOOKUP(I1633,descuentos,6,FALSE))*fcl/IF(dol_sol="dólar", TC,1)</f>
        <v>4098.1477714925368</v>
      </c>
      <c r="E1633" s="386">
        <v>500</v>
      </c>
      <c r="F1633" s="582">
        <f t="shared" si="220"/>
        <v>4598.1500000000005</v>
      </c>
      <c r="G1633" s="394" t="s">
        <v>4799</v>
      </c>
      <c r="H1633" s="580" t="s">
        <v>3035</v>
      </c>
      <c r="I1633" s="622" t="s">
        <v>11649</v>
      </c>
      <c r="J1633" s="425" t="s">
        <v>753</v>
      </c>
      <c r="K1633" s="622" t="s">
        <v>741</v>
      </c>
    </row>
    <row r="1634" spans="1:11" s="341" customFormat="1">
      <c r="A1634" s="421"/>
      <c r="B1634" s="580"/>
      <c r="C1634" s="389"/>
      <c r="D1634" s="388"/>
      <c r="E1634" s="386"/>
      <c r="F1634" s="582"/>
      <c r="G1634" s="394"/>
      <c r="H1634" s="580"/>
      <c r="I1634" s="622"/>
      <c r="J1634" s="425"/>
      <c r="K1634" s="622"/>
    </row>
    <row r="1635" spans="1:11" s="341" customFormat="1">
      <c r="A1635" s="421"/>
      <c r="B1635" s="580" t="s">
        <v>14135</v>
      </c>
      <c r="C1635" s="389">
        <v>12946</v>
      </c>
      <c r="D1635" s="388">
        <f>C1635*(1-VLOOKUP(I1635,descuentos,6,FALSE))*fcl/IF(dol_sol="dólar", TC,1)</f>
        <v>3144.9093686865672</v>
      </c>
      <c r="E1635" s="386">
        <v>300</v>
      </c>
      <c r="F1635" s="582">
        <f t="shared" si="220"/>
        <v>3444.9100000000003</v>
      </c>
      <c r="G1635" s="394" t="s">
        <v>14136</v>
      </c>
      <c r="H1635" s="580" t="s">
        <v>14137</v>
      </c>
      <c r="I1635" s="622" t="s">
        <v>11649</v>
      </c>
      <c r="J1635" s="425" t="s">
        <v>753</v>
      </c>
      <c r="K1635" s="622" t="s">
        <v>741</v>
      </c>
    </row>
    <row r="1636" spans="1:11" s="341" customFormat="1">
      <c r="A1636" s="421"/>
      <c r="B1636" s="580" t="s">
        <v>14138</v>
      </c>
      <c r="C1636" s="389">
        <v>13093</v>
      </c>
      <c r="D1636" s="388">
        <f>C1636*(1-VLOOKUP(I1636,descuentos,6,FALSE))*fcl/IF(dol_sol="dólar", TC,1)</f>
        <v>3180.6193700149247</v>
      </c>
      <c r="E1636" s="386">
        <v>400</v>
      </c>
      <c r="F1636" s="582">
        <f t="shared" si="220"/>
        <v>3580.6200000000003</v>
      </c>
      <c r="G1636" s="394" t="s">
        <v>14139</v>
      </c>
      <c r="H1636" s="580" t="s">
        <v>14140</v>
      </c>
      <c r="I1636" s="622" t="s">
        <v>11649</v>
      </c>
      <c r="J1636" s="425" t="s">
        <v>753</v>
      </c>
      <c r="K1636" s="622" t="s">
        <v>741</v>
      </c>
    </row>
    <row r="1637" spans="1:11" s="341" customFormat="1">
      <c r="A1637" s="421"/>
      <c r="B1637" s="580" t="s">
        <v>14141</v>
      </c>
      <c r="C1637" s="389">
        <v>15457</v>
      </c>
      <c r="D1637" s="388">
        <f>C1637*(1-VLOOKUP(I1637,descuentos,6,FALSE))*fcl/IF(dol_sol="dólar", TC,1)</f>
        <v>3754.8944934179099</v>
      </c>
      <c r="E1637" s="386">
        <v>500</v>
      </c>
      <c r="F1637" s="582">
        <f t="shared" si="220"/>
        <v>4254.9000000000005</v>
      </c>
      <c r="G1637" s="394" t="s">
        <v>14142</v>
      </c>
      <c r="H1637" s="580" t="s">
        <v>14143</v>
      </c>
      <c r="I1637" s="622" t="s">
        <v>11649</v>
      </c>
      <c r="J1637" s="425" t="s">
        <v>753</v>
      </c>
      <c r="K1637" s="622" t="s">
        <v>741</v>
      </c>
    </row>
    <row r="1638" spans="1:11" s="341" customFormat="1">
      <c r="A1638" s="421"/>
      <c r="B1638" s="580" t="s">
        <v>14144</v>
      </c>
      <c r="C1638" s="389">
        <v>19398</v>
      </c>
      <c r="D1638" s="388">
        <f>C1638*(1-VLOOKUP(I1638,descuentos,6,FALSE))*fcl/IF(dol_sol="dólar", TC,1)</f>
        <v>4712.2626242686565</v>
      </c>
      <c r="E1638" s="386">
        <v>500</v>
      </c>
      <c r="F1638" s="582">
        <f t="shared" si="220"/>
        <v>5212.2700000000004</v>
      </c>
      <c r="G1638" s="394" t="s">
        <v>14145</v>
      </c>
      <c r="H1638" s="580" t="s">
        <v>14146</v>
      </c>
      <c r="I1638" s="622" t="s">
        <v>11649</v>
      </c>
      <c r="J1638" s="425" t="s">
        <v>753</v>
      </c>
      <c r="K1638" s="622" t="s">
        <v>741</v>
      </c>
    </row>
    <row r="1639" spans="1:11" s="341" customFormat="1">
      <c r="A1639" s="421"/>
      <c r="B1639" s="592"/>
      <c r="C1639" s="209" t="s">
        <v>2058</v>
      </c>
      <c r="D1639" s="244"/>
      <c r="E1639" s="228"/>
      <c r="F1639" s="585"/>
      <c r="G1639" s="338"/>
      <c r="H1639" s="592"/>
      <c r="I1639" s="520"/>
      <c r="J1639" s="421"/>
      <c r="K1639" s="520"/>
    </row>
    <row r="1640" spans="1:11" s="341" customFormat="1">
      <c r="A1640" s="421"/>
      <c r="B1640" s="580" t="s">
        <v>3025</v>
      </c>
      <c r="C1640" s="389">
        <v>12039</v>
      </c>
      <c r="D1640" s="388">
        <f>C1640*(1-VLOOKUP(I1640,descuentos,6,FALSE))*fcl/IF(dol_sol="dólar", TC,1)</f>
        <v>2924.5762312388056</v>
      </c>
      <c r="E1640" s="386">
        <v>400</v>
      </c>
      <c r="F1640" s="582">
        <f t="shared" si="220"/>
        <v>3324.5800000000004</v>
      </c>
      <c r="G1640" s="394" t="s">
        <v>4800</v>
      </c>
      <c r="H1640" s="580" t="s">
        <v>3026</v>
      </c>
      <c r="I1640" s="622" t="s">
        <v>11649</v>
      </c>
      <c r="J1640" s="425" t="s">
        <v>753</v>
      </c>
      <c r="K1640" s="622" t="s">
        <v>741</v>
      </c>
    </row>
    <row r="1641" spans="1:11" s="341" customFormat="1">
      <c r="A1641" s="421"/>
      <c r="B1641" s="580" t="s">
        <v>7026</v>
      </c>
      <c r="C1641" s="389">
        <v>13247</v>
      </c>
      <c r="D1641" s="388">
        <f>C1641*(1-VLOOKUP(I1641,descuentos,6,FALSE))*fcl/IF(dol_sol="dólar", TC,1)</f>
        <v>3218.0298475970149</v>
      </c>
      <c r="E1641" s="386">
        <v>400</v>
      </c>
      <c r="F1641" s="582">
        <f>ROUNDUP(D1641+E1641,2)</f>
        <v>3618.03</v>
      </c>
      <c r="G1641" s="394" t="s">
        <v>7027</v>
      </c>
      <c r="H1641" s="580" t="s">
        <v>2966</v>
      </c>
      <c r="I1641" s="622" t="s">
        <v>11649</v>
      </c>
      <c r="J1641" s="425" t="s">
        <v>753</v>
      </c>
      <c r="K1641" s="622" t="s">
        <v>741</v>
      </c>
    </row>
    <row r="1642" spans="1:11" s="341" customFormat="1">
      <c r="A1642" s="421"/>
      <c r="B1642" s="580" t="s">
        <v>7028</v>
      </c>
      <c r="C1642" s="389">
        <v>14576</v>
      </c>
      <c r="D1642" s="388">
        <f>C1642*(1-VLOOKUP(I1642,descuentos,6,FALSE))*fcl/IF(dol_sol="dólar", TC,1)</f>
        <v>3540.8774106268652</v>
      </c>
      <c r="E1642" s="472">
        <v>500</v>
      </c>
      <c r="F1642" s="582">
        <f t="shared" si="220"/>
        <v>4040.88</v>
      </c>
      <c r="G1642" s="394" t="s">
        <v>7029</v>
      </c>
      <c r="H1642" s="580" t="s">
        <v>7030</v>
      </c>
      <c r="I1642" s="520" t="s">
        <v>11649</v>
      </c>
      <c r="J1642" s="421" t="s">
        <v>753</v>
      </c>
      <c r="K1642" s="520" t="s">
        <v>741</v>
      </c>
    </row>
    <row r="1643" spans="1:11" s="341" customFormat="1">
      <c r="A1643" s="421"/>
      <c r="B1643" s="580" t="s">
        <v>7031</v>
      </c>
      <c r="C1643" s="389">
        <v>19869</v>
      </c>
      <c r="D1643" s="388">
        <f>C1643*(1-VLOOKUP(I1643,descuentos,6,FALSE))*fcl/IF(dol_sol="dólar", TC,1)</f>
        <v>4826.6803836268655</v>
      </c>
      <c r="E1643" s="472">
        <v>500</v>
      </c>
      <c r="F1643" s="582">
        <f>ROUNDUP(D1643+E1643,2)</f>
        <v>5326.6900000000005</v>
      </c>
      <c r="G1643" s="394" t="s">
        <v>7032</v>
      </c>
      <c r="H1643" s="580" t="s">
        <v>7033</v>
      </c>
      <c r="I1643" s="520" t="s">
        <v>11649</v>
      </c>
      <c r="J1643" s="421" t="s">
        <v>753</v>
      </c>
      <c r="K1643" s="520" t="s">
        <v>741</v>
      </c>
    </row>
    <row r="1644" spans="1:11" s="339" customFormat="1">
      <c r="A1644" s="421"/>
      <c r="B1644" s="592"/>
      <c r="C1644" s="209" t="s">
        <v>2058</v>
      </c>
      <c r="D1644" s="244"/>
      <c r="E1644" s="228"/>
      <c r="F1644" s="585"/>
      <c r="G1644" s="338"/>
      <c r="H1644" s="592"/>
      <c r="I1644" s="520"/>
      <c r="J1644" s="421"/>
      <c r="K1644" s="520"/>
    </row>
    <row r="1645" spans="1:11" s="341" customFormat="1">
      <c r="A1645" s="421"/>
      <c r="B1645" s="580" t="s">
        <v>7034</v>
      </c>
      <c r="C1645" s="389">
        <v>15717</v>
      </c>
      <c r="D1645" s="388">
        <f>C1645*(1-VLOOKUP(I1645,descuentos,6,FALSE))*fcl/IF(dol_sol="dólar", TC,1)</f>
        <v>3818.055039985074</v>
      </c>
      <c r="E1645" s="386">
        <v>300</v>
      </c>
      <c r="F1645" s="582">
        <f>ROUNDUP(D1645+E1645,2)</f>
        <v>4118.0600000000004</v>
      </c>
      <c r="G1645" s="394" t="s">
        <v>7035</v>
      </c>
      <c r="H1645" s="580" t="s">
        <v>7036</v>
      </c>
      <c r="I1645" s="622" t="s">
        <v>11649</v>
      </c>
      <c r="J1645" s="425" t="s">
        <v>753</v>
      </c>
      <c r="K1645" s="622" t="s">
        <v>741</v>
      </c>
    </row>
    <row r="1646" spans="1:11" s="341" customFormat="1">
      <c r="A1646" s="421"/>
      <c r="B1646" s="580" t="s">
        <v>7037</v>
      </c>
      <c r="C1646" s="389">
        <v>16830</v>
      </c>
      <c r="D1646" s="388">
        <f>C1646*(1-VLOOKUP(I1646,descuentos,6,FALSE))*fcl/IF(dol_sol="dólar", TC,1)</f>
        <v>4088.4307643283582</v>
      </c>
      <c r="E1646" s="386">
        <v>400</v>
      </c>
      <c r="F1646" s="582">
        <f>ROUNDUP(D1646+E1646,2)</f>
        <v>4488.4400000000005</v>
      </c>
      <c r="G1646" s="394" t="s">
        <v>7038</v>
      </c>
      <c r="H1646" s="580" t="s">
        <v>7039</v>
      </c>
      <c r="I1646" s="622" t="s">
        <v>11649</v>
      </c>
      <c r="J1646" s="425" t="s">
        <v>753</v>
      </c>
      <c r="K1646" s="622" t="s">
        <v>741</v>
      </c>
    </row>
    <row r="1647" spans="1:11" s="341" customFormat="1">
      <c r="A1647" s="421"/>
      <c r="B1647" s="580" t="s">
        <v>7040</v>
      </c>
      <c r="C1647" s="389">
        <v>17197</v>
      </c>
      <c r="D1647" s="388">
        <f>C1647*(1-VLOOKUP(I1647,descuentos,6,FALSE))*fcl/IF(dol_sol="dólar", TC,1)</f>
        <v>4177.5843050597005</v>
      </c>
      <c r="E1647" s="386">
        <v>400</v>
      </c>
      <c r="F1647" s="582">
        <f>ROUNDUP(D1647+E1647,2)</f>
        <v>4577.59</v>
      </c>
      <c r="G1647" s="394" t="s">
        <v>7041</v>
      </c>
      <c r="H1647" s="580" t="s">
        <v>7042</v>
      </c>
      <c r="I1647" s="622" t="s">
        <v>11649</v>
      </c>
      <c r="J1647" s="425" t="s">
        <v>753</v>
      </c>
      <c r="K1647" s="622" t="s">
        <v>741</v>
      </c>
    </row>
    <row r="1648" spans="1:11" s="341" customFormat="1">
      <c r="A1648" s="421"/>
      <c r="B1648" s="580" t="s">
        <v>7043</v>
      </c>
      <c r="C1648" s="389">
        <v>24065</v>
      </c>
      <c r="D1648" s="388">
        <f>C1648*(1-VLOOKUP(I1648,descuentos,6,FALSE))*fcl/IF(dol_sol="dólar", TC,1)</f>
        <v>5845.9944351492531</v>
      </c>
      <c r="E1648" s="386">
        <v>400</v>
      </c>
      <c r="F1648" s="582">
        <f>ROUNDUP(D1648+E1648,2)</f>
        <v>6246</v>
      </c>
      <c r="G1648" s="394" t="s">
        <v>7044</v>
      </c>
      <c r="H1648" s="580" t="s">
        <v>7045</v>
      </c>
      <c r="I1648" s="622" t="s">
        <v>11649</v>
      </c>
      <c r="J1648" s="425" t="s">
        <v>753</v>
      </c>
      <c r="K1648" s="622" t="s">
        <v>741</v>
      </c>
    </row>
    <row r="1649" spans="1:11" s="339" customFormat="1">
      <c r="A1649" s="421"/>
      <c r="B1649" s="592"/>
      <c r="C1649" s="209" t="s">
        <v>2058</v>
      </c>
      <c r="D1649" s="244"/>
      <c r="E1649" s="228"/>
      <c r="F1649" s="585"/>
      <c r="G1649" s="338"/>
      <c r="H1649" s="592"/>
      <c r="I1649" s="520"/>
      <c r="J1649" s="421"/>
      <c r="K1649" s="520"/>
    </row>
    <row r="1650" spans="1:11" s="341" customFormat="1">
      <c r="A1650" s="421"/>
      <c r="B1650" s="592"/>
      <c r="C1650" s="209" t="s">
        <v>2058</v>
      </c>
      <c r="D1650" s="244"/>
      <c r="E1650" s="228"/>
      <c r="F1650" s="585"/>
      <c r="G1650" s="338"/>
      <c r="H1650" s="592"/>
      <c r="I1650" s="520"/>
      <c r="J1650" s="421"/>
      <c r="K1650" s="520"/>
    </row>
    <row r="1651" spans="1:11" s="341" customFormat="1">
      <c r="A1651" s="421"/>
      <c r="B1651" s="631"/>
      <c r="C1651" s="209" t="s">
        <v>2058</v>
      </c>
      <c r="D1651" s="244"/>
      <c r="E1651" s="228"/>
      <c r="F1651" s="585"/>
      <c r="G1651" s="338"/>
      <c r="H1651" s="592"/>
      <c r="I1651" s="520"/>
      <c r="J1651" s="421"/>
      <c r="K1651" s="520"/>
    </row>
    <row r="1652" spans="1:11" s="341" customFormat="1">
      <c r="A1652" s="589"/>
      <c r="B1652" s="627" t="s">
        <v>964</v>
      </c>
      <c r="C1652" s="209">
        <v>248</v>
      </c>
      <c r="D1652" s="244">
        <f t="shared" ref="D1652:D1657" si="231">C1652*(1-VLOOKUP(I1652,descuentos,6,FALSE))*fcl/IF(dol_sol="dólar", TC,1)</f>
        <v>60.245444417910448</v>
      </c>
      <c r="E1652" s="228">
        <v>10</v>
      </c>
      <c r="F1652" s="585">
        <f t="shared" si="220"/>
        <v>70.25</v>
      </c>
      <c r="G1652" s="592" t="s">
        <v>7046</v>
      </c>
      <c r="H1652" s="592" t="s">
        <v>965</v>
      </c>
      <c r="I1652" s="520" t="s">
        <v>11649</v>
      </c>
      <c r="J1652" s="589" t="s">
        <v>753</v>
      </c>
      <c r="K1652" s="520" t="s">
        <v>741</v>
      </c>
    </row>
    <row r="1653" spans="1:11" s="339" customFormat="1">
      <c r="A1653" s="589"/>
      <c r="B1653" s="627" t="s">
        <v>5146</v>
      </c>
      <c r="C1653" s="209">
        <v>260</v>
      </c>
      <c r="D1653" s="244">
        <f t="shared" si="231"/>
        <v>63.160546567164175</v>
      </c>
      <c r="E1653" s="228">
        <v>10</v>
      </c>
      <c r="F1653" s="585">
        <f t="shared" ref="F1653:F1742" si="232">ROUNDUP(D1653+E1653,2)</f>
        <v>73.17</v>
      </c>
      <c r="G1653" s="592" t="s">
        <v>5147</v>
      </c>
      <c r="H1653" s="592" t="s">
        <v>1177</v>
      </c>
      <c r="I1653" s="520" t="s">
        <v>11649</v>
      </c>
      <c r="J1653" s="589" t="s">
        <v>753</v>
      </c>
      <c r="K1653" s="520" t="s">
        <v>741</v>
      </c>
    </row>
    <row r="1654" spans="1:11" s="341" customFormat="1">
      <c r="A1654" s="589"/>
      <c r="B1654" s="627" t="s">
        <v>966</v>
      </c>
      <c r="C1654" s="209">
        <v>371</v>
      </c>
      <c r="D1654" s="244">
        <f t="shared" si="231"/>
        <v>90.125241447761184</v>
      </c>
      <c r="E1654" s="228">
        <v>10</v>
      </c>
      <c r="F1654" s="585">
        <f t="shared" si="232"/>
        <v>100.13000000000001</v>
      </c>
      <c r="G1654" s="592" t="s">
        <v>7047</v>
      </c>
      <c r="H1654" s="592" t="s">
        <v>1045</v>
      </c>
      <c r="I1654" s="520" t="s">
        <v>11649</v>
      </c>
      <c r="J1654" s="589" t="s">
        <v>753</v>
      </c>
      <c r="K1654" s="520" t="s">
        <v>741</v>
      </c>
    </row>
    <row r="1655" spans="1:11" s="341" customFormat="1">
      <c r="A1655" s="589"/>
      <c r="B1655" s="627" t="s">
        <v>967</v>
      </c>
      <c r="C1655" s="209">
        <v>857</v>
      </c>
      <c r="D1655" s="244">
        <f t="shared" si="231"/>
        <v>208.18687849253732</v>
      </c>
      <c r="E1655" s="228">
        <v>15</v>
      </c>
      <c r="F1655" s="585">
        <f t="shared" si="232"/>
        <v>223.19</v>
      </c>
      <c r="G1655" s="592" t="s">
        <v>7048</v>
      </c>
      <c r="H1655" s="592" t="s">
        <v>1592</v>
      </c>
      <c r="I1655" s="520" t="s">
        <v>11649</v>
      </c>
      <c r="J1655" s="589" t="s">
        <v>753</v>
      </c>
      <c r="K1655" s="520" t="s">
        <v>741</v>
      </c>
    </row>
    <row r="1656" spans="1:11" s="341" customFormat="1">
      <c r="A1656" s="589"/>
      <c r="B1656" s="627" t="s">
        <v>7049</v>
      </c>
      <c r="C1656" s="209">
        <v>1143</v>
      </c>
      <c r="D1656" s="244">
        <f>C1656*(1-VLOOKUP(I1656,descuentos,6,FALSE))*fcl/IF(dol_sol="dólar", TC,1)</f>
        <v>277.6634797164179</v>
      </c>
      <c r="E1656" s="228">
        <v>15</v>
      </c>
      <c r="F1656" s="585">
        <f>ROUNDUP(D1656+E1656,2)</f>
        <v>292.67</v>
      </c>
      <c r="G1656" s="592" t="s">
        <v>7050</v>
      </c>
      <c r="H1656" s="592" t="s">
        <v>7051</v>
      </c>
      <c r="I1656" s="520" t="s">
        <v>11649</v>
      </c>
      <c r="J1656" s="589" t="s">
        <v>753</v>
      </c>
      <c r="K1656" s="520" t="s">
        <v>741</v>
      </c>
    </row>
    <row r="1657" spans="1:11" s="341" customFormat="1">
      <c r="A1657" s="589"/>
      <c r="B1657" s="627" t="s">
        <v>968</v>
      </c>
      <c r="C1657" s="209">
        <v>916</v>
      </c>
      <c r="D1657" s="244">
        <f t="shared" si="231"/>
        <v>222.51946405970145</v>
      </c>
      <c r="E1657" s="228">
        <v>15</v>
      </c>
      <c r="F1657" s="585">
        <f t="shared" si="232"/>
        <v>237.51999999999998</v>
      </c>
      <c r="G1657" s="592" t="s">
        <v>7052</v>
      </c>
      <c r="H1657" s="592" t="s">
        <v>969</v>
      </c>
      <c r="I1657" s="520" t="s">
        <v>11649</v>
      </c>
      <c r="J1657" s="589" t="s">
        <v>753</v>
      </c>
      <c r="K1657" s="520" t="s">
        <v>741</v>
      </c>
    </row>
    <row r="1658" spans="1:11" s="339" customFormat="1">
      <c r="A1658" s="589"/>
      <c r="B1658" s="627"/>
      <c r="C1658" s="209" t="s">
        <v>2058</v>
      </c>
      <c r="D1658" s="244"/>
      <c r="E1658" s="228"/>
      <c r="F1658" s="585"/>
      <c r="G1658" s="592"/>
      <c r="H1658" s="592"/>
      <c r="I1658" s="520"/>
      <c r="J1658" s="589"/>
      <c r="K1658" s="520"/>
    </row>
    <row r="1659" spans="1:11" s="341" customFormat="1">
      <c r="A1659" s="589"/>
      <c r="B1659" s="628" t="s">
        <v>2324</v>
      </c>
      <c r="C1659" s="389">
        <v>330</v>
      </c>
      <c r="D1659" s="388">
        <f t="shared" ref="D1659:D1664" si="233">C1659*(1-VLOOKUP(I1659,descuentos,6,FALSE))*fcl/IF(dol_sol="dólar", TC,1)</f>
        <v>80.165309104477615</v>
      </c>
      <c r="E1659" s="386">
        <v>12</v>
      </c>
      <c r="F1659" s="582">
        <f t="shared" ref="F1659:F1664" si="234">ROUNDUP(D1659+E1659,2)</f>
        <v>92.17</v>
      </c>
      <c r="G1659" s="580" t="s">
        <v>5145</v>
      </c>
      <c r="H1659" s="592" t="s">
        <v>2325</v>
      </c>
      <c r="I1659" s="520" t="s">
        <v>11649</v>
      </c>
      <c r="J1659" s="589" t="s">
        <v>753</v>
      </c>
      <c r="K1659" s="520" t="s">
        <v>741</v>
      </c>
    </row>
    <row r="1660" spans="1:11" s="341" customFormat="1">
      <c r="A1660" s="589"/>
      <c r="B1660" s="628" t="s">
        <v>5148</v>
      </c>
      <c r="C1660" s="389">
        <v>290</v>
      </c>
      <c r="D1660" s="388">
        <f t="shared" si="233"/>
        <v>70.448301940298492</v>
      </c>
      <c r="E1660" s="386">
        <v>12</v>
      </c>
      <c r="F1660" s="582">
        <f t="shared" si="234"/>
        <v>82.45</v>
      </c>
      <c r="G1660" s="580" t="s">
        <v>5149</v>
      </c>
      <c r="H1660" s="592" t="s">
        <v>2189</v>
      </c>
      <c r="I1660" s="520" t="s">
        <v>11649</v>
      </c>
      <c r="J1660" s="589" t="s">
        <v>753</v>
      </c>
      <c r="K1660" s="520" t="s">
        <v>741</v>
      </c>
    </row>
    <row r="1661" spans="1:11" s="341" customFormat="1">
      <c r="A1661" s="589"/>
      <c r="B1661" s="628" t="s">
        <v>2326</v>
      </c>
      <c r="C1661" s="389">
        <v>414</v>
      </c>
      <c r="D1661" s="388">
        <f t="shared" si="233"/>
        <v>100.57102414925373</v>
      </c>
      <c r="E1661" s="386">
        <v>12</v>
      </c>
      <c r="F1661" s="582">
        <f t="shared" si="234"/>
        <v>112.58</v>
      </c>
      <c r="G1661" s="580" t="s">
        <v>5150</v>
      </c>
      <c r="H1661" s="592" t="s">
        <v>2191</v>
      </c>
      <c r="I1661" s="520" t="s">
        <v>11649</v>
      </c>
      <c r="J1661" s="589" t="s">
        <v>753</v>
      </c>
      <c r="K1661" s="520" t="s">
        <v>741</v>
      </c>
    </row>
    <row r="1662" spans="1:11" s="341" customFormat="1">
      <c r="A1662" s="589"/>
      <c r="B1662" s="628" t="s">
        <v>2327</v>
      </c>
      <c r="C1662" s="389">
        <v>1115</v>
      </c>
      <c r="D1662" s="388">
        <f t="shared" si="233"/>
        <v>270.86157470149249</v>
      </c>
      <c r="E1662" s="386">
        <v>18</v>
      </c>
      <c r="F1662" s="582">
        <f t="shared" si="234"/>
        <v>288.87</v>
      </c>
      <c r="G1662" s="580" t="s">
        <v>5151</v>
      </c>
      <c r="H1662" s="592" t="s">
        <v>2328</v>
      </c>
      <c r="I1662" s="520" t="s">
        <v>11649</v>
      </c>
      <c r="J1662" s="589" t="s">
        <v>753</v>
      </c>
      <c r="K1662" s="520" t="s">
        <v>741</v>
      </c>
    </row>
    <row r="1663" spans="1:11" s="341" customFormat="1">
      <c r="A1663" s="589"/>
      <c r="B1663" s="628" t="s">
        <v>7053</v>
      </c>
      <c r="C1663" s="389">
        <v>1486</v>
      </c>
      <c r="D1663" s="388">
        <f t="shared" si="233"/>
        <v>360.98681614925368</v>
      </c>
      <c r="E1663" s="386">
        <v>18</v>
      </c>
      <c r="F1663" s="582">
        <f t="shared" si="234"/>
        <v>378.99</v>
      </c>
      <c r="G1663" s="580" t="s">
        <v>7054</v>
      </c>
      <c r="H1663" s="592" t="s">
        <v>7055</v>
      </c>
      <c r="I1663" s="520" t="s">
        <v>11649</v>
      </c>
      <c r="J1663" s="589" t="s">
        <v>753</v>
      </c>
      <c r="K1663" s="520" t="s">
        <v>741</v>
      </c>
    </row>
    <row r="1664" spans="1:11" s="341" customFormat="1">
      <c r="A1664" s="589"/>
      <c r="B1664" s="628" t="s">
        <v>2329</v>
      </c>
      <c r="C1664" s="389">
        <v>1221</v>
      </c>
      <c r="D1664" s="388">
        <f t="shared" si="233"/>
        <v>296.61164368656716</v>
      </c>
      <c r="E1664" s="386">
        <v>18</v>
      </c>
      <c r="F1664" s="582">
        <f t="shared" si="234"/>
        <v>314.62</v>
      </c>
      <c r="G1664" s="580" t="s">
        <v>5152</v>
      </c>
      <c r="H1664" s="592" t="s">
        <v>2330</v>
      </c>
      <c r="I1664" s="520" t="s">
        <v>11649</v>
      </c>
      <c r="J1664" s="589" t="s">
        <v>753</v>
      </c>
      <c r="K1664" s="520" t="s">
        <v>741</v>
      </c>
    </row>
    <row r="1665" spans="1:11" s="341" customFormat="1">
      <c r="A1665" s="589"/>
      <c r="B1665" s="629"/>
      <c r="C1665" s="209" t="s">
        <v>2058</v>
      </c>
      <c r="D1665" s="244"/>
      <c r="E1665" s="228"/>
      <c r="F1665" s="585">
        <f t="shared" si="232"/>
        <v>0</v>
      </c>
      <c r="G1665" s="592"/>
      <c r="H1665" s="592"/>
      <c r="I1665" s="520"/>
      <c r="J1665" s="589"/>
      <c r="K1665" s="520"/>
    </row>
    <row r="1666" spans="1:11" s="341" customFormat="1">
      <c r="A1666" s="421"/>
      <c r="B1666" s="592"/>
      <c r="C1666" s="209" t="s">
        <v>2058</v>
      </c>
      <c r="D1666" s="244"/>
      <c r="E1666" s="228"/>
      <c r="F1666" s="585">
        <f t="shared" si="232"/>
        <v>0</v>
      </c>
      <c r="G1666" s="338"/>
      <c r="H1666" s="592"/>
      <c r="I1666" s="520"/>
      <c r="J1666" s="421"/>
      <c r="K1666" s="520"/>
    </row>
    <row r="1667" spans="1:11" s="341" customFormat="1">
      <c r="A1667" s="421"/>
      <c r="B1667" s="592"/>
      <c r="C1667" s="209" t="s">
        <v>2058</v>
      </c>
      <c r="D1667" s="244"/>
      <c r="E1667" s="228"/>
      <c r="F1667" s="585"/>
      <c r="G1667" s="338"/>
      <c r="H1667" s="592"/>
      <c r="I1667" s="520"/>
      <c r="J1667" s="421"/>
      <c r="K1667" s="520"/>
    </row>
    <row r="1668" spans="1:11" s="341" customFormat="1">
      <c r="A1668" s="421"/>
      <c r="B1668" s="592" t="s">
        <v>5153</v>
      </c>
      <c r="C1668" s="209">
        <v>269</v>
      </c>
      <c r="D1668" s="244">
        <f t="shared" ref="D1668:D1674" si="235">C1668*(1-VLOOKUP(I1668,descuentos,6,FALSE))*fcl/IF(dol_sol="dólar", TC,1)</f>
        <v>65.346873179104477</v>
      </c>
      <c r="E1668" s="228">
        <v>15</v>
      </c>
      <c r="F1668" s="585">
        <f t="shared" si="232"/>
        <v>80.350000000000009</v>
      </c>
      <c r="G1668" s="592" t="s">
        <v>5154</v>
      </c>
      <c r="H1668" s="592" t="s">
        <v>1737</v>
      </c>
      <c r="I1668" s="520" t="s">
        <v>11649</v>
      </c>
      <c r="J1668" s="421" t="s">
        <v>753</v>
      </c>
      <c r="K1668" s="520" t="s">
        <v>741</v>
      </c>
    </row>
    <row r="1669" spans="1:11" s="341" customFormat="1">
      <c r="A1669" s="421"/>
      <c r="B1669" s="592" t="s">
        <v>7056</v>
      </c>
      <c r="C1669" s="209">
        <v>269</v>
      </c>
      <c r="D1669" s="244">
        <f>C1669*(1-VLOOKUP(I1669,descuentos,6,FALSE))*fcl/IF(dol_sol="dólar", TC,1)</f>
        <v>65.346873179104477</v>
      </c>
      <c r="E1669" s="228">
        <v>15</v>
      </c>
      <c r="F1669" s="585">
        <f>ROUNDUP(D1669+E1669,2)</f>
        <v>80.350000000000009</v>
      </c>
      <c r="G1669" s="592" t="s">
        <v>7057</v>
      </c>
      <c r="H1669" s="592" t="s">
        <v>7058</v>
      </c>
      <c r="I1669" s="520" t="s">
        <v>11649</v>
      </c>
      <c r="J1669" s="421" t="s">
        <v>753</v>
      </c>
      <c r="K1669" s="520" t="s">
        <v>741</v>
      </c>
    </row>
    <row r="1670" spans="1:11" s="341" customFormat="1">
      <c r="A1670" s="421"/>
      <c r="B1670" s="592" t="s">
        <v>5611</v>
      </c>
      <c r="C1670" s="209">
        <v>271</v>
      </c>
      <c r="D1670" s="244">
        <f t="shared" si="235"/>
        <v>65.832723537313427</v>
      </c>
      <c r="E1670" s="228">
        <v>15</v>
      </c>
      <c r="F1670" s="585">
        <f t="shared" si="232"/>
        <v>80.84</v>
      </c>
      <c r="G1670" s="592" t="s">
        <v>5612</v>
      </c>
      <c r="H1670" s="592" t="s">
        <v>5613</v>
      </c>
      <c r="I1670" s="520" t="s">
        <v>11649</v>
      </c>
      <c r="J1670" s="421" t="s">
        <v>753</v>
      </c>
      <c r="K1670" s="520" t="s">
        <v>741</v>
      </c>
    </row>
    <row r="1671" spans="1:11" s="341" customFormat="1">
      <c r="A1671" s="421"/>
      <c r="B1671" s="592" t="s">
        <v>5155</v>
      </c>
      <c r="C1671" s="209">
        <v>271</v>
      </c>
      <c r="D1671" s="244">
        <f t="shared" si="235"/>
        <v>65.832723537313427</v>
      </c>
      <c r="E1671" s="228">
        <v>15</v>
      </c>
      <c r="F1671" s="585">
        <f t="shared" si="232"/>
        <v>80.84</v>
      </c>
      <c r="G1671" s="592" t="s">
        <v>5156</v>
      </c>
      <c r="H1671" s="592" t="s">
        <v>5157</v>
      </c>
      <c r="I1671" s="520" t="s">
        <v>11649</v>
      </c>
      <c r="J1671" s="421" t="s">
        <v>753</v>
      </c>
      <c r="K1671" s="520" t="s">
        <v>741</v>
      </c>
    </row>
    <row r="1672" spans="1:11" s="341" customFormat="1">
      <c r="A1672" s="421"/>
      <c r="B1672" s="592" t="s">
        <v>1236</v>
      </c>
      <c r="C1672" s="209">
        <v>2382</v>
      </c>
      <c r="D1672" s="244">
        <f t="shared" si="235"/>
        <v>578.64777662686572</v>
      </c>
      <c r="E1672" s="228">
        <v>25</v>
      </c>
      <c r="F1672" s="585">
        <f t="shared" si="232"/>
        <v>603.65</v>
      </c>
      <c r="G1672" s="338" t="s">
        <v>2332</v>
      </c>
      <c r="H1672" s="592" t="s">
        <v>1237</v>
      </c>
      <c r="I1672" s="520" t="s">
        <v>11649</v>
      </c>
      <c r="J1672" s="421" t="s">
        <v>753</v>
      </c>
      <c r="K1672" s="520" t="s">
        <v>741</v>
      </c>
    </row>
    <row r="1673" spans="1:11" s="341" customFormat="1">
      <c r="A1673" s="421"/>
      <c r="B1673" s="592" t="s">
        <v>1238</v>
      </c>
      <c r="C1673" s="209">
        <v>4633</v>
      </c>
      <c r="D1673" s="244">
        <f t="shared" si="235"/>
        <v>1125.4723547910446</v>
      </c>
      <c r="E1673" s="228">
        <v>35</v>
      </c>
      <c r="F1673" s="585">
        <f t="shared" si="232"/>
        <v>1160.48</v>
      </c>
      <c r="G1673" s="338" t="s">
        <v>2333</v>
      </c>
      <c r="H1673" s="592" t="s">
        <v>1239</v>
      </c>
      <c r="I1673" s="520" t="s">
        <v>11649</v>
      </c>
      <c r="J1673" s="421" t="s">
        <v>753</v>
      </c>
      <c r="K1673" s="520" t="s">
        <v>741</v>
      </c>
    </row>
    <row r="1674" spans="1:11" s="341" customFormat="1">
      <c r="A1674" s="421"/>
      <c r="B1674" s="592" t="s">
        <v>7059</v>
      </c>
      <c r="C1674" s="209">
        <v>513</v>
      </c>
      <c r="D1674" s="244">
        <f t="shared" si="235"/>
        <v>124.620616880597</v>
      </c>
      <c r="E1674" s="228">
        <v>15</v>
      </c>
      <c r="F1674" s="585">
        <f t="shared" si="232"/>
        <v>139.63</v>
      </c>
      <c r="G1674" s="592" t="s">
        <v>5158</v>
      </c>
      <c r="H1674" s="592" t="s">
        <v>1256</v>
      </c>
      <c r="I1674" s="520" t="s">
        <v>11649</v>
      </c>
      <c r="J1674" s="421" t="s">
        <v>753</v>
      </c>
      <c r="K1674" s="520" t="s">
        <v>741</v>
      </c>
    </row>
    <row r="1675" spans="1:11" s="341" customFormat="1">
      <c r="A1675" s="421"/>
      <c r="B1675" s="592" t="s">
        <v>13401</v>
      </c>
      <c r="C1675" s="209">
        <v>399</v>
      </c>
      <c r="D1675" s="244">
        <f t="shared" ref="D1675" si="236">C1675*(1-VLOOKUP(I1675,descuentos,6,FALSE))*fcl/IF(dol_sol="dólar", TC,1)</f>
        <v>96.927146462686565</v>
      </c>
      <c r="E1675" s="228">
        <v>15</v>
      </c>
      <c r="F1675" s="585">
        <f t="shared" si="232"/>
        <v>111.93</v>
      </c>
      <c r="G1675" s="592" t="s">
        <v>13402</v>
      </c>
      <c r="H1675" s="592" t="s">
        <v>13403</v>
      </c>
      <c r="I1675" s="520" t="s">
        <v>11649</v>
      </c>
      <c r="J1675" s="421" t="s">
        <v>753</v>
      </c>
      <c r="K1675" s="520" t="s">
        <v>741</v>
      </c>
    </row>
    <row r="1676" spans="1:11" s="341" customFormat="1">
      <c r="A1676" s="421"/>
      <c r="B1676" s="592" t="s">
        <v>7060</v>
      </c>
      <c r="C1676" s="209">
        <v>511</v>
      </c>
      <c r="D1676" s="244">
        <f>C1676*(1-VLOOKUP(I1676,descuentos,6,FALSE))*fcl/IF(dol_sol="dólar", TC,1)</f>
        <v>124.13476652238806</v>
      </c>
      <c r="E1676" s="228">
        <v>15</v>
      </c>
      <c r="F1676" s="585">
        <f t="shared" si="232"/>
        <v>139.13999999999999</v>
      </c>
      <c r="G1676" s="338" t="s">
        <v>7061</v>
      </c>
      <c r="H1676" s="592" t="s">
        <v>7062</v>
      </c>
      <c r="I1676" s="520" t="s">
        <v>11649</v>
      </c>
      <c r="J1676" s="421" t="s">
        <v>753</v>
      </c>
      <c r="K1676" s="520" t="s">
        <v>741</v>
      </c>
    </row>
    <row r="1677" spans="1:11" s="341" customFormat="1">
      <c r="A1677" s="1741"/>
      <c r="B1677" s="592" t="s">
        <v>7063</v>
      </c>
      <c r="C1677" s="209">
        <v>2025</v>
      </c>
      <c r="D1677" s="244">
        <f>C1677*(1-VLOOKUP(I1677,descuentos,6,FALSE))*fcl/IF(dol_sol="dólar", TC,1)</f>
        <v>491.92348768656706</v>
      </c>
      <c r="E1677" s="228">
        <v>15</v>
      </c>
      <c r="F1677" s="585">
        <f>ROUNDUP(D1677+E1677,2)</f>
        <v>506.93</v>
      </c>
      <c r="G1677" s="338" t="s">
        <v>7064</v>
      </c>
      <c r="H1677" s="592" t="s">
        <v>7065</v>
      </c>
      <c r="I1677" s="520" t="s">
        <v>11649</v>
      </c>
      <c r="J1677" s="421" t="s">
        <v>753</v>
      </c>
      <c r="K1677" s="520" t="s">
        <v>741</v>
      </c>
    </row>
    <row r="1678" spans="1:11" s="341" customFormat="1">
      <c r="A1678" s="421"/>
      <c r="B1678" s="592"/>
      <c r="C1678" s="209" t="s">
        <v>2058</v>
      </c>
      <c r="D1678" s="244"/>
      <c r="E1678" s="228"/>
      <c r="F1678" s="585"/>
      <c r="G1678" s="338"/>
      <c r="H1678" s="592"/>
      <c r="I1678" s="520"/>
      <c r="J1678" s="421"/>
      <c r="K1678" s="520"/>
    </row>
    <row r="1679" spans="1:11" s="341" customFormat="1">
      <c r="A1679" s="421"/>
      <c r="B1679" s="592"/>
      <c r="C1679" s="209" t="s">
        <v>2058</v>
      </c>
      <c r="D1679" s="244"/>
      <c r="E1679" s="228"/>
      <c r="F1679" s="585"/>
      <c r="G1679" s="338"/>
      <c r="H1679" s="592"/>
      <c r="I1679" s="520"/>
      <c r="J1679" s="421"/>
      <c r="K1679" s="520"/>
    </row>
    <row r="1680" spans="1:11" s="341" customFormat="1">
      <c r="A1680" s="552"/>
      <c r="B1680" s="546"/>
      <c r="C1680" s="547" t="s">
        <v>2058</v>
      </c>
      <c r="D1680" s="548"/>
      <c r="E1680" s="549"/>
      <c r="F1680" s="556"/>
      <c r="G1680" s="557"/>
      <c r="H1680" s="546"/>
      <c r="I1680" s="552"/>
      <c r="J1680" s="552"/>
      <c r="K1680" s="552"/>
    </row>
    <row r="1681" spans="1:11" s="341" customFormat="1">
      <c r="A1681" s="421"/>
      <c r="B1681" s="592" t="s">
        <v>1254</v>
      </c>
      <c r="C1681" s="209">
        <v>3174</v>
      </c>
      <c r="D1681" s="244">
        <f>C1681*(1-VLOOKUP(I1681,descuentos,6,FALSE))*fcl/IF(dol_sol="dólar", TC,1)</f>
        <v>771.04451847761186</v>
      </c>
      <c r="E1681" s="228">
        <v>15</v>
      </c>
      <c r="F1681" s="585">
        <f t="shared" si="232"/>
        <v>786.05</v>
      </c>
      <c r="G1681" s="592" t="s">
        <v>2334</v>
      </c>
      <c r="H1681" s="592" t="s">
        <v>1249</v>
      </c>
      <c r="I1681" s="520" t="s">
        <v>11649</v>
      </c>
      <c r="J1681" s="421" t="s">
        <v>753</v>
      </c>
      <c r="K1681" s="520" t="s">
        <v>741</v>
      </c>
    </row>
    <row r="1682" spans="1:11" s="341" customFormat="1">
      <c r="A1682" s="421"/>
      <c r="B1682" s="592" t="s">
        <v>1248</v>
      </c>
      <c r="C1682" s="209">
        <v>529</v>
      </c>
      <c r="D1682" s="244">
        <f>C1682*(1-VLOOKUP(I1682,descuentos,6,FALSE))*fcl/IF(dol_sol="dólar", TC,1)</f>
        <v>128.50741974626862</v>
      </c>
      <c r="E1682" s="228">
        <v>15</v>
      </c>
      <c r="F1682" s="585">
        <f t="shared" si="232"/>
        <v>143.51</v>
      </c>
      <c r="G1682" s="592" t="s">
        <v>5159</v>
      </c>
      <c r="H1682" s="592" t="s">
        <v>1250</v>
      </c>
      <c r="I1682" s="520" t="s">
        <v>11649</v>
      </c>
      <c r="J1682" s="421" t="s">
        <v>753</v>
      </c>
      <c r="K1682" s="520" t="s">
        <v>741</v>
      </c>
    </row>
    <row r="1683" spans="1:11" s="341" customFormat="1">
      <c r="A1683" s="421"/>
      <c r="B1683" s="592" t="s">
        <v>1255</v>
      </c>
      <c r="C1683" s="209">
        <v>529</v>
      </c>
      <c r="D1683" s="244">
        <f>C1683*(1-VLOOKUP(I1683,descuentos,6,FALSE))*fcl/IF(dol_sol="dólar", TC,1)</f>
        <v>128.50741974626862</v>
      </c>
      <c r="E1683" s="228">
        <v>15</v>
      </c>
      <c r="F1683" s="585">
        <f t="shared" si="232"/>
        <v>143.51</v>
      </c>
      <c r="G1683" s="592" t="s">
        <v>5160</v>
      </c>
      <c r="H1683" s="592" t="s">
        <v>1251</v>
      </c>
      <c r="I1683" s="520" t="s">
        <v>11649</v>
      </c>
      <c r="J1683" s="421" t="s">
        <v>753</v>
      </c>
      <c r="K1683" s="520" t="s">
        <v>741</v>
      </c>
    </row>
    <row r="1684" spans="1:11" s="341" customFormat="1">
      <c r="A1684" s="421"/>
      <c r="B1684" s="592" t="s">
        <v>1252</v>
      </c>
      <c r="C1684" s="209">
        <v>585</v>
      </c>
      <c r="D1684" s="244">
        <f>C1684*(1-VLOOKUP(I1684,descuentos,6,FALSE))*fcl/IF(dol_sol="dólar", TC,1)</f>
        <v>142.11122977611939</v>
      </c>
      <c r="E1684" s="228">
        <v>15</v>
      </c>
      <c r="F1684" s="585">
        <f t="shared" si="232"/>
        <v>157.12</v>
      </c>
      <c r="G1684" s="592" t="s">
        <v>5161</v>
      </c>
      <c r="H1684" s="592" t="s">
        <v>1253</v>
      </c>
      <c r="I1684" s="520" t="s">
        <v>11649</v>
      </c>
      <c r="J1684" s="421" t="s">
        <v>753</v>
      </c>
      <c r="K1684" s="520" t="s">
        <v>741</v>
      </c>
    </row>
    <row r="1685" spans="1:11" s="341" customFormat="1">
      <c r="A1685" s="1741"/>
      <c r="B1685" s="592" t="s">
        <v>7066</v>
      </c>
      <c r="C1685" s="209">
        <v>760</v>
      </c>
      <c r="D1685" s="244">
        <f>C1685*(1-VLOOKUP(I1685,descuentos,6,FALSE))*fcl/IF(dol_sol="dólar", TC,1)</f>
        <v>184.62313611940297</v>
      </c>
      <c r="E1685" s="228">
        <v>15</v>
      </c>
      <c r="F1685" s="585">
        <f>ROUNDUP(D1685+E1685,2)</f>
        <v>199.63</v>
      </c>
      <c r="G1685" s="338" t="s">
        <v>7067</v>
      </c>
      <c r="H1685" s="592" t="s">
        <v>2880</v>
      </c>
      <c r="I1685" s="520" t="s">
        <v>11649</v>
      </c>
      <c r="J1685" s="421" t="s">
        <v>753</v>
      </c>
      <c r="K1685" s="520" t="s">
        <v>741</v>
      </c>
    </row>
    <row r="1686" spans="1:11" s="341" customFormat="1">
      <c r="A1686" s="552"/>
      <c r="B1686" s="546"/>
      <c r="C1686" s="547" t="s">
        <v>2058</v>
      </c>
      <c r="D1686" s="548"/>
      <c r="E1686" s="549"/>
      <c r="F1686" s="556"/>
      <c r="G1686" s="557"/>
      <c r="H1686" s="546"/>
      <c r="I1686" s="552"/>
      <c r="J1686" s="552"/>
      <c r="K1686" s="552"/>
    </row>
    <row r="1687" spans="1:11" s="341" customFormat="1">
      <c r="A1687" s="421"/>
      <c r="B1687" s="592"/>
      <c r="C1687" s="209" t="s">
        <v>2058</v>
      </c>
      <c r="D1687" s="244"/>
      <c r="E1687" s="228"/>
      <c r="F1687" s="585">
        <f t="shared" si="232"/>
        <v>0</v>
      </c>
      <c r="G1687"/>
      <c r="H1687" s="592"/>
      <c r="I1687" s="520"/>
      <c r="J1687" s="421"/>
      <c r="K1687" s="520"/>
    </row>
    <row r="1688" spans="1:11" s="341" customFormat="1">
      <c r="A1688" s="421"/>
      <c r="B1688" s="592" t="s">
        <v>1738</v>
      </c>
      <c r="C1688" s="209">
        <v>552</v>
      </c>
      <c r="D1688" s="244">
        <f>C1688*(1-VLOOKUP(I1688,descuentos,6,FALSE))*fcl/IF(dol_sol="dólar", TC,1)</f>
        <v>134.09469886567163</v>
      </c>
      <c r="E1688" s="228">
        <v>15</v>
      </c>
      <c r="F1688" s="585">
        <f t="shared" si="232"/>
        <v>149.1</v>
      </c>
      <c r="G1688" s="592" t="s">
        <v>5162</v>
      </c>
      <c r="H1688" s="592" t="s">
        <v>1739</v>
      </c>
      <c r="I1688" s="520" t="s">
        <v>11649</v>
      </c>
      <c r="J1688" s="421" t="s">
        <v>753</v>
      </c>
      <c r="K1688" s="520" t="s">
        <v>741</v>
      </c>
    </row>
    <row r="1689" spans="1:11" s="196" customFormat="1">
      <c r="A1689" s="421"/>
      <c r="B1689" s="592" t="s">
        <v>1740</v>
      </c>
      <c r="C1689" s="209">
        <v>552</v>
      </c>
      <c r="D1689" s="244">
        <f>C1689*(1-VLOOKUP(I1689,descuentos,6,FALSE))*fcl/IF(dol_sol="dólar", TC,1)</f>
        <v>134.09469886567163</v>
      </c>
      <c r="E1689" s="228">
        <v>15</v>
      </c>
      <c r="F1689" s="585">
        <f t="shared" si="232"/>
        <v>149.1</v>
      </c>
      <c r="G1689" s="592" t="s">
        <v>5163</v>
      </c>
      <c r="H1689" s="592" t="s">
        <v>1741</v>
      </c>
      <c r="I1689" s="520" t="s">
        <v>11649</v>
      </c>
      <c r="J1689" s="421" t="s">
        <v>753</v>
      </c>
      <c r="K1689" s="520" t="s">
        <v>741</v>
      </c>
    </row>
    <row r="1690" spans="1:11" s="196" customFormat="1">
      <c r="A1690" s="421"/>
      <c r="B1690" s="592" t="s">
        <v>1742</v>
      </c>
      <c r="C1690" s="209">
        <v>614</v>
      </c>
      <c r="D1690" s="244">
        <f>C1690*(1-VLOOKUP(I1690,descuentos,6,FALSE))*fcl/IF(dol_sol="dólar", TC,1)</f>
        <v>149.15605997014924</v>
      </c>
      <c r="E1690" s="228">
        <v>15</v>
      </c>
      <c r="F1690" s="585">
        <f t="shared" si="232"/>
        <v>164.16</v>
      </c>
      <c r="G1690" s="592" t="s">
        <v>5164</v>
      </c>
      <c r="H1690" s="592" t="s">
        <v>1743</v>
      </c>
      <c r="I1690" s="520" t="s">
        <v>11649</v>
      </c>
      <c r="J1690" s="421" t="s">
        <v>753</v>
      </c>
      <c r="K1690" s="520" t="s">
        <v>741</v>
      </c>
    </row>
    <row r="1691" spans="1:11" s="196" customFormat="1">
      <c r="A1691" s="421"/>
      <c r="B1691" s="592"/>
      <c r="C1691" s="209" t="s">
        <v>2058</v>
      </c>
      <c r="D1691" s="244"/>
      <c r="E1691" s="228"/>
      <c r="F1691" s="585">
        <f t="shared" si="232"/>
        <v>0</v>
      </c>
      <c r="G1691" s="592"/>
      <c r="H1691" s="592"/>
      <c r="I1691" s="520"/>
      <c r="J1691" s="421"/>
      <c r="K1691" s="520"/>
    </row>
    <row r="1692" spans="1:11" s="341" customFormat="1">
      <c r="A1692" s="421"/>
      <c r="B1692" s="592" t="s">
        <v>7068</v>
      </c>
      <c r="C1692" s="209">
        <v>198</v>
      </c>
      <c r="D1692" s="244">
        <f>C1692*(1-VLOOKUP(I1692,descuentos,6,FALSE))*fcl/IF(dol_sol="dólar", TC,1)</f>
        <v>48.099185462686563</v>
      </c>
      <c r="E1692" s="228">
        <v>15</v>
      </c>
      <c r="F1692" s="585">
        <f>ROUNDUP(D1692+E1692,2)</f>
        <v>63.1</v>
      </c>
      <c r="G1692" s="592" t="s">
        <v>9590</v>
      </c>
      <c r="H1692" s="592" t="s">
        <v>7069</v>
      </c>
      <c r="I1692" s="520" t="s">
        <v>11649</v>
      </c>
      <c r="J1692" s="421" t="s">
        <v>753</v>
      </c>
      <c r="K1692" s="520" t="s">
        <v>741</v>
      </c>
    </row>
    <row r="1693" spans="1:11" s="341" customFormat="1">
      <c r="A1693" s="1734"/>
      <c r="B1693" s="592" t="s">
        <v>5599</v>
      </c>
      <c r="C1693" s="209">
        <v>487</v>
      </c>
      <c r="D1693" s="388">
        <f>C1693*(1-VLOOKUP(I1693,descuentos,6,FALSE))*fcl/IF(dol_sol="dólar", TC,1)</f>
        <v>118.30456222388058</v>
      </c>
      <c r="E1693" s="626">
        <v>20</v>
      </c>
      <c r="F1693" s="582">
        <f>ROUNDUP(D1693+E1693,2)</f>
        <v>138.31</v>
      </c>
      <c r="G1693" s="338" t="s">
        <v>7070</v>
      </c>
      <c r="H1693" s="592" t="s">
        <v>5600</v>
      </c>
      <c r="I1693" s="520" t="s">
        <v>11649</v>
      </c>
      <c r="J1693" s="421" t="s">
        <v>753</v>
      </c>
      <c r="K1693" s="520" t="s">
        <v>741</v>
      </c>
    </row>
    <row r="1694" spans="1:11" s="341" customFormat="1">
      <c r="A1694" s="1734"/>
      <c r="B1694" s="592" t="s">
        <v>5601</v>
      </c>
      <c r="C1694" s="209">
        <v>503</v>
      </c>
      <c r="D1694" s="388">
        <f>C1694*(1-VLOOKUP(I1694,descuentos,6,FALSE))*fcl/IF(dol_sol="dólar", TC,1)</f>
        <v>122.19136508955224</v>
      </c>
      <c r="E1694" s="626">
        <v>20</v>
      </c>
      <c r="F1694" s="582">
        <f>ROUNDUP(D1694+E1694,2)</f>
        <v>142.19999999999999</v>
      </c>
      <c r="G1694" s="338" t="s">
        <v>7071</v>
      </c>
      <c r="H1694" s="592" t="s">
        <v>5602</v>
      </c>
      <c r="I1694" s="520" t="s">
        <v>11649</v>
      </c>
      <c r="J1694" s="421" t="s">
        <v>753</v>
      </c>
      <c r="K1694" s="520" t="s">
        <v>741</v>
      </c>
    </row>
    <row r="1695" spans="1:11" s="341" customFormat="1">
      <c r="A1695" s="1734"/>
      <c r="B1695" s="592" t="s">
        <v>5603</v>
      </c>
      <c r="C1695" s="209">
        <v>515</v>
      </c>
      <c r="D1695" s="388">
        <f>C1695*(1-VLOOKUP(I1695,descuentos,6,FALSE))*fcl/IF(dol_sol="dólar", TC,1)</f>
        <v>125.10646723880596</v>
      </c>
      <c r="E1695" s="626">
        <v>25</v>
      </c>
      <c r="F1695" s="582">
        <f>ROUNDUP(D1695+E1695,2)</f>
        <v>150.10999999999999</v>
      </c>
      <c r="G1695" s="338" t="s">
        <v>7072</v>
      </c>
      <c r="H1695" s="592" t="s">
        <v>5604</v>
      </c>
      <c r="I1695" s="520" t="s">
        <v>11649</v>
      </c>
      <c r="J1695" s="421" t="s">
        <v>753</v>
      </c>
      <c r="K1695" s="520" t="s">
        <v>741</v>
      </c>
    </row>
    <row r="1696" spans="1:11" s="341" customFormat="1">
      <c r="A1696" s="421"/>
      <c r="B1696" s="592"/>
      <c r="C1696" s="209" t="s">
        <v>2058</v>
      </c>
      <c r="D1696" s="244"/>
      <c r="E1696" s="228"/>
      <c r="F1696" s="585"/>
      <c r="G1696" s="592"/>
      <c r="H1696" s="592"/>
      <c r="I1696" s="520"/>
      <c r="J1696" s="421"/>
      <c r="K1696" s="520"/>
    </row>
    <row r="1697" spans="1:11" s="341" customFormat="1">
      <c r="A1697" s="1734"/>
      <c r="B1697" s="592" t="s">
        <v>7073</v>
      </c>
      <c r="C1697" s="209">
        <v>114</v>
      </c>
      <c r="D1697" s="388">
        <f>C1697*(1-VLOOKUP(I1697,descuentos,6,FALSE))*fcl/IF(dol_sol="dólar", TC,1)</f>
        <v>27.69347041791044</v>
      </c>
      <c r="E1697" s="626">
        <v>10</v>
      </c>
      <c r="F1697" s="582">
        <f>ROUNDUP(D1697+E1697,2)</f>
        <v>37.699999999999996</v>
      </c>
      <c r="G1697" s="338" t="s">
        <v>7074</v>
      </c>
      <c r="H1697" s="592" t="s">
        <v>7075</v>
      </c>
      <c r="I1697" s="520" t="s">
        <v>11649</v>
      </c>
      <c r="J1697" s="421" t="s">
        <v>753</v>
      </c>
      <c r="K1697" s="520" t="s">
        <v>741</v>
      </c>
    </row>
    <row r="1698" spans="1:11" s="341" customFormat="1">
      <c r="A1698" s="421"/>
      <c r="B1698" s="592"/>
      <c r="C1698" s="209" t="s">
        <v>2058</v>
      </c>
      <c r="D1698" s="244"/>
      <c r="E1698" s="228"/>
      <c r="F1698" s="585"/>
      <c r="G1698" s="338"/>
      <c r="H1698" s="592"/>
      <c r="I1698" s="520"/>
      <c r="J1698" s="421"/>
      <c r="K1698" s="520"/>
    </row>
    <row r="1699" spans="1:11" s="196" customFormat="1">
      <c r="A1699" s="1740"/>
      <c r="B1699" s="643" t="s">
        <v>7076</v>
      </c>
      <c r="C1699" s="637">
        <v>272</v>
      </c>
      <c r="D1699" s="243">
        <f>C1699*(1-VLOOKUP(I1699,descuentos,6,FALSE))*fcl/IF(dol_sol="dólar", TC,1)</f>
        <v>66.075648716417888</v>
      </c>
      <c r="E1699" s="228">
        <v>8</v>
      </c>
      <c r="F1699" s="585">
        <f>ROUNDUP(D1699+E1699,2)</f>
        <v>74.08</v>
      </c>
      <c r="G1699" s="592" t="s">
        <v>7077</v>
      </c>
      <c r="H1699" s="643" t="s">
        <v>7078</v>
      </c>
      <c r="I1699" s="639" t="s">
        <v>11649</v>
      </c>
      <c r="J1699" s="635" t="s">
        <v>753</v>
      </c>
      <c r="K1699" s="639" t="s">
        <v>741</v>
      </c>
    </row>
    <row r="1700" spans="1:11" s="196" customFormat="1">
      <c r="A1700" s="1740"/>
      <c r="B1700" s="643" t="s">
        <v>7079</v>
      </c>
      <c r="C1700" s="637">
        <v>286</v>
      </c>
      <c r="D1700" s="243">
        <f>C1700*(1-VLOOKUP(I1700,descuentos,6,FALSE))*fcl/IF(dol_sol="dólar", TC,1)</f>
        <v>69.476601223880579</v>
      </c>
      <c r="E1700" s="228">
        <v>8</v>
      </c>
      <c r="F1700" s="585">
        <f>ROUNDUP(D1700+E1700,2)</f>
        <v>77.48</v>
      </c>
      <c r="G1700" s="592" t="s">
        <v>7080</v>
      </c>
      <c r="H1700" s="643" t="s">
        <v>7081</v>
      </c>
      <c r="I1700" s="639" t="s">
        <v>11649</v>
      </c>
      <c r="J1700" s="635" t="s">
        <v>753</v>
      </c>
      <c r="K1700" s="639" t="s">
        <v>741</v>
      </c>
    </row>
    <row r="1701" spans="1:11" s="196" customFormat="1">
      <c r="A1701" s="1740"/>
      <c r="B1701" s="643" t="s">
        <v>7082</v>
      </c>
      <c r="C1701" s="637">
        <v>301</v>
      </c>
      <c r="D1701" s="243">
        <f>C1701*(1-VLOOKUP(I1701,descuentos,6,FALSE))*fcl/IF(dol_sol="dólar", TC,1)</f>
        <v>73.120478910447744</v>
      </c>
      <c r="E1701" s="228">
        <v>10</v>
      </c>
      <c r="F1701" s="585">
        <f>ROUNDUP(D1701+E1701,2)</f>
        <v>83.13000000000001</v>
      </c>
      <c r="G1701" s="592" t="s">
        <v>7083</v>
      </c>
      <c r="H1701" s="643" t="s">
        <v>7084</v>
      </c>
      <c r="I1701" s="639" t="s">
        <v>11649</v>
      </c>
      <c r="J1701" s="635" t="s">
        <v>753</v>
      </c>
      <c r="K1701" s="639" t="s">
        <v>741</v>
      </c>
    </row>
    <row r="1702" spans="1:11" s="196" customFormat="1">
      <c r="A1702" s="1740"/>
      <c r="B1702" s="643" t="s">
        <v>7085</v>
      </c>
      <c r="C1702" s="637">
        <v>179</v>
      </c>
      <c r="D1702" s="243">
        <f>C1702*(1-VLOOKUP(I1702,descuentos,6,FALSE))*fcl/IF(dol_sol="dólar", TC,1)</f>
        <v>43.483607059701484</v>
      </c>
      <c r="E1702" s="228">
        <v>10</v>
      </c>
      <c r="F1702" s="585">
        <f>ROUNDUP(D1702+E1702,2)</f>
        <v>53.489999999999995</v>
      </c>
      <c r="G1702" s="592" t="s">
        <v>7086</v>
      </c>
      <c r="H1702" s="643" t="s">
        <v>7087</v>
      </c>
      <c r="I1702" s="639" t="s">
        <v>11649</v>
      </c>
      <c r="J1702" s="635" t="s">
        <v>753</v>
      </c>
      <c r="K1702" s="639" t="s">
        <v>741</v>
      </c>
    </row>
    <row r="1703" spans="1:11" s="196" customFormat="1">
      <c r="A1703" s="1740"/>
      <c r="B1703" s="643" t="s">
        <v>14115</v>
      </c>
      <c r="C1703" s="637">
        <v>93</v>
      </c>
      <c r="D1703" s="243">
        <f>C1703*(1-VLOOKUP(I1703,descuentos,6,FALSE))*fcl/IF(dol_sol="dólar", TC,1)</f>
        <v>22.592041656716418</v>
      </c>
      <c r="E1703" s="228">
        <v>10</v>
      </c>
      <c r="F1703" s="585">
        <f>ROUNDUP(D1703+E1703,2)</f>
        <v>32.6</v>
      </c>
      <c r="G1703" s="592" t="s">
        <v>14116</v>
      </c>
      <c r="H1703" s="643" t="s">
        <v>14117</v>
      </c>
      <c r="I1703" s="639" t="s">
        <v>11649</v>
      </c>
      <c r="J1703" s="635" t="s">
        <v>753</v>
      </c>
      <c r="K1703" s="639" t="s">
        <v>741</v>
      </c>
    </row>
    <row r="1704" spans="1:11" s="196" customFormat="1">
      <c r="A1704" s="421"/>
      <c r="B1704" s="592"/>
      <c r="C1704" s="209" t="s">
        <v>2058</v>
      </c>
      <c r="D1704" s="244"/>
      <c r="E1704" s="228"/>
      <c r="F1704" s="585">
        <f t="shared" si="232"/>
        <v>0</v>
      </c>
      <c r="G1704" s="592"/>
      <c r="H1704" s="592"/>
      <c r="I1704" s="520"/>
      <c r="J1704" s="421"/>
      <c r="K1704" s="520"/>
    </row>
    <row r="1705" spans="1:11" s="196" customFormat="1">
      <c r="A1705" s="1740"/>
      <c r="B1705" s="643" t="s">
        <v>7088</v>
      </c>
      <c r="C1705" s="637">
        <v>1299</v>
      </c>
      <c r="D1705" s="243">
        <f>C1705*(1-VLOOKUP(I1705,descuentos,6,FALSE))*fcl/IF(dol_sol="dólar", TC,1)</f>
        <v>315.55980765671637</v>
      </c>
      <c r="E1705" s="228">
        <v>10</v>
      </c>
      <c r="F1705" s="585">
        <f t="shared" si="232"/>
        <v>325.56</v>
      </c>
      <c r="G1705" s="592" t="s">
        <v>7089</v>
      </c>
      <c r="H1705" s="643" t="s">
        <v>7090</v>
      </c>
      <c r="I1705" s="639" t="s">
        <v>11649</v>
      </c>
      <c r="J1705" s="635" t="s">
        <v>753</v>
      </c>
      <c r="K1705" s="639" t="s">
        <v>741</v>
      </c>
    </row>
    <row r="1706" spans="1:11" s="196" customFormat="1">
      <c r="A1706" s="1652"/>
      <c r="B1706" s="643" t="s">
        <v>7091</v>
      </c>
      <c r="C1706" s="637">
        <v>4310</v>
      </c>
      <c r="D1706" s="243">
        <f>C1706*(1-VLOOKUP(I1706,descuentos,6,FALSE))*fcl/IF(dol_sol="dólar", TC,1)</f>
        <v>1047.0075219402984</v>
      </c>
      <c r="E1706" s="228">
        <v>20</v>
      </c>
      <c r="F1706" s="585">
        <f>ROUNDUP(D1706+E1706,2)</f>
        <v>1067.01</v>
      </c>
      <c r="G1706" s="592" t="s">
        <v>7092</v>
      </c>
      <c r="H1706" s="643" t="s">
        <v>7093</v>
      </c>
      <c r="I1706" s="639" t="s">
        <v>11649</v>
      </c>
      <c r="J1706" s="635" t="s">
        <v>753</v>
      </c>
      <c r="K1706" s="639" t="s">
        <v>741</v>
      </c>
    </row>
    <row r="1707" spans="1:11" s="194" customFormat="1">
      <c r="A1707" s="1652"/>
      <c r="B1707" s="643" t="s">
        <v>7094</v>
      </c>
      <c r="C1707" s="637">
        <v>4373</v>
      </c>
      <c r="D1707" s="243">
        <f>C1707*(1-VLOOKUP(I1707,descuentos,6,FALSE))*fcl/IF(dol_sol="dólar", TC,1)</f>
        <v>1062.3118082238807</v>
      </c>
      <c r="E1707" s="228">
        <v>20</v>
      </c>
      <c r="F1707" s="585">
        <f>ROUNDUP(D1707+E1707,2)</f>
        <v>1082.32</v>
      </c>
      <c r="G1707" s="592" t="s">
        <v>7095</v>
      </c>
      <c r="H1707" s="643" t="s">
        <v>7096</v>
      </c>
      <c r="I1707" s="639" t="s">
        <v>11649</v>
      </c>
      <c r="J1707" s="635" t="s">
        <v>753</v>
      </c>
      <c r="K1707" s="639" t="s">
        <v>741</v>
      </c>
    </row>
    <row r="1708" spans="1:11" s="194" customFormat="1">
      <c r="A1708" s="589"/>
      <c r="B1708" s="643"/>
      <c r="C1708" s="637" t="s">
        <v>2058</v>
      </c>
      <c r="D1708" s="243"/>
      <c r="E1708" s="228"/>
      <c r="F1708" s="585"/>
      <c r="G1708" s="592"/>
      <c r="H1708" s="643"/>
      <c r="I1708" s="639"/>
      <c r="J1708" s="635"/>
      <c r="K1708" s="639"/>
    </row>
    <row r="1709" spans="1:11" s="194" customFormat="1">
      <c r="A1709" s="589"/>
      <c r="B1709" s="643"/>
      <c r="C1709" s="637"/>
      <c r="D1709" s="243"/>
      <c r="E1709" s="228"/>
      <c r="F1709" s="585"/>
      <c r="G1709" s="592"/>
      <c r="H1709" s="643"/>
      <c r="I1709" s="639"/>
      <c r="J1709" s="635"/>
      <c r="K1709" s="639"/>
    </row>
    <row r="1710" spans="1:11" s="341" customFormat="1">
      <c r="A1710" s="421"/>
      <c r="B1710" s="2267" t="s">
        <v>13548</v>
      </c>
      <c r="C1710" s="2268">
        <v>568</v>
      </c>
      <c r="D1710" s="244">
        <f t="shared" ref="D1710" si="237">C1710*(1-VLOOKUP(I1710,descuentos,6,FALSE))*fcl/IF(dol_sol="dólar", TC,1)</f>
        <v>137.98150173134329</v>
      </c>
      <c r="E1710" s="228">
        <v>6</v>
      </c>
      <c r="F1710" s="585">
        <f t="shared" ref="F1710:F1712" si="238">ROUNDUP(D1710+E1710,2)</f>
        <v>143.98999999999998</v>
      </c>
      <c r="G1710" s="592" t="s">
        <v>13549</v>
      </c>
      <c r="H1710" s="592" t="s">
        <v>13550</v>
      </c>
      <c r="I1710" s="520" t="s">
        <v>11649</v>
      </c>
      <c r="J1710" s="421" t="s">
        <v>753</v>
      </c>
      <c r="K1710" s="520" t="s">
        <v>741</v>
      </c>
    </row>
    <row r="1711" spans="1:11" s="341" customFormat="1">
      <c r="A1711" s="421"/>
      <c r="B1711" s="2267" t="s">
        <v>13551</v>
      </c>
      <c r="C1711" s="2268">
        <v>779</v>
      </c>
      <c r="D1711" s="244">
        <f>C1711*(1-VLOOKUP(I1711,descuentos,6,FALSE))*fcl/IF(dol_sol="dólar", TC,1)</f>
        <v>189.23871452238805</v>
      </c>
      <c r="E1711" s="228">
        <v>4</v>
      </c>
      <c r="F1711" s="585">
        <f t="shared" si="238"/>
        <v>193.23999999999998</v>
      </c>
      <c r="G1711" s="592" t="s">
        <v>13552</v>
      </c>
      <c r="H1711" s="592" t="s">
        <v>13553</v>
      </c>
      <c r="I1711" s="520" t="s">
        <v>11649</v>
      </c>
      <c r="J1711" s="421" t="s">
        <v>753</v>
      </c>
      <c r="K1711" s="520" t="s">
        <v>741</v>
      </c>
    </row>
    <row r="1712" spans="1:11" s="341" customFormat="1">
      <c r="A1712" s="421"/>
      <c r="B1712" s="2267" t="s">
        <v>13554</v>
      </c>
      <c r="C1712" s="2268">
        <v>227</v>
      </c>
      <c r="D1712" s="244">
        <f>C1712*(1-VLOOKUP(I1712,descuentos,6,FALSE))*fcl/IF(dol_sol="dólar", TC,1)</f>
        <v>55.144015656716412</v>
      </c>
      <c r="E1712" s="228">
        <v>4</v>
      </c>
      <c r="F1712" s="585">
        <f t="shared" si="238"/>
        <v>59.15</v>
      </c>
      <c r="G1712" s="592" t="s">
        <v>13555</v>
      </c>
      <c r="H1712" s="592" t="s">
        <v>13556</v>
      </c>
      <c r="I1712" s="520" t="s">
        <v>11649</v>
      </c>
      <c r="J1712" s="421" t="s">
        <v>753</v>
      </c>
      <c r="K1712" s="520" t="s">
        <v>741</v>
      </c>
    </row>
    <row r="1713" spans="1:11" s="194" customFormat="1">
      <c r="A1713" s="589"/>
      <c r="B1713" s="643"/>
      <c r="C1713" s="637" t="s">
        <v>2058</v>
      </c>
      <c r="D1713" s="243"/>
      <c r="E1713" s="228"/>
      <c r="F1713" s="585"/>
      <c r="G1713" s="592"/>
      <c r="H1713" s="643"/>
      <c r="I1713" s="639"/>
      <c r="J1713" s="635"/>
      <c r="K1713" s="639"/>
    </row>
    <row r="1714" spans="1:11" s="196" customFormat="1">
      <c r="A1714" s="421"/>
      <c r="B1714" s="592"/>
      <c r="C1714" s="209" t="s">
        <v>2058</v>
      </c>
      <c r="D1714" s="244"/>
      <c r="E1714" s="228"/>
      <c r="F1714" s="585">
        <f>ROUNDUP(D1714+E1714,2)</f>
        <v>0</v>
      </c>
      <c r="G1714" s="592"/>
      <c r="H1714" s="592"/>
      <c r="I1714" s="520"/>
      <c r="J1714" s="421"/>
      <c r="K1714" s="520"/>
    </row>
    <row r="1715" spans="1:11" s="196" customFormat="1">
      <c r="A1715" s="421"/>
      <c r="B1715" s="592" t="s">
        <v>1291</v>
      </c>
      <c r="C1715" s="209">
        <v>240</v>
      </c>
      <c r="D1715" s="244">
        <f>C1715*(1-VLOOKUP(I1715,descuentos,6,FALSE))*fcl/IF(dol_sol="dólar", TC,1)</f>
        <v>58.302042985074621</v>
      </c>
      <c r="E1715" s="228">
        <v>8</v>
      </c>
      <c r="F1715" s="585">
        <f t="shared" si="232"/>
        <v>66.31</v>
      </c>
      <c r="G1715" s="592" t="s">
        <v>7097</v>
      </c>
      <c r="H1715" s="592" t="s">
        <v>1290</v>
      </c>
      <c r="I1715" s="520" t="s">
        <v>11649</v>
      </c>
      <c r="J1715" s="421" t="s">
        <v>753</v>
      </c>
      <c r="K1715" s="520" t="s">
        <v>741</v>
      </c>
    </row>
    <row r="1716" spans="1:11" s="196" customFormat="1">
      <c r="A1716" s="421"/>
      <c r="B1716" s="592" t="s">
        <v>1289</v>
      </c>
      <c r="C1716" s="209">
        <v>479</v>
      </c>
      <c r="D1716" s="244">
        <f>C1716*(1-VLOOKUP(I1716,descuentos,6,FALSE))*fcl/IF(dol_sol="dólar", TC,1)</f>
        <v>116.36116079104477</v>
      </c>
      <c r="E1716" s="228">
        <v>8</v>
      </c>
      <c r="F1716" s="585">
        <f t="shared" si="232"/>
        <v>124.37</v>
      </c>
      <c r="G1716" s="592" t="s">
        <v>2338</v>
      </c>
      <c r="H1716" s="592" t="s">
        <v>1288</v>
      </c>
      <c r="I1716" s="520" t="s">
        <v>11649</v>
      </c>
      <c r="J1716" s="421" t="s">
        <v>753</v>
      </c>
      <c r="K1716" s="520" t="s">
        <v>741</v>
      </c>
    </row>
    <row r="1717" spans="1:11" s="196" customFormat="1">
      <c r="A1717" s="421"/>
      <c r="B1717" s="592" t="s">
        <v>1300</v>
      </c>
      <c r="C1717" s="209">
        <v>302</v>
      </c>
      <c r="D1717" s="244">
        <f>C1717*(1-VLOOKUP(I1717,descuentos,6,FALSE))*fcl/IF(dol_sol="dólar", TC,1)</f>
        <v>73.363404089552233</v>
      </c>
      <c r="E1717" s="228">
        <v>8</v>
      </c>
      <c r="F1717" s="585">
        <f t="shared" si="232"/>
        <v>81.37</v>
      </c>
      <c r="G1717" s="592" t="s">
        <v>2339</v>
      </c>
      <c r="H1717" s="592" t="s">
        <v>1301</v>
      </c>
      <c r="I1717" s="520" t="s">
        <v>11649</v>
      </c>
      <c r="J1717" s="421" t="s">
        <v>753</v>
      </c>
      <c r="K1717" s="520" t="s">
        <v>741</v>
      </c>
    </row>
    <row r="1718" spans="1:11" s="196" customFormat="1">
      <c r="A1718" s="421"/>
      <c r="B1718" s="592" t="s">
        <v>1302</v>
      </c>
      <c r="C1718" s="209">
        <v>272</v>
      </c>
      <c r="D1718" s="244">
        <f>C1718*(1-VLOOKUP(I1718,descuentos,6,FALSE))*fcl/IF(dol_sol="dólar", TC,1)</f>
        <v>66.075648716417888</v>
      </c>
      <c r="E1718" s="228">
        <v>8</v>
      </c>
      <c r="F1718" s="585">
        <f t="shared" si="232"/>
        <v>74.08</v>
      </c>
      <c r="G1718" s="592" t="s">
        <v>2340</v>
      </c>
      <c r="H1718" s="592" t="s">
        <v>1303</v>
      </c>
      <c r="I1718" s="520" t="s">
        <v>11649</v>
      </c>
      <c r="J1718" s="421" t="s">
        <v>753</v>
      </c>
      <c r="K1718" s="520" t="s">
        <v>741</v>
      </c>
    </row>
    <row r="1719" spans="1:11" s="196" customFormat="1">
      <c r="A1719" s="421"/>
      <c r="B1719" s="592"/>
      <c r="C1719" s="209" t="s">
        <v>2058</v>
      </c>
      <c r="D1719" s="244"/>
      <c r="E1719" s="228"/>
      <c r="F1719" s="585">
        <f t="shared" si="232"/>
        <v>0</v>
      </c>
      <c r="G1719" s="592"/>
      <c r="H1719" s="592"/>
      <c r="I1719" s="520"/>
      <c r="J1719" s="421"/>
      <c r="K1719" s="520"/>
    </row>
    <row r="1720" spans="1:11" s="196" customFormat="1">
      <c r="A1720" s="421"/>
      <c r="B1720" s="592" t="s">
        <v>1292</v>
      </c>
      <c r="C1720" s="632">
        <v>284</v>
      </c>
      <c r="D1720" s="244">
        <f>C1720*(1-VLOOKUP(I1720,descuentos,6,FALSE))*fcl/IF(dol_sol="dólar", TC,1)</f>
        <v>68.990750865671643</v>
      </c>
      <c r="E1720" s="228">
        <v>8</v>
      </c>
      <c r="F1720" s="585">
        <f t="shared" si="232"/>
        <v>77</v>
      </c>
      <c r="G1720" s="592" t="s">
        <v>2341</v>
      </c>
      <c r="H1720" s="592" t="s">
        <v>1293</v>
      </c>
      <c r="I1720" s="520" t="s">
        <v>11649</v>
      </c>
      <c r="J1720" s="421" t="s">
        <v>753</v>
      </c>
      <c r="K1720" s="520"/>
    </row>
    <row r="1721" spans="1:11" s="196" customFormat="1">
      <c r="A1721" s="421"/>
      <c r="B1721" s="592" t="s">
        <v>1294</v>
      </c>
      <c r="C1721" s="632">
        <v>132</v>
      </c>
      <c r="D1721" s="244">
        <f>C1721*(1-VLOOKUP(I1721,descuentos,6,FALSE))*fcl/IF(dol_sol="dólar", TC,1)</f>
        <v>32.066123641791044</v>
      </c>
      <c r="E1721" s="228">
        <v>8</v>
      </c>
      <c r="F1721" s="585">
        <f t="shared" si="232"/>
        <v>40.07</v>
      </c>
      <c r="G1721" s="592" t="s">
        <v>2342</v>
      </c>
      <c r="H1721" s="592" t="s">
        <v>1295</v>
      </c>
      <c r="I1721" s="520" t="s">
        <v>11649</v>
      </c>
      <c r="J1721" s="421" t="s">
        <v>753</v>
      </c>
      <c r="K1721" s="520"/>
    </row>
    <row r="1722" spans="1:11" s="196" customFormat="1">
      <c r="A1722" s="421"/>
      <c r="B1722" s="592" t="s">
        <v>1296</v>
      </c>
      <c r="C1722" s="632">
        <v>362</v>
      </c>
      <c r="D1722" s="244">
        <f>C1722*(1-VLOOKUP(I1722,descuentos,6,FALSE))*fcl/IF(dol_sol="dólar", TC,1)</f>
        <v>87.938914835820881</v>
      </c>
      <c r="E1722" s="228">
        <v>8</v>
      </c>
      <c r="F1722" s="585">
        <f t="shared" si="232"/>
        <v>95.940000000000012</v>
      </c>
      <c r="G1722" s="592" t="s">
        <v>2343</v>
      </c>
      <c r="H1722" s="592" t="s">
        <v>1298</v>
      </c>
      <c r="I1722" s="520" t="s">
        <v>11649</v>
      </c>
      <c r="J1722" s="421" t="s">
        <v>753</v>
      </c>
      <c r="K1722" s="520"/>
    </row>
    <row r="1723" spans="1:11" s="196" customFormat="1">
      <c r="A1723" s="421"/>
      <c r="B1723" s="592" t="s">
        <v>1297</v>
      </c>
      <c r="C1723" s="632">
        <v>302</v>
      </c>
      <c r="D1723" s="244">
        <f>C1723*(1-VLOOKUP(I1723,descuentos,6,FALSE))*fcl/IF(dol_sol="dólar", TC,1)</f>
        <v>73.363404089552233</v>
      </c>
      <c r="E1723" s="228">
        <v>8</v>
      </c>
      <c r="F1723" s="585">
        <f t="shared" si="232"/>
        <v>81.37</v>
      </c>
      <c r="G1723" s="592" t="s">
        <v>2344</v>
      </c>
      <c r="H1723" s="592" t="s">
        <v>1299</v>
      </c>
      <c r="I1723" s="520" t="s">
        <v>11649</v>
      </c>
      <c r="J1723" s="421" t="s">
        <v>753</v>
      </c>
      <c r="K1723" s="520"/>
    </row>
    <row r="1724" spans="1:11" s="196" customFormat="1">
      <c r="A1724" s="421"/>
      <c r="B1724" s="592"/>
      <c r="C1724" s="209" t="s">
        <v>2058</v>
      </c>
      <c r="D1724" s="244"/>
      <c r="E1724" s="228"/>
      <c r="F1724" s="585">
        <f t="shared" si="232"/>
        <v>0</v>
      </c>
      <c r="G1724" s="592"/>
      <c r="H1724" s="592"/>
      <c r="I1724" s="520"/>
      <c r="J1724" s="421"/>
      <c r="K1724" s="520"/>
    </row>
    <row r="1725" spans="1:11" s="196" customFormat="1">
      <c r="A1725" s="421"/>
      <c r="B1725" s="592" t="s">
        <v>7098</v>
      </c>
      <c r="C1725" s="209">
        <v>253</v>
      </c>
      <c r="D1725" s="244">
        <f>C1725*(1-VLOOKUP(I1725,descuentos,6,FALSE))*fcl/IF(dol_sol="dólar", TC,1)</f>
        <v>61.46007031343283</v>
      </c>
      <c r="E1725" s="228">
        <v>10</v>
      </c>
      <c r="F1725" s="585">
        <f>ROUNDUP(D1725+E1725,2)</f>
        <v>71.47</v>
      </c>
      <c r="G1725" s="592" t="s">
        <v>7099</v>
      </c>
      <c r="H1725" s="592" t="s">
        <v>7100</v>
      </c>
      <c r="I1725" s="520" t="s">
        <v>11649</v>
      </c>
      <c r="J1725" s="421" t="s">
        <v>753</v>
      </c>
      <c r="K1725" s="520" t="s">
        <v>741</v>
      </c>
    </row>
    <row r="1726" spans="1:11" s="196" customFormat="1">
      <c r="A1726" s="421"/>
      <c r="B1726" s="592" t="s">
        <v>7101</v>
      </c>
      <c r="C1726" s="209">
        <v>410</v>
      </c>
      <c r="D1726" s="244">
        <f>C1726*(1-VLOOKUP(I1726,descuentos,6,FALSE))*fcl/IF(dol_sol="dólar", TC,1)</f>
        <v>99.599323432835817</v>
      </c>
      <c r="E1726" s="228">
        <v>10</v>
      </c>
      <c r="F1726" s="585">
        <f>ROUNDUP(D1726+E1726,2)</f>
        <v>109.60000000000001</v>
      </c>
      <c r="G1726" s="592" t="s">
        <v>7102</v>
      </c>
      <c r="H1726" s="592" t="s">
        <v>7103</v>
      </c>
      <c r="I1726" s="520" t="s">
        <v>11649</v>
      </c>
      <c r="J1726" s="421" t="s">
        <v>753</v>
      </c>
      <c r="K1726" s="520" t="s">
        <v>741</v>
      </c>
    </row>
    <row r="1727" spans="1:11" s="196" customFormat="1">
      <c r="A1727" s="421"/>
      <c r="B1727" s="592"/>
      <c r="C1727" s="209" t="s">
        <v>2058</v>
      </c>
      <c r="D1727" s="244"/>
      <c r="E1727" s="228"/>
      <c r="F1727" s="585">
        <f t="shared" si="232"/>
        <v>0</v>
      </c>
      <c r="G1727" s="338"/>
      <c r="H1727" s="592"/>
      <c r="I1727" s="520"/>
      <c r="J1727" s="421"/>
      <c r="K1727" s="520"/>
    </row>
    <row r="1728" spans="1:11" s="196" customFormat="1" ht="12" customHeight="1">
      <c r="A1728" s="421"/>
      <c r="B1728" s="592"/>
      <c r="C1728" s="209" t="s">
        <v>2058</v>
      </c>
      <c r="D1728" s="244"/>
      <c r="E1728" s="228"/>
      <c r="F1728" s="585">
        <f t="shared" si="232"/>
        <v>0</v>
      </c>
      <c r="G1728" s="592"/>
      <c r="H1728" s="592"/>
      <c r="I1728" s="520"/>
      <c r="J1728" s="421"/>
      <c r="K1728" s="520"/>
    </row>
    <row r="1729" spans="1:11" s="196" customFormat="1">
      <c r="A1729" s="421"/>
      <c r="B1729" s="631" t="s">
        <v>1744</v>
      </c>
      <c r="C1729" s="389">
        <v>866</v>
      </c>
      <c r="D1729" s="388">
        <f t="shared" ref="D1729:D1736" si="239">C1729*(1-VLOOKUP(I1729,descuentos,6,FALSE))*fcl/IF(dol_sol="dólar", TC,1)</f>
        <v>210.37320510447759</v>
      </c>
      <c r="E1729" s="386">
        <v>60</v>
      </c>
      <c r="F1729" s="582">
        <f t="shared" si="232"/>
        <v>270.38</v>
      </c>
      <c r="G1729" s="592" t="s">
        <v>2345</v>
      </c>
      <c r="H1729" s="592" t="s">
        <v>1745</v>
      </c>
      <c r="I1729" s="520" t="s">
        <v>11649</v>
      </c>
      <c r="J1729" s="421" t="s">
        <v>753</v>
      </c>
      <c r="K1729" s="520" t="s">
        <v>741</v>
      </c>
    </row>
    <row r="1730" spans="1:11" s="196" customFormat="1">
      <c r="A1730" s="421"/>
      <c r="B1730" s="629" t="s">
        <v>1746</v>
      </c>
      <c r="C1730" s="389">
        <v>886</v>
      </c>
      <c r="D1730" s="388">
        <f t="shared" si="239"/>
        <v>215.23170868656715</v>
      </c>
      <c r="E1730" s="386">
        <v>60</v>
      </c>
      <c r="F1730" s="582">
        <f t="shared" si="232"/>
        <v>275.24</v>
      </c>
      <c r="G1730" s="592" t="s">
        <v>2346</v>
      </c>
      <c r="H1730" s="592" t="s">
        <v>1747</v>
      </c>
      <c r="I1730" s="520" t="s">
        <v>11649</v>
      </c>
      <c r="J1730" s="421" t="s">
        <v>753</v>
      </c>
      <c r="K1730" s="520" t="s">
        <v>741</v>
      </c>
    </row>
    <row r="1731" spans="1:11" s="196" customFormat="1">
      <c r="A1731" s="421"/>
      <c r="B1731" s="631" t="s">
        <v>1748</v>
      </c>
      <c r="C1731" s="209">
        <v>436</v>
      </c>
      <c r="D1731" s="244">
        <f t="shared" si="239"/>
        <v>105.91537808955223</v>
      </c>
      <c r="E1731" s="228">
        <v>0</v>
      </c>
      <c r="F1731" s="585">
        <f t="shared" si="232"/>
        <v>105.92</v>
      </c>
      <c r="G1731" s="592" t="s">
        <v>2347</v>
      </c>
      <c r="H1731" s="592" t="s">
        <v>1749</v>
      </c>
      <c r="I1731" s="520" t="s">
        <v>11649</v>
      </c>
      <c r="J1731" s="421" t="s">
        <v>753</v>
      </c>
      <c r="K1731" s="520" t="s">
        <v>741</v>
      </c>
    </row>
    <row r="1732" spans="1:11" s="196" customFormat="1">
      <c r="A1732" s="421"/>
      <c r="B1732" s="627" t="s">
        <v>1750</v>
      </c>
      <c r="C1732" s="209">
        <v>444</v>
      </c>
      <c r="D1732" s="244">
        <f t="shared" si="239"/>
        <v>107.85877952238805</v>
      </c>
      <c r="E1732" s="228">
        <v>0</v>
      </c>
      <c r="F1732" s="585">
        <f t="shared" si="232"/>
        <v>107.86</v>
      </c>
      <c r="G1732" s="592" t="s">
        <v>2348</v>
      </c>
      <c r="H1732" s="592" t="s">
        <v>1751</v>
      </c>
      <c r="I1732" s="520" t="s">
        <v>11649</v>
      </c>
      <c r="J1732" s="421" t="s">
        <v>753</v>
      </c>
      <c r="K1732" s="520" t="s">
        <v>741</v>
      </c>
    </row>
    <row r="1733" spans="1:11" s="196" customFormat="1">
      <c r="A1733" s="421"/>
      <c r="B1733" s="627" t="s">
        <v>1752</v>
      </c>
      <c r="C1733" s="209">
        <v>444</v>
      </c>
      <c r="D1733" s="244">
        <f t="shared" si="239"/>
        <v>107.85877952238805</v>
      </c>
      <c r="E1733" s="228">
        <v>0</v>
      </c>
      <c r="F1733" s="585">
        <f t="shared" si="232"/>
        <v>107.86</v>
      </c>
      <c r="G1733" s="592" t="s">
        <v>2349</v>
      </c>
      <c r="H1733" s="592" t="s">
        <v>1753</v>
      </c>
      <c r="I1733" s="520" t="s">
        <v>11649</v>
      </c>
      <c r="J1733" s="421" t="s">
        <v>753</v>
      </c>
      <c r="K1733" s="520" t="s">
        <v>741</v>
      </c>
    </row>
    <row r="1734" spans="1:11" s="196" customFormat="1">
      <c r="A1734" s="421"/>
      <c r="B1734" s="627" t="s">
        <v>1754</v>
      </c>
      <c r="C1734" s="209">
        <v>436</v>
      </c>
      <c r="D1734" s="244">
        <f t="shared" si="239"/>
        <v>105.91537808955223</v>
      </c>
      <c r="E1734" s="228">
        <v>0</v>
      </c>
      <c r="F1734" s="585">
        <f t="shared" si="232"/>
        <v>105.92</v>
      </c>
      <c r="G1734" s="592" t="s">
        <v>2350</v>
      </c>
      <c r="H1734" s="592" t="s">
        <v>1755</v>
      </c>
      <c r="I1734" s="520" t="s">
        <v>11649</v>
      </c>
      <c r="J1734" s="421" t="s">
        <v>753</v>
      </c>
      <c r="K1734" s="520" t="s">
        <v>741</v>
      </c>
    </row>
    <row r="1735" spans="1:11" s="196" customFormat="1">
      <c r="A1735" s="421"/>
      <c r="B1735" s="627" t="s">
        <v>1756</v>
      </c>
      <c r="C1735" s="209">
        <v>444</v>
      </c>
      <c r="D1735" s="244">
        <f t="shared" si="239"/>
        <v>107.85877952238805</v>
      </c>
      <c r="E1735" s="228">
        <v>0</v>
      </c>
      <c r="F1735" s="585">
        <f t="shared" si="232"/>
        <v>107.86</v>
      </c>
      <c r="G1735" s="592" t="s">
        <v>2351</v>
      </c>
      <c r="H1735" s="592" t="s">
        <v>1757</v>
      </c>
      <c r="I1735" s="520" t="s">
        <v>11649</v>
      </c>
      <c r="J1735" s="421" t="s">
        <v>753</v>
      </c>
      <c r="K1735" s="520" t="s">
        <v>741</v>
      </c>
    </row>
    <row r="1736" spans="1:11" s="196" customFormat="1">
      <c r="A1736" s="421"/>
      <c r="B1736" s="629" t="s">
        <v>1758</v>
      </c>
      <c r="C1736" s="209">
        <v>444</v>
      </c>
      <c r="D1736" s="244">
        <f t="shared" si="239"/>
        <v>107.85877952238805</v>
      </c>
      <c r="E1736" s="228">
        <v>0</v>
      </c>
      <c r="F1736" s="585">
        <f t="shared" si="232"/>
        <v>107.86</v>
      </c>
      <c r="G1736" s="592" t="s">
        <v>2352</v>
      </c>
      <c r="H1736" s="592" t="s">
        <v>1759</v>
      </c>
      <c r="I1736" s="520" t="s">
        <v>11649</v>
      </c>
      <c r="J1736" s="421" t="s">
        <v>753</v>
      </c>
      <c r="K1736" s="520" t="s">
        <v>741</v>
      </c>
    </row>
    <row r="1737" spans="1:11" s="196" customFormat="1">
      <c r="A1737" s="421"/>
      <c r="B1737" s="592"/>
      <c r="C1737" s="209" t="s">
        <v>2058</v>
      </c>
      <c r="D1737" s="244"/>
      <c r="E1737" s="228"/>
      <c r="F1737" s="585">
        <f t="shared" si="232"/>
        <v>0</v>
      </c>
      <c r="G1737" s="592"/>
      <c r="H1737" s="592"/>
      <c r="I1737" s="520"/>
      <c r="J1737" s="421"/>
      <c r="K1737" s="520"/>
    </row>
    <row r="1738" spans="1:11" s="196" customFormat="1">
      <c r="A1738" s="421"/>
      <c r="B1738" s="631" t="s">
        <v>1760</v>
      </c>
      <c r="C1738" s="209">
        <v>1009</v>
      </c>
      <c r="D1738" s="244">
        <f>C1738*(1-VLOOKUP(I1738,descuentos,6,FALSE))*fcl/IF(dol_sol="dólar", TC,1)</f>
        <v>245.11150571641789</v>
      </c>
      <c r="E1738" s="228">
        <v>100</v>
      </c>
      <c r="F1738" s="585">
        <f t="shared" si="232"/>
        <v>345.12</v>
      </c>
      <c r="G1738" s="592" t="s">
        <v>2353</v>
      </c>
      <c r="H1738" s="592" t="s">
        <v>1761</v>
      </c>
      <c r="I1738" s="520" t="s">
        <v>11649</v>
      </c>
      <c r="J1738" s="421" t="s">
        <v>753</v>
      </c>
      <c r="K1738" s="520" t="s">
        <v>741</v>
      </c>
    </row>
    <row r="1739" spans="1:11" s="196" customFormat="1">
      <c r="A1739" s="421"/>
      <c r="B1739" s="629" t="s">
        <v>1762</v>
      </c>
      <c r="C1739" s="209">
        <v>1014</v>
      </c>
      <c r="D1739" s="244">
        <f>C1739*(1-VLOOKUP(I1739,descuentos,6,FALSE))*fcl/IF(dol_sol="dólar", TC,1)</f>
        <v>246.32613161194027</v>
      </c>
      <c r="E1739" s="228">
        <v>100</v>
      </c>
      <c r="F1739" s="585">
        <f t="shared" si="232"/>
        <v>346.33</v>
      </c>
      <c r="G1739" s="592" t="s">
        <v>2354</v>
      </c>
      <c r="H1739" s="592" t="s">
        <v>1763</v>
      </c>
      <c r="I1739" s="520" t="s">
        <v>11649</v>
      </c>
      <c r="J1739" s="421" t="s">
        <v>753</v>
      </c>
      <c r="K1739" s="520" t="s">
        <v>741</v>
      </c>
    </row>
    <row r="1740" spans="1:11" s="196" customFormat="1">
      <c r="A1740" s="421"/>
      <c r="B1740" s="592"/>
      <c r="C1740" s="209" t="s">
        <v>2058</v>
      </c>
      <c r="D1740" s="244"/>
      <c r="E1740" s="228"/>
      <c r="F1740" s="585">
        <f t="shared" si="232"/>
        <v>0</v>
      </c>
      <c r="G1740" s="592"/>
      <c r="H1740" s="592"/>
      <c r="I1740" s="520"/>
      <c r="J1740" s="421"/>
      <c r="K1740" s="520"/>
    </row>
    <row r="1741" spans="1:11" s="196" customFormat="1">
      <c r="A1741" s="421"/>
      <c r="B1741" s="631" t="s">
        <v>2355</v>
      </c>
      <c r="C1741" s="209">
        <v>487</v>
      </c>
      <c r="D1741" s="244">
        <f>C1741*(1-VLOOKUP(I1741,descuentos,6,FALSE))*fcl/IF(dol_sol="dólar", TC,1)</f>
        <v>118.30456222388058</v>
      </c>
      <c r="E1741" s="228"/>
      <c r="F1741" s="585">
        <f t="shared" si="232"/>
        <v>118.31</v>
      </c>
      <c r="G1741" s="592" t="s">
        <v>2356</v>
      </c>
      <c r="H1741" s="592" t="s">
        <v>2357</v>
      </c>
      <c r="I1741" s="520" t="s">
        <v>11649</v>
      </c>
      <c r="J1741" s="421" t="s">
        <v>753</v>
      </c>
      <c r="K1741" s="520" t="s">
        <v>741</v>
      </c>
    </row>
    <row r="1742" spans="1:11" s="196" customFormat="1">
      <c r="A1742" s="421"/>
      <c r="B1742" s="629" t="s">
        <v>2358</v>
      </c>
      <c r="C1742" s="209">
        <v>495</v>
      </c>
      <c r="D1742" s="244">
        <f>C1742*(1-VLOOKUP(I1742,descuentos,6,FALSE))*fcl/IF(dol_sol="dólar", TC,1)</f>
        <v>120.24796365671639</v>
      </c>
      <c r="E1742" s="228">
        <v>100</v>
      </c>
      <c r="F1742" s="585">
        <f t="shared" si="232"/>
        <v>220.25</v>
      </c>
      <c r="G1742" s="592" t="s">
        <v>2359</v>
      </c>
      <c r="H1742" s="592" t="s">
        <v>2360</v>
      </c>
      <c r="I1742" s="520" t="s">
        <v>11649</v>
      </c>
      <c r="J1742" s="421" t="s">
        <v>753</v>
      </c>
      <c r="K1742" s="520" t="s">
        <v>741</v>
      </c>
    </row>
    <row r="1743" spans="1:11" s="196" customFormat="1">
      <c r="A1743" s="421"/>
      <c r="B1743" s="592"/>
      <c r="C1743" s="209" t="s">
        <v>2058</v>
      </c>
      <c r="D1743" s="244"/>
      <c r="E1743" s="228"/>
      <c r="F1743" s="585"/>
      <c r="G1743" s="592"/>
      <c r="H1743" s="592"/>
      <c r="I1743" s="520"/>
      <c r="J1743" s="421"/>
      <c r="K1743" s="520"/>
    </row>
    <row r="1744" spans="1:11" s="106" customFormat="1">
      <c r="A1744" s="1805"/>
      <c r="B1744" s="1114" t="s">
        <v>9766</v>
      </c>
      <c r="C1744" s="209">
        <v>4012</v>
      </c>
      <c r="D1744" s="244">
        <f>C1744*(1-VLOOKUP(I1744,descuentos,6,FALSE))*fcl/IF(dol_sol="dólar", TC,1)</f>
        <v>974.61581856716418</v>
      </c>
      <c r="E1744" s="228">
        <v>30</v>
      </c>
      <c r="F1744" s="585">
        <f>ROUNDUP(D1744+E1744,2)</f>
        <v>1004.62</v>
      </c>
      <c r="G1744" s="338" t="s">
        <v>9767</v>
      </c>
      <c r="H1744" s="2015" t="s">
        <v>9768</v>
      </c>
      <c r="I1744" s="520" t="s">
        <v>11649</v>
      </c>
      <c r="J1744" s="589" t="s">
        <v>753</v>
      </c>
      <c r="K1744" s="520" t="s">
        <v>741</v>
      </c>
    </row>
    <row r="1745" spans="1:11" s="106" customFormat="1">
      <c r="B1745" s="1114" t="s">
        <v>7104</v>
      </c>
      <c r="C1745" s="209">
        <v>4934</v>
      </c>
      <c r="D1745" s="244">
        <f>C1745*(1-VLOOKUP(I1745,descuentos,6,FALSE))*fcl/IF(dol_sol="dólar", TC,1)</f>
        <v>1198.5928337014925</v>
      </c>
      <c r="E1745" s="228">
        <v>30</v>
      </c>
      <c r="F1745" s="585">
        <f>ROUNDUP(D1745+E1745,2)</f>
        <v>1228.5999999999999</v>
      </c>
      <c r="G1745" s="338" t="s">
        <v>7105</v>
      </c>
      <c r="H1745" s="2015" t="s">
        <v>7106</v>
      </c>
      <c r="I1745" s="520" t="s">
        <v>11649</v>
      </c>
      <c r="J1745" s="589" t="s">
        <v>753</v>
      </c>
      <c r="K1745" s="520" t="s">
        <v>741</v>
      </c>
    </row>
    <row r="1746" spans="1:11" s="106" customFormat="1">
      <c r="B1746" s="1114"/>
      <c r="C1746" s="209" t="s">
        <v>2058</v>
      </c>
      <c r="D1746" s="244"/>
      <c r="E1746" s="228"/>
      <c r="F1746" s="585"/>
      <c r="G1746" s="338"/>
      <c r="H1746" s="2015"/>
      <c r="I1746" s="520"/>
      <c r="J1746" s="589"/>
      <c r="K1746" s="520"/>
    </row>
    <row r="1747" spans="1:11" s="196" customFormat="1">
      <c r="A1747" s="421"/>
      <c r="B1747" s="627" t="s">
        <v>12720</v>
      </c>
      <c r="C1747" s="248">
        <v>8229</v>
      </c>
      <c r="D1747" s="244">
        <f>C1747*(1-VLOOKUP(I1747,descuentos,6,FALSE))*fcl/IF(dol_sol="dólar", TC,1)</f>
        <v>1999.031298850746</v>
      </c>
      <c r="E1747" s="472">
        <v>400</v>
      </c>
      <c r="F1747" s="585">
        <f t="shared" ref="F1747" si="240">ROUNDUP(D1747+E1747,2)</f>
        <v>2399.0400000000004</v>
      </c>
      <c r="G1747" s="338" t="s">
        <v>12721</v>
      </c>
      <c r="H1747" s="2013" t="s">
        <v>932</v>
      </c>
      <c r="I1747" s="520" t="s">
        <v>11649</v>
      </c>
      <c r="J1747" s="421" t="s">
        <v>753</v>
      </c>
      <c r="K1747" s="520" t="s">
        <v>741</v>
      </c>
    </row>
    <row r="1748" spans="1:11" s="106" customFormat="1">
      <c r="B1748" s="1114"/>
      <c r="C1748" s="209" t="s">
        <v>2058</v>
      </c>
      <c r="D1748" s="244"/>
      <c r="E1748" s="228"/>
      <c r="F1748" s="585"/>
      <c r="G1748" s="338"/>
      <c r="H1748" s="2015"/>
      <c r="I1748" s="520"/>
      <c r="J1748" s="589"/>
      <c r="K1748" s="520"/>
    </row>
    <row r="1749" spans="1:11" s="196" customFormat="1">
      <c r="A1749" s="1732"/>
      <c r="B1749" s="592" t="s">
        <v>1586</v>
      </c>
      <c r="C1749" s="798">
        <v>8443</v>
      </c>
      <c r="D1749" s="244">
        <f>C1749*(1-VLOOKUP(I1749,descuentos,6,FALSE))*fcl/IF(dol_sol="dólar", TC,1)</f>
        <v>2051.0172871791042</v>
      </c>
      <c r="E1749" s="472">
        <v>400</v>
      </c>
      <c r="F1749" s="585">
        <f>ROUNDUP(D1749+E1749,2)</f>
        <v>2451.0200000000004</v>
      </c>
      <c r="G1749" s="338" t="s">
        <v>1587</v>
      </c>
      <c r="H1749" s="592" t="s">
        <v>1588</v>
      </c>
      <c r="I1749" s="520" t="s">
        <v>11649</v>
      </c>
      <c r="J1749" s="421" t="s">
        <v>753</v>
      </c>
      <c r="K1749" s="520" t="s">
        <v>741</v>
      </c>
    </row>
    <row r="1750" spans="1:11" s="196" customFormat="1">
      <c r="A1750" s="1732"/>
      <c r="B1750" s="592" t="s">
        <v>11216</v>
      </c>
      <c r="C1750" s="209">
        <v>11481</v>
      </c>
      <c r="D1750" s="244">
        <f>C1750*(1-VLOOKUP(I1750,descuentos,6,FALSE))*fcl/IF(dol_sol="dólar", TC,1)</f>
        <v>2789.0239812985074</v>
      </c>
      <c r="E1750" s="472">
        <v>400</v>
      </c>
      <c r="F1750" s="585">
        <f>ROUNDUP(D1750+E1750,2)</f>
        <v>3189.03</v>
      </c>
      <c r="G1750" s="338" t="s">
        <v>11217</v>
      </c>
      <c r="H1750" s="592" t="s">
        <v>11218</v>
      </c>
      <c r="I1750" s="520" t="s">
        <v>11649</v>
      </c>
      <c r="J1750" s="421" t="s">
        <v>753</v>
      </c>
      <c r="K1750" s="520" t="s">
        <v>741</v>
      </c>
    </row>
    <row r="1751" spans="1:11" s="196" customFormat="1">
      <c r="A1751" s="421"/>
      <c r="B1751" s="592"/>
      <c r="C1751" s="209" t="s">
        <v>2058</v>
      </c>
      <c r="D1751" s="244"/>
      <c r="E1751" s="228"/>
      <c r="F1751" s="585"/>
      <c r="G1751" s="592"/>
      <c r="H1751" s="592"/>
      <c r="I1751" s="520"/>
      <c r="J1751" s="421"/>
      <c r="K1751" s="520"/>
    </row>
    <row r="1752" spans="1:11" s="196" customFormat="1">
      <c r="A1752" s="1742"/>
      <c r="B1752" s="592" t="s">
        <v>7107</v>
      </c>
      <c r="C1752" s="209">
        <v>9784</v>
      </c>
      <c r="D1752" s="244">
        <f>C1752*(1-VLOOKUP(I1752,descuentos,6,FALSE))*fcl/IF(dol_sol="dólar", TC,1)</f>
        <v>2376.7799523582089</v>
      </c>
      <c r="E1752" s="472">
        <v>400</v>
      </c>
      <c r="F1752" s="585">
        <f>ROUNDUP(D1752+E1752,2)</f>
        <v>2776.78</v>
      </c>
      <c r="G1752" s="338" t="s">
        <v>7108</v>
      </c>
      <c r="H1752" s="592" t="s">
        <v>7109</v>
      </c>
      <c r="I1752" s="520" t="s">
        <v>11649</v>
      </c>
      <c r="J1752" s="421" t="s">
        <v>753</v>
      </c>
      <c r="K1752" s="520" t="s">
        <v>741</v>
      </c>
    </row>
    <row r="1753" spans="1:11" s="196" customFormat="1">
      <c r="A1753" s="1742"/>
      <c r="B1753" s="592" t="s">
        <v>9769</v>
      </c>
      <c r="C1753" s="209">
        <v>12822</v>
      </c>
      <c r="D1753" s="244">
        <f>C1753*(1-VLOOKUP(I1753,descuentos,6,FALSE))*fcl/IF(dol_sol="dólar", TC,1)</f>
        <v>3114.7866464776116</v>
      </c>
      <c r="E1753" s="472">
        <v>400</v>
      </c>
      <c r="F1753" s="585">
        <f>ROUNDUP(D1753+E1753,2)</f>
        <v>3514.7900000000004</v>
      </c>
      <c r="G1753" s="338" t="s">
        <v>9770</v>
      </c>
      <c r="H1753" s="592" t="s">
        <v>9771</v>
      </c>
      <c r="I1753" s="520" t="s">
        <v>11649</v>
      </c>
      <c r="J1753" s="421" t="s">
        <v>753</v>
      </c>
      <c r="K1753" s="520" t="s">
        <v>741</v>
      </c>
    </row>
    <row r="1754" spans="1:11" s="196" customFormat="1">
      <c r="A1754" s="421"/>
      <c r="B1754" s="592"/>
      <c r="C1754" s="209" t="s">
        <v>2058</v>
      </c>
      <c r="D1754" s="244"/>
      <c r="E1754" s="228"/>
      <c r="F1754" s="585"/>
      <c r="G1754" s="592"/>
      <c r="H1754" s="592"/>
      <c r="I1754" s="520"/>
      <c r="J1754" s="421"/>
      <c r="K1754" s="520"/>
    </row>
    <row r="1755" spans="1:11" s="1678" customFormat="1">
      <c r="A1755" s="1170"/>
      <c r="B1755" s="2013" t="s">
        <v>13873</v>
      </c>
      <c r="C1755" s="248">
        <v>12230</v>
      </c>
      <c r="D1755" s="400">
        <f>C1755*(1-VLOOKUP(I1755,descuentos,6,FALSE))*fcl/IF(dol_sol="dólar", TC,1)</f>
        <v>2970.9749404477607</v>
      </c>
      <c r="E1755" s="1668">
        <v>400</v>
      </c>
      <c r="F1755" s="591">
        <f>ROUNDUP(D1755+E1755,2)</f>
        <v>3370.98</v>
      </c>
      <c r="G1755" s="342" t="s">
        <v>13874</v>
      </c>
      <c r="H1755" s="2013" t="s">
        <v>13875</v>
      </c>
      <c r="I1755" s="620" t="s">
        <v>11649</v>
      </c>
      <c r="J1755" s="1170" t="s">
        <v>753</v>
      </c>
      <c r="K1755" s="620" t="s">
        <v>741</v>
      </c>
    </row>
    <row r="1756" spans="1:11" s="1678" customFormat="1">
      <c r="A1756" s="1170"/>
      <c r="B1756" s="2013" t="s">
        <v>13876</v>
      </c>
      <c r="C1756" s="248">
        <v>16028</v>
      </c>
      <c r="D1756" s="400">
        <f>C1756*(1-VLOOKUP(I1756,descuentos,6,FALSE))*fcl/IF(dol_sol="dólar", TC,1)</f>
        <v>3893.6047706865666</v>
      </c>
      <c r="E1756" s="1668">
        <v>400</v>
      </c>
      <c r="F1756" s="591">
        <f>ROUNDUP(D1756+E1756,2)</f>
        <v>4293.6100000000006</v>
      </c>
      <c r="G1756" s="342" t="s">
        <v>13877</v>
      </c>
      <c r="H1756" s="2013" t="s">
        <v>13878</v>
      </c>
      <c r="I1756" s="620" t="s">
        <v>11649</v>
      </c>
      <c r="J1756" s="1170" t="s">
        <v>753</v>
      </c>
      <c r="K1756" s="620" t="s">
        <v>741</v>
      </c>
    </row>
    <row r="1757" spans="1:11" s="196" customFormat="1">
      <c r="A1757" s="421"/>
      <c r="B1757" s="592"/>
      <c r="C1757" s="209" t="s">
        <v>2058</v>
      </c>
      <c r="D1757" s="244"/>
      <c r="E1757" s="228"/>
      <c r="F1757" s="585"/>
      <c r="G1757" s="592"/>
      <c r="H1757" s="592"/>
      <c r="I1757" s="520"/>
      <c r="J1757" s="421"/>
      <c r="K1757" s="520"/>
    </row>
    <row r="1758" spans="1:11" s="196" customFormat="1">
      <c r="A1758" s="1732"/>
      <c r="B1758" s="592" t="s">
        <v>7110</v>
      </c>
      <c r="C1758" s="798">
        <v>9044</v>
      </c>
      <c r="D1758" s="244">
        <f>C1758*(1-VLOOKUP(I1758,descuentos,6,FALSE))*fcl/IF(dol_sol="dólar", TC,1)</f>
        <v>2197.0153198208955</v>
      </c>
      <c r="E1758" s="472">
        <v>400</v>
      </c>
      <c r="F1758" s="585">
        <f>ROUNDUP(D1758+E1758,2)</f>
        <v>2597.0200000000004</v>
      </c>
      <c r="G1758" s="338" t="s">
        <v>7111</v>
      </c>
      <c r="H1758" s="592" t="s">
        <v>7112</v>
      </c>
      <c r="I1758" s="520" t="s">
        <v>11649</v>
      </c>
      <c r="J1758" s="421" t="s">
        <v>753</v>
      </c>
      <c r="K1758" s="520" t="s">
        <v>741</v>
      </c>
    </row>
    <row r="1759" spans="1:11" s="196" customFormat="1">
      <c r="A1759" s="1732"/>
      <c r="B1759" s="592" t="s">
        <v>7113</v>
      </c>
      <c r="C1759" s="209">
        <v>12082</v>
      </c>
      <c r="D1759" s="244">
        <f>C1759*(1-VLOOKUP(I1759,descuentos,6,FALSE))*fcl/IF(dol_sol="dólar", TC,1)</f>
        <v>2935.0220139402977</v>
      </c>
      <c r="E1759" s="472">
        <v>400</v>
      </c>
      <c r="F1759" s="585">
        <f>ROUNDUP(D1759+E1759,2)</f>
        <v>3335.03</v>
      </c>
      <c r="G1759" s="338" t="s">
        <v>7114</v>
      </c>
      <c r="H1759" s="592" t="s">
        <v>7115</v>
      </c>
      <c r="I1759" s="520" t="s">
        <v>11649</v>
      </c>
      <c r="J1759" s="421" t="s">
        <v>753</v>
      </c>
      <c r="K1759" s="520" t="s">
        <v>741</v>
      </c>
    </row>
    <row r="1760" spans="1:11" s="194" customFormat="1">
      <c r="A1760" s="421"/>
      <c r="B1760" s="592"/>
      <c r="C1760" s="209" t="s">
        <v>2058</v>
      </c>
      <c r="D1760" s="244"/>
      <c r="E1760" s="228"/>
      <c r="F1760" s="585"/>
      <c r="G1760" s="338"/>
      <c r="H1760" s="592"/>
      <c r="I1760" s="520"/>
      <c r="J1760" s="421"/>
      <c r="K1760" s="520"/>
    </row>
    <row r="1761" spans="1:11" s="196" customFormat="1">
      <c r="A1761" s="1732"/>
      <c r="B1761" s="592" t="s">
        <v>7116</v>
      </c>
      <c r="C1761" s="798">
        <v>11305</v>
      </c>
      <c r="D1761" s="244">
        <f>C1761*(1-VLOOKUP(I1761,descuentos,6,FALSE))*fcl/IF(dol_sol="dólar", TC,1)</f>
        <v>2746.2691497761189</v>
      </c>
      <c r="E1761" s="472">
        <v>400</v>
      </c>
      <c r="F1761" s="585">
        <f>ROUNDUP(D1761+E1761,2)</f>
        <v>3146.2700000000004</v>
      </c>
      <c r="G1761" s="338" t="s">
        <v>7117</v>
      </c>
      <c r="H1761" s="592" t="s">
        <v>7118</v>
      </c>
      <c r="I1761" s="520" t="s">
        <v>11649</v>
      </c>
      <c r="J1761" s="421" t="s">
        <v>753</v>
      </c>
      <c r="K1761" s="520" t="s">
        <v>741</v>
      </c>
    </row>
    <row r="1762" spans="1:11" s="196" customFormat="1">
      <c r="A1762" s="1732"/>
      <c r="B1762" s="592" t="s">
        <v>7119</v>
      </c>
      <c r="C1762" s="209">
        <v>15103</v>
      </c>
      <c r="D1762" s="244">
        <f>C1762*(1-VLOOKUP(I1762,descuentos,6,FALSE))*fcl/IF(dol_sol="dólar", TC,1)</f>
        <v>3668.8989800149252</v>
      </c>
      <c r="E1762" s="472">
        <v>400</v>
      </c>
      <c r="F1762" s="585">
        <f>ROUNDUP(D1762+E1762,2)</f>
        <v>4068.9</v>
      </c>
      <c r="G1762" s="338" t="s">
        <v>7120</v>
      </c>
      <c r="H1762" s="592" t="s">
        <v>7121</v>
      </c>
      <c r="I1762" s="520" t="s">
        <v>11649</v>
      </c>
      <c r="J1762" s="421" t="s">
        <v>753</v>
      </c>
      <c r="K1762" s="520" t="s">
        <v>741</v>
      </c>
    </row>
    <row r="1763" spans="1:11" s="196" customFormat="1">
      <c r="A1763" s="421"/>
      <c r="B1763" s="592"/>
      <c r="C1763" s="209" t="s">
        <v>2058</v>
      </c>
      <c r="D1763" s="244"/>
      <c r="E1763" s="228"/>
      <c r="F1763" s="585"/>
      <c r="G1763" s="338"/>
      <c r="H1763" s="592"/>
      <c r="I1763" s="520"/>
      <c r="J1763" s="421"/>
      <c r="K1763" s="520"/>
    </row>
    <row r="1764" spans="1:11" s="196" customFormat="1">
      <c r="A1764" s="1732"/>
      <c r="B1764" s="592" t="s">
        <v>7122</v>
      </c>
      <c r="C1764" s="209">
        <v>14350</v>
      </c>
      <c r="D1764" s="244">
        <f>C1764*(1-VLOOKUP(I1764,descuentos,6,FALSE))*fcl/IF(dol_sol="dólar", TC,1)</f>
        <v>3485.9763201492533</v>
      </c>
      <c r="E1764" s="472">
        <v>400</v>
      </c>
      <c r="F1764" s="585">
        <f>ROUNDUP(D1764+E1764,2)</f>
        <v>3885.98</v>
      </c>
      <c r="G1764" s="338" t="s">
        <v>11219</v>
      </c>
      <c r="H1764" s="592" t="s">
        <v>7123</v>
      </c>
      <c r="I1764" s="520" t="s">
        <v>11649</v>
      </c>
      <c r="J1764" s="421" t="s">
        <v>753</v>
      </c>
      <c r="K1764" s="520" t="s">
        <v>741</v>
      </c>
    </row>
    <row r="1765" spans="1:11" s="196" customFormat="1">
      <c r="A1765" s="421"/>
      <c r="B1765" s="592"/>
      <c r="C1765" s="209" t="s">
        <v>2058</v>
      </c>
      <c r="D1765" s="244"/>
      <c r="E1765" s="228"/>
      <c r="F1765" s="585"/>
      <c r="G1765" s="592"/>
      <c r="H1765" s="592"/>
      <c r="I1765" s="520"/>
      <c r="J1765" s="421"/>
      <c r="K1765" s="520"/>
    </row>
    <row r="1766" spans="1:11" s="196" customFormat="1">
      <c r="A1766" s="421"/>
      <c r="B1766" s="592"/>
      <c r="C1766" s="209" t="s">
        <v>2058</v>
      </c>
      <c r="D1766" s="244"/>
      <c r="E1766" s="228"/>
      <c r="F1766" s="585"/>
      <c r="G1766" s="338"/>
      <c r="H1766" s="592"/>
      <c r="I1766" s="520"/>
      <c r="J1766" s="421"/>
      <c r="K1766" s="520"/>
    </row>
    <row r="1767" spans="1:11" s="196" customFormat="1">
      <c r="A1767" s="421"/>
      <c r="B1767" s="631"/>
      <c r="C1767" s="209" t="s">
        <v>2058</v>
      </c>
      <c r="D1767" s="244"/>
      <c r="E1767" s="228"/>
      <c r="F1767" s="585"/>
      <c r="G1767" s="338"/>
      <c r="H1767" s="592"/>
      <c r="I1767" s="520"/>
      <c r="J1767" s="421"/>
      <c r="K1767" s="520"/>
    </row>
    <row r="1768" spans="1:11" s="196" customFormat="1">
      <c r="A1768" s="421"/>
      <c r="B1768" s="627" t="s">
        <v>1586</v>
      </c>
      <c r="C1768" s="209">
        <v>8443</v>
      </c>
      <c r="D1768" s="244">
        <f>C1768*(1-VLOOKUP(I1768,descuentos,6,FALSE))*fcl/IF(dol_sol="dólar", TC,1)</f>
        <v>2051.0172871791042</v>
      </c>
      <c r="E1768" s="472">
        <v>400</v>
      </c>
      <c r="F1768" s="585">
        <f t="shared" ref="F1768:F1790" si="241">ROUNDUP(D1768+E1768,2)</f>
        <v>2451.0200000000004</v>
      </c>
      <c r="G1768" s="338" t="s">
        <v>1587</v>
      </c>
      <c r="H1768" s="592" t="s">
        <v>1588</v>
      </c>
      <c r="I1768" s="520" t="s">
        <v>11649</v>
      </c>
      <c r="J1768" s="421" t="s">
        <v>753</v>
      </c>
      <c r="K1768" s="520" t="s">
        <v>741</v>
      </c>
    </row>
    <row r="1769" spans="1:11" s="196" customFormat="1">
      <c r="A1769" s="421"/>
      <c r="B1769" s="627" t="s">
        <v>1580</v>
      </c>
      <c r="C1769" s="209">
        <v>11459</v>
      </c>
      <c r="D1769" s="244">
        <f>C1769*(1-VLOOKUP(I1769,descuentos,6,FALSE))*fcl/IF(dol_sol="dólar", TC,1)</f>
        <v>2783.6796273582086</v>
      </c>
      <c r="E1769" s="472">
        <v>400</v>
      </c>
      <c r="F1769" s="585">
        <f t="shared" si="241"/>
        <v>3183.6800000000003</v>
      </c>
      <c r="G1769" s="338" t="s">
        <v>1581</v>
      </c>
      <c r="H1769" s="592" t="s">
        <v>1584</v>
      </c>
      <c r="I1769" s="520" t="s">
        <v>11649</v>
      </c>
      <c r="J1769" s="421" t="s">
        <v>753</v>
      </c>
      <c r="K1769" s="520" t="s">
        <v>741</v>
      </c>
    </row>
    <row r="1770" spans="1:11" s="196" customFormat="1">
      <c r="A1770" s="421"/>
      <c r="B1770" s="627" t="s">
        <v>1582</v>
      </c>
      <c r="C1770" s="209">
        <v>18060</v>
      </c>
      <c r="D1770" s="244">
        <f>C1770*(1-VLOOKUP(I1770,descuentos,6,FALSE))*fcl/IF(dol_sol="dólar", TC,1)</f>
        <v>4387.2287346268658</v>
      </c>
      <c r="E1770" s="472">
        <v>500</v>
      </c>
      <c r="F1770" s="585">
        <f t="shared" si="241"/>
        <v>4887.2300000000005</v>
      </c>
      <c r="G1770" s="338" t="s">
        <v>1583</v>
      </c>
      <c r="H1770" s="592" t="s">
        <v>1585</v>
      </c>
      <c r="I1770" s="520" t="s">
        <v>11649</v>
      </c>
      <c r="J1770" s="421" t="s">
        <v>753</v>
      </c>
      <c r="K1770" s="520" t="s">
        <v>741</v>
      </c>
    </row>
    <row r="1771" spans="1:11" s="196" customFormat="1">
      <c r="A1771" s="421"/>
      <c r="B1771" s="627" t="s">
        <v>9192</v>
      </c>
      <c r="C1771" s="209">
        <v>19515</v>
      </c>
      <c r="D1771" s="244">
        <f>C1771*(1-VLOOKUP(I1771,descuentos,6,FALSE))*fcl/IF(dol_sol="dólar", TC,1)</f>
        <v>4740.6848702238804</v>
      </c>
      <c r="E1771" s="472">
        <v>500</v>
      </c>
      <c r="F1771" s="585">
        <f t="shared" si="241"/>
        <v>5240.6900000000005</v>
      </c>
      <c r="G1771" s="338" t="s">
        <v>9193</v>
      </c>
      <c r="H1771" s="592" t="s">
        <v>9194</v>
      </c>
      <c r="I1771" s="520" t="s">
        <v>11649</v>
      </c>
      <c r="J1771" s="421" t="s">
        <v>753</v>
      </c>
      <c r="K1771" s="520" t="s">
        <v>741</v>
      </c>
    </row>
    <row r="1772" spans="1:11" s="196" customFormat="1">
      <c r="A1772" s="421"/>
      <c r="B1772" s="627"/>
      <c r="C1772" s="209" t="s">
        <v>2058</v>
      </c>
      <c r="D1772" s="244"/>
      <c r="E1772" s="472"/>
      <c r="F1772" s="585"/>
      <c r="G1772" s="338"/>
      <c r="H1772" s="592"/>
      <c r="I1772" s="520"/>
      <c r="J1772" s="421"/>
      <c r="K1772" s="520"/>
    </row>
    <row r="1773" spans="1:11" s="196" customFormat="1">
      <c r="A1773" s="1944"/>
      <c r="B1773" s="627" t="s">
        <v>9591</v>
      </c>
      <c r="C1773" s="209">
        <v>14463</v>
      </c>
      <c r="D1773" s="244">
        <f>C1773*(1-VLOOKUP(I1773,descuentos,6,FALSE))*fcl/IF(dol_sol="dólar", TC,1)</f>
        <v>3513.4268653880595</v>
      </c>
      <c r="E1773" s="472">
        <v>400</v>
      </c>
      <c r="F1773" s="585">
        <f t="shared" ref="F1773" si="242">ROUNDUP(D1773+E1773,2)</f>
        <v>3913.4300000000003</v>
      </c>
      <c r="G1773" s="338" t="s">
        <v>9592</v>
      </c>
      <c r="H1773" s="592" t="s">
        <v>9593</v>
      </c>
      <c r="I1773" s="520" t="s">
        <v>11649</v>
      </c>
      <c r="J1773" s="421" t="s">
        <v>753</v>
      </c>
      <c r="K1773" s="520" t="s">
        <v>741</v>
      </c>
    </row>
    <row r="1774" spans="1:11" s="196" customFormat="1">
      <c r="A1774" s="421"/>
      <c r="B1774" s="627"/>
      <c r="C1774" s="209" t="s">
        <v>2058</v>
      </c>
      <c r="D1774" s="244"/>
      <c r="E1774" s="228"/>
      <c r="F1774" s="585">
        <f t="shared" si="241"/>
        <v>0</v>
      </c>
      <c r="G1774" s="338"/>
      <c r="H1774" s="592"/>
      <c r="I1774" s="520"/>
      <c r="J1774" s="421"/>
      <c r="K1774" s="520"/>
    </row>
    <row r="1775" spans="1:11" s="196" customFormat="1">
      <c r="A1775" s="421"/>
      <c r="B1775" s="627" t="s">
        <v>930</v>
      </c>
      <c r="C1775" s="248">
        <v>8229</v>
      </c>
      <c r="D1775" s="244">
        <f t="shared" ref="D1775:D1779" si="243">C1775*(1-VLOOKUP(I1775,descuentos,6,FALSE))*fcl/IF(dol_sol="dólar", TC,1)</f>
        <v>1999.031298850746</v>
      </c>
      <c r="E1775" s="472">
        <v>400</v>
      </c>
      <c r="F1775" s="585">
        <f t="shared" si="241"/>
        <v>2399.0400000000004</v>
      </c>
      <c r="G1775" s="338" t="s">
        <v>1490</v>
      </c>
      <c r="H1775" s="2013" t="s">
        <v>932</v>
      </c>
      <c r="I1775" s="520" t="s">
        <v>11649</v>
      </c>
      <c r="J1775" s="421" t="s">
        <v>753</v>
      </c>
      <c r="K1775" s="520" t="s">
        <v>741</v>
      </c>
    </row>
    <row r="1776" spans="1:11" s="196" customFormat="1">
      <c r="A1776" s="421"/>
      <c r="B1776" s="627" t="s">
        <v>935</v>
      </c>
      <c r="C1776" s="436">
        <v>8808</v>
      </c>
      <c r="D1776" s="244">
        <f t="shared" si="243"/>
        <v>2139.6849775522387</v>
      </c>
      <c r="E1776" s="472">
        <v>400</v>
      </c>
      <c r="F1776" s="585">
        <f t="shared" si="241"/>
        <v>2539.69</v>
      </c>
      <c r="G1776" s="338" t="s">
        <v>1491</v>
      </c>
      <c r="H1776" s="2013" t="s">
        <v>934</v>
      </c>
      <c r="I1776" s="520" t="s">
        <v>11649</v>
      </c>
      <c r="J1776" s="421" t="s">
        <v>753</v>
      </c>
      <c r="K1776" s="520" t="s">
        <v>741</v>
      </c>
    </row>
    <row r="1777" spans="1:11" s="196" customFormat="1">
      <c r="A1777" s="421"/>
      <c r="B1777" s="627" t="s">
        <v>929</v>
      </c>
      <c r="C1777" s="209">
        <v>9455</v>
      </c>
      <c r="D1777" s="244">
        <f t="shared" si="243"/>
        <v>2296.8575684328357</v>
      </c>
      <c r="E1777" s="472">
        <v>400</v>
      </c>
      <c r="F1777" s="585">
        <f t="shared" si="241"/>
        <v>2696.86</v>
      </c>
      <c r="G1777" s="338" t="s">
        <v>1492</v>
      </c>
      <c r="H1777" s="592" t="s">
        <v>808</v>
      </c>
      <c r="I1777" s="520" t="s">
        <v>11649</v>
      </c>
      <c r="J1777" s="421" t="s">
        <v>753</v>
      </c>
      <c r="K1777" s="520" t="s">
        <v>741</v>
      </c>
    </row>
    <row r="1778" spans="1:11" s="196" customFormat="1">
      <c r="A1778" s="421"/>
      <c r="B1778" s="627" t="s">
        <v>931</v>
      </c>
      <c r="C1778" s="209">
        <v>10253</v>
      </c>
      <c r="D1778" s="244">
        <f t="shared" si="243"/>
        <v>2490.7118613582088</v>
      </c>
      <c r="E1778" s="472">
        <v>400</v>
      </c>
      <c r="F1778" s="585">
        <f t="shared" si="241"/>
        <v>2890.7200000000003</v>
      </c>
      <c r="G1778" s="338" t="s">
        <v>1493</v>
      </c>
      <c r="H1778" s="592" t="s">
        <v>933</v>
      </c>
      <c r="I1778" s="520" t="s">
        <v>11649</v>
      </c>
      <c r="J1778" s="421" t="s">
        <v>753</v>
      </c>
      <c r="K1778" s="520" t="s">
        <v>741</v>
      </c>
    </row>
    <row r="1779" spans="1:11" s="196" customFormat="1">
      <c r="A1779" s="421"/>
      <c r="B1779" s="627" t="s">
        <v>1589</v>
      </c>
      <c r="C1779" s="209">
        <v>12183</v>
      </c>
      <c r="D1779" s="244">
        <f t="shared" si="243"/>
        <v>2959.5574570298504</v>
      </c>
      <c r="E1779" s="472">
        <v>400</v>
      </c>
      <c r="F1779" s="585">
        <f t="shared" si="241"/>
        <v>3359.5600000000004</v>
      </c>
      <c r="G1779" s="338" t="s">
        <v>3395</v>
      </c>
      <c r="H1779" s="592" t="s">
        <v>1590</v>
      </c>
      <c r="I1779" s="520" t="s">
        <v>11649</v>
      </c>
      <c r="J1779" s="421" t="s">
        <v>753</v>
      </c>
      <c r="K1779" s="520" t="s">
        <v>741</v>
      </c>
    </row>
    <row r="1780" spans="1:11" s="196" customFormat="1">
      <c r="A1780" s="421"/>
      <c r="B1780" s="627"/>
      <c r="C1780" s="209" t="s">
        <v>2058</v>
      </c>
      <c r="D1780" s="244"/>
      <c r="E1780" s="228"/>
      <c r="F1780" s="585">
        <f t="shared" si="241"/>
        <v>0</v>
      </c>
      <c r="G1780" s="338"/>
      <c r="H1780" s="592"/>
      <c r="I1780" s="520"/>
      <c r="J1780" s="421"/>
      <c r="K1780" s="520"/>
    </row>
    <row r="1781" spans="1:11" s="196" customFormat="1">
      <c r="A1781" s="421"/>
      <c r="B1781" s="627" t="s">
        <v>13185</v>
      </c>
      <c r="C1781" s="209">
        <v>9917</v>
      </c>
      <c r="D1781" s="244">
        <f t="shared" ref="D1781:D1786" si="244">C1781*(1-VLOOKUP(I1781,descuentos,6,FALSE))*fcl/IF(dol_sol="dólar", TC,1)</f>
        <v>2409.0890011791043</v>
      </c>
      <c r="E1781" s="472">
        <v>400</v>
      </c>
      <c r="F1781" s="585">
        <f t="shared" si="241"/>
        <v>2809.09</v>
      </c>
      <c r="G1781" s="338" t="s">
        <v>13186</v>
      </c>
      <c r="H1781" s="592" t="s">
        <v>13187</v>
      </c>
      <c r="I1781" s="520" t="s">
        <v>11649</v>
      </c>
      <c r="J1781" s="421" t="s">
        <v>753</v>
      </c>
      <c r="K1781" s="520" t="s">
        <v>741</v>
      </c>
    </row>
    <row r="1782" spans="1:11" s="1678" customFormat="1">
      <c r="A1782" s="1170"/>
      <c r="B1782" s="1744" t="s">
        <v>13748</v>
      </c>
      <c r="C1782" s="248">
        <v>9465</v>
      </c>
      <c r="D1782" s="400">
        <f t="shared" si="244"/>
        <v>2299.2868202238801</v>
      </c>
      <c r="E1782" s="1668">
        <v>400</v>
      </c>
      <c r="F1782" s="591">
        <f t="shared" si="241"/>
        <v>2699.2900000000004</v>
      </c>
      <c r="G1782" s="342" t="s">
        <v>13749</v>
      </c>
      <c r="H1782" s="2013" t="s">
        <v>13750</v>
      </c>
      <c r="I1782" s="620" t="s">
        <v>11649</v>
      </c>
      <c r="J1782" s="1170" t="s">
        <v>753</v>
      </c>
      <c r="K1782" s="620" t="s">
        <v>741</v>
      </c>
    </row>
    <row r="1783" spans="1:11" s="196" customFormat="1">
      <c r="A1783" s="421"/>
      <c r="B1783" s="627" t="s">
        <v>3394</v>
      </c>
      <c r="C1783" s="209">
        <v>10455</v>
      </c>
      <c r="D1783" s="244">
        <f t="shared" si="244"/>
        <v>2539.7827475373133</v>
      </c>
      <c r="E1783" s="472">
        <v>400</v>
      </c>
      <c r="F1783" s="585">
        <f t="shared" si="241"/>
        <v>2939.7900000000004</v>
      </c>
      <c r="G1783" s="338" t="s">
        <v>3396</v>
      </c>
      <c r="H1783" s="592" t="s">
        <v>3397</v>
      </c>
      <c r="I1783" s="520" t="s">
        <v>11649</v>
      </c>
      <c r="J1783" s="421" t="s">
        <v>753</v>
      </c>
      <c r="K1783" s="520" t="s">
        <v>741</v>
      </c>
    </row>
    <row r="1784" spans="1:11" s="196" customFormat="1">
      <c r="A1784" s="421"/>
      <c r="B1784" s="627" t="s">
        <v>13348</v>
      </c>
      <c r="C1784" s="209">
        <v>13068</v>
      </c>
      <c r="D1784" s="244">
        <f t="shared" si="244"/>
        <v>3174.5462405373132</v>
      </c>
      <c r="E1784" s="472">
        <v>400</v>
      </c>
      <c r="F1784" s="585">
        <f t="shared" si="241"/>
        <v>3574.55</v>
      </c>
      <c r="G1784" s="338" t="s">
        <v>13349</v>
      </c>
      <c r="H1784" s="592" t="s">
        <v>13350</v>
      </c>
      <c r="I1784" s="520" t="s">
        <v>11649</v>
      </c>
      <c r="J1784" s="421" t="s">
        <v>753</v>
      </c>
      <c r="K1784" s="520" t="s">
        <v>741</v>
      </c>
    </row>
    <row r="1785" spans="1:11" s="196" customFormat="1">
      <c r="A1785" s="421"/>
      <c r="B1785" s="627" t="s">
        <v>7124</v>
      </c>
      <c r="C1785" s="209">
        <v>12950</v>
      </c>
      <c r="D1785" s="244">
        <f t="shared" si="244"/>
        <v>3145.8810694029844</v>
      </c>
      <c r="E1785" s="472">
        <v>400</v>
      </c>
      <c r="F1785" s="585">
        <f t="shared" si="241"/>
        <v>3545.8900000000003</v>
      </c>
      <c r="G1785" s="338" t="s">
        <v>7125</v>
      </c>
      <c r="H1785" s="592" t="s">
        <v>7126</v>
      </c>
      <c r="I1785" s="520" t="s">
        <v>11649</v>
      </c>
      <c r="J1785" s="421" t="s">
        <v>753</v>
      </c>
      <c r="K1785" s="520" t="s">
        <v>741</v>
      </c>
    </row>
    <row r="1786" spans="1:11" s="196" customFormat="1">
      <c r="A1786" s="421"/>
      <c r="B1786" s="627" t="s">
        <v>12184</v>
      </c>
      <c r="C1786" s="209">
        <v>16185</v>
      </c>
      <c r="D1786" s="244">
        <f t="shared" si="244"/>
        <v>3931.7440238059698</v>
      </c>
      <c r="E1786" s="472">
        <v>400</v>
      </c>
      <c r="F1786" s="585">
        <f t="shared" si="241"/>
        <v>4331.75</v>
      </c>
      <c r="G1786" s="338" t="s">
        <v>12185</v>
      </c>
      <c r="H1786" s="592" t="s">
        <v>12186</v>
      </c>
      <c r="I1786" s="520" t="s">
        <v>11649</v>
      </c>
      <c r="J1786" s="421" t="s">
        <v>753</v>
      </c>
      <c r="K1786" s="520" t="s">
        <v>741</v>
      </c>
    </row>
    <row r="1787" spans="1:11" s="196" customFormat="1">
      <c r="A1787" s="421"/>
      <c r="B1787" s="627"/>
      <c r="C1787" s="209" t="s">
        <v>2058</v>
      </c>
      <c r="D1787" s="244"/>
      <c r="E1787" s="228"/>
      <c r="F1787" s="585">
        <f t="shared" si="241"/>
        <v>0</v>
      </c>
      <c r="G1787" s="338"/>
      <c r="H1787" s="592"/>
      <c r="I1787" s="520"/>
      <c r="J1787" s="421"/>
      <c r="K1787" s="520"/>
    </row>
    <row r="1788" spans="1:11" s="196" customFormat="1">
      <c r="A1788" s="421"/>
      <c r="B1788" s="627" t="s">
        <v>3398</v>
      </c>
      <c r="C1788" s="209">
        <v>17191</v>
      </c>
      <c r="D1788" s="244">
        <f>C1788*(1-VLOOKUP(I1788,descuentos,6,FALSE))*fcl/IF(dol_sol="dólar", TC,1)</f>
        <v>4176.1267539850742</v>
      </c>
      <c r="E1788" s="472">
        <v>500</v>
      </c>
      <c r="F1788" s="585">
        <f t="shared" si="241"/>
        <v>4676.13</v>
      </c>
      <c r="G1788" s="338" t="s">
        <v>3678</v>
      </c>
      <c r="H1788" s="592" t="s">
        <v>3399</v>
      </c>
      <c r="I1788" s="520" t="s">
        <v>11649</v>
      </c>
      <c r="J1788" s="421" t="s">
        <v>753</v>
      </c>
      <c r="K1788" s="520" t="s">
        <v>741</v>
      </c>
    </row>
    <row r="1789" spans="1:11" s="196" customFormat="1">
      <c r="A1789" s="421"/>
      <c r="B1789" s="627" t="s">
        <v>11741</v>
      </c>
      <c r="C1789" s="209">
        <v>24102</v>
      </c>
      <c r="D1789" s="244">
        <f>C1789*(1-VLOOKUP(I1789,descuentos,6,FALSE))*fcl/IF(dol_sol="dólar", TC,1)</f>
        <v>5854.982666776119</v>
      </c>
      <c r="E1789" s="472">
        <v>500</v>
      </c>
      <c r="F1789" s="585">
        <f t="shared" si="241"/>
        <v>6354.99</v>
      </c>
      <c r="G1789" s="338" t="s">
        <v>11742</v>
      </c>
      <c r="H1789" s="592" t="s">
        <v>11743</v>
      </c>
      <c r="I1789" s="520" t="s">
        <v>11649</v>
      </c>
      <c r="J1789" s="421" t="s">
        <v>753</v>
      </c>
      <c r="K1789" s="520" t="s">
        <v>741</v>
      </c>
    </row>
    <row r="1790" spans="1:11" s="196" customFormat="1">
      <c r="A1790" s="421"/>
      <c r="B1790" s="627" t="s">
        <v>3679</v>
      </c>
      <c r="C1790" s="209">
        <v>27611</v>
      </c>
      <c r="D1790" s="244">
        <f>C1790*(1-VLOOKUP(I1790,descuentos,6,FALSE))*fcl/IF(dol_sol="dólar", TC,1)</f>
        <v>6707.4071202537307</v>
      </c>
      <c r="E1790" s="472">
        <v>600</v>
      </c>
      <c r="F1790" s="585">
        <f t="shared" si="241"/>
        <v>7307.41</v>
      </c>
      <c r="G1790" s="338" t="s">
        <v>3680</v>
      </c>
      <c r="H1790" s="592" t="s">
        <v>3677</v>
      </c>
      <c r="I1790" s="520" t="s">
        <v>11649</v>
      </c>
      <c r="J1790" s="421" t="s">
        <v>753</v>
      </c>
      <c r="K1790" s="520" t="s">
        <v>741</v>
      </c>
    </row>
    <row r="1791" spans="1:11" s="196" customFormat="1">
      <c r="A1791" s="421"/>
      <c r="B1791" s="629"/>
      <c r="C1791" s="209" t="s">
        <v>2058</v>
      </c>
      <c r="D1791" s="244"/>
      <c r="E1791" s="228"/>
      <c r="F1791" s="585"/>
      <c r="G1791" s="338"/>
      <c r="H1791" s="592"/>
      <c r="I1791" s="520"/>
      <c r="J1791" s="421"/>
      <c r="K1791" s="520"/>
    </row>
    <row r="1792" spans="1:11" s="196" customFormat="1">
      <c r="A1792" s="421"/>
      <c r="B1792" s="592"/>
      <c r="C1792" s="209" t="s">
        <v>2058</v>
      </c>
      <c r="D1792" s="244"/>
      <c r="E1792" s="228"/>
      <c r="F1792" s="585"/>
      <c r="G1792" s="338"/>
      <c r="H1792" s="592"/>
      <c r="I1792" s="520"/>
      <c r="J1792" s="421"/>
      <c r="K1792" s="520"/>
    </row>
    <row r="1793" spans="1:11" s="196" customFormat="1">
      <c r="A1793" s="421"/>
      <c r="B1793" s="592"/>
      <c r="C1793" s="209" t="s">
        <v>2058</v>
      </c>
      <c r="D1793" s="244"/>
      <c r="E1793" s="228"/>
      <c r="F1793" s="585"/>
      <c r="G1793" s="338"/>
      <c r="H1793" s="592"/>
      <c r="I1793" s="520"/>
      <c r="J1793" s="421"/>
      <c r="K1793" s="520"/>
    </row>
    <row r="1794" spans="1:11" s="196" customFormat="1">
      <c r="A1794" s="1833"/>
      <c r="B1794" s="592" t="s">
        <v>9594</v>
      </c>
      <c r="C1794" s="209">
        <v>17854</v>
      </c>
      <c r="D1794" s="244">
        <f>C1794*(1-VLOOKUP(I1794,descuentos,6,FALSE))*fcl/IF(dol_sol="dólar", TC,1)</f>
        <v>4337.1861477313432</v>
      </c>
      <c r="E1794" s="472">
        <v>500</v>
      </c>
      <c r="F1794" s="585">
        <f>ROUNDUP(D1794+E1794,2)</f>
        <v>4837.1900000000005</v>
      </c>
      <c r="G1794" s="338" t="s">
        <v>9595</v>
      </c>
      <c r="H1794" s="592" t="s">
        <v>9596</v>
      </c>
      <c r="I1794" s="520" t="s">
        <v>11649</v>
      </c>
      <c r="J1794" s="421" t="s">
        <v>753</v>
      </c>
      <c r="K1794" s="520" t="s">
        <v>741</v>
      </c>
    </row>
    <row r="1795" spans="1:11" s="196" customFormat="1">
      <c r="A1795" s="421"/>
      <c r="B1795" s="592"/>
      <c r="C1795" s="209" t="s">
        <v>2058</v>
      </c>
      <c r="D1795" s="244"/>
      <c r="E1795" s="228"/>
      <c r="F1795" s="585"/>
      <c r="G1795" s="338"/>
      <c r="H1795" s="592"/>
      <c r="I1795" s="520"/>
      <c r="J1795" s="421"/>
      <c r="K1795" s="520"/>
    </row>
    <row r="1796" spans="1:11" s="196" customFormat="1">
      <c r="A1796" s="1833"/>
      <c r="B1796" s="592" t="s">
        <v>9195</v>
      </c>
      <c r="C1796" s="209">
        <v>20770</v>
      </c>
      <c r="D1796" s="244">
        <f>C1796*(1-VLOOKUP(I1796,descuentos,6,FALSE))*fcl/IF(dol_sol="dólar", TC,1)</f>
        <v>5045.5559699999994</v>
      </c>
      <c r="E1796" s="472">
        <v>500</v>
      </c>
      <c r="F1796" s="585">
        <f>ROUNDUP(D1796+E1796,2)</f>
        <v>5545.56</v>
      </c>
      <c r="G1796" s="338" t="s">
        <v>9196</v>
      </c>
      <c r="H1796" s="592" t="s">
        <v>9197</v>
      </c>
      <c r="I1796" s="520" t="s">
        <v>11649</v>
      </c>
      <c r="J1796" s="421" t="s">
        <v>753</v>
      </c>
      <c r="K1796" s="520" t="s">
        <v>741</v>
      </c>
    </row>
    <row r="1797" spans="1:11" s="196" customFormat="1">
      <c r="A1797" s="421"/>
      <c r="B1797" s="592"/>
      <c r="C1797" s="209" t="s">
        <v>2058</v>
      </c>
      <c r="D1797" s="244"/>
      <c r="E1797" s="228"/>
      <c r="F1797" s="585"/>
      <c r="G1797" s="338"/>
      <c r="H1797" s="592"/>
      <c r="I1797" s="520"/>
      <c r="J1797" s="421"/>
      <c r="K1797" s="520"/>
    </row>
    <row r="1798" spans="1:11" s="194" customFormat="1">
      <c r="A1798" s="421"/>
      <c r="B1798" s="592" t="s">
        <v>13384</v>
      </c>
      <c r="C1798" s="209">
        <v>11232</v>
      </c>
      <c r="D1798" s="244">
        <f t="shared" ref="D1798:D1806" si="245">C1798*(1-VLOOKUP(I1798,descuentos,6,FALSE))*fcl/IF(dol_sol="dólar", TC,1)</f>
        <v>2728.5356117014921</v>
      </c>
      <c r="E1798" s="228">
        <v>400</v>
      </c>
      <c r="F1798" s="585">
        <f t="shared" ref="F1798" si="246">ROUNDUP(D1798+E1798,2)</f>
        <v>3128.5400000000004</v>
      </c>
      <c r="G1798" s="338" t="s">
        <v>13385</v>
      </c>
      <c r="H1798" s="592" t="s">
        <v>13386</v>
      </c>
      <c r="I1798" s="520" t="s">
        <v>11649</v>
      </c>
      <c r="J1798" s="421" t="s">
        <v>753</v>
      </c>
      <c r="K1798" s="520" t="s">
        <v>741</v>
      </c>
    </row>
    <row r="1799" spans="1:11" s="194" customFormat="1">
      <c r="A1799" s="421"/>
      <c r="B1799" s="592" t="s">
        <v>13387</v>
      </c>
      <c r="C1799" s="209">
        <v>12148</v>
      </c>
      <c r="D1799" s="244">
        <f t="shared" si="245"/>
        <v>2951.0550757611936</v>
      </c>
      <c r="E1799" s="228">
        <v>400</v>
      </c>
      <c r="F1799" s="585">
        <f>ROUNDUP(D1799+E1799,2)</f>
        <v>3351.0600000000004</v>
      </c>
      <c r="G1799" s="338" t="s">
        <v>13388</v>
      </c>
      <c r="H1799" s="592" t="s">
        <v>13389</v>
      </c>
      <c r="I1799" s="520" t="s">
        <v>11649</v>
      </c>
      <c r="J1799" s="421" t="s">
        <v>753</v>
      </c>
      <c r="K1799" s="520" t="s">
        <v>741</v>
      </c>
    </row>
    <row r="1800" spans="1:11" s="194" customFormat="1">
      <c r="A1800" s="421"/>
      <c r="B1800" s="592" t="s">
        <v>1310</v>
      </c>
      <c r="C1800" s="209">
        <v>11847</v>
      </c>
      <c r="D1800" s="244">
        <f t="shared" si="245"/>
        <v>2877.9345968507459</v>
      </c>
      <c r="E1800" s="228">
        <v>400</v>
      </c>
      <c r="F1800" s="585">
        <f t="shared" ref="F1800:F1834" si="247">ROUNDUP(D1800+E1800,2)</f>
        <v>3277.94</v>
      </c>
      <c r="G1800" s="338" t="s">
        <v>1494</v>
      </c>
      <c r="H1800" s="592" t="s">
        <v>1311</v>
      </c>
      <c r="I1800" s="520" t="s">
        <v>11649</v>
      </c>
      <c r="J1800" s="421" t="s">
        <v>753</v>
      </c>
      <c r="K1800" s="520" t="s">
        <v>741</v>
      </c>
    </row>
    <row r="1801" spans="1:11" s="194" customFormat="1">
      <c r="A1801" s="421"/>
      <c r="B1801" s="592" t="s">
        <v>13390</v>
      </c>
      <c r="C1801" s="209">
        <v>12762</v>
      </c>
      <c r="D1801" s="244">
        <f t="shared" si="245"/>
        <v>3100.2111357313429</v>
      </c>
      <c r="E1801" s="228">
        <v>400</v>
      </c>
      <c r="F1801" s="585">
        <f t="shared" si="247"/>
        <v>3500.2200000000003</v>
      </c>
      <c r="G1801" s="338" t="s">
        <v>13391</v>
      </c>
      <c r="H1801" s="592" t="s">
        <v>13392</v>
      </c>
      <c r="I1801" s="520" t="s">
        <v>11649</v>
      </c>
      <c r="J1801" s="421" t="s">
        <v>753</v>
      </c>
      <c r="K1801" s="520" t="s">
        <v>741</v>
      </c>
    </row>
    <row r="1802" spans="1:11" s="196" customFormat="1">
      <c r="A1802" s="421"/>
      <c r="B1802" s="592" t="s">
        <v>809</v>
      </c>
      <c r="C1802" s="209">
        <v>12493</v>
      </c>
      <c r="D1802" s="244">
        <f t="shared" si="245"/>
        <v>3034.8642625522384</v>
      </c>
      <c r="E1802" s="472">
        <v>400</v>
      </c>
      <c r="F1802" s="585">
        <f t="shared" si="247"/>
        <v>3434.8700000000003</v>
      </c>
      <c r="G1802" s="338" t="s">
        <v>1496</v>
      </c>
      <c r="H1802" s="592" t="s">
        <v>970</v>
      </c>
      <c r="I1802" s="520" t="s">
        <v>11649</v>
      </c>
      <c r="J1802" s="421" t="s">
        <v>753</v>
      </c>
      <c r="K1802" s="520" t="s">
        <v>741</v>
      </c>
    </row>
    <row r="1803" spans="1:11" s="196" customFormat="1">
      <c r="A1803" s="421"/>
      <c r="B1803" s="592" t="s">
        <v>11244</v>
      </c>
      <c r="C1803" s="209">
        <v>13291</v>
      </c>
      <c r="D1803" s="244">
        <f t="shared" si="245"/>
        <v>3228.7185554776115</v>
      </c>
      <c r="E1803" s="472">
        <v>400</v>
      </c>
      <c r="F1803" s="585">
        <f t="shared" si="247"/>
        <v>3628.7200000000003</v>
      </c>
      <c r="G1803" s="338" t="s">
        <v>11245</v>
      </c>
      <c r="H1803" s="592" t="s">
        <v>11246</v>
      </c>
      <c r="I1803" s="520" t="s">
        <v>11649</v>
      </c>
      <c r="J1803" s="421" t="s">
        <v>753</v>
      </c>
      <c r="K1803" s="520" t="s">
        <v>741</v>
      </c>
    </row>
    <row r="1804" spans="1:11" s="196" customFormat="1">
      <c r="A1804" s="421"/>
      <c r="B1804" s="592" t="s">
        <v>13584</v>
      </c>
      <c r="C1804" s="209">
        <v>15284</v>
      </c>
      <c r="D1804" s="244">
        <f t="shared" ref="D1804:D1805" si="248">C1804*(1-VLOOKUP(I1804,descuentos,6,FALSE))*fcl/IF(dol_sol="dólar", TC,1)</f>
        <v>3712.8684374328354</v>
      </c>
      <c r="E1804" s="472">
        <v>400</v>
      </c>
      <c r="F1804" s="585">
        <f t="shared" si="247"/>
        <v>4112.87</v>
      </c>
      <c r="G1804" s="338" t="s">
        <v>13585</v>
      </c>
      <c r="H1804" s="592" t="s">
        <v>13586</v>
      </c>
      <c r="I1804" s="520" t="s">
        <v>11649</v>
      </c>
      <c r="J1804" s="421" t="s">
        <v>753</v>
      </c>
      <c r="K1804" s="520" t="s">
        <v>741</v>
      </c>
    </row>
    <row r="1805" spans="1:11" s="196" customFormat="1">
      <c r="A1805" s="2375"/>
      <c r="B1805" s="592" t="s">
        <v>13970</v>
      </c>
      <c r="C1805" s="209">
        <v>14206</v>
      </c>
      <c r="D1805" s="244">
        <f t="shared" si="248"/>
        <v>3450.9950943582085</v>
      </c>
      <c r="E1805" s="472">
        <v>400</v>
      </c>
      <c r="F1805" s="585">
        <f t="shared" si="247"/>
        <v>3851</v>
      </c>
      <c r="G1805" s="338" t="s">
        <v>13971</v>
      </c>
      <c r="H1805" s="592" t="s">
        <v>13972</v>
      </c>
      <c r="I1805" s="520" t="s">
        <v>11649</v>
      </c>
      <c r="J1805" s="421" t="s">
        <v>753</v>
      </c>
      <c r="K1805" s="520" t="s">
        <v>741</v>
      </c>
    </row>
    <row r="1806" spans="1:11" s="196" customFormat="1">
      <c r="A1806" s="421"/>
      <c r="B1806" s="592" t="s">
        <v>11247</v>
      </c>
      <c r="C1806" s="209">
        <v>15186</v>
      </c>
      <c r="D1806" s="244">
        <f t="shared" si="245"/>
        <v>3689.0617698805963</v>
      </c>
      <c r="E1806" s="472">
        <v>400</v>
      </c>
      <c r="F1806" s="585">
        <f t="shared" si="247"/>
        <v>4089.07</v>
      </c>
      <c r="G1806" s="338" t="s">
        <v>11248</v>
      </c>
      <c r="H1806" s="592" t="s">
        <v>11249</v>
      </c>
      <c r="I1806" s="520" t="s">
        <v>11649</v>
      </c>
      <c r="J1806" s="421" t="s">
        <v>753</v>
      </c>
      <c r="K1806" s="520" t="s">
        <v>741</v>
      </c>
    </row>
    <row r="1807" spans="1:11" s="194" customFormat="1">
      <c r="A1807" s="421"/>
      <c r="B1807" s="592"/>
      <c r="C1807" s="209" t="s">
        <v>2058</v>
      </c>
      <c r="D1807" s="244"/>
      <c r="E1807" s="228"/>
      <c r="F1807" s="585"/>
      <c r="G1807" s="338"/>
      <c r="H1807" s="592"/>
      <c r="I1807" s="520"/>
      <c r="J1807" s="421"/>
      <c r="K1807" s="520"/>
    </row>
    <row r="1808" spans="1:11" s="196" customFormat="1">
      <c r="A1808" s="425"/>
      <c r="B1808" s="580" t="s">
        <v>13379</v>
      </c>
      <c r="C1808" s="389">
        <v>14039</v>
      </c>
      <c r="D1808" s="388">
        <f>C1808*(1-VLOOKUP(I1808,descuentos,6,FALSE))*fcl/IF(dol_sol="dólar", TC,1)</f>
        <v>3410.4265894477608</v>
      </c>
      <c r="E1808" s="633">
        <v>500</v>
      </c>
      <c r="F1808" s="582">
        <f>ROUNDUP(D1808+E1808,2)</f>
        <v>3910.4300000000003</v>
      </c>
      <c r="G1808" s="394" t="s">
        <v>13380</v>
      </c>
      <c r="H1808" s="580" t="s">
        <v>13381</v>
      </c>
      <c r="I1808" s="622" t="s">
        <v>11649</v>
      </c>
      <c r="J1808" s="425" t="s">
        <v>753</v>
      </c>
      <c r="K1808" s="622" t="s">
        <v>741</v>
      </c>
    </row>
    <row r="1809" spans="1:11" s="194" customFormat="1">
      <c r="A1809" s="421"/>
      <c r="B1809" s="592" t="s">
        <v>12722</v>
      </c>
      <c r="C1809" s="209">
        <v>15184</v>
      </c>
      <c r="D1809" s="244">
        <f>C1809*(1-VLOOKUP(I1809,descuentos,6,FALSE))*fcl/IF(dol_sol="dólar", TC,1)</f>
        <v>3688.5759195223877</v>
      </c>
      <c r="E1809" s="228">
        <v>400</v>
      </c>
      <c r="F1809" s="585">
        <f>ROUNDUP(D1809+E1809,2)</f>
        <v>4088.5800000000004</v>
      </c>
      <c r="G1809" s="338" t="s">
        <v>13393</v>
      </c>
      <c r="H1809" s="592" t="s">
        <v>12723</v>
      </c>
      <c r="I1809" s="520" t="s">
        <v>11649</v>
      </c>
      <c r="J1809" s="421" t="s">
        <v>753</v>
      </c>
      <c r="K1809" s="520" t="s">
        <v>741</v>
      </c>
    </row>
    <row r="1810" spans="1:11" s="194" customFormat="1">
      <c r="A1810" s="421"/>
      <c r="B1810" s="592" t="s">
        <v>1313</v>
      </c>
      <c r="C1810" s="209">
        <v>14807</v>
      </c>
      <c r="D1810" s="244">
        <f>C1810*(1-VLOOKUP(I1810,descuentos,6,FALSE))*fcl/IF(dol_sol="dólar", TC,1)</f>
        <v>3596.9931269999997</v>
      </c>
      <c r="E1810" s="228">
        <v>500</v>
      </c>
      <c r="F1810" s="585">
        <f>ROUNDUP(D1810+E1810,2)</f>
        <v>4097</v>
      </c>
      <c r="G1810" s="338" t="s">
        <v>1495</v>
      </c>
      <c r="H1810" s="592" t="s">
        <v>1312</v>
      </c>
      <c r="I1810" s="520" t="s">
        <v>11649</v>
      </c>
      <c r="J1810" s="421" t="s">
        <v>753</v>
      </c>
      <c r="K1810" s="520" t="s">
        <v>741</v>
      </c>
    </row>
    <row r="1811" spans="1:11" s="194" customFormat="1">
      <c r="A1811" s="421"/>
      <c r="B1811" s="592" t="s">
        <v>13394</v>
      </c>
      <c r="C1811" s="209">
        <v>15952</v>
      </c>
      <c r="D1811" s="244">
        <f t="shared" ref="D1811" si="249">C1811*(1-VLOOKUP(I1811,descuentos,6,FALSE))*fcl/IF(dol_sol="dólar", TC,1)</f>
        <v>3875.1424570746262</v>
      </c>
      <c r="E1811" s="228">
        <v>400</v>
      </c>
      <c r="F1811" s="585">
        <f>ROUNDUP(D1811+E1811,2)</f>
        <v>4275.1500000000005</v>
      </c>
      <c r="G1811" s="338" t="s">
        <v>13395</v>
      </c>
      <c r="H1811" s="592" t="s">
        <v>13396</v>
      </c>
      <c r="I1811" s="520" t="s">
        <v>11649</v>
      </c>
      <c r="J1811" s="421" t="s">
        <v>753</v>
      </c>
      <c r="K1811" s="520" t="s">
        <v>741</v>
      </c>
    </row>
    <row r="1812" spans="1:11" s="194" customFormat="1">
      <c r="A1812" s="421"/>
      <c r="B1812" s="592" t="s">
        <v>1283</v>
      </c>
      <c r="C1812" s="209">
        <v>15616</v>
      </c>
      <c r="D1812" s="244">
        <f>C1812*(1-VLOOKUP(I1812,descuentos,6,FALSE))*fcl/IF(dol_sol="dólar", TC,1)</f>
        <v>3793.5195968955218</v>
      </c>
      <c r="E1812" s="228">
        <v>500</v>
      </c>
      <c r="F1812" s="585">
        <f t="shared" si="247"/>
        <v>4293.5200000000004</v>
      </c>
      <c r="G1812" s="338" t="s">
        <v>1497</v>
      </c>
      <c r="H1812" s="592" t="s">
        <v>1284</v>
      </c>
      <c r="I1812" s="520" t="s">
        <v>11649</v>
      </c>
      <c r="J1812" s="421" t="s">
        <v>753</v>
      </c>
      <c r="K1812" s="520" t="s">
        <v>741</v>
      </c>
    </row>
    <row r="1813" spans="1:11" s="194" customFormat="1">
      <c r="A1813" s="421"/>
      <c r="B1813" s="592" t="s">
        <v>13397</v>
      </c>
      <c r="C1813" s="209">
        <v>16761</v>
      </c>
      <c r="D1813" s="244">
        <f t="shared" ref="D1813" si="250">C1813*(1-VLOOKUP(I1813,descuentos,6,FALSE))*fcl/IF(dol_sol="dólar", TC,1)</f>
        <v>4071.6689269701492</v>
      </c>
      <c r="E1813" s="228">
        <v>400</v>
      </c>
      <c r="F1813" s="585">
        <f>ROUNDUP(D1813+E1813,2)</f>
        <v>4471.67</v>
      </c>
      <c r="G1813" s="338" t="s">
        <v>13398</v>
      </c>
      <c r="H1813" s="592" t="s">
        <v>13399</v>
      </c>
      <c r="I1813" s="520" t="s">
        <v>11649</v>
      </c>
      <c r="J1813" s="421" t="s">
        <v>753</v>
      </c>
      <c r="K1813" s="520" t="s">
        <v>741</v>
      </c>
    </row>
    <row r="1814" spans="1:11" s="196" customFormat="1">
      <c r="A1814" s="425"/>
      <c r="B1814" s="580" t="s">
        <v>13305</v>
      </c>
      <c r="C1814" s="389">
        <v>34820</v>
      </c>
      <c r="D1814" s="388">
        <f>C1814*(1-VLOOKUP(I1814,descuentos,6,FALSE))*fcl/IF(dol_sol="dólar", TC,1)</f>
        <v>8458.6547364179096</v>
      </c>
      <c r="E1814" s="633">
        <v>500</v>
      </c>
      <c r="F1814" s="582">
        <f t="shared" ref="F1814" si="251">ROUNDUP(D1814+E1814,2)</f>
        <v>8958.66</v>
      </c>
      <c r="G1814" s="394" t="s">
        <v>13306</v>
      </c>
      <c r="H1814" s="580" t="s">
        <v>13307</v>
      </c>
      <c r="I1814" s="622" t="s">
        <v>11649</v>
      </c>
      <c r="J1814" s="425" t="s">
        <v>753</v>
      </c>
      <c r="K1814" s="622" t="s">
        <v>741</v>
      </c>
    </row>
    <row r="1815" spans="1:11" s="194" customFormat="1">
      <c r="A1815" s="421"/>
      <c r="B1815" s="592"/>
      <c r="C1815" s="209" t="s">
        <v>2058</v>
      </c>
      <c r="D1815" s="244"/>
      <c r="E1815" s="228"/>
      <c r="F1815" s="585">
        <f t="shared" si="247"/>
        <v>0</v>
      </c>
      <c r="G1815" s="338"/>
      <c r="H1815" s="592"/>
      <c r="I1815" s="520"/>
      <c r="J1815" s="421"/>
      <c r="K1815" s="520"/>
    </row>
    <row r="1816" spans="1:11" s="194" customFormat="1">
      <c r="A1816" s="421"/>
      <c r="B1816" s="592"/>
      <c r="C1816" s="209" t="s">
        <v>2058</v>
      </c>
      <c r="D1816" s="244"/>
      <c r="E1816" s="228"/>
      <c r="F1816" s="585"/>
      <c r="G1816" s="338"/>
      <c r="H1816" s="592"/>
      <c r="I1816" s="520"/>
      <c r="J1816" s="421"/>
      <c r="K1816" s="520"/>
    </row>
    <row r="1817" spans="1:11" s="196" customFormat="1">
      <c r="A1817" s="421"/>
      <c r="B1817" s="592"/>
      <c r="C1817" s="209" t="s">
        <v>2058</v>
      </c>
      <c r="D1817" s="244"/>
      <c r="E1817" s="228"/>
      <c r="F1817" s="585">
        <f t="shared" si="247"/>
        <v>0</v>
      </c>
      <c r="G1817" s="338"/>
      <c r="H1817" s="592"/>
      <c r="I1817" s="520"/>
      <c r="J1817" s="421"/>
      <c r="K1817" s="520"/>
    </row>
    <row r="1818" spans="1:11" s="194" customFormat="1">
      <c r="A1818" s="421"/>
      <c r="B1818" s="592" t="s">
        <v>7127</v>
      </c>
      <c r="C1818" s="209">
        <v>13373</v>
      </c>
      <c r="D1818" s="244">
        <f>C1818*(1-VLOOKUP(I1818,descuentos,6,FALSE))*fcl/IF(dol_sol="dólar", TC,1)</f>
        <v>3248.638420164179</v>
      </c>
      <c r="E1818" s="472">
        <v>400</v>
      </c>
      <c r="F1818" s="585">
        <f t="shared" si="247"/>
        <v>3648.6400000000003</v>
      </c>
      <c r="G1818" s="338" t="s">
        <v>7128</v>
      </c>
      <c r="H1818" s="592" t="s">
        <v>7129</v>
      </c>
      <c r="I1818" s="520" t="s">
        <v>11649</v>
      </c>
      <c r="J1818" s="421" t="s">
        <v>753</v>
      </c>
      <c r="K1818" s="520" t="s">
        <v>741</v>
      </c>
    </row>
    <row r="1819" spans="1:11" s="194" customFormat="1">
      <c r="A1819" s="421"/>
      <c r="B1819" s="592" t="s">
        <v>1364</v>
      </c>
      <c r="C1819" s="209">
        <v>12458</v>
      </c>
      <c r="D1819" s="244">
        <f t="shared" ref="D1819:D1825" si="252">C1819*(1-VLOOKUP(I1819,descuentos,6,FALSE))*fcl/IF(dol_sol="dólar", TC,1)</f>
        <v>3026.3618812835816</v>
      </c>
      <c r="E1819" s="472">
        <v>400</v>
      </c>
      <c r="F1819" s="585">
        <f t="shared" si="247"/>
        <v>3426.3700000000003</v>
      </c>
      <c r="G1819" s="338" t="s">
        <v>1498</v>
      </c>
      <c r="H1819" s="592" t="s">
        <v>1365</v>
      </c>
      <c r="I1819" s="520" t="s">
        <v>11649</v>
      </c>
      <c r="J1819" s="421" t="s">
        <v>753</v>
      </c>
      <c r="K1819" s="520" t="s">
        <v>741</v>
      </c>
    </row>
    <row r="1820" spans="1:11" s="196" customFormat="1">
      <c r="A1820" s="421"/>
      <c r="B1820" s="592" t="s">
        <v>950</v>
      </c>
      <c r="C1820" s="209">
        <v>13667</v>
      </c>
      <c r="D1820" s="244">
        <f t="shared" si="252"/>
        <v>3320.0584228208954</v>
      </c>
      <c r="E1820" s="472">
        <v>400</v>
      </c>
      <c r="F1820" s="585">
        <f t="shared" si="247"/>
        <v>3720.0600000000004</v>
      </c>
      <c r="G1820" s="338" t="s">
        <v>1499</v>
      </c>
      <c r="H1820" s="592" t="s">
        <v>953</v>
      </c>
      <c r="I1820" s="520" t="s">
        <v>11649</v>
      </c>
      <c r="J1820" s="421" t="s">
        <v>753</v>
      </c>
      <c r="K1820" s="520" t="s">
        <v>741</v>
      </c>
    </row>
    <row r="1821" spans="1:11" s="196" customFormat="1">
      <c r="A1821" s="421"/>
      <c r="B1821" s="592" t="s">
        <v>951</v>
      </c>
      <c r="C1821" s="209">
        <v>13430</v>
      </c>
      <c r="D1821" s="244">
        <f t="shared" si="252"/>
        <v>3262.4851553731341</v>
      </c>
      <c r="E1821" s="472">
        <v>400</v>
      </c>
      <c r="F1821" s="585">
        <f t="shared" si="247"/>
        <v>3662.4900000000002</v>
      </c>
      <c r="G1821" s="338" t="s">
        <v>1500</v>
      </c>
      <c r="H1821" s="592" t="s">
        <v>954</v>
      </c>
      <c r="I1821" s="520" t="s">
        <v>11649</v>
      </c>
      <c r="J1821" s="421" t="s">
        <v>753</v>
      </c>
      <c r="K1821" s="520" t="s">
        <v>741</v>
      </c>
    </row>
    <row r="1822" spans="1:11" s="196" customFormat="1">
      <c r="A1822" s="1170"/>
      <c r="B1822" s="592" t="s">
        <v>13557</v>
      </c>
      <c r="C1822" s="209">
        <v>17774</v>
      </c>
      <c r="D1822" s="244">
        <f t="shared" si="252"/>
        <v>4317.7521334029852</v>
      </c>
      <c r="E1822" s="472">
        <v>400</v>
      </c>
      <c r="F1822" s="585">
        <f t="shared" si="247"/>
        <v>4717.76</v>
      </c>
      <c r="G1822" s="338" t="s">
        <v>13558</v>
      </c>
      <c r="H1822" s="592" t="s">
        <v>13559</v>
      </c>
      <c r="I1822" s="520" t="s">
        <v>11649</v>
      </c>
      <c r="J1822" s="421" t="s">
        <v>753</v>
      </c>
      <c r="K1822" s="520" t="s">
        <v>741</v>
      </c>
    </row>
    <row r="1823" spans="1:11" s="196" customFormat="1">
      <c r="A1823" s="1734"/>
      <c r="B1823" s="592" t="s">
        <v>7130</v>
      </c>
      <c r="C1823" s="209">
        <v>15456</v>
      </c>
      <c r="D1823" s="244">
        <f t="shared" ref="D1823" si="253">C1823*(1-VLOOKUP(I1823,descuentos,6,FALSE))*fcl/IF(dol_sol="dólar", TC,1)</f>
        <v>3754.6515682388058</v>
      </c>
      <c r="E1823" s="472">
        <v>400</v>
      </c>
      <c r="F1823" s="585">
        <f t="shared" si="247"/>
        <v>4154.66</v>
      </c>
      <c r="G1823" s="338" t="s">
        <v>7131</v>
      </c>
      <c r="H1823" s="592" t="s">
        <v>7132</v>
      </c>
      <c r="I1823" s="520" t="s">
        <v>11649</v>
      </c>
      <c r="J1823" s="421" t="s">
        <v>753</v>
      </c>
      <c r="K1823" s="520" t="s">
        <v>741</v>
      </c>
    </row>
    <row r="1824" spans="1:11" s="196" customFormat="1">
      <c r="A1824" s="421"/>
      <c r="B1824" s="2013" t="s">
        <v>952</v>
      </c>
      <c r="C1824" s="209">
        <v>13996</v>
      </c>
      <c r="D1824" s="244">
        <f t="shared" si="252"/>
        <v>3399.9808067462686</v>
      </c>
      <c r="E1824" s="472">
        <v>400</v>
      </c>
      <c r="F1824" s="585">
        <f t="shared" si="247"/>
        <v>3799.9900000000002</v>
      </c>
      <c r="G1824" s="338" t="s">
        <v>1501</v>
      </c>
      <c r="H1824" s="592" t="s">
        <v>955</v>
      </c>
      <c r="I1824" s="520" t="s">
        <v>11649</v>
      </c>
      <c r="J1824" s="421" t="s">
        <v>753</v>
      </c>
      <c r="K1824" s="520" t="s">
        <v>741</v>
      </c>
    </row>
    <row r="1825" spans="1:11" s="196" customFormat="1">
      <c r="A1825" s="1743"/>
      <c r="B1825" s="592" t="s">
        <v>7133</v>
      </c>
      <c r="C1825" s="209">
        <v>14963</v>
      </c>
      <c r="D1825" s="244">
        <f t="shared" si="252"/>
        <v>3634.8894549402985</v>
      </c>
      <c r="E1825" s="472">
        <v>400</v>
      </c>
      <c r="F1825" s="585">
        <f t="shared" si="247"/>
        <v>4034.8900000000003</v>
      </c>
      <c r="G1825" s="338" t="s">
        <v>7134</v>
      </c>
      <c r="H1825" s="592" t="s">
        <v>7135</v>
      </c>
      <c r="I1825" s="520" t="s">
        <v>11649</v>
      </c>
      <c r="J1825" s="421" t="s">
        <v>753</v>
      </c>
      <c r="K1825" s="520" t="s">
        <v>741</v>
      </c>
    </row>
    <row r="1826" spans="1:11" s="196" customFormat="1">
      <c r="A1826" s="421"/>
      <c r="B1826" s="592"/>
      <c r="C1826" s="209" t="s">
        <v>2058</v>
      </c>
      <c r="D1826" s="244"/>
      <c r="E1826" s="228"/>
      <c r="F1826" s="585">
        <f t="shared" si="247"/>
        <v>0</v>
      </c>
      <c r="G1826" s="338"/>
      <c r="H1826" s="592"/>
      <c r="I1826" s="520"/>
      <c r="J1826" s="421"/>
      <c r="K1826" s="520"/>
    </row>
    <row r="1827" spans="1:11" s="196" customFormat="1">
      <c r="A1827" s="1663"/>
      <c r="B1827" s="580" t="s">
        <v>6240</v>
      </c>
      <c r="C1827" s="389">
        <v>15571</v>
      </c>
      <c r="D1827" s="388">
        <f t="shared" ref="D1827:D1834" si="254">C1827*(1-VLOOKUP(I1827,descuentos,6,FALSE))*fcl/IF(dol_sol="dólar", TC,1)</f>
        <v>3782.5879638358206</v>
      </c>
      <c r="E1827" s="472">
        <v>500</v>
      </c>
      <c r="F1827" s="582">
        <f t="shared" si="247"/>
        <v>4282.59</v>
      </c>
      <c r="G1827" s="394" t="s">
        <v>6241</v>
      </c>
      <c r="H1827" s="580" t="s">
        <v>6242</v>
      </c>
      <c r="I1827" s="622" t="s">
        <v>11649</v>
      </c>
      <c r="J1827" s="425" t="s">
        <v>753</v>
      </c>
      <c r="K1827" s="622" t="s">
        <v>741</v>
      </c>
    </row>
    <row r="1828" spans="1:11" s="196" customFormat="1">
      <c r="A1828" s="1663"/>
      <c r="B1828" s="580" t="s">
        <v>6243</v>
      </c>
      <c r="C1828" s="389">
        <v>17083</v>
      </c>
      <c r="D1828" s="388">
        <f t="shared" si="254"/>
        <v>4149.8908346417911</v>
      </c>
      <c r="E1828" s="472">
        <v>500</v>
      </c>
      <c r="F1828" s="582">
        <f t="shared" si="247"/>
        <v>4649.9000000000005</v>
      </c>
      <c r="G1828" s="394" t="s">
        <v>6244</v>
      </c>
      <c r="H1828" s="580" t="s">
        <v>6245</v>
      </c>
      <c r="I1828" s="622" t="s">
        <v>11649</v>
      </c>
      <c r="J1828" s="425" t="s">
        <v>753</v>
      </c>
      <c r="K1828" s="622" t="s">
        <v>741</v>
      </c>
    </row>
    <row r="1829" spans="1:11" s="196" customFormat="1">
      <c r="A1829" s="421"/>
      <c r="B1829" s="580" t="s">
        <v>3481</v>
      </c>
      <c r="C1829" s="389">
        <v>18175</v>
      </c>
      <c r="D1829" s="388">
        <f t="shared" si="254"/>
        <v>4415.1651302238806</v>
      </c>
      <c r="E1829" s="472">
        <v>500</v>
      </c>
      <c r="F1829" s="582">
        <f t="shared" si="247"/>
        <v>4915.17</v>
      </c>
      <c r="G1829" s="394" t="s">
        <v>3482</v>
      </c>
      <c r="H1829" s="580" t="s">
        <v>3483</v>
      </c>
      <c r="I1829" s="622" t="s">
        <v>11649</v>
      </c>
      <c r="J1829" s="425" t="s">
        <v>753</v>
      </c>
      <c r="K1829" s="622" t="s">
        <v>741</v>
      </c>
    </row>
    <row r="1830" spans="1:11" s="196" customFormat="1" ht="13.5" customHeight="1">
      <c r="A1830" s="421"/>
      <c r="B1830" s="580" t="s">
        <v>3259</v>
      </c>
      <c r="C1830" s="389">
        <v>17809</v>
      </c>
      <c r="D1830" s="388">
        <f t="shared" si="254"/>
        <v>4326.2545146716411</v>
      </c>
      <c r="E1830" s="472">
        <v>500</v>
      </c>
      <c r="F1830" s="582">
        <f t="shared" si="247"/>
        <v>4826.26</v>
      </c>
      <c r="G1830" s="394" t="s">
        <v>3260</v>
      </c>
      <c r="H1830" s="580" t="s">
        <v>3261</v>
      </c>
      <c r="I1830" s="622" t="s">
        <v>11649</v>
      </c>
      <c r="J1830" s="425" t="s">
        <v>753</v>
      </c>
      <c r="K1830" s="622" t="s">
        <v>741</v>
      </c>
    </row>
    <row r="1831" spans="1:11" s="196" customFormat="1">
      <c r="A1831" s="421"/>
      <c r="B1831" s="580" t="s">
        <v>5165</v>
      </c>
      <c r="C1831" s="389">
        <v>22832</v>
      </c>
      <c r="D1831" s="388">
        <f t="shared" si="254"/>
        <v>5546.4676893134319</v>
      </c>
      <c r="E1831" s="633">
        <v>600</v>
      </c>
      <c r="F1831" s="582">
        <f t="shared" si="247"/>
        <v>6146.47</v>
      </c>
      <c r="G1831" s="394" t="s">
        <v>5166</v>
      </c>
      <c r="H1831" s="580" t="s">
        <v>5167</v>
      </c>
      <c r="I1831" s="622" t="s">
        <v>11649</v>
      </c>
      <c r="J1831" s="425" t="s">
        <v>753</v>
      </c>
      <c r="K1831" s="622" t="s">
        <v>741</v>
      </c>
    </row>
    <row r="1832" spans="1:11" s="196" customFormat="1">
      <c r="A1832" s="421"/>
      <c r="B1832" s="580" t="s">
        <v>7136</v>
      </c>
      <c r="C1832" s="389">
        <v>18227</v>
      </c>
      <c r="D1832" s="388">
        <f t="shared" si="254"/>
        <v>4427.7972395373126</v>
      </c>
      <c r="E1832" s="472">
        <v>500</v>
      </c>
      <c r="F1832" s="582">
        <f t="shared" si="247"/>
        <v>4927.8</v>
      </c>
      <c r="G1832" s="394" t="s">
        <v>7137</v>
      </c>
      <c r="H1832" s="580" t="s">
        <v>7138</v>
      </c>
      <c r="I1832" s="622" t="s">
        <v>11649</v>
      </c>
      <c r="J1832" s="425" t="s">
        <v>753</v>
      </c>
      <c r="K1832" s="622" t="s">
        <v>741</v>
      </c>
    </row>
    <row r="1833" spans="1:11" s="196" customFormat="1">
      <c r="A1833" s="421"/>
      <c r="B1833" s="580" t="s">
        <v>5614</v>
      </c>
      <c r="C1833" s="389">
        <v>19320</v>
      </c>
      <c r="D1833" s="388">
        <f t="shared" si="254"/>
        <v>4693.3144602985067</v>
      </c>
      <c r="E1833" s="472">
        <v>500</v>
      </c>
      <c r="F1833" s="582">
        <f t="shared" si="247"/>
        <v>5193.3200000000006</v>
      </c>
      <c r="G1833" s="394" t="s">
        <v>5615</v>
      </c>
      <c r="H1833" s="580" t="s">
        <v>5616</v>
      </c>
      <c r="I1833" s="622" t="s">
        <v>11649</v>
      </c>
      <c r="J1833" s="425" t="s">
        <v>753</v>
      </c>
      <c r="K1833" s="622" t="s">
        <v>741</v>
      </c>
    </row>
    <row r="1834" spans="1:11" s="196" customFormat="1">
      <c r="A1834" s="421"/>
      <c r="B1834" s="580" t="s">
        <v>5168</v>
      </c>
      <c r="C1834" s="389">
        <v>26402</v>
      </c>
      <c r="D1834" s="388">
        <f t="shared" si="254"/>
        <v>6413.7105787164173</v>
      </c>
      <c r="E1834" s="633">
        <v>600</v>
      </c>
      <c r="F1834" s="582">
        <f t="shared" si="247"/>
        <v>7013.72</v>
      </c>
      <c r="G1834" s="394" t="s">
        <v>5169</v>
      </c>
      <c r="H1834" s="580" t="s">
        <v>5170</v>
      </c>
      <c r="I1834" s="622" t="s">
        <v>11649</v>
      </c>
      <c r="J1834" s="425" t="s">
        <v>753</v>
      </c>
      <c r="K1834" s="622" t="s">
        <v>741</v>
      </c>
    </row>
    <row r="1835" spans="1:11" s="194" customFormat="1">
      <c r="A1835" s="421"/>
      <c r="B1835" s="592"/>
      <c r="C1835" s="209" t="s">
        <v>2058</v>
      </c>
      <c r="D1835" s="244"/>
      <c r="E1835" s="228"/>
      <c r="F1835" s="585"/>
      <c r="G1835" s="338"/>
      <c r="H1835" s="592"/>
      <c r="I1835" s="520"/>
      <c r="J1835" s="421"/>
      <c r="K1835" s="520"/>
    </row>
    <row r="1836" spans="1:11" s="196" customFormat="1">
      <c r="A1836" s="1663"/>
      <c r="B1836" s="580" t="s">
        <v>9844</v>
      </c>
      <c r="C1836" s="389">
        <v>19644</v>
      </c>
      <c r="D1836" s="388">
        <f t="shared" ref="D1836" si="255">C1836*(1-VLOOKUP(I1836,descuentos,6,FALSE))*fcl/IF(dol_sol="dólar", TC,1)</f>
        <v>4772.0222183283577</v>
      </c>
      <c r="E1836" s="472">
        <v>500</v>
      </c>
      <c r="F1836" s="582">
        <f t="shared" ref="F1836:F1837" si="256">ROUNDUP(D1836+E1836,2)</f>
        <v>5272.0300000000007</v>
      </c>
      <c r="G1836" s="394" t="s">
        <v>6244</v>
      </c>
      <c r="H1836" s="580" t="s">
        <v>9845</v>
      </c>
      <c r="I1836" s="622" t="s">
        <v>11649</v>
      </c>
      <c r="J1836" s="425" t="s">
        <v>753</v>
      </c>
      <c r="K1836" s="622" t="s">
        <v>741</v>
      </c>
    </row>
    <row r="1837" spans="1:11" s="196" customFormat="1">
      <c r="A1837" s="421"/>
      <c r="B1837" s="1965" t="s">
        <v>9846</v>
      </c>
      <c r="C1837" s="209">
        <v>3640</v>
      </c>
      <c r="D1837" s="244">
        <f>C1837*(1-VLOOKUP(I1837,descuentos,6,FALSE))*fcl/IF(dol_sol="dólar", TC,1)</f>
        <v>884.2476519402984</v>
      </c>
      <c r="E1837" s="472">
        <v>80</v>
      </c>
      <c r="F1837" s="585">
        <f t="shared" si="256"/>
        <v>964.25</v>
      </c>
      <c r="G1837" s="338" t="s">
        <v>9847</v>
      </c>
      <c r="H1837" s="592" t="s">
        <v>9848</v>
      </c>
      <c r="I1837" s="520" t="s">
        <v>11649</v>
      </c>
      <c r="J1837" s="421" t="s">
        <v>753</v>
      </c>
      <c r="K1837" s="520" t="s">
        <v>741</v>
      </c>
    </row>
    <row r="1838" spans="1:11" s="196" customFormat="1">
      <c r="A1838" s="580"/>
      <c r="B1838" s="580"/>
      <c r="C1838" s="389" t="s">
        <v>2058</v>
      </c>
      <c r="D1838" s="388"/>
      <c r="E1838" s="472"/>
      <c r="F1838" s="582"/>
      <c r="G1838" s="394"/>
      <c r="H1838" s="580"/>
      <c r="I1838" s="622"/>
      <c r="J1838" s="425"/>
      <c r="K1838" s="622"/>
    </row>
    <row r="1839" spans="1:11" s="196" customFormat="1" ht="13.5" customHeight="1">
      <c r="A1839" s="1741"/>
      <c r="B1839" s="580" t="s">
        <v>9198</v>
      </c>
      <c r="C1839" s="389">
        <v>19222</v>
      </c>
      <c r="D1839" s="388">
        <f>C1839*(1-VLOOKUP(I1839,descuentos,6,FALSE))*fcl/IF(dol_sol="dólar", TC,1)</f>
        <v>4669.507792746268</v>
      </c>
      <c r="E1839" s="472">
        <v>500</v>
      </c>
      <c r="F1839" s="582">
        <f>ROUNDUP(D1839+E1839,2)</f>
        <v>5169.51</v>
      </c>
      <c r="G1839" s="394" t="s">
        <v>9199</v>
      </c>
      <c r="H1839" s="580" t="s">
        <v>9200</v>
      </c>
      <c r="I1839" s="622" t="s">
        <v>11649</v>
      </c>
      <c r="J1839" s="425" t="s">
        <v>753</v>
      </c>
      <c r="K1839" s="622" t="s">
        <v>741</v>
      </c>
    </row>
    <row r="1840" spans="1:11" s="194" customFormat="1">
      <c r="A1840" s="421"/>
      <c r="B1840" s="592"/>
      <c r="C1840" s="209" t="s">
        <v>2058</v>
      </c>
      <c r="D1840" s="244"/>
      <c r="E1840" s="228"/>
      <c r="F1840" s="585"/>
      <c r="G1840" s="338"/>
      <c r="H1840" s="592"/>
      <c r="I1840" s="520"/>
      <c r="J1840" s="421"/>
      <c r="K1840" s="520"/>
    </row>
    <row r="1841" spans="1:11" s="196" customFormat="1" ht="13.5" customHeight="1">
      <c r="A1841" s="1741"/>
      <c r="B1841" s="580" t="s">
        <v>7139</v>
      </c>
      <c r="C1841" s="389">
        <v>18703</v>
      </c>
      <c r="D1841" s="388">
        <f>C1841*(1-VLOOKUP(I1841,descuentos,6,FALSE))*fcl/IF(dol_sol="dólar", TC,1)</f>
        <v>4543.4296247910443</v>
      </c>
      <c r="E1841" s="472">
        <v>500</v>
      </c>
      <c r="F1841" s="582">
        <f>ROUNDUP(D1841+E1841,2)</f>
        <v>5043.43</v>
      </c>
      <c r="G1841" s="394" t="s">
        <v>7140</v>
      </c>
      <c r="H1841" s="580" t="s">
        <v>7141</v>
      </c>
      <c r="I1841" s="622" t="s">
        <v>11649</v>
      </c>
      <c r="J1841" s="425" t="s">
        <v>753</v>
      </c>
      <c r="K1841" s="622" t="s">
        <v>741</v>
      </c>
    </row>
    <row r="1842" spans="1:11" s="196" customFormat="1">
      <c r="A1842" s="421"/>
      <c r="B1842" s="592"/>
      <c r="C1842" s="209" t="s">
        <v>2058</v>
      </c>
      <c r="D1842" s="244"/>
      <c r="E1842" s="228"/>
      <c r="F1842" s="585">
        <f>ROUNDUP(D1842+E1842,2)</f>
        <v>0</v>
      </c>
      <c r="G1842" s="338"/>
      <c r="H1842" s="592"/>
      <c r="I1842" s="520"/>
      <c r="J1842" s="421"/>
      <c r="K1842" s="630"/>
    </row>
    <row r="1843" spans="1:11" s="196" customFormat="1" ht="12" customHeight="1">
      <c r="A1843" s="1655"/>
      <c r="B1843" s="580" t="s">
        <v>7142</v>
      </c>
      <c r="C1843" s="389">
        <v>25963</v>
      </c>
      <c r="D1843" s="388">
        <f>C1843*(1-VLOOKUP(I1843,descuentos,6,FALSE))*fcl/IF(dol_sol="dólar", TC,1)</f>
        <v>6307.0664250895516</v>
      </c>
      <c r="E1843" s="633">
        <v>600</v>
      </c>
      <c r="F1843" s="582">
        <f>ROUNDUP(D1843+E1843,2)</f>
        <v>6907.0700000000006</v>
      </c>
      <c r="G1843" s="394" t="s">
        <v>7143</v>
      </c>
      <c r="H1843" s="580" t="s">
        <v>7144</v>
      </c>
      <c r="I1843" s="622" t="s">
        <v>11649</v>
      </c>
      <c r="J1843" s="425" t="s">
        <v>753</v>
      </c>
      <c r="K1843" s="622" t="s">
        <v>741</v>
      </c>
    </row>
    <row r="1844" spans="1:11" s="194" customFormat="1" ht="12" customHeight="1">
      <c r="A1844" s="421"/>
      <c r="B1844" s="592"/>
      <c r="C1844" s="209" t="s">
        <v>2058</v>
      </c>
      <c r="D1844" s="244"/>
      <c r="E1844" s="228"/>
      <c r="F1844" s="585"/>
      <c r="G1844" s="338"/>
      <c r="H1844" s="592"/>
      <c r="I1844" s="520"/>
      <c r="J1844" s="421"/>
      <c r="K1844" s="520"/>
    </row>
    <row r="1845" spans="1:11" s="196" customFormat="1" ht="12" customHeight="1">
      <c r="A1845" s="1741"/>
      <c r="B1845" s="580" t="s">
        <v>7145</v>
      </c>
      <c r="C1845" s="389">
        <v>27107</v>
      </c>
      <c r="D1845" s="388">
        <f>C1845*(1-VLOOKUP(I1845,descuentos,6,FALSE))*fcl/IF(dol_sol="dólar", TC,1)</f>
        <v>6584.972829985074</v>
      </c>
      <c r="E1845" s="633">
        <v>600</v>
      </c>
      <c r="F1845" s="582">
        <f>ROUNDUP(D1845+E1845,2)</f>
        <v>7184.9800000000005</v>
      </c>
      <c r="G1845" s="394" t="s">
        <v>7146</v>
      </c>
      <c r="H1845" s="580" t="s">
        <v>7147</v>
      </c>
      <c r="I1845" s="622" t="s">
        <v>11649</v>
      </c>
      <c r="J1845" s="425" t="s">
        <v>753</v>
      </c>
      <c r="K1845" s="622" t="s">
        <v>741</v>
      </c>
    </row>
    <row r="1846" spans="1:11" s="194" customFormat="1" ht="12" customHeight="1">
      <c r="A1846" s="421"/>
      <c r="B1846" s="592"/>
      <c r="C1846" s="209" t="s">
        <v>2058</v>
      </c>
      <c r="D1846" s="244"/>
      <c r="E1846" s="228"/>
      <c r="F1846" s="585"/>
      <c r="G1846" s="338"/>
      <c r="H1846" s="592"/>
      <c r="I1846" s="520"/>
      <c r="J1846" s="421"/>
      <c r="K1846" s="520"/>
    </row>
    <row r="1847" spans="1:11" s="196" customFormat="1">
      <c r="A1847" s="421"/>
      <c r="B1847" s="592"/>
      <c r="C1847" s="209" t="s">
        <v>2058</v>
      </c>
      <c r="D1847" s="244"/>
      <c r="E1847" s="228"/>
      <c r="F1847" s="585"/>
      <c r="G1847" s="338"/>
      <c r="H1847" s="592"/>
      <c r="I1847" s="520"/>
      <c r="J1847" s="421"/>
      <c r="K1847" s="520"/>
    </row>
    <row r="1848" spans="1:11" s="196" customFormat="1">
      <c r="A1848" s="421"/>
      <c r="B1848" s="592" t="s">
        <v>13042</v>
      </c>
      <c r="C1848" s="209">
        <v>14875</v>
      </c>
      <c r="D1848" s="244">
        <f>C1848*(1-VLOOKUP(I1848,descuentos,6,FALSE))*fcl/IF(dol_sol="dólar", TC,1)</f>
        <v>3613.5120391791038</v>
      </c>
      <c r="E1848" s="472">
        <v>500</v>
      </c>
      <c r="F1848" s="585">
        <f>ROUNDUP(D1848+E1848,2)</f>
        <v>4113.5200000000004</v>
      </c>
      <c r="G1848" s="338" t="s">
        <v>13043</v>
      </c>
      <c r="H1848" s="592" t="s">
        <v>13044</v>
      </c>
      <c r="I1848" s="520" t="s">
        <v>11649</v>
      </c>
      <c r="J1848" s="421" t="s">
        <v>753</v>
      </c>
      <c r="K1848" s="520" t="s">
        <v>741</v>
      </c>
    </row>
    <row r="1849" spans="1:11" s="196" customFormat="1">
      <c r="A1849" s="421"/>
      <c r="B1849" s="592" t="s">
        <v>13045</v>
      </c>
      <c r="C1849" s="209">
        <v>15846</v>
      </c>
      <c r="D1849" s="244">
        <f>C1849*(1-VLOOKUP(I1849,descuentos,6,FALSE))*fcl/IF(dol_sol="dólar", TC,1)</f>
        <v>3849.3923880895518</v>
      </c>
      <c r="E1849" s="472">
        <v>500</v>
      </c>
      <c r="F1849" s="585">
        <f>ROUNDUP(D1849+E1849,2)</f>
        <v>4349.4000000000005</v>
      </c>
      <c r="G1849" s="338" t="s">
        <v>13046</v>
      </c>
      <c r="H1849" s="592" t="s">
        <v>13047</v>
      </c>
      <c r="I1849" s="520" t="s">
        <v>11649</v>
      </c>
      <c r="J1849" s="421" t="s">
        <v>753</v>
      </c>
      <c r="K1849" s="520" t="s">
        <v>741</v>
      </c>
    </row>
    <row r="1850" spans="1:11" s="196" customFormat="1">
      <c r="A1850" s="421"/>
      <c r="B1850" s="592" t="s">
        <v>936</v>
      </c>
      <c r="C1850" s="209">
        <v>18925</v>
      </c>
      <c r="D1850" s="244">
        <f>C1850*(1-VLOOKUP(I1850,descuentos,6,FALSE))*fcl/IF(dol_sol="dólar", TC,1)</f>
        <v>4597.3590145522385</v>
      </c>
      <c r="E1850" s="472">
        <v>500</v>
      </c>
      <c r="F1850" s="585">
        <f>ROUNDUP(D1850+E1850,2)</f>
        <v>5097.3600000000006</v>
      </c>
      <c r="G1850" s="338" t="s">
        <v>3273</v>
      </c>
      <c r="H1850" s="592" t="s">
        <v>937</v>
      </c>
      <c r="I1850" s="520" t="s">
        <v>11649</v>
      </c>
      <c r="J1850" s="421" t="s">
        <v>753</v>
      </c>
      <c r="K1850" s="520" t="s">
        <v>741</v>
      </c>
    </row>
    <row r="1851" spans="1:11" s="196" customFormat="1">
      <c r="A1851" s="421"/>
      <c r="B1851" s="592" t="s">
        <v>941</v>
      </c>
      <c r="C1851" s="209">
        <v>17623</v>
      </c>
      <c r="D1851" s="244">
        <f>C1851*(1-VLOOKUP(I1851,descuentos,6,FALSE))*fcl/IF(dol_sol="dólar", TC,1)</f>
        <v>4281.0704313582082</v>
      </c>
      <c r="E1851" s="472">
        <v>500</v>
      </c>
      <c r="F1851" s="585">
        <f>ROUNDUP(D1851+E1851,2)</f>
        <v>4781.08</v>
      </c>
      <c r="G1851" s="338" t="s">
        <v>3274</v>
      </c>
      <c r="H1851" s="592" t="s">
        <v>940</v>
      </c>
      <c r="I1851" s="520" t="s">
        <v>11649</v>
      </c>
      <c r="J1851" s="421" t="s">
        <v>753</v>
      </c>
      <c r="K1851" s="520" t="s">
        <v>741</v>
      </c>
    </row>
    <row r="1852" spans="1:11" s="196" customFormat="1">
      <c r="A1852" s="421"/>
      <c r="B1852" s="592" t="s">
        <v>943</v>
      </c>
      <c r="C1852" s="209">
        <v>24799</v>
      </c>
      <c r="D1852" s="244">
        <f>C1852*(1-VLOOKUP(I1852,descuentos,6,FALSE))*fcl/IF(dol_sol="dólar", TC,1)</f>
        <v>6024.3015166119403</v>
      </c>
      <c r="E1852" s="472">
        <v>500</v>
      </c>
      <c r="F1852" s="585">
        <f>ROUNDUP(D1852+E1852,2)</f>
        <v>6524.31</v>
      </c>
      <c r="G1852" s="338" t="s">
        <v>7148</v>
      </c>
      <c r="H1852" s="592" t="s">
        <v>942</v>
      </c>
      <c r="I1852" s="520" t="s">
        <v>11649</v>
      </c>
      <c r="J1852" s="421" t="s">
        <v>753</v>
      </c>
      <c r="K1852" s="520" t="s">
        <v>741</v>
      </c>
    </row>
    <row r="1853" spans="1:11" s="196" customFormat="1">
      <c r="A1853" s="421"/>
      <c r="B1853" s="592"/>
      <c r="C1853" s="209" t="s">
        <v>2058</v>
      </c>
      <c r="D1853" s="244"/>
      <c r="E1853" s="472"/>
      <c r="F1853" s="585"/>
      <c r="G1853" s="338"/>
      <c r="H1853" s="592"/>
      <c r="I1853" s="520"/>
      <c r="J1853" s="421"/>
      <c r="K1853" s="520"/>
    </row>
    <row r="1854" spans="1:11" s="196" customFormat="1">
      <c r="A1854" s="1663"/>
      <c r="B1854" s="592" t="s">
        <v>5617</v>
      </c>
      <c r="C1854" s="209">
        <v>19310</v>
      </c>
      <c r="D1854" s="244">
        <f>C1854*(1-VLOOKUP(I1854,descuentos,6,FALSE))*fcl/IF(dol_sol="dólar", TC,1)</f>
        <v>4690.8852085074614</v>
      </c>
      <c r="E1854" s="633">
        <v>600</v>
      </c>
      <c r="F1854" s="585">
        <f t="shared" ref="F1854:F1869" si="257">ROUNDUP(D1854+E1854,2)</f>
        <v>5290.89</v>
      </c>
      <c r="G1854" s="338" t="s">
        <v>5618</v>
      </c>
      <c r="H1854" s="592" t="s">
        <v>5619</v>
      </c>
      <c r="I1854" s="520" t="s">
        <v>11649</v>
      </c>
      <c r="J1854" s="421" t="s">
        <v>753</v>
      </c>
      <c r="K1854" s="520" t="s">
        <v>741</v>
      </c>
    </row>
    <row r="1855" spans="1:11" s="196" customFormat="1">
      <c r="A1855" s="421"/>
      <c r="B1855" s="580" t="s">
        <v>9597</v>
      </c>
      <c r="C1855" s="389">
        <v>27727</v>
      </c>
      <c r="D1855" s="388">
        <f>C1855*(1-VLOOKUP(I1855,descuentos,6,FALSE))*fcl/IF(dol_sol="dólar", TC,1)</f>
        <v>6735.58644102985</v>
      </c>
      <c r="E1855" s="633">
        <v>600</v>
      </c>
      <c r="F1855" s="582">
        <f t="shared" si="257"/>
        <v>7335.59</v>
      </c>
      <c r="G1855" s="394" t="s">
        <v>7590</v>
      </c>
      <c r="H1855" s="580" t="s">
        <v>7589</v>
      </c>
      <c r="I1855" s="622" t="s">
        <v>11649</v>
      </c>
      <c r="J1855" s="425" t="s">
        <v>753</v>
      </c>
      <c r="K1855" s="622" t="s">
        <v>741</v>
      </c>
    </row>
    <row r="1856" spans="1:11" s="194" customFormat="1">
      <c r="A1856" s="421"/>
      <c r="B1856" s="592"/>
      <c r="C1856" s="209" t="s">
        <v>2058</v>
      </c>
      <c r="D1856" s="244"/>
      <c r="E1856" s="228"/>
      <c r="F1856" s="585">
        <f t="shared" si="257"/>
        <v>0</v>
      </c>
      <c r="G1856" s="338"/>
      <c r="H1856" s="592"/>
      <c r="I1856" s="520"/>
      <c r="J1856" s="421"/>
      <c r="K1856" s="520"/>
    </row>
    <row r="1857" spans="1:11" s="196" customFormat="1">
      <c r="A1857" s="421"/>
      <c r="B1857" s="580" t="s">
        <v>9201</v>
      </c>
      <c r="C1857" s="389">
        <v>18593</v>
      </c>
      <c r="D1857" s="388">
        <f>C1857*(1-VLOOKUP(I1857,descuentos,6,FALSE))*fcl/IF(dol_sol="dólar", TC,1)</f>
        <v>4516.7078550895521</v>
      </c>
      <c r="E1857" s="633">
        <v>600</v>
      </c>
      <c r="F1857" s="582">
        <f t="shared" si="257"/>
        <v>5116.71</v>
      </c>
      <c r="G1857" s="394" t="s">
        <v>9202</v>
      </c>
      <c r="H1857" s="580" t="s">
        <v>9203</v>
      </c>
      <c r="I1857" s="622" t="s">
        <v>11649</v>
      </c>
      <c r="J1857" s="425" t="s">
        <v>753</v>
      </c>
      <c r="K1857" s="622" t="s">
        <v>741</v>
      </c>
    </row>
    <row r="1858" spans="1:11" s="196" customFormat="1">
      <c r="A1858" s="421"/>
      <c r="B1858" s="580" t="s">
        <v>7149</v>
      </c>
      <c r="C1858" s="389">
        <v>19737</v>
      </c>
      <c r="D1858" s="388">
        <f>C1858*(1-VLOOKUP(I1858,descuentos,6,FALSE))*fcl/IF(dol_sol="dólar", TC,1)</f>
        <v>4794.6142599850746</v>
      </c>
      <c r="E1858" s="633">
        <v>600</v>
      </c>
      <c r="F1858" s="582">
        <f t="shared" si="257"/>
        <v>5394.62</v>
      </c>
      <c r="G1858" s="394" t="s">
        <v>7150</v>
      </c>
      <c r="H1858" s="580" t="s">
        <v>7151</v>
      </c>
      <c r="I1858" s="622" t="s">
        <v>11649</v>
      </c>
      <c r="J1858" s="425" t="s">
        <v>753</v>
      </c>
      <c r="K1858" s="622" t="s">
        <v>741</v>
      </c>
    </row>
    <row r="1859" spans="1:11" s="196" customFormat="1">
      <c r="A1859" s="421"/>
      <c r="B1859" s="580" t="s">
        <v>5620</v>
      </c>
      <c r="C1859" s="389">
        <v>19808</v>
      </c>
      <c r="D1859" s="388">
        <f>C1859*(1-VLOOKUP(I1859,descuentos,6,FALSE))*fcl/IF(dol_sol="dólar", TC,1)</f>
        <v>4811.8619477014918</v>
      </c>
      <c r="E1859" s="633">
        <v>600</v>
      </c>
      <c r="F1859" s="582">
        <f t="shared" si="257"/>
        <v>5411.87</v>
      </c>
      <c r="G1859" s="394" t="s">
        <v>5621</v>
      </c>
      <c r="H1859" s="580" t="s">
        <v>5622</v>
      </c>
      <c r="I1859" s="622" t="s">
        <v>11649</v>
      </c>
      <c r="J1859" s="425" t="s">
        <v>753</v>
      </c>
      <c r="K1859" s="622" t="s">
        <v>741</v>
      </c>
    </row>
    <row r="1860" spans="1:11" s="196" customFormat="1">
      <c r="A1860" s="421"/>
      <c r="B1860" s="580" t="s">
        <v>5623</v>
      </c>
      <c r="C1860" s="389">
        <v>20952</v>
      </c>
      <c r="D1860" s="388">
        <f>C1860*(1-VLOOKUP(I1860,descuentos,6,FALSE))*fcl/IF(dol_sol="dólar", TC,1)</f>
        <v>5089.7683525970142</v>
      </c>
      <c r="E1860" s="633">
        <v>600</v>
      </c>
      <c r="F1860" s="582">
        <f t="shared" si="257"/>
        <v>5689.77</v>
      </c>
      <c r="G1860" s="394" t="s">
        <v>5624</v>
      </c>
      <c r="H1860" s="580" t="s">
        <v>5625</v>
      </c>
      <c r="I1860" s="622" t="s">
        <v>11649</v>
      </c>
      <c r="J1860" s="425" t="s">
        <v>753</v>
      </c>
      <c r="K1860" s="622" t="s">
        <v>741</v>
      </c>
    </row>
    <row r="1861" spans="1:11" s="196" customFormat="1">
      <c r="A1861" s="421"/>
      <c r="B1861" s="580" t="s">
        <v>3472</v>
      </c>
      <c r="C1861" s="389">
        <v>23656</v>
      </c>
      <c r="D1861" s="388">
        <f t="shared" ref="D1861:D1867" si="258">C1861*(1-VLOOKUP(I1861,descuentos,6,FALSE))*fcl/IF(dol_sol="dólar", TC,1)</f>
        <v>5746.6380368955224</v>
      </c>
      <c r="E1861" s="633">
        <v>600</v>
      </c>
      <c r="F1861" s="582">
        <f t="shared" si="257"/>
        <v>6346.64</v>
      </c>
      <c r="G1861" s="394" t="s">
        <v>3473</v>
      </c>
      <c r="H1861" s="580" t="s">
        <v>3474</v>
      </c>
      <c r="I1861" s="622" t="s">
        <v>11649</v>
      </c>
      <c r="J1861" s="425" t="s">
        <v>753</v>
      </c>
      <c r="K1861" s="622" t="s">
        <v>741</v>
      </c>
    </row>
    <row r="1862" spans="1:11" s="196" customFormat="1">
      <c r="A1862" s="421"/>
      <c r="B1862" s="580" t="s">
        <v>5626</v>
      </c>
      <c r="C1862" s="389">
        <v>24801</v>
      </c>
      <c r="D1862" s="388">
        <f>C1862*(1-VLOOKUP(I1862,descuentos,6,FALSE))*fcl/IF(dol_sol="dólar", TC,1)</f>
        <v>6024.7873669701494</v>
      </c>
      <c r="E1862" s="633">
        <v>600</v>
      </c>
      <c r="F1862" s="582">
        <f t="shared" si="257"/>
        <v>6624.79</v>
      </c>
      <c r="G1862" s="394" t="s">
        <v>5627</v>
      </c>
      <c r="H1862" s="580" t="s">
        <v>5628</v>
      </c>
      <c r="I1862" s="622" t="s">
        <v>11649</v>
      </c>
      <c r="J1862" s="425" t="s">
        <v>753</v>
      </c>
      <c r="K1862" s="622" t="s">
        <v>741</v>
      </c>
    </row>
    <row r="1863" spans="1:11" s="196" customFormat="1" ht="12" customHeight="1">
      <c r="A1863" s="421"/>
      <c r="B1863" s="580" t="s">
        <v>2361</v>
      </c>
      <c r="C1863" s="389">
        <v>22037</v>
      </c>
      <c r="D1863" s="388">
        <f t="shared" si="258"/>
        <v>5353.3421719253729</v>
      </c>
      <c r="E1863" s="633">
        <v>600</v>
      </c>
      <c r="F1863" s="582">
        <f t="shared" si="257"/>
        <v>5953.35</v>
      </c>
      <c r="G1863" s="394" t="s">
        <v>2362</v>
      </c>
      <c r="H1863" s="580" t="s">
        <v>2363</v>
      </c>
      <c r="I1863" s="622" t="s">
        <v>11649</v>
      </c>
      <c r="J1863" s="425" t="s">
        <v>753</v>
      </c>
      <c r="K1863" s="622" t="s">
        <v>741</v>
      </c>
    </row>
    <row r="1864" spans="1:11" s="196" customFormat="1">
      <c r="A1864" s="1739"/>
      <c r="B1864" s="580" t="s">
        <v>2364</v>
      </c>
      <c r="C1864" s="389">
        <v>22931</v>
      </c>
      <c r="D1864" s="388">
        <f t="shared" si="258"/>
        <v>5570.5172820447751</v>
      </c>
      <c r="E1864" s="633">
        <v>600</v>
      </c>
      <c r="F1864" s="582">
        <f t="shared" si="257"/>
        <v>6170.52</v>
      </c>
      <c r="G1864" s="394" t="s">
        <v>2365</v>
      </c>
      <c r="H1864" s="580" t="s">
        <v>2366</v>
      </c>
      <c r="I1864" s="622" t="s">
        <v>11649</v>
      </c>
      <c r="J1864" s="425" t="s">
        <v>753</v>
      </c>
      <c r="K1864" s="622" t="s">
        <v>741</v>
      </c>
    </row>
    <row r="1865" spans="1:11" s="196" customFormat="1">
      <c r="A1865" s="421"/>
      <c r="B1865" s="580" t="s">
        <v>2367</v>
      </c>
      <c r="C1865" s="389">
        <v>33514</v>
      </c>
      <c r="D1865" s="388">
        <f t="shared" si="258"/>
        <v>8141.3944525074612</v>
      </c>
      <c r="E1865" s="633">
        <v>600</v>
      </c>
      <c r="F1865" s="582">
        <f t="shared" si="257"/>
        <v>8741.4</v>
      </c>
      <c r="G1865" s="394" t="s">
        <v>2368</v>
      </c>
      <c r="H1865" s="580" t="s">
        <v>2369</v>
      </c>
      <c r="I1865" s="622" t="s">
        <v>11649</v>
      </c>
      <c r="J1865" s="425" t="s">
        <v>753</v>
      </c>
      <c r="K1865" s="622" t="s">
        <v>741</v>
      </c>
    </row>
    <row r="1866" spans="1:11" s="196" customFormat="1">
      <c r="A1866" s="1739"/>
      <c r="B1866" s="580" t="s">
        <v>2370</v>
      </c>
      <c r="C1866" s="389">
        <v>34659</v>
      </c>
      <c r="D1866" s="388">
        <f t="shared" si="258"/>
        <v>8419.5437825820882</v>
      </c>
      <c r="E1866" s="633">
        <v>600</v>
      </c>
      <c r="F1866" s="582">
        <f t="shared" si="257"/>
        <v>9019.5500000000011</v>
      </c>
      <c r="G1866" s="394" t="s">
        <v>2371</v>
      </c>
      <c r="H1866" s="580" t="s">
        <v>2372</v>
      </c>
      <c r="I1866" s="622" t="s">
        <v>11649</v>
      </c>
      <c r="J1866" s="425" t="s">
        <v>753</v>
      </c>
      <c r="K1866" s="622" t="s">
        <v>741</v>
      </c>
    </row>
    <row r="1867" spans="1:11" s="196" customFormat="1">
      <c r="A1867" s="421"/>
      <c r="B1867" s="580" t="s">
        <v>2373</v>
      </c>
      <c r="C1867" s="389">
        <v>40775</v>
      </c>
      <c r="D1867" s="388">
        <f t="shared" si="258"/>
        <v>9905.2741779850749</v>
      </c>
      <c r="E1867" s="633">
        <v>600</v>
      </c>
      <c r="F1867" s="582">
        <f t="shared" si="257"/>
        <v>10505.28</v>
      </c>
      <c r="G1867" s="394" t="s">
        <v>2374</v>
      </c>
      <c r="H1867" s="580" t="s">
        <v>2375</v>
      </c>
      <c r="I1867" s="622" t="s">
        <v>11649</v>
      </c>
      <c r="J1867" s="425" t="s">
        <v>753</v>
      </c>
      <c r="K1867" s="622" t="s">
        <v>741</v>
      </c>
    </row>
    <row r="1868" spans="1:11" s="194" customFormat="1">
      <c r="A1868" s="421"/>
      <c r="B1868" s="592"/>
      <c r="C1868" s="209" t="s">
        <v>2058</v>
      </c>
      <c r="D1868" s="244"/>
      <c r="E1868" s="228"/>
      <c r="F1868" s="585">
        <f t="shared" si="257"/>
        <v>0</v>
      </c>
      <c r="G1868" s="338"/>
      <c r="H1868" s="592"/>
      <c r="I1868" s="520"/>
      <c r="J1868" s="421"/>
      <c r="K1868" s="520"/>
    </row>
    <row r="1869" spans="1:11" s="196" customFormat="1">
      <c r="A1869" s="421"/>
      <c r="B1869" s="580" t="s">
        <v>7152</v>
      </c>
      <c r="C1869" s="389">
        <v>31489</v>
      </c>
      <c r="D1869" s="388">
        <f>C1869*(1-VLOOKUP(I1869,descuentos,6,FALSE))*fcl/IF(dol_sol="dólar", TC,1)</f>
        <v>7649.4709648208946</v>
      </c>
      <c r="E1869" s="633">
        <v>600</v>
      </c>
      <c r="F1869" s="582">
        <f t="shared" si="257"/>
        <v>8249.48</v>
      </c>
      <c r="G1869" s="394" t="s">
        <v>7153</v>
      </c>
      <c r="H1869" s="580" t="s">
        <v>7154</v>
      </c>
      <c r="I1869" s="622" t="s">
        <v>11649</v>
      </c>
      <c r="J1869" s="425" t="s">
        <v>753</v>
      </c>
      <c r="K1869" s="622" t="s">
        <v>741</v>
      </c>
    </row>
    <row r="1870" spans="1:11" s="196" customFormat="1">
      <c r="A1870" s="421"/>
      <c r="B1870" s="580"/>
      <c r="C1870" s="389" t="s">
        <v>2058</v>
      </c>
      <c r="D1870" s="388"/>
      <c r="E1870" s="633"/>
      <c r="F1870" s="582"/>
      <c r="G1870" s="394"/>
      <c r="H1870" s="580"/>
      <c r="I1870" s="622"/>
      <c r="J1870" s="425"/>
      <c r="K1870" s="622"/>
    </row>
    <row r="1871" spans="1:11" s="196" customFormat="1" ht="12" customHeight="1">
      <c r="A1871" s="1642"/>
      <c r="B1871" s="580" t="s">
        <v>11100</v>
      </c>
      <c r="C1871" s="389">
        <v>16213</v>
      </c>
      <c r="D1871" s="388">
        <f t="shared" ref="D1871:D1877" si="259">C1871*(1-VLOOKUP(I1871,descuentos,6,FALSE))*fcl/IF(dol_sol="dólar", TC,1)</f>
        <v>3938.5459288208949</v>
      </c>
      <c r="E1871" s="633">
        <v>600</v>
      </c>
      <c r="F1871" s="582">
        <f t="shared" ref="F1871:F1878" si="260">ROUNDUP(D1871+E1871,2)</f>
        <v>4538.55</v>
      </c>
      <c r="G1871" s="394" t="s">
        <v>11101</v>
      </c>
      <c r="H1871" s="580" t="s">
        <v>11102</v>
      </c>
      <c r="I1871" s="622" t="s">
        <v>11649</v>
      </c>
      <c r="J1871" s="425" t="s">
        <v>753</v>
      </c>
      <c r="K1871" s="622" t="s">
        <v>741</v>
      </c>
    </row>
    <row r="1872" spans="1:11" s="196" customFormat="1" ht="12" customHeight="1">
      <c r="A1872" s="1642"/>
      <c r="B1872" s="580" t="s">
        <v>11103</v>
      </c>
      <c r="C1872" s="389">
        <v>20266</v>
      </c>
      <c r="D1872" s="388">
        <f t="shared" si="259"/>
        <v>4923.1216797313436</v>
      </c>
      <c r="E1872" s="633">
        <v>600</v>
      </c>
      <c r="F1872" s="582">
        <f t="shared" si="260"/>
        <v>5523.13</v>
      </c>
      <c r="G1872" s="394" t="s">
        <v>11104</v>
      </c>
      <c r="H1872" s="580" t="s">
        <v>11105</v>
      </c>
      <c r="I1872" s="622" t="s">
        <v>11649</v>
      </c>
      <c r="J1872" s="425" t="s">
        <v>753</v>
      </c>
      <c r="K1872" s="622" t="s">
        <v>741</v>
      </c>
    </row>
    <row r="1873" spans="1:11" s="196" customFormat="1" ht="12" customHeight="1">
      <c r="A1873" s="1642"/>
      <c r="B1873" s="580" t="s">
        <v>11106</v>
      </c>
      <c r="C1873" s="389">
        <v>19383</v>
      </c>
      <c r="D1873" s="388">
        <f t="shared" si="259"/>
        <v>4708.6187465820894</v>
      </c>
      <c r="E1873" s="633">
        <v>600</v>
      </c>
      <c r="F1873" s="582">
        <f t="shared" si="260"/>
        <v>5308.62</v>
      </c>
      <c r="G1873" s="394" t="s">
        <v>11107</v>
      </c>
      <c r="H1873" s="580" t="s">
        <v>11108</v>
      </c>
      <c r="I1873" s="622" t="s">
        <v>11649</v>
      </c>
      <c r="J1873" s="425" t="s">
        <v>753</v>
      </c>
      <c r="K1873" s="622" t="s">
        <v>741</v>
      </c>
    </row>
    <row r="1874" spans="1:11" s="196" customFormat="1" ht="12" customHeight="1">
      <c r="A1874" s="1642"/>
      <c r="B1874" s="580" t="s">
        <v>7155</v>
      </c>
      <c r="C1874" s="389">
        <v>24229</v>
      </c>
      <c r="D1874" s="388">
        <f t="shared" si="259"/>
        <v>5885.8341645223873</v>
      </c>
      <c r="E1874" s="633">
        <v>600</v>
      </c>
      <c r="F1874" s="582">
        <f t="shared" si="260"/>
        <v>6485.84</v>
      </c>
      <c r="G1874" s="394" t="s">
        <v>7156</v>
      </c>
      <c r="H1874" s="580" t="s">
        <v>7157</v>
      </c>
      <c r="I1874" s="622" t="s">
        <v>11649</v>
      </c>
      <c r="J1874" s="425" t="s">
        <v>753</v>
      </c>
      <c r="K1874" s="622" t="s">
        <v>741</v>
      </c>
    </row>
    <row r="1875" spans="1:11" s="196" customFormat="1" ht="12" customHeight="1">
      <c r="A1875" s="1642"/>
      <c r="B1875" s="580" t="s">
        <v>9899</v>
      </c>
      <c r="C1875" s="389">
        <v>22224</v>
      </c>
      <c r="D1875" s="388">
        <f t="shared" si="259"/>
        <v>5398.7691804179094</v>
      </c>
      <c r="E1875" s="633">
        <v>600</v>
      </c>
      <c r="F1875" s="582">
        <f t="shared" si="260"/>
        <v>5998.77</v>
      </c>
      <c r="G1875" s="394" t="s">
        <v>9900</v>
      </c>
      <c r="H1875" s="580" t="s">
        <v>9901</v>
      </c>
      <c r="I1875" s="622" t="s">
        <v>11649</v>
      </c>
      <c r="J1875" s="425" t="s">
        <v>753</v>
      </c>
      <c r="K1875" s="622" t="s">
        <v>741</v>
      </c>
    </row>
    <row r="1876" spans="1:11" s="196" customFormat="1" ht="12" customHeight="1">
      <c r="A1876" s="1642"/>
      <c r="B1876" s="580" t="s">
        <v>13048</v>
      </c>
      <c r="C1876" s="389">
        <v>23141</v>
      </c>
      <c r="D1876" s="388">
        <f t="shared" ref="D1876" si="261">C1876*(1-VLOOKUP(I1876,descuentos,6,FALSE))*fcl/IF(dol_sol="dólar", TC,1)</f>
        <v>5621.5315696567159</v>
      </c>
      <c r="E1876" s="633">
        <v>600</v>
      </c>
      <c r="F1876" s="582">
        <f t="shared" si="260"/>
        <v>6221.54</v>
      </c>
      <c r="G1876" s="394" t="s">
        <v>13049</v>
      </c>
      <c r="H1876" s="580" t="s">
        <v>13050</v>
      </c>
      <c r="I1876" s="622" t="s">
        <v>11649</v>
      </c>
      <c r="J1876" s="425" t="s">
        <v>753</v>
      </c>
      <c r="K1876" s="622" t="s">
        <v>741</v>
      </c>
    </row>
    <row r="1877" spans="1:11" s="196" customFormat="1" ht="12" customHeight="1">
      <c r="A1877" s="1642"/>
      <c r="B1877" s="580" t="s">
        <v>7158</v>
      </c>
      <c r="C1877" s="389">
        <v>27780</v>
      </c>
      <c r="D1877" s="388">
        <f t="shared" si="259"/>
        <v>6748.4614755223865</v>
      </c>
      <c r="E1877" s="633">
        <v>600</v>
      </c>
      <c r="F1877" s="582">
        <f t="shared" si="260"/>
        <v>7348.47</v>
      </c>
      <c r="G1877" s="394" t="s">
        <v>7159</v>
      </c>
      <c r="H1877" s="580" t="s">
        <v>7160</v>
      </c>
      <c r="I1877" s="622" t="s">
        <v>11649</v>
      </c>
      <c r="J1877" s="425" t="s">
        <v>753</v>
      </c>
      <c r="K1877" s="622" t="s">
        <v>741</v>
      </c>
    </row>
    <row r="1878" spans="1:11" s="196" customFormat="1" ht="12" customHeight="1">
      <c r="A1878" s="1642"/>
      <c r="B1878" s="580" t="s">
        <v>13051</v>
      </c>
      <c r="C1878" s="389">
        <v>28422</v>
      </c>
      <c r="D1878" s="388">
        <f t="shared" ref="D1878" si="262">C1878*(1-VLOOKUP(I1878,descuentos,6,FALSE))*fcl/IF(dol_sol="dólar", TC,1)</f>
        <v>6904.4194405074613</v>
      </c>
      <c r="E1878" s="633">
        <v>600</v>
      </c>
      <c r="F1878" s="582">
        <f t="shared" si="260"/>
        <v>7504.42</v>
      </c>
      <c r="G1878" s="394" t="s">
        <v>13052</v>
      </c>
      <c r="H1878" s="580" t="s">
        <v>13053</v>
      </c>
      <c r="I1878" s="622" t="s">
        <v>11649</v>
      </c>
      <c r="J1878" s="425" t="s">
        <v>753</v>
      </c>
      <c r="K1878" s="622" t="s">
        <v>741</v>
      </c>
    </row>
    <row r="1879" spans="1:11" s="341" customFormat="1">
      <c r="A1879" s="421"/>
      <c r="B1879" s="338"/>
      <c r="C1879" s="209" t="s">
        <v>2058</v>
      </c>
      <c r="D1879" s="244"/>
      <c r="E1879" s="228"/>
      <c r="F1879" s="585"/>
      <c r="G1879" s="338"/>
      <c r="H1879" s="592"/>
      <c r="I1879" s="520"/>
      <c r="J1879" s="421"/>
      <c r="K1879" s="520"/>
    </row>
    <row r="1880" spans="1:11" s="341" customFormat="1">
      <c r="A1880" s="421"/>
      <c r="B1880" s="394" t="s">
        <v>7161</v>
      </c>
      <c r="C1880" s="389">
        <v>1809</v>
      </c>
      <c r="D1880" s="388">
        <f>C1880*(1-VLOOKUP(I1880,descuentos,6,FALSE))*fcl/IF(dol_sol="dólar", TC,1)</f>
        <v>439.45164899999992</v>
      </c>
      <c r="E1880" s="386">
        <f>D1880/8</f>
        <v>54.93145612499999</v>
      </c>
      <c r="F1880" s="582">
        <f>ROUNDUP(D1880+E1880,2)</f>
        <v>494.39</v>
      </c>
      <c r="G1880" s="394" t="s">
        <v>7162</v>
      </c>
      <c r="H1880" s="592" t="s">
        <v>7163</v>
      </c>
      <c r="I1880" s="520" t="s">
        <v>11649</v>
      </c>
      <c r="J1880" s="421" t="s">
        <v>753</v>
      </c>
      <c r="K1880" s="520" t="s">
        <v>741</v>
      </c>
    </row>
    <row r="1881" spans="1:11" s="341" customFormat="1">
      <c r="A1881" s="421"/>
      <c r="B1881" s="394"/>
      <c r="C1881" s="389" t="s">
        <v>2058</v>
      </c>
      <c r="D1881" s="388"/>
      <c r="E1881" s="386"/>
      <c r="F1881" s="582"/>
      <c r="G1881" s="394"/>
      <c r="H1881" s="592"/>
      <c r="I1881" s="520"/>
      <c r="J1881" s="421"/>
      <c r="K1881" s="520"/>
    </row>
    <row r="1882" spans="1:11" s="341" customFormat="1">
      <c r="A1882" s="421"/>
      <c r="B1882" s="394" t="s">
        <v>7164</v>
      </c>
      <c r="C1882" s="389">
        <v>614</v>
      </c>
      <c r="D1882" s="388">
        <f>C1882*(1-VLOOKUP(I1882,descuentos,6,FALSE))*fcl/IF(dol_sol="dólar", TC,1)</f>
        <v>149.15605997014924</v>
      </c>
      <c r="E1882" s="386">
        <f>D1882/8</f>
        <v>18.644507496268655</v>
      </c>
      <c r="F1882" s="582">
        <f>ROUNDUP(D1882+E1882,2)</f>
        <v>167.81</v>
      </c>
      <c r="G1882" s="394" t="s">
        <v>7165</v>
      </c>
      <c r="H1882" s="592" t="s">
        <v>7166</v>
      </c>
      <c r="I1882" s="520" t="s">
        <v>11649</v>
      </c>
      <c r="J1882" s="421" t="s">
        <v>753</v>
      </c>
      <c r="K1882" s="520" t="s">
        <v>741</v>
      </c>
    </row>
    <row r="1883" spans="1:11" s="341" customFormat="1">
      <c r="A1883" s="421"/>
      <c r="B1883" s="338"/>
      <c r="C1883" s="209" t="s">
        <v>2058</v>
      </c>
      <c r="D1883" s="244"/>
      <c r="E1883" s="228"/>
      <c r="F1883" s="585"/>
      <c r="G1883" s="338"/>
      <c r="H1883" s="592"/>
      <c r="I1883" s="520"/>
      <c r="J1883" s="421"/>
      <c r="K1883" s="520"/>
    </row>
    <row r="1884" spans="1:11" s="341" customFormat="1">
      <c r="A1884" s="421"/>
      <c r="B1884" s="338"/>
      <c r="C1884" s="209" t="s">
        <v>2058</v>
      </c>
      <c r="D1884" s="388"/>
      <c r="E1884" s="386"/>
      <c r="F1884" s="582"/>
      <c r="G1884" s="338"/>
      <c r="H1884" s="592"/>
      <c r="I1884" s="520"/>
      <c r="J1884" s="421"/>
      <c r="K1884" s="520"/>
    </row>
    <row r="1885" spans="1:11" s="341" customFormat="1">
      <c r="A1885" s="421"/>
      <c r="B1885" s="338"/>
      <c r="C1885" s="209" t="s">
        <v>2058</v>
      </c>
      <c r="D1885" s="388"/>
      <c r="E1885" s="386"/>
      <c r="F1885" s="582"/>
      <c r="G1885" s="338"/>
      <c r="H1885" s="592"/>
      <c r="I1885" s="520"/>
      <c r="J1885" s="421"/>
      <c r="K1885" s="520"/>
    </row>
    <row r="1886" spans="1:11" s="196" customFormat="1">
      <c r="A1886" s="2117"/>
      <c r="B1886" s="580" t="s">
        <v>12294</v>
      </c>
      <c r="C1886" s="389">
        <v>27507</v>
      </c>
      <c r="D1886" s="388">
        <f>C1886*(1-VLOOKUP(I1886,descuentos,6,FALSE))*fcl/IF(dol_sol="dólar", TC,1)</f>
        <v>6682.1429016268639</v>
      </c>
      <c r="E1886" s="472">
        <v>600</v>
      </c>
      <c r="F1886" s="582">
        <f>ROUNDUP(D1886+E1886,2)</f>
        <v>7282.1500000000005</v>
      </c>
      <c r="G1886" s="394" t="s">
        <v>12295</v>
      </c>
      <c r="H1886" s="580" t="s">
        <v>12296</v>
      </c>
      <c r="I1886" s="622" t="s">
        <v>11649</v>
      </c>
      <c r="J1886" s="425" t="s">
        <v>753</v>
      </c>
      <c r="K1886" s="622" t="s">
        <v>741</v>
      </c>
    </row>
    <row r="1887" spans="1:11" s="196" customFormat="1">
      <c r="A1887" s="421"/>
      <c r="B1887" s="580" t="s">
        <v>7167</v>
      </c>
      <c r="C1887" s="389">
        <v>34383</v>
      </c>
      <c r="D1887" s="388">
        <f>C1887*(1-VLOOKUP(I1887,descuentos,6,FALSE))*fcl/IF(dol_sol="dólar", TC,1)</f>
        <v>8352.4964331492538</v>
      </c>
      <c r="E1887" s="472">
        <v>600</v>
      </c>
      <c r="F1887" s="582">
        <f>ROUNDUP(D1887+E1887,2)</f>
        <v>8952.5</v>
      </c>
      <c r="G1887" s="394" t="s">
        <v>7168</v>
      </c>
      <c r="H1887" s="580" t="s">
        <v>7169</v>
      </c>
      <c r="I1887" s="622" t="s">
        <v>11649</v>
      </c>
      <c r="J1887" s="425" t="s">
        <v>753</v>
      </c>
      <c r="K1887" s="622" t="s">
        <v>741</v>
      </c>
    </row>
    <row r="1888" spans="1:11" s="196" customFormat="1">
      <c r="A1888" s="421"/>
      <c r="B1888" s="580"/>
      <c r="C1888" s="389" t="s">
        <v>2058</v>
      </c>
      <c r="D1888" s="388"/>
      <c r="E1888" s="472"/>
      <c r="F1888" s="582"/>
      <c r="G1888" s="394"/>
      <c r="H1888" s="580"/>
      <c r="I1888" s="622"/>
      <c r="J1888" s="425"/>
      <c r="K1888" s="622"/>
    </row>
    <row r="1889" spans="1:11" s="196" customFormat="1">
      <c r="A1889" s="421"/>
      <c r="B1889" s="580" t="s">
        <v>3017</v>
      </c>
      <c r="C1889" s="389">
        <v>30270</v>
      </c>
      <c r="D1889" s="388">
        <f>C1889*(1-VLOOKUP(I1889,descuentos,6,FALSE))*fcl/IF(dol_sol="dólar", TC,1)</f>
        <v>7353.3451714925368</v>
      </c>
      <c r="E1889" s="633">
        <v>600</v>
      </c>
      <c r="F1889" s="582">
        <f t="shared" ref="F1889:F1909" si="263">ROUNDUP(D1889+E1889,2)</f>
        <v>7953.35</v>
      </c>
      <c r="G1889" s="394" t="s">
        <v>3018</v>
      </c>
      <c r="H1889" s="580" t="s">
        <v>3019</v>
      </c>
      <c r="I1889" s="622" t="s">
        <v>11649</v>
      </c>
      <c r="J1889" s="425" t="s">
        <v>753</v>
      </c>
      <c r="K1889" s="622" t="s">
        <v>741</v>
      </c>
    </row>
    <row r="1890" spans="1:11" s="196" customFormat="1">
      <c r="A1890" s="421"/>
      <c r="B1890" s="580" t="s">
        <v>7170</v>
      </c>
      <c r="C1890" s="389">
        <v>31414</v>
      </c>
      <c r="D1890" s="388">
        <f>C1890*(1-VLOOKUP(I1890,descuentos,6,FALSE))*fcl/IF(dol_sol="dólar", TC,1)</f>
        <v>7631.2515763880583</v>
      </c>
      <c r="E1890" s="633">
        <v>600</v>
      </c>
      <c r="F1890" s="582">
        <f t="shared" si="263"/>
        <v>8231.26</v>
      </c>
      <c r="G1890" s="394" t="s">
        <v>7171</v>
      </c>
      <c r="H1890" s="580" t="s">
        <v>7172</v>
      </c>
      <c r="I1890" s="622" t="s">
        <v>11649</v>
      </c>
      <c r="J1890" s="425" t="s">
        <v>753</v>
      </c>
      <c r="K1890" s="622" t="s">
        <v>741</v>
      </c>
    </row>
    <row r="1891" spans="1:11" s="196" customFormat="1">
      <c r="A1891" s="421"/>
      <c r="B1891" s="580" t="s">
        <v>3022</v>
      </c>
      <c r="C1891" s="389">
        <v>38733</v>
      </c>
      <c r="D1891" s="388">
        <f>C1891*(1-VLOOKUP(I1891,descuentos,6,FALSE))*fcl/IF(dol_sol="dólar", TC,1)</f>
        <v>9409.2209622537302</v>
      </c>
      <c r="E1891" s="633">
        <v>600</v>
      </c>
      <c r="F1891" s="582">
        <f t="shared" si="263"/>
        <v>10009.23</v>
      </c>
      <c r="G1891" s="394" t="s">
        <v>3023</v>
      </c>
      <c r="H1891" s="580" t="s">
        <v>3024</v>
      </c>
      <c r="I1891" s="622" t="s">
        <v>11649</v>
      </c>
      <c r="J1891" s="425" t="s">
        <v>753</v>
      </c>
      <c r="K1891" s="622" t="s">
        <v>741</v>
      </c>
    </row>
    <row r="1892" spans="1:11" s="196" customFormat="1">
      <c r="A1892" s="421"/>
      <c r="B1892" s="580" t="s">
        <v>7173</v>
      </c>
      <c r="C1892" s="389">
        <v>39876</v>
      </c>
      <c r="D1892" s="388">
        <f>C1892*(1-VLOOKUP(I1892,descuentos,6,FALSE))*fcl/IF(dol_sol="dólar", TC,1)</f>
        <v>9686.8844419701491</v>
      </c>
      <c r="E1892" s="633">
        <v>600</v>
      </c>
      <c r="F1892" s="582">
        <f t="shared" si="263"/>
        <v>10286.89</v>
      </c>
      <c r="G1892" s="394" t="s">
        <v>7174</v>
      </c>
      <c r="H1892" s="580" t="s">
        <v>7175</v>
      </c>
      <c r="I1892" s="622" t="s">
        <v>11649</v>
      </c>
      <c r="J1892" s="425" t="s">
        <v>753</v>
      </c>
      <c r="K1892" s="622" t="s">
        <v>741</v>
      </c>
    </row>
    <row r="1893" spans="1:11" s="196" customFormat="1">
      <c r="A1893" s="421"/>
      <c r="B1893" s="580" t="s">
        <v>7176</v>
      </c>
      <c r="C1893" s="389">
        <v>45992</v>
      </c>
      <c r="D1893" s="388">
        <f>C1893*(1-VLOOKUP(I1893,descuentos,6,FALSE))*fcl/IF(dol_sol="dólar", TC,1)</f>
        <v>11172.614837373134</v>
      </c>
      <c r="E1893" s="633">
        <v>600</v>
      </c>
      <c r="F1893" s="582">
        <f t="shared" si="263"/>
        <v>11772.62</v>
      </c>
      <c r="G1893" s="394" t="s">
        <v>7177</v>
      </c>
      <c r="H1893" s="580" t="s">
        <v>7178</v>
      </c>
      <c r="I1893" s="622" t="s">
        <v>11649</v>
      </c>
      <c r="J1893" s="425" t="s">
        <v>753</v>
      </c>
      <c r="K1893" s="622" t="s">
        <v>741</v>
      </c>
    </row>
    <row r="1894" spans="1:11" s="194" customFormat="1">
      <c r="A1894" s="421"/>
      <c r="B1894" s="592"/>
      <c r="C1894" s="209" t="s">
        <v>2058</v>
      </c>
      <c r="D1894" s="244"/>
      <c r="E1894" s="228"/>
      <c r="F1894" s="585">
        <f t="shared" si="263"/>
        <v>0</v>
      </c>
      <c r="G1894" s="338"/>
      <c r="H1894" s="592"/>
      <c r="I1894" s="520"/>
      <c r="J1894" s="421"/>
      <c r="K1894" s="520"/>
    </row>
    <row r="1895" spans="1:11" s="194" customFormat="1">
      <c r="A1895" s="421"/>
      <c r="B1895" s="592"/>
      <c r="C1895" s="209" t="s">
        <v>2058</v>
      </c>
      <c r="D1895" s="244"/>
      <c r="E1895" s="228"/>
      <c r="F1895" s="585">
        <f t="shared" si="263"/>
        <v>0</v>
      </c>
      <c r="G1895" s="338"/>
      <c r="H1895" s="592"/>
      <c r="I1895" s="520"/>
      <c r="J1895" s="421"/>
      <c r="K1895" s="520"/>
    </row>
    <row r="1896" spans="1:11" s="196" customFormat="1">
      <c r="A1896" s="421"/>
      <c r="B1896" s="592" t="s">
        <v>938</v>
      </c>
      <c r="C1896" s="209">
        <v>27175</v>
      </c>
      <c r="D1896" s="244">
        <f>C1896*(1-VLOOKUP(I1896,descuentos,6,FALSE))*fcl/IF(dol_sol="dólar", TC,1)</f>
        <v>6601.4917421641785</v>
      </c>
      <c r="E1896" s="472">
        <v>600</v>
      </c>
      <c r="F1896" s="585">
        <f t="shared" si="263"/>
        <v>7201.5</v>
      </c>
      <c r="G1896" s="338" t="s">
        <v>1502</v>
      </c>
      <c r="H1896" s="592" t="s">
        <v>939</v>
      </c>
      <c r="I1896" s="520" t="s">
        <v>11649</v>
      </c>
      <c r="J1896" s="421" t="s">
        <v>753</v>
      </c>
      <c r="K1896" s="520" t="s">
        <v>741</v>
      </c>
    </row>
    <row r="1897" spans="1:11" s="196" customFormat="1">
      <c r="A1897" s="421"/>
      <c r="B1897" s="592" t="s">
        <v>9204</v>
      </c>
      <c r="C1897" s="209">
        <v>30393</v>
      </c>
      <c r="D1897" s="244">
        <f>C1897*(1-VLOOKUP(I1897,descuentos,6,FALSE))*fcl/IF(dol_sol="dólar", TC,1)</f>
        <v>7383.2249685223878</v>
      </c>
      <c r="E1897" s="472">
        <v>600</v>
      </c>
      <c r="F1897" s="585">
        <f t="shared" si="263"/>
        <v>7983.2300000000005</v>
      </c>
      <c r="G1897" s="338" t="s">
        <v>9205</v>
      </c>
      <c r="H1897" s="592" t="s">
        <v>9206</v>
      </c>
      <c r="I1897" s="520" t="s">
        <v>11649</v>
      </c>
      <c r="J1897" s="421" t="s">
        <v>753</v>
      </c>
      <c r="K1897" s="520" t="s">
        <v>741</v>
      </c>
    </row>
    <row r="1898" spans="1:11" s="196" customFormat="1">
      <c r="A1898" s="421"/>
      <c r="B1898" s="592" t="s">
        <v>945</v>
      </c>
      <c r="C1898" s="209">
        <v>43610</v>
      </c>
      <c r="D1898" s="244">
        <f>C1898*(1-VLOOKUP(I1898,descuentos,6,FALSE))*fcl/IF(dol_sol="dólar", TC,1)</f>
        <v>10593.967060746267</v>
      </c>
      <c r="E1898" s="472">
        <v>600</v>
      </c>
      <c r="F1898" s="585">
        <f t="shared" si="263"/>
        <v>11193.97</v>
      </c>
      <c r="G1898" s="338" t="s">
        <v>1503</v>
      </c>
      <c r="H1898" s="592" t="s">
        <v>944</v>
      </c>
      <c r="I1898" s="520" t="s">
        <v>11649</v>
      </c>
      <c r="J1898" s="421" t="s">
        <v>753</v>
      </c>
      <c r="K1898" s="520" t="s">
        <v>741</v>
      </c>
    </row>
    <row r="1899" spans="1:11" s="196" customFormat="1">
      <c r="A1899" s="421"/>
      <c r="B1899" s="592" t="s">
        <v>10261</v>
      </c>
      <c r="C1899" s="209">
        <v>44526</v>
      </c>
      <c r="D1899" s="244">
        <f>C1899*(1-VLOOKUP(I1899,descuentos,6,FALSE))*fcl/IF(dol_sol="dólar", TC,1)</f>
        <v>10816.486524805967</v>
      </c>
      <c r="E1899" s="472">
        <v>600</v>
      </c>
      <c r="F1899" s="585">
        <f t="shared" si="263"/>
        <v>11416.49</v>
      </c>
      <c r="G1899" s="338" t="s">
        <v>10262</v>
      </c>
      <c r="H1899" s="592" t="s">
        <v>10263</v>
      </c>
      <c r="I1899" s="520" t="s">
        <v>11649</v>
      </c>
      <c r="J1899" s="421" t="s">
        <v>753</v>
      </c>
      <c r="K1899" s="520" t="s">
        <v>741</v>
      </c>
    </row>
    <row r="1900" spans="1:11" s="196" customFormat="1">
      <c r="A1900" s="1739"/>
      <c r="B1900" s="580" t="s">
        <v>10264</v>
      </c>
      <c r="C1900" s="389">
        <v>51511</v>
      </c>
      <c r="D1900" s="388">
        <f t="shared" ref="D1900" si="264">C1900*(1-VLOOKUP(I1900,descuentos,6,FALSE))*fcl/IF(dol_sol="dólar", TC,1)</f>
        <v>12513.318900850745</v>
      </c>
      <c r="E1900" s="633">
        <v>600</v>
      </c>
      <c r="F1900" s="582">
        <f t="shared" si="263"/>
        <v>13113.32</v>
      </c>
      <c r="G1900" s="394" t="s">
        <v>10265</v>
      </c>
      <c r="H1900" s="580" t="s">
        <v>10266</v>
      </c>
      <c r="I1900" s="622" t="s">
        <v>11649</v>
      </c>
      <c r="J1900" s="425" t="s">
        <v>753</v>
      </c>
      <c r="K1900" s="622" t="s">
        <v>741</v>
      </c>
    </row>
    <row r="1901" spans="1:11" s="194" customFormat="1">
      <c r="A1901" s="421"/>
      <c r="B1901" s="592"/>
      <c r="C1901" s="209" t="s">
        <v>2058</v>
      </c>
      <c r="D1901" s="244"/>
      <c r="E1901" s="228"/>
      <c r="F1901" s="585"/>
      <c r="G1901" s="338"/>
      <c r="H1901" s="592"/>
      <c r="I1901" s="520"/>
      <c r="J1901" s="421"/>
      <c r="K1901" s="520"/>
    </row>
    <row r="1902" spans="1:11" s="196" customFormat="1">
      <c r="A1902" s="421"/>
      <c r="B1902" s="592"/>
      <c r="C1902" s="209" t="s">
        <v>2058</v>
      </c>
      <c r="D1902" s="244"/>
      <c r="E1902" s="228"/>
      <c r="F1902" s="585">
        <f t="shared" si="263"/>
        <v>0</v>
      </c>
      <c r="G1902" s="338"/>
      <c r="H1902" s="592"/>
      <c r="I1902" s="520"/>
      <c r="J1902" s="421"/>
      <c r="K1902" s="520"/>
    </row>
    <row r="1903" spans="1:11" s="196" customFormat="1">
      <c r="A1903" s="421"/>
      <c r="B1903" s="580" t="s">
        <v>3457</v>
      </c>
      <c r="C1903" s="389">
        <v>36846</v>
      </c>
      <c r="D1903" s="388">
        <f>C1903*(1-VLOOKUP(I1903,descuentos,6,FALSE))*fcl/IF(dol_sol="dólar", TC,1)</f>
        <v>8950.8211492835817</v>
      </c>
      <c r="E1903" s="472">
        <v>700</v>
      </c>
      <c r="F1903" s="582">
        <f t="shared" si="263"/>
        <v>9650.83</v>
      </c>
      <c r="G1903" s="394" t="s">
        <v>3458</v>
      </c>
      <c r="H1903" s="580" t="s">
        <v>3459</v>
      </c>
      <c r="I1903" s="622" t="s">
        <v>11649</v>
      </c>
      <c r="J1903" s="425" t="s">
        <v>753</v>
      </c>
      <c r="K1903" s="622" t="s">
        <v>741</v>
      </c>
    </row>
    <row r="1904" spans="1:11" s="196" customFormat="1">
      <c r="A1904" s="1739"/>
      <c r="B1904" s="592" t="s">
        <v>9902</v>
      </c>
      <c r="C1904" s="209">
        <v>54511</v>
      </c>
      <c r="D1904" s="244">
        <f>C1904*(1-VLOOKUP(I1904,descuentos,6,FALSE))*fcl/IF(dol_sol="dólar", TC,1)</f>
        <v>13242.094438164177</v>
      </c>
      <c r="E1904" s="472">
        <v>600</v>
      </c>
      <c r="F1904" s="585">
        <f t="shared" si="263"/>
        <v>13842.1</v>
      </c>
      <c r="G1904" s="338" t="s">
        <v>9903</v>
      </c>
      <c r="H1904" s="592" t="s">
        <v>9904</v>
      </c>
      <c r="I1904" s="520" t="s">
        <v>11649</v>
      </c>
      <c r="J1904" s="421" t="s">
        <v>753</v>
      </c>
      <c r="K1904" s="520" t="s">
        <v>741</v>
      </c>
    </row>
    <row r="1905" spans="1:11" s="196" customFormat="1">
      <c r="A1905" s="421"/>
      <c r="B1905" s="592"/>
      <c r="C1905" s="209" t="s">
        <v>2058</v>
      </c>
      <c r="D1905" s="244"/>
      <c r="E1905" s="228"/>
      <c r="F1905" s="585">
        <f t="shared" si="263"/>
        <v>0</v>
      </c>
      <c r="G1905" s="338"/>
      <c r="H1905" s="592"/>
      <c r="I1905" s="520"/>
      <c r="J1905" s="421"/>
      <c r="K1905" s="520"/>
    </row>
    <row r="1906" spans="1:11" s="196" customFormat="1">
      <c r="A1906" s="421"/>
      <c r="B1906" s="592" t="s">
        <v>948</v>
      </c>
      <c r="C1906" s="209">
        <v>30277</v>
      </c>
      <c r="D1906" s="244">
        <f>C1906*(1-VLOOKUP(I1906,descuentos,6,FALSE))*fcl/IF(dol_sol="dólar", TC,1)</f>
        <v>7355.0456477462685</v>
      </c>
      <c r="E1906" s="472">
        <v>600</v>
      </c>
      <c r="F1906" s="585">
        <f t="shared" si="263"/>
        <v>7955.05</v>
      </c>
      <c r="G1906" s="338" t="s">
        <v>1504</v>
      </c>
      <c r="H1906" s="592" t="s">
        <v>946</v>
      </c>
      <c r="I1906" s="520" t="s">
        <v>11649</v>
      </c>
      <c r="J1906" s="421" t="s">
        <v>753</v>
      </c>
      <c r="K1906" s="520" t="s">
        <v>741</v>
      </c>
    </row>
    <row r="1907" spans="1:11" s="196" customFormat="1">
      <c r="A1907" s="421"/>
      <c r="B1907" s="592" t="s">
        <v>949</v>
      </c>
      <c r="C1907" s="209">
        <v>44621</v>
      </c>
      <c r="D1907" s="244">
        <f>C1907*(1-VLOOKUP(I1907,descuentos,6,FALSE))*fcl/IF(dol_sol="dólar", TC,1)</f>
        <v>10839.564416820895</v>
      </c>
      <c r="E1907" s="472">
        <v>600</v>
      </c>
      <c r="F1907" s="585">
        <f t="shared" si="263"/>
        <v>11439.57</v>
      </c>
      <c r="G1907" s="338" t="s">
        <v>1505</v>
      </c>
      <c r="H1907" s="592" t="s">
        <v>947</v>
      </c>
      <c r="I1907" s="520" t="s">
        <v>11649</v>
      </c>
      <c r="J1907" s="421" t="s">
        <v>753</v>
      </c>
      <c r="K1907" s="520" t="s">
        <v>741</v>
      </c>
    </row>
    <row r="1908" spans="1:11" s="196" customFormat="1">
      <c r="A1908" s="421"/>
      <c r="B1908" s="592" t="s">
        <v>9796</v>
      </c>
      <c r="C1908" s="209">
        <v>31194</v>
      </c>
      <c r="D1908" s="244">
        <f>C1908*(1-VLOOKUP(I1908,descuentos,6,FALSE))*fcl/IF(dol_sol="dólar", TC,1)</f>
        <v>7577.8080369850741</v>
      </c>
      <c r="E1908" s="472">
        <v>600</v>
      </c>
      <c r="F1908" s="585">
        <f t="shared" si="263"/>
        <v>8177.81</v>
      </c>
      <c r="G1908" s="338" t="s">
        <v>9797</v>
      </c>
      <c r="H1908" s="592" t="s">
        <v>9798</v>
      </c>
      <c r="I1908" s="520" t="s">
        <v>11649</v>
      </c>
      <c r="J1908" s="421" t="s">
        <v>753</v>
      </c>
      <c r="K1908" s="520" t="s">
        <v>741</v>
      </c>
    </row>
    <row r="1909" spans="1:11" s="196" customFormat="1">
      <c r="A1909" s="421"/>
      <c r="B1909" s="592" t="s">
        <v>9799</v>
      </c>
      <c r="C1909" s="209">
        <v>49061</v>
      </c>
      <c r="D1909" s="244">
        <f>C1909*(1-VLOOKUP(I1909,descuentos,6,FALSE))*fcl/IF(dol_sol="dólar", TC,1)</f>
        <v>11918.152212044775</v>
      </c>
      <c r="E1909" s="472">
        <v>600</v>
      </c>
      <c r="F1909" s="585">
        <f t="shared" si="263"/>
        <v>12518.16</v>
      </c>
      <c r="G1909" s="338" t="s">
        <v>9800</v>
      </c>
      <c r="H1909" s="592" t="s">
        <v>9801</v>
      </c>
      <c r="I1909" s="520" t="s">
        <v>11649</v>
      </c>
      <c r="J1909" s="421" t="s">
        <v>753</v>
      </c>
      <c r="K1909" s="520" t="s">
        <v>741</v>
      </c>
    </row>
    <row r="1910" spans="1:11" s="106" customFormat="1">
      <c r="C1910" s="106" t="s">
        <v>2058</v>
      </c>
      <c r="H1910" s="724"/>
    </row>
    <row r="1911" spans="1:11" s="106" customFormat="1">
      <c r="C1911" s="106" t="s">
        <v>2058</v>
      </c>
      <c r="H1911" s="724"/>
    </row>
    <row r="1912" spans="1:11" s="196" customFormat="1">
      <c r="A1912" s="421"/>
      <c r="B1912" s="592" t="s">
        <v>9207</v>
      </c>
      <c r="C1912" s="209">
        <v>37848</v>
      </c>
      <c r="D1912" s="244">
        <f>C1912*(1-VLOOKUP(I1912,descuentos,6,FALSE))*fcl/IF(dol_sol="dólar", TC,1)</f>
        <v>9194.2321787462679</v>
      </c>
      <c r="E1912" s="472">
        <v>600</v>
      </c>
      <c r="F1912" s="585">
        <f>ROUNDUP(D1912+E1912,2)</f>
        <v>9794.24</v>
      </c>
      <c r="G1912" s="338" t="s">
        <v>9809</v>
      </c>
      <c r="H1912" s="592" t="s">
        <v>9208</v>
      </c>
      <c r="I1912" s="520" t="s">
        <v>11649</v>
      </c>
      <c r="J1912" s="421" t="s">
        <v>753</v>
      </c>
      <c r="K1912" s="520" t="s">
        <v>741</v>
      </c>
    </row>
    <row r="1913" spans="1:11" s="196" customFormat="1">
      <c r="A1913" s="421"/>
      <c r="B1913" s="592"/>
      <c r="C1913" s="209" t="s">
        <v>2058</v>
      </c>
      <c r="D1913" s="244"/>
      <c r="E1913" s="472"/>
      <c r="F1913" s="585"/>
      <c r="G1913" s="338"/>
      <c r="H1913" s="592"/>
      <c r="I1913" s="520"/>
      <c r="J1913" s="421"/>
      <c r="K1913" s="520"/>
    </row>
    <row r="1914" spans="1:11" s="196" customFormat="1">
      <c r="A1914" s="421"/>
      <c r="B1914" s="580" t="s">
        <v>7179</v>
      </c>
      <c r="C1914" s="389">
        <v>21410</v>
      </c>
      <c r="D1914" s="388">
        <f>C1914*(1-VLOOKUP(I1914,descuentos,6,FALSE))*fcl/IF(dol_sol="dólar", TC,1)</f>
        <v>5201.0280846268652</v>
      </c>
      <c r="E1914" s="472">
        <v>600</v>
      </c>
      <c r="F1914" s="582">
        <f>ROUNDUP(D1914+E1914,2)</f>
        <v>5801.0300000000007</v>
      </c>
      <c r="G1914" s="394" t="s">
        <v>7180</v>
      </c>
      <c r="H1914" s="580" t="s">
        <v>7181</v>
      </c>
      <c r="I1914" s="622" t="s">
        <v>11649</v>
      </c>
      <c r="J1914" s="425" t="s">
        <v>753</v>
      </c>
      <c r="K1914" s="622" t="s">
        <v>741</v>
      </c>
    </row>
    <row r="1915" spans="1:11" s="196" customFormat="1">
      <c r="A1915" s="421"/>
      <c r="B1915" s="580" t="s">
        <v>7182</v>
      </c>
      <c r="C1915" s="389">
        <v>25374</v>
      </c>
      <c r="D1915" s="388">
        <f>C1915*(1-VLOOKUP(I1915,descuentos,6,FALSE))*fcl/IF(dol_sol="dólar", TC,1)</f>
        <v>6163.9834945970142</v>
      </c>
      <c r="E1915" s="472">
        <v>600</v>
      </c>
      <c r="F1915" s="582">
        <f>ROUNDUP(D1915+E1915,2)</f>
        <v>6763.99</v>
      </c>
      <c r="G1915" s="394" t="s">
        <v>7183</v>
      </c>
      <c r="H1915" s="580" t="s">
        <v>7184</v>
      </c>
      <c r="I1915" s="622" t="s">
        <v>11649</v>
      </c>
      <c r="J1915" s="425" t="s">
        <v>753</v>
      </c>
      <c r="K1915" s="622" t="s">
        <v>741</v>
      </c>
    </row>
    <row r="1916" spans="1:11" s="196" customFormat="1">
      <c r="A1916" s="421"/>
      <c r="B1916" s="580" t="s">
        <v>7185</v>
      </c>
      <c r="C1916" s="389">
        <v>28925</v>
      </c>
      <c r="D1916" s="388">
        <f>C1916*(1-VLOOKUP(I1916,descuentos,6,FALSE))*fcl/IF(dol_sol="dólar", TC,1)</f>
        <v>7026.6108055970135</v>
      </c>
      <c r="E1916" s="472">
        <v>600</v>
      </c>
      <c r="F1916" s="582">
        <f>ROUNDUP(D1916+E1916,2)</f>
        <v>7626.62</v>
      </c>
      <c r="G1916" s="394" t="s">
        <v>7186</v>
      </c>
      <c r="H1916" s="580" t="s">
        <v>7187</v>
      </c>
      <c r="I1916" s="622" t="s">
        <v>11649</v>
      </c>
      <c r="J1916" s="425" t="s">
        <v>753</v>
      </c>
      <c r="K1916" s="622" t="s">
        <v>741</v>
      </c>
    </row>
    <row r="1917" spans="1:11" s="196" customFormat="1">
      <c r="A1917" s="421"/>
      <c r="B1917" s="580" t="s">
        <v>7188</v>
      </c>
      <c r="C1917" s="389">
        <v>35527</v>
      </c>
      <c r="D1917" s="388">
        <f>C1917*(1-VLOOKUP(I1917,descuentos,6,FALSE))*fcl/IF(dol_sol="dólar", TC,1)</f>
        <v>8630.4028380447744</v>
      </c>
      <c r="E1917" s="472">
        <v>600</v>
      </c>
      <c r="F1917" s="582">
        <f>ROUNDUP(D1917+E1917,2)</f>
        <v>9230.41</v>
      </c>
      <c r="G1917" s="394" t="s">
        <v>7189</v>
      </c>
      <c r="H1917" s="580" t="s">
        <v>7190</v>
      </c>
      <c r="I1917" s="622" t="s">
        <v>11649</v>
      </c>
      <c r="J1917" s="425" t="s">
        <v>753</v>
      </c>
      <c r="K1917" s="622" t="s">
        <v>741</v>
      </c>
    </row>
    <row r="1918" spans="1:11" s="106" customFormat="1">
      <c r="C1918" s="106" t="s">
        <v>2058</v>
      </c>
      <c r="H1918" s="724"/>
    </row>
    <row r="1919" spans="1:11" s="196" customFormat="1">
      <c r="A1919" s="421"/>
      <c r="B1919" s="580" t="s">
        <v>7191</v>
      </c>
      <c r="C1919" s="389">
        <v>38992</v>
      </c>
      <c r="D1919" s="388">
        <f>C1919*(1-VLOOKUP(I1919,descuentos,6,FALSE))*fcl/IF(dol_sol="dólar", TC,1)</f>
        <v>9472.1385836417903</v>
      </c>
      <c r="E1919" s="472">
        <v>700</v>
      </c>
      <c r="F1919" s="582">
        <f>ROUNDUP(D1919+E1919,2)</f>
        <v>10172.14</v>
      </c>
      <c r="G1919" s="394" t="s">
        <v>7192</v>
      </c>
      <c r="H1919" s="580" t="s">
        <v>7193</v>
      </c>
      <c r="I1919" s="622" t="s">
        <v>11649</v>
      </c>
      <c r="J1919" s="425" t="s">
        <v>753</v>
      </c>
      <c r="K1919" s="622" t="s">
        <v>741</v>
      </c>
    </row>
    <row r="1920" spans="1:11" s="196" customFormat="1">
      <c r="A1920" s="421"/>
      <c r="B1920" s="580" t="s">
        <v>7194</v>
      </c>
      <c r="C1920" s="389">
        <v>61326</v>
      </c>
      <c r="D1920" s="388">
        <f>C1920*(1-VLOOKUP(I1920,descuentos,6,FALSE))*fcl/IF(dol_sol="dólar", TC,1)</f>
        <v>14897.629533761192</v>
      </c>
      <c r="E1920" s="472">
        <v>700</v>
      </c>
      <c r="F1920" s="582">
        <f>ROUNDUP(D1920+E1920,2)</f>
        <v>15597.630000000001</v>
      </c>
      <c r="G1920" s="394" t="s">
        <v>7195</v>
      </c>
      <c r="H1920" s="580" t="s">
        <v>7196</v>
      </c>
      <c r="I1920" s="622" t="s">
        <v>11649</v>
      </c>
      <c r="J1920" s="425" t="s">
        <v>753</v>
      </c>
      <c r="K1920" s="622" t="s">
        <v>741</v>
      </c>
    </row>
    <row r="1921" spans="1:11" s="196" customFormat="1">
      <c r="A1921" s="421"/>
      <c r="B1921" s="592"/>
      <c r="C1921" s="209" t="s">
        <v>2058</v>
      </c>
      <c r="D1921" s="244"/>
      <c r="E1921" s="228"/>
      <c r="F1921" s="585">
        <f>ROUNDUP(D1921+E1921,2)</f>
        <v>0</v>
      </c>
      <c r="G1921" s="338"/>
      <c r="H1921" s="592"/>
      <c r="I1921" s="520"/>
      <c r="J1921" s="421"/>
      <c r="K1921" s="520"/>
    </row>
    <row r="1922" spans="1:11" s="196" customFormat="1">
      <c r="A1922" s="421"/>
      <c r="B1922" s="580" t="s">
        <v>7197</v>
      </c>
      <c r="C1922" s="389">
        <v>43374</v>
      </c>
      <c r="D1922" s="388">
        <f>C1922*(1-VLOOKUP(I1922,descuentos,6,FALSE))*fcl/IF(dol_sol="dólar", TC,1)</f>
        <v>10536.636718477612</v>
      </c>
      <c r="E1922" s="472">
        <v>700</v>
      </c>
      <c r="F1922" s="582">
        <f>ROUNDUP(D1922+E1922,2)</f>
        <v>11236.64</v>
      </c>
      <c r="G1922" s="394" t="s">
        <v>7198</v>
      </c>
      <c r="H1922" s="580" t="s">
        <v>7199</v>
      </c>
      <c r="I1922" s="622" t="s">
        <v>11649</v>
      </c>
      <c r="J1922" s="425" t="s">
        <v>753</v>
      </c>
      <c r="K1922" s="622" t="s">
        <v>741</v>
      </c>
    </row>
    <row r="1923" spans="1:11" s="106" customFormat="1">
      <c r="C1923" s="106" t="s">
        <v>2058</v>
      </c>
      <c r="H1923" s="724"/>
    </row>
    <row r="1924" spans="1:11" s="196" customFormat="1">
      <c r="A1924" s="421"/>
      <c r="B1924" s="592"/>
      <c r="C1924" s="209" t="s">
        <v>2058</v>
      </c>
      <c r="D1924" s="244"/>
      <c r="E1924" s="228"/>
      <c r="F1924" s="585">
        <f t="shared" ref="F1924:F1934" si="265">ROUNDUP(D1924+E1924,2)</f>
        <v>0</v>
      </c>
      <c r="G1924" s="338"/>
      <c r="H1924" s="592"/>
      <c r="I1924" s="520"/>
      <c r="J1924" s="421"/>
      <c r="K1924" s="520"/>
    </row>
    <row r="1925" spans="1:11" s="196" customFormat="1">
      <c r="A1925" s="421"/>
      <c r="B1925" s="918" t="s">
        <v>2884</v>
      </c>
      <c r="C1925" s="209">
        <v>44542</v>
      </c>
      <c r="D1925" s="244">
        <f t="shared" ref="D1925:D1934" si="266">C1925*(1-VLOOKUP(I1925,descuentos,6,FALSE))*fcl/IF(dol_sol="dólar", TC,1)</f>
        <v>10820.373327671641</v>
      </c>
      <c r="E1925" s="472">
        <v>600</v>
      </c>
      <c r="F1925" s="585">
        <f t="shared" si="265"/>
        <v>11420.380000000001</v>
      </c>
      <c r="G1925" s="338" t="s">
        <v>2887</v>
      </c>
      <c r="H1925" s="592" t="s">
        <v>2883</v>
      </c>
      <c r="I1925" s="520" t="s">
        <v>11649</v>
      </c>
      <c r="J1925" s="421" t="s">
        <v>753</v>
      </c>
      <c r="K1925" s="520" t="s">
        <v>741</v>
      </c>
    </row>
    <row r="1926" spans="1:11" s="196" customFormat="1">
      <c r="A1926" s="421"/>
      <c r="B1926" s="919" t="s">
        <v>2885</v>
      </c>
      <c r="C1926" s="209">
        <v>52891</v>
      </c>
      <c r="D1926" s="244">
        <f t="shared" si="266"/>
        <v>12848.555648014924</v>
      </c>
      <c r="E1926" s="472">
        <v>600</v>
      </c>
      <c r="F1926" s="585">
        <f t="shared" si="265"/>
        <v>13448.56</v>
      </c>
      <c r="G1926" s="338" t="s">
        <v>2888</v>
      </c>
      <c r="H1926" s="592" t="s">
        <v>2882</v>
      </c>
      <c r="I1926" s="520" t="s">
        <v>11649</v>
      </c>
      <c r="J1926" s="421" t="s">
        <v>753</v>
      </c>
      <c r="K1926" s="520" t="s">
        <v>741</v>
      </c>
    </row>
    <row r="1927" spans="1:11" s="196" customFormat="1">
      <c r="A1927" s="421"/>
      <c r="B1927" s="627" t="s">
        <v>9972</v>
      </c>
      <c r="C1927" s="209">
        <v>34951</v>
      </c>
      <c r="D1927" s="244">
        <f t="shared" si="266"/>
        <v>8490.4779348805951</v>
      </c>
      <c r="E1927" s="472">
        <v>600</v>
      </c>
      <c r="F1927" s="585">
        <f>ROUNDUP(D1927+E1927,2)</f>
        <v>9090.48</v>
      </c>
      <c r="G1927" s="338" t="s">
        <v>9973</v>
      </c>
      <c r="H1927" s="592" t="s">
        <v>9974</v>
      </c>
      <c r="I1927" s="520" t="s">
        <v>11649</v>
      </c>
      <c r="J1927" s="421" t="s">
        <v>753</v>
      </c>
      <c r="K1927" s="520" t="s">
        <v>741</v>
      </c>
    </row>
    <row r="1928" spans="1:11" s="196" customFormat="1">
      <c r="A1928" s="421"/>
      <c r="B1928" s="627" t="s">
        <v>9802</v>
      </c>
      <c r="C1928" s="209">
        <v>35873</v>
      </c>
      <c r="D1928" s="244">
        <f t="shared" si="266"/>
        <v>8714.4549500149242</v>
      </c>
      <c r="E1928" s="472">
        <v>600</v>
      </c>
      <c r="F1928" s="585">
        <f>ROUNDUP(D1928+E1928,2)</f>
        <v>9314.4600000000009</v>
      </c>
      <c r="G1928" s="338" t="s">
        <v>9803</v>
      </c>
      <c r="H1928" s="592" t="s">
        <v>9804</v>
      </c>
      <c r="I1928" s="520" t="s">
        <v>11649</v>
      </c>
      <c r="J1928" s="421" t="s">
        <v>753</v>
      </c>
      <c r="K1928" s="520" t="s">
        <v>741</v>
      </c>
    </row>
    <row r="1929" spans="1:11" s="196" customFormat="1">
      <c r="A1929" s="421"/>
      <c r="B1929" s="627" t="s">
        <v>9805</v>
      </c>
      <c r="C1929" s="209">
        <v>56421</v>
      </c>
      <c r="D1929" s="244">
        <f t="shared" si="266"/>
        <v>13706.081530253728</v>
      </c>
      <c r="E1929" s="472">
        <v>600</v>
      </c>
      <c r="F1929" s="585">
        <f>ROUNDUP(D1929+E1929,2)</f>
        <v>14306.09</v>
      </c>
      <c r="G1929" s="338" t="s">
        <v>9806</v>
      </c>
      <c r="H1929" s="592" t="s">
        <v>9807</v>
      </c>
      <c r="I1929" s="520" t="s">
        <v>11649</v>
      </c>
      <c r="J1929" s="421" t="s">
        <v>753</v>
      </c>
      <c r="K1929" s="520" t="s">
        <v>741</v>
      </c>
    </row>
    <row r="1930" spans="1:11" s="196" customFormat="1">
      <c r="A1930" s="421"/>
      <c r="B1930" s="920" t="s">
        <v>2886</v>
      </c>
      <c r="C1930" s="209">
        <v>95960</v>
      </c>
      <c r="D1930" s="244">
        <f t="shared" si="266"/>
        <v>23311.100186865668</v>
      </c>
      <c r="E1930" s="472">
        <v>700</v>
      </c>
      <c r="F1930" s="585">
        <f t="shared" si="265"/>
        <v>24011.109999999997</v>
      </c>
      <c r="G1930" s="338" t="s">
        <v>2889</v>
      </c>
      <c r="H1930" s="592" t="s">
        <v>2881</v>
      </c>
      <c r="I1930" s="520" t="s">
        <v>11649</v>
      </c>
      <c r="J1930" s="421" t="s">
        <v>753</v>
      </c>
      <c r="K1930" s="520" t="s">
        <v>741</v>
      </c>
    </row>
    <row r="1931" spans="1:11" s="196" customFormat="1">
      <c r="A1931" s="421"/>
      <c r="B1931" s="627" t="s">
        <v>2946</v>
      </c>
      <c r="C1931" s="209">
        <v>5710</v>
      </c>
      <c r="D1931" s="244">
        <f t="shared" si="266"/>
        <v>1387.1027726865668</v>
      </c>
      <c r="E1931" s="472">
        <v>50</v>
      </c>
      <c r="F1931" s="585">
        <f t="shared" si="265"/>
        <v>1437.11</v>
      </c>
      <c r="G1931" s="338" t="s">
        <v>2947</v>
      </c>
      <c r="H1931" s="592" t="s">
        <v>2948</v>
      </c>
      <c r="I1931" s="520" t="s">
        <v>11649</v>
      </c>
      <c r="J1931" s="421" t="s">
        <v>753</v>
      </c>
      <c r="K1931" s="520" t="s">
        <v>741</v>
      </c>
    </row>
    <row r="1932" spans="1:11" s="196" customFormat="1">
      <c r="A1932" s="421"/>
      <c r="B1932" s="627" t="s">
        <v>9975</v>
      </c>
      <c r="C1932" s="209">
        <v>5283</v>
      </c>
      <c r="D1932" s="244">
        <f t="shared" si="266"/>
        <v>1283.373721208955</v>
      </c>
      <c r="E1932" s="472">
        <v>80</v>
      </c>
      <c r="F1932" s="585">
        <f t="shared" si="265"/>
        <v>1363.3799999999999</v>
      </c>
      <c r="G1932" s="338" t="s">
        <v>9976</v>
      </c>
      <c r="H1932" s="592" t="s">
        <v>9977</v>
      </c>
      <c r="I1932" s="520" t="s">
        <v>11649</v>
      </c>
      <c r="J1932" s="421" t="s">
        <v>753</v>
      </c>
      <c r="K1932" s="520" t="s">
        <v>741</v>
      </c>
    </row>
    <row r="1933" spans="1:11" s="196" customFormat="1">
      <c r="A1933" s="421"/>
      <c r="B1933" s="627" t="s">
        <v>9978</v>
      </c>
      <c r="C1933" s="209">
        <v>5804</v>
      </c>
      <c r="D1933" s="244">
        <f t="shared" si="266"/>
        <v>1409.9377395223883</v>
      </c>
      <c r="E1933" s="472">
        <v>80</v>
      </c>
      <c r="F1933" s="585">
        <f t="shared" si="265"/>
        <v>1489.94</v>
      </c>
      <c r="G1933" s="338" t="s">
        <v>9979</v>
      </c>
      <c r="H1933" s="592" t="s">
        <v>9808</v>
      </c>
      <c r="I1933" s="520" t="s">
        <v>11649</v>
      </c>
      <c r="J1933" s="421" t="s">
        <v>753</v>
      </c>
      <c r="K1933" s="520" t="s">
        <v>741</v>
      </c>
    </row>
    <row r="1934" spans="1:11" s="196" customFormat="1">
      <c r="A1934" s="421"/>
      <c r="B1934" s="629" t="s">
        <v>2949</v>
      </c>
      <c r="C1934" s="209">
        <v>7255</v>
      </c>
      <c r="D1934" s="244">
        <f t="shared" si="266"/>
        <v>1762.4221744029849</v>
      </c>
      <c r="E1934" s="472">
        <v>80</v>
      </c>
      <c r="F1934" s="585">
        <f t="shared" si="265"/>
        <v>1842.43</v>
      </c>
      <c r="G1934" s="338" t="s">
        <v>2951</v>
      </c>
      <c r="H1934" s="592" t="s">
        <v>2950</v>
      </c>
      <c r="I1934" s="520" t="s">
        <v>11649</v>
      </c>
      <c r="J1934" s="421" t="s">
        <v>753</v>
      </c>
      <c r="K1934" s="520" t="s">
        <v>741</v>
      </c>
    </row>
    <row r="1935" spans="1:11" s="196" customFormat="1">
      <c r="A1935" s="421"/>
      <c r="B1935" s="592"/>
      <c r="C1935" s="209" t="s">
        <v>2058</v>
      </c>
      <c r="D1935" s="244"/>
      <c r="E1935" s="228"/>
      <c r="F1935" s="585"/>
      <c r="G1935" s="338"/>
      <c r="H1935" s="592"/>
      <c r="I1935" s="520"/>
      <c r="J1935" s="421"/>
      <c r="K1935" s="520"/>
    </row>
    <row r="1936" spans="1:11" s="196" customFormat="1">
      <c r="A1936" s="1642"/>
      <c r="B1936" s="592" t="s">
        <v>5629</v>
      </c>
      <c r="C1936" s="209">
        <v>82839</v>
      </c>
      <c r="D1936" s="244">
        <f>C1936*(1-VLOOKUP(I1936,descuentos,6,FALSE))*fcl/IF(dol_sol="dólar", TC,1)</f>
        <v>20123.678911835817</v>
      </c>
      <c r="E1936" s="472">
        <v>600</v>
      </c>
      <c r="F1936" s="585">
        <f>ROUNDUP(D1936+E1936,2)</f>
        <v>20723.679999999997</v>
      </c>
      <c r="G1936" s="338" t="s">
        <v>5630</v>
      </c>
      <c r="H1936" s="592" t="s">
        <v>5631</v>
      </c>
      <c r="I1936" s="520" t="s">
        <v>11649</v>
      </c>
      <c r="J1936" s="421" t="s">
        <v>753</v>
      </c>
      <c r="K1936" s="520" t="s">
        <v>741</v>
      </c>
    </row>
    <row r="1937" spans="1:11" s="196" customFormat="1">
      <c r="A1937" s="2375"/>
      <c r="B1937" s="592" t="s">
        <v>13973</v>
      </c>
      <c r="C1937" s="209">
        <v>89808</v>
      </c>
      <c r="D1937" s="244">
        <f>C1937*(1-VLOOKUP(I1937,descuentos,6,FALSE))*fcl/IF(dol_sol="dólar", TC,1)</f>
        <v>21816.624485014923</v>
      </c>
      <c r="E1937" s="472">
        <v>600</v>
      </c>
      <c r="F1937" s="585">
        <f>ROUNDUP(D1937+E1937,2)</f>
        <v>22416.629999999997</v>
      </c>
      <c r="G1937" s="338" t="s">
        <v>13974</v>
      </c>
      <c r="H1937" s="592" t="s">
        <v>13975</v>
      </c>
      <c r="I1937" s="520" t="s">
        <v>11649</v>
      </c>
      <c r="J1937" s="421" t="s">
        <v>753</v>
      </c>
      <c r="K1937" s="520" t="s">
        <v>741</v>
      </c>
    </row>
    <row r="1938" spans="1:11" s="196" customFormat="1">
      <c r="A1938" s="421"/>
      <c r="B1938" s="592"/>
      <c r="C1938" s="209" t="s">
        <v>2058</v>
      </c>
      <c r="D1938" s="244"/>
      <c r="E1938" s="228"/>
      <c r="F1938" s="585"/>
      <c r="G1938" s="338"/>
      <c r="H1938" s="592"/>
      <c r="I1938" s="520"/>
      <c r="J1938" s="421"/>
      <c r="K1938" s="520"/>
    </row>
    <row r="1939" spans="1:11" s="196" customFormat="1">
      <c r="A1939" s="421"/>
      <c r="B1939" s="592"/>
      <c r="C1939" s="209" t="s">
        <v>2058</v>
      </c>
      <c r="D1939" s="244"/>
      <c r="E1939" s="228"/>
      <c r="F1939" s="585"/>
      <c r="G1939" s="338"/>
      <c r="H1939" s="592"/>
      <c r="I1939" s="520"/>
      <c r="J1939" s="421"/>
      <c r="K1939" s="520"/>
    </row>
    <row r="1940" spans="1:11" s="196" customFormat="1">
      <c r="A1940" s="1734"/>
      <c r="B1940" s="592" t="s">
        <v>7200</v>
      </c>
      <c r="C1940" s="209">
        <v>438</v>
      </c>
      <c r="D1940" s="244">
        <f>C1940*(1-VLOOKUP(I1940,descuentos,6,FALSE))*fcl/IF(dol_sol="dólar", TC,1)</f>
        <v>106.40122844776118</v>
      </c>
      <c r="E1940" s="228">
        <v>10</v>
      </c>
      <c r="F1940" s="585">
        <f>ROUNDUP(D1940+E1940,2)</f>
        <v>116.41000000000001</v>
      </c>
      <c r="G1940" s="592" t="s">
        <v>7201</v>
      </c>
      <c r="H1940" s="592" t="s">
        <v>5632</v>
      </c>
      <c r="I1940" s="520" t="s">
        <v>11649</v>
      </c>
      <c r="J1940" s="589" t="s">
        <v>753</v>
      </c>
      <c r="K1940" s="520" t="s">
        <v>741</v>
      </c>
    </row>
    <row r="1941" spans="1:11" s="196" customFormat="1">
      <c r="A1941" s="1734"/>
      <c r="B1941" s="592" t="s">
        <v>7202</v>
      </c>
      <c r="C1941" s="209">
        <v>488</v>
      </c>
      <c r="D1941" s="244">
        <f>C1941*(1-VLOOKUP(I1941,descuentos,6,FALSE))*fcl/IF(dol_sol="dólar", TC,1)</f>
        <v>118.54748740298506</v>
      </c>
      <c r="E1941" s="228">
        <v>10</v>
      </c>
      <c r="F1941" s="585">
        <f>ROUNDUP(D1941+E1941,2)</f>
        <v>128.54999999999998</v>
      </c>
      <c r="G1941" s="592" t="s">
        <v>7203</v>
      </c>
      <c r="H1941" s="592" t="s">
        <v>5633</v>
      </c>
      <c r="I1941" s="520" t="s">
        <v>11649</v>
      </c>
      <c r="J1941" s="589" t="s">
        <v>753</v>
      </c>
      <c r="K1941" s="520" t="s">
        <v>741</v>
      </c>
    </row>
    <row r="1942" spans="1:11" s="267" customFormat="1" ht="12" customHeight="1">
      <c r="A1942" s="635"/>
      <c r="B1942" s="643"/>
      <c r="C1942" s="637" t="s">
        <v>2058</v>
      </c>
      <c r="D1942" s="243"/>
      <c r="E1942" s="228"/>
      <c r="F1942" s="638"/>
      <c r="G1942" s="338"/>
      <c r="H1942" s="643"/>
      <c r="I1942" s="639"/>
      <c r="J1942" s="635"/>
      <c r="K1942" s="639"/>
    </row>
    <row r="1943" spans="1:11" s="196" customFormat="1">
      <c r="A1943" s="1740"/>
      <c r="B1943" s="643" t="s">
        <v>7206</v>
      </c>
      <c r="C1943" s="637">
        <v>103</v>
      </c>
      <c r="D1943" s="243">
        <f>C1943*(1-VLOOKUP(I1943,descuentos,6,FALSE))*fcl/IF(dol_sol="dólar", TC,1)</f>
        <v>25.021293447761192</v>
      </c>
      <c r="E1943" s="228">
        <v>0</v>
      </c>
      <c r="F1943" s="638">
        <f>ROUNDUP(D1943+E1943,2)</f>
        <v>25.03</v>
      </c>
      <c r="G1943" s="592" t="s">
        <v>7204</v>
      </c>
      <c r="H1943" s="643" t="s">
        <v>7205</v>
      </c>
      <c r="I1943" s="639" t="s">
        <v>11649</v>
      </c>
      <c r="J1943" s="635" t="s">
        <v>753</v>
      </c>
      <c r="K1943" s="639" t="s">
        <v>741</v>
      </c>
    </row>
    <row r="1944" spans="1:11" s="196" customFormat="1">
      <c r="A1944" s="1740"/>
      <c r="B1944" s="643" t="s">
        <v>9905</v>
      </c>
      <c r="C1944" s="637">
        <v>248</v>
      </c>
      <c r="D1944" s="243">
        <f>C1944*(1-VLOOKUP(I1944,descuentos,6,FALSE))*fcl/IF(dol_sol="dólar", TC,1)</f>
        <v>60.245444417910448</v>
      </c>
      <c r="E1944" s="228">
        <v>0</v>
      </c>
      <c r="F1944" s="638">
        <f>ROUNDUP(D1944+E1944,2)</f>
        <v>60.25</v>
      </c>
      <c r="G1944" s="592" t="s">
        <v>9906</v>
      </c>
      <c r="H1944" s="643" t="s">
        <v>5176</v>
      </c>
      <c r="I1944" s="639" t="s">
        <v>11649</v>
      </c>
      <c r="J1944" s="635" t="s">
        <v>753</v>
      </c>
      <c r="K1944" s="639" t="s">
        <v>741</v>
      </c>
    </row>
    <row r="1945" spans="1:11" s="196" customFormat="1">
      <c r="A1945" s="421"/>
      <c r="B1945" s="643"/>
      <c r="C1945" s="209" t="s">
        <v>2058</v>
      </c>
      <c r="D1945" s="244"/>
      <c r="E1945" s="228"/>
      <c r="F1945" s="585"/>
      <c r="G1945" s="338"/>
      <c r="H1945" s="592"/>
      <c r="I1945" s="520"/>
      <c r="J1945" s="421"/>
      <c r="K1945" s="520"/>
    </row>
    <row r="1946" spans="1:11" s="196" customFormat="1">
      <c r="A1946" s="1680"/>
      <c r="B1946" s="643" t="s">
        <v>14118</v>
      </c>
      <c r="C1946" s="637">
        <v>255</v>
      </c>
      <c r="D1946" s="243">
        <f>C1946*(1-VLOOKUP(I1946,descuentos,6,FALSE))*fcl/IF(dol_sol="dólar", TC,1)</f>
        <v>61.94592067164178</v>
      </c>
      <c r="E1946" s="228">
        <v>0</v>
      </c>
      <c r="F1946" s="638">
        <f>ROUNDUP(D1946+E1946,2)</f>
        <v>61.949999999999996</v>
      </c>
      <c r="G1946" s="592" t="s">
        <v>14119</v>
      </c>
      <c r="H1946" s="643" t="s">
        <v>14120</v>
      </c>
      <c r="I1946" s="639" t="s">
        <v>11649</v>
      </c>
      <c r="J1946" s="635" t="s">
        <v>753</v>
      </c>
      <c r="K1946" s="639" t="s">
        <v>741</v>
      </c>
    </row>
    <row r="1947" spans="1:11" s="196" customFormat="1">
      <c r="A1947" s="1680"/>
      <c r="B1947" s="643" t="s">
        <v>14147</v>
      </c>
      <c r="C1947" s="637">
        <v>283</v>
      </c>
      <c r="D1947" s="243">
        <f>C1947*(1-VLOOKUP(I1947,descuentos,6,FALSE))*fcl/IF(dol_sol="dólar", TC,1)</f>
        <v>68.747825686567154</v>
      </c>
      <c r="E1947" s="228">
        <v>0</v>
      </c>
      <c r="F1947" s="638">
        <f>ROUNDUP(D1947+E1947,2)</f>
        <v>68.75</v>
      </c>
      <c r="G1947" s="592" t="s">
        <v>14148</v>
      </c>
      <c r="H1947" s="643" t="s">
        <v>14149</v>
      </c>
      <c r="I1947" s="639" t="s">
        <v>11649</v>
      </c>
      <c r="J1947" s="635" t="s">
        <v>753</v>
      </c>
      <c r="K1947" s="639" t="s">
        <v>741</v>
      </c>
    </row>
    <row r="1948" spans="1:11" s="196" customFormat="1">
      <c r="A1948" s="421"/>
      <c r="B1948" s="592"/>
      <c r="C1948" s="209" t="s">
        <v>2058</v>
      </c>
      <c r="D1948" s="244"/>
      <c r="E1948" s="228"/>
      <c r="F1948" s="585"/>
      <c r="G1948" s="338"/>
      <c r="H1948" s="592"/>
      <c r="I1948" s="520"/>
      <c r="J1948" s="421"/>
      <c r="K1948" s="520"/>
    </row>
    <row r="1949" spans="1:11" s="196" customFormat="1">
      <c r="A1949" s="421"/>
      <c r="B1949" s="631"/>
      <c r="C1949" s="209" t="s">
        <v>2058</v>
      </c>
      <c r="D1949" s="244"/>
      <c r="E1949" s="228"/>
      <c r="F1949" s="585"/>
      <c r="G1949" s="338"/>
      <c r="H1949" s="592"/>
      <c r="I1949" s="520"/>
      <c r="J1949" s="421"/>
      <c r="K1949" s="520"/>
    </row>
    <row r="1950" spans="1:11" s="196" customFormat="1">
      <c r="A1950" s="421"/>
      <c r="B1950" s="627" t="s">
        <v>1241</v>
      </c>
      <c r="C1950" s="209">
        <v>538</v>
      </c>
      <c r="D1950" s="244">
        <f t="shared" ref="D1950:D1954" si="267">C1950*(1-VLOOKUP(I1950,descuentos,6,FALSE))*fcl/IF(dol_sol="dólar", TC,1)</f>
        <v>130.69374635820895</v>
      </c>
      <c r="E1950" s="228">
        <v>10</v>
      </c>
      <c r="F1950" s="585">
        <f t="shared" ref="F1950:F2010" si="268">ROUNDUP(D1950+E1950,2)</f>
        <v>140.69999999999999</v>
      </c>
      <c r="G1950" s="592" t="s">
        <v>5171</v>
      </c>
      <c r="H1950" s="592" t="s">
        <v>810</v>
      </c>
      <c r="I1950" s="520" t="s">
        <v>11649</v>
      </c>
      <c r="J1950" s="589" t="s">
        <v>753</v>
      </c>
      <c r="K1950" s="520" t="s">
        <v>741</v>
      </c>
    </row>
    <row r="1951" spans="1:11" s="196" customFormat="1">
      <c r="A1951" s="421"/>
      <c r="B1951" s="627" t="s">
        <v>1240</v>
      </c>
      <c r="C1951" s="209">
        <v>538</v>
      </c>
      <c r="D1951" s="244">
        <f t="shared" si="267"/>
        <v>130.69374635820895</v>
      </c>
      <c r="E1951" s="228">
        <v>10</v>
      </c>
      <c r="F1951" s="585">
        <f t="shared" si="268"/>
        <v>140.69999999999999</v>
      </c>
      <c r="G1951" s="592" t="s">
        <v>5172</v>
      </c>
      <c r="H1951" s="592" t="s">
        <v>812</v>
      </c>
      <c r="I1951" s="520" t="s">
        <v>11649</v>
      </c>
      <c r="J1951" s="589" t="s">
        <v>753</v>
      </c>
      <c r="K1951" s="520" t="s">
        <v>741</v>
      </c>
    </row>
    <row r="1952" spans="1:11" s="196" customFormat="1">
      <c r="A1952" s="589"/>
      <c r="B1952" s="627" t="s">
        <v>957</v>
      </c>
      <c r="C1952" s="209">
        <v>3087</v>
      </c>
      <c r="D1952" s="244">
        <f t="shared" si="267"/>
        <v>749.91002789552238</v>
      </c>
      <c r="E1952" s="228">
        <v>15</v>
      </c>
      <c r="F1952" s="585">
        <f t="shared" si="268"/>
        <v>764.92</v>
      </c>
      <c r="G1952" s="592" t="s">
        <v>1245</v>
      </c>
      <c r="H1952" s="592" t="s">
        <v>811</v>
      </c>
      <c r="I1952" s="520" t="s">
        <v>11649</v>
      </c>
      <c r="J1952" s="589" t="s">
        <v>753</v>
      </c>
      <c r="K1952" s="520" t="s">
        <v>741</v>
      </c>
    </row>
    <row r="1953" spans="1:11" s="196" customFormat="1">
      <c r="A1953" s="589"/>
      <c r="B1953" s="627" t="s">
        <v>958</v>
      </c>
      <c r="C1953" s="209">
        <v>3239</v>
      </c>
      <c r="D1953" s="244">
        <f t="shared" si="267"/>
        <v>786.83465511940301</v>
      </c>
      <c r="E1953" s="228">
        <v>15</v>
      </c>
      <c r="F1953" s="585">
        <f t="shared" si="268"/>
        <v>801.84</v>
      </c>
      <c r="G1953" s="592" t="s">
        <v>1246</v>
      </c>
      <c r="H1953" s="592" t="s">
        <v>956</v>
      </c>
      <c r="I1953" s="520" t="s">
        <v>11649</v>
      </c>
      <c r="J1953" s="589" t="s">
        <v>753</v>
      </c>
      <c r="K1953" s="520" t="s">
        <v>741</v>
      </c>
    </row>
    <row r="1954" spans="1:11" s="196" customFormat="1">
      <c r="A1954" s="589"/>
      <c r="B1954" s="627" t="s">
        <v>1242</v>
      </c>
      <c r="C1954" s="209">
        <v>603</v>
      </c>
      <c r="D1954" s="244">
        <f t="shared" si="267"/>
        <v>146.48388299999999</v>
      </c>
      <c r="E1954" s="228">
        <v>10</v>
      </c>
      <c r="F1954" s="585">
        <f t="shared" si="268"/>
        <v>156.48999999999998</v>
      </c>
      <c r="G1954" s="592" t="s">
        <v>1247</v>
      </c>
      <c r="H1954" s="592" t="s">
        <v>959</v>
      </c>
      <c r="I1954" s="520" t="s">
        <v>11649</v>
      </c>
      <c r="J1954" s="589" t="s">
        <v>753</v>
      </c>
      <c r="K1954" s="520" t="s">
        <v>741</v>
      </c>
    </row>
    <row r="1955" spans="1:11" s="196" customFormat="1">
      <c r="A1955" s="589"/>
      <c r="B1955" s="627"/>
      <c r="C1955" s="209" t="s">
        <v>2058</v>
      </c>
      <c r="D1955" s="244"/>
      <c r="E1955" s="228"/>
      <c r="F1955" s="585">
        <f t="shared" si="268"/>
        <v>0</v>
      </c>
      <c r="G1955" s="592"/>
      <c r="H1955" s="592"/>
      <c r="I1955" s="520"/>
      <c r="J1955" s="589"/>
      <c r="K1955" s="520"/>
    </row>
    <row r="1956" spans="1:11" s="196" customFormat="1">
      <c r="A1956" s="589"/>
      <c r="B1956" s="627" t="s">
        <v>2878</v>
      </c>
      <c r="C1956" s="209">
        <v>760</v>
      </c>
      <c r="D1956" s="244">
        <f>C1956*(1-VLOOKUP(I1956,descuentos,6,FALSE))*fcl/IF(dol_sol="dólar", TC,1)</f>
        <v>184.62313611940297</v>
      </c>
      <c r="E1956" s="228">
        <v>10</v>
      </c>
      <c r="F1956" s="585">
        <f t="shared" si="268"/>
        <v>194.63</v>
      </c>
      <c r="G1956" s="592" t="s">
        <v>2879</v>
      </c>
      <c r="H1956" s="592" t="s">
        <v>2880</v>
      </c>
      <c r="I1956" s="520" t="s">
        <v>11649</v>
      </c>
      <c r="J1956" s="589" t="s">
        <v>753</v>
      </c>
      <c r="K1956" s="520" t="s">
        <v>741</v>
      </c>
    </row>
    <row r="1957" spans="1:11" s="196" customFormat="1">
      <c r="A1957" s="589"/>
      <c r="B1957" s="627"/>
      <c r="C1957" s="209" t="s">
        <v>2058</v>
      </c>
      <c r="D1957" s="244"/>
      <c r="E1957" s="228"/>
      <c r="F1957" s="585">
        <f t="shared" si="268"/>
        <v>0</v>
      </c>
      <c r="G1957" s="592"/>
      <c r="H1957" s="592"/>
      <c r="I1957" s="520"/>
      <c r="J1957" s="589"/>
      <c r="K1957" s="520"/>
    </row>
    <row r="1958" spans="1:11" s="196" customFormat="1">
      <c r="A1958" s="421"/>
      <c r="B1958" s="627" t="s">
        <v>5634</v>
      </c>
      <c r="C1958" s="209">
        <v>539</v>
      </c>
      <c r="D1958" s="244">
        <f>C1958*(1-VLOOKUP(I1958,descuentos,6,FALSE))*fcl/IF(dol_sol="dólar", TC,1)</f>
        <v>130.93667153731343</v>
      </c>
      <c r="E1958" s="228">
        <v>10</v>
      </c>
      <c r="F1958" s="585">
        <f t="shared" si="268"/>
        <v>140.94</v>
      </c>
      <c r="G1958" s="592" t="s">
        <v>5635</v>
      </c>
      <c r="H1958" s="592" t="s">
        <v>5636</v>
      </c>
      <c r="I1958" s="520" t="s">
        <v>11649</v>
      </c>
      <c r="J1958" s="589" t="s">
        <v>753</v>
      </c>
      <c r="K1958" s="520" t="s">
        <v>741</v>
      </c>
    </row>
    <row r="1959" spans="1:11" s="196" customFormat="1">
      <c r="A1959" s="589"/>
      <c r="B1959" s="627"/>
      <c r="C1959" s="209" t="s">
        <v>2058</v>
      </c>
      <c r="D1959" s="244"/>
      <c r="E1959" s="228"/>
      <c r="F1959" s="585">
        <f t="shared" si="268"/>
        <v>0</v>
      </c>
      <c r="G1959" s="592"/>
      <c r="H1959" s="592"/>
      <c r="I1959" s="520"/>
      <c r="J1959" s="589"/>
      <c r="K1959" s="520"/>
    </row>
    <row r="1960" spans="1:11" s="196" customFormat="1">
      <c r="A1960" s="589"/>
      <c r="B1960" s="627"/>
      <c r="C1960" s="209" t="s">
        <v>2058</v>
      </c>
      <c r="D1960" s="244"/>
      <c r="E1960" s="228"/>
      <c r="F1960" s="585">
        <f t="shared" si="268"/>
        <v>0</v>
      </c>
      <c r="G1960" s="592"/>
      <c r="H1960" s="592"/>
      <c r="I1960" s="520"/>
      <c r="J1960" s="589"/>
      <c r="K1960" s="520"/>
    </row>
    <row r="1961" spans="1:11" s="196" customFormat="1">
      <c r="A1961" s="589"/>
      <c r="B1961" s="1744" t="s">
        <v>7207</v>
      </c>
      <c r="C1961" s="209" t="s">
        <v>2058</v>
      </c>
      <c r="D1961" s="244">
        <v>0</v>
      </c>
      <c r="E1961" s="228">
        <v>5</v>
      </c>
      <c r="F1961" s="585">
        <f t="shared" si="268"/>
        <v>5</v>
      </c>
      <c r="G1961" s="592" t="s">
        <v>7208</v>
      </c>
      <c r="H1961" s="592"/>
      <c r="I1961" s="520"/>
      <c r="J1961" s="589"/>
      <c r="K1961" s="520"/>
    </row>
    <row r="1962" spans="1:11" s="196" customFormat="1">
      <c r="A1962" s="589"/>
      <c r="B1962" s="1744" t="s">
        <v>7209</v>
      </c>
      <c r="C1962" s="209" t="s">
        <v>2058</v>
      </c>
      <c r="D1962" s="244">
        <v>0</v>
      </c>
      <c r="E1962" s="228">
        <v>5</v>
      </c>
      <c r="F1962" s="585">
        <f>ROUNDUP(D1962+E1962,2)</f>
        <v>5</v>
      </c>
      <c r="G1962" s="592" t="s">
        <v>7210</v>
      </c>
      <c r="H1962" s="592"/>
      <c r="I1962" s="520"/>
      <c r="J1962" s="589"/>
      <c r="K1962" s="520"/>
    </row>
    <row r="1963" spans="1:11" s="196" customFormat="1">
      <c r="A1963" s="589"/>
      <c r="B1963" s="627" t="s">
        <v>2376</v>
      </c>
      <c r="C1963" s="209">
        <v>286</v>
      </c>
      <c r="D1963" s="244">
        <f>C1963*(1-VLOOKUP(I1963,descuentos,6,FALSE))*fcl/IF(dol_sol="dólar", TC,1)</f>
        <v>69.476601223880579</v>
      </c>
      <c r="E1963" s="228">
        <v>5</v>
      </c>
      <c r="F1963" s="585">
        <f t="shared" si="268"/>
        <v>74.48</v>
      </c>
      <c r="G1963" s="592" t="s">
        <v>2377</v>
      </c>
      <c r="H1963" s="592" t="s">
        <v>2378</v>
      </c>
      <c r="I1963" s="520" t="s">
        <v>11649</v>
      </c>
      <c r="J1963" s="589" t="s">
        <v>753</v>
      </c>
      <c r="K1963" s="520" t="s">
        <v>741</v>
      </c>
    </row>
    <row r="1964" spans="1:11" s="196" customFormat="1">
      <c r="A1964" s="589"/>
      <c r="B1964" s="627" t="s">
        <v>2890</v>
      </c>
      <c r="C1964" s="209">
        <v>286</v>
      </c>
      <c r="D1964" s="244">
        <f>C1964*(1-VLOOKUP(I1964,descuentos,6,FALSE))*fcl/IF(dol_sol="dólar", TC,1)</f>
        <v>69.476601223880579</v>
      </c>
      <c r="E1964" s="228">
        <v>5</v>
      </c>
      <c r="F1964" s="585">
        <f t="shared" si="268"/>
        <v>74.48</v>
      </c>
      <c r="G1964" s="592" t="s">
        <v>2892</v>
      </c>
      <c r="H1964" s="592" t="s">
        <v>2379</v>
      </c>
      <c r="I1964" s="520" t="s">
        <v>11649</v>
      </c>
      <c r="J1964" s="589" t="s">
        <v>753</v>
      </c>
      <c r="K1964" s="520" t="s">
        <v>741</v>
      </c>
    </row>
    <row r="1965" spans="1:11" s="196" customFormat="1">
      <c r="A1965" s="589"/>
      <c r="B1965" s="627" t="s">
        <v>2891</v>
      </c>
      <c r="C1965" s="209">
        <v>758</v>
      </c>
      <c r="D1965" s="244">
        <f>C1965*(1-VLOOKUP(I1965,descuentos,6,FALSE))*fcl/IF(dol_sol="dólar", TC,1)</f>
        <v>184.13728576119399</v>
      </c>
      <c r="E1965" s="228">
        <v>5</v>
      </c>
      <c r="F1965" s="585">
        <f t="shared" si="268"/>
        <v>189.14</v>
      </c>
      <c r="G1965" s="592" t="s">
        <v>2894</v>
      </c>
      <c r="H1965" s="592" t="s">
        <v>2893</v>
      </c>
      <c r="I1965" s="520" t="s">
        <v>11649</v>
      </c>
      <c r="J1965" s="589" t="s">
        <v>753</v>
      </c>
      <c r="K1965" s="520" t="s">
        <v>741</v>
      </c>
    </row>
    <row r="1966" spans="1:11" s="196" customFormat="1">
      <c r="A1966" s="589"/>
      <c r="B1966" s="627" t="s">
        <v>2895</v>
      </c>
      <c r="C1966" s="209">
        <v>271</v>
      </c>
      <c r="D1966" s="244">
        <f>C1966*(1-VLOOKUP(I1966,descuentos,6,FALSE))*fcl/IF(dol_sol="dólar", TC,1)</f>
        <v>65.832723537313427</v>
      </c>
      <c r="E1966" s="228">
        <v>5</v>
      </c>
      <c r="F1966" s="585">
        <f t="shared" si="268"/>
        <v>70.84</v>
      </c>
      <c r="G1966" s="592" t="s">
        <v>2896</v>
      </c>
      <c r="H1966" s="592" t="s">
        <v>2897</v>
      </c>
      <c r="I1966" s="520" t="s">
        <v>11649</v>
      </c>
      <c r="J1966" s="589" t="s">
        <v>753</v>
      </c>
      <c r="K1966" s="520" t="s">
        <v>741</v>
      </c>
    </row>
    <row r="1967" spans="1:11" s="196" customFormat="1">
      <c r="A1967" s="589"/>
      <c r="B1967" s="627"/>
      <c r="C1967" s="209" t="s">
        <v>2058</v>
      </c>
      <c r="D1967" s="244"/>
      <c r="E1967" s="228"/>
      <c r="F1967" s="585">
        <f>ROUNDUP(D1967+E1967,2)</f>
        <v>0</v>
      </c>
      <c r="G1967" s="592"/>
      <c r="H1967" s="592"/>
      <c r="I1967" s="520"/>
      <c r="J1967" s="589"/>
      <c r="K1967" s="520"/>
    </row>
    <row r="1968" spans="1:11" s="196" customFormat="1">
      <c r="A1968" s="1740"/>
      <c r="B1968" s="627" t="s">
        <v>7211</v>
      </c>
      <c r="C1968" s="209">
        <v>1671</v>
      </c>
      <c r="D1968" s="244">
        <f>C1968*(1-VLOOKUP(I1968,descuentos,6,FALSE))*fcl/IF(dol_sol="dólar", TC,1)</f>
        <v>405.92797428358205</v>
      </c>
      <c r="E1968" s="228">
        <v>5</v>
      </c>
      <c r="F1968" s="585">
        <f>ROUNDUP(D1968+E1968,2)</f>
        <v>410.93</v>
      </c>
      <c r="G1968" s="592" t="s">
        <v>7212</v>
      </c>
      <c r="H1968" s="592" t="s">
        <v>7213</v>
      </c>
      <c r="I1968" s="520" t="s">
        <v>11649</v>
      </c>
      <c r="J1968" s="589" t="s">
        <v>753</v>
      </c>
      <c r="K1968" s="520" t="s">
        <v>741</v>
      </c>
    </row>
    <row r="1969" spans="1:11" s="196" customFormat="1">
      <c r="A1969" s="1740"/>
      <c r="B1969" s="627" t="s">
        <v>7214</v>
      </c>
      <c r="C1969" s="209">
        <v>1671</v>
      </c>
      <c r="D1969" s="244">
        <f>C1969*(1-VLOOKUP(I1969,descuentos,6,FALSE))*fcl/IF(dol_sol="dólar", TC,1)</f>
        <v>405.92797428358205</v>
      </c>
      <c r="E1969" s="228">
        <v>5</v>
      </c>
      <c r="F1969" s="585">
        <f>ROUNDUP(D1969+E1969,2)</f>
        <v>410.93</v>
      </c>
      <c r="G1969" s="592" t="s">
        <v>7215</v>
      </c>
      <c r="H1969" s="592" t="s">
        <v>7216</v>
      </c>
      <c r="I1969" s="520" t="s">
        <v>11649</v>
      </c>
      <c r="J1969" s="589" t="s">
        <v>753</v>
      </c>
      <c r="K1969" s="520" t="s">
        <v>741</v>
      </c>
    </row>
    <row r="1970" spans="1:11" s="196" customFormat="1">
      <c r="A1970" s="589"/>
      <c r="B1970" s="627"/>
      <c r="C1970" s="209" t="s">
        <v>2058</v>
      </c>
      <c r="D1970" s="244"/>
      <c r="E1970" s="228"/>
      <c r="F1970" s="585">
        <f t="shared" si="268"/>
        <v>0</v>
      </c>
      <c r="G1970" s="592"/>
      <c r="H1970" s="592"/>
      <c r="I1970" s="520"/>
      <c r="J1970" s="589"/>
      <c r="K1970" s="520"/>
    </row>
    <row r="1971" spans="1:11" s="196" customFormat="1">
      <c r="A1971" s="589"/>
      <c r="B1971" s="627" t="s">
        <v>2380</v>
      </c>
      <c r="C1971" s="209">
        <v>1771</v>
      </c>
      <c r="D1971" s="244">
        <f t="shared" ref="D1971:D1976" si="269">C1971*(1-VLOOKUP(I1971,descuentos,6,FALSE))*fcl/IF(dol_sol="dólar", TC,1)</f>
        <v>430.22049219402982</v>
      </c>
      <c r="E1971" s="228">
        <v>10</v>
      </c>
      <c r="F1971" s="585">
        <f t="shared" si="268"/>
        <v>440.23</v>
      </c>
      <c r="G1971" s="592" t="s">
        <v>2381</v>
      </c>
      <c r="H1971" s="592" t="s">
        <v>2382</v>
      </c>
      <c r="I1971" s="520" t="s">
        <v>11649</v>
      </c>
      <c r="J1971" s="589" t="s">
        <v>753</v>
      </c>
      <c r="K1971" s="520" t="s">
        <v>741</v>
      </c>
    </row>
    <row r="1972" spans="1:11" s="196" customFormat="1">
      <c r="A1972" s="589"/>
      <c r="B1972" s="627" t="s">
        <v>2383</v>
      </c>
      <c r="C1972" s="209">
        <v>4866</v>
      </c>
      <c r="D1972" s="244">
        <f t="shared" si="269"/>
        <v>1182.073921522388</v>
      </c>
      <c r="E1972" s="228">
        <v>10</v>
      </c>
      <c r="F1972" s="585">
        <f t="shared" si="268"/>
        <v>1192.08</v>
      </c>
      <c r="G1972" s="592" t="s">
        <v>2384</v>
      </c>
      <c r="H1972" s="592" t="s">
        <v>2385</v>
      </c>
      <c r="I1972" s="520" t="s">
        <v>11649</v>
      </c>
      <c r="J1972" s="589" t="s">
        <v>753</v>
      </c>
      <c r="K1972" s="520" t="s">
        <v>741</v>
      </c>
    </row>
    <row r="1973" spans="1:11" s="196" customFormat="1">
      <c r="A1973" s="589"/>
      <c r="B1973" s="627" t="s">
        <v>2386</v>
      </c>
      <c r="C1973" s="209">
        <v>1771</v>
      </c>
      <c r="D1973" s="244">
        <f t="shared" si="269"/>
        <v>430.22049219402982</v>
      </c>
      <c r="E1973" s="228">
        <v>10</v>
      </c>
      <c r="F1973" s="585">
        <f t="shared" si="268"/>
        <v>440.23</v>
      </c>
      <c r="G1973" s="592" t="s">
        <v>2387</v>
      </c>
      <c r="H1973" s="592" t="s">
        <v>2388</v>
      </c>
      <c r="I1973" s="520" t="s">
        <v>11649</v>
      </c>
      <c r="J1973" s="589" t="s">
        <v>753</v>
      </c>
      <c r="K1973" s="520" t="s">
        <v>741</v>
      </c>
    </row>
    <row r="1974" spans="1:11" s="196" customFormat="1">
      <c r="A1974" s="589"/>
      <c r="B1974" s="627" t="s">
        <v>2389</v>
      </c>
      <c r="C1974" s="209">
        <v>4866</v>
      </c>
      <c r="D1974" s="244">
        <f t="shared" si="269"/>
        <v>1182.073921522388</v>
      </c>
      <c r="E1974" s="228">
        <v>10</v>
      </c>
      <c r="F1974" s="585">
        <f t="shared" si="268"/>
        <v>1192.08</v>
      </c>
      <c r="G1974" s="592" t="s">
        <v>2390</v>
      </c>
      <c r="H1974" s="592" t="s">
        <v>2391</v>
      </c>
      <c r="I1974" s="520" t="s">
        <v>11649</v>
      </c>
      <c r="J1974" s="589" t="s">
        <v>753</v>
      </c>
      <c r="K1974" s="520" t="s">
        <v>741</v>
      </c>
    </row>
    <row r="1975" spans="1:11" s="196" customFormat="1">
      <c r="A1975" s="589"/>
      <c r="B1975" s="627" t="s">
        <v>2392</v>
      </c>
      <c r="C1975" s="209">
        <v>1771</v>
      </c>
      <c r="D1975" s="244">
        <f t="shared" si="269"/>
        <v>430.22049219402982</v>
      </c>
      <c r="E1975" s="228">
        <v>10</v>
      </c>
      <c r="F1975" s="585">
        <f t="shared" si="268"/>
        <v>440.23</v>
      </c>
      <c r="G1975" s="592" t="s">
        <v>2393</v>
      </c>
      <c r="H1975" s="592" t="s">
        <v>2394</v>
      </c>
      <c r="I1975" s="520" t="s">
        <v>11649</v>
      </c>
      <c r="J1975" s="589" t="s">
        <v>753</v>
      </c>
      <c r="K1975" s="520" t="s">
        <v>741</v>
      </c>
    </row>
    <row r="1976" spans="1:11" s="196" customFormat="1">
      <c r="A1976" s="589"/>
      <c r="B1976" s="627" t="s">
        <v>2395</v>
      </c>
      <c r="C1976" s="209">
        <v>4866</v>
      </c>
      <c r="D1976" s="244">
        <f t="shared" si="269"/>
        <v>1182.073921522388</v>
      </c>
      <c r="E1976" s="228">
        <v>10</v>
      </c>
      <c r="F1976" s="585">
        <f t="shared" si="268"/>
        <v>1192.08</v>
      </c>
      <c r="G1976" s="592" t="s">
        <v>2396</v>
      </c>
      <c r="H1976" s="592" t="s">
        <v>2397</v>
      </c>
      <c r="I1976" s="520" t="s">
        <v>11649</v>
      </c>
      <c r="J1976" s="589" t="s">
        <v>753</v>
      </c>
      <c r="K1976" s="520" t="s">
        <v>741</v>
      </c>
    </row>
    <row r="1977" spans="1:11" s="196" customFormat="1">
      <c r="A1977" s="1740"/>
      <c r="B1977" s="627" t="s">
        <v>7217</v>
      </c>
      <c r="C1977" s="209">
        <v>1809</v>
      </c>
      <c r="D1977" s="244">
        <f>C1977*(1-VLOOKUP(I1977,descuentos,6,FALSE))*fcl/IF(dol_sol="dólar", TC,1)</f>
        <v>439.45164899999992</v>
      </c>
      <c r="E1977" s="228">
        <v>10</v>
      </c>
      <c r="F1977" s="585">
        <f>ROUNDUP(D1977+E1977,2)</f>
        <v>449.46</v>
      </c>
      <c r="G1977" s="592" t="s">
        <v>7218</v>
      </c>
      <c r="H1977" s="592" t="s">
        <v>5175</v>
      </c>
      <c r="I1977" s="520" t="s">
        <v>11649</v>
      </c>
      <c r="J1977" s="589" t="s">
        <v>753</v>
      </c>
      <c r="K1977" s="520" t="s">
        <v>741</v>
      </c>
    </row>
    <row r="1978" spans="1:11" s="196" customFormat="1">
      <c r="A1978" s="589"/>
      <c r="B1978" s="627"/>
      <c r="C1978" s="209" t="s">
        <v>2058</v>
      </c>
      <c r="D1978" s="244"/>
      <c r="E1978" s="228"/>
      <c r="F1978" s="585">
        <f t="shared" si="268"/>
        <v>0</v>
      </c>
      <c r="G1978" s="592"/>
      <c r="H1978" s="592"/>
      <c r="I1978" s="520"/>
      <c r="J1978" s="589"/>
      <c r="K1978" s="520"/>
    </row>
    <row r="1979" spans="1:11" s="196" customFormat="1">
      <c r="A1979" s="589"/>
      <c r="B1979" s="627" t="s">
        <v>2398</v>
      </c>
      <c r="C1979" s="209">
        <v>672</v>
      </c>
      <c r="D1979" s="244">
        <f>C1979*(1-VLOOKUP(I1979,descuentos,6,FALSE))*fcl/IF(dol_sol="dólar", TC,1)</f>
        <v>163.24572035820893</v>
      </c>
      <c r="E1979" s="228">
        <v>10</v>
      </c>
      <c r="F1979" s="585">
        <f t="shared" si="268"/>
        <v>173.25</v>
      </c>
      <c r="G1979" s="592" t="s">
        <v>3691</v>
      </c>
      <c r="H1979" s="592" t="s">
        <v>3688</v>
      </c>
      <c r="I1979" s="520" t="s">
        <v>11649</v>
      </c>
      <c r="J1979" s="589" t="s">
        <v>753</v>
      </c>
      <c r="K1979" s="520" t="s">
        <v>741</v>
      </c>
    </row>
    <row r="1980" spans="1:11" s="196" customFormat="1">
      <c r="A1980" s="589"/>
      <c r="B1980" s="627" t="s">
        <v>2399</v>
      </c>
      <c r="C1980" s="209">
        <v>672</v>
      </c>
      <c r="D1980" s="244">
        <f>C1980*(1-VLOOKUP(I1980,descuentos,6,FALSE))*fcl/IF(dol_sol="dólar", TC,1)</f>
        <v>163.24572035820893</v>
      </c>
      <c r="E1980" s="228">
        <v>10</v>
      </c>
      <c r="F1980" s="585">
        <f t="shared" si="268"/>
        <v>173.25</v>
      </c>
      <c r="G1980" s="592" t="s">
        <v>3692</v>
      </c>
      <c r="H1980" s="592" t="s">
        <v>3689</v>
      </c>
      <c r="I1980" s="520" t="s">
        <v>11649</v>
      </c>
      <c r="J1980" s="589" t="s">
        <v>753</v>
      </c>
      <c r="K1980" s="520" t="s">
        <v>741</v>
      </c>
    </row>
    <row r="1981" spans="1:11" s="196" customFormat="1">
      <c r="A1981" s="589"/>
      <c r="B1981" s="627" t="s">
        <v>2400</v>
      </c>
      <c r="C1981" s="209">
        <v>672</v>
      </c>
      <c r="D1981" s="244">
        <f>C1981*(1-VLOOKUP(I1981,descuentos,6,FALSE))*fcl/IF(dol_sol="dólar", TC,1)</f>
        <v>163.24572035820893</v>
      </c>
      <c r="E1981" s="228">
        <v>10</v>
      </c>
      <c r="F1981" s="585">
        <f t="shared" si="268"/>
        <v>173.25</v>
      </c>
      <c r="G1981" s="592" t="s">
        <v>3693</v>
      </c>
      <c r="H1981" s="592" t="s">
        <v>3690</v>
      </c>
      <c r="I1981" s="520" t="s">
        <v>11649</v>
      </c>
      <c r="J1981" s="589" t="s">
        <v>753</v>
      </c>
      <c r="K1981" s="520" t="s">
        <v>741</v>
      </c>
    </row>
    <row r="1982" spans="1:11" s="196" customFormat="1">
      <c r="A1982" s="589"/>
      <c r="B1982" s="627"/>
      <c r="C1982" s="209" t="s">
        <v>2058</v>
      </c>
      <c r="D1982" s="244"/>
      <c r="E1982" s="228"/>
      <c r="F1982" s="585">
        <f t="shared" si="268"/>
        <v>0</v>
      </c>
      <c r="G1982" s="592"/>
      <c r="H1982" s="592"/>
      <c r="I1982" s="520"/>
      <c r="J1982" s="589"/>
      <c r="K1982" s="520"/>
    </row>
    <row r="1983" spans="1:11" s="196" customFormat="1">
      <c r="A1983" s="589"/>
      <c r="B1983" s="627" t="s">
        <v>2401</v>
      </c>
      <c r="C1983" s="209">
        <v>9220</v>
      </c>
      <c r="D1983" s="244">
        <f>C1983*(1-VLOOKUP(I1983,descuentos,6,FALSE))*fcl/IF(dol_sol="dólar", TC,1)</f>
        <v>2239.7701513432835</v>
      </c>
      <c r="E1983" s="228">
        <v>200</v>
      </c>
      <c r="F1983" s="585">
        <f t="shared" si="268"/>
        <v>2439.7800000000002</v>
      </c>
      <c r="G1983" s="592" t="s">
        <v>2402</v>
      </c>
      <c r="H1983" s="592" t="s">
        <v>2403</v>
      </c>
      <c r="I1983" s="520" t="s">
        <v>11649</v>
      </c>
      <c r="J1983" s="589" t="s">
        <v>753</v>
      </c>
      <c r="K1983" s="520" t="s">
        <v>741</v>
      </c>
    </row>
    <row r="1984" spans="1:11" s="196" customFormat="1">
      <c r="A1984" s="589"/>
      <c r="B1984" s="627" t="s">
        <v>2404</v>
      </c>
      <c r="C1984" s="209">
        <v>11320</v>
      </c>
      <c r="D1984" s="244">
        <f>C1984*(1-VLOOKUP(I1984,descuentos,6,FALSE))*fcl/IF(dol_sol="dólar", TC,1)</f>
        <v>2749.9130274626864</v>
      </c>
      <c r="E1984" s="228">
        <v>300</v>
      </c>
      <c r="F1984" s="585">
        <f t="shared" si="268"/>
        <v>3049.92</v>
      </c>
      <c r="G1984" s="634" t="s">
        <v>3687</v>
      </c>
      <c r="H1984" s="592" t="s">
        <v>2405</v>
      </c>
      <c r="I1984" s="520" t="s">
        <v>11649</v>
      </c>
      <c r="J1984" s="589" t="s">
        <v>753</v>
      </c>
      <c r="K1984" s="520" t="s">
        <v>741</v>
      </c>
    </row>
    <row r="1985" spans="1:11" s="194" customFormat="1">
      <c r="A1985" s="589"/>
      <c r="B1985" s="627"/>
      <c r="C1985" s="209" t="s">
        <v>2058</v>
      </c>
      <c r="D1985" s="244"/>
      <c r="E1985" s="228"/>
      <c r="F1985" s="585"/>
      <c r="G1985" s="592"/>
      <c r="H1985" s="592"/>
      <c r="I1985" s="520"/>
      <c r="J1985" s="589"/>
      <c r="K1985" s="520"/>
    </row>
    <row r="1986" spans="1:11" s="196" customFormat="1">
      <c r="A1986" s="1745"/>
      <c r="B1986" s="627" t="s">
        <v>7219</v>
      </c>
      <c r="C1986" s="209">
        <v>4987</v>
      </c>
      <c r="D1986" s="244">
        <f>C1986*(1-VLOOKUP(I1986,descuentos,6,FALSE))*fcl/IF(dol_sol="dólar", TC,1)</f>
        <v>1211.4678681940297</v>
      </c>
      <c r="E1986" s="228">
        <v>5</v>
      </c>
      <c r="F1986" s="585">
        <f t="shared" si="268"/>
        <v>1216.47</v>
      </c>
      <c r="G1986" s="592" t="s">
        <v>7220</v>
      </c>
      <c r="H1986" s="592" t="s">
        <v>7221</v>
      </c>
      <c r="I1986" s="520" t="s">
        <v>11649</v>
      </c>
      <c r="J1986" s="589" t="s">
        <v>753</v>
      </c>
      <c r="K1986" s="520" t="s">
        <v>741</v>
      </c>
    </row>
    <row r="1987" spans="1:11" s="194" customFormat="1">
      <c r="A1987" s="589"/>
      <c r="B1987" s="627"/>
      <c r="C1987" s="209" t="s">
        <v>2058</v>
      </c>
      <c r="D1987" s="244"/>
      <c r="E1987" s="228"/>
      <c r="F1987" s="585"/>
      <c r="G1987" s="592"/>
      <c r="H1987" s="592"/>
      <c r="I1987" s="520"/>
      <c r="J1987" s="589"/>
      <c r="K1987" s="520"/>
    </row>
    <row r="1988" spans="1:11" s="196" customFormat="1">
      <c r="A1988" s="1745"/>
      <c r="B1988" s="627" t="s">
        <v>13560</v>
      </c>
      <c r="C1988" s="209">
        <v>763</v>
      </c>
      <c r="D1988" s="244">
        <f>C1988*(1-VLOOKUP(I1988,descuentos,6,FALSE))*fcl/IF(dol_sol="dólar", TC,1)</f>
        <v>185.35191165671642</v>
      </c>
      <c r="E1988" s="228">
        <v>5</v>
      </c>
      <c r="F1988" s="585">
        <f t="shared" ref="F1988" si="270">ROUNDUP(D1988+E1988,2)</f>
        <v>190.35999999999999</v>
      </c>
      <c r="G1988" s="592" t="s">
        <v>13561</v>
      </c>
      <c r="H1988" s="592" t="s">
        <v>13562</v>
      </c>
      <c r="I1988" s="520" t="s">
        <v>11649</v>
      </c>
      <c r="J1988" s="589" t="s">
        <v>753</v>
      </c>
      <c r="K1988" s="520" t="s">
        <v>741</v>
      </c>
    </row>
    <row r="1989" spans="1:11" s="194" customFormat="1">
      <c r="A1989" s="589"/>
      <c r="B1989" s="627"/>
      <c r="C1989" s="209" t="s">
        <v>2058</v>
      </c>
      <c r="D1989" s="244"/>
      <c r="E1989" s="228"/>
      <c r="F1989" s="585"/>
      <c r="G1989" s="592"/>
      <c r="H1989" s="592"/>
      <c r="I1989" s="520"/>
      <c r="J1989" s="589"/>
      <c r="K1989" s="520"/>
    </row>
    <row r="1990" spans="1:11" s="196" customFormat="1">
      <c r="A1990" s="589"/>
      <c r="B1990" s="627" t="s">
        <v>9980</v>
      </c>
      <c r="C1990" s="209">
        <v>1809</v>
      </c>
      <c r="D1990" s="244">
        <f t="shared" ref="D1990" si="271">C1990*(1-VLOOKUP(I1990,descuentos,6,FALSE))*fcl/IF(dol_sol="dólar", TC,1)</f>
        <v>439.45164899999992</v>
      </c>
      <c r="E1990" s="228">
        <v>10</v>
      </c>
      <c r="F1990" s="585">
        <f t="shared" ref="F1990:F1991" si="272">ROUNDUP(D1990+E1990,2)</f>
        <v>449.46</v>
      </c>
      <c r="G1990" s="592" t="s">
        <v>9981</v>
      </c>
      <c r="H1990" s="592" t="s">
        <v>9982</v>
      </c>
      <c r="I1990" s="520" t="s">
        <v>11649</v>
      </c>
      <c r="J1990" s="589" t="s">
        <v>753</v>
      </c>
      <c r="K1990" s="520" t="s">
        <v>741</v>
      </c>
    </row>
    <row r="1991" spans="1:11" s="196" customFormat="1">
      <c r="A1991" s="589"/>
      <c r="B1991" s="629"/>
      <c r="C1991" s="209" t="s">
        <v>2058</v>
      </c>
      <c r="D1991" s="244"/>
      <c r="E1991" s="228"/>
      <c r="F1991" s="585">
        <f t="shared" si="272"/>
        <v>0</v>
      </c>
      <c r="G1991" s="592"/>
      <c r="H1991" s="592"/>
      <c r="I1991" s="520"/>
      <c r="J1991" s="589"/>
      <c r="K1991" s="520"/>
    </row>
    <row r="1992" spans="1:11" s="196" customFormat="1">
      <c r="A1992" s="589"/>
      <c r="B1992" s="592"/>
      <c r="C1992" s="209" t="s">
        <v>2058</v>
      </c>
      <c r="D1992" s="244"/>
      <c r="E1992" s="228"/>
      <c r="F1992" s="585">
        <f t="shared" si="268"/>
        <v>0</v>
      </c>
      <c r="G1992" s="592"/>
      <c r="H1992" s="592"/>
      <c r="I1992" s="520"/>
      <c r="J1992" s="589"/>
      <c r="K1992" s="520"/>
    </row>
    <row r="1993" spans="1:11" s="196" customFormat="1">
      <c r="A1993" s="589" t="s">
        <v>2900</v>
      </c>
      <c r="B1993" s="636" t="s">
        <v>2898</v>
      </c>
      <c r="C1993" s="637">
        <v>510</v>
      </c>
      <c r="D1993" s="243">
        <f t="shared" ref="D1993:D2005" si="273">C1993*(1-VLOOKUP(I1993,descuentos,6,FALSE))*fcl/IF(dol_sol="dólar", TC,1)</f>
        <v>123.89184134328356</v>
      </c>
      <c r="E1993" s="228">
        <v>80</v>
      </c>
      <c r="F1993" s="638">
        <f t="shared" si="268"/>
        <v>203.89999999999998</v>
      </c>
      <c r="G1993" s="592" t="s">
        <v>2906</v>
      </c>
      <c r="H1993" s="643" t="s">
        <v>2406</v>
      </c>
      <c r="I1993" s="639" t="s">
        <v>11649</v>
      </c>
      <c r="J1993" s="635" t="s">
        <v>753</v>
      </c>
      <c r="K1993" s="639" t="s">
        <v>741</v>
      </c>
    </row>
    <row r="1994" spans="1:11" s="196" customFormat="1">
      <c r="A1994" s="589"/>
      <c r="B1994" s="640" t="s">
        <v>2899</v>
      </c>
      <c r="C1994" s="209">
        <v>537</v>
      </c>
      <c r="D1994" s="243">
        <f t="shared" si="273"/>
        <v>130.45082117910445</v>
      </c>
      <c r="E1994" s="228">
        <v>80</v>
      </c>
      <c r="F1994" s="638">
        <f t="shared" si="268"/>
        <v>210.45999999999998</v>
      </c>
      <c r="G1994" s="592" t="s">
        <v>2907</v>
      </c>
      <c r="H1994" s="592" t="s">
        <v>2407</v>
      </c>
      <c r="I1994" s="520" t="s">
        <v>11649</v>
      </c>
      <c r="J1994" s="421" t="s">
        <v>753</v>
      </c>
      <c r="K1994" s="520" t="s">
        <v>741</v>
      </c>
    </row>
    <row r="1995" spans="1:11" s="196" customFormat="1">
      <c r="A1995" s="589"/>
      <c r="B1995" s="640" t="s">
        <v>2909</v>
      </c>
      <c r="C1995" s="209">
        <v>560</v>
      </c>
      <c r="D1995" s="243">
        <f t="shared" si="273"/>
        <v>136.03810029850746</v>
      </c>
      <c r="E1995" s="228">
        <v>80</v>
      </c>
      <c r="F1995" s="638">
        <f t="shared" si="268"/>
        <v>216.04</v>
      </c>
      <c r="G1995" s="592" t="s">
        <v>2913</v>
      </c>
      <c r="H1995" s="592" t="s">
        <v>2910</v>
      </c>
      <c r="I1995" s="520" t="s">
        <v>11649</v>
      </c>
      <c r="J1995" s="421" t="s">
        <v>753</v>
      </c>
      <c r="K1995" s="520" t="s">
        <v>741</v>
      </c>
    </row>
    <row r="1996" spans="1:11" s="196" customFormat="1">
      <c r="A1996" s="589"/>
      <c r="B1996" s="640" t="s">
        <v>2911</v>
      </c>
      <c r="C1996" s="209">
        <v>560</v>
      </c>
      <c r="D1996" s="243">
        <f t="shared" si="273"/>
        <v>136.03810029850746</v>
      </c>
      <c r="E1996" s="228">
        <v>80</v>
      </c>
      <c r="F1996" s="638">
        <f t="shared" si="268"/>
        <v>216.04</v>
      </c>
      <c r="G1996" s="592" t="s">
        <v>2912</v>
      </c>
      <c r="H1996" s="592" t="s">
        <v>2914</v>
      </c>
      <c r="I1996" s="520" t="s">
        <v>11649</v>
      </c>
      <c r="J1996" s="421" t="s">
        <v>753</v>
      </c>
      <c r="K1996" s="520" t="s">
        <v>741</v>
      </c>
    </row>
    <row r="1997" spans="1:11" s="267" customFormat="1" ht="12" customHeight="1">
      <c r="A1997" s="635" t="s">
        <v>2901</v>
      </c>
      <c r="B1997" s="636" t="s">
        <v>2408</v>
      </c>
      <c r="C1997" s="637">
        <v>503</v>
      </c>
      <c r="D1997" s="243">
        <f t="shared" si="273"/>
        <v>122.19136508955224</v>
      </c>
      <c r="E1997" s="228"/>
      <c r="F1997" s="638">
        <f t="shared" si="268"/>
        <v>122.2</v>
      </c>
      <c r="G1997" s="641" t="s">
        <v>2903</v>
      </c>
      <c r="H1997" s="643" t="s">
        <v>2409</v>
      </c>
      <c r="I1997" s="639" t="s">
        <v>11649</v>
      </c>
      <c r="J1997" s="635" t="s">
        <v>753</v>
      </c>
      <c r="K1997" s="639" t="s">
        <v>741</v>
      </c>
    </row>
    <row r="1998" spans="1:11" s="196" customFormat="1">
      <c r="A1998" s="421"/>
      <c r="B1998" s="640" t="s">
        <v>2410</v>
      </c>
      <c r="C1998" s="637">
        <v>503</v>
      </c>
      <c r="D1998" s="243">
        <f t="shared" si="273"/>
        <v>122.19136508955224</v>
      </c>
      <c r="E1998" s="228"/>
      <c r="F1998" s="638">
        <f t="shared" si="268"/>
        <v>122.2</v>
      </c>
      <c r="G1998" s="641" t="s">
        <v>2904</v>
      </c>
      <c r="H1998" s="643" t="s">
        <v>2411</v>
      </c>
      <c r="I1998" s="639" t="s">
        <v>11649</v>
      </c>
      <c r="J1998" s="635" t="s">
        <v>753</v>
      </c>
      <c r="K1998" s="639" t="s">
        <v>741</v>
      </c>
    </row>
    <row r="1999" spans="1:11" s="267" customFormat="1" ht="12" customHeight="1">
      <c r="A1999" s="635"/>
      <c r="B1999" s="642" t="s">
        <v>2412</v>
      </c>
      <c r="C1999" s="637">
        <v>503</v>
      </c>
      <c r="D1999" s="243">
        <f t="shared" si="273"/>
        <v>122.19136508955224</v>
      </c>
      <c r="E1999" s="228"/>
      <c r="F1999" s="638">
        <f t="shared" si="268"/>
        <v>122.2</v>
      </c>
      <c r="G1999" s="641" t="s">
        <v>2905</v>
      </c>
      <c r="H1999" s="643" t="s">
        <v>2413</v>
      </c>
      <c r="I1999" s="639" t="s">
        <v>11649</v>
      </c>
      <c r="J1999" s="635" t="s">
        <v>753</v>
      </c>
      <c r="K1999" s="639" t="s">
        <v>741</v>
      </c>
    </row>
    <row r="2000" spans="1:11" s="267" customFormat="1" ht="12" customHeight="1">
      <c r="A2000" s="635" t="s">
        <v>2902</v>
      </c>
      <c r="B2000" s="636" t="s">
        <v>2916</v>
      </c>
      <c r="C2000" s="637">
        <v>457</v>
      </c>
      <c r="D2000" s="243">
        <f t="shared" si="273"/>
        <v>111.01680685074626</v>
      </c>
      <c r="E2000" s="228">
        <v>20</v>
      </c>
      <c r="F2000" s="638">
        <f t="shared" si="268"/>
        <v>131.01999999999998</v>
      </c>
      <c r="G2000" s="643" t="s">
        <v>2908</v>
      </c>
      <c r="H2000" s="643" t="s">
        <v>2414</v>
      </c>
      <c r="I2000" s="639" t="s">
        <v>11649</v>
      </c>
      <c r="J2000" s="635" t="s">
        <v>753</v>
      </c>
      <c r="K2000" s="639" t="s">
        <v>741</v>
      </c>
    </row>
    <row r="2001" spans="1:11" s="267" customFormat="1" ht="12" customHeight="1">
      <c r="A2001" s="635"/>
      <c r="B2001" s="640" t="s">
        <v>2921</v>
      </c>
      <c r="C2001" s="637">
        <v>1369</v>
      </c>
      <c r="D2001" s="243">
        <f t="shared" si="273"/>
        <v>332.56457019402984</v>
      </c>
      <c r="E2001" s="228">
        <v>20</v>
      </c>
      <c r="F2001" s="638">
        <f t="shared" si="268"/>
        <v>352.57</v>
      </c>
      <c r="G2001" s="643" t="s">
        <v>2923</v>
      </c>
      <c r="H2001" s="643" t="s">
        <v>2415</v>
      </c>
      <c r="I2001" s="639" t="s">
        <v>11649</v>
      </c>
      <c r="J2001" s="635" t="s">
        <v>753</v>
      </c>
      <c r="K2001" s="639" t="s">
        <v>741</v>
      </c>
    </row>
    <row r="2002" spans="1:11" s="267" customFormat="1" ht="12" customHeight="1">
      <c r="A2002" s="635"/>
      <c r="B2002" s="640" t="s">
        <v>2922</v>
      </c>
      <c r="C2002" s="637">
        <v>1443</v>
      </c>
      <c r="D2002" s="243">
        <f t="shared" si="273"/>
        <v>350.54103344776121</v>
      </c>
      <c r="E2002" s="228">
        <v>20</v>
      </c>
      <c r="F2002" s="638">
        <f t="shared" si="268"/>
        <v>370.55</v>
      </c>
      <c r="G2002" s="643" t="s">
        <v>2924</v>
      </c>
      <c r="H2002" s="643" t="s">
        <v>2917</v>
      </c>
      <c r="I2002" s="639" t="s">
        <v>11649</v>
      </c>
      <c r="J2002" s="635" t="s">
        <v>753</v>
      </c>
      <c r="K2002" s="639" t="s">
        <v>741</v>
      </c>
    </row>
    <row r="2003" spans="1:11" s="267" customFormat="1" ht="12" customHeight="1">
      <c r="A2003" s="635" t="s">
        <v>2915</v>
      </c>
      <c r="B2003" s="636" t="s">
        <v>2918</v>
      </c>
      <c r="C2003" s="637">
        <v>454</v>
      </c>
      <c r="D2003" s="243">
        <f t="shared" si="273"/>
        <v>110.28803131343282</v>
      </c>
      <c r="E2003" s="228">
        <v>20</v>
      </c>
      <c r="F2003" s="638">
        <f t="shared" si="268"/>
        <v>130.29</v>
      </c>
      <c r="G2003" s="643" t="s">
        <v>2919</v>
      </c>
      <c r="H2003" s="643" t="s">
        <v>2920</v>
      </c>
      <c r="I2003" s="639" t="s">
        <v>11649</v>
      </c>
      <c r="J2003" s="635" t="s">
        <v>753</v>
      </c>
      <c r="K2003" s="639" t="s">
        <v>741</v>
      </c>
    </row>
    <row r="2004" spans="1:11" s="267" customFormat="1" ht="12" customHeight="1">
      <c r="A2004" s="635"/>
      <c r="B2004" s="640" t="s">
        <v>2921</v>
      </c>
      <c r="C2004" s="637">
        <v>1369</v>
      </c>
      <c r="D2004" s="243">
        <f t="shared" si="273"/>
        <v>332.56457019402984</v>
      </c>
      <c r="E2004" s="228">
        <v>20</v>
      </c>
      <c r="F2004" s="638">
        <f t="shared" si="268"/>
        <v>352.57</v>
      </c>
      <c r="G2004" s="643" t="s">
        <v>2923</v>
      </c>
      <c r="H2004" s="643" t="s">
        <v>2415</v>
      </c>
      <c r="I2004" s="639" t="s">
        <v>11649</v>
      </c>
      <c r="J2004" s="635" t="s">
        <v>753</v>
      </c>
      <c r="K2004" s="639" t="s">
        <v>741</v>
      </c>
    </row>
    <row r="2005" spans="1:11" s="267" customFormat="1" ht="12" customHeight="1">
      <c r="A2005" s="635"/>
      <c r="B2005" s="642" t="s">
        <v>2922</v>
      </c>
      <c r="C2005" s="637">
        <v>1443</v>
      </c>
      <c r="D2005" s="243">
        <f t="shared" si="273"/>
        <v>350.54103344776121</v>
      </c>
      <c r="E2005" s="228">
        <v>20</v>
      </c>
      <c r="F2005" s="638">
        <f t="shared" si="268"/>
        <v>370.55</v>
      </c>
      <c r="G2005" s="643" t="s">
        <v>2924</v>
      </c>
      <c r="H2005" s="643" t="s">
        <v>2917</v>
      </c>
      <c r="I2005" s="639" t="s">
        <v>11649</v>
      </c>
      <c r="J2005" s="635" t="s">
        <v>753</v>
      </c>
      <c r="K2005" s="639" t="s">
        <v>741</v>
      </c>
    </row>
    <row r="2006" spans="1:11" s="267" customFormat="1" ht="12" customHeight="1">
      <c r="A2006" s="635"/>
      <c r="B2006" s="592"/>
      <c r="C2006" s="209" t="s">
        <v>2058</v>
      </c>
      <c r="D2006" s="244"/>
      <c r="E2006" s="228"/>
      <c r="F2006" s="585">
        <f t="shared" si="268"/>
        <v>0</v>
      </c>
      <c r="G2006" s="592"/>
      <c r="H2006" s="592"/>
      <c r="I2006" s="520"/>
      <c r="J2006" s="421"/>
      <c r="K2006" s="520"/>
    </row>
    <row r="2007" spans="1:11" s="267" customFormat="1" ht="12" customHeight="1">
      <c r="A2007" s="635"/>
      <c r="B2007" s="636" t="s">
        <v>2416</v>
      </c>
      <c r="C2007" s="637">
        <v>1773</v>
      </c>
      <c r="D2007" s="243">
        <f>C2007*(1-VLOOKUP(I2007,descuentos,6,FALSE))*fcl/IF(dol_sol="dólar", TC,1)</f>
        <v>430.70634255223882</v>
      </c>
      <c r="E2007" s="228">
        <v>50</v>
      </c>
      <c r="F2007" s="638">
        <f t="shared" si="268"/>
        <v>480.71</v>
      </c>
      <c r="G2007" s="338" t="s">
        <v>7222</v>
      </c>
      <c r="H2007" s="643" t="s">
        <v>2417</v>
      </c>
      <c r="I2007" s="639" t="s">
        <v>11649</v>
      </c>
      <c r="J2007" s="635" t="s">
        <v>753</v>
      </c>
      <c r="K2007" s="639" t="s">
        <v>741</v>
      </c>
    </row>
    <row r="2008" spans="1:11" s="196" customFormat="1">
      <c r="A2008" s="421"/>
      <c r="B2008" s="642" t="s">
        <v>2418</v>
      </c>
      <c r="C2008" s="637">
        <v>1773</v>
      </c>
      <c r="D2008" s="243">
        <f>C2008*(1-VLOOKUP(I2008,descuentos,6,FALSE))*fcl/IF(dol_sol="dólar", TC,1)</f>
        <v>430.70634255223882</v>
      </c>
      <c r="E2008" s="228">
        <v>50</v>
      </c>
      <c r="F2008" s="638">
        <f t="shared" si="268"/>
        <v>480.71</v>
      </c>
      <c r="G2008" s="338" t="s">
        <v>7223</v>
      </c>
      <c r="H2008" s="643" t="s">
        <v>2419</v>
      </c>
      <c r="I2008" s="639" t="s">
        <v>11649</v>
      </c>
      <c r="J2008" s="635" t="s">
        <v>753</v>
      </c>
      <c r="K2008" s="639" t="s">
        <v>741</v>
      </c>
    </row>
    <row r="2009" spans="1:11" s="267" customFormat="1" ht="12" customHeight="1">
      <c r="A2009" s="635"/>
      <c r="B2009" s="640" t="s">
        <v>2420</v>
      </c>
      <c r="C2009" s="637">
        <v>2135</v>
      </c>
      <c r="D2009" s="243">
        <f>C2009*(1-VLOOKUP(I2009,descuentos,6,FALSE))*fcl/IF(dol_sol="dólar", TC,1)</f>
        <v>518.64525738805969</v>
      </c>
      <c r="E2009" s="228">
        <v>60</v>
      </c>
      <c r="F2009" s="638">
        <f t="shared" si="268"/>
        <v>578.65</v>
      </c>
      <c r="G2009" s="338" t="s">
        <v>2421</v>
      </c>
      <c r="H2009" s="643" t="s">
        <v>2422</v>
      </c>
      <c r="I2009" s="639" t="s">
        <v>11649</v>
      </c>
      <c r="J2009" s="635" t="s">
        <v>753</v>
      </c>
      <c r="K2009" s="639" t="s">
        <v>741</v>
      </c>
    </row>
    <row r="2010" spans="1:11" s="267" customFormat="1" ht="12" customHeight="1">
      <c r="A2010" s="635"/>
      <c r="B2010" s="642" t="s">
        <v>2423</v>
      </c>
      <c r="C2010" s="637">
        <v>2757</v>
      </c>
      <c r="D2010" s="243">
        <f>C2010*(1-VLOOKUP(I2010,descuentos,6,FALSE))*fcl/IF(dol_sol="dólar", TC,1)</f>
        <v>669.74471879104465</v>
      </c>
      <c r="E2010" s="228">
        <v>80</v>
      </c>
      <c r="F2010" s="638">
        <f t="shared" si="268"/>
        <v>749.75</v>
      </c>
      <c r="G2010" s="338" t="s">
        <v>2424</v>
      </c>
      <c r="H2010" s="643" t="s">
        <v>2425</v>
      </c>
      <c r="I2010" s="639" t="s">
        <v>11649</v>
      </c>
      <c r="J2010" s="635" t="s">
        <v>753</v>
      </c>
      <c r="K2010" s="639" t="s">
        <v>741</v>
      </c>
    </row>
    <row r="2011" spans="1:11" s="1746" customFormat="1" ht="12" customHeight="1">
      <c r="A2011" s="635"/>
      <c r="B2011" s="643"/>
      <c r="C2011" s="637" t="s">
        <v>2058</v>
      </c>
      <c r="D2011" s="243"/>
      <c r="E2011" s="228"/>
      <c r="F2011" s="638"/>
      <c r="G2011" s="338"/>
      <c r="H2011" s="643"/>
      <c r="I2011" s="639"/>
      <c r="J2011" s="635"/>
      <c r="K2011" s="639"/>
    </row>
    <row r="2012" spans="1:11" s="1746" customFormat="1" ht="12" customHeight="1">
      <c r="A2012" s="635"/>
      <c r="B2012" s="643"/>
      <c r="C2012" s="637" t="s">
        <v>2058</v>
      </c>
      <c r="D2012" s="243"/>
      <c r="E2012" s="228"/>
      <c r="F2012" s="638"/>
      <c r="G2012" s="338"/>
      <c r="H2012" s="643"/>
      <c r="I2012" s="639"/>
      <c r="J2012" s="635"/>
      <c r="K2012" s="639"/>
    </row>
    <row r="2013" spans="1:11" s="1746" customFormat="1" ht="12" customHeight="1">
      <c r="A2013" s="635"/>
      <c r="B2013" s="643"/>
      <c r="C2013" s="637" t="s">
        <v>2058</v>
      </c>
      <c r="D2013" s="243"/>
      <c r="E2013" s="228"/>
      <c r="F2013" s="638"/>
      <c r="G2013" s="338"/>
      <c r="H2013" s="643"/>
      <c r="I2013" s="639"/>
      <c r="J2013" s="635"/>
      <c r="K2013" s="639"/>
    </row>
    <row r="2014" spans="1:11" s="341" customFormat="1">
      <c r="A2014" s="1642"/>
      <c r="B2014" s="338" t="s">
        <v>12572</v>
      </c>
      <c r="C2014" s="209">
        <v>31154</v>
      </c>
      <c r="D2014" s="244">
        <f t="shared" ref="D2014" si="274">C2014*(1-VLOOKUP(I2014,descuentos,6,FALSE))*fcl/IF(dol_sol="dólar", TC,1)</f>
        <v>7568.0910298208946</v>
      </c>
      <c r="E2014" s="1952">
        <v>600</v>
      </c>
      <c r="F2014" s="585">
        <f>ROUNDUP(D2014+E2014,2)</f>
        <v>8168.1</v>
      </c>
      <c r="G2014" s="338" t="s">
        <v>12573</v>
      </c>
      <c r="H2014" s="592" t="s">
        <v>12574</v>
      </c>
      <c r="I2014" s="520" t="s">
        <v>11649</v>
      </c>
      <c r="J2014" s="421" t="s">
        <v>753</v>
      </c>
      <c r="K2014" s="520" t="s">
        <v>741</v>
      </c>
    </row>
    <row r="2015" spans="1:11" s="1746" customFormat="1" ht="12" customHeight="1">
      <c r="A2015" s="635"/>
      <c r="B2015" s="643"/>
      <c r="C2015" s="637" t="s">
        <v>2058</v>
      </c>
      <c r="D2015" s="243"/>
      <c r="E2015" s="228"/>
      <c r="F2015" s="638"/>
      <c r="G2015" s="338"/>
      <c r="H2015" s="643"/>
      <c r="I2015" s="639"/>
      <c r="J2015" s="635"/>
      <c r="K2015" s="639"/>
    </row>
    <row r="2016" spans="1:11" s="1746" customFormat="1" ht="12" customHeight="1">
      <c r="A2016" s="635"/>
      <c r="B2016" s="643"/>
      <c r="C2016" s="637" t="s">
        <v>2058</v>
      </c>
      <c r="D2016" s="243"/>
      <c r="E2016" s="228"/>
      <c r="F2016" s="638"/>
      <c r="G2016" s="338"/>
      <c r="H2016" s="643"/>
      <c r="I2016" s="639"/>
      <c r="J2016" s="635"/>
      <c r="K2016" s="639"/>
    </row>
    <row r="2017" spans="1:11" s="2081" customFormat="1" ht="12" customHeight="1">
      <c r="A2017" s="2074"/>
      <c r="B2017" s="2075"/>
      <c r="C2017" s="2076" t="s">
        <v>2058</v>
      </c>
      <c r="D2017" s="2077"/>
      <c r="E2017" s="1818"/>
      <c r="F2017" s="2078"/>
      <c r="G2017" s="2079"/>
      <c r="H2017" s="2075"/>
      <c r="I2017" s="2080"/>
      <c r="J2017" s="2074"/>
      <c r="K2017" s="2080"/>
    </row>
    <row r="2018" spans="1:11" s="1746" customFormat="1" ht="12" customHeight="1">
      <c r="A2018" s="635"/>
      <c r="B2018" s="643"/>
      <c r="C2018" s="637" t="s">
        <v>2058</v>
      </c>
      <c r="D2018" s="243"/>
      <c r="E2018" s="228"/>
      <c r="F2018" s="638"/>
      <c r="G2018" s="338"/>
      <c r="H2018" s="643"/>
      <c r="I2018" s="639"/>
      <c r="J2018" s="635"/>
      <c r="K2018" s="639"/>
    </row>
    <row r="2019" spans="1:11" s="341" customFormat="1" ht="35.25" customHeight="1">
      <c r="A2019" s="421"/>
      <c r="B2019" s="1738" t="s">
        <v>9209</v>
      </c>
      <c r="C2019" s="209" t="s">
        <v>2058</v>
      </c>
      <c r="D2019" s="244"/>
      <c r="E2019" s="228"/>
      <c r="F2019" s="585"/>
      <c r="G2019" s="338"/>
      <c r="H2019" s="592"/>
      <c r="I2019" s="520"/>
      <c r="J2019" s="421"/>
      <c r="K2019" s="520"/>
    </row>
    <row r="2020" spans="1:11" s="341" customFormat="1">
      <c r="A2020" s="1737"/>
      <c r="B2020" s="394" t="s">
        <v>9210</v>
      </c>
      <c r="C2020" s="389">
        <v>102225</v>
      </c>
      <c r="D2020" s="388">
        <f>C2020*(1-VLOOKUP(I2020,descuentos,6,FALSE))*fcl/IF(dol_sol="dólar", TC,1)</f>
        <v>24833.02643395522</v>
      </c>
      <c r="E2020" s="633">
        <v>600</v>
      </c>
      <c r="F2020" s="582">
        <f>ROUNDUP(D2020+E2020,2)</f>
        <v>25433.03</v>
      </c>
      <c r="G2020" s="394" t="s">
        <v>9211</v>
      </c>
      <c r="H2020" s="592" t="s">
        <v>9212</v>
      </c>
      <c r="I2020" s="520" t="s">
        <v>11649</v>
      </c>
      <c r="J2020" s="421" t="s">
        <v>753</v>
      </c>
      <c r="K2020" s="520" t="s">
        <v>741</v>
      </c>
    </row>
    <row r="2021" spans="1:11" s="341" customFormat="1">
      <c r="A2021" s="1737"/>
      <c r="B2021" s="627" t="s">
        <v>9213</v>
      </c>
      <c r="C2021" s="209">
        <v>8259</v>
      </c>
      <c r="D2021" s="244">
        <f>C2021*(1-VLOOKUP(I2021,descuentos,6,FALSE))*fcl/IF(dol_sol="dólar", TC,1)</f>
        <v>2006.3190542238804</v>
      </c>
      <c r="E2021" s="472">
        <v>50</v>
      </c>
      <c r="F2021" s="585">
        <f>ROUNDUP(D2021+E2021,2)</f>
        <v>2056.3200000000002</v>
      </c>
      <c r="G2021" s="338" t="s">
        <v>9214</v>
      </c>
      <c r="H2021" s="592" t="s">
        <v>9215</v>
      </c>
      <c r="I2021" s="520" t="s">
        <v>11649</v>
      </c>
      <c r="J2021" s="421" t="s">
        <v>753</v>
      </c>
      <c r="K2021" s="520" t="s">
        <v>741</v>
      </c>
    </row>
    <row r="2022" spans="1:11" s="341" customFormat="1">
      <c r="A2022" s="421"/>
      <c r="B2022" s="338"/>
      <c r="C2022" s="209" t="s">
        <v>2058</v>
      </c>
      <c r="D2022" s="388"/>
      <c r="E2022" s="386"/>
      <c r="F2022" s="582"/>
      <c r="G2022" s="338"/>
      <c r="H2022" s="592"/>
      <c r="I2022" s="520"/>
      <c r="J2022" s="421"/>
      <c r="K2022" s="520"/>
    </row>
    <row r="2023" spans="1:11" s="341" customFormat="1">
      <c r="A2023" s="421"/>
      <c r="B2023" s="338"/>
      <c r="C2023" s="209" t="s">
        <v>2058</v>
      </c>
      <c r="D2023" s="388"/>
      <c r="E2023" s="386"/>
      <c r="F2023" s="582"/>
      <c r="G2023" s="338"/>
      <c r="H2023" s="592"/>
      <c r="I2023" s="520"/>
      <c r="J2023" s="421"/>
      <c r="K2023" s="520"/>
    </row>
    <row r="2024" spans="1:11" s="341" customFormat="1">
      <c r="A2024" s="1737"/>
      <c r="B2024" s="1969" t="s">
        <v>9907</v>
      </c>
      <c r="C2024" s="389">
        <v>98029</v>
      </c>
      <c r="D2024" s="388">
        <f t="shared" ref="D2024" si="275">C2024*(1-VLOOKUP(I2024,descuentos,6,FALSE))*fcl/IF(dol_sol="dólar", TC,1)</f>
        <v>23813.71238243283</v>
      </c>
      <c r="E2024" s="633">
        <v>600</v>
      </c>
      <c r="F2024" s="582">
        <f>ROUNDUP(D2024+E2024,2)</f>
        <v>24413.719999999998</v>
      </c>
      <c r="G2024" s="394" t="s">
        <v>9908</v>
      </c>
      <c r="H2024" s="592" t="s">
        <v>9909</v>
      </c>
      <c r="I2024" s="520" t="s">
        <v>11649</v>
      </c>
      <c r="J2024" s="421" t="s">
        <v>753</v>
      </c>
      <c r="K2024" s="520" t="s">
        <v>741</v>
      </c>
    </row>
    <row r="2025" spans="1:11" s="341" customFormat="1">
      <c r="A2025" s="421"/>
      <c r="B2025" s="338"/>
      <c r="C2025" s="209" t="s">
        <v>2058</v>
      </c>
      <c r="D2025" s="388"/>
      <c r="E2025" s="386"/>
      <c r="F2025" s="582"/>
      <c r="G2025" s="338"/>
      <c r="H2025" s="592"/>
      <c r="I2025" s="520"/>
      <c r="J2025" s="421"/>
      <c r="K2025" s="520"/>
    </row>
    <row r="2026" spans="1:11" s="341" customFormat="1">
      <c r="A2026" s="421"/>
      <c r="B2026" s="338"/>
      <c r="C2026" s="209" t="s">
        <v>2058</v>
      </c>
      <c r="D2026" s="388"/>
      <c r="E2026" s="386"/>
      <c r="F2026" s="582"/>
      <c r="G2026" s="338"/>
      <c r="H2026" s="592"/>
      <c r="I2026" s="520"/>
      <c r="J2026" s="421"/>
      <c r="K2026" s="520"/>
    </row>
    <row r="2027" spans="1:11" s="341" customFormat="1">
      <c r="A2027" s="421"/>
      <c r="B2027" s="338"/>
      <c r="C2027" s="209" t="s">
        <v>2058</v>
      </c>
      <c r="D2027" s="244"/>
      <c r="E2027" s="228"/>
      <c r="F2027" s="585"/>
      <c r="G2027" s="338"/>
      <c r="H2027" s="592"/>
      <c r="I2027" s="520"/>
      <c r="J2027" s="421"/>
      <c r="K2027" s="520"/>
    </row>
    <row r="2028" spans="1:11" s="341" customFormat="1" ht="35.25" customHeight="1">
      <c r="A2028" s="421"/>
      <c r="B2028" s="1738" t="s">
        <v>9910</v>
      </c>
      <c r="C2028" s="209" t="s">
        <v>2058</v>
      </c>
      <c r="D2028" s="244"/>
      <c r="E2028" s="228"/>
      <c r="F2028" s="585"/>
      <c r="G2028" s="338"/>
      <c r="H2028" s="592"/>
      <c r="I2028" s="520"/>
      <c r="J2028" s="421"/>
      <c r="K2028" s="520"/>
    </row>
    <row r="2029" spans="1:11" s="341" customFormat="1">
      <c r="A2029" s="1737"/>
      <c r="B2029" s="1969" t="s">
        <v>9911</v>
      </c>
      <c r="C2029" s="389">
        <v>112448</v>
      </c>
      <c r="D2029" s="388">
        <f t="shared" ref="D2029" si="276">C2029*(1-VLOOKUP(I2029,descuentos,6,FALSE))*fcl/IF(dol_sol="dólar", TC,1)</f>
        <v>27316.450539940295</v>
      </c>
      <c r="E2029" s="633">
        <v>600</v>
      </c>
      <c r="F2029" s="582">
        <f>ROUNDUP(D2029+E2029,2)</f>
        <v>27916.46</v>
      </c>
      <c r="G2029" s="394" t="s">
        <v>9912</v>
      </c>
      <c r="H2029" s="592" t="s">
        <v>9913</v>
      </c>
      <c r="I2029" s="520" t="s">
        <v>11649</v>
      </c>
      <c r="J2029" s="421" t="s">
        <v>753</v>
      </c>
      <c r="K2029" s="520" t="s">
        <v>741</v>
      </c>
    </row>
    <row r="2030" spans="1:11" s="341" customFormat="1">
      <c r="A2030" s="1737"/>
      <c r="B2030" s="1970" t="s">
        <v>9914</v>
      </c>
      <c r="C2030" s="209">
        <v>10324</v>
      </c>
      <c r="D2030" s="244">
        <f>C2030*(1-VLOOKUP(I2030,descuentos,6,FALSE))*fcl/IF(dol_sol="dólar", TC,1)</f>
        <v>2507.9595490746269</v>
      </c>
      <c r="E2030" s="472">
        <v>50</v>
      </c>
      <c r="F2030" s="585">
        <f>ROUNDUP(D2030+E2030,2)</f>
        <v>2557.96</v>
      </c>
      <c r="G2030" s="338" t="s">
        <v>9915</v>
      </c>
      <c r="H2030" s="592" t="s">
        <v>9916</v>
      </c>
      <c r="I2030" s="520" t="s">
        <v>11649</v>
      </c>
      <c r="J2030" s="421" t="s">
        <v>753</v>
      </c>
      <c r="K2030" s="520" t="s">
        <v>741</v>
      </c>
    </row>
    <row r="2031" spans="1:11" s="341" customFormat="1">
      <c r="A2031" s="1737"/>
      <c r="B2031" s="1969" t="s">
        <v>7231</v>
      </c>
      <c r="C2031" s="389">
        <v>729</v>
      </c>
      <c r="D2031" s="388">
        <f t="shared" ref="D2031:D2038" si="277">C2031*(1-VLOOKUP(I2031,descuentos,6,FALSE))*fcl/IF(dol_sol="dólar", TC,1)</f>
        <v>177.09245556716417</v>
      </c>
      <c r="E2031" s="386">
        <f t="shared" ref="E2031:E2036" si="278">D2031/8</f>
        <v>22.136556945895521</v>
      </c>
      <c r="F2031" s="582">
        <f t="shared" ref="F2031:F2038" si="279">ROUNDUP(D2031+E2031,2)</f>
        <v>199.23</v>
      </c>
      <c r="G2031" s="394" t="s">
        <v>7232</v>
      </c>
      <c r="H2031" s="592" t="s">
        <v>7233</v>
      </c>
      <c r="I2031" s="520" t="s">
        <v>11649</v>
      </c>
      <c r="J2031" s="421" t="s">
        <v>753</v>
      </c>
      <c r="K2031" s="520" t="s">
        <v>741</v>
      </c>
    </row>
    <row r="2032" spans="1:11" s="341" customFormat="1">
      <c r="A2032" s="1737"/>
      <c r="B2032" s="1969" t="s">
        <v>7234</v>
      </c>
      <c r="C2032" s="389">
        <v>334</v>
      </c>
      <c r="D2032" s="388">
        <f t="shared" si="277"/>
        <v>81.137009820895514</v>
      </c>
      <c r="E2032" s="386">
        <f t="shared" si="278"/>
        <v>10.142126227611939</v>
      </c>
      <c r="F2032" s="582">
        <f t="shared" si="279"/>
        <v>91.28</v>
      </c>
      <c r="G2032" s="394" t="s">
        <v>7235</v>
      </c>
      <c r="H2032" s="592" t="s">
        <v>7236</v>
      </c>
      <c r="I2032" s="520" t="s">
        <v>11649</v>
      </c>
      <c r="J2032" s="421" t="s">
        <v>753</v>
      </c>
      <c r="K2032" s="520" t="s">
        <v>741</v>
      </c>
    </row>
    <row r="2033" spans="1:11" s="341" customFormat="1">
      <c r="A2033" s="1737"/>
      <c r="B2033" s="1969" t="s">
        <v>7237</v>
      </c>
      <c r="C2033" s="389">
        <v>633</v>
      </c>
      <c r="D2033" s="388">
        <f t="shared" si="277"/>
        <v>153.77163837313432</v>
      </c>
      <c r="E2033" s="386">
        <f t="shared" si="278"/>
        <v>19.22145479664179</v>
      </c>
      <c r="F2033" s="582">
        <f t="shared" si="279"/>
        <v>173</v>
      </c>
      <c r="G2033" s="394" t="s">
        <v>7238</v>
      </c>
      <c r="H2033" s="592" t="s">
        <v>7239</v>
      </c>
      <c r="I2033" s="520" t="s">
        <v>11649</v>
      </c>
      <c r="J2033" s="421" t="s">
        <v>753</v>
      </c>
      <c r="K2033" s="520" t="s">
        <v>741</v>
      </c>
    </row>
    <row r="2034" spans="1:11" s="341" customFormat="1">
      <c r="A2034" s="1737"/>
      <c r="B2034" s="1969" t="s">
        <v>7240</v>
      </c>
      <c r="C2034" s="389">
        <v>110</v>
      </c>
      <c r="D2034" s="388">
        <f t="shared" si="277"/>
        <v>26.721769701492537</v>
      </c>
      <c r="E2034" s="386">
        <f t="shared" si="278"/>
        <v>3.3402212126865671</v>
      </c>
      <c r="F2034" s="582">
        <f t="shared" si="279"/>
        <v>30.07</v>
      </c>
      <c r="G2034" s="394" t="s">
        <v>7241</v>
      </c>
      <c r="H2034" s="592" t="s">
        <v>7242</v>
      </c>
      <c r="I2034" s="520" t="s">
        <v>11649</v>
      </c>
      <c r="J2034" s="421" t="s">
        <v>753</v>
      </c>
      <c r="K2034" s="520" t="s">
        <v>741</v>
      </c>
    </row>
    <row r="2035" spans="1:11" s="341" customFormat="1">
      <c r="A2035" s="1737"/>
      <c r="B2035" s="1969" t="s">
        <v>7243</v>
      </c>
      <c r="C2035" s="389">
        <v>239</v>
      </c>
      <c r="D2035" s="388">
        <f t="shared" si="277"/>
        <v>58.059117805970146</v>
      </c>
      <c r="E2035" s="386">
        <f t="shared" si="278"/>
        <v>7.2573897257462683</v>
      </c>
      <c r="F2035" s="582">
        <f t="shared" si="279"/>
        <v>65.320000000000007</v>
      </c>
      <c r="G2035" s="394" t="s">
        <v>7244</v>
      </c>
      <c r="H2035" s="592" t="s">
        <v>7245</v>
      </c>
      <c r="I2035" s="520" t="s">
        <v>11649</v>
      </c>
      <c r="J2035" s="421" t="s">
        <v>753</v>
      </c>
      <c r="K2035" s="520" t="s">
        <v>741</v>
      </c>
    </row>
    <row r="2036" spans="1:11" s="341" customFormat="1">
      <c r="A2036" s="1737"/>
      <c r="B2036" s="1969" t="s">
        <v>7246</v>
      </c>
      <c r="C2036" s="389">
        <v>1671</v>
      </c>
      <c r="D2036" s="388">
        <f t="shared" si="277"/>
        <v>405.92797428358205</v>
      </c>
      <c r="E2036" s="386">
        <f t="shared" si="278"/>
        <v>50.740996785447756</v>
      </c>
      <c r="F2036" s="582">
        <f t="shared" si="279"/>
        <v>456.67</v>
      </c>
      <c r="G2036" s="394" t="s">
        <v>7247</v>
      </c>
      <c r="H2036" s="592" t="s">
        <v>7213</v>
      </c>
      <c r="I2036" s="520" t="s">
        <v>11649</v>
      </c>
      <c r="J2036" s="421" t="s">
        <v>753</v>
      </c>
      <c r="K2036" s="520" t="s">
        <v>741</v>
      </c>
    </row>
    <row r="2037" spans="1:11" s="341" customFormat="1">
      <c r="A2037" s="1737"/>
      <c r="B2037" s="1970" t="s">
        <v>5173</v>
      </c>
      <c r="C2037" s="209">
        <v>1809</v>
      </c>
      <c r="D2037" s="244">
        <f t="shared" si="277"/>
        <v>439.45164899999992</v>
      </c>
      <c r="E2037" s="228">
        <v>10</v>
      </c>
      <c r="F2037" s="585">
        <f t="shared" si="279"/>
        <v>449.46</v>
      </c>
      <c r="G2037" s="592" t="s">
        <v>5174</v>
      </c>
      <c r="H2037" s="592" t="s">
        <v>5175</v>
      </c>
      <c r="I2037" s="520" t="s">
        <v>11649</v>
      </c>
      <c r="J2037" s="421" t="s">
        <v>753</v>
      </c>
      <c r="K2037" s="520" t="s">
        <v>741</v>
      </c>
    </row>
    <row r="2038" spans="1:11" s="341" customFormat="1">
      <c r="A2038" s="1737"/>
      <c r="B2038" s="1970" t="s">
        <v>9917</v>
      </c>
      <c r="C2038" s="209">
        <v>4866</v>
      </c>
      <c r="D2038" s="244">
        <f t="shared" si="277"/>
        <v>1182.073921522388</v>
      </c>
      <c r="E2038" s="228">
        <v>10</v>
      </c>
      <c r="F2038" s="585">
        <f t="shared" si="279"/>
        <v>1192.08</v>
      </c>
      <c r="G2038" s="592" t="s">
        <v>9918</v>
      </c>
      <c r="H2038" s="592" t="s">
        <v>9919</v>
      </c>
      <c r="I2038" s="520" t="s">
        <v>11649</v>
      </c>
      <c r="J2038" s="421" t="s">
        <v>753</v>
      </c>
      <c r="K2038" s="520" t="s">
        <v>741</v>
      </c>
    </row>
    <row r="2039" spans="1:11" s="341" customFormat="1">
      <c r="A2039" s="421"/>
      <c r="B2039" s="338"/>
      <c r="C2039" s="209" t="s">
        <v>2058</v>
      </c>
      <c r="D2039" s="388"/>
      <c r="E2039" s="386"/>
      <c r="F2039" s="582"/>
      <c r="G2039" s="338"/>
      <c r="H2039" s="592"/>
      <c r="I2039" s="520"/>
      <c r="J2039" s="421"/>
      <c r="K2039" s="520"/>
    </row>
    <row r="2040" spans="1:11" s="341" customFormat="1">
      <c r="A2040" s="421"/>
      <c r="B2040" s="338"/>
      <c r="C2040" s="209" t="s">
        <v>2058</v>
      </c>
      <c r="D2040" s="388"/>
      <c r="E2040" s="386"/>
      <c r="F2040" s="582"/>
      <c r="G2040" s="338"/>
      <c r="H2040" s="592"/>
      <c r="I2040" s="520"/>
      <c r="J2040" s="421"/>
      <c r="K2040" s="520"/>
    </row>
    <row r="2041" spans="1:11" s="341" customFormat="1">
      <c r="A2041" s="421"/>
      <c r="B2041" s="338"/>
      <c r="C2041" s="209" t="s">
        <v>2058</v>
      </c>
      <c r="D2041" s="244"/>
      <c r="E2041" s="228"/>
      <c r="F2041" s="585"/>
      <c r="G2041" s="338"/>
      <c r="H2041" s="592"/>
      <c r="I2041" s="520"/>
      <c r="J2041" s="421"/>
      <c r="K2041" s="520"/>
    </row>
    <row r="2042" spans="1:11" s="341" customFormat="1" ht="35.25" customHeight="1">
      <c r="A2042" s="421"/>
      <c r="B2042" s="1738" t="s">
        <v>7248</v>
      </c>
      <c r="C2042" s="209" t="s">
        <v>2058</v>
      </c>
      <c r="D2042" s="244"/>
      <c r="E2042" s="228"/>
      <c r="F2042" s="585"/>
      <c r="G2042" s="338"/>
      <c r="H2042" s="592"/>
      <c r="I2042" s="520"/>
      <c r="J2042" s="421"/>
      <c r="K2042" s="520"/>
    </row>
    <row r="2043" spans="1:11" s="341" customFormat="1">
      <c r="A2043" s="1737"/>
      <c r="B2043" s="394" t="s">
        <v>7249</v>
      </c>
      <c r="C2043" s="389">
        <v>47890</v>
      </c>
      <c r="D2043" s="388">
        <f t="shared" ref="D2043:D2053" si="280">C2043*(1-VLOOKUP(I2043,descuentos,6,FALSE))*fcl/IF(dol_sol="dólar", TC,1)</f>
        <v>11633.686827313431</v>
      </c>
      <c r="E2043" s="633">
        <v>600</v>
      </c>
      <c r="F2043" s="582">
        <f>ROUNDUP(D2043+E2043,2)</f>
        <v>12233.69</v>
      </c>
      <c r="G2043" s="394" t="s">
        <v>7250</v>
      </c>
      <c r="H2043" s="592" t="s">
        <v>7251</v>
      </c>
      <c r="I2043" s="520" t="s">
        <v>11649</v>
      </c>
      <c r="J2043" s="421" t="s">
        <v>753</v>
      </c>
      <c r="K2043" s="520" t="s">
        <v>741</v>
      </c>
    </row>
    <row r="2044" spans="1:11" s="341" customFormat="1">
      <c r="A2044" s="1737"/>
      <c r="B2044" s="1939" t="s">
        <v>9600</v>
      </c>
      <c r="C2044" s="389">
        <v>39540</v>
      </c>
      <c r="D2044" s="388">
        <f t="shared" ref="D2044" si="281">C2044*(1-VLOOKUP(I2044,descuentos,6,FALSE))*fcl/IF(dol_sol="dólar", TC,1)</f>
        <v>9605.2615817910446</v>
      </c>
      <c r="E2044" s="633">
        <v>600</v>
      </c>
      <c r="F2044" s="582">
        <f>ROUNDUP(D2044+E2044,2)</f>
        <v>10205.27</v>
      </c>
      <c r="G2044" s="394" t="s">
        <v>7168</v>
      </c>
      <c r="H2044" s="592" t="s">
        <v>9601</v>
      </c>
      <c r="I2044" s="520" t="s">
        <v>11649</v>
      </c>
      <c r="J2044" s="421" t="s">
        <v>753</v>
      </c>
      <c r="K2044" s="520" t="s">
        <v>741</v>
      </c>
    </row>
    <row r="2045" spans="1:11" s="341" customFormat="1">
      <c r="A2045" s="1737"/>
      <c r="B2045" s="627" t="s">
        <v>2946</v>
      </c>
      <c r="C2045" s="209">
        <v>5710</v>
      </c>
      <c r="D2045" s="244">
        <f>C2045*(1-VLOOKUP(I2045,descuentos,6,FALSE))*fcl/IF(dol_sol="dólar", TC,1)</f>
        <v>1387.1027726865668</v>
      </c>
      <c r="E2045" s="472">
        <v>50</v>
      </c>
      <c r="F2045" s="585">
        <f>ROUNDUP(D2045+E2045,2)</f>
        <v>1437.11</v>
      </c>
      <c r="G2045" s="338" t="s">
        <v>2947</v>
      </c>
      <c r="H2045" s="592" t="s">
        <v>2948</v>
      </c>
      <c r="I2045" s="520" t="s">
        <v>11649</v>
      </c>
      <c r="J2045" s="421" t="s">
        <v>753</v>
      </c>
      <c r="K2045" s="520" t="s">
        <v>741</v>
      </c>
    </row>
    <row r="2046" spans="1:11" s="341" customFormat="1">
      <c r="A2046" s="1737"/>
      <c r="B2046" s="394" t="s">
        <v>7231</v>
      </c>
      <c r="C2046" s="389">
        <v>729</v>
      </c>
      <c r="D2046" s="388">
        <f t="shared" si="280"/>
        <v>177.09245556716417</v>
      </c>
      <c r="E2046" s="386">
        <f t="shared" ref="E2046:E2051" si="282">D2046/8</f>
        <v>22.136556945895521</v>
      </c>
      <c r="F2046" s="582">
        <f t="shared" ref="F2046:F2053" si="283">ROUNDUP(D2046+E2046,2)</f>
        <v>199.23</v>
      </c>
      <c r="G2046" s="394" t="s">
        <v>7232</v>
      </c>
      <c r="H2046" s="592" t="s">
        <v>7233</v>
      </c>
      <c r="I2046" s="520" t="s">
        <v>11649</v>
      </c>
      <c r="J2046" s="421" t="s">
        <v>753</v>
      </c>
      <c r="K2046" s="520" t="s">
        <v>741</v>
      </c>
    </row>
    <row r="2047" spans="1:11" s="341" customFormat="1">
      <c r="A2047" s="1737"/>
      <c r="B2047" s="394" t="s">
        <v>7234</v>
      </c>
      <c r="C2047" s="389">
        <v>334</v>
      </c>
      <c r="D2047" s="388">
        <f t="shared" si="280"/>
        <v>81.137009820895514</v>
      </c>
      <c r="E2047" s="386">
        <f t="shared" si="282"/>
        <v>10.142126227611939</v>
      </c>
      <c r="F2047" s="582">
        <f t="shared" si="283"/>
        <v>91.28</v>
      </c>
      <c r="G2047" s="394" t="s">
        <v>7235</v>
      </c>
      <c r="H2047" s="592" t="s">
        <v>7236</v>
      </c>
      <c r="I2047" s="520" t="s">
        <v>11649</v>
      </c>
      <c r="J2047" s="421" t="s">
        <v>753</v>
      </c>
      <c r="K2047" s="520" t="s">
        <v>741</v>
      </c>
    </row>
    <row r="2048" spans="1:11" s="341" customFormat="1">
      <c r="A2048" s="1737"/>
      <c r="B2048" s="394" t="s">
        <v>7237</v>
      </c>
      <c r="C2048" s="389">
        <v>633</v>
      </c>
      <c r="D2048" s="388">
        <f t="shared" si="280"/>
        <v>153.77163837313432</v>
      </c>
      <c r="E2048" s="386">
        <f t="shared" si="282"/>
        <v>19.22145479664179</v>
      </c>
      <c r="F2048" s="582">
        <f t="shared" si="283"/>
        <v>173</v>
      </c>
      <c r="G2048" s="394" t="s">
        <v>7238</v>
      </c>
      <c r="H2048" s="592" t="s">
        <v>7239</v>
      </c>
      <c r="I2048" s="520" t="s">
        <v>11649</v>
      </c>
      <c r="J2048" s="421" t="s">
        <v>753</v>
      </c>
      <c r="K2048" s="520" t="s">
        <v>741</v>
      </c>
    </row>
    <row r="2049" spans="1:11" s="341" customFormat="1">
      <c r="A2049" s="1737"/>
      <c r="B2049" s="394" t="s">
        <v>7240</v>
      </c>
      <c r="C2049" s="389">
        <v>110</v>
      </c>
      <c r="D2049" s="388">
        <f t="shared" si="280"/>
        <v>26.721769701492537</v>
      </c>
      <c r="E2049" s="386">
        <f t="shared" si="282"/>
        <v>3.3402212126865671</v>
      </c>
      <c r="F2049" s="582">
        <f t="shared" si="283"/>
        <v>30.07</v>
      </c>
      <c r="G2049" s="394" t="s">
        <v>7241</v>
      </c>
      <c r="H2049" s="592" t="s">
        <v>7242</v>
      </c>
      <c r="I2049" s="520" t="s">
        <v>11649</v>
      </c>
      <c r="J2049" s="421" t="s">
        <v>753</v>
      </c>
      <c r="K2049" s="520" t="s">
        <v>741</v>
      </c>
    </row>
    <row r="2050" spans="1:11" s="341" customFormat="1">
      <c r="A2050" s="1737"/>
      <c r="B2050" s="394" t="s">
        <v>7243</v>
      </c>
      <c r="C2050" s="389">
        <v>239</v>
      </c>
      <c r="D2050" s="388">
        <f t="shared" si="280"/>
        <v>58.059117805970146</v>
      </c>
      <c r="E2050" s="386">
        <f t="shared" si="282"/>
        <v>7.2573897257462683</v>
      </c>
      <c r="F2050" s="582">
        <f t="shared" si="283"/>
        <v>65.320000000000007</v>
      </c>
      <c r="G2050" s="394" t="s">
        <v>7244</v>
      </c>
      <c r="H2050" s="592" t="s">
        <v>7245</v>
      </c>
      <c r="I2050" s="520" t="s">
        <v>11649</v>
      </c>
      <c r="J2050" s="421" t="s">
        <v>753</v>
      </c>
      <c r="K2050" s="520" t="s">
        <v>741</v>
      </c>
    </row>
    <row r="2051" spans="1:11" s="341" customFormat="1">
      <c r="A2051" s="1737"/>
      <c r="B2051" s="394" t="s">
        <v>7246</v>
      </c>
      <c r="C2051" s="389">
        <v>1671</v>
      </c>
      <c r="D2051" s="388">
        <f t="shared" si="280"/>
        <v>405.92797428358205</v>
      </c>
      <c r="E2051" s="386">
        <f t="shared" si="282"/>
        <v>50.740996785447756</v>
      </c>
      <c r="F2051" s="582">
        <f t="shared" si="283"/>
        <v>456.67</v>
      </c>
      <c r="G2051" s="394" t="s">
        <v>7247</v>
      </c>
      <c r="H2051" s="592" t="s">
        <v>7213</v>
      </c>
      <c r="I2051" s="520" t="s">
        <v>11649</v>
      </c>
      <c r="J2051" s="421" t="s">
        <v>753</v>
      </c>
      <c r="K2051" s="520" t="s">
        <v>741</v>
      </c>
    </row>
    <row r="2052" spans="1:11" s="341" customFormat="1">
      <c r="A2052" s="1737"/>
      <c r="B2052" s="627" t="s">
        <v>5173</v>
      </c>
      <c r="C2052" s="209">
        <v>1809</v>
      </c>
      <c r="D2052" s="244">
        <f t="shared" si="280"/>
        <v>439.45164899999992</v>
      </c>
      <c r="E2052" s="228">
        <v>10</v>
      </c>
      <c r="F2052" s="585">
        <f t="shared" si="283"/>
        <v>449.46</v>
      </c>
      <c r="G2052" s="592" t="s">
        <v>5174</v>
      </c>
      <c r="H2052" s="592" t="s">
        <v>5175</v>
      </c>
      <c r="I2052" s="520" t="s">
        <v>11649</v>
      </c>
      <c r="J2052" s="421" t="s">
        <v>753</v>
      </c>
      <c r="K2052" s="520" t="s">
        <v>741</v>
      </c>
    </row>
    <row r="2053" spans="1:11" s="341" customFormat="1">
      <c r="A2053" s="1737"/>
      <c r="B2053" s="627" t="s">
        <v>2389</v>
      </c>
      <c r="C2053" s="209">
        <v>4866</v>
      </c>
      <c r="D2053" s="244">
        <f t="shared" si="280"/>
        <v>1182.073921522388</v>
      </c>
      <c r="E2053" s="228">
        <v>10</v>
      </c>
      <c r="F2053" s="585">
        <f t="shared" si="283"/>
        <v>1192.08</v>
      </c>
      <c r="G2053" s="592" t="s">
        <v>2390</v>
      </c>
      <c r="H2053" s="592" t="s">
        <v>2391</v>
      </c>
      <c r="I2053" s="520" t="s">
        <v>11649</v>
      </c>
      <c r="J2053" s="421" t="s">
        <v>753</v>
      </c>
      <c r="K2053" s="520" t="s">
        <v>741</v>
      </c>
    </row>
    <row r="2054" spans="1:11" s="341" customFormat="1">
      <c r="A2054" s="421"/>
      <c r="B2054" s="338"/>
      <c r="C2054" s="209" t="s">
        <v>2058</v>
      </c>
      <c r="D2054" s="388"/>
      <c r="E2054" s="386"/>
      <c r="F2054" s="582"/>
      <c r="G2054" s="338"/>
      <c r="H2054" s="592"/>
      <c r="I2054" s="520"/>
      <c r="J2054" s="421"/>
      <c r="K2054" s="520"/>
    </row>
    <row r="2055" spans="1:11" s="341" customFormat="1">
      <c r="A2055" s="421"/>
      <c r="B2055" s="338"/>
      <c r="C2055" s="209" t="s">
        <v>2058</v>
      </c>
      <c r="D2055" s="388"/>
      <c r="E2055" s="386"/>
      <c r="F2055" s="582"/>
      <c r="G2055" s="338"/>
      <c r="H2055" s="592"/>
      <c r="I2055" s="520"/>
      <c r="J2055" s="421"/>
      <c r="K2055" s="520"/>
    </row>
    <row r="2056" spans="1:11" s="341" customFormat="1">
      <c r="A2056" s="421"/>
      <c r="B2056" s="338"/>
      <c r="C2056" s="209" t="s">
        <v>2058</v>
      </c>
      <c r="D2056" s="244"/>
      <c r="E2056" s="228"/>
      <c r="F2056" s="585"/>
      <c r="G2056" s="338"/>
      <c r="H2056" s="592"/>
      <c r="I2056" s="520"/>
      <c r="J2056" s="421"/>
      <c r="K2056" s="520"/>
    </row>
    <row r="2057" spans="1:11" s="341" customFormat="1" ht="35.25" customHeight="1">
      <c r="A2057" s="421"/>
      <c r="B2057" s="1738" t="s">
        <v>9216</v>
      </c>
      <c r="C2057" s="209" t="s">
        <v>2058</v>
      </c>
      <c r="D2057" s="244"/>
      <c r="E2057" s="228"/>
      <c r="F2057" s="585"/>
      <c r="G2057" s="338"/>
      <c r="H2057" s="592"/>
      <c r="I2057" s="520"/>
      <c r="J2057" s="421"/>
      <c r="K2057" s="520"/>
    </row>
    <row r="2058" spans="1:11" s="341" customFormat="1">
      <c r="A2058" s="1737"/>
      <c r="B2058" s="394" t="s">
        <v>9217</v>
      </c>
      <c r="C2058" s="389">
        <v>36010</v>
      </c>
      <c r="D2058" s="388">
        <f>C2058*(1-VLOOKUP(I2058,descuentos,6,FALSE))*fcl/IF(dol_sol="dólar", TC,1)</f>
        <v>8747.7356995522368</v>
      </c>
      <c r="E2058" s="633">
        <v>600</v>
      </c>
      <c r="F2058" s="582">
        <f t="shared" ref="F2058:F2067" si="284">ROUNDUP(D2058+E2058,2)</f>
        <v>9347.74</v>
      </c>
      <c r="G2058" s="394" t="s">
        <v>9218</v>
      </c>
      <c r="H2058" s="592" t="s">
        <v>9219</v>
      </c>
      <c r="I2058" s="520" t="s">
        <v>11649</v>
      </c>
      <c r="J2058" s="421" t="s">
        <v>753</v>
      </c>
      <c r="K2058" s="520" t="s">
        <v>741</v>
      </c>
    </row>
    <row r="2059" spans="1:11" s="341" customFormat="1">
      <c r="A2059" s="1737"/>
      <c r="B2059" s="627" t="s">
        <v>9220</v>
      </c>
      <c r="C2059" s="209">
        <v>4568</v>
      </c>
      <c r="D2059" s="244">
        <f>C2059*(1-VLOOKUP(I2059,descuentos,6,FALSE))*fcl/IF(dol_sol="dólar", TC,1)</f>
        <v>1109.6822181492537</v>
      </c>
      <c r="E2059" s="472">
        <v>50</v>
      </c>
      <c r="F2059" s="585">
        <f t="shared" si="284"/>
        <v>1159.69</v>
      </c>
      <c r="G2059" s="338" t="s">
        <v>9221</v>
      </c>
      <c r="H2059" s="592" t="s">
        <v>9222</v>
      </c>
      <c r="I2059" s="520" t="s">
        <v>11649</v>
      </c>
      <c r="J2059" s="421" t="s">
        <v>753</v>
      </c>
      <c r="K2059" s="520" t="s">
        <v>741</v>
      </c>
    </row>
    <row r="2060" spans="1:11" s="341" customFormat="1">
      <c r="A2060" s="1737"/>
      <c r="B2060" s="394" t="s">
        <v>7231</v>
      </c>
      <c r="C2060" s="389">
        <v>729</v>
      </c>
      <c r="D2060" s="388">
        <f t="shared" ref="D2060:D2067" si="285">C2060*(1-VLOOKUP(I2060,descuentos,6,FALSE))*fcl/IF(dol_sol="dólar", TC,1)</f>
        <v>177.09245556716417</v>
      </c>
      <c r="E2060" s="386">
        <f t="shared" ref="E2060:E2065" si="286">D2060/8</f>
        <v>22.136556945895521</v>
      </c>
      <c r="F2060" s="582">
        <f t="shared" si="284"/>
        <v>199.23</v>
      </c>
      <c r="G2060" s="394" t="s">
        <v>7232</v>
      </c>
      <c r="H2060" s="592" t="s">
        <v>7233</v>
      </c>
      <c r="I2060" s="520" t="s">
        <v>11649</v>
      </c>
      <c r="J2060" s="421" t="s">
        <v>753</v>
      </c>
      <c r="K2060" s="520" t="s">
        <v>741</v>
      </c>
    </row>
    <row r="2061" spans="1:11" s="341" customFormat="1">
      <c r="A2061" s="1737"/>
      <c r="B2061" s="394" t="s">
        <v>7234</v>
      </c>
      <c r="C2061" s="389">
        <v>334</v>
      </c>
      <c r="D2061" s="388">
        <f t="shared" si="285"/>
        <v>81.137009820895514</v>
      </c>
      <c r="E2061" s="386">
        <f t="shared" si="286"/>
        <v>10.142126227611939</v>
      </c>
      <c r="F2061" s="582">
        <f t="shared" si="284"/>
        <v>91.28</v>
      </c>
      <c r="G2061" s="394" t="s">
        <v>7235</v>
      </c>
      <c r="H2061" s="592" t="s">
        <v>7236</v>
      </c>
      <c r="I2061" s="520" t="s">
        <v>11649</v>
      </c>
      <c r="J2061" s="421" t="s">
        <v>753</v>
      </c>
      <c r="K2061" s="520" t="s">
        <v>741</v>
      </c>
    </row>
    <row r="2062" spans="1:11" s="341" customFormat="1">
      <c r="A2062" s="1737"/>
      <c r="B2062" s="394" t="s">
        <v>7237</v>
      </c>
      <c r="C2062" s="389">
        <v>633</v>
      </c>
      <c r="D2062" s="388">
        <f t="shared" si="285"/>
        <v>153.77163837313432</v>
      </c>
      <c r="E2062" s="386">
        <f t="shared" si="286"/>
        <v>19.22145479664179</v>
      </c>
      <c r="F2062" s="582">
        <f t="shared" si="284"/>
        <v>173</v>
      </c>
      <c r="G2062" s="394" t="s">
        <v>7238</v>
      </c>
      <c r="H2062" s="592" t="s">
        <v>7239</v>
      </c>
      <c r="I2062" s="520" t="s">
        <v>11649</v>
      </c>
      <c r="J2062" s="421" t="s">
        <v>753</v>
      </c>
      <c r="K2062" s="520" t="s">
        <v>741</v>
      </c>
    </row>
    <row r="2063" spans="1:11" s="341" customFormat="1">
      <c r="A2063" s="1737"/>
      <c r="B2063" s="394" t="s">
        <v>7240</v>
      </c>
      <c r="C2063" s="389">
        <v>110</v>
      </c>
      <c r="D2063" s="388">
        <f t="shared" si="285"/>
        <v>26.721769701492537</v>
      </c>
      <c r="E2063" s="386">
        <f t="shared" si="286"/>
        <v>3.3402212126865671</v>
      </c>
      <c r="F2063" s="582">
        <f t="shared" si="284"/>
        <v>30.07</v>
      </c>
      <c r="G2063" s="394" t="s">
        <v>7241</v>
      </c>
      <c r="H2063" s="592" t="s">
        <v>7242</v>
      </c>
      <c r="I2063" s="520" t="s">
        <v>11649</v>
      </c>
      <c r="J2063" s="421" t="s">
        <v>753</v>
      </c>
      <c r="K2063" s="520" t="s">
        <v>741</v>
      </c>
    </row>
    <row r="2064" spans="1:11" s="341" customFormat="1">
      <c r="A2064" s="1737"/>
      <c r="B2064" s="394" t="s">
        <v>7243</v>
      </c>
      <c r="C2064" s="389">
        <v>239</v>
      </c>
      <c r="D2064" s="388">
        <f t="shared" si="285"/>
        <v>58.059117805970146</v>
      </c>
      <c r="E2064" s="386">
        <f t="shared" si="286"/>
        <v>7.2573897257462683</v>
      </c>
      <c r="F2064" s="582">
        <f t="shared" si="284"/>
        <v>65.320000000000007</v>
      </c>
      <c r="G2064" s="394" t="s">
        <v>7244</v>
      </c>
      <c r="H2064" s="592" t="s">
        <v>7245</v>
      </c>
      <c r="I2064" s="520" t="s">
        <v>11649</v>
      </c>
      <c r="J2064" s="421" t="s">
        <v>753</v>
      </c>
      <c r="K2064" s="520" t="s">
        <v>741</v>
      </c>
    </row>
    <row r="2065" spans="1:11" s="341" customFormat="1">
      <c r="A2065" s="1737"/>
      <c r="B2065" s="394" t="s">
        <v>7246</v>
      </c>
      <c r="C2065" s="389">
        <v>1671</v>
      </c>
      <c r="D2065" s="388">
        <f t="shared" si="285"/>
        <v>405.92797428358205</v>
      </c>
      <c r="E2065" s="386">
        <f t="shared" si="286"/>
        <v>50.740996785447756</v>
      </c>
      <c r="F2065" s="582">
        <f t="shared" si="284"/>
        <v>456.67</v>
      </c>
      <c r="G2065" s="394" t="s">
        <v>7247</v>
      </c>
      <c r="H2065" s="592" t="s">
        <v>7213</v>
      </c>
      <c r="I2065" s="520" t="s">
        <v>11649</v>
      </c>
      <c r="J2065" s="421" t="s">
        <v>753</v>
      </c>
      <c r="K2065" s="520" t="s">
        <v>741</v>
      </c>
    </row>
    <row r="2066" spans="1:11" s="341" customFormat="1">
      <c r="A2066" s="1737"/>
      <c r="B2066" s="627" t="s">
        <v>5173</v>
      </c>
      <c r="C2066" s="209">
        <v>1809</v>
      </c>
      <c r="D2066" s="244">
        <f t="shared" si="285"/>
        <v>439.45164899999992</v>
      </c>
      <c r="E2066" s="228">
        <v>10</v>
      </c>
      <c r="F2066" s="585">
        <f t="shared" si="284"/>
        <v>449.46</v>
      </c>
      <c r="G2066" s="592" t="s">
        <v>5174</v>
      </c>
      <c r="H2066" s="592" t="s">
        <v>5175</v>
      </c>
      <c r="I2066" s="520" t="s">
        <v>11649</v>
      </c>
      <c r="J2066" s="421" t="s">
        <v>753</v>
      </c>
      <c r="K2066" s="520" t="s">
        <v>741</v>
      </c>
    </row>
    <row r="2067" spans="1:11" s="341" customFormat="1">
      <c r="A2067" s="1737"/>
      <c r="B2067" s="627" t="s">
        <v>2389</v>
      </c>
      <c r="C2067" s="209">
        <v>4866</v>
      </c>
      <c r="D2067" s="244">
        <f t="shared" si="285"/>
        <v>1182.073921522388</v>
      </c>
      <c r="E2067" s="228">
        <v>10</v>
      </c>
      <c r="F2067" s="585">
        <f t="shared" si="284"/>
        <v>1192.08</v>
      </c>
      <c r="G2067" s="592" t="s">
        <v>2390</v>
      </c>
      <c r="H2067" s="592" t="s">
        <v>2391</v>
      </c>
      <c r="I2067" s="520" t="s">
        <v>11649</v>
      </c>
      <c r="J2067" s="421" t="s">
        <v>753</v>
      </c>
      <c r="K2067" s="520" t="s">
        <v>741</v>
      </c>
    </row>
    <row r="2068" spans="1:11" s="341" customFormat="1">
      <c r="A2068" s="421"/>
      <c r="B2068" s="338"/>
      <c r="C2068" s="209" t="s">
        <v>2058</v>
      </c>
      <c r="D2068" s="388"/>
      <c r="E2068" s="386"/>
      <c r="F2068" s="582"/>
      <c r="G2068" s="338"/>
      <c r="H2068" s="592"/>
      <c r="I2068" s="520"/>
      <c r="J2068" s="421"/>
      <c r="K2068" s="520"/>
    </row>
    <row r="2069" spans="1:11" s="341" customFormat="1">
      <c r="A2069" s="421"/>
      <c r="B2069" s="338"/>
      <c r="C2069" s="209" t="s">
        <v>2058</v>
      </c>
      <c r="D2069" s="388"/>
      <c r="E2069" s="386"/>
      <c r="F2069" s="582"/>
      <c r="G2069" s="338"/>
      <c r="H2069" s="592"/>
      <c r="I2069" s="520"/>
      <c r="J2069" s="421"/>
      <c r="K2069" s="520"/>
    </row>
    <row r="2070" spans="1:11" s="341" customFormat="1">
      <c r="A2070" s="421"/>
      <c r="B2070" s="338"/>
      <c r="C2070" s="209" t="s">
        <v>2058</v>
      </c>
      <c r="D2070" s="244"/>
      <c r="E2070" s="228"/>
      <c r="F2070" s="585"/>
      <c r="G2070" s="338"/>
      <c r="H2070" s="592"/>
      <c r="I2070" s="520"/>
      <c r="J2070" s="421"/>
      <c r="K2070" s="520"/>
    </row>
    <row r="2071" spans="1:11" s="341" customFormat="1" ht="35.25" customHeight="1">
      <c r="A2071" s="421"/>
      <c r="B2071" s="1738" t="s">
        <v>9920</v>
      </c>
      <c r="C2071" s="209" t="s">
        <v>2058</v>
      </c>
      <c r="D2071" s="244"/>
      <c r="E2071" s="228"/>
      <c r="F2071" s="585"/>
      <c r="G2071" s="338"/>
      <c r="H2071" s="592"/>
      <c r="I2071" s="520"/>
      <c r="J2071" s="421"/>
      <c r="K2071" s="520"/>
    </row>
    <row r="2072" spans="1:11" s="341" customFormat="1">
      <c r="A2072" s="1737"/>
      <c r="B2072" s="1939" t="s">
        <v>9921</v>
      </c>
      <c r="C2072" s="389">
        <v>31946</v>
      </c>
      <c r="D2072" s="388">
        <f t="shared" ref="D2072" si="287">C2072*(1-VLOOKUP(I2072,descuentos,6,FALSE))*fcl/IF(dol_sol="dólar", TC,1)</f>
        <v>7760.4877716716401</v>
      </c>
      <c r="E2072" s="633">
        <v>600</v>
      </c>
      <c r="F2072" s="582">
        <f>ROUNDUP(D2072+E2072,2)</f>
        <v>8360.49</v>
      </c>
      <c r="G2072" s="394" t="s">
        <v>7159</v>
      </c>
      <c r="H2072" s="592" t="s">
        <v>9922</v>
      </c>
      <c r="I2072" s="520" t="s">
        <v>11649</v>
      </c>
      <c r="J2072" s="421" t="s">
        <v>753</v>
      </c>
      <c r="K2072" s="520" t="s">
        <v>741</v>
      </c>
    </row>
    <row r="2073" spans="1:11" s="341" customFormat="1">
      <c r="A2073" s="1737"/>
      <c r="B2073" s="627" t="s">
        <v>9923</v>
      </c>
      <c r="C2073" s="209">
        <v>4817</v>
      </c>
      <c r="D2073" s="244">
        <f>C2073*(1-VLOOKUP(I2073,descuentos,6,FALSE))*fcl/IF(dol_sol="dólar", TC,1)</f>
        <v>1170.1705877462684</v>
      </c>
      <c r="E2073" s="472">
        <v>50</v>
      </c>
      <c r="F2073" s="585">
        <f>ROUNDUP(D2073+E2073,2)</f>
        <v>1220.18</v>
      </c>
      <c r="G2073" s="338" t="s">
        <v>9924</v>
      </c>
      <c r="H2073" s="592" t="s">
        <v>7230</v>
      </c>
      <c r="I2073" s="520" t="s">
        <v>11649</v>
      </c>
      <c r="J2073" s="421" t="s">
        <v>753</v>
      </c>
      <c r="K2073" s="520" t="s">
        <v>741</v>
      </c>
    </row>
    <row r="2074" spans="1:11" s="341" customFormat="1">
      <c r="A2074" s="1737"/>
      <c r="B2074" s="394" t="s">
        <v>7231</v>
      </c>
      <c r="C2074" s="389">
        <v>729</v>
      </c>
      <c r="D2074" s="388">
        <f t="shared" ref="D2074:D2081" si="288">C2074*(1-VLOOKUP(I2074,descuentos,6,FALSE))*fcl/IF(dol_sol="dólar", TC,1)</f>
        <v>177.09245556716417</v>
      </c>
      <c r="E2074" s="386">
        <f t="shared" ref="E2074:E2079" si="289">D2074/8</f>
        <v>22.136556945895521</v>
      </c>
      <c r="F2074" s="582">
        <f t="shared" ref="F2074:F2081" si="290">ROUNDUP(D2074+E2074,2)</f>
        <v>199.23</v>
      </c>
      <c r="G2074" s="394" t="s">
        <v>7232</v>
      </c>
      <c r="H2074" s="592" t="s">
        <v>7233</v>
      </c>
      <c r="I2074" s="520" t="s">
        <v>11649</v>
      </c>
      <c r="J2074" s="421" t="s">
        <v>753</v>
      </c>
      <c r="K2074" s="520" t="s">
        <v>741</v>
      </c>
    </row>
    <row r="2075" spans="1:11" s="341" customFormat="1">
      <c r="A2075" s="1737"/>
      <c r="B2075" s="394" t="s">
        <v>7234</v>
      </c>
      <c r="C2075" s="389">
        <v>334</v>
      </c>
      <c r="D2075" s="388">
        <f t="shared" si="288"/>
        <v>81.137009820895514</v>
      </c>
      <c r="E2075" s="386">
        <f t="shared" si="289"/>
        <v>10.142126227611939</v>
      </c>
      <c r="F2075" s="582">
        <f t="shared" si="290"/>
        <v>91.28</v>
      </c>
      <c r="G2075" s="394" t="s">
        <v>7235</v>
      </c>
      <c r="H2075" s="592" t="s">
        <v>7236</v>
      </c>
      <c r="I2075" s="520" t="s">
        <v>11649</v>
      </c>
      <c r="J2075" s="421" t="s">
        <v>753</v>
      </c>
      <c r="K2075" s="520" t="s">
        <v>741</v>
      </c>
    </row>
    <row r="2076" spans="1:11" s="341" customFormat="1">
      <c r="A2076" s="1737"/>
      <c r="B2076" s="394" t="s">
        <v>7237</v>
      </c>
      <c r="C2076" s="389">
        <v>633</v>
      </c>
      <c r="D2076" s="388">
        <f t="shared" si="288"/>
        <v>153.77163837313432</v>
      </c>
      <c r="E2076" s="386">
        <f t="shared" si="289"/>
        <v>19.22145479664179</v>
      </c>
      <c r="F2076" s="582">
        <f t="shared" si="290"/>
        <v>173</v>
      </c>
      <c r="G2076" s="394" t="s">
        <v>7238</v>
      </c>
      <c r="H2076" s="592" t="s">
        <v>7239</v>
      </c>
      <c r="I2076" s="520" t="s">
        <v>11649</v>
      </c>
      <c r="J2076" s="421" t="s">
        <v>753</v>
      </c>
      <c r="K2076" s="520" t="s">
        <v>741</v>
      </c>
    </row>
    <row r="2077" spans="1:11" s="341" customFormat="1">
      <c r="A2077" s="1737"/>
      <c r="B2077" s="394" t="s">
        <v>7240</v>
      </c>
      <c r="C2077" s="389">
        <v>110</v>
      </c>
      <c r="D2077" s="388">
        <f t="shared" si="288"/>
        <v>26.721769701492537</v>
      </c>
      <c r="E2077" s="386">
        <f t="shared" si="289"/>
        <v>3.3402212126865671</v>
      </c>
      <c r="F2077" s="582">
        <f t="shared" si="290"/>
        <v>30.07</v>
      </c>
      <c r="G2077" s="394" t="s">
        <v>7241</v>
      </c>
      <c r="H2077" s="592" t="s">
        <v>7242</v>
      </c>
      <c r="I2077" s="520" t="s">
        <v>11649</v>
      </c>
      <c r="J2077" s="421" t="s">
        <v>753</v>
      </c>
      <c r="K2077" s="520" t="s">
        <v>741</v>
      </c>
    </row>
    <row r="2078" spans="1:11" s="341" customFormat="1">
      <c r="A2078" s="1737"/>
      <c r="B2078" s="394" t="s">
        <v>7243</v>
      </c>
      <c r="C2078" s="389">
        <v>239</v>
      </c>
      <c r="D2078" s="388">
        <f t="shared" si="288"/>
        <v>58.059117805970146</v>
      </c>
      <c r="E2078" s="386">
        <f t="shared" si="289"/>
        <v>7.2573897257462683</v>
      </c>
      <c r="F2078" s="582">
        <f t="shared" si="290"/>
        <v>65.320000000000007</v>
      </c>
      <c r="G2078" s="394" t="s">
        <v>7244</v>
      </c>
      <c r="H2078" s="592" t="s">
        <v>7245</v>
      </c>
      <c r="I2078" s="520" t="s">
        <v>11649</v>
      </c>
      <c r="J2078" s="421" t="s">
        <v>753</v>
      </c>
      <c r="K2078" s="520" t="s">
        <v>741</v>
      </c>
    </row>
    <row r="2079" spans="1:11" s="341" customFormat="1">
      <c r="A2079" s="1737"/>
      <c r="B2079" s="394" t="s">
        <v>7246</v>
      </c>
      <c r="C2079" s="389">
        <v>1671</v>
      </c>
      <c r="D2079" s="388">
        <f t="shared" si="288"/>
        <v>405.92797428358205</v>
      </c>
      <c r="E2079" s="386">
        <f t="shared" si="289"/>
        <v>50.740996785447756</v>
      </c>
      <c r="F2079" s="582">
        <f t="shared" si="290"/>
        <v>456.67</v>
      </c>
      <c r="G2079" s="394" t="s">
        <v>7247</v>
      </c>
      <c r="H2079" s="592" t="s">
        <v>7213</v>
      </c>
      <c r="I2079" s="520" t="s">
        <v>11649</v>
      </c>
      <c r="J2079" s="421" t="s">
        <v>753</v>
      </c>
      <c r="K2079" s="520" t="s">
        <v>741</v>
      </c>
    </row>
    <row r="2080" spans="1:11" s="341" customFormat="1">
      <c r="A2080" s="1737"/>
      <c r="B2080" s="627" t="s">
        <v>5173</v>
      </c>
      <c r="C2080" s="209">
        <v>1809</v>
      </c>
      <c r="D2080" s="244">
        <f t="shared" si="288"/>
        <v>439.45164899999992</v>
      </c>
      <c r="E2080" s="228">
        <v>10</v>
      </c>
      <c r="F2080" s="585">
        <f t="shared" si="290"/>
        <v>449.46</v>
      </c>
      <c r="G2080" s="592" t="s">
        <v>5174</v>
      </c>
      <c r="H2080" s="592" t="s">
        <v>5175</v>
      </c>
      <c r="I2080" s="520" t="s">
        <v>11649</v>
      </c>
      <c r="J2080" s="421" t="s">
        <v>753</v>
      </c>
      <c r="K2080" s="520" t="s">
        <v>741</v>
      </c>
    </row>
    <row r="2081" spans="1:11" s="341" customFormat="1">
      <c r="A2081" s="1737"/>
      <c r="B2081" s="627" t="s">
        <v>2389</v>
      </c>
      <c r="C2081" s="209">
        <v>4866</v>
      </c>
      <c r="D2081" s="244">
        <f t="shared" si="288"/>
        <v>1182.073921522388</v>
      </c>
      <c r="E2081" s="228">
        <v>10</v>
      </c>
      <c r="F2081" s="585">
        <f t="shared" si="290"/>
        <v>1192.08</v>
      </c>
      <c r="G2081" s="592" t="s">
        <v>2390</v>
      </c>
      <c r="H2081" s="592" t="s">
        <v>2391</v>
      </c>
      <c r="I2081" s="520" t="s">
        <v>11649</v>
      </c>
      <c r="J2081" s="421" t="s">
        <v>753</v>
      </c>
      <c r="K2081" s="520" t="s">
        <v>741</v>
      </c>
    </row>
    <row r="2082" spans="1:11" s="341" customFormat="1">
      <c r="A2082" s="421"/>
      <c r="B2082" s="338"/>
      <c r="C2082" s="209" t="s">
        <v>2058</v>
      </c>
      <c r="D2082" s="388"/>
      <c r="E2082" s="386"/>
      <c r="F2082" s="582"/>
      <c r="G2082" s="338"/>
      <c r="H2082" s="592"/>
      <c r="I2082" s="520"/>
      <c r="J2082" s="421"/>
      <c r="K2082" s="520"/>
    </row>
    <row r="2083" spans="1:11" s="341" customFormat="1">
      <c r="A2083" s="421"/>
      <c r="B2083" s="338"/>
      <c r="C2083" s="209"/>
      <c r="D2083" s="388"/>
      <c r="E2083" s="386"/>
      <c r="F2083" s="582"/>
      <c r="G2083" s="338"/>
      <c r="H2083" s="592"/>
      <c r="I2083" s="520"/>
      <c r="J2083" s="421"/>
      <c r="K2083" s="520"/>
    </row>
    <row r="2084" spans="1:11" s="196" customFormat="1" ht="12" customHeight="1">
      <c r="A2084" s="1737"/>
      <c r="B2084" s="580" t="s">
        <v>14121</v>
      </c>
      <c r="C2084" s="389">
        <v>24240</v>
      </c>
      <c r="D2084" s="388">
        <f t="shared" ref="D2084" si="291">C2084*(1-VLOOKUP(I2084,descuentos,6,FALSE))*fcl/IF(dol_sol="dólar", TC,1)</f>
        <v>5888.5063414925362</v>
      </c>
      <c r="E2084" s="633">
        <v>600</v>
      </c>
      <c r="F2084" s="582">
        <f t="shared" ref="F2084:F2085" si="292">ROUNDUP(D2084+E2084,2)</f>
        <v>6488.51</v>
      </c>
      <c r="G2084" s="394" t="s">
        <v>14122</v>
      </c>
      <c r="H2084" s="580" t="s">
        <v>14123</v>
      </c>
      <c r="I2084" s="622" t="s">
        <v>11649</v>
      </c>
      <c r="J2084" s="425" t="s">
        <v>753</v>
      </c>
      <c r="K2084" s="622" t="s">
        <v>741</v>
      </c>
    </row>
    <row r="2085" spans="1:11" s="341" customFormat="1">
      <c r="A2085" s="1737"/>
      <c r="B2085" s="394" t="s">
        <v>7228</v>
      </c>
      <c r="C2085" s="389">
        <v>4817</v>
      </c>
      <c r="D2085" s="388">
        <f t="shared" ref="D2085" si="293">C2085*(1-VLOOKUP(I2085,descuentos,6,FALSE))*fcl/IF(dol_sol="dólar", TC,1)</f>
        <v>1170.1705877462684</v>
      </c>
      <c r="E2085" s="633">
        <v>600</v>
      </c>
      <c r="F2085" s="582">
        <f t="shared" si="292"/>
        <v>1770.18</v>
      </c>
      <c r="G2085" s="394" t="s">
        <v>14124</v>
      </c>
      <c r="H2085" s="592" t="s">
        <v>7230</v>
      </c>
      <c r="I2085" s="520" t="s">
        <v>11649</v>
      </c>
      <c r="J2085" s="421" t="s">
        <v>753</v>
      </c>
      <c r="K2085" s="520" t="s">
        <v>741</v>
      </c>
    </row>
    <row r="2086" spans="1:11" s="341" customFormat="1">
      <c r="A2086" s="421"/>
      <c r="B2086" s="338"/>
      <c r="C2086" s="209"/>
      <c r="D2086" s="388"/>
      <c r="E2086" s="386"/>
      <c r="F2086" s="582"/>
      <c r="G2086" s="338"/>
      <c r="H2086" s="592"/>
      <c r="I2086" s="520"/>
      <c r="J2086" s="421"/>
      <c r="K2086" s="520"/>
    </row>
    <row r="2087" spans="1:11" s="341" customFormat="1">
      <c r="A2087" s="421"/>
      <c r="B2087" s="338"/>
      <c r="C2087" s="209"/>
      <c r="D2087" s="388"/>
      <c r="E2087" s="386"/>
      <c r="F2087" s="582"/>
      <c r="G2087" s="338"/>
      <c r="H2087" s="592"/>
      <c r="I2087" s="520"/>
      <c r="J2087" s="421"/>
      <c r="K2087" s="520"/>
    </row>
    <row r="2088" spans="1:11" s="196" customFormat="1" ht="13.5" customHeight="1">
      <c r="A2088" s="1737"/>
      <c r="B2088" s="580" t="s">
        <v>14125</v>
      </c>
      <c r="C2088" s="389">
        <v>19590</v>
      </c>
      <c r="D2088" s="388">
        <f t="shared" ref="D2088" si="294">C2088*(1-VLOOKUP(I2088,descuentos,6,FALSE))*fcl/IF(dol_sol="dólar", TC,1)</f>
        <v>4758.9042586567157</v>
      </c>
      <c r="E2088" s="472">
        <v>500</v>
      </c>
      <c r="F2088" s="582">
        <f t="shared" ref="F2088:F2089" si="295">ROUNDUP(D2088+E2088,2)</f>
        <v>5258.91</v>
      </c>
      <c r="G2088" s="394" t="s">
        <v>14126</v>
      </c>
      <c r="H2088" s="580" t="s">
        <v>14127</v>
      </c>
      <c r="I2088" s="622" t="s">
        <v>11649</v>
      </c>
      <c r="J2088" s="425" t="s">
        <v>753</v>
      </c>
      <c r="K2088" s="622" t="s">
        <v>741</v>
      </c>
    </row>
    <row r="2089" spans="1:11" s="341" customFormat="1">
      <c r="A2089" s="1737"/>
      <c r="B2089" s="394" t="s">
        <v>14128</v>
      </c>
      <c r="C2089" s="389">
        <v>3640</v>
      </c>
      <c r="D2089" s="388">
        <f t="shared" ref="D2089" si="296">C2089*(1-VLOOKUP(I2089,descuentos,6,FALSE))*fcl/IF(dol_sol="dólar", TC,1)</f>
        <v>884.2476519402984</v>
      </c>
      <c r="E2089" s="633">
        <v>600</v>
      </c>
      <c r="F2089" s="582">
        <f t="shared" si="295"/>
        <v>1484.25</v>
      </c>
      <c r="G2089" s="394" t="s">
        <v>14129</v>
      </c>
      <c r="H2089" s="592" t="s">
        <v>9848</v>
      </c>
      <c r="I2089" s="520" t="s">
        <v>11649</v>
      </c>
      <c r="J2089" s="421" t="s">
        <v>753</v>
      </c>
      <c r="K2089" s="520" t="s">
        <v>741</v>
      </c>
    </row>
    <row r="2090" spans="1:11" s="341" customFormat="1">
      <c r="A2090" s="421"/>
      <c r="B2090" s="338"/>
      <c r="C2090" s="209"/>
      <c r="D2090" s="388"/>
      <c r="E2090" s="386"/>
      <c r="F2090" s="582"/>
      <c r="G2090" s="338"/>
      <c r="H2090" s="592"/>
      <c r="I2090" s="520"/>
      <c r="J2090" s="421"/>
      <c r="K2090" s="520"/>
    </row>
    <row r="2091" spans="1:11" s="341" customFormat="1">
      <c r="A2091" s="421"/>
      <c r="B2091" s="338"/>
      <c r="C2091" s="209"/>
      <c r="D2091" s="388"/>
      <c r="E2091" s="386"/>
      <c r="F2091" s="582"/>
      <c r="G2091" s="338"/>
      <c r="H2091" s="592"/>
      <c r="I2091" s="520"/>
      <c r="J2091" s="421"/>
      <c r="K2091" s="520"/>
    </row>
    <row r="2092" spans="1:11" s="341" customFormat="1" ht="35.25" customHeight="1">
      <c r="A2092" s="421"/>
      <c r="B2092" s="1738" t="s">
        <v>7224</v>
      </c>
      <c r="C2092" s="209" t="s">
        <v>2058</v>
      </c>
      <c r="D2092" s="244"/>
      <c r="E2092" s="228"/>
      <c r="F2092" s="585"/>
      <c r="G2092" s="338"/>
      <c r="H2092" s="592"/>
      <c r="I2092" s="520"/>
      <c r="J2092" s="421"/>
      <c r="K2092" s="520"/>
    </row>
    <row r="2093" spans="1:11" s="341" customFormat="1">
      <c r="A2093" s="1737"/>
      <c r="B2093" s="394" t="s">
        <v>7225</v>
      </c>
      <c r="C2093" s="389">
        <v>36213</v>
      </c>
      <c r="D2093" s="388">
        <f>C2093*(1-VLOOKUP(I2093,descuentos,6,FALSE))*fcl/IF(dol_sol="dólar", TC,1)</f>
        <v>8797.0495109104468</v>
      </c>
      <c r="E2093" s="633">
        <v>600</v>
      </c>
      <c r="F2093" s="582">
        <f>ROUNDUP(D2093+E2093,2)</f>
        <v>9397.0500000000011</v>
      </c>
      <c r="G2093" s="394" t="s">
        <v>7226</v>
      </c>
      <c r="H2093" s="592" t="s">
        <v>7227</v>
      </c>
      <c r="I2093" s="520" t="s">
        <v>11649</v>
      </c>
      <c r="J2093" s="421" t="s">
        <v>753</v>
      </c>
      <c r="K2093" s="520" t="s">
        <v>741</v>
      </c>
    </row>
    <row r="2094" spans="1:11" s="341" customFormat="1">
      <c r="A2094" s="1737"/>
      <c r="B2094" s="1939" t="s">
        <v>9598</v>
      </c>
      <c r="C2094" s="389">
        <v>27863</v>
      </c>
      <c r="D2094" s="388">
        <f t="shared" ref="D2094" si="297">C2094*(1-VLOOKUP(I2094,descuentos,6,FALSE))*fcl/IF(dol_sol="dólar", TC,1)</f>
        <v>6768.624265388059</v>
      </c>
      <c r="E2094" s="633">
        <v>600</v>
      </c>
      <c r="F2094" s="582">
        <f>ROUNDUP(D2094+E2094,2)</f>
        <v>7368.63</v>
      </c>
      <c r="G2094" s="394" t="s">
        <v>7156</v>
      </c>
      <c r="H2094" s="592" t="s">
        <v>9599</v>
      </c>
      <c r="I2094" s="520" t="s">
        <v>11649</v>
      </c>
      <c r="J2094" s="421" t="s">
        <v>753</v>
      </c>
      <c r="K2094" s="520" t="s">
        <v>741</v>
      </c>
    </row>
    <row r="2095" spans="1:11" s="341" customFormat="1">
      <c r="A2095" s="1737"/>
      <c r="B2095" s="394" t="s">
        <v>7228</v>
      </c>
      <c r="C2095" s="389">
        <v>4817</v>
      </c>
      <c r="D2095" s="388">
        <f t="shared" ref="D2095:D2103" si="298">C2095*(1-VLOOKUP(I2095,descuentos,6,FALSE))*fcl/IF(dol_sol="dólar", TC,1)</f>
        <v>1170.1705877462684</v>
      </c>
      <c r="E2095" s="633">
        <v>600</v>
      </c>
      <c r="F2095" s="582">
        <f t="shared" ref="F2095:F2103" si="299">ROUNDUP(D2095+E2095,2)</f>
        <v>1770.18</v>
      </c>
      <c r="G2095" s="394" t="s">
        <v>7229</v>
      </c>
      <c r="H2095" s="592" t="s">
        <v>7230</v>
      </c>
      <c r="I2095" s="520" t="s">
        <v>11649</v>
      </c>
      <c r="J2095" s="421" t="s">
        <v>753</v>
      </c>
      <c r="K2095" s="520" t="s">
        <v>741</v>
      </c>
    </row>
    <row r="2096" spans="1:11" s="341" customFormat="1">
      <c r="A2096" s="1737"/>
      <c r="B2096" s="394" t="s">
        <v>7231</v>
      </c>
      <c r="C2096" s="389">
        <v>729</v>
      </c>
      <c r="D2096" s="388">
        <f t="shared" si="298"/>
        <v>177.09245556716417</v>
      </c>
      <c r="E2096" s="386">
        <f t="shared" ref="E2096:E2101" si="300">D2096/8</f>
        <v>22.136556945895521</v>
      </c>
      <c r="F2096" s="582">
        <f t="shared" si="299"/>
        <v>199.23</v>
      </c>
      <c r="G2096" s="394" t="s">
        <v>7232</v>
      </c>
      <c r="H2096" s="592" t="s">
        <v>7233</v>
      </c>
      <c r="I2096" s="520" t="s">
        <v>11649</v>
      </c>
      <c r="J2096" s="421" t="s">
        <v>753</v>
      </c>
      <c r="K2096" s="520" t="s">
        <v>741</v>
      </c>
    </row>
    <row r="2097" spans="1:11" s="341" customFormat="1">
      <c r="A2097" s="1737"/>
      <c r="B2097" s="394" t="s">
        <v>7234</v>
      </c>
      <c r="C2097" s="389">
        <v>334</v>
      </c>
      <c r="D2097" s="388">
        <f t="shared" si="298"/>
        <v>81.137009820895514</v>
      </c>
      <c r="E2097" s="386">
        <f t="shared" si="300"/>
        <v>10.142126227611939</v>
      </c>
      <c r="F2097" s="582">
        <f t="shared" si="299"/>
        <v>91.28</v>
      </c>
      <c r="G2097" s="394" t="s">
        <v>7235</v>
      </c>
      <c r="H2097" s="592" t="s">
        <v>7236</v>
      </c>
      <c r="I2097" s="520" t="s">
        <v>11649</v>
      </c>
      <c r="J2097" s="421" t="s">
        <v>753</v>
      </c>
      <c r="K2097" s="520" t="s">
        <v>741</v>
      </c>
    </row>
    <row r="2098" spans="1:11" s="341" customFormat="1">
      <c r="A2098" s="1737"/>
      <c r="B2098" s="394" t="s">
        <v>7237</v>
      </c>
      <c r="C2098" s="389">
        <v>633</v>
      </c>
      <c r="D2098" s="388">
        <f t="shared" si="298"/>
        <v>153.77163837313432</v>
      </c>
      <c r="E2098" s="386">
        <f t="shared" si="300"/>
        <v>19.22145479664179</v>
      </c>
      <c r="F2098" s="582">
        <f t="shared" si="299"/>
        <v>173</v>
      </c>
      <c r="G2098" s="394" t="s">
        <v>7238</v>
      </c>
      <c r="H2098" s="592" t="s">
        <v>7239</v>
      </c>
      <c r="I2098" s="520" t="s">
        <v>11649</v>
      </c>
      <c r="J2098" s="421" t="s">
        <v>753</v>
      </c>
      <c r="K2098" s="520" t="s">
        <v>741</v>
      </c>
    </row>
    <row r="2099" spans="1:11" s="341" customFormat="1">
      <c r="A2099" s="1737"/>
      <c r="B2099" s="394" t="s">
        <v>7240</v>
      </c>
      <c r="C2099" s="389">
        <v>110</v>
      </c>
      <c r="D2099" s="388">
        <f t="shared" si="298"/>
        <v>26.721769701492537</v>
      </c>
      <c r="E2099" s="386">
        <f t="shared" si="300"/>
        <v>3.3402212126865671</v>
      </c>
      <c r="F2099" s="582">
        <f t="shared" si="299"/>
        <v>30.07</v>
      </c>
      <c r="G2099" s="394" t="s">
        <v>7241</v>
      </c>
      <c r="H2099" s="592" t="s">
        <v>7242</v>
      </c>
      <c r="I2099" s="520" t="s">
        <v>11649</v>
      </c>
      <c r="J2099" s="421" t="s">
        <v>753</v>
      </c>
      <c r="K2099" s="520" t="s">
        <v>741</v>
      </c>
    </row>
    <row r="2100" spans="1:11" s="341" customFormat="1">
      <c r="A2100" s="1737"/>
      <c r="B2100" s="394" t="s">
        <v>7243</v>
      </c>
      <c r="C2100" s="389">
        <v>239</v>
      </c>
      <c r="D2100" s="388">
        <f t="shared" si="298"/>
        <v>58.059117805970146</v>
      </c>
      <c r="E2100" s="386">
        <f t="shared" si="300"/>
        <v>7.2573897257462683</v>
      </c>
      <c r="F2100" s="582">
        <f t="shared" si="299"/>
        <v>65.320000000000007</v>
      </c>
      <c r="G2100" s="394" t="s">
        <v>7244</v>
      </c>
      <c r="H2100" s="592" t="s">
        <v>7245</v>
      </c>
      <c r="I2100" s="520" t="s">
        <v>11649</v>
      </c>
      <c r="J2100" s="421" t="s">
        <v>753</v>
      </c>
      <c r="K2100" s="520" t="s">
        <v>741</v>
      </c>
    </row>
    <row r="2101" spans="1:11" s="341" customFormat="1">
      <c r="A2101" s="1737"/>
      <c r="B2101" s="394" t="s">
        <v>7246</v>
      </c>
      <c r="C2101" s="389">
        <v>1671</v>
      </c>
      <c r="D2101" s="388">
        <f t="shared" si="298"/>
        <v>405.92797428358205</v>
      </c>
      <c r="E2101" s="386">
        <f t="shared" si="300"/>
        <v>50.740996785447756</v>
      </c>
      <c r="F2101" s="582">
        <f t="shared" si="299"/>
        <v>456.67</v>
      </c>
      <c r="G2101" s="394" t="s">
        <v>7247</v>
      </c>
      <c r="H2101" s="592" t="s">
        <v>7213</v>
      </c>
      <c r="I2101" s="520" t="s">
        <v>11649</v>
      </c>
      <c r="J2101" s="421" t="s">
        <v>753</v>
      </c>
      <c r="K2101" s="520" t="s">
        <v>741</v>
      </c>
    </row>
    <row r="2102" spans="1:11" s="341" customFormat="1">
      <c r="A2102" s="1737"/>
      <c r="B2102" s="627" t="s">
        <v>5173</v>
      </c>
      <c r="C2102" s="209">
        <v>1809</v>
      </c>
      <c r="D2102" s="244">
        <f t="shared" si="298"/>
        <v>439.45164899999992</v>
      </c>
      <c r="E2102" s="228">
        <v>10</v>
      </c>
      <c r="F2102" s="585">
        <f t="shared" si="299"/>
        <v>449.46</v>
      </c>
      <c r="G2102" s="592" t="s">
        <v>5174</v>
      </c>
      <c r="H2102" s="592" t="s">
        <v>5175</v>
      </c>
      <c r="I2102" s="520" t="s">
        <v>11649</v>
      </c>
      <c r="J2102" s="421" t="s">
        <v>753</v>
      </c>
      <c r="K2102" s="520" t="s">
        <v>741</v>
      </c>
    </row>
    <row r="2103" spans="1:11" s="341" customFormat="1">
      <c r="A2103" s="1737"/>
      <c r="B2103" s="627" t="s">
        <v>2389</v>
      </c>
      <c r="C2103" s="209">
        <v>4866</v>
      </c>
      <c r="D2103" s="244">
        <f t="shared" si="298"/>
        <v>1182.073921522388</v>
      </c>
      <c r="E2103" s="228">
        <v>10</v>
      </c>
      <c r="F2103" s="585">
        <f t="shared" si="299"/>
        <v>1192.08</v>
      </c>
      <c r="G2103" s="592" t="s">
        <v>2390</v>
      </c>
      <c r="H2103" s="592" t="s">
        <v>2391</v>
      </c>
      <c r="I2103" s="520" t="s">
        <v>11649</v>
      </c>
      <c r="J2103" s="421" t="s">
        <v>753</v>
      </c>
      <c r="K2103" s="520" t="s">
        <v>741</v>
      </c>
    </row>
    <row r="2104" spans="1:11" s="341" customFormat="1">
      <c r="A2104" s="421"/>
      <c r="B2104" s="338"/>
      <c r="C2104" s="209" t="s">
        <v>2058</v>
      </c>
      <c r="D2104" s="388"/>
      <c r="E2104" s="386"/>
      <c r="F2104" s="582"/>
      <c r="G2104" s="338"/>
      <c r="H2104" s="592"/>
      <c r="I2104" s="520"/>
      <c r="J2104" s="421"/>
      <c r="K2104" s="520"/>
    </row>
    <row r="2105" spans="1:11" s="341" customFormat="1">
      <c r="A2105" s="421"/>
      <c r="B2105" s="338"/>
      <c r="C2105" s="209" t="s">
        <v>2058</v>
      </c>
      <c r="D2105" s="244"/>
      <c r="E2105" s="228"/>
      <c r="F2105" s="585"/>
      <c r="G2105" s="338"/>
      <c r="H2105" s="592"/>
      <c r="I2105" s="520"/>
      <c r="J2105" s="421"/>
      <c r="K2105" s="520"/>
    </row>
    <row r="2106" spans="1:11" s="341" customFormat="1" ht="43.5" customHeight="1">
      <c r="A2106" s="421"/>
      <c r="B2106" s="1738" t="s">
        <v>9925</v>
      </c>
      <c r="C2106" s="209" t="s">
        <v>2058</v>
      </c>
      <c r="D2106" s="244"/>
      <c r="E2106" s="228"/>
      <c r="F2106" s="585"/>
      <c r="G2106" s="338"/>
      <c r="H2106" s="592"/>
      <c r="I2106" s="520"/>
      <c r="J2106" s="421"/>
      <c r="K2106" s="520"/>
    </row>
    <row r="2107" spans="1:11" s="341" customFormat="1">
      <c r="A2107" s="1737"/>
      <c r="B2107" s="1939" t="s">
        <v>9926</v>
      </c>
      <c r="C2107" s="389">
        <v>21865</v>
      </c>
      <c r="D2107" s="388">
        <f t="shared" ref="D2107" si="301">C2107*(1-VLOOKUP(I2107,descuentos,6,FALSE))*fcl/IF(dol_sol="dólar", TC,1)</f>
        <v>5311.5590411194016</v>
      </c>
      <c r="E2107" s="633">
        <v>600</v>
      </c>
      <c r="F2107" s="582">
        <f>ROUNDUP(D2107+E2107,2)</f>
        <v>5911.56</v>
      </c>
      <c r="G2107" s="394" t="s">
        <v>9927</v>
      </c>
      <c r="H2107" s="592" t="s">
        <v>9928</v>
      </c>
      <c r="I2107" s="520" t="s">
        <v>11649</v>
      </c>
      <c r="J2107" s="421" t="s">
        <v>753</v>
      </c>
      <c r="K2107" s="520" t="s">
        <v>741</v>
      </c>
    </row>
    <row r="2108" spans="1:11" s="341" customFormat="1">
      <c r="A2108" s="1737"/>
      <c r="B2108" s="627" t="s">
        <v>9929</v>
      </c>
      <c r="C2108" s="209">
        <v>4817</v>
      </c>
      <c r="D2108" s="244">
        <f>C2108*(1-VLOOKUP(I2108,descuentos,6,FALSE))*fcl/IF(dol_sol="dólar", TC,1)</f>
        <v>1170.1705877462684</v>
      </c>
      <c r="E2108" s="472">
        <v>50</v>
      </c>
      <c r="F2108" s="585">
        <f>ROUNDUP(D2108+E2108,2)</f>
        <v>1220.18</v>
      </c>
      <c r="G2108" s="338" t="s">
        <v>9930</v>
      </c>
      <c r="H2108" s="592" t="s">
        <v>7230</v>
      </c>
      <c r="I2108" s="520" t="s">
        <v>11649</v>
      </c>
      <c r="J2108" s="421" t="s">
        <v>753</v>
      </c>
      <c r="K2108" s="520" t="s">
        <v>741</v>
      </c>
    </row>
    <row r="2109" spans="1:11" s="341" customFormat="1">
      <c r="A2109" s="1737"/>
      <c r="B2109" s="627" t="s">
        <v>1241</v>
      </c>
      <c r="C2109" s="209">
        <v>538</v>
      </c>
      <c r="D2109" s="244">
        <f t="shared" ref="D2109:D2118" si="302">C2109*(1-VLOOKUP(I2109,descuentos,6,FALSE))*fcl/IF(dol_sol="dólar", TC,1)</f>
        <v>130.69374635820895</v>
      </c>
      <c r="E2109" s="228">
        <v>10</v>
      </c>
      <c r="F2109" s="585">
        <f t="shared" ref="F2109:F2118" si="303">ROUNDUP(D2109+E2109,2)</f>
        <v>140.69999999999999</v>
      </c>
      <c r="G2109" s="592" t="s">
        <v>5171</v>
      </c>
      <c r="H2109" s="592" t="s">
        <v>810</v>
      </c>
      <c r="I2109" s="520" t="s">
        <v>11649</v>
      </c>
      <c r="J2109" s="421" t="s">
        <v>753</v>
      </c>
      <c r="K2109" s="520" t="s">
        <v>741</v>
      </c>
    </row>
    <row r="2110" spans="1:11" s="341" customFormat="1">
      <c r="A2110" s="1737"/>
      <c r="B2110" s="627" t="s">
        <v>1240</v>
      </c>
      <c r="C2110" s="209">
        <v>538</v>
      </c>
      <c r="D2110" s="244">
        <f t="shared" si="302"/>
        <v>130.69374635820895</v>
      </c>
      <c r="E2110" s="228">
        <v>10</v>
      </c>
      <c r="F2110" s="585">
        <f t="shared" si="303"/>
        <v>140.69999999999999</v>
      </c>
      <c r="G2110" s="592" t="s">
        <v>5172</v>
      </c>
      <c r="H2110" s="592" t="s">
        <v>812</v>
      </c>
      <c r="I2110" s="520" t="s">
        <v>11649</v>
      </c>
      <c r="J2110" s="421" t="s">
        <v>753</v>
      </c>
      <c r="K2110" s="520" t="s">
        <v>741</v>
      </c>
    </row>
    <row r="2111" spans="1:11" s="341" customFormat="1">
      <c r="A2111" s="1737"/>
      <c r="B2111" s="627" t="s">
        <v>958</v>
      </c>
      <c r="C2111" s="209">
        <v>3239</v>
      </c>
      <c r="D2111" s="244">
        <f t="shared" si="302"/>
        <v>786.83465511940301</v>
      </c>
      <c r="E2111" s="228">
        <v>15</v>
      </c>
      <c r="F2111" s="585">
        <f t="shared" si="303"/>
        <v>801.84</v>
      </c>
      <c r="G2111" s="592" t="s">
        <v>1246</v>
      </c>
      <c r="H2111" s="592" t="s">
        <v>956</v>
      </c>
      <c r="I2111" s="520" t="s">
        <v>11649</v>
      </c>
      <c r="J2111" s="421" t="s">
        <v>753</v>
      </c>
      <c r="K2111" s="520" t="s">
        <v>741</v>
      </c>
    </row>
    <row r="2112" spans="1:11" s="341" customFormat="1">
      <c r="A2112" s="1737"/>
      <c r="B2112" s="394" t="s">
        <v>7231</v>
      </c>
      <c r="C2112" s="389">
        <v>729</v>
      </c>
      <c r="D2112" s="388">
        <f t="shared" si="302"/>
        <v>177.09245556716417</v>
      </c>
      <c r="E2112" s="386">
        <f>D2112/8</f>
        <v>22.136556945895521</v>
      </c>
      <c r="F2112" s="582">
        <f t="shared" si="303"/>
        <v>199.23</v>
      </c>
      <c r="G2112" s="394" t="s">
        <v>7252</v>
      </c>
      <c r="H2112" s="592" t="s">
        <v>7233</v>
      </c>
      <c r="I2112" s="520" t="s">
        <v>11649</v>
      </c>
      <c r="J2112" s="421" t="s">
        <v>753</v>
      </c>
      <c r="K2112" s="520" t="s">
        <v>741</v>
      </c>
    </row>
    <row r="2113" spans="1:11" s="341" customFormat="1">
      <c r="A2113" s="1737"/>
      <c r="B2113" s="394" t="s">
        <v>7234</v>
      </c>
      <c r="C2113" s="389">
        <v>334</v>
      </c>
      <c r="D2113" s="388">
        <f t="shared" si="302"/>
        <v>81.137009820895514</v>
      </c>
      <c r="E2113" s="386">
        <f>D2113/8</f>
        <v>10.142126227611939</v>
      </c>
      <c r="F2113" s="582">
        <f t="shared" si="303"/>
        <v>91.28</v>
      </c>
      <c r="G2113" s="394" t="s">
        <v>7253</v>
      </c>
      <c r="H2113" s="592" t="s">
        <v>7236</v>
      </c>
      <c r="I2113" s="520" t="s">
        <v>11649</v>
      </c>
      <c r="J2113" s="421" t="s">
        <v>753</v>
      </c>
      <c r="K2113" s="520" t="s">
        <v>741</v>
      </c>
    </row>
    <row r="2114" spans="1:11" s="341" customFormat="1">
      <c r="A2114" s="1737"/>
      <c r="B2114" s="394" t="s">
        <v>7237</v>
      </c>
      <c r="C2114" s="389">
        <v>633</v>
      </c>
      <c r="D2114" s="388">
        <f t="shared" si="302"/>
        <v>153.77163837313432</v>
      </c>
      <c r="E2114" s="386">
        <f>D2114/8</f>
        <v>19.22145479664179</v>
      </c>
      <c r="F2114" s="582">
        <f t="shared" si="303"/>
        <v>173</v>
      </c>
      <c r="G2114" s="394" t="s">
        <v>7238</v>
      </c>
      <c r="H2114" s="592" t="s">
        <v>7239</v>
      </c>
      <c r="I2114" s="520" t="s">
        <v>11649</v>
      </c>
      <c r="J2114" s="421" t="s">
        <v>753</v>
      </c>
      <c r="K2114" s="520" t="s">
        <v>741</v>
      </c>
    </row>
    <row r="2115" spans="1:11" s="341" customFormat="1">
      <c r="A2115" s="1737"/>
      <c r="B2115" s="394" t="s">
        <v>7240</v>
      </c>
      <c r="C2115" s="389">
        <v>110</v>
      </c>
      <c r="D2115" s="388">
        <f t="shared" si="302"/>
        <v>26.721769701492537</v>
      </c>
      <c r="E2115" s="386">
        <f>D2115/8</f>
        <v>3.3402212126865671</v>
      </c>
      <c r="F2115" s="582">
        <f t="shared" si="303"/>
        <v>30.07</v>
      </c>
      <c r="G2115" s="394" t="s">
        <v>7241</v>
      </c>
      <c r="H2115" s="592" t="s">
        <v>7242</v>
      </c>
      <c r="I2115" s="520" t="s">
        <v>11649</v>
      </c>
      <c r="J2115" s="421" t="s">
        <v>753</v>
      </c>
      <c r="K2115" s="520" t="s">
        <v>741</v>
      </c>
    </row>
    <row r="2116" spans="1:11" s="341" customFormat="1">
      <c r="A2116" s="1737"/>
      <c r="B2116" s="636" t="s">
        <v>2898</v>
      </c>
      <c r="C2116" s="637">
        <v>510</v>
      </c>
      <c r="D2116" s="243">
        <f t="shared" si="302"/>
        <v>123.89184134328356</v>
      </c>
      <c r="E2116" s="228">
        <v>80</v>
      </c>
      <c r="F2116" s="638">
        <f t="shared" si="303"/>
        <v>203.89999999999998</v>
      </c>
      <c r="G2116" s="592" t="s">
        <v>2906</v>
      </c>
      <c r="H2116" s="592" t="s">
        <v>2406</v>
      </c>
      <c r="I2116" s="520" t="s">
        <v>11649</v>
      </c>
      <c r="J2116" s="421" t="s">
        <v>753</v>
      </c>
      <c r="K2116" s="520" t="s">
        <v>741</v>
      </c>
    </row>
    <row r="2117" spans="1:11" s="341" customFormat="1">
      <c r="A2117" s="1737"/>
      <c r="B2117" s="640" t="s">
        <v>2921</v>
      </c>
      <c r="C2117" s="637">
        <v>1369</v>
      </c>
      <c r="D2117" s="243">
        <f t="shared" si="302"/>
        <v>332.56457019402984</v>
      </c>
      <c r="E2117" s="228">
        <v>20</v>
      </c>
      <c r="F2117" s="638">
        <f t="shared" si="303"/>
        <v>352.57</v>
      </c>
      <c r="G2117" s="643" t="s">
        <v>2923</v>
      </c>
      <c r="H2117" s="592" t="s">
        <v>2415</v>
      </c>
      <c r="I2117" s="520" t="s">
        <v>11649</v>
      </c>
      <c r="J2117" s="421" t="s">
        <v>753</v>
      </c>
      <c r="K2117" s="520" t="s">
        <v>741</v>
      </c>
    </row>
    <row r="2118" spans="1:11" s="341" customFormat="1">
      <c r="A2118" s="1737"/>
      <c r="B2118" s="642" t="s">
        <v>2922</v>
      </c>
      <c r="C2118" s="637">
        <v>1443</v>
      </c>
      <c r="D2118" s="243">
        <f t="shared" si="302"/>
        <v>350.54103344776121</v>
      </c>
      <c r="E2118" s="228">
        <v>20</v>
      </c>
      <c r="F2118" s="638">
        <f t="shared" si="303"/>
        <v>370.55</v>
      </c>
      <c r="G2118" s="643" t="s">
        <v>2924</v>
      </c>
      <c r="H2118" s="592" t="s">
        <v>2917</v>
      </c>
      <c r="I2118" s="520" t="s">
        <v>11649</v>
      </c>
      <c r="J2118" s="421" t="s">
        <v>753</v>
      </c>
      <c r="K2118" s="520" t="s">
        <v>741</v>
      </c>
    </row>
    <row r="2119" spans="1:11" s="267" customFormat="1" ht="12" customHeight="1">
      <c r="A2119" s="635"/>
      <c r="B2119" s="643"/>
      <c r="C2119" s="637" t="s">
        <v>2058</v>
      </c>
      <c r="D2119" s="243"/>
      <c r="E2119" s="228"/>
      <c r="F2119" s="638"/>
      <c r="G2119" s="338"/>
      <c r="H2119" s="643"/>
      <c r="I2119" s="639"/>
      <c r="J2119" s="635"/>
      <c r="K2119" s="639"/>
    </row>
    <row r="2120" spans="1:11" s="267" customFormat="1" ht="12" customHeight="1">
      <c r="A2120" s="635"/>
      <c r="B2120" s="643"/>
      <c r="C2120" s="637" t="s">
        <v>2058</v>
      </c>
      <c r="D2120" s="243"/>
      <c r="E2120" s="228"/>
      <c r="F2120" s="638"/>
      <c r="G2120" s="338"/>
      <c r="H2120" s="643"/>
      <c r="I2120" s="639"/>
      <c r="J2120" s="635"/>
      <c r="K2120" s="639"/>
    </row>
    <row r="2121" spans="1:11" s="341" customFormat="1" ht="43.5" customHeight="1">
      <c r="A2121" s="421"/>
      <c r="B2121" s="1738" t="s">
        <v>9931</v>
      </c>
      <c r="C2121" s="209" t="s">
        <v>2058</v>
      </c>
      <c r="D2121" s="244"/>
      <c r="E2121" s="228"/>
      <c r="F2121" s="585"/>
      <c r="G2121" s="338"/>
      <c r="H2121" s="592"/>
      <c r="I2121" s="520"/>
      <c r="J2121" s="421"/>
      <c r="K2121" s="520"/>
    </row>
    <row r="2122" spans="1:11" s="341" customFormat="1">
      <c r="A2122" s="1737"/>
      <c r="B2122" s="1939" t="s">
        <v>9932</v>
      </c>
      <c r="C2122" s="389">
        <v>21160</v>
      </c>
      <c r="D2122" s="388">
        <f t="shared" ref="D2122" si="304">C2122*(1-VLOOKUP(I2122,descuentos,6,FALSE))*fcl/IF(dol_sol="dólar", TC,1)</f>
        <v>5140.2967898507459</v>
      </c>
      <c r="E2122" s="633">
        <v>600</v>
      </c>
      <c r="F2122" s="582">
        <f>ROUNDUP(D2122+E2122,2)</f>
        <v>5740.3</v>
      </c>
      <c r="G2122" s="394" t="s">
        <v>9933</v>
      </c>
      <c r="H2122" s="592" t="s">
        <v>9934</v>
      </c>
      <c r="I2122" s="520" t="s">
        <v>11649</v>
      </c>
      <c r="J2122" s="421" t="s">
        <v>753</v>
      </c>
      <c r="K2122" s="520" t="s">
        <v>741</v>
      </c>
    </row>
    <row r="2123" spans="1:11" s="341" customFormat="1">
      <c r="A2123" s="1737"/>
      <c r="B2123" s="627" t="s">
        <v>9935</v>
      </c>
      <c r="C2123" s="209">
        <v>4817</v>
      </c>
      <c r="D2123" s="244">
        <f>C2123*(1-VLOOKUP(I2123,descuentos,6,FALSE))*fcl/IF(dol_sol="dólar", TC,1)</f>
        <v>1170.1705877462684</v>
      </c>
      <c r="E2123" s="472">
        <v>50</v>
      </c>
      <c r="F2123" s="585">
        <f>ROUNDUP(D2123+E2123,2)</f>
        <v>1220.18</v>
      </c>
      <c r="G2123" s="338" t="s">
        <v>9936</v>
      </c>
      <c r="H2123" s="592" t="s">
        <v>7230</v>
      </c>
      <c r="I2123" s="520" t="s">
        <v>11649</v>
      </c>
      <c r="J2123" s="421" t="s">
        <v>753</v>
      </c>
      <c r="K2123" s="520" t="s">
        <v>741</v>
      </c>
    </row>
    <row r="2124" spans="1:11" s="341" customFormat="1">
      <c r="A2124" s="1737"/>
      <c r="B2124" s="627" t="s">
        <v>1241</v>
      </c>
      <c r="C2124" s="209">
        <v>538</v>
      </c>
      <c r="D2124" s="244">
        <f t="shared" ref="D2124:D2133" si="305">C2124*(1-VLOOKUP(I2124,descuentos,6,FALSE))*fcl/IF(dol_sol="dólar", TC,1)</f>
        <v>130.69374635820895</v>
      </c>
      <c r="E2124" s="228">
        <v>10</v>
      </c>
      <c r="F2124" s="585">
        <f t="shared" ref="F2124:F2133" si="306">ROUNDUP(D2124+E2124,2)</f>
        <v>140.69999999999999</v>
      </c>
      <c r="G2124" s="592" t="s">
        <v>5171</v>
      </c>
      <c r="H2124" s="592" t="s">
        <v>810</v>
      </c>
      <c r="I2124" s="520" t="s">
        <v>11649</v>
      </c>
      <c r="J2124" s="421" t="s">
        <v>753</v>
      </c>
      <c r="K2124" s="520" t="s">
        <v>741</v>
      </c>
    </row>
    <row r="2125" spans="1:11" s="341" customFormat="1">
      <c r="A2125" s="1737"/>
      <c r="B2125" s="627" t="s">
        <v>1240</v>
      </c>
      <c r="C2125" s="209">
        <v>538</v>
      </c>
      <c r="D2125" s="244">
        <f t="shared" si="305"/>
        <v>130.69374635820895</v>
      </c>
      <c r="E2125" s="228">
        <v>10</v>
      </c>
      <c r="F2125" s="585">
        <f t="shared" si="306"/>
        <v>140.69999999999999</v>
      </c>
      <c r="G2125" s="592" t="s">
        <v>5172</v>
      </c>
      <c r="H2125" s="592" t="s">
        <v>812</v>
      </c>
      <c r="I2125" s="520" t="s">
        <v>11649</v>
      </c>
      <c r="J2125" s="421" t="s">
        <v>753</v>
      </c>
      <c r="K2125" s="520" t="s">
        <v>741</v>
      </c>
    </row>
    <row r="2126" spans="1:11" s="341" customFormat="1">
      <c r="A2126" s="1737"/>
      <c r="B2126" s="627" t="s">
        <v>958</v>
      </c>
      <c r="C2126" s="209">
        <v>3239</v>
      </c>
      <c r="D2126" s="244">
        <f t="shared" si="305"/>
        <v>786.83465511940301</v>
      </c>
      <c r="E2126" s="228">
        <v>15</v>
      </c>
      <c r="F2126" s="585">
        <f t="shared" si="306"/>
        <v>801.84</v>
      </c>
      <c r="G2126" s="592" t="s">
        <v>1246</v>
      </c>
      <c r="H2126" s="592" t="s">
        <v>956</v>
      </c>
      <c r="I2126" s="520" t="s">
        <v>11649</v>
      </c>
      <c r="J2126" s="421" t="s">
        <v>753</v>
      </c>
      <c r="K2126" s="520" t="s">
        <v>741</v>
      </c>
    </row>
    <row r="2127" spans="1:11" s="341" customFormat="1">
      <c r="A2127" s="1737"/>
      <c r="B2127" s="394" t="s">
        <v>7231</v>
      </c>
      <c r="C2127" s="389">
        <v>729</v>
      </c>
      <c r="D2127" s="388">
        <f t="shared" si="305"/>
        <v>177.09245556716417</v>
      </c>
      <c r="E2127" s="386">
        <f>D2127/8</f>
        <v>22.136556945895521</v>
      </c>
      <c r="F2127" s="582">
        <f t="shared" si="306"/>
        <v>199.23</v>
      </c>
      <c r="G2127" s="394" t="s">
        <v>7252</v>
      </c>
      <c r="H2127" s="592" t="s">
        <v>7233</v>
      </c>
      <c r="I2127" s="520" t="s">
        <v>11649</v>
      </c>
      <c r="J2127" s="421" t="s">
        <v>753</v>
      </c>
      <c r="K2127" s="520" t="s">
        <v>741</v>
      </c>
    </row>
    <row r="2128" spans="1:11" s="341" customFormat="1">
      <c r="A2128" s="1737"/>
      <c r="B2128" s="394" t="s">
        <v>7234</v>
      </c>
      <c r="C2128" s="389">
        <v>334</v>
      </c>
      <c r="D2128" s="388">
        <f t="shared" si="305"/>
        <v>81.137009820895514</v>
      </c>
      <c r="E2128" s="386">
        <f>D2128/8</f>
        <v>10.142126227611939</v>
      </c>
      <c r="F2128" s="582">
        <f t="shared" si="306"/>
        <v>91.28</v>
      </c>
      <c r="G2128" s="394" t="s">
        <v>7253</v>
      </c>
      <c r="H2128" s="592" t="s">
        <v>7236</v>
      </c>
      <c r="I2128" s="520" t="s">
        <v>11649</v>
      </c>
      <c r="J2128" s="421" t="s">
        <v>753</v>
      </c>
      <c r="K2128" s="520" t="s">
        <v>741</v>
      </c>
    </row>
    <row r="2129" spans="1:11" s="341" customFormat="1">
      <c r="A2129" s="1737"/>
      <c r="B2129" s="394" t="s">
        <v>7237</v>
      </c>
      <c r="C2129" s="389">
        <v>633</v>
      </c>
      <c r="D2129" s="388">
        <f t="shared" si="305"/>
        <v>153.77163837313432</v>
      </c>
      <c r="E2129" s="386">
        <f>D2129/8</f>
        <v>19.22145479664179</v>
      </c>
      <c r="F2129" s="582">
        <f t="shared" si="306"/>
        <v>173</v>
      </c>
      <c r="G2129" s="394" t="s">
        <v>7238</v>
      </c>
      <c r="H2129" s="592" t="s">
        <v>7239</v>
      </c>
      <c r="I2129" s="520" t="s">
        <v>11649</v>
      </c>
      <c r="J2129" s="421" t="s">
        <v>753</v>
      </c>
      <c r="K2129" s="520" t="s">
        <v>741</v>
      </c>
    </row>
    <row r="2130" spans="1:11" s="341" customFormat="1">
      <c r="A2130" s="1737"/>
      <c r="B2130" s="394" t="s">
        <v>7240</v>
      </c>
      <c r="C2130" s="389">
        <v>110</v>
      </c>
      <c r="D2130" s="388">
        <f t="shared" si="305"/>
        <v>26.721769701492537</v>
      </c>
      <c r="E2130" s="386">
        <f>D2130/8</f>
        <v>3.3402212126865671</v>
      </c>
      <c r="F2130" s="582">
        <f t="shared" si="306"/>
        <v>30.07</v>
      </c>
      <c r="G2130" s="394" t="s">
        <v>7241</v>
      </c>
      <c r="H2130" s="592" t="s">
        <v>7242</v>
      </c>
      <c r="I2130" s="520" t="s">
        <v>11649</v>
      </c>
      <c r="J2130" s="421" t="s">
        <v>753</v>
      </c>
      <c r="K2130" s="520" t="s">
        <v>741</v>
      </c>
    </row>
    <row r="2131" spans="1:11" s="341" customFormat="1">
      <c r="A2131" s="1737"/>
      <c r="B2131" s="636" t="s">
        <v>2898</v>
      </c>
      <c r="C2131" s="637">
        <v>510</v>
      </c>
      <c r="D2131" s="243">
        <f t="shared" si="305"/>
        <v>123.89184134328356</v>
      </c>
      <c r="E2131" s="228">
        <v>80</v>
      </c>
      <c r="F2131" s="638">
        <f t="shared" si="306"/>
        <v>203.89999999999998</v>
      </c>
      <c r="G2131" s="592" t="s">
        <v>2906</v>
      </c>
      <c r="H2131" s="592" t="s">
        <v>2406</v>
      </c>
      <c r="I2131" s="520" t="s">
        <v>11649</v>
      </c>
      <c r="J2131" s="421" t="s">
        <v>753</v>
      </c>
      <c r="K2131" s="520" t="s">
        <v>741</v>
      </c>
    </row>
    <row r="2132" spans="1:11" s="341" customFormat="1">
      <c r="A2132" s="1737"/>
      <c r="B2132" s="640" t="s">
        <v>2921</v>
      </c>
      <c r="C2132" s="637">
        <v>1369</v>
      </c>
      <c r="D2132" s="243">
        <f t="shared" si="305"/>
        <v>332.56457019402984</v>
      </c>
      <c r="E2132" s="228">
        <v>20</v>
      </c>
      <c r="F2132" s="638">
        <f t="shared" si="306"/>
        <v>352.57</v>
      </c>
      <c r="G2132" s="643" t="s">
        <v>2923</v>
      </c>
      <c r="H2132" s="592" t="s">
        <v>2415</v>
      </c>
      <c r="I2132" s="520" t="s">
        <v>11649</v>
      </c>
      <c r="J2132" s="421" t="s">
        <v>753</v>
      </c>
      <c r="K2132" s="520" t="s">
        <v>741</v>
      </c>
    </row>
    <row r="2133" spans="1:11" s="341" customFormat="1">
      <c r="A2133" s="1737"/>
      <c r="B2133" s="642" t="s">
        <v>2922</v>
      </c>
      <c r="C2133" s="637">
        <v>1443</v>
      </c>
      <c r="D2133" s="243">
        <f t="shared" si="305"/>
        <v>350.54103344776121</v>
      </c>
      <c r="E2133" s="228">
        <v>20</v>
      </c>
      <c r="F2133" s="638">
        <f t="shared" si="306"/>
        <v>370.55</v>
      </c>
      <c r="G2133" s="643" t="s">
        <v>2924</v>
      </c>
      <c r="H2133" s="592" t="s">
        <v>2917</v>
      </c>
      <c r="I2133" s="520" t="s">
        <v>11649</v>
      </c>
      <c r="J2133" s="421" t="s">
        <v>753</v>
      </c>
      <c r="K2133" s="520" t="s">
        <v>741</v>
      </c>
    </row>
    <row r="2134" spans="1:11" s="267" customFormat="1" ht="12" customHeight="1">
      <c r="A2134" s="635"/>
      <c r="B2134" s="643"/>
      <c r="C2134" s="637" t="s">
        <v>2058</v>
      </c>
      <c r="D2134" s="243"/>
      <c r="E2134" s="228"/>
      <c r="F2134" s="638"/>
      <c r="G2134" s="338"/>
      <c r="H2134" s="643"/>
      <c r="I2134" s="639"/>
      <c r="J2134" s="635"/>
      <c r="K2134" s="639"/>
    </row>
    <row r="2135" spans="1:11" s="1746" customFormat="1" ht="12" customHeight="1">
      <c r="A2135" s="635"/>
      <c r="B2135" s="643"/>
      <c r="C2135" s="637" t="s">
        <v>2058</v>
      </c>
      <c r="D2135" s="243"/>
      <c r="E2135" s="228"/>
      <c r="F2135" s="638"/>
      <c r="G2135" s="338"/>
      <c r="H2135" s="643"/>
      <c r="I2135" s="639"/>
      <c r="J2135" s="635"/>
      <c r="K2135" s="639"/>
    </row>
    <row r="2136" spans="1:11" s="1746" customFormat="1" ht="12" customHeight="1">
      <c r="A2136" s="635"/>
      <c r="B2136" s="643"/>
      <c r="C2136" s="637" t="s">
        <v>2058</v>
      </c>
      <c r="D2136" s="243"/>
      <c r="E2136" s="228"/>
      <c r="F2136" s="638"/>
      <c r="G2136" s="338"/>
      <c r="H2136" s="643"/>
      <c r="I2136" s="639"/>
      <c r="J2136" s="635"/>
      <c r="K2136" s="639"/>
    </row>
    <row r="2137" spans="1:11" s="1746" customFormat="1" ht="12" customHeight="1">
      <c r="A2137" s="635"/>
      <c r="B2137" s="643"/>
      <c r="C2137" s="637" t="s">
        <v>2058</v>
      </c>
      <c r="D2137" s="243"/>
      <c r="E2137" s="228"/>
      <c r="F2137" s="638"/>
      <c r="G2137" s="338"/>
      <c r="H2137" s="643"/>
      <c r="I2137" s="639"/>
      <c r="J2137" s="635"/>
      <c r="K2137" s="639"/>
    </row>
    <row r="2138" spans="1:11" s="106" customFormat="1">
      <c r="B2138" s="1747" t="s">
        <v>7254</v>
      </c>
      <c r="C2138" s="209" t="s">
        <v>2058</v>
      </c>
      <c r="D2138" s="244"/>
      <c r="E2138" s="228"/>
      <c r="F2138" s="585"/>
      <c r="G2138" s="338"/>
      <c r="H2138" s="2015"/>
      <c r="I2138" s="520"/>
      <c r="J2138" s="589"/>
      <c r="K2138" s="520"/>
    </row>
    <row r="2139" spans="1:11" s="106" customFormat="1">
      <c r="B2139" s="1748" t="s">
        <v>7255</v>
      </c>
      <c r="C2139" s="209" t="s">
        <v>2058</v>
      </c>
      <c r="D2139" s="244"/>
      <c r="E2139" s="228"/>
      <c r="F2139" s="585"/>
      <c r="G2139" s="338"/>
      <c r="H2139" s="2015"/>
      <c r="I2139" s="520"/>
      <c r="J2139" s="589"/>
      <c r="K2139" s="520"/>
    </row>
    <row r="2140" spans="1:11" s="106" customFormat="1">
      <c r="B2140" s="1748"/>
      <c r="C2140" s="209" t="s">
        <v>2058</v>
      </c>
      <c r="D2140" s="244"/>
      <c r="E2140" s="228"/>
      <c r="F2140" s="585"/>
      <c r="G2140" s="338"/>
      <c r="H2140" s="2015"/>
      <c r="I2140" s="520"/>
      <c r="J2140" s="589"/>
      <c r="K2140" s="520"/>
    </row>
    <row r="2141" spans="1:11" s="106" customFormat="1">
      <c r="B2141" s="1748"/>
      <c r="C2141" s="209" t="s">
        <v>2058</v>
      </c>
      <c r="D2141" s="244"/>
      <c r="E2141" s="228"/>
      <c r="F2141" s="585"/>
      <c r="G2141" s="338"/>
      <c r="H2141" s="2015"/>
      <c r="I2141" s="520"/>
      <c r="J2141" s="589"/>
      <c r="K2141" s="520"/>
    </row>
    <row r="2142" spans="1:11" s="341" customFormat="1">
      <c r="A2142" s="421"/>
      <c r="B2142" s="338" t="s">
        <v>2261</v>
      </c>
      <c r="C2142" s="209">
        <v>387</v>
      </c>
      <c r="D2142" s="244">
        <f>C2142*(1-VLOOKUP(I2142,descuentos,6,FALSE))*fcl/IF(dol_sol="dólar", TC,1)</f>
        <v>94.012044313432824</v>
      </c>
      <c r="E2142" s="228">
        <f>D2142/8</f>
        <v>11.751505539179103</v>
      </c>
      <c r="F2142" s="585">
        <f>ROUNDUP(D2142+E2142,2)</f>
        <v>105.77000000000001</v>
      </c>
      <c r="G2142" s="338" t="s">
        <v>9223</v>
      </c>
      <c r="H2142" s="592" t="s">
        <v>2262</v>
      </c>
      <c r="I2142" s="520" t="s">
        <v>11649</v>
      </c>
      <c r="J2142" s="421" t="s">
        <v>753</v>
      </c>
      <c r="K2142" s="520" t="s">
        <v>741</v>
      </c>
    </row>
    <row r="2143" spans="1:11" s="341" customFormat="1">
      <c r="A2143" s="421"/>
      <c r="B2143" s="338" t="s">
        <v>2265</v>
      </c>
      <c r="C2143" s="209">
        <v>823</v>
      </c>
      <c r="D2143" s="244">
        <f>C2143*(1-VLOOKUP(I2143,descuentos,6,FALSE))*fcl/IF(dol_sol="dólar", TC,1)</f>
        <v>199.92742240298506</v>
      </c>
      <c r="E2143" s="228">
        <f>D2143/8</f>
        <v>24.990927800373132</v>
      </c>
      <c r="F2143" s="585">
        <f>ROUNDUP(D2143+E2143,2)</f>
        <v>224.92</v>
      </c>
      <c r="G2143" s="338" t="s">
        <v>9224</v>
      </c>
      <c r="H2143" s="592" t="s">
        <v>2266</v>
      </c>
      <c r="I2143" s="520" t="s">
        <v>11649</v>
      </c>
      <c r="J2143" s="421" t="s">
        <v>753</v>
      </c>
      <c r="K2143" s="520" t="s">
        <v>741</v>
      </c>
    </row>
    <row r="2144" spans="1:11" s="341" customFormat="1">
      <c r="A2144" s="421"/>
      <c r="B2144" s="338"/>
      <c r="C2144" s="209" t="s">
        <v>2058</v>
      </c>
      <c r="D2144" s="244"/>
      <c r="E2144" s="228"/>
      <c r="F2144" s="585"/>
      <c r="G2144" s="338"/>
      <c r="H2144" s="592"/>
      <c r="I2144" s="520"/>
      <c r="J2144" s="421"/>
      <c r="K2144" s="520"/>
    </row>
    <row r="2145" spans="1:11" s="341" customFormat="1">
      <c r="A2145" s="421"/>
      <c r="B2145" s="394" t="s">
        <v>2263</v>
      </c>
      <c r="C2145" s="389">
        <v>501</v>
      </c>
      <c r="D2145" s="244">
        <f>C2145*(1-VLOOKUP(I2145,descuentos,6,FALSE))*fcl/IF(dol_sol="dólar", TC,1)</f>
        <v>121.70551473134327</v>
      </c>
      <c r="E2145" s="228">
        <f>D2145/8</f>
        <v>15.213189341417909</v>
      </c>
      <c r="F2145" s="585">
        <f>ROUNDUP(D2145+E2145,2)</f>
        <v>136.91999999999999</v>
      </c>
      <c r="G2145" s="394" t="s">
        <v>9225</v>
      </c>
      <c r="H2145" s="592" t="s">
        <v>2264</v>
      </c>
      <c r="I2145" s="520" t="s">
        <v>11649</v>
      </c>
      <c r="J2145" s="421" t="s">
        <v>753</v>
      </c>
      <c r="K2145" s="520" t="s">
        <v>741</v>
      </c>
    </row>
    <row r="2146" spans="1:11" s="341" customFormat="1">
      <c r="A2146" s="421"/>
      <c r="B2146" s="394" t="s">
        <v>2267</v>
      </c>
      <c r="C2146" s="389">
        <v>1071</v>
      </c>
      <c r="D2146" s="244">
        <f>C2146*(1-VLOOKUP(I2146,descuentos,6,FALSE))*fcl/IF(dol_sol="dólar", TC,1)</f>
        <v>260.17286682089548</v>
      </c>
      <c r="E2146" s="228">
        <f>D2146/8</f>
        <v>32.521608352611935</v>
      </c>
      <c r="F2146" s="585">
        <f>ROUNDUP(D2146+E2146,2)</f>
        <v>292.7</v>
      </c>
      <c r="G2146" s="394" t="s">
        <v>9226</v>
      </c>
      <c r="H2146" s="592" t="s">
        <v>2268</v>
      </c>
      <c r="I2146" s="520" t="s">
        <v>11649</v>
      </c>
      <c r="J2146" s="421" t="s">
        <v>753</v>
      </c>
      <c r="K2146" s="520" t="s">
        <v>741</v>
      </c>
    </row>
    <row r="2147" spans="1:11" s="341" customFormat="1">
      <c r="A2147" s="421"/>
      <c r="B2147" s="338"/>
      <c r="C2147" s="209" t="s">
        <v>2058</v>
      </c>
      <c r="D2147" s="244"/>
      <c r="E2147" s="228"/>
      <c r="F2147" s="585"/>
      <c r="G2147" s="338"/>
      <c r="H2147" s="592"/>
      <c r="I2147" s="520"/>
      <c r="J2147" s="421"/>
      <c r="K2147" s="520"/>
    </row>
    <row r="2148" spans="1:11" s="341" customFormat="1">
      <c r="A2148" s="421"/>
      <c r="B2148" s="338" t="s">
        <v>10267</v>
      </c>
      <c r="C2148" s="209">
        <v>2347</v>
      </c>
      <c r="D2148" s="244">
        <f>C2148*(1-VLOOKUP(I2148,descuentos,6,FALSE))*fcl/IF(dol_sol="dólar", TC,1)</f>
        <v>570.14539535820893</v>
      </c>
      <c r="E2148" s="228">
        <f>D2148/8</f>
        <v>71.268174419776116</v>
      </c>
      <c r="F2148" s="585">
        <f>ROUNDUP(D2148+E2148,2)</f>
        <v>641.41999999999996</v>
      </c>
      <c r="G2148" s="338" t="s">
        <v>9228</v>
      </c>
      <c r="H2148" s="592" t="s">
        <v>9229</v>
      </c>
      <c r="I2148" s="520" t="s">
        <v>11649</v>
      </c>
      <c r="J2148" s="421" t="s">
        <v>753</v>
      </c>
      <c r="K2148" s="520" t="s">
        <v>741</v>
      </c>
    </row>
    <row r="2149" spans="1:11" s="341" customFormat="1">
      <c r="A2149" s="421"/>
      <c r="B2149" s="338" t="s">
        <v>7256</v>
      </c>
      <c r="C2149" s="209">
        <v>2607</v>
      </c>
      <c r="D2149" s="244">
        <f t="shared" ref="D2149:D2156" si="307">C2149*(1-VLOOKUP(I2149,descuentos,6,FALSE))*fcl/IF(dol_sol="dólar", TC,1)</f>
        <v>633.30594192537308</v>
      </c>
      <c r="E2149" s="228">
        <f t="shared" ref="E2149:E2156" si="308">D2149/8</f>
        <v>79.163242740671635</v>
      </c>
      <c r="F2149" s="585">
        <f t="shared" ref="F2149:F2156" si="309">ROUNDUP(D2149+E2149,2)</f>
        <v>712.47</v>
      </c>
      <c r="G2149" s="338" t="s">
        <v>7257</v>
      </c>
      <c r="H2149" s="592" t="s">
        <v>7258</v>
      </c>
      <c r="I2149" s="520" t="s">
        <v>11649</v>
      </c>
      <c r="J2149" s="421" t="s">
        <v>753</v>
      </c>
      <c r="K2149" s="520" t="s">
        <v>741</v>
      </c>
    </row>
    <row r="2150" spans="1:11" s="341" customFormat="1">
      <c r="A2150" s="421"/>
      <c r="B2150" s="338" t="s">
        <v>7259</v>
      </c>
      <c r="C2150" s="209">
        <v>3003</v>
      </c>
      <c r="D2150" s="244">
        <f t="shared" si="307"/>
        <v>729.50431285074626</v>
      </c>
      <c r="E2150" s="228">
        <f t="shared" si="308"/>
        <v>91.188039106343282</v>
      </c>
      <c r="F2150" s="585">
        <f t="shared" si="309"/>
        <v>820.7</v>
      </c>
      <c r="G2150" s="338" t="s">
        <v>7260</v>
      </c>
      <c r="H2150" s="592" t="s">
        <v>7261</v>
      </c>
      <c r="I2150" s="520" t="s">
        <v>11649</v>
      </c>
      <c r="J2150" s="421" t="s">
        <v>753</v>
      </c>
      <c r="K2150" s="520" t="s">
        <v>741</v>
      </c>
    </row>
    <row r="2151" spans="1:11" s="341" customFormat="1">
      <c r="A2151" s="421"/>
      <c r="B2151" s="338" t="s">
        <v>7262</v>
      </c>
      <c r="C2151" s="209">
        <v>2831</v>
      </c>
      <c r="D2151" s="244">
        <f t="shared" si="307"/>
        <v>687.72118204477601</v>
      </c>
      <c r="E2151" s="228">
        <f t="shared" si="308"/>
        <v>85.965147755597002</v>
      </c>
      <c r="F2151" s="585">
        <f t="shared" si="309"/>
        <v>773.68999999999994</v>
      </c>
      <c r="G2151" s="338" t="s">
        <v>7263</v>
      </c>
      <c r="H2151" s="592" t="s">
        <v>7264</v>
      </c>
      <c r="I2151" s="520" t="s">
        <v>11649</v>
      </c>
      <c r="J2151" s="421" t="s">
        <v>753</v>
      </c>
      <c r="K2151" s="520" t="s">
        <v>741</v>
      </c>
    </row>
    <row r="2152" spans="1:11" s="341" customFormat="1">
      <c r="A2152" s="421"/>
      <c r="B2152" s="338" t="s">
        <v>7265</v>
      </c>
      <c r="C2152" s="209">
        <v>4330</v>
      </c>
      <c r="D2152" s="244">
        <f t="shared" si="307"/>
        <v>1051.8660255223881</v>
      </c>
      <c r="E2152" s="228">
        <f t="shared" si="308"/>
        <v>131.48325319029851</v>
      </c>
      <c r="F2152" s="585">
        <f t="shared" si="309"/>
        <v>1183.3499999999999</v>
      </c>
      <c r="G2152" s="338" t="s">
        <v>7266</v>
      </c>
      <c r="H2152" s="592" t="s">
        <v>7267</v>
      </c>
      <c r="I2152" s="520" t="s">
        <v>11649</v>
      </c>
      <c r="J2152" s="421" t="s">
        <v>753</v>
      </c>
      <c r="K2152" s="520" t="s">
        <v>741</v>
      </c>
    </row>
    <row r="2153" spans="1:11" s="341" customFormat="1">
      <c r="A2153" s="421"/>
      <c r="B2153" s="338" t="s">
        <v>7268</v>
      </c>
      <c r="C2153" s="209">
        <v>4531</v>
      </c>
      <c r="D2153" s="244">
        <f t="shared" si="307"/>
        <v>1100.6939865223881</v>
      </c>
      <c r="E2153" s="228">
        <f t="shared" si="308"/>
        <v>137.58674831529851</v>
      </c>
      <c r="F2153" s="585">
        <f t="shared" si="309"/>
        <v>1238.29</v>
      </c>
      <c r="G2153" s="338" t="s">
        <v>7269</v>
      </c>
      <c r="H2153" s="592" t="s">
        <v>7270</v>
      </c>
      <c r="I2153" s="520" t="s">
        <v>11649</v>
      </c>
      <c r="J2153" s="421" t="s">
        <v>753</v>
      </c>
      <c r="K2153" s="520" t="s">
        <v>741</v>
      </c>
    </row>
    <row r="2154" spans="1:11" s="341" customFormat="1">
      <c r="A2154" s="421"/>
      <c r="B2154" s="338" t="s">
        <v>7271</v>
      </c>
      <c r="C2154" s="209">
        <v>4947</v>
      </c>
      <c r="D2154" s="244">
        <f t="shared" si="307"/>
        <v>1201.7508610298505</v>
      </c>
      <c r="E2154" s="228">
        <f t="shared" si="308"/>
        <v>150.21885762873131</v>
      </c>
      <c r="F2154" s="585">
        <f t="shared" si="309"/>
        <v>1351.97</v>
      </c>
      <c r="G2154" s="338" t="s">
        <v>7272</v>
      </c>
      <c r="H2154" s="592" t="s">
        <v>7273</v>
      </c>
      <c r="I2154" s="520" t="s">
        <v>11649</v>
      </c>
      <c r="J2154" s="421" t="s">
        <v>753</v>
      </c>
      <c r="K2154" s="520" t="s">
        <v>741</v>
      </c>
    </row>
    <row r="2155" spans="1:11" s="341" customFormat="1">
      <c r="A2155" s="421"/>
      <c r="B2155" s="338" t="s">
        <v>7274</v>
      </c>
      <c r="C2155" s="209">
        <v>5854</v>
      </c>
      <c r="D2155" s="244">
        <f t="shared" si="307"/>
        <v>1422.0839984776119</v>
      </c>
      <c r="E2155" s="228">
        <f t="shared" si="308"/>
        <v>177.76049980970149</v>
      </c>
      <c r="F2155" s="585">
        <f t="shared" si="309"/>
        <v>1599.85</v>
      </c>
      <c r="G2155" s="338" t="s">
        <v>7275</v>
      </c>
      <c r="H2155" s="592" t="s">
        <v>7276</v>
      </c>
      <c r="I2155" s="520" t="s">
        <v>11649</v>
      </c>
      <c r="J2155" s="421" t="s">
        <v>753</v>
      </c>
      <c r="K2155" s="520" t="s">
        <v>741</v>
      </c>
    </row>
    <row r="2156" spans="1:11" s="341" customFormat="1">
      <c r="A2156" s="421"/>
      <c r="B2156" s="338" t="s">
        <v>7277</v>
      </c>
      <c r="C2156" s="209">
        <v>8121</v>
      </c>
      <c r="D2156" s="244">
        <f t="shared" si="307"/>
        <v>1972.7953795074627</v>
      </c>
      <c r="E2156" s="228">
        <f t="shared" si="308"/>
        <v>246.59942243843284</v>
      </c>
      <c r="F2156" s="585">
        <f t="shared" si="309"/>
        <v>2219.4</v>
      </c>
      <c r="G2156" s="338" t="s">
        <v>7278</v>
      </c>
      <c r="H2156" s="592" t="s">
        <v>7279</v>
      </c>
      <c r="I2156" s="520" t="s">
        <v>11649</v>
      </c>
      <c r="J2156" s="421" t="s">
        <v>753</v>
      </c>
      <c r="K2156" s="520" t="s">
        <v>741</v>
      </c>
    </row>
    <row r="2157" spans="1:11" s="341" customFormat="1">
      <c r="A2157" s="421"/>
      <c r="B2157" s="338"/>
      <c r="C2157" s="209" t="s">
        <v>2058</v>
      </c>
      <c r="D2157" s="244"/>
      <c r="E2157" s="228"/>
      <c r="F2157" s="585"/>
      <c r="G2157" s="338"/>
      <c r="H2157" s="592"/>
      <c r="I2157" s="520"/>
      <c r="J2157" s="421"/>
      <c r="K2157" s="520"/>
    </row>
    <row r="2158" spans="1:11" s="341" customFormat="1">
      <c r="A2158" s="421"/>
      <c r="B2158" s="394" t="s">
        <v>9227</v>
      </c>
      <c r="C2158" s="389">
        <v>3051</v>
      </c>
      <c r="D2158" s="388">
        <f t="shared" ref="D2158:D2166" si="310">C2158*(1-VLOOKUP(I2158,descuentos,6,FALSE))*fcl/IF(dol_sol="dólar", TC,1)</f>
        <v>741.16472144776105</v>
      </c>
      <c r="E2158" s="386">
        <f t="shared" ref="E2158:E2166" si="311">D2158/8</f>
        <v>92.645590180970132</v>
      </c>
      <c r="F2158" s="582">
        <f t="shared" ref="F2158:F2166" si="312">ROUNDUP(D2158+E2158,2)</f>
        <v>833.81999999999994</v>
      </c>
      <c r="G2158" s="394" t="s">
        <v>9230</v>
      </c>
      <c r="H2158" s="580" t="s">
        <v>9231</v>
      </c>
      <c r="I2158" s="520" t="s">
        <v>11649</v>
      </c>
      <c r="J2158" s="421" t="s">
        <v>753</v>
      </c>
      <c r="K2158" s="520" t="s">
        <v>741</v>
      </c>
    </row>
    <row r="2159" spans="1:11" s="341" customFormat="1">
      <c r="A2159" s="421"/>
      <c r="B2159" s="394" t="s">
        <v>7295</v>
      </c>
      <c r="C2159" s="389">
        <v>3389</v>
      </c>
      <c r="D2159" s="388">
        <f t="shared" si="310"/>
        <v>823.27343198507458</v>
      </c>
      <c r="E2159" s="386">
        <f t="shared" si="311"/>
        <v>102.90917899813432</v>
      </c>
      <c r="F2159" s="582">
        <f t="shared" si="312"/>
        <v>926.18999999999994</v>
      </c>
      <c r="G2159" s="394" t="s">
        <v>7296</v>
      </c>
      <c r="H2159" s="580" t="s">
        <v>7297</v>
      </c>
      <c r="I2159" s="520" t="s">
        <v>11649</v>
      </c>
      <c r="J2159" s="421" t="s">
        <v>753</v>
      </c>
      <c r="K2159" s="520" t="s">
        <v>741</v>
      </c>
    </row>
    <row r="2160" spans="1:11" s="341" customFormat="1">
      <c r="A2160" s="421"/>
      <c r="B2160" s="394" t="s">
        <v>7298</v>
      </c>
      <c r="C2160" s="389">
        <v>3903</v>
      </c>
      <c r="D2160" s="388">
        <f t="shared" si="310"/>
        <v>948.13697404477603</v>
      </c>
      <c r="E2160" s="386">
        <f t="shared" si="311"/>
        <v>118.517121755597</v>
      </c>
      <c r="F2160" s="582">
        <f t="shared" si="312"/>
        <v>1066.6600000000001</v>
      </c>
      <c r="G2160" s="394" t="s">
        <v>7299</v>
      </c>
      <c r="H2160" s="580" t="s">
        <v>7300</v>
      </c>
      <c r="I2160" s="520" t="s">
        <v>11649</v>
      </c>
      <c r="J2160" s="421" t="s">
        <v>753</v>
      </c>
      <c r="K2160" s="520" t="s">
        <v>741</v>
      </c>
    </row>
    <row r="2161" spans="1:11" s="341" customFormat="1">
      <c r="A2161" s="421"/>
      <c r="B2161" s="394" t="s">
        <v>7301</v>
      </c>
      <c r="C2161" s="389">
        <v>3540</v>
      </c>
      <c r="D2161" s="388">
        <f t="shared" si="310"/>
        <v>859.95513402985068</v>
      </c>
      <c r="E2161" s="386">
        <f t="shared" si="311"/>
        <v>107.49439175373134</v>
      </c>
      <c r="F2161" s="582">
        <f t="shared" si="312"/>
        <v>967.45</v>
      </c>
      <c r="G2161" s="394" t="s">
        <v>7302</v>
      </c>
      <c r="H2161" s="580" t="s">
        <v>7303</v>
      </c>
      <c r="I2161" s="520" t="s">
        <v>11649</v>
      </c>
      <c r="J2161" s="421" t="s">
        <v>753</v>
      </c>
      <c r="K2161" s="520" t="s">
        <v>741</v>
      </c>
    </row>
    <row r="2162" spans="1:11" s="341" customFormat="1">
      <c r="A2162" s="421"/>
      <c r="B2162" s="394" t="s">
        <v>7304</v>
      </c>
      <c r="C2162" s="389">
        <v>5411</v>
      </c>
      <c r="D2162" s="388">
        <f t="shared" si="310"/>
        <v>1314.4681441343282</v>
      </c>
      <c r="E2162" s="386">
        <f t="shared" si="311"/>
        <v>164.30851801679103</v>
      </c>
      <c r="F2162" s="582">
        <f t="shared" si="312"/>
        <v>1478.78</v>
      </c>
      <c r="G2162" s="394" t="s">
        <v>7305</v>
      </c>
      <c r="H2162" s="580" t="s">
        <v>7306</v>
      </c>
      <c r="I2162" s="520" t="s">
        <v>11649</v>
      </c>
      <c r="J2162" s="421" t="s">
        <v>753</v>
      </c>
      <c r="K2162" s="520" t="s">
        <v>741</v>
      </c>
    </row>
    <row r="2163" spans="1:11" s="341" customFormat="1">
      <c r="A2163" s="421"/>
      <c r="B2163" s="394" t="s">
        <v>7307</v>
      </c>
      <c r="C2163" s="389">
        <v>5663</v>
      </c>
      <c r="D2163" s="388">
        <f t="shared" si="310"/>
        <v>1375.6852892686563</v>
      </c>
      <c r="E2163" s="386">
        <f t="shared" si="311"/>
        <v>171.96066115858204</v>
      </c>
      <c r="F2163" s="582">
        <f t="shared" si="312"/>
        <v>1547.65</v>
      </c>
      <c r="G2163" s="394" t="s">
        <v>7308</v>
      </c>
      <c r="H2163" s="580" t="s">
        <v>7309</v>
      </c>
      <c r="I2163" s="520" t="s">
        <v>11649</v>
      </c>
      <c r="J2163" s="421" t="s">
        <v>753</v>
      </c>
      <c r="K2163" s="520" t="s">
        <v>741</v>
      </c>
    </row>
    <row r="2164" spans="1:11" s="341" customFormat="1">
      <c r="A2164" s="421"/>
      <c r="B2164" s="394" t="s">
        <v>7310</v>
      </c>
      <c r="C2164" s="389">
        <v>6330</v>
      </c>
      <c r="D2164" s="388">
        <f t="shared" si="310"/>
        <v>1537.7163837313433</v>
      </c>
      <c r="E2164" s="386">
        <f t="shared" si="311"/>
        <v>192.21454796641791</v>
      </c>
      <c r="F2164" s="582">
        <f t="shared" si="312"/>
        <v>1729.94</v>
      </c>
      <c r="G2164" s="394" t="s">
        <v>7311</v>
      </c>
      <c r="H2164" s="580" t="s">
        <v>7312</v>
      </c>
      <c r="I2164" s="520" t="s">
        <v>11649</v>
      </c>
      <c r="J2164" s="421" t="s">
        <v>753</v>
      </c>
      <c r="K2164" s="520" t="s">
        <v>741</v>
      </c>
    </row>
    <row r="2165" spans="1:11" s="341" customFormat="1">
      <c r="A2165" s="421"/>
      <c r="B2165" s="394" t="s">
        <v>7313</v>
      </c>
      <c r="C2165" s="389">
        <v>7493</v>
      </c>
      <c r="D2165" s="388">
        <f t="shared" si="310"/>
        <v>1820.2383670298507</v>
      </c>
      <c r="E2165" s="386">
        <f t="shared" si="311"/>
        <v>227.52979587873133</v>
      </c>
      <c r="F2165" s="582">
        <f t="shared" si="312"/>
        <v>2047.77</v>
      </c>
      <c r="G2165" s="394" t="s">
        <v>7314</v>
      </c>
      <c r="H2165" s="580" t="s">
        <v>7315</v>
      </c>
      <c r="I2165" s="520" t="s">
        <v>11649</v>
      </c>
      <c r="J2165" s="421" t="s">
        <v>753</v>
      </c>
      <c r="K2165" s="520" t="s">
        <v>741</v>
      </c>
    </row>
    <row r="2166" spans="1:11" s="341" customFormat="1">
      <c r="A2166" s="421"/>
      <c r="B2166" s="394" t="s">
        <v>7316</v>
      </c>
      <c r="C2166" s="389">
        <v>10394</v>
      </c>
      <c r="D2166" s="388">
        <f t="shared" si="310"/>
        <v>2524.96431161194</v>
      </c>
      <c r="E2166" s="386">
        <f t="shared" si="311"/>
        <v>315.62053895149251</v>
      </c>
      <c r="F2166" s="582">
        <f t="shared" si="312"/>
        <v>2840.59</v>
      </c>
      <c r="G2166" s="394" t="s">
        <v>7317</v>
      </c>
      <c r="H2166" s="580" t="s">
        <v>7318</v>
      </c>
      <c r="I2166" s="520" t="s">
        <v>11649</v>
      </c>
      <c r="J2166" s="421" t="s">
        <v>753</v>
      </c>
      <c r="K2166" s="520" t="s">
        <v>741</v>
      </c>
    </row>
    <row r="2167" spans="1:11" s="341" customFormat="1">
      <c r="A2167" s="421"/>
      <c r="B2167" s="338"/>
      <c r="C2167" s="209" t="s">
        <v>2058</v>
      </c>
      <c r="D2167" s="244"/>
      <c r="E2167" s="228"/>
      <c r="F2167" s="585"/>
      <c r="G2167" s="338"/>
      <c r="H2167" s="592"/>
      <c r="I2167" s="520"/>
      <c r="J2167" s="421"/>
      <c r="K2167" s="520"/>
    </row>
    <row r="2168" spans="1:11" s="341" customFormat="1">
      <c r="A2168" s="421"/>
      <c r="B2168" s="338" t="s">
        <v>7280</v>
      </c>
      <c r="C2168" s="209">
        <v>11780</v>
      </c>
      <c r="D2168" s="244">
        <f>C2168*(1-VLOOKUP(I2168,descuentos,6,FALSE))*fcl/IF(dol_sol="dólar", TC,1)</f>
        <v>2861.6586098507464</v>
      </c>
      <c r="E2168" s="228">
        <f>D2168/8</f>
        <v>357.7073262313433</v>
      </c>
      <c r="F2168" s="585">
        <f>ROUNDUP(D2168+E2168,2)</f>
        <v>3219.3700000000003</v>
      </c>
      <c r="G2168" s="338" t="s">
        <v>7281</v>
      </c>
      <c r="H2168" s="592" t="s">
        <v>7282</v>
      </c>
      <c r="I2168" s="520" t="s">
        <v>11649</v>
      </c>
      <c r="J2168" s="421" t="s">
        <v>753</v>
      </c>
      <c r="K2168" s="520" t="s">
        <v>741</v>
      </c>
    </row>
    <row r="2169" spans="1:11" s="341" customFormat="1">
      <c r="A2169" s="421"/>
      <c r="B2169" s="338"/>
      <c r="C2169" s="209" t="s">
        <v>2058</v>
      </c>
      <c r="D2169" s="244"/>
      <c r="E2169" s="228"/>
      <c r="F2169" s="585"/>
      <c r="G2169" s="338"/>
      <c r="H2169" s="592"/>
      <c r="I2169" s="520"/>
      <c r="J2169" s="421"/>
      <c r="K2169" s="520"/>
    </row>
    <row r="2170" spans="1:11" s="341" customFormat="1">
      <c r="A2170" s="421"/>
      <c r="B2170" s="338" t="s">
        <v>7283</v>
      </c>
      <c r="C2170" s="209">
        <v>15957</v>
      </c>
      <c r="D2170" s="244">
        <f>C2170*(1-VLOOKUP(I2170,descuentos,6,FALSE))*fcl/IF(dol_sol="dólar", TC,1)</f>
        <v>3876.3570829701489</v>
      </c>
      <c r="E2170" s="228">
        <f>D2170/8</f>
        <v>484.54463537126861</v>
      </c>
      <c r="F2170" s="585">
        <f>ROUNDUP(D2170+E2170,2)</f>
        <v>4360.91</v>
      </c>
      <c r="G2170" s="338" t="s">
        <v>7284</v>
      </c>
      <c r="H2170" s="592" t="s">
        <v>7285</v>
      </c>
      <c r="I2170" s="520" t="s">
        <v>11649</v>
      </c>
      <c r="J2170" s="421" t="s">
        <v>753</v>
      </c>
      <c r="K2170" s="520" t="s">
        <v>741</v>
      </c>
    </row>
    <row r="2171" spans="1:11" s="341" customFormat="1">
      <c r="A2171" s="421"/>
      <c r="B2171" s="338" t="s">
        <v>7286</v>
      </c>
      <c r="C2171" s="209">
        <v>21348</v>
      </c>
      <c r="D2171" s="244">
        <f>C2171*(1-VLOOKUP(I2171,descuentos,6,FALSE))*fcl/IF(dol_sol="dólar", TC,1)</f>
        <v>5185.9667235223878</v>
      </c>
      <c r="E2171" s="228">
        <f>D2171/8</f>
        <v>648.24584044029848</v>
      </c>
      <c r="F2171" s="585">
        <f>ROUNDUP(D2171+E2171,2)</f>
        <v>5834.22</v>
      </c>
      <c r="G2171" s="338" t="s">
        <v>7287</v>
      </c>
      <c r="H2171" s="592" t="s">
        <v>7288</v>
      </c>
      <c r="I2171" s="520" t="s">
        <v>11649</v>
      </c>
      <c r="J2171" s="421" t="s">
        <v>753</v>
      </c>
      <c r="K2171" s="520" t="s">
        <v>741</v>
      </c>
    </row>
    <row r="2172" spans="1:11" s="341" customFormat="1">
      <c r="A2172" s="421"/>
      <c r="B2172" s="338"/>
      <c r="C2172" s="209" t="s">
        <v>2058</v>
      </c>
      <c r="D2172" s="244"/>
      <c r="E2172" s="228"/>
      <c r="F2172" s="585"/>
      <c r="G2172" s="338"/>
      <c r="H2172" s="592"/>
      <c r="I2172" s="520"/>
      <c r="J2172" s="421"/>
      <c r="K2172" s="520"/>
    </row>
    <row r="2173" spans="1:11" s="341" customFormat="1">
      <c r="A2173" s="421"/>
      <c r="B2173" s="338" t="s">
        <v>7289</v>
      </c>
      <c r="C2173" s="209">
        <v>18543</v>
      </c>
      <c r="D2173" s="244">
        <f>C2173*(1-VLOOKUP(I2173,descuentos,6,FALSE))*fcl/IF(dol_sol="dólar", TC,1)</f>
        <v>4504.5615961343283</v>
      </c>
      <c r="E2173" s="228">
        <f>D2173/8</f>
        <v>563.07019951679104</v>
      </c>
      <c r="F2173" s="585">
        <f>ROUNDUP(D2173+E2173,2)</f>
        <v>5067.6400000000003</v>
      </c>
      <c r="G2173" s="338" t="s">
        <v>7290</v>
      </c>
      <c r="H2173" s="592" t="s">
        <v>7291</v>
      </c>
      <c r="I2173" s="520" t="s">
        <v>11649</v>
      </c>
      <c r="J2173" s="421" t="s">
        <v>753</v>
      </c>
      <c r="K2173" s="520" t="s">
        <v>741</v>
      </c>
    </row>
    <row r="2174" spans="1:11" s="341" customFormat="1">
      <c r="A2174" s="421"/>
      <c r="B2174" s="338" t="s">
        <v>7292</v>
      </c>
      <c r="C2174" s="209">
        <v>25378</v>
      </c>
      <c r="D2174" s="244">
        <f>C2174*(1-VLOOKUP(I2174,descuentos,6,FALSE))*fcl/IF(dol_sol="dólar", TC,1)</f>
        <v>6164.9551953134323</v>
      </c>
      <c r="E2174" s="228">
        <f>D2174/8</f>
        <v>770.61939941417904</v>
      </c>
      <c r="F2174" s="585">
        <f>ROUNDUP(D2174+E2174,2)</f>
        <v>6935.58</v>
      </c>
      <c r="G2174" s="338" t="s">
        <v>7293</v>
      </c>
      <c r="H2174" s="592" t="s">
        <v>7294</v>
      </c>
      <c r="I2174" s="520" t="s">
        <v>11649</v>
      </c>
      <c r="J2174" s="421" t="s">
        <v>753</v>
      </c>
      <c r="K2174" s="520" t="s">
        <v>741</v>
      </c>
    </row>
    <row r="2175" spans="1:11" s="341" customFormat="1">
      <c r="A2175" s="421"/>
      <c r="B2175" s="338"/>
      <c r="C2175" s="209" t="s">
        <v>2058</v>
      </c>
      <c r="D2175" s="244"/>
      <c r="E2175" s="228"/>
      <c r="F2175" s="585"/>
      <c r="G2175" s="338"/>
      <c r="H2175" s="592"/>
      <c r="I2175" s="520"/>
      <c r="J2175" s="421"/>
      <c r="K2175" s="520"/>
    </row>
    <row r="2176" spans="1:11" s="106" customFormat="1">
      <c r="B2176" s="1748"/>
      <c r="C2176" s="209" t="s">
        <v>2058</v>
      </c>
      <c r="D2176" s="244"/>
      <c r="E2176" s="228"/>
      <c r="F2176" s="585"/>
      <c r="G2176" s="338"/>
      <c r="H2176" s="2015"/>
      <c r="I2176" s="520"/>
      <c r="J2176" s="589"/>
      <c r="K2176" s="520"/>
    </row>
    <row r="2177" spans="1:11" s="341" customFormat="1">
      <c r="A2177" s="421"/>
      <c r="B2177" s="394" t="s">
        <v>7319</v>
      </c>
      <c r="C2177" s="389">
        <v>14726</v>
      </c>
      <c r="D2177" s="388">
        <f>C2177*(1-VLOOKUP(I2177,descuentos,6,FALSE))*fcl/IF(dol_sol="dólar", TC,1)</f>
        <v>3577.3161874925372</v>
      </c>
      <c r="E2177" s="386">
        <f>D2177/8</f>
        <v>447.16452343656715</v>
      </c>
      <c r="F2177" s="582">
        <f>ROUNDUP(D2177+E2177,2)</f>
        <v>4024.4900000000002</v>
      </c>
      <c r="G2177" s="394" t="s">
        <v>7320</v>
      </c>
      <c r="H2177" s="580" t="s">
        <v>7321</v>
      </c>
      <c r="I2177" s="520" t="s">
        <v>11649</v>
      </c>
      <c r="J2177" s="421" t="s">
        <v>753</v>
      </c>
      <c r="K2177" s="520" t="s">
        <v>741</v>
      </c>
    </row>
    <row r="2178" spans="1:11" s="339" customFormat="1">
      <c r="A2178" s="421"/>
      <c r="B2178" s="338"/>
      <c r="C2178" s="209" t="s">
        <v>2058</v>
      </c>
      <c r="D2178" s="244"/>
      <c r="E2178" s="228"/>
      <c r="F2178" s="585"/>
      <c r="G2178" s="338"/>
      <c r="H2178" s="592"/>
      <c r="I2178" s="520"/>
      <c r="J2178" s="421"/>
      <c r="K2178" s="520"/>
    </row>
    <row r="2179" spans="1:11" s="341" customFormat="1">
      <c r="A2179" s="421"/>
      <c r="B2179" s="394" t="s">
        <v>9232</v>
      </c>
      <c r="C2179" s="389">
        <v>11355</v>
      </c>
      <c r="D2179" s="388">
        <f>C2179*(1-VLOOKUP(I2179,descuentos,6,FALSE))*fcl/IF(dol_sol="dólar", TC,1)</f>
        <v>2758.4154087313432</v>
      </c>
      <c r="E2179" s="386">
        <f>D2179/8</f>
        <v>344.8019260914179</v>
      </c>
      <c r="F2179" s="582">
        <f>ROUNDUP(D2179+E2179,2)</f>
        <v>3103.2200000000003</v>
      </c>
      <c r="G2179" s="394" t="s">
        <v>9233</v>
      </c>
      <c r="H2179" s="580" t="s">
        <v>9234</v>
      </c>
      <c r="I2179" s="520" t="s">
        <v>11649</v>
      </c>
      <c r="J2179" s="421" t="s">
        <v>753</v>
      </c>
      <c r="K2179" s="520" t="s">
        <v>741</v>
      </c>
    </row>
    <row r="2180" spans="1:11" s="341" customFormat="1">
      <c r="A2180" s="421"/>
      <c r="B2180" s="394" t="s">
        <v>9235</v>
      </c>
      <c r="C2180" s="389">
        <v>16863</v>
      </c>
      <c r="D2180" s="388">
        <f>C2180*(1-VLOOKUP(I2180,descuentos,6,FALSE))*fcl/IF(dol_sol="dólar", TC,1)</f>
        <v>4096.4472952388051</v>
      </c>
      <c r="E2180" s="386">
        <f>D2180/8</f>
        <v>512.05591190485063</v>
      </c>
      <c r="F2180" s="582">
        <f>ROUNDUP(D2180+E2180,2)</f>
        <v>4608.51</v>
      </c>
      <c r="G2180" s="394" t="s">
        <v>9236</v>
      </c>
      <c r="H2180" s="580" t="s">
        <v>9237</v>
      </c>
      <c r="I2180" s="520" t="s">
        <v>11649</v>
      </c>
      <c r="J2180" s="421" t="s">
        <v>753</v>
      </c>
      <c r="K2180" s="520" t="s">
        <v>741</v>
      </c>
    </row>
    <row r="2181" spans="1:11" s="341" customFormat="1">
      <c r="A2181" s="421"/>
      <c r="B2181" s="394" t="s">
        <v>7322</v>
      </c>
      <c r="C2181" s="389">
        <v>19947</v>
      </c>
      <c r="D2181" s="388">
        <f>C2181*(1-VLOOKUP(I2181,descuentos,6,FALSE))*fcl/IF(dol_sol="dólar", TC,1)</f>
        <v>4845.6285475970144</v>
      </c>
      <c r="E2181" s="386">
        <f>D2181/8</f>
        <v>605.7035684496268</v>
      </c>
      <c r="F2181" s="582">
        <f>ROUNDUP(D2181+E2181,2)</f>
        <v>5451.34</v>
      </c>
      <c r="G2181" s="394" t="s">
        <v>7323</v>
      </c>
      <c r="H2181" s="580" t="s">
        <v>7324</v>
      </c>
      <c r="I2181" s="520" t="s">
        <v>11649</v>
      </c>
      <c r="J2181" s="421" t="s">
        <v>753</v>
      </c>
      <c r="K2181" s="520" t="s">
        <v>741</v>
      </c>
    </row>
    <row r="2182" spans="1:11" s="341" customFormat="1">
      <c r="A2182" s="421"/>
      <c r="B2182" s="394" t="s">
        <v>7325</v>
      </c>
      <c r="C2182" s="389">
        <v>26684</v>
      </c>
      <c r="D2182" s="388">
        <f>C2182*(1-VLOOKUP(I2182,descuentos,6,FALSE))*fcl/IF(dol_sol="dólar", TC,1)</f>
        <v>6482.2154792238807</v>
      </c>
      <c r="E2182" s="386">
        <f>D2182/8</f>
        <v>810.27693490298509</v>
      </c>
      <c r="F2182" s="582">
        <f>ROUNDUP(D2182+E2182,2)</f>
        <v>7292.5</v>
      </c>
      <c r="G2182" s="394" t="s">
        <v>7326</v>
      </c>
      <c r="H2182" s="580" t="s">
        <v>7327</v>
      </c>
      <c r="I2182" s="520" t="s">
        <v>11649</v>
      </c>
      <c r="J2182" s="421" t="s">
        <v>753</v>
      </c>
      <c r="K2182" s="520" t="s">
        <v>741</v>
      </c>
    </row>
    <row r="2183" spans="1:11" s="339" customFormat="1">
      <c r="A2183" s="421"/>
      <c r="B2183" s="338"/>
      <c r="C2183" s="209" t="s">
        <v>2058</v>
      </c>
      <c r="D2183" s="244"/>
      <c r="E2183" s="228"/>
      <c r="F2183" s="585"/>
      <c r="G2183" s="338"/>
      <c r="H2183" s="592"/>
      <c r="I2183" s="520"/>
      <c r="J2183" s="421"/>
      <c r="K2183" s="520"/>
    </row>
    <row r="2184" spans="1:11" s="341" customFormat="1">
      <c r="A2184" s="421"/>
      <c r="B2184" s="394" t="s">
        <v>7328</v>
      </c>
      <c r="C2184" s="389">
        <v>23178</v>
      </c>
      <c r="D2184" s="388">
        <f>C2184*(1-VLOOKUP(I2184,descuentos,6,FALSE))*fcl/IF(dol_sol="dólar", TC,1)</f>
        <v>5630.5198012835808</v>
      </c>
      <c r="E2184" s="386">
        <f>D2184/8</f>
        <v>703.8149751604476</v>
      </c>
      <c r="F2184" s="582">
        <f>ROUNDUP(D2184+E2184,2)</f>
        <v>6334.34</v>
      </c>
      <c r="G2184" s="394" t="s">
        <v>7329</v>
      </c>
      <c r="H2184" s="580" t="s">
        <v>7330</v>
      </c>
      <c r="I2184" s="520" t="s">
        <v>11649</v>
      </c>
      <c r="J2184" s="421" t="s">
        <v>753</v>
      </c>
      <c r="K2184" s="520" t="s">
        <v>741</v>
      </c>
    </row>
    <row r="2185" spans="1:11" s="341" customFormat="1">
      <c r="A2185" s="421"/>
      <c r="B2185" s="394" t="s">
        <v>7331</v>
      </c>
      <c r="C2185" s="389">
        <v>31722</v>
      </c>
      <c r="D2185" s="388">
        <f>C2185*(1-VLOOKUP(I2185,descuentos,6,FALSE))*fcl/IF(dol_sol="dólar", TC,1)</f>
        <v>7706.0725315522377</v>
      </c>
      <c r="E2185" s="386">
        <f>D2185/8</f>
        <v>963.25906644402971</v>
      </c>
      <c r="F2185" s="582">
        <f>ROUNDUP(D2185+E2185,2)</f>
        <v>8669.34</v>
      </c>
      <c r="G2185" s="394" t="s">
        <v>7332</v>
      </c>
      <c r="H2185" s="580" t="s">
        <v>7333</v>
      </c>
      <c r="I2185" s="520" t="s">
        <v>11649</v>
      </c>
      <c r="J2185" s="421" t="s">
        <v>753</v>
      </c>
      <c r="K2185" s="520" t="s">
        <v>741</v>
      </c>
    </row>
    <row r="2186" spans="1:11" s="341" customFormat="1">
      <c r="A2186" s="421"/>
      <c r="B2186" s="338"/>
      <c r="C2186" s="209" t="s">
        <v>2058</v>
      </c>
      <c r="D2186" s="244"/>
      <c r="E2186" s="228"/>
      <c r="F2186" s="585"/>
      <c r="G2186" s="338"/>
      <c r="H2186" s="592"/>
      <c r="I2186" s="520"/>
      <c r="J2186" s="421"/>
      <c r="K2186" s="520"/>
    </row>
    <row r="2187" spans="1:11" s="106" customFormat="1">
      <c r="B2187" s="1747" t="s">
        <v>7254</v>
      </c>
      <c r="C2187" s="209" t="s">
        <v>2058</v>
      </c>
      <c r="D2187" s="244"/>
      <c r="E2187" s="228"/>
      <c r="F2187" s="585"/>
      <c r="G2187" s="338"/>
      <c r="H2187" s="2015"/>
      <c r="I2187" s="520"/>
      <c r="J2187" s="589"/>
      <c r="K2187" s="520"/>
    </row>
    <row r="2188" spans="1:11" s="106" customFormat="1">
      <c r="B2188" s="1748"/>
      <c r="C2188" s="209" t="s">
        <v>2058</v>
      </c>
      <c r="D2188" s="244"/>
      <c r="E2188" s="228"/>
      <c r="F2188" s="585"/>
      <c r="G2188" s="338"/>
      <c r="H2188" s="2015"/>
      <c r="I2188" s="520"/>
      <c r="J2188" s="589"/>
      <c r="K2188" s="520"/>
    </row>
    <row r="2189" spans="1:11" s="1671" customFormat="1" ht="12" customHeight="1">
      <c r="A2189" s="1664"/>
      <c r="B2189" s="1665"/>
      <c r="C2189" s="1666" t="s">
        <v>2058</v>
      </c>
      <c r="D2189" s="1667"/>
      <c r="E2189" s="1668"/>
      <c r="F2189" s="1669"/>
      <c r="G2189" s="342"/>
      <c r="H2189" s="1665"/>
      <c r="I2189" s="1670"/>
      <c r="J2189" s="1664"/>
      <c r="K2189" s="1670"/>
    </row>
    <row r="2190" spans="1:11" s="267" customFormat="1" ht="12" customHeight="1">
      <c r="A2190" s="635"/>
      <c r="B2190" s="151"/>
      <c r="C2190" s="209" t="s">
        <v>2058</v>
      </c>
      <c r="D2190" s="244"/>
      <c r="E2190" s="232"/>
      <c r="F2190" s="585"/>
      <c r="G2190" s="338"/>
      <c r="H2190" s="592"/>
      <c r="I2190" s="520"/>
      <c r="J2190" s="421"/>
      <c r="K2190" s="520"/>
    </row>
    <row r="2191" spans="1:11" s="267" customFormat="1" ht="12" customHeight="1">
      <c r="A2191" s="635"/>
      <c r="B2191" s="151"/>
      <c r="C2191" s="209" t="s">
        <v>2058</v>
      </c>
      <c r="D2191" s="244"/>
      <c r="E2191" s="232"/>
      <c r="F2191" s="585"/>
      <c r="G2191" s="338"/>
      <c r="H2191" s="592"/>
      <c r="I2191" s="520"/>
      <c r="J2191" s="421"/>
      <c r="K2191" s="520"/>
    </row>
    <row r="2192" spans="1:11" s="196" customFormat="1">
      <c r="A2192" s="421"/>
      <c r="B2192" s="151" t="s">
        <v>4801</v>
      </c>
      <c r="C2192" s="209">
        <v>158</v>
      </c>
      <c r="D2192" s="244">
        <f>C2192*(1-VLOOKUP(I2192,descuentos,6,FALSE))*fcl/IF(dol_sol="dólar", TC,1)</f>
        <v>38.382178298507462</v>
      </c>
      <c r="E2192" s="228">
        <v>9</v>
      </c>
      <c r="F2192" s="585">
        <f>ROUNDUP(D2192+E2192,2)</f>
        <v>47.39</v>
      </c>
      <c r="G2192" s="338" t="s">
        <v>4802</v>
      </c>
      <c r="H2192" s="592" t="s">
        <v>4803</v>
      </c>
      <c r="I2192" s="520" t="s">
        <v>11649</v>
      </c>
      <c r="J2192" s="421" t="s">
        <v>753</v>
      </c>
      <c r="K2192" s="520" t="s">
        <v>741</v>
      </c>
    </row>
    <row r="2193" spans="1:11" s="1678" customFormat="1">
      <c r="A2193" s="1170"/>
      <c r="B2193" s="1676"/>
      <c r="C2193" s="248" t="s">
        <v>2058</v>
      </c>
      <c r="D2193" s="400"/>
      <c r="E2193" s="1677"/>
      <c r="F2193" s="591"/>
      <c r="G2193" s="342"/>
      <c r="H2193" s="2013"/>
      <c r="I2193" s="620"/>
      <c r="J2193" s="1170"/>
      <c r="K2193" s="620"/>
    </row>
    <row r="2194" spans="1:11" s="196" customFormat="1">
      <c r="A2194" s="421"/>
      <c r="B2194" s="151" t="s">
        <v>7334</v>
      </c>
      <c r="C2194" s="209">
        <v>158</v>
      </c>
      <c r="D2194" s="244">
        <f>2.27*fcl</f>
        <v>3.7908999999999997</v>
      </c>
      <c r="E2194" s="228">
        <v>2</v>
      </c>
      <c r="F2194" s="585">
        <f>ROUNDUP(D2194+E2194,2)</f>
        <v>5.8</v>
      </c>
      <c r="G2194" s="338" t="s">
        <v>7335</v>
      </c>
      <c r="H2194" s="592" t="s">
        <v>4803</v>
      </c>
      <c r="I2194" s="520" t="s">
        <v>11649</v>
      </c>
      <c r="J2194" s="421" t="s">
        <v>753</v>
      </c>
      <c r="K2194" s="520" t="s">
        <v>741</v>
      </c>
    </row>
    <row r="2195" spans="1:11" s="1678" customFormat="1">
      <c r="A2195" s="1170"/>
      <c r="B2195" s="1676"/>
      <c r="C2195" s="248" t="s">
        <v>2058</v>
      </c>
      <c r="D2195" s="400"/>
      <c r="E2195" s="1677"/>
      <c r="F2195" s="591"/>
      <c r="G2195" s="342"/>
      <c r="H2195" s="2013"/>
      <c r="I2195" s="620"/>
      <c r="J2195" s="1170"/>
      <c r="K2195" s="620"/>
    </row>
    <row r="2196" spans="1:11" s="196" customFormat="1">
      <c r="A2196" s="589"/>
      <c r="B2196" s="592"/>
      <c r="C2196" s="209" t="s">
        <v>2058</v>
      </c>
      <c r="D2196" s="244"/>
      <c r="E2196" s="228"/>
      <c r="F2196" s="585">
        <f t="shared" ref="F2196:F2197" si="313">ROUNDUP(D2196+E2196,2)</f>
        <v>0</v>
      </c>
      <c r="G2196" s="592"/>
      <c r="H2196" s="592"/>
      <c r="I2196" s="520"/>
      <c r="J2196" s="589"/>
      <c r="K2196" s="520"/>
    </row>
    <row r="2197" spans="1:11" s="196" customFormat="1">
      <c r="A2197" s="421"/>
      <c r="B2197" s="151" t="s">
        <v>9602</v>
      </c>
      <c r="C2197" s="209">
        <v>266</v>
      </c>
      <c r="D2197" s="244">
        <f>C2197*(1-VLOOKUP(I2197,descuentos,6,FALSE))*fcl/IF(dol_sol="dólar", TC,1)</f>
        <v>64.618097641791039</v>
      </c>
      <c r="E2197" s="228">
        <v>6</v>
      </c>
      <c r="F2197" s="585">
        <f t="shared" si="313"/>
        <v>70.62</v>
      </c>
      <c r="G2197" s="338" t="s">
        <v>9603</v>
      </c>
      <c r="H2197" s="592" t="s">
        <v>9604</v>
      </c>
      <c r="I2197" s="520" t="s">
        <v>11649</v>
      </c>
      <c r="J2197" s="421" t="s">
        <v>753</v>
      </c>
      <c r="K2197" s="520" t="s">
        <v>741</v>
      </c>
    </row>
    <row r="2198" spans="1:11" s="196" customFormat="1">
      <c r="A2198" s="421"/>
      <c r="B2198" s="151"/>
      <c r="C2198" s="209" t="s">
        <v>2058</v>
      </c>
      <c r="D2198" s="244"/>
      <c r="E2198" s="232"/>
      <c r="F2198" s="585"/>
      <c r="G2198" s="338"/>
      <c r="H2198" s="592"/>
      <c r="I2198" s="520"/>
      <c r="J2198" s="421"/>
      <c r="K2198" s="520"/>
    </row>
    <row r="2199" spans="1:11" s="196" customFormat="1">
      <c r="A2199" s="421"/>
      <c r="B2199" s="151" t="s">
        <v>1541</v>
      </c>
      <c r="C2199" s="209">
        <v>129</v>
      </c>
      <c r="D2199" s="244">
        <f>C2199*(1-VLOOKUP(I2199,descuentos,6,FALSE))*fcl/IF(dol_sol="dólar", TC,1)</f>
        <v>31.337348104477606</v>
      </c>
      <c r="E2199" s="228">
        <v>8</v>
      </c>
      <c r="F2199" s="585">
        <f t="shared" ref="F2199:F2305" si="314">ROUNDUP(D2199+E2199,2)</f>
        <v>39.339999999999996</v>
      </c>
      <c r="G2199" s="338" t="s">
        <v>1547</v>
      </c>
      <c r="H2199" s="592" t="s">
        <v>1542</v>
      </c>
      <c r="I2199" s="520" t="s">
        <v>11649</v>
      </c>
      <c r="J2199" s="421" t="s">
        <v>753</v>
      </c>
      <c r="K2199" s="520" t="s">
        <v>741</v>
      </c>
    </row>
    <row r="2200" spans="1:11" s="196" customFormat="1">
      <c r="A2200" s="421"/>
      <c r="B2200" s="151" t="s">
        <v>1543</v>
      </c>
      <c r="C2200" s="209">
        <v>261</v>
      </c>
      <c r="D2200" s="244">
        <f>C2200*(1-VLOOKUP(I2200,descuentos,6,FALSE))*fcl/IF(dol_sol="dólar", TC,1)</f>
        <v>63.403471746268657</v>
      </c>
      <c r="E2200" s="228">
        <v>8</v>
      </c>
      <c r="F2200" s="585">
        <f t="shared" si="314"/>
        <v>71.410000000000011</v>
      </c>
      <c r="G2200" s="338" t="s">
        <v>1548</v>
      </c>
      <c r="H2200" s="592" t="s">
        <v>1562</v>
      </c>
      <c r="I2200" s="520" t="s">
        <v>11649</v>
      </c>
      <c r="J2200" s="421" t="s">
        <v>753</v>
      </c>
      <c r="K2200" s="520" t="s">
        <v>741</v>
      </c>
    </row>
    <row r="2201" spans="1:11" s="196" customFormat="1">
      <c r="A2201" s="421"/>
      <c r="B2201" s="151" t="s">
        <v>1544</v>
      </c>
      <c r="C2201" s="209">
        <v>775</v>
      </c>
      <c r="D2201" s="244">
        <f>C2201*(1-VLOOKUP(I2201,descuentos,6,FALSE))*fcl/IF(dol_sol="dólar", TC,1)</f>
        <v>188.26701380597012</v>
      </c>
      <c r="E2201" s="233">
        <v>8</v>
      </c>
      <c r="F2201" s="585">
        <f t="shared" si="314"/>
        <v>196.26999999999998</v>
      </c>
      <c r="G2201" s="338" t="s">
        <v>1549</v>
      </c>
      <c r="H2201" s="592" t="s">
        <v>1563</v>
      </c>
      <c r="I2201" s="520" t="s">
        <v>11649</v>
      </c>
      <c r="J2201" s="421" t="s">
        <v>753</v>
      </c>
      <c r="K2201" s="520" t="s">
        <v>741</v>
      </c>
    </row>
    <row r="2202" spans="1:11" s="196" customFormat="1">
      <c r="A2202" s="421"/>
      <c r="B2202" s="151" t="s">
        <v>1545</v>
      </c>
      <c r="C2202" s="209">
        <v>1086</v>
      </c>
      <c r="D2202" s="244">
        <f>C2202*(1-VLOOKUP(I2202,descuentos,6,FALSE))*fcl/IF(dol_sol="dólar", TC,1)</f>
        <v>263.81674450746266</v>
      </c>
      <c r="E2202" s="228">
        <v>10</v>
      </c>
      <c r="F2202" s="585">
        <f t="shared" si="314"/>
        <v>273.82</v>
      </c>
      <c r="G2202" s="338" t="s">
        <v>1550</v>
      </c>
      <c r="H2202" s="592" t="s">
        <v>1564</v>
      </c>
      <c r="I2202" s="520" t="s">
        <v>11649</v>
      </c>
      <c r="J2202" s="421" t="s">
        <v>753</v>
      </c>
      <c r="K2202" s="520" t="s">
        <v>741</v>
      </c>
    </row>
    <row r="2203" spans="1:11" s="196" customFormat="1">
      <c r="A2203" s="421"/>
      <c r="B2203" s="151" t="s">
        <v>1546</v>
      </c>
      <c r="C2203" s="209">
        <v>1381</v>
      </c>
      <c r="D2203" s="244">
        <f>C2203*(1-VLOOKUP(I2203,descuentos,6,FALSE))*fcl/IF(dol_sol="dólar", TC,1)</f>
        <v>335.47967234328354</v>
      </c>
      <c r="E2203" s="228">
        <v>10</v>
      </c>
      <c r="F2203" s="585">
        <f t="shared" si="314"/>
        <v>345.48</v>
      </c>
      <c r="G2203" s="338" t="s">
        <v>1551</v>
      </c>
      <c r="H2203" s="592" t="s">
        <v>1565</v>
      </c>
      <c r="I2203" s="520" t="s">
        <v>11649</v>
      </c>
      <c r="J2203" s="421" t="s">
        <v>753</v>
      </c>
      <c r="K2203" s="520" t="s">
        <v>741</v>
      </c>
    </row>
    <row r="2204" spans="1:11" s="196" customFormat="1">
      <c r="A2204" s="589"/>
      <c r="B2204" s="592"/>
      <c r="C2204" s="209" t="s">
        <v>2058</v>
      </c>
      <c r="D2204" s="244"/>
      <c r="E2204" s="228"/>
      <c r="F2204" s="585">
        <f t="shared" si="314"/>
        <v>0</v>
      </c>
      <c r="G2204" s="592"/>
      <c r="H2204" s="592"/>
      <c r="I2204" s="520"/>
      <c r="J2204" s="589"/>
      <c r="K2204" s="520"/>
    </row>
    <row r="2205" spans="1:11" s="196" customFormat="1">
      <c r="A2205" s="421"/>
      <c r="B2205" s="151" t="s">
        <v>1553</v>
      </c>
      <c r="C2205" s="209">
        <v>180</v>
      </c>
      <c r="D2205" s="244">
        <f>C2205*(1-VLOOKUP(I2205,descuentos,6,FALSE))*fcl/IF(dol_sol="dólar", TC,1)</f>
        <v>43.726532238805966</v>
      </c>
      <c r="E2205" s="228">
        <v>15</v>
      </c>
      <c r="F2205" s="585">
        <f t="shared" si="314"/>
        <v>58.73</v>
      </c>
      <c r="G2205" s="338" t="s">
        <v>1554</v>
      </c>
      <c r="H2205" s="592" t="s">
        <v>1566</v>
      </c>
      <c r="I2205" s="520" t="s">
        <v>11649</v>
      </c>
      <c r="J2205" s="421" t="s">
        <v>753</v>
      </c>
      <c r="K2205" s="520" t="s">
        <v>741</v>
      </c>
    </row>
    <row r="2206" spans="1:11" s="196" customFormat="1">
      <c r="A2206" s="421"/>
      <c r="B2206" s="151" t="s">
        <v>1552</v>
      </c>
      <c r="C2206" s="209">
        <v>368</v>
      </c>
      <c r="D2206" s="244">
        <f>C2206*(1-VLOOKUP(I2206,descuentos,6,FALSE))*fcl/IF(dol_sol="dólar", TC,1)</f>
        <v>89.396465910447745</v>
      </c>
      <c r="E2206" s="228">
        <v>15</v>
      </c>
      <c r="F2206" s="585">
        <f t="shared" si="314"/>
        <v>104.4</v>
      </c>
      <c r="G2206" s="338" t="s">
        <v>1555</v>
      </c>
      <c r="H2206" s="592" t="s">
        <v>1567</v>
      </c>
      <c r="I2206" s="520" t="s">
        <v>11649</v>
      </c>
      <c r="J2206" s="421" t="s">
        <v>753</v>
      </c>
      <c r="K2206" s="520" t="s">
        <v>741</v>
      </c>
    </row>
    <row r="2207" spans="1:11" s="196" customFormat="1">
      <c r="A2207" s="421"/>
      <c r="B2207" s="151" t="s">
        <v>1556</v>
      </c>
      <c r="C2207" s="209">
        <v>927</v>
      </c>
      <c r="D2207" s="244">
        <f>C2207*(1-VLOOKUP(I2207,descuentos,6,FALSE))*fcl/IF(dol_sol="dólar", TC,1)</f>
        <v>225.19164102985073</v>
      </c>
      <c r="E2207" s="233">
        <v>15</v>
      </c>
      <c r="F2207" s="585">
        <f t="shared" si="314"/>
        <v>240.2</v>
      </c>
      <c r="G2207" s="338" t="s">
        <v>1557</v>
      </c>
      <c r="H2207" s="592" t="s">
        <v>1568</v>
      </c>
      <c r="I2207" s="520" t="s">
        <v>11649</v>
      </c>
      <c r="J2207" s="421" t="s">
        <v>753</v>
      </c>
      <c r="K2207" s="520" t="s">
        <v>741</v>
      </c>
    </row>
    <row r="2208" spans="1:11" s="196" customFormat="1">
      <c r="A2208" s="421"/>
      <c r="B2208" s="151" t="s">
        <v>1558</v>
      </c>
      <c r="C2208" s="209">
        <v>1296</v>
      </c>
      <c r="D2208" s="244">
        <f>C2208*(1-VLOOKUP(I2208,descuentos,6,FALSE))*fcl/IF(dol_sol="dólar", TC,1)</f>
        <v>314.83103211940295</v>
      </c>
      <c r="E2208" s="228">
        <v>20</v>
      </c>
      <c r="F2208" s="585">
        <f t="shared" si="314"/>
        <v>334.84</v>
      </c>
      <c r="G2208" s="338" t="s">
        <v>1559</v>
      </c>
      <c r="H2208" s="592" t="s">
        <v>1569</v>
      </c>
      <c r="I2208" s="520" t="s">
        <v>11649</v>
      </c>
      <c r="J2208" s="421" t="s">
        <v>753</v>
      </c>
      <c r="K2208" s="520" t="s">
        <v>741</v>
      </c>
    </row>
    <row r="2209" spans="1:11" s="196" customFormat="1">
      <c r="A2209" s="421"/>
      <c r="B2209" s="151" t="s">
        <v>1560</v>
      </c>
      <c r="C2209" s="209">
        <v>1655</v>
      </c>
      <c r="D2209" s="244">
        <f>C2209*(1-VLOOKUP(I2209,descuentos,6,FALSE))*fcl/IF(dol_sol="dólar", TC,1)</f>
        <v>402.04117141791045</v>
      </c>
      <c r="E2209" s="228">
        <v>20</v>
      </c>
      <c r="F2209" s="585">
        <f t="shared" si="314"/>
        <v>422.05</v>
      </c>
      <c r="G2209" s="338" t="s">
        <v>1561</v>
      </c>
      <c r="H2209" s="592" t="s">
        <v>1570</v>
      </c>
      <c r="I2209" s="520" t="s">
        <v>11649</v>
      </c>
      <c r="J2209" s="421" t="s">
        <v>753</v>
      </c>
      <c r="K2209" s="520" t="s">
        <v>741</v>
      </c>
    </row>
    <row r="2210" spans="1:11" s="196" customFormat="1">
      <c r="A2210" s="421"/>
      <c r="B2210" s="151"/>
      <c r="C2210" s="644" t="s">
        <v>2058</v>
      </c>
      <c r="D2210" s="244"/>
      <c r="E2210" s="228"/>
      <c r="F2210" s="585">
        <f t="shared" si="314"/>
        <v>0</v>
      </c>
      <c r="G2210" s="338"/>
      <c r="H2210" s="592"/>
      <c r="I2210" s="520"/>
      <c r="J2210" s="421"/>
      <c r="K2210" s="520"/>
    </row>
    <row r="2211" spans="1:11" s="196" customFormat="1">
      <c r="A2211" s="421"/>
      <c r="B2211" s="151" t="s">
        <v>11146</v>
      </c>
      <c r="C2211" s="209">
        <v>234</v>
      </c>
      <c r="D2211" s="244">
        <f>C2211*(1-VLOOKUP(I2211,descuentos,6,FALSE))*fcl/IF(dol_sol="dólar", TC,1)</f>
        <v>56.844491910447758</v>
      </c>
      <c r="E2211" s="228">
        <v>15</v>
      </c>
      <c r="F2211" s="585">
        <f t="shared" si="314"/>
        <v>71.850000000000009</v>
      </c>
      <c r="G2211" s="338" t="s">
        <v>11147</v>
      </c>
      <c r="H2211" s="592" t="s">
        <v>11148</v>
      </c>
      <c r="I2211" s="520" t="s">
        <v>11649</v>
      </c>
      <c r="J2211" s="421" t="s">
        <v>753</v>
      </c>
      <c r="K2211" s="520" t="s">
        <v>741</v>
      </c>
    </row>
    <row r="2212" spans="1:11" s="196" customFormat="1">
      <c r="A2212" s="421"/>
      <c r="B2212" s="151" t="s">
        <v>11149</v>
      </c>
      <c r="C2212" s="209">
        <v>521</v>
      </c>
      <c r="D2212" s="244">
        <f>C2212*(1-VLOOKUP(I2212,descuentos,6,FALSE))*fcl/IF(dol_sol="dólar", TC,1)</f>
        <v>126.56401831343281</v>
      </c>
      <c r="E2212" s="228">
        <v>15</v>
      </c>
      <c r="F2212" s="585">
        <f t="shared" si="314"/>
        <v>141.57</v>
      </c>
      <c r="G2212" s="338" t="s">
        <v>11150</v>
      </c>
      <c r="H2212" s="592" t="s">
        <v>11151</v>
      </c>
      <c r="I2212" s="520" t="s">
        <v>11649</v>
      </c>
      <c r="J2212" s="421" t="s">
        <v>753</v>
      </c>
      <c r="K2212" s="520" t="s">
        <v>741</v>
      </c>
    </row>
    <row r="2213" spans="1:11" s="196" customFormat="1">
      <c r="A2213" s="421"/>
      <c r="B2213" s="151" t="s">
        <v>11152</v>
      </c>
      <c r="C2213" s="209">
        <v>1765</v>
      </c>
      <c r="D2213" s="244">
        <f>C2213*(1-VLOOKUP(I2213,descuentos,6,FALSE))*fcl/IF(dol_sol="dólar", TC,1)</f>
        <v>428.76294111940297</v>
      </c>
      <c r="E2213" s="233">
        <v>15</v>
      </c>
      <c r="F2213" s="585">
        <f t="shared" si="314"/>
        <v>443.77</v>
      </c>
      <c r="G2213" s="338" t="s">
        <v>11153</v>
      </c>
      <c r="H2213" s="592" t="s">
        <v>11154</v>
      </c>
      <c r="I2213" s="520" t="s">
        <v>11649</v>
      </c>
      <c r="J2213" s="421" t="s">
        <v>753</v>
      </c>
      <c r="K2213" s="520" t="s">
        <v>741</v>
      </c>
    </row>
    <row r="2214" spans="1:11" s="196" customFormat="1">
      <c r="A2214" s="421"/>
      <c r="B2214" s="151" t="s">
        <v>11155</v>
      </c>
      <c r="C2214" s="209">
        <v>2486</v>
      </c>
      <c r="D2214" s="244">
        <f>C2214*(1-VLOOKUP(I2214,descuentos,6,FALSE))*fcl/IF(dol_sol="dólar", TC,1)</f>
        <v>603.91199525373133</v>
      </c>
      <c r="E2214" s="228">
        <v>20</v>
      </c>
      <c r="F2214" s="585">
        <f t="shared" si="314"/>
        <v>623.91999999999996</v>
      </c>
      <c r="G2214" s="338" t="s">
        <v>11156</v>
      </c>
      <c r="H2214" s="592" t="s">
        <v>11157</v>
      </c>
      <c r="I2214" s="520" t="s">
        <v>11649</v>
      </c>
      <c r="J2214" s="421" t="s">
        <v>753</v>
      </c>
      <c r="K2214" s="520" t="s">
        <v>741</v>
      </c>
    </row>
    <row r="2215" spans="1:11" s="196" customFormat="1">
      <c r="A2215" s="421"/>
      <c r="B2215" s="151" t="s">
        <v>11158</v>
      </c>
      <c r="C2215" s="209">
        <v>3645</v>
      </c>
      <c r="D2215" s="244">
        <f>C2215*(1-VLOOKUP(I2215,descuentos,6,FALSE))*fcl/IF(dol_sol="dólar", TC,1)</f>
        <v>885.46227783582083</v>
      </c>
      <c r="E2215" s="228">
        <v>20</v>
      </c>
      <c r="F2215" s="585">
        <f t="shared" si="314"/>
        <v>905.47</v>
      </c>
      <c r="G2215" s="338" t="s">
        <v>11159</v>
      </c>
      <c r="H2215" s="592" t="s">
        <v>11160</v>
      </c>
      <c r="I2215" s="520" t="s">
        <v>11649</v>
      </c>
      <c r="J2215" s="421" t="s">
        <v>753</v>
      </c>
      <c r="K2215" s="520" t="s">
        <v>741</v>
      </c>
    </row>
    <row r="2216" spans="1:11" s="196" customFormat="1">
      <c r="A2216" s="589"/>
      <c r="B2216" s="592"/>
      <c r="C2216" s="209" t="s">
        <v>2058</v>
      </c>
      <c r="D2216" s="244"/>
      <c r="E2216" s="228"/>
      <c r="F2216" s="585">
        <f t="shared" si="314"/>
        <v>0</v>
      </c>
      <c r="G2216" s="592"/>
      <c r="H2216" s="592"/>
      <c r="I2216" s="520"/>
      <c r="J2216" s="589"/>
      <c r="K2216" s="520"/>
    </row>
    <row r="2217" spans="1:11" s="196" customFormat="1">
      <c r="A2217" s="421"/>
      <c r="B2217" s="150" t="s">
        <v>754</v>
      </c>
      <c r="C2217" s="209">
        <v>4323</v>
      </c>
      <c r="D2217" s="244">
        <f t="shared" ref="D2217:D2233" si="315">C2217*(1-VLOOKUP(I2217,descuentos,6,FALSE))*fcl/IF(dol_sol="dólar", TC,1)</f>
        <v>1050.1655492686566</v>
      </c>
      <c r="E2217" s="228">
        <v>15</v>
      </c>
      <c r="F2217" s="585">
        <f t="shared" si="314"/>
        <v>1065.17</v>
      </c>
      <c r="G2217" s="338" t="s">
        <v>4804</v>
      </c>
      <c r="H2217" s="592" t="s">
        <v>755</v>
      </c>
      <c r="I2217" s="520" t="s">
        <v>11649</v>
      </c>
      <c r="J2217" s="421" t="s">
        <v>753</v>
      </c>
      <c r="K2217" s="520" t="s">
        <v>741</v>
      </c>
    </row>
    <row r="2218" spans="1:11" s="196" customFormat="1">
      <c r="A2218" s="421"/>
      <c r="B2218" s="150"/>
      <c r="C2218" s="209" t="s">
        <v>2058</v>
      </c>
      <c r="D2218" s="244"/>
      <c r="E2218" s="228"/>
      <c r="F2218" s="585"/>
      <c r="G2218" s="338"/>
      <c r="H2218" s="592"/>
      <c r="I2218" s="520" t="s">
        <v>11649</v>
      </c>
      <c r="J2218" s="421"/>
      <c r="K2218" s="520"/>
    </row>
    <row r="2219" spans="1:11" s="196" customFormat="1">
      <c r="A2219" s="421"/>
      <c r="B2219" s="151" t="s">
        <v>1574</v>
      </c>
      <c r="C2219" s="209">
        <v>1602</v>
      </c>
      <c r="D2219" s="244">
        <f t="shared" si="315"/>
        <v>389.16613692537311</v>
      </c>
      <c r="E2219" s="228">
        <v>80</v>
      </c>
      <c r="F2219" s="585">
        <f t="shared" si="314"/>
        <v>469.17</v>
      </c>
      <c r="G2219" s="338" t="s">
        <v>3484</v>
      </c>
      <c r="H2219" s="592" t="s">
        <v>1573</v>
      </c>
      <c r="I2219" s="520" t="s">
        <v>11649</v>
      </c>
      <c r="J2219" s="421" t="s">
        <v>753</v>
      </c>
      <c r="K2219" s="520" t="s">
        <v>741</v>
      </c>
    </row>
    <row r="2220" spans="1:11" s="196" customFormat="1">
      <c r="A2220" s="421"/>
      <c r="B2220" s="151" t="s">
        <v>758</v>
      </c>
      <c r="C2220" s="209">
        <v>1708</v>
      </c>
      <c r="D2220" s="244">
        <f t="shared" si="315"/>
        <v>414.91620591044773</v>
      </c>
      <c r="E2220" s="228">
        <v>80</v>
      </c>
      <c r="F2220" s="585">
        <f t="shared" si="314"/>
        <v>494.92</v>
      </c>
      <c r="G2220" s="338" t="s">
        <v>3485</v>
      </c>
      <c r="H2220" s="592" t="s">
        <v>756</v>
      </c>
      <c r="I2220" s="520" t="s">
        <v>11649</v>
      </c>
      <c r="J2220" s="421" t="s">
        <v>753</v>
      </c>
      <c r="K2220" s="520" t="s">
        <v>741</v>
      </c>
    </row>
    <row r="2221" spans="1:11" s="196" customFormat="1">
      <c r="A2221" s="421"/>
      <c r="B2221" s="151" t="s">
        <v>2426</v>
      </c>
      <c r="C2221" s="209">
        <v>1864</v>
      </c>
      <c r="D2221" s="244">
        <f t="shared" si="315"/>
        <v>452.81253385074621</v>
      </c>
      <c r="E2221" s="228">
        <v>80</v>
      </c>
      <c r="F2221" s="585">
        <f t="shared" si="314"/>
        <v>532.81999999999994</v>
      </c>
      <c r="G2221" s="338" t="s">
        <v>3486</v>
      </c>
      <c r="H2221" s="592" t="s">
        <v>2427</v>
      </c>
      <c r="I2221" s="520" t="s">
        <v>11649</v>
      </c>
      <c r="J2221" s="421" t="s">
        <v>753</v>
      </c>
      <c r="K2221" s="520" t="s">
        <v>741</v>
      </c>
    </row>
    <row r="2222" spans="1:11" s="196" customFormat="1">
      <c r="A2222" s="421"/>
      <c r="B2222" s="151" t="s">
        <v>759</v>
      </c>
      <c r="C2222" s="209">
        <v>2051</v>
      </c>
      <c r="D2222" s="244">
        <f t="shared" si="315"/>
        <v>498.23954234328357</v>
      </c>
      <c r="E2222" s="228">
        <v>80</v>
      </c>
      <c r="F2222" s="585">
        <f t="shared" si="314"/>
        <v>578.24</v>
      </c>
      <c r="G2222" s="338" t="s">
        <v>3487</v>
      </c>
      <c r="H2222" s="592" t="s">
        <v>757</v>
      </c>
      <c r="I2222" s="520" t="s">
        <v>11649</v>
      </c>
      <c r="J2222" s="421" t="s">
        <v>753</v>
      </c>
      <c r="K2222" s="520" t="s">
        <v>741</v>
      </c>
    </row>
    <row r="2223" spans="1:11" s="196" customFormat="1">
      <c r="A2223" s="421"/>
      <c r="B2223" s="151" t="s">
        <v>5787</v>
      </c>
      <c r="C2223" s="209">
        <v>2272</v>
      </c>
      <c r="D2223" s="244">
        <f>C2223*(1-VLOOKUP(I2223,descuentos,6,FALSE))*fcl/IF(dol_sol="dólar", TC,1)</f>
        <v>551.92600692537314</v>
      </c>
      <c r="E2223" s="228">
        <v>80</v>
      </c>
      <c r="F2223" s="585">
        <f>ROUNDUP(D2223+E2223,2)</f>
        <v>631.92999999999995</v>
      </c>
      <c r="G2223" s="338" t="s">
        <v>5788</v>
      </c>
      <c r="H2223" s="592" t="s">
        <v>9983</v>
      </c>
      <c r="I2223" s="520" t="s">
        <v>11649</v>
      </c>
      <c r="J2223" s="421" t="s">
        <v>753</v>
      </c>
      <c r="K2223" s="520" t="s">
        <v>741</v>
      </c>
    </row>
    <row r="2224" spans="1:11" s="196" customFormat="1">
      <c r="A2224" s="421"/>
      <c r="B2224" s="151" t="s">
        <v>760</v>
      </c>
      <c r="C2224" s="209">
        <v>3345</v>
      </c>
      <c r="D2224" s="244">
        <f t="shared" si="315"/>
        <v>812.58472410447757</v>
      </c>
      <c r="E2224" s="228">
        <v>80</v>
      </c>
      <c r="F2224" s="585">
        <f t="shared" si="314"/>
        <v>892.59</v>
      </c>
      <c r="G2224" s="338" t="s">
        <v>3488</v>
      </c>
      <c r="H2224" s="592" t="s">
        <v>766</v>
      </c>
      <c r="I2224" s="520" t="s">
        <v>11649</v>
      </c>
      <c r="J2224" s="421" t="s">
        <v>753</v>
      </c>
      <c r="K2224" s="520" t="s">
        <v>741</v>
      </c>
    </row>
    <row r="2225" spans="1:11" s="196" customFormat="1">
      <c r="A2225" s="421"/>
      <c r="B2225" s="151" t="s">
        <v>4805</v>
      </c>
      <c r="C2225" s="209">
        <v>3520</v>
      </c>
      <c r="D2225" s="244">
        <f>C2225*(1-VLOOKUP(I2225,descuentos,6,FALSE))*fcl/IF(dol_sol="dólar", TC,1)</f>
        <v>855.09663044776119</v>
      </c>
      <c r="E2225" s="228">
        <v>80</v>
      </c>
      <c r="F2225" s="585">
        <f t="shared" si="314"/>
        <v>935.1</v>
      </c>
      <c r="G2225" s="338" t="s">
        <v>4806</v>
      </c>
      <c r="H2225" s="592" t="s">
        <v>767</v>
      </c>
      <c r="I2225" s="520" t="s">
        <v>11649</v>
      </c>
      <c r="J2225" s="421" t="s">
        <v>753</v>
      </c>
      <c r="K2225" s="520" t="s">
        <v>741</v>
      </c>
    </row>
    <row r="2226" spans="1:11" s="196" customFormat="1">
      <c r="A2226" s="421"/>
      <c r="B2226" s="151" t="s">
        <v>761</v>
      </c>
      <c r="C2226" s="209">
        <v>3705</v>
      </c>
      <c r="D2226" s="244">
        <f t="shared" si="315"/>
        <v>900.03778858208955</v>
      </c>
      <c r="E2226" s="228">
        <v>80</v>
      </c>
      <c r="F2226" s="585">
        <f t="shared" si="314"/>
        <v>980.04</v>
      </c>
      <c r="G2226" s="338" t="s">
        <v>3489</v>
      </c>
      <c r="H2226" s="592" t="s">
        <v>7336</v>
      </c>
      <c r="I2226" s="520" t="s">
        <v>11649</v>
      </c>
      <c r="J2226" s="421" t="s">
        <v>753</v>
      </c>
      <c r="K2226" s="520" t="s">
        <v>741</v>
      </c>
    </row>
    <row r="2227" spans="1:11" s="196" customFormat="1">
      <c r="A2227" s="421"/>
      <c r="B2227" s="151" t="s">
        <v>1431</v>
      </c>
      <c r="C2227" s="209">
        <v>4873</v>
      </c>
      <c r="D2227" s="244">
        <f t="shared" si="315"/>
        <v>1183.7743977761193</v>
      </c>
      <c r="E2227" s="228">
        <v>100</v>
      </c>
      <c r="F2227" s="585">
        <f t="shared" si="314"/>
        <v>1283.78</v>
      </c>
      <c r="G2227" s="338" t="s">
        <v>3490</v>
      </c>
      <c r="H2227" s="592" t="s">
        <v>1578</v>
      </c>
      <c r="I2227" s="520" t="s">
        <v>11649</v>
      </c>
      <c r="J2227" s="421" t="s">
        <v>753</v>
      </c>
      <c r="K2227" s="520" t="s">
        <v>741</v>
      </c>
    </row>
    <row r="2228" spans="1:11" s="196" customFormat="1">
      <c r="A2228" s="421"/>
      <c r="B2228" s="151" t="s">
        <v>762</v>
      </c>
      <c r="C2228" s="209">
        <v>5624</v>
      </c>
      <c r="D2228" s="244">
        <f t="shared" si="315"/>
        <v>1366.2112072835819</v>
      </c>
      <c r="E2228" s="228">
        <v>100</v>
      </c>
      <c r="F2228" s="585">
        <f t="shared" si="314"/>
        <v>1466.22</v>
      </c>
      <c r="G2228" s="338" t="s">
        <v>3491</v>
      </c>
      <c r="H2228" s="592" t="s">
        <v>1579</v>
      </c>
      <c r="I2228" s="520" t="s">
        <v>11649</v>
      </c>
      <c r="J2228" s="421" t="s">
        <v>753</v>
      </c>
      <c r="K2228" s="520" t="s">
        <v>741</v>
      </c>
    </row>
    <row r="2229" spans="1:11" s="196" customFormat="1">
      <c r="A2229" s="421"/>
      <c r="B2229" s="151" t="s">
        <v>787</v>
      </c>
      <c r="C2229" s="209">
        <v>8581</v>
      </c>
      <c r="D2229" s="244">
        <f t="shared" si="315"/>
        <v>2084.5409618955223</v>
      </c>
      <c r="E2229" s="233">
        <v>100</v>
      </c>
      <c r="F2229" s="585">
        <f t="shared" si="314"/>
        <v>2184.5500000000002</v>
      </c>
      <c r="G2229" s="338" t="s">
        <v>3492</v>
      </c>
      <c r="H2229" s="592" t="s">
        <v>788</v>
      </c>
      <c r="I2229" s="520" t="s">
        <v>11649</v>
      </c>
      <c r="J2229" s="421" t="s">
        <v>753</v>
      </c>
      <c r="K2229" s="520" t="s">
        <v>741</v>
      </c>
    </row>
    <row r="2230" spans="1:11" s="196" customFormat="1">
      <c r="A2230" s="421"/>
      <c r="B2230" s="151" t="s">
        <v>763</v>
      </c>
      <c r="C2230" s="209">
        <v>8951</v>
      </c>
      <c r="D2230" s="244">
        <f t="shared" si="315"/>
        <v>2174.423278164179</v>
      </c>
      <c r="E2230" s="232">
        <v>150</v>
      </c>
      <c r="F2230" s="585">
        <f t="shared" si="314"/>
        <v>2324.4300000000003</v>
      </c>
      <c r="G2230" s="338" t="s">
        <v>3493</v>
      </c>
      <c r="H2230" s="592" t="s">
        <v>768</v>
      </c>
      <c r="I2230" s="520" t="s">
        <v>11649</v>
      </c>
      <c r="J2230" s="421" t="s">
        <v>753</v>
      </c>
      <c r="K2230" s="520" t="s">
        <v>741</v>
      </c>
    </row>
    <row r="2231" spans="1:11" s="196" customFormat="1">
      <c r="A2231" s="421"/>
      <c r="B2231" s="151" t="s">
        <v>764</v>
      </c>
      <c r="C2231" s="209">
        <v>14477</v>
      </c>
      <c r="D2231" s="244">
        <f t="shared" si="315"/>
        <v>3516.8278178955215</v>
      </c>
      <c r="E2231" s="232">
        <v>150</v>
      </c>
      <c r="F2231" s="585">
        <f t="shared" si="314"/>
        <v>3666.8300000000004</v>
      </c>
      <c r="G2231" s="338" t="s">
        <v>3494</v>
      </c>
      <c r="H2231" s="592" t="s">
        <v>769</v>
      </c>
      <c r="I2231" s="520" t="s">
        <v>11649</v>
      </c>
      <c r="J2231" s="421" t="s">
        <v>753</v>
      </c>
      <c r="K2231" s="520" t="s">
        <v>741</v>
      </c>
    </row>
    <row r="2232" spans="1:11" s="196" customFormat="1">
      <c r="A2232" s="421"/>
      <c r="B2232" s="151" t="s">
        <v>3455</v>
      </c>
      <c r="C2232" s="209">
        <v>17018</v>
      </c>
      <c r="D2232" s="244">
        <f>C2232*(1-VLOOKUP(I2232,descuentos,6,FALSE))*fcl/IF(dol_sol="dólar", TC,1)</f>
        <v>4134.1006979999993</v>
      </c>
      <c r="E2232" s="232">
        <v>150</v>
      </c>
      <c r="F2232" s="585">
        <f t="shared" si="314"/>
        <v>4284.1100000000006</v>
      </c>
      <c r="G2232" s="338" t="s">
        <v>3495</v>
      </c>
      <c r="H2232" s="592" t="s">
        <v>3456</v>
      </c>
      <c r="I2232" s="520" t="s">
        <v>11649</v>
      </c>
      <c r="J2232" s="421" t="s">
        <v>753</v>
      </c>
      <c r="K2232" s="520" t="s">
        <v>741</v>
      </c>
    </row>
    <row r="2233" spans="1:11" s="196" customFormat="1">
      <c r="A2233" s="421"/>
      <c r="B2233" s="151" t="s">
        <v>765</v>
      </c>
      <c r="C2233" s="209">
        <v>19814</v>
      </c>
      <c r="D2233" s="244">
        <f t="shared" si="315"/>
        <v>4813.319498776119</v>
      </c>
      <c r="E2233" s="232">
        <v>200</v>
      </c>
      <c r="F2233" s="585">
        <f t="shared" si="314"/>
        <v>5013.3200000000006</v>
      </c>
      <c r="G2233" s="338" t="s">
        <v>3496</v>
      </c>
      <c r="H2233" s="592" t="s">
        <v>770</v>
      </c>
      <c r="I2233" s="520" t="s">
        <v>11649</v>
      </c>
      <c r="J2233" s="421" t="s">
        <v>753</v>
      </c>
      <c r="K2233" s="520" t="s">
        <v>741</v>
      </c>
    </row>
    <row r="2234" spans="1:11" s="196" customFormat="1">
      <c r="A2234" s="1749"/>
      <c r="B2234" s="151" t="s">
        <v>7337</v>
      </c>
      <c r="C2234" s="209">
        <v>24222</v>
      </c>
      <c r="D2234" s="244">
        <f>C2234*(1-VLOOKUP(I2234,descuentos,6,FALSE))*fcl/TC</f>
        <v>5884.1336882686574</v>
      </c>
      <c r="E2234" s="232">
        <v>150</v>
      </c>
      <c r="F2234" s="585">
        <f>ROUNDUP(D2234+E2234,2)</f>
        <v>6034.14</v>
      </c>
      <c r="G2234" s="338" t="s">
        <v>7338</v>
      </c>
      <c r="H2234" s="592" t="s">
        <v>7339</v>
      </c>
      <c r="I2234" s="520" t="s">
        <v>11649</v>
      </c>
      <c r="J2234" s="421" t="s">
        <v>753</v>
      </c>
      <c r="K2234" s="520" t="s">
        <v>741</v>
      </c>
    </row>
    <row r="2235" spans="1:11" s="196" customFormat="1">
      <c r="A2235" s="1749"/>
      <c r="B2235" s="151" t="s">
        <v>7340</v>
      </c>
      <c r="C2235" s="209">
        <v>26788</v>
      </c>
      <c r="D2235" s="244">
        <f>C2235*(1-VLOOKUP(I2235,descuentos,6,FALSE))*fcl/TC</f>
        <v>6507.4796978507457</v>
      </c>
      <c r="E2235" s="232">
        <v>150</v>
      </c>
      <c r="F2235" s="585">
        <f t="shared" si="314"/>
        <v>6657.4800000000005</v>
      </c>
      <c r="G2235" s="338" t="s">
        <v>7341</v>
      </c>
      <c r="H2235" s="592" t="s">
        <v>7342</v>
      </c>
      <c r="I2235" s="520" t="s">
        <v>11649</v>
      </c>
      <c r="J2235" s="421" t="s">
        <v>753</v>
      </c>
      <c r="K2235" s="520" t="s">
        <v>741</v>
      </c>
    </row>
    <row r="2236" spans="1:11" s="196" customFormat="1">
      <c r="A2236" s="421"/>
      <c r="B2236" s="151"/>
      <c r="C2236" s="209" t="s">
        <v>2058</v>
      </c>
      <c r="D2236" s="244"/>
      <c r="E2236" s="232"/>
      <c r="F2236" s="585"/>
      <c r="G2236" s="338"/>
      <c r="H2236" s="592"/>
      <c r="I2236" s="520"/>
      <c r="J2236" s="421"/>
      <c r="K2236" s="520"/>
    </row>
    <row r="2237" spans="1:11" s="196" customFormat="1">
      <c r="A2237" s="421"/>
      <c r="B2237" s="151"/>
      <c r="C2237" s="209" t="s">
        <v>2058</v>
      </c>
      <c r="D2237" s="244"/>
      <c r="E2237" s="232"/>
      <c r="F2237" s="585"/>
      <c r="G2237" s="338"/>
      <c r="H2237" s="592"/>
      <c r="I2237" s="520"/>
      <c r="J2237" s="421"/>
      <c r="K2237" s="520"/>
    </row>
    <row r="2238" spans="1:11" s="196" customFormat="1">
      <c r="A2238" s="421"/>
      <c r="B2238" s="473" t="s">
        <v>2587</v>
      </c>
      <c r="C2238" s="209">
        <v>1995</v>
      </c>
      <c r="D2238" s="244">
        <f t="shared" ref="D2238:D2249" si="316">C2238*(1-VLOOKUP(I2238,descuentos,6,FALSE))*fcl/IF(dol_sol="dólar", TC,1)</f>
        <v>484.63573231343275</v>
      </c>
      <c r="E2238" s="228">
        <v>100</v>
      </c>
      <c r="F2238" s="585">
        <f t="shared" si="314"/>
        <v>584.64</v>
      </c>
      <c r="G2238" s="338" t="s">
        <v>3497</v>
      </c>
      <c r="H2238" s="580" t="s">
        <v>2595</v>
      </c>
      <c r="I2238" s="520" t="s">
        <v>11649</v>
      </c>
      <c r="J2238" s="421" t="s">
        <v>753</v>
      </c>
      <c r="K2238" s="520" t="s">
        <v>741</v>
      </c>
    </row>
    <row r="2239" spans="1:11" s="196" customFormat="1">
      <c r="A2239" s="421"/>
      <c r="B2239" s="473" t="s">
        <v>2588</v>
      </c>
      <c r="C2239" s="209">
        <v>2130</v>
      </c>
      <c r="D2239" s="244">
        <f t="shared" si="316"/>
        <v>517.43063149253726</v>
      </c>
      <c r="E2239" s="228">
        <v>100</v>
      </c>
      <c r="F2239" s="585">
        <f t="shared" si="314"/>
        <v>617.43999999999994</v>
      </c>
      <c r="G2239" s="338" t="s">
        <v>3498</v>
      </c>
      <c r="H2239" s="580" t="s">
        <v>2596</v>
      </c>
      <c r="I2239" s="520" t="s">
        <v>11649</v>
      </c>
      <c r="J2239" s="421" t="s">
        <v>753</v>
      </c>
      <c r="K2239" s="520" t="s">
        <v>741</v>
      </c>
    </row>
    <row r="2240" spans="1:11" s="196" customFormat="1">
      <c r="A2240" s="421"/>
      <c r="B2240" s="473" t="s">
        <v>2589</v>
      </c>
      <c r="C2240" s="209">
        <v>2351</v>
      </c>
      <c r="D2240" s="244">
        <f t="shared" si="316"/>
        <v>571.11709607462683</v>
      </c>
      <c r="E2240" s="228">
        <v>100</v>
      </c>
      <c r="F2240" s="585">
        <f t="shared" si="314"/>
        <v>671.12</v>
      </c>
      <c r="G2240" s="338" t="s">
        <v>3499</v>
      </c>
      <c r="H2240" s="580" t="s">
        <v>2597</v>
      </c>
      <c r="I2240" s="520" t="s">
        <v>11649</v>
      </c>
      <c r="J2240" s="421" t="s">
        <v>753</v>
      </c>
      <c r="K2240" s="520" t="s">
        <v>741</v>
      </c>
    </row>
    <row r="2241" spans="1:11" s="196" customFormat="1">
      <c r="A2241" s="421"/>
      <c r="B2241" s="473" t="s">
        <v>2590</v>
      </c>
      <c r="C2241" s="209">
        <v>2613</v>
      </c>
      <c r="D2241" s="244">
        <f t="shared" si="316"/>
        <v>634.76349299999993</v>
      </c>
      <c r="E2241" s="228">
        <v>100</v>
      </c>
      <c r="F2241" s="585">
        <f t="shared" si="314"/>
        <v>734.77</v>
      </c>
      <c r="G2241" s="338" t="s">
        <v>3500</v>
      </c>
      <c r="H2241" s="580" t="s">
        <v>2598</v>
      </c>
      <c r="I2241" s="520" t="s">
        <v>11649</v>
      </c>
      <c r="J2241" s="421" t="s">
        <v>753</v>
      </c>
      <c r="K2241" s="520" t="s">
        <v>741</v>
      </c>
    </row>
    <row r="2242" spans="1:11" s="196" customFormat="1">
      <c r="A2242" s="421"/>
      <c r="B2242" s="473" t="s">
        <v>5789</v>
      </c>
      <c r="C2242" s="209">
        <v>2051</v>
      </c>
      <c r="D2242" s="244">
        <f t="shared" si="316"/>
        <v>498.23954234328357</v>
      </c>
      <c r="E2242" s="228">
        <v>100</v>
      </c>
      <c r="F2242" s="585">
        <f t="shared" si="314"/>
        <v>598.24</v>
      </c>
      <c r="G2242" s="338" t="s">
        <v>5790</v>
      </c>
      <c r="H2242" s="592" t="s">
        <v>757</v>
      </c>
      <c r="I2242" s="520" t="s">
        <v>11649</v>
      </c>
      <c r="J2242" s="421" t="s">
        <v>753</v>
      </c>
      <c r="K2242" s="520" t="s">
        <v>741</v>
      </c>
    </row>
    <row r="2243" spans="1:11" s="196" customFormat="1">
      <c r="A2243" s="421"/>
      <c r="B2243" s="473" t="s">
        <v>2591</v>
      </c>
      <c r="C2243" s="209">
        <v>4019</v>
      </c>
      <c r="D2243" s="244">
        <f t="shared" si="316"/>
        <v>976.31629482089556</v>
      </c>
      <c r="E2243" s="228">
        <v>100</v>
      </c>
      <c r="F2243" s="585">
        <f t="shared" si="314"/>
        <v>1076.32</v>
      </c>
      <c r="G2243" s="338" t="s">
        <v>3501</v>
      </c>
      <c r="H2243" s="580" t="s">
        <v>2599</v>
      </c>
      <c r="I2243" s="520" t="s">
        <v>11649</v>
      </c>
      <c r="J2243" s="421" t="s">
        <v>753</v>
      </c>
      <c r="K2243" s="520" t="s">
        <v>741</v>
      </c>
    </row>
    <row r="2244" spans="1:11" s="196" customFormat="1">
      <c r="A2244" s="421"/>
      <c r="B2244" s="473" t="s">
        <v>2592</v>
      </c>
      <c r="C2244" s="209">
        <v>4230</v>
      </c>
      <c r="D2244" s="244">
        <f t="shared" si="316"/>
        <v>1027.5735076119402</v>
      </c>
      <c r="E2244" s="228">
        <v>100</v>
      </c>
      <c r="F2244" s="585">
        <f t="shared" si="314"/>
        <v>1127.58</v>
      </c>
      <c r="G2244" s="338" t="s">
        <v>3502</v>
      </c>
      <c r="H2244" s="580" t="s">
        <v>2600</v>
      </c>
      <c r="I2244" s="520" t="s">
        <v>11649</v>
      </c>
      <c r="J2244" s="421" t="s">
        <v>753</v>
      </c>
      <c r="K2244" s="520" t="s">
        <v>741</v>
      </c>
    </row>
    <row r="2245" spans="1:11" s="196" customFormat="1">
      <c r="A2245" s="421"/>
      <c r="B2245" s="473" t="s">
        <v>2593</v>
      </c>
      <c r="C2245" s="209">
        <v>5847</v>
      </c>
      <c r="D2245" s="244">
        <f t="shared" si="316"/>
        <v>1420.3835222238804</v>
      </c>
      <c r="E2245" s="228">
        <v>120</v>
      </c>
      <c r="F2245" s="585">
        <f t="shared" si="314"/>
        <v>1540.39</v>
      </c>
      <c r="G2245" s="338" t="s">
        <v>3503</v>
      </c>
      <c r="H2245" s="580" t="s">
        <v>2601</v>
      </c>
      <c r="I2245" s="520" t="s">
        <v>11649</v>
      </c>
      <c r="J2245" s="421" t="s">
        <v>753</v>
      </c>
      <c r="K2245" s="520" t="s">
        <v>741</v>
      </c>
    </row>
    <row r="2246" spans="1:11" s="196" customFormat="1">
      <c r="A2246" s="421"/>
      <c r="B2246" s="473" t="s">
        <v>2594</v>
      </c>
      <c r="C2246" s="209">
        <v>6761</v>
      </c>
      <c r="D2246" s="244">
        <f t="shared" si="316"/>
        <v>1642.417135925373</v>
      </c>
      <c r="E2246" s="228">
        <v>120</v>
      </c>
      <c r="F2246" s="585">
        <f t="shared" si="314"/>
        <v>1762.42</v>
      </c>
      <c r="G2246" s="338" t="s">
        <v>3504</v>
      </c>
      <c r="H2246" s="580" t="s">
        <v>2602</v>
      </c>
      <c r="I2246" s="520" t="s">
        <v>11649</v>
      </c>
      <c r="J2246" s="421" t="s">
        <v>753</v>
      </c>
      <c r="K2246" s="520" t="s">
        <v>741</v>
      </c>
    </row>
    <row r="2247" spans="1:11" s="196" customFormat="1">
      <c r="A2247" s="421"/>
      <c r="B2247" s="473" t="s">
        <v>2603</v>
      </c>
      <c r="C2247" s="209">
        <v>11572</v>
      </c>
      <c r="D2247" s="244">
        <f t="shared" si="316"/>
        <v>2811.1301725970147</v>
      </c>
      <c r="E2247" s="233">
        <v>120</v>
      </c>
      <c r="F2247" s="585">
        <f t="shared" si="314"/>
        <v>2931.1400000000003</v>
      </c>
      <c r="G2247" s="338" t="s">
        <v>3505</v>
      </c>
      <c r="H2247" s="580" t="s">
        <v>2604</v>
      </c>
      <c r="I2247" s="520" t="s">
        <v>11649</v>
      </c>
      <c r="J2247" s="421" t="s">
        <v>753</v>
      </c>
      <c r="K2247" s="520" t="s">
        <v>741</v>
      </c>
    </row>
    <row r="2248" spans="1:11" s="196" customFormat="1">
      <c r="A2248" s="421"/>
      <c r="B2248" s="473" t="s">
        <v>3582</v>
      </c>
      <c r="C2248" s="209">
        <v>12066</v>
      </c>
      <c r="D2248" s="244">
        <f>C2248*(1-VLOOKUP(I2248,descuentos,6,FALSE))*fcl/IF(dol_sol="dólar", TC,1)</f>
        <v>2931.1352110746266</v>
      </c>
      <c r="E2248" s="792">
        <v>180</v>
      </c>
      <c r="F2248" s="585">
        <f t="shared" si="314"/>
        <v>3111.1400000000003</v>
      </c>
      <c r="G2248" s="338" t="s">
        <v>3584</v>
      </c>
      <c r="H2248" s="580" t="s">
        <v>3583</v>
      </c>
      <c r="I2248" s="520" t="s">
        <v>11649</v>
      </c>
      <c r="J2248" s="421" t="s">
        <v>753</v>
      </c>
      <c r="K2248" s="520" t="s">
        <v>741</v>
      </c>
    </row>
    <row r="2249" spans="1:11" s="196" customFormat="1">
      <c r="A2249" s="421"/>
      <c r="B2249" s="473" t="s">
        <v>2799</v>
      </c>
      <c r="C2249" s="209">
        <v>19406</v>
      </c>
      <c r="D2249" s="244">
        <f t="shared" si="316"/>
        <v>4714.2060257014928</v>
      </c>
      <c r="E2249" s="232">
        <v>180</v>
      </c>
      <c r="F2249" s="585">
        <f t="shared" si="314"/>
        <v>4894.21</v>
      </c>
      <c r="G2249" s="338" t="s">
        <v>3506</v>
      </c>
      <c r="H2249" s="580" t="s">
        <v>2800</v>
      </c>
      <c r="I2249" s="520" t="s">
        <v>11649</v>
      </c>
      <c r="J2249" s="421" t="s">
        <v>753</v>
      </c>
      <c r="K2249" s="520" t="s">
        <v>741</v>
      </c>
    </row>
    <row r="2250" spans="1:11" s="196" customFormat="1">
      <c r="A2250" s="421"/>
      <c r="B2250" s="473" t="s">
        <v>3585</v>
      </c>
      <c r="C2250" s="209">
        <v>22811</v>
      </c>
      <c r="D2250" s="244">
        <f>C2250*(1-VLOOKUP(I2250,descuentos,6,FALSE))*fcl/IF(dol_sol="dólar", TC,1)</f>
        <v>5541.3662605522377</v>
      </c>
      <c r="E2250" s="232">
        <v>180</v>
      </c>
      <c r="F2250" s="585">
        <f t="shared" si="314"/>
        <v>5721.37</v>
      </c>
      <c r="G2250" s="338" t="s">
        <v>3586</v>
      </c>
      <c r="H2250" s="580" t="s">
        <v>3589</v>
      </c>
      <c r="I2250" s="520" t="s">
        <v>11649</v>
      </c>
      <c r="J2250" s="421" t="s">
        <v>753</v>
      </c>
      <c r="K2250" s="520" t="s">
        <v>741</v>
      </c>
    </row>
    <row r="2251" spans="1:11" s="196" customFormat="1">
      <c r="A2251" s="421"/>
      <c r="B2251" s="473" t="s">
        <v>3587</v>
      </c>
      <c r="C2251" s="209">
        <v>26558</v>
      </c>
      <c r="D2251" s="244">
        <f>C2251*(1-VLOOKUP(I2251,descuentos,6,FALSE))*fcl/IF(dol_sol="dólar", TC,1)</f>
        <v>6451.6069066567161</v>
      </c>
      <c r="E2251" s="232">
        <v>250</v>
      </c>
      <c r="F2251" s="585">
        <f t="shared" si="314"/>
        <v>6701.6100000000006</v>
      </c>
      <c r="G2251" s="338" t="s">
        <v>3588</v>
      </c>
      <c r="H2251" s="580" t="s">
        <v>3590</v>
      </c>
      <c r="I2251" s="520" t="s">
        <v>11649</v>
      </c>
      <c r="J2251" s="421" t="s">
        <v>753</v>
      </c>
      <c r="K2251" s="520" t="s">
        <v>741</v>
      </c>
    </row>
    <row r="2252" spans="1:11" s="196" customFormat="1">
      <c r="A2252" s="421"/>
      <c r="B2252" s="473" t="s">
        <v>7343</v>
      </c>
      <c r="C2252" s="209">
        <v>32463</v>
      </c>
      <c r="D2252" s="244">
        <f>C2252*(1-VLOOKUP(I2252,descuentos,6,FALSE))*fcl/IF(dol_sol="dólar", TC,1)</f>
        <v>7886.0800892686557</v>
      </c>
      <c r="E2252" s="232">
        <v>250</v>
      </c>
      <c r="F2252" s="585">
        <f>ROUNDUP(D2252+E2252,2)</f>
        <v>8136.09</v>
      </c>
      <c r="G2252" s="338" t="s">
        <v>7344</v>
      </c>
      <c r="H2252" s="580" t="s">
        <v>7345</v>
      </c>
      <c r="I2252" s="520" t="s">
        <v>11649</v>
      </c>
      <c r="J2252" s="421" t="s">
        <v>753</v>
      </c>
      <c r="K2252" s="520" t="s">
        <v>741</v>
      </c>
    </row>
    <row r="2253" spans="1:11" s="196" customFormat="1">
      <c r="A2253" s="421"/>
      <c r="B2253" s="473" t="s">
        <v>13429</v>
      </c>
      <c r="C2253" s="209">
        <v>35909</v>
      </c>
      <c r="D2253" s="244">
        <f>C2253*(1-VLOOKUP(I2253,descuentos,6,FALSE))*fcl/IF(dol_sol="dólar", TC,1)</f>
        <v>8723.2002564626873</v>
      </c>
      <c r="E2253" s="232">
        <v>250</v>
      </c>
      <c r="F2253" s="585">
        <f>ROUNDUP(D2253+E2253,2)</f>
        <v>8973.2100000000009</v>
      </c>
      <c r="G2253" s="338" t="s">
        <v>13430</v>
      </c>
      <c r="H2253" s="580" t="s">
        <v>13431</v>
      </c>
      <c r="I2253" s="520" t="s">
        <v>11649</v>
      </c>
      <c r="J2253" s="421" t="s">
        <v>753</v>
      </c>
      <c r="K2253" s="520" t="s">
        <v>741</v>
      </c>
    </row>
    <row r="2254" spans="1:11" s="196" customFormat="1">
      <c r="A2254" s="421"/>
      <c r="B2254" s="151"/>
      <c r="C2254" s="209" t="s">
        <v>2058</v>
      </c>
      <c r="D2254" s="244"/>
      <c r="E2254" s="232"/>
      <c r="F2254" s="585"/>
      <c r="G2254" s="338"/>
      <c r="H2254" s="592"/>
      <c r="I2254" s="520"/>
      <c r="J2254" s="421"/>
      <c r="K2254" s="520"/>
    </row>
    <row r="2255" spans="1:11" s="196" customFormat="1">
      <c r="A2255" s="421"/>
      <c r="B2255" s="151"/>
      <c r="C2255" s="209" t="s">
        <v>2058</v>
      </c>
      <c r="D2255" s="244"/>
      <c r="E2255" s="232"/>
      <c r="F2255" s="585"/>
      <c r="G2255" s="338"/>
      <c r="H2255" s="592"/>
      <c r="I2255" s="520"/>
      <c r="J2255" s="421"/>
      <c r="K2255" s="520"/>
    </row>
    <row r="2256" spans="1:11" s="196" customFormat="1">
      <c r="A2256" s="421"/>
      <c r="B2256" s="151" t="s">
        <v>2606</v>
      </c>
      <c r="C2256" s="209">
        <v>97</v>
      </c>
      <c r="D2256" s="244">
        <f>C2256*(1-VLOOKUP(I2256,descuentos,6,FALSE))*fcl/IF(dol_sol="dólar", TC,1)</f>
        <v>23.563742373134328</v>
      </c>
      <c r="E2256" s="232">
        <v>5</v>
      </c>
      <c r="F2256" s="585">
        <f t="shared" si="314"/>
        <v>28.57</v>
      </c>
      <c r="G2256" s="338" t="s">
        <v>2607</v>
      </c>
      <c r="H2256" s="592" t="s">
        <v>2751</v>
      </c>
      <c r="I2256" s="520" t="s">
        <v>11649</v>
      </c>
      <c r="J2256" s="421" t="s">
        <v>753</v>
      </c>
      <c r="K2256" s="520" t="s">
        <v>741</v>
      </c>
    </row>
    <row r="2257" spans="1:11" s="196" customFormat="1">
      <c r="A2257" s="421"/>
      <c r="B2257" s="151" t="s">
        <v>2608</v>
      </c>
      <c r="C2257" s="209">
        <v>26</v>
      </c>
      <c r="D2257" s="244">
        <f>C2257*(1-VLOOKUP(I2257,descuentos,6,FALSE))*fcl/IF(dol_sol="dólar", TC,1)</f>
        <v>6.3160546567164166</v>
      </c>
      <c r="E2257" s="232">
        <v>5</v>
      </c>
      <c r="F2257" s="585">
        <f t="shared" si="314"/>
        <v>11.32</v>
      </c>
      <c r="G2257" s="338" t="s">
        <v>2609</v>
      </c>
      <c r="H2257" s="592" t="s">
        <v>2750</v>
      </c>
      <c r="I2257" s="520" t="s">
        <v>11649</v>
      </c>
      <c r="J2257" s="421" t="s">
        <v>753</v>
      </c>
      <c r="K2257" s="520" t="s">
        <v>741</v>
      </c>
    </row>
    <row r="2258" spans="1:11" s="194" customFormat="1">
      <c r="A2258" s="421"/>
      <c r="B2258" s="151"/>
      <c r="C2258" s="209" t="s">
        <v>2058</v>
      </c>
      <c r="D2258" s="244"/>
      <c r="E2258" s="232"/>
      <c r="F2258" s="585"/>
      <c r="G2258" s="338"/>
      <c r="H2258" s="592"/>
      <c r="I2258" s="520"/>
      <c r="J2258" s="421"/>
      <c r="K2258" s="520"/>
    </row>
    <row r="2259" spans="1:11" s="196" customFormat="1">
      <c r="A2259" s="421"/>
      <c r="B2259" s="151" t="s">
        <v>5791</v>
      </c>
      <c r="C2259" s="209">
        <v>1613</v>
      </c>
      <c r="D2259" s="244">
        <f t="shared" ref="D2259:D2268" si="317">C2259*(1-VLOOKUP(I2259,descuentos,6,FALSE))*fcl/IF(dol_sol="dólar", TC,1)</f>
        <v>391.83831389552233</v>
      </c>
      <c r="E2259" s="228">
        <v>80</v>
      </c>
      <c r="F2259" s="585">
        <f t="shared" ref="F2259:F2268" si="318">ROUNDUP(D2259+E2259,2)</f>
        <v>471.84</v>
      </c>
      <c r="G2259" s="338" t="s">
        <v>5792</v>
      </c>
      <c r="H2259" s="592" t="s">
        <v>5793</v>
      </c>
      <c r="I2259" s="520" t="s">
        <v>11649</v>
      </c>
      <c r="J2259" s="421" t="s">
        <v>753</v>
      </c>
      <c r="K2259" s="520" t="s">
        <v>741</v>
      </c>
    </row>
    <row r="2260" spans="1:11" s="196" customFormat="1">
      <c r="A2260" s="421"/>
      <c r="B2260" s="151" t="s">
        <v>5794</v>
      </c>
      <c r="C2260" s="209">
        <v>1818</v>
      </c>
      <c r="D2260" s="244">
        <f>C2260*(1-VLOOKUP(I2260,descuentos,6,FALSE))*fcl/IF(dol_sol="dólar", TC,1)</f>
        <v>441.63797561194031</v>
      </c>
      <c r="E2260" s="228">
        <v>80</v>
      </c>
      <c r="F2260" s="585">
        <f t="shared" si="318"/>
        <v>521.64</v>
      </c>
      <c r="G2260" s="338" t="s">
        <v>5795</v>
      </c>
      <c r="H2260" s="592" t="s">
        <v>5796</v>
      </c>
      <c r="I2260" s="520" t="s">
        <v>11649</v>
      </c>
      <c r="J2260" s="421" t="s">
        <v>753</v>
      </c>
      <c r="K2260" s="520" t="s">
        <v>741</v>
      </c>
    </row>
    <row r="2261" spans="1:11" s="196" customFormat="1">
      <c r="A2261" s="421"/>
      <c r="B2261" s="151" t="s">
        <v>5797</v>
      </c>
      <c r="C2261" s="209">
        <v>2002</v>
      </c>
      <c r="D2261" s="244">
        <f t="shared" si="317"/>
        <v>486.33620856716414</v>
      </c>
      <c r="E2261" s="228">
        <v>80</v>
      </c>
      <c r="F2261" s="585">
        <f t="shared" si="318"/>
        <v>566.34</v>
      </c>
      <c r="G2261" s="338" t="s">
        <v>5798</v>
      </c>
      <c r="H2261" s="592" t="s">
        <v>5799</v>
      </c>
      <c r="I2261" s="520" t="s">
        <v>11649</v>
      </c>
      <c r="J2261" s="421" t="s">
        <v>753</v>
      </c>
      <c r="K2261" s="520" t="s">
        <v>741</v>
      </c>
    </row>
    <row r="2262" spans="1:11" s="196" customFormat="1">
      <c r="A2262" s="421"/>
      <c r="B2262" s="151" t="s">
        <v>5800</v>
      </c>
      <c r="C2262" s="209">
        <v>2352</v>
      </c>
      <c r="D2262" s="244">
        <f t="shared" si="317"/>
        <v>571.36002125373136</v>
      </c>
      <c r="E2262" s="228">
        <v>100</v>
      </c>
      <c r="F2262" s="585">
        <f t="shared" si="318"/>
        <v>671.37</v>
      </c>
      <c r="G2262" s="338" t="s">
        <v>5801</v>
      </c>
      <c r="H2262" s="592" t="s">
        <v>5802</v>
      </c>
      <c r="I2262" s="520" t="s">
        <v>11649</v>
      </c>
      <c r="J2262" s="421" t="s">
        <v>753</v>
      </c>
      <c r="K2262" s="520" t="s">
        <v>741</v>
      </c>
    </row>
    <row r="2263" spans="1:11" s="196" customFormat="1">
      <c r="A2263" s="421"/>
      <c r="B2263" s="151" t="s">
        <v>5803</v>
      </c>
      <c r="C2263" s="209">
        <v>2536</v>
      </c>
      <c r="D2263" s="244">
        <f t="shared" si="317"/>
        <v>616.05825420895519</v>
      </c>
      <c r="E2263" s="228">
        <v>100</v>
      </c>
      <c r="F2263" s="585">
        <f t="shared" si="318"/>
        <v>716.06</v>
      </c>
      <c r="G2263" s="338" t="s">
        <v>5804</v>
      </c>
      <c r="H2263" s="592" t="s">
        <v>5805</v>
      </c>
      <c r="I2263" s="520" t="s">
        <v>11649</v>
      </c>
      <c r="J2263" s="421" t="s">
        <v>753</v>
      </c>
      <c r="K2263" s="520" t="s">
        <v>741</v>
      </c>
    </row>
    <row r="2264" spans="1:11" s="196" customFormat="1">
      <c r="A2264" s="421"/>
      <c r="B2264" s="151" t="s">
        <v>5806</v>
      </c>
      <c r="C2264" s="209">
        <v>2697</v>
      </c>
      <c r="D2264" s="244">
        <f t="shared" si="317"/>
        <v>655.16920804477604</v>
      </c>
      <c r="E2264" s="233">
        <v>100</v>
      </c>
      <c r="F2264" s="585">
        <f t="shared" si="318"/>
        <v>755.17</v>
      </c>
      <c r="G2264" s="338" t="s">
        <v>5807</v>
      </c>
      <c r="H2264" s="592" t="s">
        <v>5808</v>
      </c>
      <c r="I2264" s="520" t="s">
        <v>11649</v>
      </c>
      <c r="J2264" s="421" t="s">
        <v>753</v>
      </c>
      <c r="K2264" s="520" t="s">
        <v>741</v>
      </c>
    </row>
    <row r="2265" spans="1:11" s="196" customFormat="1">
      <c r="A2265" s="421"/>
      <c r="B2265" s="151" t="s">
        <v>5809</v>
      </c>
      <c r="C2265" s="209">
        <v>3345</v>
      </c>
      <c r="D2265" s="244">
        <f t="shared" si="317"/>
        <v>812.58472410447757</v>
      </c>
      <c r="E2265" s="232">
        <v>150</v>
      </c>
      <c r="F2265" s="585">
        <f t="shared" si="318"/>
        <v>962.59</v>
      </c>
      <c r="G2265" s="338" t="s">
        <v>5810</v>
      </c>
      <c r="H2265" s="592" t="s">
        <v>5811</v>
      </c>
      <c r="I2265" s="520" t="s">
        <v>11649</v>
      </c>
      <c r="J2265" s="421" t="s">
        <v>753</v>
      </c>
      <c r="K2265" s="520" t="s">
        <v>741</v>
      </c>
    </row>
    <row r="2266" spans="1:11" s="196" customFormat="1">
      <c r="A2266" s="421"/>
      <c r="B2266" s="151" t="s">
        <v>5812</v>
      </c>
      <c r="C2266" s="209">
        <v>8392</v>
      </c>
      <c r="D2266" s="244">
        <f t="shared" si="317"/>
        <v>2038.6281030447758</v>
      </c>
      <c r="E2266" s="232">
        <v>150</v>
      </c>
      <c r="F2266" s="585">
        <f t="shared" si="318"/>
        <v>2188.63</v>
      </c>
      <c r="G2266" s="338" t="s">
        <v>5813</v>
      </c>
      <c r="H2266" s="592" t="s">
        <v>5814</v>
      </c>
      <c r="I2266" s="520" t="s">
        <v>11649</v>
      </c>
      <c r="J2266" s="421" t="s">
        <v>753</v>
      </c>
      <c r="K2266" s="520" t="s">
        <v>741</v>
      </c>
    </row>
    <row r="2267" spans="1:11" s="196" customFormat="1">
      <c r="A2267" s="421"/>
      <c r="B2267" s="151" t="s">
        <v>5815</v>
      </c>
      <c r="C2267" s="209">
        <v>9277</v>
      </c>
      <c r="D2267" s="244">
        <f t="shared" si="317"/>
        <v>2253.6168865522386</v>
      </c>
      <c r="E2267" s="232">
        <v>150</v>
      </c>
      <c r="F2267" s="585">
        <f t="shared" si="318"/>
        <v>2403.6200000000003</v>
      </c>
      <c r="G2267" s="338" t="s">
        <v>5816</v>
      </c>
      <c r="H2267" s="592" t="s">
        <v>5817</v>
      </c>
      <c r="I2267" s="520" t="s">
        <v>11649</v>
      </c>
      <c r="J2267" s="421" t="s">
        <v>753</v>
      </c>
      <c r="K2267" s="520" t="s">
        <v>741</v>
      </c>
    </row>
    <row r="2268" spans="1:11" s="196" customFormat="1">
      <c r="A2268" s="421"/>
      <c r="B2268" s="151" t="s">
        <v>5818</v>
      </c>
      <c r="C2268" s="209">
        <v>9936</v>
      </c>
      <c r="D2268" s="244">
        <f t="shared" si="317"/>
        <v>2413.7045795820891</v>
      </c>
      <c r="E2268" s="232">
        <v>200</v>
      </c>
      <c r="F2268" s="585">
        <f t="shared" si="318"/>
        <v>2613.71</v>
      </c>
      <c r="G2268" s="338" t="s">
        <v>5819</v>
      </c>
      <c r="H2268" s="592" t="s">
        <v>5820</v>
      </c>
      <c r="I2268" s="520" t="s">
        <v>11649</v>
      </c>
      <c r="J2268" s="421" t="s">
        <v>753</v>
      </c>
      <c r="K2268" s="520" t="s">
        <v>741</v>
      </c>
    </row>
    <row r="2269" spans="1:11" s="196" customFormat="1">
      <c r="A2269" s="421"/>
      <c r="B2269" s="151" t="s">
        <v>6246</v>
      </c>
      <c r="C2269" s="209">
        <v>19221</v>
      </c>
      <c r="D2269" s="244">
        <f>C2269*(1-VLOOKUP(I2269,descuentos,6,FALSE))*fcl/IF(dol_sol="dólar", TC,1)</f>
        <v>4669.2648675671635</v>
      </c>
      <c r="E2269" s="232">
        <v>250</v>
      </c>
      <c r="F2269" s="585">
        <f>ROUNDUP(D2269+E2269,2)</f>
        <v>4919.2700000000004</v>
      </c>
      <c r="G2269" s="338" t="s">
        <v>6247</v>
      </c>
      <c r="H2269" s="592" t="s">
        <v>6248</v>
      </c>
      <c r="I2269" s="520" t="s">
        <v>11649</v>
      </c>
      <c r="J2269" s="421" t="s">
        <v>753</v>
      </c>
      <c r="K2269" s="520" t="s">
        <v>741</v>
      </c>
    </row>
    <row r="2270" spans="1:11" s="196" customFormat="1">
      <c r="A2270" s="421"/>
      <c r="B2270" s="151" t="s">
        <v>7346</v>
      </c>
      <c r="C2270" s="209">
        <v>20819</v>
      </c>
      <c r="D2270" s="244">
        <f>C2270*(1-VLOOKUP(I2270,descuentos,6,FALSE))*fcl/IF(dol_sol="dólar", TC,1)</f>
        <v>5057.4593037761188</v>
      </c>
      <c r="E2270" s="232">
        <v>250</v>
      </c>
      <c r="F2270" s="585">
        <f>ROUNDUP(D2270+E2270,2)</f>
        <v>5307.46</v>
      </c>
      <c r="G2270" s="338" t="s">
        <v>7347</v>
      </c>
      <c r="H2270" s="592" t="s">
        <v>7348</v>
      </c>
      <c r="I2270" s="520" t="s">
        <v>11649</v>
      </c>
      <c r="J2270" s="421" t="s">
        <v>753</v>
      </c>
      <c r="K2270" s="520" t="s">
        <v>741</v>
      </c>
    </row>
    <row r="2271" spans="1:11" s="196" customFormat="1">
      <c r="A2271" s="421"/>
      <c r="B2271" s="151"/>
      <c r="C2271" s="209" t="s">
        <v>2058</v>
      </c>
      <c r="D2271" s="244"/>
      <c r="E2271" s="232"/>
      <c r="F2271" s="585"/>
      <c r="G2271" s="338"/>
      <c r="H2271" s="592"/>
      <c r="I2271" s="520"/>
      <c r="J2271" s="421"/>
      <c r="K2271" s="520"/>
    </row>
    <row r="2272" spans="1:11" s="196" customFormat="1">
      <c r="A2272" s="421"/>
      <c r="B2272" s="151" t="s">
        <v>11109</v>
      </c>
      <c r="C2272" s="209">
        <v>1803</v>
      </c>
      <c r="D2272" s="244">
        <f t="shared" ref="D2272" si="319">C2272*(1-VLOOKUP(I2272,descuentos,6,FALSE))*fcl/IF(dol_sol="dólar", TC,1)</f>
        <v>437.99409792537313</v>
      </c>
      <c r="E2272" s="228">
        <v>80</v>
      </c>
      <c r="F2272" s="585">
        <f t="shared" ref="F2272:F2278" si="320">ROUNDUP(D2272+E2272,2)</f>
        <v>518</v>
      </c>
      <c r="G2272" s="338" t="s">
        <v>11110</v>
      </c>
      <c r="H2272" s="592" t="s">
        <v>11111</v>
      </c>
      <c r="I2272" s="520" t="s">
        <v>11649</v>
      </c>
      <c r="J2272" s="421" t="s">
        <v>753</v>
      </c>
      <c r="K2272" s="520" t="s">
        <v>741</v>
      </c>
    </row>
    <row r="2273" spans="1:11" s="196" customFormat="1">
      <c r="A2273" s="421"/>
      <c r="B2273" s="151" t="s">
        <v>11112</v>
      </c>
      <c r="C2273" s="209">
        <v>2202</v>
      </c>
      <c r="D2273" s="244">
        <f>C2273*(1-VLOOKUP(I2273,descuentos,6,FALSE))*fcl/IF(dol_sol="dólar", TC,1)</f>
        <v>534.92124438805968</v>
      </c>
      <c r="E2273" s="228">
        <v>80</v>
      </c>
      <c r="F2273" s="585">
        <f t="shared" si="320"/>
        <v>614.92999999999995</v>
      </c>
      <c r="G2273" s="338" t="s">
        <v>11113</v>
      </c>
      <c r="H2273" s="592" t="s">
        <v>11114</v>
      </c>
      <c r="I2273" s="520" t="s">
        <v>11649</v>
      </c>
      <c r="J2273" s="421" t="s">
        <v>753</v>
      </c>
      <c r="K2273" s="520" t="s">
        <v>741</v>
      </c>
    </row>
    <row r="2274" spans="1:11" s="196" customFormat="1">
      <c r="A2274" s="421"/>
      <c r="B2274" s="151" t="s">
        <v>11115</v>
      </c>
      <c r="C2274" s="209">
        <v>2369</v>
      </c>
      <c r="D2274" s="244">
        <f t="shared" ref="D2274:D2278" si="321">C2274*(1-VLOOKUP(I2274,descuentos,6,FALSE))*fcl/IF(dol_sol="dólar", TC,1)</f>
        <v>575.48974929850749</v>
      </c>
      <c r="E2274" s="228">
        <v>80</v>
      </c>
      <c r="F2274" s="585">
        <f t="shared" si="320"/>
        <v>655.49</v>
      </c>
      <c r="G2274" s="338" t="s">
        <v>11116</v>
      </c>
      <c r="H2274" s="592" t="s">
        <v>11117</v>
      </c>
      <c r="I2274" s="520" t="s">
        <v>11649</v>
      </c>
      <c r="J2274" s="421" t="s">
        <v>753</v>
      </c>
      <c r="K2274" s="520" t="s">
        <v>741</v>
      </c>
    </row>
    <row r="2275" spans="1:11" s="196" customFormat="1">
      <c r="A2275" s="421"/>
      <c r="B2275" s="151" t="s">
        <v>11118</v>
      </c>
      <c r="C2275" s="209">
        <v>2770</v>
      </c>
      <c r="D2275" s="244">
        <f t="shared" si="321"/>
        <v>672.90274611940299</v>
      </c>
      <c r="E2275" s="228">
        <v>100</v>
      </c>
      <c r="F2275" s="585">
        <f t="shared" si="320"/>
        <v>772.91</v>
      </c>
      <c r="G2275" s="338" t="s">
        <v>11119</v>
      </c>
      <c r="H2275" s="592" t="s">
        <v>11120</v>
      </c>
      <c r="I2275" s="520" t="s">
        <v>11649</v>
      </c>
      <c r="J2275" s="421" t="s">
        <v>753</v>
      </c>
      <c r="K2275" s="520" t="s">
        <v>741</v>
      </c>
    </row>
    <row r="2276" spans="1:11" s="196" customFormat="1">
      <c r="A2276" s="421"/>
      <c r="B2276" s="151" t="s">
        <v>11121</v>
      </c>
      <c r="C2276" s="209">
        <v>4100</v>
      </c>
      <c r="D2276" s="244">
        <f t="shared" si="321"/>
        <v>995.9932343283582</v>
      </c>
      <c r="E2276" s="228">
        <v>100</v>
      </c>
      <c r="F2276" s="585">
        <f t="shared" si="320"/>
        <v>1096</v>
      </c>
      <c r="G2276" s="338" t="s">
        <v>11122</v>
      </c>
      <c r="H2276" s="592" t="s">
        <v>11123</v>
      </c>
      <c r="I2276" s="520" t="s">
        <v>11649</v>
      </c>
      <c r="J2276" s="421" t="s">
        <v>753</v>
      </c>
      <c r="K2276" s="520" t="s">
        <v>741</v>
      </c>
    </row>
    <row r="2277" spans="1:11" s="196" customFormat="1">
      <c r="A2277" s="421"/>
      <c r="B2277" s="151" t="s">
        <v>11124</v>
      </c>
      <c r="C2277" s="209">
        <v>5153</v>
      </c>
      <c r="D2277" s="244">
        <f t="shared" si="321"/>
        <v>1251.7934479253731</v>
      </c>
      <c r="E2277" s="233">
        <v>100</v>
      </c>
      <c r="F2277" s="585">
        <f t="shared" si="320"/>
        <v>1351.8</v>
      </c>
      <c r="G2277" s="338" t="s">
        <v>11125</v>
      </c>
      <c r="H2277" s="592" t="s">
        <v>11126</v>
      </c>
      <c r="I2277" s="520" t="s">
        <v>11649</v>
      </c>
      <c r="J2277" s="421" t="s">
        <v>753</v>
      </c>
      <c r="K2277" s="520" t="s">
        <v>741</v>
      </c>
    </row>
    <row r="2278" spans="1:11" s="196" customFormat="1">
      <c r="A2278" s="421"/>
      <c r="B2278" s="151" t="s">
        <v>11127</v>
      </c>
      <c r="C2278" s="209">
        <v>5847</v>
      </c>
      <c r="D2278" s="244">
        <f t="shared" si="321"/>
        <v>1420.3835222238804</v>
      </c>
      <c r="E2278" s="232">
        <v>150</v>
      </c>
      <c r="F2278" s="585">
        <f t="shared" si="320"/>
        <v>1570.39</v>
      </c>
      <c r="G2278" s="338" t="s">
        <v>11128</v>
      </c>
      <c r="H2278" s="592" t="s">
        <v>11129</v>
      </c>
      <c r="I2278" s="520" t="s">
        <v>11649</v>
      </c>
      <c r="J2278" s="421" t="s">
        <v>753</v>
      </c>
      <c r="K2278" s="520" t="s">
        <v>741</v>
      </c>
    </row>
    <row r="2279" spans="1:11" s="196" customFormat="1">
      <c r="A2279" s="421"/>
      <c r="B2279" s="151"/>
      <c r="C2279" s="209" t="s">
        <v>2058</v>
      </c>
      <c r="D2279" s="244"/>
      <c r="E2279" s="232"/>
      <c r="F2279" s="585"/>
      <c r="G2279" s="338"/>
      <c r="H2279" s="592"/>
      <c r="I2279" s="520"/>
      <c r="J2279" s="421"/>
      <c r="K2279" s="520"/>
    </row>
    <row r="2280" spans="1:11" s="196" customFormat="1">
      <c r="A2280" s="1971"/>
      <c r="B2280" s="151" t="s">
        <v>9937</v>
      </c>
      <c r="C2280" s="209">
        <v>254</v>
      </c>
      <c r="D2280" s="244">
        <f t="shared" ref="D2280" si="322">C2280*(1-VLOOKUP(I2280,descuentos,6,FALSE))*fcl/IF(dol_sol="dólar", TC,1)</f>
        <v>61.702995492537305</v>
      </c>
      <c r="E2280" s="232">
        <v>15</v>
      </c>
      <c r="F2280" s="585">
        <f t="shared" ref="F2280" si="323">ROUNDUP(D2280+E2280,2)</f>
        <v>76.710000000000008</v>
      </c>
      <c r="G2280" s="338" t="s">
        <v>9938</v>
      </c>
      <c r="H2280" s="592" t="s">
        <v>9939</v>
      </c>
      <c r="I2280" s="520" t="s">
        <v>11649</v>
      </c>
      <c r="J2280" s="421" t="s">
        <v>753</v>
      </c>
      <c r="K2280" s="520" t="s">
        <v>741</v>
      </c>
    </row>
    <row r="2281" spans="1:11" s="194" customFormat="1">
      <c r="A2281" s="2108"/>
      <c r="B2281" s="151"/>
      <c r="C2281" s="209"/>
      <c r="D2281" s="244"/>
      <c r="E2281" s="232"/>
      <c r="F2281" s="585"/>
      <c r="G2281" s="338"/>
      <c r="H2281" s="592"/>
      <c r="I2281" s="520"/>
      <c r="J2281" s="421"/>
      <c r="K2281" s="520"/>
    </row>
    <row r="2282" spans="1:11" s="194" customFormat="1">
      <c r="A2282" s="2108"/>
      <c r="B2282" s="1825" t="s">
        <v>11808</v>
      </c>
      <c r="C2282" s="209"/>
      <c r="D2282" s="244"/>
      <c r="E2282" s="232"/>
      <c r="F2282" s="585"/>
      <c r="G2282" s="338"/>
      <c r="H2282" s="592"/>
      <c r="I2282" s="520"/>
      <c r="J2282" s="421"/>
      <c r="K2282" s="520"/>
    </row>
    <row r="2283" spans="1:11" s="196" customFormat="1">
      <c r="A2283" s="421"/>
      <c r="B2283" s="151" t="s">
        <v>11809</v>
      </c>
      <c r="C2283" s="209">
        <v>19</v>
      </c>
      <c r="D2283" s="244">
        <f t="shared" ref="D2283" si="324">C2283*(1-VLOOKUP(I2283,descuentos,6,FALSE))*fcl/IF(dol_sol="dólar", TC,1)</f>
        <v>4.6155784029850739</v>
      </c>
      <c r="E2283" s="228">
        <v>80</v>
      </c>
      <c r="F2283" s="585">
        <f t="shared" ref="F2283:F2284" si="325">ROUNDUP(D2283+E2283,2)</f>
        <v>84.62</v>
      </c>
      <c r="G2283" s="338" t="s">
        <v>11810</v>
      </c>
      <c r="H2283" s="592" t="s">
        <v>11811</v>
      </c>
      <c r="I2283" s="520" t="s">
        <v>11649</v>
      </c>
      <c r="J2283" s="421" t="s">
        <v>753</v>
      </c>
      <c r="K2283" s="520" t="s">
        <v>741</v>
      </c>
    </row>
    <row r="2284" spans="1:11" s="196" customFormat="1">
      <c r="A2284" s="421"/>
      <c r="B2284" s="151" t="s">
        <v>11812</v>
      </c>
      <c r="C2284" s="209">
        <v>85</v>
      </c>
      <c r="D2284" s="244">
        <f t="shared" ref="D2284" si="326">C2284*(1-VLOOKUP(I2284,descuentos,6,FALSE))*fcl/IF(dol_sol="dólar", TC,1)</f>
        <v>20.648640223880591</v>
      </c>
      <c r="E2284" s="228">
        <v>80</v>
      </c>
      <c r="F2284" s="585">
        <f t="shared" si="325"/>
        <v>100.65</v>
      </c>
      <c r="G2284" s="338" t="s">
        <v>11813</v>
      </c>
      <c r="H2284" s="592" t="s">
        <v>11814</v>
      </c>
      <c r="I2284" s="520" t="s">
        <v>11649</v>
      </c>
      <c r="J2284" s="421" t="s">
        <v>753</v>
      </c>
      <c r="K2284" s="520" t="s">
        <v>741</v>
      </c>
    </row>
    <row r="2285" spans="1:11" s="196" customFormat="1">
      <c r="A2285" s="421"/>
      <c r="B2285" s="151"/>
      <c r="C2285" s="209"/>
      <c r="D2285" s="244"/>
      <c r="E2285" s="228"/>
      <c r="F2285" s="585"/>
      <c r="G2285" s="338"/>
      <c r="H2285" s="592"/>
      <c r="I2285" s="520"/>
      <c r="J2285" s="421"/>
      <c r="K2285" s="520"/>
    </row>
    <row r="2286" spans="1:11" s="196" customFormat="1">
      <c r="A2286" s="421"/>
      <c r="B2286" s="151"/>
      <c r="C2286" s="209" t="s">
        <v>2058</v>
      </c>
      <c r="D2286" s="244"/>
      <c r="E2286" s="232"/>
      <c r="F2286" s="585"/>
      <c r="G2286" s="338"/>
      <c r="H2286" s="592"/>
      <c r="I2286" s="520"/>
      <c r="J2286" s="421"/>
      <c r="K2286" s="520"/>
    </row>
    <row r="2287" spans="1:11" s="196" customFormat="1">
      <c r="A2287" s="421"/>
      <c r="B2287" s="151"/>
      <c r="C2287" s="209" t="s">
        <v>2058</v>
      </c>
      <c r="D2287" s="244"/>
      <c r="E2287" s="228"/>
      <c r="F2287" s="585"/>
      <c r="G2287" s="338"/>
      <c r="H2287" s="592"/>
      <c r="I2287" s="520"/>
      <c r="J2287" s="421"/>
      <c r="K2287" s="520"/>
    </row>
    <row r="2288" spans="1:11" s="196" customFormat="1">
      <c r="A2288" s="421"/>
      <c r="B2288" s="151" t="s">
        <v>774</v>
      </c>
      <c r="C2288" s="209">
        <v>5001</v>
      </c>
      <c r="D2288" s="244">
        <f t="shared" ref="D2288:D2293" si="327">C2288*(1-VLOOKUP(I2288,descuentos,6,FALSE))*fcl/IF(dol_sol="dólar", TC,1)</f>
        <v>1214.8688207014923</v>
      </c>
      <c r="E2288" s="232">
        <v>100</v>
      </c>
      <c r="F2288" s="585">
        <f t="shared" si="314"/>
        <v>1314.87</v>
      </c>
      <c r="G2288" s="338" t="s">
        <v>2428</v>
      </c>
      <c r="H2288" s="592" t="s">
        <v>775</v>
      </c>
      <c r="I2288" s="520" t="s">
        <v>11649</v>
      </c>
      <c r="J2288" s="421" t="s">
        <v>753</v>
      </c>
      <c r="K2288" s="520" t="s">
        <v>741</v>
      </c>
    </row>
    <row r="2289" spans="1:11" s="196" customFormat="1">
      <c r="A2289" s="421"/>
      <c r="B2289" s="151" t="s">
        <v>776</v>
      </c>
      <c r="C2289" s="209">
        <v>5001</v>
      </c>
      <c r="D2289" s="244">
        <f t="shared" si="327"/>
        <v>1214.8688207014923</v>
      </c>
      <c r="E2289" s="232">
        <v>100</v>
      </c>
      <c r="F2289" s="585">
        <f t="shared" si="314"/>
        <v>1314.87</v>
      </c>
      <c r="G2289" s="338" t="s">
        <v>2429</v>
      </c>
      <c r="H2289" s="592" t="s">
        <v>777</v>
      </c>
      <c r="I2289" s="520" t="s">
        <v>11649</v>
      </c>
      <c r="J2289" s="421" t="s">
        <v>753</v>
      </c>
      <c r="K2289" s="520" t="s">
        <v>741</v>
      </c>
    </row>
    <row r="2290" spans="1:11" s="196" customFormat="1">
      <c r="A2290" s="421"/>
      <c r="B2290" s="151" t="s">
        <v>778</v>
      </c>
      <c r="C2290" s="209">
        <v>5065</v>
      </c>
      <c r="D2290" s="244">
        <f t="shared" si="327"/>
        <v>1230.4160321641791</v>
      </c>
      <c r="E2290" s="232">
        <v>100</v>
      </c>
      <c r="F2290" s="585">
        <f t="shared" si="314"/>
        <v>1330.42</v>
      </c>
      <c r="G2290" s="338" t="s">
        <v>2430</v>
      </c>
      <c r="H2290" s="592" t="s">
        <v>779</v>
      </c>
      <c r="I2290" s="520" t="s">
        <v>11649</v>
      </c>
      <c r="J2290" s="421" t="s">
        <v>753</v>
      </c>
      <c r="K2290" s="520" t="s">
        <v>741</v>
      </c>
    </row>
    <row r="2291" spans="1:11" s="196" customFormat="1">
      <c r="A2291" s="421"/>
      <c r="B2291" s="151" t="s">
        <v>780</v>
      </c>
      <c r="C2291" s="209">
        <v>5125</v>
      </c>
      <c r="D2291" s="244">
        <f t="shared" si="327"/>
        <v>1244.9915429104478</v>
      </c>
      <c r="E2291" s="232">
        <v>100</v>
      </c>
      <c r="F2291" s="585">
        <f t="shared" si="314"/>
        <v>1345</v>
      </c>
      <c r="G2291" s="338" t="s">
        <v>2431</v>
      </c>
      <c r="H2291" s="592" t="s">
        <v>781</v>
      </c>
      <c r="I2291" s="520" t="s">
        <v>11649</v>
      </c>
      <c r="J2291" s="421" t="s">
        <v>753</v>
      </c>
      <c r="K2291" s="520" t="s">
        <v>741</v>
      </c>
    </row>
    <row r="2292" spans="1:11" s="196" customFormat="1">
      <c r="A2292" s="421"/>
      <c r="B2292" s="151" t="s">
        <v>784</v>
      </c>
      <c r="C2292" s="209">
        <v>5551</v>
      </c>
      <c r="D2292" s="244">
        <f t="shared" si="327"/>
        <v>1348.4776692089549</v>
      </c>
      <c r="E2292" s="232">
        <v>100</v>
      </c>
      <c r="F2292" s="585">
        <f t="shared" si="314"/>
        <v>1448.48</v>
      </c>
      <c r="G2292" s="338" t="s">
        <v>2432</v>
      </c>
      <c r="H2292" s="592" t="s">
        <v>782</v>
      </c>
      <c r="I2292" s="520" t="s">
        <v>11649</v>
      </c>
      <c r="J2292" s="421" t="s">
        <v>753</v>
      </c>
      <c r="K2292" s="520" t="s">
        <v>741</v>
      </c>
    </row>
    <row r="2293" spans="1:11" s="196" customFormat="1">
      <c r="A2293" s="421"/>
      <c r="B2293" s="151" t="s">
        <v>785</v>
      </c>
      <c r="C2293" s="209">
        <v>5593</v>
      </c>
      <c r="D2293" s="244">
        <f t="shared" si="327"/>
        <v>1358.6805267313432</v>
      </c>
      <c r="E2293" s="233">
        <v>100</v>
      </c>
      <c r="F2293" s="585">
        <f t="shared" si="314"/>
        <v>1458.69</v>
      </c>
      <c r="G2293" s="338" t="s">
        <v>2433</v>
      </c>
      <c r="H2293" s="592" t="s">
        <v>783</v>
      </c>
      <c r="I2293" s="520" t="s">
        <v>11649</v>
      </c>
      <c r="J2293" s="421" t="s">
        <v>753</v>
      </c>
      <c r="K2293" s="520" t="s">
        <v>741</v>
      </c>
    </row>
    <row r="2294" spans="1:11" s="196" customFormat="1">
      <c r="A2294" s="421"/>
      <c r="B2294" s="151"/>
      <c r="C2294" s="209" t="s">
        <v>2058</v>
      </c>
      <c r="D2294" s="244"/>
      <c r="E2294" s="228"/>
      <c r="F2294" s="585"/>
      <c r="G2294" s="338"/>
      <c r="H2294" s="592"/>
      <c r="I2294" s="520"/>
      <c r="J2294" s="421"/>
      <c r="K2294" s="520"/>
    </row>
    <row r="2295" spans="1:11" s="196" customFormat="1">
      <c r="A2295" s="421"/>
      <c r="B2295" s="151" t="s">
        <v>1396</v>
      </c>
      <c r="C2295" s="209">
        <v>5107</v>
      </c>
      <c r="D2295" s="244">
        <f t="shared" ref="D2295:D2300" si="328">C2295*(1-VLOOKUP(I2295,descuentos,6,FALSE))*fcl/IF(dol_sol="dólar", TC,1)</f>
        <v>1240.6188896865672</v>
      </c>
      <c r="E2295" s="232">
        <v>100</v>
      </c>
      <c r="F2295" s="585">
        <f t="shared" si="314"/>
        <v>1340.62</v>
      </c>
      <c r="G2295" s="338" t="s">
        <v>4807</v>
      </c>
      <c r="H2295" s="592" t="s">
        <v>1402</v>
      </c>
      <c r="I2295" s="520" t="s">
        <v>11649</v>
      </c>
      <c r="J2295" s="421" t="s">
        <v>753</v>
      </c>
      <c r="K2295" s="520" t="s">
        <v>741</v>
      </c>
    </row>
    <row r="2296" spans="1:11" s="196" customFormat="1">
      <c r="A2296" s="421"/>
      <c r="B2296" s="151" t="s">
        <v>1397</v>
      </c>
      <c r="C2296" s="209">
        <v>5107</v>
      </c>
      <c r="D2296" s="244">
        <f t="shared" si="328"/>
        <v>1240.6188896865672</v>
      </c>
      <c r="E2296" s="232">
        <v>100</v>
      </c>
      <c r="F2296" s="585">
        <f t="shared" si="314"/>
        <v>1340.62</v>
      </c>
      <c r="G2296" s="338" t="s">
        <v>4808</v>
      </c>
      <c r="H2296" s="592" t="s">
        <v>1403</v>
      </c>
      <c r="I2296" s="520" t="s">
        <v>11649</v>
      </c>
      <c r="J2296" s="421" t="s">
        <v>753</v>
      </c>
      <c r="K2296" s="520" t="s">
        <v>741</v>
      </c>
    </row>
    <row r="2297" spans="1:11" s="196" customFormat="1">
      <c r="A2297" s="421"/>
      <c r="B2297" s="151" t="s">
        <v>1398</v>
      </c>
      <c r="C2297" s="209">
        <v>5165</v>
      </c>
      <c r="D2297" s="244">
        <f t="shared" si="328"/>
        <v>1254.7085500746266</v>
      </c>
      <c r="E2297" s="232">
        <v>100</v>
      </c>
      <c r="F2297" s="585">
        <f t="shared" si="314"/>
        <v>1354.71</v>
      </c>
      <c r="G2297" s="338" t="s">
        <v>4809</v>
      </c>
      <c r="H2297" s="592" t="s">
        <v>1404</v>
      </c>
      <c r="I2297" s="520" t="s">
        <v>11649</v>
      </c>
      <c r="J2297" s="421" t="s">
        <v>753</v>
      </c>
      <c r="K2297" s="520" t="s">
        <v>741</v>
      </c>
    </row>
    <row r="2298" spans="1:11" s="196" customFormat="1">
      <c r="A2298" s="421"/>
      <c r="B2298" s="151" t="s">
        <v>1399</v>
      </c>
      <c r="C2298" s="209">
        <v>5353</v>
      </c>
      <c r="D2298" s="244">
        <f t="shared" si="328"/>
        <v>1300.3784837462686</v>
      </c>
      <c r="E2298" s="232">
        <v>100</v>
      </c>
      <c r="F2298" s="585">
        <f t="shared" si="314"/>
        <v>1400.3799999999999</v>
      </c>
      <c r="G2298" s="338" t="s">
        <v>4810</v>
      </c>
      <c r="H2298" s="592" t="s">
        <v>1405</v>
      </c>
      <c r="I2298" s="520" t="s">
        <v>11649</v>
      </c>
      <c r="J2298" s="421" t="s">
        <v>753</v>
      </c>
      <c r="K2298" s="520" t="s">
        <v>741</v>
      </c>
    </row>
    <row r="2299" spans="1:11" s="196" customFormat="1">
      <c r="A2299" s="421"/>
      <c r="B2299" s="151" t="s">
        <v>1400</v>
      </c>
      <c r="C2299" s="209">
        <v>6105</v>
      </c>
      <c r="D2299" s="244">
        <f t="shared" si="328"/>
        <v>1483.0582184328357</v>
      </c>
      <c r="E2299" s="232">
        <v>100</v>
      </c>
      <c r="F2299" s="585">
        <f t="shared" si="314"/>
        <v>1583.06</v>
      </c>
      <c r="G2299" s="338" t="s">
        <v>4811</v>
      </c>
      <c r="H2299" s="592" t="s">
        <v>1406</v>
      </c>
      <c r="I2299" s="520" t="s">
        <v>11649</v>
      </c>
      <c r="J2299" s="421" t="s">
        <v>753</v>
      </c>
      <c r="K2299" s="520" t="s">
        <v>741</v>
      </c>
    </row>
    <row r="2300" spans="1:11" s="196" customFormat="1">
      <c r="A2300" s="421"/>
      <c r="B2300" s="151" t="s">
        <v>1401</v>
      </c>
      <c r="C2300" s="209">
        <v>6185</v>
      </c>
      <c r="D2300" s="244">
        <f t="shared" si="328"/>
        <v>1502.4922327611939</v>
      </c>
      <c r="E2300" s="232">
        <v>100</v>
      </c>
      <c r="F2300" s="585">
        <f t="shared" si="314"/>
        <v>1602.5</v>
      </c>
      <c r="G2300" s="338" t="s">
        <v>4812</v>
      </c>
      <c r="H2300" s="592" t="s">
        <v>1407</v>
      </c>
      <c r="I2300" s="520" t="s">
        <v>11649</v>
      </c>
      <c r="J2300" s="421" t="s">
        <v>753</v>
      </c>
      <c r="K2300" s="520" t="s">
        <v>741</v>
      </c>
    </row>
    <row r="2301" spans="1:11" s="196" customFormat="1">
      <c r="A2301" s="421"/>
      <c r="B2301" s="151"/>
      <c r="C2301" s="209" t="s">
        <v>2058</v>
      </c>
      <c r="D2301" s="244"/>
      <c r="E2301" s="232"/>
      <c r="F2301" s="585"/>
      <c r="G2301" s="338"/>
      <c r="H2301" s="592"/>
      <c r="I2301" s="520"/>
      <c r="J2301" s="421"/>
      <c r="K2301" s="520"/>
    </row>
    <row r="2302" spans="1:11" s="196" customFormat="1">
      <c r="A2302" s="421"/>
      <c r="B2302" s="151" t="s">
        <v>786</v>
      </c>
      <c r="C2302" s="209">
        <v>10696</v>
      </c>
      <c r="D2302" s="244">
        <f>C2302*(1-VLOOKUP(I2302,descuentos,6,FALSE))*fcl/IF(dol_sol="dólar", TC,1)</f>
        <v>2598.3277157014923</v>
      </c>
      <c r="E2302" s="232">
        <v>120</v>
      </c>
      <c r="F2302" s="585">
        <f t="shared" si="314"/>
        <v>2718.3300000000004</v>
      </c>
      <c r="G2302" s="338" t="s">
        <v>4813</v>
      </c>
      <c r="H2302" s="592" t="s">
        <v>790</v>
      </c>
      <c r="I2302" s="520" t="s">
        <v>11649</v>
      </c>
      <c r="J2302" s="421" t="s">
        <v>753</v>
      </c>
      <c r="K2302" s="520" t="s">
        <v>741</v>
      </c>
    </row>
    <row r="2303" spans="1:11" s="196" customFormat="1">
      <c r="A2303" s="421"/>
      <c r="B2303" s="151" t="s">
        <v>792</v>
      </c>
      <c r="C2303" s="209">
        <v>11942</v>
      </c>
      <c r="D2303" s="244">
        <f>C2303*(1-VLOOKUP(I2303,descuentos,6,FALSE))*fcl/IF(dol_sol="dólar", TC,1)</f>
        <v>2901.0124888656715</v>
      </c>
      <c r="E2303" s="232">
        <v>120</v>
      </c>
      <c r="F2303" s="585">
        <f t="shared" si="314"/>
        <v>3021.0200000000004</v>
      </c>
      <c r="G2303" s="338" t="s">
        <v>4814</v>
      </c>
      <c r="H2303" s="592" t="s">
        <v>791</v>
      </c>
      <c r="I2303" s="520" t="s">
        <v>11649</v>
      </c>
      <c r="J2303" s="421" t="s">
        <v>753</v>
      </c>
      <c r="K2303" s="520" t="s">
        <v>741</v>
      </c>
    </row>
    <row r="2304" spans="1:11" s="196" customFormat="1">
      <c r="A2304" s="421"/>
      <c r="B2304" s="151" t="s">
        <v>794</v>
      </c>
      <c r="C2304" s="209">
        <v>20197</v>
      </c>
      <c r="D2304" s="244">
        <f>C2304*(1-VLOOKUP(I2304,descuentos,6,FALSE))*fcl/IF(dol_sol="dólar", TC,1)</f>
        <v>4906.3598423731337</v>
      </c>
      <c r="E2304" s="232">
        <v>120</v>
      </c>
      <c r="F2304" s="585">
        <f t="shared" si="314"/>
        <v>5026.3600000000006</v>
      </c>
      <c r="G2304" s="338" t="s">
        <v>4815</v>
      </c>
      <c r="H2304" s="592" t="s">
        <v>793</v>
      </c>
      <c r="I2304" s="520" t="s">
        <v>11649</v>
      </c>
      <c r="J2304" s="421" t="s">
        <v>753</v>
      </c>
      <c r="K2304" s="520" t="s">
        <v>741</v>
      </c>
    </row>
    <row r="2305" spans="1:11" s="196" customFormat="1">
      <c r="A2305" s="421"/>
      <c r="B2305" s="151" t="s">
        <v>1571</v>
      </c>
      <c r="C2305" s="209">
        <v>23517</v>
      </c>
      <c r="D2305" s="244">
        <f>C2305*(1-VLOOKUP(I2305,descuentos,6,FALSE))*fcl/IF(dol_sol="dólar", TC,1)</f>
        <v>5712.8714369999998</v>
      </c>
      <c r="E2305" s="232">
        <v>120</v>
      </c>
      <c r="F2305" s="585">
        <f t="shared" si="314"/>
        <v>5832.88</v>
      </c>
      <c r="G2305" s="338" t="s">
        <v>4816</v>
      </c>
      <c r="H2305" s="592" t="s">
        <v>1572</v>
      </c>
      <c r="I2305" s="520" t="s">
        <v>11649</v>
      </c>
      <c r="J2305" s="421" t="s">
        <v>753</v>
      </c>
      <c r="K2305" s="520" t="s">
        <v>741</v>
      </c>
    </row>
    <row r="2306" spans="1:11" s="196" customFormat="1">
      <c r="A2306" s="421"/>
      <c r="B2306" s="151"/>
      <c r="C2306" s="209" t="s">
        <v>2058</v>
      </c>
      <c r="D2306" s="244"/>
      <c r="E2306" s="232"/>
      <c r="F2306" s="585"/>
      <c r="G2306" s="338"/>
      <c r="H2306" s="592"/>
      <c r="I2306" s="520"/>
      <c r="J2306" s="421"/>
      <c r="K2306" s="520"/>
    </row>
    <row r="2307" spans="1:11" s="196" customFormat="1">
      <c r="A2307" s="421"/>
      <c r="B2307" s="151" t="s">
        <v>1262</v>
      </c>
      <c r="C2307" s="209">
        <v>11132</v>
      </c>
      <c r="D2307" s="244">
        <f t="shared" ref="D2307:D2312" si="329">C2307*(1-VLOOKUP(I2307,descuentos,6,FALSE))*fcl/IF(dol_sol="dólar", TC,1)</f>
        <v>2704.2430937910444</v>
      </c>
      <c r="E2307" s="232">
        <v>120</v>
      </c>
      <c r="F2307" s="585">
        <f t="shared" ref="F2307:F2321" si="330">ROUNDUP(D2307+E2307,2)</f>
        <v>2824.25</v>
      </c>
      <c r="G2307" s="338" t="s">
        <v>4817</v>
      </c>
      <c r="H2307" s="592" t="s">
        <v>1263</v>
      </c>
      <c r="I2307" s="520" t="s">
        <v>11649</v>
      </c>
      <c r="J2307" s="421" t="s">
        <v>753</v>
      </c>
      <c r="K2307" s="520" t="s">
        <v>741</v>
      </c>
    </row>
    <row r="2308" spans="1:11" s="196" customFormat="1">
      <c r="A2308" s="421"/>
      <c r="B2308" s="151" t="s">
        <v>1261</v>
      </c>
      <c r="C2308" s="209">
        <v>12802</v>
      </c>
      <c r="D2308" s="244">
        <f t="shared" si="329"/>
        <v>3109.9281428955223</v>
      </c>
      <c r="E2308" s="232">
        <v>120</v>
      </c>
      <c r="F2308" s="585">
        <f t="shared" si="330"/>
        <v>3229.9300000000003</v>
      </c>
      <c r="G2308" s="338" t="s">
        <v>4818</v>
      </c>
      <c r="H2308" s="592" t="s">
        <v>1266</v>
      </c>
      <c r="I2308" s="520" t="s">
        <v>11649</v>
      </c>
      <c r="J2308" s="421" t="s">
        <v>753</v>
      </c>
      <c r="K2308" s="520" t="s">
        <v>741</v>
      </c>
    </row>
    <row r="2309" spans="1:11" s="196" customFormat="1">
      <c r="A2309" s="421"/>
      <c r="B2309" s="151" t="s">
        <v>1267</v>
      </c>
      <c r="C2309" s="209">
        <v>22287</v>
      </c>
      <c r="D2309" s="244">
        <f t="shared" si="329"/>
        <v>5414.0734667014922</v>
      </c>
      <c r="E2309" s="232">
        <v>150</v>
      </c>
      <c r="F2309" s="585">
        <f t="shared" si="330"/>
        <v>5564.08</v>
      </c>
      <c r="G2309" s="338" t="s">
        <v>4819</v>
      </c>
      <c r="H2309" s="592" t="s">
        <v>1268</v>
      </c>
      <c r="I2309" s="520" t="s">
        <v>11649</v>
      </c>
      <c r="J2309" s="421" t="s">
        <v>753</v>
      </c>
      <c r="K2309" s="520" t="s">
        <v>741</v>
      </c>
    </row>
    <row r="2310" spans="1:11" s="194" customFormat="1">
      <c r="A2310" s="421"/>
      <c r="B2310" s="151" t="s">
        <v>1269</v>
      </c>
      <c r="C2310" s="209">
        <v>24301</v>
      </c>
      <c r="D2310" s="244">
        <f t="shared" si="329"/>
        <v>5903.3247774179099</v>
      </c>
      <c r="E2310" s="232">
        <v>150</v>
      </c>
      <c r="F2310" s="585">
        <f t="shared" si="330"/>
        <v>6053.33</v>
      </c>
      <c r="G2310" s="338" t="s">
        <v>4820</v>
      </c>
      <c r="H2310" s="592" t="s">
        <v>1270</v>
      </c>
      <c r="I2310" s="520" t="s">
        <v>11649</v>
      </c>
      <c r="J2310" s="421" t="s">
        <v>753</v>
      </c>
      <c r="K2310" s="520" t="s">
        <v>741</v>
      </c>
    </row>
    <row r="2311" spans="1:11" s="194" customFormat="1">
      <c r="A2311" s="589"/>
      <c r="B2311" s="151" t="s">
        <v>1264</v>
      </c>
      <c r="C2311" s="209">
        <v>30513</v>
      </c>
      <c r="D2311" s="244">
        <f t="shared" si="329"/>
        <v>7412.3759900149244</v>
      </c>
      <c r="E2311" s="232">
        <v>180</v>
      </c>
      <c r="F2311" s="585">
        <f t="shared" si="330"/>
        <v>7592.38</v>
      </c>
      <c r="G2311" s="338" t="s">
        <v>4821</v>
      </c>
      <c r="H2311" s="152" t="s">
        <v>2434</v>
      </c>
      <c r="I2311" s="520" t="s">
        <v>11649</v>
      </c>
      <c r="J2311" s="421" t="s">
        <v>753</v>
      </c>
      <c r="K2311" s="520" t="s">
        <v>741</v>
      </c>
    </row>
    <row r="2312" spans="1:11" s="194" customFormat="1">
      <c r="A2312" s="421"/>
      <c r="B2312" s="151" t="s">
        <v>1265</v>
      </c>
      <c r="C2312" s="209">
        <v>36709</v>
      </c>
      <c r="D2312" s="244">
        <f t="shared" si="329"/>
        <v>8917.5403997462672</v>
      </c>
      <c r="E2312" s="232">
        <v>180</v>
      </c>
      <c r="F2312" s="585">
        <f t="shared" si="330"/>
        <v>9097.5500000000011</v>
      </c>
      <c r="G2312" s="338" t="s">
        <v>4822</v>
      </c>
      <c r="H2312" s="152" t="s">
        <v>2435</v>
      </c>
      <c r="I2312" s="520" t="s">
        <v>11649</v>
      </c>
      <c r="J2312" s="421" t="s">
        <v>753</v>
      </c>
      <c r="K2312" s="520" t="s">
        <v>741</v>
      </c>
    </row>
    <row r="2313" spans="1:11" s="194" customFormat="1">
      <c r="A2313" s="589"/>
      <c r="B2313" s="151"/>
      <c r="C2313" s="209" t="s">
        <v>2058</v>
      </c>
      <c r="D2313" s="244"/>
      <c r="E2313" s="232"/>
      <c r="F2313" s="585"/>
      <c r="G2313" s="338"/>
      <c r="H2313" s="592"/>
      <c r="I2313" s="520"/>
      <c r="J2313" s="421"/>
      <c r="K2313" s="520"/>
    </row>
    <row r="2314" spans="1:11" s="341" customFormat="1">
      <c r="A2314" s="421"/>
      <c r="B2314" s="151" t="s">
        <v>3041</v>
      </c>
      <c r="C2314" s="209">
        <v>5125</v>
      </c>
      <c r="D2314" s="244">
        <f>C2314*(1-VLOOKUP(I2314,descuentos,6,FALSE))*fcl/IF(dol_sol="dólar", TC,1)</f>
        <v>1244.9915429104478</v>
      </c>
      <c r="E2314" s="232">
        <v>100</v>
      </c>
      <c r="F2314" s="585">
        <f>ROUNDUP(D2314+E2314,2)</f>
        <v>1345</v>
      </c>
      <c r="G2314" s="338" t="s">
        <v>2431</v>
      </c>
      <c r="H2314" s="592" t="s">
        <v>781</v>
      </c>
      <c r="I2314" s="520" t="s">
        <v>11649</v>
      </c>
      <c r="J2314" s="421" t="s">
        <v>753</v>
      </c>
      <c r="K2314" s="520" t="s">
        <v>741</v>
      </c>
    </row>
    <row r="2315" spans="1:11" s="194" customFormat="1">
      <c r="A2315" s="421"/>
      <c r="B2315" s="592"/>
      <c r="C2315" s="209" t="s">
        <v>2058</v>
      </c>
      <c r="D2315" s="244"/>
      <c r="E2315" s="228"/>
      <c r="F2315" s="585"/>
      <c r="G2315" s="592"/>
      <c r="H2315" s="592"/>
      <c r="I2315" s="520"/>
      <c r="J2315" s="589"/>
      <c r="K2315" s="520"/>
    </row>
    <row r="2316" spans="1:11" s="194" customFormat="1">
      <c r="A2316" s="421"/>
      <c r="B2316" s="151" t="s">
        <v>1271</v>
      </c>
      <c r="C2316" s="209">
        <v>37456</v>
      </c>
      <c r="D2316" s="244">
        <f t="shared" ref="D2316:D2321" si="331">C2316*(1-VLOOKUP(I2316,descuentos,6,FALSE))*fcl/IF(dol_sol="dólar", TC,1)</f>
        <v>9099.0055085373133</v>
      </c>
      <c r="E2316" s="232">
        <v>180</v>
      </c>
      <c r="F2316" s="585">
        <f t="shared" si="330"/>
        <v>9279.01</v>
      </c>
      <c r="G2316" s="338" t="s">
        <v>1593</v>
      </c>
      <c r="H2316" s="592" t="s">
        <v>1272</v>
      </c>
      <c r="I2316" s="520" t="s">
        <v>11649</v>
      </c>
      <c r="J2316" s="421" t="s">
        <v>753</v>
      </c>
      <c r="K2316" s="520" t="s">
        <v>741</v>
      </c>
    </row>
    <row r="2317" spans="1:11" s="194" customFormat="1">
      <c r="A2317" s="421"/>
      <c r="B2317" s="151" t="s">
        <v>1274</v>
      </c>
      <c r="C2317" s="209">
        <v>38588</v>
      </c>
      <c r="D2317" s="244">
        <f t="shared" si="331"/>
        <v>9373.9968112835813</v>
      </c>
      <c r="E2317" s="232">
        <v>180</v>
      </c>
      <c r="F2317" s="585">
        <f t="shared" si="330"/>
        <v>9554</v>
      </c>
      <c r="G2317" s="338" t="s">
        <v>1594</v>
      </c>
      <c r="H2317" s="592" t="s">
        <v>1273</v>
      </c>
      <c r="I2317" s="520" t="s">
        <v>11649</v>
      </c>
      <c r="J2317" s="421" t="s">
        <v>753</v>
      </c>
      <c r="K2317" s="520" t="s">
        <v>741</v>
      </c>
    </row>
    <row r="2318" spans="1:11" s="194" customFormat="1">
      <c r="A2318" s="421"/>
      <c r="B2318" s="151" t="s">
        <v>1275</v>
      </c>
      <c r="C2318" s="209">
        <v>48976</v>
      </c>
      <c r="D2318" s="244">
        <f t="shared" si="331"/>
        <v>11897.503571820896</v>
      </c>
      <c r="E2318" s="232">
        <v>180</v>
      </c>
      <c r="F2318" s="585">
        <f t="shared" si="330"/>
        <v>12077.51</v>
      </c>
      <c r="G2318" s="338" t="s">
        <v>1595</v>
      </c>
      <c r="H2318" s="592" t="s">
        <v>1276</v>
      </c>
      <c r="I2318" s="520" t="s">
        <v>11649</v>
      </c>
      <c r="J2318" s="421" t="s">
        <v>753</v>
      </c>
      <c r="K2318" s="520" t="s">
        <v>741</v>
      </c>
    </row>
    <row r="2319" spans="1:11" s="194" customFormat="1">
      <c r="A2319" s="421"/>
      <c r="B2319" s="151" t="s">
        <v>1277</v>
      </c>
      <c r="C2319" s="209">
        <v>63328</v>
      </c>
      <c r="D2319" s="244">
        <f t="shared" si="331"/>
        <v>15383.965742328357</v>
      </c>
      <c r="E2319" s="232">
        <v>180</v>
      </c>
      <c r="F2319" s="585">
        <f t="shared" si="330"/>
        <v>15563.97</v>
      </c>
      <c r="G2319" s="338" t="s">
        <v>1596</v>
      </c>
      <c r="H2319" s="592" t="s">
        <v>1278</v>
      </c>
      <c r="I2319" s="520" t="s">
        <v>11649</v>
      </c>
      <c r="J2319" s="421" t="s">
        <v>753</v>
      </c>
      <c r="K2319" s="520" t="s">
        <v>741</v>
      </c>
    </row>
    <row r="2320" spans="1:11" s="194" customFormat="1">
      <c r="A2320" s="589"/>
      <c r="B2320" s="151" t="s">
        <v>1279</v>
      </c>
      <c r="C2320" s="209">
        <v>68080</v>
      </c>
      <c r="D2320" s="244">
        <f t="shared" si="331"/>
        <v>16538.346193432833</v>
      </c>
      <c r="E2320" s="232">
        <v>220</v>
      </c>
      <c r="F2320" s="585">
        <f t="shared" si="330"/>
        <v>16758.349999999999</v>
      </c>
      <c r="G2320" s="338" t="s">
        <v>1597</v>
      </c>
      <c r="H2320" s="592" t="s">
        <v>1280</v>
      </c>
      <c r="I2320" s="520" t="s">
        <v>11649</v>
      </c>
      <c r="J2320" s="421" t="s">
        <v>753</v>
      </c>
      <c r="K2320" s="520" t="s">
        <v>741</v>
      </c>
    </row>
    <row r="2321" spans="1:11" s="194" customFormat="1">
      <c r="A2321" s="589"/>
      <c r="B2321" s="151" t="s">
        <v>1281</v>
      </c>
      <c r="C2321" s="209">
        <v>102972</v>
      </c>
      <c r="D2321" s="244">
        <f t="shared" si="331"/>
        <v>25014.491542746266</v>
      </c>
      <c r="E2321" s="232">
        <v>220</v>
      </c>
      <c r="F2321" s="585">
        <f t="shared" si="330"/>
        <v>25234.5</v>
      </c>
      <c r="G2321" s="338" t="s">
        <v>1598</v>
      </c>
      <c r="H2321" s="592" t="s">
        <v>1282</v>
      </c>
      <c r="I2321" s="520" t="s">
        <v>11649</v>
      </c>
      <c r="J2321" s="421" t="s">
        <v>753</v>
      </c>
      <c r="K2321" s="520" t="s">
        <v>741</v>
      </c>
    </row>
    <row r="2322" spans="1:11" s="196" customFormat="1">
      <c r="A2322" s="421"/>
      <c r="B2322" s="151"/>
      <c r="C2322" s="209" t="s">
        <v>2058</v>
      </c>
      <c r="D2322" s="244"/>
      <c r="E2322" s="232"/>
      <c r="F2322" s="585"/>
      <c r="G2322" s="338"/>
      <c r="H2322" s="592"/>
      <c r="I2322" s="520"/>
      <c r="J2322" s="421"/>
      <c r="K2322" s="520"/>
    </row>
    <row r="2323" spans="1:11" s="196" customFormat="1">
      <c r="A2323" s="421"/>
      <c r="B2323" s="151"/>
      <c r="C2323" s="209" t="s">
        <v>2058</v>
      </c>
      <c r="D2323" s="244"/>
      <c r="E2323" s="232"/>
      <c r="F2323" s="585"/>
      <c r="G2323" s="338"/>
      <c r="H2323" s="592"/>
      <c r="I2323" s="520"/>
      <c r="J2323" s="421"/>
      <c r="K2323" s="520"/>
    </row>
    <row r="2324" spans="1:11" s="194" customFormat="1">
      <c r="A2324" s="589"/>
      <c r="B2324" s="151"/>
      <c r="C2324" s="209" t="s">
        <v>2058</v>
      </c>
      <c r="D2324" s="244"/>
      <c r="E2324" s="232"/>
      <c r="F2324" s="585"/>
      <c r="G2324" s="338"/>
      <c r="H2324" s="592"/>
      <c r="I2324" s="520"/>
      <c r="J2324" s="421"/>
      <c r="K2324" s="520"/>
    </row>
    <row r="2325" spans="1:11" s="341" customFormat="1">
      <c r="A2325" s="421"/>
      <c r="B2325" s="1720" t="s">
        <v>7349</v>
      </c>
      <c r="C2325" s="389" t="s">
        <v>2058</v>
      </c>
      <c r="D2325" s="388"/>
      <c r="E2325" s="386"/>
      <c r="F2325" s="582"/>
      <c r="G2325" s="394"/>
      <c r="H2325" s="580"/>
      <c r="I2325" s="622"/>
      <c r="J2325" s="1721"/>
      <c r="K2325" s="622"/>
    </row>
    <row r="2326" spans="1:11" s="194" customFormat="1" ht="12" customHeight="1">
      <c r="A2326" s="421"/>
      <c r="B2326" s="151"/>
      <c r="C2326" s="209" t="s">
        <v>2058</v>
      </c>
      <c r="D2326" s="244"/>
      <c r="E2326" s="228"/>
      <c r="F2326" s="585"/>
      <c r="G2326" s="338"/>
      <c r="H2326" s="592"/>
      <c r="I2326" s="520"/>
      <c r="J2326" s="421"/>
      <c r="K2326" s="520"/>
    </row>
    <row r="2327" spans="1:11" s="341" customFormat="1">
      <c r="A2327" s="421"/>
      <c r="B2327" s="150"/>
      <c r="C2327" s="209" t="s">
        <v>2058</v>
      </c>
      <c r="D2327" s="244"/>
      <c r="E2327" s="228"/>
      <c r="F2327" s="585"/>
      <c r="G2327" s="338"/>
      <c r="H2327" s="592"/>
      <c r="I2327" s="520"/>
      <c r="J2327" s="589"/>
      <c r="K2327" s="520"/>
    </row>
    <row r="2328" spans="1:11" s="194" customFormat="1">
      <c r="A2328" s="589"/>
      <c r="B2328" s="913" t="s">
        <v>5821</v>
      </c>
      <c r="C2328" s="1679" t="s">
        <v>2058</v>
      </c>
      <c r="D2328" s="244"/>
      <c r="E2328" s="228"/>
      <c r="F2328" s="585"/>
      <c r="G2328" s="592"/>
      <c r="H2328" s="592"/>
      <c r="I2328" s="520"/>
      <c r="J2328" s="589"/>
      <c r="K2328" s="520"/>
    </row>
    <row r="2329" spans="1:11" s="194" customFormat="1">
      <c r="A2329" s="589"/>
      <c r="B2329" s="454" t="s">
        <v>1474</v>
      </c>
      <c r="C2329" s="209">
        <v>81</v>
      </c>
      <c r="D2329" s="244">
        <f t="shared" ref="D2329:D2349" si="332">C2329*(1-VLOOKUP(I2329,descuentos,6,FALSE))*fcl/IF(dol_sol="dólar", TC,1)</f>
        <v>19.676939507462684</v>
      </c>
      <c r="E2329" s="232">
        <v>5</v>
      </c>
      <c r="F2329" s="585">
        <f t="shared" ref="F2329:F2349" si="333">ROUNDUP(D2329+E2329,2)</f>
        <v>24.680000000000003</v>
      </c>
      <c r="G2329" s="338" t="s">
        <v>1163</v>
      </c>
      <c r="H2329" s="592" t="s">
        <v>1157</v>
      </c>
      <c r="I2329" s="520" t="s">
        <v>11649</v>
      </c>
      <c r="J2329" s="421" t="s">
        <v>753</v>
      </c>
      <c r="K2329" s="520" t="s">
        <v>741</v>
      </c>
    </row>
    <row r="2330" spans="1:11" s="194" customFormat="1">
      <c r="A2330" s="589"/>
      <c r="B2330" s="454" t="s">
        <v>1475</v>
      </c>
      <c r="C2330" s="209">
        <v>94</v>
      </c>
      <c r="D2330" s="244">
        <f t="shared" si="332"/>
        <v>22.834966835820893</v>
      </c>
      <c r="E2330" s="232">
        <v>5</v>
      </c>
      <c r="F2330" s="585">
        <f t="shared" si="333"/>
        <v>27.84</v>
      </c>
      <c r="G2330" s="338" t="s">
        <v>1167</v>
      </c>
      <c r="H2330" s="592" t="s">
        <v>1158</v>
      </c>
      <c r="I2330" s="520" t="s">
        <v>11649</v>
      </c>
      <c r="J2330" s="421" t="s">
        <v>753</v>
      </c>
      <c r="K2330" s="520" t="s">
        <v>741</v>
      </c>
    </row>
    <row r="2331" spans="1:11" s="194" customFormat="1">
      <c r="A2331" s="589"/>
      <c r="B2331" s="454" t="s">
        <v>1476</v>
      </c>
      <c r="C2331" s="209">
        <v>147</v>
      </c>
      <c r="D2331" s="244">
        <f t="shared" si="332"/>
        <v>35.71000132835821</v>
      </c>
      <c r="E2331" s="232">
        <v>5</v>
      </c>
      <c r="F2331" s="585">
        <f t="shared" si="333"/>
        <v>40.72</v>
      </c>
      <c r="G2331" s="338" t="s">
        <v>1164</v>
      </c>
      <c r="H2331" s="592" t="s">
        <v>1159</v>
      </c>
      <c r="I2331" s="520" t="s">
        <v>11649</v>
      </c>
      <c r="J2331" s="421" t="s">
        <v>753</v>
      </c>
      <c r="K2331" s="520" t="s">
        <v>741</v>
      </c>
    </row>
    <row r="2332" spans="1:11" s="194" customFormat="1">
      <c r="A2332" s="589"/>
      <c r="B2332" s="452" t="s">
        <v>1477</v>
      </c>
      <c r="C2332" s="209">
        <v>213</v>
      </c>
      <c r="D2332" s="244">
        <f t="shared" si="332"/>
        <v>51.743063149253722</v>
      </c>
      <c r="E2332" s="232">
        <v>5</v>
      </c>
      <c r="F2332" s="585">
        <f t="shared" si="333"/>
        <v>56.75</v>
      </c>
      <c r="G2332" s="338" t="s">
        <v>1165</v>
      </c>
      <c r="H2332" s="592" t="s">
        <v>1160</v>
      </c>
      <c r="I2332" s="520" t="s">
        <v>11649</v>
      </c>
      <c r="J2332" s="421" t="s">
        <v>753</v>
      </c>
      <c r="K2332" s="520" t="s">
        <v>741</v>
      </c>
    </row>
    <row r="2333" spans="1:11" s="194" customFormat="1">
      <c r="A2333" s="589"/>
      <c r="B2333" s="915" t="s">
        <v>2866</v>
      </c>
      <c r="C2333" s="209">
        <v>197</v>
      </c>
      <c r="D2333" s="244">
        <f t="shared" si="332"/>
        <v>47.856260283582081</v>
      </c>
      <c r="E2333" s="232">
        <v>4</v>
      </c>
      <c r="F2333" s="585">
        <f t="shared" si="333"/>
        <v>51.86</v>
      </c>
      <c r="G2333" s="338" t="s">
        <v>2873</v>
      </c>
      <c r="H2333" s="580" t="s">
        <v>2867</v>
      </c>
      <c r="I2333" s="520" t="s">
        <v>11649</v>
      </c>
      <c r="J2333" s="421" t="s">
        <v>753</v>
      </c>
      <c r="K2333" s="520" t="s">
        <v>741</v>
      </c>
    </row>
    <row r="2334" spans="1:11" s="194" customFormat="1">
      <c r="A2334" s="589"/>
      <c r="B2334" s="916" t="s">
        <v>2868</v>
      </c>
      <c r="C2334" s="910">
        <v>211</v>
      </c>
      <c r="D2334" s="451">
        <f t="shared" si="332"/>
        <v>51.257212791044772</v>
      </c>
      <c r="E2334" s="914">
        <v>5</v>
      </c>
      <c r="F2334" s="911">
        <f t="shared" si="333"/>
        <v>56.26</v>
      </c>
      <c r="G2334" s="912" t="s">
        <v>2874</v>
      </c>
      <c r="H2334" s="2022" t="s">
        <v>2869</v>
      </c>
      <c r="I2334" s="520" t="s">
        <v>11649</v>
      </c>
      <c r="J2334" s="421" t="s">
        <v>753</v>
      </c>
      <c r="K2334" s="520" t="s">
        <v>741</v>
      </c>
    </row>
    <row r="2335" spans="1:11" s="194" customFormat="1">
      <c r="A2335" s="589"/>
      <c r="B2335" s="452" t="s">
        <v>1478</v>
      </c>
      <c r="C2335" s="209">
        <v>308</v>
      </c>
      <c r="D2335" s="244">
        <f t="shared" si="332"/>
        <v>74.820955164179097</v>
      </c>
      <c r="E2335" s="228">
        <v>10</v>
      </c>
      <c r="F2335" s="585">
        <f t="shared" si="333"/>
        <v>84.83</v>
      </c>
      <c r="G2335" s="338" t="s">
        <v>1166</v>
      </c>
      <c r="H2335" s="592" t="s">
        <v>1161</v>
      </c>
      <c r="I2335" s="520" t="s">
        <v>11649</v>
      </c>
      <c r="J2335" s="421" t="s">
        <v>753</v>
      </c>
      <c r="K2335" s="520" t="s">
        <v>741</v>
      </c>
    </row>
    <row r="2336" spans="1:11" s="194" customFormat="1">
      <c r="A2336" s="589"/>
      <c r="B2336" s="915" t="s">
        <v>2870</v>
      </c>
      <c r="C2336" s="209">
        <v>292</v>
      </c>
      <c r="D2336" s="244">
        <f t="shared" si="332"/>
        <v>70.934152298507456</v>
      </c>
      <c r="E2336" s="232">
        <v>9</v>
      </c>
      <c r="F2336" s="585">
        <f t="shared" si="333"/>
        <v>79.940000000000012</v>
      </c>
      <c r="G2336" s="338" t="s">
        <v>2875</v>
      </c>
      <c r="H2336" s="580" t="s">
        <v>2871</v>
      </c>
      <c r="I2336" s="520" t="s">
        <v>11649</v>
      </c>
      <c r="J2336" s="421" t="s">
        <v>753</v>
      </c>
      <c r="K2336" s="520" t="s">
        <v>741</v>
      </c>
    </row>
    <row r="2337" spans="1:11" s="194" customFormat="1">
      <c r="A2337" s="589"/>
      <c r="B2337" s="916" t="s">
        <v>2872</v>
      </c>
      <c r="C2337" s="910">
        <v>321</v>
      </c>
      <c r="D2337" s="451">
        <f t="shared" si="332"/>
        <v>77.978982492537298</v>
      </c>
      <c r="E2337" s="914">
        <v>10</v>
      </c>
      <c r="F2337" s="911">
        <f t="shared" si="333"/>
        <v>87.98</v>
      </c>
      <c r="G2337" s="912" t="s">
        <v>2876</v>
      </c>
      <c r="H2337" s="2022" t="s">
        <v>2877</v>
      </c>
      <c r="I2337" s="520" t="s">
        <v>11649</v>
      </c>
      <c r="J2337" s="421" t="s">
        <v>753</v>
      </c>
      <c r="K2337" s="520" t="s">
        <v>741</v>
      </c>
    </row>
    <row r="2338" spans="1:11" s="194" customFormat="1">
      <c r="A2338" s="589"/>
      <c r="B2338" s="454" t="s">
        <v>2445</v>
      </c>
      <c r="C2338" s="209">
        <v>349</v>
      </c>
      <c r="D2338" s="244">
        <f t="shared" si="332"/>
        <v>84.78088750746268</v>
      </c>
      <c r="E2338" s="228">
        <v>10</v>
      </c>
      <c r="F2338" s="585">
        <f t="shared" si="333"/>
        <v>94.79</v>
      </c>
      <c r="G2338" s="338" t="s">
        <v>2446</v>
      </c>
      <c r="H2338" s="592" t="s">
        <v>2447</v>
      </c>
      <c r="I2338" s="520" t="s">
        <v>11649</v>
      </c>
      <c r="J2338" s="421" t="s">
        <v>753</v>
      </c>
      <c r="K2338" s="520" t="s">
        <v>741</v>
      </c>
    </row>
    <row r="2339" spans="1:11" s="194" customFormat="1">
      <c r="A2339" s="589"/>
      <c r="B2339" s="454" t="s">
        <v>7350</v>
      </c>
      <c r="C2339" s="209">
        <v>369</v>
      </c>
      <c r="D2339" s="244">
        <f>C2339*(1-VLOOKUP(I2339,descuentos,6,FALSE))*fcl/IF(dol_sol="dólar", TC,1)</f>
        <v>89.63939108955222</v>
      </c>
      <c r="E2339" s="228">
        <v>10</v>
      </c>
      <c r="F2339" s="585">
        <f t="shared" si="333"/>
        <v>99.64</v>
      </c>
      <c r="G2339" s="338" t="s">
        <v>7351</v>
      </c>
      <c r="H2339" s="592" t="s">
        <v>7352</v>
      </c>
      <c r="I2339" s="520" t="s">
        <v>11649</v>
      </c>
      <c r="J2339" s="421" t="s">
        <v>753</v>
      </c>
      <c r="K2339" s="520" t="s">
        <v>741</v>
      </c>
    </row>
    <row r="2340" spans="1:11" s="194" customFormat="1">
      <c r="A2340" s="589"/>
      <c r="B2340" s="1606" t="s">
        <v>4823</v>
      </c>
      <c r="C2340" s="209">
        <v>455</v>
      </c>
      <c r="D2340" s="244">
        <f>C2340*(1-VLOOKUP(I2340,descuentos,6,FALSE))*fcl/IF(dol_sol="dólar", TC,1)</f>
        <v>110.5309564925373</v>
      </c>
      <c r="E2340" s="228">
        <v>10</v>
      </c>
      <c r="F2340" s="585">
        <f t="shared" si="333"/>
        <v>120.54</v>
      </c>
      <c r="G2340" s="338" t="s">
        <v>4824</v>
      </c>
      <c r="H2340" s="580" t="s">
        <v>4825</v>
      </c>
      <c r="I2340" s="520" t="s">
        <v>11649</v>
      </c>
      <c r="J2340" s="421" t="s">
        <v>753</v>
      </c>
      <c r="K2340" s="520" t="s">
        <v>741</v>
      </c>
    </row>
    <row r="2341" spans="1:11" s="194" customFormat="1">
      <c r="A2341" s="589"/>
      <c r="B2341" s="1606" t="s">
        <v>4826</v>
      </c>
      <c r="C2341" s="209">
        <v>571</v>
      </c>
      <c r="D2341" s="244">
        <f>C2341*(1-VLOOKUP(I2341,descuentos,6,FALSE))*fcl/TC</f>
        <v>138.71027726865671</v>
      </c>
      <c r="E2341" s="232">
        <v>15</v>
      </c>
      <c r="F2341" s="585">
        <f t="shared" si="333"/>
        <v>153.72</v>
      </c>
      <c r="G2341" s="338" t="s">
        <v>4827</v>
      </c>
      <c r="H2341" s="580" t="s">
        <v>4828</v>
      </c>
      <c r="I2341" s="520" t="s">
        <v>11649</v>
      </c>
      <c r="J2341" s="421" t="s">
        <v>753</v>
      </c>
      <c r="K2341" s="520" t="s">
        <v>741</v>
      </c>
    </row>
    <row r="2342" spans="1:11" s="194" customFormat="1">
      <c r="A2342" s="589"/>
      <c r="B2342" s="484" t="s">
        <v>4829</v>
      </c>
      <c r="C2342" s="209">
        <v>701</v>
      </c>
      <c r="D2342" s="244">
        <f>C2342*(1-VLOOKUP(I2342,descuentos,6,FALSE))*fcl/TC</f>
        <v>170.29055055223878</v>
      </c>
      <c r="E2342" s="232">
        <v>15</v>
      </c>
      <c r="F2342" s="585">
        <f t="shared" si="333"/>
        <v>185.29999999999998</v>
      </c>
      <c r="G2342" s="338" t="s">
        <v>4830</v>
      </c>
      <c r="H2342" s="580" t="s">
        <v>4831</v>
      </c>
      <c r="I2342" s="520" t="s">
        <v>11649</v>
      </c>
      <c r="J2342" s="421" t="s">
        <v>753</v>
      </c>
      <c r="K2342" s="520" t="s">
        <v>741</v>
      </c>
    </row>
    <row r="2343" spans="1:11" s="194" customFormat="1">
      <c r="A2343" s="1680"/>
      <c r="B2343" s="484" t="s">
        <v>5822</v>
      </c>
      <c r="C2343" s="209">
        <v>900</v>
      </c>
      <c r="D2343" s="244">
        <f t="shared" ref="D2343:D2348" si="334">C2343*(1-VLOOKUP(I2343,descuentos,6,FALSE))*fcl/IF(dol_sol="dólar", TC,1)</f>
        <v>218.63266119402982</v>
      </c>
      <c r="E2343" s="228">
        <v>20</v>
      </c>
      <c r="F2343" s="585">
        <f t="shared" si="333"/>
        <v>238.64</v>
      </c>
      <c r="G2343" s="338" t="s">
        <v>5823</v>
      </c>
      <c r="H2343" s="580" t="s">
        <v>5824</v>
      </c>
      <c r="I2343" s="520" t="s">
        <v>11649</v>
      </c>
      <c r="J2343" s="421" t="s">
        <v>753</v>
      </c>
      <c r="K2343" s="520" t="s">
        <v>741</v>
      </c>
    </row>
    <row r="2344" spans="1:11" s="194" customFormat="1">
      <c r="A2344" s="1680"/>
      <c r="B2344" s="484" t="s">
        <v>5825</v>
      </c>
      <c r="C2344" s="209">
        <v>1126</v>
      </c>
      <c r="D2344" s="244">
        <f t="shared" si="334"/>
        <v>273.53375167164177</v>
      </c>
      <c r="E2344" s="228">
        <v>20</v>
      </c>
      <c r="F2344" s="585">
        <f t="shared" si="333"/>
        <v>293.53999999999996</v>
      </c>
      <c r="G2344" s="338" t="s">
        <v>5826</v>
      </c>
      <c r="H2344" s="580" t="s">
        <v>5827</v>
      </c>
      <c r="I2344" s="520" t="s">
        <v>11649</v>
      </c>
      <c r="J2344" s="421" t="s">
        <v>753</v>
      </c>
      <c r="K2344" s="520" t="s">
        <v>741</v>
      </c>
    </row>
    <row r="2345" spans="1:11" s="194" customFormat="1">
      <c r="A2345" s="1680"/>
      <c r="B2345" s="484" t="s">
        <v>7353</v>
      </c>
      <c r="C2345" s="209">
        <v>1221</v>
      </c>
      <c r="D2345" s="244">
        <f t="shared" si="334"/>
        <v>296.61164368656716</v>
      </c>
      <c r="E2345" s="228">
        <v>20</v>
      </c>
      <c r="F2345" s="585">
        <f t="shared" si="333"/>
        <v>316.62</v>
      </c>
      <c r="G2345" s="338" t="s">
        <v>7354</v>
      </c>
      <c r="H2345" s="580" t="s">
        <v>7355</v>
      </c>
      <c r="I2345" s="520" t="s">
        <v>11649</v>
      </c>
      <c r="J2345" s="421" t="s">
        <v>753</v>
      </c>
      <c r="K2345" s="520" t="s">
        <v>741</v>
      </c>
    </row>
    <row r="2346" spans="1:11" s="194" customFormat="1">
      <c r="A2346" s="1680"/>
      <c r="B2346" s="484" t="s">
        <v>7356</v>
      </c>
      <c r="C2346" s="209">
        <v>1390</v>
      </c>
      <c r="D2346" s="244">
        <f t="shared" si="334"/>
        <v>337.66599895522381</v>
      </c>
      <c r="E2346" s="228">
        <v>20</v>
      </c>
      <c r="F2346" s="585">
        <f t="shared" si="333"/>
        <v>357.67</v>
      </c>
      <c r="G2346" s="338" t="s">
        <v>7357</v>
      </c>
      <c r="H2346" s="580" t="s">
        <v>7358</v>
      </c>
      <c r="I2346" s="520" t="s">
        <v>11649</v>
      </c>
      <c r="J2346" s="421" t="s">
        <v>753</v>
      </c>
      <c r="K2346" s="520" t="s">
        <v>741</v>
      </c>
    </row>
    <row r="2347" spans="1:11" s="194" customFormat="1">
      <c r="A2347" s="1680"/>
      <c r="B2347" s="484" t="s">
        <v>5828</v>
      </c>
      <c r="C2347" s="209">
        <v>1690</v>
      </c>
      <c r="D2347" s="244">
        <f t="shared" si="334"/>
        <v>410.54355268656707</v>
      </c>
      <c r="E2347" s="228">
        <v>40</v>
      </c>
      <c r="F2347" s="585">
        <f t="shared" si="333"/>
        <v>450.55</v>
      </c>
      <c r="G2347" s="338" t="s">
        <v>5829</v>
      </c>
      <c r="H2347" s="580" t="s">
        <v>5830</v>
      </c>
      <c r="I2347" s="520" t="s">
        <v>11649</v>
      </c>
      <c r="J2347" s="421" t="s">
        <v>753</v>
      </c>
      <c r="K2347" s="520" t="s">
        <v>741</v>
      </c>
    </row>
    <row r="2348" spans="1:11" s="194" customFormat="1">
      <c r="A2348" s="1680"/>
      <c r="B2348" s="484" t="s">
        <v>9605</v>
      </c>
      <c r="C2348" s="209">
        <v>1922</v>
      </c>
      <c r="D2348" s="244">
        <f t="shared" si="334"/>
        <v>466.90219423880586</v>
      </c>
      <c r="E2348" s="228">
        <v>40</v>
      </c>
      <c r="F2348" s="585">
        <f t="shared" si="333"/>
        <v>506.90999999999997</v>
      </c>
      <c r="G2348" s="338" t="s">
        <v>9606</v>
      </c>
      <c r="H2348" s="580" t="s">
        <v>9607</v>
      </c>
      <c r="I2348" s="520" t="s">
        <v>11649</v>
      </c>
      <c r="J2348" s="421" t="s">
        <v>753</v>
      </c>
      <c r="K2348" s="520" t="s">
        <v>741</v>
      </c>
    </row>
    <row r="2349" spans="1:11" s="194" customFormat="1">
      <c r="A2349" s="1680"/>
      <c r="B2349" s="484" t="s">
        <v>5831</v>
      </c>
      <c r="C2349" s="209">
        <v>2168</v>
      </c>
      <c r="D2349" s="244">
        <f t="shared" si="332"/>
        <v>526.66178829850742</v>
      </c>
      <c r="E2349" s="228">
        <v>40</v>
      </c>
      <c r="F2349" s="585">
        <f t="shared" si="333"/>
        <v>566.66999999999996</v>
      </c>
      <c r="G2349" s="338" t="s">
        <v>5832</v>
      </c>
      <c r="H2349" s="580" t="s">
        <v>1432</v>
      </c>
      <c r="I2349" s="520" t="s">
        <v>11649</v>
      </c>
      <c r="J2349" s="421" t="s">
        <v>753</v>
      </c>
      <c r="K2349" s="520" t="s">
        <v>741</v>
      </c>
    </row>
    <row r="2350" spans="1:11" s="194" customFormat="1">
      <c r="A2350" s="589"/>
      <c r="B2350" s="151"/>
      <c r="C2350" s="209" t="s">
        <v>2058</v>
      </c>
      <c r="D2350" s="244"/>
      <c r="E2350" s="228"/>
      <c r="F2350" s="585"/>
      <c r="G2350" s="338"/>
      <c r="H2350" s="592"/>
      <c r="I2350" s="520"/>
      <c r="J2350" s="421"/>
      <c r="K2350" s="520"/>
    </row>
    <row r="2351" spans="1:11" s="194" customFormat="1">
      <c r="A2351" s="1651"/>
      <c r="B2351" s="902" t="s">
        <v>9608</v>
      </c>
      <c r="C2351" s="209">
        <v>4560</v>
      </c>
      <c r="D2351" s="244">
        <f t="shared" ref="D2351" si="335">C2351*(1-VLOOKUP(I2351,descuentos,6,FALSE))*fcl/IF(dol_sol="dólar", TC,1)</f>
        <v>1107.7388167164177</v>
      </c>
      <c r="E2351" s="228">
        <v>40</v>
      </c>
      <c r="F2351" s="585">
        <f t="shared" ref="F2351" si="336">ROUNDUP(D2351+E2351,2)</f>
        <v>1147.74</v>
      </c>
      <c r="G2351" s="338" t="s">
        <v>9609</v>
      </c>
      <c r="H2351" s="580" t="s">
        <v>9610</v>
      </c>
      <c r="I2351" s="520" t="s">
        <v>11649</v>
      </c>
      <c r="J2351" s="421" t="s">
        <v>753</v>
      </c>
      <c r="K2351" s="520" t="s">
        <v>741</v>
      </c>
    </row>
    <row r="2352" spans="1:11" s="194" customFormat="1">
      <c r="A2352" s="589"/>
      <c r="B2352" s="151"/>
      <c r="C2352" s="209" t="s">
        <v>2058</v>
      </c>
      <c r="D2352" s="244"/>
      <c r="E2352" s="228"/>
      <c r="F2352" s="585"/>
      <c r="G2352" s="338"/>
      <c r="H2352" s="592"/>
      <c r="I2352" s="520"/>
      <c r="J2352" s="421"/>
      <c r="K2352" s="520"/>
    </row>
    <row r="2353" spans="1:11" s="194" customFormat="1">
      <c r="A2353" s="589"/>
      <c r="B2353" s="913" t="s">
        <v>5833</v>
      </c>
      <c r="C2353" s="1679" t="s">
        <v>2058</v>
      </c>
      <c r="D2353" s="244"/>
      <c r="E2353" s="228"/>
      <c r="F2353" s="585"/>
      <c r="G2353" s="592"/>
      <c r="H2353" s="592"/>
      <c r="I2353" s="520"/>
      <c r="J2353" s="589"/>
      <c r="K2353" s="520"/>
    </row>
    <row r="2354" spans="1:11" s="194" customFormat="1">
      <c r="A2354" s="589"/>
      <c r="B2354" s="454" t="s">
        <v>5834</v>
      </c>
      <c r="C2354" s="209">
        <v>81</v>
      </c>
      <c r="D2354" s="244">
        <f t="shared" ref="D2354:D2360" si="337">C2354*(1-VLOOKUP(I2354,descuentos,6,FALSE))*fcl/IF(dol_sol="dólar", TC,1)</f>
        <v>19.676939507462684</v>
      </c>
      <c r="E2354" s="232">
        <v>5</v>
      </c>
      <c r="F2354" s="585">
        <f t="shared" ref="F2354:F2359" si="338">ROUNDUP(D2354+E2354,2)</f>
        <v>24.680000000000003</v>
      </c>
      <c r="G2354" s="338" t="s">
        <v>5835</v>
      </c>
      <c r="H2354" s="592" t="s">
        <v>5836</v>
      </c>
      <c r="I2354" s="520" t="s">
        <v>11649</v>
      </c>
      <c r="J2354" s="421" t="s">
        <v>753</v>
      </c>
      <c r="K2354" s="520" t="s">
        <v>741</v>
      </c>
    </row>
    <row r="2355" spans="1:11" s="194" customFormat="1">
      <c r="A2355" s="589"/>
      <c r="B2355" s="454" t="s">
        <v>5837</v>
      </c>
      <c r="C2355" s="209">
        <v>94</v>
      </c>
      <c r="D2355" s="244">
        <f t="shared" si="337"/>
        <v>22.834966835820893</v>
      </c>
      <c r="E2355" s="232">
        <v>5</v>
      </c>
      <c r="F2355" s="585">
        <f t="shared" si="338"/>
        <v>27.84</v>
      </c>
      <c r="G2355" s="338" t="s">
        <v>5838</v>
      </c>
      <c r="H2355" s="592" t="s">
        <v>5839</v>
      </c>
      <c r="I2355" s="520" t="s">
        <v>11649</v>
      </c>
      <c r="J2355" s="421" t="s">
        <v>753</v>
      </c>
      <c r="K2355" s="520" t="s">
        <v>741</v>
      </c>
    </row>
    <row r="2356" spans="1:11" s="194" customFormat="1">
      <c r="A2356" s="589"/>
      <c r="B2356" s="454" t="s">
        <v>5840</v>
      </c>
      <c r="C2356" s="209">
        <v>147</v>
      </c>
      <c r="D2356" s="244">
        <f t="shared" si="337"/>
        <v>35.71000132835821</v>
      </c>
      <c r="E2356" s="232">
        <v>5</v>
      </c>
      <c r="F2356" s="585">
        <f t="shared" si="338"/>
        <v>40.72</v>
      </c>
      <c r="G2356" s="338" t="s">
        <v>5841</v>
      </c>
      <c r="H2356" s="592" t="s">
        <v>5842</v>
      </c>
      <c r="I2356" s="520" t="s">
        <v>11649</v>
      </c>
      <c r="J2356" s="421" t="s">
        <v>753</v>
      </c>
      <c r="K2356" s="520" t="s">
        <v>741</v>
      </c>
    </row>
    <row r="2357" spans="1:11" s="194" customFormat="1">
      <c r="A2357" s="589"/>
      <c r="B2357" s="452" t="s">
        <v>5843</v>
      </c>
      <c r="C2357" s="209">
        <v>213</v>
      </c>
      <c r="D2357" s="244">
        <f t="shared" si="337"/>
        <v>51.743063149253722</v>
      </c>
      <c r="E2357" s="232">
        <v>5</v>
      </c>
      <c r="F2357" s="585">
        <f t="shared" si="338"/>
        <v>56.75</v>
      </c>
      <c r="G2357" s="338" t="s">
        <v>5844</v>
      </c>
      <c r="H2357" s="592" t="s">
        <v>5845</v>
      </c>
      <c r="I2357" s="520" t="s">
        <v>11649</v>
      </c>
      <c r="J2357" s="421" t="s">
        <v>753</v>
      </c>
      <c r="K2357" s="520" t="s">
        <v>741</v>
      </c>
    </row>
    <row r="2358" spans="1:11" s="194" customFormat="1">
      <c r="A2358" s="589"/>
      <c r="B2358" s="452" t="s">
        <v>5846</v>
      </c>
      <c r="C2358" s="209">
        <v>308</v>
      </c>
      <c r="D2358" s="244">
        <f t="shared" si="337"/>
        <v>74.820955164179097</v>
      </c>
      <c r="E2358" s="228">
        <v>10</v>
      </c>
      <c r="F2358" s="585">
        <f t="shared" si="338"/>
        <v>84.83</v>
      </c>
      <c r="G2358" s="338" t="s">
        <v>5847</v>
      </c>
      <c r="H2358" s="592" t="s">
        <v>5848</v>
      </c>
      <c r="I2358" s="520" t="s">
        <v>11649</v>
      </c>
      <c r="J2358" s="421" t="s">
        <v>753</v>
      </c>
      <c r="K2358" s="520" t="s">
        <v>741</v>
      </c>
    </row>
    <row r="2359" spans="1:11" s="194" customFormat="1">
      <c r="A2359" s="589"/>
      <c r="B2359" s="454" t="s">
        <v>5849</v>
      </c>
      <c r="C2359" s="209">
        <v>349</v>
      </c>
      <c r="D2359" s="244">
        <f t="shared" si="337"/>
        <v>84.78088750746268</v>
      </c>
      <c r="E2359" s="228">
        <v>10</v>
      </c>
      <c r="F2359" s="585">
        <f t="shared" si="338"/>
        <v>94.79</v>
      </c>
      <c r="G2359" s="338" t="s">
        <v>5850</v>
      </c>
      <c r="H2359" s="592" t="s">
        <v>5851</v>
      </c>
      <c r="I2359" s="520" t="s">
        <v>11649</v>
      </c>
      <c r="J2359" s="421" t="s">
        <v>753</v>
      </c>
      <c r="K2359" s="520" t="s">
        <v>741</v>
      </c>
    </row>
    <row r="2360" spans="1:11" s="194" customFormat="1">
      <c r="A2360" s="589"/>
      <c r="B2360" s="1606" t="s">
        <v>5852</v>
      </c>
      <c r="C2360" s="209">
        <v>649</v>
      </c>
      <c r="D2360" s="244">
        <f t="shared" si="337"/>
        <v>157.65844123880595</v>
      </c>
      <c r="E2360" s="228">
        <v>10</v>
      </c>
      <c r="F2360" s="585">
        <f>ROUNDUP(D2360+E2360,2)</f>
        <v>167.66</v>
      </c>
      <c r="G2360" s="338" t="s">
        <v>5853</v>
      </c>
      <c r="H2360" s="580" t="s">
        <v>5854</v>
      </c>
      <c r="I2360" s="520" t="s">
        <v>11649</v>
      </c>
      <c r="J2360" s="421" t="s">
        <v>753</v>
      </c>
      <c r="K2360" s="520" t="s">
        <v>741</v>
      </c>
    </row>
    <row r="2361" spans="1:11" s="194" customFormat="1">
      <c r="A2361" s="589"/>
      <c r="B2361" s="1606" t="s">
        <v>5855</v>
      </c>
      <c r="C2361" s="209">
        <v>702</v>
      </c>
      <c r="D2361" s="244">
        <f>C2361*(1-VLOOKUP(I2361,descuentos,6,FALSE))*fcl/TC</f>
        <v>170.53347573134326</v>
      </c>
      <c r="E2361" s="232">
        <v>15</v>
      </c>
      <c r="F2361" s="585">
        <f>ROUNDUP(D2361+E2361,2)</f>
        <v>185.54</v>
      </c>
      <c r="G2361" s="338" t="s">
        <v>5856</v>
      </c>
      <c r="H2361" s="580" t="s">
        <v>5857</v>
      </c>
      <c r="I2361" s="520" t="s">
        <v>11649</v>
      </c>
      <c r="J2361" s="421" t="s">
        <v>753</v>
      </c>
      <c r="K2361" s="520" t="s">
        <v>741</v>
      </c>
    </row>
    <row r="2362" spans="1:11" s="194" customFormat="1">
      <c r="A2362" s="589"/>
      <c r="B2362" s="484" t="s">
        <v>5858</v>
      </c>
      <c r="C2362" s="209">
        <v>835</v>
      </c>
      <c r="D2362" s="244">
        <f>C2362*(1-VLOOKUP(I2362,descuentos,6,FALSE))*fcl/TC</f>
        <v>202.84252455223881</v>
      </c>
      <c r="E2362" s="232">
        <v>15</v>
      </c>
      <c r="F2362" s="585">
        <f>ROUNDUP(D2362+E2362,2)</f>
        <v>217.85</v>
      </c>
      <c r="G2362" s="338" t="s">
        <v>5859</v>
      </c>
      <c r="H2362" s="580" t="s">
        <v>5860</v>
      </c>
      <c r="I2362" s="520" t="s">
        <v>11649</v>
      </c>
      <c r="J2362" s="421" t="s">
        <v>753</v>
      </c>
      <c r="K2362" s="520" t="s">
        <v>741</v>
      </c>
    </row>
    <row r="2363" spans="1:11" s="194" customFormat="1">
      <c r="A2363" s="1680"/>
      <c r="B2363" s="484" t="s">
        <v>5861</v>
      </c>
      <c r="C2363" s="209">
        <v>974</v>
      </c>
      <c r="D2363" s="244">
        <f>C2363*(1-VLOOKUP(I2363,descuentos,6,FALSE))*fcl/IF(dol_sol="dólar", TC,1)</f>
        <v>236.60912444776116</v>
      </c>
      <c r="E2363" s="228">
        <v>20</v>
      </c>
      <c r="F2363" s="585">
        <f>ROUNDUP(D2363+E2363,2)</f>
        <v>256.61</v>
      </c>
      <c r="G2363" s="338" t="s">
        <v>5862</v>
      </c>
      <c r="H2363" s="580" t="s">
        <v>5863</v>
      </c>
      <c r="I2363" s="520" t="s">
        <v>11649</v>
      </c>
      <c r="J2363" s="421" t="s">
        <v>753</v>
      </c>
      <c r="K2363" s="520" t="s">
        <v>741</v>
      </c>
    </row>
    <row r="2364" spans="1:11" s="194" customFormat="1">
      <c r="A2364" s="1680"/>
      <c r="B2364" s="484" t="s">
        <v>5864</v>
      </c>
      <c r="C2364" s="209">
        <v>1428</v>
      </c>
      <c r="D2364" s="244">
        <f>C2364*(1-VLOOKUP(I2364,descuentos,6,FALSE))*fcl/IF(dol_sol="dólar", TC,1)</f>
        <v>346.89715576119403</v>
      </c>
      <c r="E2364" s="228">
        <v>20</v>
      </c>
      <c r="F2364" s="585">
        <f>ROUNDUP(D2364+E2364,2)</f>
        <v>366.9</v>
      </c>
      <c r="G2364" s="338" t="s">
        <v>5865</v>
      </c>
      <c r="H2364" s="580" t="s">
        <v>5866</v>
      </c>
      <c r="I2364" s="520" t="s">
        <v>11649</v>
      </c>
      <c r="J2364" s="421" t="s">
        <v>753</v>
      </c>
      <c r="K2364" s="520" t="s">
        <v>741</v>
      </c>
    </row>
    <row r="2365" spans="1:11" s="194" customFormat="1">
      <c r="A2365" s="589"/>
      <c r="B2365" s="151"/>
      <c r="C2365" s="209" t="s">
        <v>2058</v>
      </c>
      <c r="D2365" s="244"/>
      <c r="E2365" s="228"/>
      <c r="F2365" s="585"/>
      <c r="G2365" s="338"/>
      <c r="H2365" s="592"/>
      <c r="I2365" s="520"/>
      <c r="J2365" s="421"/>
      <c r="K2365" s="520"/>
    </row>
    <row r="2366" spans="1:11" s="194" customFormat="1">
      <c r="A2366" s="589"/>
      <c r="B2366" s="151"/>
      <c r="C2366" s="209" t="s">
        <v>2058</v>
      </c>
      <c r="D2366" s="244"/>
      <c r="E2366" s="228"/>
      <c r="F2366" s="585"/>
      <c r="G2366" s="338"/>
      <c r="H2366" s="592"/>
      <c r="I2366" s="520"/>
      <c r="J2366" s="421"/>
      <c r="K2366" s="520"/>
    </row>
    <row r="2367" spans="1:11" s="194" customFormat="1">
      <c r="A2367" s="589"/>
      <c r="B2367" s="913" t="s">
        <v>2865</v>
      </c>
      <c r="C2367" s="209" t="s">
        <v>2058</v>
      </c>
      <c r="D2367" s="244"/>
      <c r="E2367" s="228"/>
      <c r="F2367" s="585"/>
      <c r="G2367" s="338"/>
      <c r="H2367" s="592"/>
      <c r="I2367" s="520"/>
      <c r="J2367" s="421"/>
      <c r="K2367" s="520"/>
    </row>
    <row r="2368" spans="1:11" s="194" customFormat="1">
      <c r="A2368" s="589"/>
      <c r="B2368" s="473" t="s">
        <v>2436</v>
      </c>
      <c r="C2368" s="389">
        <v>93</v>
      </c>
      <c r="D2368" s="388">
        <f t="shared" ref="D2368:D2376" si="339">C2368*(1-VLOOKUP(I2368,descuentos,6,FALSE))*fcl/IF(dol_sol="dólar", TC,1)</f>
        <v>22.592041656716418</v>
      </c>
      <c r="E2368" s="645">
        <v>5</v>
      </c>
      <c r="F2368" s="582">
        <f t="shared" ref="F2368:F2378" si="340">ROUNDUP(D2368+E2368,2)</f>
        <v>27.6</v>
      </c>
      <c r="G2368" s="394" t="s">
        <v>2437</v>
      </c>
      <c r="H2368" s="592" t="s">
        <v>2438</v>
      </c>
      <c r="I2368" s="520" t="s">
        <v>11649</v>
      </c>
      <c r="J2368" s="421" t="s">
        <v>753</v>
      </c>
      <c r="K2368" s="520" t="s">
        <v>741</v>
      </c>
    </row>
    <row r="2369" spans="1:11" s="194" customFormat="1">
      <c r="A2369" s="589"/>
      <c r="B2369" s="473" t="s">
        <v>2439</v>
      </c>
      <c r="C2369" s="389">
        <v>144</v>
      </c>
      <c r="D2369" s="388">
        <f t="shared" si="339"/>
        <v>34.981225791044771</v>
      </c>
      <c r="E2369" s="645">
        <v>5</v>
      </c>
      <c r="F2369" s="582">
        <f t="shared" si="340"/>
        <v>39.989999999999995</v>
      </c>
      <c r="G2369" s="394" t="s">
        <v>2440</v>
      </c>
      <c r="H2369" s="592" t="s">
        <v>2441</v>
      </c>
      <c r="I2369" s="520" t="s">
        <v>11649</v>
      </c>
      <c r="J2369" s="421" t="s">
        <v>753</v>
      </c>
      <c r="K2369" s="520" t="s">
        <v>741</v>
      </c>
    </row>
    <row r="2370" spans="1:11" s="194" customFormat="1">
      <c r="A2370" s="421"/>
      <c r="B2370" s="646" t="s">
        <v>2442</v>
      </c>
      <c r="C2370" s="389">
        <v>219</v>
      </c>
      <c r="D2370" s="388">
        <f t="shared" si="339"/>
        <v>53.200614223880592</v>
      </c>
      <c r="E2370" s="647">
        <v>5</v>
      </c>
      <c r="F2370" s="582">
        <f t="shared" si="340"/>
        <v>58.21</v>
      </c>
      <c r="G2370" s="394" t="s">
        <v>2443</v>
      </c>
      <c r="H2370" s="592" t="s">
        <v>2444</v>
      </c>
      <c r="I2370" s="520" t="s">
        <v>11649</v>
      </c>
      <c r="J2370" s="421" t="s">
        <v>753</v>
      </c>
      <c r="K2370" s="520" t="s">
        <v>741</v>
      </c>
    </row>
    <row r="2371" spans="1:11" s="194" customFormat="1">
      <c r="A2371" s="421"/>
      <c r="B2371" s="646" t="s">
        <v>2860</v>
      </c>
      <c r="C2371" s="389">
        <v>362</v>
      </c>
      <c r="D2371" s="388">
        <f t="shared" si="339"/>
        <v>87.938914835820881</v>
      </c>
      <c r="E2371" s="647">
        <v>10</v>
      </c>
      <c r="F2371" s="582">
        <f t="shared" si="340"/>
        <v>97.940000000000012</v>
      </c>
      <c r="G2371" s="586" t="s">
        <v>2448</v>
      </c>
      <c r="H2371" s="592" t="s">
        <v>2449</v>
      </c>
      <c r="I2371" s="520" t="s">
        <v>11649</v>
      </c>
      <c r="J2371" s="421" t="s">
        <v>753</v>
      </c>
      <c r="K2371" s="520" t="s">
        <v>741</v>
      </c>
    </row>
    <row r="2372" spans="1:11" s="194" customFormat="1">
      <c r="A2372" s="421"/>
      <c r="B2372" s="473" t="s">
        <v>2450</v>
      </c>
      <c r="C2372" s="389">
        <v>1016</v>
      </c>
      <c r="D2372" s="388">
        <f t="shared" si="339"/>
        <v>246.81198197014922</v>
      </c>
      <c r="E2372" s="386">
        <v>20</v>
      </c>
      <c r="F2372" s="582">
        <f t="shared" si="340"/>
        <v>266.82</v>
      </c>
      <c r="G2372" s="394" t="s">
        <v>2451</v>
      </c>
      <c r="H2372" s="592" t="s">
        <v>2452</v>
      </c>
      <c r="I2372" s="520" t="s">
        <v>11649</v>
      </c>
      <c r="J2372" s="421" t="s">
        <v>753</v>
      </c>
      <c r="K2372" s="520" t="s">
        <v>741</v>
      </c>
    </row>
    <row r="2373" spans="1:11" s="194" customFormat="1">
      <c r="A2373" s="421"/>
      <c r="B2373" s="473" t="s">
        <v>2453</v>
      </c>
      <c r="C2373" s="389">
        <v>1238</v>
      </c>
      <c r="D2373" s="388">
        <f t="shared" si="339"/>
        <v>300.74137173134324</v>
      </c>
      <c r="E2373" s="386">
        <v>20</v>
      </c>
      <c r="F2373" s="582">
        <f t="shared" si="340"/>
        <v>320.75</v>
      </c>
      <c r="G2373" s="394" t="s">
        <v>2454</v>
      </c>
      <c r="H2373" s="592" t="s">
        <v>2455</v>
      </c>
      <c r="I2373" s="520" t="s">
        <v>11649</v>
      </c>
      <c r="J2373" s="421" t="s">
        <v>753</v>
      </c>
      <c r="K2373" s="520" t="s">
        <v>741</v>
      </c>
    </row>
    <row r="2374" spans="1:11" s="194" customFormat="1">
      <c r="A2374" s="421"/>
      <c r="B2374" s="473" t="s">
        <v>2456</v>
      </c>
      <c r="C2374" s="389">
        <v>1018</v>
      </c>
      <c r="D2374" s="388">
        <f t="shared" si="339"/>
        <v>247.2978323283582</v>
      </c>
      <c r="E2374" s="386">
        <v>20</v>
      </c>
      <c r="F2374" s="582">
        <f t="shared" si="340"/>
        <v>267.3</v>
      </c>
      <c r="G2374" s="394" t="s">
        <v>2457</v>
      </c>
      <c r="H2374" s="592" t="s">
        <v>2458</v>
      </c>
      <c r="I2374" s="520" t="s">
        <v>11649</v>
      </c>
      <c r="J2374" s="421" t="s">
        <v>753</v>
      </c>
      <c r="K2374" s="520" t="s">
        <v>741</v>
      </c>
    </row>
    <row r="2375" spans="1:11" s="2300" customFormat="1">
      <c r="A2375" s="1967"/>
      <c r="B2375" s="2292" t="s">
        <v>13879</v>
      </c>
      <c r="C2375" s="2293">
        <v>1697</v>
      </c>
      <c r="D2375" s="2294">
        <f t="shared" ref="D2375" si="341">C2375*(1-VLOOKUP(I2375,descuentos,6,FALSE))*fcl/IF(dol_sol="dólar", TC,1)</f>
        <v>412.24402894029845</v>
      </c>
      <c r="E2375" s="2295">
        <v>20</v>
      </c>
      <c r="F2375" s="2296">
        <f t="shared" si="340"/>
        <v>432.25</v>
      </c>
      <c r="G2375" s="2297" t="s">
        <v>13880</v>
      </c>
      <c r="H2375" s="2298" t="s">
        <v>13881</v>
      </c>
      <c r="I2375" s="2299" t="s">
        <v>11649</v>
      </c>
      <c r="J2375" s="1967" t="s">
        <v>753</v>
      </c>
      <c r="K2375" s="2299" t="s">
        <v>741</v>
      </c>
    </row>
    <row r="2376" spans="1:11" s="194" customFormat="1">
      <c r="A2376" s="421"/>
      <c r="B2376" s="151" t="s">
        <v>13882</v>
      </c>
      <c r="C2376" s="209">
        <v>1977</v>
      </c>
      <c r="D2376" s="244">
        <f t="shared" si="339"/>
        <v>480.26307908955221</v>
      </c>
      <c r="E2376" s="228">
        <v>20</v>
      </c>
      <c r="F2376" s="585">
        <f t="shared" si="340"/>
        <v>500.27</v>
      </c>
      <c r="G2376" s="338" t="s">
        <v>13883</v>
      </c>
      <c r="H2376" s="592" t="s">
        <v>13884</v>
      </c>
      <c r="I2376" s="520" t="s">
        <v>11649</v>
      </c>
      <c r="J2376" s="421" t="s">
        <v>753</v>
      </c>
      <c r="K2376" s="520" t="s">
        <v>741</v>
      </c>
    </row>
    <row r="2377" spans="1:11" s="194" customFormat="1">
      <c r="A2377" s="421"/>
      <c r="B2377" s="473" t="s">
        <v>12724</v>
      </c>
      <c r="C2377" s="389">
        <v>3467</v>
      </c>
      <c r="D2377" s="388">
        <f t="shared" ref="D2377" si="342">C2377*(1-VLOOKUP(I2377,descuentos,6,FALSE))*fcl/IF(dol_sol="dólar", TC,1)</f>
        <v>842.22159595522385</v>
      </c>
      <c r="E2377" s="386">
        <v>20</v>
      </c>
      <c r="F2377" s="582">
        <f t="shared" si="340"/>
        <v>862.23</v>
      </c>
      <c r="G2377" s="394" t="s">
        <v>12725</v>
      </c>
      <c r="H2377" s="592" t="s">
        <v>12726</v>
      </c>
      <c r="I2377" s="520" t="s">
        <v>11649</v>
      </c>
      <c r="J2377" s="421" t="s">
        <v>753</v>
      </c>
      <c r="K2377" s="520" t="s">
        <v>741</v>
      </c>
    </row>
    <row r="2378" spans="1:11" s="194" customFormat="1">
      <c r="A2378" s="421"/>
      <c r="B2378" s="473" t="s">
        <v>13885</v>
      </c>
      <c r="C2378" s="389">
        <v>3779</v>
      </c>
      <c r="D2378" s="388">
        <f t="shared" ref="D2378" si="343">C2378*(1-VLOOKUP(I2378,descuentos,6,FALSE))*fcl/IF(dol_sol="dólar", TC,1)</f>
        <v>918.0142518358208</v>
      </c>
      <c r="E2378" s="386">
        <v>20</v>
      </c>
      <c r="F2378" s="582">
        <f t="shared" si="340"/>
        <v>938.02</v>
      </c>
      <c r="G2378" s="394" t="s">
        <v>13886</v>
      </c>
      <c r="H2378" s="592" t="s">
        <v>13887</v>
      </c>
      <c r="I2378" s="520" t="s">
        <v>11649</v>
      </c>
      <c r="J2378" s="421" t="s">
        <v>753</v>
      </c>
      <c r="K2378" s="520" t="s">
        <v>741</v>
      </c>
    </row>
    <row r="2379" spans="1:11" s="194" customFormat="1">
      <c r="A2379" s="421"/>
      <c r="B2379" s="151"/>
      <c r="C2379" s="209" t="s">
        <v>2058</v>
      </c>
      <c r="D2379" s="244"/>
      <c r="E2379" s="228"/>
      <c r="F2379" s="585"/>
      <c r="G2379" s="338"/>
      <c r="H2379" s="592"/>
      <c r="I2379" s="520"/>
      <c r="J2379" s="421"/>
      <c r="K2379" s="520"/>
    </row>
    <row r="2380" spans="1:11" s="194" customFormat="1">
      <c r="A2380" s="421"/>
      <c r="B2380" s="473" t="s">
        <v>12727</v>
      </c>
      <c r="C2380" s="389">
        <v>5943</v>
      </c>
      <c r="D2380" s="388">
        <f t="shared" ref="D2380" si="344">C2380*(1-VLOOKUP(I2380,descuentos,6,FALSE))*fcl/IF(dol_sol="dólar", TC,1)</f>
        <v>1443.7043394179104</v>
      </c>
      <c r="E2380" s="386">
        <v>20</v>
      </c>
      <c r="F2380" s="582">
        <f t="shared" ref="F2380" si="345">ROUNDUP(D2380+E2380,2)</f>
        <v>1463.71</v>
      </c>
      <c r="G2380" s="394" t="s">
        <v>12728</v>
      </c>
      <c r="H2380" s="592" t="s">
        <v>12729</v>
      </c>
      <c r="I2380" s="520" t="s">
        <v>11649</v>
      </c>
      <c r="J2380" s="421" t="s">
        <v>753</v>
      </c>
      <c r="K2380" s="520" t="s">
        <v>741</v>
      </c>
    </row>
    <row r="2381" spans="1:11" s="194" customFormat="1">
      <c r="A2381" s="421"/>
      <c r="B2381" s="151"/>
      <c r="C2381" s="209" t="s">
        <v>2058</v>
      </c>
      <c r="D2381" s="244"/>
      <c r="E2381" s="228"/>
      <c r="F2381" s="585"/>
      <c r="G2381" s="338"/>
      <c r="H2381" s="592"/>
      <c r="I2381" s="520"/>
      <c r="J2381" s="421"/>
      <c r="K2381" s="520"/>
    </row>
    <row r="2382" spans="1:11" s="194" customFormat="1">
      <c r="A2382" s="421"/>
      <c r="B2382" s="473" t="s">
        <v>12822</v>
      </c>
      <c r="C2382" s="389">
        <v>110</v>
      </c>
      <c r="D2382" s="388">
        <f t="shared" ref="D2382" si="346">C2382*(1-VLOOKUP(I2382,descuentos,6,FALSE))*fcl/IF(dol_sol="dólar", TC,1)</f>
        <v>26.721769701492537</v>
      </c>
      <c r="E2382" s="386">
        <v>20</v>
      </c>
      <c r="F2382" s="582">
        <f t="shared" ref="F2382" si="347">ROUNDUP(D2382+E2382,2)</f>
        <v>46.73</v>
      </c>
      <c r="G2382" s="394" t="s">
        <v>12823</v>
      </c>
      <c r="H2382" s="592" t="s">
        <v>12824</v>
      </c>
      <c r="I2382" s="520" t="s">
        <v>11649</v>
      </c>
      <c r="J2382" s="421" t="s">
        <v>753</v>
      </c>
      <c r="K2382" s="520" t="s">
        <v>741</v>
      </c>
    </row>
    <row r="2383" spans="1:11" s="194" customFormat="1">
      <c r="A2383" s="421"/>
      <c r="B2383" s="151"/>
      <c r="C2383" s="209" t="s">
        <v>2058</v>
      </c>
      <c r="D2383" s="244"/>
      <c r="E2383" s="228"/>
      <c r="F2383" s="585"/>
      <c r="G2383" s="338"/>
      <c r="H2383" s="592"/>
      <c r="I2383" s="520"/>
      <c r="J2383" s="421"/>
      <c r="K2383" s="520"/>
    </row>
    <row r="2384" spans="1:11" s="194" customFormat="1">
      <c r="A2384" s="421"/>
      <c r="B2384" s="636" t="s">
        <v>7359</v>
      </c>
      <c r="C2384" s="389">
        <v>91</v>
      </c>
      <c r="D2384" s="388">
        <f>C2384*(1-VLOOKUP(I2384,descuentos,6,FALSE))*fcl/IF(dol_sol="dólar", TC,1)</f>
        <v>22.106191298507461</v>
      </c>
      <c r="E2384" s="386">
        <v>1</v>
      </c>
      <c r="F2384" s="582">
        <f>ROUNDUP(D2384+E2384,2)</f>
        <v>23.110000000000003</v>
      </c>
      <c r="G2384" s="394" t="s">
        <v>7360</v>
      </c>
      <c r="H2384" s="636" t="s">
        <v>7359</v>
      </c>
      <c r="I2384" s="520" t="s">
        <v>11649</v>
      </c>
      <c r="J2384" s="421" t="s">
        <v>753</v>
      </c>
      <c r="K2384" s="520" t="s">
        <v>741</v>
      </c>
    </row>
    <row r="2385" spans="1:11" s="194" customFormat="1">
      <c r="A2385" s="421"/>
      <c r="B2385" s="473" t="s">
        <v>7361</v>
      </c>
      <c r="C2385" s="389">
        <v>60</v>
      </c>
      <c r="D2385" s="388">
        <f>C2385*(1-VLOOKUP(I2385,descuentos,6,FALSE))*fcl/IF(dol_sol="dólar", TC,1)</f>
        <v>14.575510746268655</v>
      </c>
      <c r="E2385" s="386">
        <v>1</v>
      </c>
      <c r="F2385" s="582">
        <f>ROUNDUP(D2385+E2385,2)</f>
        <v>15.58</v>
      </c>
      <c r="G2385" s="394" t="s">
        <v>7362</v>
      </c>
      <c r="H2385" s="592" t="s">
        <v>7361</v>
      </c>
      <c r="I2385" s="520" t="s">
        <v>11649</v>
      </c>
      <c r="J2385" s="421" t="s">
        <v>753</v>
      </c>
      <c r="K2385" s="520" t="s">
        <v>741</v>
      </c>
    </row>
    <row r="2386" spans="1:11" s="194" customFormat="1">
      <c r="A2386" s="421"/>
      <c r="B2386" s="151"/>
      <c r="C2386" s="209" t="s">
        <v>2058</v>
      </c>
      <c r="D2386" s="244"/>
      <c r="E2386" s="228"/>
      <c r="F2386" s="585"/>
      <c r="G2386" s="338"/>
      <c r="H2386" s="592"/>
      <c r="I2386" s="520"/>
      <c r="J2386" s="421"/>
      <c r="K2386" s="520"/>
    </row>
    <row r="2387" spans="1:11" s="194" customFormat="1">
      <c r="A2387" s="421"/>
      <c r="B2387" s="151" t="s">
        <v>2861</v>
      </c>
      <c r="C2387" s="209">
        <v>16</v>
      </c>
      <c r="D2387" s="244">
        <f t="shared" ref="D2387:D2392" si="348">C2387*(1-VLOOKUP(I2387,descuentos,6,FALSE))*fcl/IF(dol_sol="dólar", TC,1)</f>
        <v>3.8868028656716413</v>
      </c>
      <c r="E2387" s="228">
        <v>1</v>
      </c>
      <c r="F2387" s="585">
        <f t="shared" ref="F2387:F2394" si="349">ROUNDUP(D2387+E2387,2)</f>
        <v>4.8899999999999997</v>
      </c>
      <c r="G2387" s="338" t="s">
        <v>13751</v>
      </c>
      <c r="H2387" s="592" t="s">
        <v>2862</v>
      </c>
      <c r="I2387" s="520" t="s">
        <v>11649</v>
      </c>
      <c r="J2387" s="421" t="s">
        <v>753</v>
      </c>
      <c r="K2387" s="520" t="s">
        <v>741</v>
      </c>
    </row>
    <row r="2388" spans="1:11" s="194" customFormat="1">
      <c r="A2388" s="421"/>
      <c r="B2388" s="151" t="s">
        <v>2863</v>
      </c>
      <c r="C2388" s="209">
        <v>16</v>
      </c>
      <c r="D2388" s="244">
        <f t="shared" si="348"/>
        <v>3.8868028656716413</v>
      </c>
      <c r="E2388" s="228">
        <v>1</v>
      </c>
      <c r="F2388" s="585">
        <f t="shared" si="349"/>
        <v>4.8899999999999997</v>
      </c>
      <c r="G2388" s="338" t="s">
        <v>5867</v>
      </c>
      <c r="H2388" s="592" t="s">
        <v>2864</v>
      </c>
      <c r="I2388" s="520" t="s">
        <v>11649</v>
      </c>
      <c r="J2388" s="421" t="s">
        <v>753</v>
      </c>
      <c r="K2388" s="520" t="s">
        <v>741</v>
      </c>
    </row>
    <row r="2389" spans="1:11" s="194" customFormat="1">
      <c r="A2389" s="421"/>
      <c r="B2389" s="151" t="s">
        <v>5868</v>
      </c>
      <c r="C2389" s="209">
        <v>36</v>
      </c>
      <c r="D2389" s="244">
        <f t="shared" si="348"/>
        <v>8.7453064477611928</v>
      </c>
      <c r="E2389" s="228">
        <v>1</v>
      </c>
      <c r="F2389" s="585">
        <f t="shared" si="349"/>
        <v>9.75</v>
      </c>
      <c r="G2389" s="338" t="s">
        <v>5869</v>
      </c>
      <c r="H2389" s="592" t="s">
        <v>5870</v>
      </c>
      <c r="I2389" s="520" t="s">
        <v>11649</v>
      </c>
      <c r="J2389" s="421" t="s">
        <v>753</v>
      </c>
      <c r="K2389" s="520" t="s">
        <v>741</v>
      </c>
    </row>
    <row r="2390" spans="1:11" s="194" customFormat="1">
      <c r="A2390" s="421"/>
      <c r="B2390" s="151" t="s">
        <v>2459</v>
      </c>
      <c r="C2390" s="209">
        <v>54</v>
      </c>
      <c r="D2390" s="244">
        <f t="shared" si="348"/>
        <v>13.117959671641788</v>
      </c>
      <c r="E2390" s="228">
        <v>5</v>
      </c>
      <c r="F2390" s="585">
        <f t="shared" si="349"/>
        <v>18.12</v>
      </c>
      <c r="G2390" s="338" t="s">
        <v>2460</v>
      </c>
      <c r="H2390" s="592" t="s">
        <v>4832</v>
      </c>
      <c r="I2390" s="520" t="s">
        <v>11649</v>
      </c>
      <c r="J2390" s="421" t="s">
        <v>753</v>
      </c>
      <c r="K2390" s="520" t="s">
        <v>741</v>
      </c>
    </row>
    <row r="2391" spans="1:11" s="194" customFormat="1">
      <c r="A2391" s="421"/>
      <c r="B2391" s="151" t="s">
        <v>4833</v>
      </c>
      <c r="C2391" s="209">
        <v>54</v>
      </c>
      <c r="D2391" s="244">
        <f t="shared" si="348"/>
        <v>13.117959671641788</v>
      </c>
      <c r="E2391" s="228">
        <v>5</v>
      </c>
      <c r="F2391" s="585">
        <f t="shared" si="349"/>
        <v>18.12</v>
      </c>
      <c r="G2391" s="338" t="s">
        <v>4834</v>
      </c>
      <c r="H2391" s="592" t="s">
        <v>4835</v>
      </c>
      <c r="I2391" s="520" t="s">
        <v>11649</v>
      </c>
      <c r="J2391" s="421" t="s">
        <v>753</v>
      </c>
      <c r="K2391" s="520" t="s">
        <v>741</v>
      </c>
    </row>
    <row r="2392" spans="1:11" s="194" customFormat="1">
      <c r="A2392" s="1170"/>
      <c r="B2392" s="151" t="s">
        <v>5871</v>
      </c>
      <c r="C2392" s="209">
        <v>77</v>
      </c>
      <c r="D2392" s="244">
        <f t="shared" si="348"/>
        <v>18.705238791044774</v>
      </c>
      <c r="E2392" s="228">
        <v>5</v>
      </c>
      <c r="F2392" s="585">
        <f t="shared" si="349"/>
        <v>23.71</v>
      </c>
      <c r="G2392" s="338" t="s">
        <v>5872</v>
      </c>
      <c r="H2392" s="592" t="s">
        <v>5873</v>
      </c>
      <c r="I2392" s="520" t="s">
        <v>11649</v>
      </c>
      <c r="J2392" s="421" t="s">
        <v>753</v>
      </c>
      <c r="K2392" s="520" t="s">
        <v>741</v>
      </c>
    </row>
    <row r="2393" spans="1:11" s="194" customFormat="1">
      <c r="A2393" s="421"/>
      <c r="B2393" s="151" t="s">
        <v>11656</v>
      </c>
      <c r="C2393" s="209">
        <v>36</v>
      </c>
      <c r="D2393" s="244">
        <f t="shared" ref="D2393" si="350">C2393*(1-VLOOKUP(I2393,descuentos,6,FALSE))*fcl/IF(dol_sol="dólar", TC,1)</f>
        <v>8.7453064477611928</v>
      </c>
      <c r="E2393" s="228">
        <v>1</v>
      </c>
      <c r="F2393" s="585">
        <f t="shared" si="349"/>
        <v>9.75</v>
      </c>
      <c r="G2393" s="338" t="s">
        <v>11657</v>
      </c>
      <c r="H2393" s="520" t="s">
        <v>5870</v>
      </c>
      <c r="I2393" s="520" t="s">
        <v>11649</v>
      </c>
      <c r="J2393" s="421" t="s">
        <v>753</v>
      </c>
      <c r="K2393" s="520" t="s">
        <v>741</v>
      </c>
    </row>
    <row r="2394" spans="1:11" s="194" customFormat="1">
      <c r="A2394" s="421"/>
      <c r="B2394" s="151" t="s">
        <v>12297</v>
      </c>
      <c r="C2394" s="209">
        <v>87</v>
      </c>
      <c r="D2394" s="244">
        <f t="shared" ref="D2394" si="351">C2394*(1-VLOOKUP(I2394,descuentos,6,FALSE))*fcl/IF(dol_sol="dólar", TC,1)</f>
        <v>21.134490582089555</v>
      </c>
      <c r="E2394" s="228">
        <v>1</v>
      </c>
      <c r="F2394" s="585">
        <f t="shared" si="349"/>
        <v>22.14</v>
      </c>
      <c r="G2394" s="338" t="s">
        <v>12298</v>
      </c>
      <c r="H2394" s="520" t="s">
        <v>12299</v>
      </c>
      <c r="I2394" s="520" t="s">
        <v>11649</v>
      </c>
      <c r="J2394" s="421" t="s">
        <v>753</v>
      </c>
      <c r="K2394" s="520" t="s">
        <v>741</v>
      </c>
    </row>
    <row r="2395" spans="1:11" s="194" customFormat="1">
      <c r="A2395" s="421"/>
      <c r="B2395" s="151"/>
      <c r="C2395" s="209" t="s">
        <v>2058</v>
      </c>
      <c r="D2395" s="244"/>
      <c r="E2395" s="228"/>
      <c r="F2395" s="585"/>
      <c r="G2395" s="338"/>
      <c r="H2395" s="592"/>
      <c r="I2395" s="520"/>
      <c r="J2395" s="421"/>
      <c r="K2395" s="520"/>
    </row>
    <row r="2396" spans="1:11" s="194" customFormat="1">
      <c r="A2396" s="421"/>
      <c r="B2396" s="151" t="s">
        <v>4836</v>
      </c>
      <c r="C2396" s="209">
        <v>29</v>
      </c>
      <c r="D2396" s="244">
        <f>C2396*(1-VLOOKUP(I2396,descuentos,6,FALSE))*fcl/TC</f>
        <v>7.044830194029851</v>
      </c>
      <c r="E2396" s="228">
        <v>1</v>
      </c>
      <c r="F2396" s="585">
        <f>ROUNDUP(D2396+E2396,2)</f>
        <v>8.0499999999999989</v>
      </c>
      <c r="G2396" s="338" t="s">
        <v>12435</v>
      </c>
      <c r="H2396" s="592" t="s">
        <v>4837</v>
      </c>
      <c r="I2396" s="520" t="s">
        <v>11649</v>
      </c>
      <c r="J2396" s="421" t="s">
        <v>753</v>
      </c>
      <c r="K2396" s="520" t="s">
        <v>741</v>
      </c>
    </row>
    <row r="2397" spans="1:11" s="194" customFormat="1">
      <c r="A2397" s="421"/>
      <c r="B2397" s="151" t="s">
        <v>4838</v>
      </c>
      <c r="C2397" s="209">
        <v>33</v>
      </c>
      <c r="D2397" s="244">
        <f>C2397*(1-VLOOKUP(I2397,descuentos,6,FALSE))*fcl/IF(dol_sol="dólar", TC,1)</f>
        <v>8.0165309104477611</v>
      </c>
      <c r="E2397" s="228">
        <v>2</v>
      </c>
      <c r="F2397" s="585">
        <f>ROUNDUP(D2397+E2397,2)</f>
        <v>10.02</v>
      </c>
      <c r="G2397" s="338" t="s">
        <v>12436</v>
      </c>
      <c r="H2397" s="592" t="s">
        <v>4839</v>
      </c>
      <c r="I2397" s="520" t="s">
        <v>11649</v>
      </c>
      <c r="J2397" s="421" t="s">
        <v>753</v>
      </c>
      <c r="K2397" s="520" t="s">
        <v>741</v>
      </c>
    </row>
    <row r="2398" spans="1:11" s="194" customFormat="1">
      <c r="A2398" s="421"/>
      <c r="B2398" s="151" t="s">
        <v>13976</v>
      </c>
      <c r="C2398" s="209">
        <v>169</v>
      </c>
      <c r="D2398" s="244">
        <f>C2398*(1-VLOOKUP(I2398,descuentos,6,FALSE))*fcl/IF(dol_sol="dólar", TC,1)</f>
        <v>41.054355268656714</v>
      </c>
      <c r="E2398" s="228">
        <v>2</v>
      </c>
      <c r="F2398" s="585">
        <f>ROUNDUP(D2398+E2398,2)</f>
        <v>43.059999999999995</v>
      </c>
      <c r="G2398" s="338" t="s">
        <v>13977</v>
      </c>
      <c r="H2398" s="592" t="s">
        <v>13978</v>
      </c>
      <c r="I2398" s="520" t="s">
        <v>11649</v>
      </c>
      <c r="J2398" s="421" t="s">
        <v>753</v>
      </c>
      <c r="K2398" s="520" t="s">
        <v>741</v>
      </c>
    </row>
    <row r="2399" spans="1:11" s="194" customFormat="1">
      <c r="A2399" s="421"/>
      <c r="B2399" s="151"/>
      <c r="C2399" s="209" t="s">
        <v>2058</v>
      </c>
      <c r="D2399" s="244"/>
      <c r="E2399" s="228"/>
      <c r="F2399" s="585"/>
      <c r="G2399" s="338"/>
      <c r="H2399" s="592"/>
      <c r="I2399" s="520"/>
      <c r="J2399" s="421"/>
      <c r="K2399" s="520"/>
    </row>
    <row r="2400" spans="1:11" s="194" customFormat="1">
      <c r="A2400" s="421"/>
      <c r="B2400" s="151" t="s">
        <v>5874</v>
      </c>
      <c r="C2400" s="209">
        <v>67</v>
      </c>
      <c r="D2400" s="244">
        <f>C2400*(1-VLOOKUP(I2400,descuentos,6,FALSE))*fcl/TC</f>
        <v>16.275986999999997</v>
      </c>
      <c r="E2400" s="228">
        <v>2</v>
      </c>
      <c r="F2400" s="585">
        <f>ROUNDUP(D2400+E2400,2)</f>
        <v>18.28</v>
      </c>
      <c r="G2400" s="338" t="s">
        <v>5875</v>
      </c>
      <c r="H2400" s="592" t="s">
        <v>5876</v>
      </c>
      <c r="I2400" s="520" t="s">
        <v>11649</v>
      </c>
      <c r="J2400" s="421" t="s">
        <v>753</v>
      </c>
      <c r="K2400" s="520" t="s">
        <v>741</v>
      </c>
    </row>
    <row r="2401" spans="1:11" s="194" customFormat="1">
      <c r="A2401" s="421"/>
      <c r="B2401" s="151" t="s">
        <v>5877</v>
      </c>
      <c r="C2401" s="209">
        <v>111</v>
      </c>
      <c r="D2401" s="244">
        <f>C2401*(1-VLOOKUP(I2401,descuentos,6,FALSE))*fcl/TC</f>
        <v>26.964694880597012</v>
      </c>
      <c r="E2401" s="228">
        <v>3</v>
      </c>
      <c r="F2401" s="585">
        <f>ROUNDUP(D2401+E2401,2)</f>
        <v>29.970000000000002</v>
      </c>
      <c r="G2401" s="338" t="s">
        <v>5878</v>
      </c>
      <c r="H2401" s="592" t="s">
        <v>5879</v>
      </c>
      <c r="I2401" s="520" t="s">
        <v>11649</v>
      </c>
      <c r="J2401" s="421" t="s">
        <v>753</v>
      </c>
      <c r="K2401" s="520" t="s">
        <v>741</v>
      </c>
    </row>
    <row r="2402" spans="1:11" s="194" customFormat="1">
      <c r="A2402" s="421"/>
      <c r="B2402" s="151" t="s">
        <v>5880</v>
      </c>
      <c r="C2402" s="209">
        <v>136</v>
      </c>
      <c r="D2402" s="244">
        <f>C2402*(1-VLOOKUP(I2402,descuentos,6,FALSE))*fcl/TC</f>
        <v>33.037824358208944</v>
      </c>
      <c r="E2402" s="228">
        <v>4</v>
      </c>
      <c r="F2402" s="585">
        <f>ROUNDUP(D2402+E2402,2)</f>
        <v>37.04</v>
      </c>
      <c r="G2402" s="338" t="s">
        <v>5881</v>
      </c>
      <c r="H2402" s="592" t="s">
        <v>5882</v>
      </c>
      <c r="I2402" s="520" t="s">
        <v>11649</v>
      </c>
      <c r="J2402" s="421" t="s">
        <v>753</v>
      </c>
      <c r="K2402" s="520" t="s">
        <v>741</v>
      </c>
    </row>
    <row r="2403" spans="1:11" s="194" customFormat="1">
      <c r="A2403" s="421"/>
      <c r="B2403" s="151" t="s">
        <v>5883</v>
      </c>
      <c r="C2403" s="209">
        <v>173</v>
      </c>
      <c r="D2403" s="244">
        <f>C2403*(1-VLOOKUP(I2403,descuentos,6,FALSE))*fcl/TC</f>
        <v>42.026055985074628</v>
      </c>
      <c r="E2403" s="228">
        <v>5</v>
      </c>
      <c r="F2403" s="585">
        <f>ROUNDUP(D2403+E2403,2)</f>
        <v>47.03</v>
      </c>
      <c r="G2403" s="338" t="s">
        <v>5884</v>
      </c>
      <c r="H2403" s="592" t="s">
        <v>5885</v>
      </c>
      <c r="I2403" s="520" t="s">
        <v>11649</v>
      </c>
      <c r="J2403" s="421" t="s">
        <v>753</v>
      </c>
      <c r="K2403" s="520" t="s">
        <v>741</v>
      </c>
    </row>
    <row r="2404" spans="1:11" s="194" customFormat="1">
      <c r="A2404" s="421"/>
      <c r="B2404" s="151"/>
      <c r="C2404" s="209" t="s">
        <v>2058</v>
      </c>
      <c r="D2404" s="244"/>
      <c r="E2404" s="228"/>
      <c r="F2404" s="585"/>
      <c r="G2404" s="338"/>
      <c r="H2404" s="592"/>
      <c r="I2404" s="520"/>
      <c r="J2404" s="421"/>
      <c r="K2404" s="520"/>
    </row>
    <row r="2405" spans="1:11" s="194" customFormat="1">
      <c r="A2405" s="421"/>
      <c r="B2405" s="151"/>
      <c r="C2405" s="209" t="s">
        <v>2058</v>
      </c>
      <c r="D2405" s="244"/>
      <c r="E2405" s="228"/>
      <c r="F2405" s="585"/>
      <c r="G2405" s="338"/>
      <c r="H2405" s="592"/>
      <c r="I2405" s="520"/>
      <c r="J2405" s="421"/>
      <c r="K2405" s="520"/>
    </row>
    <row r="2406" spans="1:11" s="194" customFormat="1">
      <c r="A2406" s="421"/>
      <c r="B2406" s="151" t="s">
        <v>1473</v>
      </c>
      <c r="C2406" s="209">
        <v>235</v>
      </c>
      <c r="D2406" s="244">
        <f t="shared" ref="D2406:D2413" si="352">C2406*(1-VLOOKUP(I2406,descuentos,6,FALSE))*fcl/IF(dol_sol="dólar", TC,1)</f>
        <v>57.087417089552233</v>
      </c>
      <c r="E2406" s="228">
        <v>10</v>
      </c>
      <c r="F2406" s="585">
        <f t="shared" ref="F2406:F2413" si="353">ROUNDUP(D2406+E2406,2)</f>
        <v>67.09</v>
      </c>
      <c r="G2406" s="342" t="s">
        <v>7363</v>
      </c>
      <c r="H2406" s="592" t="s">
        <v>1465</v>
      </c>
      <c r="I2406" s="520" t="s">
        <v>11649</v>
      </c>
      <c r="J2406" s="421" t="s">
        <v>753</v>
      </c>
      <c r="K2406" s="520" t="s">
        <v>741</v>
      </c>
    </row>
    <row r="2407" spans="1:11" s="194" customFormat="1">
      <c r="A2407" s="421"/>
      <c r="B2407" s="151" t="s">
        <v>1479</v>
      </c>
      <c r="C2407" s="209">
        <v>307</v>
      </c>
      <c r="D2407" s="244">
        <f t="shared" si="352"/>
        <v>74.578029985074622</v>
      </c>
      <c r="E2407" s="228">
        <v>10</v>
      </c>
      <c r="F2407" s="585">
        <f t="shared" si="353"/>
        <v>84.58</v>
      </c>
      <c r="G2407" s="342" t="s">
        <v>7364</v>
      </c>
      <c r="H2407" s="592" t="s">
        <v>1466</v>
      </c>
      <c r="I2407" s="520" t="s">
        <v>11649</v>
      </c>
      <c r="J2407" s="421" t="s">
        <v>753</v>
      </c>
      <c r="K2407" s="520" t="s">
        <v>741</v>
      </c>
    </row>
    <row r="2408" spans="1:11" s="194" customFormat="1">
      <c r="A2408" s="421"/>
      <c r="B2408" s="151" t="s">
        <v>1480</v>
      </c>
      <c r="C2408" s="209">
        <v>445</v>
      </c>
      <c r="D2408" s="244">
        <f t="shared" si="352"/>
        <v>108.10170470149252</v>
      </c>
      <c r="E2408" s="228">
        <v>10</v>
      </c>
      <c r="F2408" s="585">
        <f t="shared" si="353"/>
        <v>118.11</v>
      </c>
      <c r="G2408" s="342" t="s">
        <v>7365</v>
      </c>
      <c r="H2408" s="592" t="s">
        <v>1467</v>
      </c>
      <c r="I2408" s="520" t="s">
        <v>11649</v>
      </c>
      <c r="J2408" s="421" t="s">
        <v>753</v>
      </c>
      <c r="K2408" s="520" t="s">
        <v>741</v>
      </c>
    </row>
    <row r="2409" spans="1:11" s="194" customFormat="1">
      <c r="A2409" s="421"/>
      <c r="B2409" s="151" t="s">
        <v>1481</v>
      </c>
      <c r="C2409" s="649">
        <v>739</v>
      </c>
      <c r="D2409" s="244">
        <f t="shared" si="352"/>
        <v>179.52170735820891</v>
      </c>
      <c r="E2409" s="228">
        <v>10</v>
      </c>
      <c r="F2409" s="585">
        <f t="shared" si="353"/>
        <v>189.53</v>
      </c>
      <c r="G2409" s="342" t="s">
        <v>7366</v>
      </c>
      <c r="H2409" s="592" t="s">
        <v>1468</v>
      </c>
      <c r="I2409" s="520" t="s">
        <v>11649</v>
      </c>
      <c r="J2409" s="421" t="s">
        <v>753</v>
      </c>
      <c r="K2409" s="520" t="s">
        <v>741</v>
      </c>
    </row>
    <row r="2410" spans="1:11" s="194" customFormat="1">
      <c r="A2410" s="421"/>
      <c r="B2410" s="151" t="s">
        <v>1482</v>
      </c>
      <c r="C2410" s="649">
        <v>939</v>
      </c>
      <c r="D2410" s="244">
        <f t="shared" si="352"/>
        <v>228.10674317910446</v>
      </c>
      <c r="E2410" s="228">
        <v>10</v>
      </c>
      <c r="F2410" s="585">
        <f t="shared" si="353"/>
        <v>238.10999999999999</v>
      </c>
      <c r="G2410" s="342" t="s">
        <v>7367</v>
      </c>
      <c r="H2410" s="592" t="s">
        <v>1469</v>
      </c>
      <c r="I2410" s="520" t="s">
        <v>11649</v>
      </c>
      <c r="J2410" s="421" t="s">
        <v>753</v>
      </c>
      <c r="K2410" s="520" t="s">
        <v>741</v>
      </c>
    </row>
    <row r="2411" spans="1:11" s="194" customFormat="1">
      <c r="A2411" s="421"/>
      <c r="B2411" s="151" t="s">
        <v>1483</v>
      </c>
      <c r="C2411" s="209">
        <v>1101</v>
      </c>
      <c r="D2411" s="244">
        <f t="shared" si="352"/>
        <v>267.46062219402984</v>
      </c>
      <c r="E2411" s="233">
        <v>10</v>
      </c>
      <c r="F2411" s="585">
        <f t="shared" si="353"/>
        <v>277.46999999999997</v>
      </c>
      <c r="G2411" s="342" t="s">
        <v>7368</v>
      </c>
      <c r="H2411" s="592" t="s">
        <v>1470</v>
      </c>
      <c r="I2411" s="520" t="s">
        <v>11649</v>
      </c>
      <c r="J2411" s="421" t="s">
        <v>753</v>
      </c>
      <c r="K2411" s="520" t="s">
        <v>741</v>
      </c>
    </row>
    <row r="2412" spans="1:11" s="194" customFormat="1">
      <c r="A2412" s="421"/>
      <c r="B2412" s="151" t="s">
        <v>1484</v>
      </c>
      <c r="C2412" s="209">
        <v>1193</v>
      </c>
      <c r="D2412" s="244">
        <f t="shared" si="352"/>
        <v>289.80973867164175</v>
      </c>
      <c r="E2412" s="228">
        <v>20</v>
      </c>
      <c r="F2412" s="585">
        <f t="shared" si="353"/>
        <v>309.81</v>
      </c>
      <c r="G2412" s="342" t="s">
        <v>7369</v>
      </c>
      <c r="H2412" s="592" t="s">
        <v>1471</v>
      </c>
      <c r="I2412" s="520" t="s">
        <v>11649</v>
      </c>
      <c r="J2412" s="421" t="s">
        <v>753</v>
      </c>
      <c r="K2412" s="520" t="s">
        <v>741</v>
      </c>
    </row>
    <row r="2413" spans="1:11" s="194" customFormat="1">
      <c r="A2413" s="421"/>
      <c r="B2413" s="151" t="s">
        <v>1485</v>
      </c>
      <c r="C2413" s="649">
        <v>1270</v>
      </c>
      <c r="D2413" s="244">
        <f t="shared" si="352"/>
        <v>308.51497746268649</v>
      </c>
      <c r="E2413" s="228">
        <v>20</v>
      </c>
      <c r="F2413" s="585">
        <f t="shared" si="353"/>
        <v>328.52</v>
      </c>
      <c r="G2413" s="342" t="s">
        <v>7370</v>
      </c>
      <c r="H2413" s="592" t="s">
        <v>1472</v>
      </c>
      <c r="I2413" s="520" t="s">
        <v>11649</v>
      </c>
      <c r="J2413" s="421" t="s">
        <v>753</v>
      </c>
      <c r="K2413" s="520" t="s">
        <v>741</v>
      </c>
    </row>
    <row r="2414" spans="1:11" s="194" customFormat="1">
      <c r="A2414" s="421"/>
      <c r="B2414" s="650"/>
      <c r="C2414" s="650" t="s">
        <v>2058</v>
      </c>
      <c r="D2414" s="650"/>
      <c r="E2414" s="650"/>
      <c r="F2414" s="650"/>
      <c r="G2414" s="650"/>
      <c r="H2414" s="2023"/>
      <c r="I2414" s="650"/>
      <c r="J2414" s="650"/>
      <c r="K2414" s="650"/>
    </row>
    <row r="2415" spans="1:11" s="194" customFormat="1">
      <c r="A2415" s="421"/>
      <c r="B2415" s="151"/>
      <c r="C2415" s="209" t="s">
        <v>2058</v>
      </c>
      <c r="D2415" s="244"/>
      <c r="E2415" s="228"/>
      <c r="F2415" s="585"/>
      <c r="G2415" s="338"/>
      <c r="H2415" s="592"/>
      <c r="I2415" s="520"/>
      <c r="J2415" s="421"/>
      <c r="K2415" s="520"/>
    </row>
    <row r="2416" spans="1:11" s="194" customFormat="1">
      <c r="A2416" s="421"/>
      <c r="B2416" s="151" t="s">
        <v>1764</v>
      </c>
      <c r="C2416" s="209">
        <v>139</v>
      </c>
      <c r="D2416" s="244">
        <f t="shared" ref="D2416:D2422" si="354">C2416*(1-VLOOKUP(I2416,descuentos,6,FALSE))*fcl/IF(dol_sol="dólar", TC,1)</f>
        <v>33.766599895522383</v>
      </c>
      <c r="E2416" s="232">
        <v>5</v>
      </c>
      <c r="F2416" s="585">
        <f t="shared" ref="F2416:F2422" si="355">ROUNDUP(D2416+E2416,2)</f>
        <v>38.769999999999996</v>
      </c>
      <c r="G2416" s="338" t="s">
        <v>5886</v>
      </c>
      <c r="H2416" s="592" t="s">
        <v>1765</v>
      </c>
      <c r="I2416" s="520" t="s">
        <v>11649</v>
      </c>
      <c r="J2416" s="421" t="s">
        <v>753</v>
      </c>
      <c r="K2416" s="520" t="s">
        <v>741</v>
      </c>
    </row>
    <row r="2417" spans="1:11" s="194" customFormat="1">
      <c r="A2417" s="421"/>
      <c r="B2417" s="151" t="s">
        <v>1766</v>
      </c>
      <c r="C2417" s="209">
        <v>158</v>
      </c>
      <c r="D2417" s="244">
        <f t="shared" si="354"/>
        <v>38.382178298507462</v>
      </c>
      <c r="E2417" s="232">
        <v>5</v>
      </c>
      <c r="F2417" s="585">
        <f t="shared" si="355"/>
        <v>43.39</v>
      </c>
      <c r="G2417" s="338" t="s">
        <v>5887</v>
      </c>
      <c r="H2417" s="592" t="s">
        <v>1767</v>
      </c>
      <c r="I2417" s="520" t="s">
        <v>11649</v>
      </c>
      <c r="J2417" s="421" t="s">
        <v>753</v>
      </c>
      <c r="K2417" s="520" t="s">
        <v>741</v>
      </c>
    </row>
    <row r="2418" spans="1:11" s="194" customFormat="1">
      <c r="A2418" s="421"/>
      <c r="B2418" s="151" t="s">
        <v>1768</v>
      </c>
      <c r="C2418" s="209">
        <v>165</v>
      </c>
      <c r="D2418" s="244">
        <f t="shared" si="354"/>
        <v>40.082654552238807</v>
      </c>
      <c r="E2418" s="232">
        <v>5</v>
      </c>
      <c r="F2418" s="585">
        <f t="shared" si="355"/>
        <v>45.089999999999996</v>
      </c>
      <c r="G2418" s="338" t="s">
        <v>5888</v>
      </c>
      <c r="H2418" s="592" t="s">
        <v>1769</v>
      </c>
      <c r="I2418" s="520" t="s">
        <v>11649</v>
      </c>
      <c r="J2418" s="421" t="s">
        <v>753</v>
      </c>
      <c r="K2418" s="520" t="s">
        <v>741</v>
      </c>
    </row>
    <row r="2419" spans="1:11" s="194" customFormat="1">
      <c r="A2419" s="421"/>
      <c r="B2419" s="151" t="s">
        <v>1770</v>
      </c>
      <c r="C2419" s="209">
        <v>165</v>
      </c>
      <c r="D2419" s="244">
        <f t="shared" si="354"/>
        <v>40.082654552238807</v>
      </c>
      <c r="E2419" s="232">
        <v>5</v>
      </c>
      <c r="F2419" s="585">
        <f t="shared" si="355"/>
        <v>45.089999999999996</v>
      </c>
      <c r="G2419" s="338" t="s">
        <v>5889</v>
      </c>
      <c r="H2419" s="592" t="s">
        <v>1771</v>
      </c>
      <c r="I2419" s="520" t="s">
        <v>11649</v>
      </c>
      <c r="J2419" s="421" t="s">
        <v>753</v>
      </c>
      <c r="K2419" s="520" t="s">
        <v>741</v>
      </c>
    </row>
    <row r="2420" spans="1:11" s="196" customFormat="1">
      <c r="A2420" s="421"/>
      <c r="B2420" s="151" t="s">
        <v>1772</v>
      </c>
      <c r="C2420" s="209">
        <v>165</v>
      </c>
      <c r="D2420" s="244">
        <f t="shared" si="354"/>
        <v>40.082654552238807</v>
      </c>
      <c r="E2420" s="232">
        <v>5</v>
      </c>
      <c r="F2420" s="585">
        <f t="shared" si="355"/>
        <v>45.089999999999996</v>
      </c>
      <c r="G2420" s="338" t="s">
        <v>5890</v>
      </c>
      <c r="H2420" s="592" t="s">
        <v>1773</v>
      </c>
      <c r="I2420" s="520" t="s">
        <v>11649</v>
      </c>
      <c r="J2420" s="421" t="s">
        <v>753</v>
      </c>
      <c r="K2420" s="520" t="s">
        <v>741</v>
      </c>
    </row>
    <row r="2421" spans="1:11" s="194" customFormat="1">
      <c r="A2421" s="421"/>
      <c r="B2421" s="151" t="s">
        <v>1774</v>
      </c>
      <c r="C2421" s="209">
        <v>165</v>
      </c>
      <c r="D2421" s="244">
        <f t="shared" si="354"/>
        <v>40.082654552238807</v>
      </c>
      <c r="E2421" s="232">
        <v>5</v>
      </c>
      <c r="F2421" s="585">
        <f t="shared" si="355"/>
        <v>45.089999999999996</v>
      </c>
      <c r="G2421" s="338" t="s">
        <v>5891</v>
      </c>
      <c r="H2421" s="592" t="s">
        <v>1775</v>
      </c>
      <c r="I2421" s="520" t="s">
        <v>11649</v>
      </c>
      <c r="J2421" s="421" t="s">
        <v>753</v>
      </c>
      <c r="K2421" s="520" t="s">
        <v>741</v>
      </c>
    </row>
    <row r="2422" spans="1:11" s="194" customFormat="1">
      <c r="A2422" s="421"/>
      <c r="B2422" s="151" t="s">
        <v>1776</v>
      </c>
      <c r="C2422" s="209">
        <v>189</v>
      </c>
      <c r="D2422" s="244">
        <f t="shared" si="354"/>
        <v>45.912858850746268</v>
      </c>
      <c r="E2422" s="232">
        <v>5</v>
      </c>
      <c r="F2422" s="585">
        <f t="shared" si="355"/>
        <v>50.919999999999995</v>
      </c>
      <c r="G2422" s="338" t="s">
        <v>5892</v>
      </c>
      <c r="H2422" s="592" t="s">
        <v>1777</v>
      </c>
      <c r="I2422" s="520" t="s">
        <v>11649</v>
      </c>
      <c r="J2422" s="421" t="s">
        <v>753</v>
      </c>
      <c r="K2422" s="520" t="s">
        <v>741</v>
      </c>
    </row>
    <row r="2423" spans="1:11" s="194" customFormat="1">
      <c r="A2423" s="421"/>
      <c r="B2423" s="151"/>
      <c r="C2423" s="209" t="s">
        <v>2058</v>
      </c>
      <c r="D2423" s="244"/>
      <c r="E2423" s="232"/>
      <c r="F2423" s="585"/>
      <c r="G2423" s="338"/>
      <c r="H2423" s="592"/>
      <c r="I2423" s="520"/>
      <c r="J2423" s="421"/>
      <c r="K2423" s="520"/>
    </row>
    <row r="2424" spans="1:11" s="194" customFormat="1">
      <c r="A2424" s="421"/>
      <c r="B2424" s="151" t="s">
        <v>5893</v>
      </c>
      <c r="C2424" s="209">
        <v>217</v>
      </c>
      <c r="D2424" s="244">
        <f t="shared" ref="D2424:D2433" si="356">C2424*(1-VLOOKUP(I2424,descuentos,6,FALSE))*fcl/IF(dol_sol="dólar", TC,1)</f>
        <v>52.714763865671635</v>
      </c>
      <c r="E2424" s="232">
        <v>10</v>
      </c>
      <c r="F2424" s="585">
        <f t="shared" ref="F2424:F2433" si="357">ROUNDUP(D2424+E2424,2)</f>
        <v>62.72</v>
      </c>
      <c r="G2424" s="338" t="s">
        <v>5894</v>
      </c>
      <c r="H2424" s="592" t="s">
        <v>5895</v>
      </c>
      <c r="I2424" s="520" t="s">
        <v>11649</v>
      </c>
      <c r="J2424" s="421" t="s">
        <v>753</v>
      </c>
      <c r="K2424" s="520" t="s">
        <v>741</v>
      </c>
    </row>
    <row r="2425" spans="1:11" s="194" customFormat="1">
      <c r="A2425" s="421"/>
      <c r="B2425" s="151" t="s">
        <v>5896</v>
      </c>
      <c r="C2425" s="209">
        <v>217</v>
      </c>
      <c r="D2425" s="244">
        <f t="shared" si="356"/>
        <v>52.714763865671635</v>
      </c>
      <c r="E2425" s="232">
        <v>10</v>
      </c>
      <c r="F2425" s="585">
        <f t="shared" si="357"/>
        <v>62.72</v>
      </c>
      <c r="G2425" s="338" t="s">
        <v>5897</v>
      </c>
      <c r="H2425" s="592" t="s">
        <v>5898</v>
      </c>
      <c r="I2425" s="520" t="s">
        <v>11649</v>
      </c>
      <c r="J2425" s="421" t="s">
        <v>753</v>
      </c>
      <c r="K2425" s="520" t="s">
        <v>741</v>
      </c>
    </row>
    <row r="2426" spans="1:11" s="196" customFormat="1">
      <c r="A2426" s="421"/>
      <c r="B2426" s="151" t="s">
        <v>5899</v>
      </c>
      <c r="C2426" s="209">
        <v>217</v>
      </c>
      <c r="D2426" s="244">
        <f t="shared" si="356"/>
        <v>52.714763865671635</v>
      </c>
      <c r="E2426" s="232">
        <v>10</v>
      </c>
      <c r="F2426" s="585">
        <f t="shared" si="357"/>
        <v>62.72</v>
      </c>
      <c r="G2426" s="338" t="s">
        <v>5900</v>
      </c>
      <c r="H2426" s="592" t="s">
        <v>5901</v>
      </c>
      <c r="I2426" s="520" t="s">
        <v>11649</v>
      </c>
      <c r="J2426" s="421" t="s">
        <v>753</v>
      </c>
      <c r="K2426" s="520" t="s">
        <v>741</v>
      </c>
    </row>
    <row r="2427" spans="1:11" s="194" customFormat="1">
      <c r="A2427" s="421"/>
      <c r="B2427" s="151" t="s">
        <v>5902</v>
      </c>
      <c r="C2427" s="209">
        <v>217</v>
      </c>
      <c r="D2427" s="244">
        <f t="shared" si="356"/>
        <v>52.714763865671635</v>
      </c>
      <c r="E2427" s="232">
        <v>10</v>
      </c>
      <c r="F2427" s="585">
        <f t="shared" si="357"/>
        <v>62.72</v>
      </c>
      <c r="G2427" s="338" t="s">
        <v>5903</v>
      </c>
      <c r="H2427" s="592" t="s">
        <v>5904</v>
      </c>
      <c r="I2427" s="520" t="s">
        <v>11649</v>
      </c>
      <c r="J2427" s="421" t="s">
        <v>753</v>
      </c>
      <c r="K2427" s="520" t="s">
        <v>741</v>
      </c>
    </row>
    <row r="2428" spans="1:11" s="194" customFormat="1">
      <c r="A2428" s="421"/>
      <c r="B2428" s="151" t="s">
        <v>5905</v>
      </c>
      <c r="C2428" s="209">
        <v>237</v>
      </c>
      <c r="D2428" s="244">
        <f t="shared" si="356"/>
        <v>57.573267447761182</v>
      </c>
      <c r="E2428" s="232">
        <v>10</v>
      </c>
      <c r="F2428" s="585">
        <f t="shared" si="357"/>
        <v>67.58</v>
      </c>
      <c r="G2428" s="338" t="s">
        <v>5906</v>
      </c>
      <c r="H2428" s="592" t="s">
        <v>5907</v>
      </c>
      <c r="I2428" s="520" t="s">
        <v>11649</v>
      </c>
      <c r="J2428" s="421" t="s">
        <v>753</v>
      </c>
      <c r="K2428" s="520" t="s">
        <v>741</v>
      </c>
    </row>
    <row r="2429" spans="1:11" s="194" customFormat="1">
      <c r="A2429" s="421"/>
      <c r="B2429" s="151" t="s">
        <v>5908</v>
      </c>
      <c r="C2429" s="209">
        <v>248</v>
      </c>
      <c r="D2429" s="244">
        <f t="shared" si="356"/>
        <v>60.245444417910448</v>
      </c>
      <c r="E2429" s="232">
        <v>10</v>
      </c>
      <c r="F2429" s="585">
        <f t="shared" si="357"/>
        <v>70.25</v>
      </c>
      <c r="G2429" s="338" t="s">
        <v>5909</v>
      </c>
      <c r="H2429" s="592" t="s">
        <v>5910</v>
      </c>
      <c r="I2429" s="520" t="s">
        <v>11649</v>
      </c>
      <c r="J2429" s="421" t="s">
        <v>753</v>
      </c>
      <c r="K2429" s="520" t="s">
        <v>741</v>
      </c>
    </row>
    <row r="2430" spans="1:11" s="194" customFormat="1">
      <c r="A2430" s="421"/>
      <c r="B2430" s="151" t="s">
        <v>5911</v>
      </c>
      <c r="C2430" s="209">
        <v>248</v>
      </c>
      <c r="D2430" s="244">
        <f t="shared" si="356"/>
        <v>60.245444417910448</v>
      </c>
      <c r="E2430" s="232">
        <v>10</v>
      </c>
      <c r="F2430" s="585">
        <f t="shared" si="357"/>
        <v>70.25</v>
      </c>
      <c r="G2430" s="338" t="s">
        <v>5912</v>
      </c>
      <c r="H2430" s="592" t="s">
        <v>5913</v>
      </c>
      <c r="I2430" s="520" t="s">
        <v>11649</v>
      </c>
      <c r="J2430" s="421" t="s">
        <v>753</v>
      </c>
      <c r="K2430" s="520" t="s">
        <v>741</v>
      </c>
    </row>
    <row r="2431" spans="1:11" s="194" customFormat="1">
      <c r="A2431" s="421"/>
      <c r="B2431" s="151" t="s">
        <v>5914</v>
      </c>
      <c r="C2431" s="209">
        <v>279</v>
      </c>
      <c r="D2431" s="244">
        <f t="shared" si="356"/>
        <v>67.77612497014924</v>
      </c>
      <c r="E2431" s="232">
        <v>10</v>
      </c>
      <c r="F2431" s="585">
        <f t="shared" si="357"/>
        <v>77.78</v>
      </c>
      <c r="G2431" s="338" t="s">
        <v>5915</v>
      </c>
      <c r="H2431" s="592" t="s">
        <v>5916</v>
      </c>
      <c r="I2431" s="520" t="s">
        <v>11649</v>
      </c>
      <c r="J2431" s="421" t="s">
        <v>753</v>
      </c>
      <c r="K2431" s="520" t="s">
        <v>741</v>
      </c>
    </row>
    <row r="2432" spans="1:11" s="194" customFormat="1">
      <c r="A2432" s="421"/>
      <c r="B2432" s="151" t="s">
        <v>5917</v>
      </c>
      <c r="C2432" s="209">
        <v>309</v>
      </c>
      <c r="D2432" s="244">
        <f t="shared" si="356"/>
        <v>75.063880343283586</v>
      </c>
      <c r="E2432" s="232">
        <v>10</v>
      </c>
      <c r="F2432" s="585">
        <f t="shared" si="357"/>
        <v>85.070000000000007</v>
      </c>
      <c r="G2432" s="338" t="s">
        <v>5918</v>
      </c>
      <c r="H2432" s="592" t="s">
        <v>5919</v>
      </c>
      <c r="I2432" s="520" t="s">
        <v>11649</v>
      </c>
      <c r="J2432" s="421" t="s">
        <v>753</v>
      </c>
      <c r="K2432" s="520" t="s">
        <v>741</v>
      </c>
    </row>
    <row r="2433" spans="1:11" s="194" customFormat="1">
      <c r="A2433" s="421"/>
      <c r="B2433" s="151" t="s">
        <v>5920</v>
      </c>
      <c r="C2433" s="209">
        <v>392</v>
      </c>
      <c r="D2433" s="244">
        <f t="shared" si="356"/>
        <v>95.226670208955213</v>
      </c>
      <c r="E2433" s="232">
        <v>10</v>
      </c>
      <c r="F2433" s="585">
        <f t="shared" si="357"/>
        <v>105.23</v>
      </c>
      <c r="G2433" s="338" t="s">
        <v>5921</v>
      </c>
      <c r="H2433" s="592" t="s">
        <v>5922</v>
      </c>
      <c r="I2433" s="520" t="s">
        <v>11649</v>
      </c>
      <c r="J2433" s="421" t="s">
        <v>753</v>
      </c>
      <c r="K2433" s="520" t="s">
        <v>741</v>
      </c>
    </row>
    <row r="2434" spans="1:11" s="194" customFormat="1">
      <c r="A2434" s="421"/>
      <c r="B2434" s="151"/>
      <c r="C2434" s="209" t="s">
        <v>2058</v>
      </c>
      <c r="D2434" s="244"/>
      <c r="E2434" s="232"/>
      <c r="F2434" s="585"/>
      <c r="G2434" s="338"/>
      <c r="H2434" s="592"/>
      <c r="I2434" s="520"/>
      <c r="J2434" s="421"/>
      <c r="K2434" s="520"/>
    </row>
    <row r="2435" spans="1:11" s="194" customFormat="1">
      <c r="A2435" s="421"/>
      <c r="B2435" s="151" t="s">
        <v>7371</v>
      </c>
      <c r="C2435" s="209">
        <v>830</v>
      </c>
      <c r="D2435" s="244">
        <f>C2435*(1-VLOOKUP(I2435,descuentos,6,FALSE))*fcl/IF(dol_sol="dólar", TC,1)</f>
        <v>201.62789865671638</v>
      </c>
      <c r="E2435" s="232">
        <v>10</v>
      </c>
      <c r="F2435" s="585">
        <f>ROUNDUP(D2435+E2435,2)</f>
        <v>211.63</v>
      </c>
      <c r="G2435" s="338" t="s">
        <v>7372</v>
      </c>
      <c r="H2435" s="592" t="s">
        <v>7373</v>
      </c>
      <c r="I2435" s="520" t="s">
        <v>11649</v>
      </c>
      <c r="J2435" s="421" t="s">
        <v>753</v>
      </c>
      <c r="K2435" s="520" t="s">
        <v>741</v>
      </c>
    </row>
    <row r="2436" spans="1:11" s="194" customFormat="1">
      <c r="A2436" s="421"/>
      <c r="B2436" s="151" t="s">
        <v>7374</v>
      </c>
      <c r="C2436" s="209">
        <v>879</v>
      </c>
      <c r="D2436" s="244">
        <f>C2436*(1-VLOOKUP(I2436,descuentos,6,FALSE))*fcl/IF(dol_sol="dólar", TC,1)</f>
        <v>213.53123243283582</v>
      </c>
      <c r="E2436" s="232">
        <v>10</v>
      </c>
      <c r="F2436" s="585">
        <f>ROUNDUP(D2436+E2436,2)</f>
        <v>223.54</v>
      </c>
      <c r="G2436" s="338" t="s">
        <v>7375</v>
      </c>
      <c r="H2436" s="592" t="s">
        <v>7376</v>
      </c>
      <c r="I2436" s="520" t="s">
        <v>11649</v>
      </c>
      <c r="J2436" s="421" t="s">
        <v>753</v>
      </c>
      <c r="K2436" s="520" t="s">
        <v>741</v>
      </c>
    </row>
    <row r="2437" spans="1:11" s="194" customFormat="1">
      <c r="A2437" s="421"/>
      <c r="B2437" s="151" t="s">
        <v>7377</v>
      </c>
      <c r="C2437" s="209">
        <v>941</v>
      </c>
      <c r="D2437" s="244">
        <f>C2437*(1-VLOOKUP(I2437,descuentos,6,FALSE))*fcl/IF(dol_sol="dólar", TC,1)</f>
        <v>228.59259353731341</v>
      </c>
      <c r="E2437" s="232">
        <v>10</v>
      </c>
      <c r="F2437" s="585">
        <f>ROUNDUP(D2437+E2437,2)</f>
        <v>238.6</v>
      </c>
      <c r="G2437" s="338" t="s">
        <v>7378</v>
      </c>
      <c r="H2437" s="592" t="s">
        <v>7379</v>
      </c>
      <c r="I2437" s="520" t="s">
        <v>11649</v>
      </c>
      <c r="J2437" s="421" t="s">
        <v>753</v>
      </c>
      <c r="K2437" s="520" t="s">
        <v>741</v>
      </c>
    </row>
    <row r="2438" spans="1:11" s="194" customFormat="1">
      <c r="A2438" s="421"/>
      <c r="B2438" s="151" t="s">
        <v>7380</v>
      </c>
      <c r="C2438" s="209">
        <v>993</v>
      </c>
      <c r="D2438" s="244">
        <f>C2438*(1-VLOOKUP(I2438,descuentos,6,FALSE))*fcl/IF(dol_sol="dólar", TC,1)</f>
        <v>241.22470285074627</v>
      </c>
      <c r="E2438" s="232">
        <v>10</v>
      </c>
      <c r="F2438" s="585">
        <f>ROUNDUP(D2438+E2438,2)</f>
        <v>251.23</v>
      </c>
      <c r="G2438" s="338" t="s">
        <v>7381</v>
      </c>
      <c r="H2438" s="592" t="s">
        <v>7382</v>
      </c>
      <c r="I2438" s="520" t="s">
        <v>11649</v>
      </c>
      <c r="J2438" s="421" t="s">
        <v>753</v>
      </c>
      <c r="K2438" s="520" t="s">
        <v>741</v>
      </c>
    </row>
    <row r="2439" spans="1:11" s="194" customFormat="1">
      <c r="A2439" s="421"/>
      <c r="B2439" s="151"/>
      <c r="C2439" s="209" t="s">
        <v>2058</v>
      </c>
      <c r="D2439" s="244"/>
      <c r="E2439" s="232"/>
      <c r="F2439" s="585"/>
      <c r="G2439" s="338"/>
      <c r="H2439" s="592"/>
      <c r="I2439" s="520"/>
      <c r="J2439" s="421"/>
      <c r="K2439" s="520"/>
    </row>
    <row r="2440" spans="1:11" s="194" customFormat="1">
      <c r="A2440" s="421"/>
      <c r="B2440" s="151" t="s">
        <v>5923</v>
      </c>
      <c r="C2440" s="209">
        <v>459</v>
      </c>
      <c r="D2440" s="244">
        <f>C2440*(1-VLOOKUP(I2440,descuentos,6,FALSE))*fcl/IF(dol_sol="dólar", TC,1)</f>
        <v>111.50265720895521</v>
      </c>
      <c r="E2440" s="232">
        <v>15</v>
      </c>
      <c r="F2440" s="585">
        <f>ROUNDUP(D2440+E2440,2)</f>
        <v>126.51</v>
      </c>
      <c r="G2440" s="338" t="s">
        <v>5924</v>
      </c>
      <c r="H2440" s="592" t="s">
        <v>5925</v>
      </c>
      <c r="I2440" s="520" t="s">
        <v>11649</v>
      </c>
      <c r="J2440" s="421" t="s">
        <v>753</v>
      </c>
      <c r="K2440" s="520" t="s">
        <v>741</v>
      </c>
    </row>
    <row r="2441" spans="1:11" s="194" customFormat="1">
      <c r="A2441" s="421"/>
      <c r="B2441" s="151" t="s">
        <v>5926</v>
      </c>
      <c r="C2441" s="209">
        <v>541</v>
      </c>
      <c r="D2441" s="244">
        <f>C2441*(1-VLOOKUP(I2441,descuentos,6,FALSE))*fcl/IF(dol_sol="dólar", TC,1)</f>
        <v>131.42252189552238</v>
      </c>
      <c r="E2441" s="232">
        <v>15</v>
      </c>
      <c r="F2441" s="585">
        <f>ROUNDUP(D2441+E2441,2)</f>
        <v>146.42999999999998</v>
      </c>
      <c r="G2441" s="338" t="s">
        <v>5927</v>
      </c>
      <c r="H2441" s="592" t="s">
        <v>5928</v>
      </c>
      <c r="I2441" s="520" t="s">
        <v>11649</v>
      </c>
      <c r="J2441" s="421" t="s">
        <v>753</v>
      </c>
      <c r="K2441" s="520" t="s">
        <v>741</v>
      </c>
    </row>
    <row r="2442" spans="1:11" s="194" customFormat="1">
      <c r="A2442" s="421"/>
      <c r="B2442" s="151" t="s">
        <v>5929</v>
      </c>
      <c r="C2442" s="209">
        <v>597</v>
      </c>
      <c r="D2442" s="244">
        <f>C2442*(1-VLOOKUP(I2442,descuentos,6,FALSE))*fcl/IF(dol_sol="dólar", TC,1)</f>
        <v>145.02633192537314</v>
      </c>
      <c r="E2442" s="232">
        <v>15</v>
      </c>
      <c r="F2442" s="585">
        <f>ROUNDUP(D2442+E2442,2)</f>
        <v>160.03</v>
      </c>
      <c r="G2442" s="338" t="s">
        <v>5930</v>
      </c>
      <c r="H2442" s="592" t="s">
        <v>5931</v>
      </c>
      <c r="I2442" s="520" t="s">
        <v>11649</v>
      </c>
      <c r="J2442" s="421" t="s">
        <v>753</v>
      </c>
      <c r="K2442" s="520" t="s">
        <v>741</v>
      </c>
    </row>
    <row r="2443" spans="1:11" s="194" customFormat="1">
      <c r="A2443" s="421"/>
      <c r="B2443" s="151" t="s">
        <v>5932</v>
      </c>
      <c r="C2443" s="209">
        <v>633</v>
      </c>
      <c r="D2443" s="244">
        <f>C2443*(1-VLOOKUP(I2443,descuentos,6,FALSE))*fcl/IF(dol_sol="dólar", TC,1)</f>
        <v>153.77163837313432</v>
      </c>
      <c r="E2443" s="232">
        <v>15</v>
      </c>
      <c r="F2443" s="585">
        <f>ROUNDUP(D2443+E2443,2)</f>
        <v>168.78</v>
      </c>
      <c r="G2443" s="338" t="s">
        <v>5933</v>
      </c>
      <c r="H2443" s="592" t="s">
        <v>5934</v>
      </c>
      <c r="I2443" s="520" t="s">
        <v>11649</v>
      </c>
      <c r="J2443" s="421" t="s">
        <v>753</v>
      </c>
      <c r="K2443" s="520" t="s">
        <v>741</v>
      </c>
    </row>
    <row r="2444" spans="1:11" s="194" customFormat="1">
      <c r="A2444" s="421"/>
      <c r="B2444" s="151" t="s">
        <v>5935</v>
      </c>
      <c r="C2444" s="209">
        <v>674</v>
      </c>
      <c r="D2444" s="244">
        <f>C2444*(1-VLOOKUP(I2444,descuentos,6,FALSE))*fcl/IF(dol_sol="dólar", TC,1)</f>
        <v>163.73157071641788</v>
      </c>
      <c r="E2444" s="232">
        <v>15</v>
      </c>
      <c r="F2444" s="585">
        <f>ROUNDUP(D2444+E2444,2)</f>
        <v>178.73999999999998</v>
      </c>
      <c r="G2444" s="338" t="s">
        <v>5936</v>
      </c>
      <c r="H2444" s="592" t="s">
        <v>5937</v>
      </c>
      <c r="I2444" s="520" t="s">
        <v>11649</v>
      </c>
      <c r="J2444" s="421" t="s">
        <v>753</v>
      </c>
      <c r="K2444" s="520" t="s">
        <v>741</v>
      </c>
    </row>
    <row r="2445" spans="1:11" s="194" customFormat="1">
      <c r="A2445" s="421"/>
      <c r="B2445" s="151"/>
      <c r="C2445" s="209" t="s">
        <v>2058</v>
      </c>
      <c r="D2445" s="244"/>
      <c r="E2445" s="232"/>
      <c r="F2445" s="585"/>
      <c r="G2445" s="338"/>
      <c r="H2445" s="592"/>
      <c r="I2445" s="520"/>
      <c r="J2445" s="421"/>
      <c r="K2445" s="520"/>
    </row>
    <row r="2446" spans="1:11" s="194" customFormat="1">
      <c r="A2446" s="421"/>
      <c r="B2446" s="151" t="s">
        <v>7383</v>
      </c>
      <c r="C2446" s="209">
        <v>25</v>
      </c>
      <c r="D2446" s="244">
        <f>C2446*(1-VLOOKUP(I2446,descuentos,6,FALSE))*fcl/IF(dol_sol="dólar", TC,1)</f>
        <v>6.0731294776119391</v>
      </c>
      <c r="E2446" s="232">
        <v>1</v>
      </c>
      <c r="F2446" s="585">
        <f>ROUNDUP(D2446+E2446,2)</f>
        <v>7.08</v>
      </c>
      <c r="G2446" s="338" t="s">
        <v>7384</v>
      </c>
      <c r="H2446" s="592" t="s">
        <v>7385</v>
      </c>
      <c r="I2446" s="520" t="s">
        <v>11649</v>
      </c>
      <c r="J2446" s="421" t="s">
        <v>753</v>
      </c>
      <c r="K2446" s="520" t="s">
        <v>741</v>
      </c>
    </row>
    <row r="2447" spans="1:11" s="194" customFormat="1">
      <c r="A2447" s="421"/>
      <c r="B2447" s="151" t="s">
        <v>7386</v>
      </c>
      <c r="C2447" s="209">
        <v>26</v>
      </c>
      <c r="D2447" s="244">
        <f>C2447*(1-VLOOKUP(I2447,descuentos,6,FALSE))*fcl/IF(dol_sol="dólar", TC,1)</f>
        <v>6.3160546567164166</v>
      </c>
      <c r="E2447" s="232">
        <v>1</v>
      </c>
      <c r="F2447" s="585">
        <f>ROUNDUP(D2447+E2447,2)</f>
        <v>7.3199999999999994</v>
      </c>
      <c r="G2447" s="338" t="s">
        <v>7387</v>
      </c>
      <c r="H2447" s="592" t="s">
        <v>7388</v>
      </c>
      <c r="I2447" s="520" t="s">
        <v>11649</v>
      </c>
      <c r="J2447" s="421" t="s">
        <v>753</v>
      </c>
      <c r="K2447" s="520" t="s">
        <v>741</v>
      </c>
    </row>
    <row r="2448" spans="1:11" s="194" customFormat="1">
      <c r="A2448" s="421"/>
      <c r="B2448" s="151" t="s">
        <v>2461</v>
      </c>
      <c r="C2448" s="209">
        <v>42</v>
      </c>
      <c r="D2448" s="244">
        <f>C2448*(1-VLOOKUP(I2448,descuentos,6,FALSE))*fcl/IF(dol_sol="dólar", TC,1)</f>
        <v>10.202857522388058</v>
      </c>
      <c r="E2448" s="232">
        <v>1</v>
      </c>
      <c r="F2448" s="585">
        <f>ROUNDUP(D2448+E2448,2)</f>
        <v>11.209999999999999</v>
      </c>
      <c r="G2448" s="338" t="s">
        <v>5938</v>
      </c>
      <c r="H2448" s="592" t="s">
        <v>2462</v>
      </c>
      <c r="I2448" s="520" t="s">
        <v>11649</v>
      </c>
      <c r="J2448" s="421" t="s">
        <v>753</v>
      </c>
      <c r="K2448" s="520" t="s">
        <v>741</v>
      </c>
    </row>
    <row r="2449" spans="1:11" s="194" customFormat="1">
      <c r="A2449" s="421"/>
      <c r="B2449" s="151"/>
      <c r="C2449" s="209" t="s">
        <v>2058</v>
      </c>
      <c r="D2449" s="244"/>
      <c r="E2449" s="232"/>
      <c r="F2449" s="585"/>
      <c r="G2449" s="338"/>
      <c r="H2449" s="592"/>
      <c r="I2449" s="520"/>
      <c r="J2449" s="421"/>
      <c r="K2449" s="520"/>
    </row>
    <row r="2450" spans="1:11" s="194" customFormat="1">
      <c r="A2450" s="421"/>
      <c r="B2450" s="151"/>
      <c r="C2450" s="209" t="s">
        <v>2058</v>
      </c>
      <c r="D2450" s="244"/>
      <c r="E2450" s="232"/>
      <c r="F2450" s="585"/>
      <c r="G2450" s="338"/>
      <c r="H2450" s="592"/>
      <c r="I2450" s="520"/>
      <c r="J2450" s="421"/>
      <c r="K2450" s="520"/>
    </row>
    <row r="2451" spans="1:11" s="194" customFormat="1">
      <c r="A2451" s="421"/>
      <c r="B2451" s="151" t="s">
        <v>9611</v>
      </c>
      <c r="C2451" s="209">
        <v>86</v>
      </c>
      <c r="D2451" s="244">
        <f>C2451*(1-VLOOKUP(I2451,descuentos,6,FALSE))*fcl/IF(dol_sol="dólar", TC,1)</f>
        <v>20.891565402985073</v>
      </c>
      <c r="E2451" s="232">
        <v>1</v>
      </c>
      <c r="F2451" s="585">
        <f>ROUNDUP(D2451+E2451,2)</f>
        <v>21.900000000000002</v>
      </c>
      <c r="G2451" s="338" t="s">
        <v>9612</v>
      </c>
      <c r="H2451" s="592" t="s">
        <v>9613</v>
      </c>
      <c r="I2451" s="520" t="s">
        <v>11649</v>
      </c>
      <c r="J2451" s="421" t="s">
        <v>753</v>
      </c>
      <c r="K2451" s="520" t="s">
        <v>741</v>
      </c>
    </row>
    <row r="2452" spans="1:11" s="194" customFormat="1">
      <c r="A2452" s="421"/>
      <c r="B2452" s="151" t="s">
        <v>9614</v>
      </c>
      <c r="C2452" s="209">
        <v>106</v>
      </c>
      <c r="D2452" s="244">
        <f>C2452*(1-VLOOKUP(I2452,descuentos,6,FALSE))*fcl/IF(dol_sol="dólar", TC,1)</f>
        <v>25.750068985074623</v>
      </c>
      <c r="E2452" s="232">
        <v>1</v>
      </c>
      <c r="F2452" s="585">
        <f>ROUNDUP(D2452+E2452,2)</f>
        <v>26.76</v>
      </c>
      <c r="G2452" s="338" t="s">
        <v>9849</v>
      </c>
      <c r="H2452" s="592" t="s">
        <v>9615</v>
      </c>
      <c r="I2452" s="520" t="s">
        <v>11649</v>
      </c>
      <c r="J2452" s="421" t="s">
        <v>753</v>
      </c>
      <c r="K2452" s="520" t="s">
        <v>741</v>
      </c>
    </row>
    <row r="2453" spans="1:11" s="194" customFormat="1">
      <c r="A2453" s="421"/>
      <c r="B2453" s="151" t="s">
        <v>9616</v>
      </c>
      <c r="C2453" s="209">
        <v>130</v>
      </c>
      <c r="D2453" s="244">
        <f>C2453*(1-VLOOKUP(I2453,descuentos,6,FALSE))*fcl/IF(dol_sol="dólar", TC,1)</f>
        <v>31.580273283582088</v>
      </c>
      <c r="E2453" s="232">
        <v>1</v>
      </c>
      <c r="F2453" s="585">
        <f>ROUNDUP(D2453+E2453,2)</f>
        <v>32.589999999999996</v>
      </c>
      <c r="G2453" s="338" t="s">
        <v>9617</v>
      </c>
      <c r="H2453" s="592" t="s">
        <v>9618</v>
      </c>
      <c r="I2453" s="520" t="s">
        <v>11649</v>
      </c>
      <c r="J2453" s="421" t="s">
        <v>753</v>
      </c>
      <c r="K2453" s="520" t="s">
        <v>741</v>
      </c>
    </row>
    <row r="2454" spans="1:11" s="194" customFormat="1">
      <c r="A2454" s="421"/>
      <c r="B2454" s="151"/>
      <c r="C2454" s="209" t="s">
        <v>2058</v>
      </c>
      <c r="D2454" s="244"/>
      <c r="E2454" s="232"/>
      <c r="F2454" s="585"/>
      <c r="G2454" s="338"/>
      <c r="H2454" s="592"/>
      <c r="I2454" s="520"/>
      <c r="J2454" s="421"/>
      <c r="K2454" s="520"/>
    </row>
    <row r="2455" spans="1:11" s="194" customFormat="1">
      <c r="A2455" s="421"/>
      <c r="B2455" s="151" t="s">
        <v>5939</v>
      </c>
      <c r="C2455" s="209">
        <v>26</v>
      </c>
      <c r="D2455" s="244">
        <f>C2455*(1-VLOOKUP(I2455,descuentos,6,FALSE))*fcl/IF(dol_sol="dólar", TC,1)</f>
        <v>6.3160546567164166</v>
      </c>
      <c r="E2455" s="232">
        <v>1</v>
      </c>
      <c r="F2455" s="585">
        <f>ROUNDUP(D2455+E2455,2)</f>
        <v>7.3199999999999994</v>
      </c>
      <c r="G2455" s="338" t="s">
        <v>5940</v>
      </c>
      <c r="H2455" s="592" t="s">
        <v>5941</v>
      </c>
      <c r="I2455" s="520" t="s">
        <v>11649</v>
      </c>
      <c r="J2455" s="421" t="s">
        <v>753</v>
      </c>
      <c r="K2455" s="520" t="s">
        <v>741</v>
      </c>
    </row>
    <row r="2456" spans="1:11" s="194" customFormat="1">
      <c r="A2456" s="421"/>
      <c r="B2456" s="151" t="s">
        <v>5942</v>
      </c>
      <c r="C2456" s="209">
        <v>31</v>
      </c>
      <c r="D2456" s="244">
        <f>C2456*(1-VLOOKUP(I2456,descuentos,6,FALSE))*fcl/IF(dol_sol="dólar", TC,1)</f>
        <v>7.5306805522388061</v>
      </c>
      <c r="E2456" s="232">
        <v>1.5</v>
      </c>
      <c r="F2456" s="585">
        <f>ROUNDUP(D2456+E2456,2)</f>
        <v>9.0399999999999991</v>
      </c>
      <c r="G2456" s="338" t="s">
        <v>5943</v>
      </c>
      <c r="H2456" s="592" t="s">
        <v>5944</v>
      </c>
      <c r="I2456" s="520" t="s">
        <v>11649</v>
      </c>
      <c r="J2456" s="421" t="s">
        <v>753</v>
      </c>
      <c r="K2456" s="520" t="s">
        <v>741</v>
      </c>
    </row>
    <row r="2457" spans="1:11" s="194" customFormat="1">
      <c r="A2457" s="421"/>
      <c r="B2457" s="151" t="s">
        <v>5945</v>
      </c>
      <c r="C2457" s="209">
        <v>31</v>
      </c>
      <c r="D2457" s="244">
        <f>C2457*(1-VLOOKUP(I2457,descuentos,6,FALSE))*fcl/IF(dol_sol="dólar", TC,1)</f>
        <v>7.5306805522388061</v>
      </c>
      <c r="E2457" s="232">
        <v>1.5</v>
      </c>
      <c r="F2457" s="585">
        <f>ROUNDUP(D2457+E2457,2)</f>
        <v>9.0399999999999991</v>
      </c>
      <c r="G2457" s="338" t="s">
        <v>5946</v>
      </c>
      <c r="H2457" s="592" t="s">
        <v>5947</v>
      </c>
      <c r="I2457" s="520" t="s">
        <v>11649</v>
      </c>
      <c r="J2457" s="421" t="s">
        <v>753</v>
      </c>
      <c r="K2457" s="520" t="s">
        <v>741</v>
      </c>
    </row>
    <row r="2458" spans="1:11" s="194" customFormat="1">
      <c r="A2458" s="421"/>
      <c r="B2458" s="151" t="s">
        <v>5948</v>
      </c>
      <c r="C2458" s="209">
        <v>84</v>
      </c>
      <c r="D2458" s="244">
        <f>C2458*(1-VLOOKUP(I2458,descuentos,6,FALSE))*fcl/IF(dol_sol="dólar", TC,1)</f>
        <v>41.874626865671644</v>
      </c>
      <c r="E2458" s="232">
        <v>2</v>
      </c>
      <c r="F2458" s="585">
        <f>ROUNDUP(D2458+E2458,2)</f>
        <v>43.879999999999995</v>
      </c>
      <c r="G2458" s="338" t="s">
        <v>5949</v>
      </c>
      <c r="H2458" s="592" t="s">
        <v>5950</v>
      </c>
      <c r="I2458" s="520" t="s">
        <v>5179</v>
      </c>
      <c r="J2458" s="421" t="s">
        <v>753</v>
      </c>
      <c r="K2458" s="520" t="s">
        <v>741</v>
      </c>
    </row>
    <row r="2459" spans="1:11" s="194" customFormat="1">
      <c r="A2459" s="421"/>
      <c r="B2459" s="151"/>
      <c r="C2459" s="209" t="s">
        <v>2058</v>
      </c>
      <c r="D2459" s="244"/>
      <c r="E2459" s="232"/>
      <c r="F2459" s="585"/>
      <c r="G2459" s="338"/>
      <c r="H2459" s="592"/>
      <c r="I2459" s="520"/>
      <c r="J2459" s="421"/>
      <c r="K2459" s="520"/>
    </row>
    <row r="2460" spans="1:11" s="194" customFormat="1">
      <c r="A2460" s="421"/>
      <c r="B2460" s="151" t="s">
        <v>11090</v>
      </c>
      <c r="C2460" s="209">
        <v>48</v>
      </c>
      <c r="D2460" s="244">
        <f>C2460*(1-VLOOKUP(I2460,descuentos,6,FALSE))*fcl/IF(dol_sol="dólar", TC,1)</f>
        <v>11.660408597014923</v>
      </c>
      <c r="E2460" s="232">
        <v>1</v>
      </c>
      <c r="F2460" s="585">
        <f>ROUNDUP(D2460+E2460,2)</f>
        <v>12.67</v>
      </c>
      <c r="G2460" s="338" t="s">
        <v>11091</v>
      </c>
      <c r="H2460" s="592" t="s">
        <v>11092</v>
      </c>
      <c r="I2460" s="520" t="s">
        <v>11649</v>
      </c>
      <c r="J2460" s="421" t="s">
        <v>753</v>
      </c>
      <c r="K2460" s="520" t="s">
        <v>741</v>
      </c>
    </row>
    <row r="2461" spans="1:11" s="194" customFormat="1">
      <c r="A2461" s="421"/>
      <c r="B2461" s="151"/>
      <c r="C2461" s="209" t="s">
        <v>2058</v>
      </c>
      <c r="D2461" s="244"/>
      <c r="E2461" s="232"/>
      <c r="F2461" s="585"/>
      <c r="G2461" s="338"/>
      <c r="H2461" s="592"/>
      <c r="I2461" s="520"/>
      <c r="J2461" s="421"/>
      <c r="K2461" s="520"/>
    </row>
    <row r="2462" spans="1:11" s="194" customFormat="1">
      <c r="A2462" s="421"/>
      <c r="B2462" s="151" t="s">
        <v>11093</v>
      </c>
      <c r="C2462" s="209">
        <v>30</v>
      </c>
      <c r="D2462" s="244">
        <f>C2462*(1-VLOOKUP(I2462,descuentos,6,FALSE))*fcl/IF(dol_sol="dólar", TC,1)</f>
        <v>7.2877553731343276</v>
      </c>
      <c r="E2462" s="232">
        <v>1</v>
      </c>
      <c r="F2462" s="585">
        <f>ROUNDUP(D2462+E2462,2)</f>
        <v>8.2899999999999991</v>
      </c>
      <c r="G2462" s="338" t="s">
        <v>11094</v>
      </c>
      <c r="H2462" s="592" t="s">
        <v>11095</v>
      </c>
      <c r="I2462" s="520" t="s">
        <v>11649</v>
      </c>
      <c r="J2462" s="421" t="s">
        <v>753</v>
      </c>
      <c r="K2462" s="520" t="s">
        <v>741</v>
      </c>
    </row>
    <row r="2463" spans="1:11" s="194" customFormat="1">
      <c r="A2463" s="421"/>
      <c r="B2463" s="151"/>
      <c r="C2463" s="209" t="s">
        <v>2058</v>
      </c>
      <c r="D2463" s="244"/>
      <c r="E2463" s="232"/>
      <c r="F2463" s="585"/>
      <c r="G2463" s="338"/>
      <c r="H2463" s="520"/>
      <c r="I2463" s="520"/>
      <c r="J2463" s="421"/>
      <c r="K2463" s="520"/>
    </row>
    <row r="2464" spans="1:11" s="194" customFormat="1">
      <c r="A2464" s="421"/>
      <c r="B2464" s="151"/>
      <c r="C2464" s="209"/>
      <c r="D2464" s="244"/>
      <c r="E2464" s="232"/>
      <c r="F2464" s="585"/>
      <c r="G2464" s="338"/>
      <c r="H2464" s="520"/>
      <c r="I2464" s="520"/>
      <c r="J2464" s="421"/>
      <c r="K2464" s="520"/>
    </row>
    <row r="2465" spans="1:11" s="194" customFormat="1">
      <c r="A2465" s="421"/>
      <c r="B2465" s="2175" t="s">
        <v>12575</v>
      </c>
      <c r="C2465" s="209"/>
      <c r="D2465" s="244"/>
      <c r="E2465" s="232"/>
      <c r="F2465" s="585"/>
      <c r="G2465" s="338"/>
      <c r="H2465" s="520"/>
      <c r="I2465" s="520"/>
      <c r="J2465" s="421"/>
      <c r="K2465" s="520"/>
    </row>
    <row r="2466" spans="1:11" s="194" customFormat="1">
      <c r="A2466" s="421"/>
      <c r="B2466" s="151"/>
      <c r="C2466" s="209"/>
      <c r="D2466" s="244"/>
      <c r="E2466" s="232"/>
      <c r="F2466" s="585"/>
      <c r="G2466" s="338"/>
      <c r="H2466" s="520"/>
      <c r="I2466" s="520"/>
      <c r="J2466" s="421"/>
      <c r="K2466" s="520"/>
    </row>
    <row r="2467" spans="1:11" s="194" customFormat="1">
      <c r="A2467" s="421"/>
      <c r="B2467" s="151" t="s">
        <v>12576</v>
      </c>
      <c r="C2467" s="408">
        <v>89</v>
      </c>
      <c r="D2467" s="244">
        <f t="shared" ref="D2467:D2478" si="358">C2467*(1-VLOOKUP(I2467,descuentos,6,FALSE))*fcl/1</f>
        <v>148.63</v>
      </c>
      <c r="E2467" s="232">
        <v>15</v>
      </c>
      <c r="F2467" s="585">
        <f t="shared" ref="F2467:F2479" si="359">ROUNDUP(D2467+E2467,2)</f>
        <v>163.63</v>
      </c>
      <c r="G2467" s="338" t="s">
        <v>12577</v>
      </c>
      <c r="H2467" s="520" t="s">
        <v>12578</v>
      </c>
      <c r="I2467" s="520" t="s">
        <v>5179</v>
      </c>
      <c r="J2467" s="421" t="s">
        <v>753</v>
      </c>
      <c r="K2467" s="520" t="s">
        <v>741</v>
      </c>
    </row>
    <row r="2468" spans="1:11" s="194" customFormat="1">
      <c r="A2468" s="421"/>
      <c r="B2468" s="151" t="s">
        <v>12579</v>
      </c>
      <c r="C2468" s="408">
        <v>105</v>
      </c>
      <c r="D2468" s="244">
        <f t="shared" si="358"/>
        <v>175.35</v>
      </c>
      <c r="E2468" s="232">
        <v>15</v>
      </c>
      <c r="F2468" s="585">
        <f t="shared" si="359"/>
        <v>190.35</v>
      </c>
      <c r="G2468" s="338" t="s">
        <v>12580</v>
      </c>
      <c r="H2468" s="520" t="s">
        <v>12581</v>
      </c>
      <c r="I2468" s="520" t="s">
        <v>5179</v>
      </c>
      <c r="J2468" s="421" t="s">
        <v>753</v>
      </c>
      <c r="K2468" s="520" t="s">
        <v>741</v>
      </c>
    </row>
    <row r="2469" spans="1:11" s="194" customFormat="1">
      <c r="A2469" s="421"/>
      <c r="B2469" s="151" t="s">
        <v>12582</v>
      </c>
      <c r="C2469" s="408">
        <v>120</v>
      </c>
      <c r="D2469" s="244">
        <f t="shared" si="358"/>
        <v>200.39999999999998</v>
      </c>
      <c r="E2469" s="232">
        <v>15</v>
      </c>
      <c r="F2469" s="585">
        <f t="shared" si="359"/>
        <v>215.4</v>
      </c>
      <c r="G2469" s="338" t="s">
        <v>12583</v>
      </c>
      <c r="H2469" s="520" t="s">
        <v>12584</v>
      </c>
      <c r="I2469" s="520" t="s">
        <v>5179</v>
      </c>
      <c r="J2469" s="421" t="s">
        <v>753</v>
      </c>
      <c r="K2469" s="520" t="s">
        <v>741</v>
      </c>
    </row>
    <row r="2470" spans="1:11" s="194" customFormat="1">
      <c r="A2470" s="421"/>
      <c r="B2470" s="151" t="s">
        <v>12585</v>
      </c>
      <c r="C2470" s="408">
        <v>135</v>
      </c>
      <c r="D2470" s="244">
        <f t="shared" si="358"/>
        <v>225.45</v>
      </c>
      <c r="E2470" s="232">
        <v>15</v>
      </c>
      <c r="F2470" s="585">
        <f t="shared" si="359"/>
        <v>240.45</v>
      </c>
      <c r="G2470" s="338" t="s">
        <v>12586</v>
      </c>
      <c r="H2470" s="520" t="s">
        <v>12587</v>
      </c>
      <c r="I2470" s="520" t="s">
        <v>5179</v>
      </c>
      <c r="J2470" s="421" t="s">
        <v>753</v>
      </c>
      <c r="K2470" s="520" t="s">
        <v>741</v>
      </c>
    </row>
    <row r="2471" spans="1:11" s="194" customFormat="1">
      <c r="A2471" s="421"/>
      <c r="B2471" s="151" t="s">
        <v>12588</v>
      </c>
      <c r="C2471" s="408">
        <v>156</v>
      </c>
      <c r="D2471" s="244">
        <f t="shared" si="358"/>
        <v>260.52</v>
      </c>
      <c r="E2471" s="232">
        <v>15</v>
      </c>
      <c r="F2471" s="585">
        <f t="shared" si="359"/>
        <v>275.52</v>
      </c>
      <c r="G2471" s="338" t="s">
        <v>12589</v>
      </c>
      <c r="H2471" s="520" t="s">
        <v>12590</v>
      </c>
      <c r="I2471" s="520" t="s">
        <v>5179</v>
      </c>
      <c r="J2471" s="421" t="s">
        <v>753</v>
      </c>
      <c r="K2471" s="520" t="s">
        <v>741</v>
      </c>
    </row>
    <row r="2472" spans="1:11" s="194" customFormat="1">
      <c r="A2472" s="421"/>
      <c r="B2472" s="151" t="s">
        <v>12300</v>
      </c>
      <c r="C2472" s="408">
        <v>181</v>
      </c>
      <c r="D2472" s="244">
        <f t="shared" si="358"/>
        <v>302.27</v>
      </c>
      <c r="E2472" s="232">
        <v>15</v>
      </c>
      <c r="F2472" s="585">
        <f t="shared" si="359"/>
        <v>317.27</v>
      </c>
      <c r="G2472" s="338" t="s">
        <v>12591</v>
      </c>
      <c r="H2472" s="520" t="s">
        <v>12302</v>
      </c>
      <c r="I2472" s="520" t="s">
        <v>5179</v>
      </c>
      <c r="J2472" s="421" t="s">
        <v>753</v>
      </c>
      <c r="K2472" s="520" t="s">
        <v>741</v>
      </c>
    </row>
    <row r="2473" spans="1:11" s="194" customFormat="1">
      <c r="A2473" s="421"/>
      <c r="B2473" s="151" t="s">
        <v>12592</v>
      </c>
      <c r="C2473" s="408">
        <v>212</v>
      </c>
      <c r="D2473" s="244">
        <f t="shared" si="358"/>
        <v>354.03999999999996</v>
      </c>
      <c r="E2473" s="232">
        <v>30</v>
      </c>
      <c r="F2473" s="585">
        <f t="shared" si="359"/>
        <v>384.04</v>
      </c>
      <c r="G2473" s="338" t="s">
        <v>12593</v>
      </c>
      <c r="H2473" s="520" t="s">
        <v>12594</v>
      </c>
      <c r="I2473" s="520" t="s">
        <v>5179</v>
      </c>
      <c r="J2473" s="421" t="s">
        <v>753</v>
      </c>
      <c r="K2473" s="520" t="s">
        <v>741</v>
      </c>
    </row>
    <row r="2474" spans="1:11" s="194" customFormat="1">
      <c r="A2474" s="421"/>
      <c r="B2474" s="151" t="s">
        <v>12595</v>
      </c>
      <c r="C2474" s="408">
        <v>261</v>
      </c>
      <c r="D2474" s="244">
        <f t="shared" si="358"/>
        <v>435.87</v>
      </c>
      <c r="E2474" s="232">
        <v>30</v>
      </c>
      <c r="F2474" s="585">
        <f t="shared" si="359"/>
        <v>465.87</v>
      </c>
      <c r="G2474" s="338" t="s">
        <v>12596</v>
      </c>
      <c r="H2474" s="520" t="s">
        <v>12597</v>
      </c>
      <c r="I2474" s="520" t="s">
        <v>5179</v>
      </c>
      <c r="J2474" s="421" t="s">
        <v>753</v>
      </c>
      <c r="K2474" s="520" t="s">
        <v>741</v>
      </c>
    </row>
    <row r="2475" spans="1:11" s="194" customFormat="1">
      <c r="A2475" s="421"/>
      <c r="B2475" s="151" t="s">
        <v>12598</v>
      </c>
      <c r="C2475" s="408">
        <v>322</v>
      </c>
      <c r="D2475" s="244">
        <f t="shared" si="358"/>
        <v>537.74</v>
      </c>
      <c r="E2475" s="232">
        <v>40</v>
      </c>
      <c r="F2475" s="585">
        <f t="shared" si="359"/>
        <v>577.74</v>
      </c>
      <c r="G2475" s="338" t="s">
        <v>12599</v>
      </c>
      <c r="H2475" s="520" t="s">
        <v>12600</v>
      </c>
      <c r="I2475" s="520" t="s">
        <v>5179</v>
      </c>
      <c r="J2475" s="421" t="s">
        <v>753</v>
      </c>
      <c r="K2475" s="520" t="s">
        <v>741</v>
      </c>
    </row>
    <row r="2476" spans="1:11" s="194" customFormat="1">
      <c r="A2476" s="421"/>
      <c r="B2476" s="151" t="s">
        <v>12303</v>
      </c>
      <c r="C2476" s="408">
        <v>393</v>
      </c>
      <c r="D2476" s="244">
        <f t="shared" si="358"/>
        <v>656.31</v>
      </c>
      <c r="E2476" s="232">
        <v>40</v>
      </c>
      <c r="F2476" s="585">
        <f t="shared" si="359"/>
        <v>696.31</v>
      </c>
      <c r="G2476" s="338" t="s">
        <v>12601</v>
      </c>
      <c r="H2476" s="520" t="s">
        <v>12305</v>
      </c>
      <c r="I2476" s="520" t="s">
        <v>5179</v>
      </c>
      <c r="J2476" s="421" t="s">
        <v>753</v>
      </c>
      <c r="K2476" s="520" t="s">
        <v>741</v>
      </c>
    </row>
    <row r="2477" spans="1:11" s="194" customFormat="1">
      <c r="A2477" s="421"/>
      <c r="B2477" s="151" t="s">
        <v>12602</v>
      </c>
      <c r="C2477" s="408">
        <v>464</v>
      </c>
      <c r="D2477" s="244">
        <f t="shared" si="358"/>
        <v>774.88</v>
      </c>
      <c r="E2477" s="232">
        <v>40</v>
      </c>
      <c r="F2477" s="585">
        <f t="shared" si="359"/>
        <v>814.88</v>
      </c>
      <c r="G2477" s="338" t="s">
        <v>12603</v>
      </c>
      <c r="H2477" s="520" t="s">
        <v>12604</v>
      </c>
      <c r="I2477" s="520" t="s">
        <v>5179</v>
      </c>
      <c r="J2477" s="421" t="s">
        <v>753</v>
      </c>
      <c r="K2477" s="520" t="s">
        <v>741</v>
      </c>
    </row>
    <row r="2478" spans="1:11" s="194" customFormat="1">
      <c r="A2478" s="421"/>
      <c r="B2478" s="151" t="s">
        <v>12306</v>
      </c>
      <c r="C2478" s="408">
        <v>539</v>
      </c>
      <c r="D2478" s="244">
        <f t="shared" si="358"/>
        <v>900.13</v>
      </c>
      <c r="E2478" s="232">
        <v>40</v>
      </c>
      <c r="F2478" s="585">
        <f t="shared" si="359"/>
        <v>940.13</v>
      </c>
      <c r="G2478" s="338" t="s">
        <v>12605</v>
      </c>
      <c r="H2478" s="520" t="s">
        <v>12308</v>
      </c>
      <c r="I2478" s="520" t="s">
        <v>5179</v>
      </c>
      <c r="J2478" s="421" t="s">
        <v>753</v>
      </c>
      <c r="K2478" s="520" t="s">
        <v>741</v>
      </c>
    </row>
    <row r="2479" spans="1:11" s="194" customFormat="1">
      <c r="A2479" s="421"/>
      <c r="B2479" s="151" t="s">
        <v>12606</v>
      </c>
      <c r="C2479" s="408">
        <v>595</v>
      </c>
      <c r="D2479" s="244">
        <f>C2479*(1-VLOOKUP(I2479,descuentos,6,FALSE))*fcl/1</f>
        <v>993.65</v>
      </c>
      <c r="E2479" s="232">
        <v>40</v>
      </c>
      <c r="F2479" s="585">
        <f t="shared" si="359"/>
        <v>1033.6500000000001</v>
      </c>
      <c r="G2479" s="338" t="s">
        <v>12607</v>
      </c>
      <c r="H2479" s="520" t="s">
        <v>12608</v>
      </c>
      <c r="I2479" s="520" t="s">
        <v>5179</v>
      </c>
      <c r="J2479" s="421" t="s">
        <v>753</v>
      </c>
      <c r="K2479" s="520" t="s">
        <v>741</v>
      </c>
    </row>
    <row r="2480" spans="1:11" s="194" customFormat="1">
      <c r="A2480" s="421"/>
      <c r="B2480" s="151"/>
      <c r="C2480" s="209" t="s">
        <v>2058</v>
      </c>
      <c r="D2480" s="244"/>
      <c r="E2480" s="232"/>
      <c r="F2480" s="585"/>
      <c r="G2480" s="338"/>
      <c r="H2480" s="520"/>
      <c r="I2480" s="520"/>
      <c r="J2480" s="421"/>
      <c r="K2480" s="520"/>
    </row>
    <row r="2481" spans="1:11" s="194" customFormat="1">
      <c r="A2481" s="421"/>
      <c r="B2481" s="151" t="s">
        <v>12609</v>
      </c>
      <c r="C2481" s="408">
        <v>9</v>
      </c>
      <c r="D2481" s="244">
        <f>C2481*(1-VLOOKUP(I2481,descuentos,6,FALSE))*fcl/1</f>
        <v>15.03</v>
      </c>
      <c r="E2481" s="232">
        <v>5</v>
      </c>
      <c r="F2481" s="585">
        <f>ROUNDUP(D2481+E2481,2)</f>
        <v>20.03</v>
      </c>
      <c r="G2481" s="338" t="s">
        <v>12610</v>
      </c>
      <c r="H2481" s="520" t="s">
        <v>12611</v>
      </c>
      <c r="I2481" s="520" t="s">
        <v>5179</v>
      </c>
      <c r="J2481" s="421" t="s">
        <v>753</v>
      </c>
      <c r="K2481" s="520" t="s">
        <v>741</v>
      </c>
    </row>
    <row r="2482" spans="1:11" s="194" customFormat="1">
      <c r="A2482" s="421"/>
      <c r="B2482" s="151" t="s">
        <v>12612</v>
      </c>
      <c r="C2482" s="408">
        <v>20</v>
      </c>
      <c r="D2482" s="244">
        <f>C2482*(1-VLOOKUP(I2482,descuentos,6,FALSE))*fcl/1</f>
        <v>33.4</v>
      </c>
      <c r="E2482" s="232">
        <v>5</v>
      </c>
      <c r="F2482" s="585">
        <f>ROUNDUP(D2482+E2482,2)</f>
        <v>38.4</v>
      </c>
      <c r="G2482" s="338" t="s">
        <v>12613</v>
      </c>
      <c r="H2482" s="520" t="s">
        <v>12614</v>
      </c>
      <c r="I2482" s="520" t="s">
        <v>5179</v>
      </c>
      <c r="J2482" s="421" t="s">
        <v>753</v>
      </c>
      <c r="K2482" s="520" t="s">
        <v>741</v>
      </c>
    </row>
    <row r="2483" spans="1:11" s="194" customFormat="1">
      <c r="A2483" s="421"/>
      <c r="B2483" s="2176" t="s">
        <v>12615</v>
      </c>
      <c r="C2483" s="2177">
        <v>22</v>
      </c>
      <c r="D2483" s="244">
        <f>C2483*(1-VLOOKUP(I2483,descuentos,6,FALSE))*fcl/1</f>
        <v>36.739999999999995</v>
      </c>
      <c r="E2483" s="232">
        <v>5</v>
      </c>
      <c r="F2483" s="585">
        <f>ROUNDUP(D2483+E2483,2)</f>
        <v>41.74</v>
      </c>
      <c r="G2483" s="338" t="s">
        <v>12616</v>
      </c>
      <c r="H2483" s="520" t="s">
        <v>12617</v>
      </c>
      <c r="I2483" s="520" t="s">
        <v>5179</v>
      </c>
      <c r="J2483" s="421" t="s">
        <v>753</v>
      </c>
      <c r="K2483" s="520" t="s">
        <v>741</v>
      </c>
    </row>
    <row r="2484" spans="1:11" s="194" customFormat="1">
      <c r="A2484" s="421"/>
      <c r="B2484" s="151"/>
      <c r="C2484" s="209" t="s">
        <v>2058</v>
      </c>
      <c r="D2484" s="244"/>
      <c r="E2484" s="232"/>
      <c r="F2484" s="585"/>
      <c r="G2484" s="338"/>
      <c r="H2484" s="520"/>
      <c r="I2484" s="520"/>
      <c r="J2484" s="421"/>
      <c r="K2484" s="520"/>
    </row>
    <row r="2485" spans="1:11" s="194" customFormat="1">
      <c r="A2485" s="421"/>
      <c r="B2485" s="151"/>
      <c r="C2485" s="209" t="s">
        <v>2058</v>
      </c>
      <c r="D2485" s="244"/>
      <c r="E2485" s="232"/>
      <c r="F2485" s="585"/>
      <c r="G2485" s="338"/>
      <c r="H2485" s="520"/>
      <c r="I2485" s="520"/>
      <c r="J2485" s="421"/>
      <c r="K2485" s="520"/>
    </row>
    <row r="2486" spans="1:11" s="194" customFormat="1">
      <c r="A2486" s="421"/>
      <c r="B2486" s="151" t="s">
        <v>12618</v>
      </c>
      <c r="C2486" s="408">
        <v>569</v>
      </c>
      <c r="D2486" s="244">
        <f t="shared" ref="D2486:D2497" si="360">C2486*(1-VLOOKUP(I2486,descuentos,6,FALSE))*fcl/1</f>
        <v>950.2299999999999</v>
      </c>
      <c r="E2486" s="232">
        <v>20</v>
      </c>
      <c r="F2486" s="585">
        <f t="shared" ref="F2486:F2500" si="361">ROUNDUP(D2486+E2486,2)</f>
        <v>970.23</v>
      </c>
      <c r="G2486" s="338" t="s">
        <v>12619</v>
      </c>
      <c r="H2486" s="2178" t="s">
        <v>12620</v>
      </c>
      <c r="I2486" s="520" t="s">
        <v>5179</v>
      </c>
      <c r="J2486" s="421" t="s">
        <v>753</v>
      </c>
      <c r="K2486" s="520" t="s">
        <v>741</v>
      </c>
    </row>
    <row r="2487" spans="1:11" s="194" customFormat="1">
      <c r="A2487" s="421"/>
      <c r="B2487" s="151" t="s">
        <v>12621</v>
      </c>
      <c r="C2487" s="408">
        <v>573</v>
      </c>
      <c r="D2487" s="244">
        <f t="shared" si="360"/>
        <v>956.91</v>
      </c>
      <c r="E2487" s="232">
        <v>20</v>
      </c>
      <c r="F2487" s="585">
        <f t="shared" si="361"/>
        <v>976.91</v>
      </c>
      <c r="G2487" s="338" t="s">
        <v>12622</v>
      </c>
      <c r="H2487" s="2178" t="s">
        <v>12623</v>
      </c>
      <c r="I2487" s="520" t="s">
        <v>5179</v>
      </c>
      <c r="J2487" s="421" t="s">
        <v>753</v>
      </c>
      <c r="K2487" s="520" t="s">
        <v>741</v>
      </c>
    </row>
    <row r="2488" spans="1:11" s="194" customFormat="1">
      <c r="A2488" s="421"/>
      <c r="B2488" s="151" t="s">
        <v>12624</v>
      </c>
      <c r="C2488" s="408">
        <v>576</v>
      </c>
      <c r="D2488" s="244">
        <f t="shared" si="360"/>
        <v>961.92</v>
      </c>
      <c r="E2488" s="232">
        <v>20</v>
      </c>
      <c r="F2488" s="585">
        <f t="shared" si="361"/>
        <v>981.92</v>
      </c>
      <c r="G2488" s="338" t="s">
        <v>12625</v>
      </c>
      <c r="H2488" s="2178" t="s">
        <v>12626</v>
      </c>
      <c r="I2488" s="520" t="s">
        <v>5179</v>
      </c>
      <c r="J2488" s="421" t="s">
        <v>753</v>
      </c>
      <c r="K2488" s="520" t="s">
        <v>741</v>
      </c>
    </row>
    <row r="2489" spans="1:11" s="194" customFormat="1">
      <c r="A2489" s="421"/>
      <c r="B2489" s="151" t="s">
        <v>12627</v>
      </c>
      <c r="C2489" s="408">
        <v>583</v>
      </c>
      <c r="D2489" s="244">
        <f t="shared" si="360"/>
        <v>973.61</v>
      </c>
      <c r="E2489" s="232">
        <v>20</v>
      </c>
      <c r="F2489" s="585">
        <f t="shared" si="361"/>
        <v>993.61</v>
      </c>
      <c r="G2489" s="338" t="s">
        <v>12628</v>
      </c>
      <c r="H2489" s="2178" t="s">
        <v>12629</v>
      </c>
      <c r="I2489" s="520" t="s">
        <v>5179</v>
      </c>
      <c r="J2489" s="421" t="s">
        <v>753</v>
      </c>
      <c r="K2489" s="520" t="s">
        <v>741</v>
      </c>
    </row>
    <row r="2490" spans="1:11" s="194" customFormat="1">
      <c r="A2490" s="421"/>
      <c r="B2490" s="151" t="s">
        <v>12630</v>
      </c>
      <c r="C2490" s="408">
        <v>593</v>
      </c>
      <c r="D2490" s="244">
        <f t="shared" si="360"/>
        <v>990.31</v>
      </c>
      <c r="E2490" s="232">
        <v>30</v>
      </c>
      <c r="F2490" s="585">
        <f t="shared" si="361"/>
        <v>1020.31</v>
      </c>
      <c r="G2490" s="338" t="s">
        <v>12631</v>
      </c>
      <c r="H2490" s="2178" t="s">
        <v>12632</v>
      </c>
      <c r="I2490" s="520" t="s">
        <v>5179</v>
      </c>
      <c r="J2490" s="421" t="s">
        <v>753</v>
      </c>
      <c r="K2490" s="520" t="s">
        <v>741</v>
      </c>
    </row>
    <row r="2491" spans="1:11" s="194" customFormat="1">
      <c r="A2491" s="421"/>
      <c r="B2491" s="151" t="s">
        <v>12633</v>
      </c>
      <c r="C2491" s="408">
        <v>756</v>
      </c>
      <c r="D2491" s="244">
        <f t="shared" si="360"/>
        <v>1262.52</v>
      </c>
      <c r="E2491" s="232">
        <v>30</v>
      </c>
      <c r="F2491" s="585">
        <f t="shared" si="361"/>
        <v>1292.52</v>
      </c>
      <c r="G2491" s="338" t="s">
        <v>12634</v>
      </c>
      <c r="H2491" s="2178" t="s">
        <v>12635</v>
      </c>
      <c r="I2491" s="520" t="s">
        <v>5179</v>
      </c>
      <c r="J2491" s="421" t="s">
        <v>753</v>
      </c>
      <c r="K2491" s="520" t="s">
        <v>741</v>
      </c>
    </row>
    <row r="2492" spans="1:11" s="194" customFormat="1">
      <c r="A2492" s="421"/>
      <c r="B2492" s="151" t="s">
        <v>12636</v>
      </c>
      <c r="C2492" s="408">
        <v>793</v>
      </c>
      <c r="D2492" s="244">
        <f t="shared" si="360"/>
        <v>1324.31</v>
      </c>
      <c r="E2492" s="232">
        <v>40</v>
      </c>
      <c r="F2492" s="585">
        <f t="shared" si="361"/>
        <v>1364.31</v>
      </c>
      <c r="G2492" s="338" t="s">
        <v>12637</v>
      </c>
      <c r="H2492" s="2178" t="s">
        <v>12638</v>
      </c>
      <c r="I2492" s="520" t="s">
        <v>5179</v>
      </c>
      <c r="J2492" s="421" t="s">
        <v>753</v>
      </c>
      <c r="K2492" s="520" t="s">
        <v>741</v>
      </c>
    </row>
    <row r="2493" spans="1:11" s="194" customFormat="1">
      <c r="A2493" s="421"/>
      <c r="B2493" s="151" t="s">
        <v>12639</v>
      </c>
      <c r="C2493" s="408">
        <v>849</v>
      </c>
      <c r="D2493" s="244">
        <f t="shared" si="360"/>
        <v>1417.83</v>
      </c>
      <c r="E2493" s="232">
        <v>40</v>
      </c>
      <c r="F2493" s="585">
        <f t="shared" si="361"/>
        <v>1457.83</v>
      </c>
      <c r="G2493" s="338" t="s">
        <v>12640</v>
      </c>
      <c r="H2493" s="2178" t="s">
        <v>12641</v>
      </c>
      <c r="I2493" s="520" t="s">
        <v>5179</v>
      </c>
      <c r="J2493" s="421" t="s">
        <v>753</v>
      </c>
      <c r="K2493" s="520" t="s">
        <v>741</v>
      </c>
    </row>
    <row r="2494" spans="1:11" s="194" customFormat="1">
      <c r="A2494" s="421"/>
      <c r="B2494" s="151" t="s">
        <v>12642</v>
      </c>
      <c r="C2494" s="408">
        <v>1100</v>
      </c>
      <c r="D2494" s="244">
        <f t="shared" si="360"/>
        <v>1837</v>
      </c>
      <c r="E2494" s="232">
        <v>40</v>
      </c>
      <c r="F2494" s="585">
        <f t="shared" si="361"/>
        <v>1877</v>
      </c>
      <c r="G2494" s="338" t="s">
        <v>12643</v>
      </c>
      <c r="H2494" s="2178" t="s">
        <v>12644</v>
      </c>
      <c r="I2494" s="520" t="s">
        <v>5179</v>
      </c>
      <c r="J2494" s="421" t="s">
        <v>753</v>
      </c>
      <c r="K2494" s="520" t="s">
        <v>741</v>
      </c>
    </row>
    <row r="2495" spans="1:11" s="194" customFormat="1">
      <c r="A2495" s="421"/>
      <c r="B2495" s="151" t="s">
        <v>12645</v>
      </c>
      <c r="C2495" s="408">
        <v>1140</v>
      </c>
      <c r="D2495" s="244">
        <f t="shared" si="360"/>
        <v>1903.8</v>
      </c>
      <c r="E2495" s="232">
        <v>40</v>
      </c>
      <c r="F2495" s="585">
        <f t="shared" si="361"/>
        <v>1943.8</v>
      </c>
      <c r="G2495" s="338" t="s">
        <v>12646</v>
      </c>
      <c r="H2495" s="2178" t="s">
        <v>12647</v>
      </c>
      <c r="I2495" s="520" t="s">
        <v>5179</v>
      </c>
      <c r="J2495" s="421" t="s">
        <v>753</v>
      </c>
      <c r="K2495" s="520" t="s">
        <v>741</v>
      </c>
    </row>
    <row r="2496" spans="1:11" s="194" customFormat="1">
      <c r="A2496" s="421"/>
      <c r="B2496" s="151" t="s">
        <v>12648</v>
      </c>
      <c r="C2496" s="408">
        <v>1154</v>
      </c>
      <c r="D2496" s="244">
        <f t="shared" si="360"/>
        <v>1927.1799999999998</v>
      </c>
      <c r="E2496" s="232">
        <v>40</v>
      </c>
      <c r="F2496" s="585">
        <f t="shared" si="361"/>
        <v>1967.18</v>
      </c>
      <c r="G2496" s="338" t="s">
        <v>12649</v>
      </c>
      <c r="H2496" s="2178" t="s">
        <v>12650</v>
      </c>
      <c r="I2496" s="520" t="s">
        <v>5179</v>
      </c>
      <c r="J2496" s="421" t="s">
        <v>753</v>
      </c>
      <c r="K2496" s="520" t="s">
        <v>741</v>
      </c>
    </row>
    <row r="2497" spans="1:11" s="194" customFormat="1">
      <c r="A2497" s="421"/>
      <c r="B2497" s="151" t="s">
        <v>12651</v>
      </c>
      <c r="C2497" s="408">
        <v>1283</v>
      </c>
      <c r="D2497" s="244">
        <f t="shared" si="360"/>
        <v>2142.61</v>
      </c>
      <c r="E2497" s="232">
        <v>40</v>
      </c>
      <c r="F2497" s="585">
        <f t="shared" si="361"/>
        <v>2182.61</v>
      </c>
      <c r="G2497" s="338" t="s">
        <v>12652</v>
      </c>
      <c r="H2497" s="2178" t="s">
        <v>12653</v>
      </c>
      <c r="I2497" s="520" t="s">
        <v>5179</v>
      </c>
      <c r="J2497" s="421" t="s">
        <v>753</v>
      </c>
      <c r="K2497" s="520" t="s">
        <v>741</v>
      </c>
    </row>
    <row r="2498" spans="1:11" s="194" customFormat="1">
      <c r="A2498" s="421"/>
      <c r="B2498" s="151" t="s">
        <v>12654</v>
      </c>
      <c r="C2498" s="408">
        <v>1358</v>
      </c>
      <c r="D2498" s="244">
        <f>C2498*(1-VLOOKUP(I2498,descuentos,6,FALSE))*fcl/1</f>
        <v>2267.86</v>
      </c>
      <c r="E2498" s="232">
        <v>60</v>
      </c>
      <c r="F2498" s="585">
        <f t="shared" si="361"/>
        <v>2327.86</v>
      </c>
      <c r="G2498" s="338" t="s">
        <v>12655</v>
      </c>
      <c r="H2498" s="2178" t="s">
        <v>12656</v>
      </c>
      <c r="I2498" s="520" t="s">
        <v>5179</v>
      </c>
      <c r="J2498" s="421" t="s">
        <v>753</v>
      </c>
      <c r="K2498" s="520" t="s">
        <v>741</v>
      </c>
    </row>
    <row r="2499" spans="1:11" s="194" customFormat="1">
      <c r="A2499" s="421"/>
      <c r="B2499" s="151" t="s">
        <v>12657</v>
      </c>
      <c r="C2499" s="408">
        <v>1634</v>
      </c>
      <c r="D2499" s="244">
        <f>C2499*(1-VLOOKUP(I2499,descuentos,6,FALSE))*fcl/1</f>
        <v>2728.7799999999997</v>
      </c>
      <c r="E2499" s="232">
        <v>60</v>
      </c>
      <c r="F2499" s="585">
        <f t="shared" si="361"/>
        <v>2788.78</v>
      </c>
      <c r="G2499" s="338" t="s">
        <v>12658</v>
      </c>
      <c r="H2499" s="2178" t="s">
        <v>12659</v>
      </c>
      <c r="I2499" s="520" t="s">
        <v>5179</v>
      </c>
      <c r="J2499" s="421" t="s">
        <v>753</v>
      </c>
      <c r="K2499" s="520" t="s">
        <v>741</v>
      </c>
    </row>
    <row r="2500" spans="1:11" s="194" customFormat="1">
      <c r="A2500" s="421"/>
      <c r="B2500" s="151" t="s">
        <v>12660</v>
      </c>
      <c r="C2500" s="408">
        <v>1953</v>
      </c>
      <c r="D2500" s="244">
        <f>C2500*(1-VLOOKUP(I2500,descuentos,6,FALSE))*fcl/1</f>
        <v>3261.5099999999998</v>
      </c>
      <c r="E2500" s="232">
        <v>60</v>
      </c>
      <c r="F2500" s="585">
        <f t="shared" si="361"/>
        <v>3321.51</v>
      </c>
      <c r="G2500" s="338" t="s">
        <v>12661</v>
      </c>
      <c r="H2500" s="2178" t="s">
        <v>12662</v>
      </c>
      <c r="I2500" s="520" t="s">
        <v>5179</v>
      </c>
      <c r="J2500" s="421" t="s">
        <v>753</v>
      </c>
      <c r="K2500" s="520" t="s">
        <v>741</v>
      </c>
    </row>
    <row r="2501" spans="1:11" s="194" customFormat="1">
      <c r="A2501" s="421"/>
      <c r="B2501" s="151"/>
      <c r="C2501" s="209" t="s">
        <v>2058</v>
      </c>
      <c r="D2501" s="244"/>
      <c r="E2501" s="232"/>
      <c r="F2501" s="585"/>
      <c r="G2501" s="338"/>
      <c r="H2501" s="520"/>
      <c r="I2501" s="520"/>
      <c r="J2501" s="421"/>
      <c r="K2501" s="520"/>
    </row>
    <row r="2502" spans="1:11" s="194" customFormat="1">
      <c r="A2502" s="421"/>
      <c r="B2502" s="151" t="s">
        <v>12663</v>
      </c>
      <c r="C2502" s="408">
        <v>160</v>
      </c>
      <c r="D2502" s="244">
        <f>C2502*(1-VLOOKUP(I2502,descuentos,6,FALSE))*fcl/1</f>
        <v>267.2</v>
      </c>
      <c r="E2502" s="232">
        <v>10</v>
      </c>
      <c r="F2502" s="585">
        <f t="shared" ref="F2502" si="362">ROUNDUP(D2502+E2502,2)</f>
        <v>277.2</v>
      </c>
      <c r="G2502" s="338" t="s">
        <v>12664</v>
      </c>
      <c r="H2502" s="2178" t="s">
        <v>12665</v>
      </c>
      <c r="I2502" s="520" t="s">
        <v>5179</v>
      </c>
      <c r="J2502" s="421" t="s">
        <v>753</v>
      </c>
      <c r="K2502" s="520" t="s">
        <v>741</v>
      </c>
    </row>
    <row r="2503" spans="1:11" s="194" customFormat="1">
      <c r="A2503" s="421"/>
      <c r="B2503" s="151"/>
      <c r="C2503" s="209" t="s">
        <v>2058</v>
      </c>
      <c r="D2503" s="244"/>
      <c r="E2503" s="232"/>
      <c r="F2503" s="585"/>
      <c r="G2503" s="338"/>
      <c r="H2503" s="592"/>
      <c r="I2503" s="520"/>
      <c r="J2503" s="421"/>
      <c r="K2503" s="520"/>
    </row>
    <row r="2504" spans="1:11" s="194" customFormat="1">
      <c r="A2504" s="421"/>
      <c r="B2504" s="151"/>
      <c r="C2504" s="209" t="s">
        <v>2058</v>
      </c>
      <c r="D2504" s="244"/>
      <c r="E2504" s="232"/>
      <c r="F2504" s="585"/>
      <c r="G2504" s="338"/>
      <c r="H2504" s="592"/>
      <c r="I2504" s="520"/>
      <c r="J2504" s="421"/>
      <c r="K2504" s="520"/>
    </row>
    <row r="2505" spans="1:11" s="194" customFormat="1">
      <c r="A2505" s="1967"/>
      <c r="B2505" s="151" t="s">
        <v>9850</v>
      </c>
      <c r="C2505" s="209">
        <v>139</v>
      </c>
      <c r="D2505" s="244">
        <f t="shared" ref="D2505:D2506" si="363">C2505*(1-VLOOKUP(I2505,descuentos,6,FALSE))*fcl/IF(dol_sol="dólar", TC,1)</f>
        <v>33.766599895522383</v>
      </c>
      <c r="E2505" s="232">
        <v>3</v>
      </c>
      <c r="F2505" s="585">
        <f t="shared" ref="F2505:F2539" si="364">ROUNDUP(D2505+E2505,2)</f>
        <v>36.769999999999996</v>
      </c>
      <c r="G2505" s="338" t="s">
        <v>9851</v>
      </c>
      <c r="H2505" s="592" t="s">
        <v>9852</v>
      </c>
      <c r="I2505" s="520" t="s">
        <v>11649</v>
      </c>
      <c r="J2505" s="421" t="s">
        <v>753</v>
      </c>
      <c r="K2505" s="520" t="s">
        <v>741</v>
      </c>
    </row>
    <row r="2506" spans="1:11" s="194" customFormat="1">
      <c r="A2506" s="1967"/>
      <c r="B2506" s="151" t="s">
        <v>9853</v>
      </c>
      <c r="C2506" s="209">
        <v>139</v>
      </c>
      <c r="D2506" s="244">
        <f t="shared" si="363"/>
        <v>33.766599895522383</v>
      </c>
      <c r="E2506" s="232">
        <v>3</v>
      </c>
      <c r="F2506" s="585">
        <f t="shared" si="364"/>
        <v>36.769999999999996</v>
      </c>
      <c r="G2506" s="338" t="s">
        <v>9854</v>
      </c>
      <c r="H2506" s="592" t="s">
        <v>9855</v>
      </c>
      <c r="I2506" s="520" t="s">
        <v>11649</v>
      </c>
      <c r="J2506" s="421" t="s">
        <v>753</v>
      </c>
      <c r="K2506" s="520" t="s">
        <v>741</v>
      </c>
    </row>
    <row r="2507" spans="1:11" s="194" customFormat="1">
      <c r="A2507" s="1967"/>
      <c r="B2507" s="151" t="s">
        <v>9856</v>
      </c>
      <c r="C2507" s="209">
        <v>139</v>
      </c>
      <c r="D2507" s="244">
        <f t="shared" ref="D2507:D2510" si="365">C2507*(1-VLOOKUP(I2507,descuentos,6,FALSE))*fcl/IF(dol_sol="dólar", TC,1)</f>
        <v>33.766599895522383</v>
      </c>
      <c r="E2507" s="232">
        <v>3</v>
      </c>
      <c r="F2507" s="585">
        <f t="shared" si="364"/>
        <v>36.769999999999996</v>
      </c>
      <c r="G2507" s="338" t="s">
        <v>9857</v>
      </c>
      <c r="H2507" s="592" t="s">
        <v>9858</v>
      </c>
      <c r="I2507" s="520" t="s">
        <v>11649</v>
      </c>
      <c r="J2507" s="421" t="s">
        <v>753</v>
      </c>
      <c r="K2507" s="520" t="s">
        <v>741</v>
      </c>
    </row>
    <row r="2508" spans="1:11" s="194" customFormat="1">
      <c r="A2508" s="1967"/>
      <c r="B2508" s="151" t="s">
        <v>9859</v>
      </c>
      <c r="C2508" s="209">
        <v>139</v>
      </c>
      <c r="D2508" s="244">
        <f t="shared" si="365"/>
        <v>33.766599895522383</v>
      </c>
      <c r="E2508" s="232">
        <v>3</v>
      </c>
      <c r="F2508" s="585">
        <f t="shared" si="364"/>
        <v>36.769999999999996</v>
      </c>
      <c r="G2508" s="338" t="s">
        <v>9860</v>
      </c>
      <c r="H2508" s="592" t="s">
        <v>9861</v>
      </c>
      <c r="I2508" s="520" t="s">
        <v>11649</v>
      </c>
      <c r="J2508" s="421" t="s">
        <v>753</v>
      </c>
      <c r="K2508" s="520" t="s">
        <v>741</v>
      </c>
    </row>
    <row r="2509" spans="1:11" s="194" customFormat="1">
      <c r="A2509" s="1967"/>
      <c r="B2509" s="151" t="s">
        <v>9862</v>
      </c>
      <c r="C2509" s="209">
        <v>139</v>
      </c>
      <c r="D2509" s="244">
        <f t="shared" si="365"/>
        <v>33.766599895522383</v>
      </c>
      <c r="E2509" s="232">
        <v>3</v>
      </c>
      <c r="F2509" s="585">
        <f t="shared" si="364"/>
        <v>36.769999999999996</v>
      </c>
      <c r="G2509" s="338" t="s">
        <v>9863</v>
      </c>
      <c r="H2509" s="592" t="s">
        <v>9864</v>
      </c>
      <c r="I2509" s="520" t="s">
        <v>11649</v>
      </c>
      <c r="J2509" s="421" t="s">
        <v>753</v>
      </c>
      <c r="K2509" s="520" t="s">
        <v>741</v>
      </c>
    </row>
    <row r="2510" spans="1:11" s="194" customFormat="1">
      <c r="A2510" s="1967"/>
      <c r="B2510" s="151" t="s">
        <v>9865</v>
      </c>
      <c r="C2510" s="209">
        <v>139</v>
      </c>
      <c r="D2510" s="244">
        <f t="shared" si="365"/>
        <v>33.766599895522383</v>
      </c>
      <c r="E2510" s="232">
        <v>3</v>
      </c>
      <c r="F2510" s="585">
        <f t="shared" si="364"/>
        <v>36.769999999999996</v>
      </c>
      <c r="G2510" s="338" t="s">
        <v>9866</v>
      </c>
      <c r="H2510" s="592" t="s">
        <v>9867</v>
      </c>
      <c r="I2510" s="520" t="s">
        <v>11649</v>
      </c>
      <c r="J2510" s="421" t="s">
        <v>753</v>
      </c>
      <c r="K2510" s="520" t="s">
        <v>741</v>
      </c>
    </row>
    <row r="2511" spans="1:11" s="194" customFormat="1">
      <c r="A2511" s="1967"/>
      <c r="B2511" s="151" t="s">
        <v>9868</v>
      </c>
      <c r="C2511" s="209">
        <v>139</v>
      </c>
      <c r="D2511" s="244">
        <f t="shared" ref="D2511" si="366">C2511*(1-VLOOKUP(I2511,descuentos,6,FALSE))*fcl/IF(dol_sol="dólar", TC,1)</f>
        <v>33.766599895522383</v>
      </c>
      <c r="E2511" s="232">
        <v>3</v>
      </c>
      <c r="F2511" s="585">
        <f t="shared" si="364"/>
        <v>36.769999999999996</v>
      </c>
      <c r="G2511" s="338" t="s">
        <v>9869</v>
      </c>
      <c r="H2511" s="592" t="s">
        <v>9870</v>
      </c>
      <c r="I2511" s="520" t="s">
        <v>11649</v>
      </c>
      <c r="J2511" s="421" t="s">
        <v>753</v>
      </c>
      <c r="K2511" s="520" t="s">
        <v>741</v>
      </c>
    </row>
    <row r="2512" spans="1:11" s="194" customFormat="1">
      <c r="A2512" s="421"/>
      <c r="B2512" s="151" t="s">
        <v>7389</v>
      </c>
      <c r="C2512" s="209">
        <v>137</v>
      </c>
      <c r="D2512" s="244">
        <f t="shared" ref="D2512:D2527" si="367">C2512*(1-VLOOKUP(I2512,descuentos,6,FALSE))*fcl/IF(dol_sol="dólar", TC,1)</f>
        <v>33.280749537313426</v>
      </c>
      <c r="E2512" s="232">
        <v>3</v>
      </c>
      <c r="F2512" s="585">
        <f t="shared" si="364"/>
        <v>36.29</v>
      </c>
      <c r="G2512" s="338" t="s">
        <v>7390</v>
      </c>
      <c r="H2512" s="592" t="s">
        <v>7391</v>
      </c>
      <c r="I2512" s="520" t="s">
        <v>11649</v>
      </c>
      <c r="J2512" s="421" t="s">
        <v>753</v>
      </c>
      <c r="K2512" s="520" t="s">
        <v>741</v>
      </c>
    </row>
    <row r="2513" spans="1:11" s="194" customFormat="1">
      <c r="A2513" s="421"/>
      <c r="B2513" s="151" t="s">
        <v>7392</v>
      </c>
      <c r="C2513" s="209">
        <v>137</v>
      </c>
      <c r="D2513" s="244">
        <f t="shared" si="367"/>
        <v>33.280749537313426</v>
      </c>
      <c r="E2513" s="232">
        <v>3</v>
      </c>
      <c r="F2513" s="585">
        <f t="shared" si="364"/>
        <v>36.29</v>
      </c>
      <c r="G2513" s="338" t="s">
        <v>7393</v>
      </c>
      <c r="H2513" s="592" t="s">
        <v>7394</v>
      </c>
      <c r="I2513" s="520" t="s">
        <v>11649</v>
      </c>
      <c r="J2513" s="421" t="s">
        <v>753</v>
      </c>
      <c r="K2513" s="520" t="s">
        <v>741</v>
      </c>
    </row>
    <row r="2514" spans="1:11" s="194" customFormat="1">
      <c r="A2514" s="421"/>
      <c r="B2514" s="151" t="s">
        <v>7395</v>
      </c>
      <c r="C2514" s="209">
        <v>137</v>
      </c>
      <c r="D2514" s="244">
        <f t="shared" si="367"/>
        <v>33.280749537313426</v>
      </c>
      <c r="E2514" s="232">
        <v>3</v>
      </c>
      <c r="F2514" s="585">
        <f t="shared" si="364"/>
        <v>36.29</v>
      </c>
      <c r="G2514" s="338" t="s">
        <v>7396</v>
      </c>
      <c r="H2514" s="592" t="s">
        <v>7397</v>
      </c>
      <c r="I2514" s="520" t="s">
        <v>11649</v>
      </c>
      <c r="J2514" s="421" t="s">
        <v>753</v>
      </c>
      <c r="K2514" s="520" t="s">
        <v>741</v>
      </c>
    </row>
    <row r="2515" spans="1:11" s="194" customFormat="1">
      <c r="A2515" s="421"/>
      <c r="B2515" s="151" t="s">
        <v>7398</v>
      </c>
      <c r="C2515" s="209">
        <v>137</v>
      </c>
      <c r="D2515" s="244">
        <f t="shared" si="367"/>
        <v>33.280749537313426</v>
      </c>
      <c r="E2515" s="232">
        <v>3</v>
      </c>
      <c r="F2515" s="585">
        <f t="shared" si="364"/>
        <v>36.29</v>
      </c>
      <c r="G2515" s="338" t="s">
        <v>7399</v>
      </c>
      <c r="H2515" s="592" t="s">
        <v>7400</v>
      </c>
      <c r="I2515" s="520" t="s">
        <v>11649</v>
      </c>
      <c r="J2515" s="421" t="s">
        <v>753</v>
      </c>
      <c r="K2515" s="520" t="s">
        <v>741</v>
      </c>
    </row>
    <row r="2516" spans="1:11" s="194" customFormat="1">
      <c r="A2516" s="421"/>
      <c r="B2516" s="151" t="s">
        <v>7401</v>
      </c>
      <c r="C2516" s="209">
        <v>137</v>
      </c>
      <c r="D2516" s="244">
        <f t="shared" si="367"/>
        <v>33.280749537313426</v>
      </c>
      <c r="E2516" s="232">
        <v>3</v>
      </c>
      <c r="F2516" s="585">
        <f t="shared" si="364"/>
        <v>36.29</v>
      </c>
      <c r="G2516" s="338" t="s">
        <v>7402</v>
      </c>
      <c r="H2516" s="592" t="s">
        <v>7403</v>
      </c>
      <c r="I2516" s="520" t="s">
        <v>11649</v>
      </c>
      <c r="J2516" s="421" t="s">
        <v>753</v>
      </c>
      <c r="K2516" s="520" t="s">
        <v>741</v>
      </c>
    </row>
    <row r="2517" spans="1:11" s="194" customFormat="1">
      <c r="A2517" s="421"/>
      <c r="B2517" s="151" t="s">
        <v>7404</v>
      </c>
      <c r="C2517" s="209">
        <v>137</v>
      </c>
      <c r="D2517" s="244">
        <f t="shared" si="367"/>
        <v>33.280749537313426</v>
      </c>
      <c r="E2517" s="232">
        <v>3</v>
      </c>
      <c r="F2517" s="585">
        <f t="shared" si="364"/>
        <v>36.29</v>
      </c>
      <c r="G2517" s="338" t="s">
        <v>7405</v>
      </c>
      <c r="H2517" s="592" t="s">
        <v>7406</v>
      </c>
      <c r="I2517" s="520" t="s">
        <v>11649</v>
      </c>
      <c r="J2517" s="421" t="s">
        <v>753</v>
      </c>
      <c r="K2517" s="520" t="s">
        <v>741</v>
      </c>
    </row>
    <row r="2518" spans="1:11" s="194" customFormat="1">
      <c r="A2518" s="421"/>
      <c r="B2518" s="151" t="s">
        <v>7407</v>
      </c>
      <c r="C2518" s="209">
        <v>137</v>
      </c>
      <c r="D2518" s="244">
        <f t="shared" si="367"/>
        <v>33.280749537313426</v>
      </c>
      <c r="E2518" s="232">
        <v>3</v>
      </c>
      <c r="F2518" s="585">
        <f t="shared" si="364"/>
        <v>36.29</v>
      </c>
      <c r="G2518" s="338" t="s">
        <v>7408</v>
      </c>
      <c r="H2518" s="592" t="s">
        <v>7409</v>
      </c>
      <c r="I2518" s="520" t="s">
        <v>11649</v>
      </c>
      <c r="J2518" s="421" t="s">
        <v>753</v>
      </c>
      <c r="K2518" s="520" t="s">
        <v>741</v>
      </c>
    </row>
    <row r="2519" spans="1:11" s="194" customFormat="1">
      <c r="A2519" s="421"/>
      <c r="B2519" s="151" t="s">
        <v>7410</v>
      </c>
      <c r="C2519" s="209">
        <v>137</v>
      </c>
      <c r="D2519" s="244">
        <f t="shared" si="367"/>
        <v>33.280749537313426</v>
      </c>
      <c r="E2519" s="232">
        <v>3</v>
      </c>
      <c r="F2519" s="585">
        <f t="shared" si="364"/>
        <v>36.29</v>
      </c>
      <c r="G2519" s="338" t="s">
        <v>7411</v>
      </c>
      <c r="H2519" s="592" t="s">
        <v>7412</v>
      </c>
      <c r="I2519" s="520" t="s">
        <v>11649</v>
      </c>
      <c r="J2519" s="421" t="s">
        <v>753</v>
      </c>
      <c r="K2519" s="520" t="s">
        <v>741</v>
      </c>
    </row>
    <row r="2520" spans="1:11" s="194" customFormat="1">
      <c r="A2520" s="421"/>
      <c r="B2520" s="151" t="s">
        <v>7413</v>
      </c>
      <c r="C2520" s="209">
        <v>137</v>
      </c>
      <c r="D2520" s="244">
        <f t="shared" si="367"/>
        <v>33.280749537313426</v>
      </c>
      <c r="E2520" s="232">
        <v>3</v>
      </c>
      <c r="F2520" s="585">
        <f t="shared" si="364"/>
        <v>36.29</v>
      </c>
      <c r="G2520" s="338" t="s">
        <v>7414</v>
      </c>
      <c r="H2520" s="592" t="s">
        <v>7415</v>
      </c>
      <c r="I2520" s="520" t="s">
        <v>11649</v>
      </c>
      <c r="J2520" s="421" t="s">
        <v>753</v>
      </c>
      <c r="K2520" s="520" t="s">
        <v>741</v>
      </c>
    </row>
    <row r="2521" spans="1:11" s="194" customFormat="1">
      <c r="A2521" s="421"/>
      <c r="B2521" s="151" t="s">
        <v>7416</v>
      </c>
      <c r="C2521" s="209">
        <v>153</v>
      </c>
      <c r="D2521" s="244">
        <f t="shared" si="367"/>
        <v>37.167552402985073</v>
      </c>
      <c r="E2521" s="232">
        <v>5</v>
      </c>
      <c r="F2521" s="585">
        <f t="shared" si="364"/>
        <v>42.169999999999995</v>
      </c>
      <c r="G2521" s="338" t="s">
        <v>7417</v>
      </c>
      <c r="H2521" s="592" t="s">
        <v>7418</v>
      </c>
      <c r="I2521" s="520" t="s">
        <v>11649</v>
      </c>
      <c r="J2521" s="421" t="s">
        <v>753</v>
      </c>
      <c r="K2521" s="520" t="s">
        <v>741</v>
      </c>
    </row>
    <row r="2522" spans="1:11" s="194" customFormat="1">
      <c r="A2522" s="421"/>
      <c r="B2522" s="151" t="s">
        <v>7419</v>
      </c>
      <c r="C2522" s="209">
        <v>153</v>
      </c>
      <c r="D2522" s="244">
        <f t="shared" si="367"/>
        <v>37.167552402985073</v>
      </c>
      <c r="E2522" s="232">
        <v>5</v>
      </c>
      <c r="F2522" s="585">
        <f t="shared" si="364"/>
        <v>42.169999999999995</v>
      </c>
      <c r="G2522" s="338" t="s">
        <v>7420</v>
      </c>
      <c r="H2522" s="592" t="s">
        <v>7421</v>
      </c>
      <c r="I2522" s="520" t="s">
        <v>11649</v>
      </c>
      <c r="J2522" s="421" t="s">
        <v>753</v>
      </c>
      <c r="K2522" s="520" t="s">
        <v>741</v>
      </c>
    </row>
    <row r="2523" spans="1:11" s="194" customFormat="1">
      <c r="A2523" s="421"/>
      <c r="B2523" s="151" t="s">
        <v>7422</v>
      </c>
      <c r="C2523" s="209">
        <v>153</v>
      </c>
      <c r="D2523" s="244">
        <f t="shared" si="367"/>
        <v>37.167552402985073</v>
      </c>
      <c r="E2523" s="232">
        <v>5</v>
      </c>
      <c r="F2523" s="585">
        <f t="shared" si="364"/>
        <v>42.169999999999995</v>
      </c>
      <c r="G2523" s="338" t="s">
        <v>7423</v>
      </c>
      <c r="H2523" s="592" t="s">
        <v>7424</v>
      </c>
      <c r="I2523" s="520" t="s">
        <v>11649</v>
      </c>
      <c r="J2523" s="421" t="s">
        <v>753</v>
      </c>
      <c r="K2523" s="520" t="s">
        <v>741</v>
      </c>
    </row>
    <row r="2524" spans="1:11" s="194" customFormat="1">
      <c r="A2524" s="421"/>
      <c r="B2524" s="151" t="s">
        <v>7425</v>
      </c>
      <c r="C2524" s="209">
        <v>175</v>
      </c>
      <c r="D2524" s="244">
        <f t="shared" si="367"/>
        <v>42.511906343283577</v>
      </c>
      <c r="E2524" s="232">
        <v>5</v>
      </c>
      <c r="F2524" s="585">
        <f t="shared" si="364"/>
        <v>47.519999999999996</v>
      </c>
      <c r="G2524" s="338" t="s">
        <v>7426</v>
      </c>
      <c r="H2524" s="592" t="s">
        <v>7427</v>
      </c>
      <c r="I2524" s="520" t="s">
        <v>11649</v>
      </c>
      <c r="J2524" s="421" t="s">
        <v>753</v>
      </c>
      <c r="K2524" s="520" t="s">
        <v>741</v>
      </c>
    </row>
    <row r="2525" spans="1:11" s="194" customFormat="1">
      <c r="A2525" s="421"/>
      <c r="B2525" s="151" t="s">
        <v>5951</v>
      </c>
      <c r="C2525" s="209">
        <v>223</v>
      </c>
      <c r="D2525" s="244">
        <f t="shared" si="367"/>
        <v>54.172314940298506</v>
      </c>
      <c r="E2525" s="232">
        <v>5</v>
      </c>
      <c r="F2525" s="585">
        <f t="shared" si="364"/>
        <v>59.18</v>
      </c>
      <c r="G2525" s="338" t="s">
        <v>7428</v>
      </c>
      <c r="H2525" s="592" t="s">
        <v>5952</v>
      </c>
      <c r="I2525" s="520" t="s">
        <v>11649</v>
      </c>
      <c r="J2525" s="421" t="s">
        <v>753</v>
      </c>
      <c r="K2525" s="520" t="s">
        <v>741</v>
      </c>
    </row>
    <row r="2526" spans="1:11" s="194" customFormat="1">
      <c r="A2526" s="421"/>
      <c r="B2526" s="151" t="s">
        <v>5953</v>
      </c>
      <c r="C2526" s="209">
        <v>228</v>
      </c>
      <c r="D2526" s="244">
        <f t="shared" si="367"/>
        <v>55.38694083582088</v>
      </c>
      <c r="E2526" s="232">
        <v>5</v>
      </c>
      <c r="F2526" s="585">
        <f t="shared" si="364"/>
        <v>60.39</v>
      </c>
      <c r="G2526" s="338" t="s">
        <v>7429</v>
      </c>
      <c r="H2526" s="592" t="s">
        <v>5954</v>
      </c>
      <c r="I2526" s="520" t="s">
        <v>11649</v>
      </c>
      <c r="J2526" s="421" t="s">
        <v>753</v>
      </c>
      <c r="K2526" s="520" t="s">
        <v>741</v>
      </c>
    </row>
    <row r="2527" spans="1:11" s="194" customFormat="1">
      <c r="A2527" s="421"/>
      <c r="B2527" s="151" t="s">
        <v>5955</v>
      </c>
      <c r="C2527" s="209">
        <v>228</v>
      </c>
      <c r="D2527" s="244">
        <f t="shared" si="367"/>
        <v>55.38694083582088</v>
      </c>
      <c r="E2527" s="232">
        <v>5</v>
      </c>
      <c r="F2527" s="585">
        <f t="shared" si="364"/>
        <v>60.39</v>
      </c>
      <c r="G2527" s="338" t="s">
        <v>7430</v>
      </c>
      <c r="H2527" s="592" t="s">
        <v>5956</v>
      </c>
      <c r="I2527" s="520" t="s">
        <v>11649</v>
      </c>
      <c r="J2527" s="421" t="s">
        <v>753</v>
      </c>
      <c r="K2527" s="520" t="s">
        <v>741</v>
      </c>
    </row>
    <row r="2528" spans="1:11" s="194" customFormat="1">
      <c r="A2528" s="421"/>
      <c r="B2528" s="151"/>
      <c r="C2528" s="209" t="s">
        <v>2058</v>
      </c>
      <c r="D2528" s="244"/>
      <c r="E2528" s="232"/>
      <c r="F2528" s="585"/>
      <c r="G2528" s="338"/>
      <c r="H2528" s="592"/>
      <c r="I2528" s="520"/>
      <c r="J2528" s="421"/>
      <c r="K2528" s="520"/>
    </row>
    <row r="2529" spans="1:11" s="194" customFormat="1">
      <c r="A2529" s="421"/>
      <c r="B2529" s="151" t="s">
        <v>5957</v>
      </c>
      <c r="C2529" s="209">
        <v>232</v>
      </c>
      <c r="D2529" s="244">
        <f>C2529*(1-VLOOKUP(I2529,descuentos,6,FALSE))*fcl/IF(dol_sol="dólar", TC,1)</f>
        <v>56.358641552238808</v>
      </c>
      <c r="E2529" s="232">
        <v>10</v>
      </c>
      <c r="F2529" s="585">
        <f t="shared" si="364"/>
        <v>66.36</v>
      </c>
      <c r="G2529" s="338" t="s">
        <v>5958</v>
      </c>
      <c r="H2529" s="592" t="s">
        <v>5959</v>
      </c>
      <c r="I2529" s="520" t="s">
        <v>11649</v>
      </c>
      <c r="J2529" s="421" t="s">
        <v>753</v>
      </c>
      <c r="K2529" s="520" t="s">
        <v>741</v>
      </c>
    </row>
    <row r="2530" spans="1:11" s="194" customFormat="1">
      <c r="A2530" s="421"/>
      <c r="B2530" s="151" t="s">
        <v>5960</v>
      </c>
      <c r="C2530" s="209">
        <v>243</v>
      </c>
      <c r="D2530" s="244">
        <f>C2530*(1-VLOOKUP(I2530,descuentos,6,FALSE))*fcl/IF(dol_sol="dólar", TC,1)</f>
        <v>59.030818522388053</v>
      </c>
      <c r="E2530" s="232">
        <v>10</v>
      </c>
      <c r="F2530" s="585">
        <f t="shared" si="364"/>
        <v>69.040000000000006</v>
      </c>
      <c r="G2530" s="338" t="s">
        <v>5961</v>
      </c>
      <c r="H2530" s="592" t="s">
        <v>5962</v>
      </c>
      <c r="I2530" s="520" t="s">
        <v>11649</v>
      </c>
      <c r="J2530" s="421" t="s">
        <v>753</v>
      </c>
      <c r="K2530" s="520" t="s">
        <v>741</v>
      </c>
    </row>
    <row r="2531" spans="1:11" s="194" customFormat="1">
      <c r="A2531" s="421"/>
      <c r="B2531" s="151" t="s">
        <v>5963</v>
      </c>
      <c r="C2531" s="209">
        <v>274</v>
      </c>
      <c r="D2531" s="244">
        <f>C2531*(1-VLOOKUP(I2531,descuentos,6,FALSE))*fcl/IF(dol_sol="dólar", TC,1)</f>
        <v>66.561499074626852</v>
      </c>
      <c r="E2531" s="232">
        <v>10</v>
      </c>
      <c r="F2531" s="585">
        <f t="shared" si="364"/>
        <v>76.570000000000007</v>
      </c>
      <c r="G2531" s="338" t="s">
        <v>5964</v>
      </c>
      <c r="H2531" s="592" t="s">
        <v>5965</v>
      </c>
      <c r="I2531" s="520" t="s">
        <v>11649</v>
      </c>
      <c r="J2531" s="421" t="s">
        <v>753</v>
      </c>
      <c r="K2531" s="520" t="s">
        <v>741</v>
      </c>
    </row>
    <row r="2532" spans="1:11" s="194" customFormat="1">
      <c r="A2532" s="421"/>
      <c r="B2532" s="151" t="s">
        <v>5966</v>
      </c>
      <c r="C2532" s="209">
        <v>285</v>
      </c>
      <c r="D2532" s="244">
        <f>C2532*(1-VLOOKUP(I2532,descuentos,6,FALSE))*fcl/IF(dol_sol="dólar", TC,1)</f>
        <v>69.233676044776104</v>
      </c>
      <c r="E2532" s="232">
        <v>10</v>
      </c>
      <c r="F2532" s="585">
        <f t="shared" si="364"/>
        <v>79.240000000000009</v>
      </c>
      <c r="G2532" s="338" t="s">
        <v>5967</v>
      </c>
      <c r="H2532" s="592" t="s">
        <v>5968</v>
      </c>
      <c r="I2532" s="520" t="s">
        <v>11649</v>
      </c>
      <c r="J2532" s="421" t="s">
        <v>753</v>
      </c>
      <c r="K2532" s="520" t="s">
        <v>741</v>
      </c>
    </row>
    <row r="2533" spans="1:11" s="194" customFormat="1">
      <c r="A2533" s="421"/>
      <c r="B2533" s="151"/>
      <c r="C2533" s="209" t="s">
        <v>2058</v>
      </c>
      <c r="D2533" s="244"/>
      <c r="E2533" s="232"/>
      <c r="F2533" s="585"/>
      <c r="G2533" s="338"/>
      <c r="H2533" s="592"/>
      <c r="I2533" s="520"/>
      <c r="J2533" s="421"/>
      <c r="K2533" s="520"/>
    </row>
    <row r="2534" spans="1:11" s="194" customFormat="1">
      <c r="A2534" s="421"/>
      <c r="B2534" s="151" t="s">
        <v>5969</v>
      </c>
      <c r="C2534" s="209">
        <v>305</v>
      </c>
      <c r="D2534" s="244">
        <f t="shared" ref="D2534:D2539" si="368">C2534*(1-VLOOKUP(I2534,descuentos,6,FALSE))*fcl/IF(dol_sol="dólar", TC,1)</f>
        <v>74.092179626865672</v>
      </c>
      <c r="E2534" s="232">
        <v>15</v>
      </c>
      <c r="F2534" s="585">
        <f t="shared" si="364"/>
        <v>89.100000000000009</v>
      </c>
      <c r="G2534" s="338" t="s">
        <v>5970</v>
      </c>
      <c r="H2534" s="592" t="s">
        <v>5971</v>
      </c>
      <c r="I2534" s="520" t="s">
        <v>11649</v>
      </c>
      <c r="J2534" s="421" t="s">
        <v>753</v>
      </c>
      <c r="K2534" s="520" t="s">
        <v>741</v>
      </c>
    </row>
    <row r="2535" spans="1:11" s="194" customFormat="1">
      <c r="A2535" s="421"/>
      <c r="B2535" s="151" t="s">
        <v>5972</v>
      </c>
      <c r="C2535" s="209">
        <v>305</v>
      </c>
      <c r="D2535" s="244">
        <f t="shared" si="368"/>
        <v>74.092179626865672</v>
      </c>
      <c r="E2535" s="232">
        <v>15</v>
      </c>
      <c r="F2535" s="585">
        <f t="shared" si="364"/>
        <v>89.100000000000009</v>
      </c>
      <c r="G2535" s="338" t="s">
        <v>5973</v>
      </c>
      <c r="H2535" s="592" t="s">
        <v>5974</v>
      </c>
      <c r="I2535" s="520" t="s">
        <v>11649</v>
      </c>
      <c r="J2535" s="421" t="s">
        <v>753</v>
      </c>
      <c r="K2535" s="520" t="s">
        <v>741</v>
      </c>
    </row>
    <row r="2536" spans="1:11" s="194" customFormat="1">
      <c r="A2536" s="421"/>
      <c r="B2536" s="151" t="s">
        <v>5975</v>
      </c>
      <c r="C2536" s="209">
        <v>327</v>
      </c>
      <c r="D2536" s="244">
        <f t="shared" si="368"/>
        <v>79.436533567164162</v>
      </c>
      <c r="E2536" s="232">
        <v>15</v>
      </c>
      <c r="F2536" s="585">
        <f t="shared" si="364"/>
        <v>94.440000000000012</v>
      </c>
      <c r="G2536" s="338" t="s">
        <v>5976</v>
      </c>
      <c r="H2536" s="592" t="s">
        <v>5977</v>
      </c>
      <c r="I2536" s="520" t="s">
        <v>11649</v>
      </c>
      <c r="J2536" s="421" t="s">
        <v>753</v>
      </c>
      <c r="K2536" s="520" t="s">
        <v>741</v>
      </c>
    </row>
    <row r="2537" spans="1:11" s="194" customFormat="1">
      <c r="A2537" s="421"/>
      <c r="B2537" s="151" t="s">
        <v>5978</v>
      </c>
      <c r="C2537" s="209">
        <v>380</v>
      </c>
      <c r="D2537" s="244">
        <f t="shared" si="368"/>
        <v>92.311568059701486</v>
      </c>
      <c r="E2537" s="232">
        <v>15</v>
      </c>
      <c r="F2537" s="585">
        <f t="shared" si="364"/>
        <v>107.32000000000001</v>
      </c>
      <c r="G2537" s="338" t="s">
        <v>5979</v>
      </c>
      <c r="H2537" s="592" t="s">
        <v>5980</v>
      </c>
      <c r="I2537" s="520" t="s">
        <v>11649</v>
      </c>
      <c r="J2537" s="421" t="s">
        <v>753</v>
      </c>
      <c r="K2537" s="520" t="s">
        <v>741</v>
      </c>
    </row>
    <row r="2538" spans="1:11" s="194" customFormat="1">
      <c r="A2538" s="421"/>
      <c r="B2538" s="151" t="s">
        <v>5981</v>
      </c>
      <c r="C2538" s="209">
        <v>410</v>
      </c>
      <c r="D2538" s="244">
        <f t="shared" si="368"/>
        <v>99.599323432835817</v>
      </c>
      <c r="E2538" s="232">
        <v>15</v>
      </c>
      <c r="F2538" s="585">
        <f t="shared" si="364"/>
        <v>114.60000000000001</v>
      </c>
      <c r="G2538" s="338" t="s">
        <v>5982</v>
      </c>
      <c r="H2538" s="592" t="s">
        <v>5983</v>
      </c>
      <c r="I2538" s="520" t="s">
        <v>11649</v>
      </c>
      <c r="J2538" s="421" t="s">
        <v>753</v>
      </c>
      <c r="K2538" s="520" t="s">
        <v>741</v>
      </c>
    </row>
    <row r="2539" spans="1:11" s="194" customFormat="1">
      <c r="A2539" s="421"/>
      <c r="B2539" s="151" t="s">
        <v>5984</v>
      </c>
      <c r="C2539" s="209">
        <v>442</v>
      </c>
      <c r="D2539" s="244">
        <f t="shared" si="368"/>
        <v>107.3729291641791</v>
      </c>
      <c r="E2539" s="232">
        <v>15</v>
      </c>
      <c r="F2539" s="585">
        <f t="shared" si="364"/>
        <v>122.38000000000001</v>
      </c>
      <c r="G2539" s="338" t="s">
        <v>5985</v>
      </c>
      <c r="H2539" s="592" t="s">
        <v>5986</v>
      </c>
      <c r="I2539" s="520" t="s">
        <v>11649</v>
      </c>
      <c r="J2539" s="421" t="s">
        <v>753</v>
      </c>
      <c r="K2539" s="520" t="s">
        <v>741</v>
      </c>
    </row>
    <row r="2540" spans="1:11" s="194" customFormat="1">
      <c r="A2540" s="421"/>
      <c r="B2540" s="151"/>
      <c r="C2540" s="209" t="s">
        <v>2058</v>
      </c>
      <c r="D2540" s="244"/>
      <c r="E2540" s="232"/>
      <c r="F2540" s="585"/>
      <c r="G2540" s="338"/>
      <c r="H2540" s="592"/>
      <c r="I2540" s="520"/>
      <c r="J2540" s="421"/>
      <c r="K2540" s="520"/>
    </row>
    <row r="2541" spans="1:11" s="194" customFormat="1">
      <c r="A2541" s="421"/>
      <c r="B2541" s="151" t="s">
        <v>13979</v>
      </c>
      <c r="C2541" s="209">
        <v>1037</v>
      </c>
      <c r="D2541" s="244">
        <f t="shared" ref="D2541" si="369">C2541*(1-VLOOKUP(I2541,descuentos,6,FALSE))*fcl/IF(dol_sol="dólar", TC,1)</f>
        <v>251.91341073134328</v>
      </c>
      <c r="E2541" s="232">
        <v>15</v>
      </c>
      <c r="F2541" s="585">
        <f t="shared" ref="F2541" si="370">ROUNDUP(D2541+E2541,2)</f>
        <v>266.92</v>
      </c>
      <c r="G2541" s="338" t="s">
        <v>13980</v>
      </c>
      <c r="H2541" s="592" t="s">
        <v>13981</v>
      </c>
      <c r="I2541" s="520" t="s">
        <v>11649</v>
      </c>
      <c r="J2541" s="421" t="s">
        <v>753</v>
      </c>
      <c r="K2541" s="520" t="s">
        <v>741</v>
      </c>
    </row>
    <row r="2542" spans="1:11" s="194" customFormat="1">
      <c r="A2542" s="421"/>
      <c r="B2542" s="151"/>
      <c r="C2542" s="209" t="s">
        <v>2058</v>
      </c>
      <c r="D2542" s="244"/>
      <c r="E2542" s="232"/>
      <c r="F2542" s="585"/>
      <c r="G2542" s="338"/>
      <c r="H2542" s="592"/>
      <c r="I2542" s="520"/>
      <c r="J2542" s="421"/>
      <c r="K2542" s="520"/>
    </row>
    <row r="2543" spans="1:11" s="194" customFormat="1">
      <c r="A2543" s="421"/>
      <c r="B2543" s="151"/>
      <c r="C2543" s="209" t="s">
        <v>2058</v>
      </c>
      <c r="D2543" s="244"/>
      <c r="E2543" s="232"/>
      <c r="F2543" s="585"/>
      <c r="G2543" s="338"/>
      <c r="H2543" s="592"/>
      <c r="I2543" s="520"/>
      <c r="J2543" s="421"/>
      <c r="K2543" s="520"/>
    </row>
    <row r="2544" spans="1:11" s="194" customFormat="1">
      <c r="A2544" s="650"/>
      <c r="B2544" s="151" t="s">
        <v>5987</v>
      </c>
      <c r="C2544" s="209">
        <v>175</v>
      </c>
      <c r="D2544" s="244">
        <f>C2544*(1-VLOOKUP(I2544,descuentos,6,FALSE))*fcl/IF(dol_sol="dólar", TC,1)</f>
        <v>42.511906343283577</v>
      </c>
      <c r="E2544" s="228">
        <v>5</v>
      </c>
      <c r="F2544" s="585">
        <f>ROUNDUP(D2544+E2544,2)</f>
        <v>47.519999999999996</v>
      </c>
      <c r="G2544" s="338" t="s">
        <v>5988</v>
      </c>
      <c r="H2544" s="592" t="s">
        <v>5989</v>
      </c>
      <c r="I2544" s="520" t="s">
        <v>11649</v>
      </c>
      <c r="J2544" s="421" t="s">
        <v>753</v>
      </c>
      <c r="K2544" s="520" t="s">
        <v>741</v>
      </c>
    </row>
    <row r="2545" spans="1:15" s="196" customFormat="1">
      <c r="A2545" s="421"/>
      <c r="B2545" s="151"/>
      <c r="C2545" s="209" t="s">
        <v>2058</v>
      </c>
      <c r="D2545" s="244"/>
      <c r="E2545" s="232"/>
      <c r="F2545" s="585"/>
      <c r="G2545" s="338"/>
      <c r="H2545" s="592"/>
      <c r="I2545" s="520"/>
      <c r="J2545" s="421"/>
      <c r="K2545" s="520"/>
    </row>
    <row r="2546" spans="1:15" s="194" customFormat="1">
      <c r="A2546" s="421"/>
      <c r="B2546" s="151"/>
      <c r="C2546" s="209" t="s">
        <v>2058</v>
      </c>
      <c r="D2546" s="244"/>
      <c r="E2546" s="232"/>
      <c r="F2546" s="585"/>
      <c r="G2546" s="338"/>
      <c r="H2546" s="592"/>
      <c r="I2546" s="520"/>
      <c r="J2546" s="421"/>
      <c r="K2546" s="520"/>
    </row>
    <row r="2547" spans="1:15" s="194" customFormat="1">
      <c r="A2547" s="421"/>
      <c r="B2547" s="151"/>
      <c r="C2547" s="209" t="s">
        <v>2058</v>
      </c>
      <c r="D2547" s="244"/>
      <c r="E2547" s="232"/>
      <c r="F2547" s="585"/>
      <c r="G2547" s="338"/>
      <c r="H2547" s="592"/>
      <c r="I2547" s="520"/>
      <c r="J2547" s="421"/>
      <c r="K2547" s="520"/>
    </row>
    <row r="2548" spans="1:15" s="194" customFormat="1">
      <c r="A2548" s="421"/>
      <c r="B2548" s="151"/>
      <c r="C2548" s="209" t="s">
        <v>2058</v>
      </c>
      <c r="D2548" s="244"/>
      <c r="E2548" s="232"/>
      <c r="F2548" s="585"/>
      <c r="G2548" s="338"/>
      <c r="H2548" s="592"/>
      <c r="I2548" s="520"/>
      <c r="J2548" s="421"/>
      <c r="K2548" s="520"/>
    </row>
    <row r="2549" spans="1:15" s="194" customFormat="1">
      <c r="A2549" s="421"/>
      <c r="B2549" s="151"/>
      <c r="C2549" s="209" t="s">
        <v>2058</v>
      </c>
      <c r="D2549" s="244"/>
      <c r="E2549" s="232"/>
      <c r="F2549" s="585"/>
      <c r="G2549" s="338"/>
      <c r="H2549" s="592"/>
      <c r="I2549" s="520"/>
      <c r="J2549" s="421"/>
      <c r="K2549" s="520"/>
    </row>
    <row r="2550" spans="1:15" s="194" customFormat="1">
      <c r="A2550" s="421"/>
      <c r="B2550" s="151"/>
      <c r="C2550" s="209" t="s">
        <v>2058</v>
      </c>
      <c r="D2550" s="244"/>
      <c r="E2550" s="228"/>
      <c r="F2550" s="585"/>
      <c r="G2550" s="338"/>
      <c r="H2550" s="592"/>
      <c r="I2550" s="520"/>
      <c r="J2550" s="421"/>
      <c r="K2550" s="520"/>
    </row>
    <row r="2551" spans="1:15" s="194" customFormat="1">
      <c r="A2551" s="650"/>
      <c r="B2551" s="151" t="s">
        <v>1308</v>
      </c>
      <c r="C2551" s="209">
        <v>55</v>
      </c>
      <c r="D2551" s="244">
        <f>C2551*(1-VLOOKUP(I2551,descuentos,6,FALSE))*fcl/IF(dol_sol="dólar", TC,1)</f>
        <v>13.360884850746269</v>
      </c>
      <c r="E2551" s="228">
        <v>5</v>
      </c>
      <c r="F2551" s="585">
        <f>ROUNDUP(D2551+E2551,2)</f>
        <v>18.37</v>
      </c>
      <c r="G2551" s="338" t="s">
        <v>2463</v>
      </c>
      <c r="H2551" s="592" t="s">
        <v>1307</v>
      </c>
      <c r="I2551" s="520" t="s">
        <v>11649</v>
      </c>
      <c r="J2551" s="421" t="s">
        <v>753</v>
      </c>
      <c r="K2551" s="520" t="s">
        <v>741</v>
      </c>
    </row>
    <row r="2552" spans="1:15" s="194" customFormat="1">
      <c r="A2552" s="421"/>
      <c r="B2552" s="151" t="s">
        <v>2464</v>
      </c>
      <c r="C2552" s="209">
        <v>55</v>
      </c>
      <c r="D2552" s="244">
        <f>C2552*(1-VLOOKUP(I2552,descuentos,6,FALSE))*fcl/IF(dol_sol="dólar", TC,1)</f>
        <v>13.360884850746269</v>
      </c>
      <c r="E2552" s="228">
        <v>5</v>
      </c>
      <c r="F2552" s="585">
        <f>ROUNDUP(D2552+E2552,2)</f>
        <v>18.37</v>
      </c>
      <c r="G2552" s="338" t="s">
        <v>2465</v>
      </c>
      <c r="H2552" s="592" t="s">
        <v>2466</v>
      </c>
      <c r="I2552" s="520" t="s">
        <v>11649</v>
      </c>
      <c r="J2552" s="421" t="s">
        <v>753</v>
      </c>
      <c r="K2552" s="520" t="s">
        <v>741</v>
      </c>
    </row>
    <row r="2553" spans="1:15" s="196" customFormat="1">
      <c r="A2553" s="421"/>
      <c r="B2553" s="151" t="s">
        <v>1309</v>
      </c>
      <c r="C2553" s="209">
        <v>55</v>
      </c>
      <c r="D2553" s="244">
        <f>C2553*(1-VLOOKUP(I2553,descuentos,6,FALSE))*fcl/IF(dol_sol="dólar", TC,1)</f>
        <v>13.360884850746269</v>
      </c>
      <c r="E2553" s="228">
        <v>5</v>
      </c>
      <c r="F2553" s="585">
        <f>ROUNDUP(D2553+E2553,2)</f>
        <v>18.37</v>
      </c>
      <c r="G2553" s="338" t="s">
        <v>2467</v>
      </c>
      <c r="H2553" s="592" t="s">
        <v>1778</v>
      </c>
      <c r="I2553" s="520" t="s">
        <v>11649</v>
      </c>
      <c r="J2553" s="421" t="s">
        <v>753</v>
      </c>
      <c r="K2553" s="520" t="s">
        <v>741</v>
      </c>
    </row>
    <row r="2554" spans="1:15" s="194" customFormat="1">
      <c r="A2554" s="421"/>
      <c r="B2554" s="151"/>
      <c r="C2554" s="209" t="s">
        <v>2058</v>
      </c>
      <c r="D2554" s="244"/>
      <c r="E2554" s="228"/>
      <c r="F2554" s="585"/>
      <c r="G2554" s="338"/>
      <c r="H2554" s="592"/>
      <c r="I2554" s="520"/>
      <c r="J2554" s="421"/>
      <c r="K2554" s="520"/>
    </row>
    <row r="2555" spans="1:15" s="196" customFormat="1">
      <c r="A2555" s="421"/>
      <c r="B2555" s="151"/>
      <c r="C2555" s="209" t="s">
        <v>2058</v>
      </c>
      <c r="D2555" s="244"/>
      <c r="E2555" s="228"/>
      <c r="F2555" s="585"/>
      <c r="G2555" s="338"/>
      <c r="H2555" s="592"/>
      <c r="I2555" s="520"/>
      <c r="J2555" s="421"/>
      <c r="K2555" s="520"/>
    </row>
    <row r="2556" spans="1:15" s="196" customFormat="1">
      <c r="A2556" s="421"/>
      <c r="B2556" s="473" t="s">
        <v>1779</v>
      </c>
      <c r="C2556" s="389">
        <v>25</v>
      </c>
      <c r="D2556" s="388">
        <f>C2556*(1-VLOOKUP(I2556,descuentos,6,FALSE))*fcl/IF(dol_sol="dólar", TC,1)</f>
        <v>6.0731294776119391</v>
      </c>
      <c r="E2556" s="386">
        <v>5</v>
      </c>
      <c r="F2556" s="582">
        <f>ROUNDUP(D2556+E2556,2)</f>
        <v>11.08</v>
      </c>
      <c r="G2556" s="338" t="s">
        <v>1780</v>
      </c>
      <c r="H2556" s="592" t="s">
        <v>1781</v>
      </c>
      <c r="I2556" s="520" t="s">
        <v>11649</v>
      </c>
      <c r="J2556" s="421" t="s">
        <v>753</v>
      </c>
      <c r="K2556" s="520" t="s">
        <v>741</v>
      </c>
    </row>
    <row r="2557" spans="1:15" s="196" customFormat="1">
      <c r="A2557" s="421"/>
      <c r="B2557" s="473" t="s">
        <v>1782</v>
      </c>
      <c r="C2557" s="389">
        <v>1.36</v>
      </c>
      <c r="D2557" s="388">
        <f>C2557*(1-VLOOKUP(I2557,descuentos,6,FALSE))*fcl/IF(dol_sol="dólar", TC,1)</f>
        <v>0.33037824358208956</v>
      </c>
      <c r="E2557" s="386">
        <v>0</v>
      </c>
      <c r="F2557" s="582">
        <f>ROUNDUP(D2557+E2557,2)</f>
        <v>0.34</v>
      </c>
      <c r="G2557" s="338" t="s">
        <v>1783</v>
      </c>
      <c r="H2557" s="592" t="s">
        <v>1784</v>
      </c>
      <c r="I2557" s="520" t="s">
        <v>11649</v>
      </c>
      <c r="J2557" s="421" t="s">
        <v>753</v>
      </c>
      <c r="K2557" s="520" t="s">
        <v>741</v>
      </c>
      <c r="L2557" s="203"/>
      <c r="M2557" s="203"/>
      <c r="N2557" s="203"/>
      <c r="O2557" s="203"/>
    </row>
    <row r="2558" spans="1:15" s="196" customFormat="1">
      <c r="A2558" s="421"/>
      <c r="B2558" s="473" t="s">
        <v>1785</v>
      </c>
      <c r="C2558" s="389">
        <v>20</v>
      </c>
      <c r="D2558" s="388">
        <f>C2558*(1-VLOOKUP(I2558,descuentos,6,FALSE))*fcl/IF(dol_sol="dólar", TC,1)</f>
        <v>4.8585035820895524</v>
      </c>
      <c r="E2558" s="386">
        <v>0</v>
      </c>
      <c r="F2558" s="582">
        <f>ROUNDUP(D2558+E2558,2)</f>
        <v>4.8599999999999994</v>
      </c>
      <c r="G2558" s="338" t="s">
        <v>1786</v>
      </c>
      <c r="H2558" s="592" t="s">
        <v>1787</v>
      </c>
      <c r="I2558" s="520" t="s">
        <v>11649</v>
      </c>
      <c r="J2558" s="421" t="s">
        <v>753</v>
      </c>
      <c r="K2558" s="520" t="s">
        <v>741</v>
      </c>
      <c r="L2558" s="203"/>
      <c r="M2558" s="203"/>
      <c r="N2558" s="203"/>
      <c r="O2558" s="203"/>
    </row>
    <row r="2559" spans="1:15" s="196" customFormat="1">
      <c r="A2559" s="421"/>
      <c r="B2559" s="151"/>
      <c r="C2559" s="209" t="s">
        <v>2058</v>
      </c>
      <c r="D2559" s="244"/>
      <c r="E2559" s="228"/>
      <c r="F2559" s="585"/>
      <c r="G2559" s="338"/>
      <c r="H2559" s="592"/>
      <c r="I2559" s="520"/>
      <c r="J2559" s="421"/>
      <c r="K2559" s="520"/>
      <c r="L2559" s="203"/>
      <c r="M2559" s="203"/>
      <c r="N2559" s="203"/>
      <c r="O2559" s="203"/>
    </row>
    <row r="2560" spans="1:15" s="196" customFormat="1">
      <c r="A2560" s="421"/>
      <c r="B2560" s="473" t="s">
        <v>1788</v>
      </c>
      <c r="C2560" s="389">
        <v>32</v>
      </c>
      <c r="D2560" s="388">
        <f>C2560*(1-VLOOKUP(I2560,descuentos,6,FALSE))*fcl/IF(dol_sol="dólar", TC,1)</f>
        <v>7.7736057313432827</v>
      </c>
      <c r="E2560" s="386">
        <v>5</v>
      </c>
      <c r="F2560" s="582">
        <f>ROUNDUP(D2560+E2560,2)</f>
        <v>12.78</v>
      </c>
      <c r="G2560" s="338" t="s">
        <v>1789</v>
      </c>
      <c r="H2560" s="592" t="s">
        <v>1790</v>
      </c>
      <c r="I2560" s="520" t="s">
        <v>11649</v>
      </c>
      <c r="J2560" s="421" t="s">
        <v>753</v>
      </c>
      <c r="K2560" s="520" t="s">
        <v>741</v>
      </c>
      <c r="L2560" s="203"/>
      <c r="M2560" s="203"/>
      <c r="N2560" s="203"/>
      <c r="O2560" s="203"/>
    </row>
    <row r="2561" spans="1:15" s="196" customFormat="1">
      <c r="A2561" s="421"/>
      <c r="B2561" s="473" t="s">
        <v>1791</v>
      </c>
      <c r="C2561" s="389">
        <v>2.42</v>
      </c>
      <c r="D2561" s="388">
        <f>C2561*(1-VLOOKUP(I2561,descuentos,6,FALSE))*fcl/IF(dol_sol="dólar", TC,1)</f>
        <v>0.5878789334328357</v>
      </c>
      <c r="E2561" s="386">
        <v>0</v>
      </c>
      <c r="F2561" s="582">
        <f>ROUNDUP(D2561+E2561,2)</f>
        <v>0.59</v>
      </c>
      <c r="G2561" s="338" t="s">
        <v>1792</v>
      </c>
      <c r="H2561" s="592" t="s">
        <v>1793</v>
      </c>
      <c r="I2561" s="520" t="s">
        <v>11649</v>
      </c>
      <c r="J2561" s="421" t="s">
        <v>753</v>
      </c>
      <c r="K2561" s="520" t="s">
        <v>741</v>
      </c>
      <c r="L2561" s="203"/>
      <c r="M2561" s="203"/>
      <c r="N2561" s="203"/>
      <c r="O2561" s="203"/>
    </row>
    <row r="2562" spans="1:15" s="196" customFormat="1">
      <c r="A2562" s="421"/>
      <c r="B2562" s="473" t="s">
        <v>1794</v>
      </c>
      <c r="C2562" s="389">
        <v>20</v>
      </c>
      <c r="D2562" s="388">
        <f>C2562*(1-VLOOKUP(I2562,descuentos,6,FALSE))*fcl/IF(dol_sol="dólar", TC,1)</f>
        <v>4.8585035820895524</v>
      </c>
      <c r="E2562" s="386">
        <v>0</v>
      </c>
      <c r="F2562" s="582">
        <f>ROUNDUP(D2562+E2562,2)</f>
        <v>4.8599999999999994</v>
      </c>
      <c r="G2562" s="338" t="s">
        <v>1795</v>
      </c>
      <c r="H2562" s="592" t="s">
        <v>1796</v>
      </c>
      <c r="I2562" s="520" t="s">
        <v>11649</v>
      </c>
      <c r="J2562" s="421" t="s">
        <v>753</v>
      </c>
      <c r="K2562" s="520" t="s">
        <v>741</v>
      </c>
      <c r="L2562" s="203"/>
      <c r="M2562" s="203"/>
      <c r="N2562" s="203"/>
      <c r="O2562" s="203"/>
    </row>
    <row r="2563" spans="1:15" s="196" customFormat="1">
      <c r="A2563" s="421"/>
      <c r="B2563" s="151"/>
      <c r="C2563" s="209" t="s">
        <v>2058</v>
      </c>
      <c r="D2563" s="244"/>
      <c r="E2563" s="228"/>
      <c r="F2563" s="585"/>
      <c r="G2563" s="338"/>
      <c r="H2563" s="592"/>
      <c r="I2563" s="520"/>
      <c r="J2563" s="421"/>
      <c r="K2563" s="520"/>
      <c r="L2563" s="25"/>
      <c r="M2563" s="25"/>
      <c r="N2563" s="25"/>
      <c r="O2563" s="25"/>
    </row>
    <row r="2564" spans="1:15" s="196" customFormat="1">
      <c r="A2564" s="421"/>
      <c r="B2564" s="473" t="s">
        <v>1797</v>
      </c>
      <c r="C2564" s="389">
        <v>39</v>
      </c>
      <c r="D2564" s="388">
        <f>C2564*(1-VLOOKUP(I2564,descuentos,6,FALSE))*fcl/IF(dol_sol="dólar", TC,1)</f>
        <v>9.4740819850746263</v>
      </c>
      <c r="E2564" s="386">
        <v>5</v>
      </c>
      <c r="F2564" s="582">
        <f>ROUNDUP(D2564+E2564,2)</f>
        <v>14.48</v>
      </c>
      <c r="G2564" s="338" t="s">
        <v>1798</v>
      </c>
      <c r="H2564" s="592" t="s">
        <v>1799</v>
      </c>
      <c r="I2564" s="520" t="s">
        <v>11649</v>
      </c>
      <c r="J2564" s="421" t="s">
        <v>753</v>
      </c>
      <c r="K2564" s="520" t="s">
        <v>741</v>
      </c>
      <c r="L2564" s="25"/>
      <c r="M2564" s="25"/>
      <c r="N2564" s="25"/>
      <c r="O2564" s="25"/>
    </row>
    <row r="2565" spans="1:15" s="196" customFormat="1">
      <c r="A2565" s="421"/>
      <c r="B2565" s="473" t="s">
        <v>1800</v>
      </c>
      <c r="C2565" s="389">
        <v>6.3999999999999995</v>
      </c>
      <c r="D2565" s="388">
        <f>C2565*(1-VLOOKUP(I2565,descuentos,6,FALSE))*fcl/IF(dol_sol="dólar", TC,1)</f>
        <v>1.5547211462686563</v>
      </c>
      <c r="E2565" s="386">
        <v>0</v>
      </c>
      <c r="F2565" s="582">
        <f>ROUNDUP(D2565+E2565,2)</f>
        <v>1.56</v>
      </c>
      <c r="G2565" s="338" t="s">
        <v>1801</v>
      </c>
      <c r="H2565" s="592" t="s">
        <v>1802</v>
      </c>
      <c r="I2565" s="520" t="s">
        <v>11649</v>
      </c>
      <c r="J2565" s="421" t="s">
        <v>753</v>
      </c>
      <c r="K2565" s="520" t="s">
        <v>741</v>
      </c>
      <c r="L2565" s="25"/>
      <c r="M2565" s="25"/>
      <c r="N2565" s="25"/>
      <c r="O2565" s="25"/>
    </row>
    <row r="2566" spans="1:15" s="196" customFormat="1">
      <c r="A2566" s="421"/>
      <c r="B2566" s="473" t="s">
        <v>1803</v>
      </c>
      <c r="C2566" s="389">
        <v>20</v>
      </c>
      <c r="D2566" s="388">
        <f>C2566*(1-VLOOKUP(I2566,descuentos,6,FALSE))*fcl/IF(dol_sol="dólar", TC,1)</f>
        <v>4.8585035820895524</v>
      </c>
      <c r="E2566" s="386">
        <v>0</v>
      </c>
      <c r="F2566" s="582">
        <f>ROUNDUP(D2566+E2566,2)</f>
        <v>4.8599999999999994</v>
      </c>
      <c r="G2566" s="338" t="s">
        <v>1804</v>
      </c>
      <c r="H2566" s="592" t="s">
        <v>1805</v>
      </c>
      <c r="I2566" s="520" t="s">
        <v>11649</v>
      </c>
      <c r="J2566" s="421" t="s">
        <v>753</v>
      </c>
      <c r="K2566" s="520" t="s">
        <v>741</v>
      </c>
      <c r="L2566" s="25"/>
      <c r="M2566" s="25"/>
      <c r="N2566" s="25"/>
      <c r="O2566" s="25"/>
    </row>
    <row r="2567" spans="1:15" s="196" customFormat="1">
      <c r="A2567" s="421"/>
      <c r="B2567" s="151"/>
      <c r="C2567" s="209" t="s">
        <v>2058</v>
      </c>
      <c r="D2567" s="244"/>
      <c r="E2567" s="228"/>
      <c r="F2567" s="585"/>
      <c r="G2567" s="338"/>
      <c r="H2567" s="592"/>
      <c r="I2567" s="520"/>
      <c r="J2567" s="421"/>
      <c r="K2567" s="520"/>
      <c r="L2567" s="25"/>
      <c r="M2567" s="25"/>
      <c r="N2567" s="25"/>
      <c r="O2567" s="25"/>
    </row>
    <row r="2568" spans="1:15" s="196" customFormat="1">
      <c r="A2568" s="421"/>
      <c r="B2568" s="473" t="s">
        <v>1806</v>
      </c>
      <c r="C2568" s="389">
        <v>32</v>
      </c>
      <c r="D2568" s="388">
        <f>C2568*(1-VLOOKUP(I2568,descuentos,6,FALSE))*fcl/IF(dol_sol="dólar", TC,1)</f>
        <v>7.7736057313432827</v>
      </c>
      <c r="E2568" s="386">
        <v>5</v>
      </c>
      <c r="F2568" s="582">
        <f>ROUNDUP(D2568+E2568,2)</f>
        <v>12.78</v>
      </c>
      <c r="G2568" s="338" t="s">
        <v>1807</v>
      </c>
      <c r="H2568" s="592" t="s">
        <v>1790</v>
      </c>
      <c r="I2568" s="520" t="s">
        <v>11649</v>
      </c>
      <c r="J2568" s="421" t="s">
        <v>753</v>
      </c>
      <c r="K2568" s="520" t="s">
        <v>741</v>
      </c>
      <c r="L2568" s="25"/>
      <c r="M2568" s="25"/>
      <c r="N2568" s="25"/>
      <c r="O2568" s="25"/>
    </row>
    <row r="2569" spans="1:15" s="196" customFormat="1">
      <c r="A2569" s="421"/>
      <c r="B2569" s="473" t="s">
        <v>1808</v>
      </c>
      <c r="C2569" s="389">
        <v>6.3999999999999995</v>
      </c>
      <c r="D2569" s="388">
        <f>C2569*(1-VLOOKUP(I2569,descuentos,6,FALSE))*fcl/IF(dol_sol="dólar", TC,1)</f>
        <v>1.5547211462686563</v>
      </c>
      <c r="E2569" s="386">
        <v>0</v>
      </c>
      <c r="F2569" s="582">
        <f>ROUNDUP(D2569+E2569,2)</f>
        <v>1.56</v>
      </c>
      <c r="G2569" s="338" t="s">
        <v>1809</v>
      </c>
      <c r="H2569" s="592" t="s">
        <v>1802</v>
      </c>
      <c r="I2569" s="520" t="s">
        <v>11649</v>
      </c>
      <c r="J2569" s="421" t="s">
        <v>753</v>
      </c>
      <c r="K2569" s="520" t="s">
        <v>741</v>
      </c>
      <c r="L2569" s="203"/>
      <c r="M2569" s="203"/>
      <c r="N2569" s="203"/>
      <c r="O2569" s="203"/>
    </row>
    <row r="2570" spans="1:15" s="196" customFormat="1">
      <c r="A2570" s="421"/>
      <c r="B2570" s="473" t="s">
        <v>1810</v>
      </c>
      <c r="C2570" s="389">
        <v>20</v>
      </c>
      <c r="D2570" s="388">
        <f>C2570*(1-VLOOKUP(I2570,descuentos,6,FALSE))*fcl/IF(dol_sol="dólar", TC,1)</f>
        <v>4.8585035820895524</v>
      </c>
      <c r="E2570" s="386">
        <v>0</v>
      </c>
      <c r="F2570" s="582">
        <f>ROUNDUP(D2570+E2570,2)</f>
        <v>4.8599999999999994</v>
      </c>
      <c r="G2570" s="338" t="s">
        <v>1811</v>
      </c>
      <c r="H2570" s="592" t="s">
        <v>1812</v>
      </c>
      <c r="I2570" s="520" t="s">
        <v>11649</v>
      </c>
      <c r="J2570" s="421" t="s">
        <v>753</v>
      </c>
      <c r="K2570" s="520" t="s">
        <v>741</v>
      </c>
      <c r="L2570" s="203"/>
      <c r="M2570" s="203"/>
      <c r="N2570" s="203"/>
      <c r="O2570" s="203"/>
    </row>
    <row r="2571" spans="1:15" s="196" customFormat="1">
      <c r="A2571" s="421"/>
      <c r="B2571" s="151"/>
      <c r="C2571" s="209" t="s">
        <v>2058</v>
      </c>
      <c r="D2571" s="244"/>
      <c r="E2571" s="228"/>
      <c r="F2571" s="585"/>
      <c r="G2571" s="338"/>
      <c r="H2571" s="592"/>
      <c r="I2571" s="520"/>
      <c r="J2571" s="421"/>
      <c r="K2571" s="520"/>
      <c r="L2571" s="203"/>
      <c r="M2571" s="203"/>
      <c r="N2571" s="203"/>
      <c r="O2571" s="203"/>
    </row>
    <row r="2572" spans="1:15" s="196" customFormat="1">
      <c r="A2572" s="421"/>
      <c r="B2572" s="151" t="s">
        <v>1230</v>
      </c>
      <c r="C2572" s="209">
        <v>38</v>
      </c>
      <c r="D2572" s="244">
        <f>C2572*(1-VLOOKUP(I2572,descuentos,6,FALSE))*fcl/IF(dol_sol="dólar", TC,1)</f>
        <v>9.2311568059701479</v>
      </c>
      <c r="E2572" s="228">
        <v>5</v>
      </c>
      <c r="F2572" s="585">
        <f>ROUNDUP(D2572+E2572,2)</f>
        <v>14.24</v>
      </c>
      <c r="G2572" s="338" t="s">
        <v>4843</v>
      </c>
      <c r="H2572" s="1647" t="s">
        <v>4844</v>
      </c>
      <c r="I2572" s="520" t="s">
        <v>11649</v>
      </c>
      <c r="J2572" s="421" t="s">
        <v>753</v>
      </c>
      <c r="K2572" s="520" t="s">
        <v>741</v>
      </c>
      <c r="L2572" s="203"/>
      <c r="M2572" s="203"/>
      <c r="N2572" s="203"/>
      <c r="O2572" s="203"/>
    </row>
    <row r="2573" spans="1:15" s="196" customFormat="1">
      <c r="A2573" s="421"/>
      <c r="B2573" s="151" t="s">
        <v>4845</v>
      </c>
      <c r="C2573" s="209">
        <v>38</v>
      </c>
      <c r="D2573" s="244">
        <f>C2573*(1-VLOOKUP(I2573,descuentos,6,FALSE))*fcl/IF(dol_sol="dólar", TC,1)</f>
        <v>9.2311568059701479</v>
      </c>
      <c r="E2573" s="228">
        <v>5</v>
      </c>
      <c r="F2573" s="785">
        <f>F2572</f>
        <v>14.24</v>
      </c>
      <c r="G2573" s="338" t="s">
        <v>4846</v>
      </c>
      <c r="H2573" s="1647" t="str">
        <f>H2572</f>
        <v>1SFA619210R1026</v>
      </c>
      <c r="I2573" s="520" t="str">
        <f>I2572</f>
        <v>SP</v>
      </c>
      <c r="J2573" s="421" t="s">
        <v>753</v>
      </c>
      <c r="K2573" s="520" t="s">
        <v>741</v>
      </c>
      <c r="L2573" s="203"/>
      <c r="M2573" s="203"/>
      <c r="N2573" s="203"/>
      <c r="O2573" s="203"/>
    </row>
    <row r="2574" spans="1:15" s="196" customFormat="1">
      <c r="A2574" s="421"/>
      <c r="B2574" s="151" t="s">
        <v>1813</v>
      </c>
      <c r="C2574" s="209">
        <v>38</v>
      </c>
      <c r="D2574" s="244">
        <f>C2574*(1-VLOOKUP(I2574,descuentos,6,FALSE))*fcl/IF(dol_sol="dólar", TC,1)</f>
        <v>9.2311568059701479</v>
      </c>
      <c r="E2574" s="228">
        <v>4</v>
      </c>
      <c r="F2574" s="585">
        <f>ROUNDUP(D2574+E2574,2)</f>
        <v>13.24</v>
      </c>
      <c r="G2574" s="338" t="s">
        <v>4847</v>
      </c>
      <c r="H2574" s="1647" t="s">
        <v>4848</v>
      </c>
      <c r="I2574" s="520" t="s">
        <v>11649</v>
      </c>
      <c r="J2574" s="421" t="s">
        <v>753</v>
      </c>
      <c r="K2574" s="520" t="s">
        <v>741</v>
      </c>
      <c r="L2574" s="203"/>
      <c r="M2574" s="203"/>
      <c r="N2574" s="203"/>
      <c r="O2574" s="203"/>
    </row>
    <row r="2575" spans="1:15" s="196" customFormat="1">
      <c r="A2575" s="421"/>
      <c r="B2575" s="546"/>
      <c r="C2575" s="547" t="s">
        <v>2058</v>
      </c>
      <c r="D2575" s="548"/>
      <c r="E2575" s="549"/>
      <c r="F2575" s="556"/>
      <c r="G2575" s="557"/>
      <c r="H2575" s="546"/>
      <c r="I2575" s="552"/>
      <c r="J2575" s="515"/>
      <c r="K2575" s="552"/>
      <c r="L2575" s="203"/>
      <c r="M2575" s="203"/>
      <c r="N2575" s="203"/>
      <c r="O2575" s="203"/>
    </row>
    <row r="2576" spans="1:15" s="196" customFormat="1">
      <c r="A2576" s="421"/>
      <c r="B2576" s="151" t="s">
        <v>7431</v>
      </c>
      <c r="C2576" s="209">
        <v>8</v>
      </c>
      <c r="D2576" s="244">
        <f>C2576*(1-VLOOKUP(I2576,descuentos,6,FALSE))*fcl/IF(dol_sol="dólar", TC,1)</f>
        <v>1.9434014328358207</v>
      </c>
      <c r="E2576" s="228">
        <v>1</v>
      </c>
      <c r="F2576" s="585">
        <f>ROUNDUP(D2576+E2576,2)</f>
        <v>2.9499999999999997</v>
      </c>
      <c r="G2576" s="338" t="s">
        <v>7432</v>
      </c>
      <c r="H2576" s="1647" t="s">
        <v>7433</v>
      </c>
      <c r="I2576" s="520" t="s">
        <v>11649</v>
      </c>
      <c r="J2576" s="421" t="s">
        <v>753</v>
      </c>
      <c r="K2576" s="520" t="s">
        <v>741</v>
      </c>
      <c r="L2576" s="203"/>
      <c r="M2576" s="203"/>
      <c r="N2576" s="203"/>
      <c r="O2576" s="203"/>
    </row>
    <row r="2577" spans="1:15" s="196" customFormat="1">
      <c r="A2577" s="421"/>
      <c r="B2577" s="546"/>
      <c r="C2577" s="547" t="s">
        <v>2058</v>
      </c>
      <c r="D2577" s="548"/>
      <c r="E2577" s="549"/>
      <c r="F2577" s="556"/>
      <c r="G2577" s="557"/>
      <c r="H2577" s="546"/>
      <c r="I2577" s="552"/>
      <c r="J2577" s="515"/>
      <c r="K2577" s="552"/>
      <c r="L2577" s="203"/>
      <c r="M2577" s="203"/>
      <c r="N2577" s="203"/>
      <c r="O2577" s="203"/>
    </row>
    <row r="2578" spans="1:15" s="196" customFormat="1">
      <c r="A2578" s="421"/>
      <c r="B2578" s="151" t="s">
        <v>4840</v>
      </c>
      <c r="C2578" s="209">
        <v>73.400000000000006</v>
      </c>
      <c r="D2578" s="244">
        <f>C2578*(1-VLOOKUP(I2578,descuentos,6,FALSE))*fcl/IF(dol_sol="dólar", TC,1)</f>
        <v>17.830708146268655</v>
      </c>
      <c r="E2578" s="228">
        <v>8</v>
      </c>
      <c r="F2578" s="585">
        <f>ROUNDUP(D2578+E2578,2)</f>
        <v>25.84</v>
      </c>
      <c r="G2578" s="338" t="s">
        <v>7434</v>
      </c>
      <c r="H2578" s="1647" t="s">
        <v>1229</v>
      </c>
      <c r="I2578" s="520" t="s">
        <v>11649</v>
      </c>
      <c r="J2578" s="421" t="s">
        <v>753</v>
      </c>
      <c r="K2578" s="520" t="s">
        <v>741</v>
      </c>
      <c r="L2578" s="203"/>
      <c r="M2578" s="203"/>
      <c r="N2578" s="203"/>
      <c r="O2578" s="203"/>
    </row>
    <row r="2579" spans="1:15" s="196" customFormat="1">
      <c r="A2579" s="421"/>
      <c r="B2579" s="151" t="s">
        <v>4841</v>
      </c>
      <c r="C2579" s="209">
        <v>73.400000000000006</v>
      </c>
      <c r="D2579" s="244">
        <f>C2579*(1-VLOOKUP(I2579,descuentos,6,FALSE))*fcl/IF(dol_sol="dólar", TC,1)</f>
        <v>17.830708146268655</v>
      </c>
      <c r="E2579" s="228">
        <f>E2578</f>
        <v>8</v>
      </c>
      <c r="F2579" s="785">
        <f>F2578</f>
        <v>25.84</v>
      </c>
      <c r="G2579" s="338" t="s">
        <v>7435</v>
      </c>
      <c r="H2579" s="1647" t="str">
        <f>H2578</f>
        <v>1SFA611210P1206</v>
      </c>
      <c r="I2579" s="520" t="str">
        <f>I2578</f>
        <v>SP</v>
      </c>
      <c r="J2579" s="421" t="s">
        <v>753</v>
      </c>
      <c r="K2579" s="520" t="s">
        <v>741</v>
      </c>
      <c r="L2579" s="203"/>
      <c r="M2579" s="203"/>
      <c r="N2579" s="203"/>
      <c r="O2579" s="203"/>
    </row>
    <row r="2580" spans="1:15" s="196" customFormat="1">
      <c r="A2580" s="421"/>
      <c r="B2580" s="151" t="s">
        <v>4842</v>
      </c>
      <c r="C2580" s="209">
        <v>72.400000000000006</v>
      </c>
      <c r="D2580" s="244">
        <f>C2580*(1-VLOOKUP(I2580,descuentos,6,FALSE))*fcl/IF(dol_sol="dólar", TC,1)</f>
        <v>17.587782967164181</v>
      </c>
      <c r="E2580" s="228">
        <v>5</v>
      </c>
      <c r="F2580" s="585">
        <f t="shared" ref="F2580:F2585" si="371">ROUNDUP(D2580+E2580,2)</f>
        <v>22.59</v>
      </c>
      <c r="G2580" s="338" t="s">
        <v>7436</v>
      </c>
      <c r="H2580" s="1647" t="s">
        <v>1814</v>
      </c>
      <c r="I2580" s="520" t="s">
        <v>11649</v>
      </c>
      <c r="J2580" s="421" t="s">
        <v>753</v>
      </c>
      <c r="K2580" s="520" t="s">
        <v>741</v>
      </c>
      <c r="L2580" s="203"/>
      <c r="M2580" s="203"/>
      <c r="N2580" s="203"/>
      <c r="O2580" s="203"/>
    </row>
    <row r="2581" spans="1:15" s="196" customFormat="1">
      <c r="A2581" s="421"/>
      <c r="B2581" s="546"/>
      <c r="C2581" s="547" t="s">
        <v>2058</v>
      </c>
      <c r="D2581" s="548"/>
      <c r="E2581" s="549"/>
      <c r="F2581" s="556">
        <f t="shared" si="371"/>
        <v>0</v>
      </c>
      <c r="G2581" s="557"/>
      <c r="H2581" s="546"/>
      <c r="I2581" s="552"/>
      <c r="J2581" s="515"/>
      <c r="K2581" s="552"/>
      <c r="L2581" s="203"/>
      <c r="M2581" s="203"/>
      <c r="N2581" s="203"/>
      <c r="O2581" s="203"/>
    </row>
    <row r="2582" spans="1:15" s="196" customFormat="1">
      <c r="A2582" s="421"/>
      <c r="B2582" s="151" t="s">
        <v>1815</v>
      </c>
      <c r="C2582" s="209">
        <v>16</v>
      </c>
      <c r="D2582" s="244">
        <f>C2582*(1-VLOOKUP(I2582,descuentos,6,FALSE))*fcl/IF(dol_sol="dólar", TC,1)</f>
        <v>3.8868028656716413</v>
      </c>
      <c r="E2582" s="228">
        <v>0.1</v>
      </c>
      <c r="F2582" s="585">
        <f t="shared" si="371"/>
        <v>3.9899999999999998</v>
      </c>
      <c r="G2582" s="338" t="s">
        <v>7437</v>
      </c>
      <c r="H2582" s="1647" t="s">
        <v>1816</v>
      </c>
      <c r="I2582" s="520" t="s">
        <v>11649</v>
      </c>
      <c r="J2582" s="421" t="s">
        <v>753</v>
      </c>
      <c r="K2582" s="520" t="s">
        <v>741</v>
      </c>
      <c r="L2582" s="203"/>
      <c r="M2582" s="203"/>
      <c r="N2582" s="203"/>
      <c r="O2582" s="203"/>
    </row>
    <row r="2583" spans="1:15" s="196" customFormat="1">
      <c r="A2583" s="421"/>
      <c r="B2583" s="151" t="s">
        <v>13265</v>
      </c>
      <c r="C2583" s="209">
        <v>31</v>
      </c>
      <c r="D2583" s="244">
        <f>C2583*(1-VLOOKUP(I2583,descuentos,6,FALSE))*fcl/IF(dol_sol="dólar", TC,1)</f>
        <v>7.5306805522388061</v>
      </c>
      <c r="E2583" s="228">
        <v>0.1</v>
      </c>
      <c r="F2583" s="585">
        <f t="shared" si="371"/>
        <v>7.64</v>
      </c>
      <c r="G2583" s="338" t="s">
        <v>13266</v>
      </c>
      <c r="H2583" s="1647" t="s">
        <v>13267</v>
      </c>
      <c r="I2583" s="520" t="s">
        <v>11649</v>
      </c>
      <c r="J2583" s="421" t="s">
        <v>753</v>
      </c>
      <c r="K2583" s="520" t="s">
        <v>741</v>
      </c>
      <c r="L2583" s="203"/>
      <c r="M2583" s="203"/>
      <c r="N2583" s="203"/>
      <c r="O2583" s="203"/>
    </row>
    <row r="2584" spans="1:15" s="196" customFormat="1">
      <c r="A2584" s="421"/>
      <c r="B2584" s="151" t="s">
        <v>1817</v>
      </c>
      <c r="C2584" s="209">
        <v>16</v>
      </c>
      <c r="D2584" s="244">
        <f>C2584*(1-VLOOKUP(I2584,descuentos,6,FALSE))*fcl/IF(dol_sol="dólar", TC,1)</f>
        <v>3.8868028656716413</v>
      </c>
      <c r="E2584" s="228">
        <v>0.1</v>
      </c>
      <c r="F2584" s="585">
        <f t="shared" si="371"/>
        <v>3.9899999999999998</v>
      </c>
      <c r="G2584" s="338" t="s">
        <v>7438</v>
      </c>
      <c r="H2584" s="1647" t="s">
        <v>1818</v>
      </c>
      <c r="I2584" s="520" t="s">
        <v>11649</v>
      </c>
      <c r="J2584" s="421" t="s">
        <v>753</v>
      </c>
      <c r="K2584" s="520" t="s">
        <v>741</v>
      </c>
      <c r="L2584" s="25"/>
      <c r="M2584" s="25"/>
      <c r="N2584" s="25"/>
      <c r="O2584" s="25"/>
    </row>
    <row r="2585" spans="1:15" s="196" customFormat="1">
      <c r="A2585" s="421"/>
      <c r="B2585" s="151" t="s">
        <v>7439</v>
      </c>
      <c r="C2585" s="209">
        <v>31</v>
      </c>
      <c r="D2585" s="244">
        <f>C2585*(1-VLOOKUP(I2585,descuentos,6,FALSE))*fcl/IF(dol_sol="dólar", TC,1)</f>
        <v>7.5306805522388061</v>
      </c>
      <c r="E2585" s="228">
        <v>0.1</v>
      </c>
      <c r="F2585" s="585">
        <f t="shared" si="371"/>
        <v>7.64</v>
      </c>
      <c r="G2585" s="338" t="s">
        <v>7440</v>
      </c>
      <c r="H2585" s="1647" t="s">
        <v>7441</v>
      </c>
      <c r="I2585" s="520" t="s">
        <v>11649</v>
      </c>
      <c r="J2585" s="421" t="s">
        <v>753</v>
      </c>
      <c r="K2585" s="520" t="s">
        <v>741</v>
      </c>
      <c r="L2585" s="25"/>
      <c r="M2585" s="25"/>
      <c r="N2585" s="25"/>
      <c r="O2585" s="25"/>
    </row>
    <row r="2586" spans="1:15" s="196" customFormat="1">
      <c r="A2586" s="421"/>
      <c r="B2586" s="151"/>
      <c r="C2586" s="209" t="s">
        <v>2058</v>
      </c>
      <c r="D2586" s="244"/>
      <c r="E2586" s="228"/>
      <c r="F2586" s="585"/>
      <c r="G2586" s="338"/>
      <c r="H2586" s="1647"/>
      <c r="I2586" s="520"/>
      <c r="J2586" s="421"/>
      <c r="K2586" s="520"/>
      <c r="L2586" s="25"/>
      <c r="M2586" s="25"/>
      <c r="N2586" s="25"/>
      <c r="O2586" s="25"/>
    </row>
    <row r="2587" spans="1:15" s="196" customFormat="1">
      <c r="A2587" s="421"/>
      <c r="B2587" s="151"/>
      <c r="C2587" s="209" t="s">
        <v>2058</v>
      </c>
      <c r="D2587" s="244"/>
      <c r="E2587" s="228"/>
      <c r="F2587" s="585"/>
      <c r="G2587" s="338"/>
      <c r="H2587" s="1647"/>
      <c r="I2587" s="520"/>
      <c r="J2587" s="421"/>
      <c r="K2587" s="520"/>
      <c r="L2587" s="203"/>
      <c r="M2587" s="203"/>
      <c r="N2587" s="203"/>
      <c r="O2587" s="203"/>
    </row>
    <row r="2588" spans="1:15" s="196" customFormat="1">
      <c r="A2588" s="515"/>
      <c r="B2588" s="151" t="s">
        <v>1232</v>
      </c>
      <c r="C2588" s="209">
        <v>17</v>
      </c>
      <c r="D2588" s="244">
        <f t="shared" ref="D2588:D2594" si="372">C2588*(1-VLOOKUP(I2588,descuentos,6,FALSE))*fcl/IF(dol_sol="dólar", TC,1)</f>
        <v>4.129728044776118</v>
      </c>
      <c r="E2588" s="228">
        <v>4</v>
      </c>
      <c r="F2588" s="585">
        <f>ROUNDUP(D2588+E2588,2)</f>
        <v>8.129999999999999</v>
      </c>
      <c r="G2588" s="338" t="s">
        <v>11658</v>
      </c>
      <c r="H2588" s="1647" t="s">
        <v>2468</v>
      </c>
      <c r="I2588" s="520" t="s">
        <v>11649</v>
      </c>
      <c r="J2588" s="421" t="s">
        <v>753</v>
      </c>
      <c r="K2588" s="520" t="s">
        <v>741</v>
      </c>
      <c r="L2588" s="25"/>
      <c r="M2588" s="25"/>
      <c r="N2588" s="25"/>
      <c r="O2588" s="25"/>
    </row>
    <row r="2589" spans="1:15" s="196" customFormat="1">
      <c r="A2589" s="421"/>
      <c r="B2589" s="151" t="s">
        <v>1231</v>
      </c>
      <c r="C2589" s="209">
        <v>17</v>
      </c>
      <c r="D2589" s="244">
        <f t="shared" si="372"/>
        <v>4.129728044776118</v>
      </c>
      <c r="E2589" s="228">
        <v>4</v>
      </c>
      <c r="F2589" s="585">
        <f>ROUNDUP(D2589+E2589,2)</f>
        <v>8.129999999999999</v>
      </c>
      <c r="G2589" s="338" t="s">
        <v>11659</v>
      </c>
      <c r="H2589" s="1647" t="s">
        <v>2469</v>
      </c>
      <c r="I2589" s="520" t="s">
        <v>11649</v>
      </c>
      <c r="J2589" s="421" t="s">
        <v>753</v>
      </c>
      <c r="K2589" s="520" t="s">
        <v>741</v>
      </c>
      <c r="L2589" s="25"/>
      <c r="M2589" s="25"/>
      <c r="N2589" s="25"/>
      <c r="O2589" s="25"/>
    </row>
    <row r="2590" spans="1:15" s="196" customFormat="1">
      <c r="A2590" s="421"/>
      <c r="B2590" s="151" t="s">
        <v>1304</v>
      </c>
      <c r="C2590" s="209">
        <v>17</v>
      </c>
      <c r="D2590" s="244">
        <f t="shared" si="372"/>
        <v>4.129728044776118</v>
      </c>
      <c r="E2590" s="228">
        <v>4</v>
      </c>
      <c r="F2590" s="585">
        <f>ROUNDUP(D2590+E2590,2)</f>
        <v>8.129999999999999</v>
      </c>
      <c r="G2590" s="338" t="s">
        <v>11660</v>
      </c>
      <c r="H2590" s="1647" t="s">
        <v>1305</v>
      </c>
      <c r="I2590" s="520" t="s">
        <v>11649</v>
      </c>
      <c r="J2590" s="421" t="s">
        <v>753</v>
      </c>
      <c r="K2590" s="520" t="s">
        <v>741</v>
      </c>
      <c r="L2590" s="203"/>
      <c r="M2590" s="203"/>
      <c r="N2590" s="203"/>
      <c r="O2590" s="203"/>
    </row>
    <row r="2591" spans="1:15" s="196" customFormat="1">
      <c r="A2591" s="421"/>
      <c r="B2591" s="151"/>
      <c r="C2591" s="209" t="s">
        <v>2058</v>
      </c>
      <c r="D2591" s="244"/>
      <c r="E2591" s="228"/>
      <c r="F2591" s="585"/>
      <c r="G2591" s="338"/>
      <c r="H2591" s="1647"/>
      <c r="I2591" s="520"/>
      <c r="J2591" s="421"/>
      <c r="K2591" s="520"/>
      <c r="L2591" s="203"/>
      <c r="M2591" s="203"/>
      <c r="N2591" s="203"/>
      <c r="O2591" s="203"/>
    </row>
    <row r="2592" spans="1:15" s="196" customFormat="1">
      <c r="A2592" s="515"/>
      <c r="B2592" s="151" t="s">
        <v>1233</v>
      </c>
      <c r="C2592" s="209">
        <v>49.4</v>
      </c>
      <c r="D2592" s="244">
        <f t="shared" si="372"/>
        <v>12.000503847761193</v>
      </c>
      <c r="E2592" s="228">
        <v>5</v>
      </c>
      <c r="F2592" s="585">
        <f>ROUNDUP(D2592+E2592,2)</f>
        <v>17.010000000000002</v>
      </c>
      <c r="G2592" s="338" t="s">
        <v>1450</v>
      </c>
      <c r="H2592" s="592" t="s">
        <v>1234</v>
      </c>
      <c r="I2592" s="520" t="s">
        <v>11649</v>
      </c>
      <c r="J2592" s="421" t="s">
        <v>753</v>
      </c>
      <c r="K2592" s="520" t="s">
        <v>741</v>
      </c>
      <c r="L2592" s="203"/>
      <c r="M2592" s="203"/>
      <c r="N2592" s="203"/>
      <c r="O2592" s="203"/>
    </row>
    <row r="2593" spans="1:15" s="196" customFormat="1">
      <c r="A2593" s="421"/>
      <c r="B2593" s="151" t="s">
        <v>1235</v>
      </c>
      <c r="C2593" s="209">
        <v>49.4</v>
      </c>
      <c r="D2593" s="244">
        <f t="shared" si="372"/>
        <v>12.000503847761193</v>
      </c>
      <c r="E2593" s="228">
        <v>5</v>
      </c>
      <c r="F2593" s="585">
        <f>ROUNDUP(D2593+E2593,2)</f>
        <v>17.010000000000002</v>
      </c>
      <c r="G2593" s="338" t="s">
        <v>1451</v>
      </c>
      <c r="H2593" s="592" t="s">
        <v>1285</v>
      </c>
      <c r="I2593" s="520" t="s">
        <v>11649</v>
      </c>
      <c r="J2593" s="421" t="s">
        <v>753</v>
      </c>
      <c r="K2593" s="520" t="s">
        <v>741</v>
      </c>
      <c r="L2593" s="203"/>
      <c r="M2593" s="203"/>
      <c r="N2593" s="203"/>
      <c r="O2593" s="203"/>
    </row>
    <row r="2594" spans="1:15" s="196" customFormat="1">
      <c r="A2594" s="421"/>
      <c r="B2594" s="151" t="s">
        <v>1433</v>
      </c>
      <c r="C2594" s="209">
        <v>49.4</v>
      </c>
      <c r="D2594" s="244">
        <f t="shared" si="372"/>
        <v>12.000503847761193</v>
      </c>
      <c r="E2594" s="228">
        <v>5</v>
      </c>
      <c r="F2594" s="585">
        <f>ROUNDUP(D2594+E2594,2)</f>
        <v>17.010000000000002</v>
      </c>
      <c r="G2594" s="338" t="s">
        <v>1452</v>
      </c>
      <c r="H2594" s="592" t="s">
        <v>1306</v>
      </c>
      <c r="I2594" s="520" t="s">
        <v>11649</v>
      </c>
      <c r="J2594" s="421" t="s">
        <v>753</v>
      </c>
      <c r="K2594" s="520" t="s">
        <v>741</v>
      </c>
      <c r="L2594" s="25"/>
      <c r="M2594" s="25"/>
      <c r="N2594" s="25"/>
      <c r="O2594" s="25"/>
    </row>
    <row r="2595" spans="1:15" s="196" customFormat="1">
      <c r="A2595" s="421"/>
      <c r="B2595" s="151"/>
      <c r="C2595" s="209" t="s">
        <v>2058</v>
      </c>
      <c r="D2595" s="244"/>
      <c r="E2595" s="228"/>
      <c r="F2595" s="585"/>
      <c r="G2595" s="338"/>
      <c r="H2595" s="592"/>
      <c r="I2595" s="520"/>
      <c r="J2595" s="421"/>
      <c r="K2595" s="520"/>
      <c r="L2595" s="203"/>
      <c r="M2595" s="203"/>
      <c r="N2595" s="203"/>
      <c r="O2595" s="203"/>
    </row>
    <row r="2596" spans="1:15" s="196" customFormat="1">
      <c r="A2596" s="515"/>
      <c r="B2596" s="151" t="s">
        <v>5990</v>
      </c>
      <c r="C2596" s="209">
        <v>30</v>
      </c>
      <c r="D2596" s="244">
        <f>C2596*(1-VLOOKUP(I2596,descuentos,6,FALSE))*fcl/IF(dol_sol="dólar", TC,1)</f>
        <v>7.2877553731343276</v>
      </c>
      <c r="E2596" s="228">
        <v>5</v>
      </c>
      <c r="F2596" s="585">
        <f>ROUNDUP(D2596+E2596,2)</f>
        <v>12.29</v>
      </c>
      <c r="G2596" s="338" t="s">
        <v>11661</v>
      </c>
      <c r="H2596" s="1647" t="s">
        <v>5991</v>
      </c>
      <c r="I2596" s="520" t="s">
        <v>11649</v>
      </c>
      <c r="J2596" s="421" t="s">
        <v>753</v>
      </c>
      <c r="K2596" s="520" t="s">
        <v>741</v>
      </c>
      <c r="L2596" s="25"/>
      <c r="M2596" s="25"/>
      <c r="N2596" s="25"/>
      <c r="O2596" s="25"/>
    </row>
    <row r="2597" spans="1:15" s="196" customFormat="1">
      <c r="A2597" s="515"/>
      <c r="B2597" s="151" t="s">
        <v>5992</v>
      </c>
      <c r="C2597" s="209">
        <v>30</v>
      </c>
      <c r="D2597" s="244">
        <f>C2597*(1-VLOOKUP(I2597,descuentos,6,FALSE))*fcl/IF(dol_sol="dólar", TC,1)</f>
        <v>7.2877553731343276</v>
      </c>
      <c r="E2597" s="228">
        <v>5</v>
      </c>
      <c r="F2597" s="585">
        <f>ROUNDUP(D2597+E2597,2)</f>
        <v>12.29</v>
      </c>
      <c r="G2597" s="338" t="s">
        <v>11662</v>
      </c>
      <c r="H2597" s="1647" t="s">
        <v>5993</v>
      </c>
      <c r="I2597" s="520" t="s">
        <v>11649</v>
      </c>
      <c r="J2597" s="421" t="s">
        <v>753</v>
      </c>
      <c r="K2597" s="520" t="s">
        <v>741</v>
      </c>
      <c r="L2597" s="25"/>
      <c r="M2597" s="25"/>
      <c r="N2597" s="25"/>
      <c r="O2597" s="25"/>
    </row>
    <row r="2598" spans="1:15" s="196" customFormat="1">
      <c r="A2598" s="421"/>
      <c r="B2598" s="902" t="s">
        <v>5994</v>
      </c>
      <c r="C2598" s="798">
        <v>11.299999999999999</v>
      </c>
      <c r="D2598" s="244">
        <f>C2598*(1-VLOOKUP(I2598,descuentos,6,FALSE))*fcl/IF(dol_sol="dólar", TC,1)</f>
        <v>2.7450545238805968</v>
      </c>
      <c r="E2598" s="228">
        <v>1</v>
      </c>
      <c r="F2598" s="585">
        <f>ROUNDUP(D2598+E2598,2)</f>
        <v>3.75</v>
      </c>
      <c r="G2598" s="338" t="s">
        <v>5995</v>
      </c>
      <c r="H2598" s="592" t="s">
        <v>5996</v>
      </c>
      <c r="I2598" s="520" t="s">
        <v>11649</v>
      </c>
      <c r="J2598" s="421" t="s">
        <v>753</v>
      </c>
      <c r="K2598" s="520" t="s">
        <v>741</v>
      </c>
      <c r="L2598" s="203"/>
      <c r="M2598" s="203"/>
      <c r="N2598" s="203"/>
      <c r="O2598" s="203"/>
    </row>
    <row r="2599" spans="1:15" s="196" customFormat="1">
      <c r="A2599" s="421"/>
      <c r="B2599" s="902"/>
      <c r="C2599" s="798" t="s">
        <v>2058</v>
      </c>
      <c r="D2599" s="244"/>
      <c r="E2599" s="228"/>
      <c r="F2599" s="585"/>
      <c r="G2599" s="338"/>
      <c r="H2599" s="592"/>
      <c r="I2599" s="520"/>
      <c r="J2599" s="421"/>
      <c r="K2599" s="520"/>
      <c r="L2599" s="203"/>
      <c r="M2599" s="203"/>
      <c r="N2599" s="203"/>
      <c r="O2599" s="203"/>
    </row>
    <row r="2600" spans="1:15" s="196" customFormat="1">
      <c r="A2600" s="515"/>
      <c r="B2600" s="902" t="s">
        <v>5997</v>
      </c>
      <c r="C2600" s="798">
        <v>30</v>
      </c>
      <c r="D2600" s="244">
        <f>C2600*(1-VLOOKUP(I2600,descuentos,6,FALSE))*fcl/IF(dol_sol="dólar", TC,1)</f>
        <v>7.2877553731343276</v>
      </c>
      <c r="E2600" s="228">
        <v>5</v>
      </c>
      <c r="F2600" s="585">
        <f>ROUNDUP(D2600+E2600,2)</f>
        <v>12.29</v>
      </c>
      <c r="G2600" s="338" t="s">
        <v>11663</v>
      </c>
      <c r="H2600" s="1647" t="s">
        <v>5998</v>
      </c>
      <c r="I2600" s="520" t="s">
        <v>11649</v>
      </c>
      <c r="J2600" s="421" t="s">
        <v>753</v>
      </c>
      <c r="K2600" s="520" t="s">
        <v>741</v>
      </c>
      <c r="L2600" s="25"/>
      <c r="M2600" s="25"/>
      <c r="N2600" s="25"/>
      <c r="O2600" s="25"/>
    </row>
    <row r="2601" spans="1:15" s="196" customFormat="1">
      <c r="A2601" s="515"/>
      <c r="B2601" s="902" t="s">
        <v>5999</v>
      </c>
      <c r="C2601" s="798">
        <v>30</v>
      </c>
      <c r="D2601" s="244">
        <f>C2601*(1-VLOOKUP(I2601,descuentos,6,FALSE))*fcl/IF(dol_sol="dólar", TC,1)</f>
        <v>7.2877553731343276</v>
      </c>
      <c r="E2601" s="228">
        <v>5</v>
      </c>
      <c r="F2601" s="585">
        <f>ROUNDUP(D2601+E2601,2)</f>
        <v>12.29</v>
      </c>
      <c r="G2601" s="338" t="s">
        <v>11664</v>
      </c>
      <c r="H2601" s="1647" t="s">
        <v>6000</v>
      </c>
      <c r="I2601" s="520" t="s">
        <v>11649</v>
      </c>
      <c r="J2601" s="421" t="s">
        <v>753</v>
      </c>
      <c r="K2601" s="520" t="s">
        <v>741</v>
      </c>
      <c r="L2601" s="25"/>
      <c r="M2601" s="25"/>
      <c r="N2601" s="25"/>
      <c r="O2601" s="25"/>
    </row>
    <row r="2602" spans="1:15" s="196" customFormat="1">
      <c r="A2602" s="421"/>
      <c r="B2602" s="902" t="s">
        <v>5994</v>
      </c>
      <c r="C2602" s="798">
        <v>11.299999999999999</v>
      </c>
      <c r="D2602" s="244">
        <f>C2602*(1-VLOOKUP(I2602,descuentos,6,FALSE))*fcl/IF(dol_sol="dólar", TC,1)</f>
        <v>2.7450545238805968</v>
      </c>
      <c r="E2602" s="228">
        <v>1</v>
      </c>
      <c r="F2602" s="585">
        <f>ROUNDUP(D2602+E2602,2)</f>
        <v>3.75</v>
      </c>
      <c r="G2602" s="338" t="s">
        <v>5995</v>
      </c>
      <c r="H2602" s="592" t="s">
        <v>5996</v>
      </c>
      <c r="I2602" s="520" t="s">
        <v>11649</v>
      </c>
      <c r="J2602" s="421" t="s">
        <v>753</v>
      </c>
      <c r="K2602" s="520" t="s">
        <v>741</v>
      </c>
      <c r="L2602" s="203"/>
      <c r="M2602" s="203"/>
      <c r="N2602" s="203"/>
      <c r="O2602" s="203"/>
    </row>
    <row r="2603" spans="1:15" s="196" customFormat="1">
      <c r="A2603" s="515"/>
      <c r="B2603" s="151"/>
      <c r="C2603" s="209" t="s">
        <v>2058</v>
      </c>
      <c r="D2603" s="244"/>
      <c r="E2603" s="228"/>
      <c r="F2603" s="585"/>
      <c r="G2603" s="338"/>
      <c r="H2603" s="1647"/>
      <c r="I2603" s="520"/>
      <c r="J2603" s="421"/>
      <c r="K2603" s="520"/>
      <c r="L2603" s="25"/>
      <c r="M2603" s="25"/>
      <c r="N2603" s="25"/>
      <c r="O2603" s="25"/>
    </row>
    <row r="2604" spans="1:15" s="196" customFormat="1">
      <c r="A2604" s="421"/>
      <c r="B2604" s="151" t="s">
        <v>1286</v>
      </c>
      <c r="C2604" s="209">
        <v>86.4</v>
      </c>
      <c r="D2604" s="244">
        <f>C2604*(1-VLOOKUP(I2604,descuentos,6,FALSE))*fcl/IF(dol_sol="dólar", TC,1)</f>
        <v>20.988735474626864</v>
      </c>
      <c r="E2604" s="228">
        <v>6</v>
      </c>
      <c r="F2604" s="585">
        <f>ROUNDUP(D2604+E2604,2)</f>
        <v>26.990000000000002</v>
      </c>
      <c r="G2604" s="338" t="s">
        <v>2470</v>
      </c>
      <c r="H2604" s="592" t="s">
        <v>1287</v>
      </c>
      <c r="I2604" s="520" t="s">
        <v>11649</v>
      </c>
      <c r="J2604" s="421" t="s">
        <v>753</v>
      </c>
      <c r="K2604" s="520" t="s">
        <v>741</v>
      </c>
      <c r="L2604" s="203"/>
      <c r="M2604" s="203"/>
      <c r="N2604" s="203"/>
      <c r="O2604" s="203"/>
    </row>
    <row r="2605" spans="1:15" s="196" customFormat="1">
      <c r="A2605" s="421"/>
      <c r="B2605" s="151" t="s">
        <v>2471</v>
      </c>
      <c r="C2605" s="209">
        <v>35</v>
      </c>
      <c r="D2605" s="244">
        <f>C2605*(1-VLOOKUP(I2605,descuentos,6,FALSE))*fcl/IF(dol_sol="dólar", TC,1)</f>
        <v>8.5023812686567162</v>
      </c>
      <c r="E2605" s="228">
        <v>2</v>
      </c>
      <c r="F2605" s="585">
        <f>ROUNDUP(D2605+E2605,2)</f>
        <v>10.51</v>
      </c>
      <c r="G2605" s="338" t="s">
        <v>7442</v>
      </c>
      <c r="H2605" s="592" t="s">
        <v>2472</v>
      </c>
      <c r="I2605" s="520" t="s">
        <v>11649</v>
      </c>
      <c r="J2605" s="421" t="s">
        <v>753</v>
      </c>
      <c r="K2605" s="520" t="s">
        <v>741</v>
      </c>
      <c r="L2605" s="203"/>
      <c r="M2605" s="203"/>
      <c r="N2605" s="203"/>
      <c r="O2605" s="203"/>
    </row>
    <row r="2606" spans="1:15" s="196" customFormat="1">
      <c r="A2606" s="421"/>
      <c r="B2606" s="151" t="s">
        <v>9238</v>
      </c>
      <c r="C2606" s="209">
        <v>35</v>
      </c>
      <c r="D2606" s="244">
        <f>C2606*(1-VLOOKUP(I2606,descuentos,6,FALSE))*fcl/IF(dol_sol="dólar", TC,1)</f>
        <v>8.5023812686567162</v>
      </c>
      <c r="E2606" s="228">
        <v>2</v>
      </c>
      <c r="F2606" s="585">
        <f>ROUNDUP(D2606+E2606,2)</f>
        <v>10.51</v>
      </c>
      <c r="G2606" s="338" t="s">
        <v>9239</v>
      </c>
      <c r="H2606" s="592" t="s">
        <v>9240</v>
      </c>
      <c r="I2606" s="520" t="s">
        <v>11649</v>
      </c>
      <c r="J2606" s="421" t="s">
        <v>753</v>
      </c>
      <c r="K2606" s="520" t="s">
        <v>741</v>
      </c>
      <c r="L2606" s="203"/>
      <c r="M2606" s="203"/>
      <c r="N2606" s="203"/>
      <c r="O2606" s="203"/>
    </row>
    <row r="2607" spans="1:15" s="196" customFormat="1">
      <c r="A2607" s="421"/>
      <c r="B2607" s="151"/>
      <c r="C2607" s="209" t="s">
        <v>2058</v>
      </c>
      <c r="D2607" s="244"/>
      <c r="E2607" s="228"/>
      <c r="F2607" s="585"/>
      <c r="G2607" s="338"/>
      <c r="H2607" s="592"/>
      <c r="I2607" s="520"/>
      <c r="J2607" s="421"/>
      <c r="K2607" s="520"/>
      <c r="L2607" s="203"/>
      <c r="M2607" s="203"/>
      <c r="N2607" s="203"/>
      <c r="O2607" s="203"/>
    </row>
    <row r="2608" spans="1:15" s="196" customFormat="1">
      <c r="A2608" s="421"/>
      <c r="B2608" s="151"/>
      <c r="C2608" s="209" t="s">
        <v>2058</v>
      </c>
      <c r="D2608" s="244"/>
      <c r="E2608" s="228"/>
      <c r="F2608" s="585"/>
      <c r="G2608" s="338"/>
      <c r="H2608" s="592"/>
      <c r="I2608" s="520"/>
      <c r="J2608" s="421"/>
      <c r="K2608" s="520"/>
      <c r="L2608" s="203"/>
      <c r="M2608" s="203"/>
      <c r="N2608" s="203"/>
      <c r="O2608" s="203"/>
    </row>
    <row r="2609" spans="1:15" s="196" customFormat="1">
      <c r="A2609" s="421"/>
      <c r="B2609" s="452" t="s">
        <v>6001</v>
      </c>
      <c r="C2609" s="209">
        <v>78</v>
      </c>
      <c r="D2609" s="244">
        <f>C2609*(1-VLOOKUP(I2609,descuentos,6,FALSE))*fcl/IF(dol_sol="dólar", TC,1)</f>
        <v>18.948163970149253</v>
      </c>
      <c r="E2609" s="228">
        <v>2</v>
      </c>
      <c r="F2609" s="585">
        <f>ROUNDUP(D2609+E2609,2)</f>
        <v>20.950000000000003</v>
      </c>
      <c r="G2609" s="338" t="s">
        <v>6002</v>
      </c>
      <c r="H2609" s="592" t="s">
        <v>6003</v>
      </c>
      <c r="I2609" s="520" t="s">
        <v>11649</v>
      </c>
      <c r="J2609" s="421" t="s">
        <v>753</v>
      </c>
      <c r="K2609" s="520" t="s">
        <v>741</v>
      </c>
      <c r="L2609" s="203"/>
      <c r="M2609" s="203"/>
      <c r="N2609" s="203"/>
      <c r="O2609" s="203"/>
    </row>
    <row r="2610" spans="1:15" s="196" customFormat="1">
      <c r="A2610" s="421"/>
      <c r="B2610" s="427" t="s">
        <v>6004</v>
      </c>
      <c r="C2610" s="209">
        <v>23</v>
      </c>
      <c r="D2610" s="244">
        <f>C2610*(1-VLOOKUP(I2610,descuentos,6,FALSE))*fcl/IF(dol_sol="dólar", TC,1)</f>
        <v>5.5872791194029841</v>
      </c>
      <c r="E2610" s="228">
        <v>1</v>
      </c>
      <c r="F2610" s="585">
        <f>ROUNDUP(D2610+E2610,2)</f>
        <v>6.59</v>
      </c>
      <c r="G2610" s="338" t="s">
        <v>6005</v>
      </c>
      <c r="H2610" s="592" t="s">
        <v>6006</v>
      </c>
      <c r="I2610" s="520" t="s">
        <v>11649</v>
      </c>
      <c r="J2610" s="421" t="s">
        <v>753</v>
      </c>
      <c r="K2610" s="520" t="s">
        <v>741</v>
      </c>
      <c r="L2610" s="203"/>
      <c r="M2610" s="203"/>
      <c r="N2610" s="203"/>
      <c r="O2610" s="203"/>
    </row>
    <row r="2611" spans="1:15" s="196" customFormat="1">
      <c r="A2611" s="421"/>
      <c r="B2611" s="452" t="s">
        <v>6007</v>
      </c>
      <c r="C2611" s="209">
        <v>90</v>
      </c>
      <c r="D2611" s="244">
        <f>C2611*(1-VLOOKUP(I2611,descuentos,6,FALSE))*fcl/IF(dol_sol="dólar", TC,1)</f>
        <v>21.863266119402983</v>
      </c>
      <c r="E2611" s="228">
        <v>2</v>
      </c>
      <c r="F2611" s="585">
        <f>ROUNDUP(D2611+E2611,2)</f>
        <v>23.87</v>
      </c>
      <c r="G2611" s="338" t="s">
        <v>6008</v>
      </c>
      <c r="H2611" s="592" t="s">
        <v>6009</v>
      </c>
      <c r="I2611" s="520" t="s">
        <v>11649</v>
      </c>
      <c r="J2611" s="421" t="s">
        <v>753</v>
      </c>
      <c r="K2611" s="520" t="s">
        <v>741</v>
      </c>
      <c r="L2611" s="203"/>
      <c r="M2611" s="203"/>
      <c r="N2611" s="203"/>
      <c r="O2611" s="203"/>
    </row>
    <row r="2612" spans="1:15" s="196" customFormat="1">
      <c r="A2612" s="421"/>
      <c r="B2612" s="427" t="s">
        <v>6010</v>
      </c>
      <c r="C2612" s="209">
        <v>27</v>
      </c>
      <c r="D2612" s="244">
        <f>C2612*(1-VLOOKUP(I2612,descuentos,6,FALSE))*fcl/IF(dol_sol="dólar", TC,1)</f>
        <v>6.5589798358208942</v>
      </c>
      <c r="E2612" s="228">
        <v>1</v>
      </c>
      <c r="F2612" s="585">
        <f>ROUNDUP(D2612+E2612,2)</f>
        <v>7.56</v>
      </c>
      <c r="G2612" s="338" t="s">
        <v>6011</v>
      </c>
      <c r="H2612" s="592" t="s">
        <v>6012</v>
      </c>
      <c r="I2612" s="520" t="s">
        <v>11649</v>
      </c>
      <c r="J2612" s="421" t="s">
        <v>753</v>
      </c>
      <c r="K2612" s="520" t="s">
        <v>741</v>
      </c>
      <c r="L2612" s="203"/>
      <c r="M2612" s="203"/>
      <c r="N2612" s="203"/>
      <c r="O2612" s="203"/>
    </row>
    <row r="2613" spans="1:15" s="196" customFormat="1">
      <c r="A2613" s="421"/>
      <c r="B2613" s="1606" t="s">
        <v>6013</v>
      </c>
      <c r="C2613" s="389">
        <v>13.4</v>
      </c>
      <c r="D2613" s="388">
        <f>C2613*(1-VLOOKUP(I2613,descuentos,6,FALSE))*fcl/IF(dol_sol="dólar", TC,1)</f>
        <v>3.2551974000000001</v>
      </c>
      <c r="E2613" s="386">
        <v>0</v>
      </c>
      <c r="F2613" s="582">
        <f>ROUNDUP(D2613+E2613,2)</f>
        <v>3.26</v>
      </c>
      <c r="G2613" s="394" t="s">
        <v>6014</v>
      </c>
      <c r="H2613" s="580" t="s">
        <v>6015</v>
      </c>
      <c r="I2613" s="622" t="s">
        <v>11649</v>
      </c>
      <c r="J2613" s="425" t="s">
        <v>753</v>
      </c>
      <c r="K2613" s="622" t="s">
        <v>741</v>
      </c>
      <c r="L2613" s="203"/>
      <c r="M2613" s="203"/>
      <c r="N2613" s="203"/>
      <c r="O2613" s="203"/>
    </row>
    <row r="2614" spans="1:15" s="196" customFormat="1">
      <c r="A2614" s="421"/>
      <c r="B2614" s="151"/>
      <c r="C2614" s="209" t="s">
        <v>2058</v>
      </c>
      <c r="D2614" s="244"/>
      <c r="E2614" s="228"/>
      <c r="F2614" s="585"/>
      <c r="G2614" s="338"/>
      <c r="H2614" s="592"/>
      <c r="I2614" s="520"/>
      <c r="J2614" s="421"/>
      <c r="K2614" s="520"/>
      <c r="L2614" s="203"/>
      <c r="M2614" s="203"/>
      <c r="N2614" s="203"/>
      <c r="O2614" s="203"/>
    </row>
    <row r="2615" spans="1:15" s="196" customFormat="1">
      <c r="A2615" s="421"/>
      <c r="B2615" s="151" t="s">
        <v>6016</v>
      </c>
      <c r="C2615" s="209">
        <v>42</v>
      </c>
      <c r="D2615" s="244">
        <f>C2615*(1-VLOOKUP(I2615,descuentos,6,FALSE))*fcl/IF(dol_sol="dólar", TC,1)</f>
        <v>10.202857522388058</v>
      </c>
      <c r="E2615" s="228">
        <v>4</v>
      </c>
      <c r="F2615" s="585">
        <f>ROUNDUP(D2615+E2615,2)</f>
        <v>14.209999999999999</v>
      </c>
      <c r="G2615" s="338" t="s">
        <v>6017</v>
      </c>
      <c r="H2615" s="592" t="s">
        <v>6018</v>
      </c>
      <c r="I2615" s="520" t="s">
        <v>11649</v>
      </c>
      <c r="J2615" s="421" t="s">
        <v>753</v>
      </c>
      <c r="K2615" s="520" t="s">
        <v>741</v>
      </c>
      <c r="L2615" s="203"/>
      <c r="M2615" s="203"/>
      <c r="N2615" s="203"/>
      <c r="O2615" s="203"/>
    </row>
    <row r="2616" spans="1:15" s="196" customFormat="1">
      <c r="A2616" s="421"/>
      <c r="B2616" s="151" t="s">
        <v>6019</v>
      </c>
      <c r="C2616" s="209">
        <v>68</v>
      </c>
      <c r="D2616" s="244">
        <f>C2616*(1-VLOOKUP(I2616,descuentos,6,FALSE))*fcl/IF(dol_sol="dólar", TC,1)</f>
        <v>16.518912179104472</v>
      </c>
      <c r="E2616" s="228">
        <v>2</v>
      </c>
      <c r="F2616" s="585">
        <f>ROUNDUP(D2616+E2616,2)</f>
        <v>18.520000000000003</v>
      </c>
      <c r="G2616" s="338" t="s">
        <v>6020</v>
      </c>
      <c r="H2616" s="592" t="s">
        <v>6021</v>
      </c>
      <c r="I2616" s="520" t="s">
        <v>11649</v>
      </c>
      <c r="J2616" s="421" t="s">
        <v>753</v>
      </c>
      <c r="K2616" s="520" t="s">
        <v>741</v>
      </c>
      <c r="L2616" s="203"/>
      <c r="M2616" s="203"/>
      <c r="N2616" s="203"/>
      <c r="O2616" s="203"/>
    </row>
    <row r="2617" spans="1:15" s="196" customFormat="1">
      <c r="A2617" s="421"/>
      <c r="B2617" s="151" t="s">
        <v>6022</v>
      </c>
      <c r="C2617" s="209">
        <v>14.799999999999999</v>
      </c>
      <c r="D2617" s="244">
        <f>C2617*(1-VLOOKUP(I2617,descuentos,6,FALSE))*fcl/IF(dol_sol="dólar", TC,1)</f>
        <v>3.5952926507462681</v>
      </c>
      <c r="E2617" s="228">
        <v>1</v>
      </c>
      <c r="F2617" s="585">
        <f>ROUNDUP(D2617+E2617,2)</f>
        <v>4.5999999999999996</v>
      </c>
      <c r="G2617" s="338" t="s">
        <v>6023</v>
      </c>
      <c r="H2617" s="592" t="s">
        <v>6024</v>
      </c>
      <c r="I2617" s="520" t="s">
        <v>11649</v>
      </c>
      <c r="J2617" s="421" t="s">
        <v>753</v>
      </c>
      <c r="K2617" s="520" t="s">
        <v>741</v>
      </c>
      <c r="L2617" s="203"/>
      <c r="M2617" s="203"/>
      <c r="N2617" s="203"/>
      <c r="O2617" s="203"/>
    </row>
    <row r="2618" spans="1:15" s="196" customFormat="1">
      <c r="A2618" s="421"/>
      <c r="B2618" s="473" t="s">
        <v>6013</v>
      </c>
      <c r="C2618" s="389">
        <v>13.4</v>
      </c>
      <c r="D2618" s="388">
        <f>C2618*(1-VLOOKUP(I2618,descuentos,6,FALSE))*fcl/IF(dol_sol="dólar", TC,1)</f>
        <v>3.2551974000000001</v>
      </c>
      <c r="E2618" s="386">
        <v>0</v>
      </c>
      <c r="F2618" s="582">
        <f>ROUNDUP(D2618+E2618,2)</f>
        <v>3.26</v>
      </c>
      <c r="G2618" s="394" t="s">
        <v>6014</v>
      </c>
      <c r="H2618" s="580" t="s">
        <v>6015</v>
      </c>
      <c r="I2618" s="622" t="s">
        <v>11649</v>
      </c>
      <c r="J2618" s="425" t="s">
        <v>753</v>
      </c>
      <c r="K2618" s="622" t="s">
        <v>741</v>
      </c>
      <c r="L2618" s="203"/>
      <c r="M2618" s="203"/>
      <c r="N2618" s="203"/>
      <c r="O2618" s="203"/>
    </row>
    <row r="2619" spans="1:15" s="196" customFormat="1">
      <c r="A2619" s="421"/>
      <c r="B2619" s="473"/>
      <c r="C2619" s="389" t="s">
        <v>2058</v>
      </c>
      <c r="D2619" s="388"/>
      <c r="E2619" s="386"/>
      <c r="F2619" s="582"/>
      <c r="G2619" s="394"/>
      <c r="H2619" s="580"/>
      <c r="I2619" s="622"/>
      <c r="J2619" s="425"/>
      <c r="K2619" s="622"/>
      <c r="L2619" s="203"/>
      <c r="M2619" s="203"/>
      <c r="N2619" s="203"/>
      <c r="O2619" s="203"/>
    </row>
    <row r="2620" spans="1:15" s="196" customFormat="1">
      <c r="A2620" s="421"/>
      <c r="B2620" s="1676" t="s">
        <v>10129</v>
      </c>
      <c r="C2620" s="209">
        <v>55.2</v>
      </c>
      <c r="D2620" s="244">
        <f>C2620*(1-VLOOKUP(I2620,descuentos,6,FALSE))*fcl/IF(dol_sol="dólar", TC,1)</f>
        <v>13.409469886567164</v>
      </c>
      <c r="E2620" s="228">
        <v>4</v>
      </c>
      <c r="F2620" s="585">
        <f>ROUNDUP(D2620+E2620,2)</f>
        <v>17.41</v>
      </c>
      <c r="G2620" s="338" t="s">
        <v>10130</v>
      </c>
      <c r="H2620" s="1759" t="s">
        <v>10131</v>
      </c>
      <c r="I2620" s="520" t="s">
        <v>11649</v>
      </c>
      <c r="J2620" s="421" t="s">
        <v>753</v>
      </c>
      <c r="K2620" s="520" t="s">
        <v>741</v>
      </c>
      <c r="L2620" s="25"/>
      <c r="M2620" s="25"/>
      <c r="N2620" s="25"/>
      <c r="O2620" s="25"/>
    </row>
    <row r="2621" spans="1:15" s="196" customFormat="1">
      <c r="A2621" s="421"/>
      <c r="B2621" s="1676" t="s">
        <v>10132</v>
      </c>
      <c r="C2621" s="209">
        <v>55.2</v>
      </c>
      <c r="D2621" s="244">
        <f>C2621*(1-VLOOKUP(I2621,descuentos,6,FALSE))*fcl/IF(dol_sol="dólar", TC,1)</f>
        <v>13.409469886567164</v>
      </c>
      <c r="E2621" s="228">
        <v>4</v>
      </c>
      <c r="F2621" s="585">
        <f>ROUNDUP(D2621+E2621,2)</f>
        <v>17.41</v>
      </c>
      <c r="G2621" s="338" t="s">
        <v>10133</v>
      </c>
      <c r="H2621" s="1759" t="s">
        <v>10134</v>
      </c>
      <c r="I2621" s="520" t="s">
        <v>11649</v>
      </c>
      <c r="J2621" s="421" t="s">
        <v>753</v>
      </c>
      <c r="K2621" s="520" t="s">
        <v>741</v>
      </c>
      <c r="L2621" s="25"/>
      <c r="M2621" s="25"/>
      <c r="N2621" s="25"/>
      <c r="O2621" s="25"/>
    </row>
    <row r="2622" spans="1:15" s="196" customFormat="1">
      <c r="A2622" s="421"/>
      <c r="B2622" s="1676" t="s">
        <v>10135</v>
      </c>
      <c r="C2622" s="209">
        <v>55.2</v>
      </c>
      <c r="D2622" s="244">
        <f>C2622*(1-VLOOKUP(I2622,descuentos,6,FALSE))*fcl/IF(dol_sol="dólar", TC,1)</f>
        <v>13.409469886567164</v>
      </c>
      <c r="E2622" s="228">
        <v>4</v>
      </c>
      <c r="F2622" s="585">
        <f>ROUNDUP(D2622+E2622,2)</f>
        <v>17.41</v>
      </c>
      <c r="G2622" s="338" t="s">
        <v>10136</v>
      </c>
      <c r="H2622" s="1759" t="s">
        <v>10137</v>
      </c>
      <c r="I2622" s="520" t="s">
        <v>11649</v>
      </c>
      <c r="J2622" s="421" t="s">
        <v>753</v>
      </c>
      <c r="K2622" s="520" t="s">
        <v>741</v>
      </c>
      <c r="L2622" s="203"/>
      <c r="M2622" s="203"/>
      <c r="N2622" s="203"/>
      <c r="O2622" s="203"/>
    </row>
    <row r="2623" spans="1:15" s="196" customFormat="1">
      <c r="A2623" s="421"/>
      <c r="B2623" s="151"/>
      <c r="C2623" s="209" t="s">
        <v>2058</v>
      </c>
      <c r="D2623" s="244"/>
      <c r="E2623" s="228"/>
      <c r="F2623" s="585"/>
      <c r="G2623" s="338"/>
      <c r="H2623" s="592"/>
      <c r="I2623" s="520"/>
      <c r="J2623" s="421"/>
      <c r="K2623" s="520"/>
      <c r="L2623" s="203"/>
      <c r="M2623" s="203"/>
      <c r="N2623" s="203"/>
      <c r="O2623" s="203"/>
    </row>
    <row r="2624" spans="1:15" s="196" customFormat="1">
      <c r="A2624" s="421"/>
      <c r="B2624" s="151"/>
      <c r="C2624" s="209" t="s">
        <v>2058</v>
      </c>
      <c r="D2624" s="244"/>
      <c r="E2624" s="228"/>
      <c r="F2624" s="585"/>
      <c r="G2624" s="338"/>
      <c r="H2624" s="592"/>
      <c r="I2624" s="520"/>
      <c r="J2624" s="421"/>
      <c r="K2624" s="520"/>
      <c r="L2624" s="203"/>
      <c r="M2624" s="203"/>
      <c r="N2624" s="203"/>
      <c r="O2624" s="203"/>
    </row>
    <row r="2625" spans="1:15" s="196" customFormat="1">
      <c r="A2625" s="421"/>
      <c r="B2625" s="1607" t="s">
        <v>2473</v>
      </c>
      <c r="C2625" s="209">
        <v>27</v>
      </c>
      <c r="D2625" s="244">
        <f>C2625*(1-VLOOKUP(I2625,descuentos,6,FALSE))*fcl/IF(dol_sol="dólar", TC,1)</f>
        <v>6.5589798358208942</v>
      </c>
      <c r="E2625" s="228">
        <v>4</v>
      </c>
      <c r="F2625" s="585">
        <f>ROUNDUP(D2625+E2625,2)</f>
        <v>10.56</v>
      </c>
      <c r="G2625" s="338" t="s">
        <v>7443</v>
      </c>
      <c r="H2625" s="1759" t="s">
        <v>4849</v>
      </c>
      <c r="I2625" s="520" t="s">
        <v>11649</v>
      </c>
      <c r="J2625" s="421" t="s">
        <v>753</v>
      </c>
      <c r="K2625" s="520" t="s">
        <v>741</v>
      </c>
      <c r="L2625" s="25"/>
      <c r="M2625" s="25"/>
      <c r="N2625" s="25"/>
      <c r="O2625" s="25"/>
    </row>
    <row r="2626" spans="1:15" s="196" customFormat="1">
      <c r="A2626" s="421"/>
      <c r="B2626" s="1607" t="s">
        <v>2474</v>
      </c>
      <c r="C2626" s="209">
        <v>27</v>
      </c>
      <c r="D2626" s="244">
        <f>C2626*(1-VLOOKUP(I2626,descuentos,6,FALSE))*fcl/IF(dol_sol="dólar", TC,1)</f>
        <v>6.5589798358208942</v>
      </c>
      <c r="E2626" s="228">
        <v>4</v>
      </c>
      <c r="F2626" s="585">
        <f>ROUNDUP(D2626+E2626,2)</f>
        <v>10.56</v>
      </c>
      <c r="G2626" s="338" t="s">
        <v>7444</v>
      </c>
      <c r="H2626" s="1759" t="s">
        <v>4850</v>
      </c>
      <c r="I2626" s="520" t="s">
        <v>11649</v>
      </c>
      <c r="J2626" s="421" t="s">
        <v>753</v>
      </c>
      <c r="K2626" s="520" t="s">
        <v>741</v>
      </c>
      <c r="L2626" s="25"/>
      <c r="M2626" s="25"/>
      <c r="N2626" s="25"/>
      <c r="O2626" s="25"/>
    </row>
    <row r="2627" spans="1:15" s="196" customFormat="1">
      <c r="A2627" s="421"/>
      <c r="B2627" s="1607" t="s">
        <v>2475</v>
      </c>
      <c r="C2627" s="209">
        <v>27</v>
      </c>
      <c r="D2627" s="244">
        <f>C2627*(1-VLOOKUP(I2627,descuentos,6,FALSE))*fcl/IF(dol_sol="dólar", TC,1)</f>
        <v>6.5589798358208942</v>
      </c>
      <c r="E2627" s="228">
        <v>4</v>
      </c>
      <c r="F2627" s="585">
        <f>ROUNDUP(D2627+E2627,2)</f>
        <v>10.56</v>
      </c>
      <c r="G2627" s="338" t="s">
        <v>7445</v>
      </c>
      <c r="H2627" s="1759" t="s">
        <v>4851</v>
      </c>
      <c r="I2627" s="520" t="s">
        <v>11649</v>
      </c>
      <c r="J2627" s="421" t="s">
        <v>753</v>
      </c>
      <c r="K2627" s="520" t="s">
        <v>741</v>
      </c>
      <c r="L2627" s="203"/>
      <c r="M2627" s="203"/>
      <c r="N2627" s="203"/>
      <c r="O2627" s="203"/>
    </row>
    <row r="2628" spans="1:15" s="196" customFormat="1">
      <c r="A2628" s="421"/>
      <c r="B2628" s="1607"/>
      <c r="C2628" s="209" t="s">
        <v>2058</v>
      </c>
      <c r="D2628" s="244"/>
      <c r="E2628" s="228"/>
      <c r="F2628" s="585"/>
      <c r="G2628" s="338"/>
      <c r="H2628" s="1759"/>
      <c r="I2628" s="520"/>
      <c r="J2628" s="421"/>
      <c r="K2628" s="520"/>
      <c r="L2628" s="203"/>
      <c r="M2628" s="203"/>
      <c r="N2628" s="203"/>
      <c r="O2628" s="203"/>
    </row>
    <row r="2629" spans="1:15" s="196" customFormat="1">
      <c r="A2629" s="421"/>
      <c r="B2629" s="1607" t="s">
        <v>2476</v>
      </c>
      <c r="C2629" s="209">
        <v>27</v>
      </c>
      <c r="D2629" s="244">
        <f>C2629*(1-VLOOKUP(I2629,descuentos,6,FALSE))*fcl/IF(dol_sol="dólar", TC,1)</f>
        <v>6.5589798358208942</v>
      </c>
      <c r="E2629" s="228">
        <v>4</v>
      </c>
      <c r="F2629" s="585">
        <f>ROUNDUP(D2629+E2629,2)</f>
        <v>10.56</v>
      </c>
      <c r="G2629" s="338" t="s">
        <v>7446</v>
      </c>
      <c r="H2629" s="1759" t="s">
        <v>4852</v>
      </c>
      <c r="I2629" s="520" t="s">
        <v>11649</v>
      </c>
      <c r="J2629" s="421" t="s">
        <v>753</v>
      </c>
      <c r="K2629" s="520" t="s">
        <v>741</v>
      </c>
      <c r="L2629" s="203"/>
      <c r="M2629" s="203"/>
      <c r="N2629" s="203"/>
      <c r="O2629" s="203"/>
    </row>
    <row r="2630" spans="1:15" s="196" customFormat="1">
      <c r="A2630" s="421"/>
      <c r="B2630" s="1607" t="s">
        <v>2477</v>
      </c>
      <c r="C2630" s="209">
        <v>27</v>
      </c>
      <c r="D2630" s="244">
        <f>C2630*(1-VLOOKUP(I2630,descuentos,6,FALSE))*fcl/IF(dol_sol="dólar", TC,1)</f>
        <v>6.5589798358208942</v>
      </c>
      <c r="E2630" s="228">
        <v>4</v>
      </c>
      <c r="F2630" s="585">
        <f>ROUNDUP(D2630+E2630,2)</f>
        <v>10.56</v>
      </c>
      <c r="G2630" s="338" t="s">
        <v>7447</v>
      </c>
      <c r="H2630" s="1759" t="s">
        <v>4853</v>
      </c>
      <c r="I2630" s="520" t="s">
        <v>11649</v>
      </c>
      <c r="J2630" s="421" t="s">
        <v>753</v>
      </c>
      <c r="K2630" s="520" t="s">
        <v>741</v>
      </c>
      <c r="L2630" s="25"/>
      <c r="M2630" s="25"/>
      <c r="N2630" s="25"/>
      <c r="O2630" s="25"/>
    </row>
    <row r="2631" spans="1:15" s="196" customFormat="1">
      <c r="A2631" s="421"/>
      <c r="B2631" s="1607" t="s">
        <v>2478</v>
      </c>
      <c r="C2631" s="209">
        <v>27</v>
      </c>
      <c r="D2631" s="244">
        <f>C2631*(1-VLOOKUP(I2631,descuentos,6,FALSE))*fcl/IF(dol_sol="dólar", TC,1)</f>
        <v>6.5589798358208942</v>
      </c>
      <c r="E2631" s="228">
        <v>4</v>
      </c>
      <c r="F2631" s="585">
        <f>ROUNDUP(D2631+E2631,2)</f>
        <v>10.56</v>
      </c>
      <c r="G2631" s="338" t="s">
        <v>7448</v>
      </c>
      <c r="H2631" s="1759" t="s">
        <v>4854</v>
      </c>
      <c r="I2631" s="520" t="s">
        <v>11649</v>
      </c>
      <c r="J2631" s="421" t="s">
        <v>753</v>
      </c>
      <c r="K2631" s="520" t="s">
        <v>741</v>
      </c>
      <c r="L2631" s="25"/>
      <c r="M2631" s="25"/>
      <c r="N2631" s="25"/>
      <c r="O2631" s="25"/>
    </row>
    <row r="2632" spans="1:15" s="196" customFormat="1">
      <c r="A2632" s="421"/>
      <c r="B2632" s="1607"/>
      <c r="C2632" s="209" t="s">
        <v>2058</v>
      </c>
      <c r="D2632" s="244"/>
      <c r="E2632" s="228"/>
      <c r="F2632" s="585"/>
      <c r="G2632" s="338"/>
      <c r="H2632" s="592"/>
      <c r="I2632" s="520"/>
      <c r="J2632" s="421"/>
      <c r="K2632" s="520"/>
      <c r="L2632" s="203"/>
      <c r="M2632" s="203"/>
      <c r="N2632" s="203"/>
      <c r="O2632" s="203"/>
    </row>
    <row r="2633" spans="1:15" s="196" customFormat="1">
      <c r="A2633" s="421"/>
      <c r="B2633" s="1607" t="s">
        <v>4855</v>
      </c>
      <c r="C2633" s="209">
        <v>27</v>
      </c>
      <c r="D2633" s="244">
        <f>C2633*(1-VLOOKUP(I2633,descuentos,6,FALSE))*fcl/IF(dol_sol="dólar", TC,1)</f>
        <v>6.5589798358208942</v>
      </c>
      <c r="E2633" s="228">
        <v>4</v>
      </c>
      <c r="F2633" s="585">
        <f>ROUNDUP(D2633+E2633,2)</f>
        <v>10.56</v>
      </c>
      <c r="G2633" s="338" t="s">
        <v>7449</v>
      </c>
      <c r="H2633" s="1759" t="s">
        <v>4856</v>
      </c>
      <c r="I2633" s="520" t="s">
        <v>11649</v>
      </c>
      <c r="J2633" s="421" t="s">
        <v>753</v>
      </c>
      <c r="K2633" s="520" t="s">
        <v>741</v>
      </c>
      <c r="L2633" s="203"/>
      <c r="M2633" s="203"/>
      <c r="N2633" s="203"/>
      <c r="O2633" s="203"/>
    </row>
    <row r="2634" spans="1:15" s="196" customFormat="1">
      <c r="A2634" s="421"/>
      <c r="B2634" s="1607" t="s">
        <v>4857</v>
      </c>
      <c r="C2634" s="209">
        <v>27</v>
      </c>
      <c r="D2634" s="244">
        <f>C2634*(1-VLOOKUP(I2634,descuentos,6,FALSE))*fcl/IF(dol_sol="dólar", TC,1)</f>
        <v>6.5589798358208942</v>
      </c>
      <c r="E2634" s="228">
        <v>4</v>
      </c>
      <c r="F2634" s="585">
        <f>ROUNDUP(D2634+E2634,2)</f>
        <v>10.56</v>
      </c>
      <c r="G2634" s="338" t="s">
        <v>7450</v>
      </c>
      <c r="H2634" s="1759" t="s">
        <v>4858</v>
      </c>
      <c r="I2634" s="520" t="s">
        <v>11649</v>
      </c>
      <c r="J2634" s="421" t="s">
        <v>753</v>
      </c>
      <c r="K2634" s="520" t="s">
        <v>741</v>
      </c>
      <c r="L2634" s="203"/>
      <c r="M2634" s="203"/>
      <c r="N2634" s="203"/>
      <c r="O2634" s="203"/>
    </row>
    <row r="2635" spans="1:15" s="196" customFormat="1">
      <c r="A2635" s="421"/>
      <c r="B2635" s="1607" t="s">
        <v>4859</v>
      </c>
      <c r="C2635" s="209">
        <v>27</v>
      </c>
      <c r="D2635" s="244">
        <f>C2635*(1-VLOOKUP(I2635,descuentos,6,FALSE))*fcl/IF(dol_sol="dólar", TC,1)</f>
        <v>6.5589798358208942</v>
      </c>
      <c r="E2635" s="228">
        <v>4</v>
      </c>
      <c r="F2635" s="585">
        <f>ROUNDUP(D2635+E2635,2)</f>
        <v>10.56</v>
      </c>
      <c r="G2635" s="338" t="s">
        <v>7451</v>
      </c>
      <c r="H2635" s="1759" t="s">
        <v>4860</v>
      </c>
      <c r="I2635" s="520" t="s">
        <v>11649</v>
      </c>
      <c r="J2635" s="421" t="s">
        <v>753</v>
      </c>
      <c r="K2635" s="520" t="s">
        <v>741</v>
      </c>
      <c r="L2635" s="203"/>
      <c r="M2635" s="203"/>
      <c r="N2635" s="203"/>
      <c r="O2635" s="203"/>
    </row>
    <row r="2636" spans="1:15" s="196" customFormat="1">
      <c r="A2636" s="421"/>
      <c r="B2636" s="1607"/>
      <c r="C2636" s="209" t="s">
        <v>2058</v>
      </c>
      <c r="D2636" s="244"/>
      <c r="E2636" s="228"/>
      <c r="F2636" s="585"/>
      <c r="G2636" s="338"/>
      <c r="H2636" s="592"/>
      <c r="I2636" s="520"/>
      <c r="J2636" s="421"/>
      <c r="K2636" s="520"/>
      <c r="L2636" s="203"/>
      <c r="M2636" s="203"/>
      <c r="N2636" s="203"/>
      <c r="O2636" s="203"/>
    </row>
    <row r="2637" spans="1:15" s="196" customFormat="1">
      <c r="A2637" s="421"/>
      <c r="B2637" s="1607" t="s">
        <v>6025</v>
      </c>
      <c r="C2637" s="209">
        <v>27</v>
      </c>
      <c r="D2637" s="244">
        <f>C2637*(1-VLOOKUP(I2637,descuentos,6,FALSE))*fcl/IF(dol_sol="dólar", TC,1)</f>
        <v>6.5589798358208942</v>
      </c>
      <c r="E2637" s="228">
        <v>4</v>
      </c>
      <c r="F2637" s="585">
        <f>ROUNDUP(D2637+E2637,2)</f>
        <v>10.56</v>
      </c>
      <c r="G2637" s="338" t="s">
        <v>7452</v>
      </c>
      <c r="H2637" s="1759" t="s">
        <v>6026</v>
      </c>
      <c r="I2637" s="520" t="s">
        <v>11649</v>
      </c>
      <c r="J2637" s="421" t="s">
        <v>753</v>
      </c>
      <c r="K2637" s="520" t="s">
        <v>741</v>
      </c>
      <c r="L2637" s="203"/>
      <c r="M2637" s="203"/>
      <c r="N2637" s="203"/>
      <c r="O2637" s="203"/>
    </row>
    <row r="2638" spans="1:15" s="196" customFormat="1">
      <c r="A2638" s="421"/>
      <c r="B2638" s="1607" t="s">
        <v>6027</v>
      </c>
      <c r="C2638" s="209">
        <v>27</v>
      </c>
      <c r="D2638" s="244">
        <f>C2638*(1-VLOOKUP(I2638,descuentos,6,FALSE))*fcl/IF(dol_sol="dólar", TC,1)</f>
        <v>6.5589798358208942</v>
      </c>
      <c r="E2638" s="228">
        <v>4</v>
      </c>
      <c r="F2638" s="585">
        <f>ROUNDUP(D2638+E2638,2)</f>
        <v>10.56</v>
      </c>
      <c r="G2638" s="338" t="s">
        <v>7453</v>
      </c>
      <c r="H2638" s="1759" t="s">
        <v>6028</v>
      </c>
      <c r="I2638" s="520" t="s">
        <v>11649</v>
      </c>
      <c r="J2638" s="421" t="s">
        <v>753</v>
      </c>
      <c r="K2638" s="520" t="s">
        <v>741</v>
      </c>
      <c r="L2638" s="25"/>
      <c r="M2638" s="25"/>
      <c r="N2638" s="25"/>
      <c r="O2638" s="25"/>
    </row>
    <row r="2639" spans="1:15" s="196" customFormat="1">
      <c r="A2639" s="421"/>
      <c r="B2639" s="1607" t="s">
        <v>6029</v>
      </c>
      <c r="C2639" s="209">
        <v>27</v>
      </c>
      <c r="D2639" s="244">
        <f>C2639*(1-VLOOKUP(I2639,descuentos,6,FALSE))*fcl/IF(dol_sol="dólar", TC,1)</f>
        <v>6.5589798358208942</v>
      </c>
      <c r="E2639" s="228">
        <v>4</v>
      </c>
      <c r="F2639" s="585">
        <f>ROUNDUP(D2639+E2639,2)</f>
        <v>10.56</v>
      </c>
      <c r="G2639" s="338" t="s">
        <v>7454</v>
      </c>
      <c r="H2639" s="1759" t="s">
        <v>6030</v>
      </c>
      <c r="I2639" s="520" t="s">
        <v>11649</v>
      </c>
      <c r="J2639" s="421" t="s">
        <v>753</v>
      </c>
      <c r="K2639" s="520" t="s">
        <v>741</v>
      </c>
      <c r="L2639" s="25"/>
      <c r="M2639" s="25"/>
      <c r="N2639" s="25"/>
      <c r="O2639" s="25"/>
    </row>
    <row r="2640" spans="1:15" s="196" customFormat="1">
      <c r="A2640" s="421"/>
      <c r="B2640" s="1607"/>
      <c r="C2640" s="209" t="s">
        <v>2058</v>
      </c>
      <c r="D2640" s="244"/>
      <c r="E2640" s="228"/>
      <c r="F2640" s="585"/>
      <c r="G2640" s="338"/>
      <c r="H2640" s="1759"/>
      <c r="I2640" s="520"/>
      <c r="J2640" s="421"/>
      <c r="K2640" s="520"/>
      <c r="L2640" s="25"/>
      <c r="M2640" s="25"/>
      <c r="N2640" s="25"/>
      <c r="O2640" s="25"/>
    </row>
    <row r="2641" spans="1:15" s="196" customFormat="1">
      <c r="A2641" s="421"/>
      <c r="B2641" s="592"/>
      <c r="C2641" s="209" t="s">
        <v>2058</v>
      </c>
      <c r="D2641" s="244"/>
      <c r="E2641" s="228"/>
      <c r="F2641" s="585"/>
      <c r="G2641" s="592"/>
      <c r="H2641" s="592"/>
      <c r="I2641" s="520"/>
      <c r="J2641" s="589"/>
      <c r="K2641" s="520"/>
      <c r="L2641" s="203"/>
      <c r="M2641" s="203"/>
      <c r="N2641" s="203"/>
      <c r="O2641" s="203"/>
    </row>
    <row r="2642" spans="1:15" s="196" customFormat="1">
      <c r="A2642" s="421"/>
      <c r="B2642" s="150" t="s">
        <v>11665</v>
      </c>
      <c r="C2642" s="209">
        <v>444</v>
      </c>
      <c r="D2642" s="244">
        <f>C2642*(1-VLOOKUP(I2642,descuentos,6,FALSE))*fcl/IF(dol_sol="dólar", TC,1)</f>
        <v>107.85877952238805</v>
      </c>
      <c r="E2642" s="228">
        <v>10</v>
      </c>
      <c r="F2642" s="585">
        <f>ROUNDUP(D2642+E2642,2)</f>
        <v>117.86</v>
      </c>
      <c r="G2642" s="338" t="s">
        <v>11666</v>
      </c>
      <c r="H2642" s="592" t="s">
        <v>2610</v>
      </c>
      <c r="I2642" s="520" t="s">
        <v>11649</v>
      </c>
      <c r="J2642" s="589" t="s">
        <v>753</v>
      </c>
      <c r="K2642" s="520" t="s">
        <v>741</v>
      </c>
      <c r="L2642" s="203"/>
      <c r="M2642" s="203"/>
      <c r="N2642" s="203"/>
      <c r="O2642" s="203"/>
    </row>
    <row r="2643" spans="1:15" s="196" customFormat="1">
      <c r="A2643" s="421"/>
      <c r="B2643" s="150" t="s">
        <v>11667</v>
      </c>
      <c r="C2643" s="209">
        <v>665</v>
      </c>
      <c r="D2643" s="244">
        <f>C2643*(1-VLOOKUP(I2643,descuentos,6,FALSE))*fcl/IF(dol_sol="dólar", TC,1)</f>
        <v>161.54524410447758</v>
      </c>
      <c r="E2643" s="228">
        <v>10</v>
      </c>
      <c r="F2643" s="585">
        <f>ROUNDUP(D2643+E2643,2)</f>
        <v>171.54999999999998</v>
      </c>
      <c r="G2643" s="338" t="s">
        <v>11668</v>
      </c>
      <c r="H2643" s="592" t="s">
        <v>9772</v>
      </c>
      <c r="I2643" s="520" t="s">
        <v>11649</v>
      </c>
      <c r="J2643" s="589" t="s">
        <v>753</v>
      </c>
      <c r="K2643" s="520" t="s">
        <v>741</v>
      </c>
      <c r="L2643" s="203"/>
      <c r="M2643" s="203"/>
      <c r="N2643" s="203"/>
      <c r="O2643" s="203"/>
    </row>
    <row r="2644" spans="1:15" s="196" customFormat="1">
      <c r="A2644" s="421"/>
      <c r="B2644" s="150" t="s">
        <v>11669</v>
      </c>
      <c r="C2644" s="209">
        <v>964</v>
      </c>
      <c r="D2644" s="244">
        <f>C2644*(1-VLOOKUP(I2644,descuentos,6,FALSE))*fcl/IF(dol_sol="dólar", TC,1)</f>
        <v>234.17987265671641</v>
      </c>
      <c r="E2644" s="228">
        <v>10</v>
      </c>
      <c r="F2644" s="585">
        <f>ROUNDUP(D2644+E2644,2)</f>
        <v>244.17999999999998</v>
      </c>
      <c r="G2644" s="338" t="s">
        <v>11670</v>
      </c>
      <c r="H2644" s="592" t="s">
        <v>9773</v>
      </c>
      <c r="I2644" s="520" t="s">
        <v>11649</v>
      </c>
      <c r="J2644" s="589" t="s">
        <v>753</v>
      </c>
      <c r="K2644" s="520" t="s">
        <v>741</v>
      </c>
      <c r="L2644" s="203"/>
      <c r="M2644" s="203"/>
      <c r="N2644" s="203"/>
      <c r="O2644" s="203"/>
    </row>
    <row r="2645" spans="1:15" s="196" customFormat="1">
      <c r="A2645" s="421"/>
      <c r="B2645" s="150"/>
      <c r="C2645" s="209" t="s">
        <v>2058</v>
      </c>
      <c r="D2645" s="244"/>
      <c r="E2645" s="228"/>
      <c r="F2645" s="585"/>
      <c r="G2645" s="338"/>
      <c r="H2645" s="592"/>
      <c r="I2645" s="520"/>
      <c r="J2645" s="589"/>
      <c r="K2645" s="520"/>
      <c r="L2645" s="203"/>
      <c r="M2645" s="203"/>
      <c r="N2645" s="203"/>
      <c r="O2645" s="203"/>
    </row>
    <row r="2646" spans="1:15" s="196" customFormat="1">
      <c r="A2646" s="421"/>
      <c r="B2646" s="150" t="s">
        <v>11671</v>
      </c>
      <c r="C2646" s="209">
        <v>826</v>
      </c>
      <c r="D2646" s="244">
        <f>C2646*(1-VLOOKUP(I2646,descuentos,6,FALSE))*fcl/IF(dol_sol="dólar", TC,1)</f>
        <v>200.65619794029848</v>
      </c>
      <c r="E2646" s="228">
        <v>10</v>
      </c>
      <c r="F2646" s="585">
        <f>ROUNDUP(D2646+E2646,2)</f>
        <v>210.66</v>
      </c>
      <c r="G2646" s="338" t="s">
        <v>11672</v>
      </c>
      <c r="H2646" s="592" t="s">
        <v>7455</v>
      </c>
      <c r="I2646" s="520" t="s">
        <v>11649</v>
      </c>
      <c r="J2646" s="589" t="s">
        <v>753</v>
      </c>
      <c r="K2646" s="520" t="s">
        <v>741</v>
      </c>
      <c r="L2646" s="203"/>
      <c r="M2646" s="203"/>
      <c r="N2646" s="203"/>
      <c r="O2646" s="203"/>
    </row>
    <row r="2647" spans="1:15" s="196" customFormat="1">
      <c r="A2647" s="421"/>
      <c r="B2647" s="150"/>
      <c r="C2647" s="209" t="s">
        <v>2058</v>
      </c>
      <c r="D2647" s="244"/>
      <c r="E2647" s="228"/>
      <c r="F2647" s="585"/>
      <c r="G2647" s="338"/>
      <c r="H2647" s="592"/>
      <c r="I2647" s="520"/>
      <c r="J2647" s="589"/>
      <c r="K2647" s="520"/>
      <c r="L2647" s="203"/>
      <c r="M2647" s="203"/>
      <c r="N2647" s="203"/>
      <c r="O2647" s="203"/>
    </row>
    <row r="2648" spans="1:15" s="196" customFormat="1">
      <c r="A2648" s="421"/>
      <c r="B2648" s="592"/>
      <c r="C2648" s="209" t="s">
        <v>2058</v>
      </c>
      <c r="D2648" s="244"/>
      <c r="E2648" s="228"/>
      <c r="F2648" s="585"/>
      <c r="G2648" s="592"/>
      <c r="H2648" s="592"/>
      <c r="I2648" s="520"/>
      <c r="J2648" s="589"/>
      <c r="K2648" s="520"/>
      <c r="L2648" s="203"/>
      <c r="M2648" s="203"/>
      <c r="N2648" s="203"/>
      <c r="O2648" s="203"/>
    </row>
    <row r="2649" spans="1:15" s="196" customFormat="1">
      <c r="A2649" s="421"/>
      <c r="B2649" s="151" t="s">
        <v>3379</v>
      </c>
      <c r="C2649" s="209">
        <v>285</v>
      </c>
      <c r="D2649" s="244">
        <f>C2649*(1-VLOOKUP(I2649,descuentos,6,FALSE))*fcl/IF(dol_sol="dólar", TC,1)</f>
        <v>69.233676044776104</v>
      </c>
      <c r="E2649" s="228">
        <v>10</v>
      </c>
      <c r="F2649" s="585">
        <f>ROUNDUP(D2649+E2649,2)</f>
        <v>79.240000000000009</v>
      </c>
      <c r="G2649" s="338" t="s">
        <v>4861</v>
      </c>
      <c r="H2649" s="592" t="s">
        <v>3380</v>
      </c>
      <c r="I2649" s="520" t="s">
        <v>11649</v>
      </c>
      <c r="J2649" s="421" t="s">
        <v>753</v>
      </c>
      <c r="K2649" s="520" t="s">
        <v>741</v>
      </c>
      <c r="L2649" s="203"/>
      <c r="M2649" s="203"/>
      <c r="N2649" s="203"/>
      <c r="O2649" s="203"/>
    </row>
    <row r="2650" spans="1:15" s="196" customFormat="1">
      <c r="A2650" s="421"/>
      <c r="B2650" s="151" t="s">
        <v>3265</v>
      </c>
      <c r="C2650" s="209">
        <v>801</v>
      </c>
      <c r="D2650" s="244">
        <f>C2650*(1-VLOOKUP(I2650,descuentos,6,FALSE))*fcl/IF(dol_sol="dólar", TC,1)</f>
        <v>194.58306846268655</v>
      </c>
      <c r="E2650" s="228">
        <v>10</v>
      </c>
      <c r="F2650" s="585">
        <f>ROUNDUP(D2650+E2650,2)</f>
        <v>204.59</v>
      </c>
      <c r="G2650" s="338" t="s">
        <v>4862</v>
      </c>
      <c r="H2650" s="592" t="s">
        <v>3266</v>
      </c>
      <c r="I2650" s="520" t="s">
        <v>11649</v>
      </c>
      <c r="J2650" s="421" t="s">
        <v>753</v>
      </c>
      <c r="K2650" s="520" t="s">
        <v>741</v>
      </c>
      <c r="L2650" s="203"/>
      <c r="M2650" s="203"/>
      <c r="N2650" s="203"/>
      <c r="O2650" s="203"/>
    </row>
    <row r="2651" spans="1:15" s="196" customFormat="1">
      <c r="A2651" s="421"/>
      <c r="B2651" s="151" t="s">
        <v>3267</v>
      </c>
      <c r="C2651" s="209">
        <v>801</v>
      </c>
      <c r="D2651" s="244">
        <f>C2651*(1-VLOOKUP(I2651,descuentos,6,FALSE))*fcl/IF(dol_sol="dólar", TC,1)</f>
        <v>194.58306846268655</v>
      </c>
      <c r="E2651" s="228">
        <v>10</v>
      </c>
      <c r="F2651" s="585">
        <f>ROUNDUP(D2651+E2651,2)</f>
        <v>204.59</v>
      </c>
      <c r="G2651" s="338" t="s">
        <v>4863</v>
      </c>
      <c r="H2651" s="592" t="s">
        <v>3268</v>
      </c>
      <c r="I2651" s="520" t="s">
        <v>11649</v>
      </c>
      <c r="J2651" s="421" t="s">
        <v>753</v>
      </c>
      <c r="K2651" s="520" t="s">
        <v>741</v>
      </c>
      <c r="L2651" s="203"/>
      <c r="M2651" s="203"/>
      <c r="N2651" s="203"/>
      <c r="O2651" s="203"/>
    </row>
    <row r="2652" spans="1:15" s="196" customFormat="1">
      <c r="A2652" s="421"/>
      <c r="B2652" s="150" t="s">
        <v>3320</v>
      </c>
      <c r="C2652" s="209">
        <v>787</v>
      </c>
      <c r="D2652" s="244">
        <f>C2652*(1-VLOOKUP(I2652,descuentos,6,FALSE))*fcl/IF(dol_sol="dólar", TC,1)</f>
        <v>191.18211595522385</v>
      </c>
      <c r="E2652" s="228">
        <v>10</v>
      </c>
      <c r="F2652" s="585">
        <f>ROUNDUP(D2652+E2652,2)</f>
        <v>201.19</v>
      </c>
      <c r="G2652" s="338" t="s">
        <v>4864</v>
      </c>
      <c r="H2652" s="592" t="s">
        <v>3319</v>
      </c>
      <c r="I2652" s="520" t="s">
        <v>11649</v>
      </c>
      <c r="J2652" s="589" t="s">
        <v>753</v>
      </c>
      <c r="K2652" s="520" t="s">
        <v>741</v>
      </c>
      <c r="L2652" s="203"/>
      <c r="M2652" s="203"/>
      <c r="N2652" s="203"/>
      <c r="O2652" s="203"/>
    </row>
    <row r="2653" spans="1:15" s="196" customFormat="1">
      <c r="A2653" s="421"/>
      <c r="B2653" s="151" t="s">
        <v>4865</v>
      </c>
      <c r="C2653" s="209">
        <v>1100</v>
      </c>
      <c r="D2653" s="244">
        <f>C2653*(1-VLOOKUP(I2653,descuentos,6,FALSE))*fcl/IF(dol_sol="dólar", TC,1)</f>
        <v>267.21769701492536</v>
      </c>
      <c r="E2653" s="228">
        <v>10</v>
      </c>
      <c r="F2653" s="585">
        <f>ROUNDUP(D2653+E2653,2)</f>
        <v>277.21999999999997</v>
      </c>
      <c r="G2653" s="338" t="s">
        <v>4866</v>
      </c>
      <c r="H2653" s="592" t="s">
        <v>4867</v>
      </c>
      <c r="I2653" s="520" t="s">
        <v>11649</v>
      </c>
      <c r="J2653" s="421" t="s">
        <v>753</v>
      </c>
      <c r="K2653" s="520" t="s">
        <v>741</v>
      </c>
      <c r="L2653" s="203"/>
      <c r="M2653" s="203"/>
      <c r="N2653" s="203"/>
      <c r="O2653" s="203"/>
    </row>
    <row r="2654" spans="1:15" s="196" customFormat="1">
      <c r="A2654" s="421"/>
      <c r="B2654" s="152"/>
      <c r="C2654" s="209" t="s">
        <v>2058</v>
      </c>
      <c r="D2654" s="244"/>
      <c r="E2654" s="228"/>
      <c r="F2654" s="340"/>
      <c r="G2654" s="152"/>
      <c r="H2654" s="152"/>
      <c r="I2654" s="339"/>
      <c r="J2654" s="339"/>
      <c r="K2654" s="203"/>
      <c r="L2654" s="203"/>
      <c r="M2654" s="203"/>
      <c r="N2654" s="203"/>
      <c r="O2654" s="203"/>
    </row>
    <row r="2655" spans="1:15" s="196" customFormat="1">
      <c r="A2655" s="589"/>
      <c r="B2655" s="150" t="s">
        <v>4868</v>
      </c>
      <c r="C2655" s="209">
        <v>1081</v>
      </c>
      <c r="D2655" s="244">
        <f>C2655*(1-VLOOKUP(I2655,descuentos,6,FALSE))*fcl/IF(dol_sol="dólar", TC,1)</f>
        <v>262.60211861194028</v>
      </c>
      <c r="E2655" s="228">
        <v>10</v>
      </c>
      <c r="F2655" s="585">
        <f>ROUNDUP(D2655+E2655,2)</f>
        <v>272.61</v>
      </c>
      <c r="G2655" s="338" t="s">
        <v>4869</v>
      </c>
      <c r="H2655" s="592" t="s">
        <v>4870</v>
      </c>
      <c r="I2655" s="520" t="s">
        <v>11649</v>
      </c>
      <c r="J2655" s="589" t="s">
        <v>753</v>
      </c>
      <c r="K2655" s="520" t="s">
        <v>741</v>
      </c>
      <c r="L2655" s="203"/>
      <c r="M2655" s="203"/>
      <c r="N2655" s="203"/>
      <c r="O2655" s="203"/>
    </row>
    <row r="2656" spans="1:15" s="196" customFormat="1">
      <c r="A2656" s="589"/>
      <c r="B2656" s="150" t="s">
        <v>3337</v>
      </c>
      <c r="C2656" s="209">
        <v>1256</v>
      </c>
      <c r="D2656" s="244">
        <f>C2656*(1-VLOOKUP(I2656,descuentos,6,FALSE))*fcl/IF(dol_sol="dólar", TC,1)</f>
        <v>305.11402495522384</v>
      </c>
      <c r="E2656" s="228">
        <v>5</v>
      </c>
      <c r="F2656" s="585">
        <f>ROUNDUP(D2656+E2656,2)</f>
        <v>310.12</v>
      </c>
      <c r="G2656" s="338" t="s">
        <v>3393</v>
      </c>
      <c r="H2656" s="592" t="s">
        <v>3336</v>
      </c>
      <c r="I2656" s="520" t="s">
        <v>11649</v>
      </c>
      <c r="J2656" s="589" t="s">
        <v>753</v>
      </c>
      <c r="K2656" s="520" t="s">
        <v>741</v>
      </c>
      <c r="L2656" s="203"/>
      <c r="M2656" s="203"/>
      <c r="N2656" s="203"/>
      <c r="O2656" s="203"/>
    </row>
    <row r="2657" spans="1:15" s="196" customFormat="1">
      <c r="A2657" s="421"/>
      <c r="B2657" s="592"/>
      <c r="C2657" s="209" t="s">
        <v>2058</v>
      </c>
      <c r="D2657" s="244"/>
      <c r="E2657" s="228"/>
      <c r="F2657" s="585"/>
      <c r="G2657" s="592"/>
      <c r="H2657" s="592"/>
      <c r="I2657" s="520"/>
      <c r="J2657" s="589"/>
      <c r="K2657" s="520"/>
      <c r="L2657" s="203"/>
      <c r="M2657" s="203"/>
      <c r="N2657" s="203"/>
      <c r="O2657" s="203"/>
    </row>
    <row r="2658" spans="1:15" s="196" customFormat="1">
      <c r="A2658" s="589"/>
      <c r="B2658" s="150" t="s">
        <v>7456</v>
      </c>
      <c r="C2658" s="209">
        <v>757</v>
      </c>
      <c r="D2658" s="244">
        <f>C2658*(1-VLOOKUP(I2658,descuentos,6,FALSE))*fcl/IF(dol_sol="dólar", TC,1)</f>
        <v>183.89436058208955</v>
      </c>
      <c r="E2658" s="228">
        <v>20</v>
      </c>
      <c r="F2658" s="585">
        <f>ROUNDUP(D2658+E2658,2)</f>
        <v>203.89999999999998</v>
      </c>
      <c r="G2658" s="338" t="s">
        <v>7457</v>
      </c>
      <c r="H2658" s="592" t="s">
        <v>7458</v>
      </c>
      <c r="I2658" s="520" t="s">
        <v>11649</v>
      </c>
      <c r="J2658" s="589" t="s">
        <v>753</v>
      </c>
      <c r="K2658" s="520" t="s">
        <v>741</v>
      </c>
      <c r="L2658" s="203"/>
      <c r="M2658" s="203"/>
      <c r="N2658" s="203"/>
      <c r="O2658" s="203"/>
    </row>
    <row r="2659" spans="1:15" s="196" customFormat="1">
      <c r="A2659" s="421"/>
      <c r="B2659" s="592"/>
      <c r="C2659" s="209" t="s">
        <v>2058</v>
      </c>
      <c r="D2659" s="244"/>
      <c r="E2659" s="228"/>
      <c r="F2659" s="585"/>
      <c r="G2659" s="592"/>
      <c r="H2659" s="592"/>
      <c r="I2659" s="520"/>
      <c r="J2659" s="589"/>
      <c r="K2659" s="520"/>
      <c r="L2659" s="203"/>
      <c r="M2659" s="203"/>
      <c r="N2659" s="203"/>
      <c r="O2659" s="203"/>
    </row>
    <row r="2660" spans="1:15" s="196" customFormat="1">
      <c r="A2660" s="421"/>
      <c r="B2660" s="151"/>
      <c r="C2660" s="209" t="s">
        <v>2058</v>
      </c>
      <c r="D2660" s="244"/>
      <c r="E2660" s="228"/>
      <c r="F2660" s="585"/>
      <c r="G2660" s="592"/>
      <c r="H2660" s="592"/>
      <c r="I2660" s="520"/>
      <c r="J2660" s="589"/>
      <c r="K2660" s="520"/>
      <c r="L2660" s="203"/>
      <c r="M2660" s="203"/>
      <c r="N2660" s="203"/>
      <c r="O2660" s="203"/>
    </row>
    <row r="2661" spans="1:15" s="196" customFormat="1">
      <c r="A2661" s="589"/>
      <c r="B2661" s="151"/>
      <c r="C2661" s="209" t="s">
        <v>2058</v>
      </c>
      <c r="D2661" s="244"/>
      <c r="E2661" s="228"/>
      <c r="F2661" s="585"/>
      <c r="G2661" s="592"/>
      <c r="H2661" s="592"/>
      <c r="I2661" s="520"/>
      <c r="J2661" s="589"/>
      <c r="K2661" s="520"/>
      <c r="L2661" s="203"/>
      <c r="M2661" s="203"/>
      <c r="N2661" s="203"/>
      <c r="O2661" s="203"/>
    </row>
    <row r="2662" spans="1:15" s="196" customFormat="1">
      <c r="A2662" s="589"/>
      <c r="B2662" s="151" t="s">
        <v>7459</v>
      </c>
      <c r="C2662" s="209">
        <v>416</v>
      </c>
      <c r="D2662" s="244">
        <f>C2662*(1-VLOOKUP(I2662,descuentos,6,FALSE))*fcl/IF(dol_sol="dólar", TC,1)</f>
        <v>101.05687450746267</v>
      </c>
      <c r="E2662" s="228">
        <v>10</v>
      </c>
      <c r="F2662" s="585">
        <f>ROUNDUP(D2662+E2662,2)</f>
        <v>111.06</v>
      </c>
      <c r="G2662" s="592" t="s">
        <v>7460</v>
      </c>
      <c r="H2662" s="592" t="s">
        <v>7461</v>
      </c>
      <c r="I2662" s="520" t="s">
        <v>11650</v>
      </c>
      <c r="J2662" s="589" t="s">
        <v>753</v>
      </c>
      <c r="K2662" s="520" t="s">
        <v>741</v>
      </c>
      <c r="L2662" s="203"/>
      <c r="M2662" s="203"/>
      <c r="N2662" s="203"/>
      <c r="O2662" s="203"/>
    </row>
    <row r="2663" spans="1:15" s="196" customFormat="1">
      <c r="A2663" s="589"/>
      <c r="B2663" s="151" t="s">
        <v>7462</v>
      </c>
      <c r="C2663" s="209">
        <v>416</v>
      </c>
      <c r="D2663" s="244">
        <f>C2663*(1-VLOOKUP(I2663,descuentos,6,FALSE))*fcl/IF(dol_sol="dólar", TC,1)</f>
        <v>101.05687450746267</v>
      </c>
      <c r="E2663" s="228">
        <v>10</v>
      </c>
      <c r="F2663" s="585">
        <f>ROUNDUP(D2663+E2663,2)</f>
        <v>111.06</v>
      </c>
      <c r="G2663" s="592" t="s">
        <v>7463</v>
      </c>
      <c r="H2663" s="592" t="s">
        <v>7464</v>
      </c>
      <c r="I2663" s="520" t="s">
        <v>11650</v>
      </c>
      <c r="J2663" s="589" t="s">
        <v>753</v>
      </c>
      <c r="K2663" s="520" t="s">
        <v>741</v>
      </c>
      <c r="L2663" s="203"/>
      <c r="M2663" s="203"/>
      <c r="N2663" s="203"/>
      <c r="O2663" s="203"/>
    </row>
    <row r="2664" spans="1:15" s="196" customFormat="1">
      <c r="A2664" s="589"/>
      <c r="B2664" s="151"/>
      <c r="C2664" s="209" t="s">
        <v>2058</v>
      </c>
      <c r="D2664" s="244"/>
      <c r="E2664" s="228"/>
      <c r="F2664" s="585"/>
      <c r="G2664" s="592"/>
      <c r="H2664" s="592"/>
      <c r="I2664" s="520"/>
      <c r="J2664" s="589"/>
      <c r="K2664" s="520"/>
      <c r="L2664" s="203"/>
      <c r="M2664" s="203"/>
      <c r="N2664" s="203"/>
      <c r="O2664" s="203"/>
    </row>
    <row r="2665" spans="1:15" s="196" customFormat="1">
      <c r="A2665" s="589"/>
      <c r="B2665" s="151"/>
      <c r="C2665" s="209" t="s">
        <v>2058</v>
      </c>
      <c r="D2665" s="244"/>
      <c r="E2665" s="228"/>
      <c r="F2665" s="585"/>
      <c r="G2665" s="592"/>
      <c r="H2665" s="592"/>
      <c r="I2665" s="520"/>
      <c r="J2665" s="589"/>
      <c r="K2665" s="520"/>
      <c r="L2665" s="203"/>
      <c r="M2665" s="203"/>
      <c r="N2665" s="203"/>
      <c r="O2665" s="203"/>
    </row>
    <row r="2666" spans="1:15" s="196" customFormat="1">
      <c r="A2666" s="589"/>
      <c r="B2666" s="151"/>
      <c r="C2666" s="209" t="s">
        <v>2058</v>
      </c>
      <c r="D2666" s="244"/>
      <c r="E2666" s="228"/>
      <c r="F2666" s="585"/>
      <c r="G2666" s="592"/>
      <c r="H2666" s="592"/>
      <c r="I2666" s="520"/>
      <c r="J2666" s="589"/>
      <c r="K2666" s="520"/>
      <c r="L2666" s="203"/>
      <c r="M2666" s="203"/>
      <c r="N2666" s="203"/>
      <c r="O2666" s="203"/>
    </row>
    <row r="2667" spans="1:15" s="196" customFormat="1">
      <c r="A2667" s="589"/>
      <c r="B2667" s="1647"/>
      <c r="C2667" s="1180"/>
      <c r="D2667" s="244"/>
      <c r="E2667" s="228"/>
      <c r="F2667" s="585"/>
      <c r="G2667" s="592"/>
      <c r="H2667" s="1647"/>
      <c r="I2667" s="520"/>
      <c r="J2667" s="589"/>
      <c r="K2667" s="520"/>
      <c r="L2667" s="203"/>
      <c r="M2667" s="203"/>
      <c r="N2667" s="203"/>
      <c r="O2667" s="203"/>
    </row>
    <row r="2668" spans="1:15" s="196" customFormat="1">
      <c r="A2668" s="589"/>
      <c r="B2668" s="1647"/>
      <c r="C2668" s="1180"/>
      <c r="D2668" s="244"/>
      <c r="E2668" s="228"/>
      <c r="F2668" s="585"/>
      <c r="G2668" s="592"/>
      <c r="H2668" s="1647"/>
      <c r="I2668" s="520"/>
      <c r="J2668" s="589"/>
      <c r="K2668" s="520"/>
      <c r="L2668" s="203"/>
      <c r="M2668" s="203"/>
      <c r="N2668" s="203"/>
      <c r="O2668" s="203"/>
    </row>
    <row r="2669" spans="1:15" s="196" customFormat="1">
      <c r="A2669" s="589"/>
      <c r="B2669" s="1681" t="s">
        <v>6031</v>
      </c>
      <c r="C2669" s="1682"/>
      <c r="D2669" s="1681"/>
      <c r="E2669" s="228"/>
      <c r="F2669" s="585"/>
      <c r="G2669" s="592"/>
      <c r="H2669" s="1647"/>
      <c r="I2669" s="520"/>
      <c r="J2669" s="589"/>
      <c r="K2669" s="520"/>
      <c r="L2669" s="203"/>
      <c r="M2669" s="203"/>
      <c r="N2669" s="203"/>
      <c r="O2669" s="203"/>
    </row>
    <row r="2670" spans="1:15" s="196" customFormat="1">
      <c r="A2670" s="589"/>
      <c r="B2670" s="1681" t="s">
        <v>7523</v>
      </c>
      <c r="C2670" s="1682"/>
      <c r="D2670" s="1681"/>
      <c r="E2670" s="228"/>
      <c r="F2670" s="585"/>
      <c r="G2670" s="592"/>
      <c r="H2670" s="1647"/>
      <c r="I2670" s="520"/>
      <c r="J2670" s="589"/>
      <c r="K2670" s="520"/>
      <c r="L2670" s="203"/>
      <c r="M2670" s="203"/>
      <c r="N2670" s="203"/>
      <c r="O2670" s="203"/>
    </row>
    <row r="2671" spans="1:15" s="194" customFormat="1">
      <c r="A2671" s="589"/>
      <c r="B2671" s="902"/>
      <c r="C2671" s="209"/>
      <c r="D2671" s="244"/>
      <c r="E2671" s="228"/>
      <c r="F2671" s="585"/>
      <c r="G2671" s="592"/>
      <c r="H2671" s="592"/>
      <c r="I2671" s="520"/>
      <c r="J2671" s="589"/>
      <c r="K2671" s="520"/>
    </row>
    <row r="2672" spans="1:15" s="194" customFormat="1">
      <c r="A2672" s="589"/>
      <c r="B2672" s="902" t="s">
        <v>6032</v>
      </c>
      <c r="C2672" s="209">
        <v>4671</v>
      </c>
      <c r="D2672" s="244">
        <f t="shared" ref="D2672:D2678" si="373">C2672*(1-VLOOKUP(I2672,descuentos,6,FALSE))*fcl/IF(dol_sol="dólar", TC,1)</f>
        <v>1134.7035115970148</v>
      </c>
      <c r="E2672" s="228">
        <v>200</v>
      </c>
      <c r="F2672" s="585">
        <f t="shared" ref="F2672:F2678" si="374">ROUNDUP(D2672+E2672,1)</f>
        <v>1334.8</v>
      </c>
      <c r="G2672" s="592" t="s">
        <v>9284</v>
      </c>
      <c r="H2672" s="651" t="s">
        <v>6033</v>
      </c>
      <c r="I2672" s="520" t="s">
        <v>11649</v>
      </c>
      <c r="J2672" s="589" t="s">
        <v>753</v>
      </c>
      <c r="K2672" s="520" t="s">
        <v>741</v>
      </c>
    </row>
    <row r="2673" spans="1:15" s="194" customFormat="1">
      <c r="A2673" s="589"/>
      <c r="B2673" s="902" t="s">
        <v>6034</v>
      </c>
      <c r="C2673" s="209">
        <v>5028</v>
      </c>
      <c r="D2673" s="244">
        <f t="shared" si="373"/>
        <v>1221.4278005373133</v>
      </c>
      <c r="E2673" s="228">
        <v>200</v>
      </c>
      <c r="F2673" s="585">
        <f t="shared" si="374"/>
        <v>1421.5</v>
      </c>
      <c r="G2673" s="592" t="s">
        <v>9285</v>
      </c>
      <c r="H2673" s="651" t="s">
        <v>6035</v>
      </c>
      <c r="I2673" s="520" t="s">
        <v>11649</v>
      </c>
      <c r="J2673" s="589" t="s">
        <v>753</v>
      </c>
      <c r="K2673" s="520" t="s">
        <v>741</v>
      </c>
    </row>
    <row r="2674" spans="1:15" s="194" customFormat="1">
      <c r="A2674" s="589"/>
      <c r="B2674" s="902" t="s">
        <v>6036</v>
      </c>
      <c r="C2674" s="209">
        <v>5319</v>
      </c>
      <c r="D2674" s="244">
        <f t="shared" si="373"/>
        <v>1292.1190276567163</v>
      </c>
      <c r="E2674" s="228">
        <v>200</v>
      </c>
      <c r="F2674" s="585">
        <f t="shared" si="374"/>
        <v>1492.1999999999998</v>
      </c>
      <c r="G2674" s="592" t="s">
        <v>9286</v>
      </c>
      <c r="H2674" s="651" t="s">
        <v>6037</v>
      </c>
      <c r="I2674" s="520" t="s">
        <v>11649</v>
      </c>
      <c r="J2674" s="589" t="s">
        <v>753</v>
      </c>
      <c r="K2674" s="520" t="s">
        <v>741</v>
      </c>
    </row>
    <row r="2675" spans="1:15" s="194" customFormat="1">
      <c r="A2675" s="589"/>
      <c r="B2675" s="902" t="s">
        <v>6038</v>
      </c>
      <c r="C2675" s="209">
        <v>5655</v>
      </c>
      <c r="D2675" s="244">
        <f t="shared" si="373"/>
        <v>1373.7418878358208</v>
      </c>
      <c r="E2675" s="228">
        <v>250</v>
      </c>
      <c r="F2675" s="585">
        <f t="shared" si="374"/>
        <v>1623.8</v>
      </c>
      <c r="G2675" s="592" t="s">
        <v>9287</v>
      </c>
      <c r="H2675" s="651" t="s">
        <v>6039</v>
      </c>
      <c r="I2675" s="520" t="s">
        <v>11649</v>
      </c>
      <c r="J2675" s="589" t="s">
        <v>753</v>
      </c>
      <c r="K2675" s="520" t="s">
        <v>741</v>
      </c>
    </row>
    <row r="2676" spans="1:15" s="194" customFormat="1">
      <c r="A2676" s="589"/>
      <c r="B2676" s="902" t="s">
        <v>6040</v>
      </c>
      <c r="C2676" s="209">
        <v>6202</v>
      </c>
      <c r="D2676" s="244">
        <f t="shared" si="373"/>
        <v>1506.6219608059698</v>
      </c>
      <c r="E2676" s="228">
        <v>250</v>
      </c>
      <c r="F2676" s="585">
        <f t="shared" si="374"/>
        <v>1756.6999999999998</v>
      </c>
      <c r="G2676" s="592" t="s">
        <v>9288</v>
      </c>
      <c r="H2676" s="651" t="s">
        <v>6041</v>
      </c>
      <c r="I2676" s="520" t="s">
        <v>11649</v>
      </c>
      <c r="J2676" s="589" t="s">
        <v>753</v>
      </c>
      <c r="K2676" s="520" t="s">
        <v>741</v>
      </c>
    </row>
    <row r="2677" spans="1:15" s="194" customFormat="1">
      <c r="A2677" s="589"/>
      <c r="B2677" s="902" t="s">
        <v>6042</v>
      </c>
      <c r="C2677" s="209">
        <v>6749</v>
      </c>
      <c r="D2677" s="244">
        <f t="shared" si="373"/>
        <v>1639.5020337761193</v>
      </c>
      <c r="E2677" s="228">
        <v>250</v>
      </c>
      <c r="F2677" s="585">
        <f t="shared" si="374"/>
        <v>1889.6</v>
      </c>
      <c r="G2677" s="592" t="s">
        <v>9289</v>
      </c>
      <c r="H2677" s="651" t="s">
        <v>6043</v>
      </c>
      <c r="I2677" s="520" t="s">
        <v>11649</v>
      </c>
      <c r="J2677" s="589" t="s">
        <v>753</v>
      </c>
      <c r="K2677" s="520" t="s">
        <v>741</v>
      </c>
    </row>
    <row r="2678" spans="1:15" s="194" customFormat="1">
      <c r="A2678" s="589"/>
      <c r="B2678" s="902" t="s">
        <v>6044</v>
      </c>
      <c r="C2678" s="209">
        <v>8924</v>
      </c>
      <c r="D2678" s="244">
        <f t="shared" si="373"/>
        <v>2167.864298328358</v>
      </c>
      <c r="E2678" s="228">
        <v>250</v>
      </c>
      <c r="F2678" s="585">
        <f t="shared" si="374"/>
        <v>2417.9</v>
      </c>
      <c r="G2678" s="592" t="s">
        <v>9290</v>
      </c>
      <c r="H2678" s="651" t="s">
        <v>6045</v>
      </c>
      <c r="I2678" s="520" t="s">
        <v>11649</v>
      </c>
      <c r="J2678" s="589" t="s">
        <v>753</v>
      </c>
      <c r="K2678" s="520" t="s">
        <v>741</v>
      </c>
    </row>
    <row r="2679" spans="1:15" s="194" customFormat="1">
      <c r="A2679" s="589"/>
      <c r="B2679" s="902"/>
      <c r="C2679" s="209" t="s">
        <v>2058</v>
      </c>
      <c r="D2679" s="244"/>
      <c r="E2679" s="228"/>
      <c r="F2679" s="585"/>
      <c r="G2679" s="592"/>
      <c r="H2679" s="651"/>
      <c r="I2679" s="520" t="s">
        <v>2058</v>
      </c>
      <c r="J2679" s="589"/>
      <c r="K2679" s="520"/>
    </row>
    <row r="2680" spans="1:15" s="196" customFormat="1">
      <c r="A2680" s="589"/>
      <c r="B2680" s="1647"/>
      <c r="C2680" s="1180" t="s">
        <v>2058</v>
      </c>
      <c r="D2680" s="244"/>
      <c r="E2680" s="228"/>
      <c r="F2680" s="585"/>
      <c r="G2680" s="592"/>
      <c r="H2680" s="1647"/>
      <c r="I2680" s="520" t="s">
        <v>2058</v>
      </c>
      <c r="J2680" s="589"/>
      <c r="K2680" s="520"/>
      <c r="L2680" s="203"/>
      <c r="M2680" s="203"/>
      <c r="N2680" s="203"/>
      <c r="O2680" s="203"/>
    </row>
    <row r="2681" spans="1:15" s="196" customFormat="1">
      <c r="A2681" s="589"/>
      <c r="B2681" s="1681" t="s">
        <v>6031</v>
      </c>
      <c r="C2681" s="1682" t="s">
        <v>2058</v>
      </c>
      <c r="D2681" s="1681"/>
      <c r="E2681" s="228"/>
      <c r="F2681" s="585"/>
      <c r="G2681" s="592"/>
      <c r="H2681" s="1647"/>
      <c r="I2681" s="520" t="s">
        <v>2058</v>
      </c>
      <c r="J2681" s="589"/>
      <c r="K2681" s="520"/>
      <c r="L2681" s="203"/>
      <c r="M2681" s="203"/>
      <c r="N2681" s="203"/>
      <c r="O2681" s="203"/>
    </row>
    <row r="2682" spans="1:15" s="196" customFormat="1">
      <c r="A2682" s="589"/>
      <c r="B2682" s="1681" t="s">
        <v>6046</v>
      </c>
      <c r="C2682" s="1682" t="s">
        <v>2058</v>
      </c>
      <c r="D2682" s="1681"/>
      <c r="E2682" s="228"/>
      <c r="F2682" s="585"/>
      <c r="G2682" s="592"/>
      <c r="H2682" s="1647"/>
      <c r="I2682" s="520" t="s">
        <v>2058</v>
      </c>
      <c r="J2682" s="589"/>
      <c r="K2682" s="520"/>
      <c r="L2682" s="203"/>
      <c r="M2682" s="203"/>
      <c r="N2682" s="203"/>
      <c r="O2682" s="203"/>
    </row>
    <row r="2683" spans="1:15" s="194" customFormat="1">
      <c r="A2683" s="589"/>
      <c r="B2683" s="902"/>
      <c r="C2683" s="209" t="s">
        <v>2058</v>
      </c>
      <c r="D2683" s="244"/>
      <c r="E2683" s="228"/>
      <c r="F2683" s="585"/>
      <c r="G2683" s="592"/>
      <c r="H2683" s="592"/>
      <c r="I2683" s="520" t="s">
        <v>2058</v>
      </c>
      <c r="J2683" s="589"/>
      <c r="K2683" s="520"/>
    </row>
    <row r="2684" spans="1:15" s="194" customFormat="1">
      <c r="A2684" s="589"/>
      <c r="B2684" s="902" t="s">
        <v>6047</v>
      </c>
      <c r="C2684" s="209">
        <v>8649</v>
      </c>
      <c r="D2684" s="244">
        <f>C2684*(1-VLOOKUP(I2684,descuentos,6,FALSE))*fcl/IF(dol_sol="dólar", TC,1)</f>
        <v>2101.0598740746264</v>
      </c>
      <c r="E2684" s="228">
        <v>400</v>
      </c>
      <c r="F2684" s="585">
        <f>ROUNDUP(D2684+E2684,1)</f>
        <v>2501.1</v>
      </c>
      <c r="G2684" s="592" t="s">
        <v>9291</v>
      </c>
      <c r="H2684" s="651" t="s">
        <v>6048</v>
      </c>
      <c r="I2684" s="520" t="s">
        <v>11649</v>
      </c>
      <c r="J2684" s="589" t="s">
        <v>753</v>
      </c>
      <c r="K2684" s="520" t="s">
        <v>741</v>
      </c>
    </row>
    <row r="2685" spans="1:15" s="194" customFormat="1">
      <c r="A2685" s="589"/>
      <c r="B2685" s="902" t="s">
        <v>6049</v>
      </c>
      <c r="C2685" s="209">
        <v>9684</v>
      </c>
      <c r="D2685" s="244">
        <f>C2685*(1-VLOOKUP(I2685,descuentos,6,FALSE))*fcl/IF(dol_sol="dólar", TC,1)</f>
        <v>2352.4874344477607</v>
      </c>
      <c r="E2685" s="228">
        <v>400</v>
      </c>
      <c r="F2685" s="585">
        <f>ROUNDUP(D2685+E2685,1)</f>
        <v>2752.5</v>
      </c>
      <c r="G2685" s="592" t="s">
        <v>9292</v>
      </c>
      <c r="H2685" s="651" t="s">
        <v>6050</v>
      </c>
      <c r="I2685" s="520" t="s">
        <v>11649</v>
      </c>
      <c r="J2685" s="589" t="s">
        <v>753</v>
      </c>
      <c r="K2685" s="520" t="s">
        <v>741</v>
      </c>
    </row>
    <row r="2686" spans="1:15" s="194" customFormat="1">
      <c r="A2686" s="589"/>
      <c r="B2686" s="902" t="s">
        <v>6051</v>
      </c>
      <c r="C2686" s="209">
        <v>9363</v>
      </c>
      <c r="D2686" s="244">
        <f>C2686*(1-VLOOKUP(I2686,descuentos,6,FALSE))*fcl/IF(dol_sol="dólar", TC,1)</f>
        <v>2274.5084519552238</v>
      </c>
      <c r="E2686" s="228">
        <v>500</v>
      </c>
      <c r="F2686" s="585">
        <f>ROUNDUP(D2686+E2686,1)</f>
        <v>2774.6</v>
      </c>
      <c r="G2686" s="592" t="s">
        <v>9293</v>
      </c>
      <c r="H2686" s="651" t="s">
        <v>6052</v>
      </c>
      <c r="I2686" s="520" t="s">
        <v>11649</v>
      </c>
      <c r="J2686" s="589" t="s">
        <v>753</v>
      </c>
      <c r="K2686" s="520" t="s">
        <v>741</v>
      </c>
    </row>
    <row r="2687" spans="1:15" s="194" customFormat="1">
      <c r="A2687" s="589"/>
      <c r="B2687" s="902" t="s">
        <v>6053</v>
      </c>
      <c r="C2687" s="209">
        <v>10356</v>
      </c>
      <c r="D2687" s="244">
        <f>C2687*(1-VLOOKUP(I2687,descuentos,6,FALSE))*fcl/IF(dol_sol="dólar", TC,1)</f>
        <v>2515.7331548059697</v>
      </c>
      <c r="E2687" s="228">
        <v>500</v>
      </c>
      <c r="F2687" s="585">
        <f>ROUNDUP(D2687+E2687,1)</f>
        <v>3015.7999999999997</v>
      </c>
      <c r="G2687" s="592" t="s">
        <v>9294</v>
      </c>
      <c r="H2687" s="651" t="s">
        <v>6054</v>
      </c>
      <c r="I2687" s="520" t="s">
        <v>11649</v>
      </c>
      <c r="J2687" s="589" t="s">
        <v>753</v>
      </c>
      <c r="K2687" s="520" t="s">
        <v>741</v>
      </c>
    </row>
    <row r="2688" spans="1:15" s="194" customFormat="1">
      <c r="A2688" s="589"/>
      <c r="B2688" s="902"/>
      <c r="C2688" s="209" t="s">
        <v>2058</v>
      </c>
      <c r="D2688" s="244"/>
      <c r="E2688" s="228"/>
      <c r="F2688" s="585"/>
      <c r="G2688" s="592"/>
      <c r="H2688" s="764"/>
      <c r="I2688" s="520" t="s">
        <v>2058</v>
      </c>
      <c r="J2688" s="589"/>
      <c r="K2688" s="520"/>
    </row>
    <row r="2689" spans="1:15" s="196" customFormat="1">
      <c r="A2689" s="589"/>
      <c r="B2689" s="1681" t="s">
        <v>6031</v>
      </c>
      <c r="C2689" s="1682" t="s">
        <v>2058</v>
      </c>
      <c r="D2689" s="1681"/>
      <c r="E2689" s="228"/>
      <c r="F2689" s="585"/>
      <c r="G2689" s="592"/>
      <c r="H2689" s="1647"/>
      <c r="I2689" s="520"/>
      <c r="J2689" s="589"/>
      <c r="K2689" s="520"/>
      <c r="L2689" s="203"/>
      <c r="M2689" s="203"/>
      <c r="N2689" s="203"/>
      <c r="O2689" s="203"/>
    </row>
    <row r="2690" spans="1:15" s="196" customFormat="1">
      <c r="A2690" s="589"/>
      <c r="B2690" s="1681" t="s">
        <v>7524</v>
      </c>
      <c r="C2690" s="1682" t="s">
        <v>2058</v>
      </c>
      <c r="D2690" s="1681"/>
      <c r="E2690" s="228"/>
      <c r="F2690" s="585"/>
      <c r="G2690" s="592"/>
      <c r="H2690" s="1647"/>
      <c r="I2690" s="520"/>
      <c r="J2690" s="589"/>
      <c r="K2690" s="520"/>
      <c r="L2690" s="203"/>
      <c r="M2690" s="203"/>
      <c r="N2690" s="203"/>
      <c r="O2690" s="203"/>
    </row>
    <row r="2691" spans="1:15" s="194" customFormat="1">
      <c r="A2691" s="589"/>
      <c r="B2691" s="902"/>
      <c r="C2691" s="209" t="s">
        <v>2058</v>
      </c>
      <c r="D2691" s="244"/>
      <c r="E2691" s="228"/>
      <c r="F2691" s="585"/>
      <c r="G2691" s="592"/>
      <c r="H2691" s="592"/>
      <c r="I2691" s="520"/>
      <c r="J2691" s="589"/>
      <c r="K2691" s="520"/>
    </row>
    <row r="2692" spans="1:15" s="194" customFormat="1">
      <c r="A2692" s="589"/>
      <c r="B2692" s="902" t="s">
        <v>7525</v>
      </c>
      <c r="C2692" s="209">
        <v>5448</v>
      </c>
      <c r="D2692" s="244">
        <f t="shared" ref="D2692:D2695" si="375">C2692*(1-VLOOKUP(I2692,descuentos,6,FALSE))*fcl/IF(dol_sol="dólar", TC,1)</f>
        <v>1323.4563757611938</v>
      </c>
      <c r="E2692" s="228">
        <v>200</v>
      </c>
      <c r="F2692" s="585">
        <f t="shared" ref="F2692:F2695" si="376">ROUNDUP(D2692+E2692,1)</f>
        <v>1523.5</v>
      </c>
      <c r="G2692" s="592" t="s">
        <v>9295</v>
      </c>
      <c r="H2692" s="651" t="s">
        <v>7526</v>
      </c>
      <c r="I2692" s="520" t="s">
        <v>11649</v>
      </c>
      <c r="J2692" s="589" t="s">
        <v>753</v>
      </c>
      <c r="K2692" s="520" t="s">
        <v>741</v>
      </c>
    </row>
    <row r="2693" spans="1:15" s="194" customFormat="1">
      <c r="A2693" s="589"/>
      <c r="B2693" s="902" t="s">
        <v>7527</v>
      </c>
      <c r="C2693" s="209">
        <v>6001</v>
      </c>
      <c r="D2693" s="244">
        <f t="shared" si="375"/>
        <v>1457.7939998059701</v>
      </c>
      <c r="E2693" s="228">
        <v>200</v>
      </c>
      <c r="F2693" s="585">
        <f t="shared" si="376"/>
        <v>1657.8</v>
      </c>
      <c r="G2693" s="592" t="s">
        <v>9296</v>
      </c>
      <c r="H2693" s="651" t="s">
        <v>7528</v>
      </c>
      <c r="I2693" s="520" t="s">
        <v>11649</v>
      </c>
      <c r="J2693" s="589" t="s">
        <v>753</v>
      </c>
      <c r="K2693" s="520" t="s">
        <v>741</v>
      </c>
    </row>
    <row r="2694" spans="1:15" s="194" customFormat="1">
      <c r="A2694" s="589"/>
      <c r="B2694" s="902" t="s">
        <v>7529</v>
      </c>
      <c r="C2694" s="209">
        <v>6096</v>
      </c>
      <c r="D2694" s="244">
        <f t="shared" si="375"/>
        <v>1480.8718918208954</v>
      </c>
      <c r="E2694" s="228">
        <v>200</v>
      </c>
      <c r="F2694" s="585">
        <f t="shared" si="376"/>
        <v>1680.8999999999999</v>
      </c>
      <c r="G2694" s="592" t="s">
        <v>9297</v>
      </c>
      <c r="H2694" s="651" t="s">
        <v>7530</v>
      </c>
      <c r="I2694" s="520" t="s">
        <v>11649</v>
      </c>
      <c r="J2694" s="589" t="s">
        <v>753</v>
      </c>
      <c r="K2694" s="520" t="s">
        <v>741</v>
      </c>
    </row>
    <row r="2695" spans="1:15" s="194" customFormat="1">
      <c r="A2695" s="589"/>
      <c r="B2695" s="902" t="s">
        <v>7531</v>
      </c>
      <c r="C2695" s="209">
        <v>6628</v>
      </c>
      <c r="D2695" s="244">
        <f t="shared" si="375"/>
        <v>1610.1080871044774</v>
      </c>
      <c r="E2695" s="228">
        <v>200</v>
      </c>
      <c r="F2695" s="585">
        <f t="shared" si="376"/>
        <v>1810.1999999999998</v>
      </c>
      <c r="G2695" s="592" t="s">
        <v>9298</v>
      </c>
      <c r="H2695" s="651" t="s">
        <v>7532</v>
      </c>
      <c r="I2695" s="520" t="s">
        <v>11649</v>
      </c>
      <c r="J2695" s="589" t="s">
        <v>753</v>
      </c>
      <c r="K2695" s="520" t="s">
        <v>741</v>
      </c>
    </row>
    <row r="2696" spans="1:15" s="194" customFormat="1">
      <c r="A2696" s="589"/>
      <c r="B2696" s="902"/>
      <c r="C2696" s="209" t="s">
        <v>2058</v>
      </c>
      <c r="D2696" s="244"/>
      <c r="E2696" s="228"/>
      <c r="F2696" s="585"/>
      <c r="G2696" s="592"/>
      <c r="H2696" s="651"/>
      <c r="I2696" s="520" t="s">
        <v>2058</v>
      </c>
      <c r="J2696" s="589"/>
      <c r="K2696" s="520"/>
    </row>
    <row r="2697" spans="1:15" s="196" customFormat="1">
      <c r="A2697" s="589"/>
      <c r="B2697" s="1647"/>
      <c r="C2697" s="1180" t="s">
        <v>2058</v>
      </c>
      <c r="D2697" s="244"/>
      <c r="E2697" s="228"/>
      <c r="F2697" s="585"/>
      <c r="G2697" s="592"/>
      <c r="H2697" s="1647"/>
      <c r="I2697" s="520" t="s">
        <v>2058</v>
      </c>
      <c r="J2697" s="589"/>
      <c r="K2697" s="520"/>
      <c r="L2697" s="203"/>
      <c r="M2697" s="203"/>
      <c r="N2697" s="203"/>
      <c r="O2697" s="203"/>
    </row>
    <row r="2698" spans="1:15" s="196" customFormat="1">
      <c r="A2698" s="589"/>
      <c r="B2698" s="1681" t="s">
        <v>6055</v>
      </c>
      <c r="C2698" s="1180" t="s">
        <v>2058</v>
      </c>
      <c r="D2698" s="244"/>
      <c r="E2698" s="228"/>
      <c r="F2698" s="585"/>
      <c r="G2698" s="592"/>
      <c r="H2698" s="1647"/>
      <c r="I2698" s="520"/>
      <c r="J2698" s="589"/>
      <c r="K2698" s="520"/>
      <c r="L2698" s="203"/>
      <c r="M2698" s="203"/>
      <c r="N2698" s="203"/>
      <c r="O2698" s="203"/>
    </row>
    <row r="2699" spans="1:15" s="194" customFormat="1">
      <c r="A2699" s="589"/>
      <c r="B2699" s="902" t="s">
        <v>6056</v>
      </c>
      <c r="C2699" s="209">
        <v>74</v>
      </c>
      <c r="D2699" s="244">
        <f>C2699*(1-VLOOKUP(I2699,descuentos,6,FALSE))*fcl/IF(dol_sol="dólar", TC,1)</f>
        <v>17.976463253731342</v>
      </c>
      <c r="E2699" s="228">
        <v>2</v>
      </c>
      <c r="F2699" s="585">
        <f>ROUNDUP(D2699+E2699,1)</f>
        <v>20</v>
      </c>
      <c r="G2699" s="592" t="s">
        <v>6057</v>
      </c>
      <c r="H2699" s="651" t="s">
        <v>6058</v>
      </c>
      <c r="I2699" s="520" t="s">
        <v>11649</v>
      </c>
      <c r="J2699" s="589" t="s">
        <v>753</v>
      </c>
      <c r="K2699" s="520" t="s">
        <v>741</v>
      </c>
    </row>
    <row r="2700" spans="1:15" s="196" customFormat="1">
      <c r="A2700" s="589"/>
      <c r="B2700" s="902" t="s">
        <v>6059</v>
      </c>
      <c r="C2700" s="209">
        <v>88</v>
      </c>
      <c r="D2700" s="244">
        <f>C2700*(1-VLOOKUP(I2700,descuentos,6,FALSE))*fcl/IF(dol_sol="dólar", TC,1)</f>
        <v>21.37741576119403</v>
      </c>
      <c r="E2700" s="228">
        <v>10</v>
      </c>
      <c r="F2700" s="585">
        <f>ROUNDUP(D2700+E2700,1)</f>
        <v>31.400000000000002</v>
      </c>
      <c r="G2700" s="592" t="s">
        <v>6060</v>
      </c>
      <c r="H2700" s="651" t="s">
        <v>6061</v>
      </c>
      <c r="I2700" s="520" t="s">
        <v>11649</v>
      </c>
      <c r="J2700" s="589" t="s">
        <v>753</v>
      </c>
      <c r="K2700" s="520" t="s">
        <v>741</v>
      </c>
    </row>
    <row r="2701" spans="1:15" s="194" customFormat="1">
      <c r="A2701" s="589"/>
      <c r="B2701" s="902"/>
      <c r="C2701" s="209" t="s">
        <v>2058</v>
      </c>
      <c r="D2701" s="244"/>
      <c r="E2701" s="228"/>
      <c r="F2701" s="585"/>
      <c r="G2701" s="592"/>
      <c r="H2701" s="592"/>
      <c r="I2701" s="520"/>
      <c r="J2701" s="589"/>
      <c r="K2701" s="520"/>
    </row>
    <row r="2702" spans="1:15" s="196" customFormat="1">
      <c r="A2702" s="589"/>
      <c r="B2702" s="1647"/>
      <c r="C2702" s="1180" t="s">
        <v>2058</v>
      </c>
      <c r="D2702" s="244"/>
      <c r="E2702" s="228"/>
      <c r="F2702" s="585"/>
      <c r="G2702" s="592"/>
      <c r="H2702" s="1647"/>
      <c r="I2702" s="520"/>
      <c r="J2702" s="589"/>
      <c r="K2702" s="520"/>
      <c r="L2702" s="203"/>
      <c r="M2702" s="203"/>
      <c r="N2702" s="203"/>
      <c r="O2702" s="203"/>
    </row>
    <row r="2703" spans="1:15" s="196" customFormat="1">
      <c r="A2703" s="589"/>
      <c r="B2703" s="1683" t="s">
        <v>7533</v>
      </c>
      <c r="C2703" s="1684" t="s">
        <v>2058</v>
      </c>
      <c r="D2703" s="1685"/>
      <c r="E2703" s="228"/>
      <c r="F2703" s="585"/>
      <c r="G2703" s="592"/>
      <c r="H2703" s="1647"/>
      <c r="I2703" s="520"/>
      <c r="J2703" s="589"/>
      <c r="K2703" s="520"/>
      <c r="L2703" s="203"/>
      <c r="M2703" s="203"/>
      <c r="N2703" s="203"/>
      <c r="O2703" s="203"/>
    </row>
    <row r="2704" spans="1:15" s="196" customFormat="1">
      <c r="A2704" s="589"/>
      <c r="B2704" s="1683"/>
      <c r="C2704" s="1684" t="s">
        <v>2058</v>
      </c>
      <c r="D2704" s="1685"/>
      <c r="E2704" s="228"/>
      <c r="F2704" s="585"/>
      <c r="G2704" s="592"/>
      <c r="H2704" s="1647"/>
      <c r="I2704" s="520"/>
      <c r="J2704" s="589"/>
      <c r="K2704" s="520"/>
      <c r="L2704" s="203"/>
      <c r="M2704" s="203"/>
      <c r="N2704" s="203"/>
      <c r="O2704" s="203"/>
    </row>
    <row r="2705" spans="1:11" s="196" customFormat="1">
      <c r="A2705" s="1651"/>
      <c r="B2705" s="902" t="s">
        <v>6072</v>
      </c>
      <c r="C2705" s="1686">
        <v>1364.5</v>
      </c>
      <c r="D2705" s="244">
        <f t="shared" ref="D2705:D2713" si="377">C2705*(1-VLOOKUP(I2705,descuentos,6,FALSE))*fcl/IF(dol_sol="dólar", TC,1)</f>
        <v>331.47140688805968</v>
      </c>
      <c r="E2705" s="228">
        <v>5</v>
      </c>
      <c r="F2705" s="1838">
        <f>ROUNDUP(D2705+E2705,2)</f>
        <v>336.48</v>
      </c>
      <c r="G2705" s="592" t="s">
        <v>9299</v>
      </c>
      <c r="H2705" s="150" t="s">
        <v>6072</v>
      </c>
      <c r="I2705" s="520" t="s">
        <v>11650</v>
      </c>
      <c r="J2705" s="589" t="s">
        <v>753</v>
      </c>
      <c r="K2705" s="520" t="s">
        <v>741</v>
      </c>
    </row>
    <row r="2706" spans="1:11" s="196" customFormat="1">
      <c r="A2706" s="1651"/>
      <c r="B2706" s="902" t="s">
        <v>6071</v>
      </c>
      <c r="C2706" s="1686">
        <v>1756.6</v>
      </c>
      <c r="D2706" s="244">
        <f t="shared" si="377"/>
        <v>426.72236961492536</v>
      </c>
      <c r="E2706" s="228">
        <v>5</v>
      </c>
      <c r="F2706" s="1838">
        <f>ROUNDUP(D2706+E2706,2)</f>
        <v>431.73</v>
      </c>
      <c r="G2706" s="592" t="s">
        <v>9300</v>
      </c>
      <c r="H2706" s="150" t="s">
        <v>6071</v>
      </c>
      <c r="I2706" s="520" t="s">
        <v>11650</v>
      </c>
      <c r="J2706" s="589" t="s">
        <v>753</v>
      </c>
      <c r="K2706" s="520" t="s">
        <v>741</v>
      </c>
    </row>
    <row r="2707" spans="1:11" s="196" customFormat="1">
      <c r="A2707" s="1651"/>
      <c r="B2707" s="902" t="s">
        <v>6070</v>
      </c>
      <c r="C2707" s="1686">
        <v>1485.1999999999998</v>
      </c>
      <c r="D2707" s="244">
        <f t="shared" si="377"/>
        <v>360.79247600597012</v>
      </c>
      <c r="E2707" s="228">
        <v>5</v>
      </c>
      <c r="F2707" s="1838">
        <f>ROUNDUP(D2707+E2707,2)</f>
        <v>365.8</v>
      </c>
      <c r="G2707" s="592" t="s">
        <v>9301</v>
      </c>
      <c r="H2707" s="150" t="s">
        <v>6070</v>
      </c>
      <c r="I2707" s="520" t="s">
        <v>11650</v>
      </c>
      <c r="J2707" s="589" t="s">
        <v>753</v>
      </c>
      <c r="K2707" s="520" t="s">
        <v>741</v>
      </c>
    </row>
    <row r="2708" spans="1:11" s="196" customFormat="1">
      <c r="A2708" s="1651"/>
      <c r="B2708" s="902" t="s">
        <v>6069</v>
      </c>
      <c r="C2708" s="1686">
        <v>1591.2</v>
      </c>
      <c r="D2708" s="244">
        <f t="shared" si="377"/>
        <v>386.54254499104474</v>
      </c>
      <c r="E2708" s="228">
        <v>5</v>
      </c>
      <c r="F2708" s="1838">
        <f t="shared" ref="F2708:F2720" si="378">ROUNDUP(D2708+E2708,2)</f>
        <v>391.55</v>
      </c>
      <c r="G2708" s="592" t="s">
        <v>9302</v>
      </c>
      <c r="H2708" s="150" t="s">
        <v>6069</v>
      </c>
      <c r="I2708" s="520" t="s">
        <v>11650</v>
      </c>
      <c r="J2708" s="589" t="s">
        <v>753</v>
      </c>
      <c r="K2708" s="520" t="s">
        <v>741</v>
      </c>
    </row>
    <row r="2709" spans="1:11" s="196" customFormat="1">
      <c r="A2709" s="1651"/>
      <c r="B2709" s="902" t="s">
        <v>6068</v>
      </c>
      <c r="C2709" s="1686">
        <v>956.8</v>
      </c>
      <c r="D2709" s="244">
        <f t="shared" si="377"/>
        <v>232.43081136716413</v>
      </c>
      <c r="E2709" s="228">
        <v>5</v>
      </c>
      <c r="F2709" s="1838">
        <f t="shared" si="378"/>
        <v>237.44</v>
      </c>
      <c r="G2709" s="592" t="s">
        <v>9303</v>
      </c>
      <c r="H2709" s="150" t="s">
        <v>6068</v>
      </c>
      <c r="I2709" s="520" t="s">
        <v>11650</v>
      </c>
      <c r="J2709" s="589" t="s">
        <v>753</v>
      </c>
      <c r="K2709" s="520" t="s">
        <v>741</v>
      </c>
    </row>
    <row r="2710" spans="1:11" s="196" customFormat="1">
      <c r="A2710" s="1651"/>
      <c r="B2710" s="902" t="s">
        <v>7545</v>
      </c>
      <c r="C2710" s="1686">
        <v>1472</v>
      </c>
      <c r="D2710" s="244">
        <f t="shared" si="377"/>
        <v>357.58586364179098</v>
      </c>
      <c r="E2710" s="228">
        <v>5</v>
      </c>
      <c r="F2710" s="1838">
        <f t="shared" si="378"/>
        <v>362.59</v>
      </c>
      <c r="G2710" s="592" t="s">
        <v>9304</v>
      </c>
      <c r="H2710" s="150" t="s">
        <v>7545</v>
      </c>
      <c r="I2710" s="520" t="s">
        <v>11650</v>
      </c>
      <c r="J2710" s="589" t="s">
        <v>753</v>
      </c>
      <c r="K2710" s="520" t="s">
        <v>741</v>
      </c>
    </row>
    <row r="2711" spans="1:11" s="196" customFormat="1">
      <c r="A2711" s="1651"/>
      <c r="B2711" s="902" t="s">
        <v>7544</v>
      </c>
      <c r="C2711" s="1686">
        <v>1226</v>
      </c>
      <c r="D2711" s="244">
        <f t="shared" si="377"/>
        <v>297.82626958208954</v>
      </c>
      <c r="E2711" s="228">
        <v>5</v>
      </c>
      <c r="F2711" s="1838">
        <f t="shared" si="378"/>
        <v>302.83</v>
      </c>
      <c r="G2711" s="592" t="s">
        <v>9305</v>
      </c>
      <c r="H2711" s="150" t="s">
        <v>7544</v>
      </c>
      <c r="I2711" s="520" t="s">
        <v>11650</v>
      </c>
      <c r="J2711" s="589" t="s">
        <v>753</v>
      </c>
      <c r="K2711" s="520" t="s">
        <v>741</v>
      </c>
    </row>
    <row r="2712" spans="1:11" s="196" customFormat="1">
      <c r="A2712" s="1651"/>
      <c r="B2712" s="902" t="s">
        <v>7543</v>
      </c>
      <c r="C2712" s="1686">
        <v>769</v>
      </c>
      <c r="D2712" s="244">
        <f t="shared" si="377"/>
        <v>186.80946273134327</v>
      </c>
      <c r="E2712" s="228">
        <v>5</v>
      </c>
      <c r="F2712" s="1838">
        <f t="shared" si="378"/>
        <v>191.81</v>
      </c>
      <c r="G2712" s="592" t="s">
        <v>9306</v>
      </c>
      <c r="H2712" s="150" t="s">
        <v>7543</v>
      </c>
      <c r="I2712" s="520" t="s">
        <v>11650</v>
      </c>
      <c r="J2712" s="589" t="s">
        <v>753</v>
      </c>
      <c r="K2712" s="520" t="s">
        <v>741</v>
      </c>
    </row>
    <row r="2713" spans="1:11" s="196" customFormat="1">
      <c r="A2713" s="1651"/>
      <c r="B2713" s="902" t="s">
        <v>7542</v>
      </c>
      <c r="C2713" s="1686">
        <v>899</v>
      </c>
      <c r="D2713" s="244">
        <f t="shared" si="377"/>
        <v>218.38973601492538</v>
      </c>
      <c r="E2713" s="228">
        <v>5</v>
      </c>
      <c r="F2713" s="1838">
        <f t="shared" si="378"/>
        <v>223.39</v>
      </c>
      <c r="G2713" s="592" t="s">
        <v>9307</v>
      </c>
      <c r="H2713" s="150" t="s">
        <v>7542</v>
      </c>
      <c r="I2713" s="520" t="s">
        <v>11650</v>
      </c>
      <c r="J2713" s="589" t="s">
        <v>753</v>
      </c>
      <c r="K2713" s="520" t="s">
        <v>741</v>
      </c>
    </row>
    <row r="2714" spans="1:11" s="196" customFormat="1">
      <c r="A2714" s="1651"/>
      <c r="B2714" s="902" t="s">
        <v>7541</v>
      </c>
      <c r="C2714" s="1686">
        <v>845</v>
      </c>
      <c r="D2714" s="244">
        <f t="shared" ref="D2714:D2720" si="379">C2714*(1-VLOOKUP(I2714,descuentos,6,FALSE))*fcl/IF(dol_sol="dólar", TC,1)</f>
        <v>205.27177634328353</v>
      </c>
      <c r="E2714" s="228">
        <v>5</v>
      </c>
      <c r="F2714" s="1838">
        <f t="shared" si="378"/>
        <v>210.28</v>
      </c>
      <c r="G2714" s="592" t="s">
        <v>9308</v>
      </c>
      <c r="H2714" s="150" t="s">
        <v>7541</v>
      </c>
      <c r="I2714" s="520" t="s">
        <v>11650</v>
      </c>
      <c r="J2714" s="589" t="s">
        <v>753</v>
      </c>
      <c r="K2714" s="520" t="s">
        <v>741</v>
      </c>
    </row>
    <row r="2715" spans="1:11" s="196" customFormat="1">
      <c r="A2715" s="1651"/>
      <c r="B2715" s="902" t="s">
        <v>7540</v>
      </c>
      <c r="C2715" s="1686">
        <v>845</v>
      </c>
      <c r="D2715" s="244">
        <f t="shared" si="379"/>
        <v>205.27177634328353</v>
      </c>
      <c r="E2715" s="228">
        <v>5</v>
      </c>
      <c r="F2715" s="1838">
        <f t="shared" si="378"/>
        <v>210.28</v>
      </c>
      <c r="G2715" s="592" t="s">
        <v>9309</v>
      </c>
      <c r="H2715" s="150" t="s">
        <v>7540</v>
      </c>
      <c r="I2715" s="520" t="s">
        <v>11650</v>
      </c>
      <c r="J2715" s="589" t="s">
        <v>753</v>
      </c>
      <c r="K2715" s="520" t="s">
        <v>741</v>
      </c>
    </row>
    <row r="2716" spans="1:11" s="196" customFormat="1">
      <c r="A2716" s="1651"/>
      <c r="B2716" s="902" t="s">
        <v>7539</v>
      </c>
      <c r="C2716" s="1686">
        <v>704</v>
      </c>
      <c r="D2716" s="244">
        <f t="shared" si="379"/>
        <v>171.01932608955224</v>
      </c>
      <c r="E2716" s="228">
        <v>5</v>
      </c>
      <c r="F2716" s="1838">
        <f t="shared" si="378"/>
        <v>176.01999999999998</v>
      </c>
      <c r="G2716" s="592" t="s">
        <v>9310</v>
      </c>
      <c r="H2716" s="150" t="s">
        <v>7539</v>
      </c>
      <c r="I2716" s="520" t="s">
        <v>11650</v>
      </c>
      <c r="J2716" s="589" t="s">
        <v>753</v>
      </c>
      <c r="K2716" s="520" t="s">
        <v>741</v>
      </c>
    </row>
    <row r="2717" spans="1:11" s="196" customFormat="1">
      <c r="A2717" s="1651"/>
      <c r="B2717" s="902" t="s">
        <v>7538</v>
      </c>
      <c r="C2717" s="1686">
        <v>481</v>
      </c>
      <c r="D2717" s="244">
        <f t="shared" si="379"/>
        <v>116.84701114925372</v>
      </c>
      <c r="E2717" s="228">
        <v>5</v>
      </c>
      <c r="F2717" s="1838">
        <f t="shared" si="378"/>
        <v>121.85000000000001</v>
      </c>
      <c r="G2717" s="592" t="s">
        <v>9311</v>
      </c>
      <c r="H2717" s="150" t="s">
        <v>7538</v>
      </c>
      <c r="I2717" s="520" t="s">
        <v>11650</v>
      </c>
      <c r="J2717" s="589" t="s">
        <v>753</v>
      </c>
      <c r="K2717" s="520" t="s">
        <v>741</v>
      </c>
    </row>
    <row r="2718" spans="1:11" s="196" customFormat="1">
      <c r="A2718" s="1651"/>
      <c r="B2718" s="902" t="s">
        <v>6067</v>
      </c>
      <c r="C2718" s="1686">
        <v>600.1</v>
      </c>
      <c r="D2718" s="244">
        <f t="shared" si="379"/>
        <v>145.77939998059702</v>
      </c>
      <c r="E2718" s="228">
        <v>5</v>
      </c>
      <c r="F2718" s="1838">
        <f t="shared" si="378"/>
        <v>150.78</v>
      </c>
      <c r="G2718" s="592" t="s">
        <v>9312</v>
      </c>
      <c r="H2718" s="150" t="s">
        <v>6067</v>
      </c>
      <c r="I2718" s="520" t="s">
        <v>11650</v>
      </c>
      <c r="J2718" s="589" t="s">
        <v>753</v>
      </c>
      <c r="K2718" s="520" t="s">
        <v>741</v>
      </c>
    </row>
    <row r="2719" spans="1:11" s="196" customFormat="1">
      <c r="A2719" s="1651"/>
      <c r="B2719" s="902" t="s">
        <v>6066</v>
      </c>
      <c r="C2719" s="1686">
        <v>395.2</v>
      </c>
      <c r="D2719" s="244">
        <f t="shared" si="379"/>
        <v>96.004030782089544</v>
      </c>
      <c r="E2719" s="228">
        <v>5</v>
      </c>
      <c r="F2719" s="1838">
        <f t="shared" si="378"/>
        <v>101.01</v>
      </c>
      <c r="G2719" s="592" t="s">
        <v>9313</v>
      </c>
      <c r="H2719" s="150" t="s">
        <v>6066</v>
      </c>
      <c r="I2719" s="520" t="s">
        <v>11650</v>
      </c>
      <c r="J2719" s="589" t="s">
        <v>753</v>
      </c>
      <c r="K2719" s="520" t="s">
        <v>741</v>
      </c>
    </row>
    <row r="2720" spans="1:11" s="196" customFormat="1">
      <c r="A2720" s="1651"/>
      <c r="B2720" s="902" t="s">
        <v>7537</v>
      </c>
      <c r="C2720" s="1686">
        <v>518</v>
      </c>
      <c r="D2720" s="244">
        <f t="shared" si="379"/>
        <v>125.83524277611939</v>
      </c>
      <c r="E2720" s="228">
        <v>5</v>
      </c>
      <c r="F2720" s="1838">
        <f t="shared" si="378"/>
        <v>130.84</v>
      </c>
      <c r="G2720" s="592" t="s">
        <v>9314</v>
      </c>
      <c r="H2720" s="150" t="s">
        <v>7537</v>
      </c>
      <c r="I2720" s="520" t="s">
        <v>11650</v>
      </c>
      <c r="J2720" s="589" t="s">
        <v>753</v>
      </c>
      <c r="K2720" s="520" t="s">
        <v>741</v>
      </c>
    </row>
    <row r="2721" spans="1:15" s="196" customFormat="1">
      <c r="A2721" s="1651"/>
      <c r="B2721" s="902" t="s">
        <v>7536</v>
      </c>
      <c r="C2721" s="1686">
        <v>676</v>
      </c>
      <c r="D2721" s="244">
        <f t="shared" ref="D2721:D2727" si="380">C2721*(1-VLOOKUP(I2721,descuentos,6,FALSE))*fcl/IF(dol_sol="dólar", TC,1)</f>
        <v>164.21742107462686</v>
      </c>
      <c r="E2721" s="228">
        <v>5</v>
      </c>
      <c r="F2721" s="1838">
        <f>ROUNDUP(D2721+E2721,2)</f>
        <v>169.22</v>
      </c>
      <c r="G2721" s="592" t="s">
        <v>9315</v>
      </c>
      <c r="H2721" s="150" t="s">
        <v>7536</v>
      </c>
      <c r="I2721" s="520" t="s">
        <v>11650</v>
      </c>
      <c r="J2721" s="589" t="s">
        <v>753</v>
      </c>
      <c r="K2721" s="520" t="s">
        <v>741</v>
      </c>
    </row>
    <row r="2722" spans="1:15" s="196" customFormat="1">
      <c r="A2722" s="1651"/>
      <c r="B2722" s="902" t="s">
        <v>6065</v>
      </c>
      <c r="C2722" s="1686">
        <v>498.20000000000005</v>
      </c>
      <c r="D2722" s="244">
        <f t="shared" si="380"/>
        <v>121.02532422985075</v>
      </c>
      <c r="E2722" s="228">
        <v>5</v>
      </c>
      <c r="F2722" s="1838">
        <f t="shared" ref="F2722:F2727" si="381">ROUNDUP(D2722+E2722,2)</f>
        <v>126.03</v>
      </c>
      <c r="G2722" s="592" t="s">
        <v>9316</v>
      </c>
      <c r="H2722" s="150" t="s">
        <v>6065</v>
      </c>
      <c r="I2722" s="520" t="s">
        <v>11650</v>
      </c>
      <c r="J2722" s="589" t="s">
        <v>753</v>
      </c>
      <c r="K2722" s="520" t="s">
        <v>741</v>
      </c>
    </row>
    <row r="2723" spans="1:15" s="196" customFormat="1">
      <c r="A2723" s="1651"/>
      <c r="B2723" s="902" t="s">
        <v>6064</v>
      </c>
      <c r="C2723" s="1686">
        <v>322.39999999999998</v>
      </c>
      <c r="D2723" s="244">
        <f t="shared" si="380"/>
        <v>78.319077743283572</v>
      </c>
      <c r="E2723" s="228">
        <v>5</v>
      </c>
      <c r="F2723" s="1838">
        <f t="shared" si="381"/>
        <v>83.320000000000007</v>
      </c>
      <c r="G2723" s="592" t="s">
        <v>9317</v>
      </c>
      <c r="H2723" s="150" t="s">
        <v>6064</v>
      </c>
      <c r="I2723" s="520" t="s">
        <v>11650</v>
      </c>
      <c r="J2723" s="589" t="s">
        <v>753</v>
      </c>
      <c r="K2723" s="520" t="s">
        <v>741</v>
      </c>
    </row>
    <row r="2724" spans="1:15" s="196" customFormat="1">
      <c r="A2724" s="1651"/>
      <c r="B2724" s="902" t="s">
        <v>7535</v>
      </c>
      <c r="C2724" s="1686">
        <v>435</v>
      </c>
      <c r="D2724" s="244">
        <f t="shared" si="380"/>
        <v>105.67245291044776</v>
      </c>
      <c r="E2724" s="228">
        <v>5</v>
      </c>
      <c r="F2724" s="1838">
        <f t="shared" si="381"/>
        <v>110.68</v>
      </c>
      <c r="G2724" s="592" t="s">
        <v>9318</v>
      </c>
      <c r="H2724" s="150" t="s">
        <v>7535</v>
      </c>
      <c r="I2724" s="520" t="s">
        <v>11650</v>
      </c>
      <c r="J2724" s="589" t="s">
        <v>753</v>
      </c>
      <c r="K2724" s="520" t="s">
        <v>741</v>
      </c>
    </row>
    <row r="2725" spans="1:15" s="196" customFormat="1">
      <c r="A2725" s="1651"/>
      <c r="B2725" s="902" t="s">
        <v>6063</v>
      </c>
      <c r="C2725" s="1686">
        <v>425.40000000000003</v>
      </c>
      <c r="D2725" s="244">
        <f t="shared" si="380"/>
        <v>103.34037119104477</v>
      </c>
      <c r="E2725" s="228">
        <v>5</v>
      </c>
      <c r="F2725" s="1838">
        <f t="shared" si="381"/>
        <v>108.35000000000001</v>
      </c>
      <c r="G2725" s="592" t="s">
        <v>9319</v>
      </c>
      <c r="H2725" s="150" t="s">
        <v>6063</v>
      </c>
      <c r="I2725" s="520" t="s">
        <v>11650</v>
      </c>
      <c r="J2725" s="589" t="s">
        <v>753</v>
      </c>
      <c r="K2725" s="520" t="s">
        <v>741</v>
      </c>
    </row>
    <row r="2726" spans="1:15" s="196" customFormat="1">
      <c r="A2726" s="1651"/>
      <c r="B2726" s="902" t="s">
        <v>7534</v>
      </c>
      <c r="C2726" s="1686">
        <v>386</v>
      </c>
      <c r="D2726" s="244">
        <f t="shared" si="380"/>
        <v>93.769119134328349</v>
      </c>
      <c r="E2726" s="228">
        <v>5</v>
      </c>
      <c r="F2726" s="1838">
        <f t="shared" si="381"/>
        <v>98.77000000000001</v>
      </c>
      <c r="G2726" s="592" t="s">
        <v>9320</v>
      </c>
      <c r="H2726" s="150" t="s">
        <v>7534</v>
      </c>
      <c r="I2726" s="520" t="s">
        <v>11650</v>
      </c>
      <c r="J2726" s="589" t="s">
        <v>753</v>
      </c>
      <c r="K2726" s="520" t="s">
        <v>741</v>
      </c>
    </row>
    <row r="2727" spans="1:15" s="196" customFormat="1">
      <c r="A2727" s="1651"/>
      <c r="B2727" s="902" t="s">
        <v>6062</v>
      </c>
      <c r="C2727" s="1686">
        <v>235.1</v>
      </c>
      <c r="D2727" s="244">
        <f t="shared" si="380"/>
        <v>57.111709607462679</v>
      </c>
      <c r="E2727" s="228">
        <v>5</v>
      </c>
      <c r="F2727" s="1838">
        <f t="shared" si="381"/>
        <v>62.12</v>
      </c>
      <c r="G2727" s="592" t="s">
        <v>9321</v>
      </c>
      <c r="H2727" s="150" t="s">
        <v>6062</v>
      </c>
      <c r="I2727" s="520" t="s">
        <v>11650</v>
      </c>
      <c r="J2727" s="589" t="s">
        <v>753</v>
      </c>
      <c r="K2727" s="520" t="s">
        <v>741</v>
      </c>
    </row>
    <row r="2728" spans="1:15" s="196" customFormat="1">
      <c r="A2728" s="589"/>
      <c r="B2728" s="902"/>
      <c r="C2728" s="209" t="s">
        <v>2058</v>
      </c>
      <c r="D2728" s="244"/>
      <c r="E2728" s="228"/>
      <c r="F2728" s="585"/>
      <c r="G2728" s="592"/>
      <c r="H2728" s="651"/>
      <c r="I2728" s="520"/>
      <c r="J2728" s="589"/>
      <c r="K2728" s="520"/>
    </row>
    <row r="2729" spans="1:15" s="196" customFormat="1">
      <c r="A2729" s="589"/>
      <c r="B2729" s="1683" t="s">
        <v>7546</v>
      </c>
      <c r="C2729" s="1684" t="s">
        <v>2058</v>
      </c>
      <c r="D2729" s="1685"/>
      <c r="E2729" s="228"/>
      <c r="F2729" s="585"/>
      <c r="G2729" s="592"/>
      <c r="H2729" s="1647"/>
      <c r="I2729" s="520"/>
      <c r="J2729" s="589"/>
      <c r="K2729" s="520"/>
      <c r="L2729" s="203"/>
      <c r="M2729" s="203"/>
      <c r="N2729" s="203"/>
      <c r="O2729" s="203"/>
    </row>
    <row r="2730" spans="1:15" s="196" customFormat="1">
      <c r="A2730" s="589"/>
      <c r="B2730" s="1683"/>
      <c r="C2730" s="1684" t="s">
        <v>2058</v>
      </c>
      <c r="D2730" s="1685"/>
      <c r="E2730" s="228"/>
      <c r="F2730" s="585"/>
      <c r="G2730" s="592"/>
      <c r="H2730" s="1647"/>
      <c r="I2730" s="520"/>
      <c r="J2730" s="589"/>
      <c r="K2730" s="520"/>
      <c r="L2730" s="203"/>
      <c r="M2730" s="203"/>
      <c r="N2730" s="203"/>
      <c r="O2730" s="203"/>
    </row>
    <row r="2731" spans="1:15" s="196" customFormat="1">
      <c r="A2731" s="589"/>
      <c r="B2731" s="902" t="s">
        <v>7547</v>
      </c>
      <c r="C2731" s="1686">
        <v>727</v>
      </c>
      <c r="D2731" s="244">
        <f t="shared" ref="D2731:D2736" si="382">C2731*(1-VLOOKUP(I2731,descuentos,6,FALSE))*fcl/IF(dol_sol="dólar", TC,1)</f>
        <v>176.60660520895522</v>
      </c>
      <c r="E2731" s="228">
        <v>5</v>
      </c>
      <c r="F2731" s="585">
        <f t="shared" ref="F2731:F2743" si="383">ROUNDUP(D2731+E2731,2)</f>
        <v>181.60999999999999</v>
      </c>
      <c r="G2731" s="592" t="s">
        <v>7548</v>
      </c>
      <c r="H2731" s="651" t="s">
        <v>7549</v>
      </c>
      <c r="I2731" s="520" t="s">
        <v>11650</v>
      </c>
      <c r="J2731" s="589" t="s">
        <v>753</v>
      </c>
      <c r="K2731" s="520" t="s">
        <v>741</v>
      </c>
    </row>
    <row r="2732" spans="1:15" s="196" customFormat="1">
      <c r="A2732" s="589"/>
      <c r="B2732" s="902" t="s">
        <v>7550</v>
      </c>
      <c r="C2732" s="1686">
        <v>761</v>
      </c>
      <c r="D2732" s="244">
        <f t="shared" si="382"/>
        <v>184.86606129850745</v>
      </c>
      <c r="E2732" s="228">
        <v>5</v>
      </c>
      <c r="F2732" s="585">
        <f t="shared" si="383"/>
        <v>189.87</v>
      </c>
      <c r="G2732" s="592" t="s">
        <v>7551</v>
      </c>
      <c r="H2732" s="651" t="s">
        <v>7552</v>
      </c>
      <c r="I2732" s="520" t="s">
        <v>11650</v>
      </c>
      <c r="J2732" s="589" t="s">
        <v>753</v>
      </c>
      <c r="K2732" s="520" t="s">
        <v>741</v>
      </c>
    </row>
    <row r="2733" spans="1:15" s="196" customFormat="1">
      <c r="A2733" s="589"/>
      <c r="B2733" s="902" t="s">
        <v>7553</v>
      </c>
      <c r="C2733" s="1686">
        <v>873</v>
      </c>
      <c r="D2733" s="244">
        <f t="shared" si="382"/>
        <v>212.07368135820894</v>
      </c>
      <c r="E2733" s="228">
        <v>5</v>
      </c>
      <c r="F2733" s="585">
        <f t="shared" si="383"/>
        <v>217.07999999999998</v>
      </c>
      <c r="G2733" s="592" t="s">
        <v>7554</v>
      </c>
      <c r="H2733" s="651" t="s">
        <v>7555</v>
      </c>
      <c r="I2733" s="520" t="s">
        <v>11650</v>
      </c>
      <c r="J2733" s="589" t="s">
        <v>753</v>
      </c>
      <c r="K2733" s="520" t="s">
        <v>741</v>
      </c>
    </row>
    <row r="2734" spans="1:15" s="196" customFormat="1">
      <c r="A2734" s="589"/>
      <c r="B2734" s="902" t="s">
        <v>7556</v>
      </c>
      <c r="C2734" s="1686">
        <v>926</v>
      </c>
      <c r="D2734" s="244">
        <f t="shared" si="382"/>
        <v>224.94871585074623</v>
      </c>
      <c r="E2734" s="228">
        <v>5</v>
      </c>
      <c r="F2734" s="585">
        <f t="shared" si="383"/>
        <v>229.95</v>
      </c>
      <c r="G2734" s="592" t="s">
        <v>7557</v>
      </c>
      <c r="H2734" s="651" t="s">
        <v>7558</v>
      </c>
      <c r="I2734" s="520" t="s">
        <v>11650</v>
      </c>
      <c r="J2734" s="589" t="s">
        <v>753</v>
      </c>
      <c r="K2734" s="520" t="s">
        <v>741</v>
      </c>
    </row>
    <row r="2735" spans="1:15" s="196" customFormat="1">
      <c r="A2735" s="589"/>
      <c r="B2735" s="902" t="s">
        <v>7559</v>
      </c>
      <c r="C2735" s="1686">
        <v>1076</v>
      </c>
      <c r="D2735" s="244">
        <f t="shared" si="382"/>
        <v>261.38749271641791</v>
      </c>
      <c r="E2735" s="228">
        <v>5</v>
      </c>
      <c r="F2735" s="585">
        <f t="shared" si="383"/>
        <v>266.39</v>
      </c>
      <c r="G2735" s="592" t="s">
        <v>7560</v>
      </c>
      <c r="H2735" s="651" t="s">
        <v>7561</v>
      </c>
      <c r="I2735" s="520" t="s">
        <v>11650</v>
      </c>
      <c r="J2735" s="589" t="s">
        <v>753</v>
      </c>
      <c r="K2735" s="520" t="s">
        <v>741</v>
      </c>
    </row>
    <row r="2736" spans="1:15" s="196" customFormat="1">
      <c r="A2736" s="589"/>
      <c r="B2736" s="902" t="s">
        <v>7562</v>
      </c>
      <c r="C2736" s="1686">
        <v>1155</v>
      </c>
      <c r="D2736" s="244">
        <f t="shared" si="382"/>
        <v>280.57858186567159</v>
      </c>
      <c r="E2736" s="228">
        <v>5</v>
      </c>
      <c r="F2736" s="585">
        <f t="shared" si="383"/>
        <v>285.58</v>
      </c>
      <c r="G2736" s="592" t="s">
        <v>7563</v>
      </c>
      <c r="H2736" s="651" t="s">
        <v>7564</v>
      </c>
      <c r="I2736" s="520" t="s">
        <v>11650</v>
      </c>
      <c r="J2736" s="589" t="s">
        <v>753</v>
      </c>
      <c r="K2736" s="520" t="s">
        <v>741</v>
      </c>
    </row>
    <row r="2737" spans="1:15" s="196" customFormat="1">
      <c r="A2737" s="589"/>
      <c r="B2737" s="902" t="s">
        <v>7565</v>
      </c>
      <c r="C2737" s="1686">
        <v>1375</v>
      </c>
      <c r="D2737" s="244">
        <f t="shared" ref="D2737:D2743" si="384">C2737*(1-VLOOKUP(I2737,descuentos,6,FALSE))*fcl/IF(dol_sol="dólar", TC,1)</f>
        <v>334.02212126865663</v>
      </c>
      <c r="E2737" s="228">
        <v>5</v>
      </c>
      <c r="F2737" s="585">
        <f t="shared" si="383"/>
        <v>339.03</v>
      </c>
      <c r="G2737" s="592" t="s">
        <v>7566</v>
      </c>
      <c r="H2737" s="651" t="s">
        <v>7567</v>
      </c>
      <c r="I2737" s="520" t="s">
        <v>11650</v>
      </c>
      <c r="J2737" s="589" t="s">
        <v>753</v>
      </c>
      <c r="K2737" s="520" t="s">
        <v>741</v>
      </c>
    </row>
    <row r="2738" spans="1:15" s="196" customFormat="1">
      <c r="A2738" s="589"/>
      <c r="B2738" s="902" t="s">
        <v>7568</v>
      </c>
      <c r="C2738" s="1686">
        <v>1551</v>
      </c>
      <c r="D2738" s="244">
        <f t="shared" si="384"/>
        <v>376.77695279104478</v>
      </c>
      <c r="E2738" s="228">
        <v>5</v>
      </c>
      <c r="F2738" s="585">
        <f t="shared" si="383"/>
        <v>381.78</v>
      </c>
      <c r="G2738" s="592" t="s">
        <v>7569</v>
      </c>
      <c r="H2738" s="651" t="s">
        <v>7570</v>
      </c>
      <c r="I2738" s="520" t="s">
        <v>11650</v>
      </c>
      <c r="J2738" s="589" t="s">
        <v>753</v>
      </c>
      <c r="K2738" s="520" t="s">
        <v>741</v>
      </c>
    </row>
    <row r="2739" spans="1:15" s="196" customFormat="1">
      <c r="A2739" s="589"/>
      <c r="B2739" s="902" t="s">
        <v>7571</v>
      </c>
      <c r="C2739" s="1686">
        <v>1802</v>
      </c>
      <c r="D2739" s="244">
        <f t="shared" si="384"/>
        <v>437.75117274626859</v>
      </c>
      <c r="E2739" s="228">
        <v>5</v>
      </c>
      <c r="F2739" s="585">
        <f t="shared" si="383"/>
        <v>442.76</v>
      </c>
      <c r="G2739" s="592" t="s">
        <v>7572</v>
      </c>
      <c r="H2739" s="651" t="s">
        <v>7573</v>
      </c>
      <c r="I2739" s="520" t="s">
        <v>11650</v>
      </c>
      <c r="J2739" s="589" t="s">
        <v>753</v>
      </c>
      <c r="K2739" s="520" t="s">
        <v>741</v>
      </c>
    </row>
    <row r="2740" spans="1:15" s="196" customFormat="1">
      <c r="A2740" s="589"/>
      <c r="B2740" s="902" t="s">
        <v>7574</v>
      </c>
      <c r="C2740" s="1686">
        <v>1956</v>
      </c>
      <c r="D2740" s="244">
        <f t="shared" si="384"/>
        <v>475.16165032835818</v>
      </c>
      <c r="E2740" s="228">
        <v>5</v>
      </c>
      <c r="F2740" s="585">
        <f t="shared" si="383"/>
        <v>480.17</v>
      </c>
      <c r="G2740" s="592" t="s">
        <v>7575</v>
      </c>
      <c r="H2740" s="651" t="s">
        <v>7576</v>
      </c>
      <c r="I2740" s="520" t="s">
        <v>11650</v>
      </c>
      <c r="J2740" s="589" t="s">
        <v>753</v>
      </c>
      <c r="K2740" s="520" t="s">
        <v>741</v>
      </c>
    </row>
    <row r="2741" spans="1:15" s="196" customFormat="1">
      <c r="A2741" s="589"/>
      <c r="B2741" s="902" t="s">
        <v>7577</v>
      </c>
      <c r="C2741" s="1686">
        <v>2155</v>
      </c>
      <c r="D2741" s="244">
        <f t="shared" si="384"/>
        <v>523.50376097014919</v>
      </c>
      <c r="E2741" s="228">
        <v>5</v>
      </c>
      <c r="F2741" s="585">
        <f t="shared" si="383"/>
        <v>528.51</v>
      </c>
      <c r="G2741" s="592" t="s">
        <v>7578</v>
      </c>
      <c r="H2741" s="651" t="s">
        <v>7579</v>
      </c>
      <c r="I2741" s="520" t="s">
        <v>11650</v>
      </c>
      <c r="J2741" s="589" t="s">
        <v>753</v>
      </c>
      <c r="K2741" s="520" t="s">
        <v>741</v>
      </c>
    </row>
    <row r="2742" spans="1:15" s="196" customFormat="1">
      <c r="A2742" s="589"/>
      <c r="B2742" s="902" t="s">
        <v>7580</v>
      </c>
      <c r="C2742" s="1686">
        <v>2151</v>
      </c>
      <c r="D2742" s="244">
        <f t="shared" si="384"/>
        <v>522.53206025373129</v>
      </c>
      <c r="E2742" s="228">
        <v>5</v>
      </c>
      <c r="F2742" s="585">
        <f t="shared" si="383"/>
        <v>527.54</v>
      </c>
      <c r="G2742" s="592" t="s">
        <v>7581</v>
      </c>
      <c r="H2742" s="651" t="s">
        <v>7582</v>
      </c>
      <c r="I2742" s="520" t="s">
        <v>11650</v>
      </c>
      <c r="J2742" s="589" t="s">
        <v>753</v>
      </c>
      <c r="K2742" s="520" t="s">
        <v>741</v>
      </c>
    </row>
    <row r="2743" spans="1:15" s="196" customFormat="1">
      <c r="A2743" s="589"/>
      <c r="B2743" s="902" t="s">
        <v>7583</v>
      </c>
      <c r="C2743" s="1686">
        <v>2301</v>
      </c>
      <c r="D2743" s="244">
        <f t="shared" si="384"/>
        <v>558.97083711940286</v>
      </c>
      <c r="E2743" s="228">
        <v>5</v>
      </c>
      <c r="F2743" s="585">
        <f t="shared" si="383"/>
        <v>563.98</v>
      </c>
      <c r="G2743" s="592" t="s">
        <v>7584</v>
      </c>
      <c r="H2743" s="651" t="s">
        <v>7585</v>
      </c>
      <c r="I2743" s="520" t="s">
        <v>11650</v>
      </c>
      <c r="J2743" s="589" t="s">
        <v>753</v>
      </c>
      <c r="K2743" s="520" t="s">
        <v>741</v>
      </c>
    </row>
    <row r="2744" spans="1:15" s="194" customFormat="1">
      <c r="A2744" s="589"/>
      <c r="B2744" s="902"/>
      <c r="C2744" s="209" t="s">
        <v>2058</v>
      </c>
      <c r="D2744" s="244"/>
      <c r="E2744" s="228"/>
      <c r="F2744" s="585"/>
      <c r="G2744" s="592"/>
      <c r="H2744" s="764"/>
      <c r="I2744" s="520"/>
      <c r="J2744" s="589"/>
      <c r="K2744" s="520"/>
    </row>
    <row r="2745" spans="1:15" s="194" customFormat="1">
      <c r="A2745" s="589"/>
      <c r="B2745" s="902"/>
      <c r="C2745" s="209" t="s">
        <v>2058</v>
      </c>
      <c r="D2745" s="244"/>
      <c r="E2745" s="228"/>
      <c r="F2745" s="585"/>
      <c r="G2745" s="592"/>
      <c r="H2745" s="764"/>
      <c r="I2745" s="520"/>
      <c r="J2745" s="589"/>
      <c r="K2745" s="520"/>
    </row>
    <row r="2746" spans="1:15" s="196" customFormat="1">
      <c r="A2746" s="589"/>
      <c r="B2746" s="1683" t="s">
        <v>9322</v>
      </c>
      <c r="C2746" s="1683" t="s">
        <v>2058</v>
      </c>
      <c r="D2746" s="244"/>
      <c r="E2746" s="228"/>
      <c r="F2746" s="585"/>
      <c r="G2746" s="592"/>
      <c r="H2746" s="1647"/>
      <c r="I2746" s="520"/>
      <c r="J2746" s="589"/>
      <c r="K2746" s="520"/>
      <c r="L2746" s="203"/>
      <c r="M2746" s="203"/>
      <c r="N2746" s="203"/>
      <c r="O2746" s="203"/>
    </row>
    <row r="2747" spans="1:15" s="196" customFormat="1">
      <c r="A2747" s="589"/>
      <c r="B2747" s="902" t="s">
        <v>9323</v>
      </c>
      <c r="C2747" s="209">
        <v>106</v>
      </c>
      <c r="D2747" s="244">
        <f t="shared" ref="D2747:D2753" si="385">C2747*(1-VLOOKUP(I2747,descuentos,6,FALSE))*fcl/IF(dol_sol="dólar", TC,1)</f>
        <v>25.750068985074623</v>
      </c>
      <c r="E2747" s="228">
        <v>5</v>
      </c>
      <c r="F2747" s="585">
        <f t="shared" ref="F2747:F2753" si="386">ROUNDUP(D2747+E2747,2)</f>
        <v>30.76</v>
      </c>
      <c r="G2747" s="592" t="s">
        <v>9324</v>
      </c>
      <c r="H2747" s="651" t="str">
        <f t="shared" ref="H2747:H2753" si="387">B2747</f>
        <v>KD5040K</v>
      </c>
      <c r="I2747" s="520" t="s">
        <v>11650</v>
      </c>
      <c r="J2747" s="589" t="s">
        <v>753</v>
      </c>
      <c r="K2747" s="520" t="s">
        <v>741</v>
      </c>
    </row>
    <row r="2748" spans="1:15" s="196" customFormat="1">
      <c r="A2748" s="589"/>
      <c r="B2748" s="902" t="s">
        <v>9325</v>
      </c>
      <c r="C2748" s="209">
        <v>118</v>
      </c>
      <c r="D2748" s="244">
        <f t="shared" si="385"/>
        <v>28.665171134328357</v>
      </c>
      <c r="E2748" s="228">
        <v>5</v>
      </c>
      <c r="F2748" s="585">
        <f t="shared" si="386"/>
        <v>33.669999999999995</v>
      </c>
      <c r="G2748" s="592" t="s">
        <v>9326</v>
      </c>
      <c r="H2748" s="651" t="str">
        <f t="shared" si="387"/>
        <v>KD6040K</v>
      </c>
      <c r="I2748" s="520" t="s">
        <v>11650</v>
      </c>
      <c r="J2748" s="589" t="s">
        <v>753</v>
      </c>
      <c r="K2748" s="520" t="s">
        <v>741</v>
      </c>
    </row>
    <row r="2749" spans="1:15" s="196" customFormat="1">
      <c r="A2749" s="589"/>
      <c r="B2749" s="902" t="s">
        <v>9327</v>
      </c>
      <c r="C2749" s="209">
        <v>144</v>
      </c>
      <c r="D2749" s="244">
        <f t="shared" si="385"/>
        <v>34.981225791044771</v>
      </c>
      <c r="E2749" s="228">
        <v>5</v>
      </c>
      <c r="F2749" s="585">
        <f t="shared" si="386"/>
        <v>39.989999999999995</v>
      </c>
      <c r="G2749" s="592" t="s">
        <v>9328</v>
      </c>
      <c r="H2749" s="651" t="str">
        <f t="shared" si="387"/>
        <v>KD8060K</v>
      </c>
      <c r="I2749" s="520" t="s">
        <v>11650</v>
      </c>
      <c r="J2749" s="589" t="s">
        <v>753</v>
      </c>
      <c r="K2749" s="520" t="s">
        <v>741</v>
      </c>
    </row>
    <row r="2750" spans="1:15" s="196" customFormat="1">
      <c r="A2750" s="589"/>
      <c r="B2750" s="902" t="s">
        <v>9329</v>
      </c>
      <c r="C2750" s="209">
        <v>156</v>
      </c>
      <c r="D2750" s="244">
        <f t="shared" si="385"/>
        <v>37.896327940298505</v>
      </c>
      <c r="E2750" s="228">
        <v>5</v>
      </c>
      <c r="F2750" s="585">
        <f t="shared" si="386"/>
        <v>42.9</v>
      </c>
      <c r="G2750" s="592" t="s">
        <v>9330</v>
      </c>
      <c r="H2750" s="651" t="str">
        <f t="shared" si="387"/>
        <v>KD1060K</v>
      </c>
      <c r="I2750" s="520" t="s">
        <v>11650</v>
      </c>
      <c r="J2750" s="589" t="s">
        <v>753</v>
      </c>
      <c r="K2750" s="520" t="s">
        <v>741</v>
      </c>
    </row>
    <row r="2751" spans="1:15" s="196" customFormat="1">
      <c r="A2751" s="589"/>
      <c r="B2751" s="902" t="s">
        <v>9331</v>
      </c>
      <c r="C2751" s="209">
        <v>177</v>
      </c>
      <c r="D2751" s="244">
        <f t="shared" si="385"/>
        <v>42.997756701492534</v>
      </c>
      <c r="E2751" s="228">
        <v>5</v>
      </c>
      <c r="F2751" s="585">
        <f t="shared" si="386"/>
        <v>48</v>
      </c>
      <c r="G2751" s="592" t="s">
        <v>9332</v>
      </c>
      <c r="H2751" s="651" t="str">
        <f t="shared" si="387"/>
        <v>KD1080K</v>
      </c>
      <c r="I2751" s="520" t="s">
        <v>11650</v>
      </c>
      <c r="J2751" s="589" t="s">
        <v>753</v>
      </c>
      <c r="K2751" s="520" t="s">
        <v>741</v>
      </c>
    </row>
    <row r="2752" spans="1:15" s="196" customFormat="1">
      <c r="A2752" s="589"/>
      <c r="B2752" s="902" t="s">
        <v>9333</v>
      </c>
      <c r="C2752" s="209">
        <v>177</v>
      </c>
      <c r="D2752" s="244">
        <f t="shared" si="385"/>
        <v>42.997756701492534</v>
      </c>
      <c r="E2752" s="228">
        <v>5</v>
      </c>
      <c r="F2752" s="585">
        <f t="shared" si="386"/>
        <v>48</v>
      </c>
      <c r="G2752" s="592" t="s">
        <v>9334</v>
      </c>
      <c r="H2752" s="651" t="str">
        <f t="shared" si="387"/>
        <v>KD1260K</v>
      </c>
      <c r="I2752" s="520" t="s">
        <v>11650</v>
      </c>
      <c r="J2752" s="589" t="s">
        <v>753</v>
      </c>
      <c r="K2752" s="520" t="s">
        <v>741</v>
      </c>
    </row>
    <row r="2753" spans="1:15" s="196" customFormat="1">
      <c r="A2753" s="589"/>
      <c r="B2753" s="902" t="s">
        <v>9335</v>
      </c>
      <c r="C2753" s="209">
        <v>196</v>
      </c>
      <c r="D2753" s="244">
        <f t="shared" si="385"/>
        <v>47.613335104477606</v>
      </c>
      <c r="E2753" s="228">
        <v>5</v>
      </c>
      <c r="F2753" s="585">
        <f t="shared" si="386"/>
        <v>52.62</v>
      </c>
      <c r="G2753" s="592" t="s">
        <v>9336</v>
      </c>
      <c r="H2753" s="651" t="str">
        <f t="shared" si="387"/>
        <v>KD1280K</v>
      </c>
      <c r="I2753" s="520" t="s">
        <v>11650</v>
      </c>
      <c r="J2753" s="589" t="s">
        <v>753</v>
      </c>
      <c r="K2753" s="520" t="s">
        <v>741</v>
      </c>
    </row>
    <row r="2754" spans="1:15" s="194" customFormat="1">
      <c r="A2754" s="589"/>
      <c r="B2754" s="902"/>
      <c r="C2754" s="209" t="s">
        <v>2058</v>
      </c>
      <c r="D2754" s="244"/>
      <c r="E2754" s="228"/>
      <c r="F2754" s="585"/>
      <c r="G2754" s="592"/>
      <c r="H2754" s="764"/>
      <c r="I2754" s="520"/>
      <c r="J2754" s="589"/>
      <c r="K2754" s="520"/>
    </row>
    <row r="2755" spans="1:15" s="194" customFormat="1">
      <c r="A2755" s="589"/>
      <c r="B2755" s="902"/>
      <c r="C2755" s="209" t="s">
        <v>2058</v>
      </c>
      <c r="D2755" s="244"/>
      <c r="E2755" s="228"/>
      <c r="F2755" s="585"/>
      <c r="G2755" s="592"/>
      <c r="H2755" s="764"/>
      <c r="I2755" s="520"/>
      <c r="J2755" s="589"/>
      <c r="K2755" s="520"/>
    </row>
    <row r="2756" spans="1:15" s="196" customFormat="1">
      <c r="A2756" s="589"/>
      <c r="B2756" s="1683" t="s">
        <v>9337</v>
      </c>
      <c r="C2756" s="1683" t="s">
        <v>2058</v>
      </c>
      <c r="D2756" s="1683"/>
      <c r="E2756" s="1647"/>
      <c r="F2756" s="1647"/>
      <c r="G2756" s="592"/>
      <c r="H2756" s="1647"/>
      <c r="I2756" s="520"/>
      <c r="J2756" s="589"/>
      <c r="K2756" s="520"/>
      <c r="L2756" s="203"/>
      <c r="M2756" s="203"/>
      <c r="N2756" s="203"/>
      <c r="O2756" s="203"/>
    </row>
    <row r="2757" spans="1:15" s="194" customFormat="1">
      <c r="A2757" s="589"/>
      <c r="B2757" s="1683" t="s">
        <v>9338</v>
      </c>
      <c r="C2757" s="1683" t="s">
        <v>2058</v>
      </c>
      <c r="D2757" s="1683"/>
      <c r="E2757" s="228"/>
      <c r="F2757" s="585"/>
      <c r="G2757" s="592"/>
      <c r="H2757" s="764"/>
      <c r="I2757" s="520"/>
      <c r="J2757" s="589"/>
      <c r="K2757" s="520"/>
    </row>
    <row r="2758" spans="1:15" s="196" customFormat="1">
      <c r="A2758" s="589"/>
      <c r="B2758" s="902" t="s">
        <v>9339</v>
      </c>
      <c r="C2758" s="209">
        <v>124</v>
      </c>
      <c r="D2758" s="244">
        <f>C2758*(1-VLOOKUP(I2758,descuentos,6,FALSE))*fcl/IF(dol_sol="dólar", TC,1)</f>
        <v>30.122722208955224</v>
      </c>
      <c r="E2758" s="228">
        <v>5</v>
      </c>
      <c r="F2758" s="585">
        <f>ROUNDUP(D2758+E2758,2)</f>
        <v>35.129999999999995</v>
      </c>
      <c r="G2758" s="592" t="s">
        <v>9340</v>
      </c>
      <c r="H2758" s="651" t="str">
        <f>B2758</f>
        <v>PM1414K</v>
      </c>
      <c r="I2758" s="520" t="s">
        <v>11650</v>
      </c>
      <c r="J2758" s="589" t="s">
        <v>753</v>
      </c>
      <c r="K2758" s="520" t="s">
        <v>741</v>
      </c>
    </row>
    <row r="2759" spans="1:15" s="196" customFormat="1">
      <c r="A2759" s="589"/>
      <c r="B2759" s="902" t="s">
        <v>9341</v>
      </c>
      <c r="C2759" s="209">
        <v>130</v>
      </c>
      <c r="D2759" s="244">
        <f>C2759*(1-VLOOKUP(I2759,descuentos,6,FALSE))*fcl/IF(dol_sol="dólar", TC,1)</f>
        <v>31.580273283582088</v>
      </c>
      <c r="E2759" s="228">
        <v>5</v>
      </c>
      <c r="F2759" s="585">
        <f>ROUNDUP(D2759+E2759,2)</f>
        <v>36.589999999999996</v>
      </c>
      <c r="G2759" s="592" t="s">
        <v>9342</v>
      </c>
      <c r="H2759" s="651" t="str">
        <f>B2759</f>
        <v>PM1625K</v>
      </c>
      <c r="I2759" s="520" t="s">
        <v>11650</v>
      </c>
      <c r="J2759" s="589" t="s">
        <v>753</v>
      </c>
      <c r="K2759" s="520" t="s">
        <v>741</v>
      </c>
    </row>
    <row r="2760" spans="1:15" s="194" customFormat="1">
      <c r="A2760" s="589"/>
      <c r="B2760" s="902"/>
      <c r="C2760" s="209" t="s">
        <v>2058</v>
      </c>
      <c r="D2760" s="244"/>
      <c r="E2760" s="228"/>
      <c r="F2760" s="585"/>
      <c r="G2760" s="592"/>
      <c r="H2760" s="764"/>
      <c r="I2760" s="520"/>
      <c r="J2760" s="589"/>
      <c r="K2760" s="520"/>
    </row>
    <row r="2761" spans="1:15" s="194" customFormat="1">
      <c r="A2761" s="589"/>
      <c r="B2761" s="902"/>
      <c r="C2761" s="209" t="s">
        <v>2058</v>
      </c>
      <c r="D2761" s="244"/>
      <c r="E2761" s="228"/>
      <c r="F2761" s="585"/>
      <c r="G2761" s="592"/>
      <c r="H2761" s="764"/>
      <c r="I2761" s="520"/>
      <c r="J2761" s="589"/>
      <c r="K2761" s="520"/>
    </row>
    <row r="2762" spans="1:15" s="196" customFormat="1">
      <c r="A2762" s="589"/>
      <c r="B2762" s="1683" t="s">
        <v>9343</v>
      </c>
      <c r="C2762" s="1647" t="s">
        <v>2058</v>
      </c>
      <c r="D2762" s="244"/>
      <c r="E2762" s="228"/>
      <c r="F2762" s="585"/>
      <c r="G2762" s="592"/>
      <c r="H2762" s="1647"/>
      <c r="I2762" s="520"/>
      <c r="J2762" s="589"/>
      <c r="K2762" s="520"/>
      <c r="L2762" s="203"/>
      <c r="M2762" s="203"/>
      <c r="N2762" s="203"/>
      <c r="O2762" s="203"/>
    </row>
    <row r="2763" spans="1:15" s="196" customFormat="1">
      <c r="A2763" s="589"/>
      <c r="B2763" s="902" t="s">
        <v>9344</v>
      </c>
      <c r="C2763" s="209">
        <v>106</v>
      </c>
      <c r="D2763" s="244">
        <f>C2763*(1-VLOOKUP(I2763,descuentos,6,FALSE))*fcl/IF(dol_sol="dólar", TC,1)</f>
        <v>25.750068985074623</v>
      </c>
      <c r="E2763" s="228">
        <v>5</v>
      </c>
      <c r="F2763" s="585">
        <f>ROUNDUP(D2763+E2763,2)</f>
        <v>30.76</v>
      </c>
      <c r="G2763" s="592" t="s">
        <v>9345</v>
      </c>
      <c r="H2763" s="651" t="str">
        <f>B2763</f>
        <v>PC1406K</v>
      </c>
      <c r="I2763" s="520" t="s">
        <v>11650</v>
      </c>
      <c r="J2763" s="589" t="s">
        <v>753</v>
      </c>
      <c r="K2763" s="520" t="s">
        <v>741</v>
      </c>
    </row>
    <row r="2764" spans="1:15" s="196" customFormat="1">
      <c r="A2764" s="589"/>
      <c r="B2764" s="902" t="s">
        <v>9346</v>
      </c>
      <c r="C2764" s="209">
        <v>118</v>
      </c>
      <c r="D2764" s="244">
        <f>C2764*(1-VLOOKUP(I2764,descuentos,6,FALSE))*fcl/IF(dol_sol="dólar", TC,1)</f>
        <v>28.665171134328357</v>
      </c>
      <c r="E2764" s="228">
        <v>5</v>
      </c>
      <c r="F2764" s="585">
        <f>ROUNDUP(D2764+E2764,2)</f>
        <v>33.669999999999995</v>
      </c>
      <c r="G2764" s="592" t="s">
        <v>9347</v>
      </c>
      <c r="H2764" s="651" t="str">
        <f>B2764</f>
        <v>PC1606K</v>
      </c>
      <c r="I2764" s="520" t="s">
        <v>11650</v>
      </c>
      <c r="J2764" s="589" t="s">
        <v>753</v>
      </c>
      <c r="K2764" s="520" t="s">
        <v>741</v>
      </c>
    </row>
    <row r="2765" spans="1:15" s="196" customFormat="1">
      <c r="A2765" s="589"/>
      <c r="B2765" s="902" t="s">
        <v>9348</v>
      </c>
      <c r="C2765" s="209">
        <v>130</v>
      </c>
      <c r="D2765" s="244">
        <f>C2765*(1-VLOOKUP(I2765,descuentos,6,FALSE))*fcl/IF(dol_sol="dólar", TC,1)</f>
        <v>31.580273283582088</v>
      </c>
      <c r="E2765" s="228">
        <v>5</v>
      </c>
      <c r="F2765" s="585">
        <f>ROUNDUP(D2765+E2765,2)</f>
        <v>36.589999999999996</v>
      </c>
      <c r="G2765" s="592" t="s">
        <v>9349</v>
      </c>
      <c r="H2765" s="651" t="str">
        <f>B2765</f>
        <v>PC1806K</v>
      </c>
      <c r="I2765" s="520" t="s">
        <v>11650</v>
      </c>
      <c r="J2765" s="589" t="s">
        <v>753</v>
      </c>
      <c r="K2765" s="520" t="s">
        <v>741</v>
      </c>
    </row>
    <row r="2766" spans="1:15" s="196" customFormat="1">
      <c r="A2766" s="589"/>
      <c r="B2766" s="902" t="s">
        <v>9350</v>
      </c>
      <c r="C2766" s="209">
        <v>164</v>
      </c>
      <c r="D2766" s="244">
        <f>C2766*(1-VLOOKUP(I2766,descuentos,6,FALSE))*fcl/IF(dol_sol="dólar", TC,1)</f>
        <v>39.839729373134325</v>
      </c>
      <c r="E2766" s="228">
        <v>5</v>
      </c>
      <c r="F2766" s="585">
        <f>ROUNDUP(D2766+E2766,2)</f>
        <v>44.839999999999996</v>
      </c>
      <c r="G2766" s="592" t="s">
        <v>9351</v>
      </c>
      <c r="H2766" s="651" t="str">
        <f>B2766</f>
        <v>PC2606K</v>
      </c>
      <c r="I2766" s="520" t="s">
        <v>11650</v>
      </c>
      <c r="J2766" s="589" t="s">
        <v>753</v>
      </c>
      <c r="K2766" s="520" t="s">
        <v>741</v>
      </c>
    </row>
    <row r="2767" spans="1:15" s="196" customFormat="1">
      <c r="A2767" s="589"/>
      <c r="B2767" s="902" t="s">
        <v>9352</v>
      </c>
      <c r="C2767" s="209">
        <v>184</v>
      </c>
      <c r="D2767" s="244">
        <f>C2767*(1-VLOOKUP(I2767,descuentos,6,FALSE))*fcl/IF(dol_sol="dólar", TC,1)</f>
        <v>44.698232955223872</v>
      </c>
      <c r="E2767" s="228">
        <v>5</v>
      </c>
      <c r="F2767" s="585">
        <f>ROUNDUP(D2767+E2767,2)</f>
        <v>49.699999999999996</v>
      </c>
      <c r="G2767" s="592" t="s">
        <v>9353</v>
      </c>
      <c r="H2767" s="651" t="str">
        <f>B2767</f>
        <v>PC2806K</v>
      </c>
      <c r="I2767" s="520" t="s">
        <v>11650</v>
      </c>
      <c r="J2767" s="589" t="s">
        <v>753</v>
      </c>
      <c r="K2767" s="520" t="s">
        <v>741</v>
      </c>
    </row>
    <row r="2768" spans="1:15" s="194" customFormat="1">
      <c r="A2768" s="589"/>
      <c r="B2768" s="902"/>
      <c r="C2768" s="209" t="s">
        <v>2058</v>
      </c>
      <c r="D2768" s="244"/>
      <c r="E2768" s="228"/>
      <c r="F2768" s="585"/>
      <c r="G2768" s="592"/>
      <c r="H2768" s="764"/>
      <c r="I2768" s="520"/>
      <c r="J2768" s="589"/>
      <c r="K2768" s="520"/>
    </row>
    <row r="2769" spans="1:15" s="194" customFormat="1">
      <c r="A2769" s="589"/>
      <c r="B2769" s="902"/>
      <c r="C2769" s="209" t="s">
        <v>2058</v>
      </c>
      <c r="D2769" s="244"/>
      <c r="E2769" s="228"/>
      <c r="F2769" s="585"/>
      <c r="G2769" s="592"/>
      <c r="H2769" s="764"/>
      <c r="I2769" s="520"/>
      <c r="J2769" s="589"/>
      <c r="K2769" s="520"/>
    </row>
    <row r="2770" spans="1:15" s="196" customFormat="1">
      <c r="A2770" s="589"/>
      <c r="B2770" s="1683" t="s">
        <v>9354</v>
      </c>
      <c r="C2770" s="1683" t="s">
        <v>2058</v>
      </c>
      <c r="D2770" s="244"/>
      <c r="E2770" s="228"/>
      <c r="F2770" s="585"/>
      <c r="G2770" s="592"/>
      <c r="H2770" s="1647"/>
      <c r="I2770" s="520"/>
      <c r="J2770" s="589"/>
      <c r="K2770" s="520"/>
      <c r="L2770" s="203"/>
      <c r="M2770" s="203"/>
      <c r="N2770" s="203"/>
      <c r="O2770" s="203"/>
    </row>
    <row r="2771" spans="1:15" s="196" customFormat="1">
      <c r="A2771" s="589"/>
      <c r="B2771" s="902" t="s">
        <v>9355</v>
      </c>
      <c r="C2771" s="209">
        <v>52</v>
      </c>
      <c r="D2771" s="244">
        <f>C2771*(1-VLOOKUP(I2771,descuentos,6,FALSE))*fcl/IF(dol_sol="dólar", TC,1)</f>
        <v>12.632109313432833</v>
      </c>
      <c r="E2771" s="228">
        <v>5</v>
      </c>
      <c r="F2771" s="585">
        <f>ROUNDUP(D2771+E2771,2)</f>
        <v>17.64</v>
      </c>
      <c r="G2771" s="592" t="s">
        <v>9356</v>
      </c>
      <c r="H2771" s="651" t="str">
        <f>B2771</f>
        <v>GD4006</v>
      </c>
      <c r="I2771" s="520" t="s">
        <v>11650</v>
      </c>
      <c r="J2771" s="589" t="s">
        <v>753</v>
      </c>
      <c r="K2771" s="520" t="s">
        <v>741</v>
      </c>
    </row>
    <row r="2772" spans="1:15" s="196" customFormat="1">
      <c r="A2772" s="589"/>
      <c r="B2772" s="902" t="s">
        <v>9357</v>
      </c>
      <c r="C2772" s="209">
        <v>60</v>
      </c>
      <c r="D2772" s="244">
        <f>C2772*(1-VLOOKUP(I2772,descuentos,6,FALSE))*fcl/IF(dol_sol="dólar", TC,1)</f>
        <v>14.575510746268655</v>
      </c>
      <c r="E2772" s="228">
        <v>5</v>
      </c>
      <c r="F2772" s="585">
        <f>ROUNDUP(D2772+E2772,2)</f>
        <v>19.580000000000002</v>
      </c>
      <c r="G2772" s="592" t="s">
        <v>9358</v>
      </c>
      <c r="H2772" s="651" t="str">
        <f>B2772</f>
        <v>GD6006</v>
      </c>
      <c r="I2772" s="520" t="s">
        <v>11650</v>
      </c>
      <c r="J2772" s="589" t="s">
        <v>753</v>
      </c>
      <c r="K2772" s="520" t="s">
        <v>741</v>
      </c>
    </row>
    <row r="2773" spans="1:15" s="196" customFormat="1">
      <c r="A2773" s="589"/>
      <c r="B2773" s="902" t="s">
        <v>9359</v>
      </c>
      <c r="C2773" s="209">
        <v>66</v>
      </c>
      <c r="D2773" s="244">
        <f>C2773*(1-VLOOKUP(I2773,descuentos,6,FALSE))*fcl/IF(dol_sol="dólar", TC,1)</f>
        <v>16.033061820895522</v>
      </c>
      <c r="E2773" s="228">
        <v>5</v>
      </c>
      <c r="F2773" s="585">
        <f>ROUNDUP(D2773+E2773,2)</f>
        <v>21.040000000000003</v>
      </c>
      <c r="G2773" s="592" t="s">
        <v>9360</v>
      </c>
      <c r="H2773" s="651" t="str">
        <f>B2773</f>
        <v>GD8006</v>
      </c>
      <c r="I2773" s="520" t="s">
        <v>11650</v>
      </c>
      <c r="J2773" s="589" t="s">
        <v>753</v>
      </c>
      <c r="K2773" s="520" t="s">
        <v>741</v>
      </c>
    </row>
    <row r="2774" spans="1:15" s="194" customFormat="1">
      <c r="A2774" s="589"/>
      <c r="B2774" s="902"/>
      <c r="C2774" s="209" t="s">
        <v>2058</v>
      </c>
      <c r="D2774" s="244"/>
      <c r="E2774" s="228"/>
      <c r="F2774" s="585"/>
      <c r="G2774" s="592"/>
      <c r="H2774" s="764"/>
      <c r="I2774" s="520"/>
      <c r="J2774" s="589"/>
      <c r="K2774" s="520"/>
    </row>
    <row r="2775" spans="1:15" s="194" customFormat="1">
      <c r="A2775" s="589"/>
      <c r="B2775" s="902"/>
      <c r="C2775" s="209" t="s">
        <v>2058</v>
      </c>
      <c r="D2775" s="244"/>
      <c r="E2775" s="228"/>
      <c r="F2775" s="585"/>
      <c r="G2775" s="592"/>
      <c r="H2775" s="764"/>
      <c r="I2775" s="520"/>
      <c r="J2775" s="589"/>
      <c r="K2775" s="520"/>
    </row>
    <row r="2776" spans="1:15" s="196" customFormat="1">
      <c r="A2776" s="589"/>
      <c r="B2776" s="1683" t="s">
        <v>9361</v>
      </c>
      <c r="C2776" s="1647" t="s">
        <v>2058</v>
      </c>
      <c r="D2776" s="244"/>
      <c r="E2776" s="228"/>
      <c r="F2776" s="585"/>
      <c r="G2776" s="592"/>
      <c r="H2776" s="1647"/>
      <c r="I2776" s="520"/>
      <c r="J2776" s="589"/>
      <c r="K2776" s="520"/>
      <c r="L2776" s="203"/>
      <c r="M2776" s="203"/>
      <c r="N2776" s="203"/>
      <c r="O2776" s="203"/>
    </row>
    <row r="2777" spans="1:15" s="196" customFormat="1">
      <c r="A2777" s="589"/>
      <c r="B2777" s="902" t="s">
        <v>9362</v>
      </c>
      <c r="C2777" s="209">
        <v>64</v>
      </c>
      <c r="D2777" s="244">
        <f>C2777*(1-VLOOKUP(I2777,descuentos,6,FALSE))*fcl/IF(dol_sol="dólar", TC,1)</f>
        <v>15.547211462686565</v>
      </c>
      <c r="E2777" s="228">
        <v>5</v>
      </c>
      <c r="F2777" s="585">
        <f>ROUNDUP(D2777+E2777,2)</f>
        <v>20.55</v>
      </c>
      <c r="G2777" s="592" t="s">
        <v>9363</v>
      </c>
      <c r="H2777" s="651" t="str">
        <f>B2777</f>
        <v>AP6001</v>
      </c>
      <c r="I2777" s="520" t="s">
        <v>11650</v>
      </c>
      <c r="J2777" s="589" t="s">
        <v>753</v>
      </c>
      <c r="K2777" s="520" t="s">
        <v>741</v>
      </c>
    </row>
    <row r="2778" spans="1:15" s="194" customFormat="1">
      <c r="A2778" s="589"/>
      <c r="B2778" s="902"/>
      <c r="C2778" s="209" t="s">
        <v>2058</v>
      </c>
      <c r="D2778" s="244"/>
      <c r="E2778" s="228"/>
      <c r="F2778" s="585"/>
      <c r="G2778" s="592"/>
      <c r="H2778" s="764"/>
      <c r="I2778" s="520"/>
      <c r="J2778" s="589"/>
      <c r="K2778" s="520"/>
    </row>
    <row r="2779" spans="1:15" s="194" customFormat="1">
      <c r="A2779" s="589"/>
      <c r="B2779" s="902"/>
      <c r="C2779" s="209" t="s">
        <v>2058</v>
      </c>
      <c r="D2779" s="244"/>
      <c r="E2779" s="228"/>
      <c r="F2779" s="585"/>
      <c r="G2779" s="592"/>
      <c r="H2779" s="764"/>
      <c r="I2779" s="520"/>
      <c r="J2779" s="589"/>
      <c r="K2779" s="520"/>
    </row>
    <row r="2780" spans="1:15" s="196" customFormat="1">
      <c r="A2780" s="589"/>
      <c r="B2780" s="1683" t="s">
        <v>9364</v>
      </c>
      <c r="C2780" s="1683" t="s">
        <v>2058</v>
      </c>
      <c r="D2780" s="1683"/>
      <c r="E2780" s="228"/>
      <c r="F2780" s="585"/>
      <c r="G2780" s="592"/>
      <c r="H2780" s="1647"/>
      <c r="I2780" s="520"/>
      <c r="J2780" s="589"/>
      <c r="K2780" s="520"/>
      <c r="L2780" s="203"/>
      <c r="M2780" s="203"/>
      <c r="N2780" s="203"/>
      <c r="O2780" s="203"/>
    </row>
    <row r="2781" spans="1:15" s="196" customFormat="1">
      <c r="A2781" s="589"/>
      <c r="B2781" s="1683" t="s">
        <v>9365</v>
      </c>
      <c r="C2781" s="1683" t="s">
        <v>2058</v>
      </c>
      <c r="D2781" s="1683"/>
      <c r="E2781" s="228"/>
      <c r="F2781" s="585"/>
      <c r="G2781" s="592"/>
      <c r="H2781" s="1647"/>
      <c r="I2781" s="520"/>
      <c r="J2781" s="589"/>
      <c r="K2781" s="520"/>
      <c r="L2781" s="203"/>
      <c r="M2781" s="203"/>
      <c r="N2781" s="203"/>
      <c r="O2781" s="203"/>
    </row>
    <row r="2782" spans="1:15" s="196" customFormat="1">
      <c r="A2782" s="589"/>
      <c r="B2782" s="902" t="s">
        <v>9366</v>
      </c>
      <c r="C2782" s="209">
        <v>21</v>
      </c>
      <c r="D2782" s="244">
        <f>C2782*(1-VLOOKUP(I2782,descuentos,6,FALSE))*fcl/IF(dol_sol="dólar", TC,1)</f>
        <v>5.101428761194029</v>
      </c>
      <c r="E2782" s="228">
        <v>5</v>
      </c>
      <c r="F2782" s="585">
        <f>ROUNDUP(D2782+E2782,2)</f>
        <v>10.11</v>
      </c>
      <c r="G2782" s="592" t="s">
        <v>9367</v>
      </c>
      <c r="H2782" s="651" t="str">
        <f>B2782</f>
        <v>AD3301</v>
      </c>
      <c r="I2782" s="520" t="s">
        <v>11650</v>
      </c>
      <c r="J2782" s="589" t="s">
        <v>753</v>
      </c>
      <c r="K2782" s="520" t="s">
        <v>741</v>
      </c>
    </row>
    <row r="2783" spans="1:15" s="196" customFormat="1">
      <c r="A2783" s="589"/>
      <c r="B2783" s="902" t="s">
        <v>9368</v>
      </c>
      <c r="C2783" s="209">
        <v>21</v>
      </c>
      <c r="D2783" s="244">
        <f>C2783*(1-VLOOKUP(I2783,descuentos,6,FALSE))*fcl/IF(dol_sol="dólar", TC,1)</f>
        <v>5.101428761194029</v>
      </c>
      <c r="E2783" s="228">
        <v>5</v>
      </c>
      <c r="F2783" s="585">
        <f>ROUNDUP(D2783+E2783,2)</f>
        <v>10.11</v>
      </c>
      <c r="G2783" s="592" t="s">
        <v>9369</v>
      </c>
      <c r="H2783" s="651" t="str">
        <f>B2783</f>
        <v>AD3302</v>
      </c>
      <c r="I2783" s="520" t="s">
        <v>11650</v>
      </c>
      <c r="J2783" s="589" t="s">
        <v>753</v>
      </c>
      <c r="K2783" s="520" t="s">
        <v>741</v>
      </c>
    </row>
    <row r="2784" spans="1:15" s="196" customFormat="1">
      <c r="A2784" s="589"/>
      <c r="B2784" s="902" t="s">
        <v>9370</v>
      </c>
      <c r="C2784" s="209">
        <v>21</v>
      </c>
      <c r="D2784" s="244">
        <f>C2784*(1-VLOOKUP(I2784,descuentos,6,FALSE))*fcl/IF(dol_sol="dólar", TC,1)</f>
        <v>5.101428761194029</v>
      </c>
      <c r="E2784" s="228">
        <v>5</v>
      </c>
      <c r="F2784" s="585">
        <f>ROUNDUP(D2784+E2784,2)</f>
        <v>10.11</v>
      </c>
      <c r="G2784" s="592" t="s">
        <v>9371</v>
      </c>
      <c r="H2784" s="651" t="str">
        <f>B2784</f>
        <v>AD3303</v>
      </c>
      <c r="I2784" s="520" t="s">
        <v>11650</v>
      </c>
      <c r="J2784" s="589" t="s">
        <v>753</v>
      </c>
      <c r="K2784" s="520" t="s">
        <v>741</v>
      </c>
    </row>
    <row r="2785" spans="1:15" s="196" customFormat="1">
      <c r="A2785" s="589"/>
      <c r="B2785" s="902" t="s">
        <v>9372</v>
      </c>
      <c r="C2785" s="209">
        <v>21</v>
      </c>
      <c r="D2785" s="244">
        <f>C2785*(1-VLOOKUP(I2785,descuentos,6,FALSE))*fcl/IF(dol_sol="dólar", TC,1)</f>
        <v>5.101428761194029</v>
      </c>
      <c r="E2785" s="228">
        <v>5</v>
      </c>
      <c r="F2785" s="585">
        <f>ROUNDUP(D2785+E2785,2)</f>
        <v>10.11</v>
      </c>
      <c r="G2785" s="592" t="s">
        <v>9373</v>
      </c>
      <c r="H2785" s="651" t="str">
        <f>B2785</f>
        <v>AD3304</v>
      </c>
      <c r="I2785" s="520" t="s">
        <v>11650</v>
      </c>
      <c r="J2785" s="589" t="s">
        <v>753</v>
      </c>
      <c r="K2785" s="520" t="s">
        <v>741</v>
      </c>
    </row>
    <row r="2786" spans="1:15" s="194" customFormat="1">
      <c r="A2786" s="589"/>
      <c r="B2786" s="902"/>
      <c r="C2786" s="209" t="s">
        <v>2058</v>
      </c>
      <c r="D2786" s="244"/>
      <c r="E2786" s="228"/>
      <c r="F2786" s="585"/>
      <c r="G2786" s="592"/>
      <c r="H2786" s="764"/>
      <c r="I2786" s="520"/>
      <c r="J2786" s="589"/>
      <c r="K2786" s="520"/>
    </row>
    <row r="2787" spans="1:15" s="194" customFormat="1">
      <c r="A2787" s="589"/>
      <c r="B2787" s="902"/>
      <c r="C2787" s="209" t="s">
        <v>2058</v>
      </c>
      <c r="D2787" s="244"/>
      <c r="E2787" s="228"/>
      <c r="F2787" s="585"/>
      <c r="G2787" s="592"/>
      <c r="H2787" s="764"/>
      <c r="I2787" s="520"/>
      <c r="J2787" s="589"/>
      <c r="K2787" s="520"/>
    </row>
    <row r="2788" spans="1:15" s="196" customFormat="1">
      <c r="A2788" s="589"/>
      <c r="B2788" s="1683" t="s">
        <v>9374</v>
      </c>
      <c r="C2788" s="1647" t="s">
        <v>2058</v>
      </c>
      <c r="D2788" s="244"/>
      <c r="E2788" s="228"/>
      <c r="F2788" s="585"/>
      <c r="G2788" s="592"/>
      <c r="H2788" s="1647"/>
      <c r="I2788" s="520"/>
      <c r="J2788" s="589"/>
      <c r="K2788" s="520"/>
      <c r="L2788" s="203"/>
      <c r="M2788" s="203"/>
      <c r="N2788" s="203"/>
      <c r="O2788" s="203"/>
    </row>
    <row r="2789" spans="1:15" s="196" customFormat="1">
      <c r="A2789" s="589"/>
      <c r="B2789" s="902" t="s">
        <v>9375</v>
      </c>
      <c r="C2789" s="209">
        <v>1120</v>
      </c>
      <c r="D2789" s="244">
        <f>C2789*(1-VLOOKUP(I2789,descuentos,6,FALSE))*fcl/IF(dol_sol="dólar", TC,1)</f>
        <v>272.07620059701492</v>
      </c>
      <c r="E2789" s="228">
        <v>5</v>
      </c>
      <c r="F2789" s="585">
        <f>ROUNDUP(D2789+E2789,2)</f>
        <v>277.08</v>
      </c>
      <c r="G2789" s="592" t="s">
        <v>9376</v>
      </c>
      <c r="H2789" s="651" t="str">
        <f>B2789</f>
        <v>AA8010</v>
      </c>
      <c r="I2789" s="520" t="s">
        <v>11650</v>
      </c>
      <c r="J2789" s="589" t="s">
        <v>753</v>
      </c>
      <c r="K2789" s="520" t="s">
        <v>741</v>
      </c>
    </row>
    <row r="2790" spans="1:15" s="196" customFormat="1">
      <c r="A2790" s="589"/>
      <c r="B2790" s="902" t="s">
        <v>9377</v>
      </c>
      <c r="C2790" s="209">
        <v>112</v>
      </c>
      <c r="D2790" s="244">
        <f>C2790*(1-VLOOKUP(I2790,descuentos,6,FALSE))*fcl/IF(dol_sol="dólar", TC,1)</f>
        <v>27.20762005970149</v>
      </c>
      <c r="E2790" s="228">
        <v>5</v>
      </c>
      <c r="F2790" s="585">
        <f>ROUNDUP(D2790+E2790,2)</f>
        <v>32.21</v>
      </c>
      <c r="G2790" s="592" t="s">
        <v>9378</v>
      </c>
      <c r="H2790" s="651" t="str">
        <f>B2790</f>
        <v>AA8011</v>
      </c>
      <c r="I2790" s="520" t="s">
        <v>11650</v>
      </c>
      <c r="J2790" s="589" t="s">
        <v>753</v>
      </c>
      <c r="K2790" s="520" t="s">
        <v>741</v>
      </c>
    </row>
    <row r="2791" spans="1:15" s="194" customFormat="1">
      <c r="A2791" s="589"/>
      <c r="B2791" s="902"/>
      <c r="C2791" s="209" t="s">
        <v>2058</v>
      </c>
      <c r="D2791" s="244"/>
      <c r="E2791" s="228"/>
      <c r="F2791" s="585"/>
      <c r="G2791" s="592"/>
      <c r="H2791" s="764"/>
      <c r="I2791" s="520"/>
      <c r="J2791" s="589"/>
      <c r="K2791" s="520"/>
    </row>
    <row r="2792" spans="1:15" s="194" customFormat="1">
      <c r="A2792" s="589"/>
      <c r="B2792" s="902"/>
      <c r="C2792" s="209" t="s">
        <v>2058</v>
      </c>
      <c r="D2792" s="244"/>
      <c r="E2792" s="228"/>
      <c r="F2792" s="585"/>
      <c r="G2792" s="592"/>
      <c r="H2792" s="764"/>
      <c r="I2792" s="520"/>
      <c r="J2792" s="589"/>
      <c r="K2792" s="520"/>
    </row>
    <row r="2793" spans="1:15" s="196" customFormat="1">
      <c r="A2793" s="589"/>
      <c r="B2793" s="1683" t="s">
        <v>9379</v>
      </c>
      <c r="C2793" s="1683" t="s">
        <v>2058</v>
      </c>
      <c r="D2793" s="244"/>
      <c r="E2793" s="228"/>
      <c r="F2793" s="585"/>
      <c r="G2793" s="592"/>
      <c r="H2793" s="1647"/>
      <c r="I2793" s="520"/>
      <c r="J2793" s="589"/>
      <c r="K2793" s="520"/>
      <c r="L2793" s="203"/>
      <c r="M2793" s="203"/>
      <c r="N2793" s="203"/>
      <c r="O2793" s="203"/>
    </row>
    <row r="2794" spans="1:15" s="196" customFormat="1">
      <c r="A2794" s="589"/>
      <c r="B2794" s="902" t="s">
        <v>9380</v>
      </c>
      <c r="C2794" s="209">
        <v>80</v>
      </c>
      <c r="D2794" s="244">
        <f>C2794*(1-VLOOKUP(I2794,descuentos,6,FALSE))*fcl/IF(dol_sol="dólar", TC,1)</f>
        <v>19.434014328358209</v>
      </c>
      <c r="E2794" s="228">
        <v>5</v>
      </c>
      <c r="F2794" s="585">
        <f>ROUNDUP(D2794+E2794,2)</f>
        <v>24.44</v>
      </c>
      <c r="G2794" s="592" t="s">
        <v>9381</v>
      </c>
      <c r="H2794" s="651" t="str">
        <f>B2794</f>
        <v>TS6009</v>
      </c>
      <c r="I2794" s="520" t="s">
        <v>11650</v>
      </c>
      <c r="J2794" s="589" t="s">
        <v>753</v>
      </c>
      <c r="K2794" s="520" t="s">
        <v>741</v>
      </c>
    </row>
    <row r="2795" spans="1:15" s="196" customFormat="1">
      <c r="A2795" s="589"/>
      <c r="B2795" s="902" t="s">
        <v>9382</v>
      </c>
      <c r="C2795" s="209">
        <v>92</v>
      </c>
      <c r="D2795" s="244">
        <f>C2795*(1-VLOOKUP(I2795,descuentos,6,FALSE))*fcl/IF(dol_sol="dólar", TC,1)</f>
        <v>22.349116477611936</v>
      </c>
      <c r="E2795" s="228">
        <v>5</v>
      </c>
      <c r="F2795" s="585">
        <f>ROUNDUP(D2795+E2795,2)</f>
        <v>27.35</v>
      </c>
      <c r="G2795" s="592" t="s">
        <v>9383</v>
      </c>
      <c r="H2795" s="651" t="str">
        <f>B2795</f>
        <v>TS7009</v>
      </c>
      <c r="I2795" s="520" t="s">
        <v>11650</v>
      </c>
      <c r="J2795" s="589" t="s">
        <v>753</v>
      </c>
      <c r="K2795" s="520" t="s">
        <v>741</v>
      </c>
    </row>
    <row r="2796" spans="1:15" s="196" customFormat="1">
      <c r="A2796" s="589"/>
      <c r="B2796" s="902" t="s">
        <v>9384</v>
      </c>
      <c r="C2796" s="209">
        <v>106</v>
      </c>
      <c r="D2796" s="244">
        <f>C2796*(1-VLOOKUP(I2796,descuentos,6,FALSE))*fcl/IF(dol_sol="dólar", TC,1)</f>
        <v>25.750068985074623</v>
      </c>
      <c r="E2796" s="228">
        <v>5</v>
      </c>
      <c r="F2796" s="585">
        <f>ROUNDUP(D2796+E2796,2)</f>
        <v>30.76</v>
      </c>
      <c r="G2796" s="592" t="s">
        <v>9385</v>
      </c>
      <c r="H2796" s="651" t="str">
        <f>B2796</f>
        <v>TS8009</v>
      </c>
      <c r="I2796" s="520" t="s">
        <v>11650</v>
      </c>
      <c r="J2796" s="589" t="s">
        <v>753</v>
      </c>
      <c r="K2796" s="520" t="s">
        <v>741</v>
      </c>
    </row>
    <row r="2797" spans="1:15" s="194" customFormat="1">
      <c r="A2797" s="589"/>
      <c r="B2797" s="902"/>
      <c r="C2797" s="209" t="s">
        <v>2058</v>
      </c>
      <c r="D2797" s="244"/>
      <c r="E2797" s="228"/>
      <c r="F2797" s="585"/>
      <c r="G2797" s="592"/>
      <c r="H2797" s="764"/>
      <c r="I2797" s="520"/>
      <c r="J2797" s="589"/>
      <c r="K2797" s="520"/>
    </row>
    <row r="2798" spans="1:15" s="194" customFormat="1">
      <c r="A2798" s="589"/>
      <c r="B2798" s="902"/>
      <c r="C2798" s="209" t="s">
        <v>2058</v>
      </c>
      <c r="D2798" s="244"/>
      <c r="E2798" s="228"/>
      <c r="F2798" s="585"/>
      <c r="G2798" s="592"/>
      <c r="H2798" s="764"/>
      <c r="I2798" s="520"/>
      <c r="J2798" s="589"/>
      <c r="K2798" s="520"/>
    </row>
    <row r="2799" spans="1:15" s="196" customFormat="1">
      <c r="A2799" s="589"/>
      <c r="B2799" s="1683" t="s">
        <v>9386</v>
      </c>
      <c r="C2799" s="1683" t="s">
        <v>2058</v>
      </c>
      <c r="D2799" s="244"/>
      <c r="E2799" s="228"/>
      <c r="F2799" s="585"/>
      <c r="G2799" s="592"/>
      <c r="H2799" s="1647"/>
      <c r="I2799" s="520"/>
      <c r="J2799" s="589"/>
      <c r="K2799" s="520"/>
      <c r="L2799" s="203"/>
      <c r="M2799" s="203"/>
      <c r="N2799" s="203"/>
      <c r="O2799" s="203"/>
    </row>
    <row r="2800" spans="1:15" s="196" customFormat="1">
      <c r="A2800" s="589"/>
      <c r="B2800" s="902" t="s">
        <v>9387</v>
      </c>
      <c r="C2800" s="209">
        <v>618</v>
      </c>
      <c r="D2800" s="244">
        <f>C2800*(1-VLOOKUP(I2800,descuentos,6,FALSE))*fcl/IF(dol_sol="dólar", TC,1)</f>
        <v>150.12776068656717</v>
      </c>
      <c r="E2800" s="228">
        <v>5</v>
      </c>
      <c r="F2800" s="585">
        <f>ROUNDUP(D2800+E2800,2)</f>
        <v>155.13</v>
      </c>
      <c r="G2800" s="592" t="s">
        <v>9388</v>
      </c>
      <c r="H2800" s="651" t="str">
        <f>B2800</f>
        <v>AD1086</v>
      </c>
      <c r="I2800" s="520" t="s">
        <v>11650</v>
      </c>
      <c r="J2800" s="589" t="s">
        <v>753</v>
      </c>
      <c r="K2800" s="520" t="s">
        <v>741</v>
      </c>
    </row>
    <row r="2801" spans="1:15" s="196" customFormat="1">
      <c r="A2801" s="589"/>
      <c r="B2801" s="902" t="s">
        <v>9389</v>
      </c>
      <c r="C2801" s="209">
        <v>63</v>
      </c>
      <c r="D2801" s="244">
        <f>C2801*(1-VLOOKUP(I2801,descuentos,6,FALSE))*fcl/IF(dol_sol="dólar", TC,1)</f>
        <v>15.304286283582089</v>
      </c>
      <c r="E2801" s="228">
        <v>5</v>
      </c>
      <c r="F2801" s="585">
        <f>ROUNDUP(D2801+E2801,2)</f>
        <v>20.310000000000002</v>
      </c>
      <c r="G2801" s="592" t="s">
        <v>9390</v>
      </c>
      <c r="H2801" s="651" t="str">
        <f>B2801</f>
        <v>AD1088</v>
      </c>
      <c r="I2801" s="520" t="s">
        <v>11650</v>
      </c>
      <c r="J2801" s="589" t="s">
        <v>753</v>
      </c>
      <c r="K2801" s="520" t="s">
        <v>741</v>
      </c>
    </row>
    <row r="2802" spans="1:15" s="196" customFormat="1">
      <c r="A2802" s="589"/>
      <c r="B2802" s="1839" t="s">
        <v>9391</v>
      </c>
      <c r="C2802" s="209">
        <v>81</v>
      </c>
      <c r="D2802" s="244">
        <f>C2802*(1-VLOOKUP(I2802,descuentos,6,FALSE))*fcl/IF(dol_sol="dólar", TC,1)</f>
        <v>19.676939507462684</v>
      </c>
      <c r="E2802" s="228">
        <v>5</v>
      </c>
      <c r="F2802" s="585">
        <f>ROUNDUP(D2802+E2802,2)</f>
        <v>24.680000000000003</v>
      </c>
      <c r="G2802" s="592" t="s">
        <v>9392</v>
      </c>
      <c r="H2802" s="651" t="str">
        <f>B2802</f>
        <v>AD1089</v>
      </c>
      <c r="I2802" s="520" t="s">
        <v>11650</v>
      </c>
      <c r="J2802" s="589" t="s">
        <v>753</v>
      </c>
      <c r="K2802" s="520" t="s">
        <v>741</v>
      </c>
    </row>
    <row r="2803" spans="1:15" s="194" customFormat="1">
      <c r="A2803" s="589"/>
      <c r="B2803" s="902"/>
      <c r="C2803" s="209" t="s">
        <v>2058</v>
      </c>
      <c r="D2803" s="244"/>
      <c r="E2803" s="228"/>
      <c r="F2803" s="585"/>
      <c r="G2803" s="592"/>
      <c r="H2803" s="764"/>
      <c r="I2803" s="520"/>
      <c r="J2803" s="589"/>
      <c r="K2803" s="520"/>
    </row>
    <row r="2804" spans="1:15" s="194" customFormat="1">
      <c r="A2804" s="589"/>
      <c r="B2804" s="902"/>
      <c r="C2804" s="209" t="s">
        <v>2058</v>
      </c>
      <c r="D2804" s="244"/>
      <c r="E2804" s="228"/>
      <c r="F2804" s="585"/>
      <c r="G2804" s="592"/>
      <c r="H2804" s="764"/>
      <c r="I2804" s="520"/>
      <c r="J2804" s="589"/>
      <c r="K2804" s="520"/>
    </row>
    <row r="2805" spans="1:15" s="196" customFormat="1">
      <c r="A2805" s="589"/>
      <c r="B2805" s="1683" t="s">
        <v>9393</v>
      </c>
      <c r="C2805" s="1647" t="s">
        <v>2058</v>
      </c>
      <c r="D2805" s="244"/>
      <c r="E2805" s="228"/>
      <c r="F2805" s="585"/>
      <c r="G2805" s="592"/>
      <c r="H2805" s="1647"/>
      <c r="I2805" s="520"/>
      <c r="J2805" s="589"/>
      <c r="K2805" s="520"/>
      <c r="L2805" s="203"/>
      <c r="M2805" s="203"/>
      <c r="N2805" s="203"/>
      <c r="O2805" s="203"/>
    </row>
    <row r="2806" spans="1:15" s="196" customFormat="1">
      <c r="A2806" s="589"/>
      <c r="B2806" s="1839" t="s">
        <v>9394</v>
      </c>
      <c r="C2806" s="209">
        <v>455</v>
      </c>
      <c r="D2806" s="244">
        <f>C2806*(1-VLOOKUP(I2806,descuentos,6,FALSE))*fcl/IF(dol_sol="dólar", TC,1)</f>
        <v>110.5309564925373</v>
      </c>
      <c r="E2806" s="228">
        <v>5</v>
      </c>
      <c r="F2806" s="585">
        <f>ROUNDUP(D2806+E2806,2)</f>
        <v>115.54</v>
      </c>
      <c r="G2806" s="592" t="s">
        <v>9395</v>
      </c>
      <c r="H2806" s="651" t="str">
        <f>B2806</f>
        <v>EV1131</v>
      </c>
      <c r="I2806" s="520" t="s">
        <v>11650</v>
      </c>
      <c r="J2806" s="589" t="s">
        <v>753</v>
      </c>
      <c r="K2806" s="520" t="s">
        <v>741</v>
      </c>
    </row>
    <row r="2807" spans="1:15" s="194" customFormat="1">
      <c r="A2807" s="589"/>
      <c r="B2807" s="902"/>
      <c r="C2807" s="209" t="s">
        <v>2058</v>
      </c>
      <c r="D2807" s="244"/>
      <c r="E2807" s="228"/>
      <c r="F2807" s="585"/>
      <c r="G2807" s="592"/>
      <c r="H2807" s="764"/>
      <c r="I2807" s="520"/>
      <c r="J2807" s="589"/>
      <c r="K2807" s="520"/>
    </row>
    <row r="2808" spans="1:15" s="196" customFormat="1">
      <c r="A2808" s="589"/>
      <c r="B2808" s="902"/>
      <c r="C2808" s="209" t="s">
        <v>2058</v>
      </c>
      <c r="D2808" s="244"/>
      <c r="E2808" s="228"/>
      <c r="F2808" s="585"/>
      <c r="G2808" s="592"/>
      <c r="H2808" s="651"/>
      <c r="I2808" s="520"/>
      <c r="J2808" s="589"/>
      <c r="K2808" s="520"/>
    </row>
    <row r="2809" spans="1:15" s="196" customFormat="1">
      <c r="A2809" s="589"/>
      <c r="B2809" s="1683" t="s">
        <v>6055</v>
      </c>
      <c r="C2809" s="1180" t="s">
        <v>2058</v>
      </c>
      <c r="D2809" s="244"/>
      <c r="E2809" s="228"/>
      <c r="F2809" s="585"/>
      <c r="G2809" s="592"/>
      <c r="H2809" s="1647"/>
      <c r="I2809" s="520"/>
      <c r="J2809" s="589"/>
      <c r="K2809" s="520"/>
      <c r="L2809" s="203"/>
      <c r="M2809" s="203"/>
      <c r="N2809" s="203"/>
      <c r="O2809" s="203"/>
    </row>
    <row r="2810" spans="1:15" s="194" customFormat="1">
      <c r="A2810" s="1652"/>
      <c r="B2810" s="902" t="s">
        <v>6073</v>
      </c>
      <c r="C2810" s="209">
        <v>26.8</v>
      </c>
      <c r="D2810" s="244">
        <f t="shared" ref="D2810:D2819" si="388">C2810*(1-VLOOKUP(I2810,descuentos,6,FALSE))*fcl/IF(dol_sol="dólar", TC,1)</f>
        <v>6.5103948000000003</v>
      </c>
      <c r="E2810" s="228">
        <v>2</v>
      </c>
      <c r="F2810" s="585">
        <f t="shared" ref="F2810:F2819" si="389">ROUNDUP(D2810+E2810,1)</f>
        <v>8.6</v>
      </c>
      <c r="G2810" s="592" t="s">
        <v>6074</v>
      </c>
      <c r="H2810" s="651" t="s">
        <v>6075</v>
      </c>
      <c r="I2810" s="520" t="s">
        <v>11650</v>
      </c>
      <c r="J2810" s="589" t="s">
        <v>753</v>
      </c>
      <c r="K2810" s="520" t="s">
        <v>741</v>
      </c>
    </row>
    <row r="2811" spans="1:15" s="194" customFormat="1">
      <c r="A2811" s="1680"/>
      <c r="B2811" s="902" t="s">
        <v>6076</v>
      </c>
      <c r="C2811" s="209">
        <v>74</v>
      </c>
      <c r="D2811" s="244">
        <f t="shared" si="388"/>
        <v>17.976463253731342</v>
      </c>
      <c r="E2811" s="228">
        <v>0</v>
      </c>
      <c r="F2811" s="585">
        <f t="shared" si="389"/>
        <v>18</v>
      </c>
      <c r="G2811" s="592" t="s">
        <v>6077</v>
      </c>
      <c r="H2811" s="651" t="s">
        <v>6058</v>
      </c>
      <c r="I2811" s="520" t="s">
        <v>11649</v>
      </c>
      <c r="J2811" s="589" t="s">
        <v>753</v>
      </c>
      <c r="K2811" s="520" t="s">
        <v>741</v>
      </c>
    </row>
    <row r="2812" spans="1:15" s="194" customFormat="1">
      <c r="A2812" s="589"/>
      <c r="B2812" s="902" t="s">
        <v>6078</v>
      </c>
      <c r="C2812" s="209">
        <v>37.5</v>
      </c>
      <c r="D2812" s="244">
        <f t="shared" si="388"/>
        <v>9.1096942164179087</v>
      </c>
      <c r="E2812" s="228">
        <v>0</v>
      </c>
      <c r="F2812" s="585">
        <f t="shared" si="389"/>
        <v>9.1999999999999993</v>
      </c>
      <c r="G2812" s="592" t="s">
        <v>6079</v>
      </c>
      <c r="H2812" s="651" t="s">
        <v>6080</v>
      </c>
      <c r="I2812" s="520" t="s">
        <v>11650</v>
      </c>
      <c r="J2812" s="589" t="s">
        <v>753</v>
      </c>
      <c r="K2812" s="520" t="s">
        <v>741</v>
      </c>
    </row>
    <row r="2813" spans="1:15" s="194" customFormat="1">
      <c r="A2813" s="589"/>
      <c r="B2813" s="902" t="s">
        <v>6081</v>
      </c>
      <c r="C2813" s="209">
        <v>42.1</v>
      </c>
      <c r="D2813" s="244">
        <f>C2813*(1-VLOOKUP(I2813,descuentos,6,FALSE))*fcl/IF(dol_sol="dólar", TC,1)</f>
        <v>10.227150040298506</v>
      </c>
      <c r="E2813" s="228">
        <v>0</v>
      </c>
      <c r="F2813" s="585">
        <f t="shared" si="389"/>
        <v>10.299999999999999</v>
      </c>
      <c r="G2813" s="592" t="s">
        <v>6082</v>
      </c>
      <c r="H2813" s="651" t="s">
        <v>6083</v>
      </c>
      <c r="I2813" s="520" t="s">
        <v>11650</v>
      </c>
      <c r="J2813" s="589" t="s">
        <v>753</v>
      </c>
      <c r="K2813" s="520" t="s">
        <v>741</v>
      </c>
    </row>
    <row r="2814" spans="1:15" s="194" customFormat="1">
      <c r="A2814" s="589"/>
      <c r="B2814" s="902" t="s">
        <v>6084</v>
      </c>
      <c r="C2814" s="209">
        <v>52.300000000000004</v>
      </c>
      <c r="D2814" s="244">
        <f t="shared" si="388"/>
        <v>12.70498686716418</v>
      </c>
      <c r="E2814" s="228">
        <v>0</v>
      </c>
      <c r="F2814" s="585">
        <f t="shared" si="389"/>
        <v>12.799999999999999</v>
      </c>
      <c r="G2814" s="592" t="s">
        <v>6085</v>
      </c>
      <c r="H2814" s="651" t="s">
        <v>6086</v>
      </c>
      <c r="I2814" s="520" t="s">
        <v>11650</v>
      </c>
      <c r="J2814" s="589" t="s">
        <v>753</v>
      </c>
      <c r="K2814" s="520" t="s">
        <v>741</v>
      </c>
    </row>
    <row r="2815" spans="1:15" s="194" customFormat="1">
      <c r="A2815" s="589"/>
      <c r="B2815" s="902" t="s">
        <v>6087</v>
      </c>
      <c r="C2815" s="209">
        <v>62.4</v>
      </c>
      <c r="D2815" s="244">
        <f t="shared" si="388"/>
        <v>15.158531176119402</v>
      </c>
      <c r="E2815" s="228">
        <v>0</v>
      </c>
      <c r="F2815" s="585">
        <f t="shared" si="389"/>
        <v>15.2</v>
      </c>
      <c r="G2815" s="592" t="s">
        <v>6088</v>
      </c>
      <c r="H2815" s="651" t="s">
        <v>6089</v>
      </c>
      <c r="I2815" s="520" t="s">
        <v>11650</v>
      </c>
      <c r="J2815" s="589" t="s">
        <v>753</v>
      </c>
      <c r="K2815" s="520" t="s">
        <v>741</v>
      </c>
    </row>
    <row r="2816" spans="1:15" s="194" customFormat="1">
      <c r="A2816" s="589"/>
      <c r="B2816" s="902" t="s">
        <v>6090</v>
      </c>
      <c r="C2816" s="209">
        <v>236</v>
      </c>
      <c r="D2816" s="244">
        <f t="shared" si="388"/>
        <v>57.330342268656715</v>
      </c>
      <c r="E2816" s="228">
        <v>0</v>
      </c>
      <c r="F2816" s="585">
        <f t="shared" si="389"/>
        <v>57.4</v>
      </c>
      <c r="G2816" s="592" t="s">
        <v>6091</v>
      </c>
      <c r="H2816" s="651" t="s">
        <v>6092</v>
      </c>
      <c r="I2816" s="520" t="s">
        <v>11650</v>
      </c>
      <c r="J2816" s="589" t="s">
        <v>753</v>
      </c>
      <c r="K2816" s="520" t="s">
        <v>741</v>
      </c>
    </row>
    <row r="2817" spans="1:15" s="194" customFormat="1">
      <c r="A2817" s="589"/>
      <c r="B2817" s="902" t="s">
        <v>6093</v>
      </c>
      <c r="C2817" s="209">
        <v>242.7</v>
      </c>
      <c r="D2817" s="244">
        <f t="shared" si="388"/>
        <v>58.957940968656708</v>
      </c>
      <c r="E2817" s="228">
        <v>0</v>
      </c>
      <c r="F2817" s="585">
        <f t="shared" si="389"/>
        <v>59</v>
      </c>
      <c r="G2817" s="592" t="s">
        <v>6094</v>
      </c>
      <c r="H2817" s="651" t="s">
        <v>6095</v>
      </c>
      <c r="I2817" s="520" t="s">
        <v>11650</v>
      </c>
      <c r="J2817" s="589" t="s">
        <v>753</v>
      </c>
      <c r="K2817" s="520" t="s">
        <v>741</v>
      </c>
    </row>
    <row r="2818" spans="1:15" s="194" customFormat="1">
      <c r="A2818" s="589"/>
      <c r="B2818" s="902" t="s">
        <v>6096</v>
      </c>
      <c r="C2818" s="209">
        <v>295</v>
      </c>
      <c r="D2818" s="244">
        <f t="shared" si="388"/>
        <v>71.662927835820895</v>
      </c>
      <c r="E2818" s="228">
        <v>0</v>
      </c>
      <c r="F2818" s="585">
        <f t="shared" si="389"/>
        <v>71.699999999999989</v>
      </c>
      <c r="G2818" s="592" t="s">
        <v>6097</v>
      </c>
      <c r="H2818" s="651" t="s">
        <v>6098</v>
      </c>
      <c r="I2818" s="520" t="s">
        <v>11650</v>
      </c>
      <c r="J2818" s="589" t="s">
        <v>753</v>
      </c>
      <c r="K2818" s="520" t="s">
        <v>741</v>
      </c>
    </row>
    <row r="2819" spans="1:15" s="194" customFormat="1">
      <c r="A2819" s="589"/>
      <c r="B2819" s="902" t="s">
        <v>6099</v>
      </c>
      <c r="C2819" s="209">
        <v>318.40000000000003</v>
      </c>
      <c r="D2819" s="244">
        <f t="shared" si="388"/>
        <v>77.347377026865672</v>
      </c>
      <c r="E2819" s="228">
        <v>0</v>
      </c>
      <c r="F2819" s="585">
        <f t="shared" si="389"/>
        <v>77.399999999999991</v>
      </c>
      <c r="G2819" s="592" t="s">
        <v>6100</v>
      </c>
      <c r="H2819" s="651" t="s">
        <v>6101</v>
      </c>
      <c r="I2819" s="520" t="s">
        <v>11650</v>
      </c>
      <c r="J2819" s="589" t="s">
        <v>753</v>
      </c>
      <c r="K2819" s="520" t="s">
        <v>741</v>
      </c>
    </row>
    <row r="2820" spans="1:15" s="194" customFormat="1">
      <c r="A2820" s="589"/>
      <c r="B2820" s="902"/>
      <c r="C2820" s="209" t="s">
        <v>2058</v>
      </c>
      <c r="D2820" s="244"/>
      <c r="E2820" s="228"/>
      <c r="F2820" s="585"/>
      <c r="G2820" s="592"/>
      <c r="H2820" s="764"/>
      <c r="I2820" s="520"/>
      <c r="J2820" s="589"/>
      <c r="K2820" s="520"/>
    </row>
    <row r="2821" spans="1:15" s="196" customFormat="1">
      <c r="A2821" s="589"/>
      <c r="B2821" s="1647"/>
      <c r="C2821" s="1180" t="s">
        <v>2058</v>
      </c>
      <c r="D2821" s="244"/>
      <c r="E2821" s="228"/>
      <c r="F2821" s="585"/>
      <c r="G2821" s="592"/>
      <c r="H2821" s="1647"/>
      <c r="I2821" s="520"/>
      <c r="J2821" s="589"/>
      <c r="K2821" s="520"/>
      <c r="L2821" s="203"/>
      <c r="M2821" s="203"/>
      <c r="N2821" s="203"/>
      <c r="O2821" s="203"/>
    </row>
    <row r="2822" spans="1:15" s="196" customFormat="1">
      <c r="A2822" s="589"/>
      <c r="B2822" s="1647"/>
      <c r="C2822" s="1180" t="s">
        <v>2058</v>
      </c>
      <c r="D2822" s="244"/>
      <c r="E2822" s="228"/>
      <c r="F2822" s="585"/>
      <c r="G2822" s="592"/>
      <c r="H2822" s="1647"/>
      <c r="I2822" s="520"/>
      <c r="J2822" s="589"/>
      <c r="K2822" s="520"/>
      <c r="L2822" s="203"/>
      <c r="M2822" s="203"/>
      <c r="N2822" s="203"/>
      <c r="O2822" s="203"/>
    </row>
    <row r="2823" spans="1:15" s="196" customFormat="1">
      <c r="A2823" s="589"/>
      <c r="B2823" s="902"/>
      <c r="C2823" s="209" t="s">
        <v>2058</v>
      </c>
      <c r="D2823" s="244"/>
      <c r="E2823" s="228"/>
      <c r="F2823" s="585"/>
      <c r="G2823" s="592"/>
      <c r="H2823" s="651"/>
      <c r="I2823" s="520"/>
      <c r="J2823" s="589"/>
      <c r="K2823" s="520"/>
    </row>
    <row r="2824" spans="1:15" s="196" customFormat="1">
      <c r="A2824" s="589"/>
      <c r="B2824" s="1695" t="s">
        <v>11250</v>
      </c>
      <c r="C2824" s="1696" t="s">
        <v>2058</v>
      </c>
      <c r="D2824" s="244"/>
      <c r="E2824" s="228"/>
      <c r="F2824" s="585"/>
      <c r="G2824" s="592"/>
      <c r="H2824" s="1647"/>
      <c r="I2824" s="520"/>
      <c r="J2824" s="589"/>
      <c r="K2824" s="520"/>
      <c r="L2824" s="203"/>
      <c r="M2824" s="203"/>
      <c r="N2824" s="203"/>
      <c r="O2824" s="203"/>
    </row>
    <row r="2825" spans="1:15" s="194" customFormat="1">
      <c r="A2825" s="589"/>
      <c r="B2825" s="1647"/>
      <c r="C2825" s="1180" t="s">
        <v>2058</v>
      </c>
      <c r="D2825" s="244"/>
      <c r="E2825" s="228"/>
      <c r="F2825" s="585"/>
      <c r="G2825" s="592"/>
      <c r="H2825" s="1647"/>
      <c r="I2825" s="520"/>
      <c r="J2825" s="589"/>
      <c r="K2825" s="520"/>
      <c r="L2825" s="106"/>
      <c r="M2825" s="106"/>
      <c r="N2825" s="106"/>
      <c r="O2825" s="106"/>
    </row>
    <row r="2826" spans="1:15" s="196" customFormat="1">
      <c r="A2826" s="589"/>
      <c r="B2826" s="902" t="s">
        <v>7586</v>
      </c>
      <c r="C2826" s="209">
        <v>51</v>
      </c>
      <c r="D2826" s="244">
        <f t="shared" ref="D2826:D2832" si="390">C2826*(1-VLOOKUP(I2826,descuentos,6,FALSE))*fcl/IF(dol_sol="dólar", TC,1)</f>
        <v>12.389184134328357</v>
      </c>
      <c r="E2826" s="228">
        <v>3</v>
      </c>
      <c r="F2826" s="585">
        <f t="shared" ref="F2826:F2833" si="391">ROUNDUP(D2826+E2826,2)</f>
        <v>15.39</v>
      </c>
      <c r="G2826" s="592" t="s">
        <v>7587</v>
      </c>
      <c r="H2826" s="651" t="s">
        <v>7588</v>
      </c>
      <c r="I2826" s="520" t="s">
        <v>11650</v>
      </c>
      <c r="J2826" s="589" t="s">
        <v>753</v>
      </c>
      <c r="K2826" s="520" t="s">
        <v>741</v>
      </c>
    </row>
    <row r="2827" spans="1:15" s="196" customFormat="1">
      <c r="A2827" s="589"/>
      <c r="B2827" s="902" t="s">
        <v>10978</v>
      </c>
      <c r="C2827" s="209">
        <v>63.7</v>
      </c>
      <c r="D2827" s="244">
        <f t="shared" si="390"/>
        <v>15.474333908955224</v>
      </c>
      <c r="E2827" s="228">
        <v>3</v>
      </c>
      <c r="F2827" s="585">
        <f t="shared" si="391"/>
        <v>18.48</v>
      </c>
      <c r="G2827" s="592" t="s">
        <v>10979</v>
      </c>
      <c r="H2827" s="651" t="s">
        <v>10980</v>
      </c>
      <c r="I2827" s="520" t="s">
        <v>11650</v>
      </c>
      <c r="J2827" s="589" t="s">
        <v>753</v>
      </c>
      <c r="K2827" s="520" t="s">
        <v>741</v>
      </c>
    </row>
    <row r="2828" spans="1:15" s="196" customFormat="1">
      <c r="A2828" s="589"/>
      <c r="B2828" s="902" t="s">
        <v>10981</v>
      </c>
      <c r="C2828" s="209">
        <v>71.199999999999989</v>
      </c>
      <c r="D2828" s="244">
        <f t="shared" ref="D2828" si="392">C2828*(1-VLOOKUP(I2828,descuentos,6,FALSE))*fcl/IF(dol_sol="dólar", TC,1)</f>
        <v>17.296272752238803</v>
      </c>
      <c r="E2828" s="228">
        <v>3</v>
      </c>
      <c r="F2828" s="585">
        <f t="shared" si="391"/>
        <v>20.3</v>
      </c>
      <c r="G2828" s="592" t="s">
        <v>10982</v>
      </c>
      <c r="H2828" s="651" t="s">
        <v>10983</v>
      </c>
      <c r="I2828" s="520" t="s">
        <v>11650</v>
      </c>
      <c r="J2828" s="589" t="s">
        <v>753</v>
      </c>
      <c r="K2828" s="520" t="s">
        <v>741</v>
      </c>
    </row>
    <row r="2829" spans="1:15" s="196" customFormat="1">
      <c r="A2829" s="589"/>
      <c r="B2829" s="902" t="s">
        <v>9984</v>
      </c>
      <c r="C2829" s="209">
        <v>89.5</v>
      </c>
      <c r="D2829" s="244">
        <f t="shared" si="390"/>
        <v>21.741803529850742</v>
      </c>
      <c r="E2829" s="228">
        <v>3</v>
      </c>
      <c r="F2829" s="585">
        <f t="shared" si="391"/>
        <v>24.75</v>
      </c>
      <c r="G2829" s="592" t="s">
        <v>9985</v>
      </c>
      <c r="H2829" s="651" t="s">
        <v>9986</v>
      </c>
      <c r="I2829" s="520" t="s">
        <v>11650</v>
      </c>
      <c r="J2829" s="589" t="s">
        <v>753</v>
      </c>
      <c r="K2829" s="520" t="s">
        <v>741</v>
      </c>
    </row>
    <row r="2830" spans="1:15" s="196" customFormat="1">
      <c r="A2830" s="589"/>
      <c r="B2830" s="902" t="s">
        <v>9987</v>
      </c>
      <c r="C2830" s="209">
        <v>133.19999999999999</v>
      </c>
      <c r="D2830" s="244">
        <f t="shared" si="390"/>
        <v>32.357633856716411</v>
      </c>
      <c r="E2830" s="228">
        <v>3</v>
      </c>
      <c r="F2830" s="585">
        <f t="shared" si="391"/>
        <v>35.36</v>
      </c>
      <c r="G2830" s="592" t="s">
        <v>9988</v>
      </c>
      <c r="H2830" s="651" t="s">
        <v>9989</v>
      </c>
      <c r="I2830" s="520" t="s">
        <v>11650</v>
      </c>
      <c r="J2830" s="589" t="s">
        <v>753</v>
      </c>
      <c r="K2830" s="520" t="s">
        <v>741</v>
      </c>
    </row>
    <row r="2831" spans="1:15" s="196" customFormat="1">
      <c r="A2831" s="589"/>
      <c r="B2831" s="902" t="s">
        <v>9990</v>
      </c>
      <c r="C2831" s="209">
        <v>206</v>
      </c>
      <c r="D2831" s="244">
        <f t="shared" si="390"/>
        <v>50.042586895522383</v>
      </c>
      <c r="E2831" s="228">
        <v>3</v>
      </c>
      <c r="F2831" s="585">
        <f t="shared" si="391"/>
        <v>53.05</v>
      </c>
      <c r="G2831" s="592" t="s">
        <v>9991</v>
      </c>
      <c r="H2831" s="651" t="s">
        <v>9992</v>
      </c>
      <c r="I2831" s="520" t="s">
        <v>11650</v>
      </c>
      <c r="J2831" s="589" t="s">
        <v>753</v>
      </c>
      <c r="K2831" s="520" t="s">
        <v>741</v>
      </c>
    </row>
    <row r="2832" spans="1:15" s="196" customFormat="1">
      <c r="A2832" s="589"/>
      <c r="B2832" s="902" t="s">
        <v>9993</v>
      </c>
      <c r="C2832" s="209">
        <v>216.4</v>
      </c>
      <c r="D2832" s="244">
        <f t="shared" si="390"/>
        <v>52.569008758208959</v>
      </c>
      <c r="E2832" s="228">
        <v>3</v>
      </c>
      <c r="F2832" s="585">
        <f t="shared" si="391"/>
        <v>55.57</v>
      </c>
      <c r="G2832" s="592" t="s">
        <v>9994</v>
      </c>
      <c r="H2832" s="651" t="s">
        <v>9995</v>
      </c>
      <c r="I2832" s="520" t="s">
        <v>11650</v>
      </c>
      <c r="J2832" s="589" t="s">
        <v>753</v>
      </c>
      <c r="K2832" s="520" t="s">
        <v>741</v>
      </c>
    </row>
    <row r="2833" spans="1:15" s="196" customFormat="1">
      <c r="A2833" s="589"/>
      <c r="B2833" s="902" t="s">
        <v>11744</v>
      </c>
      <c r="C2833" s="209">
        <v>425</v>
      </c>
      <c r="D2833" s="244">
        <f t="shared" ref="D2833" si="393">C2833*(1-VLOOKUP(I2833,descuentos,6,FALSE))*fcl/IF(dol_sol="dólar", TC,1)</f>
        <v>103.24320111940298</v>
      </c>
      <c r="E2833" s="228">
        <v>3</v>
      </c>
      <c r="F2833" s="585">
        <f t="shared" si="391"/>
        <v>106.25</v>
      </c>
      <c r="G2833" s="592" t="s">
        <v>11745</v>
      </c>
      <c r="H2833" s="651" t="s">
        <v>11746</v>
      </c>
      <c r="I2833" s="520" t="s">
        <v>11650</v>
      </c>
      <c r="J2833" s="589" t="s">
        <v>753</v>
      </c>
      <c r="K2833" s="520" t="s">
        <v>741</v>
      </c>
    </row>
    <row r="2834" spans="1:15" s="196" customFormat="1">
      <c r="A2834" s="589"/>
      <c r="B2834" s="902"/>
      <c r="C2834" s="209" t="s">
        <v>2058</v>
      </c>
      <c r="D2834" s="244"/>
      <c r="E2834" s="228"/>
      <c r="F2834" s="585"/>
      <c r="G2834" s="592"/>
      <c r="H2834" s="651"/>
      <c r="I2834" s="520"/>
      <c r="J2834" s="589"/>
      <c r="K2834" s="520"/>
    </row>
    <row r="2835" spans="1:15" s="196" customFormat="1">
      <c r="A2835" s="589"/>
      <c r="B2835" s="1681" t="s">
        <v>6055</v>
      </c>
      <c r="C2835" s="209" t="s">
        <v>2058</v>
      </c>
      <c r="D2835" s="244"/>
      <c r="E2835" s="228"/>
      <c r="F2835" s="585"/>
      <c r="G2835" s="592"/>
      <c r="H2835" s="1647"/>
      <c r="I2835" s="520"/>
      <c r="J2835" s="589"/>
      <c r="K2835" s="520"/>
      <c r="L2835" s="203"/>
      <c r="M2835" s="203"/>
      <c r="N2835" s="203"/>
      <c r="O2835" s="203"/>
    </row>
    <row r="2836" spans="1:15" s="194" customFormat="1">
      <c r="A2836" s="589"/>
      <c r="B2836" s="902" t="s">
        <v>9996</v>
      </c>
      <c r="C2836" s="209">
        <v>7.3</v>
      </c>
      <c r="D2836" s="244">
        <f t="shared" ref="D2836:D2841" si="394">C2836*(1-VLOOKUP(I2836,descuentos,6,FALSE))*fcl/IF(dol_sol="dólar", TC,1)</f>
        <v>1.7733538074626864</v>
      </c>
      <c r="E2836" s="228">
        <v>0</v>
      </c>
      <c r="F2836" s="585">
        <f t="shared" ref="F2836:F2841" si="395">ROUNDUP(D2836+E2836,2)</f>
        <v>1.78</v>
      </c>
      <c r="G2836" s="592" t="s">
        <v>9997</v>
      </c>
      <c r="H2836" s="651" t="s">
        <v>9998</v>
      </c>
      <c r="I2836" s="520" t="s">
        <v>11650</v>
      </c>
      <c r="J2836" s="589" t="s">
        <v>753</v>
      </c>
      <c r="K2836" s="520" t="s">
        <v>741</v>
      </c>
    </row>
    <row r="2837" spans="1:15" s="194" customFormat="1">
      <c r="A2837" s="589"/>
      <c r="B2837" s="902" t="s">
        <v>9999</v>
      </c>
      <c r="C2837" s="209">
        <v>6.8</v>
      </c>
      <c r="D2837" s="244">
        <f t="shared" si="394"/>
        <v>1.6518912179104475</v>
      </c>
      <c r="E2837" s="228">
        <v>0</v>
      </c>
      <c r="F2837" s="585">
        <f t="shared" si="395"/>
        <v>1.66</v>
      </c>
      <c r="G2837" s="592" t="s">
        <v>10000</v>
      </c>
      <c r="H2837" s="651" t="s">
        <v>10001</v>
      </c>
      <c r="I2837" s="520" t="s">
        <v>11650</v>
      </c>
      <c r="J2837" s="589" t="s">
        <v>753</v>
      </c>
      <c r="K2837" s="520" t="s">
        <v>741</v>
      </c>
    </row>
    <row r="2838" spans="1:15" s="194" customFormat="1">
      <c r="A2838" s="589"/>
      <c r="B2838" s="902" t="s">
        <v>10002</v>
      </c>
      <c r="C2838" s="209">
        <v>15.6</v>
      </c>
      <c r="D2838" s="244">
        <f t="shared" si="394"/>
        <v>3.7896327940298504</v>
      </c>
      <c r="E2838" s="228">
        <v>0</v>
      </c>
      <c r="F2838" s="585">
        <f t="shared" si="395"/>
        <v>3.7899999999999996</v>
      </c>
      <c r="G2838" s="592" t="s">
        <v>10003</v>
      </c>
      <c r="H2838" s="651" t="s">
        <v>10004</v>
      </c>
      <c r="I2838" s="520" t="s">
        <v>11650</v>
      </c>
      <c r="J2838" s="589" t="s">
        <v>753</v>
      </c>
      <c r="K2838" s="520" t="s">
        <v>741</v>
      </c>
    </row>
    <row r="2839" spans="1:15" s="194" customFormat="1">
      <c r="A2839" s="589"/>
      <c r="B2839" s="902" t="s">
        <v>10005</v>
      </c>
      <c r="C2839" s="209">
        <v>14.6</v>
      </c>
      <c r="D2839" s="244">
        <f t="shared" si="394"/>
        <v>3.5467076149253729</v>
      </c>
      <c r="E2839" s="228">
        <v>0</v>
      </c>
      <c r="F2839" s="585">
        <f t="shared" si="395"/>
        <v>3.55</v>
      </c>
      <c r="G2839" s="592" t="s">
        <v>10006</v>
      </c>
      <c r="H2839" s="651" t="s">
        <v>10007</v>
      </c>
      <c r="I2839" s="520" t="s">
        <v>11650</v>
      </c>
      <c r="J2839" s="589" t="s">
        <v>753</v>
      </c>
      <c r="K2839" s="520" t="s">
        <v>741</v>
      </c>
    </row>
    <row r="2840" spans="1:15" s="194" customFormat="1">
      <c r="A2840" s="589"/>
      <c r="B2840" s="902" t="s">
        <v>10008</v>
      </c>
      <c r="C2840" s="209">
        <v>13.6</v>
      </c>
      <c r="D2840" s="244">
        <f t="shared" si="394"/>
        <v>3.3037824358208949</v>
      </c>
      <c r="E2840" s="228">
        <v>0</v>
      </c>
      <c r="F2840" s="585">
        <f t="shared" si="395"/>
        <v>3.3099999999999996</v>
      </c>
      <c r="G2840" s="592" t="s">
        <v>10009</v>
      </c>
      <c r="H2840" s="651" t="s">
        <v>10010</v>
      </c>
      <c r="I2840" s="520" t="s">
        <v>11650</v>
      </c>
      <c r="J2840" s="589" t="s">
        <v>753</v>
      </c>
      <c r="K2840" s="520" t="s">
        <v>741</v>
      </c>
    </row>
    <row r="2841" spans="1:15" s="194" customFormat="1">
      <c r="A2841" s="589"/>
      <c r="B2841" s="902" t="s">
        <v>10141</v>
      </c>
      <c r="C2841" s="209">
        <v>10.4</v>
      </c>
      <c r="D2841" s="244">
        <f t="shared" si="394"/>
        <v>2.5264218626865671</v>
      </c>
      <c r="E2841" s="228">
        <v>0</v>
      </c>
      <c r="F2841" s="585">
        <f t="shared" si="395"/>
        <v>2.5299999999999998</v>
      </c>
      <c r="G2841" s="592" t="s">
        <v>10142</v>
      </c>
      <c r="H2841" s="651" t="s">
        <v>10143</v>
      </c>
      <c r="I2841" s="520" t="s">
        <v>11650</v>
      </c>
      <c r="J2841" s="589" t="s">
        <v>753</v>
      </c>
      <c r="K2841" s="520" t="s">
        <v>741</v>
      </c>
    </row>
    <row r="2842" spans="1:15" s="194" customFormat="1">
      <c r="A2842" s="589"/>
      <c r="B2842" s="902"/>
      <c r="C2842" s="209" t="s">
        <v>2058</v>
      </c>
      <c r="D2842" s="244"/>
      <c r="E2842" s="228"/>
      <c r="F2842" s="585"/>
      <c r="G2842" s="592"/>
      <c r="H2842" s="764"/>
      <c r="I2842" s="520"/>
      <c r="J2842" s="589"/>
      <c r="K2842" s="520"/>
    </row>
    <row r="2843" spans="1:15" s="196" customFormat="1">
      <c r="A2843" s="421"/>
      <c r="B2843" s="150" t="s">
        <v>10011</v>
      </c>
      <c r="C2843" s="209">
        <v>51</v>
      </c>
      <c r="D2843" s="228">
        <f>C2843*fcl*(1-0.28)/TC</f>
        <v>18.305194029850746</v>
      </c>
      <c r="E2843" s="228">
        <v>0</v>
      </c>
      <c r="F2843" s="585">
        <f>ROUNDUP(D2843+E2843,1)</f>
        <v>18.400000000000002</v>
      </c>
      <c r="G2843" s="338" t="s">
        <v>10012</v>
      </c>
      <c r="H2843" s="530" t="s">
        <v>10013</v>
      </c>
      <c r="I2843" s="520"/>
      <c r="J2843" s="421" t="s">
        <v>1603</v>
      </c>
      <c r="K2843" s="520" t="s">
        <v>741</v>
      </c>
    </row>
    <row r="2844" spans="1:15" s="194" customFormat="1">
      <c r="A2844" s="589"/>
      <c r="B2844" s="902"/>
      <c r="C2844" s="209" t="s">
        <v>2058</v>
      </c>
      <c r="D2844" s="244"/>
      <c r="E2844" s="228"/>
      <c r="F2844" s="585"/>
      <c r="G2844" s="592"/>
      <c r="H2844" s="764"/>
      <c r="I2844" s="520"/>
      <c r="J2844" s="589"/>
      <c r="K2844" s="520"/>
    </row>
    <row r="2845" spans="1:15" s="194" customFormat="1">
      <c r="A2845" s="589"/>
      <c r="B2845" s="902"/>
      <c r="C2845" s="209" t="s">
        <v>2058</v>
      </c>
      <c r="D2845" s="244"/>
      <c r="E2845" s="228"/>
      <c r="F2845" s="585"/>
      <c r="G2845" s="338"/>
      <c r="H2845" s="592"/>
      <c r="I2845" s="520"/>
      <c r="J2845" s="421"/>
      <c r="K2845" s="520"/>
    </row>
    <row r="2846" spans="1:15" s="194" customFormat="1">
      <c r="A2846" s="589"/>
      <c r="B2846" s="902"/>
      <c r="C2846" s="209" t="s">
        <v>2058</v>
      </c>
      <c r="D2846" s="244"/>
      <c r="E2846" s="228"/>
      <c r="F2846" s="585"/>
      <c r="G2846" s="338"/>
      <c r="H2846" s="592"/>
      <c r="I2846" s="520"/>
      <c r="J2846" s="421"/>
      <c r="K2846" s="520"/>
    </row>
    <row r="2847" spans="1:15" s="106" customFormat="1">
      <c r="B2847" s="347" t="s">
        <v>7591</v>
      </c>
      <c r="C2847" s="106" t="s">
        <v>2058</v>
      </c>
      <c r="H2847" s="724"/>
    </row>
    <row r="2848" spans="1:15" s="196" customFormat="1">
      <c r="A2848" s="589"/>
      <c r="B2848" s="151"/>
      <c r="C2848" s="209" t="s">
        <v>2058</v>
      </c>
      <c r="D2848" s="244"/>
      <c r="E2848" s="228"/>
      <c r="F2848" s="585"/>
      <c r="G2848" s="592"/>
      <c r="H2848" s="1647"/>
      <c r="I2848" s="520"/>
      <c r="J2848" s="589"/>
      <c r="K2848" s="520"/>
      <c r="L2848" s="203"/>
      <c r="M2848" s="203"/>
      <c r="N2848" s="203"/>
      <c r="O2848" s="203"/>
    </row>
    <row r="2849" spans="1:11" s="341" customFormat="1">
      <c r="A2849" s="421"/>
      <c r="B2849" s="338" t="s">
        <v>5687</v>
      </c>
      <c r="C2849" s="1674">
        <v>588</v>
      </c>
      <c r="D2849" s="244">
        <f t="shared" ref="D2849:D2859" si="396">C2849*(1-VLOOKUP(I2849,descuentos,6,FALSE))*fcl/IF(dol_sol="dólar", TC,1)</f>
        <v>142.84000531343284</v>
      </c>
      <c r="E2849" s="472">
        <v>15</v>
      </c>
      <c r="F2849" s="585">
        <f t="shared" ref="F2849:F2859" si="397">ROUNDUP(D2849+E2849,2)</f>
        <v>157.85</v>
      </c>
      <c r="G2849" s="338" t="s">
        <v>5688</v>
      </c>
      <c r="H2849" s="592" t="s">
        <v>5689</v>
      </c>
      <c r="I2849" s="520" t="s">
        <v>11649</v>
      </c>
      <c r="J2849" s="421" t="s">
        <v>753</v>
      </c>
      <c r="K2849" s="520" t="s">
        <v>741</v>
      </c>
    </row>
    <row r="2850" spans="1:11" s="341" customFormat="1">
      <c r="A2850" s="421"/>
      <c r="B2850" s="338" t="s">
        <v>5690</v>
      </c>
      <c r="C2850" s="1674">
        <v>588</v>
      </c>
      <c r="D2850" s="244">
        <f t="shared" si="396"/>
        <v>142.84000531343284</v>
      </c>
      <c r="E2850" s="472">
        <v>15</v>
      </c>
      <c r="F2850" s="585">
        <f t="shared" si="397"/>
        <v>157.85</v>
      </c>
      <c r="G2850" s="338" t="s">
        <v>10014</v>
      </c>
      <c r="H2850" s="592" t="s">
        <v>5691</v>
      </c>
      <c r="I2850" s="520" t="s">
        <v>11649</v>
      </c>
      <c r="J2850" s="421" t="s">
        <v>753</v>
      </c>
      <c r="K2850" s="520" t="s">
        <v>741</v>
      </c>
    </row>
    <row r="2851" spans="1:11" s="341" customFormat="1">
      <c r="A2851" s="421"/>
      <c r="B2851" s="338" t="s">
        <v>5692</v>
      </c>
      <c r="C2851" s="1674">
        <v>588</v>
      </c>
      <c r="D2851" s="244">
        <f t="shared" si="396"/>
        <v>142.84000531343284</v>
      </c>
      <c r="E2851" s="472">
        <v>15</v>
      </c>
      <c r="F2851" s="585">
        <f t="shared" si="397"/>
        <v>157.85</v>
      </c>
      <c r="G2851" s="338" t="s">
        <v>10015</v>
      </c>
      <c r="H2851" s="592" t="s">
        <v>5693</v>
      </c>
      <c r="I2851" s="520" t="s">
        <v>11649</v>
      </c>
      <c r="J2851" s="421" t="s">
        <v>753</v>
      </c>
      <c r="K2851" s="520" t="s">
        <v>741</v>
      </c>
    </row>
    <row r="2852" spans="1:11" s="341" customFormat="1">
      <c r="A2852" s="421"/>
      <c r="B2852" s="338" t="s">
        <v>5694</v>
      </c>
      <c r="C2852" s="1674">
        <v>588</v>
      </c>
      <c r="D2852" s="244">
        <f t="shared" si="396"/>
        <v>142.84000531343284</v>
      </c>
      <c r="E2852" s="472">
        <v>15</v>
      </c>
      <c r="F2852" s="585">
        <f t="shared" si="397"/>
        <v>157.85</v>
      </c>
      <c r="G2852" s="338" t="s">
        <v>10016</v>
      </c>
      <c r="H2852" s="592" t="s">
        <v>5695</v>
      </c>
      <c r="I2852" s="520" t="s">
        <v>11649</v>
      </c>
      <c r="J2852" s="421" t="s">
        <v>753</v>
      </c>
      <c r="K2852" s="520" t="s">
        <v>741</v>
      </c>
    </row>
    <row r="2853" spans="1:11" s="341" customFormat="1">
      <c r="A2853" s="421"/>
      <c r="B2853" s="338" t="s">
        <v>5696</v>
      </c>
      <c r="C2853" s="1674">
        <v>588</v>
      </c>
      <c r="D2853" s="244">
        <f t="shared" si="396"/>
        <v>142.84000531343284</v>
      </c>
      <c r="E2853" s="472">
        <v>15</v>
      </c>
      <c r="F2853" s="585">
        <f t="shared" si="397"/>
        <v>157.85</v>
      </c>
      <c r="G2853" s="338" t="s">
        <v>10017</v>
      </c>
      <c r="H2853" s="592" t="s">
        <v>5697</v>
      </c>
      <c r="I2853" s="520" t="s">
        <v>11649</v>
      </c>
      <c r="J2853" s="421" t="s">
        <v>753</v>
      </c>
      <c r="K2853" s="520" t="s">
        <v>741</v>
      </c>
    </row>
    <row r="2854" spans="1:11" s="341" customFormat="1">
      <c r="A2854" s="421"/>
      <c r="B2854" s="338" t="s">
        <v>5698</v>
      </c>
      <c r="C2854" s="1674">
        <v>588</v>
      </c>
      <c r="D2854" s="244">
        <f t="shared" si="396"/>
        <v>142.84000531343284</v>
      </c>
      <c r="E2854" s="472">
        <v>15</v>
      </c>
      <c r="F2854" s="585">
        <f t="shared" si="397"/>
        <v>157.85</v>
      </c>
      <c r="G2854" s="338" t="s">
        <v>10018</v>
      </c>
      <c r="H2854" s="592" t="s">
        <v>5699</v>
      </c>
      <c r="I2854" s="520" t="s">
        <v>11649</v>
      </c>
      <c r="J2854" s="421" t="s">
        <v>753</v>
      </c>
      <c r="K2854" s="520" t="s">
        <v>741</v>
      </c>
    </row>
    <row r="2855" spans="1:11" s="341" customFormat="1">
      <c r="A2855" s="421"/>
      <c r="B2855" s="338" t="s">
        <v>5700</v>
      </c>
      <c r="C2855" s="1674">
        <v>588</v>
      </c>
      <c r="D2855" s="244">
        <f t="shared" si="396"/>
        <v>142.84000531343284</v>
      </c>
      <c r="E2855" s="472">
        <v>15</v>
      </c>
      <c r="F2855" s="585">
        <f t="shared" si="397"/>
        <v>157.85</v>
      </c>
      <c r="G2855" s="338" t="s">
        <v>10019</v>
      </c>
      <c r="H2855" s="592" t="s">
        <v>5701</v>
      </c>
      <c r="I2855" s="520" t="s">
        <v>11649</v>
      </c>
      <c r="J2855" s="421" t="s">
        <v>753</v>
      </c>
      <c r="K2855" s="520" t="s">
        <v>741</v>
      </c>
    </row>
    <row r="2856" spans="1:11" s="341" customFormat="1">
      <c r="A2856" s="421"/>
      <c r="B2856" s="338" t="s">
        <v>5702</v>
      </c>
      <c r="C2856" s="1674">
        <v>588</v>
      </c>
      <c r="D2856" s="244">
        <f t="shared" si="396"/>
        <v>142.84000531343284</v>
      </c>
      <c r="E2856" s="472">
        <v>15</v>
      </c>
      <c r="F2856" s="585">
        <f t="shared" si="397"/>
        <v>157.85</v>
      </c>
      <c r="G2856" s="338" t="s">
        <v>10020</v>
      </c>
      <c r="H2856" s="592" t="s">
        <v>5703</v>
      </c>
      <c r="I2856" s="520" t="s">
        <v>11649</v>
      </c>
      <c r="J2856" s="421" t="s">
        <v>753</v>
      </c>
      <c r="K2856" s="520" t="s">
        <v>741</v>
      </c>
    </row>
    <row r="2857" spans="1:11" s="341" customFormat="1">
      <c r="A2857" s="421"/>
      <c r="B2857" s="338" t="s">
        <v>5704</v>
      </c>
      <c r="C2857" s="1674">
        <v>598</v>
      </c>
      <c r="D2857" s="244">
        <f t="shared" si="396"/>
        <v>145.26925710447759</v>
      </c>
      <c r="E2857" s="472">
        <v>15</v>
      </c>
      <c r="F2857" s="585">
        <f t="shared" si="397"/>
        <v>160.26999999999998</v>
      </c>
      <c r="G2857" s="338" t="s">
        <v>10021</v>
      </c>
      <c r="H2857" s="592" t="s">
        <v>5705</v>
      </c>
      <c r="I2857" s="520" t="s">
        <v>11649</v>
      </c>
      <c r="J2857" s="421" t="s">
        <v>753</v>
      </c>
      <c r="K2857" s="520" t="s">
        <v>741</v>
      </c>
    </row>
    <row r="2858" spans="1:11" s="341" customFormat="1">
      <c r="A2858" s="421"/>
      <c r="B2858" s="338" t="s">
        <v>5706</v>
      </c>
      <c r="C2858" s="1674">
        <v>598</v>
      </c>
      <c r="D2858" s="244">
        <f t="shared" si="396"/>
        <v>145.26925710447759</v>
      </c>
      <c r="E2858" s="472">
        <v>15</v>
      </c>
      <c r="F2858" s="585">
        <f t="shared" si="397"/>
        <v>160.26999999999998</v>
      </c>
      <c r="G2858" s="338" t="s">
        <v>10022</v>
      </c>
      <c r="H2858" s="592" t="s">
        <v>5707</v>
      </c>
      <c r="I2858" s="520" t="s">
        <v>11649</v>
      </c>
      <c r="J2858" s="421" t="s">
        <v>753</v>
      </c>
      <c r="K2858" s="520" t="s">
        <v>741</v>
      </c>
    </row>
    <row r="2859" spans="1:11" s="341" customFormat="1">
      <c r="A2859" s="421"/>
      <c r="B2859" s="338" t="s">
        <v>5708</v>
      </c>
      <c r="C2859" s="1674">
        <v>598</v>
      </c>
      <c r="D2859" s="244">
        <f t="shared" si="396"/>
        <v>145.26925710447759</v>
      </c>
      <c r="E2859" s="472">
        <v>15</v>
      </c>
      <c r="F2859" s="585">
        <f t="shared" si="397"/>
        <v>160.26999999999998</v>
      </c>
      <c r="G2859" s="338" t="s">
        <v>10023</v>
      </c>
      <c r="H2859" s="592" t="s">
        <v>5709</v>
      </c>
      <c r="I2859" s="520" t="s">
        <v>11649</v>
      </c>
      <c r="J2859" s="421" t="s">
        <v>753</v>
      </c>
      <c r="K2859" s="520" t="s">
        <v>741</v>
      </c>
    </row>
    <row r="2860" spans="1:11" s="196" customFormat="1">
      <c r="A2860" s="418"/>
      <c r="B2860" s="146"/>
      <c r="C2860" s="209" t="s">
        <v>2058</v>
      </c>
      <c r="D2860" s="219"/>
      <c r="E2860" s="117"/>
      <c r="F2860" s="161"/>
      <c r="G2860" s="147"/>
      <c r="H2860" s="146"/>
      <c r="I2860" s="194"/>
      <c r="J2860" s="194"/>
      <c r="K2860" s="194"/>
    </row>
    <row r="2861" spans="1:11" s="341" customFormat="1">
      <c r="A2861" s="421"/>
      <c r="B2861" s="338" t="s">
        <v>10024</v>
      </c>
      <c r="C2861" s="1674">
        <v>1061</v>
      </c>
      <c r="D2861" s="244">
        <f>C2861*(1-VLOOKUP(I2861,descuentos,6,FALSE))*fcl/IF(dol_sol="dólar", TC,1)</f>
        <v>257.74361502985073</v>
      </c>
      <c r="E2861" s="228">
        <v>20</v>
      </c>
      <c r="F2861" s="585">
        <f>ROUNDUP(D2861+E2861,2)</f>
        <v>277.75</v>
      </c>
      <c r="G2861" s="338" t="s">
        <v>10025</v>
      </c>
      <c r="H2861" s="592" t="s">
        <v>10026</v>
      </c>
      <c r="I2861" s="520" t="s">
        <v>11649</v>
      </c>
      <c r="J2861" s="421" t="s">
        <v>753</v>
      </c>
      <c r="K2861" s="520" t="s">
        <v>741</v>
      </c>
    </row>
    <row r="2862" spans="1:11" s="341" customFormat="1">
      <c r="A2862" s="421"/>
      <c r="B2862" s="338" t="s">
        <v>10027</v>
      </c>
      <c r="C2862" s="1674">
        <v>1061</v>
      </c>
      <c r="D2862" s="244">
        <f>C2862*(1-VLOOKUP(I2862,descuentos,6,FALSE))*fcl/IF(dol_sol="dólar", TC,1)</f>
        <v>257.74361502985073</v>
      </c>
      <c r="E2862" s="228">
        <v>20</v>
      </c>
      <c r="F2862" s="585">
        <f>ROUNDUP(D2862+E2862,2)</f>
        <v>277.75</v>
      </c>
      <c r="G2862" s="338" t="s">
        <v>10028</v>
      </c>
      <c r="H2862" s="592" t="s">
        <v>10029</v>
      </c>
      <c r="I2862" s="520" t="s">
        <v>11649</v>
      </c>
      <c r="J2862" s="421" t="s">
        <v>753</v>
      </c>
      <c r="K2862" s="520" t="s">
        <v>741</v>
      </c>
    </row>
    <row r="2863" spans="1:11" s="341" customFormat="1">
      <c r="A2863" s="421"/>
      <c r="B2863" s="338" t="s">
        <v>10030</v>
      </c>
      <c r="C2863" s="1674">
        <v>1123</v>
      </c>
      <c r="D2863" s="244">
        <f>C2863*(1-VLOOKUP(I2863,descuentos,6,FALSE))*fcl/IF(dol_sol="dólar", TC,1)</f>
        <v>272.80497613432834</v>
      </c>
      <c r="E2863" s="228">
        <v>20</v>
      </c>
      <c r="F2863" s="585">
        <f>ROUNDUP(D2863+E2863,2)</f>
        <v>292.81</v>
      </c>
      <c r="G2863" s="338" t="s">
        <v>10031</v>
      </c>
      <c r="H2863" s="592" t="s">
        <v>10032</v>
      </c>
      <c r="I2863" s="520" t="s">
        <v>11649</v>
      </c>
      <c r="J2863" s="421" t="s">
        <v>753</v>
      </c>
      <c r="K2863" s="520" t="s">
        <v>741</v>
      </c>
    </row>
    <row r="2864" spans="1:11" s="196" customFormat="1">
      <c r="A2864" s="418"/>
      <c r="B2864" s="146"/>
      <c r="C2864" s="1674" t="s">
        <v>2058</v>
      </c>
      <c r="D2864" s="219"/>
      <c r="E2864" s="117"/>
      <c r="F2864" s="161"/>
      <c r="G2864" s="147"/>
      <c r="H2864" s="146"/>
      <c r="I2864" s="194"/>
      <c r="J2864" s="194"/>
      <c r="K2864" s="194"/>
    </row>
    <row r="2865" spans="1:15" s="341" customFormat="1">
      <c r="A2865" s="421"/>
      <c r="B2865" s="394" t="s">
        <v>10033</v>
      </c>
      <c r="C2865" s="1674">
        <v>1379</v>
      </c>
      <c r="D2865" s="388">
        <f>C2865*(1-VLOOKUP(I2865,descuentos,6,FALSE))*fcl/IF(dol_sol="dólar", TC,1)</f>
        <v>334.99382198507465</v>
      </c>
      <c r="E2865" s="386">
        <v>30</v>
      </c>
      <c r="F2865" s="582">
        <f>ROUNDUP(D2865+E2865,2)</f>
        <v>365</v>
      </c>
      <c r="G2865" s="394" t="s">
        <v>10034</v>
      </c>
      <c r="H2865" s="592" t="s">
        <v>10035</v>
      </c>
      <c r="I2865" s="520" t="s">
        <v>11649</v>
      </c>
      <c r="J2865" s="421" t="s">
        <v>753</v>
      </c>
      <c r="K2865" s="520" t="s">
        <v>741</v>
      </c>
    </row>
    <row r="2866" spans="1:15" s="341" customFormat="1">
      <c r="A2866" s="421"/>
      <c r="B2866" s="394" t="s">
        <v>10036</v>
      </c>
      <c r="C2866" s="1674">
        <v>1379</v>
      </c>
      <c r="D2866" s="388">
        <f>C2866*(1-VLOOKUP(I2866,descuentos,6,FALSE))*fcl/IF(dol_sol="dólar", TC,1)</f>
        <v>334.99382198507465</v>
      </c>
      <c r="E2866" s="386">
        <v>30</v>
      </c>
      <c r="F2866" s="582">
        <f>ROUNDUP(D2866+E2866,2)</f>
        <v>365</v>
      </c>
      <c r="G2866" s="394" t="s">
        <v>10037</v>
      </c>
      <c r="H2866" s="592" t="s">
        <v>10038</v>
      </c>
      <c r="I2866" s="520" t="s">
        <v>11649</v>
      </c>
      <c r="J2866" s="421" t="s">
        <v>753</v>
      </c>
      <c r="K2866" s="520" t="s">
        <v>741</v>
      </c>
    </row>
    <row r="2867" spans="1:15" s="341" customFormat="1">
      <c r="A2867" s="421"/>
      <c r="B2867" s="394" t="s">
        <v>10039</v>
      </c>
      <c r="C2867" s="1674">
        <v>1460</v>
      </c>
      <c r="D2867" s="388">
        <f>C2867*(1-VLOOKUP(I2867,descuentos,6,FALSE))*fcl/IF(dol_sol="dólar", TC,1)</f>
        <v>354.67076149253728</v>
      </c>
      <c r="E2867" s="386">
        <v>30</v>
      </c>
      <c r="F2867" s="582">
        <f>ROUNDUP(D2867+E2867,2)</f>
        <v>384.68</v>
      </c>
      <c r="G2867" s="394" t="s">
        <v>10040</v>
      </c>
      <c r="H2867" s="592" t="s">
        <v>10041</v>
      </c>
      <c r="I2867" s="520" t="s">
        <v>11649</v>
      </c>
      <c r="J2867" s="421" t="s">
        <v>753</v>
      </c>
      <c r="K2867" s="520" t="s">
        <v>741</v>
      </c>
    </row>
    <row r="2868" spans="1:15" s="341" customFormat="1">
      <c r="A2868" s="421"/>
      <c r="B2868" s="338"/>
      <c r="C2868" s="209" t="s">
        <v>2058</v>
      </c>
      <c r="D2868" s="244"/>
      <c r="E2868" s="228"/>
      <c r="F2868" s="585"/>
      <c r="G2868" s="338"/>
      <c r="H2868" s="592"/>
      <c r="I2868" s="520"/>
      <c r="J2868" s="421"/>
      <c r="K2868" s="520"/>
    </row>
    <row r="2869" spans="1:15" s="341" customFormat="1">
      <c r="A2869" s="421"/>
      <c r="B2869" s="338" t="s">
        <v>9774</v>
      </c>
      <c r="C2869" s="1674">
        <v>2537</v>
      </c>
      <c r="D2869" s="244">
        <f>C2869*(1-VLOOKUP(I2869,descuentos,6,FALSE))*fcl/IF(dol_sol="dólar", TC,1)</f>
        <v>616.30117938805961</v>
      </c>
      <c r="E2869" s="228">
        <v>40</v>
      </c>
      <c r="F2869" s="585">
        <f>ROUNDUP(D2869+E2869,2)</f>
        <v>656.31</v>
      </c>
      <c r="G2869" s="338" t="s">
        <v>9775</v>
      </c>
      <c r="H2869" s="592" t="s">
        <v>9776</v>
      </c>
      <c r="I2869" s="520" t="s">
        <v>11649</v>
      </c>
      <c r="J2869" s="421" t="s">
        <v>753</v>
      </c>
      <c r="K2869" s="520" t="s">
        <v>741</v>
      </c>
    </row>
    <row r="2870" spans="1:15" s="341" customFormat="1">
      <c r="A2870" s="421"/>
      <c r="B2870" s="338" t="s">
        <v>9777</v>
      </c>
      <c r="C2870" s="1674">
        <v>2537</v>
      </c>
      <c r="D2870" s="244">
        <f>C2870*(1-VLOOKUP(I2870,descuentos,6,FALSE))*fcl/IF(dol_sol="dólar", TC,1)</f>
        <v>616.30117938805961</v>
      </c>
      <c r="E2870" s="228">
        <v>40</v>
      </c>
      <c r="F2870" s="585">
        <f>ROUNDUP(D2870+E2870,2)</f>
        <v>656.31</v>
      </c>
      <c r="G2870" s="338" t="s">
        <v>9778</v>
      </c>
      <c r="H2870" s="592" t="s">
        <v>9779</v>
      </c>
      <c r="I2870" s="520" t="s">
        <v>11649</v>
      </c>
      <c r="J2870" s="421" t="s">
        <v>753</v>
      </c>
      <c r="K2870" s="520" t="s">
        <v>741</v>
      </c>
    </row>
    <row r="2871" spans="1:15" s="341" customFormat="1">
      <c r="A2871" s="421"/>
      <c r="B2871" s="338" t="s">
        <v>9780</v>
      </c>
      <c r="C2871" s="1674">
        <v>2636</v>
      </c>
      <c r="D2871" s="244">
        <f>C2871*(1-VLOOKUP(I2871,descuentos,6,FALSE))*fcl/IF(dol_sol="dólar", TC,1)</f>
        <v>640.3507721194029</v>
      </c>
      <c r="E2871" s="228">
        <v>40</v>
      </c>
      <c r="F2871" s="585">
        <f>ROUNDUP(D2871+E2871,2)</f>
        <v>680.36</v>
      </c>
      <c r="G2871" s="338" t="s">
        <v>9781</v>
      </c>
      <c r="H2871" s="592" t="s">
        <v>9782</v>
      </c>
      <c r="I2871" s="520" t="s">
        <v>11649</v>
      </c>
      <c r="J2871" s="421" t="s">
        <v>753</v>
      </c>
      <c r="K2871" s="520" t="s">
        <v>741</v>
      </c>
    </row>
    <row r="2872" spans="1:15" s="196" customFormat="1">
      <c r="A2872" s="418"/>
      <c r="B2872" s="146"/>
      <c r="C2872" s="1675" t="s">
        <v>2058</v>
      </c>
      <c r="D2872" s="219"/>
      <c r="E2872" s="117"/>
      <c r="F2872" s="161"/>
      <c r="G2872" s="147"/>
      <c r="H2872" s="146"/>
      <c r="I2872" s="194"/>
      <c r="J2872" s="194"/>
      <c r="K2872" s="194"/>
    </row>
    <row r="2873" spans="1:15" s="341" customFormat="1">
      <c r="A2873" s="421"/>
      <c r="B2873" s="338" t="s">
        <v>5678</v>
      </c>
      <c r="C2873" s="1674">
        <v>2377</v>
      </c>
      <c r="D2873" s="244">
        <f>C2873*(1-VLOOKUP(I2873,descuentos,6,FALSE))*fcl/IF(dol_sol="dólar", TC,1)</f>
        <v>577.43315073134329</v>
      </c>
      <c r="E2873" s="228">
        <v>40</v>
      </c>
      <c r="F2873" s="585">
        <f>ROUNDUP(D2873+E2873,2)</f>
        <v>617.43999999999994</v>
      </c>
      <c r="G2873" s="338" t="s">
        <v>5679</v>
      </c>
      <c r="H2873" s="592" t="s">
        <v>5680</v>
      </c>
      <c r="I2873" s="520" t="s">
        <v>11649</v>
      </c>
      <c r="J2873" s="421" t="s">
        <v>753</v>
      </c>
      <c r="K2873" s="520" t="s">
        <v>741</v>
      </c>
    </row>
    <row r="2874" spans="1:15" s="341" customFormat="1">
      <c r="A2874" s="421"/>
      <c r="B2874" s="338" t="s">
        <v>5684</v>
      </c>
      <c r="C2874" s="1674">
        <v>2752</v>
      </c>
      <c r="D2874" s="244">
        <f>C2874*(1-VLOOKUP(I2874,descuentos,6,FALSE))*fcl/IF(dol_sol="dólar", TC,1)</f>
        <v>668.53009289552233</v>
      </c>
      <c r="E2874" s="228">
        <v>40</v>
      </c>
      <c r="F2874" s="585">
        <f>ROUNDUP(D2874+E2874,2)</f>
        <v>708.54</v>
      </c>
      <c r="G2874" s="338" t="s">
        <v>5685</v>
      </c>
      <c r="H2874" s="592" t="s">
        <v>5686</v>
      </c>
      <c r="I2874" s="520" t="s">
        <v>11649</v>
      </c>
      <c r="J2874" s="421" t="s">
        <v>753</v>
      </c>
      <c r="K2874" s="520" t="s">
        <v>741</v>
      </c>
    </row>
    <row r="2875" spans="1:15" s="341" customFormat="1">
      <c r="A2875" s="421"/>
      <c r="B2875" s="338" t="s">
        <v>5681</v>
      </c>
      <c r="C2875" s="1674">
        <v>2377</v>
      </c>
      <c r="D2875" s="244">
        <f>C2875*(1-VLOOKUP(I2875,descuentos,6,FALSE))*fcl/IF(dol_sol="dólar", TC,1)</f>
        <v>577.43315073134329</v>
      </c>
      <c r="E2875" s="228">
        <v>40</v>
      </c>
      <c r="F2875" s="585">
        <f>ROUNDUP(D2875+E2875,2)</f>
        <v>617.43999999999994</v>
      </c>
      <c r="G2875" s="338" t="s">
        <v>5682</v>
      </c>
      <c r="H2875" s="592" t="s">
        <v>5683</v>
      </c>
      <c r="I2875" s="520" t="s">
        <v>11649</v>
      </c>
      <c r="J2875" s="421" t="s">
        <v>753</v>
      </c>
      <c r="K2875" s="520" t="s">
        <v>741</v>
      </c>
    </row>
    <row r="2876" spans="1:15" s="196" customFormat="1">
      <c r="A2876" s="418"/>
      <c r="B2876" s="146"/>
      <c r="C2876" s="254" t="s">
        <v>2058</v>
      </c>
      <c r="D2876" s="219"/>
      <c r="E2876" s="117"/>
      <c r="F2876" s="161"/>
      <c r="G2876" s="147"/>
      <c r="H2876" s="146"/>
      <c r="I2876" s="194"/>
      <c r="J2876" s="194"/>
      <c r="K2876" s="194"/>
    </row>
    <row r="2877" spans="1:15" s="196" customFormat="1">
      <c r="A2877" s="418"/>
      <c r="B2877" s="146"/>
      <c r="C2877" s="254" t="s">
        <v>2058</v>
      </c>
      <c r="D2877" s="219"/>
      <c r="E2877" s="117"/>
      <c r="F2877" s="161"/>
      <c r="G2877" s="147"/>
      <c r="H2877" s="146"/>
      <c r="I2877" s="194"/>
      <c r="J2877" s="194"/>
      <c r="K2877" s="194"/>
    </row>
    <row r="2878" spans="1:15" s="196" customFormat="1">
      <c r="A2878" s="421"/>
      <c r="B2878" s="592" t="s">
        <v>5710</v>
      </c>
      <c r="C2878" s="209">
        <v>240</v>
      </c>
      <c r="D2878" s="244">
        <f>C2878*(1-VLOOKUP(I2878,descuentos,6,FALSE))*fcl/IF(dol_sol="dólar", TC,1)</f>
        <v>58.302042985074621</v>
      </c>
      <c r="E2878" s="228">
        <v>8</v>
      </c>
      <c r="F2878" s="585">
        <f>ROUNDUP(D2878+E2878,2)</f>
        <v>66.31</v>
      </c>
      <c r="G2878" s="592" t="s">
        <v>5711</v>
      </c>
      <c r="H2878" s="592" t="s">
        <v>1290</v>
      </c>
      <c r="I2878" s="520" t="s">
        <v>11649</v>
      </c>
      <c r="J2878" s="421" t="s">
        <v>753</v>
      </c>
      <c r="K2878" s="520" t="s">
        <v>741</v>
      </c>
    </row>
    <row r="2879" spans="1:15" s="196" customFormat="1">
      <c r="A2879" s="589"/>
      <c r="B2879" s="151"/>
      <c r="C2879" s="209" t="s">
        <v>2058</v>
      </c>
      <c r="D2879" s="244"/>
      <c r="E2879" s="228"/>
      <c r="F2879" s="585"/>
      <c r="G2879" s="592"/>
      <c r="H2879" s="1647"/>
      <c r="I2879" s="520"/>
      <c r="J2879" s="589"/>
      <c r="K2879" s="520"/>
      <c r="L2879" s="203"/>
      <c r="M2879" s="203"/>
      <c r="N2879" s="203"/>
      <c r="O2879" s="203"/>
    </row>
    <row r="2880" spans="1:15" s="196" customFormat="1">
      <c r="A2880" s="418"/>
      <c r="B2880" s="146"/>
      <c r="C2880" s="254" t="s">
        <v>2058</v>
      </c>
      <c r="D2880" s="219"/>
      <c r="E2880" s="117"/>
      <c r="F2880" s="161"/>
      <c r="G2880" s="147"/>
      <c r="H2880" s="146"/>
      <c r="I2880" s="194"/>
      <c r="J2880" s="194"/>
      <c r="K2880" s="194"/>
    </row>
    <row r="2881" spans="1:11" s="196" customFormat="1">
      <c r="A2881" s="418"/>
      <c r="B2881" s="146"/>
      <c r="C2881" s="1674" t="s">
        <v>2058</v>
      </c>
      <c r="D2881" s="219"/>
      <c r="E2881" s="117"/>
      <c r="F2881" s="161"/>
      <c r="G2881" s="147"/>
      <c r="H2881" s="146"/>
      <c r="I2881" s="194"/>
      <c r="J2881" s="194"/>
      <c r="K2881" s="194"/>
    </row>
    <row r="2882" spans="1:11" s="341" customFormat="1">
      <c r="A2882" s="421"/>
      <c r="B2882" s="338" t="s">
        <v>10042</v>
      </c>
      <c r="C2882" s="1674">
        <v>150</v>
      </c>
      <c r="D2882" s="244">
        <f t="shared" ref="D2882:D2887" si="398">C2882*(1-VLOOKUP(I2882,descuentos,6,FALSE))*fcl/IF(dol_sol="dólar", TC,1)</f>
        <v>36.438776865671635</v>
      </c>
      <c r="E2882" s="472">
        <v>8</v>
      </c>
      <c r="F2882" s="585">
        <f t="shared" ref="F2882:F2945" si="399">ROUNDUP(D2882+E2882,2)</f>
        <v>44.44</v>
      </c>
      <c r="G2882" s="338" t="s">
        <v>10043</v>
      </c>
      <c r="H2882" s="592" t="s">
        <v>10044</v>
      </c>
      <c r="I2882" s="520" t="s">
        <v>11649</v>
      </c>
      <c r="J2882" s="421" t="s">
        <v>753</v>
      </c>
      <c r="K2882" s="520" t="s">
        <v>741</v>
      </c>
    </row>
    <row r="2883" spans="1:11" s="341" customFormat="1">
      <c r="A2883" s="421"/>
      <c r="B2883" s="338" t="s">
        <v>10045</v>
      </c>
      <c r="C2883" s="1674">
        <v>150</v>
      </c>
      <c r="D2883" s="244">
        <f t="shared" si="398"/>
        <v>36.438776865671635</v>
      </c>
      <c r="E2883" s="472">
        <v>8</v>
      </c>
      <c r="F2883" s="585">
        <f t="shared" si="399"/>
        <v>44.44</v>
      </c>
      <c r="G2883" s="338" t="s">
        <v>10046</v>
      </c>
      <c r="H2883" s="592" t="s">
        <v>10047</v>
      </c>
      <c r="I2883" s="520" t="s">
        <v>11649</v>
      </c>
      <c r="J2883" s="421" t="s">
        <v>753</v>
      </c>
      <c r="K2883" s="520" t="s">
        <v>741</v>
      </c>
    </row>
    <row r="2884" spans="1:11" s="341" customFormat="1">
      <c r="A2884" s="421"/>
      <c r="B2884" s="338" t="s">
        <v>10048</v>
      </c>
      <c r="C2884" s="1674">
        <v>150</v>
      </c>
      <c r="D2884" s="244">
        <f t="shared" si="398"/>
        <v>36.438776865671635</v>
      </c>
      <c r="E2884" s="472">
        <v>8</v>
      </c>
      <c r="F2884" s="585">
        <f t="shared" si="399"/>
        <v>44.44</v>
      </c>
      <c r="G2884" s="338" t="s">
        <v>10049</v>
      </c>
      <c r="H2884" s="592" t="s">
        <v>10050</v>
      </c>
      <c r="I2884" s="520" t="s">
        <v>11649</v>
      </c>
      <c r="J2884" s="421" t="s">
        <v>753</v>
      </c>
      <c r="K2884" s="520" t="s">
        <v>741</v>
      </c>
    </row>
    <row r="2885" spans="1:11" s="341" customFormat="1">
      <c r="A2885" s="421"/>
      <c r="B2885" s="338" t="s">
        <v>10051</v>
      </c>
      <c r="C2885" s="1674">
        <v>150</v>
      </c>
      <c r="D2885" s="244">
        <f t="shared" si="398"/>
        <v>36.438776865671635</v>
      </c>
      <c r="E2885" s="472">
        <v>8</v>
      </c>
      <c r="F2885" s="585">
        <f t="shared" si="399"/>
        <v>44.44</v>
      </c>
      <c r="G2885" s="338" t="s">
        <v>10052</v>
      </c>
      <c r="H2885" s="592" t="s">
        <v>10053</v>
      </c>
      <c r="I2885" s="520" t="s">
        <v>11649</v>
      </c>
      <c r="J2885" s="421" t="s">
        <v>753</v>
      </c>
      <c r="K2885" s="520" t="s">
        <v>741</v>
      </c>
    </row>
    <row r="2886" spans="1:11" s="341" customFormat="1">
      <c r="A2886" s="421"/>
      <c r="B2886" s="338" t="s">
        <v>10054</v>
      </c>
      <c r="C2886" s="1674">
        <v>150</v>
      </c>
      <c r="D2886" s="244">
        <f t="shared" si="398"/>
        <v>36.438776865671635</v>
      </c>
      <c r="E2886" s="472">
        <v>8</v>
      </c>
      <c r="F2886" s="585">
        <f t="shared" si="399"/>
        <v>44.44</v>
      </c>
      <c r="G2886" s="338" t="s">
        <v>10055</v>
      </c>
      <c r="H2886" s="592" t="s">
        <v>10056</v>
      </c>
      <c r="I2886" s="520" t="s">
        <v>11649</v>
      </c>
      <c r="J2886" s="421" t="s">
        <v>753</v>
      </c>
      <c r="K2886" s="520" t="s">
        <v>741</v>
      </c>
    </row>
    <row r="2887" spans="1:11" s="341" customFormat="1">
      <c r="A2887" s="421"/>
      <c r="B2887" s="338" t="s">
        <v>10057</v>
      </c>
      <c r="C2887" s="1674">
        <v>157</v>
      </c>
      <c r="D2887" s="244">
        <f t="shared" si="398"/>
        <v>38.13925311940298</v>
      </c>
      <c r="E2887" s="472">
        <v>8</v>
      </c>
      <c r="F2887" s="585">
        <f t="shared" si="399"/>
        <v>46.14</v>
      </c>
      <c r="G2887" s="338" t="s">
        <v>10058</v>
      </c>
      <c r="H2887" s="592" t="s">
        <v>10059</v>
      </c>
      <c r="I2887" s="520" t="s">
        <v>11649</v>
      </c>
      <c r="J2887" s="421" t="s">
        <v>753</v>
      </c>
      <c r="K2887" s="520" t="s">
        <v>741</v>
      </c>
    </row>
    <row r="2888" spans="1:11" s="341" customFormat="1">
      <c r="A2888" s="421"/>
      <c r="B2888" s="338"/>
      <c r="C2888" s="1674" t="s">
        <v>2058</v>
      </c>
      <c r="D2888" s="244"/>
      <c r="E2888" s="228"/>
      <c r="F2888" s="585">
        <f t="shared" si="399"/>
        <v>0</v>
      </c>
      <c r="G2888" s="338"/>
      <c r="H2888" s="592"/>
      <c r="I2888" s="520"/>
      <c r="J2888" s="421"/>
      <c r="K2888" s="520"/>
    </row>
    <row r="2889" spans="1:11" s="341" customFormat="1">
      <c r="A2889" s="421"/>
      <c r="B2889" s="338" t="s">
        <v>5716</v>
      </c>
      <c r="C2889" s="1674">
        <v>178</v>
      </c>
      <c r="D2889" s="244">
        <f t="shared" ref="D2889:D2899" si="400">C2889*(1-VLOOKUP(I2889,descuentos,6,FALSE))*fcl/IF(dol_sol="dólar", TC,1)</f>
        <v>43.240681880597016</v>
      </c>
      <c r="E2889" s="472">
        <v>10</v>
      </c>
      <c r="F2889" s="585">
        <f t="shared" si="399"/>
        <v>53.25</v>
      </c>
      <c r="G2889" s="338" t="s">
        <v>5717</v>
      </c>
      <c r="H2889" s="592" t="s">
        <v>9630</v>
      </c>
      <c r="I2889" s="520" t="s">
        <v>11649</v>
      </c>
      <c r="J2889" s="421" t="s">
        <v>753</v>
      </c>
      <c r="K2889" s="520" t="s">
        <v>741</v>
      </c>
    </row>
    <row r="2890" spans="1:11" s="341" customFormat="1">
      <c r="A2890" s="421"/>
      <c r="B2890" s="338" t="s">
        <v>5718</v>
      </c>
      <c r="C2890" s="1674">
        <v>178</v>
      </c>
      <c r="D2890" s="244">
        <f t="shared" si="400"/>
        <v>43.240681880597016</v>
      </c>
      <c r="E2890" s="472">
        <v>10</v>
      </c>
      <c r="F2890" s="585">
        <f t="shared" si="399"/>
        <v>53.25</v>
      </c>
      <c r="G2890" s="338" t="s">
        <v>5719</v>
      </c>
      <c r="H2890" s="592" t="s">
        <v>9631</v>
      </c>
      <c r="I2890" s="520" t="s">
        <v>11649</v>
      </c>
      <c r="J2890" s="421" t="s">
        <v>753</v>
      </c>
      <c r="K2890" s="520" t="s">
        <v>741</v>
      </c>
    </row>
    <row r="2891" spans="1:11" s="341" customFormat="1">
      <c r="A2891" s="421"/>
      <c r="B2891" s="338" t="s">
        <v>5720</v>
      </c>
      <c r="C2891" s="1674">
        <v>178</v>
      </c>
      <c r="D2891" s="244">
        <f t="shared" si="400"/>
        <v>43.240681880597016</v>
      </c>
      <c r="E2891" s="472">
        <v>10</v>
      </c>
      <c r="F2891" s="585">
        <f t="shared" si="399"/>
        <v>53.25</v>
      </c>
      <c r="G2891" s="338" t="s">
        <v>5721</v>
      </c>
      <c r="H2891" s="592" t="s">
        <v>9632</v>
      </c>
      <c r="I2891" s="520" t="s">
        <v>11649</v>
      </c>
      <c r="J2891" s="421" t="s">
        <v>753</v>
      </c>
      <c r="K2891" s="520" t="s">
        <v>741</v>
      </c>
    </row>
    <row r="2892" spans="1:11" s="341" customFormat="1">
      <c r="A2892" s="421"/>
      <c r="B2892" s="338" t="s">
        <v>5722</v>
      </c>
      <c r="C2892" s="1674">
        <v>178</v>
      </c>
      <c r="D2892" s="244">
        <f t="shared" si="400"/>
        <v>43.240681880597016</v>
      </c>
      <c r="E2892" s="472">
        <v>10</v>
      </c>
      <c r="F2892" s="585">
        <f t="shared" si="399"/>
        <v>53.25</v>
      </c>
      <c r="G2892" s="338" t="s">
        <v>5723</v>
      </c>
      <c r="H2892" s="592" t="s">
        <v>9633</v>
      </c>
      <c r="I2892" s="520" t="s">
        <v>11649</v>
      </c>
      <c r="J2892" s="421" t="s">
        <v>753</v>
      </c>
      <c r="K2892" s="520" t="s">
        <v>741</v>
      </c>
    </row>
    <row r="2893" spans="1:11" s="341" customFormat="1">
      <c r="A2893" s="421"/>
      <c r="B2893" s="338" t="s">
        <v>5724</v>
      </c>
      <c r="C2893" s="1674">
        <v>178</v>
      </c>
      <c r="D2893" s="244">
        <f t="shared" si="400"/>
        <v>43.240681880597016</v>
      </c>
      <c r="E2893" s="472">
        <v>10</v>
      </c>
      <c r="F2893" s="585">
        <f t="shared" si="399"/>
        <v>53.25</v>
      </c>
      <c r="G2893" s="338" t="s">
        <v>5725</v>
      </c>
      <c r="H2893" s="592" t="s">
        <v>9634</v>
      </c>
      <c r="I2893" s="520" t="s">
        <v>11649</v>
      </c>
      <c r="J2893" s="421" t="s">
        <v>753</v>
      </c>
      <c r="K2893" s="520" t="s">
        <v>741</v>
      </c>
    </row>
    <row r="2894" spans="1:11" s="341" customFormat="1">
      <c r="A2894" s="421"/>
      <c r="B2894" s="338" t="s">
        <v>5726</v>
      </c>
      <c r="C2894" s="1674">
        <v>186</v>
      </c>
      <c r="D2894" s="244">
        <f t="shared" si="400"/>
        <v>45.184083313432836</v>
      </c>
      <c r="E2894" s="472">
        <v>10</v>
      </c>
      <c r="F2894" s="585">
        <f t="shared" si="399"/>
        <v>55.19</v>
      </c>
      <c r="G2894" s="338" t="s">
        <v>5727</v>
      </c>
      <c r="H2894" s="592" t="s">
        <v>9635</v>
      </c>
      <c r="I2894" s="520" t="s">
        <v>11649</v>
      </c>
      <c r="J2894" s="421" t="s">
        <v>753</v>
      </c>
      <c r="K2894" s="520" t="s">
        <v>741</v>
      </c>
    </row>
    <row r="2895" spans="1:11" s="341" customFormat="1">
      <c r="A2895" s="421"/>
      <c r="B2895" s="338" t="s">
        <v>5728</v>
      </c>
      <c r="C2895" s="1674">
        <v>186</v>
      </c>
      <c r="D2895" s="244">
        <f t="shared" si="400"/>
        <v>45.184083313432836</v>
      </c>
      <c r="E2895" s="472">
        <v>10</v>
      </c>
      <c r="F2895" s="585">
        <f t="shared" si="399"/>
        <v>55.19</v>
      </c>
      <c r="G2895" s="338" t="s">
        <v>5729</v>
      </c>
      <c r="H2895" s="592" t="s">
        <v>9636</v>
      </c>
      <c r="I2895" s="520" t="s">
        <v>11649</v>
      </c>
      <c r="J2895" s="421" t="s">
        <v>753</v>
      </c>
      <c r="K2895" s="520" t="s">
        <v>741</v>
      </c>
    </row>
    <row r="2896" spans="1:11" s="341" customFormat="1">
      <c r="A2896" s="421"/>
      <c r="B2896" s="338" t="s">
        <v>5730</v>
      </c>
      <c r="C2896" s="1674">
        <v>186</v>
      </c>
      <c r="D2896" s="244">
        <f t="shared" si="400"/>
        <v>45.184083313432836</v>
      </c>
      <c r="E2896" s="472">
        <v>10</v>
      </c>
      <c r="F2896" s="585">
        <f t="shared" si="399"/>
        <v>55.19</v>
      </c>
      <c r="G2896" s="338" t="s">
        <v>5731</v>
      </c>
      <c r="H2896" s="592" t="s">
        <v>9637</v>
      </c>
      <c r="I2896" s="520" t="s">
        <v>11649</v>
      </c>
      <c r="J2896" s="421" t="s">
        <v>753</v>
      </c>
      <c r="K2896" s="520" t="s">
        <v>741</v>
      </c>
    </row>
    <row r="2897" spans="1:11" s="341" customFormat="1">
      <c r="A2897" s="421"/>
      <c r="B2897" s="338" t="s">
        <v>5732</v>
      </c>
      <c r="C2897" s="1674">
        <v>186</v>
      </c>
      <c r="D2897" s="244">
        <f t="shared" si="400"/>
        <v>45.184083313432836</v>
      </c>
      <c r="E2897" s="472">
        <v>10</v>
      </c>
      <c r="F2897" s="585">
        <f t="shared" si="399"/>
        <v>55.19</v>
      </c>
      <c r="G2897" s="338" t="s">
        <v>5733</v>
      </c>
      <c r="H2897" s="592" t="s">
        <v>9638</v>
      </c>
      <c r="I2897" s="520" t="s">
        <v>11649</v>
      </c>
      <c r="J2897" s="421" t="s">
        <v>753</v>
      </c>
      <c r="K2897" s="520" t="s">
        <v>741</v>
      </c>
    </row>
    <row r="2898" spans="1:11" s="341" customFormat="1">
      <c r="A2898" s="421"/>
      <c r="B2898" s="338" t="s">
        <v>5734</v>
      </c>
      <c r="C2898" s="1674">
        <v>186</v>
      </c>
      <c r="D2898" s="244">
        <f t="shared" si="400"/>
        <v>45.184083313432836</v>
      </c>
      <c r="E2898" s="472">
        <v>10</v>
      </c>
      <c r="F2898" s="585">
        <f t="shared" si="399"/>
        <v>55.19</v>
      </c>
      <c r="G2898" s="338" t="s">
        <v>5735</v>
      </c>
      <c r="H2898" s="592" t="s">
        <v>9639</v>
      </c>
      <c r="I2898" s="520" t="s">
        <v>11649</v>
      </c>
      <c r="J2898" s="421" t="s">
        <v>753</v>
      </c>
      <c r="K2898" s="520" t="s">
        <v>741</v>
      </c>
    </row>
    <row r="2899" spans="1:11" s="341" customFormat="1">
      <c r="A2899" s="421"/>
      <c r="B2899" s="338" t="s">
        <v>5736</v>
      </c>
      <c r="C2899" s="1674">
        <v>186</v>
      </c>
      <c r="D2899" s="244">
        <f t="shared" si="400"/>
        <v>45.184083313432836</v>
      </c>
      <c r="E2899" s="472">
        <v>10</v>
      </c>
      <c r="F2899" s="585">
        <f t="shared" si="399"/>
        <v>55.19</v>
      </c>
      <c r="G2899" s="338" t="s">
        <v>5737</v>
      </c>
      <c r="H2899" s="592" t="s">
        <v>9640</v>
      </c>
      <c r="I2899" s="520" t="s">
        <v>11649</v>
      </c>
      <c r="J2899" s="421" t="s">
        <v>753</v>
      </c>
      <c r="K2899" s="520" t="s">
        <v>741</v>
      </c>
    </row>
    <row r="2900" spans="1:11" s="341" customFormat="1">
      <c r="A2900" s="421"/>
      <c r="B2900" s="338"/>
      <c r="C2900" s="1674" t="s">
        <v>2058</v>
      </c>
      <c r="D2900" s="244"/>
      <c r="E2900" s="228"/>
      <c r="F2900" s="585">
        <f t="shared" si="399"/>
        <v>0</v>
      </c>
      <c r="G2900" s="338"/>
      <c r="H2900" s="592"/>
      <c r="I2900" s="520"/>
      <c r="J2900" s="421"/>
      <c r="K2900" s="520"/>
    </row>
    <row r="2901" spans="1:11" s="341" customFormat="1">
      <c r="A2901" s="421"/>
      <c r="B2901" s="338" t="s">
        <v>5738</v>
      </c>
      <c r="C2901" s="1674">
        <v>265</v>
      </c>
      <c r="D2901" s="244">
        <f t="shared" ref="D2901:D2911" si="401">C2901*(1-VLOOKUP(I2901,descuentos,6,FALSE))*fcl/IF(dol_sol="dólar", TC,1)</f>
        <v>64.37517246268655</v>
      </c>
      <c r="E2901" s="472">
        <v>15</v>
      </c>
      <c r="F2901" s="585">
        <f t="shared" si="399"/>
        <v>79.38000000000001</v>
      </c>
      <c r="G2901" s="338" t="s">
        <v>5739</v>
      </c>
      <c r="H2901" s="592" t="s">
        <v>9641</v>
      </c>
      <c r="I2901" s="520" t="s">
        <v>11649</v>
      </c>
      <c r="J2901" s="421" t="s">
        <v>753</v>
      </c>
      <c r="K2901" s="520" t="s">
        <v>741</v>
      </c>
    </row>
    <row r="2902" spans="1:11" s="341" customFormat="1">
      <c r="A2902" s="421"/>
      <c r="B2902" s="338" t="s">
        <v>5740</v>
      </c>
      <c r="C2902" s="1674">
        <v>265</v>
      </c>
      <c r="D2902" s="244">
        <f t="shared" si="401"/>
        <v>64.37517246268655</v>
      </c>
      <c r="E2902" s="472">
        <v>15</v>
      </c>
      <c r="F2902" s="585">
        <f t="shared" si="399"/>
        <v>79.38000000000001</v>
      </c>
      <c r="G2902" s="338" t="s">
        <v>5741</v>
      </c>
      <c r="H2902" s="592" t="s">
        <v>9642</v>
      </c>
      <c r="I2902" s="520" t="s">
        <v>11649</v>
      </c>
      <c r="J2902" s="421" t="s">
        <v>753</v>
      </c>
      <c r="K2902" s="520" t="s">
        <v>741</v>
      </c>
    </row>
    <row r="2903" spans="1:11" s="341" customFormat="1">
      <c r="A2903" s="421"/>
      <c r="B2903" s="338" t="s">
        <v>5742</v>
      </c>
      <c r="C2903" s="1674">
        <v>265</v>
      </c>
      <c r="D2903" s="244">
        <f t="shared" si="401"/>
        <v>64.37517246268655</v>
      </c>
      <c r="E2903" s="472">
        <v>15</v>
      </c>
      <c r="F2903" s="585">
        <f t="shared" si="399"/>
        <v>79.38000000000001</v>
      </c>
      <c r="G2903" s="338" t="s">
        <v>5743</v>
      </c>
      <c r="H2903" s="592" t="s">
        <v>9643</v>
      </c>
      <c r="I2903" s="520" t="s">
        <v>11649</v>
      </c>
      <c r="J2903" s="421" t="s">
        <v>753</v>
      </c>
      <c r="K2903" s="520" t="s">
        <v>741</v>
      </c>
    </row>
    <row r="2904" spans="1:11" s="341" customFormat="1">
      <c r="A2904" s="421"/>
      <c r="B2904" s="338" t="s">
        <v>5744</v>
      </c>
      <c r="C2904" s="1674">
        <v>265</v>
      </c>
      <c r="D2904" s="244">
        <f t="shared" si="401"/>
        <v>64.37517246268655</v>
      </c>
      <c r="E2904" s="472">
        <v>15</v>
      </c>
      <c r="F2904" s="585">
        <f t="shared" si="399"/>
        <v>79.38000000000001</v>
      </c>
      <c r="G2904" s="338" t="s">
        <v>5745</v>
      </c>
      <c r="H2904" s="592" t="s">
        <v>9644</v>
      </c>
      <c r="I2904" s="520" t="s">
        <v>11649</v>
      </c>
      <c r="J2904" s="421" t="s">
        <v>753</v>
      </c>
      <c r="K2904" s="520" t="s">
        <v>741</v>
      </c>
    </row>
    <row r="2905" spans="1:11" s="341" customFormat="1">
      <c r="A2905" s="421"/>
      <c r="B2905" s="338" t="s">
        <v>5746</v>
      </c>
      <c r="C2905" s="1674">
        <v>265</v>
      </c>
      <c r="D2905" s="244">
        <f t="shared" si="401"/>
        <v>64.37517246268655</v>
      </c>
      <c r="E2905" s="472">
        <v>15</v>
      </c>
      <c r="F2905" s="585">
        <f t="shared" si="399"/>
        <v>79.38000000000001</v>
      </c>
      <c r="G2905" s="338" t="s">
        <v>5747</v>
      </c>
      <c r="H2905" s="592" t="s">
        <v>9645</v>
      </c>
      <c r="I2905" s="520" t="s">
        <v>11649</v>
      </c>
      <c r="J2905" s="421" t="s">
        <v>753</v>
      </c>
      <c r="K2905" s="520" t="s">
        <v>741</v>
      </c>
    </row>
    <row r="2906" spans="1:11" s="341" customFormat="1">
      <c r="A2906" s="421"/>
      <c r="B2906" s="338" t="s">
        <v>5748</v>
      </c>
      <c r="C2906" s="1674">
        <v>265</v>
      </c>
      <c r="D2906" s="244">
        <f t="shared" si="401"/>
        <v>64.37517246268655</v>
      </c>
      <c r="E2906" s="472">
        <v>15</v>
      </c>
      <c r="F2906" s="585">
        <f t="shared" si="399"/>
        <v>79.38000000000001</v>
      </c>
      <c r="G2906" s="338" t="s">
        <v>5749</v>
      </c>
      <c r="H2906" s="592" t="s">
        <v>9646</v>
      </c>
      <c r="I2906" s="520" t="s">
        <v>11649</v>
      </c>
      <c r="J2906" s="421" t="s">
        <v>753</v>
      </c>
      <c r="K2906" s="520" t="s">
        <v>741</v>
      </c>
    </row>
    <row r="2907" spans="1:11" s="341" customFormat="1">
      <c r="A2907" s="421"/>
      <c r="B2907" s="338" t="s">
        <v>5750</v>
      </c>
      <c r="C2907" s="1674">
        <v>265</v>
      </c>
      <c r="D2907" s="244">
        <f t="shared" si="401"/>
        <v>64.37517246268655</v>
      </c>
      <c r="E2907" s="472">
        <v>15</v>
      </c>
      <c r="F2907" s="585">
        <f t="shared" si="399"/>
        <v>79.38000000000001</v>
      </c>
      <c r="G2907" s="338" t="s">
        <v>5751</v>
      </c>
      <c r="H2907" s="592" t="s">
        <v>9647</v>
      </c>
      <c r="I2907" s="520" t="s">
        <v>11649</v>
      </c>
      <c r="J2907" s="421" t="s">
        <v>753</v>
      </c>
      <c r="K2907" s="520" t="s">
        <v>741</v>
      </c>
    </row>
    <row r="2908" spans="1:11" s="341" customFormat="1">
      <c r="A2908" s="421"/>
      <c r="B2908" s="338" t="s">
        <v>5752</v>
      </c>
      <c r="C2908" s="1674">
        <v>279</v>
      </c>
      <c r="D2908" s="244">
        <f t="shared" si="401"/>
        <v>67.77612497014924</v>
      </c>
      <c r="E2908" s="472">
        <v>15</v>
      </c>
      <c r="F2908" s="585">
        <f t="shared" si="399"/>
        <v>82.78</v>
      </c>
      <c r="G2908" s="338" t="s">
        <v>5753</v>
      </c>
      <c r="H2908" s="592" t="s">
        <v>9648</v>
      </c>
      <c r="I2908" s="520" t="s">
        <v>11649</v>
      </c>
      <c r="J2908" s="421" t="s">
        <v>753</v>
      </c>
      <c r="K2908" s="520" t="s">
        <v>741</v>
      </c>
    </row>
    <row r="2909" spans="1:11" s="341" customFormat="1">
      <c r="A2909" s="421"/>
      <c r="B2909" s="338" t="s">
        <v>5754</v>
      </c>
      <c r="C2909" s="1674">
        <v>279</v>
      </c>
      <c r="D2909" s="244">
        <f t="shared" si="401"/>
        <v>67.77612497014924</v>
      </c>
      <c r="E2909" s="472">
        <v>15</v>
      </c>
      <c r="F2909" s="585">
        <f t="shared" si="399"/>
        <v>82.78</v>
      </c>
      <c r="G2909" s="338" t="s">
        <v>5755</v>
      </c>
      <c r="H2909" s="592" t="s">
        <v>9649</v>
      </c>
      <c r="I2909" s="520" t="s">
        <v>11649</v>
      </c>
      <c r="J2909" s="421" t="s">
        <v>753</v>
      </c>
      <c r="K2909" s="520" t="s">
        <v>741</v>
      </c>
    </row>
    <row r="2910" spans="1:11" s="341" customFormat="1">
      <c r="A2910" s="421"/>
      <c r="B2910" s="338" t="s">
        <v>5756</v>
      </c>
      <c r="C2910" s="1674">
        <v>279</v>
      </c>
      <c r="D2910" s="244">
        <f t="shared" si="401"/>
        <v>67.77612497014924</v>
      </c>
      <c r="E2910" s="472">
        <v>15</v>
      </c>
      <c r="F2910" s="585">
        <f t="shared" si="399"/>
        <v>82.78</v>
      </c>
      <c r="G2910" s="338" t="s">
        <v>5757</v>
      </c>
      <c r="H2910" s="592" t="s">
        <v>9650</v>
      </c>
      <c r="I2910" s="520" t="s">
        <v>11649</v>
      </c>
      <c r="J2910" s="421" t="s">
        <v>753</v>
      </c>
      <c r="K2910" s="520" t="s">
        <v>741</v>
      </c>
    </row>
    <row r="2911" spans="1:11" s="341" customFormat="1">
      <c r="A2911" s="421"/>
      <c r="B2911" s="338" t="s">
        <v>5758</v>
      </c>
      <c r="C2911" s="1674">
        <v>279</v>
      </c>
      <c r="D2911" s="244">
        <f t="shared" si="401"/>
        <v>67.77612497014924</v>
      </c>
      <c r="E2911" s="472">
        <v>15</v>
      </c>
      <c r="F2911" s="585">
        <f t="shared" si="399"/>
        <v>82.78</v>
      </c>
      <c r="G2911" s="338" t="s">
        <v>5759</v>
      </c>
      <c r="H2911" s="592" t="s">
        <v>9651</v>
      </c>
      <c r="I2911" s="520" t="s">
        <v>11649</v>
      </c>
      <c r="J2911" s="421" t="s">
        <v>753</v>
      </c>
      <c r="K2911" s="520" t="s">
        <v>741</v>
      </c>
    </row>
    <row r="2912" spans="1:11" s="341" customFormat="1">
      <c r="A2912" s="421"/>
      <c r="B2912" s="338"/>
      <c r="C2912" s="1674" t="s">
        <v>2058</v>
      </c>
      <c r="D2912" s="244"/>
      <c r="E2912" s="228"/>
      <c r="F2912" s="585">
        <f t="shared" si="399"/>
        <v>0</v>
      </c>
      <c r="G2912" s="338"/>
      <c r="H2912" s="592"/>
      <c r="I2912" s="520"/>
      <c r="J2912" s="421"/>
      <c r="K2912" s="520"/>
    </row>
    <row r="2913" spans="1:11" s="341" customFormat="1">
      <c r="A2913" s="421"/>
      <c r="B2913" s="338"/>
      <c r="C2913" s="1674" t="s">
        <v>2058</v>
      </c>
      <c r="D2913" s="244"/>
      <c r="E2913" s="228"/>
      <c r="F2913" s="585">
        <f t="shared" si="399"/>
        <v>0</v>
      </c>
      <c r="G2913" s="338"/>
      <c r="H2913" s="592"/>
      <c r="I2913" s="520"/>
      <c r="J2913" s="421"/>
      <c r="K2913" s="520"/>
    </row>
    <row r="2914" spans="1:11" s="341" customFormat="1">
      <c r="A2914" s="421"/>
      <c r="B2914" s="338" t="s">
        <v>10060</v>
      </c>
      <c r="C2914" s="1674">
        <v>158</v>
      </c>
      <c r="D2914" s="244">
        <f t="shared" ref="D2914:D2919" si="402">C2914*(1-VLOOKUP(I2914,descuentos,6,FALSE))*fcl/IF(dol_sol="dólar", TC,1)</f>
        <v>38.382178298507462</v>
      </c>
      <c r="E2914" s="472">
        <v>8</v>
      </c>
      <c r="F2914" s="585">
        <f t="shared" si="399"/>
        <v>46.39</v>
      </c>
      <c r="G2914" s="338" t="s">
        <v>10061</v>
      </c>
      <c r="H2914" s="592" t="s">
        <v>10062</v>
      </c>
      <c r="I2914" s="520" t="s">
        <v>11649</v>
      </c>
      <c r="J2914" s="421" t="s">
        <v>753</v>
      </c>
      <c r="K2914" s="520" t="s">
        <v>741</v>
      </c>
    </row>
    <row r="2915" spans="1:11" s="341" customFormat="1">
      <c r="A2915" s="421"/>
      <c r="B2915" s="338" t="s">
        <v>10063</v>
      </c>
      <c r="C2915" s="1674">
        <v>158</v>
      </c>
      <c r="D2915" s="244">
        <f t="shared" si="402"/>
        <v>38.382178298507462</v>
      </c>
      <c r="E2915" s="472">
        <v>8</v>
      </c>
      <c r="F2915" s="585">
        <f t="shared" si="399"/>
        <v>46.39</v>
      </c>
      <c r="G2915" s="338" t="s">
        <v>10064</v>
      </c>
      <c r="H2915" s="592" t="s">
        <v>10065</v>
      </c>
      <c r="I2915" s="520" t="s">
        <v>11649</v>
      </c>
      <c r="J2915" s="421" t="s">
        <v>753</v>
      </c>
      <c r="K2915" s="520" t="s">
        <v>741</v>
      </c>
    </row>
    <row r="2916" spans="1:11" s="341" customFormat="1">
      <c r="A2916" s="421"/>
      <c r="B2916" s="338" t="s">
        <v>10066</v>
      </c>
      <c r="C2916" s="1674">
        <v>158</v>
      </c>
      <c r="D2916" s="244">
        <f t="shared" si="402"/>
        <v>38.382178298507462</v>
      </c>
      <c r="E2916" s="472">
        <v>8</v>
      </c>
      <c r="F2916" s="585">
        <f t="shared" si="399"/>
        <v>46.39</v>
      </c>
      <c r="G2916" s="338" t="s">
        <v>10067</v>
      </c>
      <c r="H2916" s="592" t="s">
        <v>10068</v>
      </c>
      <c r="I2916" s="520" t="s">
        <v>11649</v>
      </c>
      <c r="J2916" s="421" t="s">
        <v>753</v>
      </c>
      <c r="K2916" s="520" t="s">
        <v>741</v>
      </c>
    </row>
    <row r="2917" spans="1:11" s="341" customFormat="1">
      <c r="A2917" s="421"/>
      <c r="B2917" s="338" t="s">
        <v>10069</v>
      </c>
      <c r="C2917" s="1674">
        <v>158</v>
      </c>
      <c r="D2917" s="244">
        <f t="shared" si="402"/>
        <v>38.382178298507462</v>
      </c>
      <c r="E2917" s="472">
        <v>8</v>
      </c>
      <c r="F2917" s="585">
        <f t="shared" si="399"/>
        <v>46.39</v>
      </c>
      <c r="G2917" s="338" t="s">
        <v>10070</v>
      </c>
      <c r="H2917" s="592" t="s">
        <v>10071</v>
      </c>
      <c r="I2917" s="520" t="s">
        <v>11649</v>
      </c>
      <c r="J2917" s="421" t="s">
        <v>753</v>
      </c>
      <c r="K2917" s="520" t="s">
        <v>741</v>
      </c>
    </row>
    <row r="2918" spans="1:11" s="341" customFormat="1">
      <c r="A2918" s="421"/>
      <c r="B2918" s="338" t="s">
        <v>10072</v>
      </c>
      <c r="C2918" s="1674">
        <v>158</v>
      </c>
      <c r="D2918" s="244">
        <f t="shared" si="402"/>
        <v>38.382178298507462</v>
      </c>
      <c r="E2918" s="472">
        <v>8</v>
      </c>
      <c r="F2918" s="585">
        <f t="shared" si="399"/>
        <v>46.39</v>
      </c>
      <c r="G2918" s="338" t="s">
        <v>10073</v>
      </c>
      <c r="H2918" s="592" t="s">
        <v>10074</v>
      </c>
      <c r="I2918" s="520" t="s">
        <v>11649</v>
      </c>
      <c r="J2918" s="421" t="s">
        <v>753</v>
      </c>
      <c r="K2918" s="520" t="s">
        <v>741</v>
      </c>
    </row>
    <row r="2919" spans="1:11" s="341" customFormat="1">
      <c r="A2919" s="421"/>
      <c r="B2919" s="338" t="s">
        <v>10075</v>
      </c>
      <c r="C2919" s="1674">
        <v>166</v>
      </c>
      <c r="D2919" s="244">
        <f t="shared" si="402"/>
        <v>40.325579731343275</v>
      </c>
      <c r="E2919" s="472">
        <v>8</v>
      </c>
      <c r="F2919" s="585">
        <f t="shared" si="399"/>
        <v>48.33</v>
      </c>
      <c r="G2919" s="338" t="s">
        <v>10076</v>
      </c>
      <c r="H2919" s="592" t="s">
        <v>10077</v>
      </c>
      <c r="I2919" s="520" t="s">
        <v>11649</v>
      </c>
      <c r="J2919" s="421" t="s">
        <v>753</v>
      </c>
      <c r="K2919" s="520" t="s">
        <v>741</v>
      </c>
    </row>
    <row r="2920" spans="1:11" s="341" customFormat="1">
      <c r="A2920" s="421"/>
      <c r="B2920" s="338"/>
      <c r="C2920" s="1674" t="s">
        <v>2058</v>
      </c>
      <c r="D2920" s="244"/>
      <c r="E2920" s="228"/>
      <c r="F2920" s="585">
        <f t="shared" si="399"/>
        <v>0</v>
      </c>
      <c r="G2920" s="338"/>
      <c r="H2920" s="592"/>
      <c r="I2920" s="520"/>
      <c r="J2920" s="421"/>
      <c r="K2920" s="520"/>
    </row>
    <row r="2921" spans="1:11" s="341" customFormat="1">
      <c r="A2921" s="421"/>
      <c r="B2921" s="338" t="s">
        <v>5760</v>
      </c>
      <c r="C2921" s="1674">
        <v>197</v>
      </c>
      <c r="D2921" s="244">
        <f t="shared" ref="D2921:D2931" si="403">C2921*(1-VLOOKUP(I2921,descuentos,6,FALSE))*fcl/IF(dol_sol="dólar", TC,1)</f>
        <v>47.856260283582081</v>
      </c>
      <c r="E2921" s="472">
        <v>10</v>
      </c>
      <c r="F2921" s="585">
        <f t="shared" si="399"/>
        <v>57.86</v>
      </c>
      <c r="G2921" s="338" t="s">
        <v>5761</v>
      </c>
      <c r="H2921" s="592" t="s">
        <v>9652</v>
      </c>
      <c r="I2921" s="520" t="s">
        <v>11649</v>
      </c>
      <c r="J2921" s="421" t="s">
        <v>753</v>
      </c>
      <c r="K2921" s="520" t="s">
        <v>741</v>
      </c>
    </row>
    <row r="2922" spans="1:11" s="341" customFormat="1">
      <c r="A2922" s="421"/>
      <c r="B2922" s="338" t="s">
        <v>5762</v>
      </c>
      <c r="C2922" s="1674">
        <v>197</v>
      </c>
      <c r="D2922" s="244">
        <f t="shared" si="403"/>
        <v>47.856260283582081</v>
      </c>
      <c r="E2922" s="472">
        <v>10</v>
      </c>
      <c r="F2922" s="585">
        <f t="shared" si="399"/>
        <v>57.86</v>
      </c>
      <c r="G2922" s="338" t="s">
        <v>5763</v>
      </c>
      <c r="H2922" s="592" t="s">
        <v>9653</v>
      </c>
      <c r="I2922" s="520" t="s">
        <v>11649</v>
      </c>
      <c r="J2922" s="421" t="s">
        <v>753</v>
      </c>
      <c r="K2922" s="520" t="s">
        <v>741</v>
      </c>
    </row>
    <row r="2923" spans="1:11" s="341" customFormat="1">
      <c r="A2923" s="421"/>
      <c r="B2923" s="338" t="s">
        <v>5764</v>
      </c>
      <c r="C2923" s="1674">
        <v>197</v>
      </c>
      <c r="D2923" s="244">
        <f t="shared" si="403"/>
        <v>47.856260283582081</v>
      </c>
      <c r="E2923" s="472">
        <v>10</v>
      </c>
      <c r="F2923" s="585">
        <f t="shared" si="399"/>
        <v>57.86</v>
      </c>
      <c r="G2923" s="338" t="s">
        <v>5765</v>
      </c>
      <c r="H2923" s="592" t="s">
        <v>9654</v>
      </c>
      <c r="I2923" s="520" t="s">
        <v>11649</v>
      </c>
      <c r="J2923" s="421" t="s">
        <v>753</v>
      </c>
      <c r="K2923" s="520" t="s">
        <v>741</v>
      </c>
    </row>
    <row r="2924" spans="1:11" s="341" customFormat="1">
      <c r="A2924" s="421"/>
      <c r="B2924" s="338" t="s">
        <v>5766</v>
      </c>
      <c r="C2924" s="1674">
        <v>197</v>
      </c>
      <c r="D2924" s="244">
        <f t="shared" si="403"/>
        <v>47.856260283582081</v>
      </c>
      <c r="E2924" s="472">
        <v>10</v>
      </c>
      <c r="F2924" s="585">
        <f t="shared" si="399"/>
        <v>57.86</v>
      </c>
      <c r="G2924" s="338" t="s">
        <v>5767</v>
      </c>
      <c r="H2924" s="592" t="s">
        <v>9655</v>
      </c>
      <c r="I2924" s="520" t="s">
        <v>11649</v>
      </c>
      <c r="J2924" s="421" t="s">
        <v>753</v>
      </c>
      <c r="K2924" s="520" t="s">
        <v>741</v>
      </c>
    </row>
    <row r="2925" spans="1:11" s="341" customFormat="1">
      <c r="A2925" s="421"/>
      <c r="B2925" s="338" t="s">
        <v>5768</v>
      </c>
      <c r="C2925" s="1674">
        <v>197</v>
      </c>
      <c r="D2925" s="244">
        <f t="shared" si="403"/>
        <v>47.856260283582081</v>
      </c>
      <c r="E2925" s="472">
        <v>10</v>
      </c>
      <c r="F2925" s="585">
        <f t="shared" si="399"/>
        <v>57.86</v>
      </c>
      <c r="G2925" s="338" t="s">
        <v>5769</v>
      </c>
      <c r="H2925" s="592" t="s">
        <v>9656</v>
      </c>
      <c r="I2925" s="520" t="s">
        <v>11649</v>
      </c>
      <c r="J2925" s="421" t="s">
        <v>753</v>
      </c>
      <c r="K2925" s="520" t="s">
        <v>741</v>
      </c>
    </row>
    <row r="2926" spans="1:11" s="341" customFormat="1">
      <c r="A2926" s="421"/>
      <c r="B2926" s="338" t="s">
        <v>5770</v>
      </c>
      <c r="C2926" s="1674">
        <v>206</v>
      </c>
      <c r="D2926" s="244">
        <f t="shared" si="403"/>
        <v>50.042586895522383</v>
      </c>
      <c r="E2926" s="472">
        <v>10</v>
      </c>
      <c r="F2926" s="585">
        <f t="shared" si="399"/>
        <v>60.05</v>
      </c>
      <c r="G2926" s="338" t="s">
        <v>5771</v>
      </c>
      <c r="H2926" s="592" t="s">
        <v>9657</v>
      </c>
      <c r="I2926" s="520" t="s">
        <v>11649</v>
      </c>
      <c r="J2926" s="421" t="s">
        <v>753</v>
      </c>
      <c r="K2926" s="520" t="s">
        <v>741</v>
      </c>
    </row>
    <row r="2927" spans="1:11" s="341" customFormat="1">
      <c r="A2927" s="421"/>
      <c r="B2927" s="338" t="s">
        <v>5772</v>
      </c>
      <c r="C2927" s="1674">
        <v>206</v>
      </c>
      <c r="D2927" s="244">
        <f t="shared" si="403"/>
        <v>50.042586895522383</v>
      </c>
      <c r="E2927" s="472">
        <v>10</v>
      </c>
      <c r="F2927" s="585">
        <f t="shared" si="399"/>
        <v>60.05</v>
      </c>
      <c r="G2927" s="338" t="s">
        <v>5773</v>
      </c>
      <c r="H2927" s="592" t="s">
        <v>9658</v>
      </c>
      <c r="I2927" s="520" t="s">
        <v>11649</v>
      </c>
      <c r="J2927" s="421" t="s">
        <v>753</v>
      </c>
      <c r="K2927" s="520" t="s">
        <v>741</v>
      </c>
    </row>
    <row r="2928" spans="1:11" s="341" customFormat="1">
      <c r="A2928" s="421"/>
      <c r="B2928" s="338" t="s">
        <v>5774</v>
      </c>
      <c r="C2928" s="1674">
        <v>206</v>
      </c>
      <c r="D2928" s="244">
        <f t="shared" si="403"/>
        <v>50.042586895522383</v>
      </c>
      <c r="E2928" s="472">
        <v>10</v>
      </c>
      <c r="F2928" s="585">
        <f t="shared" si="399"/>
        <v>60.05</v>
      </c>
      <c r="G2928" s="338" t="s">
        <v>5775</v>
      </c>
      <c r="H2928" s="592" t="s">
        <v>9659</v>
      </c>
      <c r="I2928" s="520" t="s">
        <v>11649</v>
      </c>
      <c r="J2928" s="421" t="s">
        <v>753</v>
      </c>
      <c r="K2928" s="520" t="s">
        <v>741</v>
      </c>
    </row>
    <row r="2929" spans="1:11" s="341" customFormat="1">
      <c r="A2929" s="421"/>
      <c r="B2929" s="338" t="s">
        <v>5776</v>
      </c>
      <c r="C2929" s="1674">
        <v>206</v>
      </c>
      <c r="D2929" s="244">
        <f t="shared" si="403"/>
        <v>50.042586895522383</v>
      </c>
      <c r="E2929" s="472">
        <v>10</v>
      </c>
      <c r="F2929" s="585">
        <f t="shared" si="399"/>
        <v>60.05</v>
      </c>
      <c r="G2929" s="338" t="s">
        <v>5777</v>
      </c>
      <c r="H2929" s="592" t="s">
        <v>9660</v>
      </c>
      <c r="I2929" s="520" t="s">
        <v>11649</v>
      </c>
      <c r="J2929" s="421" t="s">
        <v>753</v>
      </c>
      <c r="K2929" s="520" t="s">
        <v>741</v>
      </c>
    </row>
    <row r="2930" spans="1:11" s="341" customFormat="1">
      <c r="A2930" s="421"/>
      <c r="B2930" s="338" t="s">
        <v>5778</v>
      </c>
      <c r="C2930" s="1674">
        <v>206</v>
      </c>
      <c r="D2930" s="244">
        <f t="shared" si="403"/>
        <v>50.042586895522383</v>
      </c>
      <c r="E2930" s="472">
        <v>10</v>
      </c>
      <c r="F2930" s="585">
        <f t="shared" si="399"/>
        <v>60.05</v>
      </c>
      <c r="G2930" s="338" t="s">
        <v>5779</v>
      </c>
      <c r="H2930" s="592" t="s">
        <v>9661</v>
      </c>
      <c r="I2930" s="520" t="s">
        <v>11649</v>
      </c>
      <c r="J2930" s="421" t="s">
        <v>753</v>
      </c>
      <c r="K2930" s="520" t="s">
        <v>741</v>
      </c>
    </row>
    <row r="2931" spans="1:11" s="341" customFormat="1">
      <c r="A2931" s="421"/>
      <c r="B2931" s="338" t="s">
        <v>5780</v>
      </c>
      <c r="C2931" s="1674">
        <v>206</v>
      </c>
      <c r="D2931" s="244">
        <f t="shared" si="403"/>
        <v>50.042586895522383</v>
      </c>
      <c r="E2931" s="472">
        <v>10</v>
      </c>
      <c r="F2931" s="585">
        <f t="shared" si="399"/>
        <v>60.05</v>
      </c>
      <c r="G2931" s="338" t="s">
        <v>5781</v>
      </c>
      <c r="H2931" s="592" t="s">
        <v>9662</v>
      </c>
      <c r="I2931" s="520" t="s">
        <v>11649</v>
      </c>
      <c r="J2931" s="421" t="s">
        <v>753</v>
      </c>
      <c r="K2931" s="520" t="s">
        <v>741</v>
      </c>
    </row>
    <row r="2932" spans="1:11" s="341" customFormat="1">
      <c r="A2932" s="421"/>
      <c r="B2932" s="338"/>
      <c r="C2932" s="1674" t="s">
        <v>2058</v>
      </c>
      <c r="D2932" s="244"/>
      <c r="E2932" s="228"/>
      <c r="F2932" s="585">
        <f t="shared" si="399"/>
        <v>0</v>
      </c>
      <c r="G2932" s="338"/>
      <c r="H2932" s="592"/>
      <c r="I2932" s="520"/>
      <c r="J2932" s="421"/>
      <c r="K2932" s="520"/>
    </row>
    <row r="2933" spans="1:11" s="341" customFormat="1">
      <c r="A2933" s="421"/>
      <c r="B2933" s="338" t="s">
        <v>10078</v>
      </c>
      <c r="C2933" s="1674">
        <v>408</v>
      </c>
      <c r="D2933" s="244">
        <f t="shared" ref="D2933:D2943" si="404">C2933*(1-VLOOKUP(I2933,descuentos,6,FALSE))*fcl/IF(dol_sol="dólar", TC,1)</f>
        <v>99.113473074626853</v>
      </c>
      <c r="E2933" s="472">
        <v>10</v>
      </c>
      <c r="F2933" s="585">
        <f t="shared" si="399"/>
        <v>109.12</v>
      </c>
      <c r="G2933" s="338" t="s">
        <v>10079</v>
      </c>
      <c r="H2933" s="592" t="s">
        <v>10080</v>
      </c>
      <c r="I2933" s="520" t="s">
        <v>11649</v>
      </c>
      <c r="J2933" s="421" t="s">
        <v>753</v>
      </c>
      <c r="K2933" s="520" t="s">
        <v>741</v>
      </c>
    </row>
    <row r="2934" spans="1:11" s="341" customFormat="1">
      <c r="A2934" s="421"/>
      <c r="B2934" s="338" t="s">
        <v>10081</v>
      </c>
      <c r="C2934" s="1674">
        <v>408</v>
      </c>
      <c r="D2934" s="244">
        <f t="shared" si="404"/>
        <v>99.113473074626853</v>
      </c>
      <c r="E2934" s="472">
        <v>10</v>
      </c>
      <c r="F2934" s="585">
        <f t="shared" si="399"/>
        <v>109.12</v>
      </c>
      <c r="G2934" s="338" t="s">
        <v>10082</v>
      </c>
      <c r="H2934" s="592" t="s">
        <v>10083</v>
      </c>
      <c r="I2934" s="520" t="s">
        <v>11649</v>
      </c>
      <c r="J2934" s="421" t="s">
        <v>753</v>
      </c>
      <c r="K2934" s="520" t="s">
        <v>741</v>
      </c>
    </row>
    <row r="2935" spans="1:11" s="341" customFormat="1">
      <c r="A2935" s="421"/>
      <c r="B2935" s="338" t="s">
        <v>10084</v>
      </c>
      <c r="C2935" s="1674">
        <v>408</v>
      </c>
      <c r="D2935" s="244">
        <f t="shared" si="404"/>
        <v>99.113473074626853</v>
      </c>
      <c r="E2935" s="472">
        <v>10</v>
      </c>
      <c r="F2935" s="585">
        <f t="shared" si="399"/>
        <v>109.12</v>
      </c>
      <c r="G2935" s="338" t="s">
        <v>10085</v>
      </c>
      <c r="H2935" s="592" t="s">
        <v>10086</v>
      </c>
      <c r="I2935" s="520" t="s">
        <v>11649</v>
      </c>
      <c r="J2935" s="421" t="s">
        <v>753</v>
      </c>
      <c r="K2935" s="520" t="s">
        <v>741</v>
      </c>
    </row>
    <row r="2936" spans="1:11" s="341" customFormat="1">
      <c r="A2936" s="421"/>
      <c r="B2936" s="338" t="s">
        <v>10087</v>
      </c>
      <c r="C2936" s="1674">
        <v>408</v>
      </c>
      <c r="D2936" s="244">
        <f t="shared" si="404"/>
        <v>99.113473074626853</v>
      </c>
      <c r="E2936" s="472">
        <v>10</v>
      </c>
      <c r="F2936" s="585">
        <f t="shared" si="399"/>
        <v>109.12</v>
      </c>
      <c r="G2936" s="338" t="s">
        <v>10088</v>
      </c>
      <c r="H2936" s="592" t="s">
        <v>10089</v>
      </c>
      <c r="I2936" s="520" t="s">
        <v>11649</v>
      </c>
      <c r="J2936" s="421" t="s">
        <v>753</v>
      </c>
      <c r="K2936" s="520" t="s">
        <v>741</v>
      </c>
    </row>
    <row r="2937" spans="1:11" s="341" customFormat="1">
      <c r="A2937" s="421"/>
      <c r="B2937" s="338" t="s">
        <v>10090</v>
      </c>
      <c r="C2937" s="1674">
        <v>408</v>
      </c>
      <c r="D2937" s="244">
        <f t="shared" si="404"/>
        <v>99.113473074626853</v>
      </c>
      <c r="E2937" s="472">
        <v>10</v>
      </c>
      <c r="F2937" s="585">
        <f t="shared" si="399"/>
        <v>109.12</v>
      </c>
      <c r="G2937" s="338" t="s">
        <v>10091</v>
      </c>
      <c r="H2937" s="592" t="s">
        <v>10092</v>
      </c>
      <c r="I2937" s="520" t="s">
        <v>11649</v>
      </c>
      <c r="J2937" s="421" t="s">
        <v>753</v>
      </c>
      <c r="K2937" s="520" t="s">
        <v>741</v>
      </c>
    </row>
    <row r="2938" spans="1:11" s="341" customFormat="1">
      <c r="A2938" s="421"/>
      <c r="B2938" s="338" t="s">
        <v>10093</v>
      </c>
      <c r="C2938" s="1674">
        <v>408</v>
      </c>
      <c r="D2938" s="244">
        <f t="shared" si="404"/>
        <v>99.113473074626853</v>
      </c>
      <c r="E2938" s="472">
        <v>10</v>
      </c>
      <c r="F2938" s="585">
        <f t="shared" si="399"/>
        <v>109.12</v>
      </c>
      <c r="G2938" s="338" t="s">
        <v>10094</v>
      </c>
      <c r="H2938" s="592" t="s">
        <v>10095</v>
      </c>
      <c r="I2938" s="520" t="s">
        <v>11649</v>
      </c>
      <c r="J2938" s="421" t="s">
        <v>753</v>
      </c>
      <c r="K2938" s="520" t="s">
        <v>741</v>
      </c>
    </row>
    <row r="2939" spans="1:11" s="341" customFormat="1">
      <c r="A2939" s="421"/>
      <c r="B2939" s="338" t="s">
        <v>10096</v>
      </c>
      <c r="C2939" s="1674">
        <v>408</v>
      </c>
      <c r="D2939" s="244">
        <f t="shared" si="404"/>
        <v>99.113473074626853</v>
      </c>
      <c r="E2939" s="472">
        <v>10</v>
      </c>
      <c r="F2939" s="585">
        <f t="shared" si="399"/>
        <v>109.12</v>
      </c>
      <c r="G2939" s="338" t="s">
        <v>10097</v>
      </c>
      <c r="H2939" s="592" t="s">
        <v>10098</v>
      </c>
      <c r="I2939" s="520" t="s">
        <v>11649</v>
      </c>
      <c r="J2939" s="421" t="s">
        <v>753</v>
      </c>
      <c r="K2939" s="520" t="s">
        <v>741</v>
      </c>
    </row>
    <row r="2940" spans="1:11" s="341" customFormat="1">
      <c r="A2940" s="421"/>
      <c r="B2940" s="338" t="s">
        <v>10099</v>
      </c>
      <c r="C2940" s="1674">
        <v>430</v>
      </c>
      <c r="D2940" s="244">
        <f t="shared" si="404"/>
        <v>104.45782701492537</v>
      </c>
      <c r="E2940" s="472">
        <v>10</v>
      </c>
      <c r="F2940" s="585">
        <f t="shared" si="399"/>
        <v>114.46000000000001</v>
      </c>
      <c r="G2940" s="338" t="s">
        <v>10100</v>
      </c>
      <c r="H2940" s="592" t="s">
        <v>10101</v>
      </c>
      <c r="I2940" s="520" t="s">
        <v>11649</v>
      </c>
      <c r="J2940" s="421" t="s">
        <v>753</v>
      </c>
      <c r="K2940" s="520" t="s">
        <v>741</v>
      </c>
    </row>
    <row r="2941" spans="1:11" s="341" customFormat="1">
      <c r="A2941" s="421"/>
      <c r="B2941" s="338" t="s">
        <v>10102</v>
      </c>
      <c r="C2941" s="1674">
        <v>430</v>
      </c>
      <c r="D2941" s="244">
        <f t="shared" si="404"/>
        <v>104.45782701492537</v>
      </c>
      <c r="E2941" s="472">
        <v>10</v>
      </c>
      <c r="F2941" s="585">
        <f t="shared" si="399"/>
        <v>114.46000000000001</v>
      </c>
      <c r="G2941" s="338" t="s">
        <v>10103</v>
      </c>
      <c r="H2941" s="592" t="s">
        <v>10104</v>
      </c>
      <c r="I2941" s="520" t="s">
        <v>11649</v>
      </c>
      <c r="J2941" s="421" t="s">
        <v>753</v>
      </c>
      <c r="K2941" s="520" t="s">
        <v>741</v>
      </c>
    </row>
    <row r="2942" spans="1:11" s="341" customFormat="1">
      <c r="A2942" s="421"/>
      <c r="B2942" s="338" t="s">
        <v>10105</v>
      </c>
      <c r="C2942" s="1674">
        <v>430</v>
      </c>
      <c r="D2942" s="244">
        <f t="shared" si="404"/>
        <v>104.45782701492537</v>
      </c>
      <c r="E2942" s="472">
        <v>10</v>
      </c>
      <c r="F2942" s="585">
        <f t="shared" si="399"/>
        <v>114.46000000000001</v>
      </c>
      <c r="G2942" s="338" t="s">
        <v>10106</v>
      </c>
      <c r="H2942" s="592" t="s">
        <v>10107</v>
      </c>
      <c r="I2942" s="520" t="s">
        <v>11649</v>
      </c>
      <c r="J2942" s="421" t="s">
        <v>753</v>
      </c>
      <c r="K2942" s="520" t="s">
        <v>741</v>
      </c>
    </row>
    <row r="2943" spans="1:11" s="341" customFormat="1">
      <c r="A2943" s="421"/>
      <c r="B2943" s="338" t="s">
        <v>10108</v>
      </c>
      <c r="C2943" s="1674">
        <v>430</v>
      </c>
      <c r="D2943" s="244">
        <f t="shared" si="404"/>
        <v>104.45782701492537</v>
      </c>
      <c r="E2943" s="472">
        <v>10</v>
      </c>
      <c r="F2943" s="585">
        <f t="shared" si="399"/>
        <v>114.46000000000001</v>
      </c>
      <c r="G2943" s="338" t="s">
        <v>10109</v>
      </c>
      <c r="H2943" s="592" t="s">
        <v>10110</v>
      </c>
      <c r="I2943" s="520" t="s">
        <v>11649</v>
      </c>
      <c r="J2943" s="421" t="s">
        <v>753</v>
      </c>
      <c r="K2943" s="520" t="s">
        <v>741</v>
      </c>
    </row>
    <row r="2944" spans="1:11" s="341" customFormat="1">
      <c r="A2944" s="421"/>
      <c r="B2944" s="338"/>
      <c r="C2944" s="1674" t="s">
        <v>2058</v>
      </c>
      <c r="D2944" s="244"/>
      <c r="E2944" s="228"/>
      <c r="F2944" s="585">
        <f t="shared" si="399"/>
        <v>0</v>
      </c>
      <c r="G2944" s="338"/>
      <c r="H2944" s="592"/>
      <c r="I2944" s="520"/>
      <c r="J2944" s="421"/>
      <c r="K2944" s="520"/>
    </row>
    <row r="2945" spans="1:11" s="341" customFormat="1">
      <c r="A2945" s="421"/>
      <c r="B2945" s="338"/>
      <c r="C2945" s="1674" t="s">
        <v>2058</v>
      </c>
      <c r="D2945" s="244"/>
      <c r="E2945" s="228"/>
      <c r="F2945" s="585">
        <f t="shared" si="399"/>
        <v>0</v>
      </c>
      <c r="G2945" s="338"/>
      <c r="H2945" s="592"/>
      <c r="I2945" s="520"/>
      <c r="J2945" s="421"/>
      <c r="K2945" s="520"/>
    </row>
    <row r="2946" spans="1:11" s="341" customFormat="1">
      <c r="A2946" s="421"/>
      <c r="B2946" s="338" t="s">
        <v>5712</v>
      </c>
      <c r="C2946" s="1674">
        <v>567</v>
      </c>
      <c r="D2946" s="244">
        <f>C2946*(1-VLOOKUP(I2946,descuentos,6,FALSE))*fcl/IF(dol_sol="dólar", TC,1)</f>
        <v>137.73857655223878</v>
      </c>
      <c r="E2946" s="472">
        <v>10</v>
      </c>
      <c r="F2946" s="585">
        <f>ROUNDUP(D2946+E2946,2)</f>
        <v>147.73999999999998</v>
      </c>
      <c r="G2946" s="338" t="s">
        <v>5713</v>
      </c>
      <c r="H2946" s="592" t="s">
        <v>9663</v>
      </c>
      <c r="I2946" s="520" t="s">
        <v>11649</v>
      </c>
      <c r="J2946" s="421" t="s">
        <v>753</v>
      </c>
      <c r="K2946" s="520" t="s">
        <v>741</v>
      </c>
    </row>
    <row r="2947" spans="1:11" s="341" customFormat="1">
      <c r="A2947" s="421"/>
      <c r="B2947" s="338"/>
      <c r="C2947" s="1674" t="s">
        <v>2058</v>
      </c>
      <c r="D2947" s="244"/>
      <c r="E2947" s="228"/>
      <c r="F2947" s="585">
        <f t="shared" ref="F2947:F2959" si="405">ROUNDUP(D2947+E2947,2)</f>
        <v>0</v>
      </c>
      <c r="G2947" s="338"/>
      <c r="H2947" s="592"/>
      <c r="I2947" s="520"/>
      <c r="J2947" s="421"/>
      <c r="K2947" s="520"/>
    </row>
    <row r="2948" spans="1:11" s="341" customFormat="1">
      <c r="A2948" s="421"/>
      <c r="B2948" s="338" t="s">
        <v>5714</v>
      </c>
      <c r="C2948" s="1674">
        <v>582</v>
      </c>
      <c r="D2948" s="244">
        <f>C2948*(1-VLOOKUP(I2948,descuentos,6,FALSE))*fcl/IF(dol_sol="dólar", TC,1)</f>
        <v>141.38245423880596</v>
      </c>
      <c r="E2948" s="472">
        <v>15</v>
      </c>
      <c r="F2948" s="585">
        <f>ROUNDUP(D2948+E2948,2)</f>
        <v>156.38999999999999</v>
      </c>
      <c r="G2948" s="338" t="s">
        <v>10111</v>
      </c>
      <c r="H2948" s="592" t="s">
        <v>9664</v>
      </c>
      <c r="I2948" s="520" t="s">
        <v>11649</v>
      </c>
      <c r="J2948" s="421" t="s">
        <v>753</v>
      </c>
      <c r="K2948" s="520" t="s">
        <v>741</v>
      </c>
    </row>
    <row r="2949" spans="1:11" s="341" customFormat="1">
      <c r="A2949" s="421"/>
      <c r="B2949" s="338" t="s">
        <v>5715</v>
      </c>
      <c r="C2949" s="1674">
        <v>746</v>
      </c>
      <c r="D2949" s="244">
        <f>C2949*(1-VLOOKUP(I2949,descuentos,6,FALSE))*fcl/IF(dol_sol="dólar", TC,1)</f>
        <v>181.22218361194027</v>
      </c>
      <c r="E2949" s="472">
        <v>15</v>
      </c>
      <c r="F2949" s="585">
        <f>ROUNDUP(D2949+E2949,2)</f>
        <v>196.23</v>
      </c>
      <c r="G2949" s="338" t="s">
        <v>10112</v>
      </c>
      <c r="H2949" s="592" t="s">
        <v>9665</v>
      </c>
      <c r="I2949" s="520" t="s">
        <v>11649</v>
      </c>
      <c r="J2949" s="421" t="s">
        <v>753</v>
      </c>
      <c r="K2949" s="520" t="s">
        <v>741</v>
      </c>
    </row>
    <row r="2950" spans="1:11" s="196" customFormat="1">
      <c r="A2950" s="418"/>
      <c r="B2950" s="146"/>
      <c r="C2950" s="1675" t="s">
        <v>2058</v>
      </c>
      <c r="D2950" s="219"/>
      <c r="E2950" s="117"/>
      <c r="F2950" s="161"/>
      <c r="G2950" s="147"/>
      <c r="H2950" s="146"/>
      <c r="I2950" s="194"/>
      <c r="J2950" s="194"/>
      <c r="K2950" s="194"/>
    </row>
    <row r="2951" spans="1:11" s="341" customFormat="1">
      <c r="A2951" s="421"/>
      <c r="B2951" s="338" t="s">
        <v>10113</v>
      </c>
      <c r="C2951" s="1674">
        <v>683</v>
      </c>
      <c r="D2951" s="244">
        <f>C2951*(1-VLOOKUP(I2951,descuentos,6,FALSE))*fcl/IF(dol_sol="dólar", TC,1)</f>
        <v>165.91789732835821</v>
      </c>
      <c r="E2951" s="472">
        <v>20</v>
      </c>
      <c r="F2951" s="585">
        <f>ROUNDUP(D2951+E2951,2)</f>
        <v>185.92</v>
      </c>
      <c r="G2951" s="338" t="s">
        <v>10114</v>
      </c>
      <c r="H2951" s="592" t="s">
        <v>10115</v>
      </c>
      <c r="I2951" s="520" t="s">
        <v>11649</v>
      </c>
      <c r="J2951" s="421" t="s">
        <v>753</v>
      </c>
      <c r="K2951" s="520" t="s">
        <v>741</v>
      </c>
    </row>
    <row r="2952" spans="1:11" s="341" customFormat="1">
      <c r="A2952" s="421"/>
      <c r="B2952" s="338" t="s">
        <v>10116</v>
      </c>
      <c r="C2952" s="1674">
        <v>877</v>
      </c>
      <c r="D2952" s="244">
        <f>C2952*(1-VLOOKUP(I2952,descuentos,6,FALSE))*fcl/IF(dol_sol="dólar", TC,1)</f>
        <v>213.04538207462687</v>
      </c>
      <c r="E2952" s="472">
        <v>20</v>
      </c>
      <c r="F2952" s="585">
        <f>ROUNDUP(D2952+E2952,2)</f>
        <v>233.04999999999998</v>
      </c>
      <c r="G2952" s="338" t="s">
        <v>10117</v>
      </c>
      <c r="H2952" s="592" t="s">
        <v>10118</v>
      </c>
      <c r="I2952" s="520" t="s">
        <v>11649</v>
      </c>
      <c r="J2952" s="421" t="s">
        <v>753</v>
      </c>
      <c r="K2952" s="520" t="s">
        <v>741</v>
      </c>
    </row>
    <row r="2953" spans="1:11" s="341" customFormat="1">
      <c r="A2953" s="421"/>
      <c r="B2953" s="338" t="s">
        <v>10119</v>
      </c>
      <c r="C2953" s="1674">
        <v>877</v>
      </c>
      <c r="D2953" s="244">
        <f>C2953*(1-VLOOKUP(I2953,descuentos,6,FALSE))*fcl/IF(dol_sol="dólar", TC,1)</f>
        <v>213.04538207462687</v>
      </c>
      <c r="E2953" s="472">
        <v>20</v>
      </c>
      <c r="F2953" s="585">
        <f>ROUNDUP(D2953+E2953,2)</f>
        <v>233.04999999999998</v>
      </c>
      <c r="G2953" s="338" t="s">
        <v>10120</v>
      </c>
      <c r="H2953" s="592" t="s">
        <v>10121</v>
      </c>
      <c r="I2953" s="520" t="s">
        <v>11649</v>
      </c>
      <c r="J2953" s="421" t="s">
        <v>753</v>
      </c>
      <c r="K2953" s="520" t="s">
        <v>741</v>
      </c>
    </row>
    <row r="2954" spans="1:11" s="341" customFormat="1">
      <c r="A2954" s="421"/>
      <c r="B2954" s="338" t="s">
        <v>10122</v>
      </c>
      <c r="C2954" s="1674">
        <v>877</v>
      </c>
      <c r="D2954" s="244">
        <f>C2954*(1-VLOOKUP(I2954,descuentos,6,FALSE))*fcl/IF(dol_sol="dólar", TC,1)</f>
        <v>213.04538207462687</v>
      </c>
      <c r="E2954" s="472">
        <v>20</v>
      </c>
      <c r="F2954" s="585">
        <f>ROUNDUP(D2954+E2954,2)</f>
        <v>233.04999999999998</v>
      </c>
      <c r="G2954" s="338" t="s">
        <v>10123</v>
      </c>
      <c r="H2954" s="592" t="s">
        <v>10124</v>
      </c>
      <c r="I2954" s="520" t="s">
        <v>11649</v>
      </c>
      <c r="J2954" s="421" t="s">
        <v>753</v>
      </c>
      <c r="K2954" s="520" t="s">
        <v>741</v>
      </c>
    </row>
    <row r="2955" spans="1:11" s="196" customFormat="1">
      <c r="A2955" s="418"/>
      <c r="B2955" s="146"/>
      <c r="C2955" s="1675" t="s">
        <v>2058</v>
      </c>
      <c r="D2955" s="219"/>
      <c r="E2955" s="117"/>
      <c r="F2955" s="161"/>
      <c r="G2955" s="147"/>
      <c r="H2955" s="146"/>
      <c r="I2955" s="194"/>
      <c r="J2955" s="194"/>
      <c r="K2955" s="194"/>
    </row>
    <row r="2956" spans="1:11" s="341" customFormat="1">
      <c r="A2956" s="421"/>
      <c r="B2956" s="338"/>
      <c r="C2956" s="1674" t="s">
        <v>2058</v>
      </c>
      <c r="D2956" s="244"/>
      <c r="E2956" s="228"/>
      <c r="F2956" s="585">
        <f t="shared" si="405"/>
        <v>0</v>
      </c>
      <c r="G2956" s="338"/>
      <c r="H2956" s="592"/>
      <c r="I2956" s="520"/>
      <c r="J2956" s="421"/>
      <c r="K2956" s="520"/>
    </row>
    <row r="2957" spans="1:11" s="341" customFormat="1">
      <c r="A2957" s="421"/>
      <c r="B2957" s="592" t="s">
        <v>5782</v>
      </c>
      <c r="C2957" s="1674">
        <v>210</v>
      </c>
      <c r="D2957" s="244">
        <f>C2957*(1-VLOOKUP(I2957,descuentos,6,FALSE))*fcl/IF(dol_sol="dólar", TC,1)</f>
        <v>51.01428761194029</v>
      </c>
      <c r="E2957" s="228">
        <v>4</v>
      </c>
      <c r="F2957" s="585">
        <f t="shared" si="405"/>
        <v>55.019999999999996</v>
      </c>
      <c r="G2957" s="592" t="s">
        <v>5783</v>
      </c>
      <c r="H2957" s="592" t="s">
        <v>3772</v>
      </c>
      <c r="I2957" s="520" t="s">
        <v>11649</v>
      </c>
      <c r="J2957" s="421" t="s">
        <v>753</v>
      </c>
      <c r="K2957" s="520" t="s">
        <v>741</v>
      </c>
    </row>
    <row r="2958" spans="1:11" s="341" customFormat="1">
      <c r="A2958" s="421"/>
      <c r="B2958" s="592" t="s">
        <v>5786</v>
      </c>
      <c r="C2958" s="1674">
        <v>279</v>
      </c>
      <c r="D2958" s="244">
        <f>C2958*(1-VLOOKUP(I2958,descuentos,6,FALSE))*fcl/IF(dol_sol="dólar", TC,1)</f>
        <v>67.77612497014924</v>
      </c>
      <c r="E2958" s="228">
        <v>4</v>
      </c>
      <c r="F2958" s="585">
        <f>ROUNDUP(D2958+E2958,2)</f>
        <v>71.78</v>
      </c>
      <c r="G2958" s="592" t="s">
        <v>9666</v>
      </c>
      <c r="H2958" s="592" t="s">
        <v>6658</v>
      </c>
      <c r="I2958" s="520" t="s">
        <v>11649</v>
      </c>
      <c r="J2958" s="421" t="s">
        <v>753</v>
      </c>
      <c r="K2958" s="520" t="s">
        <v>741</v>
      </c>
    </row>
    <row r="2959" spans="1:11" s="341" customFormat="1">
      <c r="A2959" s="421"/>
      <c r="B2959" s="592" t="s">
        <v>5784</v>
      </c>
      <c r="C2959" s="1674">
        <v>208</v>
      </c>
      <c r="D2959" s="244">
        <f>C2959*(1-VLOOKUP(I2959,descuentos,6,FALSE))*fcl/IF(dol_sol="dólar", TC,1)</f>
        <v>50.528437253731333</v>
      </c>
      <c r="E2959" s="228">
        <v>4</v>
      </c>
      <c r="F2959" s="585">
        <f t="shared" si="405"/>
        <v>54.53</v>
      </c>
      <c r="G2959" s="592" t="s">
        <v>5785</v>
      </c>
      <c r="H2959" s="592" t="s">
        <v>1732</v>
      </c>
      <c r="I2959" s="520" t="s">
        <v>11649</v>
      </c>
      <c r="J2959" s="421" t="s">
        <v>753</v>
      </c>
      <c r="K2959" s="520" t="s">
        <v>741</v>
      </c>
    </row>
    <row r="2960" spans="1:11" s="341" customFormat="1">
      <c r="A2960" s="421"/>
      <c r="B2960" s="592" t="s">
        <v>9667</v>
      </c>
      <c r="C2960" s="1674">
        <v>279</v>
      </c>
      <c r="D2960" s="244">
        <f>C2960*(1-VLOOKUP(I2960,descuentos,6,FALSE))*fcl/IF(dol_sol="dólar", TC,1)</f>
        <v>67.77612497014924</v>
      </c>
      <c r="E2960" s="228">
        <v>4</v>
      </c>
      <c r="F2960" s="585">
        <f>ROUNDUP(D2960+E2960,2)</f>
        <v>71.78</v>
      </c>
      <c r="G2960" s="592" t="s">
        <v>9668</v>
      </c>
      <c r="H2960" s="592" t="s">
        <v>3315</v>
      </c>
      <c r="I2960" s="520" t="s">
        <v>11649</v>
      </c>
      <c r="J2960" s="421" t="s">
        <v>753</v>
      </c>
      <c r="K2960" s="520" t="s">
        <v>741</v>
      </c>
    </row>
    <row r="2961" spans="1:15" s="341" customFormat="1">
      <c r="A2961" s="421"/>
      <c r="B2961" s="592"/>
      <c r="C2961" s="1674" t="s">
        <v>2058</v>
      </c>
      <c r="D2961" s="244"/>
      <c r="E2961" s="228"/>
      <c r="F2961" s="585"/>
      <c r="G2961" s="592"/>
      <c r="H2961" s="592"/>
      <c r="I2961" s="520"/>
      <c r="J2961" s="421"/>
      <c r="K2961" s="520"/>
    </row>
    <row r="2962" spans="1:15" s="341" customFormat="1">
      <c r="A2962" s="421"/>
      <c r="B2962" s="592"/>
      <c r="C2962" s="1674" t="s">
        <v>2058</v>
      </c>
      <c r="D2962" s="244"/>
      <c r="E2962" s="228"/>
      <c r="F2962" s="585"/>
      <c r="G2962" s="592"/>
      <c r="H2962" s="592"/>
      <c r="I2962" s="520"/>
      <c r="J2962" s="421"/>
      <c r="K2962" s="520"/>
    </row>
    <row r="2963" spans="1:15" s="196" customFormat="1">
      <c r="A2963" s="589" t="s">
        <v>5637</v>
      </c>
      <c r="B2963" s="151"/>
      <c r="C2963" s="209" t="s">
        <v>2058</v>
      </c>
      <c r="D2963" s="244"/>
      <c r="E2963" s="228"/>
      <c r="F2963" s="585"/>
      <c r="G2963" s="592"/>
      <c r="H2963" s="1647"/>
      <c r="I2963" s="520"/>
      <c r="J2963" s="589"/>
      <c r="K2963" s="520"/>
      <c r="L2963" s="203"/>
      <c r="M2963" s="203"/>
      <c r="N2963" s="203"/>
      <c r="O2963" s="203"/>
    </row>
    <row r="2964" spans="1:15" s="196" customFormat="1">
      <c r="A2964" s="418"/>
      <c r="B2964" s="146"/>
      <c r="C2964" s="254" t="s">
        <v>2058</v>
      </c>
      <c r="D2964" s="219"/>
      <c r="E2964" s="117"/>
      <c r="F2964" s="161"/>
      <c r="G2964" s="147"/>
      <c r="H2964" s="146"/>
      <c r="I2964" s="194"/>
      <c r="J2964" s="194"/>
      <c r="K2964" s="194"/>
    </row>
    <row r="2965" spans="1:15" s="194" customFormat="1">
      <c r="A2965" s="421"/>
      <c r="B2965" s="592" t="s">
        <v>5638</v>
      </c>
      <c r="C2965" s="1672">
        <v>12027</v>
      </c>
      <c r="D2965" s="244">
        <f>C2965*(1-VLOOKUP(I2965,descuentos,6,FALSE))*fcl/IF(dol_sol="dólar", TC,1)</f>
        <v>2921.6611290895521</v>
      </c>
      <c r="E2965" s="472">
        <v>400</v>
      </c>
      <c r="F2965" s="585">
        <f t="shared" ref="F2965:F2991" si="406">ROUNDUP(D2965+E2965,2)</f>
        <v>3321.67</v>
      </c>
      <c r="G2965" s="338" t="s">
        <v>5639</v>
      </c>
      <c r="H2965" s="592" t="s">
        <v>5640</v>
      </c>
      <c r="I2965" s="520" t="s">
        <v>11649</v>
      </c>
      <c r="J2965" s="421" t="s">
        <v>753</v>
      </c>
      <c r="K2965" s="520" t="s">
        <v>741</v>
      </c>
    </row>
    <row r="2966" spans="1:15" s="194" customFormat="1">
      <c r="A2966" s="421"/>
      <c r="B2966" s="592" t="s">
        <v>5641</v>
      </c>
      <c r="C2966" s="248">
        <v>13404</v>
      </c>
      <c r="D2966" s="244">
        <f>C2966*(1-VLOOKUP(I2966,descuentos,6,FALSE))*fcl/IF(dol_sol="dólar", TC,1)</f>
        <v>3256.1691007164177</v>
      </c>
      <c r="E2966" s="472">
        <v>400</v>
      </c>
      <c r="F2966" s="585">
        <f t="shared" si="406"/>
        <v>3656.17</v>
      </c>
      <c r="G2966" s="338" t="s">
        <v>5642</v>
      </c>
      <c r="H2966" s="592" t="s">
        <v>5643</v>
      </c>
      <c r="I2966" s="520" t="s">
        <v>11649</v>
      </c>
      <c r="J2966" s="421" t="s">
        <v>753</v>
      </c>
      <c r="K2966" s="520" t="s">
        <v>741</v>
      </c>
    </row>
    <row r="2967" spans="1:15" s="194" customFormat="1">
      <c r="A2967" s="421"/>
      <c r="B2967" s="592" t="s">
        <v>5644</v>
      </c>
      <c r="C2967" s="248">
        <v>10943</v>
      </c>
      <c r="D2967" s="244">
        <f>C2967*(1-VLOOKUP(I2967,descuentos,6,FALSE))*fcl/IF(dol_sol="dólar", TC,1)</f>
        <v>2658.3302349402979</v>
      </c>
      <c r="E2967" s="472">
        <v>400</v>
      </c>
      <c r="F2967" s="585">
        <f t="shared" si="406"/>
        <v>3058.34</v>
      </c>
      <c r="G2967" s="338" t="s">
        <v>5645</v>
      </c>
      <c r="H2967" s="592" t="s">
        <v>5646</v>
      </c>
      <c r="I2967" s="520" t="s">
        <v>11649</v>
      </c>
      <c r="J2967" s="421" t="s">
        <v>753</v>
      </c>
      <c r="K2967" s="520" t="s">
        <v>741</v>
      </c>
    </row>
    <row r="2968" spans="1:15" s="196" customFormat="1">
      <c r="A2968" s="589"/>
      <c r="B2968" s="592"/>
      <c r="C2968" s="209" t="s">
        <v>2058</v>
      </c>
      <c r="D2968" s="244"/>
      <c r="E2968" s="228"/>
      <c r="F2968" s="585">
        <f t="shared" si="406"/>
        <v>0</v>
      </c>
      <c r="G2968" s="592"/>
      <c r="H2968" s="592"/>
      <c r="I2968" s="520"/>
      <c r="J2968" s="589"/>
      <c r="K2968" s="520"/>
    </row>
    <row r="2969" spans="1:15" s="196" customFormat="1">
      <c r="A2969" s="589"/>
      <c r="B2969" s="627" t="s">
        <v>5647</v>
      </c>
      <c r="C2969" s="209">
        <v>2118</v>
      </c>
      <c r="D2969" s="244">
        <f>C2969*(1-VLOOKUP(I2969,descuentos,6,FALSE))*fcl/IF(dol_sol="dólar", TC,1)</f>
        <v>514.51552934328356</v>
      </c>
      <c r="E2969" s="228">
        <v>50</v>
      </c>
      <c r="F2969" s="585">
        <f t="shared" si="406"/>
        <v>564.52</v>
      </c>
      <c r="G2969" s="592" t="s">
        <v>5648</v>
      </c>
      <c r="H2969" s="592" t="s">
        <v>5649</v>
      </c>
      <c r="I2969" s="520" t="s">
        <v>11649</v>
      </c>
      <c r="J2969" s="589" t="s">
        <v>753</v>
      </c>
      <c r="K2969" s="520" t="s">
        <v>741</v>
      </c>
    </row>
    <row r="2970" spans="1:15" s="196" customFormat="1">
      <c r="A2970" s="589"/>
      <c r="B2970" s="592"/>
      <c r="C2970" s="209" t="s">
        <v>2058</v>
      </c>
      <c r="D2970" s="244"/>
      <c r="E2970" s="228"/>
      <c r="F2970" s="585">
        <f t="shared" si="406"/>
        <v>0</v>
      </c>
      <c r="G2970" s="592"/>
      <c r="H2970" s="592"/>
      <c r="I2970" s="520"/>
      <c r="J2970" s="589"/>
      <c r="K2970" s="520"/>
    </row>
    <row r="2971" spans="1:15" s="196" customFormat="1">
      <c r="A2971" s="589"/>
      <c r="B2971" s="592"/>
      <c r="C2971" s="209" t="s">
        <v>2058</v>
      </c>
      <c r="D2971" s="244"/>
      <c r="E2971" s="228"/>
      <c r="F2971" s="585">
        <f t="shared" si="406"/>
        <v>0</v>
      </c>
      <c r="G2971" s="592"/>
      <c r="H2971" s="592"/>
      <c r="I2971" s="520"/>
      <c r="J2971" s="589"/>
      <c r="K2971" s="520"/>
    </row>
    <row r="2972" spans="1:15" s="196" customFormat="1">
      <c r="A2972" s="589" t="s">
        <v>5650</v>
      </c>
      <c r="B2972" s="636" t="s">
        <v>5651</v>
      </c>
      <c r="C2972" s="1673">
        <v>586</v>
      </c>
      <c r="D2972" s="243">
        <f>C2972*(1-VLOOKUP(I2972,descuentos,6,FALSE))*fcl/IF(dol_sol="dólar", TC,1)</f>
        <v>142.35415495522386</v>
      </c>
      <c r="E2972" s="228">
        <v>80</v>
      </c>
      <c r="F2972" s="638">
        <f t="shared" si="406"/>
        <v>222.35999999999999</v>
      </c>
      <c r="G2972" s="592" t="s">
        <v>5652</v>
      </c>
      <c r="H2972" s="643" t="s">
        <v>5653</v>
      </c>
      <c r="I2972" s="639" t="s">
        <v>11649</v>
      </c>
      <c r="J2972" s="635" t="s">
        <v>753</v>
      </c>
      <c r="K2972" s="639" t="s">
        <v>741</v>
      </c>
    </row>
    <row r="2973" spans="1:15" s="196" customFormat="1">
      <c r="A2973" s="589"/>
      <c r="B2973" s="640"/>
      <c r="C2973" s="209" t="s">
        <v>2058</v>
      </c>
      <c r="D2973" s="243"/>
      <c r="E2973" s="228"/>
      <c r="F2973" s="638"/>
      <c r="G2973" s="592"/>
      <c r="H2973" s="592"/>
      <c r="I2973" s="520"/>
      <c r="J2973" s="421"/>
      <c r="K2973" s="520"/>
    </row>
    <row r="2974" spans="1:15" s="267" customFormat="1" ht="12" customHeight="1">
      <c r="A2974" s="635" t="s">
        <v>5654</v>
      </c>
      <c r="B2974" s="636" t="s">
        <v>5655</v>
      </c>
      <c r="C2974" s="1673">
        <v>556</v>
      </c>
      <c r="D2974" s="243">
        <f>C2974*(1-VLOOKUP(I2974,descuentos,6,FALSE))*fcl/IF(dol_sol="dólar", TC,1)</f>
        <v>135.06639958208953</v>
      </c>
      <c r="E2974" s="228">
        <v>20</v>
      </c>
      <c r="F2974" s="638">
        <f t="shared" si="406"/>
        <v>155.07</v>
      </c>
      <c r="G2974" s="643" t="s">
        <v>5656</v>
      </c>
      <c r="H2974" s="643" t="s">
        <v>5657</v>
      </c>
      <c r="I2974" s="639" t="s">
        <v>11649</v>
      </c>
      <c r="J2974" s="635" t="s">
        <v>753</v>
      </c>
      <c r="K2974" s="639" t="s">
        <v>741</v>
      </c>
    </row>
    <row r="2975" spans="1:15" s="267" customFormat="1" ht="12" customHeight="1">
      <c r="A2975" s="635"/>
      <c r="B2975" s="640"/>
      <c r="C2975" s="637" t="s">
        <v>2058</v>
      </c>
      <c r="D2975" s="243"/>
      <c r="E2975" s="228"/>
      <c r="F2975" s="638"/>
      <c r="G2975" s="643"/>
      <c r="H2975" s="643"/>
      <c r="I2975" s="639"/>
      <c r="J2975" s="635"/>
      <c r="K2975" s="639"/>
    </row>
    <row r="2976" spans="1:15" s="267" customFormat="1" ht="12" customHeight="1">
      <c r="A2976" s="635" t="s">
        <v>5658</v>
      </c>
      <c r="B2976" s="636" t="s">
        <v>5659</v>
      </c>
      <c r="C2976" s="1673">
        <v>1510</v>
      </c>
      <c r="D2976" s="243">
        <f>C2976*(1-VLOOKUP(I2976,descuentos,6,FALSE))*fcl/IF(dol_sol="dólar", TC,1)</f>
        <v>366.81702044776114</v>
      </c>
      <c r="E2976" s="228">
        <v>20</v>
      </c>
      <c r="F2976" s="638">
        <f t="shared" si="406"/>
        <v>386.82</v>
      </c>
      <c r="G2976" s="643" t="s">
        <v>5660</v>
      </c>
      <c r="H2976" s="643" t="s">
        <v>5661</v>
      </c>
      <c r="I2976" s="639" t="s">
        <v>11649</v>
      </c>
      <c r="J2976" s="635" t="s">
        <v>753</v>
      </c>
      <c r="K2976" s="639" t="s">
        <v>741</v>
      </c>
    </row>
    <row r="2977" spans="1:11" s="267" customFormat="1" ht="12" customHeight="1">
      <c r="A2977" s="635"/>
      <c r="B2977" s="642"/>
      <c r="C2977" s="637" t="s">
        <v>2058</v>
      </c>
      <c r="D2977" s="243"/>
      <c r="E2977" s="228"/>
      <c r="F2977" s="638"/>
      <c r="G2977" s="643"/>
      <c r="H2977" s="643"/>
      <c r="I2977" s="639"/>
      <c r="J2977" s="635"/>
      <c r="K2977" s="639"/>
    </row>
    <row r="2978" spans="1:11" s="267" customFormat="1" ht="12" customHeight="1">
      <c r="A2978" s="635" t="s">
        <v>5662</v>
      </c>
      <c r="B2978" s="636" t="s">
        <v>5663</v>
      </c>
      <c r="C2978" s="1673">
        <v>308</v>
      </c>
      <c r="D2978" s="243">
        <f>C2978*(1-VLOOKUP(I2978,descuentos,6,FALSE))*fcl/IF(dol_sol="dólar", TC,1)</f>
        <v>74.820955164179097</v>
      </c>
      <c r="E2978" s="228"/>
      <c r="F2978" s="638">
        <f>ROUNDUP(D2978+E2978,2)</f>
        <v>74.83</v>
      </c>
      <c r="G2978" s="641" t="s">
        <v>5664</v>
      </c>
      <c r="H2978" s="643" t="s">
        <v>5665</v>
      </c>
      <c r="I2978" s="639" t="s">
        <v>11649</v>
      </c>
      <c r="J2978" s="635" t="s">
        <v>753</v>
      </c>
      <c r="K2978" s="639" t="s">
        <v>741</v>
      </c>
    </row>
    <row r="2979" spans="1:11" s="267" customFormat="1" ht="12" customHeight="1">
      <c r="A2979" s="635"/>
      <c r="B2979" s="642"/>
      <c r="C2979" s="637" t="s">
        <v>2058</v>
      </c>
      <c r="D2979" s="243"/>
      <c r="E2979" s="228"/>
      <c r="F2979" s="638"/>
      <c r="G2979" s="641"/>
      <c r="H2979" s="643"/>
      <c r="I2979" s="639"/>
      <c r="J2979" s="635"/>
      <c r="K2979" s="639"/>
    </row>
    <row r="2980" spans="1:11" s="267" customFormat="1" ht="12" customHeight="1">
      <c r="A2980" s="635"/>
      <c r="B2980" s="592"/>
      <c r="C2980" s="209" t="s">
        <v>2058</v>
      </c>
      <c r="D2980" s="244"/>
      <c r="E2980" s="228"/>
      <c r="F2980" s="585">
        <f t="shared" si="406"/>
        <v>0</v>
      </c>
      <c r="G2980" s="592"/>
      <c r="H2980" s="592"/>
      <c r="I2980" s="520"/>
      <c r="J2980" s="421"/>
      <c r="K2980" s="520"/>
    </row>
    <row r="2981" spans="1:11" s="196" customFormat="1">
      <c r="A2981" s="421"/>
      <c r="B2981" s="592"/>
      <c r="C2981" s="209" t="s">
        <v>2058</v>
      </c>
      <c r="D2981" s="244"/>
      <c r="E2981" s="228"/>
      <c r="F2981" s="585">
        <f t="shared" si="406"/>
        <v>0</v>
      </c>
      <c r="G2981" s="338"/>
      <c r="H2981" s="592"/>
      <c r="I2981" s="520"/>
      <c r="J2981" s="421"/>
      <c r="K2981" s="520"/>
    </row>
    <row r="2982" spans="1:11" s="196" customFormat="1">
      <c r="A2982" s="421"/>
      <c r="B2982" s="631"/>
      <c r="C2982" s="209" t="s">
        <v>2058</v>
      </c>
      <c r="D2982" s="244"/>
      <c r="E2982" s="228"/>
      <c r="F2982" s="585">
        <f t="shared" si="406"/>
        <v>0</v>
      </c>
      <c r="G2982" s="338"/>
      <c r="H2982" s="592"/>
      <c r="I2982" s="520"/>
      <c r="J2982" s="421"/>
      <c r="K2982" s="520"/>
    </row>
    <row r="2983" spans="1:11" s="196" customFormat="1">
      <c r="A2983" s="421"/>
      <c r="B2983" s="627" t="s">
        <v>5666</v>
      </c>
      <c r="C2983" s="1672">
        <v>552</v>
      </c>
      <c r="D2983" s="244">
        <f>C2983*(1-VLOOKUP(I2983,descuentos,6,FALSE))*fcl/IF(dol_sol="dólar", TC,1)</f>
        <v>134.09469886567163</v>
      </c>
      <c r="E2983" s="228">
        <v>10</v>
      </c>
      <c r="F2983" s="585">
        <f t="shared" si="406"/>
        <v>144.1</v>
      </c>
      <c r="G2983" s="592" t="s">
        <v>5667</v>
      </c>
      <c r="H2983" s="592" t="s">
        <v>1739</v>
      </c>
      <c r="I2983" s="520" t="s">
        <v>11649</v>
      </c>
      <c r="J2983" s="589" t="s">
        <v>753</v>
      </c>
      <c r="K2983" s="520" t="s">
        <v>741</v>
      </c>
    </row>
    <row r="2984" spans="1:11" s="196" customFormat="1">
      <c r="A2984" s="421"/>
      <c r="B2984" s="627" t="s">
        <v>5668</v>
      </c>
      <c r="C2984" s="1672">
        <v>552</v>
      </c>
      <c r="D2984" s="244">
        <f>C2984*(1-VLOOKUP(I2984,descuentos,6,FALSE))*fcl/IF(dol_sol="dólar", TC,1)</f>
        <v>134.09469886567163</v>
      </c>
      <c r="E2984" s="228">
        <v>10</v>
      </c>
      <c r="F2984" s="585">
        <f t="shared" si="406"/>
        <v>144.1</v>
      </c>
      <c r="G2984" s="592" t="s">
        <v>5669</v>
      </c>
      <c r="H2984" s="592" t="s">
        <v>1741</v>
      </c>
      <c r="I2984" s="520" t="s">
        <v>11649</v>
      </c>
      <c r="J2984" s="589" t="s">
        <v>753</v>
      </c>
      <c r="K2984" s="520" t="s">
        <v>741</v>
      </c>
    </row>
    <row r="2985" spans="1:11" s="196" customFormat="1">
      <c r="A2985" s="589"/>
      <c r="B2985" s="627" t="s">
        <v>5670</v>
      </c>
      <c r="C2985" s="1672">
        <v>3334</v>
      </c>
      <c r="D2985" s="244">
        <f>C2985*(1-VLOOKUP(I2985,descuentos,6,FALSE))*fcl/IF(dol_sol="dólar", TC,1)</f>
        <v>809.91254713432829</v>
      </c>
      <c r="E2985" s="228">
        <v>15</v>
      </c>
      <c r="F2985" s="585">
        <f t="shared" si="406"/>
        <v>824.92</v>
      </c>
      <c r="G2985" s="592" t="s">
        <v>5671</v>
      </c>
      <c r="H2985" s="592" t="s">
        <v>5672</v>
      </c>
      <c r="I2985" s="520" t="s">
        <v>11649</v>
      </c>
      <c r="J2985" s="589" t="s">
        <v>753</v>
      </c>
      <c r="K2985" s="520" t="s">
        <v>741</v>
      </c>
    </row>
    <row r="2986" spans="1:11" s="196" customFormat="1">
      <c r="A2986" s="589"/>
      <c r="B2986" s="627"/>
      <c r="C2986" s="209" t="s">
        <v>2058</v>
      </c>
      <c r="D2986" s="244"/>
      <c r="E2986" s="228"/>
      <c r="F2986" s="585">
        <f t="shared" si="406"/>
        <v>0</v>
      </c>
      <c r="G2986" s="592"/>
      <c r="H2986" s="592"/>
      <c r="I2986" s="520"/>
      <c r="J2986" s="589"/>
      <c r="K2986" s="520"/>
    </row>
    <row r="2987" spans="1:11" s="196" customFormat="1">
      <c r="A2987" s="589"/>
      <c r="B2987" s="627" t="s">
        <v>5673</v>
      </c>
      <c r="C2987" s="1672">
        <v>304</v>
      </c>
      <c r="D2987" s="244">
        <f>C2987*(1-VLOOKUP(I2987,descuentos,6,FALSE))*fcl/IF(dol_sol="dólar", TC,1)</f>
        <v>73.849254447761183</v>
      </c>
      <c r="E2987" s="228">
        <v>5</v>
      </c>
      <c r="F2987" s="585">
        <f t="shared" si="406"/>
        <v>78.850000000000009</v>
      </c>
      <c r="G2987" s="592" t="s">
        <v>5674</v>
      </c>
      <c r="H2987" s="592" t="s">
        <v>5675</v>
      </c>
      <c r="I2987" s="520" t="s">
        <v>11649</v>
      </c>
      <c r="J2987" s="589" t="s">
        <v>753</v>
      </c>
      <c r="K2987" s="520" t="s">
        <v>741</v>
      </c>
    </row>
    <row r="2988" spans="1:11" s="196" customFormat="1">
      <c r="A2988" s="589"/>
      <c r="B2988" s="629"/>
      <c r="C2988" s="209" t="s">
        <v>2058</v>
      </c>
      <c r="D2988" s="244"/>
      <c r="E2988" s="228"/>
      <c r="F2988" s="585">
        <f t="shared" si="406"/>
        <v>0</v>
      </c>
      <c r="G2988" s="592"/>
      <c r="H2988" s="592"/>
      <c r="I2988" s="520"/>
      <c r="J2988" s="589"/>
      <c r="K2988" s="520"/>
    </row>
    <row r="2989" spans="1:11" s="196" customFormat="1">
      <c r="A2989" s="589"/>
      <c r="B2989" s="592"/>
      <c r="C2989" s="209" t="s">
        <v>2058</v>
      </c>
      <c r="D2989" s="244"/>
      <c r="E2989" s="228"/>
      <c r="F2989" s="585">
        <f t="shared" si="406"/>
        <v>0</v>
      </c>
      <c r="G2989" s="592"/>
      <c r="H2989" s="592"/>
      <c r="I2989" s="520"/>
      <c r="J2989" s="589"/>
      <c r="K2989" s="520"/>
    </row>
    <row r="2990" spans="1:11" s="196" customFormat="1">
      <c r="A2990" s="589"/>
      <c r="B2990" s="592"/>
      <c r="C2990" s="209" t="s">
        <v>2058</v>
      </c>
      <c r="D2990" s="244"/>
      <c r="E2990" s="228"/>
      <c r="F2990" s="585"/>
      <c r="G2990" s="592"/>
      <c r="H2990" s="592"/>
      <c r="I2990" s="520"/>
      <c r="J2990" s="589"/>
      <c r="K2990" s="520"/>
    </row>
    <row r="2991" spans="1:11" s="196" customFormat="1" ht="13.5" customHeight="1">
      <c r="A2991" s="421"/>
      <c r="B2991" s="592" t="s">
        <v>5676</v>
      </c>
      <c r="C2991" s="209">
        <v>677</v>
      </c>
      <c r="D2991" s="244">
        <f>C2991*(1-VLOOKUP(I2991,descuentos,6,FALSE))*fcl/IF(dol_sol="dólar", TC,1)</f>
        <v>164.46034625373133</v>
      </c>
      <c r="E2991" s="228">
        <v>10</v>
      </c>
      <c r="F2991" s="585">
        <f t="shared" si="406"/>
        <v>174.47</v>
      </c>
      <c r="G2991" s="592" t="s">
        <v>10268</v>
      </c>
      <c r="H2991" s="592" t="s">
        <v>5677</v>
      </c>
      <c r="I2991" s="520" t="s">
        <v>11649</v>
      </c>
      <c r="J2991" s="421" t="s">
        <v>753</v>
      </c>
      <c r="K2991" s="520" t="s">
        <v>741</v>
      </c>
    </row>
    <row r="2992" spans="1:11" s="196" customFormat="1">
      <c r="B2992" s="142"/>
      <c r="C2992" s="235"/>
      <c r="D2992" s="213"/>
      <c r="E2992" s="226"/>
      <c r="F2992" s="155"/>
      <c r="G2992" s="143"/>
      <c r="H2992" s="142"/>
    </row>
    <row r="2993" spans="1:15" s="1831" customFormat="1">
      <c r="A2993" s="1963"/>
      <c r="B2993" s="2119" t="s">
        <v>12300</v>
      </c>
      <c r="C2993" s="1834">
        <v>260</v>
      </c>
      <c r="D2993" s="1646">
        <f t="shared" ref="D2993" si="407">C2993*(1-VLOOKUP(I2993,descuentos,6,FALSE))*fcl</f>
        <v>211.58783099999999</v>
      </c>
      <c r="E2993" s="228">
        <v>100</v>
      </c>
      <c r="F2993" s="585">
        <f t="shared" ref="F2993:F2996" si="408">ROUNDUP(D2993+E2993,1)</f>
        <v>311.60000000000002</v>
      </c>
      <c r="G2993" s="2120" t="s">
        <v>12301</v>
      </c>
      <c r="H2993" s="2121" t="s">
        <v>12302</v>
      </c>
      <c r="I2993" s="2122" t="s">
        <v>11649</v>
      </c>
      <c r="J2993" s="1963" t="s">
        <v>753</v>
      </c>
      <c r="K2993" s="2122" t="s">
        <v>741</v>
      </c>
    </row>
    <row r="2994" spans="1:15" s="1831" customFormat="1">
      <c r="A2994" s="1963"/>
      <c r="B2994" s="2119" t="s">
        <v>12303</v>
      </c>
      <c r="C2994" s="1834">
        <v>562</v>
      </c>
      <c r="D2994" s="1646">
        <f t="shared" ref="D2994:D2996" si="409">C2994*(1-VLOOKUP(I2994,descuentos,6,FALSE))*fcl</f>
        <v>457.35523469999998</v>
      </c>
      <c r="E2994" s="228">
        <v>100</v>
      </c>
      <c r="F2994" s="585">
        <f t="shared" si="408"/>
        <v>557.4</v>
      </c>
      <c r="G2994" s="2120" t="s">
        <v>12304</v>
      </c>
      <c r="H2994" s="2121" t="s">
        <v>12305</v>
      </c>
      <c r="I2994" s="2122" t="s">
        <v>11649</v>
      </c>
      <c r="J2994" s="1963" t="s">
        <v>753</v>
      </c>
      <c r="K2994" s="2122" t="s">
        <v>741</v>
      </c>
    </row>
    <row r="2995" spans="1:15" s="1831" customFormat="1">
      <c r="A2995" s="1963"/>
      <c r="B2995" s="2119" t="s">
        <v>12306</v>
      </c>
      <c r="C2995" s="1834">
        <v>770</v>
      </c>
      <c r="D2995" s="1646">
        <f t="shared" si="409"/>
        <v>626.62549949999993</v>
      </c>
      <c r="E2995" s="228">
        <v>100</v>
      </c>
      <c r="F2995" s="585">
        <f t="shared" si="408"/>
        <v>726.7</v>
      </c>
      <c r="G2995" s="2120" t="s">
        <v>12307</v>
      </c>
      <c r="H2995" s="2121" t="s">
        <v>12308</v>
      </c>
      <c r="I2995" s="2122" t="s">
        <v>11649</v>
      </c>
      <c r="J2995" s="1963" t="s">
        <v>753</v>
      </c>
      <c r="K2995" s="2122" t="s">
        <v>741</v>
      </c>
    </row>
    <row r="2996" spans="1:15" s="1831" customFormat="1">
      <c r="A2996" s="1963"/>
      <c r="B2996" s="2119" t="s">
        <v>12309</v>
      </c>
      <c r="C2996" s="1834">
        <v>250</v>
      </c>
      <c r="D2996" s="1646">
        <f t="shared" si="409"/>
        <v>417.5</v>
      </c>
      <c r="E2996" s="228">
        <v>100</v>
      </c>
      <c r="F2996" s="585">
        <f t="shared" si="408"/>
        <v>517.5</v>
      </c>
      <c r="G2996" s="2120" t="s">
        <v>12310</v>
      </c>
      <c r="H2996" s="2121" t="s">
        <v>12311</v>
      </c>
      <c r="I2996" s="2122" t="s">
        <v>5179</v>
      </c>
      <c r="J2996" s="1963" t="s">
        <v>753</v>
      </c>
      <c r="K2996" s="2122" t="s">
        <v>741</v>
      </c>
    </row>
    <row r="2997" spans="1:15" s="1831" customFormat="1">
      <c r="A2997" s="1963"/>
      <c r="B2997" s="2119"/>
      <c r="C2997" s="436" t="s">
        <v>2058</v>
      </c>
      <c r="D2997" s="2123"/>
      <c r="E2997" s="2124"/>
      <c r="F2997" s="2125"/>
      <c r="G2997" s="2120"/>
      <c r="H2997" s="2121"/>
      <c r="I2997" s="2122"/>
      <c r="J2997" s="1963"/>
      <c r="K2997" s="2122"/>
    </row>
    <row r="2998" spans="1:15" s="196" customFormat="1">
      <c r="A2998" s="589"/>
      <c r="B2998" s="151"/>
      <c r="C2998" s="209" t="s">
        <v>2058</v>
      </c>
      <c r="D2998" s="244"/>
      <c r="E2998" s="228"/>
      <c r="F2998" s="585"/>
      <c r="G2998" s="592"/>
      <c r="H2998" s="592"/>
      <c r="I2998" s="520"/>
      <c r="J2998" s="589"/>
      <c r="K2998" s="520"/>
      <c r="L2998" s="203"/>
      <c r="M2998" s="203"/>
      <c r="N2998" s="203"/>
      <c r="O2998" s="203"/>
    </row>
    <row r="2999" spans="1:15" s="2092" customFormat="1">
      <c r="A2999" s="2082"/>
      <c r="B2999" s="2083"/>
      <c r="C2999" s="2084"/>
      <c r="D2999" s="2085"/>
      <c r="E2999" s="2086"/>
      <c r="F2999" s="2087"/>
      <c r="G2999" s="2088"/>
      <c r="H2999" s="2089"/>
      <c r="I2999" s="2090"/>
      <c r="J2999" s="2082"/>
      <c r="K2999" s="2090"/>
      <c r="L2999" s="2091"/>
      <c r="M2999" s="2091"/>
      <c r="N2999" s="2091"/>
      <c r="O2999" s="2091"/>
    </row>
    <row r="3000" spans="1:15" s="196" customFormat="1">
      <c r="A3000" s="589"/>
      <c r="B3000" s="151"/>
      <c r="C3000" s="209"/>
      <c r="D3000" s="244"/>
      <c r="E3000" s="228"/>
      <c r="F3000" s="585"/>
      <c r="G3000" s="592"/>
      <c r="H3000" s="1647"/>
      <c r="I3000" s="520"/>
      <c r="J3000" s="589"/>
      <c r="K3000" s="520"/>
      <c r="L3000" s="203"/>
      <c r="M3000" s="203"/>
      <c r="N3000" s="203"/>
      <c r="O3000" s="203"/>
    </row>
    <row r="3001" spans="1:15" s="196" customFormat="1">
      <c r="A3001" s="589"/>
      <c r="B3001" s="1731" t="s">
        <v>7465</v>
      </c>
      <c r="C3001" s="1834">
        <v>3278</v>
      </c>
      <c r="D3001" s="1646">
        <f t="shared" ref="D3001:D3010" si="410">C3001*(1-VLOOKUP(I3001,descuentos,6,FALSE))*fcl</f>
        <v>5474.26</v>
      </c>
      <c r="E3001" s="228">
        <v>100</v>
      </c>
      <c r="F3001" s="585">
        <f t="shared" ref="F3001:F3010" si="411">ROUNDUP(D3001+E3001,1)</f>
        <v>5574.3</v>
      </c>
      <c r="G3001" s="592" t="s">
        <v>7466</v>
      </c>
      <c r="H3001" s="1751" t="s">
        <v>7467</v>
      </c>
      <c r="I3001" s="520" t="s">
        <v>5179</v>
      </c>
      <c r="J3001" s="589" t="s">
        <v>753</v>
      </c>
      <c r="K3001" s="520" t="s">
        <v>741</v>
      </c>
      <c r="L3001" s="203"/>
      <c r="M3001" s="203"/>
      <c r="N3001" s="203"/>
      <c r="O3001" s="203"/>
    </row>
    <row r="3002" spans="1:15" s="196" customFormat="1">
      <c r="A3002" s="589"/>
      <c r="B3002" s="1731" t="s">
        <v>7468</v>
      </c>
      <c r="C3002" s="592" t="s">
        <v>7469</v>
      </c>
      <c r="D3002" s="1646"/>
      <c r="E3002" s="228"/>
      <c r="F3002" s="585"/>
      <c r="G3002" s="592" t="s">
        <v>7469</v>
      </c>
      <c r="H3002" s="1647"/>
      <c r="I3002" s="520" t="s">
        <v>5179</v>
      </c>
      <c r="J3002" s="589" t="s">
        <v>753</v>
      </c>
      <c r="K3002" s="520" t="s">
        <v>741</v>
      </c>
      <c r="L3002" s="203"/>
      <c r="M3002" s="203"/>
      <c r="N3002" s="203"/>
      <c r="O3002" s="203"/>
    </row>
    <row r="3003" spans="1:15" s="196" customFormat="1">
      <c r="A3003" s="589"/>
      <c r="B3003" s="1750" t="s">
        <v>7470</v>
      </c>
      <c r="C3003" s="1834">
        <v>2513</v>
      </c>
      <c r="D3003" s="1646">
        <f t="shared" si="410"/>
        <v>4196.71</v>
      </c>
      <c r="E3003" s="228">
        <v>10</v>
      </c>
      <c r="F3003" s="585">
        <f t="shared" si="411"/>
        <v>4206.8</v>
      </c>
      <c r="G3003" s="592" t="s">
        <v>7471</v>
      </c>
      <c r="H3003" s="1751" t="s">
        <v>7472</v>
      </c>
      <c r="I3003" s="520" t="s">
        <v>5179</v>
      </c>
      <c r="J3003" s="589" t="s">
        <v>753</v>
      </c>
      <c r="K3003" s="520" t="s">
        <v>741</v>
      </c>
      <c r="L3003" s="203"/>
      <c r="M3003" s="203"/>
      <c r="N3003" s="203"/>
      <c r="O3003" s="203"/>
    </row>
    <row r="3004" spans="1:15" s="196" customFormat="1">
      <c r="A3004" s="589"/>
      <c r="B3004" s="1750" t="s">
        <v>7473</v>
      </c>
      <c r="C3004" s="1834">
        <v>854</v>
      </c>
      <c r="D3004" s="1646">
        <f t="shared" si="410"/>
        <v>1426.1799999999998</v>
      </c>
      <c r="E3004" s="228">
        <v>10</v>
      </c>
      <c r="F3004" s="585">
        <f t="shared" si="411"/>
        <v>1436.1999999999998</v>
      </c>
      <c r="G3004" s="592" t="s">
        <v>7474</v>
      </c>
      <c r="H3004" s="1751" t="s">
        <v>7475</v>
      </c>
      <c r="I3004" s="520" t="s">
        <v>5179</v>
      </c>
      <c r="J3004" s="589" t="s">
        <v>753</v>
      </c>
      <c r="K3004" s="520" t="s">
        <v>741</v>
      </c>
      <c r="L3004" s="203"/>
      <c r="M3004" s="203"/>
      <c r="N3004" s="203"/>
      <c r="O3004" s="203"/>
    </row>
    <row r="3005" spans="1:15" s="196" customFormat="1">
      <c r="A3005" s="589"/>
      <c r="B3005" s="1750" t="s">
        <v>7476</v>
      </c>
      <c r="C3005" s="1834">
        <v>235</v>
      </c>
      <c r="D3005" s="1646">
        <f t="shared" si="410"/>
        <v>392.45</v>
      </c>
      <c r="E3005" s="228">
        <v>10</v>
      </c>
      <c r="F3005" s="585">
        <f t="shared" si="411"/>
        <v>402.5</v>
      </c>
      <c r="G3005" s="592" t="s">
        <v>7477</v>
      </c>
      <c r="H3005" s="1647" t="s">
        <v>7478</v>
      </c>
      <c r="I3005" s="520" t="s">
        <v>5179</v>
      </c>
      <c r="J3005" s="589" t="s">
        <v>753</v>
      </c>
      <c r="K3005" s="520" t="s">
        <v>741</v>
      </c>
      <c r="L3005" s="203"/>
      <c r="M3005" s="203"/>
      <c r="N3005" s="203"/>
      <c r="O3005" s="203"/>
    </row>
    <row r="3006" spans="1:15" s="196" customFormat="1">
      <c r="A3006" s="589"/>
      <c r="B3006" s="1750" t="s">
        <v>7479</v>
      </c>
      <c r="C3006" s="1834">
        <v>63</v>
      </c>
      <c r="D3006" s="1646">
        <f t="shared" si="410"/>
        <v>105.21</v>
      </c>
      <c r="E3006" s="228">
        <v>10</v>
      </c>
      <c r="F3006" s="585">
        <f t="shared" si="411"/>
        <v>115.3</v>
      </c>
      <c r="G3006" s="592" t="s">
        <v>7480</v>
      </c>
      <c r="H3006" s="1647" t="s">
        <v>7481</v>
      </c>
      <c r="I3006" s="520" t="s">
        <v>5179</v>
      </c>
      <c r="J3006" s="589" t="s">
        <v>753</v>
      </c>
      <c r="K3006" s="520" t="s">
        <v>741</v>
      </c>
      <c r="L3006" s="203"/>
      <c r="M3006" s="203"/>
      <c r="N3006" s="203"/>
      <c r="O3006" s="203"/>
    </row>
    <row r="3007" spans="1:15" s="196" customFormat="1">
      <c r="A3007" s="589"/>
      <c r="B3007" s="1752" t="s">
        <v>7482</v>
      </c>
      <c r="C3007" s="592" t="s">
        <v>7483</v>
      </c>
      <c r="D3007" s="1646"/>
      <c r="E3007" s="228"/>
      <c r="F3007" s="585"/>
      <c r="G3007" s="592" t="s">
        <v>7483</v>
      </c>
      <c r="H3007" s="1647"/>
      <c r="I3007" s="520" t="s">
        <v>5179</v>
      </c>
      <c r="J3007" s="589" t="s">
        <v>753</v>
      </c>
      <c r="K3007" s="520" t="s">
        <v>741</v>
      </c>
      <c r="L3007" s="203"/>
      <c r="M3007" s="203"/>
      <c r="N3007" s="203"/>
      <c r="O3007" s="203"/>
    </row>
    <row r="3008" spans="1:15" s="196" customFormat="1">
      <c r="A3008" s="589"/>
      <c r="B3008" s="1752" t="s">
        <v>7484</v>
      </c>
      <c r="C3008" s="592" t="s">
        <v>7485</v>
      </c>
      <c r="D3008" s="1646"/>
      <c r="E3008" s="228"/>
      <c r="F3008" s="585"/>
      <c r="G3008" s="592" t="s">
        <v>7485</v>
      </c>
      <c r="H3008" s="1647"/>
      <c r="I3008" s="520" t="s">
        <v>5179</v>
      </c>
      <c r="J3008" s="589" t="s">
        <v>753</v>
      </c>
      <c r="K3008" s="520" t="s">
        <v>741</v>
      </c>
      <c r="L3008" s="203"/>
      <c r="M3008" s="203"/>
      <c r="N3008" s="203"/>
      <c r="O3008" s="203"/>
    </row>
    <row r="3009" spans="1:15" s="196" customFormat="1">
      <c r="A3009" s="589"/>
      <c r="B3009" s="1752" t="s">
        <v>7486</v>
      </c>
      <c r="C3009" s="209">
        <v>183</v>
      </c>
      <c r="D3009" s="1646">
        <f>C3009*(1-VLOOKUP(I3009,descuentos,6,FALSE))*fcl/IF(dol_sol="dólar", TC,1)</f>
        <v>91.226865671641789</v>
      </c>
      <c r="E3009" s="228">
        <v>10</v>
      </c>
      <c r="F3009" s="585">
        <f>ROUNDUP(D3009+E3009,2)</f>
        <v>101.23</v>
      </c>
      <c r="G3009" s="592" t="s">
        <v>7487</v>
      </c>
      <c r="H3009" s="1647" t="s">
        <v>7488</v>
      </c>
      <c r="I3009" s="520" t="s">
        <v>5179</v>
      </c>
      <c r="J3009" s="589" t="s">
        <v>753</v>
      </c>
      <c r="K3009" s="520" t="s">
        <v>741</v>
      </c>
      <c r="L3009" s="203"/>
      <c r="M3009" s="203"/>
      <c r="N3009" s="203"/>
      <c r="O3009" s="203"/>
    </row>
    <row r="3010" spans="1:15" s="196" customFormat="1">
      <c r="A3010" s="1753"/>
      <c r="B3010" s="1754" t="s">
        <v>7489</v>
      </c>
      <c r="C3010" s="1180">
        <v>547</v>
      </c>
      <c r="D3010" s="1646">
        <f t="shared" si="410"/>
        <v>913.49</v>
      </c>
      <c r="E3010" s="228">
        <v>10</v>
      </c>
      <c r="F3010" s="585">
        <f t="shared" si="411"/>
        <v>923.5</v>
      </c>
      <c r="G3010" s="592" t="s">
        <v>7490</v>
      </c>
      <c r="H3010" s="1647">
        <v>68840830</v>
      </c>
      <c r="I3010" s="520" t="s">
        <v>5179</v>
      </c>
      <c r="J3010" s="589" t="s">
        <v>753</v>
      </c>
      <c r="K3010" s="520" t="s">
        <v>741</v>
      </c>
      <c r="L3010" s="203"/>
      <c r="M3010" s="203"/>
      <c r="N3010" s="203"/>
      <c r="O3010" s="203"/>
    </row>
    <row r="3011" spans="1:15" s="194" customFormat="1">
      <c r="A3011" s="589"/>
      <c r="B3011" s="1647"/>
      <c r="C3011" s="1180"/>
      <c r="D3011" s="244"/>
      <c r="E3011" s="228"/>
      <c r="F3011" s="585"/>
      <c r="G3011" s="592"/>
      <c r="H3011" s="1647"/>
      <c r="I3011" s="520"/>
      <c r="J3011" s="589"/>
      <c r="K3011" s="520"/>
      <c r="L3011" s="106"/>
      <c r="M3011" s="106"/>
      <c r="N3011" s="106"/>
      <c r="O3011" s="106"/>
    </row>
    <row r="3012" spans="1:15" s="196" customFormat="1">
      <c r="A3012" s="589"/>
      <c r="B3012" s="151"/>
      <c r="C3012" s="209"/>
      <c r="D3012" s="244"/>
      <c r="E3012" s="228"/>
      <c r="F3012" s="585"/>
      <c r="G3012" s="592"/>
      <c r="H3012" s="1647"/>
      <c r="I3012" s="520"/>
      <c r="J3012" s="589"/>
      <c r="K3012" s="520"/>
      <c r="L3012" s="203"/>
      <c r="M3012" s="203"/>
      <c r="N3012" s="203"/>
      <c r="O3012" s="203"/>
    </row>
    <row r="3013" spans="1:15" s="196" customFormat="1">
      <c r="A3013" s="1651"/>
      <c r="B3013" s="151" t="s">
        <v>9241</v>
      </c>
      <c r="C3013" s="1834">
        <v>2694</v>
      </c>
      <c r="D3013" s="1646">
        <f>C3013*(1-VLOOKUP(I3013,descuentos,6,FALSE))*fcl</f>
        <v>4498.9799999999996</v>
      </c>
      <c r="E3013" s="228">
        <v>100</v>
      </c>
      <c r="F3013" s="585">
        <f>ROUNDUP(D3013+E3013,1)</f>
        <v>4599</v>
      </c>
      <c r="G3013" s="592" t="s">
        <v>9242</v>
      </c>
      <c r="H3013" s="1751" t="s">
        <v>9243</v>
      </c>
      <c r="I3013" s="520" t="s">
        <v>5179</v>
      </c>
      <c r="J3013" s="589" t="s">
        <v>753</v>
      </c>
      <c r="K3013" s="520" t="s">
        <v>741</v>
      </c>
      <c r="L3013" s="203"/>
      <c r="M3013" s="203"/>
      <c r="N3013" s="203"/>
      <c r="O3013" s="203"/>
    </row>
    <row r="3014" spans="1:15" s="196" customFormat="1">
      <c r="A3014" s="1651"/>
      <c r="B3014" s="1731" t="s">
        <v>7468</v>
      </c>
      <c r="C3014" s="592" t="s">
        <v>7469</v>
      </c>
      <c r="D3014" s="1646"/>
      <c r="E3014" s="228"/>
      <c r="F3014" s="585"/>
      <c r="G3014" s="592" t="s">
        <v>7469</v>
      </c>
      <c r="H3014" s="1647"/>
      <c r="I3014" s="520" t="s">
        <v>5179</v>
      </c>
      <c r="J3014" s="589" t="s">
        <v>753</v>
      </c>
      <c r="K3014" s="520" t="s">
        <v>741</v>
      </c>
      <c r="L3014" s="203"/>
      <c r="M3014" s="203"/>
      <c r="N3014" s="203"/>
      <c r="O3014" s="203"/>
    </row>
    <row r="3015" spans="1:15" s="196" customFormat="1">
      <c r="A3015" s="1651"/>
      <c r="B3015" s="1750" t="s">
        <v>9244</v>
      </c>
      <c r="C3015" s="1834">
        <v>610</v>
      </c>
      <c r="D3015" s="1646">
        <f>C3015*(1-VLOOKUP(I3015,descuentos,6,FALSE))*fcl</f>
        <v>1018.6999999999999</v>
      </c>
      <c r="E3015" s="228">
        <v>10</v>
      </c>
      <c r="F3015" s="585">
        <f>ROUNDUP(D3015+E3015,1)</f>
        <v>1028.7</v>
      </c>
      <c r="G3015" s="592" t="s">
        <v>9245</v>
      </c>
      <c r="H3015" s="1751">
        <v>58982806</v>
      </c>
      <c r="I3015" s="520" t="s">
        <v>5179</v>
      </c>
      <c r="J3015" s="589" t="s">
        <v>753</v>
      </c>
      <c r="K3015" s="520" t="s">
        <v>741</v>
      </c>
      <c r="L3015" s="203"/>
      <c r="M3015" s="203"/>
      <c r="N3015" s="203"/>
      <c r="O3015" s="203"/>
    </row>
    <row r="3016" spans="1:15" s="196" customFormat="1">
      <c r="A3016" s="1651"/>
      <c r="B3016" s="1750" t="s">
        <v>7473</v>
      </c>
      <c r="C3016" s="1834">
        <v>854</v>
      </c>
      <c r="D3016" s="1646">
        <f>C3016*(1-VLOOKUP(I3016,descuentos,6,FALSE))*fcl</f>
        <v>1426.1799999999998</v>
      </c>
      <c r="E3016" s="228">
        <v>10</v>
      </c>
      <c r="F3016" s="585">
        <f>ROUNDUP(D3016+E3016,1)</f>
        <v>1436.1999999999998</v>
      </c>
      <c r="G3016" s="592" t="s">
        <v>7474</v>
      </c>
      <c r="H3016" s="1751" t="s">
        <v>7475</v>
      </c>
      <c r="I3016" s="520" t="s">
        <v>5179</v>
      </c>
      <c r="J3016" s="589" t="s">
        <v>753</v>
      </c>
      <c r="K3016" s="520" t="s">
        <v>741</v>
      </c>
      <c r="L3016" s="203"/>
      <c r="M3016" s="203"/>
      <c r="N3016" s="203"/>
      <c r="O3016" s="203"/>
    </row>
    <row r="3017" spans="1:15" s="196" customFormat="1">
      <c r="A3017" s="1651"/>
      <c r="B3017" s="1750" t="s">
        <v>9246</v>
      </c>
      <c r="C3017" s="1834">
        <v>143</v>
      </c>
      <c r="D3017" s="1646">
        <f>C3017*(1-VLOOKUP(I3017,descuentos,6,FALSE))*fcl</f>
        <v>238.81</v>
      </c>
      <c r="E3017" s="228">
        <v>10</v>
      </c>
      <c r="F3017" s="585">
        <f>ROUNDUP(D3017+E3017,1)</f>
        <v>248.9</v>
      </c>
      <c r="G3017" s="592" t="s">
        <v>9247</v>
      </c>
      <c r="H3017" s="1647" t="s">
        <v>9248</v>
      </c>
      <c r="I3017" s="520" t="s">
        <v>5179</v>
      </c>
      <c r="J3017" s="589" t="s">
        <v>753</v>
      </c>
      <c r="K3017" s="520" t="s">
        <v>741</v>
      </c>
      <c r="L3017" s="203"/>
      <c r="M3017" s="203"/>
      <c r="N3017" s="203"/>
      <c r="O3017" s="203"/>
    </row>
    <row r="3018" spans="1:15" s="196" customFormat="1">
      <c r="A3018" s="589"/>
      <c r="B3018" s="1750" t="s">
        <v>7479</v>
      </c>
      <c r="C3018" s="1834">
        <v>63</v>
      </c>
      <c r="D3018" s="1646">
        <f>C3018*(1-VLOOKUP(I3018,descuentos,6,FALSE))*fcl</f>
        <v>105.21</v>
      </c>
      <c r="E3018" s="228">
        <v>10</v>
      </c>
      <c r="F3018" s="585">
        <f>ROUNDUP(D3018+E3018,1)</f>
        <v>115.3</v>
      </c>
      <c r="G3018" s="592" t="s">
        <v>7480</v>
      </c>
      <c r="H3018" s="1647" t="s">
        <v>7481</v>
      </c>
      <c r="I3018" s="520" t="s">
        <v>5179</v>
      </c>
      <c r="J3018" s="589" t="s">
        <v>753</v>
      </c>
      <c r="K3018" s="520" t="s">
        <v>741</v>
      </c>
      <c r="L3018" s="203"/>
      <c r="M3018" s="203"/>
      <c r="N3018" s="203"/>
      <c r="O3018" s="203"/>
    </row>
    <row r="3019" spans="1:15" s="196" customFormat="1">
      <c r="A3019" s="589"/>
      <c r="B3019" s="1752" t="s">
        <v>7482</v>
      </c>
      <c r="C3019" s="592" t="s">
        <v>7483</v>
      </c>
      <c r="D3019" s="1646"/>
      <c r="E3019" s="228"/>
      <c r="F3019" s="585"/>
      <c r="G3019" s="592" t="s">
        <v>7483</v>
      </c>
      <c r="H3019" s="1647"/>
      <c r="I3019" s="520" t="s">
        <v>5179</v>
      </c>
      <c r="J3019" s="589" t="s">
        <v>753</v>
      </c>
      <c r="K3019" s="520" t="s">
        <v>741</v>
      </c>
      <c r="L3019" s="203"/>
      <c r="M3019" s="203"/>
      <c r="N3019" s="203"/>
      <c r="O3019" s="203"/>
    </row>
    <row r="3020" spans="1:15" s="196" customFormat="1">
      <c r="A3020" s="589"/>
      <c r="B3020" s="1752" t="s">
        <v>7484</v>
      </c>
      <c r="C3020" s="592" t="s">
        <v>7485</v>
      </c>
      <c r="D3020" s="1646"/>
      <c r="E3020" s="228"/>
      <c r="F3020" s="585"/>
      <c r="G3020" s="592" t="s">
        <v>7485</v>
      </c>
      <c r="H3020" s="1647"/>
      <c r="I3020" s="520" t="s">
        <v>5179</v>
      </c>
      <c r="J3020" s="589" t="s">
        <v>753</v>
      </c>
      <c r="K3020" s="520" t="s">
        <v>741</v>
      </c>
      <c r="L3020" s="203"/>
      <c r="M3020" s="203"/>
      <c r="N3020" s="203"/>
      <c r="O3020" s="203"/>
    </row>
    <row r="3021" spans="1:15" s="196" customFormat="1">
      <c r="A3021" s="589"/>
      <c r="B3021" s="1752" t="s">
        <v>7486</v>
      </c>
      <c r="C3021" s="209">
        <v>183</v>
      </c>
      <c r="D3021" s="1646">
        <f>C3021*(1-VLOOKUP(I3021,descuentos,6,FALSE))*fcl/IF(dol_sol="dólar", TC,1)</f>
        <v>91.226865671641789</v>
      </c>
      <c r="E3021" s="228">
        <v>10</v>
      </c>
      <c r="F3021" s="585">
        <f>ROUNDUP(D3021+E3021,2)</f>
        <v>101.23</v>
      </c>
      <c r="G3021" s="592" t="s">
        <v>7487</v>
      </c>
      <c r="H3021" s="1647" t="s">
        <v>7488</v>
      </c>
      <c r="I3021" s="520" t="s">
        <v>5179</v>
      </c>
      <c r="J3021" s="589" t="s">
        <v>753</v>
      </c>
      <c r="K3021" s="520" t="s">
        <v>741</v>
      </c>
      <c r="L3021" s="203"/>
      <c r="M3021" s="203"/>
      <c r="N3021" s="203"/>
      <c r="O3021" s="203"/>
    </row>
    <row r="3022" spans="1:15" s="196" customFormat="1">
      <c r="A3022" s="1753"/>
      <c r="B3022" s="1754" t="s">
        <v>7489</v>
      </c>
      <c r="C3022" s="1180">
        <v>547</v>
      </c>
      <c r="D3022" s="1646">
        <f>C3022*(1-VLOOKUP(I3022,descuentos,6,FALSE))*fcl</f>
        <v>913.49</v>
      </c>
      <c r="E3022" s="228">
        <v>10</v>
      </c>
      <c r="F3022" s="585">
        <f>ROUNDUP(D3022+E3022,1)</f>
        <v>923.5</v>
      </c>
      <c r="G3022" s="592" t="s">
        <v>7490</v>
      </c>
      <c r="H3022" s="1647">
        <v>68840830</v>
      </c>
      <c r="I3022" s="520" t="s">
        <v>5179</v>
      </c>
      <c r="J3022" s="589" t="s">
        <v>753</v>
      </c>
      <c r="K3022" s="520" t="s">
        <v>741</v>
      </c>
      <c r="L3022" s="203"/>
      <c r="M3022" s="203"/>
      <c r="N3022" s="203"/>
      <c r="O3022" s="203"/>
    </row>
    <row r="3023" spans="1:15" s="194" customFormat="1">
      <c r="A3023" s="589"/>
      <c r="B3023" s="1647"/>
      <c r="C3023" s="1180"/>
      <c r="D3023" s="244"/>
      <c r="E3023" s="228"/>
      <c r="F3023" s="585"/>
      <c r="G3023" s="592"/>
      <c r="H3023" s="1647"/>
      <c r="I3023" s="520"/>
      <c r="J3023" s="589"/>
      <c r="K3023" s="520"/>
      <c r="L3023" s="106"/>
      <c r="M3023" s="106"/>
      <c r="N3023" s="106"/>
      <c r="O3023" s="106"/>
    </row>
    <row r="3024" spans="1:15" s="196" customFormat="1">
      <c r="A3024" s="589"/>
      <c r="B3024" s="151"/>
      <c r="C3024" s="209"/>
      <c r="D3024" s="244"/>
      <c r="E3024" s="228"/>
      <c r="F3024" s="585"/>
      <c r="G3024" s="592"/>
      <c r="H3024" s="1647"/>
      <c r="I3024" s="520"/>
      <c r="J3024" s="589"/>
      <c r="K3024" s="520"/>
      <c r="L3024" s="203"/>
      <c r="M3024" s="203"/>
      <c r="N3024" s="203"/>
      <c r="O3024" s="203"/>
    </row>
    <row r="3025" spans="1:15" s="196" customFormat="1">
      <c r="A3025" s="589"/>
      <c r="B3025" s="1731" t="s">
        <v>7491</v>
      </c>
      <c r="C3025" s="1180">
        <v>1950</v>
      </c>
      <c r="D3025" s="1646">
        <f t="shared" ref="D3025:D3034" si="412">C3025*(1-VLOOKUP(I3025,descuentos,6,FALSE))*fcl</f>
        <v>3256.5</v>
      </c>
      <c r="E3025" s="228">
        <v>100</v>
      </c>
      <c r="F3025" s="585">
        <f t="shared" ref="F3025:F3034" si="413">ROUNDUP(D3025+E3025,1)</f>
        <v>3356.5</v>
      </c>
      <c r="G3025" s="592" t="s">
        <v>9249</v>
      </c>
      <c r="H3025" s="1647" t="s">
        <v>7492</v>
      </c>
      <c r="I3025" s="520" t="s">
        <v>5179</v>
      </c>
      <c r="J3025" s="589" t="s">
        <v>753</v>
      </c>
      <c r="K3025" s="520" t="s">
        <v>741</v>
      </c>
      <c r="L3025" s="203"/>
      <c r="M3025" s="203"/>
      <c r="N3025" s="203"/>
      <c r="O3025" s="203"/>
    </row>
    <row r="3026" spans="1:15" s="196" customFormat="1">
      <c r="A3026" s="589"/>
      <c r="B3026" s="1731" t="s">
        <v>7493</v>
      </c>
      <c r="C3026" s="1834">
        <v>506</v>
      </c>
      <c r="D3026" s="1646">
        <f t="shared" si="412"/>
        <v>845.02</v>
      </c>
      <c r="E3026" s="228">
        <v>10</v>
      </c>
      <c r="F3026" s="585">
        <f t="shared" si="413"/>
        <v>855.1</v>
      </c>
      <c r="G3026" s="1755" t="s">
        <v>7494</v>
      </c>
      <c r="H3026" s="1647">
        <v>68711266</v>
      </c>
      <c r="I3026" s="520" t="s">
        <v>5179</v>
      </c>
      <c r="J3026" s="589" t="s">
        <v>753</v>
      </c>
      <c r="K3026" s="520" t="s">
        <v>741</v>
      </c>
      <c r="L3026" s="203"/>
      <c r="M3026" s="203"/>
      <c r="N3026" s="203"/>
      <c r="O3026" s="203"/>
    </row>
    <row r="3027" spans="1:15" s="196" customFormat="1">
      <c r="A3027" s="589"/>
      <c r="B3027" s="1750" t="s">
        <v>5182</v>
      </c>
      <c r="C3027" s="1834">
        <v>673</v>
      </c>
      <c r="D3027" s="1646">
        <f t="shared" si="412"/>
        <v>1123.9099999999999</v>
      </c>
      <c r="E3027" s="228">
        <v>10</v>
      </c>
      <c r="F3027" s="585">
        <f t="shared" si="413"/>
        <v>1134</v>
      </c>
      <c r="G3027" s="1755" t="s">
        <v>5183</v>
      </c>
      <c r="H3027" s="1647">
        <v>61445439</v>
      </c>
      <c r="I3027" s="520" t="s">
        <v>5179</v>
      </c>
      <c r="J3027" s="589" t="s">
        <v>753</v>
      </c>
      <c r="K3027" s="520" t="s">
        <v>741</v>
      </c>
      <c r="L3027" s="203"/>
      <c r="M3027" s="203"/>
      <c r="N3027" s="203"/>
      <c r="O3027" s="203"/>
    </row>
    <row r="3028" spans="1:15" s="196" customFormat="1">
      <c r="A3028" s="589"/>
      <c r="B3028" s="1750" t="s">
        <v>7495</v>
      </c>
      <c r="C3028" s="1834">
        <v>754</v>
      </c>
      <c r="D3028" s="1646">
        <f t="shared" si="412"/>
        <v>1259.1799999999998</v>
      </c>
      <c r="E3028" s="228">
        <v>10</v>
      </c>
      <c r="F3028" s="585">
        <f t="shared" si="413"/>
        <v>1269.1999999999998</v>
      </c>
      <c r="G3028" s="1755" t="s">
        <v>7496</v>
      </c>
      <c r="H3028" s="1647" t="s">
        <v>7497</v>
      </c>
      <c r="I3028" s="520" t="s">
        <v>5179</v>
      </c>
      <c r="J3028" s="589" t="s">
        <v>753</v>
      </c>
      <c r="K3028" s="520" t="s">
        <v>741</v>
      </c>
      <c r="L3028" s="203"/>
      <c r="M3028" s="203"/>
      <c r="N3028" s="203"/>
      <c r="O3028" s="203"/>
    </row>
    <row r="3029" spans="1:15" s="196" customFormat="1">
      <c r="A3029" s="589"/>
      <c r="B3029" s="1835" t="s">
        <v>11673</v>
      </c>
      <c r="C3029" s="1834">
        <v>60</v>
      </c>
      <c r="D3029" s="1646">
        <f t="shared" si="412"/>
        <v>100.19999999999999</v>
      </c>
      <c r="E3029" s="228">
        <v>10</v>
      </c>
      <c r="F3029" s="585">
        <f t="shared" si="413"/>
        <v>110.2</v>
      </c>
      <c r="G3029" s="1755" t="s">
        <v>11674</v>
      </c>
      <c r="H3029" s="1835">
        <v>64739000</v>
      </c>
      <c r="I3029" s="520" t="s">
        <v>5179</v>
      </c>
      <c r="J3029" s="589" t="s">
        <v>753</v>
      </c>
      <c r="K3029" s="520" t="s">
        <v>741</v>
      </c>
      <c r="L3029" s="203"/>
      <c r="M3029" s="203"/>
      <c r="N3029" s="203"/>
      <c r="O3029" s="203"/>
    </row>
    <row r="3030" spans="1:15" s="196" customFormat="1">
      <c r="A3030" s="589"/>
      <c r="B3030" s="1750" t="s">
        <v>5186</v>
      </c>
      <c r="C3030" s="1834">
        <v>48</v>
      </c>
      <c r="D3030" s="1646">
        <f t="shared" si="412"/>
        <v>80.16</v>
      </c>
      <c r="E3030" s="228">
        <v>10</v>
      </c>
      <c r="F3030" s="585">
        <f t="shared" si="413"/>
        <v>90.199999999999989</v>
      </c>
      <c r="G3030" s="1755" t="s">
        <v>7498</v>
      </c>
      <c r="H3030" s="1647">
        <v>68829593</v>
      </c>
      <c r="I3030" s="520" t="s">
        <v>5179</v>
      </c>
      <c r="J3030" s="589" t="s">
        <v>753</v>
      </c>
      <c r="K3030" s="520" t="s">
        <v>741</v>
      </c>
      <c r="L3030" s="203"/>
      <c r="M3030" s="203"/>
      <c r="N3030" s="203"/>
      <c r="O3030" s="203"/>
    </row>
    <row r="3031" spans="1:15" s="196" customFormat="1">
      <c r="A3031" s="589"/>
      <c r="B3031" s="1752" t="s">
        <v>7499</v>
      </c>
      <c r="C3031" s="1180">
        <v>63</v>
      </c>
      <c r="D3031" s="1646">
        <f t="shared" si="412"/>
        <v>105.21</v>
      </c>
      <c r="E3031" s="228">
        <v>10</v>
      </c>
      <c r="F3031" s="585">
        <f t="shared" si="413"/>
        <v>115.3</v>
      </c>
      <c r="G3031" s="1755" t="s">
        <v>7500</v>
      </c>
      <c r="H3031" s="1647">
        <v>68469881</v>
      </c>
      <c r="I3031" s="520" t="s">
        <v>5179</v>
      </c>
      <c r="J3031" s="589" t="s">
        <v>753</v>
      </c>
      <c r="K3031" s="520" t="s">
        <v>741</v>
      </c>
      <c r="L3031" s="203"/>
      <c r="M3031" s="203"/>
      <c r="N3031" s="203"/>
      <c r="O3031" s="203"/>
    </row>
    <row r="3032" spans="1:15" s="196" customFormat="1">
      <c r="A3032" s="589"/>
      <c r="B3032" s="1752" t="s">
        <v>7484</v>
      </c>
      <c r="C3032" s="1180">
        <v>189</v>
      </c>
      <c r="D3032" s="1646">
        <f t="shared" si="412"/>
        <v>315.63</v>
      </c>
      <c r="E3032" s="228">
        <v>10</v>
      </c>
      <c r="F3032" s="585">
        <f t="shared" si="413"/>
        <v>325.70000000000005</v>
      </c>
      <c r="G3032" s="1755" t="s">
        <v>7501</v>
      </c>
      <c r="H3032" s="1647">
        <v>64532871</v>
      </c>
      <c r="I3032" s="520" t="s">
        <v>5179</v>
      </c>
      <c r="J3032" s="589" t="s">
        <v>753</v>
      </c>
      <c r="K3032" s="520" t="s">
        <v>741</v>
      </c>
      <c r="L3032" s="203"/>
      <c r="M3032" s="203"/>
      <c r="N3032" s="203"/>
      <c r="O3032" s="203"/>
    </row>
    <row r="3033" spans="1:15" s="196" customFormat="1">
      <c r="A3033" s="589"/>
      <c r="B3033" s="1752" t="s">
        <v>7502</v>
      </c>
      <c r="C3033" s="1180">
        <v>31</v>
      </c>
      <c r="D3033" s="1646">
        <f t="shared" si="412"/>
        <v>51.769999999999996</v>
      </c>
      <c r="E3033" s="228">
        <v>10</v>
      </c>
      <c r="F3033" s="585">
        <f t="shared" si="413"/>
        <v>61.800000000000004</v>
      </c>
      <c r="G3033" s="1755" t="s">
        <v>7503</v>
      </c>
      <c r="H3033" s="1647">
        <v>68566282</v>
      </c>
      <c r="I3033" s="520" t="s">
        <v>5179</v>
      </c>
      <c r="J3033" s="589" t="s">
        <v>753</v>
      </c>
      <c r="K3033" s="520" t="s">
        <v>741</v>
      </c>
      <c r="L3033" s="203"/>
      <c r="M3033" s="203"/>
      <c r="N3033" s="203"/>
      <c r="O3033" s="203"/>
    </row>
    <row r="3034" spans="1:15" s="196" customFormat="1">
      <c r="A3034" s="1753"/>
      <c r="B3034" s="1754" t="s">
        <v>11675</v>
      </c>
      <c r="C3034" s="1180">
        <v>391</v>
      </c>
      <c r="D3034" s="1646">
        <f t="shared" si="412"/>
        <v>652.97</v>
      </c>
      <c r="E3034" s="228">
        <v>10</v>
      </c>
      <c r="F3034" s="585">
        <f t="shared" si="413"/>
        <v>663</v>
      </c>
      <c r="G3034" s="1755" t="s">
        <v>11676</v>
      </c>
      <c r="H3034" s="1647">
        <v>68469422</v>
      </c>
      <c r="I3034" s="520" t="s">
        <v>5179</v>
      </c>
      <c r="J3034" s="589" t="s">
        <v>753</v>
      </c>
      <c r="K3034" s="520" t="s">
        <v>741</v>
      </c>
      <c r="L3034" s="203"/>
      <c r="M3034" s="203"/>
      <c r="N3034" s="203"/>
      <c r="O3034" s="203"/>
    </row>
    <row r="3035" spans="1:15" s="196" customFormat="1">
      <c r="A3035" s="589"/>
      <c r="B3035" s="151"/>
      <c r="C3035" s="209"/>
      <c r="D3035" s="244"/>
      <c r="E3035" s="228"/>
      <c r="F3035" s="585"/>
      <c r="G3035" s="592"/>
      <c r="H3035" s="1647"/>
      <c r="I3035" s="520"/>
      <c r="J3035" s="589"/>
      <c r="K3035" s="520"/>
      <c r="L3035" s="203"/>
      <c r="M3035" s="203"/>
      <c r="N3035" s="203"/>
      <c r="O3035" s="203"/>
    </row>
    <row r="3036" spans="1:15" s="196" customFormat="1">
      <c r="A3036" s="589"/>
      <c r="B3036" s="1731" t="s">
        <v>7504</v>
      </c>
      <c r="C3036" s="1834">
        <v>1606</v>
      </c>
      <c r="D3036" s="1646">
        <f t="shared" ref="D3036:D3045" si="414">C3036*(1-VLOOKUP(I3036,descuentos,6,FALSE))*fcl</f>
        <v>2682.02</v>
      </c>
      <c r="E3036" s="228">
        <v>100</v>
      </c>
      <c r="F3036" s="585">
        <f t="shared" ref="F3036:F3045" si="415">ROUNDUP(D3036+E3036,1)</f>
        <v>2782.1</v>
      </c>
      <c r="G3036" s="592" t="s">
        <v>9250</v>
      </c>
      <c r="H3036" s="1647" t="s">
        <v>7505</v>
      </c>
      <c r="I3036" s="520" t="s">
        <v>5179</v>
      </c>
      <c r="J3036" s="589" t="s">
        <v>753</v>
      </c>
      <c r="K3036" s="520" t="s">
        <v>741</v>
      </c>
      <c r="L3036" s="203"/>
      <c r="M3036" s="203"/>
      <c r="N3036" s="203"/>
      <c r="O3036" s="203"/>
    </row>
    <row r="3037" spans="1:15" s="196" customFormat="1">
      <c r="A3037" s="589"/>
      <c r="B3037" s="1731" t="s">
        <v>7493</v>
      </c>
      <c r="C3037" s="1834">
        <v>506</v>
      </c>
      <c r="D3037" s="1646">
        <f t="shared" si="414"/>
        <v>845.02</v>
      </c>
      <c r="E3037" s="228">
        <v>10</v>
      </c>
      <c r="F3037" s="585">
        <f t="shared" si="415"/>
        <v>855.1</v>
      </c>
      <c r="G3037" s="1755" t="s">
        <v>7494</v>
      </c>
      <c r="H3037" s="1647">
        <v>68711266</v>
      </c>
      <c r="I3037" s="520" t="s">
        <v>5179</v>
      </c>
      <c r="J3037" s="589" t="s">
        <v>753</v>
      </c>
      <c r="K3037" s="520" t="s">
        <v>741</v>
      </c>
      <c r="L3037" s="203"/>
      <c r="M3037" s="203"/>
      <c r="N3037" s="203"/>
      <c r="O3037" s="203"/>
    </row>
    <row r="3038" spans="1:15" s="196" customFormat="1">
      <c r="A3038" s="589"/>
      <c r="B3038" s="1750" t="s">
        <v>5182</v>
      </c>
      <c r="C3038" s="1834">
        <v>673</v>
      </c>
      <c r="D3038" s="1646">
        <f t="shared" si="414"/>
        <v>1123.9099999999999</v>
      </c>
      <c r="E3038" s="228">
        <v>10</v>
      </c>
      <c r="F3038" s="585">
        <f t="shared" si="415"/>
        <v>1134</v>
      </c>
      <c r="G3038" s="1755" t="s">
        <v>5183</v>
      </c>
      <c r="H3038" s="1647">
        <v>61445439</v>
      </c>
      <c r="I3038" s="520" t="s">
        <v>5179</v>
      </c>
      <c r="J3038" s="589" t="s">
        <v>753</v>
      </c>
      <c r="K3038" s="520" t="s">
        <v>741</v>
      </c>
      <c r="L3038" s="203"/>
      <c r="M3038" s="203"/>
      <c r="N3038" s="203"/>
      <c r="O3038" s="203"/>
    </row>
    <row r="3039" spans="1:15" s="196" customFormat="1">
      <c r="A3039" s="1753"/>
      <c r="B3039" s="1750" t="s">
        <v>7495</v>
      </c>
      <c r="C3039" s="1834">
        <v>754</v>
      </c>
      <c r="D3039" s="1646">
        <f t="shared" si="414"/>
        <v>1259.1799999999998</v>
      </c>
      <c r="E3039" s="228">
        <v>10</v>
      </c>
      <c r="F3039" s="585">
        <f t="shared" si="415"/>
        <v>1269.1999999999998</v>
      </c>
      <c r="G3039" s="592" t="s">
        <v>7496</v>
      </c>
      <c r="H3039" s="1647" t="s">
        <v>7497</v>
      </c>
      <c r="I3039" s="520" t="s">
        <v>5179</v>
      </c>
      <c r="J3039" s="589" t="s">
        <v>753</v>
      </c>
      <c r="K3039" s="520" t="s">
        <v>741</v>
      </c>
      <c r="L3039" s="203"/>
      <c r="M3039" s="203"/>
      <c r="N3039" s="203"/>
      <c r="O3039" s="203"/>
    </row>
    <row r="3040" spans="1:15" s="196" customFormat="1">
      <c r="A3040" s="589"/>
      <c r="B3040" s="1835" t="s">
        <v>11673</v>
      </c>
      <c r="C3040" s="1834">
        <v>60</v>
      </c>
      <c r="D3040" s="1646">
        <f t="shared" si="414"/>
        <v>100.19999999999999</v>
      </c>
      <c r="E3040" s="228">
        <v>10</v>
      </c>
      <c r="F3040" s="585">
        <f t="shared" si="415"/>
        <v>110.2</v>
      </c>
      <c r="G3040" s="1755" t="s">
        <v>11674</v>
      </c>
      <c r="H3040" s="1835">
        <v>64739000</v>
      </c>
      <c r="I3040" s="520" t="s">
        <v>5179</v>
      </c>
      <c r="J3040" s="589" t="s">
        <v>753</v>
      </c>
      <c r="K3040" s="520" t="s">
        <v>741</v>
      </c>
      <c r="L3040" s="203"/>
      <c r="M3040" s="203"/>
      <c r="N3040" s="203"/>
      <c r="O3040" s="203"/>
    </row>
    <row r="3041" spans="1:15" s="196" customFormat="1">
      <c r="A3041" s="589"/>
      <c r="B3041" s="1750" t="s">
        <v>5186</v>
      </c>
      <c r="C3041" s="1834">
        <v>48</v>
      </c>
      <c r="D3041" s="1646">
        <f t="shared" si="414"/>
        <v>80.16</v>
      </c>
      <c r="E3041" s="228">
        <v>10</v>
      </c>
      <c r="F3041" s="585">
        <f t="shared" si="415"/>
        <v>90.199999999999989</v>
      </c>
      <c r="G3041" s="1755" t="s">
        <v>7498</v>
      </c>
      <c r="H3041" s="1647">
        <v>68829593</v>
      </c>
      <c r="I3041" s="520" t="s">
        <v>5179</v>
      </c>
      <c r="J3041" s="589" t="s">
        <v>753</v>
      </c>
      <c r="K3041" s="520" t="s">
        <v>741</v>
      </c>
      <c r="L3041" s="203"/>
      <c r="M3041" s="203"/>
      <c r="N3041" s="203"/>
      <c r="O3041" s="203"/>
    </row>
    <row r="3042" spans="1:15" s="196" customFormat="1">
      <c r="A3042" s="1753"/>
      <c r="B3042" s="1752" t="s">
        <v>7499</v>
      </c>
      <c r="C3042" s="1180">
        <v>63</v>
      </c>
      <c r="D3042" s="1646">
        <f t="shared" si="414"/>
        <v>105.21</v>
      </c>
      <c r="E3042" s="228">
        <v>10</v>
      </c>
      <c r="F3042" s="585">
        <f t="shared" si="415"/>
        <v>115.3</v>
      </c>
      <c r="G3042" s="1755" t="s">
        <v>7500</v>
      </c>
      <c r="H3042" s="1647">
        <v>68469881</v>
      </c>
      <c r="I3042" s="520" t="s">
        <v>5179</v>
      </c>
      <c r="J3042" s="589" t="s">
        <v>753</v>
      </c>
      <c r="K3042" s="520" t="s">
        <v>741</v>
      </c>
      <c r="L3042" s="203"/>
      <c r="M3042" s="203"/>
      <c r="N3042" s="203"/>
      <c r="O3042" s="203"/>
    </row>
    <row r="3043" spans="1:15" s="196" customFormat="1">
      <c r="A3043" s="1753"/>
      <c r="B3043" s="1752" t="s">
        <v>7484</v>
      </c>
      <c r="C3043" s="1180">
        <v>189</v>
      </c>
      <c r="D3043" s="1646">
        <f t="shared" si="414"/>
        <v>315.63</v>
      </c>
      <c r="E3043" s="228">
        <v>10</v>
      </c>
      <c r="F3043" s="585">
        <f t="shared" si="415"/>
        <v>325.70000000000005</v>
      </c>
      <c r="G3043" s="1755" t="s">
        <v>7501</v>
      </c>
      <c r="H3043" s="1647">
        <v>64532871</v>
      </c>
      <c r="I3043" s="520" t="s">
        <v>5179</v>
      </c>
      <c r="J3043" s="589" t="s">
        <v>753</v>
      </c>
      <c r="K3043" s="520" t="s">
        <v>741</v>
      </c>
      <c r="L3043" s="203"/>
      <c r="M3043" s="203"/>
      <c r="N3043" s="203"/>
      <c r="O3043" s="203"/>
    </row>
    <row r="3044" spans="1:15" s="196" customFormat="1">
      <c r="A3044" s="1753"/>
      <c r="B3044" s="1752" t="s">
        <v>7502</v>
      </c>
      <c r="C3044" s="1180">
        <v>31</v>
      </c>
      <c r="D3044" s="1646">
        <f t="shared" si="414"/>
        <v>51.769999999999996</v>
      </c>
      <c r="E3044" s="228">
        <v>10</v>
      </c>
      <c r="F3044" s="585">
        <f t="shared" si="415"/>
        <v>61.800000000000004</v>
      </c>
      <c r="G3044" s="1755" t="s">
        <v>7503</v>
      </c>
      <c r="H3044" s="1647">
        <v>68566282</v>
      </c>
      <c r="I3044" s="520" t="s">
        <v>5179</v>
      </c>
      <c r="J3044" s="589" t="s">
        <v>753</v>
      </c>
      <c r="K3044" s="520" t="s">
        <v>741</v>
      </c>
      <c r="L3044" s="203"/>
      <c r="M3044" s="203"/>
      <c r="N3044" s="203"/>
      <c r="O3044" s="203"/>
    </row>
    <row r="3045" spans="1:15" s="196" customFormat="1">
      <c r="A3045" s="1753"/>
      <c r="B3045" s="1754" t="s">
        <v>11675</v>
      </c>
      <c r="C3045" s="1180">
        <v>391</v>
      </c>
      <c r="D3045" s="1646">
        <f t="shared" si="414"/>
        <v>652.97</v>
      </c>
      <c r="E3045" s="228">
        <v>10</v>
      </c>
      <c r="F3045" s="585">
        <f t="shared" si="415"/>
        <v>663</v>
      </c>
      <c r="G3045" s="1755" t="s">
        <v>11676</v>
      </c>
      <c r="H3045" s="1647">
        <v>68469422</v>
      </c>
      <c r="I3045" s="520" t="s">
        <v>5179</v>
      </c>
      <c r="J3045" s="589" t="s">
        <v>753</v>
      </c>
      <c r="K3045" s="520" t="s">
        <v>741</v>
      </c>
      <c r="L3045" s="203"/>
      <c r="M3045" s="203"/>
      <c r="N3045" s="203"/>
      <c r="O3045" s="203"/>
    </row>
    <row r="3046" spans="1:15" s="196" customFormat="1">
      <c r="A3046" s="589"/>
      <c r="B3046" s="151"/>
      <c r="C3046" s="209"/>
      <c r="D3046" s="1756"/>
      <c r="E3046" s="228"/>
      <c r="F3046" s="585"/>
      <c r="G3046" s="592"/>
      <c r="H3046" s="1647"/>
      <c r="I3046" s="520"/>
      <c r="J3046" s="589"/>
      <c r="K3046" s="520"/>
      <c r="L3046" s="203"/>
      <c r="M3046" s="203"/>
      <c r="N3046" s="203"/>
      <c r="O3046" s="203"/>
    </row>
    <row r="3047" spans="1:15" s="196" customFormat="1">
      <c r="A3047" s="1753"/>
      <c r="B3047" s="1731" t="s">
        <v>7506</v>
      </c>
      <c r="C3047" s="1834">
        <v>1380</v>
      </c>
      <c r="D3047" s="1646">
        <f t="shared" ref="D3047:D3055" si="416">C3047*(1-VLOOKUP(I3047,descuentos,6,FALSE))*fcl</f>
        <v>2304.6</v>
      </c>
      <c r="E3047" s="228">
        <v>100</v>
      </c>
      <c r="F3047" s="585">
        <f t="shared" ref="F3047:F3056" si="417">ROUNDUP(D3047+E3047,1)</f>
        <v>2404.6</v>
      </c>
      <c r="G3047" s="592" t="s">
        <v>9251</v>
      </c>
      <c r="H3047" s="1647" t="s">
        <v>7507</v>
      </c>
      <c r="I3047" s="520" t="s">
        <v>5179</v>
      </c>
      <c r="J3047" s="589" t="s">
        <v>753</v>
      </c>
      <c r="K3047" s="520" t="s">
        <v>741</v>
      </c>
      <c r="L3047" s="203"/>
      <c r="M3047" s="203"/>
      <c r="N3047" s="203"/>
      <c r="O3047" s="203"/>
    </row>
    <row r="3048" spans="1:15" s="196" customFormat="1">
      <c r="A3048" s="1753"/>
      <c r="B3048" s="1731" t="s">
        <v>7508</v>
      </c>
      <c r="C3048" s="1834">
        <v>405</v>
      </c>
      <c r="D3048" s="1646">
        <f t="shared" si="416"/>
        <v>676.35</v>
      </c>
      <c r="E3048" s="228">
        <v>10</v>
      </c>
      <c r="F3048" s="585">
        <f t="shared" si="417"/>
        <v>686.4</v>
      </c>
      <c r="G3048" s="592" t="s">
        <v>7509</v>
      </c>
      <c r="H3048" s="1647">
        <v>68711240</v>
      </c>
      <c r="I3048" s="520" t="s">
        <v>5179</v>
      </c>
      <c r="J3048" s="589" t="s">
        <v>753</v>
      </c>
      <c r="K3048" s="520" t="s">
        <v>741</v>
      </c>
      <c r="L3048" s="203"/>
      <c r="M3048" s="203"/>
      <c r="N3048" s="203"/>
      <c r="O3048" s="203"/>
    </row>
    <row r="3049" spans="1:15" s="196" customFormat="1">
      <c r="A3049" s="1753"/>
      <c r="B3049" s="1750" t="s">
        <v>5182</v>
      </c>
      <c r="C3049" s="1834">
        <v>673</v>
      </c>
      <c r="D3049" s="1646">
        <f t="shared" si="416"/>
        <v>1123.9099999999999</v>
      </c>
      <c r="E3049" s="228">
        <v>10</v>
      </c>
      <c r="F3049" s="585">
        <f t="shared" si="417"/>
        <v>1134</v>
      </c>
      <c r="G3049" s="592" t="s">
        <v>5183</v>
      </c>
      <c r="H3049" s="1647">
        <v>61445439</v>
      </c>
      <c r="I3049" s="520" t="s">
        <v>5179</v>
      </c>
      <c r="J3049" s="589" t="s">
        <v>753</v>
      </c>
      <c r="K3049" s="520" t="s">
        <v>741</v>
      </c>
      <c r="L3049" s="203"/>
      <c r="M3049" s="203"/>
      <c r="N3049" s="203"/>
      <c r="O3049" s="203"/>
    </row>
    <row r="3050" spans="1:15" s="196" customFormat="1">
      <c r="A3050" s="1753"/>
      <c r="B3050" s="1750" t="s">
        <v>7495</v>
      </c>
      <c r="C3050" s="1834">
        <v>754</v>
      </c>
      <c r="D3050" s="1646">
        <f t="shared" si="416"/>
        <v>1259.1799999999998</v>
      </c>
      <c r="E3050" s="228">
        <v>10</v>
      </c>
      <c r="F3050" s="585">
        <f t="shared" si="417"/>
        <v>1269.1999999999998</v>
      </c>
      <c r="G3050" s="592" t="s">
        <v>7496</v>
      </c>
      <c r="H3050" s="1647" t="s">
        <v>7497</v>
      </c>
      <c r="I3050" s="520" t="s">
        <v>5179</v>
      </c>
      <c r="J3050" s="589" t="s">
        <v>753</v>
      </c>
      <c r="K3050" s="520" t="s">
        <v>741</v>
      </c>
      <c r="L3050" s="203"/>
      <c r="M3050" s="203"/>
      <c r="N3050" s="203"/>
      <c r="O3050" s="203"/>
    </row>
    <row r="3051" spans="1:15" s="196" customFormat="1">
      <c r="A3051" s="1753"/>
      <c r="B3051" s="1835" t="s">
        <v>11673</v>
      </c>
      <c r="C3051" s="1834">
        <v>60</v>
      </c>
      <c r="D3051" s="1646">
        <f t="shared" si="416"/>
        <v>100.19999999999999</v>
      </c>
      <c r="E3051" s="228">
        <v>10</v>
      </c>
      <c r="F3051" s="585">
        <f t="shared" si="417"/>
        <v>110.2</v>
      </c>
      <c r="G3051" s="592" t="s">
        <v>11674</v>
      </c>
      <c r="H3051" s="1835">
        <v>64739000</v>
      </c>
      <c r="I3051" s="520" t="s">
        <v>5179</v>
      </c>
      <c r="J3051" s="589" t="s">
        <v>753</v>
      </c>
      <c r="K3051" s="520" t="s">
        <v>741</v>
      </c>
      <c r="L3051" s="203"/>
      <c r="M3051" s="203"/>
      <c r="N3051" s="203"/>
      <c r="O3051" s="203"/>
    </row>
    <row r="3052" spans="1:15" s="196" customFormat="1">
      <c r="A3052" s="1753"/>
      <c r="B3052" s="1750" t="s">
        <v>5186</v>
      </c>
      <c r="C3052" s="1834">
        <v>48</v>
      </c>
      <c r="D3052" s="1646">
        <f t="shared" si="416"/>
        <v>80.16</v>
      </c>
      <c r="E3052" s="228">
        <v>10</v>
      </c>
      <c r="F3052" s="585">
        <f t="shared" si="417"/>
        <v>90.199999999999989</v>
      </c>
      <c r="G3052" s="592" t="s">
        <v>7498</v>
      </c>
      <c r="H3052" s="1647">
        <v>68829593</v>
      </c>
      <c r="I3052" s="520" t="s">
        <v>5179</v>
      </c>
      <c r="J3052" s="589" t="s">
        <v>753</v>
      </c>
      <c r="K3052" s="520" t="s">
        <v>741</v>
      </c>
      <c r="L3052" s="203"/>
      <c r="M3052" s="203"/>
      <c r="N3052" s="203"/>
      <c r="O3052" s="203"/>
    </row>
    <row r="3053" spans="1:15" s="196" customFormat="1">
      <c r="A3053" s="1753"/>
      <c r="B3053" s="1752" t="s">
        <v>7499</v>
      </c>
      <c r="C3053" s="1180">
        <v>63</v>
      </c>
      <c r="D3053" s="1646">
        <f t="shared" si="416"/>
        <v>105.21</v>
      </c>
      <c r="E3053" s="228">
        <v>10</v>
      </c>
      <c r="F3053" s="585">
        <f t="shared" si="417"/>
        <v>115.3</v>
      </c>
      <c r="G3053" s="592" t="s">
        <v>7500</v>
      </c>
      <c r="H3053" s="1647">
        <v>68469881</v>
      </c>
      <c r="I3053" s="520" t="s">
        <v>5179</v>
      </c>
      <c r="J3053" s="589" t="s">
        <v>753</v>
      </c>
      <c r="K3053" s="520" t="s">
        <v>741</v>
      </c>
      <c r="L3053" s="203"/>
      <c r="M3053" s="203"/>
      <c r="N3053" s="203"/>
      <c r="O3053" s="203"/>
    </row>
    <row r="3054" spans="1:15" s="196" customFormat="1">
      <c r="A3054" s="1753"/>
      <c r="B3054" s="1752" t="s">
        <v>7484</v>
      </c>
      <c r="C3054" s="1180">
        <v>189</v>
      </c>
      <c r="D3054" s="1646">
        <f t="shared" si="416"/>
        <v>315.63</v>
      </c>
      <c r="E3054" s="228">
        <v>10</v>
      </c>
      <c r="F3054" s="585">
        <f t="shared" si="417"/>
        <v>325.70000000000005</v>
      </c>
      <c r="G3054" s="592" t="s">
        <v>7501</v>
      </c>
      <c r="H3054" s="1647">
        <v>64532871</v>
      </c>
      <c r="I3054" s="520" t="s">
        <v>5179</v>
      </c>
      <c r="J3054" s="589" t="s">
        <v>753</v>
      </c>
      <c r="K3054" s="520" t="s">
        <v>741</v>
      </c>
      <c r="L3054" s="203"/>
      <c r="M3054" s="203"/>
      <c r="N3054" s="203"/>
      <c r="O3054" s="203"/>
    </row>
    <row r="3055" spans="1:15" s="196" customFormat="1">
      <c r="A3055" s="1753"/>
      <c r="B3055" s="1752" t="s">
        <v>7502</v>
      </c>
      <c r="C3055" s="1180">
        <v>31</v>
      </c>
      <c r="D3055" s="1646">
        <f t="shared" si="416"/>
        <v>51.769999999999996</v>
      </c>
      <c r="E3055" s="228">
        <v>10</v>
      </c>
      <c r="F3055" s="585">
        <f t="shared" si="417"/>
        <v>61.800000000000004</v>
      </c>
      <c r="G3055" s="592" t="s">
        <v>7503</v>
      </c>
      <c r="H3055" s="1647">
        <v>68566282</v>
      </c>
      <c r="I3055" s="520" t="s">
        <v>5179</v>
      </c>
      <c r="J3055" s="589" t="s">
        <v>753</v>
      </c>
      <c r="K3055" s="520" t="s">
        <v>741</v>
      </c>
      <c r="L3055" s="203"/>
      <c r="M3055" s="203"/>
      <c r="N3055" s="203"/>
      <c r="O3055" s="203"/>
    </row>
    <row r="3056" spans="1:15" s="196" customFormat="1">
      <c r="A3056" s="1753"/>
      <c r="B3056" s="1754" t="s">
        <v>11675</v>
      </c>
      <c r="C3056" s="1180">
        <v>391</v>
      </c>
      <c r="D3056" s="1646">
        <f>C3056*(1-VLOOKUP(I3056,descuentos,6,FALSE))*fcl</f>
        <v>652.97</v>
      </c>
      <c r="E3056" s="228">
        <v>10</v>
      </c>
      <c r="F3056" s="585">
        <f t="shared" si="417"/>
        <v>663</v>
      </c>
      <c r="G3056" s="592" t="s">
        <v>11676</v>
      </c>
      <c r="H3056" s="1647">
        <v>68469422</v>
      </c>
      <c r="I3056" s="520" t="s">
        <v>5179</v>
      </c>
      <c r="J3056" s="589" t="s">
        <v>753</v>
      </c>
      <c r="K3056" s="520" t="s">
        <v>741</v>
      </c>
      <c r="L3056" s="203"/>
      <c r="M3056" s="203"/>
      <c r="N3056" s="203"/>
      <c r="O3056" s="203"/>
    </row>
    <row r="3057" spans="1:15" s="196" customFormat="1">
      <c r="A3057" s="589"/>
      <c r="B3057" s="151"/>
      <c r="C3057" s="209"/>
      <c r="D3057" s="1756"/>
      <c r="E3057" s="228"/>
      <c r="F3057" s="585"/>
      <c r="G3057" s="592"/>
      <c r="H3057" s="1647"/>
      <c r="I3057" s="520"/>
      <c r="J3057" s="589"/>
      <c r="K3057" s="520"/>
      <c r="L3057" s="203"/>
      <c r="M3057" s="203"/>
      <c r="N3057" s="203"/>
      <c r="O3057" s="203"/>
    </row>
    <row r="3058" spans="1:15" s="196" customFormat="1">
      <c r="A3058" s="589"/>
      <c r="B3058" s="151" t="s">
        <v>5177</v>
      </c>
      <c r="C3058" s="1834">
        <v>1052</v>
      </c>
      <c r="D3058" s="1646">
        <f t="shared" ref="D3058:D3076" si="418">C3058*(1-VLOOKUP(I3058,descuentos,6,FALSE))*fcl</f>
        <v>1756.84</v>
      </c>
      <c r="E3058" s="228">
        <v>100</v>
      </c>
      <c r="F3058" s="585">
        <f t="shared" ref="F3058:F3076" si="419">ROUNDUP(D3058+E3058,1)</f>
        <v>1856.8999999999999</v>
      </c>
      <c r="G3058" s="592" t="s">
        <v>9252</v>
      </c>
      <c r="H3058" s="1647" t="s">
        <v>5178</v>
      </c>
      <c r="I3058" s="520" t="s">
        <v>5179</v>
      </c>
      <c r="J3058" s="589" t="s">
        <v>753</v>
      </c>
      <c r="K3058" s="520" t="s">
        <v>741</v>
      </c>
      <c r="L3058" s="203"/>
      <c r="M3058" s="203"/>
      <c r="N3058" s="203"/>
      <c r="O3058" s="203"/>
    </row>
    <row r="3059" spans="1:15" s="196" customFormat="1">
      <c r="A3059" s="589"/>
      <c r="B3059" s="151" t="s">
        <v>5180</v>
      </c>
      <c r="C3059" s="1834">
        <v>241</v>
      </c>
      <c r="D3059" s="1646">
        <f t="shared" si="418"/>
        <v>402.46999999999997</v>
      </c>
      <c r="E3059" s="228">
        <v>10</v>
      </c>
      <c r="F3059" s="585">
        <f t="shared" si="419"/>
        <v>412.5</v>
      </c>
      <c r="G3059" s="592" t="s">
        <v>5181</v>
      </c>
      <c r="H3059" s="1647">
        <v>68711231</v>
      </c>
      <c r="I3059" s="520" t="s">
        <v>5179</v>
      </c>
      <c r="J3059" s="589" t="s">
        <v>753</v>
      </c>
      <c r="K3059" s="520" t="s">
        <v>741</v>
      </c>
      <c r="L3059" s="203"/>
      <c r="M3059" s="203"/>
      <c r="N3059" s="203"/>
      <c r="O3059" s="203"/>
    </row>
    <row r="3060" spans="1:15" s="196" customFormat="1">
      <c r="A3060" s="589"/>
      <c r="B3060" s="1647" t="s">
        <v>5182</v>
      </c>
      <c r="C3060" s="1834">
        <v>673</v>
      </c>
      <c r="D3060" s="1646">
        <f t="shared" si="418"/>
        <v>1123.9099999999999</v>
      </c>
      <c r="E3060" s="228">
        <v>10</v>
      </c>
      <c r="F3060" s="585">
        <f t="shared" si="419"/>
        <v>1134</v>
      </c>
      <c r="G3060" s="592" t="s">
        <v>5183</v>
      </c>
      <c r="H3060" s="1647">
        <v>61445439</v>
      </c>
      <c r="I3060" s="520" t="s">
        <v>5179</v>
      </c>
      <c r="J3060" s="589" t="s">
        <v>753</v>
      </c>
      <c r="K3060" s="520" t="s">
        <v>741</v>
      </c>
      <c r="L3060" s="203"/>
      <c r="M3060" s="203"/>
      <c r="N3060" s="203"/>
      <c r="O3060" s="203"/>
    </row>
    <row r="3061" spans="1:15" s="196" customFormat="1">
      <c r="A3061" s="589"/>
      <c r="B3061" s="1647" t="s">
        <v>5184</v>
      </c>
      <c r="C3061" s="1834">
        <v>336</v>
      </c>
      <c r="D3061" s="1646">
        <f t="shared" si="418"/>
        <v>561.12</v>
      </c>
      <c r="E3061" s="228">
        <v>10</v>
      </c>
      <c r="F3061" s="585">
        <f t="shared" si="419"/>
        <v>571.20000000000005</v>
      </c>
      <c r="G3061" s="592" t="s">
        <v>5185</v>
      </c>
      <c r="H3061" s="1647">
        <v>68897921</v>
      </c>
      <c r="I3061" s="520" t="s">
        <v>5179</v>
      </c>
      <c r="J3061" s="589" t="s">
        <v>753</v>
      </c>
      <c r="K3061" s="520" t="s">
        <v>741</v>
      </c>
      <c r="L3061" s="203"/>
      <c r="M3061" s="203"/>
      <c r="N3061" s="203"/>
      <c r="O3061" s="203"/>
    </row>
    <row r="3062" spans="1:15" s="196" customFormat="1">
      <c r="A3062" s="589"/>
      <c r="B3062" s="1835" t="s">
        <v>11673</v>
      </c>
      <c r="C3062" s="1834">
        <v>60</v>
      </c>
      <c r="D3062" s="1646">
        <f t="shared" si="418"/>
        <v>100.19999999999999</v>
      </c>
      <c r="E3062" s="228">
        <v>10</v>
      </c>
      <c r="F3062" s="585">
        <f t="shared" si="419"/>
        <v>110.2</v>
      </c>
      <c r="G3062" s="592" t="s">
        <v>11674</v>
      </c>
      <c r="H3062" s="1835">
        <v>64739000</v>
      </c>
      <c r="I3062" s="520" t="s">
        <v>5179</v>
      </c>
      <c r="J3062" s="589" t="s">
        <v>753</v>
      </c>
      <c r="K3062" s="520" t="s">
        <v>741</v>
      </c>
      <c r="L3062" s="203"/>
      <c r="M3062" s="203"/>
      <c r="N3062" s="203"/>
      <c r="O3062" s="203"/>
    </row>
    <row r="3063" spans="1:15" s="196" customFormat="1">
      <c r="A3063" s="589"/>
      <c r="B3063" s="1647" t="s">
        <v>5186</v>
      </c>
      <c r="C3063" s="1834">
        <v>48</v>
      </c>
      <c r="D3063" s="1646">
        <f t="shared" si="418"/>
        <v>80.16</v>
      </c>
      <c r="E3063" s="228">
        <v>10</v>
      </c>
      <c r="F3063" s="585">
        <f t="shared" si="419"/>
        <v>90.199999999999989</v>
      </c>
      <c r="G3063" s="592" t="s">
        <v>7498</v>
      </c>
      <c r="H3063" s="1647">
        <v>68829593</v>
      </c>
      <c r="I3063" s="520" t="s">
        <v>5179</v>
      </c>
      <c r="J3063" s="589" t="s">
        <v>753</v>
      </c>
      <c r="K3063" s="520" t="s">
        <v>741</v>
      </c>
      <c r="L3063" s="203"/>
      <c r="M3063" s="203"/>
      <c r="N3063" s="203"/>
      <c r="O3063" s="203"/>
    </row>
    <row r="3064" spans="1:15" s="196" customFormat="1">
      <c r="A3064" s="1753"/>
      <c r="B3064" s="1752" t="s">
        <v>7499</v>
      </c>
      <c r="C3064" s="1180">
        <v>63</v>
      </c>
      <c r="D3064" s="1646">
        <f>C3064*(1-VLOOKUP(I3064,descuentos,6,FALSE))*fcl</f>
        <v>105.21</v>
      </c>
      <c r="E3064" s="228">
        <v>10</v>
      </c>
      <c r="F3064" s="585">
        <f t="shared" si="419"/>
        <v>115.3</v>
      </c>
      <c r="G3064" s="592" t="s">
        <v>7500</v>
      </c>
      <c r="H3064" s="1647">
        <v>68469881</v>
      </c>
      <c r="I3064" s="520" t="s">
        <v>5179</v>
      </c>
      <c r="J3064" s="589" t="s">
        <v>753</v>
      </c>
      <c r="K3064" s="520" t="s">
        <v>741</v>
      </c>
      <c r="L3064" s="203"/>
      <c r="M3064" s="203"/>
      <c r="N3064" s="203"/>
      <c r="O3064" s="203"/>
    </row>
    <row r="3065" spans="1:15" s="196" customFormat="1">
      <c r="A3065" s="1753"/>
      <c r="B3065" s="1752" t="s">
        <v>7484</v>
      </c>
      <c r="C3065" s="1180">
        <v>189</v>
      </c>
      <c r="D3065" s="1646">
        <f>C3065*(1-VLOOKUP(I3065,descuentos,6,FALSE))*fcl</f>
        <v>315.63</v>
      </c>
      <c r="E3065" s="228">
        <v>10</v>
      </c>
      <c r="F3065" s="585">
        <f t="shared" si="419"/>
        <v>325.70000000000005</v>
      </c>
      <c r="G3065" s="592" t="s">
        <v>7501</v>
      </c>
      <c r="H3065" s="1647">
        <v>64532871</v>
      </c>
      <c r="I3065" s="520" t="s">
        <v>5179</v>
      </c>
      <c r="J3065" s="589" t="s">
        <v>753</v>
      </c>
      <c r="K3065" s="520" t="s">
        <v>741</v>
      </c>
      <c r="L3065" s="203"/>
      <c r="M3065" s="203"/>
      <c r="N3065" s="203"/>
      <c r="O3065" s="203"/>
    </row>
    <row r="3066" spans="1:15" s="196" customFormat="1">
      <c r="A3066" s="1753"/>
      <c r="B3066" s="1752" t="s">
        <v>7502</v>
      </c>
      <c r="C3066" s="1180">
        <v>31</v>
      </c>
      <c r="D3066" s="1646">
        <f>C3066*(1-VLOOKUP(I3066,descuentos,6,FALSE))*fcl</f>
        <v>51.769999999999996</v>
      </c>
      <c r="E3066" s="228">
        <v>10</v>
      </c>
      <c r="F3066" s="585">
        <f t="shared" si="419"/>
        <v>61.800000000000004</v>
      </c>
      <c r="G3066" s="592" t="s">
        <v>7503</v>
      </c>
      <c r="H3066" s="1647">
        <v>68566282</v>
      </c>
      <c r="I3066" s="520" t="s">
        <v>5179</v>
      </c>
      <c r="J3066" s="589" t="s">
        <v>753</v>
      </c>
      <c r="K3066" s="520" t="s">
        <v>741</v>
      </c>
      <c r="L3066" s="203"/>
      <c r="M3066" s="203"/>
      <c r="N3066" s="203"/>
      <c r="O3066" s="203"/>
    </row>
    <row r="3067" spans="1:15" s="196" customFormat="1">
      <c r="A3067" s="589"/>
      <c r="B3067" s="151"/>
      <c r="C3067" s="209"/>
      <c r="D3067" s="1756"/>
      <c r="E3067" s="228"/>
      <c r="F3067" s="585"/>
      <c r="G3067" s="592"/>
      <c r="H3067" s="1647"/>
      <c r="I3067" s="520"/>
      <c r="J3067" s="589"/>
      <c r="K3067" s="520"/>
      <c r="L3067" s="203"/>
      <c r="M3067" s="203"/>
      <c r="N3067" s="203"/>
      <c r="O3067" s="203"/>
    </row>
    <row r="3068" spans="1:15" s="196" customFormat="1">
      <c r="A3068" s="589"/>
      <c r="B3068" s="151" t="s">
        <v>7510</v>
      </c>
      <c r="C3068" s="1180">
        <v>887</v>
      </c>
      <c r="D3068" s="1646">
        <f t="shared" si="418"/>
        <v>1481.29</v>
      </c>
      <c r="E3068" s="228">
        <v>100</v>
      </c>
      <c r="F3068" s="585">
        <f t="shared" si="419"/>
        <v>1581.3</v>
      </c>
      <c r="G3068" s="592" t="s">
        <v>9253</v>
      </c>
      <c r="H3068" s="1647" t="s">
        <v>7511</v>
      </c>
      <c r="I3068" s="520" t="s">
        <v>5179</v>
      </c>
      <c r="J3068" s="589" t="s">
        <v>753</v>
      </c>
      <c r="K3068" s="520" t="s">
        <v>741</v>
      </c>
      <c r="L3068" s="203"/>
      <c r="M3068" s="203"/>
      <c r="N3068" s="203"/>
      <c r="O3068" s="203"/>
    </row>
    <row r="3069" spans="1:15" s="196" customFormat="1">
      <c r="A3069" s="589"/>
      <c r="B3069" s="151" t="s">
        <v>5180</v>
      </c>
      <c r="C3069" s="1834">
        <v>241</v>
      </c>
      <c r="D3069" s="1646">
        <f t="shared" si="418"/>
        <v>402.46999999999997</v>
      </c>
      <c r="E3069" s="228">
        <v>10</v>
      </c>
      <c r="F3069" s="585">
        <f t="shared" si="419"/>
        <v>412.5</v>
      </c>
      <c r="G3069" s="592" t="s">
        <v>5181</v>
      </c>
      <c r="H3069" s="1647">
        <v>68711231</v>
      </c>
      <c r="I3069" s="520" t="s">
        <v>5179</v>
      </c>
      <c r="J3069" s="589" t="s">
        <v>753</v>
      </c>
      <c r="K3069" s="520" t="s">
        <v>741</v>
      </c>
      <c r="L3069" s="203"/>
      <c r="M3069" s="203"/>
      <c r="N3069" s="203"/>
      <c r="O3069" s="203"/>
    </row>
    <row r="3070" spans="1:15" s="196" customFormat="1">
      <c r="A3070" s="589"/>
      <c r="B3070" s="1647" t="s">
        <v>5191</v>
      </c>
      <c r="C3070" s="1834">
        <v>526</v>
      </c>
      <c r="D3070" s="1646">
        <f t="shared" si="418"/>
        <v>878.42</v>
      </c>
      <c r="E3070" s="228">
        <v>10</v>
      </c>
      <c r="F3070" s="585">
        <f t="shared" si="419"/>
        <v>888.5</v>
      </c>
      <c r="G3070" s="592" t="s">
        <v>5192</v>
      </c>
      <c r="H3070" s="1647">
        <v>61445412</v>
      </c>
      <c r="I3070" s="520" t="s">
        <v>5179</v>
      </c>
      <c r="J3070" s="589" t="s">
        <v>753</v>
      </c>
      <c r="K3070" s="520" t="s">
        <v>741</v>
      </c>
      <c r="L3070" s="203"/>
      <c r="M3070" s="203"/>
      <c r="N3070" s="203"/>
      <c r="O3070" s="203"/>
    </row>
    <row r="3071" spans="1:15" s="196" customFormat="1">
      <c r="A3071" s="589"/>
      <c r="B3071" s="1647" t="s">
        <v>5193</v>
      </c>
      <c r="C3071" s="1834">
        <v>236</v>
      </c>
      <c r="D3071" s="1646">
        <f t="shared" si="418"/>
        <v>394.12</v>
      </c>
      <c r="E3071" s="228">
        <v>10</v>
      </c>
      <c r="F3071" s="585">
        <f t="shared" si="419"/>
        <v>404.20000000000005</v>
      </c>
      <c r="G3071" s="592" t="s">
        <v>7512</v>
      </c>
      <c r="H3071" s="1647">
        <v>68455685</v>
      </c>
      <c r="I3071" s="520" t="s">
        <v>5179</v>
      </c>
      <c r="J3071" s="589" t="s">
        <v>753</v>
      </c>
      <c r="K3071" s="520" t="s">
        <v>741</v>
      </c>
      <c r="L3071" s="203"/>
      <c r="M3071" s="203"/>
      <c r="N3071" s="203"/>
      <c r="O3071" s="203"/>
    </row>
    <row r="3072" spans="1:15" s="196" customFormat="1">
      <c r="A3072" s="589"/>
      <c r="B3072" s="1835" t="s">
        <v>11673</v>
      </c>
      <c r="C3072" s="1834">
        <v>60</v>
      </c>
      <c r="D3072" s="1646">
        <f>C3072*(1-VLOOKUP(I3072,descuentos,6,FALSE))*fcl</f>
        <v>100.19999999999999</v>
      </c>
      <c r="E3072" s="228">
        <v>10</v>
      </c>
      <c r="F3072" s="585">
        <f t="shared" si="419"/>
        <v>110.2</v>
      </c>
      <c r="G3072" s="592" t="s">
        <v>11674</v>
      </c>
      <c r="H3072" s="1835">
        <v>64739000</v>
      </c>
      <c r="I3072" s="520" t="s">
        <v>5179</v>
      </c>
      <c r="J3072" s="589" t="s">
        <v>753</v>
      </c>
      <c r="K3072" s="520" t="s">
        <v>741</v>
      </c>
      <c r="L3072" s="203"/>
      <c r="M3072" s="203"/>
      <c r="N3072" s="203"/>
      <c r="O3072" s="203"/>
    </row>
    <row r="3073" spans="1:15" s="196" customFormat="1">
      <c r="A3073" s="589"/>
      <c r="B3073" s="1647" t="s">
        <v>5186</v>
      </c>
      <c r="C3073" s="1834">
        <v>48</v>
      </c>
      <c r="D3073" s="1646">
        <f t="shared" si="418"/>
        <v>80.16</v>
      </c>
      <c r="E3073" s="228">
        <v>10</v>
      </c>
      <c r="F3073" s="585">
        <f t="shared" si="419"/>
        <v>90.199999999999989</v>
      </c>
      <c r="G3073" s="592" t="s">
        <v>7498</v>
      </c>
      <c r="H3073" s="1647">
        <v>68829593</v>
      </c>
      <c r="I3073" s="520" t="s">
        <v>5179</v>
      </c>
      <c r="J3073" s="589" t="s">
        <v>753</v>
      </c>
      <c r="K3073" s="520" t="s">
        <v>741</v>
      </c>
      <c r="L3073" s="203"/>
      <c r="M3073" s="203"/>
      <c r="N3073" s="203"/>
      <c r="O3073" s="203"/>
    </row>
    <row r="3074" spans="1:15" s="196" customFormat="1">
      <c r="A3074" s="1753"/>
      <c r="B3074" s="1752" t="s">
        <v>7499</v>
      </c>
      <c r="C3074" s="1834">
        <v>63</v>
      </c>
      <c r="D3074" s="1646">
        <f t="shared" si="418"/>
        <v>105.21</v>
      </c>
      <c r="E3074" s="228">
        <v>10</v>
      </c>
      <c r="F3074" s="585">
        <f t="shared" si="419"/>
        <v>115.3</v>
      </c>
      <c r="G3074" s="592" t="s">
        <v>7500</v>
      </c>
      <c r="H3074" s="1647">
        <v>68469881</v>
      </c>
      <c r="I3074" s="520" t="s">
        <v>5179</v>
      </c>
      <c r="J3074" s="589" t="s">
        <v>753</v>
      </c>
      <c r="K3074" s="520" t="s">
        <v>741</v>
      </c>
      <c r="L3074" s="203"/>
      <c r="M3074" s="203"/>
      <c r="N3074" s="203"/>
      <c r="O3074" s="203"/>
    </row>
    <row r="3075" spans="1:15" s="196" customFormat="1">
      <c r="A3075" s="1753"/>
      <c r="B3075" s="1752" t="s">
        <v>7484</v>
      </c>
      <c r="C3075" s="1180">
        <v>189</v>
      </c>
      <c r="D3075" s="1646">
        <f t="shared" si="418"/>
        <v>315.63</v>
      </c>
      <c r="E3075" s="228">
        <v>10</v>
      </c>
      <c r="F3075" s="585">
        <f t="shared" si="419"/>
        <v>325.70000000000005</v>
      </c>
      <c r="G3075" s="592" t="s">
        <v>7501</v>
      </c>
      <c r="H3075" s="1647">
        <v>64532871</v>
      </c>
      <c r="I3075" s="520" t="s">
        <v>5179</v>
      </c>
      <c r="J3075" s="589" t="s">
        <v>753</v>
      </c>
      <c r="K3075" s="520" t="s">
        <v>741</v>
      </c>
      <c r="L3075" s="203"/>
      <c r="M3075" s="203"/>
      <c r="N3075" s="203"/>
      <c r="O3075" s="203"/>
    </row>
    <row r="3076" spans="1:15" s="196" customFormat="1">
      <c r="A3076" s="1753"/>
      <c r="B3076" s="1752" t="s">
        <v>7502</v>
      </c>
      <c r="C3076" s="1180">
        <v>31</v>
      </c>
      <c r="D3076" s="1646">
        <f t="shared" si="418"/>
        <v>51.769999999999996</v>
      </c>
      <c r="E3076" s="228">
        <v>10</v>
      </c>
      <c r="F3076" s="585">
        <f t="shared" si="419"/>
        <v>61.800000000000004</v>
      </c>
      <c r="G3076" s="592" t="s">
        <v>7503</v>
      </c>
      <c r="H3076" s="1647">
        <v>68566282</v>
      </c>
      <c r="I3076" s="520" t="s">
        <v>5179</v>
      </c>
      <c r="J3076" s="589" t="s">
        <v>753</v>
      </c>
      <c r="K3076" s="520" t="s">
        <v>741</v>
      </c>
      <c r="L3076" s="203"/>
      <c r="M3076" s="203"/>
      <c r="N3076" s="203"/>
      <c r="O3076" s="203"/>
    </row>
    <row r="3077" spans="1:15" s="196" customFormat="1">
      <c r="A3077" s="589"/>
      <c r="B3077" s="151"/>
      <c r="C3077" s="209"/>
      <c r="D3077" s="1756"/>
      <c r="E3077" s="228"/>
      <c r="F3077" s="585"/>
      <c r="G3077" s="592"/>
      <c r="H3077" s="1647"/>
      <c r="I3077" s="520"/>
      <c r="J3077" s="589"/>
      <c r="K3077" s="520"/>
      <c r="L3077" s="203"/>
      <c r="M3077" s="203"/>
      <c r="N3077" s="203"/>
      <c r="O3077" s="203"/>
    </row>
    <row r="3078" spans="1:15" s="196" customFormat="1">
      <c r="A3078" s="589"/>
      <c r="B3078" s="151" t="s">
        <v>5187</v>
      </c>
      <c r="C3078" s="1180">
        <v>717</v>
      </c>
      <c r="D3078" s="1646">
        <f t="shared" ref="D3078:D3086" si="420">C3078*(1-VLOOKUP(I3078,descuentos,6,FALSE))*fcl</f>
        <v>1197.3899999999999</v>
      </c>
      <c r="E3078" s="228">
        <v>100</v>
      </c>
      <c r="F3078" s="585">
        <f t="shared" ref="F3078:F3086" si="421">ROUNDUP(D3078+E3078,1)</f>
        <v>1297.3999999999999</v>
      </c>
      <c r="G3078" s="592" t="s">
        <v>9254</v>
      </c>
      <c r="H3078" s="1647" t="s">
        <v>5188</v>
      </c>
      <c r="I3078" s="520" t="s">
        <v>5179</v>
      </c>
      <c r="J3078" s="589" t="s">
        <v>753</v>
      </c>
      <c r="K3078" s="520" t="s">
        <v>741</v>
      </c>
      <c r="L3078" s="203"/>
      <c r="M3078" s="203"/>
      <c r="N3078" s="203"/>
      <c r="O3078" s="203"/>
    </row>
    <row r="3079" spans="1:15" s="196" customFormat="1">
      <c r="A3079" s="589"/>
      <c r="B3079" s="151" t="s">
        <v>5189</v>
      </c>
      <c r="C3079" s="1180">
        <v>230</v>
      </c>
      <c r="D3079" s="1646">
        <f t="shared" si="420"/>
        <v>384.09999999999997</v>
      </c>
      <c r="E3079" s="228">
        <v>10</v>
      </c>
      <c r="F3079" s="585">
        <f t="shared" si="421"/>
        <v>394.1</v>
      </c>
      <c r="G3079" s="1757" t="s">
        <v>5190</v>
      </c>
      <c r="H3079" s="1647">
        <v>68711215</v>
      </c>
      <c r="I3079" s="520" t="s">
        <v>5179</v>
      </c>
      <c r="J3079" s="589" t="s">
        <v>753</v>
      </c>
      <c r="K3079" s="520" t="s">
        <v>741</v>
      </c>
      <c r="L3079" s="203"/>
      <c r="M3079" s="203"/>
      <c r="N3079" s="203"/>
      <c r="O3079" s="203"/>
    </row>
    <row r="3080" spans="1:15" s="196" customFormat="1">
      <c r="A3080" s="589"/>
      <c r="B3080" s="1647" t="s">
        <v>5191</v>
      </c>
      <c r="C3080" s="1834">
        <v>526</v>
      </c>
      <c r="D3080" s="1646">
        <f t="shared" si="420"/>
        <v>878.42</v>
      </c>
      <c r="E3080" s="228">
        <v>10</v>
      </c>
      <c r="F3080" s="585">
        <f t="shared" si="421"/>
        <v>888.5</v>
      </c>
      <c r="G3080" s="1757" t="s">
        <v>5192</v>
      </c>
      <c r="H3080" s="1647">
        <v>61445412</v>
      </c>
      <c r="I3080" s="520" t="s">
        <v>5179</v>
      </c>
      <c r="J3080" s="589" t="s">
        <v>753</v>
      </c>
      <c r="K3080" s="520" t="s">
        <v>741</v>
      </c>
      <c r="L3080" s="203"/>
      <c r="M3080" s="203"/>
      <c r="N3080" s="203"/>
      <c r="O3080" s="203"/>
    </row>
    <row r="3081" spans="1:15" s="196" customFormat="1">
      <c r="A3081" s="589"/>
      <c r="B3081" s="1647" t="s">
        <v>5193</v>
      </c>
      <c r="C3081" s="1834">
        <v>236</v>
      </c>
      <c r="D3081" s="1646">
        <f t="shared" si="420"/>
        <v>394.12</v>
      </c>
      <c r="E3081" s="228">
        <v>10</v>
      </c>
      <c r="F3081" s="585">
        <f t="shared" si="421"/>
        <v>404.20000000000005</v>
      </c>
      <c r="G3081" s="1757" t="s">
        <v>5194</v>
      </c>
      <c r="H3081" s="1647">
        <v>68455685</v>
      </c>
      <c r="I3081" s="520" t="s">
        <v>5179</v>
      </c>
      <c r="J3081" s="589" t="s">
        <v>753</v>
      </c>
      <c r="K3081" s="520" t="s">
        <v>741</v>
      </c>
      <c r="L3081" s="203"/>
      <c r="M3081" s="203"/>
      <c r="N3081" s="203"/>
      <c r="O3081" s="203"/>
    </row>
    <row r="3082" spans="1:15" s="196" customFormat="1">
      <c r="A3082" s="589"/>
      <c r="B3082" s="1835" t="s">
        <v>11673</v>
      </c>
      <c r="C3082" s="1834">
        <v>60</v>
      </c>
      <c r="D3082" s="1646">
        <f t="shared" si="420"/>
        <v>100.19999999999999</v>
      </c>
      <c r="E3082" s="228">
        <v>10</v>
      </c>
      <c r="F3082" s="585">
        <f t="shared" si="421"/>
        <v>110.2</v>
      </c>
      <c r="G3082" s="592" t="s">
        <v>11674</v>
      </c>
      <c r="H3082" s="1835">
        <v>64739000</v>
      </c>
      <c r="I3082" s="520" t="s">
        <v>5179</v>
      </c>
      <c r="J3082" s="589" t="s">
        <v>753</v>
      </c>
      <c r="K3082" s="520" t="s">
        <v>741</v>
      </c>
      <c r="L3082" s="203"/>
      <c r="M3082" s="203"/>
      <c r="N3082" s="203"/>
      <c r="O3082" s="203"/>
    </row>
    <row r="3083" spans="1:15" s="196" customFormat="1">
      <c r="A3083" s="589"/>
      <c r="B3083" s="1647" t="s">
        <v>5186</v>
      </c>
      <c r="C3083" s="1834">
        <v>48</v>
      </c>
      <c r="D3083" s="1646">
        <f t="shared" si="420"/>
        <v>80.16</v>
      </c>
      <c r="E3083" s="228">
        <v>10</v>
      </c>
      <c r="F3083" s="585">
        <f t="shared" si="421"/>
        <v>90.199999999999989</v>
      </c>
      <c r="G3083" s="1757" t="s">
        <v>7498</v>
      </c>
      <c r="H3083" s="1647">
        <v>68829593</v>
      </c>
      <c r="I3083" s="520" t="s">
        <v>5179</v>
      </c>
      <c r="J3083" s="589" t="s">
        <v>753</v>
      </c>
      <c r="K3083" s="520" t="s">
        <v>741</v>
      </c>
      <c r="L3083" s="203"/>
      <c r="M3083" s="203"/>
      <c r="N3083" s="203"/>
      <c r="O3083" s="203"/>
    </row>
    <row r="3084" spans="1:15" s="196" customFormat="1">
      <c r="A3084" s="1753"/>
      <c r="B3084" s="1752" t="s">
        <v>7499</v>
      </c>
      <c r="C3084" s="1180">
        <v>63</v>
      </c>
      <c r="D3084" s="1646">
        <f t="shared" si="420"/>
        <v>105.21</v>
      </c>
      <c r="E3084" s="228">
        <v>10</v>
      </c>
      <c r="F3084" s="585">
        <f t="shared" si="421"/>
        <v>115.3</v>
      </c>
      <c r="G3084" s="1757" t="s">
        <v>7500</v>
      </c>
      <c r="H3084" s="1647">
        <v>68469881</v>
      </c>
      <c r="I3084" s="520" t="s">
        <v>5179</v>
      </c>
      <c r="J3084" s="589" t="s">
        <v>753</v>
      </c>
      <c r="K3084" s="520" t="s">
        <v>741</v>
      </c>
      <c r="L3084" s="203"/>
      <c r="M3084" s="203"/>
      <c r="N3084" s="203"/>
      <c r="O3084" s="203"/>
    </row>
    <row r="3085" spans="1:15" s="196" customFormat="1">
      <c r="A3085" s="1753"/>
      <c r="B3085" s="1752" t="s">
        <v>7484</v>
      </c>
      <c r="C3085" s="1180">
        <v>189</v>
      </c>
      <c r="D3085" s="1646">
        <f t="shared" si="420"/>
        <v>315.63</v>
      </c>
      <c r="E3085" s="228">
        <v>10</v>
      </c>
      <c r="F3085" s="585">
        <f t="shared" si="421"/>
        <v>325.70000000000005</v>
      </c>
      <c r="G3085" s="1757" t="s">
        <v>7501</v>
      </c>
      <c r="H3085" s="1647">
        <v>64532871</v>
      </c>
      <c r="I3085" s="520" t="s">
        <v>5179</v>
      </c>
      <c r="J3085" s="589" t="s">
        <v>753</v>
      </c>
      <c r="K3085" s="520" t="s">
        <v>741</v>
      </c>
      <c r="L3085" s="203"/>
      <c r="M3085" s="203"/>
      <c r="N3085" s="203"/>
      <c r="O3085" s="203"/>
    </row>
    <row r="3086" spans="1:15" s="196" customFormat="1">
      <c r="A3086" s="1753"/>
      <c r="B3086" s="1752" t="s">
        <v>7502</v>
      </c>
      <c r="C3086" s="1180">
        <v>31</v>
      </c>
      <c r="D3086" s="1646">
        <f t="shared" si="420"/>
        <v>51.769999999999996</v>
      </c>
      <c r="E3086" s="228">
        <v>10</v>
      </c>
      <c r="F3086" s="585">
        <f t="shared" si="421"/>
        <v>61.800000000000004</v>
      </c>
      <c r="G3086" s="1757" t="s">
        <v>7503</v>
      </c>
      <c r="H3086" s="1647">
        <v>68566282</v>
      </c>
      <c r="I3086" s="520" t="s">
        <v>5179</v>
      </c>
      <c r="J3086" s="589" t="s">
        <v>753</v>
      </c>
      <c r="K3086" s="520" t="s">
        <v>741</v>
      </c>
      <c r="L3086" s="203"/>
      <c r="M3086" s="203"/>
      <c r="N3086" s="203"/>
      <c r="O3086" s="203"/>
    </row>
    <row r="3087" spans="1:15" s="196" customFormat="1">
      <c r="A3087" s="589"/>
      <c r="B3087" s="151"/>
      <c r="C3087" s="209"/>
      <c r="D3087" s="1756"/>
      <c r="E3087" s="228"/>
      <c r="F3087" s="585"/>
      <c r="G3087" s="592"/>
      <c r="H3087" s="1647"/>
      <c r="I3087" s="520"/>
      <c r="J3087" s="589"/>
      <c r="K3087" s="520"/>
      <c r="L3087" s="203"/>
      <c r="M3087" s="203"/>
      <c r="N3087" s="203"/>
      <c r="O3087" s="203"/>
    </row>
    <row r="3088" spans="1:15" s="196" customFormat="1">
      <c r="A3088" s="589"/>
      <c r="B3088" s="151" t="s">
        <v>7513</v>
      </c>
      <c r="C3088" s="1180">
        <v>582</v>
      </c>
      <c r="D3088" s="1646">
        <f t="shared" ref="D3088:D3096" si="422">C3088*(1-VLOOKUP(I3088,descuentos,6,FALSE))*fcl</f>
        <v>971.93999999999994</v>
      </c>
      <c r="E3088" s="228">
        <v>100</v>
      </c>
      <c r="F3088" s="585">
        <f t="shared" ref="F3088:F3096" si="423">ROUNDUP(D3088+E3088,1)</f>
        <v>1072</v>
      </c>
      <c r="G3088" s="592" t="s">
        <v>9255</v>
      </c>
      <c r="H3088" s="1647" t="s">
        <v>7514</v>
      </c>
      <c r="I3088" s="520" t="s">
        <v>5179</v>
      </c>
      <c r="J3088" s="589" t="s">
        <v>753</v>
      </c>
      <c r="K3088" s="520" t="s">
        <v>741</v>
      </c>
      <c r="L3088" s="203"/>
      <c r="M3088" s="203"/>
      <c r="N3088" s="203"/>
      <c r="O3088" s="203"/>
    </row>
    <row r="3089" spans="1:15" s="196" customFormat="1">
      <c r="A3089" s="589"/>
      <c r="B3089" s="151" t="s">
        <v>5189</v>
      </c>
      <c r="C3089" s="1180">
        <v>230</v>
      </c>
      <c r="D3089" s="1646">
        <f t="shared" si="422"/>
        <v>384.09999999999997</v>
      </c>
      <c r="E3089" s="228">
        <v>10</v>
      </c>
      <c r="F3089" s="585">
        <f t="shared" si="423"/>
        <v>394.1</v>
      </c>
      <c r="G3089" s="1757" t="s">
        <v>5190</v>
      </c>
      <c r="H3089" s="1647">
        <v>68711215</v>
      </c>
      <c r="I3089" s="520" t="s">
        <v>5179</v>
      </c>
      <c r="J3089" s="589" t="s">
        <v>753</v>
      </c>
      <c r="K3089" s="520" t="s">
        <v>741</v>
      </c>
      <c r="L3089" s="203"/>
      <c r="M3089" s="203"/>
      <c r="N3089" s="203"/>
      <c r="O3089" s="203"/>
    </row>
    <row r="3090" spans="1:15" s="196" customFormat="1">
      <c r="A3090" s="589"/>
      <c r="B3090" s="1647" t="s">
        <v>5191</v>
      </c>
      <c r="C3090" s="1180">
        <v>526</v>
      </c>
      <c r="D3090" s="1646">
        <f t="shared" si="422"/>
        <v>878.42</v>
      </c>
      <c r="E3090" s="228">
        <v>10</v>
      </c>
      <c r="F3090" s="585">
        <f t="shared" si="423"/>
        <v>888.5</v>
      </c>
      <c r="G3090" s="1757" t="s">
        <v>5192</v>
      </c>
      <c r="H3090" s="1647">
        <v>61445412</v>
      </c>
      <c r="I3090" s="520" t="s">
        <v>5179</v>
      </c>
      <c r="J3090" s="589" t="s">
        <v>753</v>
      </c>
      <c r="K3090" s="520" t="s">
        <v>741</v>
      </c>
      <c r="L3090" s="203"/>
      <c r="M3090" s="203"/>
      <c r="N3090" s="203"/>
      <c r="O3090" s="203"/>
    </row>
    <row r="3091" spans="1:15" s="196" customFormat="1">
      <c r="A3091" s="589"/>
      <c r="B3091" s="1647" t="s">
        <v>5193</v>
      </c>
      <c r="C3091" s="1180">
        <v>236</v>
      </c>
      <c r="D3091" s="1646">
        <f t="shared" si="422"/>
        <v>394.12</v>
      </c>
      <c r="E3091" s="228">
        <v>10</v>
      </c>
      <c r="F3091" s="585">
        <f t="shared" si="423"/>
        <v>404.20000000000005</v>
      </c>
      <c r="G3091" s="1757" t="s">
        <v>5194</v>
      </c>
      <c r="H3091" s="1647">
        <v>68455685</v>
      </c>
      <c r="I3091" s="520" t="s">
        <v>5179</v>
      </c>
      <c r="J3091" s="589" t="s">
        <v>753</v>
      </c>
      <c r="K3091" s="520" t="s">
        <v>741</v>
      </c>
      <c r="L3091" s="203"/>
      <c r="M3091" s="203"/>
      <c r="N3091" s="203"/>
      <c r="O3091" s="203"/>
    </row>
    <row r="3092" spans="1:15" s="196" customFormat="1">
      <c r="A3092" s="1753"/>
      <c r="B3092" s="1835" t="s">
        <v>11673</v>
      </c>
      <c r="C3092" s="1834">
        <v>60</v>
      </c>
      <c r="D3092" s="1646">
        <f t="shared" si="422"/>
        <v>100.19999999999999</v>
      </c>
      <c r="E3092" s="228">
        <v>10</v>
      </c>
      <c r="F3092" s="585">
        <f t="shared" si="423"/>
        <v>110.2</v>
      </c>
      <c r="G3092" s="592" t="s">
        <v>11674</v>
      </c>
      <c r="H3092" s="1835">
        <v>64739000</v>
      </c>
      <c r="I3092" s="520" t="s">
        <v>5179</v>
      </c>
      <c r="J3092" s="589" t="s">
        <v>753</v>
      </c>
      <c r="K3092" s="520" t="s">
        <v>741</v>
      </c>
      <c r="L3092" s="203"/>
      <c r="M3092" s="203"/>
      <c r="N3092" s="203"/>
      <c r="O3092" s="203"/>
    </row>
    <row r="3093" spans="1:15" s="196" customFormat="1">
      <c r="A3093" s="1753"/>
      <c r="B3093" s="1750" t="s">
        <v>5186</v>
      </c>
      <c r="C3093" s="1834">
        <v>48</v>
      </c>
      <c r="D3093" s="1646">
        <f t="shared" si="422"/>
        <v>80.16</v>
      </c>
      <c r="E3093" s="228">
        <v>10</v>
      </c>
      <c r="F3093" s="585">
        <f t="shared" si="423"/>
        <v>90.199999999999989</v>
      </c>
      <c r="G3093" s="1757" t="s">
        <v>7498</v>
      </c>
      <c r="H3093" s="1647">
        <v>68829593</v>
      </c>
      <c r="I3093" s="520" t="s">
        <v>5179</v>
      </c>
      <c r="J3093" s="589" t="s">
        <v>753</v>
      </c>
      <c r="K3093" s="520" t="s">
        <v>741</v>
      </c>
      <c r="L3093" s="203"/>
      <c r="M3093" s="203"/>
      <c r="N3093" s="203"/>
      <c r="O3093" s="203"/>
    </row>
    <row r="3094" spans="1:15" s="196" customFormat="1">
      <c r="A3094" s="1753"/>
      <c r="B3094" s="1752" t="s">
        <v>7499</v>
      </c>
      <c r="C3094" s="1180">
        <v>63</v>
      </c>
      <c r="D3094" s="1646">
        <f t="shared" si="422"/>
        <v>105.21</v>
      </c>
      <c r="E3094" s="228">
        <v>10</v>
      </c>
      <c r="F3094" s="585">
        <f t="shared" si="423"/>
        <v>115.3</v>
      </c>
      <c r="G3094" s="1757" t="s">
        <v>7500</v>
      </c>
      <c r="H3094" s="1647">
        <v>68469881</v>
      </c>
      <c r="I3094" s="520" t="s">
        <v>5179</v>
      </c>
      <c r="J3094" s="589" t="s">
        <v>753</v>
      </c>
      <c r="K3094" s="520" t="s">
        <v>741</v>
      </c>
      <c r="L3094" s="203"/>
      <c r="M3094" s="203"/>
      <c r="N3094" s="203"/>
      <c r="O3094" s="203"/>
    </row>
    <row r="3095" spans="1:15" s="196" customFormat="1">
      <c r="A3095" s="1753"/>
      <c r="B3095" s="1752" t="s">
        <v>7484</v>
      </c>
      <c r="C3095" s="1180">
        <v>189</v>
      </c>
      <c r="D3095" s="1646">
        <f t="shared" si="422"/>
        <v>315.63</v>
      </c>
      <c r="E3095" s="228">
        <v>10</v>
      </c>
      <c r="F3095" s="585">
        <f t="shared" si="423"/>
        <v>325.70000000000005</v>
      </c>
      <c r="G3095" s="1757" t="s">
        <v>7501</v>
      </c>
      <c r="H3095" s="1647">
        <v>64532871</v>
      </c>
      <c r="I3095" s="520" t="s">
        <v>5179</v>
      </c>
      <c r="J3095" s="589" t="s">
        <v>753</v>
      </c>
      <c r="K3095" s="520" t="s">
        <v>741</v>
      </c>
      <c r="L3095" s="203"/>
      <c r="M3095" s="203"/>
      <c r="N3095" s="203"/>
      <c r="O3095" s="203"/>
    </row>
    <row r="3096" spans="1:15" s="196" customFormat="1">
      <c r="A3096" s="1753"/>
      <c r="B3096" s="1752" t="s">
        <v>7502</v>
      </c>
      <c r="C3096" s="1180">
        <v>31</v>
      </c>
      <c r="D3096" s="1646">
        <f t="shared" si="422"/>
        <v>51.769999999999996</v>
      </c>
      <c r="E3096" s="228">
        <v>10</v>
      </c>
      <c r="F3096" s="585">
        <f t="shared" si="423"/>
        <v>61.800000000000004</v>
      </c>
      <c r="G3096" s="1757" t="s">
        <v>7503</v>
      </c>
      <c r="H3096" s="1647">
        <v>68566282</v>
      </c>
      <c r="I3096" s="520" t="s">
        <v>5179</v>
      </c>
      <c r="J3096" s="589" t="s">
        <v>753</v>
      </c>
      <c r="K3096" s="520" t="s">
        <v>741</v>
      </c>
      <c r="L3096" s="203"/>
      <c r="M3096" s="203"/>
      <c r="N3096" s="203"/>
      <c r="O3096" s="203"/>
    </row>
    <row r="3097" spans="1:15" s="196" customFormat="1">
      <c r="A3097" s="589"/>
      <c r="B3097" s="151"/>
      <c r="C3097" s="209"/>
      <c r="D3097" s="1756"/>
      <c r="E3097" s="228"/>
      <c r="F3097" s="585"/>
      <c r="G3097" s="592"/>
      <c r="H3097" s="1647"/>
      <c r="I3097" s="520"/>
      <c r="J3097" s="589"/>
      <c r="K3097" s="520"/>
      <c r="L3097" s="203"/>
      <c r="M3097" s="203"/>
      <c r="N3097" s="203"/>
      <c r="O3097" s="203"/>
    </row>
    <row r="3098" spans="1:15" s="196" customFormat="1">
      <c r="A3098" s="589"/>
      <c r="B3098" s="151" t="s">
        <v>7515</v>
      </c>
      <c r="C3098" s="1834">
        <v>512</v>
      </c>
      <c r="D3098" s="1646">
        <f t="shared" ref="D3098:D3106" si="424">C3098*(1-VLOOKUP(I3098,descuentos,6,FALSE))*fcl</f>
        <v>855.04</v>
      </c>
      <c r="E3098" s="228">
        <v>50</v>
      </c>
      <c r="F3098" s="585">
        <f t="shared" ref="F3098:F3106" si="425">ROUNDUP(D3098+E3098,1)</f>
        <v>905.1</v>
      </c>
      <c r="G3098" s="592" t="s">
        <v>9256</v>
      </c>
      <c r="H3098" s="1647" t="s">
        <v>5204</v>
      </c>
      <c r="I3098" s="520" t="s">
        <v>5179</v>
      </c>
      <c r="J3098" s="589" t="s">
        <v>753</v>
      </c>
      <c r="K3098" s="520" t="s">
        <v>741</v>
      </c>
      <c r="L3098" s="203"/>
      <c r="M3098" s="203"/>
      <c r="N3098" s="203"/>
      <c r="O3098" s="203"/>
    </row>
    <row r="3099" spans="1:15" s="196" customFormat="1">
      <c r="A3099" s="589"/>
      <c r="B3099" s="151" t="s">
        <v>5197</v>
      </c>
      <c r="C3099" s="1834">
        <v>179</v>
      </c>
      <c r="D3099" s="1646">
        <f t="shared" si="424"/>
        <v>298.93</v>
      </c>
      <c r="E3099" s="228">
        <v>10</v>
      </c>
      <c r="F3099" s="585">
        <f t="shared" si="425"/>
        <v>309</v>
      </c>
      <c r="G3099" s="592" t="s">
        <v>5198</v>
      </c>
      <c r="H3099" s="1647">
        <v>68711193</v>
      </c>
      <c r="I3099" s="520" t="s">
        <v>5179</v>
      </c>
      <c r="J3099" s="589" t="s">
        <v>753</v>
      </c>
      <c r="K3099" s="520" t="s">
        <v>741</v>
      </c>
      <c r="L3099" s="203"/>
      <c r="M3099" s="203"/>
      <c r="N3099" s="203"/>
      <c r="O3099" s="203"/>
    </row>
    <row r="3100" spans="1:15" s="196" customFormat="1">
      <c r="A3100" s="589"/>
      <c r="B3100" s="1647" t="s">
        <v>5191</v>
      </c>
      <c r="C3100" s="1180">
        <v>526</v>
      </c>
      <c r="D3100" s="1646">
        <f t="shared" si="424"/>
        <v>878.42</v>
      </c>
      <c r="E3100" s="228">
        <v>10</v>
      </c>
      <c r="F3100" s="585">
        <f t="shared" si="425"/>
        <v>888.5</v>
      </c>
      <c r="G3100" s="592" t="s">
        <v>5192</v>
      </c>
      <c r="H3100" s="1647">
        <v>61445412</v>
      </c>
      <c r="I3100" s="520" t="s">
        <v>5179</v>
      </c>
      <c r="J3100" s="589" t="s">
        <v>753</v>
      </c>
      <c r="K3100" s="520" t="s">
        <v>741</v>
      </c>
      <c r="L3100" s="203"/>
      <c r="M3100" s="203"/>
      <c r="N3100" s="203"/>
      <c r="O3100" s="203"/>
    </row>
    <row r="3101" spans="1:15" s="196" customFormat="1">
      <c r="A3101" s="589"/>
      <c r="B3101" s="1647" t="s">
        <v>5193</v>
      </c>
      <c r="C3101" s="1180">
        <v>236</v>
      </c>
      <c r="D3101" s="1646">
        <f t="shared" si="424"/>
        <v>394.12</v>
      </c>
      <c r="E3101" s="228">
        <v>10</v>
      </c>
      <c r="F3101" s="585">
        <f t="shared" si="425"/>
        <v>404.20000000000005</v>
      </c>
      <c r="G3101" s="592" t="s">
        <v>5194</v>
      </c>
      <c r="H3101" s="1647">
        <v>68455685</v>
      </c>
      <c r="I3101" s="520" t="s">
        <v>5179</v>
      </c>
      <c r="J3101" s="589" t="s">
        <v>753</v>
      </c>
      <c r="K3101" s="520" t="s">
        <v>741</v>
      </c>
      <c r="L3101" s="203"/>
      <c r="M3101" s="203"/>
      <c r="N3101" s="203"/>
      <c r="O3101" s="203"/>
    </row>
    <row r="3102" spans="1:15" s="196" customFormat="1">
      <c r="A3102" s="589"/>
      <c r="B3102" s="1835" t="s">
        <v>11673</v>
      </c>
      <c r="C3102" s="1834">
        <v>60</v>
      </c>
      <c r="D3102" s="1646">
        <f t="shared" si="424"/>
        <v>100.19999999999999</v>
      </c>
      <c r="E3102" s="228">
        <v>10</v>
      </c>
      <c r="F3102" s="585">
        <f t="shared" si="425"/>
        <v>110.2</v>
      </c>
      <c r="G3102" s="592" t="s">
        <v>11674</v>
      </c>
      <c r="H3102" s="1835">
        <v>64739000</v>
      </c>
      <c r="I3102" s="520" t="s">
        <v>5179</v>
      </c>
      <c r="J3102" s="589" t="s">
        <v>753</v>
      </c>
      <c r="K3102" s="520" t="s">
        <v>741</v>
      </c>
      <c r="L3102" s="203"/>
      <c r="M3102" s="203"/>
      <c r="N3102" s="203"/>
      <c r="O3102" s="203"/>
    </row>
    <row r="3103" spans="1:15" s="196" customFormat="1">
      <c r="A3103" s="589"/>
      <c r="B3103" s="1647" t="s">
        <v>5186</v>
      </c>
      <c r="C3103" s="1834">
        <v>48</v>
      </c>
      <c r="D3103" s="1646">
        <f t="shared" si="424"/>
        <v>80.16</v>
      </c>
      <c r="E3103" s="228">
        <v>10</v>
      </c>
      <c r="F3103" s="585">
        <f t="shared" si="425"/>
        <v>90.199999999999989</v>
      </c>
      <c r="G3103" s="592" t="s">
        <v>7498</v>
      </c>
      <c r="H3103" s="1647">
        <v>68829593</v>
      </c>
      <c r="I3103" s="520" t="s">
        <v>5179</v>
      </c>
      <c r="J3103" s="589" t="s">
        <v>753</v>
      </c>
      <c r="K3103" s="520" t="s">
        <v>741</v>
      </c>
      <c r="L3103" s="203"/>
      <c r="M3103" s="203"/>
      <c r="N3103" s="203"/>
      <c r="O3103" s="203"/>
    </row>
    <row r="3104" spans="1:15" s="196" customFormat="1">
      <c r="A3104" s="589"/>
      <c r="B3104" s="1752" t="s">
        <v>7499</v>
      </c>
      <c r="C3104" s="1180">
        <v>63</v>
      </c>
      <c r="D3104" s="1646">
        <f t="shared" si="424"/>
        <v>105.21</v>
      </c>
      <c r="E3104" s="228">
        <v>10</v>
      </c>
      <c r="F3104" s="585">
        <f t="shared" si="425"/>
        <v>115.3</v>
      </c>
      <c r="G3104" s="592" t="s">
        <v>7500</v>
      </c>
      <c r="H3104" s="1647">
        <v>68469881</v>
      </c>
      <c r="I3104" s="520" t="s">
        <v>5179</v>
      </c>
      <c r="J3104" s="589" t="s">
        <v>753</v>
      </c>
      <c r="K3104" s="520" t="s">
        <v>741</v>
      </c>
      <c r="L3104" s="203"/>
      <c r="M3104" s="203"/>
      <c r="N3104" s="203"/>
      <c r="O3104" s="203"/>
    </row>
    <row r="3105" spans="1:15" s="196" customFormat="1">
      <c r="A3105" s="589"/>
      <c r="B3105" s="1752" t="s">
        <v>7484</v>
      </c>
      <c r="C3105" s="1180">
        <v>189</v>
      </c>
      <c r="D3105" s="1646">
        <f t="shared" si="424"/>
        <v>315.63</v>
      </c>
      <c r="E3105" s="228">
        <v>10</v>
      </c>
      <c r="F3105" s="585">
        <f t="shared" si="425"/>
        <v>325.70000000000005</v>
      </c>
      <c r="G3105" s="592" t="s">
        <v>7501</v>
      </c>
      <c r="H3105" s="1647">
        <v>64532871</v>
      </c>
      <c r="I3105" s="520" t="s">
        <v>5179</v>
      </c>
      <c r="J3105" s="589" t="s">
        <v>753</v>
      </c>
      <c r="K3105" s="520" t="s">
        <v>741</v>
      </c>
      <c r="L3105" s="203"/>
      <c r="M3105" s="203"/>
      <c r="N3105" s="203"/>
      <c r="O3105" s="203"/>
    </row>
    <row r="3106" spans="1:15" s="196" customFormat="1">
      <c r="A3106" s="589"/>
      <c r="B3106" s="1752" t="s">
        <v>7502</v>
      </c>
      <c r="C3106" s="1180">
        <v>31</v>
      </c>
      <c r="D3106" s="1646">
        <f t="shared" si="424"/>
        <v>51.769999999999996</v>
      </c>
      <c r="E3106" s="228">
        <v>10</v>
      </c>
      <c r="F3106" s="585">
        <f t="shared" si="425"/>
        <v>61.800000000000004</v>
      </c>
      <c r="G3106" s="592" t="s">
        <v>7503</v>
      </c>
      <c r="H3106" s="1647">
        <v>68566282</v>
      </c>
      <c r="I3106" s="520" t="s">
        <v>5179</v>
      </c>
      <c r="J3106" s="589" t="s">
        <v>753</v>
      </c>
      <c r="K3106" s="520" t="s">
        <v>741</v>
      </c>
      <c r="L3106" s="203"/>
      <c r="M3106" s="203"/>
      <c r="N3106" s="203"/>
      <c r="O3106" s="203"/>
    </row>
    <row r="3107" spans="1:15" s="196" customFormat="1">
      <c r="A3107" s="589"/>
      <c r="B3107" s="1647"/>
      <c r="C3107" s="1180"/>
      <c r="D3107" s="1756"/>
      <c r="E3107" s="228"/>
      <c r="F3107" s="585"/>
      <c r="G3107" s="592"/>
      <c r="H3107" s="1647"/>
      <c r="I3107" s="520"/>
      <c r="J3107" s="589"/>
      <c r="K3107" s="520"/>
      <c r="L3107" s="203"/>
      <c r="M3107" s="203"/>
      <c r="N3107" s="203"/>
      <c r="O3107" s="203"/>
    </row>
    <row r="3108" spans="1:15" s="196" customFormat="1">
      <c r="A3108" s="589"/>
      <c r="B3108" s="151" t="s">
        <v>5203</v>
      </c>
      <c r="C3108" s="1180">
        <v>450</v>
      </c>
      <c r="D3108" s="1646">
        <f t="shared" ref="D3108:D3116" si="426">C3108*(1-VLOOKUP(I3108,descuentos,6,FALSE))*fcl</f>
        <v>751.5</v>
      </c>
      <c r="E3108" s="228">
        <v>50</v>
      </c>
      <c r="F3108" s="585">
        <f t="shared" ref="F3108:F3116" si="427">ROUNDUP(D3108+E3108,1)</f>
        <v>801.5</v>
      </c>
      <c r="G3108" s="592" t="s">
        <v>9257</v>
      </c>
      <c r="H3108" s="1647" t="s">
        <v>5204</v>
      </c>
      <c r="I3108" s="520" t="s">
        <v>5179</v>
      </c>
      <c r="J3108" s="589" t="s">
        <v>753</v>
      </c>
      <c r="K3108" s="520" t="s">
        <v>741</v>
      </c>
      <c r="L3108" s="203"/>
      <c r="M3108" s="203"/>
      <c r="N3108" s="203"/>
      <c r="O3108" s="203"/>
    </row>
    <row r="3109" spans="1:15" s="196" customFormat="1">
      <c r="A3109" s="589"/>
      <c r="B3109" s="151" t="s">
        <v>5197</v>
      </c>
      <c r="C3109" s="1834">
        <v>179</v>
      </c>
      <c r="D3109" s="1646">
        <f t="shared" si="426"/>
        <v>298.93</v>
      </c>
      <c r="E3109" s="228">
        <v>10</v>
      </c>
      <c r="F3109" s="585">
        <f t="shared" si="427"/>
        <v>309</v>
      </c>
      <c r="G3109" s="634" t="s">
        <v>5198</v>
      </c>
      <c r="H3109" s="1647">
        <v>68711193</v>
      </c>
      <c r="I3109" s="520" t="s">
        <v>5179</v>
      </c>
      <c r="J3109" s="589" t="s">
        <v>753</v>
      </c>
      <c r="K3109" s="520" t="s">
        <v>741</v>
      </c>
      <c r="L3109" s="203"/>
      <c r="M3109" s="203"/>
      <c r="N3109" s="203"/>
      <c r="O3109" s="203"/>
    </row>
    <row r="3110" spans="1:15" s="196" customFormat="1">
      <c r="A3110" s="589"/>
      <c r="B3110" s="1647" t="s">
        <v>5199</v>
      </c>
      <c r="C3110" s="1834">
        <v>172</v>
      </c>
      <c r="D3110" s="1646">
        <f t="shared" si="426"/>
        <v>287.24</v>
      </c>
      <c r="E3110" s="228">
        <v>10</v>
      </c>
      <c r="F3110" s="585">
        <f t="shared" si="427"/>
        <v>297.3</v>
      </c>
      <c r="G3110" s="634" t="s">
        <v>5200</v>
      </c>
      <c r="H3110" s="1647">
        <v>64324080</v>
      </c>
      <c r="I3110" s="520" t="s">
        <v>5179</v>
      </c>
      <c r="J3110" s="589" t="s">
        <v>753</v>
      </c>
      <c r="K3110" s="520" t="s">
        <v>741</v>
      </c>
      <c r="L3110" s="203"/>
      <c r="M3110" s="203"/>
      <c r="N3110" s="203"/>
      <c r="O3110" s="203"/>
    </row>
    <row r="3111" spans="1:15" s="196" customFormat="1">
      <c r="A3111" s="589"/>
      <c r="B3111" s="1647" t="s">
        <v>5201</v>
      </c>
      <c r="C3111" s="1180">
        <v>191</v>
      </c>
      <c r="D3111" s="1646">
        <f t="shared" si="426"/>
        <v>318.96999999999997</v>
      </c>
      <c r="E3111" s="228">
        <v>10</v>
      </c>
      <c r="F3111" s="585">
        <f t="shared" si="427"/>
        <v>329</v>
      </c>
      <c r="G3111" s="634" t="s">
        <v>5202</v>
      </c>
      <c r="H3111" s="1647">
        <v>68569311</v>
      </c>
      <c r="I3111" s="520" t="s">
        <v>5179</v>
      </c>
      <c r="J3111" s="589" t="s">
        <v>753</v>
      </c>
      <c r="K3111" s="520" t="s">
        <v>741</v>
      </c>
      <c r="L3111" s="203"/>
      <c r="M3111" s="203"/>
      <c r="N3111" s="203"/>
      <c r="O3111" s="203"/>
    </row>
    <row r="3112" spans="1:15" s="196" customFormat="1">
      <c r="A3112" s="589"/>
      <c r="B3112" s="1835" t="s">
        <v>11673</v>
      </c>
      <c r="C3112" s="1834">
        <v>60</v>
      </c>
      <c r="D3112" s="1646">
        <f t="shared" si="426"/>
        <v>100.19999999999999</v>
      </c>
      <c r="E3112" s="228">
        <v>10</v>
      </c>
      <c r="F3112" s="585">
        <f t="shared" si="427"/>
        <v>110.2</v>
      </c>
      <c r="G3112" s="592" t="s">
        <v>11674</v>
      </c>
      <c r="H3112" s="1835">
        <v>64739000</v>
      </c>
      <c r="I3112" s="520" t="s">
        <v>5179</v>
      </c>
      <c r="J3112" s="589" t="s">
        <v>753</v>
      </c>
      <c r="K3112" s="520" t="s">
        <v>741</v>
      </c>
      <c r="L3112" s="203"/>
      <c r="M3112" s="203"/>
      <c r="N3112" s="203"/>
      <c r="O3112" s="203"/>
    </row>
    <row r="3113" spans="1:15" s="196" customFormat="1">
      <c r="A3113" s="589"/>
      <c r="B3113" s="1647" t="s">
        <v>5186</v>
      </c>
      <c r="C3113" s="1834">
        <v>48</v>
      </c>
      <c r="D3113" s="1646">
        <f t="shared" si="426"/>
        <v>80.16</v>
      </c>
      <c r="E3113" s="228">
        <v>10</v>
      </c>
      <c r="F3113" s="585">
        <f t="shared" si="427"/>
        <v>90.199999999999989</v>
      </c>
      <c r="G3113" s="634" t="s">
        <v>7498</v>
      </c>
      <c r="H3113" s="1647">
        <v>68829593</v>
      </c>
      <c r="I3113" s="520" t="s">
        <v>5179</v>
      </c>
      <c r="J3113" s="589" t="s">
        <v>753</v>
      </c>
      <c r="K3113" s="520" t="s">
        <v>741</v>
      </c>
      <c r="L3113" s="203"/>
      <c r="M3113" s="203"/>
      <c r="N3113" s="203"/>
      <c r="O3113" s="203"/>
    </row>
    <row r="3114" spans="1:15" s="196" customFormat="1">
      <c r="A3114" s="589"/>
      <c r="B3114" s="1752" t="s">
        <v>7499</v>
      </c>
      <c r="C3114" s="1180">
        <v>63</v>
      </c>
      <c r="D3114" s="1646">
        <f t="shared" si="426"/>
        <v>105.21</v>
      </c>
      <c r="E3114" s="228">
        <v>10</v>
      </c>
      <c r="F3114" s="585">
        <f t="shared" si="427"/>
        <v>115.3</v>
      </c>
      <c r="G3114" s="634" t="s">
        <v>7500</v>
      </c>
      <c r="H3114" s="1647">
        <v>68469881</v>
      </c>
      <c r="I3114" s="520" t="s">
        <v>5179</v>
      </c>
      <c r="J3114" s="589" t="s">
        <v>753</v>
      </c>
      <c r="K3114" s="520" t="s">
        <v>741</v>
      </c>
      <c r="L3114" s="203"/>
      <c r="M3114" s="203"/>
      <c r="N3114" s="203"/>
      <c r="O3114" s="203"/>
    </row>
    <row r="3115" spans="1:15" s="196" customFormat="1">
      <c r="A3115" s="589"/>
      <c r="B3115" s="1752" t="s">
        <v>7484</v>
      </c>
      <c r="C3115" s="1180">
        <v>189</v>
      </c>
      <c r="D3115" s="1646">
        <f t="shared" si="426"/>
        <v>315.63</v>
      </c>
      <c r="E3115" s="228">
        <v>10</v>
      </c>
      <c r="F3115" s="585">
        <f t="shared" si="427"/>
        <v>325.70000000000005</v>
      </c>
      <c r="G3115" s="634" t="s">
        <v>7501</v>
      </c>
      <c r="H3115" s="1647">
        <v>64532871</v>
      </c>
      <c r="I3115" s="520" t="s">
        <v>5179</v>
      </c>
      <c r="J3115" s="589" t="s">
        <v>753</v>
      </c>
      <c r="K3115" s="520" t="s">
        <v>741</v>
      </c>
      <c r="L3115" s="203"/>
      <c r="M3115" s="203"/>
      <c r="N3115" s="203"/>
      <c r="O3115" s="203"/>
    </row>
    <row r="3116" spans="1:15" s="196" customFormat="1">
      <c r="A3116" s="589"/>
      <c r="B3116" s="1752" t="s">
        <v>7502</v>
      </c>
      <c r="C3116" s="1180">
        <v>31</v>
      </c>
      <c r="D3116" s="1646">
        <f t="shared" si="426"/>
        <v>51.769999999999996</v>
      </c>
      <c r="E3116" s="228">
        <v>10</v>
      </c>
      <c r="F3116" s="585">
        <f t="shared" si="427"/>
        <v>61.800000000000004</v>
      </c>
      <c r="G3116" s="634" t="s">
        <v>7503</v>
      </c>
      <c r="H3116" s="1647">
        <v>68566282</v>
      </c>
      <c r="I3116" s="520" t="s">
        <v>5179</v>
      </c>
      <c r="J3116" s="589" t="s">
        <v>753</v>
      </c>
      <c r="K3116" s="520" t="s">
        <v>741</v>
      </c>
      <c r="L3116" s="203"/>
      <c r="M3116" s="203"/>
      <c r="N3116" s="203"/>
      <c r="O3116" s="203"/>
    </row>
    <row r="3117" spans="1:15" s="196" customFormat="1">
      <c r="A3117" s="589"/>
      <c r="B3117" s="1647"/>
      <c r="C3117" s="1180"/>
      <c r="D3117" s="1756"/>
      <c r="E3117" s="228"/>
      <c r="F3117" s="585"/>
      <c r="G3117" s="592"/>
      <c r="H3117" s="1647"/>
      <c r="I3117" s="520"/>
      <c r="J3117" s="589"/>
      <c r="K3117" s="520"/>
      <c r="L3117" s="203"/>
      <c r="M3117" s="203"/>
      <c r="N3117" s="203"/>
      <c r="O3117" s="203"/>
    </row>
    <row r="3118" spans="1:15" s="196" customFormat="1">
      <c r="A3118" s="589"/>
      <c r="B3118" s="151" t="s">
        <v>5195</v>
      </c>
      <c r="C3118" s="1834">
        <v>416</v>
      </c>
      <c r="D3118" s="1646">
        <f t="shared" ref="D3118:D3126" si="428">C3118*(1-VLOOKUP(I3118,descuentos,6,FALSE))*fcl</f>
        <v>694.72</v>
      </c>
      <c r="E3118" s="228">
        <v>50</v>
      </c>
      <c r="F3118" s="585">
        <f t="shared" ref="F3118:F3126" si="429">ROUNDUP(D3118+E3118,1)</f>
        <v>744.80000000000007</v>
      </c>
      <c r="G3118" s="592" t="s">
        <v>9258</v>
      </c>
      <c r="H3118" s="1647" t="s">
        <v>5196</v>
      </c>
      <c r="I3118" s="520" t="s">
        <v>5179</v>
      </c>
      <c r="J3118" s="589" t="s">
        <v>753</v>
      </c>
      <c r="K3118" s="520" t="s">
        <v>741</v>
      </c>
      <c r="L3118" s="203"/>
      <c r="M3118" s="203"/>
      <c r="N3118" s="203"/>
      <c r="O3118" s="203"/>
    </row>
    <row r="3119" spans="1:15" s="196" customFormat="1">
      <c r="A3119" s="589"/>
      <c r="B3119" s="151" t="s">
        <v>5197</v>
      </c>
      <c r="C3119" s="1834">
        <v>179</v>
      </c>
      <c r="D3119" s="1646">
        <f t="shared" si="428"/>
        <v>298.93</v>
      </c>
      <c r="E3119" s="228">
        <v>10</v>
      </c>
      <c r="F3119" s="585">
        <f t="shared" si="429"/>
        <v>309</v>
      </c>
      <c r="G3119" s="634" t="s">
        <v>5198</v>
      </c>
      <c r="H3119" s="1647">
        <v>68711193</v>
      </c>
      <c r="I3119" s="520" t="s">
        <v>5179</v>
      </c>
      <c r="J3119" s="589" t="s">
        <v>753</v>
      </c>
      <c r="K3119" s="520" t="s">
        <v>741</v>
      </c>
      <c r="L3119" s="203"/>
      <c r="M3119" s="203"/>
      <c r="N3119" s="203"/>
      <c r="O3119" s="203"/>
    </row>
    <row r="3120" spans="1:15" s="196" customFormat="1">
      <c r="A3120" s="589"/>
      <c r="B3120" s="1647" t="s">
        <v>5199</v>
      </c>
      <c r="C3120" s="1180">
        <v>172</v>
      </c>
      <c r="D3120" s="1646">
        <f t="shared" si="428"/>
        <v>287.24</v>
      </c>
      <c r="E3120" s="228">
        <v>10</v>
      </c>
      <c r="F3120" s="585">
        <f t="shared" si="429"/>
        <v>297.3</v>
      </c>
      <c r="G3120" s="634" t="s">
        <v>5200</v>
      </c>
      <c r="H3120" s="1647">
        <v>64324080</v>
      </c>
      <c r="I3120" s="520" t="s">
        <v>5179</v>
      </c>
      <c r="J3120" s="589" t="s">
        <v>753</v>
      </c>
      <c r="K3120" s="520" t="s">
        <v>741</v>
      </c>
      <c r="L3120" s="203"/>
      <c r="M3120" s="203"/>
      <c r="N3120" s="203"/>
      <c r="O3120" s="203"/>
    </row>
    <row r="3121" spans="1:15" s="196" customFormat="1">
      <c r="A3121" s="589"/>
      <c r="B3121" s="1647" t="s">
        <v>5201</v>
      </c>
      <c r="C3121" s="1180">
        <v>191</v>
      </c>
      <c r="D3121" s="1646">
        <f t="shared" si="428"/>
        <v>318.96999999999997</v>
      </c>
      <c r="E3121" s="228">
        <v>10</v>
      </c>
      <c r="F3121" s="585">
        <f t="shared" si="429"/>
        <v>329</v>
      </c>
      <c r="G3121" s="634" t="s">
        <v>5202</v>
      </c>
      <c r="H3121" s="1647">
        <v>68569311</v>
      </c>
      <c r="I3121" s="520" t="s">
        <v>5179</v>
      </c>
      <c r="J3121" s="589" t="s">
        <v>753</v>
      </c>
      <c r="K3121" s="520" t="s">
        <v>741</v>
      </c>
      <c r="L3121" s="203"/>
      <c r="M3121" s="203"/>
      <c r="N3121" s="203"/>
      <c r="O3121" s="203"/>
    </row>
    <row r="3122" spans="1:15" s="196" customFormat="1">
      <c r="A3122" s="589"/>
      <c r="B3122" s="1835" t="s">
        <v>11673</v>
      </c>
      <c r="C3122" s="1834">
        <v>60</v>
      </c>
      <c r="D3122" s="1646">
        <f t="shared" si="428"/>
        <v>100.19999999999999</v>
      </c>
      <c r="E3122" s="228">
        <v>10</v>
      </c>
      <c r="F3122" s="585">
        <f t="shared" si="429"/>
        <v>110.2</v>
      </c>
      <c r="G3122" s="592" t="s">
        <v>11674</v>
      </c>
      <c r="H3122" s="1835">
        <v>64739000</v>
      </c>
      <c r="I3122" s="520" t="s">
        <v>5179</v>
      </c>
      <c r="J3122" s="589" t="s">
        <v>753</v>
      </c>
      <c r="K3122" s="520" t="s">
        <v>741</v>
      </c>
      <c r="L3122" s="203"/>
      <c r="M3122" s="203"/>
      <c r="N3122" s="203"/>
      <c r="O3122" s="203"/>
    </row>
    <row r="3123" spans="1:15" s="196" customFormat="1">
      <c r="A3123" s="589"/>
      <c r="B3123" s="1647" t="s">
        <v>5186</v>
      </c>
      <c r="C3123" s="1834">
        <v>48</v>
      </c>
      <c r="D3123" s="1646">
        <f t="shared" si="428"/>
        <v>80.16</v>
      </c>
      <c r="E3123" s="228">
        <v>10</v>
      </c>
      <c r="F3123" s="585">
        <f t="shared" si="429"/>
        <v>90.199999999999989</v>
      </c>
      <c r="G3123" s="634" t="s">
        <v>7498</v>
      </c>
      <c r="H3123" s="1647">
        <v>68829593</v>
      </c>
      <c r="I3123" s="520" t="s">
        <v>5179</v>
      </c>
      <c r="J3123" s="589" t="s">
        <v>753</v>
      </c>
      <c r="K3123" s="520" t="s">
        <v>741</v>
      </c>
      <c r="L3123" s="203"/>
      <c r="M3123" s="203"/>
      <c r="N3123" s="203"/>
      <c r="O3123" s="203"/>
    </row>
    <row r="3124" spans="1:15" s="196" customFormat="1">
      <c r="A3124" s="1753"/>
      <c r="B3124" s="1752" t="s">
        <v>7499</v>
      </c>
      <c r="C3124" s="1180">
        <v>63</v>
      </c>
      <c r="D3124" s="1646">
        <f t="shared" si="428"/>
        <v>105.21</v>
      </c>
      <c r="E3124" s="228">
        <v>10</v>
      </c>
      <c r="F3124" s="585">
        <f t="shared" si="429"/>
        <v>115.3</v>
      </c>
      <c r="G3124" s="634" t="s">
        <v>7500</v>
      </c>
      <c r="H3124" s="1647">
        <v>68469881</v>
      </c>
      <c r="I3124" s="520" t="s">
        <v>5179</v>
      </c>
      <c r="J3124" s="589" t="s">
        <v>753</v>
      </c>
      <c r="K3124" s="520" t="s">
        <v>741</v>
      </c>
      <c r="L3124" s="203"/>
      <c r="M3124" s="203"/>
      <c r="N3124" s="203"/>
      <c r="O3124" s="203"/>
    </row>
    <row r="3125" spans="1:15" s="196" customFormat="1">
      <c r="A3125" s="1753"/>
      <c r="B3125" s="1752" t="s">
        <v>7484</v>
      </c>
      <c r="C3125" s="1180">
        <v>189</v>
      </c>
      <c r="D3125" s="1646">
        <f t="shared" si="428"/>
        <v>315.63</v>
      </c>
      <c r="E3125" s="228">
        <v>10</v>
      </c>
      <c r="F3125" s="585">
        <f t="shared" si="429"/>
        <v>325.70000000000005</v>
      </c>
      <c r="G3125" s="634" t="s">
        <v>7501</v>
      </c>
      <c r="H3125" s="1647">
        <v>64532871</v>
      </c>
      <c r="I3125" s="520" t="s">
        <v>5179</v>
      </c>
      <c r="J3125" s="589" t="s">
        <v>753</v>
      </c>
      <c r="K3125" s="520" t="s">
        <v>741</v>
      </c>
      <c r="L3125" s="203"/>
      <c r="M3125" s="203"/>
      <c r="N3125" s="203"/>
      <c r="O3125" s="203"/>
    </row>
    <row r="3126" spans="1:15" s="196" customFormat="1">
      <c r="A3126" s="1753"/>
      <c r="B3126" s="1752" t="s">
        <v>7502</v>
      </c>
      <c r="C3126" s="1180">
        <v>31</v>
      </c>
      <c r="D3126" s="1646">
        <f t="shared" si="428"/>
        <v>51.769999999999996</v>
      </c>
      <c r="E3126" s="228">
        <v>10</v>
      </c>
      <c r="F3126" s="585">
        <f t="shared" si="429"/>
        <v>61.800000000000004</v>
      </c>
      <c r="G3126" s="634" t="s">
        <v>7503</v>
      </c>
      <c r="H3126" s="1647">
        <v>68566282</v>
      </c>
      <c r="I3126" s="520" t="s">
        <v>5179</v>
      </c>
      <c r="J3126" s="589" t="s">
        <v>753</v>
      </c>
      <c r="K3126" s="520" t="s">
        <v>741</v>
      </c>
      <c r="L3126" s="203"/>
      <c r="M3126" s="203"/>
      <c r="N3126" s="203"/>
      <c r="O3126" s="203"/>
    </row>
    <row r="3127" spans="1:15" s="196" customFormat="1">
      <c r="A3127" s="589"/>
      <c r="B3127" s="151"/>
      <c r="C3127" s="209"/>
      <c r="D3127" s="1756"/>
      <c r="E3127" s="228"/>
      <c r="F3127" s="585"/>
      <c r="G3127" s="592"/>
      <c r="H3127" s="1647"/>
      <c r="I3127" s="520"/>
      <c r="J3127" s="589"/>
      <c r="K3127" s="520"/>
      <c r="L3127" s="203"/>
      <c r="M3127" s="203"/>
      <c r="N3127" s="203"/>
      <c r="O3127" s="203"/>
    </row>
    <row r="3128" spans="1:15" s="196" customFormat="1">
      <c r="A3128" s="589"/>
      <c r="B3128" s="151" t="s">
        <v>5211</v>
      </c>
      <c r="C3128" s="1834">
        <v>355</v>
      </c>
      <c r="D3128" s="1646">
        <f t="shared" ref="D3128:D3136" si="430">C3128*(1-VLOOKUP(I3128,descuentos,6,FALSE))*fcl</f>
        <v>592.85</v>
      </c>
      <c r="E3128" s="228">
        <v>50</v>
      </c>
      <c r="F3128" s="585">
        <f t="shared" ref="F3128:F3136" si="431">ROUNDUP(D3128+E3128,1)</f>
        <v>642.9</v>
      </c>
      <c r="G3128" s="592" t="s">
        <v>9259</v>
      </c>
      <c r="H3128" s="1647" t="s">
        <v>5212</v>
      </c>
      <c r="I3128" s="520" t="s">
        <v>5179</v>
      </c>
      <c r="J3128" s="589" t="s">
        <v>753</v>
      </c>
      <c r="K3128" s="520" t="s">
        <v>741</v>
      </c>
      <c r="L3128" s="203"/>
      <c r="M3128" s="203"/>
      <c r="N3128" s="203"/>
      <c r="O3128" s="203"/>
    </row>
    <row r="3129" spans="1:15" s="196" customFormat="1">
      <c r="A3129" s="589"/>
      <c r="B3129" s="151" t="s">
        <v>5207</v>
      </c>
      <c r="C3129" s="1834">
        <v>126</v>
      </c>
      <c r="D3129" s="1646">
        <f t="shared" si="430"/>
        <v>210.42</v>
      </c>
      <c r="E3129" s="228">
        <v>10</v>
      </c>
      <c r="F3129" s="585">
        <f t="shared" si="431"/>
        <v>220.5</v>
      </c>
      <c r="G3129" s="1758" t="s">
        <v>5208</v>
      </c>
      <c r="H3129" s="1647">
        <v>68711185</v>
      </c>
      <c r="I3129" s="520" t="s">
        <v>5179</v>
      </c>
      <c r="J3129" s="589" t="s">
        <v>753</v>
      </c>
      <c r="K3129" s="520" t="s">
        <v>741</v>
      </c>
      <c r="L3129" s="203"/>
      <c r="M3129" s="203"/>
      <c r="N3129" s="203"/>
      <c r="O3129" s="203"/>
    </row>
    <row r="3130" spans="1:15" s="196" customFormat="1">
      <c r="A3130" s="589"/>
      <c r="B3130" s="1647" t="s">
        <v>5209</v>
      </c>
      <c r="C3130" s="1834">
        <v>142</v>
      </c>
      <c r="D3130" s="1646">
        <f t="shared" si="430"/>
        <v>237.14</v>
      </c>
      <c r="E3130" s="228">
        <v>10</v>
      </c>
      <c r="F3130" s="585">
        <f t="shared" si="431"/>
        <v>247.2</v>
      </c>
      <c r="G3130" s="1758" t="s">
        <v>5210</v>
      </c>
      <c r="H3130" s="1647">
        <v>64324063</v>
      </c>
      <c r="I3130" s="520" t="s">
        <v>5179</v>
      </c>
      <c r="J3130" s="589" t="s">
        <v>753</v>
      </c>
      <c r="K3130" s="520" t="s">
        <v>741</v>
      </c>
      <c r="L3130" s="203"/>
      <c r="M3130" s="203"/>
      <c r="N3130" s="203"/>
      <c r="O3130" s="203"/>
    </row>
    <row r="3131" spans="1:15" s="196" customFormat="1">
      <c r="A3131" s="589"/>
      <c r="B3131" s="1647" t="s">
        <v>5201</v>
      </c>
      <c r="C3131" s="1834">
        <v>191</v>
      </c>
      <c r="D3131" s="1646">
        <f t="shared" si="430"/>
        <v>318.96999999999997</v>
      </c>
      <c r="E3131" s="228">
        <v>10</v>
      </c>
      <c r="F3131" s="585">
        <f t="shared" si="431"/>
        <v>329</v>
      </c>
      <c r="G3131" s="1758" t="s">
        <v>5202</v>
      </c>
      <c r="H3131" s="1647">
        <v>68569311</v>
      </c>
      <c r="I3131" s="520" t="s">
        <v>5179</v>
      </c>
      <c r="J3131" s="589" t="s">
        <v>753</v>
      </c>
      <c r="K3131" s="520" t="s">
        <v>741</v>
      </c>
      <c r="L3131" s="203"/>
      <c r="M3131" s="203"/>
      <c r="N3131" s="203"/>
      <c r="O3131" s="203"/>
    </row>
    <row r="3132" spans="1:15" s="196" customFormat="1">
      <c r="A3132" s="589"/>
      <c r="B3132" s="1835" t="s">
        <v>11673</v>
      </c>
      <c r="C3132" s="1834">
        <v>60</v>
      </c>
      <c r="D3132" s="1646">
        <f t="shared" si="430"/>
        <v>100.19999999999999</v>
      </c>
      <c r="E3132" s="228">
        <v>10</v>
      </c>
      <c r="F3132" s="585">
        <f t="shared" si="431"/>
        <v>110.2</v>
      </c>
      <c r="G3132" s="592" t="s">
        <v>11674</v>
      </c>
      <c r="H3132" s="1835">
        <v>64739000</v>
      </c>
      <c r="I3132" s="520" t="s">
        <v>5179</v>
      </c>
      <c r="J3132" s="589" t="s">
        <v>753</v>
      </c>
      <c r="K3132" s="520" t="s">
        <v>741</v>
      </c>
      <c r="L3132" s="203"/>
      <c r="M3132" s="203"/>
      <c r="N3132" s="203"/>
      <c r="O3132" s="203"/>
    </row>
    <row r="3133" spans="1:15" s="196" customFormat="1">
      <c r="A3133" s="589"/>
      <c r="B3133" s="1647" t="s">
        <v>5186</v>
      </c>
      <c r="C3133" s="1834">
        <v>48</v>
      </c>
      <c r="D3133" s="1646">
        <f t="shared" si="430"/>
        <v>80.16</v>
      </c>
      <c r="E3133" s="228">
        <v>10</v>
      </c>
      <c r="F3133" s="585">
        <f t="shared" si="431"/>
        <v>90.199999999999989</v>
      </c>
      <c r="G3133" s="1758" t="s">
        <v>7498</v>
      </c>
      <c r="H3133" s="1647">
        <v>68829593</v>
      </c>
      <c r="I3133" s="520" t="s">
        <v>5179</v>
      </c>
      <c r="J3133" s="589" t="s">
        <v>753</v>
      </c>
      <c r="K3133" s="520" t="s">
        <v>741</v>
      </c>
      <c r="L3133" s="203"/>
      <c r="M3133" s="203"/>
      <c r="N3133" s="203"/>
      <c r="O3133" s="203"/>
    </row>
    <row r="3134" spans="1:15" s="196" customFormat="1">
      <c r="A3134" s="589"/>
      <c r="B3134" s="1752" t="s">
        <v>7499</v>
      </c>
      <c r="C3134" s="1180">
        <v>63</v>
      </c>
      <c r="D3134" s="1646">
        <f t="shared" si="430"/>
        <v>105.21</v>
      </c>
      <c r="E3134" s="228">
        <v>10</v>
      </c>
      <c r="F3134" s="585">
        <f t="shared" si="431"/>
        <v>115.3</v>
      </c>
      <c r="G3134" s="1758" t="s">
        <v>7500</v>
      </c>
      <c r="H3134" s="1647">
        <v>68469881</v>
      </c>
      <c r="I3134" s="520" t="s">
        <v>5179</v>
      </c>
      <c r="J3134" s="589" t="s">
        <v>753</v>
      </c>
      <c r="K3134" s="520" t="s">
        <v>741</v>
      </c>
      <c r="L3134" s="203"/>
      <c r="M3134" s="203"/>
      <c r="N3134" s="203"/>
      <c r="O3134" s="203"/>
    </row>
    <row r="3135" spans="1:15" s="196" customFormat="1">
      <c r="A3135" s="589"/>
      <c r="B3135" s="1752" t="s">
        <v>7484</v>
      </c>
      <c r="C3135" s="1180">
        <v>189</v>
      </c>
      <c r="D3135" s="1646">
        <f t="shared" si="430"/>
        <v>315.63</v>
      </c>
      <c r="E3135" s="228">
        <v>10</v>
      </c>
      <c r="F3135" s="585">
        <f t="shared" si="431"/>
        <v>325.70000000000005</v>
      </c>
      <c r="G3135" s="1758" t="s">
        <v>7501</v>
      </c>
      <c r="H3135" s="1647">
        <v>64532871</v>
      </c>
      <c r="I3135" s="520" t="s">
        <v>5179</v>
      </c>
      <c r="J3135" s="589" t="s">
        <v>753</v>
      </c>
      <c r="K3135" s="520" t="s">
        <v>741</v>
      </c>
      <c r="L3135" s="203"/>
      <c r="M3135" s="203"/>
      <c r="N3135" s="203"/>
      <c r="O3135" s="203"/>
    </row>
    <row r="3136" spans="1:15" s="196" customFormat="1">
      <c r="A3136" s="589"/>
      <c r="B3136" s="1752" t="s">
        <v>7502</v>
      </c>
      <c r="C3136" s="1180">
        <v>31</v>
      </c>
      <c r="D3136" s="1646">
        <f t="shared" si="430"/>
        <v>51.769999999999996</v>
      </c>
      <c r="E3136" s="228">
        <v>10</v>
      </c>
      <c r="F3136" s="585">
        <f t="shared" si="431"/>
        <v>61.800000000000004</v>
      </c>
      <c r="G3136" s="1758" t="s">
        <v>7503</v>
      </c>
      <c r="H3136" s="1647">
        <v>68566282</v>
      </c>
      <c r="I3136" s="520" t="s">
        <v>5179</v>
      </c>
      <c r="J3136" s="589" t="s">
        <v>753</v>
      </c>
      <c r="K3136" s="520" t="s">
        <v>741</v>
      </c>
      <c r="L3136" s="203"/>
      <c r="M3136" s="203"/>
      <c r="N3136" s="203"/>
      <c r="O3136" s="203"/>
    </row>
    <row r="3137" spans="1:15" s="196" customFormat="1">
      <c r="A3137" s="589"/>
      <c r="B3137" s="1647"/>
      <c r="C3137" s="1180"/>
      <c r="D3137" s="1756"/>
      <c r="E3137" s="228"/>
      <c r="F3137" s="585"/>
      <c r="G3137" s="592"/>
      <c r="H3137" s="1647"/>
      <c r="I3137" s="520"/>
      <c r="J3137" s="589"/>
      <c r="K3137" s="520"/>
      <c r="L3137" s="203"/>
      <c r="M3137" s="203"/>
      <c r="N3137" s="203"/>
      <c r="O3137" s="203"/>
    </row>
    <row r="3138" spans="1:15" s="196" customFormat="1">
      <c r="A3138" s="589"/>
      <c r="B3138" s="151" t="s">
        <v>5205</v>
      </c>
      <c r="C3138" s="1834">
        <v>307</v>
      </c>
      <c r="D3138" s="1646">
        <f t="shared" ref="D3138:D3146" si="432">C3138*(1-VLOOKUP(I3138,descuentos,6,FALSE))*fcl</f>
        <v>512.68999999999994</v>
      </c>
      <c r="E3138" s="228">
        <v>50</v>
      </c>
      <c r="F3138" s="585">
        <f t="shared" ref="F3138:F3146" si="433">ROUNDUP(D3138+E3138,1)</f>
        <v>562.70000000000005</v>
      </c>
      <c r="G3138" s="592" t="s">
        <v>9260</v>
      </c>
      <c r="H3138" s="1647" t="s">
        <v>5206</v>
      </c>
      <c r="I3138" s="520" t="s">
        <v>5179</v>
      </c>
      <c r="J3138" s="589" t="s">
        <v>753</v>
      </c>
      <c r="K3138" s="520" t="s">
        <v>741</v>
      </c>
      <c r="L3138" s="203"/>
      <c r="M3138" s="203"/>
      <c r="N3138" s="203"/>
      <c r="O3138" s="203"/>
    </row>
    <row r="3139" spans="1:15" s="196" customFormat="1">
      <c r="A3139" s="589"/>
      <c r="B3139" s="151" t="s">
        <v>5207</v>
      </c>
      <c r="C3139" s="1834">
        <v>126</v>
      </c>
      <c r="D3139" s="1646">
        <f t="shared" si="432"/>
        <v>210.42</v>
      </c>
      <c r="E3139" s="228">
        <v>10</v>
      </c>
      <c r="F3139" s="585">
        <f t="shared" si="433"/>
        <v>220.5</v>
      </c>
      <c r="G3139" s="1758" t="s">
        <v>5208</v>
      </c>
      <c r="H3139" s="1647">
        <v>68711185</v>
      </c>
      <c r="I3139" s="520" t="s">
        <v>5179</v>
      </c>
      <c r="J3139" s="589" t="s">
        <v>753</v>
      </c>
      <c r="K3139" s="520" t="s">
        <v>741</v>
      </c>
      <c r="L3139" s="203"/>
      <c r="M3139" s="203"/>
      <c r="N3139" s="203"/>
      <c r="O3139" s="203"/>
    </row>
    <row r="3140" spans="1:15" s="196" customFormat="1">
      <c r="A3140" s="589"/>
      <c r="B3140" s="1647" t="s">
        <v>5209</v>
      </c>
      <c r="C3140" s="1834">
        <v>142</v>
      </c>
      <c r="D3140" s="1646">
        <f t="shared" si="432"/>
        <v>237.14</v>
      </c>
      <c r="E3140" s="228">
        <v>10</v>
      </c>
      <c r="F3140" s="585">
        <f t="shared" si="433"/>
        <v>247.2</v>
      </c>
      <c r="G3140" s="1758" t="s">
        <v>5210</v>
      </c>
      <c r="H3140" s="1647">
        <v>64324063</v>
      </c>
      <c r="I3140" s="520" t="s">
        <v>5179</v>
      </c>
      <c r="J3140" s="589" t="s">
        <v>753</v>
      </c>
      <c r="K3140" s="520" t="s">
        <v>741</v>
      </c>
      <c r="L3140" s="203"/>
      <c r="M3140" s="203"/>
      <c r="N3140" s="203"/>
      <c r="O3140" s="203"/>
    </row>
    <row r="3141" spans="1:15" s="196" customFormat="1">
      <c r="A3141" s="589"/>
      <c r="B3141" s="1647" t="s">
        <v>5201</v>
      </c>
      <c r="C3141" s="1834">
        <v>191</v>
      </c>
      <c r="D3141" s="1646">
        <f t="shared" si="432"/>
        <v>318.96999999999997</v>
      </c>
      <c r="E3141" s="228">
        <v>10</v>
      </c>
      <c r="F3141" s="585">
        <f t="shared" si="433"/>
        <v>329</v>
      </c>
      <c r="G3141" s="1758" t="s">
        <v>5202</v>
      </c>
      <c r="H3141" s="1647">
        <v>68569311</v>
      </c>
      <c r="I3141" s="520" t="s">
        <v>5179</v>
      </c>
      <c r="J3141" s="589" t="s">
        <v>753</v>
      </c>
      <c r="K3141" s="520" t="s">
        <v>741</v>
      </c>
      <c r="L3141" s="203"/>
      <c r="M3141" s="203"/>
      <c r="N3141" s="203"/>
      <c r="O3141" s="203"/>
    </row>
    <row r="3142" spans="1:15" s="196" customFormat="1">
      <c r="A3142" s="589"/>
      <c r="B3142" s="1835" t="s">
        <v>11673</v>
      </c>
      <c r="C3142" s="1834">
        <v>60</v>
      </c>
      <c r="D3142" s="1646">
        <f t="shared" si="432"/>
        <v>100.19999999999999</v>
      </c>
      <c r="E3142" s="228">
        <v>10</v>
      </c>
      <c r="F3142" s="585">
        <f t="shared" si="433"/>
        <v>110.2</v>
      </c>
      <c r="G3142" s="592" t="s">
        <v>11674</v>
      </c>
      <c r="H3142" s="1835">
        <v>64739000</v>
      </c>
      <c r="I3142" s="520" t="s">
        <v>5179</v>
      </c>
      <c r="J3142" s="589" t="s">
        <v>753</v>
      </c>
      <c r="K3142" s="520" t="s">
        <v>741</v>
      </c>
      <c r="L3142" s="203"/>
      <c r="M3142" s="203"/>
      <c r="N3142" s="203"/>
      <c r="O3142" s="203"/>
    </row>
    <row r="3143" spans="1:15" s="196" customFormat="1">
      <c r="A3143" s="589"/>
      <c r="B3143" s="1647" t="s">
        <v>5186</v>
      </c>
      <c r="C3143" s="1834">
        <v>48</v>
      </c>
      <c r="D3143" s="1646">
        <f t="shared" si="432"/>
        <v>80.16</v>
      </c>
      <c r="E3143" s="228">
        <v>10</v>
      </c>
      <c r="F3143" s="585">
        <f t="shared" si="433"/>
        <v>90.199999999999989</v>
      </c>
      <c r="G3143" s="1758" t="s">
        <v>7498</v>
      </c>
      <c r="H3143" s="1647">
        <v>68829593</v>
      </c>
      <c r="I3143" s="520" t="s">
        <v>5179</v>
      </c>
      <c r="J3143" s="589" t="s">
        <v>753</v>
      </c>
      <c r="K3143" s="520" t="s">
        <v>741</v>
      </c>
      <c r="L3143" s="203"/>
      <c r="M3143" s="203"/>
      <c r="N3143" s="203"/>
      <c r="O3143" s="203"/>
    </row>
    <row r="3144" spans="1:15" s="196" customFormat="1">
      <c r="A3144" s="589"/>
      <c r="B3144" s="1752" t="s">
        <v>7499</v>
      </c>
      <c r="C3144" s="1180">
        <v>63</v>
      </c>
      <c r="D3144" s="1646">
        <f t="shared" si="432"/>
        <v>105.21</v>
      </c>
      <c r="E3144" s="228">
        <v>10</v>
      </c>
      <c r="F3144" s="585">
        <f t="shared" si="433"/>
        <v>115.3</v>
      </c>
      <c r="G3144" s="1758" t="s">
        <v>7500</v>
      </c>
      <c r="H3144" s="1647">
        <v>68469881</v>
      </c>
      <c r="I3144" s="520" t="s">
        <v>5179</v>
      </c>
      <c r="J3144" s="589" t="s">
        <v>753</v>
      </c>
      <c r="K3144" s="520" t="s">
        <v>741</v>
      </c>
      <c r="L3144" s="203"/>
      <c r="M3144" s="203"/>
      <c r="N3144" s="203"/>
      <c r="O3144" s="203"/>
    </row>
    <row r="3145" spans="1:15" s="196" customFormat="1">
      <c r="A3145" s="589"/>
      <c r="B3145" s="1752" t="s">
        <v>7484</v>
      </c>
      <c r="C3145" s="1180">
        <v>189</v>
      </c>
      <c r="D3145" s="1646">
        <f t="shared" si="432"/>
        <v>315.63</v>
      </c>
      <c r="E3145" s="228">
        <v>10</v>
      </c>
      <c r="F3145" s="585">
        <f t="shared" si="433"/>
        <v>325.70000000000005</v>
      </c>
      <c r="G3145" s="1758" t="s">
        <v>7501</v>
      </c>
      <c r="H3145" s="1647">
        <v>64532871</v>
      </c>
      <c r="I3145" s="520" t="s">
        <v>5179</v>
      </c>
      <c r="J3145" s="589" t="s">
        <v>753</v>
      </c>
      <c r="K3145" s="520" t="s">
        <v>741</v>
      </c>
      <c r="L3145" s="203"/>
      <c r="M3145" s="203"/>
      <c r="N3145" s="203"/>
      <c r="O3145" s="203"/>
    </row>
    <row r="3146" spans="1:15" s="196" customFormat="1">
      <c r="A3146" s="589"/>
      <c r="B3146" s="1752" t="s">
        <v>7502</v>
      </c>
      <c r="C3146" s="1180">
        <v>31</v>
      </c>
      <c r="D3146" s="1646">
        <f t="shared" si="432"/>
        <v>51.769999999999996</v>
      </c>
      <c r="E3146" s="228">
        <v>10</v>
      </c>
      <c r="F3146" s="585">
        <f t="shared" si="433"/>
        <v>61.800000000000004</v>
      </c>
      <c r="G3146" s="1758" t="s">
        <v>7503</v>
      </c>
      <c r="H3146" s="1647">
        <v>68566282</v>
      </c>
      <c r="I3146" s="520" t="s">
        <v>5179</v>
      </c>
      <c r="J3146" s="589" t="s">
        <v>753</v>
      </c>
      <c r="K3146" s="520" t="s">
        <v>741</v>
      </c>
      <c r="L3146" s="203"/>
      <c r="M3146" s="203"/>
      <c r="N3146" s="203"/>
      <c r="O3146" s="203"/>
    </row>
    <row r="3147" spans="1:15" s="196" customFormat="1">
      <c r="A3147" s="589"/>
      <c r="B3147" s="1647"/>
      <c r="C3147" s="1180"/>
      <c r="D3147" s="1756"/>
      <c r="E3147" s="228"/>
      <c r="F3147" s="585"/>
      <c r="G3147" s="592"/>
      <c r="H3147" s="1647"/>
      <c r="I3147" s="520"/>
      <c r="J3147" s="589"/>
      <c r="K3147" s="520"/>
      <c r="L3147" s="203"/>
      <c r="M3147" s="203"/>
      <c r="N3147" s="203"/>
      <c r="O3147" s="203"/>
    </row>
    <row r="3148" spans="1:15" s="196" customFormat="1">
      <c r="A3148" s="589"/>
      <c r="B3148" s="151" t="s">
        <v>7516</v>
      </c>
      <c r="C3148" s="1180">
        <v>282</v>
      </c>
      <c r="D3148" s="1646">
        <f t="shared" ref="D3148:D3153" si="434">C3148*(1-VLOOKUP(I3148,descuentos,6,FALSE))*fcl</f>
        <v>470.94</v>
      </c>
      <c r="E3148" s="228">
        <v>50</v>
      </c>
      <c r="F3148" s="585">
        <f t="shared" ref="F3148:F3153" si="435">ROUNDUP(D3148+E3148,1)</f>
        <v>521</v>
      </c>
      <c r="G3148" s="592" t="s">
        <v>9261</v>
      </c>
      <c r="H3148" s="1647" t="s">
        <v>5212</v>
      </c>
      <c r="I3148" s="520" t="s">
        <v>5179</v>
      </c>
      <c r="J3148" s="589" t="s">
        <v>753</v>
      </c>
      <c r="K3148" s="520" t="s">
        <v>741</v>
      </c>
      <c r="L3148" s="203"/>
      <c r="M3148" s="203"/>
      <c r="N3148" s="203"/>
      <c r="O3148" s="203"/>
    </row>
    <row r="3149" spans="1:15" s="196" customFormat="1">
      <c r="A3149" s="589"/>
      <c r="B3149" s="151" t="s">
        <v>5207</v>
      </c>
      <c r="C3149" s="1834">
        <v>126</v>
      </c>
      <c r="D3149" s="1646">
        <f t="shared" si="434"/>
        <v>210.42</v>
      </c>
      <c r="E3149" s="228">
        <v>10</v>
      </c>
      <c r="F3149" s="585">
        <f t="shared" si="435"/>
        <v>220.5</v>
      </c>
      <c r="G3149" s="1836" t="s">
        <v>5208</v>
      </c>
      <c r="H3149" s="1647">
        <v>68711185</v>
      </c>
      <c r="I3149" s="520" t="s">
        <v>5179</v>
      </c>
      <c r="J3149" s="589" t="s">
        <v>753</v>
      </c>
      <c r="K3149" s="520" t="s">
        <v>741</v>
      </c>
      <c r="L3149" s="203"/>
      <c r="M3149" s="203"/>
      <c r="N3149" s="203"/>
      <c r="O3149" s="203"/>
    </row>
    <row r="3150" spans="1:15" s="196" customFormat="1">
      <c r="A3150" s="589"/>
      <c r="B3150" s="1647" t="s">
        <v>5209</v>
      </c>
      <c r="C3150" s="1834">
        <v>142</v>
      </c>
      <c r="D3150" s="1646">
        <f t="shared" si="434"/>
        <v>237.14</v>
      </c>
      <c r="E3150" s="228">
        <v>10</v>
      </c>
      <c r="F3150" s="585">
        <f t="shared" si="435"/>
        <v>247.2</v>
      </c>
      <c r="G3150" s="1836" t="s">
        <v>5210</v>
      </c>
      <c r="H3150" s="1647">
        <v>64324063</v>
      </c>
      <c r="I3150" s="520" t="s">
        <v>5179</v>
      </c>
      <c r="J3150" s="589" t="s">
        <v>753</v>
      </c>
      <c r="K3150" s="520" t="s">
        <v>741</v>
      </c>
      <c r="L3150" s="203"/>
      <c r="M3150" s="203"/>
      <c r="N3150" s="203"/>
      <c r="O3150" s="203"/>
    </row>
    <row r="3151" spans="1:15" s="196" customFormat="1">
      <c r="A3151" s="589"/>
      <c r="B3151" s="1647" t="s">
        <v>5201</v>
      </c>
      <c r="C3151" s="1180">
        <v>191</v>
      </c>
      <c r="D3151" s="1646">
        <f t="shared" si="434"/>
        <v>318.96999999999997</v>
      </c>
      <c r="E3151" s="228">
        <v>10</v>
      </c>
      <c r="F3151" s="585">
        <f t="shared" si="435"/>
        <v>329</v>
      </c>
      <c r="G3151" s="1836" t="s">
        <v>5202</v>
      </c>
      <c r="H3151" s="1647">
        <v>68569311</v>
      </c>
      <c r="I3151" s="520" t="s">
        <v>5179</v>
      </c>
      <c r="J3151" s="589" t="s">
        <v>753</v>
      </c>
      <c r="K3151" s="520" t="s">
        <v>741</v>
      </c>
      <c r="L3151" s="203"/>
      <c r="M3151" s="203"/>
      <c r="N3151" s="203"/>
      <c r="O3151" s="203"/>
    </row>
    <row r="3152" spans="1:15" s="196" customFormat="1">
      <c r="A3152" s="589"/>
      <c r="B3152" s="1835" t="s">
        <v>11673</v>
      </c>
      <c r="C3152" s="1834">
        <v>60</v>
      </c>
      <c r="D3152" s="1646">
        <f t="shared" si="434"/>
        <v>100.19999999999999</v>
      </c>
      <c r="E3152" s="228">
        <v>10</v>
      </c>
      <c r="F3152" s="585">
        <f t="shared" si="435"/>
        <v>110.2</v>
      </c>
      <c r="G3152" s="592" t="s">
        <v>11674</v>
      </c>
      <c r="H3152" s="1835">
        <v>64739000</v>
      </c>
      <c r="I3152" s="520" t="s">
        <v>5179</v>
      </c>
      <c r="J3152" s="589" t="s">
        <v>753</v>
      </c>
      <c r="K3152" s="520" t="s">
        <v>741</v>
      </c>
      <c r="L3152" s="203"/>
      <c r="M3152" s="203"/>
      <c r="N3152" s="203"/>
      <c r="O3152" s="203"/>
    </row>
    <row r="3153" spans="1:15" s="196" customFormat="1">
      <c r="A3153" s="589"/>
      <c r="B3153" s="1647" t="s">
        <v>5186</v>
      </c>
      <c r="C3153" s="1834">
        <v>48</v>
      </c>
      <c r="D3153" s="1646">
        <f t="shared" si="434"/>
        <v>80.16</v>
      </c>
      <c r="E3153" s="228">
        <v>10</v>
      </c>
      <c r="F3153" s="585">
        <f t="shared" si="435"/>
        <v>90.199999999999989</v>
      </c>
      <c r="G3153" s="1836" t="s">
        <v>7498</v>
      </c>
      <c r="H3153" s="1647">
        <v>68829593</v>
      </c>
      <c r="I3153" s="520" t="s">
        <v>5179</v>
      </c>
      <c r="J3153" s="589" t="s">
        <v>753</v>
      </c>
      <c r="K3153" s="520" t="s">
        <v>741</v>
      </c>
      <c r="L3153" s="203"/>
      <c r="M3153" s="203"/>
      <c r="N3153" s="203"/>
      <c r="O3153" s="203"/>
    </row>
    <row r="3154" spans="1:15" s="194" customFormat="1">
      <c r="A3154" s="589"/>
      <c r="B3154" s="1647"/>
      <c r="C3154" s="1180"/>
      <c r="D3154" s="244"/>
      <c r="E3154" s="228"/>
      <c r="F3154" s="585"/>
      <c r="G3154" s="592"/>
      <c r="H3154" s="1647"/>
      <c r="I3154" s="520"/>
      <c r="J3154" s="589"/>
      <c r="K3154" s="520"/>
      <c r="L3154" s="106"/>
      <c r="M3154" s="106"/>
      <c r="N3154" s="106"/>
      <c r="O3154" s="106"/>
    </row>
    <row r="3155" spans="1:15" s="196" customFormat="1">
      <c r="A3155" s="589"/>
      <c r="B3155" s="151" t="s">
        <v>9262</v>
      </c>
      <c r="C3155" s="1834">
        <v>265</v>
      </c>
      <c r="D3155" s="1646">
        <f t="shared" ref="D3155:D3160" si="436">C3155*(1-VLOOKUP(I3155,descuentos,6,FALSE))*fcl</f>
        <v>442.54999999999995</v>
      </c>
      <c r="E3155" s="228">
        <v>50</v>
      </c>
      <c r="F3155" s="585">
        <f t="shared" ref="F3155:F3160" si="437">ROUNDUP(D3155+E3155,1)</f>
        <v>492.6</v>
      </c>
      <c r="G3155" s="592" t="s">
        <v>9263</v>
      </c>
      <c r="H3155" s="1647" t="s">
        <v>9264</v>
      </c>
      <c r="I3155" s="520" t="s">
        <v>5179</v>
      </c>
      <c r="J3155" s="589" t="s">
        <v>753</v>
      </c>
      <c r="K3155" s="520" t="s">
        <v>741</v>
      </c>
      <c r="L3155" s="203"/>
      <c r="M3155" s="203"/>
      <c r="N3155" s="203"/>
      <c r="O3155" s="203"/>
    </row>
    <row r="3156" spans="1:15" s="196" customFormat="1">
      <c r="A3156" s="589"/>
      <c r="B3156" s="151" t="s">
        <v>5207</v>
      </c>
      <c r="C3156" s="1834">
        <v>126</v>
      </c>
      <c r="D3156" s="1646">
        <f t="shared" si="436"/>
        <v>210.42</v>
      </c>
      <c r="E3156" s="228">
        <v>10</v>
      </c>
      <c r="F3156" s="585">
        <f t="shared" si="437"/>
        <v>220.5</v>
      </c>
      <c r="G3156" s="1836" t="s">
        <v>5208</v>
      </c>
      <c r="H3156" s="1647">
        <v>68711185</v>
      </c>
      <c r="I3156" s="520" t="s">
        <v>5179</v>
      </c>
      <c r="J3156" s="589" t="s">
        <v>753</v>
      </c>
      <c r="K3156" s="520" t="s">
        <v>741</v>
      </c>
      <c r="L3156" s="203"/>
      <c r="M3156" s="203"/>
      <c r="N3156" s="203"/>
      <c r="O3156" s="203"/>
    </row>
    <row r="3157" spans="1:15" s="196" customFormat="1">
      <c r="A3157" s="589"/>
      <c r="B3157" s="1647" t="s">
        <v>5209</v>
      </c>
      <c r="C3157" s="1834">
        <v>142</v>
      </c>
      <c r="D3157" s="1646">
        <f t="shared" si="436"/>
        <v>237.14</v>
      </c>
      <c r="E3157" s="228">
        <v>10</v>
      </c>
      <c r="F3157" s="585">
        <f t="shared" si="437"/>
        <v>247.2</v>
      </c>
      <c r="G3157" s="1836" t="s">
        <v>5210</v>
      </c>
      <c r="H3157" s="1647">
        <v>64324063</v>
      </c>
      <c r="I3157" s="520" t="s">
        <v>5179</v>
      </c>
      <c r="J3157" s="589" t="s">
        <v>753</v>
      </c>
      <c r="K3157" s="520" t="s">
        <v>741</v>
      </c>
      <c r="L3157" s="203"/>
      <c r="M3157" s="203"/>
      <c r="N3157" s="203"/>
      <c r="O3157" s="203"/>
    </row>
    <row r="3158" spans="1:15" s="196" customFormat="1">
      <c r="A3158" s="589"/>
      <c r="B3158" s="1647" t="s">
        <v>5201</v>
      </c>
      <c r="C3158" s="1180">
        <v>191</v>
      </c>
      <c r="D3158" s="1646">
        <f t="shared" si="436"/>
        <v>318.96999999999997</v>
      </c>
      <c r="E3158" s="228">
        <v>10</v>
      </c>
      <c r="F3158" s="585">
        <f t="shared" si="437"/>
        <v>329</v>
      </c>
      <c r="G3158" s="1836" t="s">
        <v>5202</v>
      </c>
      <c r="H3158" s="1647">
        <v>68569311</v>
      </c>
      <c r="I3158" s="520" t="s">
        <v>5179</v>
      </c>
      <c r="J3158" s="589" t="s">
        <v>753</v>
      </c>
      <c r="K3158" s="520" t="s">
        <v>741</v>
      </c>
      <c r="L3158" s="203"/>
      <c r="M3158" s="203"/>
      <c r="N3158" s="203"/>
      <c r="O3158" s="203"/>
    </row>
    <row r="3159" spans="1:15" s="196" customFormat="1">
      <c r="A3159" s="589"/>
      <c r="B3159" s="1835" t="s">
        <v>11673</v>
      </c>
      <c r="C3159" s="1834">
        <v>60</v>
      </c>
      <c r="D3159" s="1646">
        <f t="shared" si="436"/>
        <v>100.19999999999999</v>
      </c>
      <c r="E3159" s="228">
        <v>10</v>
      </c>
      <c r="F3159" s="585">
        <f t="shared" si="437"/>
        <v>110.2</v>
      </c>
      <c r="G3159" s="592" t="s">
        <v>11674</v>
      </c>
      <c r="H3159" s="1835">
        <v>64739000</v>
      </c>
      <c r="I3159" s="520" t="s">
        <v>5179</v>
      </c>
      <c r="J3159" s="589" t="s">
        <v>753</v>
      </c>
      <c r="K3159" s="520" t="s">
        <v>741</v>
      </c>
      <c r="L3159" s="203"/>
      <c r="M3159" s="203"/>
      <c r="N3159" s="203"/>
      <c r="O3159" s="203"/>
    </row>
    <row r="3160" spans="1:15" s="196" customFormat="1">
      <c r="A3160" s="589"/>
      <c r="B3160" s="1647" t="s">
        <v>5186</v>
      </c>
      <c r="C3160" s="1834">
        <v>48</v>
      </c>
      <c r="D3160" s="1646">
        <f t="shared" si="436"/>
        <v>80.16</v>
      </c>
      <c r="E3160" s="228">
        <v>10</v>
      </c>
      <c r="F3160" s="585">
        <f t="shared" si="437"/>
        <v>90.199999999999989</v>
      </c>
      <c r="G3160" s="1836" t="s">
        <v>7498</v>
      </c>
      <c r="H3160" s="1647">
        <v>68829593</v>
      </c>
      <c r="I3160" s="520" t="s">
        <v>5179</v>
      </c>
      <c r="J3160" s="589" t="s">
        <v>753</v>
      </c>
      <c r="K3160" s="520" t="s">
        <v>741</v>
      </c>
      <c r="L3160" s="203"/>
      <c r="M3160" s="203"/>
      <c r="N3160" s="203"/>
      <c r="O3160" s="203"/>
    </row>
    <row r="3161" spans="1:15" s="194" customFormat="1">
      <c r="A3161" s="589"/>
      <c r="B3161" s="1647"/>
      <c r="C3161" s="106"/>
      <c r="D3161" s="106"/>
      <c r="E3161" s="106"/>
      <c r="F3161" s="585"/>
      <c r="G3161" s="592"/>
      <c r="H3161" s="1647"/>
      <c r="I3161" s="520"/>
      <c r="J3161" s="589"/>
      <c r="K3161" s="520"/>
      <c r="L3161" s="106"/>
      <c r="M3161" s="106"/>
      <c r="N3161" s="106"/>
      <c r="O3161" s="106"/>
    </row>
    <row r="3162" spans="1:15" s="194" customFormat="1">
      <c r="A3162" s="589"/>
      <c r="B3162" s="1647"/>
      <c r="C3162" s="106"/>
      <c r="D3162" s="106"/>
      <c r="E3162" s="106"/>
      <c r="F3162" s="585"/>
      <c r="G3162" s="592"/>
      <c r="H3162" s="1647"/>
      <c r="I3162" s="520"/>
      <c r="J3162" s="589"/>
      <c r="K3162" s="520"/>
      <c r="L3162" s="106"/>
      <c r="M3162" s="106"/>
      <c r="N3162" s="106"/>
      <c r="O3162" s="106"/>
    </row>
    <row r="3163" spans="1:15" s="194" customFormat="1">
      <c r="A3163" s="589"/>
      <c r="B3163" s="1647"/>
      <c r="C3163" s="106"/>
      <c r="D3163" s="106"/>
      <c r="E3163" s="106"/>
      <c r="F3163" s="585"/>
      <c r="G3163" s="592"/>
      <c r="H3163" s="1647"/>
      <c r="I3163" s="520"/>
      <c r="J3163" s="589"/>
      <c r="K3163" s="520"/>
      <c r="L3163" s="106"/>
      <c r="M3163" s="106"/>
      <c r="N3163" s="106"/>
      <c r="O3163" s="106"/>
    </row>
    <row r="3164" spans="1:15" s="196" customFormat="1">
      <c r="A3164" s="589"/>
      <c r="B3164" s="151" t="s">
        <v>9265</v>
      </c>
      <c r="C3164" s="1180">
        <v>461</v>
      </c>
      <c r="D3164" s="1646">
        <f t="shared" ref="D3164:D3169" si="438">C3164*(1-VLOOKUP(I3164,descuentos,6,FALSE))*fcl</f>
        <v>769.87</v>
      </c>
      <c r="E3164" s="228">
        <v>50</v>
      </c>
      <c r="F3164" s="585">
        <f t="shared" ref="F3164:F3169" si="439">ROUNDUP(D3164+E3164,1)</f>
        <v>819.9</v>
      </c>
      <c r="G3164" s="592" t="s">
        <v>9266</v>
      </c>
      <c r="H3164" s="1647" t="s">
        <v>9267</v>
      </c>
      <c r="I3164" s="520" t="s">
        <v>5179</v>
      </c>
      <c r="J3164" s="589" t="s">
        <v>753</v>
      </c>
      <c r="K3164" s="520" t="s">
        <v>741</v>
      </c>
      <c r="L3164" s="203"/>
      <c r="M3164" s="203"/>
      <c r="N3164" s="203"/>
      <c r="O3164" s="203"/>
    </row>
    <row r="3165" spans="1:15" s="196" customFormat="1">
      <c r="A3165" s="589"/>
      <c r="B3165" s="1647" t="s">
        <v>7519</v>
      </c>
      <c r="C3165" s="1834">
        <v>200</v>
      </c>
      <c r="D3165" s="1646">
        <f t="shared" si="438"/>
        <v>334</v>
      </c>
      <c r="E3165" s="228">
        <v>10</v>
      </c>
      <c r="F3165" s="585">
        <f t="shared" si="439"/>
        <v>344</v>
      </c>
      <c r="G3165" s="592" t="s">
        <v>7520</v>
      </c>
      <c r="H3165" s="1647">
        <v>68691770</v>
      </c>
      <c r="I3165" s="520" t="s">
        <v>5179</v>
      </c>
      <c r="J3165" s="589" t="s">
        <v>753</v>
      </c>
      <c r="K3165" s="520" t="s">
        <v>741</v>
      </c>
      <c r="L3165" s="203"/>
      <c r="M3165" s="203"/>
      <c r="N3165" s="203"/>
      <c r="O3165" s="203"/>
    </row>
    <row r="3166" spans="1:15" s="196" customFormat="1">
      <c r="A3166" s="589"/>
      <c r="B3166" s="151" t="s">
        <v>9268</v>
      </c>
      <c r="C3166" s="1180">
        <v>71</v>
      </c>
      <c r="D3166" s="1646">
        <f t="shared" si="438"/>
        <v>118.57</v>
      </c>
      <c r="E3166" s="228">
        <v>10</v>
      </c>
      <c r="F3166" s="585">
        <f t="shared" si="439"/>
        <v>128.6</v>
      </c>
      <c r="G3166" s="592" t="s">
        <v>9269</v>
      </c>
      <c r="H3166" s="1647">
        <v>68418534</v>
      </c>
      <c r="I3166" s="520" t="s">
        <v>5179</v>
      </c>
      <c r="J3166" s="589" t="s">
        <v>753</v>
      </c>
      <c r="K3166" s="520" t="s">
        <v>741</v>
      </c>
      <c r="L3166" s="203"/>
      <c r="M3166" s="203"/>
      <c r="N3166" s="203"/>
      <c r="O3166" s="203"/>
    </row>
    <row r="3167" spans="1:15" s="196" customFormat="1">
      <c r="A3167" s="589"/>
      <c r="B3167" s="1647" t="s">
        <v>5199</v>
      </c>
      <c r="C3167" s="1180">
        <v>172</v>
      </c>
      <c r="D3167" s="1646">
        <f t="shared" si="438"/>
        <v>287.24</v>
      </c>
      <c r="E3167" s="228">
        <v>10</v>
      </c>
      <c r="F3167" s="585">
        <f t="shared" si="439"/>
        <v>297.3</v>
      </c>
      <c r="G3167" s="592" t="s">
        <v>5200</v>
      </c>
      <c r="H3167" s="1647">
        <v>64324080</v>
      </c>
      <c r="I3167" s="520" t="s">
        <v>5179</v>
      </c>
      <c r="J3167" s="589" t="s">
        <v>753</v>
      </c>
      <c r="K3167" s="520" t="s">
        <v>741</v>
      </c>
      <c r="L3167" s="203"/>
      <c r="M3167" s="203"/>
      <c r="N3167" s="203"/>
      <c r="O3167" s="203"/>
    </row>
    <row r="3168" spans="1:15" s="196" customFormat="1">
      <c r="A3168" s="589"/>
      <c r="B3168" s="1835" t="s">
        <v>11673</v>
      </c>
      <c r="C3168" s="1834">
        <v>60</v>
      </c>
      <c r="D3168" s="1646">
        <f t="shared" si="438"/>
        <v>100.19999999999999</v>
      </c>
      <c r="E3168" s="228">
        <v>10</v>
      </c>
      <c r="F3168" s="585">
        <f t="shared" si="439"/>
        <v>110.2</v>
      </c>
      <c r="G3168" s="592" t="s">
        <v>11674</v>
      </c>
      <c r="H3168" s="1835">
        <v>64739000</v>
      </c>
      <c r="I3168" s="520" t="s">
        <v>5179</v>
      </c>
      <c r="J3168" s="589" t="s">
        <v>753</v>
      </c>
      <c r="K3168" s="520" t="s">
        <v>741</v>
      </c>
      <c r="L3168" s="203"/>
      <c r="M3168" s="203"/>
      <c r="N3168" s="203"/>
      <c r="O3168" s="203"/>
    </row>
    <row r="3169" spans="1:15" s="196" customFormat="1">
      <c r="A3169" s="589"/>
      <c r="B3169" s="1647" t="s">
        <v>5186</v>
      </c>
      <c r="C3169" s="1834">
        <v>48</v>
      </c>
      <c r="D3169" s="1646">
        <f t="shared" si="438"/>
        <v>80.16</v>
      </c>
      <c r="E3169" s="228">
        <v>10</v>
      </c>
      <c r="F3169" s="585">
        <f t="shared" si="439"/>
        <v>90.199999999999989</v>
      </c>
      <c r="G3169" s="592" t="s">
        <v>7498</v>
      </c>
      <c r="H3169" s="1647">
        <v>68829593</v>
      </c>
      <c r="I3169" s="520" t="s">
        <v>5179</v>
      </c>
      <c r="J3169" s="589" t="s">
        <v>753</v>
      </c>
      <c r="K3169" s="520" t="s">
        <v>741</v>
      </c>
      <c r="L3169" s="203"/>
      <c r="M3169" s="203"/>
      <c r="N3169" s="203"/>
      <c r="O3169" s="203"/>
    </row>
    <row r="3170" spans="1:15" s="194" customFormat="1">
      <c r="A3170" s="589"/>
      <c r="B3170" s="1647"/>
      <c r="C3170" s="106"/>
      <c r="D3170" s="106"/>
      <c r="E3170" s="106"/>
      <c r="F3170" s="585"/>
      <c r="G3170" s="592"/>
      <c r="H3170" s="1647"/>
      <c r="I3170" s="520"/>
      <c r="J3170" s="589"/>
      <c r="K3170" s="520"/>
      <c r="L3170" s="106"/>
      <c r="M3170" s="106"/>
      <c r="N3170" s="106"/>
      <c r="O3170" s="106"/>
    </row>
    <row r="3171" spans="1:15" s="196" customFormat="1">
      <c r="A3171" s="589"/>
      <c r="B3171" s="151" t="s">
        <v>9270</v>
      </c>
      <c r="C3171" s="1834">
        <v>392</v>
      </c>
      <c r="D3171" s="1646">
        <f t="shared" ref="D3171:D3176" si="440">C3171*(1-VLOOKUP(I3171,descuentos,6,FALSE))*fcl</f>
        <v>654.64</v>
      </c>
      <c r="E3171" s="228">
        <v>50</v>
      </c>
      <c r="F3171" s="585">
        <f t="shared" ref="F3171:F3176" si="441">ROUNDUP(D3171+E3171,1)</f>
        <v>704.7</v>
      </c>
      <c r="G3171" s="592" t="s">
        <v>9271</v>
      </c>
      <c r="H3171" s="1647" t="s">
        <v>9272</v>
      </c>
      <c r="I3171" s="520" t="s">
        <v>5179</v>
      </c>
      <c r="J3171" s="589" t="s">
        <v>753</v>
      </c>
      <c r="K3171" s="520" t="s">
        <v>741</v>
      </c>
      <c r="L3171" s="203"/>
      <c r="M3171" s="203"/>
      <c r="N3171" s="203"/>
      <c r="O3171" s="203"/>
    </row>
    <row r="3172" spans="1:15" s="196" customFormat="1">
      <c r="A3172" s="589"/>
      <c r="B3172" s="1647" t="s">
        <v>7519</v>
      </c>
      <c r="C3172" s="1834">
        <v>200</v>
      </c>
      <c r="D3172" s="1646">
        <f t="shared" si="440"/>
        <v>334</v>
      </c>
      <c r="E3172" s="228">
        <v>10</v>
      </c>
      <c r="F3172" s="585">
        <f t="shared" si="441"/>
        <v>344</v>
      </c>
      <c r="G3172" s="592" t="s">
        <v>7520</v>
      </c>
      <c r="H3172" s="1647">
        <v>68691770</v>
      </c>
      <c r="I3172" s="520" t="s">
        <v>5179</v>
      </c>
      <c r="J3172" s="589" t="s">
        <v>753</v>
      </c>
      <c r="K3172" s="520" t="s">
        <v>741</v>
      </c>
      <c r="L3172" s="203"/>
      <c r="M3172" s="203"/>
      <c r="N3172" s="203"/>
      <c r="O3172" s="203"/>
    </row>
    <row r="3173" spans="1:15" s="196" customFormat="1">
      <c r="A3173" s="589"/>
      <c r="B3173" s="151" t="s">
        <v>9273</v>
      </c>
      <c r="C3173" s="1834">
        <v>50</v>
      </c>
      <c r="D3173" s="1646">
        <f t="shared" si="440"/>
        <v>83.5</v>
      </c>
      <c r="E3173" s="228">
        <v>10</v>
      </c>
      <c r="F3173" s="585">
        <f t="shared" si="441"/>
        <v>93.5</v>
      </c>
      <c r="G3173" s="592" t="s">
        <v>9274</v>
      </c>
      <c r="H3173" s="1647">
        <v>68418526</v>
      </c>
      <c r="I3173" s="520" t="s">
        <v>5179</v>
      </c>
      <c r="J3173" s="589" t="s">
        <v>753</v>
      </c>
      <c r="K3173" s="520" t="s">
        <v>741</v>
      </c>
      <c r="L3173" s="203"/>
      <c r="M3173" s="203"/>
      <c r="N3173" s="203"/>
      <c r="O3173" s="203"/>
    </row>
    <row r="3174" spans="1:15" s="196" customFormat="1">
      <c r="A3174" s="589"/>
      <c r="B3174" s="1647" t="s">
        <v>5199</v>
      </c>
      <c r="C3174" s="1180">
        <v>172</v>
      </c>
      <c r="D3174" s="1646">
        <f t="shared" si="440"/>
        <v>287.24</v>
      </c>
      <c r="E3174" s="228">
        <v>10</v>
      </c>
      <c r="F3174" s="585">
        <f t="shared" si="441"/>
        <v>297.3</v>
      </c>
      <c r="G3174" s="592" t="s">
        <v>5200</v>
      </c>
      <c r="H3174" s="1647">
        <v>64324080</v>
      </c>
      <c r="I3174" s="520" t="s">
        <v>5179</v>
      </c>
      <c r="J3174" s="589" t="s">
        <v>753</v>
      </c>
      <c r="K3174" s="520" t="s">
        <v>741</v>
      </c>
      <c r="L3174" s="203"/>
      <c r="M3174" s="203"/>
      <c r="N3174" s="203"/>
      <c r="O3174" s="203"/>
    </row>
    <row r="3175" spans="1:15" s="196" customFormat="1">
      <c r="A3175" s="589"/>
      <c r="B3175" s="1835" t="s">
        <v>11673</v>
      </c>
      <c r="C3175" s="1834">
        <v>60</v>
      </c>
      <c r="D3175" s="1646">
        <f t="shared" si="440"/>
        <v>100.19999999999999</v>
      </c>
      <c r="E3175" s="228">
        <v>10</v>
      </c>
      <c r="F3175" s="585">
        <f t="shared" si="441"/>
        <v>110.2</v>
      </c>
      <c r="G3175" s="592" t="s">
        <v>11674</v>
      </c>
      <c r="H3175" s="1835">
        <v>64739000</v>
      </c>
      <c r="I3175" s="520" t="s">
        <v>5179</v>
      </c>
      <c r="J3175" s="589" t="s">
        <v>753</v>
      </c>
      <c r="K3175" s="520" t="s">
        <v>741</v>
      </c>
      <c r="L3175" s="203"/>
      <c r="M3175" s="203"/>
      <c r="N3175" s="203"/>
      <c r="O3175" s="203"/>
    </row>
    <row r="3176" spans="1:15" s="196" customFormat="1">
      <c r="A3176" s="589"/>
      <c r="B3176" s="1647" t="s">
        <v>5186</v>
      </c>
      <c r="C3176" s="1834">
        <v>48</v>
      </c>
      <c r="D3176" s="1646">
        <f t="shared" si="440"/>
        <v>80.16</v>
      </c>
      <c r="E3176" s="228">
        <v>10</v>
      </c>
      <c r="F3176" s="585">
        <f t="shared" si="441"/>
        <v>90.199999999999989</v>
      </c>
      <c r="G3176" s="592" t="s">
        <v>7498</v>
      </c>
      <c r="H3176" s="1647">
        <v>68829593</v>
      </c>
      <c r="I3176" s="520" t="s">
        <v>5179</v>
      </c>
      <c r="J3176" s="589" t="s">
        <v>753</v>
      </c>
      <c r="K3176" s="520" t="s">
        <v>741</v>
      </c>
      <c r="L3176" s="203"/>
      <c r="M3176" s="203"/>
      <c r="N3176" s="203"/>
      <c r="O3176" s="203"/>
    </row>
    <row r="3177" spans="1:15" s="194" customFormat="1">
      <c r="A3177" s="589"/>
      <c r="B3177" s="1647"/>
      <c r="C3177" s="106"/>
      <c r="D3177" s="106"/>
      <c r="E3177" s="106"/>
      <c r="F3177" s="585"/>
      <c r="G3177" s="592"/>
      <c r="H3177" s="1647"/>
      <c r="I3177" s="520"/>
      <c r="J3177" s="589"/>
      <c r="K3177" s="520"/>
      <c r="L3177" s="106"/>
      <c r="M3177" s="106"/>
      <c r="N3177" s="106"/>
      <c r="O3177" s="106"/>
    </row>
    <row r="3178" spans="1:15" s="196" customFormat="1">
      <c r="A3178" s="589"/>
      <c r="B3178" s="151" t="s">
        <v>9275</v>
      </c>
      <c r="C3178" s="1834">
        <v>362</v>
      </c>
      <c r="D3178" s="1646">
        <f t="shared" ref="D3178:D3183" si="442">C3178*(1-VLOOKUP(I3178,descuentos,6,FALSE))*fcl</f>
        <v>604.54</v>
      </c>
      <c r="E3178" s="228">
        <v>50</v>
      </c>
      <c r="F3178" s="585">
        <f t="shared" ref="F3178:F3183" si="443">ROUNDUP(D3178+E3178,1)</f>
        <v>654.6</v>
      </c>
      <c r="G3178" s="592" t="s">
        <v>9276</v>
      </c>
      <c r="H3178" s="1647" t="s">
        <v>9277</v>
      </c>
      <c r="I3178" s="520" t="s">
        <v>5179</v>
      </c>
      <c r="J3178" s="589" t="s">
        <v>753</v>
      </c>
      <c r="K3178" s="520" t="s">
        <v>741</v>
      </c>
      <c r="L3178" s="203"/>
      <c r="M3178" s="203"/>
      <c r="N3178" s="203"/>
      <c r="O3178" s="203"/>
    </row>
    <row r="3179" spans="1:15" s="196" customFormat="1">
      <c r="A3179" s="589"/>
      <c r="B3179" s="1647" t="s">
        <v>7519</v>
      </c>
      <c r="C3179" s="1834">
        <v>200</v>
      </c>
      <c r="D3179" s="1646">
        <f t="shared" si="442"/>
        <v>334</v>
      </c>
      <c r="E3179" s="228">
        <v>10</v>
      </c>
      <c r="F3179" s="585">
        <f t="shared" si="443"/>
        <v>344</v>
      </c>
      <c r="G3179" s="592" t="s">
        <v>7520</v>
      </c>
      <c r="H3179" s="1647">
        <v>68691770</v>
      </c>
      <c r="I3179" s="520" t="s">
        <v>5179</v>
      </c>
      <c r="J3179" s="589" t="s">
        <v>753</v>
      </c>
      <c r="K3179" s="520" t="s">
        <v>741</v>
      </c>
      <c r="L3179" s="203"/>
      <c r="M3179" s="203"/>
      <c r="N3179" s="203"/>
      <c r="O3179" s="203"/>
    </row>
    <row r="3180" spans="1:15" s="196" customFormat="1">
      <c r="A3180" s="589"/>
      <c r="B3180" s="151" t="s">
        <v>9273</v>
      </c>
      <c r="C3180" s="1834">
        <v>50</v>
      </c>
      <c r="D3180" s="1646">
        <f t="shared" si="442"/>
        <v>83.5</v>
      </c>
      <c r="E3180" s="228">
        <v>10</v>
      </c>
      <c r="F3180" s="585">
        <f t="shared" si="443"/>
        <v>93.5</v>
      </c>
      <c r="G3180" s="592" t="s">
        <v>9274</v>
      </c>
      <c r="H3180" s="1647">
        <v>68418526</v>
      </c>
      <c r="I3180" s="520" t="s">
        <v>5179</v>
      </c>
      <c r="J3180" s="589" t="s">
        <v>753</v>
      </c>
      <c r="K3180" s="520" t="s">
        <v>741</v>
      </c>
      <c r="L3180" s="203"/>
      <c r="M3180" s="203"/>
      <c r="N3180" s="203"/>
      <c r="O3180" s="203"/>
    </row>
    <row r="3181" spans="1:15" s="196" customFormat="1">
      <c r="A3181" s="589"/>
      <c r="B3181" s="1647" t="s">
        <v>5199</v>
      </c>
      <c r="C3181" s="1180">
        <v>172</v>
      </c>
      <c r="D3181" s="1646">
        <f t="shared" si="442"/>
        <v>287.24</v>
      </c>
      <c r="E3181" s="228">
        <v>10</v>
      </c>
      <c r="F3181" s="585">
        <f t="shared" si="443"/>
        <v>297.3</v>
      </c>
      <c r="G3181" s="592" t="s">
        <v>5200</v>
      </c>
      <c r="H3181" s="1647">
        <v>64324080</v>
      </c>
      <c r="I3181" s="520" t="s">
        <v>5179</v>
      </c>
      <c r="J3181" s="589" t="s">
        <v>753</v>
      </c>
      <c r="K3181" s="520" t="s">
        <v>741</v>
      </c>
      <c r="L3181" s="203"/>
      <c r="M3181" s="203"/>
      <c r="N3181" s="203"/>
      <c r="O3181" s="203"/>
    </row>
    <row r="3182" spans="1:15" s="196" customFormat="1">
      <c r="A3182" s="589"/>
      <c r="B3182" s="1835" t="s">
        <v>11673</v>
      </c>
      <c r="C3182" s="1834">
        <v>60</v>
      </c>
      <c r="D3182" s="1646">
        <f t="shared" si="442"/>
        <v>100.19999999999999</v>
      </c>
      <c r="E3182" s="228">
        <v>10</v>
      </c>
      <c r="F3182" s="585">
        <f t="shared" si="443"/>
        <v>110.2</v>
      </c>
      <c r="G3182" s="592" t="s">
        <v>11674</v>
      </c>
      <c r="H3182" s="1835">
        <v>64739000</v>
      </c>
      <c r="I3182" s="520" t="s">
        <v>5179</v>
      </c>
      <c r="J3182" s="589" t="s">
        <v>753</v>
      </c>
      <c r="K3182" s="520" t="s">
        <v>741</v>
      </c>
      <c r="L3182" s="203"/>
      <c r="M3182" s="203"/>
      <c r="N3182" s="203"/>
      <c r="O3182" s="203"/>
    </row>
    <row r="3183" spans="1:15" s="196" customFormat="1">
      <c r="A3183" s="589"/>
      <c r="B3183" s="1647" t="s">
        <v>5186</v>
      </c>
      <c r="C3183" s="1834">
        <v>48</v>
      </c>
      <c r="D3183" s="1646">
        <f t="shared" si="442"/>
        <v>80.16</v>
      </c>
      <c r="E3183" s="228">
        <v>10</v>
      </c>
      <c r="F3183" s="585">
        <f t="shared" si="443"/>
        <v>90.199999999999989</v>
      </c>
      <c r="G3183" s="592" t="s">
        <v>7498</v>
      </c>
      <c r="H3183" s="1647">
        <v>68829593</v>
      </c>
      <c r="I3183" s="520" t="s">
        <v>5179</v>
      </c>
      <c r="J3183" s="589" t="s">
        <v>753</v>
      </c>
      <c r="K3183" s="520" t="s">
        <v>741</v>
      </c>
      <c r="L3183" s="203"/>
      <c r="M3183" s="203"/>
      <c r="N3183" s="203"/>
      <c r="O3183" s="203"/>
    </row>
    <row r="3184" spans="1:15" s="194" customFormat="1">
      <c r="A3184" s="589"/>
      <c r="B3184" s="1647"/>
      <c r="C3184" s="106"/>
      <c r="D3184" s="106"/>
      <c r="E3184" s="106"/>
      <c r="F3184" s="585"/>
      <c r="G3184" s="592"/>
      <c r="H3184" s="1647"/>
      <c r="I3184" s="520"/>
      <c r="J3184" s="589"/>
      <c r="K3184" s="520"/>
      <c r="L3184" s="106"/>
      <c r="M3184" s="106"/>
      <c r="N3184" s="106"/>
      <c r="O3184" s="106"/>
    </row>
    <row r="3185" spans="1:15" s="196" customFormat="1">
      <c r="A3185" s="589"/>
      <c r="B3185" s="151" t="s">
        <v>7517</v>
      </c>
      <c r="C3185" s="1180">
        <v>310</v>
      </c>
      <c r="D3185" s="1646">
        <f t="shared" ref="D3185:D3190" si="444">C3185*(1-VLOOKUP(I3185,descuentos,6,FALSE))*fcl</f>
        <v>517.69999999999993</v>
      </c>
      <c r="E3185" s="228">
        <v>50</v>
      </c>
      <c r="F3185" s="585">
        <f t="shared" ref="F3185:F3190" si="445">ROUNDUP(D3185+E3185,1)</f>
        <v>567.70000000000005</v>
      </c>
      <c r="G3185" s="592" t="s">
        <v>9278</v>
      </c>
      <c r="H3185" s="1647" t="s">
        <v>7518</v>
      </c>
      <c r="I3185" s="520" t="s">
        <v>5179</v>
      </c>
      <c r="J3185" s="589" t="s">
        <v>753</v>
      </c>
      <c r="K3185" s="520" t="s">
        <v>741</v>
      </c>
      <c r="L3185" s="203"/>
      <c r="M3185" s="203"/>
      <c r="N3185" s="203"/>
      <c r="O3185" s="203"/>
    </row>
    <row r="3186" spans="1:15" s="196" customFormat="1">
      <c r="A3186" s="589"/>
      <c r="B3186" s="1647" t="s">
        <v>7519</v>
      </c>
      <c r="C3186" s="1834">
        <v>200</v>
      </c>
      <c r="D3186" s="1646">
        <f t="shared" si="444"/>
        <v>334</v>
      </c>
      <c r="E3186" s="228">
        <v>10</v>
      </c>
      <c r="F3186" s="585">
        <f>ROUNDUP(D3186+E3186,1)</f>
        <v>344</v>
      </c>
      <c r="G3186" s="592" t="s">
        <v>7520</v>
      </c>
      <c r="H3186" s="1647">
        <v>68691770</v>
      </c>
      <c r="I3186" s="520" t="s">
        <v>5179</v>
      </c>
      <c r="J3186" s="589" t="s">
        <v>753</v>
      </c>
      <c r="K3186" s="520" t="s">
        <v>741</v>
      </c>
      <c r="L3186" s="203"/>
      <c r="M3186" s="203"/>
      <c r="N3186" s="203"/>
      <c r="O3186" s="203"/>
    </row>
    <row r="3187" spans="1:15" s="196" customFormat="1">
      <c r="A3187" s="589"/>
      <c r="B3187" s="151" t="s">
        <v>7521</v>
      </c>
      <c r="C3187" s="1180">
        <v>38</v>
      </c>
      <c r="D3187" s="1646">
        <f t="shared" si="444"/>
        <v>63.459999999999994</v>
      </c>
      <c r="E3187" s="228">
        <v>10</v>
      </c>
      <c r="F3187" s="585">
        <f t="shared" si="445"/>
        <v>73.5</v>
      </c>
      <c r="G3187" s="592" t="s">
        <v>7522</v>
      </c>
      <c r="H3187" s="1647">
        <v>68418518</v>
      </c>
      <c r="I3187" s="520" t="s">
        <v>5179</v>
      </c>
      <c r="J3187" s="589" t="s">
        <v>753</v>
      </c>
      <c r="K3187" s="520" t="s">
        <v>741</v>
      </c>
      <c r="L3187" s="203"/>
      <c r="M3187" s="203"/>
      <c r="N3187" s="203"/>
      <c r="O3187" s="203"/>
    </row>
    <row r="3188" spans="1:15" s="196" customFormat="1">
      <c r="A3188" s="589"/>
      <c r="B3188" s="1647" t="s">
        <v>5209</v>
      </c>
      <c r="C3188" s="1180">
        <v>142</v>
      </c>
      <c r="D3188" s="1646">
        <f t="shared" si="444"/>
        <v>237.14</v>
      </c>
      <c r="E3188" s="228">
        <v>10</v>
      </c>
      <c r="F3188" s="585">
        <f t="shared" si="445"/>
        <v>247.2</v>
      </c>
      <c r="G3188" s="592" t="s">
        <v>5210</v>
      </c>
      <c r="H3188" s="1647">
        <v>64324063</v>
      </c>
      <c r="I3188" s="520" t="s">
        <v>5179</v>
      </c>
      <c r="J3188" s="589" t="s">
        <v>753</v>
      </c>
      <c r="K3188" s="520" t="s">
        <v>741</v>
      </c>
      <c r="L3188" s="203"/>
      <c r="M3188" s="203"/>
      <c r="N3188" s="203"/>
      <c r="O3188" s="203"/>
    </row>
    <row r="3189" spans="1:15" s="196" customFormat="1">
      <c r="A3189" s="589"/>
      <c r="B3189" s="1835" t="s">
        <v>11673</v>
      </c>
      <c r="C3189" s="1834">
        <v>60</v>
      </c>
      <c r="D3189" s="1646">
        <f t="shared" si="444"/>
        <v>100.19999999999999</v>
      </c>
      <c r="E3189" s="228">
        <v>10</v>
      </c>
      <c r="F3189" s="585">
        <f t="shared" si="445"/>
        <v>110.2</v>
      </c>
      <c r="G3189" s="592" t="s">
        <v>11674</v>
      </c>
      <c r="H3189" s="1835">
        <v>64739000</v>
      </c>
      <c r="I3189" s="520" t="s">
        <v>5179</v>
      </c>
      <c r="J3189" s="589" t="s">
        <v>753</v>
      </c>
      <c r="K3189" s="520" t="s">
        <v>741</v>
      </c>
      <c r="L3189" s="203"/>
      <c r="M3189" s="203"/>
      <c r="N3189" s="203"/>
      <c r="O3189" s="203"/>
    </row>
    <row r="3190" spans="1:15" s="196" customFormat="1">
      <c r="A3190" s="589"/>
      <c r="B3190" s="1647" t="s">
        <v>5186</v>
      </c>
      <c r="C3190" s="1834">
        <v>48</v>
      </c>
      <c r="D3190" s="1646">
        <f t="shared" si="444"/>
        <v>80.16</v>
      </c>
      <c r="E3190" s="228">
        <v>10</v>
      </c>
      <c r="F3190" s="585">
        <f t="shared" si="445"/>
        <v>90.199999999999989</v>
      </c>
      <c r="G3190" s="592" t="s">
        <v>7498</v>
      </c>
      <c r="H3190" s="1647">
        <v>68829593</v>
      </c>
      <c r="I3190" s="520" t="s">
        <v>5179</v>
      </c>
      <c r="J3190" s="589" t="s">
        <v>753</v>
      </c>
      <c r="K3190" s="520" t="s">
        <v>741</v>
      </c>
      <c r="L3190" s="203"/>
      <c r="M3190" s="203"/>
      <c r="N3190" s="203"/>
      <c r="O3190" s="203"/>
    </row>
    <row r="3191" spans="1:15" s="194" customFormat="1">
      <c r="A3191" s="589"/>
      <c r="B3191" s="1647"/>
      <c r="C3191" s="1180"/>
      <c r="D3191" s="244"/>
      <c r="E3191" s="228"/>
      <c r="F3191" s="585"/>
      <c r="G3191" s="592"/>
      <c r="H3191" s="1647"/>
      <c r="I3191" s="520"/>
      <c r="J3191" s="589"/>
      <c r="K3191" s="520"/>
      <c r="L3191" s="106"/>
      <c r="M3191" s="106"/>
      <c r="N3191" s="106"/>
      <c r="O3191" s="106"/>
    </row>
    <row r="3192" spans="1:15" s="196" customFormat="1">
      <c r="A3192" s="589"/>
      <c r="B3192" s="151" t="s">
        <v>9279</v>
      </c>
      <c r="C3192" s="1834">
        <v>248</v>
      </c>
      <c r="D3192" s="1646">
        <f t="shared" ref="D3192:D3197" si="446">C3192*(1-VLOOKUP(I3192,descuentos,6,FALSE))*fcl</f>
        <v>414.15999999999997</v>
      </c>
      <c r="E3192" s="228">
        <v>50</v>
      </c>
      <c r="F3192" s="585">
        <f t="shared" ref="F3192:F3197" si="447">ROUNDUP(D3192+E3192,1)</f>
        <v>464.20000000000005</v>
      </c>
      <c r="G3192" s="592" t="s">
        <v>9280</v>
      </c>
      <c r="H3192" s="1647" t="s">
        <v>9281</v>
      </c>
      <c r="I3192" s="520" t="s">
        <v>5179</v>
      </c>
      <c r="J3192" s="589" t="s">
        <v>753</v>
      </c>
      <c r="K3192" s="520" t="s">
        <v>741</v>
      </c>
      <c r="L3192" s="203"/>
      <c r="M3192" s="203"/>
      <c r="N3192" s="203"/>
      <c r="O3192" s="203"/>
    </row>
    <row r="3193" spans="1:15" s="196" customFormat="1">
      <c r="A3193" s="589"/>
      <c r="B3193" s="1647" t="s">
        <v>7519</v>
      </c>
      <c r="C3193" s="1834">
        <v>200</v>
      </c>
      <c r="D3193" s="1646">
        <f t="shared" si="446"/>
        <v>334</v>
      </c>
      <c r="E3193" s="228">
        <v>10</v>
      </c>
      <c r="F3193" s="585">
        <f t="shared" si="447"/>
        <v>344</v>
      </c>
      <c r="G3193" s="592" t="s">
        <v>7520</v>
      </c>
      <c r="H3193" s="1647">
        <v>68691770</v>
      </c>
      <c r="I3193" s="520" t="s">
        <v>5179</v>
      </c>
      <c r="J3193" s="589" t="s">
        <v>753</v>
      </c>
      <c r="K3193" s="520" t="s">
        <v>741</v>
      </c>
      <c r="L3193" s="203"/>
      <c r="M3193" s="203"/>
      <c r="N3193" s="203"/>
      <c r="O3193" s="203"/>
    </row>
    <row r="3194" spans="1:15" s="196" customFormat="1">
      <c r="A3194" s="1645"/>
      <c r="B3194" s="1837" t="s">
        <v>9282</v>
      </c>
      <c r="C3194" s="1834">
        <v>36</v>
      </c>
      <c r="D3194" s="1646">
        <f t="shared" si="446"/>
        <v>60.12</v>
      </c>
      <c r="E3194" s="228">
        <v>10</v>
      </c>
      <c r="F3194" s="585">
        <f t="shared" si="447"/>
        <v>70.199999999999989</v>
      </c>
      <c r="G3194" s="592" t="s">
        <v>9283</v>
      </c>
      <c r="H3194" s="1647">
        <v>68418500</v>
      </c>
      <c r="I3194" s="520" t="s">
        <v>5179</v>
      </c>
      <c r="J3194" s="589" t="s">
        <v>753</v>
      </c>
      <c r="K3194" s="520" t="s">
        <v>741</v>
      </c>
      <c r="L3194" s="203"/>
      <c r="M3194" s="203"/>
      <c r="N3194" s="203"/>
      <c r="O3194" s="203"/>
    </row>
    <row r="3195" spans="1:15" s="196" customFormat="1">
      <c r="A3195" s="589"/>
      <c r="B3195" s="1647" t="s">
        <v>5209</v>
      </c>
      <c r="C3195" s="1180">
        <v>142</v>
      </c>
      <c r="D3195" s="1646">
        <f t="shared" si="446"/>
        <v>237.14</v>
      </c>
      <c r="E3195" s="228">
        <v>10</v>
      </c>
      <c r="F3195" s="585">
        <f t="shared" si="447"/>
        <v>247.2</v>
      </c>
      <c r="G3195" s="592" t="s">
        <v>5210</v>
      </c>
      <c r="H3195" s="1647">
        <v>64324063</v>
      </c>
      <c r="I3195" s="520" t="s">
        <v>5179</v>
      </c>
      <c r="J3195" s="589" t="s">
        <v>753</v>
      </c>
      <c r="K3195" s="520" t="s">
        <v>741</v>
      </c>
      <c r="L3195" s="203"/>
      <c r="M3195" s="203"/>
      <c r="N3195" s="203"/>
      <c r="O3195" s="203"/>
    </row>
    <row r="3196" spans="1:15" s="196" customFormat="1">
      <c r="A3196" s="589"/>
      <c r="B3196" s="1835" t="s">
        <v>11673</v>
      </c>
      <c r="C3196" s="1834">
        <v>60</v>
      </c>
      <c r="D3196" s="1646">
        <f t="shared" si="446"/>
        <v>100.19999999999999</v>
      </c>
      <c r="E3196" s="228">
        <v>10</v>
      </c>
      <c r="F3196" s="585">
        <f t="shared" si="447"/>
        <v>110.2</v>
      </c>
      <c r="G3196" s="592" t="s">
        <v>11674</v>
      </c>
      <c r="H3196" s="1835">
        <v>64739000</v>
      </c>
      <c r="I3196" s="520" t="s">
        <v>5179</v>
      </c>
      <c r="J3196" s="589" t="s">
        <v>753</v>
      </c>
      <c r="K3196" s="520" t="s">
        <v>741</v>
      </c>
      <c r="L3196" s="203"/>
      <c r="M3196" s="203"/>
      <c r="N3196" s="203"/>
      <c r="O3196" s="203"/>
    </row>
    <row r="3197" spans="1:15" s="196" customFormat="1">
      <c r="A3197" s="589"/>
      <c r="B3197" s="1647" t="s">
        <v>5186</v>
      </c>
      <c r="C3197" s="1834">
        <v>48</v>
      </c>
      <c r="D3197" s="1646">
        <f t="shared" si="446"/>
        <v>80.16</v>
      </c>
      <c r="E3197" s="228">
        <v>10</v>
      </c>
      <c r="F3197" s="585">
        <f t="shared" si="447"/>
        <v>90.199999999999989</v>
      </c>
      <c r="G3197" s="592" t="s">
        <v>7498</v>
      </c>
      <c r="H3197" s="1647">
        <v>68829593</v>
      </c>
      <c r="I3197" s="520" t="s">
        <v>5179</v>
      </c>
      <c r="J3197" s="589" t="s">
        <v>753</v>
      </c>
      <c r="K3197" s="520" t="s">
        <v>741</v>
      </c>
      <c r="L3197" s="203"/>
      <c r="M3197" s="203"/>
      <c r="N3197" s="203"/>
      <c r="O3197" s="203"/>
    </row>
    <row r="3198" spans="1:15" s="194" customFormat="1">
      <c r="A3198" s="589"/>
      <c r="B3198" s="1647"/>
      <c r="C3198" s="1180"/>
      <c r="D3198" s="244"/>
      <c r="E3198" s="228"/>
      <c r="F3198" s="585"/>
      <c r="G3198" s="592"/>
      <c r="H3198" s="1647"/>
      <c r="I3198" s="520"/>
      <c r="J3198" s="589"/>
      <c r="K3198" s="520"/>
      <c r="L3198" s="106"/>
      <c r="M3198" s="106"/>
      <c r="N3198" s="106"/>
      <c r="O3198" s="106"/>
    </row>
    <row r="3199" spans="1:15" s="194" customFormat="1">
      <c r="A3199" s="589"/>
      <c r="B3199" s="1647"/>
      <c r="C3199" s="1180"/>
      <c r="D3199" s="244"/>
      <c r="E3199" s="228"/>
      <c r="F3199" s="585"/>
      <c r="G3199" s="592"/>
      <c r="H3199" s="1647"/>
      <c r="I3199" s="520"/>
      <c r="J3199" s="589"/>
      <c r="K3199" s="520"/>
      <c r="L3199" s="106"/>
      <c r="M3199" s="106"/>
      <c r="N3199" s="106"/>
      <c r="O3199" s="106"/>
    </row>
    <row r="3200" spans="1:15" s="196" customFormat="1">
      <c r="A3200" s="589"/>
      <c r="B3200" s="151" t="s">
        <v>9619</v>
      </c>
      <c r="C3200" s="1834">
        <v>281</v>
      </c>
      <c r="D3200" s="1646">
        <f t="shared" ref="D3200:D3206" si="448">C3200*(1-VLOOKUP(I3200,descuentos,6,FALSE))*fcl</f>
        <v>469.27</v>
      </c>
      <c r="E3200" s="228">
        <v>50</v>
      </c>
      <c r="F3200" s="585">
        <f t="shared" ref="F3200:F3206" si="449">ROUNDUP(D3200+E3200,1)</f>
        <v>519.30000000000007</v>
      </c>
      <c r="G3200" s="592" t="s">
        <v>9620</v>
      </c>
      <c r="H3200" s="1945" t="s">
        <v>9621</v>
      </c>
      <c r="I3200" s="520" t="s">
        <v>5179</v>
      </c>
      <c r="J3200" s="589" t="s">
        <v>753</v>
      </c>
      <c r="K3200" s="520" t="s">
        <v>741</v>
      </c>
      <c r="L3200" s="203"/>
      <c r="M3200" s="203"/>
      <c r="N3200" s="203"/>
      <c r="O3200" s="203"/>
    </row>
    <row r="3201" spans="1:15" s="194" customFormat="1">
      <c r="A3201" s="589"/>
      <c r="B3201" s="151" t="s">
        <v>9622</v>
      </c>
      <c r="C3201" s="1834">
        <v>331</v>
      </c>
      <c r="D3201" s="1646">
        <f t="shared" si="448"/>
        <v>552.77</v>
      </c>
      <c r="E3201" s="228">
        <v>50</v>
      </c>
      <c r="F3201" s="585">
        <f t="shared" si="449"/>
        <v>602.80000000000007</v>
      </c>
      <c r="G3201" s="592" t="s">
        <v>9623</v>
      </c>
      <c r="H3201" s="1945" t="s">
        <v>9624</v>
      </c>
      <c r="I3201" s="520" t="s">
        <v>5179</v>
      </c>
      <c r="J3201" s="589" t="s">
        <v>753</v>
      </c>
      <c r="K3201" s="520" t="s">
        <v>741</v>
      </c>
      <c r="L3201" s="106"/>
      <c r="M3201" s="106"/>
      <c r="N3201" s="106"/>
      <c r="O3201" s="106"/>
    </row>
    <row r="3202" spans="1:15" s="194" customFormat="1">
      <c r="A3202" s="589"/>
      <c r="B3202" s="151" t="s">
        <v>9625</v>
      </c>
      <c r="C3202" s="1834">
        <v>372</v>
      </c>
      <c r="D3202" s="1646">
        <f t="shared" si="448"/>
        <v>621.24</v>
      </c>
      <c r="E3202" s="228">
        <v>50</v>
      </c>
      <c r="F3202" s="585">
        <f t="shared" si="449"/>
        <v>671.30000000000007</v>
      </c>
      <c r="G3202" s="592" t="s">
        <v>9626</v>
      </c>
      <c r="H3202" s="1945" t="s">
        <v>9627</v>
      </c>
      <c r="I3202" s="520" t="s">
        <v>5179</v>
      </c>
      <c r="J3202" s="589" t="s">
        <v>753</v>
      </c>
      <c r="K3202" s="520" t="s">
        <v>741</v>
      </c>
      <c r="L3202" s="106"/>
      <c r="M3202" s="106"/>
      <c r="N3202" s="106"/>
      <c r="O3202" s="106"/>
    </row>
    <row r="3203" spans="1:15" s="194" customFormat="1">
      <c r="A3203" s="589"/>
      <c r="B3203" s="151" t="s">
        <v>13268</v>
      </c>
      <c r="C3203" s="1834">
        <v>665</v>
      </c>
      <c r="D3203" s="1646">
        <f t="shared" si="448"/>
        <v>1110.55</v>
      </c>
      <c r="E3203" s="228">
        <v>50</v>
      </c>
      <c r="F3203" s="585">
        <f t="shared" si="449"/>
        <v>1160.5999999999999</v>
      </c>
      <c r="G3203" s="592" t="s">
        <v>13269</v>
      </c>
      <c r="H3203" s="1945" t="s">
        <v>9628</v>
      </c>
      <c r="I3203" s="520" t="s">
        <v>5179</v>
      </c>
      <c r="J3203" s="589" t="s">
        <v>753</v>
      </c>
      <c r="K3203" s="520" t="s">
        <v>741</v>
      </c>
      <c r="L3203" s="106"/>
      <c r="M3203" s="106"/>
      <c r="N3203" s="106"/>
      <c r="O3203" s="106"/>
    </row>
    <row r="3204" spans="1:15" s="194" customFormat="1">
      <c r="A3204" s="589"/>
      <c r="B3204" s="1647" t="s">
        <v>13270</v>
      </c>
      <c r="C3204" s="1834">
        <v>62</v>
      </c>
      <c r="D3204" s="1646">
        <f t="shared" ref="D3204" si="450">C3204*(1-VLOOKUP(I3204,descuentos,6,FALSE))*fcl</f>
        <v>103.53999999999999</v>
      </c>
      <c r="E3204" s="228">
        <v>10</v>
      </c>
      <c r="F3204" s="585">
        <f t="shared" si="449"/>
        <v>113.6</v>
      </c>
      <c r="G3204" s="592" t="s">
        <v>13271</v>
      </c>
      <c r="H3204" s="1945">
        <v>64739000</v>
      </c>
      <c r="I3204" s="520" t="s">
        <v>5179</v>
      </c>
      <c r="J3204" s="589" t="s">
        <v>753</v>
      </c>
      <c r="K3204" s="520" t="s">
        <v>741</v>
      </c>
      <c r="L3204" s="106"/>
      <c r="M3204" s="106"/>
      <c r="N3204" s="106"/>
      <c r="O3204" s="106"/>
    </row>
    <row r="3205" spans="1:15" s="194" customFormat="1">
      <c r="A3205" s="589"/>
      <c r="B3205" s="1647" t="s">
        <v>13272</v>
      </c>
      <c r="C3205" s="1834">
        <v>216</v>
      </c>
      <c r="D3205" s="1646">
        <f t="shared" si="448"/>
        <v>360.71999999999997</v>
      </c>
      <c r="E3205" s="228">
        <v>10</v>
      </c>
      <c r="F3205" s="585">
        <f t="shared" si="449"/>
        <v>370.8</v>
      </c>
      <c r="G3205" s="592" t="s">
        <v>13273</v>
      </c>
      <c r="H3205" s="1945">
        <v>64691473</v>
      </c>
      <c r="I3205" s="520" t="s">
        <v>5179</v>
      </c>
      <c r="J3205" s="589" t="s">
        <v>753</v>
      </c>
      <c r="K3205" s="520" t="s">
        <v>741</v>
      </c>
      <c r="L3205" s="106"/>
      <c r="M3205" s="106"/>
      <c r="N3205" s="106"/>
      <c r="O3205" s="106"/>
    </row>
    <row r="3206" spans="1:15" s="194" customFormat="1">
      <c r="A3206" s="589"/>
      <c r="B3206" s="1647" t="s">
        <v>11677</v>
      </c>
      <c r="C3206" s="1834">
        <v>32</v>
      </c>
      <c r="D3206" s="1646">
        <f t="shared" si="448"/>
        <v>53.44</v>
      </c>
      <c r="E3206" s="228">
        <v>10</v>
      </c>
      <c r="F3206" s="585">
        <f t="shared" si="449"/>
        <v>63.5</v>
      </c>
      <c r="G3206" s="592" t="s">
        <v>9629</v>
      </c>
      <c r="H3206" s="1945">
        <v>68294673</v>
      </c>
      <c r="I3206" s="520" t="s">
        <v>5179</v>
      </c>
      <c r="J3206" s="589" t="s">
        <v>753</v>
      </c>
      <c r="K3206" s="520" t="s">
        <v>741</v>
      </c>
      <c r="L3206" s="106"/>
      <c r="M3206" s="106"/>
      <c r="N3206" s="106"/>
      <c r="O3206" s="106"/>
    </row>
    <row r="3207" spans="1:15" s="194" customFormat="1">
      <c r="A3207" s="589"/>
      <c r="B3207" s="1647"/>
      <c r="C3207" s="1180"/>
      <c r="D3207" s="244"/>
      <c r="E3207" s="228"/>
      <c r="F3207" s="585"/>
      <c r="G3207" s="592"/>
      <c r="H3207" s="1647"/>
      <c r="I3207" s="520"/>
      <c r="J3207" s="589"/>
      <c r="K3207" s="520"/>
      <c r="L3207" s="106"/>
      <c r="M3207" s="106"/>
      <c r="N3207" s="106"/>
      <c r="O3207" s="106"/>
    </row>
    <row r="3208" spans="1:15" s="194" customFormat="1">
      <c r="A3208" s="589"/>
      <c r="B3208" s="1647"/>
      <c r="C3208" s="1180"/>
      <c r="D3208" s="244"/>
      <c r="E3208" s="228"/>
      <c r="F3208" s="585"/>
      <c r="G3208" s="592"/>
      <c r="H3208" s="1647"/>
      <c r="I3208" s="520"/>
      <c r="J3208" s="589"/>
      <c r="K3208" s="520"/>
      <c r="L3208" s="106"/>
      <c r="M3208" s="106"/>
      <c r="N3208" s="106"/>
      <c r="O3208" s="106"/>
    </row>
    <row r="3209" spans="1:15" s="194" customFormat="1">
      <c r="A3209" s="589"/>
      <c r="B3209" s="1647"/>
      <c r="C3209" s="1180"/>
      <c r="D3209" s="244"/>
      <c r="E3209" s="228"/>
      <c r="F3209" s="585"/>
      <c r="G3209" s="592"/>
      <c r="H3209" s="1647"/>
      <c r="I3209" s="520"/>
      <c r="J3209" s="589"/>
      <c r="K3209" s="520"/>
      <c r="L3209" s="106"/>
      <c r="M3209" s="106"/>
      <c r="N3209" s="106"/>
      <c r="O3209" s="106"/>
    </row>
    <row r="3210" spans="1:15" s="194" customFormat="1">
      <c r="A3210" s="589"/>
      <c r="B3210" s="1647"/>
      <c r="C3210" s="1180"/>
      <c r="D3210" s="244"/>
      <c r="E3210" s="228"/>
      <c r="F3210" s="585"/>
      <c r="G3210" s="592"/>
      <c r="H3210" s="1647"/>
      <c r="I3210" s="520"/>
      <c r="J3210" s="589"/>
      <c r="K3210" s="520"/>
      <c r="L3210" s="106"/>
      <c r="M3210" s="106"/>
      <c r="N3210" s="106"/>
      <c r="O3210" s="106"/>
    </row>
    <row r="3211" spans="1:15" s="194" customFormat="1" ht="18.75" customHeight="1">
      <c r="A3211" s="589"/>
      <c r="B3211" s="2173" t="s">
        <v>12483</v>
      </c>
      <c r="C3211" s="1180"/>
      <c r="D3211" s="244"/>
      <c r="E3211" s="228"/>
      <c r="F3211" s="585"/>
      <c r="G3211" s="592"/>
      <c r="H3211" s="1647"/>
      <c r="I3211" s="520"/>
      <c r="J3211" s="589"/>
      <c r="K3211" s="520"/>
      <c r="L3211" s="106"/>
      <c r="M3211" s="106"/>
      <c r="N3211" s="106"/>
      <c r="O3211" s="106"/>
    </row>
    <row r="3212" spans="1:15" s="194" customFormat="1">
      <c r="A3212" s="589"/>
      <c r="B3212" s="1647"/>
      <c r="C3212" s="1180"/>
      <c r="D3212" s="244"/>
      <c r="E3212" s="228"/>
      <c r="F3212" s="585"/>
      <c r="G3212" s="592"/>
      <c r="H3212" s="1647"/>
      <c r="I3212" s="520"/>
      <c r="J3212" s="589"/>
      <c r="K3212" s="520"/>
      <c r="L3212" s="106"/>
      <c r="M3212" s="106"/>
      <c r="N3212" s="106"/>
      <c r="O3212" s="106"/>
    </row>
    <row r="3213" spans="1:15" s="196" customFormat="1">
      <c r="A3213" s="589"/>
      <c r="B3213" s="902" t="s">
        <v>12484</v>
      </c>
      <c r="C3213" s="209">
        <v>460</v>
      </c>
      <c r="D3213" s="244">
        <f>C3213*fcl/TC</f>
        <v>229.31343283582086</v>
      </c>
      <c r="E3213" s="228">
        <v>0</v>
      </c>
      <c r="F3213" s="1838">
        <f>ROUNDUP(D3213+E3213,2)</f>
        <v>229.32</v>
      </c>
      <c r="G3213" s="592" t="s">
        <v>12485</v>
      </c>
      <c r="H3213" s="150" t="str">
        <f>B3213</f>
        <v>EMBAL_AUTOS_2100x800x800mm</v>
      </c>
      <c r="I3213" s="520"/>
      <c r="J3213" s="589"/>
      <c r="K3213" s="520" t="s">
        <v>741</v>
      </c>
    </row>
    <row r="3214" spans="1:15" s="196" customFormat="1">
      <c r="A3214" s="589"/>
      <c r="B3214" s="902" t="s">
        <v>12486</v>
      </c>
      <c r="C3214" s="209">
        <v>450</v>
      </c>
      <c r="D3214" s="244">
        <f>C3214*fcl/TC</f>
        <v>224.32835820895522</v>
      </c>
      <c r="E3214" s="228">
        <v>0</v>
      </c>
      <c r="F3214" s="1838">
        <f>ROUNDUP(D3214+E3214,2)</f>
        <v>224.32999999999998</v>
      </c>
      <c r="G3214" s="592" t="s">
        <v>12487</v>
      </c>
      <c r="H3214" s="150" t="str">
        <f t="shared" ref="H3214:H3215" si="451">B3214</f>
        <v>EMBAL_AUTOS_2100x800x600mm</v>
      </c>
      <c r="I3214" s="520"/>
      <c r="J3214" s="589"/>
      <c r="K3214" s="520" t="s">
        <v>741</v>
      </c>
    </row>
    <row r="3215" spans="1:15" s="196" customFormat="1">
      <c r="A3215" s="589"/>
      <c r="B3215" s="902" t="s">
        <v>12488</v>
      </c>
      <c r="C3215" s="209">
        <v>440</v>
      </c>
      <c r="D3215" s="244">
        <f>C3215*fcl/TC</f>
        <v>219.34328358208953</v>
      </c>
      <c r="E3215" s="228">
        <v>0</v>
      </c>
      <c r="F3215" s="585">
        <f t="shared" ref="F3215" si="452">ROUNDUP(D3215+E3215,1)</f>
        <v>219.4</v>
      </c>
      <c r="G3215" s="592" t="s">
        <v>12489</v>
      </c>
      <c r="H3215" s="150" t="str">
        <f t="shared" si="451"/>
        <v>EMBAL_AUTOS_2100x600x600mm</v>
      </c>
      <c r="I3215" s="520"/>
      <c r="J3215" s="589"/>
      <c r="K3215" s="520" t="s">
        <v>741</v>
      </c>
    </row>
    <row r="3216" spans="1:15" s="194" customFormat="1">
      <c r="A3216" s="589"/>
      <c r="B3216" s="1647"/>
      <c r="C3216" s="1180"/>
      <c r="D3216" s="244"/>
      <c r="E3216" s="228"/>
      <c r="F3216" s="585"/>
      <c r="G3216" s="592"/>
      <c r="H3216" s="1647"/>
      <c r="I3216" s="520"/>
      <c r="J3216" s="589"/>
      <c r="K3216" s="520"/>
      <c r="L3216" s="106"/>
      <c r="M3216" s="106"/>
      <c r="N3216" s="106"/>
      <c r="O3216" s="106"/>
    </row>
    <row r="3217" spans="1:15" s="196" customFormat="1">
      <c r="A3217" s="589"/>
      <c r="B3217" s="902" t="s">
        <v>12490</v>
      </c>
      <c r="C3217" s="209">
        <v>400</v>
      </c>
      <c r="D3217" s="244">
        <f>C3217*fcl/TC</f>
        <v>199.40298507462686</v>
      </c>
      <c r="E3217" s="228">
        <v>0</v>
      </c>
      <c r="F3217" s="585">
        <f t="shared" ref="F3217:F3221" si="453">ROUNDUP(D3217+E3217,1)</f>
        <v>199.5</v>
      </c>
      <c r="G3217" s="592" t="s">
        <v>12491</v>
      </c>
      <c r="H3217" s="150" t="str">
        <f t="shared" ref="H3217:H3219" si="454">B3217</f>
        <v>EMBAL_ADOS_1600x600x220mm</v>
      </c>
      <c r="I3217" s="520"/>
      <c r="J3217" s="589"/>
      <c r="K3217" s="520" t="s">
        <v>741</v>
      </c>
    </row>
    <row r="3218" spans="1:15" s="196" customFormat="1">
      <c r="A3218" s="589"/>
      <c r="B3218" s="902" t="s">
        <v>12492</v>
      </c>
      <c r="C3218" s="209">
        <v>370</v>
      </c>
      <c r="D3218" s="244">
        <f>C3218*fcl/TC</f>
        <v>184.44776119402985</v>
      </c>
      <c r="E3218" s="228">
        <v>0</v>
      </c>
      <c r="F3218" s="585">
        <f t="shared" si="453"/>
        <v>184.5</v>
      </c>
      <c r="G3218" s="592" t="s">
        <v>12493</v>
      </c>
      <c r="H3218" s="150" t="str">
        <f t="shared" si="454"/>
        <v>EMBAL_ADOS_1100x610x220mm</v>
      </c>
      <c r="I3218" s="520"/>
      <c r="J3218" s="589"/>
      <c r="K3218" s="520" t="s">
        <v>741</v>
      </c>
    </row>
    <row r="3219" spans="1:15" s="196" customFormat="1">
      <c r="A3219" s="589"/>
      <c r="B3219" s="902" t="s">
        <v>12494</v>
      </c>
      <c r="C3219" s="209">
        <v>350</v>
      </c>
      <c r="D3219" s="244">
        <f>C3219*fcl/TC</f>
        <v>174.47761194029852</v>
      </c>
      <c r="E3219" s="228">
        <v>0</v>
      </c>
      <c r="F3219" s="585">
        <f t="shared" si="453"/>
        <v>174.5</v>
      </c>
      <c r="G3219" s="592" t="s">
        <v>12495</v>
      </c>
      <c r="H3219" s="150" t="str">
        <f t="shared" si="454"/>
        <v>EMBAL_ADOS_1000x600x220mm</v>
      </c>
      <c r="I3219" s="520"/>
      <c r="J3219" s="589"/>
      <c r="K3219" s="520" t="s">
        <v>741</v>
      </c>
    </row>
    <row r="3220" spans="1:15" s="196" customFormat="1">
      <c r="A3220" s="589"/>
      <c r="B3220" s="902" t="s">
        <v>13274</v>
      </c>
      <c r="C3220" s="209">
        <v>240</v>
      </c>
      <c r="D3220" s="244">
        <f>C3220*fcl/TC</f>
        <v>119.6417910447761</v>
      </c>
      <c r="E3220" s="228">
        <v>0</v>
      </c>
      <c r="F3220" s="585">
        <f t="shared" si="453"/>
        <v>119.69999999999999</v>
      </c>
      <c r="G3220" s="592" t="s">
        <v>13275</v>
      </c>
      <c r="H3220" s="150" t="str">
        <f>B3220</f>
        <v>EMBAL_ADOS_600x310x210 mm</v>
      </c>
      <c r="I3220" s="520"/>
      <c r="J3220" s="589"/>
      <c r="K3220" s="520" t="s">
        <v>741</v>
      </c>
    </row>
    <row r="3221" spans="1:15" s="196" customFormat="1">
      <c r="A3221" s="589"/>
      <c r="B3221" s="902" t="s">
        <v>13276</v>
      </c>
      <c r="C3221" s="209">
        <v>200</v>
      </c>
      <c r="D3221" s="244">
        <f>C3221*fcl/TC</f>
        <v>99.701492537313428</v>
      </c>
      <c r="E3221" s="228">
        <v>0</v>
      </c>
      <c r="F3221" s="585">
        <f t="shared" si="453"/>
        <v>99.8</v>
      </c>
      <c r="G3221" s="592" t="s">
        <v>13277</v>
      </c>
      <c r="H3221" s="150" t="str">
        <f>B3221</f>
        <v>EMBAL_ADOS_210x260x210 mm</v>
      </c>
      <c r="I3221" s="520"/>
      <c r="J3221" s="589"/>
      <c r="K3221" s="520" t="s">
        <v>741</v>
      </c>
    </row>
    <row r="3222" spans="1:15" s="194" customFormat="1">
      <c r="A3222" s="589"/>
      <c r="B3222" s="1647"/>
      <c r="C3222" s="1180"/>
      <c r="D3222" s="244"/>
      <c r="E3222" s="228"/>
      <c r="F3222" s="585"/>
      <c r="G3222" s="592"/>
      <c r="H3222" s="1647"/>
      <c r="I3222" s="520"/>
      <c r="J3222" s="589"/>
      <c r="K3222" s="520"/>
      <c r="L3222" s="106"/>
      <c r="M3222" s="106"/>
      <c r="N3222" s="106"/>
      <c r="O3222" s="106"/>
    </row>
    <row r="3223" spans="1:15" s="194" customFormat="1">
      <c r="A3223" s="589"/>
      <c r="B3223" s="1647"/>
      <c r="C3223" s="1180"/>
      <c r="D3223" s="244"/>
      <c r="E3223" s="228"/>
      <c r="F3223" s="585"/>
      <c r="G3223" s="592"/>
      <c r="H3223" s="1647"/>
      <c r="I3223" s="520"/>
      <c r="J3223" s="589"/>
      <c r="K3223" s="520"/>
      <c r="L3223" s="106"/>
      <c r="M3223" s="106"/>
      <c r="N3223" s="106"/>
      <c r="O3223" s="106"/>
    </row>
    <row r="3224" spans="1:15" s="196" customFormat="1">
      <c r="A3224" s="589"/>
      <c r="B3224" s="151"/>
      <c r="C3224" s="209"/>
      <c r="D3224" s="244"/>
      <c r="E3224" s="228"/>
      <c r="F3224" s="585"/>
      <c r="G3224" s="592"/>
      <c r="H3224" s="1647"/>
      <c r="I3224" s="520"/>
      <c r="J3224" s="589"/>
      <c r="K3224" s="520"/>
      <c r="L3224" s="203"/>
      <c r="M3224" s="203"/>
      <c r="N3224" s="203"/>
      <c r="O3224" s="203"/>
    </row>
    <row r="3225" spans="1:15" s="196" customFormat="1">
      <c r="A3225" s="589"/>
      <c r="B3225" s="151"/>
      <c r="C3225" s="209"/>
      <c r="D3225" s="244"/>
      <c r="E3225" s="228"/>
      <c r="F3225" s="585"/>
      <c r="G3225" s="592"/>
      <c r="H3225" s="1647"/>
      <c r="I3225" s="520"/>
      <c r="J3225" s="589"/>
      <c r="K3225" s="520"/>
      <c r="L3225" s="203"/>
      <c r="M3225" s="203"/>
      <c r="N3225" s="203"/>
      <c r="O3225" s="203"/>
    </row>
    <row r="3226" spans="1:15" s="196" customFormat="1" ht="35.25" customHeight="1">
      <c r="A3226" s="589"/>
      <c r="B3226" s="1467" t="s">
        <v>4280</v>
      </c>
      <c r="C3226" s="1468"/>
      <c r="D3226" s="1469"/>
      <c r="E3226" s="1470"/>
      <c r="F3226" s="1471"/>
      <c r="G3226" s="1472"/>
      <c r="H3226" s="592"/>
      <c r="I3226" s="520"/>
      <c r="J3226" s="421"/>
      <c r="K3226" s="520"/>
      <c r="L3226" s="203"/>
      <c r="M3226" s="203"/>
      <c r="N3226" s="203"/>
      <c r="O3226" s="203"/>
    </row>
    <row r="3227" spans="1:15" s="196" customFormat="1">
      <c r="A3227" s="421"/>
      <c r="B3227" s="151"/>
      <c r="C3227" s="209"/>
      <c r="D3227" s="244"/>
      <c r="E3227" s="228"/>
      <c r="F3227" s="585"/>
      <c r="G3227" s="338"/>
      <c r="H3227" s="592"/>
      <c r="I3227" s="520"/>
      <c r="J3227" s="421"/>
      <c r="K3227" s="520"/>
      <c r="L3227" s="194"/>
    </row>
    <row r="3228" spans="1:15" s="196" customFormat="1">
      <c r="A3228" s="421"/>
      <c r="B3228" s="151"/>
      <c r="C3228" s="209"/>
      <c r="D3228" s="244"/>
      <c r="E3228" s="228"/>
      <c r="F3228" s="585"/>
      <c r="G3228" s="338"/>
      <c r="H3228" s="592"/>
      <c r="I3228" s="520"/>
      <c r="J3228" s="421"/>
      <c r="K3228" s="520"/>
      <c r="L3228" s="194"/>
    </row>
    <row r="3229" spans="1:15" s="25" customFormat="1">
      <c r="A3229" s="499"/>
      <c r="B3229" s="26" t="s">
        <v>319</v>
      </c>
      <c r="C3229" s="205"/>
      <c r="D3229" s="211"/>
      <c r="E3229" s="212"/>
      <c r="F3229" s="157"/>
      <c r="G3229" s="27"/>
      <c r="H3229" s="2024"/>
      <c r="I3229" s="499"/>
      <c r="J3229" s="499"/>
      <c r="K3229" s="499"/>
    </row>
    <row r="3230" spans="1:15" s="35" customFormat="1">
      <c r="A3230" s="500"/>
      <c r="B3230" s="28" t="s">
        <v>1</v>
      </c>
      <c r="C3230" s="230"/>
      <c r="D3230" s="230">
        <v>7050</v>
      </c>
      <c r="E3230" s="216">
        <v>440</v>
      </c>
      <c r="F3230" s="156">
        <f>D3230+E3230</f>
        <v>7490</v>
      </c>
      <c r="G3230" s="24" t="s">
        <v>7592</v>
      </c>
      <c r="H3230" s="2025" t="s">
        <v>1</v>
      </c>
      <c r="I3230" s="501"/>
      <c r="J3230" s="502" t="s">
        <v>1835</v>
      </c>
      <c r="K3230" s="501"/>
    </row>
    <row r="3231" spans="1:15" s="35" customFormat="1">
      <c r="A3231" s="502"/>
      <c r="B3231" s="28" t="s">
        <v>2</v>
      </c>
      <c r="C3231" s="230"/>
      <c r="D3231" s="230">
        <v>5400</v>
      </c>
      <c r="E3231" s="216">
        <v>700</v>
      </c>
      <c r="F3231" s="156">
        <f>D3231+E3231</f>
        <v>6100</v>
      </c>
      <c r="G3231" s="24" t="s">
        <v>7593</v>
      </c>
      <c r="H3231" s="2025" t="s">
        <v>2</v>
      </c>
      <c r="I3231" s="501"/>
      <c r="J3231" s="502" t="s">
        <v>1835</v>
      </c>
      <c r="K3231" s="501"/>
    </row>
    <row r="3232" spans="1:15" s="35" customFormat="1">
      <c r="A3232" s="500"/>
      <c r="B3232" s="28" t="s">
        <v>3</v>
      </c>
      <c r="C3232" s="230"/>
      <c r="D3232" s="230">
        <v>4860</v>
      </c>
      <c r="E3232" s="216">
        <v>475</v>
      </c>
      <c r="F3232" s="156">
        <f>D3232+E3232</f>
        <v>5335</v>
      </c>
      <c r="G3232" s="24" t="s">
        <v>7594</v>
      </c>
      <c r="H3232" s="2025" t="s">
        <v>3</v>
      </c>
      <c r="I3232" s="501"/>
      <c r="J3232" s="502" t="s">
        <v>1835</v>
      </c>
      <c r="K3232" s="501"/>
    </row>
    <row r="3233" spans="1:14" s="35" customFormat="1">
      <c r="A3233" s="502"/>
      <c r="B3233" s="821" t="s">
        <v>320</v>
      </c>
      <c r="C3233" s="230"/>
      <c r="D3233" s="230">
        <v>250</v>
      </c>
      <c r="E3233" s="216">
        <v>0</v>
      </c>
      <c r="F3233" s="156">
        <f>D3233+E3233</f>
        <v>250</v>
      </c>
      <c r="G3233" s="503"/>
      <c r="H3233" s="2003"/>
      <c r="I3233" s="501"/>
      <c r="J3233" s="502" t="s">
        <v>1835</v>
      </c>
      <c r="K3233" s="501"/>
    </row>
    <row r="3234" spans="1:14" s="35" customFormat="1">
      <c r="A3234" s="502"/>
      <c r="B3234" s="821" t="s">
        <v>4</v>
      </c>
      <c r="C3234" s="230"/>
      <c r="D3234" s="230">
        <v>150</v>
      </c>
      <c r="E3234" s="216">
        <v>0</v>
      </c>
      <c r="F3234" s="156">
        <f>D3234+E3234</f>
        <v>150</v>
      </c>
      <c r="G3234" s="503"/>
      <c r="H3234" s="2003"/>
      <c r="I3234" s="501"/>
      <c r="J3234" s="502" t="s">
        <v>1835</v>
      </c>
      <c r="K3234" s="501"/>
    </row>
    <row r="3235" spans="1:14" s="35" customFormat="1">
      <c r="A3235" s="502"/>
      <c r="B3235" s="29"/>
      <c r="C3235" s="230"/>
      <c r="D3235" s="230"/>
      <c r="E3235" s="216"/>
      <c r="F3235" s="156"/>
      <c r="G3235" s="501"/>
      <c r="H3235" s="2003"/>
      <c r="I3235" s="501"/>
      <c r="J3235" s="502"/>
      <c r="K3235" s="501"/>
    </row>
    <row r="3236" spans="1:14" s="35" customFormat="1">
      <c r="A3236" s="502"/>
      <c r="B3236" s="28" t="s">
        <v>5</v>
      </c>
      <c r="C3236" s="230"/>
      <c r="D3236" s="230">
        <v>3677</v>
      </c>
      <c r="E3236" s="216">
        <v>473</v>
      </c>
      <c r="F3236" s="156">
        <f>D3236+E3236</f>
        <v>4150</v>
      </c>
      <c r="G3236" s="24" t="s">
        <v>7595</v>
      </c>
      <c r="H3236" s="2025" t="s">
        <v>5</v>
      </c>
      <c r="I3236" s="501"/>
      <c r="J3236" s="502" t="s">
        <v>1835</v>
      </c>
      <c r="K3236" s="501"/>
    </row>
    <row r="3237" spans="1:14" s="35" customFormat="1">
      <c r="A3237" s="510"/>
      <c r="B3237" s="28" t="s">
        <v>7596</v>
      </c>
      <c r="C3237" s="230"/>
      <c r="D3237" s="230">
        <v>1780</v>
      </c>
      <c r="E3237" s="216">
        <v>220</v>
      </c>
      <c r="F3237" s="156">
        <f>D3237+E3237</f>
        <v>2000</v>
      </c>
      <c r="G3237" s="24" t="s">
        <v>7597</v>
      </c>
      <c r="H3237" s="2025" t="s">
        <v>7596</v>
      </c>
      <c r="I3237" s="501"/>
      <c r="J3237" s="502" t="s">
        <v>1835</v>
      </c>
      <c r="K3237" s="501"/>
    </row>
    <row r="3238" spans="1:14" s="35" customFormat="1">
      <c r="A3238" s="502"/>
      <c r="B3238" s="28" t="s">
        <v>6</v>
      </c>
      <c r="C3238" s="230"/>
      <c r="D3238" s="230">
        <v>2634</v>
      </c>
      <c r="E3238" s="216">
        <v>366</v>
      </c>
      <c r="F3238" s="156">
        <f>D3238+E3238</f>
        <v>3000</v>
      </c>
      <c r="G3238" s="24" t="s">
        <v>7598</v>
      </c>
      <c r="H3238" s="2025" t="s">
        <v>6</v>
      </c>
      <c r="I3238" s="501"/>
      <c r="J3238" s="502" t="s">
        <v>1835</v>
      </c>
      <c r="K3238" s="501"/>
    </row>
    <row r="3239" spans="1:14" s="35" customFormat="1">
      <c r="A3239" s="502"/>
      <c r="B3239" s="28" t="s">
        <v>7</v>
      </c>
      <c r="C3239" s="230"/>
      <c r="D3239" s="230">
        <v>2157</v>
      </c>
      <c r="E3239" s="216">
        <v>223</v>
      </c>
      <c r="F3239" s="156">
        <f>D3239+E3239</f>
        <v>2380</v>
      </c>
      <c r="G3239" s="24" t="s">
        <v>7599</v>
      </c>
      <c r="H3239" s="2025" t="s">
        <v>7</v>
      </c>
      <c r="I3239" s="501"/>
      <c r="J3239" s="502" t="s">
        <v>1835</v>
      </c>
      <c r="K3239" s="501"/>
    </row>
    <row r="3240" spans="1:14" s="35" customFormat="1">
      <c r="A3240" s="502"/>
      <c r="B3240" s="28"/>
      <c r="C3240" s="230"/>
      <c r="D3240" s="230"/>
      <c r="E3240" s="216"/>
      <c r="F3240" s="156"/>
      <c r="G3240" s="24"/>
      <c r="H3240" s="2025"/>
      <c r="I3240" s="501"/>
      <c r="J3240" s="502"/>
      <c r="K3240" s="501"/>
    </row>
    <row r="3241" spans="1:14" s="48" customFormat="1">
      <c r="A3241" s="1764"/>
      <c r="B3241" s="439" t="s">
        <v>30</v>
      </c>
      <c r="C3241" s="230"/>
      <c r="D3241" s="230">
        <v>166</v>
      </c>
      <c r="E3241" s="441">
        <v>15</v>
      </c>
      <c r="F3241" s="442">
        <f>D3241+E3241</f>
        <v>181</v>
      </c>
      <c r="G3241" s="443" t="s">
        <v>9396</v>
      </c>
      <c r="H3241" s="438" t="str">
        <f>B3241</f>
        <v>AA115RPK</v>
      </c>
      <c r="I3241" s="201"/>
      <c r="J3241" s="514" t="s">
        <v>1835</v>
      </c>
      <c r="K3241" s="201" t="s">
        <v>741</v>
      </c>
      <c r="L3241" s="201"/>
      <c r="M3241" s="201"/>
      <c r="N3241" s="201"/>
    </row>
    <row r="3242" spans="1:14" s="195" customFormat="1">
      <c r="A3242" s="523"/>
      <c r="B3242" s="821"/>
      <c r="C3242" s="230"/>
      <c r="D3242" s="230"/>
      <c r="E3242" s="462"/>
      <c r="F3242" s="164"/>
      <c r="G3242" s="525"/>
      <c r="H3242" s="2026"/>
      <c r="I3242" s="525"/>
      <c r="J3242" s="523"/>
      <c r="K3242" s="525"/>
    </row>
    <row r="3243" spans="1:14" s="48" customFormat="1">
      <c r="A3243" s="1764"/>
      <c r="B3243" s="439" t="s">
        <v>8</v>
      </c>
      <c r="C3243" s="230"/>
      <c r="D3243" s="230">
        <v>120</v>
      </c>
      <c r="E3243" s="441">
        <v>15</v>
      </c>
      <c r="F3243" s="442">
        <f>D3243+E3243</f>
        <v>135</v>
      </c>
      <c r="G3243" s="443" t="s">
        <v>9397</v>
      </c>
      <c r="H3243" s="438" t="str">
        <f>B3243</f>
        <v>T1200NB3M</v>
      </c>
      <c r="I3243" s="201"/>
      <c r="J3243" s="514" t="s">
        <v>1835</v>
      </c>
      <c r="K3243" s="201" t="s">
        <v>741</v>
      </c>
      <c r="L3243" s="201"/>
      <c r="M3243" s="201"/>
      <c r="N3243" s="201"/>
    </row>
    <row r="3244" spans="1:14" s="195" customFormat="1">
      <c r="A3244" s="523"/>
      <c r="B3244" s="821"/>
      <c r="C3244" s="230"/>
      <c r="D3244" s="230"/>
      <c r="E3244" s="462"/>
      <c r="F3244" s="164"/>
      <c r="G3244" s="525"/>
      <c r="H3244" s="2026"/>
      <c r="I3244" s="525"/>
      <c r="J3244" s="523"/>
      <c r="K3244" s="525"/>
    </row>
    <row r="3245" spans="1:14" s="35" customFormat="1">
      <c r="A3245" s="1764"/>
      <c r="B3245" s="28" t="s">
        <v>9398</v>
      </c>
      <c r="C3245" s="230"/>
      <c r="D3245" s="230">
        <v>2157</v>
      </c>
      <c r="E3245" s="216">
        <v>223</v>
      </c>
      <c r="F3245" s="156">
        <f>D3245+E3245</f>
        <v>2380</v>
      </c>
      <c r="G3245" s="24" t="s">
        <v>9669</v>
      </c>
      <c r="H3245" s="2025" t="s">
        <v>9398</v>
      </c>
      <c r="I3245" s="501"/>
      <c r="J3245" s="502" t="s">
        <v>1835</v>
      </c>
      <c r="K3245" s="501"/>
    </row>
    <row r="3246" spans="1:14" s="35" customFormat="1">
      <c r="A3246" s="1764"/>
      <c r="B3246" s="28" t="s">
        <v>9670</v>
      </c>
      <c r="C3246" s="230"/>
      <c r="D3246" s="230">
        <v>2157</v>
      </c>
      <c r="E3246" s="216">
        <v>223</v>
      </c>
      <c r="F3246" s="156">
        <f>D3246+E3246</f>
        <v>2380</v>
      </c>
      <c r="G3246" s="24" t="s">
        <v>9671</v>
      </c>
      <c r="H3246" s="2025" t="s">
        <v>9398</v>
      </c>
      <c r="I3246" s="501"/>
      <c r="J3246" s="502" t="s">
        <v>1835</v>
      </c>
      <c r="K3246" s="501"/>
    </row>
    <row r="3247" spans="1:14" s="35" customFormat="1">
      <c r="A3247" s="523"/>
      <c r="B3247" s="28"/>
      <c r="C3247" s="230"/>
      <c r="D3247" s="230"/>
      <c r="E3247" s="216"/>
      <c r="F3247" s="156"/>
      <c r="G3247" s="24"/>
      <c r="H3247" s="2025"/>
      <c r="I3247" s="501"/>
      <c r="J3247" s="502"/>
      <c r="K3247" s="501"/>
    </row>
    <row r="3248" spans="1:14" s="23" customFormat="1">
      <c r="A3248" s="1764"/>
      <c r="B3248" s="1095" t="s">
        <v>9672</v>
      </c>
      <c r="C3248" s="1096"/>
      <c r="D3248" s="1096">
        <v>600</v>
      </c>
      <c r="E3248" s="1097">
        <v>50</v>
      </c>
      <c r="F3248" s="1098">
        <f>D3248+E3248</f>
        <v>650</v>
      </c>
      <c r="G3248" s="1099" t="s">
        <v>9673</v>
      </c>
      <c r="H3248" s="2003"/>
      <c r="I3248" s="501"/>
      <c r="J3248" s="502"/>
      <c r="K3248" s="501"/>
    </row>
    <row r="3249" spans="1:11" s="35" customFormat="1">
      <c r="A3249" s="502"/>
      <c r="B3249" s="29"/>
      <c r="C3249" s="230"/>
      <c r="D3249" s="230"/>
      <c r="E3249" s="216"/>
      <c r="F3249" s="156"/>
      <c r="G3249" s="501"/>
      <c r="H3249" s="2003"/>
      <c r="I3249" s="501"/>
      <c r="J3249" s="502"/>
      <c r="K3249" s="501"/>
    </row>
    <row r="3250" spans="1:11" s="35" customFormat="1">
      <c r="A3250" s="510"/>
      <c r="B3250" s="28" t="s">
        <v>7601</v>
      </c>
      <c r="C3250" s="230"/>
      <c r="D3250" s="230">
        <v>1643</v>
      </c>
      <c r="E3250" s="216">
        <v>87</v>
      </c>
      <c r="F3250" s="156">
        <f>D3250+E3250</f>
        <v>1730</v>
      </c>
      <c r="G3250" s="24" t="s">
        <v>7602</v>
      </c>
      <c r="H3250" s="2025" t="str">
        <f>B3250</f>
        <v>GLS363036M</v>
      </c>
      <c r="I3250" s="501"/>
      <c r="J3250" s="502" t="s">
        <v>1835</v>
      </c>
      <c r="K3250" s="501"/>
    </row>
    <row r="3251" spans="1:11" s="35" customFormat="1">
      <c r="A3251" s="502"/>
      <c r="B3251" s="28" t="s">
        <v>9</v>
      </c>
      <c r="C3251" s="230"/>
      <c r="D3251" s="230">
        <v>853</v>
      </c>
      <c r="E3251" s="216">
        <v>87</v>
      </c>
      <c r="F3251" s="156">
        <f t="shared" ref="F3251:F3256" si="455">D3251+E3251</f>
        <v>940</v>
      </c>
      <c r="G3251" s="24" t="s">
        <v>7603</v>
      </c>
      <c r="H3251" s="2025" t="str">
        <f>B3251</f>
        <v>GLS3630AAM</v>
      </c>
      <c r="I3251" s="501"/>
      <c r="J3251" s="502" t="s">
        <v>1835</v>
      </c>
      <c r="K3251" s="501"/>
    </row>
    <row r="3252" spans="1:11" s="35" customFormat="1">
      <c r="A3252" s="502"/>
      <c r="B3252" s="28" t="s">
        <v>10</v>
      </c>
      <c r="C3252" s="230"/>
      <c r="D3252" s="230">
        <v>853</v>
      </c>
      <c r="E3252" s="216">
        <v>87</v>
      </c>
      <c r="F3252" s="156">
        <f t="shared" si="455"/>
        <v>940</v>
      </c>
      <c r="G3252" s="24" t="s">
        <v>7604</v>
      </c>
      <c r="H3252" s="2025" t="str">
        <f>B3252</f>
        <v>GLS3500AAM</v>
      </c>
      <c r="I3252" s="501"/>
      <c r="J3252" s="502" t="s">
        <v>1835</v>
      </c>
      <c r="K3252" s="501"/>
    </row>
    <row r="3253" spans="1:11" s="35" customFormat="1">
      <c r="A3253" s="510"/>
      <c r="B3253" s="50" t="s">
        <v>11</v>
      </c>
      <c r="C3253" s="230"/>
      <c r="D3253" s="230">
        <v>1241</v>
      </c>
      <c r="E3253" s="216">
        <v>87</v>
      </c>
      <c r="F3253" s="156">
        <f t="shared" si="455"/>
        <v>1328</v>
      </c>
      <c r="G3253" s="24" t="s">
        <v>7605</v>
      </c>
      <c r="H3253" s="2025" t="str">
        <f>B3253</f>
        <v>GLS3400AAM</v>
      </c>
      <c r="I3253" s="501"/>
      <c r="J3253" s="502" t="s">
        <v>1835</v>
      </c>
      <c r="K3253" s="501"/>
    </row>
    <row r="3254" spans="1:11" s="35" customFormat="1">
      <c r="A3254" s="510"/>
      <c r="B3254" s="50" t="s">
        <v>12</v>
      </c>
      <c r="C3254" s="230"/>
      <c r="D3254" s="230">
        <v>1241</v>
      </c>
      <c r="E3254" s="216">
        <v>87</v>
      </c>
      <c r="F3254" s="156">
        <f t="shared" si="455"/>
        <v>1328</v>
      </c>
      <c r="G3254" s="24" t="s">
        <v>7606</v>
      </c>
      <c r="H3254" s="2025" t="str">
        <f>B3254</f>
        <v>GLS3320AAM</v>
      </c>
      <c r="I3254" s="501"/>
      <c r="J3254" s="502" t="s">
        <v>1835</v>
      </c>
      <c r="K3254" s="501"/>
    </row>
    <row r="3255" spans="1:11" s="35" customFormat="1">
      <c r="A3255" s="1760"/>
      <c r="B3255" s="1761" t="s">
        <v>7607</v>
      </c>
      <c r="C3255" s="230"/>
      <c r="D3255" s="230">
        <v>162</v>
      </c>
      <c r="E3255" s="216">
        <v>5</v>
      </c>
      <c r="F3255" s="158">
        <f>D3255+E3255</f>
        <v>167</v>
      </c>
      <c r="G3255" s="823" t="s">
        <v>7608</v>
      </c>
      <c r="H3255" s="2027" t="s">
        <v>13</v>
      </c>
      <c r="I3255" s="501"/>
      <c r="J3255" s="502" t="s">
        <v>1835</v>
      </c>
      <c r="K3255" s="501"/>
    </row>
    <row r="3256" spans="1:11" s="35" customFormat="1">
      <c r="A3256" s="1760"/>
      <c r="B3256" s="1761" t="s">
        <v>13</v>
      </c>
      <c r="C3256" s="230"/>
      <c r="D3256" s="230">
        <v>103</v>
      </c>
      <c r="E3256" s="216">
        <v>5</v>
      </c>
      <c r="F3256" s="158">
        <f t="shared" si="455"/>
        <v>108</v>
      </c>
      <c r="G3256" s="823" t="s">
        <v>7609</v>
      </c>
      <c r="H3256" s="2027" t="s">
        <v>13</v>
      </c>
      <c r="I3256" s="501"/>
      <c r="J3256" s="502" t="s">
        <v>1835</v>
      </c>
      <c r="K3256" s="501"/>
    </row>
    <row r="3257" spans="1:11" s="35" customFormat="1">
      <c r="A3257" s="502"/>
      <c r="B3257" s="29"/>
      <c r="C3257" s="230"/>
      <c r="D3257" s="230"/>
      <c r="E3257" s="216"/>
      <c r="F3257" s="156"/>
      <c r="G3257" s="501"/>
      <c r="H3257" s="2003"/>
      <c r="I3257" s="501"/>
      <c r="J3257" s="502"/>
      <c r="K3257" s="501"/>
    </row>
    <row r="3258" spans="1:11" s="35" customFormat="1">
      <c r="A3258" s="510"/>
      <c r="B3258" s="28" t="s">
        <v>14</v>
      </c>
      <c r="C3258" s="230"/>
      <c r="D3258" s="230">
        <v>384.1</v>
      </c>
      <c r="E3258" s="216">
        <v>27</v>
      </c>
      <c r="F3258" s="156">
        <f>D3258+E3258</f>
        <v>411.1</v>
      </c>
      <c r="G3258" s="24" t="s">
        <v>7610</v>
      </c>
      <c r="H3258" s="2025" t="s">
        <v>14</v>
      </c>
      <c r="I3258" s="501"/>
      <c r="J3258" s="502" t="s">
        <v>1835</v>
      </c>
      <c r="K3258" s="501"/>
    </row>
    <row r="3259" spans="1:11" s="35" customFormat="1">
      <c r="A3259" s="510"/>
      <c r="B3259" s="28" t="s">
        <v>15</v>
      </c>
      <c r="C3259" s="230"/>
      <c r="D3259" s="230">
        <v>384.1</v>
      </c>
      <c r="E3259" s="216">
        <v>27</v>
      </c>
      <c r="F3259" s="156">
        <f>D3259+E3259</f>
        <v>411.1</v>
      </c>
      <c r="G3259" s="24" t="s">
        <v>7611</v>
      </c>
      <c r="H3259" s="2025" t="s">
        <v>15</v>
      </c>
      <c r="I3259" s="501"/>
      <c r="J3259" s="502" t="s">
        <v>1835</v>
      </c>
      <c r="K3259" s="501"/>
    </row>
    <row r="3260" spans="1:11" s="35" customFormat="1">
      <c r="A3260" s="510"/>
      <c r="B3260" s="28" t="s">
        <v>16</v>
      </c>
      <c r="C3260" s="230"/>
      <c r="D3260" s="230">
        <v>384.1</v>
      </c>
      <c r="E3260" s="216">
        <v>27</v>
      </c>
      <c r="F3260" s="156">
        <f>D3260+E3260</f>
        <v>411.1</v>
      </c>
      <c r="G3260" s="24" t="s">
        <v>7612</v>
      </c>
      <c r="H3260" s="2025" t="s">
        <v>16</v>
      </c>
      <c r="I3260" s="501"/>
      <c r="J3260" s="502" t="s">
        <v>1835</v>
      </c>
      <c r="K3260" s="501"/>
    </row>
    <row r="3261" spans="1:11" s="35" customFormat="1">
      <c r="A3261" s="510"/>
      <c r="B3261" s="28" t="s">
        <v>7613</v>
      </c>
      <c r="C3261" s="230"/>
      <c r="D3261" s="230">
        <v>384.1</v>
      </c>
      <c r="E3261" s="216">
        <v>27</v>
      </c>
      <c r="F3261" s="156">
        <f>D3261+E3261</f>
        <v>411.1</v>
      </c>
      <c r="G3261" s="24" t="s">
        <v>7614</v>
      </c>
      <c r="H3261" s="2025" t="s">
        <v>7613</v>
      </c>
      <c r="I3261" s="501"/>
      <c r="J3261" s="502" t="s">
        <v>1835</v>
      </c>
      <c r="K3261" s="501"/>
    </row>
    <row r="3262" spans="1:11" s="35" customFormat="1">
      <c r="A3262" s="502"/>
      <c r="B3262" s="29" t="s">
        <v>17</v>
      </c>
      <c r="C3262" s="230"/>
      <c r="D3262" s="230">
        <v>17</v>
      </c>
      <c r="E3262" s="216">
        <v>3</v>
      </c>
      <c r="F3262" s="156">
        <f>D3262+E3262</f>
        <v>20</v>
      </c>
      <c r="G3262" s="504" t="s">
        <v>7615</v>
      </c>
      <c r="H3262" s="2028" t="s">
        <v>17</v>
      </c>
      <c r="I3262" s="501"/>
      <c r="J3262" s="502" t="s">
        <v>1835</v>
      </c>
      <c r="K3262" s="501"/>
    </row>
    <row r="3263" spans="1:11" s="35" customFormat="1">
      <c r="A3263" s="502"/>
      <c r="B3263" s="50"/>
      <c r="C3263" s="230"/>
      <c r="D3263" s="230"/>
      <c r="E3263" s="216"/>
      <c r="F3263" s="156"/>
      <c r="G3263" s="501"/>
      <c r="H3263" s="2003"/>
      <c r="I3263" s="501"/>
      <c r="J3263" s="502"/>
      <c r="K3263" s="501"/>
    </row>
    <row r="3264" spans="1:11" s="35" customFormat="1">
      <c r="A3264" s="510"/>
      <c r="B3264" s="28" t="s">
        <v>18</v>
      </c>
      <c r="C3264" s="230"/>
      <c r="D3264" s="230">
        <v>319.8</v>
      </c>
      <c r="E3264" s="216">
        <v>20</v>
      </c>
      <c r="F3264" s="156">
        <f t="shared" ref="F3264:F3272" si="456">D3264+E3264</f>
        <v>339.8</v>
      </c>
      <c r="G3264" s="24" t="s">
        <v>7616</v>
      </c>
      <c r="H3264" s="2025" t="s">
        <v>18</v>
      </c>
      <c r="I3264" s="501"/>
      <c r="J3264" s="502" t="s">
        <v>1835</v>
      </c>
      <c r="K3264" s="501"/>
    </row>
    <row r="3265" spans="1:11" s="35" customFormat="1">
      <c r="A3265" s="510"/>
      <c r="B3265" s="28" t="s">
        <v>20</v>
      </c>
      <c r="C3265" s="230"/>
      <c r="D3265" s="230">
        <v>319.8</v>
      </c>
      <c r="E3265" s="216">
        <v>15</v>
      </c>
      <c r="F3265" s="156">
        <f t="shared" si="456"/>
        <v>334.8</v>
      </c>
      <c r="G3265" s="24" t="s">
        <v>7617</v>
      </c>
      <c r="H3265" s="2025" t="s">
        <v>20</v>
      </c>
      <c r="I3265" s="501"/>
      <c r="J3265" s="502" t="s">
        <v>1835</v>
      </c>
      <c r="K3265" s="501"/>
    </row>
    <row r="3266" spans="1:11" s="35" customFormat="1">
      <c r="A3266" s="510"/>
      <c r="B3266" s="28" t="s">
        <v>21</v>
      </c>
      <c r="C3266" s="230"/>
      <c r="D3266" s="230">
        <v>319.8</v>
      </c>
      <c r="E3266" s="216">
        <v>15</v>
      </c>
      <c r="F3266" s="156">
        <f t="shared" si="456"/>
        <v>334.8</v>
      </c>
      <c r="G3266" s="24" t="s">
        <v>7618</v>
      </c>
      <c r="H3266" s="2025" t="s">
        <v>21</v>
      </c>
      <c r="I3266" s="501"/>
      <c r="J3266" s="502" t="s">
        <v>1835</v>
      </c>
      <c r="K3266" s="501"/>
    </row>
    <row r="3267" spans="1:11" s="35" customFormat="1">
      <c r="A3267" s="510"/>
      <c r="B3267" s="28" t="s">
        <v>22</v>
      </c>
      <c r="C3267" s="230"/>
      <c r="D3267" s="230">
        <v>310.2</v>
      </c>
      <c r="E3267" s="216">
        <v>15</v>
      </c>
      <c r="F3267" s="156">
        <f t="shared" si="456"/>
        <v>325.2</v>
      </c>
      <c r="G3267" s="24" t="s">
        <v>7619</v>
      </c>
      <c r="H3267" s="2025" t="s">
        <v>22</v>
      </c>
      <c r="I3267" s="501"/>
      <c r="J3267" s="502" t="s">
        <v>1835</v>
      </c>
      <c r="K3267" s="501"/>
    </row>
    <row r="3268" spans="1:11" s="35" customFormat="1">
      <c r="A3268" s="510"/>
      <c r="B3268" s="28" t="s">
        <v>23</v>
      </c>
      <c r="C3268" s="230"/>
      <c r="D3268" s="230">
        <v>310.2</v>
      </c>
      <c r="E3268" s="216">
        <v>15</v>
      </c>
      <c r="F3268" s="156">
        <f t="shared" si="456"/>
        <v>325.2</v>
      </c>
      <c r="G3268" s="24" t="s">
        <v>7620</v>
      </c>
      <c r="H3268" s="2025" t="s">
        <v>23</v>
      </c>
      <c r="I3268" s="501"/>
      <c r="J3268" s="502" t="s">
        <v>1835</v>
      </c>
      <c r="K3268" s="501"/>
    </row>
    <row r="3269" spans="1:11" s="35" customFormat="1">
      <c r="A3269" s="1762"/>
      <c r="B3269" s="28" t="s">
        <v>24</v>
      </c>
      <c r="C3269" s="230"/>
      <c r="D3269" s="230">
        <v>306</v>
      </c>
      <c r="E3269" s="216">
        <v>15</v>
      </c>
      <c r="F3269" s="156">
        <f t="shared" si="456"/>
        <v>321</v>
      </c>
      <c r="G3269" s="24" t="s">
        <v>7621</v>
      </c>
      <c r="H3269" s="2025" t="s">
        <v>24</v>
      </c>
      <c r="I3269" s="501"/>
      <c r="J3269" s="502" t="s">
        <v>1835</v>
      </c>
      <c r="K3269" s="501"/>
    </row>
    <row r="3270" spans="1:11" s="35" customFormat="1">
      <c r="A3270" s="1762"/>
      <c r="B3270" s="28" t="s">
        <v>25</v>
      </c>
      <c r="C3270" s="230"/>
      <c r="D3270" s="230">
        <v>306</v>
      </c>
      <c r="E3270" s="216">
        <v>15</v>
      </c>
      <c r="F3270" s="156">
        <f t="shared" si="456"/>
        <v>321</v>
      </c>
      <c r="G3270" s="24" t="s">
        <v>7622</v>
      </c>
      <c r="H3270" s="2025" t="s">
        <v>25</v>
      </c>
      <c r="I3270" s="501"/>
      <c r="J3270" s="502" t="s">
        <v>1835</v>
      </c>
      <c r="K3270" s="501"/>
    </row>
    <row r="3271" spans="1:11" s="35" customFormat="1">
      <c r="A3271" s="1762"/>
      <c r="B3271" s="28" t="s">
        <v>26</v>
      </c>
      <c r="C3271" s="230"/>
      <c r="D3271" s="230">
        <v>306</v>
      </c>
      <c r="E3271" s="216">
        <v>15</v>
      </c>
      <c r="F3271" s="156">
        <f t="shared" si="456"/>
        <v>321</v>
      </c>
      <c r="G3271" s="24" t="s">
        <v>7623</v>
      </c>
      <c r="H3271" s="2025" t="s">
        <v>26</v>
      </c>
      <c r="I3271" s="501"/>
      <c r="J3271" s="502" t="s">
        <v>1835</v>
      </c>
      <c r="K3271" s="501"/>
    </row>
    <row r="3272" spans="1:11" s="35" customFormat="1">
      <c r="A3272" s="1762"/>
      <c r="B3272" s="28" t="s">
        <v>27</v>
      </c>
      <c r="C3272" s="230"/>
      <c r="D3272" s="230">
        <v>306</v>
      </c>
      <c r="E3272" s="216">
        <v>15</v>
      </c>
      <c r="F3272" s="156">
        <f t="shared" si="456"/>
        <v>321</v>
      </c>
      <c r="G3272" s="24" t="s">
        <v>7624</v>
      </c>
      <c r="H3272" s="2025" t="s">
        <v>27</v>
      </c>
      <c r="I3272" s="501"/>
      <c r="J3272" s="502" t="s">
        <v>1835</v>
      </c>
      <c r="K3272" s="501"/>
    </row>
    <row r="3273" spans="1:11" s="35" customFormat="1">
      <c r="A3273" s="502"/>
      <c r="B3273" s="28"/>
      <c r="C3273" s="230"/>
      <c r="D3273" s="230"/>
      <c r="E3273" s="216"/>
      <c r="F3273" s="156"/>
      <c r="G3273" s="24"/>
      <c r="H3273" s="2003"/>
      <c r="I3273" s="501"/>
      <c r="J3273" s="502"/>
      <c r="K3273" s="501"/>
    </row>
    <row r="3274" spans="1:11" s="35" customFormat="1">
      <c r="A3274" s="502"/>
      <c r="B3274" s="541"/>
      <c r="C3274" s="498"/>
      <c r="D3274" s="498"/>
      <c r="E3274" s="769"/>
      <c r="F3274" s="770"/>
      <c r="G3274" s="541"/>
      <c r="H3274" s="2003"/>
      <c r="I3274" s="501"/>
      <c r="J3274" s="502"/>
      <c r="K3274" s="501"/>
    </row>
    <row r="3275" spans="1:11" s="35" customFormat="1">
      <c r="A3275" s="502"/>
      <c r="B3275" s="492" t="s">
        <v>2639</v>
      </c>
      <c r="C3275" s="498"/>
      <c r="D3275" s="498">
        <v>1050</v>
      </c>
      <c r="E3275" s="493">
        <f>50*4/3</f>
        <v>66.666666666666671</v>
      </c>
      <c r="F3275" s="494">
        <f>D3275+E3275</f>
        <v>1116.6666666666667</v>
      </c>
      <c r="G3275" s="495" t="s">
        <v>7625</v>
      </c>
      <c r="H3275" s="530" t="str">
        <f>B3275</f>
        <v>GLS4400AAM</v>
      </c>
      <c r="I3275" s="501"/>
      <c r="J3275" s="502" t="s">
        <v>1835</v>
      </c>
      <c r="K3275" s="501"/>
    </row>
    <row r="3276" spans="1:11" s="35" customFormat="1">
      <c r="A3276" s="502"/>
      <c r="B3276" s="492" t="s">
        <v>2684</v>
      </c>
      <c r="C3276" s="498"/>
      <c r="D3276" s="498">
        <v>1050</v>
      </c>
      <c r="E3276" s="493">
        <f>50*4/3</f>
        <v>66.666666666666671</v>
      </c>
      <c r="F3276" s="494">
        <f>D3276+E3276</f>
        <v>1116.6666666666667</v>
      </c>
      <c r="G3276" s="495" t="s">
        <v>7626</v>
      </c>
      <c r="H3276" s="530" t="str">
        <f>B3276</f>
        <v>GLS4320AAM</v>
      </c>
      <c r="I3276" s="501"/>
      <c r="J3276" s="502" t="s">
        <v>1835</v>
      </c>
      <c r="K3276" s="501"/>
    </row>
    <row r="3277" spans="1:11" s="35" customFormat="1">
      <c r="A3277" s="502"/>
      <c r="B3277" s="541"/>
      <c r="C3277" s="498"/>
      <c r="D3277" s="498"/>
      <c r="E3277" s="769"/>
      <c r="F3277" s="770"/>
      <c r="G3277" s="541"/>
      <c r="H3277" s="2003"/>
      <c r="I3277" s="501"/>
      <c r="J3277" s="502"/>
      <c r="K3277" s="501"/>
    </row>
    <row r="3278" spans="1:11" s="35" customFormat="1">
      <c r="A3278" s="502"/>
      <c r="B3278" s="492" t="s">
        <v>2687</v>
      </c>
      <c r="C3278" s="498"/>
      <c r="D3278" s="498">
        <v>642</v>
      </c>
      <c r="E3278" s="493">
        <f>30*4/3</f>
        <v>40</v>
      </c>
      <c r="F3278" s="494">
        <f>D3278+E3278</f>
        <v>682</v>
      </c>
      <c r="G3278" s="495" t="s">
        <v>7627</v>
      </c>
      <c r="H3278" s="530" t="str">
        <f>B3278</f>
        <v>GJS4250AAM</v>
      </c>
      <c r="I3278" s="501"/>
      <c r="J3278" s="502" t="s">
        <v>1835</v>
      </c>
      <c r="K3278" s="501"/>
    </row>
    <row r="3279" spans="1:11" s="35" customFormat="1">
      <c r="A3279" s="502"/>
      <c r="B3279" s="492" t="s">
        <v>2638</v>
      </c>
      <c r="C3279" s="498"/>
      <c r="D3279" s="498">
        <v>642</v>
      </c>
      <c r="E3279" s="493">
        <f>30*4/3</f>
        <v>40</v>
      </c>
      <c r="F3279" s="494">
        <f>D3279+E3279</f>
        <v>682</v>
      </c>
      <c r="G3279" s="495" t="s">
        <v>7628</v>
      </c>
      <c r="H3279" s="530" t="str">
        <f>B3279</f>
        <v>GJS4200AAM</v>
      </c>
      <c r="I3279" s="501"/>
      <c r="J3279" s="502" t="s">
        <v>1835</v>
      </c>
      <c r="K3279" s="501"/>
    </row>
    <row r="3280" spans="1:11" s="35" customFormat="1">
      <c r="A3280" s="502"/>
      <c r="B3280" s="541"/>
      <c r="C3280" s="498"/>
      <c r="D3280" s="498"/>
      <c r="E3280" s="769"/>
      <c r="F3280" s="770"/>
      <c r="G3280" s="541"/>
      <c r="H3280" s="2003"/>
      <c r="I3280" s="501"/>
      <c r="J3280" s="502"/>
      <c r="K3280" s="501"/>
    </row>
    <row r="3281" spans="1:11" s="35" customFormat="1">
      <c r="A3281" s="502"/>
      <c r="B3281" s="492" t="s">
        <v>7629</v>
      </c>
      <c r="C3281" s="498"/>
      <c r="D3281" s="498">
        <f>431*0.8</f>
        <v>344.8</v>
      </c>
      <c r="E3281" s="493">
        <f>(4/3)*15</f>
        <v>20</v>
      </c>
      <c r="F3281" s="494">
        <f>D3281+E3281</f>
        <v>364.8</v>
      </c>
      <c r="G3281" s="495" t="s">
        <v>7630</v>
      </c>
      <c r="H3281" s="530" t="str">
        <f>B3281</f>
        <v>GES4032AFM</v>
      </c>
      <c r="I3281" s="501"/>
      <c r="J3281" s="502" t="s">
        <v>1835</v>
      </c>
      <c r="K3281" s="501"/>
    </row>
    <row r="3282" spans="1:11" s="35" customFormat="1">
      <c r="A3282" s="502"/>
      <c r="B3282" s="28"/>
      <c r="C3282" s="230"/>
      <c r="D3282" s="215"/>
      <c r="E3282" s="216"/>
      <c r="F3282" s="156"/>
      <c r="G3282" s="24"/>
      <c r="H3282" s="2003"/>
      <c r="I3282" s="501"/>
      <c r="J3282" s="502"/>
      <c r="K3282" s="501"/>
    </row>
    <row r="3283" spans="1:11" s="35" customFormat="1">
      <c r="A3283" s="502"/>
      <c r="B3283" s="492" t="s">
        <v>2620</v>
      </c>
      <c r="C3283" s="498"/>
      <c r="D3283" s="498">
        <v>452</v>
      </c>
      <c r="E3283" s="493">
        <f>(4/3)*20</f>
        <v>26.666666666666664</v>
      </c>
      <c r="F3283" s="494">
        <f t="shared" ref="F3283:F3292" si="457">D3283+E3283</f>
        <v>478.66666666666669</v>
      </c>
      <c r="G3283" s="495" t="s">
        <v>7631</v>
      </c>
      <c r="H3283" s="530" t="str">
        <f t="shared" ref="H3283:H3292" si="458">B3283</f>
        <v>GES7160AFM</v>
      </c>
      <c r="I3283" s="501"/>
      <c r="J3283" s="502" t="s">
        <v>1835</v>
      </c>
      <c r="K3283" s="501"/>
    </row>
    <row r="3284" spans="1:11" s="35" customFormat="1">
      <c r="A3284" s="502"/>
      <c r="B3284" s="492" t="s">
        <v>2621</v>
      </c>
      <c r="C3284" s="498"/>
      <c r="D3284" s="498">
        <v>407</v>
      </c>
      <c r="E3284" s="493">
        <f>(4/3)*15</f>
        <v>20</v>
      </c>
      <c r="F3284" s="494">
        <f t="shared" si="457"/>
        <v>427</v>
      </c>
      <c r="G3284" s="495" t="s">
        <v>7632</v>
      </c>
      <c r="H3284" s="530" t="str">
        <f t="shared" si="458"/>
        <v>GES7125AFM</v>
      </c>
      <c r="I3284" s="501"/>
      <c r="J3284" s="502" t="s">
        <v>1835</v>
      </c>
      <c r="K3284" s="501"/>
    </row>
    <row r="3285" spans="1:11" s="35" customFormat="1">
      <c r="A3285" s="502"/>
      <c r="B3285" s="492" t="s">
        <v>2622</v>
      </c>
      <c r="C3285" s="498"/>
      <c r="D3285" s="498">
        <v>407</v>
      </c>
      <c r="E3285" s="493">
        <f t="shared" ref="E3285:E3292" si="459">(4/3)*15</f>
        <v>20</v>
      </c>
      <c r="F3285" s="494">
        <f t="shared" si="457"/>
        <v>427</v>
      </c>
      <c r="G3285" s="495" t="s">
        <v>7633</v>
      </c>
      <c r="H3285" s="530" t="str">
        <f t="shared" si="458"/>
        <v>GES7100AFM</v>
      </c>
      <c r="I3285" s="501"/>
      <c r="J3285" s="502" t="s">
        <v>1835</v>
      </c>
      <c r="K3285" s="501"/>
    </row>
    <row r="3286" spans="1:11" s="35" customFormat="1">
      <c r="A3286" s="502"/>
      <c r="B3286" s="492" t="s">
        <v>2623</v>
      </c>
      <c r="C3286" s="498"/>
      <c r="D3286" s="498">
        <v>407</v>
      </c>
      <c r="E3286" s="493">
        <f t="shared" si="459"/>
        <v>20</v>
      </c>
      <c r="F3286" s="494">
        <f t="shared" si="457"/>
        <v>427</v>
      </c>
      <c r="G3286" s="495" t="s">
        <v>7634</v>
      </c>
      <c r="H3286" s="530" t="str">
        <f t="shared" si="458"/>
        <v>GES7080AFM</v>
      </c>
      <c r="I3286" s="501"/>
      <c r="J3286" s="502" t="s">
        <v>1835</v>
      </c>
      <c r="K3286" s="501"/>
    </row>
    <row r="3287" spans="1:11" s="35" customFormat="1">
      <c r="A3287" s="502"/>
      <c r="B3287" s="492" t="s">
        <v>2624</v>
      </c>
      <c r="C3287" s="498"/>
      <c r="D3287" s="498">
        <v>407</v>
      </c>
      <c r="E3287" s="493">
        <f t="shared" si="459"/>
        <v>20</v>
      </c>
      <c r="F3287" s="494">
        <f t="shared" si="457"/>
        <v>427</v>
      </c>
      <c r="G3287" s="495" t="s">
        <v>7635</v>
      </c>
      <c r="H3287" s="530" t="str">
        <f t="shared" si="458"/>
        <v>GES7063AFM</v>
      </c>
      <c r="I3287" s="501"/>
      <c r="J3287" s="502" t="s">
        <v>1835</v>
      </c>
      <c r="K3287" s="501"/>
    </row>
    <row r="3288" spans="1:11" s="35" customFormat="1">
      <c r="A3288" s="502"/>
      <c r="B3288" s="492" t="s">
        <v>2625</v>
      </c>
      <c r="C3288" s="498"/>
      <c r="D3288" s="498">
        <v>407</v>
      </c>
      <c r="E3288" s="493">
        <f t="shared" si="459"/>
        <v>20</v>
      </c>
      <c r="F3288" s="494">
        <f t="shared" si="457"/>
        <v>427</v>
      </c>
      <c r="G3288" s="495" t="s">
        <v>7636</v>
      </c>
      <c r="H3288" s="530" t="str">
        <f t="shared" si="458"/>
        <v>GES7050AFM</v>
      </c>
      <c r="I3288" s="501"/>
      <c r="J3288" s="502" t="s">
        <v>1835</v>
      </c>
      <c r="K3288" s="501"/>
    </row>
    <row r="3289" spans="1:11" s="35" customFormat="1">
      <c r="A3289" s="502"/>
      <c r="B3289" s="492" t="s">
        <v>2626</v>
      </c>
      <c r="C3289" s="498"/>
      <c r="D3289" s="498">
        <v>407</v>
      </c>
      <c r="E3289" s="493">
        <f t="shared" si="459"/>
        <v>20</v>
      </c>
      <c r="F3289" s="494">
        <f t="shared" si="457"/>
        <v>427</v>
      </c>
      <c r="G3289" s="495" t="s">
        <v>7637</v>
      </c>
      <c r="H3289" s="530" t="str">
        <f t="shared" si="458"/>
        <v>GES7040AFM</v>
      </c>
      <c r="I3289" s="501"/>
      <c r="J3289" s="502" t="s">
        <v>1835</v>
      </c>
      <c r="K3289" s="501"/>
    </row>
    <row r="3290" spans="1:11" s="35" customFormat="1">
      <c r="A3290" s="502"/>
      <c r="B3290" s="492" t="s">
        <v>2627</v>
      </c>
      <c r="C3290" s="498"/>
      <c r="D3290" s="498">
        <v>431</v>
      </c>
      <c r="E3290" s="493">
        <f t="shared" si="459"/>
        <v>20</v>
      </c>
      <c r="F3290" s="494">
        <f t="shared" si="457"/>
        <v>451</v>
      </c>
      <c r="G3290" s="495" t="s">
        <v>7638</v>
      </c>
      <c r="H3290" s="530" t="str">
        <f t="shared" si="458"/>
        <v>GES7032AFM</v>
      </c>
      <c r="I3290" s="501"/>
      <c r="J3290" s="502" t="s">
        <v>1835</v>
      </c>
      <c r="K3290" s="501"/>
    </row>
    <row r="3291" spans="1:11" s="35" customFormat="1">
      <c r="A3291" s="502"/>
      <c r="B3291" s="492" t="s">
        <v>2710</v>
      </c>
      <c r="C3291" s="498"/>
      <c r="D3291" s="498">
        <v>431</v>
      </c>
      <c r="E3291" s="493">
        <f t="shared" si="459"/>
        <v>20</v>
      </c>
      <c r="F3291" s="494">
        <f t="shared" si="457"/>
        <v>451</v>
      </c>
      <c r="G3291" s="495" t="s">
        <v>7639</v>
      </c>
      <c r="H3291" s="530" t="str">
        <f t="shared" si="458"/>
        <v>GES7025AFM</v>
      </c>
      <c r="I3291" s="501"/>
      <c r="J3291" s="502" t="s">
        <v>1835</v>
      </c>
      <c r="K3291" s="501"/>
    </row>
    <row r="3292" spans="1:11" s="35" customFormat="1">
      <c r="A3292" s="502"/>
      <c r="B3292" s="492" t="s">
        <v>2628</v>
      </c>
      <c r="C3292" s="498"/>
      <c r="D3292" s="498">
        <v>431</v>
      </c>
      <c r="E3292" s="493">
        <f t="shared" si="459"/>
        <v>20</v>
      </c>
      <c r="F3292" s="494">
        <f t="shared" si="457"/>
        <v>451</v>
      </c>
      <c r="G3292" s="495" t="s">
        <v>7640</v>
      </c>
      <c r="H3292" s="530" t="str">
        <f t="shared" si="458"/>
        <v>GES7020AFM</v>
      </c>
      <c r="I3292" s="501"/>
      <c r="J3292" s="502" t="s">
        <v>1835</v>
      </c>
      <c r="K3292" s="501"/>
    </row>
    <row r="3293" spans="1:11" s="35" customFormat="1">
      <c r="A3293" s="523"/>
      <c r="B3293" s="524"/>
      <c r="C3293" s="230"/>
      <c r="D3293" s="230"/>
      <c r="E3293" s="462"/>
      <c r="F3293" s="164"/>
      <c r="G3293" s="465"/>
      <c r="H3293" s="2003"/>
      <c r="I3293" s="501"/>
      <c r="J3293" s="502"/>
      <c r="K3293" s="501"/>
    </row>
    <row r="3294" spans="1:11" s="35" customFormat="1">
      <c r="A3294" s="502"/>
      <c r="B3294" s="771" t="s">
        <v>2664</v>
      </c>
      <c r="C3294" s="230"/>
      <c r="D3294" s="230">
        <v>10</v>
      </c>
      <c r="E3294" s="216">
        <v>5</v>
      </c>
      <c r="F3294" s="158">
        <f>D3294+E3294</f>
        <v>15</v>
      </c>
      <c r="G3294" s="504" t="s">
        <v>2629</v>
      </c>
      <c r="H3294" s="530" t="str">
        <f>B3294</f>
        <v>BoxT_GES_4t</v>
      </c>
      <c r="I3294" s="501"/>
      <c r="J3294" s="502" t="s">
        <v>1835</v>
      </c>
      <c r="K3294" s="501"/>
    </row>
    <row r="3295" spans="1:11" s="35" customFormat="1">
      <c r="A3295" s="502"/>
      <c r="B3295" s="771" t="s">
        <v>2630</v>
      </c>
      <c r="C3295" s="230"/>
      <c r="D3295" s="230">
        <v>80</v>
      </c>
      <c r="E3295" s="216">
        <v>5</v>
      </c>
      <c r="F3295" s="158">
        <f>D3295+E3295</f>
        <v>85</v>
      </c>
      <c r="G3295" s="504" t="s">
        <v>2665</v>
      </c>
      <c r="H3295" s="530" t="str">
        <f>B3295</f>
        <v>TunT_GES_4t_160A</v>
      </c>
      <c r="I3295" s="501"/>
      <c r="J3295" s="502" t="s">
        <v>1835</v>
      </c>
      <c r="K3295" s="501"/>
    </row>
    <row r="3296" spans="1:11" s="195" customFormat="1">
      <c r="A3296" s="523"/>
      <c r="B3296" s="821"/>
      <c r="C3296" s="230"/>
      <c r="D3296" s="230"/>
      <c r="E3296" s="462"/>
      <c r="F3296" s="822"/>
      <c r="G3296" s="823"/>
      <c r="H3296" s="146"/>
      <c r="I3296" s="525"/>
      <c r="J3296" s="523"/>
      <c r="K3296" s="525"/>
    </row>
    <row r="3297" spans="1:11" s="195" customFormat="1">
      <c r="A3297" s="523"/>
      <c r="B3297" s="821"/>
      <c r="C3297" s="230"/>
      <c r="D3297" s="230"/>
      <c r="E3297" s="462"/>
      <c r="F3297" s="822"/>
      <c r="G3297" s="823"/>
      <c r="H3297" s="146"/>
      <c r="I3297" s="525"/>
      <c r="J3297" s="523"/>
      <c r="K3297" s="525"/>
    </row>
    <row r="3298" spans="1:11" s="35" customFormat="1">
      <c r="A3298" s="502"/>
      <c r="B3298" s="51"/>
      <c r="C3298" s="230"/>
      <c r="D3298" s="230"/>
      <c r="E3298" s="216"/>
      <c r="F3298" s="156"/>
      <c r="G3298" s="501"/>
      <c r="H3298" s="146"/>
      <c r="I3298" s="501"/>
      <c r="J3298" s="502"/>
      <c r="K3298" s="501"/>
    </row>
    <row r="3299" spans="1:11" s="35" customFormat="1">
      <c r="A3299" s="502"/>
      <c r="B3299" s="492" t="s">
        <v>2692</v>
      </c>
      <c r="C3299" s="498"/>
      <c r="D3299" s="498">
        <f>175*1.8</f>
        <v>315</v>
      </c>
      <c r="E3299" s="493">
        <f>20*2/3</f>
        <v>13.333333333333334</v>
      </c>
      <c r="F3299" s="494">
        <f t="shared" ref="F3299:F3307" si="460">D3299+E3299</f>
        <v>328.33333333333331</v>
      </c>
      <c r="G3299" s="495" t="s">
        <v>7641</v>
      </c>
      <c r="H3299" s="530" t="str">
        <f t="shared" ref="H3299:H3307" si="461">B3299</f>
        <v>GES2125FFG</v>
      </c>
      <c r="I3299" s="501"/>
      <c r="J3299" s="502" t="s">
        <v>1835</v>
      </c>
      <c r="K3299" s="501"/>
    </row>
    <row r="3300" spans="1:11" s="35" customFormat="1">
      <c r="A3300" s="523"/>
      <c r="B3300" s="492" t="s">
        <v>2693</v>
      </c>
      <c r="C3300" s="498"/>
      <c r="D3300" s="498">
        <v>312</v>
      </c>
      <c r="E3300" s="493">
        <f t="shared" ref="E3300:E3307" si="462">2/3*15</f>
        <v>10</v>
      </c>
      <c r="F3300" s="494">
        <f t="shared" si="460"/>
        <v>322</v>
      </c>
      <c r="G3300" s="495" t="s">
        <v>7642</v>
      </c>
      <c r="H3300" s="530" t="str">
        <f t="shared" si="461"/>
        <v>GES2100FFG</v>
      </c>
      <c r="I3300" s="501"/>
      <c r="J3300" s="502" t="s">
        <v>1835</v>
      </c>
      <c r="K3300" s="501"/>
    </row>
    <row r="3301" spans="1:11" s="35" customFormat="1">
      <c r="A3301" s="523"/>
      <c r="B3301" s="492" t="s">
        <v>89</v>
      </c>
      <c r="C3301" s="498"/>
      <c r="D3301" s="498">
        <v>312</v>
      </c>
      <c r="E3301" s="493">
        <f t="shared" si="462"/>
        <v>10</v>
      </c>
      <c r="F3301" s="494">
        <f t="shared" si="460"/>
        <v>322</v>
      </c>
      <c r="G3301" s="495" t="s">
        <v>7643</v>
      </c>
      <c r="H3301" s="530" t="str">
        <f t="shared" si="461"/>
        <v>GES2080FFG</v>
      </c>
      <c r="I3301" s="501"/>
      <c r="J3301" s="502" t="s">
        <v>1835</v>
      </c>
      <c r="K3301" s="501"/>
    </row>
    <row r="3302" spans="1:11" s="35" customFormat="1">
      <c r="A3302" s="523"/>
      <c r="B3302" s="492" t="s">
        <v>321</v>
      </c>
      <c r="C3302" s="498"/>
      <c r="D3302" s="498">
        <v>312</v>
      </c>
      <c r="E3302" s="493">
        <f t="shared" si="462"/>
        <v>10</v>
      </c>
      <c r="F3302" s="494">
        <f t="shared" si="460"/>
        <v>322</v>
      </c>
      <c r="G3302" s="495" t="s">
        <v>7644</v>
      </c>
      <c r="H3302" s="530" t="str">
        <f t="shared" si="461"/>
        <v>GES2063FFG</v>
      </c>
      <c r="I3302" s="501"/>
      <c r="J3302" s="502" t="s">
        <v>1835</v>
      </c>
      <c r="K3302" s="501"/>
    </row>
    <row r="3303" spans="1:11" s="35" customFormat="1">
      <c r="A3303" s="523"/>
      <c r="B3303" s="492" t="s">
        <v>2694</v>
      </c>
      <c r="C3303" s="498"/>
      <c r="D3303" s="498">
        <v>280.2</v>
      </c>
      <c r="E3303" s="493">
        <f t="shared" si="462"/>
        <v>10</v>
      </c>
      <c r="F3303" s="494">
        <f t="shared" si="460"/>
        <v>290.2</v>
      </c>
      <c r="G3303" s="495" t="s">
        <v>7645</v>
      </c>
      <c r="H3303" s="530" t="str">
        <f t="shared" si="461"/>
        <v>GES2050FFG</v>
      </c>
      <c r="I3303" s="501"/>
      <c r="J3303" s="502" t="s">
        <v>1835</v>
      </c>
      <c r="K3303" s="501"/>
    </row>
    <row r="3304" spans="1:11" s="35" customFormat="1">
      <c r="A3304" s="523"/>
      <c r="B3304" s="492" t="s">
        <v>48</v>
      </c>
      <c r="C3304" s="498"/>
      <c r="D3304" s="498">
        <v>280.2</v>
      </c>
      <c r="E3304" s="493">
        <f t="shared" si="462"/>
        <v>10</v>
      </c>
      <c r="F3304" s="494">
        <f t="shared" si="460"/>
        <v>290.2</v>
      </c>
      <c r="G3304" s="495" t="s">
        <v>7646</v>
      </c>
      <c r="H3304" s="530" t="str">
        <f t="shared" si="461"/>
        <v>GES2040FFG</v>
      </c>
      <c r="I3304" s="501"/>
      <c r="J3304" s="502" t="s">
        <v>1835</v>
      </c>
      <c r="K3304" s="501"/>
    </row>
    <row r="3305" spans="1:11" s="35" customFormat="1">
      <c r="A3305" s="523"/>
      <c r="B3305" s="492" t="s">
        <v>144</v>
      </c>
      <c r="C3305" s="498"/>
      <c r="D3305" s="498">
        <v>280.2</v>
      </c>
      <c r="E3305" s="493">
        <f t="shared" si="462"/>
        <v>10</v>
      </c>
      <c r="F3305" s="494">
        <f t="shared" si="460"/>
        <v>290.2</v>
      </c>
      <c r="G3305" s="495" t="s">
        <v>7647</v>
      </c>
      <c r="H3305" s="530" t="str">
        <f t="shared" si="461"/>
        <v>GES2032FFG</v>
      </c>
      <c r="I3305" s="501"/>
      <c r="J3305" s="502" t="s">
        <v>1835</v>
      </c>
      <c r="K3305" s="501"/>
    </row>
    <row r="3306" spans="1:11" s="35" customFormat="1">
      <c r="A3306" s="523"/>
      <c r="B3306" s="492" t="s">
        <v>142</v>
      </c>
      <c r="C3306" s="498"/>
      <c r="D3306" s="498">
        <v>280.2</v>
      </c>
      <c r="E3306" s="493">
        <f t="shared" si="462"/>
        <v>10</v>
      </c>
      <c r="F3306" s="494">
        <f t="shared" si="460"/>
        <v>290.2</v>
      </c>
      <c r="G3306" s="495" t="s">
        <v>7648</v>
      </c>
      <c r="H3306" s="530" t="str">
        <f t="shared" si="461"/>
        <v>GES2020FFG</v>
      </c>
      <c r="I3306" s="501"/>
      <c r="J3306" s="502" t="s">
        <v>1835</v>
      </c>
      <c r="K3306" s="501"/>
    </row>
    <row r="3307" spans="1:11" s="35" customFormat="1">
      <c r="A3307" s="523"/>
      <c r="B3307" s="492" t="s">
        <v>12312</v>
      </c>
      <c r="C3307" s="498"/>
      <c r="D3307" s="498">
        <v>280.2</v>
      </c>
      <c r="E3307" s="493">
        <f t="shared" si="462"/>
        <v>10</v>
      </c>
      <c r="F3307" s="494">
        <f t="shared" si="460"/>
        <v>290.2</v>
      </c>
      <c r="G3307" s="495" t="s">
        <v>12313</v>
      </c>
      <c r="H3307" s="530" t="str">
        <f t="shared" si="461"/>
        <v>GES2015FFG</v>
      </c>
      <c r="I3307" s="501"/>
      <c r="J3307" s="502" t="s">
        <v>1835</v>
      </c>
      <c r="K3307" s="501"/>
    </row>
    <row r="3308" spans="1:11" s="35" customFormat="1">
      <c r="A3308" s="523"/>
      <c r="B3308" s="492"/>
      <c r="C3308" s="498"/>
      <c r="D3308" s="498"/>
      <c r="E3308" s="493"/>
      <c r="F3308" s="494"/>
      <c r="G3308" s="495"/>
      <c r="H3308" s="530"/>
      <c r="I3308" s="501"/>
      <c r="J3308" s="502"/>
      <c r="K3308" s="501"/>
    </row>
    <row r="3309" spans="1:11" s="35" customFormat="1">
      <c r="A3309" s="523"/>
      <c r="B3309" s="50" t="s">
        <v>92</v>
      </c>
      <c r="C3309" s="230"/>
      <c r="D3309" s="230">
        <v>88.5</v>
      </c>
      <c r="E3309" s="216">
        <v>11.5</v>
      </c>
      <c r="F3309" s="156">
        <f>D3309+E3309</f>
        <v>100</v>
      </c>
      <c r="G3309" s="24" t="s">
        <v>7649</v>
      </c>
      <c r="H3309" s="2029" t="s">
        <v>92</v>
      </c>
      <c r="I3309" s="501"/>
      <c r="J3309" s="502" t="s">
        <v>1835</v>
      </c>
      <c r="K3309" s="501"/>
    </row>
    <row r="3310" spans="1:11" s="35" customFormat="1">
      <c r="A3310" s="523"/>
      <c r="B3310" s="50" t="s">
        <v>93</v>
      </c>
      <c r="C3310" s="230"/>
      <c r="D3310" s="230">
        <v>280</v>
      </c>
      <c r="E3310" s="216">
        <v>11.5</v>
      </c>
      <c r="F3310" s="156">
        <f>D3310+E3310</f>
        <v>291.5</v>
      </c>
      <c r="G3310" s="24" t="s">
        <v>7650</v>
      </c>
      <c r="H3310" s="2029" t="s">
        <v>93</v>
      </c>
      <c r="I3310" s="501"/>
      <c r="J3310" s="502" t="s">
        <v>1835</v>
      </c>
      <c r="K3310" s="501"/>
    </row>
    <row r="3311" spans="1:11" s="35" customFormat="1">
      <c r="A3311" s="523"/>
      <c r="B3311" s="51"/>
      <c r="C3311" s="230"/>
      <c r="D3311" s="230"/>
      <c r="E3311" s="216"/>
      <c r="F3311" s="156"/>
      <c r="G3311" s="501"/>
      <c r="H3311" s="2003"/>
      <c r="I3311" s="501"/>
      <c r="J3311" s="502"/>
      <c r="K3311" s="501"/>
    </row>
    <row r="3312" spans="1:11" s="35" customFormat="1">
      <c r="A3312" s="502"/>
      <c r="B3312" s="771" t="s">
        <v>2688</v>
      </c>
      <c r="C3312" s="230"/>
      <c r="D3312" s="230">
        <f>10/1.5</f>
        <v>6.666666666666667</v>
      </c>
      <c r="E3312" s="216">
        <v>5</v>
      </c>
      <c r="F3312" s="158">
        <f>D3312+E3312</f>
        <v>11.666666666666668</v>
      </c>
      <c r="G3312" s="504" t="s">
        <v>2689</v>
      </c>
      <c r="H3312" s="530" t="str">
        <f>B3312</f>
        <v>BoxT_GES_2t</v>
      </c>
      <c r="I3312" s="501"/>
      <c r="J3312" s="502" t="s">
        <v>1835</v>
      </c>
      <c r="K3312" s="501"/>
    </row>
    <row r="3313" spans="1:11" s="35" customFormat="1">
      <c r="A3313" s="502"/>
      <c r="B3313" s="771" t="s">
        <v>2691</v>
      </c>
      <c r="C3313" s="230"/>
      <c r="D3313" s="230">
        <f>80/1.5</f>
        <v>53.333333333333336</v>
      </c>
      <c r="E3313" s="216">
        <v>5</v>
      </c>
      <c r="F3313" s="158">
        <f>D3313+E3313</f>
        <v>58.333333333333336</v>
      </c>
      <c r="G3313" s="504" t="s">
        <v>2690</v>
      </c>
      <c r="H3313" s="530" t="str">
        <f>B3313</f>
        <v>TunT_GES_2t_160A</v>
      </c>
      <c r="I3313" s="501"/>
      <c r="J3313" s="502" t="s">
        <v>1835</v>
      </c>
      <c r="K3313" s="501"/>
    </row>
    <row r="3314" spans="1:11" s="35" customFormat="1">
      <c r="A3314" s="502"/>
      <c r="B3314" s="821"/>
      <c r="C3314" s="230"/>
      <c r="D3314" s="230"/>
      <c r="E3314" s="462"/>
      <c r="F3314" s="822"/>
      <c r="G3314" s="823"/>
      <c r="H3314" s="146"/>
      <c r="I3314" s="501"/>
      <c r="J3314" s="502"/>
      <c r="K3314" s="501"/>
    </row>
    <row r="3315" spans="1:11" s="2063" customFormat="1">
      <c r="A3315" s="510"/>
      <c r="B3315" s="55" t="s">
        <v>13308</v>
      </c>
      <c r="C3315" s="384"/>
      <c r="D3315" s="384">
        <f>639.5*2.45*0.9</f>
        <v>1410.0975000000001</v>
      </c>
      <c r="E3315" s="2220">
        <v>20</v>
      </c>
      <c r="F3315" s="385">
        <f t="shared" ref="F3315:F3321" si="463">D3315+E3315</f>
        <v>1430.0975000000001</v>
      </c>
      <c r="G3315" s="2221" t="s">
        <v>13309</v>
      </c>
      <c r="H3315" s="2222" t="s">
        <v>145</v>
      </c>
      <c r="I3315" s="2223"/>
      <c r="J3315" s="510" t="s">
        <v>1835</v>
      </c>
      <c r="K3315" s="2223"/>
    </row>
    <row r="3316" spans="1:11" s="2063" customFormat="1">
      <c r="A3316" s="510"/>
      <c r="B3316" s="55" t="s">
        <v>13310</v>
      </c>
      <c r="C3316" s="384"/>
      <c r="D3316" s="384">
        <f>671.5*2.45*0.9</f>
        <v>1480.6575000000003</v>
      </c>
      <c r="E3316" s="2220">
        <v>20</v>
      </c>
      <c r="F3316" s="385">
        <f t="shared" si="463"/>
        <v>1500.6575000000003</v>
      </c>
      <c r="G3316" s="2221" t="s">
        <v>13311</v>
      </c>
      <c r="H3316" s="2222" t="s">
        <v>49</v>
      </c>
      <c r="I3316" s="2223"/>
      <c r="J3316" s="510" t="s">
        <v>1835</v>
      </c>
      <c r="K3316" s="2223"/>
    </row>
    <row r="3317" spans="1:11" s="2063" customFormat="1">
      <c r="A3317" s="510"/>
      <c r="B3317" s="55" t="s">
        <v>13312</v>
      </c>
      <c r="C3317" s="384"/>
      <c r="D3317" s="384">
        <f>107.55*2.45*0.9</f>
        <v>237.14775</v>
      </c>
      <c r="E3317" s="2220">
        <v>15</v>
      </c>
      <c r="F3317" s="385">
        <f t="shared" si="463"/>
        <v>252.14775</v>
      </c>
      <c r="G3317" s="2221" t="s">
        <v>13313</v>
      </c>
      <c r="H3317" s="2222" t="s">
        <v>52</v>
      </c>
      <c r="I3317" s="2223"/>
      <c r="J3317" s="510" t="s">
        <v>1835</v>
      </c>
      <c r="K3317" s="2223"/>
    </row>
    <row r="3318" spans="1:11" s="2063" customFormat="1">
      <c r="A3318" s="510"/>
      <c r="B3318" s="55" t="s">
        <v>13314</v>
      </c>
      <c r="C3318" s="384"/>
      <c r="D3318" s="384">
        <f>647.7*2.45*0.9</f>
        <v>1428.1785000000002</v>
      </c>
      <c r="E3318" s="2220">
        <v>15</v>
      </c>
      <c r="F3318" s="385">
        <f t="shared" si="463"/>
        <v>1443.1785000000002</v>
      </c>
      <c r="G3318" s="2221" t="s">
        <v>13315</v>
      </c>
      <c r="H3318" s="2222" t="s">
        <v>98</v>
      </c>
      <c r="I3318" s="2223"/>
      <c r="J3318" s="510" t="s">
        <v>1835</v>
      </c>
      <c r="K3318" s="2223"/>
    </row>
    <row r="3319" spans="1:11" s="2063" customFormat="1">
      <c r="A3319" s="510"/>
      <c r="B3319" s="55" t="s">
        <v>13316</v>
      </c>
      <c r="C3319" s="384"/>
      <c r="D3319" s="384">
        <f>871.45*2.45*0.9</f>
        <v>1921.5472500000003</v>
      </c>
      <c r="E3319" s="2220">
        <v>15</v>
      </c>
      <c r="F3319" s="385">
        <f t="shared" si="463"/>
        <v>1936.5472500000003</v>
      </c>
      <c r="G3319" s="2221" t="s">
        <v>13317</v>
      </c>
      <c r="H3319" s="2222" t="s">
        <v>50</v>
      </c>
      <c r="I3319" s="2223"/>
      <c r="J3319" s="510" t="s">
        <v>1835</v>
      </c>
      <c r="K3319" s="2223"/>
    </row>
    <row r="3320" spans="1:11" s="2063" customFormat="1">
      <c r="A3320" s="510"/>
      <c r="B3320" s="55" t="s">
        <v>13318</v>
      </c>
      <c r="C3320" s="384"/>
      <c r="D3320" s="384">
        <f>2010*2.45*0.9</f>
        <v>4432.05</v>
      </c>
      <c r="E3320" s="2220">
        <v>15</v>
      </c>
      <c r="F3320" s="385">
        <f t="shared" si="463"/>
        <v>4447.05</v>
      </c>
      <c r="G3320" s="2221" t="s">
        <v>13317</v>
      </c>
      <c r="H3320" s="2222" t="s">
        <v>78</v>
      </c>
      <c r="I3320" s="2223"/>
      <c r="J3320" s="510" t="s">
        <v>1835</v>
      </c>
      <c r="K3320" s="2223"/>
    </row>
    <row r="3321" spans="1:11" s="2063" customFormat="1">
      <c r="A3321" s="510"/>
      <c r="B3321" s="55" t="s">
        <v>7788</v>
      </c>
      <c r="C3321" s="384"/>
      <c r="D3321" s="384">
        <v>67.8</v>
      </c>
      <c r="E3321" s="2220">
        <v>15</v>
      </c>
      <c r="F3321" s="385">
        <f t="shared" si="463"/>
        <v>82.8</v>
      </c>
      <c r="G3321" s="2221" t="s">
        <v>13319</v>
      </c>
      <c r="H3321" s="2222" t="s">
        <v>79</v>
      </c>
      <c r="I3321" s="2223"/>
      <c r="J3321" s="510" t="s">
        <v>1835</v>
      </c>
      <c r="K3321" s="2223"/>
    </row>
    <row r="3322" spans="1:11" s="35" customFormat="1">
      <c r="A3322" s="502"/>
      <c r="B3322" s="821"/>
      <c r="C3322" s="230"/>
      <c r="D3322" s="230"/>
      <c r="E3322" s="462"/>
      <c r="F3322" s="822"/>
      <c r="G3322" s="823"/>
      <c r="H3322" s="146"/>
      <c r="I3322" s="501"/>
      <c r="J3322" s="502"/>
      <c r="K3322" s="501"/>
    </row>
    <row r="3323" spans="1:11" s="2063" customFormat="1" ht="25.5">
      <c r="A3323" s="510"/>
      <c r="B3323" s="55" t="s">
        <v>13404</v>
      </c>
      <c r="C3323" s="384"/>
      <c r="D3323" s="384">
        <v>2070.6</v>
      </c>
      <c r="E3323" s="2220">
        <v>15</v>
      </c>
      <c r="F3323" s="385">
        <f t="shared" ref="F3323:F3327" si="464">D3323+E3323</f>
        <v>2085.6</v>
      </c>
      <c r="G3323" s="2236" t="s">
        <v>13405</v>
      </c>
      <c r="H3323" s="2222" t="s">
        <v>13404</v>
      </c>
      <c r="I3323" s="2223"/>
      <c r="J3323" s="510" t="s">
        <v>1835</v>
      </c>
      <c r="K3323" s="2223"/>
    </row>
    <row r="3324" spans="1:11" s="2063" customFormat="1" ht="25.5">
      <c r="A3324" s="510"/>
      <c r="B3324" s="55" t="s">
        <v>13406</v>
      </c>
      <c r="C3324" s="384"/>
      <c r="D3324" s="384">
        <v>2140</v>
      </c>
      <c r="E3324" s="2220">
        <v>15</v>
      </c>
      <c r="F3324" s="385">
        <f t="shared" si="464"/>
        <v>2155</v>
      </c>
      <c r="G3324" s="2236" t="s">
        <v>13407</v>
      </c>
      <c r="H3324" s="2222" t="s">
        <v>13406</v>
      </c>
      <c r="I3324" s="2223"/>
      <c r="J3324" s="510" t="s">
        <v>1835</v>
      </c>
      <c r="K3324" s="2223"/>
    </row>
    <row r="3325" spans="1:11" s="2063" customFormat="1">
      <c r="A3325" s="510"/>
      <c r="B3325" s="55" t="s">
        <v>13408</v>
      </c>
      <c r="C3325" s="384"/>
      <c r="D3325" s="384">
        <v>58</v>
      </c>
      <c r="E3325" s="2220">
        <v>5</v>
      </c>
      <c r="F3325" s="385">
        <f t="shared" si="464"/>
        <v>63</v>
      </c>
      <c r="G3325" s="2236" t="s">
        <v>13409</v>
      </c>
      <c r="H3325" s="2222" t="str">
        <f>B3325</f>
        <v>A2KES250T1</v>
      </c>
      <c r="I3325" s="2223"/>
      <c r="J3325" s="510" t="s">
        <v>1835</v>
      </c>
      <c r="K3325" s="2223"/>
    </row>
    <row r="3326" spans="1:11" s="2063" customFormat="1">
      <c r="A3326" s="510"/>
      <c r="B3326" s="55" t="s">
        <v>13410</v>
      </c>
      <c r="C3326" s="384"/>
      <c r="D3326" s="384">
        <v>20</v>
      </c>
      <c r="E3326" s="2220">
        <v>5</v>
      </c>
      <c r="F3326" s="385">
        <f t="shared" si="464"/>
        <v>25</v>
      </c>
      <c r="G3326" s="2236" t="s">
        <v>13411</v>
      </c>
      <c r="H3326" s="2222" t="str">
        <f>B3326</f>
        <v>TA350K</v>
      </c>
      <c r="I3326" s="2223"/>
      <c r="J3326" s="510" t="s">
        <v>1835</v>
      </c>
      <c r="K3326" s="2223"/>
    </row>
    <row r="3327" spans="1:11" s="2063" customFormat="1">
      <c r="A3327" s="510"/>
      <c r="B3327" s="55" t="s">
        <v>13412</v>
      </c>
      <c r="C3327" s="384"/>
      <c r="D3327" s="384">
        <v>49</v>
      </c>
      <c r="E3327" s="2220">
        <v>5</v>
      </c>
      <c r="F3327" s="385">
        <f t="shared" si="464"/>
        <v>54</v>
      </c>
      <c r="G3327" s="2236" t="s">
        <v>13413</v>
      </c>
      <c r="H3327" s="2222" t="str">
        <f>B3327</f>
        <v>3TA400K</v>
      </c>
      <c r="I3327" s="2223"/>
      <c r="J3327" s="510" t="s">
        <v>1835</v>
      </c>
      <c r="K3327" s="2223"/>
    </row>
    <row r="3328" spans="1:11" s="35" customFormat="1">
      <c r="A3328" s="502"/>
      <c r="B3328" s="501"/>
      <c r="C3328" s="230"/>
      <c r="D3328" s="230"/>
      <c r="E3328" s="505"/>
      <c r="F3328" s="506"/>
      <c r="G3328" s="501"/>
      <c r="H3328" s="2003"/>
      <c r="I3328" s="501"/>
      <c r="J3328" s="502"/>
      <c r="K3328" s="501"/>
    </row>
    <row r="3329" spans="1:11" s="35" customFormat="1">
      <c r="A3329" s="502"/>
      <c r="B3329" s="50" t="s">
        <v>145</v>
      </c>
      <c r="C3329" s="230"/>
      <c r="D3329" s="230">
        <v>160</v>
      </c>
      <c r="E3329" s="216">
        <v>20</v>
      </c>
      <c r="F3329" s="156">
        <f t="shared" ref="F3329:F3339" si="465">D3329+E3329</f>
        <v>180</v>
      </c>
      <c r="G3329" s="24" t="s">
        <v>7651</v>
      </c>
      <c r="H3329" s="2029" t="s">
        <v>145</v>
      </c>
      <c r="I3329" s="501"/>
      <c r="J3329" s="502" t="s">
        <v>1835</v>
      </c>
      <c r="K3329" s="501"/>
    </row>
    <row r="3330" spans="1:11" s="35" customFormat="1">
      <c r="A3330" s="502"/>
      <c r="B3330" s="50" t="s">
        <v>49</v>
      </c>
      <c r="C3330" s="230"/>
      <c r="D3330" s="230">
        <v>140</v>
      </c>
      <c r="E3330" s="216">
        <v>20</v>
      </c>
      <c r="F3330" s="156">
        <f t="shared" si="465"/>
        <v>160</v>
      </c>
      <c r="G3330" s="24" t="s">
        <v>7652</v>
      </c>
      <c r="H3330" s="2029" t="s">
        <v>49</v>
      </c>
      <c r="I3330" s="501"/>
      <c r="J3330" s="502" t="s">
        <v>1835</v>
      </c>
      <c r="K3330" s="501"/>
    </row>
    <row r="3331" spans="1:11" s="35" customFormat="1">
      <c r="A3331" s="502"/>
      <c r="B3331" s="50" t="s">
        <v>52</v>
      </c>
      <c r="C3331" s="230"/>
      <c r="D3331" s="230">
        <v>125</v>
      </c>
      <c r="E3331" s="216">
        <v>15</v>
      </c>
      <c r="F3331" s="156">
        <f t="shared" si="465"/>
        <v>140</v>
      </c>
      <c r="G3331" s="24" t="s">
        <v>7653</v>
      </c>
      <c r="H3331" s="2029" t="s">
        <v>52</v>
      </c>
      <c r="I3331" s="501"/>
      <c r="J3331" s="502" t="s">
        <v>1835</v>
      </c>
      <c r="K3331" s="501"/>
    </row>
    <row r="3332" spans="1:11" s="35" customFormat="1">
      <c r="A3332" s="502"/>
      <c r="B3332" s="50" t="s">
        <v>98</v>
      </c>
      <c r="C3332" s="230"/>
      <c r="D3332" s="230">
        <v>125</v>
      </c>
      <c r="E3332" s="216">
        <v>15</v>
      </c>
      <c r="F3332" s="156">
        <f t="shared" si="465"/>
        <v>140</v>
      </c>
      <c r="G3332" s="24" t="s">
        <v>7654</v>
      </c>
      <c r="H3332" s="2029" t="s">
        <v>98</v>
      </c>
      <c r="I3332" s="501"/>
      <c r="J3332" s="502" t="s">
        <v>1835</v>
      </c>
      <c r="K3332" s="501"/>
    </row>
    <row r="3333" spans="1:11" s="35" customFormat="1">
      <c r="A3333" s="499" t="s">
        <v>13982</v>
      </c>
      <c r="B3333" s="50" t="s">
        <v>50</v>
      </c>
      <c r="C3333" s="230"/>
      <c r="D3333" s="230">
        <v>160</v>
      </c>
      <c r="E3333" s="216">
        <v>15</v>
      </c>
      <c r="F3333" s="156">
        <f t="shared" si="465"/>
        <v>175</v>
      </c>
      <c r="G3333" s="24" t="s">
        <v>7655</v>
      </c>
      <c r="H3333" s="2029" t="s">
        <v>50</v>
      </c>
      <c r="I3333" s="501"/>
      <c r="J3333" s="502" t="s">
        <v>1835</v>
      </c>
      <c r="K3333" s="501"/>
    </row>
    <row r="3334" spans="1:11" s="35" customFormat="1">
      <c r="A3334" s="502"/>
      <c r="B3334" s="50" t="s">
        <v>78</v>
      </c>
      <c r="C3334" s="230"/>
      <c r="D3334" s="230">
        <v>125</v>
      </c>
      <c r="E3334" s="216">
        <v>15</v>
      </c>
      <c r="F3334" s="156">
        <f t="shared" si="465"/>
        <v>140</v>
      </c>
      <c r="G3334" s="24" t="s">
        <v>7656</v>
      </c>
      <c r="H3334" s="2029" t="s">
        <v>78</v>
      </c>
      <c r="I3334" s="501"/>
      <c r="J3334" s="502" t="s">
        <v>1835</v>
      </c>
      <c r="K3334" s="501"/>
    </row>
    <row r="3335" spans="1:11" s="35" customFormat="1">
      <c r="A3335" s="502"/>
      <c r="B3335" s="50" t="s">
        <v>79</v>
      </c>
      <c r="C3335" s="230"/>
      <c r="D3335" s="230">
        <v>125</v>
      </c>
      <c r="E3335" s="216">
        <v>15</v>
      </c>
      <c r="F3335" s="156">
        <f t="shared" si="465"/>
        <v>140</v>
      </c>
      <c r="G3335" s="24" t="s">
        <v>7657</v>
      </c>
      <c r="H3335" s="2029" t="s">
        <v>79</v>
      </c>
      <c r="I3335" s="501"/>
      <c r="J3335" s="502" t="s">
        <v>1835</v>
      </c>
      <c r="K3335" s="501"/>
    </row>
    <row r="3336" spans="1:11" s="35" customFormat="1">
      <c r="A3336" s="502"/>
      <c r="B3336" s="50" t="s">
        <v>54</v>
      </c>
      <c r="C3336" s="230"/>
      <c r="D3336" s="230">
        <v>125</v>
      </c>
      <c r="E3336" s="216">
        <v>15</v>
      </c>
      <c r="F3336" s="156">
        <f t="shared" si="465"/>
        <v>140</v>
      </c>
      <c r="G3336" s="24" t="s">
        <v>7658</v>
      </c>
      <c r="H3336" s="2029" t="s">
        <v>54</v>
      </c>
      <c r="I3336" s="501"/>
      <c r="J3336" s="502" t="s">
        <v>1835</v>
      </c>
      <c r="K3336" s="501"/>
    </row>
    <row r="3337" spans="1:11" s="35" customFormat="1">
      <c r="A3337" s="502"/>
      <c r="B3337" s="50" t="s">
        <v>53</v>
      </c>
      <c r="C3337" s="230"/>
      <c r="D3337" s="230">
        <v>125</v>
      </c>
      <c r="E3337" s="216">
        <v>15</v>
      </c>
      <c r="F3337" s="156">
        <f t="shared" si="465"/>
        <v>140</v>
      </c>
      <c r="G3337" s="24" t="s">
        <v>7659</v>
      </c>
      <c r="H3337" s="2029" t="s">
        <v>53</v>
      </c>
      <c r="I3337" s="501"/>
      <c r="J3337" s="502" t="s">
        <v>1835</v>
      </c>
      <c r="K3337" s="501"/>
    </row>
    <row r="3338" spans="1:11" s="35" customFormat="1">
      <c r="A3338" s="502"/>
      <c r="B3338" s="50" t="s">
        <v>51</v>
      </c>
      <c r="C3338" s="230"/>
      <c r="D3338" s="230">
        <v>125</v>
      </c>
      <c r="E3338" s="216">
        <v>15</v>
      </c>
      <c r="F3338" s="156">
        <f t="shared" si="465"/>
        <v>140</v>
      </c>
      <c r="G3338" s="24" t="s">
        <v>7660</v>
      </c>
      <c r="H3338" s="2029" t="s">
        <v>51</v>
      </c>
      <c r="I3338" s="501"/>
      <c r="J3338" s="502" t="s">
        <v>1835</v>
      </c>
      <c r="K3338" s="501"/>
    </row>
    <row r="3339" spans="1:11" s="35" customFormat="1">
      <c r="A3339" s="502"/>
      <c r="B3339" s="50" t="s">
        <v>91</v>
      </c>
      <c r="C3339" s="230"/>
      <c r="D3339" s="230">
        <v>125</v>
      </c>
      <c r="E3339" s="216">
        <v>15</v>
      </c>
      <c r="F3339" s="156">
        <f t="shared" si="465"/>
        <v>140</v>
      </c>
      <c r="G3339" s="24" t="s">
        <v>7661</v>
      </c>
      <c r="H3339" s="2029" t="s">
        <v>91</v>
      </c>
      <c r="I3339" s="501"/>
      <c r="J3339" s="502" t="s">
        <v>1835</v>
      </c>
      <c r="K3339" s="501"/>
    </row>
    <row r="3340" spans="1:11" s="35" customFormat="1">
      <c r="A3340" s="502"/>
      <c r="B3340" s="50"/>
      <c r="C3340" s="230"/>
      <c r="D3340" s="230"/>
      <c r="E3340" s="216"/>
      <c r="F3340" s="156"/>
      <c r="G3340" s="24"/>
      <c r="H3340" s="2029"/>
      <c r="I3340" s="501"/>
      <c r="J3340" s="502"/>
      <c r="K3340" s="501"/>
    </row>
    <row r="3341" spans="1:11" s="35" customFormat="1">
      <c r="A3341" s="502"/>
      <c r="B3341" s="51"/>
      <c r="C3341" s="230"/>
      <c r="D3341" s="230"/>
      <c r="E3341" s="216"/>
      <c r="F3341" s="156"/>
      <c r="G3341" s="501"/>
      <c r="H3341" s="2030"/>
      <c r="I3341" s="501"/>
      <c r="J3341" s="502"/>
      <c r="K3341" s="501"/>
    </row>
    <row r="3342" spans="1:11" s="35" customFormat="1">
      <c r="A3342" s="502"/>
      <c r="B3342" s="50" t="s">
        <v>147</v>
      </c>
      <c r="C3342" s="230"/>
      <c r="D3342" s="230">
        <v>140</v>
      </c>
      <c r="E3342" s="216">
        <v>20</v>
      </c>
      <c r="F3342" s="156">
        <f>D3342+E3342</f>
        <v>160</v>
      </c>
      <c r="G3342" s="24" t="s">
        <v>7662</v>
      </c>
      <c r="H3342" s="2029" t="s">
        <v>147</v>
      </c>
      <c r="I3342" s="501"/>
      <c r="J3342" s="502" t="s">
        <v>1835</v>
      </c>
      <c r="K3342" s="501"/>
    </row>
    <row r="3343" spans="1:11" s="35" customFormat="1">
      <c r="A3343" s="502"/>
      <c r="B3343" s="50" t="s">
        <v>146</v>
      </c>
      <c r="C3343" s="230"/>
      <c r="D3343" s="230">
        <v>120</v>
      </c>
      <c r="E3343" s="216">
        <v>20</v>
      </c>
      <c r="F3343" s="156">
        <f>D3343+E3343</f>
        <v>140</v>
      </c>
      <c r="G3343" s="24" t="s">
        <v>7663</v>
      </c>
      <c r="H3343" s="2029" t="s">
        <v>146</v>
      </c>
      <c r="I3343" s="501"/>
      <c r="J3343" s="502" t="s">
        <v>1835</v>
      </c>
      <c r="K3343" s="501"/>
    </row>
    <row r="3344" spans="1:11" s="35" customFormat="1">
      <c r="A3344" s="2190"/>
      <c r="B3344" s="50" t="s">
        <v>13983</v>
      </c>
      <c r="C3344" s="230"/>
      <c r="D3344" s="230">
        <v>140</v>
      </c>
      <c r="E3344" s="216">
        <v>20</v>
      </c>
      <c r="F3344" s="156">
        <f>D3344+E3344</f>
        <v>160</v>
      </c>
      <c r="G3344" s="24" t="s">
        <v>13984</v>
      </c>
      <c r="H3344" s="2029" t="s">
        <v>13983</v>
      </c>
      <c r="I3344" s="501"/>
      <c r="J3344" s="502" t="s">
        <v>1835</v>
      </c>
      <c r="K3344" s="501"/>
    </row>
    <row r="3345" spans="1:11" s="35" customFormat="1">
      <c r="A3345" s="502"/>
      <c r="B3345" s="50"/>
      <c r="C3345" s="230"/>
      <c r="D3345" s="230"/>
      <c r="E3345" s="216"/>
      <c r="F3345" s="156"/>
      <c r="G3345" s="24"/>
      <c r="H3345" s="2029"/>
      <c r="I3345" s="501"/>
      <c r="J3345" s="502"/>
      <c r="K3345" s="501"/>
    </row>
    <row r="3346" spans="1:11" s="35" customFormat="1">
      <c r="A3346" s="502"/>
      <c r="B3346" s="51"/>
      <c r="C3346" s="230"/>
      <c r="D3346" s="230"/>
      <c r="E3346" s="216"/>
      <c r="F3346" s="156"/>
      <c r="G3346" s="501"/>
      <c r="H3346" s="2030"/>
      <c r="I3346" s="501"/>
      <c r="J3346" s="502"/>
      <c r="K3346" s="501"/>
    </row>
    <row r="3347" spans="1:11" s="35" customFormat="1">
      <c r="A3347" s="1763"/>
      <c r="B3347" s="821" t="s">
        <v>7664</v>
      </c>
      <c r="C3347" s="230"/>
      <c r="D3347" s="230">
        <v>1140</v>
      </c>
      <c r="E3347" s="216">
        <v>20</v>
      </c>
      <c r="F3347" s="158">
        <f>D3347+E3347</f>
        <v>1160</v>
      </c>
      <c r="G3347" s="823" t="s">
        <v>7665</v>
      </c>
      <c r="H3347" s="2026" t="str">
        <f>B3347</f>
        <v>ELEBN3125G</v>
      </c>
      <c r="I3347" s="501"/>
      <c r="J3347" s="502" t="s">
        <v>1835</v>
      </c>
      <c r="K3347" s="501"/>
    </row>
    <row r="3348" spans="1:11" s="35" customFormat="1">
      <c r="A3348" s="1763"/>
      <c r="B3348" s="821" t="s">
        <v>28</v>
      </c>
      <c r="C3348" s="230"/>
      <c r="D3348" s="230">
        <v>7</v>
      </c>
      <c r="E3348" s="216"/>
      <c r="F3348" s="158">
        <f>D3348+E3348</f>
        <v>7</v>
      </c>
      <c r="G3348" s="823" t="s">
        <v>7666</v>
      </c>
      <c r="H3348" s="2026" t="s">
        <v>28</v>
      </c>
      <c r="I3348" s="501"/>
      <c r="J3348" s="502" t="s">
        <v>1835</v>
      </c>
      <c r="K3348" s="501"/>
    </row>
    <row r="3349" spans="1:11" s="35" customFormat="1">
      <c r="A3349" s="502"/>
      <c r="B3349" s="821" t="s">
        <v>19</v>
      </c>
      <c r="C3349" s="230"/>
      <c r="D3349" s="230">
        <v>46</v>
      </c>
      <c r="E3349" s="216"/>
      <c r="F3349" s="158">
        <f>D3349+E3349</f>
        <v>46</v>
      </c>
      <c r="G3349" s="823" t="s">
        <v>7667</v>
      </c>
      <c r="H3349" s="2026" t="s">
        <v>19</v>
      </c>
      <c r="I3349" s="501"/>
      <c r="J3349" s="502" t="s">
        <v>1835</v>
      </c>
      <c r="K3349" s="501"/>
    </row>
    <row r="3350" spans="1:11" s="35" customFormat="1">
      <c r="A3350" s="502"/>
      <c r="B3350" s="51"/>
      <c r="C3350" s="230"/>
      <c r="D3350" s="230"/>
      <c r="E3350" s="216"/>
      <c r="F3350" s="156"/>
      <c r="G3350" s="501"/>
      <c r="H3350" s="2003"/>
      <c r="I3350" s="501"/>
      <c r="J3350" s="502"/>
      <c r="K3350" s="501"/>
    </row>
    <row r="3351" spans="1:11" s="35" customFormat="1">
      <c r="A3351" s="510"/>
      <c r="B3351" s="50" t="s">
        <v>6102</v>
      </c>
      <c r="C3351" s="230"/>
      <c r="D3351" s="230">
        <v>139</v>
      </c>
      <c r="E3351" s="216">
        <v>15</v>
      </c>
      <c r="F3351" s="156">
        <f>D3351+E3351</f>
        <v>154</v>
      </c>
      <c r="G3351" s="24" t="s">
        <v>7668</v>
      </c>
      <c r="H3351" s="2029" t="s">
        <v>6102</v>
      </c>
      <c r="I3351" s="501"/>
      <c r="J3351" s="502" t="s">
        <v>1835</v>
      </c>
      <c r="K3351" s="501"/>
    </row>
    <row r="3352" spans="1:11" s="35" customFormat="1">
      <c r="A3352" s="510"/>
      <c r="B3352" s="50" t="s">
        <v>6103</v>
      </c>
      <c r="C3352" s="230"/>
      <c r="D3352" s="230">
        <v>139</v>
      </c>
      <c r="E3352" s="216">
        <v>15</v>
      </c>
      <c r="F3352" s="156">
        <f>D3352+E3352</f>
        <v>154</v>
      </c>
      <c r="G3352" s="24" t="s">
        <v>7669</v>
      </c>
      <c r="H3352" s="2029" t="s">
        <v>6103</v>
      </c>
      <c r="I3352" s="501"/>
      <c r="J3352" s="502" t="s">
        <v>1835</v>
      </c>
      <c r="K3352" s="501"/>
    </row>
    <row r="3353" spans="1:11" s="35" customFormat="1">
      <c r="A3353" s="523"/>
      <c r="B3353" s="50"/>
      <c r="C3353" s="230"/>
      <c r="D3353" s="230"/>
      <c r="E3353" s="216"/>
      <c r="F3353" s="156"/>
      <c r="G3353" s="24"/>
      <c r="H3353" s="2029"/>
      <c r="I3353" s="501"/>
      <c r="J3353" s="502"/>
      <c r="K3353" s="501"/>
    </row>
    <row r="3354" spans="1:11" s="35" customFormat="1">
      <c r="A3354" s="523"/>
      <c r="B3354" s="50"/>
      <c r="C3354" s="230"/>
      <c r="D3354" s="230"/>
      <c r="E3354" s="216"/>
      <c r="F3354" s="156"/>
      <c r="G3354" s="24"/>
      <c r="H3354" s="2029"/>
      <c r="I3354" s="501"/>
      <c r="J3354" s="502"/>
      <c r="K3354" s="501"/>
    </row>
    <row r="3355" spans="1:11" s="35" customFormat="1">
      <c r="A3355" s="1764"/>
      <c r="B3355" s="50" t="s">
        <v>10984</v>
      </c>
      <c r="C3355" s="230"/>
      <c r="D3355" s="230">
        <v>150</v>
      </c>
      <c r="E3355" s="216">
        <v>15</v>
      </c>
      <c r="F3355" s="156">
        <f>D3355+E3355</f>
        <v>165</v>
      </c>
      <c r="G3355" s="24" t="s">
        <v>10985</v>
      </c>
      <c r="H3355" s="50" t="s">
        <v>10984</v>
      </c>
      <c r="I3355" s="501"/>
      <c r="J3355" s="502" t="s">
        <v>1835</v>
      </c>
      <c r="K3355" s="501"/>
    </row>
    <row r="3356" spans="1:11" s="35" customFormat="1">
      <c r="A3356" s="1764"/>
      <c r="B3356" s="50"/>
      <c r="C3356" s="230"/>
      <c r="D3356" s="230"/>
      <c r="E3356" s="216"/>
      <c r="F3356" s="156"/>
      <c r="G3356" s="24"/>
      <c r="H3356" s="50"/>
      <c r="I3356" s="501"/>
      <c r="J3356" s="502"/>
      <c r="K3356" s="501"/>
    </row>
    <row r="3357" spans="1:11" s="35" customFormat="1">
      <c r="A3357" s="1764"/>
      <c r="B3357" s="50" t="s">
        <v>11161</v>
      </c>
      <c r="C3357" s="230"/>
      <c r="D3357" s="230">
        <v>150</v>
      </c>
      <c r="E3357" s="216">
        <v>15</v>
      </c>
      <c r="F3357" s="156">
        <f>D3357+E3357</f>
        <v>165</v>
      </c>
      <c r="G3357" s="24" t="s">
        <v>11162</v>
      </c>
      <c r="H3357" s="2029" t="s">
        <v>11161</v>
      </c>
      <c r="I3357" s="501"/>
      <c r="J3357" s="502" t="s">
        <v>1835</v>
      </c>
      <c r="K3357" s="501"/>
    </row>
    <row r="3358" spans="1:11" s="35" customFormat="1">
      <c r="A3358" s="1764"/>
      <c r="B3358" s="50" t="s">
        <v>7670</v>
      </c>
      <c r="C3358" s="230"/>
      <c r="D3358" s="230">
        <v>150</v>
      </c>
      <c r="E3358" s="216">
        <v>15</v>
      </c>
      <c r="F3358" s="156">
        <f>D3358+E3358</f>
        <v>165</v>
      </c>
      <c r="G3358" s="24" t="s">
        <v>9399</v>
      </c>
      <c r="H3358" s="2029" t="s">
        <v>7670</v>
      </c>
      <c r="I3358" s="501"/>
      <c r="J3358" s="502" t="s">
        <v>1835</v>
      </c>
      <c r="K3358" s="501"/>
    </row>
    <row r="3359" spans="1:11" s="35" customFormat="1">
      <c r="A3359" s="1764"/>
      <c r="B3359" s="50" t="s">
        <v>7671</v>
      </c>
      <c r="C3359" s="230"/>
      <c r="D3359" s="230">
        <v>35</v>
      </c>
      <c r="E3359" s="216"/>
      <c r="F3359" s="156">
        <f>D3359+E3359</f>
        <v>35</v>
      </c>
      <c r="G3359" s="24" t="s">
        <v>7672</v>
      </c>
      <c r="H3359" s="2029" t="s">
        <v>7671</v>
      </c>
      <c r="I3359" s="501"/>
      <c r="J3359" s="502" t="s">
        <v>1835</v>
      </c>
      <c r="K3359" s="501"/>
    </row>
    <row r="3360" spans="1:11" s="35" customFormat="1">
      <c r="A3360" s="523"/>
      <c r="B3360" s="50"/>
      <c r="C3360" s="230"/>
      <c r="D3360" s="230"/>
      <c r="E3360" s="216"/>
      <c r="F3360" s="156"/>
      <c r="G3360" s="24"/>
      <c r="H3360" s="2029"/>
      <c r="I3360" s="501"/>
      <c r="J3360" s="502"/>
      <c r="K3360" s="501"/>
    </row>
    <row r="3361" spans="1:11" s="23" customFormat="1">
      <c r="A3361" s="507"/>
      <c r="B3361" s="49"/>
      <c r="C3361" s="230"/>
      <c r="D3361" s="230"/>
      <c r="E3361" s="216"/>
      <c r="F3361" s="156"/>
      <c r="G3361" s="508"/>
      <c r="H3361" s="2031"/>
      <c r="I3361" s="508"/>
      <c r="J3361" s="507"/>
      <c r="K3361" s="508"/>
    </row>
    <row r="3362" spans="1:11" s="35" customFormat="1">
      <c r="A3362" s="502"/>
      <c r="B3362" s="31"/>
      <c r="C3362" s="230"/>
      <c r="D3362" s="230"/>
      <c r="E3362" s="216"/>
      <c r="F3362" s="156"/>
      <c r="G3362" s="501"/>
      <c r="H3362" s="2003"/>
      <c r="I3362" s="501"/>
      <c r="J3362" s="502"/>
      <c r="K3362" s="501"/>
    </row>
    <row r="3363" spans="1:11" s="35" customFormat="1">
      <c r="A3363" s="502"/>
      <c r="B3363" s="32" t="s">
        <v>294</v>
      </c>
      <c r="C3363" s="538"/>
      <c r="D3363" s="538">
        <v>240</v>
      </c>
      <c r="E3363" s="216">
        <v>15</v>
      </c>
      <c r="F3363" s="156">
        <f t="shared" ref="F3363:F3376" si="466">D3363+E3363</f>
        <v>255</v>
      </c>
      <c r="G3363" s="24" t="s">
        <v>7673</v>
      </c>
      <c r="H3363" s="2003" t="str">
        <f>B3363</f>
        <v>FD3015L</v>
      </c>
      <c r="I3363" s="501"/>
      <c r="J3363" s="514" t="s">
        <v>1835</v>
      </c>
      <c r="K3363" s="501"/>
    </row>
    <row r="3364" spans="1:11" s="35" customFormat="1">
      <c r="A3364" s="502"/>
      <c r="B3364" s="32" t="s">
        <v>295</v>
      </c>
      <c r="C3364" s="538"/>
      <c r="D3364" s="538">
        <v>240</v>
      </c>
      <c r="E3364" s="216">
        <v>15</v>
      </c>
      <c r="F3364" s="156">
        <f t="shared" si="466"/>
        <v>255</v>
      </c>
      <c r="G3364" s="24" t="s">
        <v>7674</v>
      </c>
      <c r="H3364" s="2003" t="str">
        <f t="shared" ref="H3364:H3376" si="467">B3364</f>
        <v>FD3020L</v>
      </c>
      <c r="I3364" s="501"/>
      <c r="J3364" s="514" t="s">
        <v>1835</v>
      </c>
      <c r="K3364" s="501"/>
    </row>
    <row r="3365" spans="1:11" s="35" customFormat="1">
      <c r="A3365" s="502"/>
      <c r="B3365" s="32" t="s">
        <v>296</v>
      </c>
      <c r="C3365" s="538"/>
      <c r="D3365" s="538">
        <v>240</v>
      </c>
      <c r="E3365" s="216">
        <v>15</v>
      </c>
      <c r="F3365" s="156">
        <f t="shared" si="466"/>
        <v>255</v>
      </c>
      <c r="G3365" s="24" t="s">
        <v>7675</v>
      </c>
      <c r="H3365" s="2003" t="str">
        <f t="shared" si="467"/>
        <v>FD3030L</v>
      </c>
      <c r="I3365" s="501"/>
      <c r="J3365" s="514" t="s">
        <v>1835</v>
      </c>
      <c r="K3365" s="501"/>
    </row>
    <row r="3366" spans="1:11" s="35" customFormat="1">
      <c r="A3366" s="502"/>
      <c r="B3366" s="32" t="s">
        <v>297</v>
      </c>
      <c r="C3366" s="538"/>
      <c r="D3366" s="538">
        <v>240</v>
      </c>
      <c r="E3366" s="216">
        <v>15</v>
      </c>
      <c r="F3366" s="156">
        <f t="shared" si="466"/>
        <v>255</v>
      </c>
      <c r="G3366" s="24" t="s">
        <v>7676</v>
      </c>
      <c r="H3366" s="2003" t="str">
        <f t="shared" si="467"/>
        <v>FD3040L</v>
      </c>
      <c r="I3366" s="501"/>
      <c r="J3366" s="514" t="s">
        <v>1835</v>
      </c>
      <c r="K3366" s="501"/>
    </row>
    <row r="3367" spans="1:11" s="35" customFormat="1">
      <c r="A3367" s="502"/>
      <c r="B3367" s="32" t="s">
        <v>298</v>
      </c>
      <c r="C3367" s="538"/>
      <c r="D3367" s="538">
        <v>240</v>
      </c>
      <c r="E3367" s="216">
        <v>15</v>
      </c>
      <c r="F3367" s="156">
        <f t="shared" si="466"/>
        <v>255</v>
      </c>
      <c r="G3367" s="24" t="s">
        <v>7677</v>
      </c>
      <c r="H3367" s="2003" t="str">
        <f t="shared" si="467"/>
        <v>FD3050L</v>
      </c>
      <c r="I3367" s="501"/>
      <c r="J3367" s="514" t="s">
        <v>1835</v>
      </c>
      <c r="K3367" s="501"/>
    </row>
    <row r="3368" spans="1:11" s="35" customFormat="1">
      <c r="A3368" s="502"/>
      <c r="B3368" s="509" t="s">
        <v>299</v>
      </c>
      <c r="C3368" s="538"/>
      <c r="D3368" s="538">
        <v>240</v>
      </c>
      <c r="E3368" s="216">
        <v>15</v>
      </c>
      <c r="F3368" s="156">
        <f t="shared" si="466"/>
        <v>255</v>
      </c>
      <c r="G3368" s="24" t="s">
        <v>7678</v>
      </c>
      <c r="H3368" s="2003" t="str">
        <f t="shared" si="467"/>
        <v>FD3060L</v>
      </c>
      <c r="I3368" s="501"/>
      <c r="J3368" s="514" t="s">
        <v>1835</v>
      </c>
      <c r="K3368" s="501"/>
    </row>
    <row r="3369" spans="1:11" s="35" customFormat="1">
      <c r="A3369" s="502"/>
      <c r="B3369" s="32" t="s">
        <v>225</v>
      </c>
      <c r="C3369" s="538"/>
      <c r="D3369" s="538">
        <v>250</v>
      </c>
      <c r="E3369" s="216">
        <v>15</v>
      </c>
      <c r="F3369" s="156">
        <f t="shared" si="466"/>
        <v>265</v>
      </c>
      <c r="G3369" s="24" t="s">
        <v>7679</v>
      </c>
      <c r="H3369" s="2003" t="str">
        <f t="shared" si="467"/>
        <v>FD3070L</v>
      </c>
      <c r="I3369" s="501"/>
      <c r="J3369" s="514" t="s">
        <v>1835</v>
      </c>
      <c r="K3369" s="501"/>
    </row>
    <row r="3370" spans="1:11" s="35" customFormat="1">
      <c r="A3370" s="502"/>
      <c r="B3370" s="32" t="s">
        <v>224</v>
      </c>
      <c r="C3370" s="538"/>
      <c r="D3370" s="538">
        <v>250</v>
      </c>
      <c r="E3370" s="216">
        <v>15</v>
      </c>
      <c r="F3370" s="156">
        <f>D3370+E3370</f>
        <v>265</v>
      </c>
      <c r="G3370" s="24" t="s">
        <v>7680</v>
      </c>
      <c r="H3370" s="2003" t="str">
        <f>B3370</f>
        <v>FD3080L</v>
      </c>
      <c r="I3370" s="501"/>
      <c r="J3370" s="514" t="s">
        <v>1835</v>
      </c>
      <c r="K3370" s="501"/>
    </row>
    <row r="3371" spans="1:11" s="35" customFormat="1">
      <c r="A3371" s="502"/>
      <c r="B3371" s="32" t="s">
        <v>223</v>
      </c>
      <c r="C3371" s="538"/>
      <c r="D3371" s="538">
        <v>250</v>
      </c>
      <c r="E3371" s="216">
        <v>15</v>
      </c>
      <c r="F3371" s="156">
        <f t="shared" si="466"/>
        <v>265</v>
      </c>
      <c r="G3371" s="24" t="s">
        <v>7681</v>
      </c>
      <c r="H3371" s="2003" t="str">
        <f t="shared" si="467"/>
        <v>FD3100L</v>
      </c>
      <c r="I3371" s="501"/>
      <c r="J3371" s="514" t="s">
        <v>1835</v>
      </c>
      <c r="K3371" s="501"/>
    </row>
    <row r="3372" spans="1:11" s="35" customFormat="1">
      <c r="A3372" s="502"/>
      <c r="B3372" s="32" t="s">
        <v>300</v>
      </c>
      <c r="C3372" s="538"/>
      <c r="D3372" s="538">
        <v>290</v>
      </c>
      <c r="E3372" s="216">
        <v>15</v>
      </c>
      <c r="F3372" s="156">
        <f t="shared" si="466"/>
        <v>305</v>
      </c>
      <c r="G3372" s="24" t="s">
        <v>7682</v>
      </c>
      <c r="H3372" s="2003" t="str">
        <f t="shared" si="467"/>
        <v>FD3125L</v>
      </c>
      <c r="I3372" s="501"/>
      <c r="J3372" s="514" t="s">
        <v>1835</v>
      </c>
      <c r="K3372" s="501"/>
    </row>
    <row r="3373" spans="1:11" s="35" customFormat="1">
      <c r="A3373" s="502"/>
      <c r="B3373" s="32" t="s">
        <v>301</v>
      </c>
      <c r="C3373" s="538"/>
      <c r="D3373" s="538">
        <v>290</v>
      </c>
      <c r="E3373" s="216">
        <v>20</v>
      </c>
      <c r="F3373" s="156">
        <f t="shared" si="466"/>
        <v>310</v>
      </c>
      <c r="G3373" s="24" t="s">
        <v>7683</v>
      </c>
      <c r="H3373" s="2003" t="str">
        <f t="shared" si="467"/>
        <v>FD3150L</v>
      </c>
      <c r="I3373" s="501"/>
      <c r="J3373" s="514" t="s">
        <v>1835</v>
      </c>
      <c r="K3373" s="501"/>
    </row>
    <row r="3374" spans="1:11" s="35" customFormat="1">
      <c r="A3374" s="502"/>
      <c r="B3374" s="32" t="s">
        <v>302</v>
      </c>
      <c r="C3374" s="538"/>
      <c r="D3374" s="538">
        <v>290</v>
      </c>
      <c r="E3374" s="216">
        <v>20</v>
      </c>
      <c r="F3374" s="156">
        <f t="shared" si="466"/>
        <v>310</v>
      </c>
      <c r="G3374" s="24" t="s">
        <v>7684</v>
      </c>
      <c r="H3374" s="2003" t="str">
        <f t="shared" si="467"/>
        <v>FD3175L</v>
      </c>
      <c r="I3374" s="501"/>
      <c r="J3374" s="514" t="s">
        <v>1835</v>
      </c>
      <c r="K3374" s="501"/>
    </row>
    <row r="3375" spans="1:11" s="35" customFormat="1">
      <c r="A3375" s="502"/>
      <c r="B3375" s="32" t="s">
        <v>303</v>
      </c>
      <c r="C3375" s="538"/>
      <c r="D3375" s="538">
        <v>290</v>
      </c>
      <c r="E3375" s="216">
        <v>20</v>
      </c>
      <c r="F3375" s="156">
        <f t="shared" si="466"/>
        <v>310</v>
      </c>
      <c r="G3375" s="24" t="s">
        <v>7685</v>
      </c>
      <c r="H3375" s="2003" t="str">
        <f t="shared" si="467"/>
        <v>FD3200L</v>
      </c>
      <c r="I3375" s="501"/>
      <c r="J3375" s="514" t="s">
        <v>1835</v>
      </c>
      <c r="K3375" s="501"/>
    </row>
    <row r="3376" spans="1:11" s="35" customFormat="1">
      <c r="A3376" s="502"/>
      <c r="B3376" s="32" t="s">
        <v>304</v>
      </c>
      <c r="C3376" s="538"/>
      <c r="D3376" s="538">
        <v>290</v>
      </c>
      <c r="E3376" s="216">
        <v>20</v>
      </c>
      <c r="F3376" s="156">
        <f t="shared" si="466"/>
        <v>310</v>
      </c>
      <c r="G3376" s="24" t="s">
        <v>7686</v>
      </c>
      <c r="H3376" s="2003" t="str">
        <f t="shared" si="467"/>
        <v>FD3225L</v>
      </c>
      <c r="I3376" s="501"/>
      <c r="J3376" s="514" t="s">
        <v>1835</v>
      </c>
      <c r="K3376" s="501"/>
    </row>
    <row r="3377" spans="1:11" s="23" customFormat="1">
      <c r="A3377" s="502"/>
      <c r="B3377" s="501"/>
      <c r="C3377" s="230"/>
      <c r="D3377" s="230"/>
      <c r="E3377" s="505"/>
      <c r="F3377" s="506"/>
      <c r="G3377" s="501"/>
      <c r="H3377" s="2003"/>
      <c r="I3377" s="501"/>
      <c r="J3377" s="502"/>
      <c r="K3377" s="501"/>
    </row>
    <row r="3378" spans="1:11" s="954" customFormat="1">
      <c r="B3378" s="1765"/>
      <c r="C3378" s="1766"/>
      <c r="D3378" s="1767"/>
      <c r="E3378" s="216"/>
      <c r="F3378" s="140"/>
      <c r="G3378" s="140"/>
      <c r="H3378" s="2032"/>
    </row>
    <row r="3379" spans="1:11" s="35" customFormat="1">
      <c r="A3379" s="512"/>
      <c r="B3379" s="32" t="s">
        <v>2818</v>
      </c>
      <c r="C3379" s="898"/>
      <c r="D3379" s="538">
        <v>280</v>
      </c>
      <c r="E3379" s="216">
        <v>15</v>
      </c>
      <c r="F3379" s="156">
        <f t="shared" ref="F3379:F3392" si="468">D3379+E3379</f>
        <v>295</v>
      </c>
      <c r="G3379" s="899" t="s">
        <v>7687</v>
      </c>
      <c r="H3379" s="2003" t="str">
        <f t="shared" ref="H3379:H3392" si="469">B3379</f>
        <v>HFD3015L</v>
      </c>
      <c r="I3379" s="501"/>
      <c r="J3379" s="514" t="s">
        <v>1835</v>
      </c>
      <c r="K3379" s="501" t="s">
        <v>741</v>
      </c>
    </row>
    <row r="3380" spans="1:11" s="35" customFormat="1">
      <c r="A3380" s="512"/>
      <c r="B3380" s="32" t="s">
        <v>2819</v>
      </c>
      <c r="C3380" s="898"/>
      <c r="D3380" s="538">
        <v>280</v>
      </c>
      <c r="E3380" s="216">
        <v>15</v>
      </c>
      <c r="F3380" s="156">
        <f t="shared" si="468"/>
        <v>295</v>
      </c>
      <c r="G3380" s="899" t="s">
        <v>7688</v>
      </c>
      <c r="H3380" s="2003" t="str">
        <f t="shared" si="469"/>
        <v>HFD3020L</v>
      </c>
      <c r="I3380" s="501"/>
      <c r="J3380" s="514" t="s">
        <v>1835</v>
      </c>
      <c r="K3380" s="501" t="s">
        <v>741</v>
      </c>
    </row>
    <row r="3381" spans="1:11" s="35" customFormat="1">
      <c r="A3381" s="512"/>
      <c r="B3381" s="1768" t="s">
        <v>2820</v>
      </c>
      <c r="C3381" s="1769"/>
      <c r="D3381" s="538">
        <v>280</v>
      </c>
      <c r="E3381" s="1770">
        <v>15</v>
      </c>
      <c r="F3381" s="1771">
        <f t="shared" si="468"/>
        <v>295</v>
      </c>
      <c r="G3381" s="899" t="s">
        <v>7689</v>
      </c>
      <c r="H3381" s="2003" t="str">
        <f t="shared" si="469"/>
        <v>HFD3030L</v>
      </c>
      <c r="I3381" s="501"/>
      <c r="J3381" s="514" t="s">
        <v>1835</v>
      </c>
      <c r="K3381" s="501" t="s">
        <v>741</v>
      </c>
    </row>
    <row r="3382" spans="1:11" s="35" customFormat="1">
      <c r="A3382" s="512"/>
      <c r="B3382" s="1768" t="s">
        <v>2821</v>
      </c>
      <c r="C3382" s="1769"/>
      <c r="D3382" s="538">
        <v>280</v>
      </c>
      <c r="E3382" s="1770">
        <v>15</v>
      </c>
      <c r="F3382" s="1771">
        <f t="shared" si="468"/>
        <v>295</v>
      </c>
      <c r="G3382" s="899" t="s">
        <v>7690</v>
      </c>
      <c r="H3382" s="2003" t="str">
        <f t="shared" si="469"/>
        <v>HFD3040L</v>
      </c>
      <c r="I3382" s="501"/>
      <c r="J3382" s="514" t="s">
        <v>1835</v>
      </c>
      <c r="K3382" s="501" t="s">
        <v>741</v>
      </c>
    </row>
    <row r="3383" spans="1:11" s="35" customFormat="1">
      <c r="A3383" s="512"/>
      <c r="B3383" s="1768" t="s">
        <v>2822</v>
      </c>
      <c r="C3383" s="1769"/>
      <c r="D3383" s="538">
        <v>280</v>
      </c>
      <c r="E3383" s="1770">
        <v>15</v>
      </c>
      <c r="F3383" s="1771">
        <f t="shared" si="468"/>
        <v>295</v>
      </c>
      <c r="G3383" s="899" t="s">
        <v>7691</v>
      </c>
      <c r="H3383" s="2003" t="str">
        <f t="shared" si="469"/>
        <v>HFD3050L</v>
      </c>
      <c r="I3383" s="501"/>
      <c r="J3383" s="514" t="s">
        <v>1835</v>
      </c>
      <c r="K3383" s="501" t="s">
        <v>741</v>
      </c>
    </row>
    <row r="3384" spans="1:11" s="35" customFormat="1">
      <c r="A3384" s="512"/>
      <c r="B3384" s="32" t="s">
        <v>2823</v>
      </c>
      <c r="C3384" s="898"/>
      <c r="D3384" s="538">
        <v>280</v>
      </c>
      <c r="E3384" s="216">
        <v>15</v>
      </c>
      <c r="F3384" s="156">
        <f t="shared" si="468"/>
        <v>295</v>
      </c>
      <c r="G3384" s="899" t="s">
        <v>7692</v>
      </c>
      <c r="H3384" s="2003" t="str">
        <f t="shared" si="469"/>
        <v>HFD3060L</v>
      </c>
      <c r="I3384" s="501"/>
      <c r="J3384" s="514" t="s">
        <v>1835</v>
      </c>
      <c r="K3384" s="501" t="s">
        <v>741</v>
      </c>
    </row>
    <row r="3385" spans="1:11" s="35" customFormat="1">
      <c r="A3385" s="512"/>
      <c r="B3385" s="32" t="s">
        <v>2824</v>
      </c>
      <c r="C3385" s="898"/>
      <c r="D3385" s="538">
        <v>330</v>
      </c>
      <c r="E3385" s="216">
        <v>15</v>
      </c>
      <c r="F3385" s="156">
        <f t="shared" si="468"/>
        <v>345</v>
      </c>
      <c r="G3385" s="899" t="s">
        <v>7693</v>
      </c>
      <c r="H3385" s="2003" t="str">
        <f t="shared" si="469"/>
        <v>HFD3070L</v>
      </c>
      <c r="I3385" s="501"/>
      <c r="J3385" s="514" t="s">
        <v>1835</v>
      </c>
      <c r="K3385" s="501" t="s">
        <v>741</v>
      </c>
    </row>
    <row r="3386" spans="1:11" s="35" customFormat="1">
      <c r="A3386" s="512"/>
      <c r="B3386" s="1768" t="s">
        <v>2825</v>
      </c>
      <c r="C3386" s="1769"/>
      <c r="D3386" s="538">
        <v>330</v>
      </c>
      <c r="E3386" s="1770">
        <v>15</v>
      </c>
      <c r="F3386" s="1771">
        <f t="shared" si="468"/>
        <v>345</v>
      </c>
      <c r="G3386" s="899" t="s">
        <v>7694</v>
      </c>
      <c r="H3386" s="2003" t="str">
        <f t="shared" si="469"/>
        <v>HFD3080L</v>
      </c>
      <c r="I3386" s="501"/>
      <c r="J3386" s="514" t="s">
        <v>1835</v>
      </c>
      <c r="K3386" s="501" t="s">
        <v>741</v>
      </c>
    </row>
    <row r="3387" spans="1:11" s="35" customFormat="1">
      <c r="A3387" s="512"/>
      <c r="B3387" s="1768" t="s">
        <v>2826</v>
      </c>
      <c r="C3387" s="1769"/>
      <c r="D3387" s="538">
        <v>330</v>
      </c>
      <c r="E3387" s="1770">
        <v>15</v>
      </c>
      <c r="F3387" s="1771">
        <f t="shared" si="468"/>
        <v>345</v>
      </c>
      <c r="G3387" s="899" t="s">
        <v>7695</v>
      </c>
      <c r="H3387" s="2003" t="str">
        <f t="shared" si="469"/>
        <v>HFD3100L</v>
      </c>
      <c r="I3387" s="501"/>
      <c r="J3387" s="514"/>
      <c r="K3387" s="501"/>
    </row>
    <row r="3388" spans="1:11" s="35" customFormat="1">
      <c r="A3388" s="512"/>
      <c r="B3388" s="1768" t="s">
        <v>2827</v>
      </c>
      <c r="C3388" s="1769"/>
      <c r="D3388" s="538">
        <v>390</v>
      </c>
      <c r="E3388" s="1770">
        <v>15</v>
      </c>
      <c r="F3388" s="1771">
        <f t="shared" si="468"/>
        <v>405</v>
      </c>
      <c r="G3388" s="899" t="s">
        <v>7696</v>
      </c>
      <c r="H3388" s="2003" t="str">
        <f t="shared" si="469"/>
        <v>HFD3125L</v>
      </c>
      <c r="I3388" s="501"/>
      <c r="J3388" s="514" t="s">
        <v>1835</v>
      </c>
      <c r="K3388" s="501" t="s">
        <v>741</v>
      </c>
    </row>
    <row r="3389" spans="1:11" s="23" customFormat="1">
      <c r="A3389" s="512"/>
      <c r="B3389" s="32" t="s">
        <v>7697</v>
      </c>
      <c r="C3389" s="898"/>
      <c r="D3389" s="538">
        <v>390</v>
      </c>
      <c r="E3389" s="216">
        <v>20</v>
      </c>
      <c r="F3389" s="156">
        <f t="shared" si="468"/>
        <v>410</v>
      </c>
      <c r="G3389" s="899" t="s">
        <v>7698</v>
      </c>
      <c r="H3389" s="2003" t="str">
        <f t="shared" si="469"/>
        <v>HFD3150L</v>
      </c>
      <c r="I3389" s="501"/>
      <c r="J3389" s="514" t="s">
        <v>1835</v>
      </c>
      <c r="K3389" s="501" t="s">
        <v>741</v>
      </c>
    </row>
    <row r="3390" spans="1:11" s="23" customFormat="1">
      <c r="A3390" s="512"/>
      <c r="B3390" s="32" t="s">
        <v>7699</v>
      </c>
      <c r="C3390" s="898"/>
      <c r="D3390" s="538">
        <v>390</v>
      </c>
      <c r="E3390" s="216">
        <v>20</v>
      </c>
      <c r="F3390" s="156">
        <f t="shared" si="468"/>
        <v>410</v>
      </c>
      <c r="G3390" s="899" t="s">
        <v>7700</v>
      </c>
      <c r="H3390" s="2003" t="str">
        <f t="shared" si="469"/>
        <v>HFD3175L</v>
      </c>
      <c r="I3390" s="501"/>
      <c r="J3390" s="514" t="s">
        <v>1835</v>
      </c>
      <c r="K3390" s="501" t="s">
        <v>741</v>
      </c>
    </row>
    <row r="3391" spans="1:11" s="35" customFormat="1">
      <c r="A3391" s="512"/>
      <c r="B3391" s="1768" t="s">
        <v>7701</v>
      </c>
      <c r="C3391" s="1769"/>
      <c r="D3391" s="538">
        <v>390</v>
      </c>
      <c r="E3391" s="1770">
        <v>20</v>
      </c>
      <c r="F3391" s="1771">
        <f t="shared" si="468"/>
        <v>410</v>
      </c>
      <c r="G3391" s="899" t="s">
        <v>7702</v>
      </c>
      <c r="H3391" s="2003" t="str">
        <f t="shared" si="469"/>
        <v>HFD3200L</v>
      </c>
      <c r="I3391" s="501"/>
      <c r="J3391" s="514" t="s">
        <v>1835</v>
      </c>
      <c r="K3391" s="501" t="s">
        <v>741</v>
      </c>
    </row>
    <row r="3392" spans="1:11" s="35" customFormat="1">
      <c r="A3392" s="512"/>
      <c r="B3392" s="1768" t="s">
        <v>12825</v>
      </c>
      <c r="C3392" s="1769"/>
      <c r="D3392" s="538">
        <v>390</v>
      </c>
      <c r="E3392" s="1770">
        <v>20</v>
      </c>
      <c r="F3392" s="1771">
        <f t="shared" si="468"/>
        <v>410</v>
      </c>
      <c r="G3392" s="899" t="s">
        <v>12826</v>
      </c>
      <c r="H3392" s="2003" t="str">
        <f t="shared" si="469"/>
        <v>HFD3225L</v>
      </c>
      <c r="I3392" s="501"/>
      <c r="J3392" s="514" t="s">
        <v>1835</v>
      </c>
      <c r="K3392" s="501" t="s">
        <v>741</v>
      </c>
    </row>
    <row r="3393" spans="1:11" s="23" customFormat="1">
      <c r="A3393" s="502"/>
      <c r="B3393" s="501"/>
      <c r="C3393" s="230"/>
      <c r="D3393" s="230"/>
      <c r="E3393" s="505"/>
      <c r="F3393" s="506"/>
      <c r="G3393" s="501"/>
      <c r="H3393" s="2003"/>
      <c r="I3393" s="501"/>
      <c r="J3393" s="502"/>
      <c r="K3393" s="501"/>
    </row>
    <row r="3394" spans="1:11" s="195" customFormat="1">
      <c r="A3394" s="512"/>
      <c r="B3394" s="1095" t="s">
        <v>3292</v>
      </c>
      <c r="C3394" s="1096"/>
      <c r="D3394" s="1096">
        <v>25</v>
      </c>
      <c r="E3394" s="1097">
        <v>2</v>
      </c>
      <c r="F3394" s="1098">
        <f>D3394+E3394</f>
        <v>27</v>
      </c>
      <c r="G3394" s="1099" t="s">
        <v>3295</v>
      </c>
      <c r="H3394" s="2003"/>
      <c r="I3394" s="501"/>
      <c r="J3394" s="502"/>
      <c r="K3394" s="501"/>
    </row>
    <row r="3395" spans="1:11" s="35" customFormat="1">
      <c r="A3395" s="1956"/>
      <c r="B3395" s="439" t="s">
        <v>4871</v>
      </c>
      <c r="C3395" s="230"/>
      <c r="D3395" s="230">
        <v>105</v>
      </c>
      <c r="E3395" s="450">
        <v>2</v>
      </c>
      <c r="F3395" s="442">
        <f>D3395+E3395</f>
        <v>107</v>
      </c>
      <c r="G3395" s="1099" t="s">
        <v>12827</v>
      </c>
      <c r="H3395" s="532" t="str">
        <f>B3395</f>
        <v>A1X1PK</v>
      </c>
      <c r="I3395" s="201"/>
      <c r="J3395" s="514" t="s">
        <v>1835</v>
      </c>
      <c r="K3395" s="201" t="s">
        <v>741</v>
      </c>
    </row>
    <row r="3396" spans="1:11" s="35" customFormat="1">
      <c r="A3396" s="512"/>
      <c r="B3396" s="32" t="s">
        <v>9400</v>
      </c>
      <c r="C3396" s="538"/>
      <c r="D3396" s="538">
        <v>195</v>
      </c>
      <c r="E3396" s="216">
        <v>10</v>
      </c>
      <c r="F3396" s="156">
        <f>D3396+E3396</f>
        <v>205</v>
      </c>
      <c r="G3396" s="24" t="s">
        <v>9401</v>
      </c>
      <c r="H3396" s="2003" t="str">
        <f>B3396</f>
        <v>SNT1RP11K</v>
      </c>
      <c r="I3396" s="501"/>
      <c r="J3396" s="514" t="s">
        <v>1835</v>
      </c>
      <c r="K3396" s="201" t="s">
        <v>741</v>
      </c>
    </row>
    <row r="3397" spans="1:11" s="195" customFormat="1">
      <c r="A3397" s="523"/>
      <c r="B3397" s="509"/>
      <c r="C3397" s="230"/>
      <c r="D3397" s="230"/>
      <c r="E3397" s="462"/>
      <c r="F3397" s="164"/>
      <c r="G3397" s="465"/>
      <c r="H3397" s="2036"/>
      <c r="I3397" s="525"/>
      <c r="J3397" s="515"/>
      <c r="K3397" s="443"/>
    </row>
    <row r="3398" spans="1:11" s="35" customFormat="1">
      <c r="A3398" s="502"/>
      <c r="B3398" s="32" t="s">
        <v>13351</v>
      </c>
      <c r="C3398" s="230"/>
      <c r="D3398" s="230">
        <v>490</v>
      </c>
      <c r="E3398" s="216">
        <v>15</v>
      </c>
      <c r="F3398" s="156">
        <f>D3398+E3398</f>
        <v>505</v>
      </c>
      <c r="G3398" s="24" t="s">
        <v>13352</v>
      </c>
      <c r="H3398" s="2003" t="str">
        <f t="shared" ref="H3398:H3399" si="470">B3398</f>
        <v>JD3200</v>
      </c>
      <c r="I3398" s="501"/>
      <c r="J3398" s="514" t="s">
        <v>1835</v>
      </c>
      <c r="K3398" s="201" t="s">
        <v>741</v>
      </c>
    </row>
    <row r="3399" spans="1:11" s="35" customFormat="1">
      <c r="A3399" s="502"/>
      <c r="B3399" s="32" t="s">
        <v>13353</v>
      </c>
      <c r="C3399" s="230"/>
      <c r="D3399" s="230">
        <v>490</v>
      </c>
      <c r="E3399" s="216">
        <v>15</v>
      </c>
      <c r="F3399" s="156">
        <f>D3399+E3399</f>
        <v>505</v>
      </c>
      <c r="G3399" s="24" t="s">
        <v>13354</v>
      </c>
      <c r="H3399" s="2003" t="str">
        <f t="shared" si="470"/>
        <v>JD3250</v>
      </c>
      <c r="I3399" s="501"/>
      <c r="J3399" s="514" t="s">
        <v>1835</v>
      </c>
      <c r="K3399" s="201" t="s">
        <v>741</v>
      </c>
    </row>
    <row r="3400" spans="1:11" s="35" customFormat="1">
      <c r="A3400" s="502"/>
      <c r="B3400" s="32"/>
      <c r="C3400" s="230"/>
      <c r="D3400" s="230"/>
      <c r="E3400" s="216"/>
      <c r="F3400" s="156"/>
      <c r="G3400" s="24"/>
      <c r="H3400" s="2003"/>
      <c r="I3400" s="501"/>
      <c r="J3400" s="502"/>
      <c r="K3400" s="501"/>
    </row>
    <row r="3401" spans="1:11" s="35" customFormat="1">
      <c r="A3401" s="502"/>
      <c r="B3401" s="32" t="s">
        <v>7703</v>
      </c>
      <c r="C3401" s="230"/>
      <c r="D3401" s="230">
        <v>850</v>
      </c>
      <c r="E3401" s="216">
        <v>65</v>
      </c>
      <c r="F3401" s="156">
        <f>D3401+E3401</f>
        <v>915</v>
      </c>
      <c r="G3401" s="24" t="s">
        <v>7704</v>
      </c>
      <c r="H3401" s="2003" t="str">
        <f t="shared" ref="H3401:H3409" si="471">B3401</f>
        <v>HKD3300</v>
      </c>
      <c r="I3401" s="501"/>
      <c r="J3401" s="514" t="s">
        <v>1835</v>
      </c>
      <c r="K3401" s="201" t="s">
        <v>741</v>
      </c>
    </row>
    <row r="3402" spans="1:11" s="35" customFormat="1">
      <c r="A3402" s="502"/>
      <c r="B3402" s="32"/>
      <c r="C3402" s="230"/>
      <c r="D3402" s="230"/>
      <c r="E3402" s="216"/>
      <c r="F3402" s="156"/>
      <c r="G3402" s="24"/>
      <c r="H3402" s="2003"/>
      <c r="I3402" s="501"/>
      <c r="J3402" s="502"/>
      <c r="K3402" s="501"/>
    </row>
    <row r="3403" spans="1:11" s="35" customFormat="1">
      <c r="A3403" s="502"/>
      <c r="B3403" s="32"/>
      <c r="C3403" s="230"/>
      <c r="D3403" s="230"/>
      <c r="E3403" s="216"/>
      <c r="F3403" s="156"/>
      <c r="G3403" s="24"/>
      <c r="H3403" s="2003"/>
      <c r="I3403" s="501"/>
      <c r="J3403" s="502"/>
      <c r="K3403" s="501"/>
    </row>
    <row r="3404" spans="1:11" s="35" customFormat="1">
      <c r="A3404" s="502"/>
      <c r="B3404" s="32" t="s">
        <v>305</v>
      </c>
      <c r="C3404" s="230"/>
      <c r="D3404" s="230">
        <v>575</v>
      </c>
      <c r="E3404" s="216">
        <v>65</v>
      </c>
      <c r="F3404" s="156">
        <f>D3404+E3404</f>
        <v>640</v>
      </c>
      <c r="G3404" s="24" t="s">
        <v>7705</v>
      </c>
      <c r="H3404" s="2003" t="str">
        <f t="shared" si="471"/>
        <v>KD3300</v>
      </c>
      <c r="I3404" s="501"/>
      <c r="J3404" s="514" t="s">
        <v>1835</v>
      </c>
      <c r="K3404" s="201" t="s">
        <v>741</v>
      </c>
    </row>
    <row r="3405" spans="1:11" s="35" customFormat="1">
      <c r="A3405" s="502"/>
      <c r="B3405" s="32" t="s">
        <v>306</v>
      </c>
      <c r="C3405" s="230"/>
      <c r="D3405" s="230">
        <v>575</v>
      </c>
      <c r="E3405" s="216">
        <v>65</v>
      </c>
      <c r="F3405" s="156">
        <f>D3405+E3405</f>
        <v>640</v>
      </c>
      <c r="G3405" s="24" t="s">
        <v>7706</v>
      </c>
      <c r="H3405" s="2003" t="str">
        <f t="shared" si="471"/>
        <v>KD3350</v>
      </c>
      <c r="I3405" s="501"/>
      <c r="J3405" s="514" t="s">
        <v>1835</v>
      </c>
      <c r="K3405" s="201" t="s">
        <v>741</v>
      </c>
    </row>
    <row r="3406" spans="1:11" s="23" customFormat="1">
      <c r="A3406" s="502"/>
      <c r="B3406" s="32" t="s">
        <v>307</v>
      </c>
      <c r="C3406" s="230"/>
      <c r="D3406" s="230">
        <v>575</v>
      </c>
      <c r="E3406" s="216">
        <v>65</v>
      </c>
      <c r="F3406" s="156">
        <f>D3406+E3406</f>
        <v>640</v>
      </c>
      <c r="G3406" s="24" t="s">
        <v>7707</v>
      </c>
      <c r="H3406" s="2003" t="str">
        <f t="shared" si="471"/>
        <v>KD3400</v>
      </c>
      <c r="I3406" s="501"/>
      <c r="J3406" s="514" t="s">
        <v>1835</v>
      </c>
      <c r="K3406" s="201" t="s">
        <v>741</v>
      </c>
    </row>
    <row r="3407" spans="1:11" s="23" customFormat="1">
      <c r="A3407" s="502"/>
      <c r="B3407" s="501"/>
      <c r="C3407" s="230"/>
      <c r="D3407" s="230"/>
      <c r="E3407" s="505"/>
      <c r="F3407" s="506"/>
      <c r="G3407" s="501"/>
      <c r="H3407" s="2003"/>
      <c r="I3407" s="501"/>
    </row>
    <row r="3408" spans="1:11" s="23" customFormat="1">
      <c r="A3408" s="502"/>
      <c r="B3408" s="1095" t="s">
        <v>3293</v>
      </c>
      <c r="C3408" s="1096"/>
      <c r="D3408" s="1096">
        <v>45</v>
      </c>
      <c r="E3408" s="1097">
        <v>5</v>
      </c>
      <c r="F3408" s="1098">
        <f>D3408+E3408</f>
        <v>50</v>
      </c>
      <c r="G3408" s="1099" t="s">
        <v>13355</v>
      </c>
      <c r="H3408" s="2003" t="str">
        <f t="shared" si="471"/>
        <v>PLK3</v>
      </c>
      <c r="I3408" s="501"/>
      <c r="J3408" s="514" t="s">
        <v>1835</v>
      </c>
      <c r="K3408" s="201" t="s">
        <v>741</v>
      </c>
    </row>
    <row r="3409" spans="1:11" s="23" customFormat="1">
      <c r="A3409" s="502"/>
      <c r="B3409" s="1095" t="s">
        <v>9674</v>
      </c>
      <c r="C3409" s="1096"/>
      <c r="D3409" s="1096">
        <v>600</v>
      </c>
      <c r="E3409" s="1097">
        <v>50</v>
      </c>
      <c r="F3409" s="1098">
        <f>D3409+E3409</f>
        <v>650</v>
      </c>
      <c r="G3409" s="1099" t="s">
        <v>9675</v>
      </c>
      <c r="H3409" s="2003" t="str">
        <f t="shared" si="471"/>
        <v>KYK3</v>
      </c>
      <c r="I3409" s="501"/>
      <c r="J3409" s="514" t="s">
        <v>1835</v>
      </c>
      <c r="K3409" s="201" t="s">
        <v>741</v>
      </c>
    </row>
    <row r="3410" spans="1:11" s="35" customFormat="1">
      <c r="A3410" s="502"/>
      <c r="B3410" s="32"/>
      <c r="C3410" s="230"/>
      <c r="D3410" s="230"/>
      <c r="E3410" s="216"/>
      <c r="F3410" s="156"/>
      <c r="G3410" s="24"/>
      <c r="H3410" s="2003"/>
      <c r="I3410" s="501"/>
      <c r="J3410" s="502"/>
      <c r="K3410" s="501"/>
    </row>
    <row r="3411" spans="1:11" s="35" customFormat="1">
      <c r="A3411" s="500"/>
      <c r="B3411" s="32" t="s">
        <v>9402</v>
      </c>
      <c r="C3411" s="538"/>
      <c r="D3411" s="538">
        <v>165</v>
      </c>
      <c r="E3411" s="216">
        <v>10</v>
      </c>
      <c r="F3411" s="156">
        <f>D3411+E3411</f>
        <v>175</v>
      </c>
      <c r="G3411" s="24" t="s">
        <v>9403</v>
      </c>
      <c r="H3411" s="2003" t="str">
        <f>B3411</f>
        <v>SNT3P11K</v>
      </c>
      <c r="I3411" s="501"/>
      <c r="J3411" s="514" t="s">
        <v>1835</v>
      </c>
      <c r="K3411" s="501"/>
    </row>
    <row r="3412" spans="1:11" s="35" customFormat="1">
      <c r="A3412" s="502"/>
      <c r="B3412" s="32"/>
      <c r="C3412" s="230"/>
      <c r="D3412" s="230"/>
      <c r="E3412" s="216"/>
      <c r="F3412" s="156"/>
      <c r="G3412" s="24"/>
      <c r="H3412" s="2003"/>
      <c r="I3412" s="501"/>
      <c r="J3412" s="502"/>
      <c r="K3412" s="501"/>
    </row>
    <row r="3413" spans="1:11" s="23" customFormat="1">
      <c r="A3413" s="507"/>
      <c r="B3413" s="49"/>
      <c r="C3413" s="230"/>
      <c r="D3413" s="230"/>
      <c r="E3413" s="216"/>
      <c r="F3413" s="156"/>
      <c r="G3413" s="508"/>
      <c r="H3413" s="2031"/>
      <c r="I3413" s="508"/>
      <c r="J3413" s="507"/>
      <c r="K3413" s="508"/>
    </row>
    <row r="3414" spans="1:11" s="23" customFormat="1">
      <c r="A3414" s="502"/>
      <c r="B3414" s="32" t="s">
        <v>7708</v>
      </c>
      <c r="C3414" s="230"/>
      <c r="D3414" s="517">
        <v>1610</v>
      </c>
      <c r="E3414" s="216">
        <v>100</v>
      </c>
      <c r="F3414" s="156">
        <f>D3414+E3414</f>
        <v>1710</v>
      </c>
      <c r="G3414" s="24" t="s">
        <v>7709</v>
      </c>
      <c r="H3414" s="2003" t="str">
        <f>B3414</f>
        <v>LD3500</v>
      </c>
      <c r="I3414" s="501"/>
      <c r="J3414" s="514" t="s">
        <v>1835</v>
      </c>
      <c r="K3414" s="501" t="s">
        <v>741</v>
      </c>
    </row>
    <row r="3415" spans="1:11" s="23" customFormat="1">
      <c r="A3415" s="502"/>
      <c r="B3415" s="32" t="s">
        <v>7710</v>
      </c>
      <c r="C3415" s="230"/>
      <c r="D3415" s="517">
        <v>1610</v>
      </c>
      <c r="E3415" s="216">
        <v>100</v>
      </c>
      <c r="F3415" s="156">
        <f>D3415+E3415</f>
        <v>1710</v>
      </c>
      <c r="G3415" s="24" t="s">
        <v>7711</v>
      </c>
      <c r="H3415" s="2003" t="str">
        <f>B3415</f>
        <v>LD3600</v>
      </c>
      <c r="I3415" s="501"/>
      <c r="J3415" s="514" t="s">
        <v>1835</v>
      </c>
      <c r="K3415" s="501" t="s">
        <v>741</v>
      </c>
    </row>
    <row r="3416" spans="1:11" s="23" customFormat="1">
      <c r="A3416" s="502"/>
      <c r="B3416" s="32" t="s">
        <v>7712</v>
      </c>
      <c r="C3416" s="230"/>
      <c r="D3416" s="517">
        <v>2420</v>
      </c>
      <c r="E3416" s="216">
        <v>100</v>
      </c>
      <c r="F3416" s="156">
        <f>D3416+E3416</f>
        <v>2520</v>
      </c>
      <c r="G3416" s="24" t="s">
        <v>7713</v>
      </c>
      <c r="H3416" s="2003" t="str">
        <f>B3416</f>
        <v>LD3600-LSI</v>
      </c>
      <c r="I3416" s="501"/>
      <c r="J3416" s="514" t="s">
        <v>1835</v>
      </c>
      <c r="K3416" s="501" t="s">
        <v>741</v>
      </c>
    </row>
    <row r="3417" spans="1:11" s="23" customFormat="1">
      <c r="A3417" s="502"/>
      <c r="B3417" s="501"/>
      <c r="C3417" s="230"/>
      <c r="D3417" s="230"/>
      <c r="E3417" s="505"/>
      <c r="F3417" s="506"/>
      <c r="G3417" s="501"/>
      <c r="H3417" s="2003"/>
      <c r="I3417" s="501"/>
      <c r="J3417" s="502"/>
      <c r="K3417" s="501"/>
    </row>
    <row r="3418" spans="1:11" s="23" customFormat="1">
      <c r="A3418" s="502"/>
      <c r="B3418" s="32" t="s">
        <v>7714</v>
      </c>
      <c r="C3418" s="230"/>
      <c r="D3418" s="517">
        <v>1700</v>
      </c>
      <c r="E3418" s="216">
        <v>100</v>
      </c>
      <c r="F3418" s="156">
        <f>D3418+E3418</f>
        <v>1800</v>
      </c>
      <c r="G3418" s="24" t="s">
        <v>7715</v>
      </c>
      <c r="H3418" s="2003" t="str">
        <f>B3418</f>
        <v>HLD3500</v>
      </c>
      <c r="I3418" s="501"/>
      <c r="J3418" s="514" t="s">
        <v>1835</v>
      </c>
      <c r="K3418" s="501" t="s">
        <v>741</v>
      </c>
    </row>
    <row r="3419" spans="1:11" s="23" customFormat="1">
      <c r="A3419" s="502"/>
      <c r="B3419" s="32" t="s">
        <v>7716</v>
      </c>
      <c r="C3419" s="230"/>
      <c r="D3419" s="517">
        <v>2520</v>
      </c>
      <c r="E3419" s="216">
        <v>100</v>
      </c>
      <c r="F3419" s="156">
        <f>D3419+E3419</f>
        <v>2620</v>
      </c>
      <c r="G3419" s="24" t="s">
        <v>7717</v>
      </c>
      <c r="H3419" s="2003" t="str">
        <f>B3419</f>
        <v>HLD3600-LSI</v>
      </c>
      <c r="I3419" s="501"/>
      <c r="J3419" s="514" t="s">
        <v>1835</v>
      </c>
      <c r="K3419" s="501" t="s">
        <v>741</v>
      </c>
    </row>
    <row r="3420" spans="1:11" s="23" customFormat="1">
      <c r="A3420" s="502"/>
      <c r="B3420" s="501"/>
      <c r="C3420" s="230"/>
      <c r="D3420" s="230"/>
      <c r="E3420" s="505"/>
      <c r="F3420" s="506"/>
      <c r="G3420" s="501"/>
      <c r="H3420" s="2003"/>
      <c r="I3420" s="501"/>
      <c r="J3420" s="502"/>
      <c r="K3420" s="501"/>
    </row>
    <row r="3421" spans="1:11" s="35" customFormat="1">
      <c r="A3421" s="507"/>
      <c r="B3421" s="49"/>
      <c r="C3421" s="230"/>
      <c r="D3421" s="230"/>
      <c r="E3421" s="216"/>
      <c r="F3421" s="156"/>
      <c r="G3421" s="508"/>
      <c r="H3421" s="2031"/>
      <c r="I3421" s="508"/>
      <c r="J3421" s="507"/>
      <c r="K3421" s="508"/>
    </row>
    <row r="3422" spans="1:11" s="35" customFormat="1">
      <c r="A3422" s="502"/>
      <c r="B3422" s="32" t="s">
        <v>193</v>
      </c>
      <c r="C3422" s="230"/>
      <c r="D3422" s="230">
        <v>45</v>
      </c>
      <c r="E3422" s="216">
        <v>3</v>
      </c>
      <c r="F3422" s="156">
        <f t="shared" ref="F3422:F3431" si="472">D3422+E3422</f>
        <v>48</v>
      </c>
      <c r="G3422" s="24" t="s">
        <v>7718</v>
      </c>
      <c r="H3422" s="2003" t="str">
        <f>B3422</f>
        <v>GHB1015</v>
      </c>
      <c r="I3422" s="501"/>
      <c r="J3422" s="514" t="s">
        <v>1835</v>
      </c>
      <c r="K3422" s="501"/>
    </row>
    <row r="3423" spans="1:11" s="35" customFormat="1">
      <c r="A3423" s="502"/>
      <c r="B3423" s="32" t="s">
        <v>194</v>
      </c>
      <c r="C3423" s="230"/>
      <c r="D3423" s="230">
        <v>45</v>
      </c>
      <c r="E3423" s="216">
        <v>3</v>
      </c>
      <c r="F3423" s="156">
        <f t="shared" si="472"/>
        <v>48</v>
      </c>
      <c r="G3423" s="24" t="s">
        <v>7719</v>
      </c>
      <c r="H3423" s="2003" t="str">
        <f t="shared" ref="H3423:H3453" si="473">B3423</f>
        <v>GHB1020</v>
      </c>
      <c r="I3423" s="501"/>
      <c r="J3423" s="514" t="s">
        <v>1835</v>
      </c>
      <c r="K3423" s="501"/>
    </row>
    <row r="3424" spans="1:11" s="35" customFormat="1">
      <c r="A3424" s="502"/>
      <c r="B3424" s="32" t="s">
        <v>195</v>
      </c>
      <c r="C3424" s="230"/>
      <c r="D3424" s="230">
        <v>45</v>
      </c>
      <c r="E3424" s="216">
        <v>3</v>
      </c>
      <c r="F3424" s="156">
        <f t="shared" si="472"/>
        <v>48</v>
      </c>
      <c r="G3424" s="24" t="s">
        <v>7720</v>
      </c>
      <c r="H3424" s="2003" t="str">
        <f t="shared" si="473"/>
        <v>GHB1030</v>
      </c>
      <c r="I3424" s="501"/>
      <c r="J3424" s="514" t="s">
        <v>1835</v>
      </c>
      <c r="K3424" s="501"/>
    </row>
    <row r="3425" spans="1:11" s="35" customFormat="1">
      <c r="A3425" s="502"/>
      <c r="B3425" s="32" t="s">
        <v>196</v>
      </c>
      <c r="C3425" s="230"/>
      <c r="D3425" s="230">
        <v>45</v>
      </c>
      <c r="E3425" s="216">
        <v>3</v>
      </c>
      <c r="F3425" s="156">
        <f t="shared" si="472"/>
        <v>48</v>
      </c>
      <c r="G3425" s="24" t="s">
        <v>7721</v>
      </c>
      <c r="H3425" s="2003" t="str">
        <f t="shared" si="473"/>
        <v>GHB1040</v>
      </c>
      <c r="I3425" s="501"/>
      <c r="J3425" s="514" t="s">
        <v>1835</v>
      </c>
      <c r="K3425" s="501"/>
    </row>
    <row r="3426" spans="1:11" s="35" customFormat="1">
      <c r="A3426" s="502"/>
      <c r="B3426" s="32" t="s">
        <v>197</v>
      </c>
      <c r="C3426" s="230"/>
      <c r="D3426" s="230">
        <v>45</v>
      </c>
      <c r="E3426" s="216">
        <v>3</v>
      </c>
      <c r="F3426" s="156">
        <f t="shared" si="472"/>
        <v>48</v>
      </c>
      <c r="G3426" s="24" t="s">
        <v>7722</v>
      </c>
      <c r="H3426" s="2003" t="str">
        <f t="shared" si="473"/>
        <v>GHB1050</v>
      </c>
      <c r="I3426" s="501"/>
      <c r="J3426" s="514" t="s">
        <v>1835</v>
      </c>
      <c r="K3426" s="501"/>
    </row>
    <row r="3427" spans="1:11" s="35" customFormat="1">
      <c r="A3427" s="502"/>
      <c r="B3427" s="32" t="s">
        <v>198</v>
      </c>
      <c r="C3427" s="230"/>
      <c r="D3427" s="230">
        <v>45</v>
      </c>
      <c r="E3427" s="216">
        <v>3</v>
      </c>
      <c r="F3427" s="156">
        <f t="shared" si="472"/>
        <v>48</v>
      </c>
      <c r="G3427" s="24" t="s">
        <v>7723</v>
      </c>
      <c r="H3427" s="2003" t="str">
        <f t="shared" si="473"/>
        <v>GHB1060</v>
      </c>
      <c r="I3427" s="501"/>
      <c r="J3427" s="514" t="s">
        <v>1835</v>
      </c>
      <c r="K3427" s="501"/>
    </row>
    <row r="3428" spans="1:11" s="35" customFormat="1">
      <c r="A3428" s="502"/>
      <c r="B3428" s="32" t="s">
        <v>199</v>
      </c>
      <c r="C3428" s="230"/>
      <c r="D3428" s="230">
        <v>48</v>
      </c>
      <c r="E3428" s="216">
        <v>3</v>
      </c>
      <c r="F3428" s="156">
        <f t="shared" si="472"/>
        <v>51</v>
      </c>
      <c r="G3428" s="24" t="s">
        <v>7724</v>
      </c>
      <c r="H3428" s="2003" t="str">
        <f t="shared" si="473"/>
        <v>GHB1070</v>
      </c>
      <c r="I3428" s="501"/>
      <c r="J3428" s="514" t="s">
        <v>1835</v>
      </c>
      <c r="K3428" s="501"/>
    </row>
    <row r="3429" spans="1:11" s="35" customFormat="1">
      <c r="A3429" s="502"/>
      <c r="B3429" s="32" t="s">
        <v>200</v>
      </c>
      <c r="C3429" s="230"/>
      <c r="D3429" s="230">
        <v>48</v>
      </c>
      <c r="E3429" s="216">
        <v>3</v>
      </c>
      <c r="F3429" s="156">
        <f t="shared" si="472"/>
        <v>51</v>
      </c>
      <c r="G3429" s="24" t="s">
        <v>7725</v>
      </c>
      <c r="H3429" s="2003" t="str">
        <f t="shared" si="473"/>
        <v>GHB1080</v>
      </c>
      <c r="I3429" s="501"/>
      <c r="J3429" s="514" t="s">
        <v>1835</v>
      </c>
      <c r="K3429" s="501"/>
    </row>
    <row r="3430" spans="1:11" s="35" customFormat="1">
      <c r="A3430" s="502"/>
      <c r="B3430" s="32" t="s">
        <v>201</v>
      </c>
      <c r="C3430" s="230"/>
      <c r="D3430" s="230">
        <v>48</v>
      </c>
      <c r="E3430" s="216">
        <v>3</v>
      </c>
      <c r="F3430" s="156">
        <f t="shared" si="472"/>
        <v>51</v>
      </c>
      <c r="G3430" s="24" t="s">
        <v>7726</v>
      </c>
      <c r="H3430" s="2003" t="str">
        <f t="shared" si="473"/>
        <v>GHB1090</v>
      </c>
      <c r="I3430" s="501"/>
      <c r="J3430" s="514" t="s">
        <v>1835</v>
      </c>
      <c r="K3430" s="501"/>
    </row>
    <row r="3431" spans="1:11" s="35" customFormat="1">
      <c r="A3431" s="502"/>
      <c r="B3431" s="32" t="s">
        <v>202</v>
      </c>
      <c r="C3431" s="230"/>
      <c r="D3431" s="230">
        <v>48</v>
      </c>
      <c r="E3431" s="216">
        <v>3</v>
      </c>
      <c r="F3431" s="156">
        <f t="shared" si="472"/>
        <v>51</v>
      </c>
      <c r="G3431" s="24" t="s">
        <v>7727</v>
      </c>
      <c r="H3431" s="2003" t="str">
        <f t="shared" si="473"/>
        <v>GHB1100</v>
      </c>
      <c r="I3431" s="501"/>
      <c r="J3431" s="514" t="s">
        <v>1835</v>
      </c>
      <c r="K3431" s="501"/>
    </row>
    <row r="3432" spans="1:11" s="35" customFormat="1">
      <c r="A3432" s="502"/>
      <c r="B3432" s="32"/>
      <c r="C3432" s="230"/>
      <c r="D3432" s="230"/>
      <c r="E3432" s="216"/>
      <c r="F3432" s="156"/>
      <c r="G3432" s="24"/>
      <c r="H3432" s="2003"/>
      <c r="I3432" s="501"/>
      <c r="J3432" s="502"/>
      <c r="K3432" s="501"/>
    </row>
    <row r="3433" spans="1:11" s="35" customFormat="1">
      <c r="A3433" s="502"/>
      <c r="B3433" s="53" t="s">
        <v>203</v>
      </c>
      <c r="C3433" s="230"/>
      <c r="D3433" s="230">
        <v>66</v>
      </c>
      <c r="E3433" s="216">
        <v>4</v>
      </c>
      <c r="F3433" s="156">
        <f t="shared" ref="F3433:F3442" si="474">D3433+E3433</f>
        <v>70</v>
      </c>
      <c r="G3433" s="24" t="s">
        <v>7728</v>
      </c>
      <c r="H3433" s="2003" t="str">
        <f t="shared" si="473"/>
        <v>GHB2015</v>
      </c>
      <c r="I3433" s="501"/>
      <c r="J3433" s="514" t="s">
        <v>1835</v>
      </c>
      <c r="K3433" s="501"/>
    </row>
    <row r="3434" spans="1:11" s="35" customFormat="1">
      <c r="A3434" s="502"/>
      <c r="B3434" s="53" t="s">
        <v>204</v>
      </c>
      <c r="C3434" s="230"/>
      <c r="D3434" s="230">
        <v>66</v>
      </c>
      <c r="E3434" s="216">
        <v>4</v>
      </c>
      <c r="F3434" s="156">
        <f t="shared" si="474"/>
        <v>70</v>
      </c>
      <c r="G3434" s="24" t="s">
        <v>7729</v>
      </c>
      <c r="H3434" s="2003" t="str">
        <f t="shared" si="473"/>
        <v>GHB2020</v>
      </c>
      <c r="I3434" s="501"/>
      <c r="J3434" s="514" t="s">
        <v>1835</v>
      </c>
      <c r="K3434" s="501"/>
    </row>
    <row r="3435" spans="1:11" s="35" customFormat="1">
      <c r="A3435" s="502"/>
      <c r="B3435" s="53" t="s">
        <v>205</v>
      </c>
      <c r="C3435" s="230"/>
      <c r="D3435" s="230">
        <v>66</v>
      </c>
      <c r="E3435" s="216">
        <v>4</v>
      </c>
      <c r="F3435" s="156">
        <f t="shared" si="474"/>
        <v>70</v>
      </c>
      <c r="G3435" s="24" t="s">
        <v>7730</v>
      </c>
      <c r="H3435" s="2003" t="str">
        <f t="shared" si="473"/>
        <v>GHB2030</v>
      </c>
      <c r="I3435" s="501"/>
      <c r="J3435" s="514" t="s">
        <v>1835</v>
      </c>
      <c r="K3435" s="501"/>
    </row>
    <row r="3436" spans="1:11" s="35" customFormat="1">
      <c r="A3436" s="502"/>
      <c r="B3436" s="53" t="s">
        <v>206</v>
      </c>
      <c r="C3436" s="230"/>
      <c r="D3436" s="230">
        <v>66</v>
      </c>
      <c r="E3436" s="216">
        <v>4</v>
      </c>
      <c r="F3436" s="156">
        <f t="shared" si="474"/>
        <v>70</v>
      </c>
      <c r="G3436" s="24" t="s">
        <v>7731</v>
      </c>
      <c r="H3436" s="2003" t="str">
        <f t="shared" si="473"/>
        <v>GHB2040</v>
      </c>
      <c r="I3436" s="501"/>
      <c r="J3436" s="514" t="s">
        <v>1835</v>
      </c>
      <c r="K3436" s="501"/>
    </row>
    <row r="3437" spans="1:11" s="35" customFormat="1">
      <c r="A3437" s="502"/>
      <c r="B3437" s="53" t="s">
        <v>207</v>
      </c>
      <c r="C3437" s="230"/>
      <c r="D3437" s="230">
        <v>66</v>
      </c>
      <c r="E3437" s="216">
        <v>4</v>
      </c>
      <c r="F3437" s="156">
        <f t="shared" si="474"/>
        <v>70</v>
      </c>
      <c r="G3437" s="24" t="s">
        <v>7732</v>
      </c>
      <c r="H3437" s="2003" t="str">
        <f t="shared" si="473"/>
        <v>GHB2050</v>
      </c>
      <c r="I3437" s="501"/>
      <c r="J3437" s="514" t="s">
        <v>1835</v>
      </c>
      <c r="K3437" s="501"/>
    </row>
    <row r="3438" spans="1:11" s="35" customFormat="1">
      <c r="A3438" s="502"/>
      <c r="B3438" s="53" t="s">
        <v>208</v>
      </c>
      <c r="C3438" s="230"/>
      <c r="D3438" s="230">
        <v>66</v>
      </c>
      <c r="E3438" s="216">
        <v>4</v>
      </c>
      <c r="F3438" s="156">
        <f t="shared" si="474"/>
        <v>70</v>
      </c>
      <c r="G3438" s="24" t="s">
        <v>7733</v>
      </c>
      <c r="H3438" s="2003" t="str">
        <f t="shared" si="473"/>
        <v>GHB2060</v>
      </c>
      <c r="I3438" s="501"/>
      <c r="J3438" s="514" t="s">
        <v>1835</v>
      </c>
      <c r="K3438" s="501"/>
    </row>
    <row r="3439" spans="1:11" s="35" customFormat="1">
      <c r="A3439" s="502"/>
      <c r="B3439" s="53" t="s">
        <v>209</v>
      </c>
      <c r="C3439" s="230"/>
      <c r="D3439" s="230">
        <v>66</v>
      </c>
      <c r="E3439" s="216">
        <v>4</v>
      </c>
      <c r="F3439" s="156">
        <f t="shared" si="474"/>
        <v>70</v>
      </c>
      <c r="G3439" s="24" t="s">
        <v>7734</v>
      </c>
      <c r="H3439" s="2003" t="str">
        <f t="shared" si="473"/>
        <v>GHB2070</v>
      </c>
      <c r="I3439" s="501"/>
      <c r="J3439" s="514" t="s">
        <v>1835</v>
      </c>
      <c r="K3439" s="501"/>
    </row>
    <row r="3440" spans="1:11" s="35" customFormat="1">
      <c r="A3440" s="502"/>
      <c r="B3440" s="53" t="s">
        <v>210</v>
      </c>
      <c r="C3440" s="230"/>
      <c r="D3440" s="230">
        <v>69</v>
      </c>
      <c r="E3440" s="216">
        <v>4</v>
      </c>
      <c r="F3440" s="156">
        <f t="shared" si="474"/>
        <v>73</v>
      </c>
      <c r="G3440" s="24" t="s">
        <v>7735</v>
      </c>
      <c r="H3440" s="2003" t="str">
        <f t="shared" si="473"/>
        <v>GHB2080</v>
      </c>
      <c r="I3440" s="501"/>
      <c r="J3440" s="514" t="s">
        <v>1835</v>
      </c>
      <c r="K3440" s="501"/>
    </row>
    <row r="3441" spans="1:11" s="35" customFormat="1">
      <c r="A3441" s="502"/>
      <c r="B3441" s="53" t="s">
        <v>211</v>
      </c>
      <c r="C3441" s="230"/>
      <c r="D3441" s="230">
        <v>69</v>
      </c>
      <c r="E3441" s="216">
        <v>4</v>
      </c>
      <c r="F3441" s="156">
        <f t="shared" si="474"/>
        <v>73</v>
      </c>
      <c r="G3441" s="24" t="s">
        <v>7736</v>
      </c>
      <c r="H3441" s="2003" t="str">
        <f t="shared" si="473"/>
        <v>GHB2090</v>
      </c>
      <c r="I3441" s="501"/>
      <c r="J3441" s="514" t="s">
        <v>1835</v>
      </c>
      <c r="K3441" s="501"/>
    </row>
    <row r="3442" spans="1:11" s="35" customFormat="1">
      <c r="A3442" s="502"/>
      <c r="B3442" s="53" t="s">
        <v>212</v>
      </c>
      <c r="C3442" s="230"/>
      <c r="D3442" s="230">
        <v>69</v>
      </c>
      <c r="E3442" s="216">
        <v>4</v>
      </c>
      <c r="F3442" s="156">
        <f t="shared" si="474"/>
        <v>73</v>
      </c>
      <c r="G3442" s="24" t="s">
        <v>7737</v>
      </c>
      <c r="H3442" s="2003" t="str">
        <f t="shared" si="473"/>
        <v>GHB2100</v>
      </c>
      <c r="I3442" s="501"/>
      <c r="J3442" s="514" t="s">
        <v>1835</v>
      </c>
      <c r="K3442" s="501"/>
    </row>
    <row r="3443" spans="1:11" s="35" customFormat="1">
      <c r="A3443" s="502"/>
      <c r="B3443" s="53"/>
      <c r="C3443" s="230"/>
      <c r="D3443" s="230"/>
      <c r="E3443" s="216"/>
      <c r="F3443" s="156"/>
      <c r="G3443" s="24"/>
      <c r="H3443" s="2003"/>
      <c r="I3443" s="501"/>
      <c r="J3443" s="502"/>
      <c r="K3443" s="501"/>
    </row>
    <row r="3444" spans="1:11" s="35" customFormat="1">
      <c r="A3444" s="510"/>
      <c r="B3444" s="53" t="s">
        <v>213</v>
      </c>
      <c r="C3444" s="230"/>
      <c r="D3444" s="230">
        <v>121</v>
      </c>
      <c r="E3444" s="216">
        <v>5</v>
      </c>
      <c r="F3444" s="156">
        <f t="shared" ref="F3444:F3453" si="475">D3444+E3444</f>
        <v>126</v>
      </c>
      <c r="G3444" s="24" t="s">
        <v>7738</v>
      </c>
      <c r="H3444" s="2003" t="str">
        <f t="shared" si="473"/>
        <v>GHB3015</v>
      </c>
      <c r="I3444" s="501"/>
      <c r="J3444" s="514" t="s">
        <v>1835</v>
      </c>
      <c r="K3444" s="501"/>
    </row>
    <row r="3445" spans="1:11" s="35" customFormat="1">
      <c r="A3445" s="510"/>
      <c r="B3445" s="53" t="s">
        <v>214</v>
      </c>
      <c r="C3445" s="230"/>
      <c r="D3445" s="230">
        <v>121</v>
      </c>
      <c r="E3445" s="216">
        <v>5</v>
      </c>
      <c r="F3445" s="156">
        <f t="shared" si="475"/>
        <v>126</v>
      </c>
      <c r="G3445" s="24" t="s">
        <v>7739</v>
      </c>
      <c r="H3445" s="2003" t="str">
        <f t="shared" si="473"/>
        <v>GHB3020</v>
      </c>
      <c r="I3445" s="501"/>
      <c r="J3445" s="514" t="s">
        <v>1835</v>
      </c>
      <c r="K3445" s="501"/>
    </row>
    <row r="3446" spans="1:11" s="35" customFormat="1">
      <c r="A3446" s="510"/>
      <c r="B3446" s="53" t="s">
        <v>215</v>
      </c>
      <c r="C3446" s="230"/>
      <c r="D3446" s="230">
        <v>121</v>
      </c>
      <c r="E3446" s="216">
        <v>5</v>
      </c>
      <c r="F3446" s="156">
        <f t="shared" si="475"/>
        <v>126</v>
      </c>
      <c r="G3446" s="24" t="s">
        <v>7740</v>
      </c>
      <c r="H3446" s="2003" t="str">
        <f t="shared" si="473"/>
        <v>GHB3030</v>
      </c>
      <c r="I3446" s="501"/>
      <c r="J3446" s="514" t="s">
        <v>1835</v>
      </c>
      <c r="K3446" s="501"/>
    </row>
    <row r="3447" spans="1:11" s="35" customFormat="1">
      <c r="A3447" s="510"/>
      <c r="B3447" s="53" t="s">
        <v>216</v>
      </c>
      <c r="C3447" s="230"/>
      <c r="D3447" s="230">
        <v>121</v>
      </c>
      <c r="E3447" s="216">
        <v>5</v>
      </c>
      <c r="F3447" s="156">
        <f t="shared" si="475"/>
        <v>126</v>
      </c>
      <c r="G3447" s="24" t="s">
        <v>7741</v>
      </c>
      <c r="H3447" s="2003" t="str">
        <f t="shared" si="473"/>
        <v>GHB3040</v>
      </c>
      <c r="I3447" s="501"/>
      <c r="J3447" s="514" t="s">
        <v>1835</v>
      </c>
      <c r="K3447" s="501"/>
    </row>
    <row r="3448" spans="1:11" s="35" customFormat="1">
      <c r="A3448" s="510"/>
      <c r="B3448" s="53" t="s">
        <v>217</v>
      </c>
      <c r="C3448" s="230"/>
      <c r="D3448" s="230">
        <v>121</v>
      </c>
      <c r="E3448" s="216">
        <v>5</v>
      </c>
      <c r="F3448" s="156">
        <f t="shared" si="475"/>
        <v>126</v>
      </c>
      <c r="G3448" s="24" t="s">
        <v>7742</v>
      </c>
      <c r="H3448" s="2003" t="str">
        <f t="shared" si="473"/>
        <v>GHB3050</v>
      </c>
      <c r="I3448" s="501"/>
      <c r="J3448" s="514" t="s">
        <v>1835</v>
      </c>
      <c r="K3448" s="501"/>
    </row>
    <row r="3449" spans="1:11" s="35" customFormat="1">
      <c r="A3449" s="510"/>
      <c r="B3449" s="53" t="s">
        <v>218</v>
      </c>
      <c r="C3449" s="230"/>
      <c r="D3449" s="230">
        <v>124</v>
      </c>
      <c r="E3449" s="216">
        <v>5</v>
      </c>
      <c r="F3449" s="156">
        <f t="shared" si="475"/>
        <v>129</v>
      </c>
      <c r="G3449" s="24" t="s">
        <v>7743</v>
      </c>
      <c r="H3449" s="2003" t="str">
        <f t="shared" si="473"/>
        <v>GHB3060</v>
      </c>
      <c r="I3449" s="501"/>
      <c r="J3449" s="514" t="s">
        <v>1835</v>
      </c>
      <c r="K3449" s="501"/>
    </row>
    <row r="3450" spans="1:11" s="35" customFormat="1">
      <c r="A3450" s="510"/>
      <c r="B3450" s="53" t="s">
        <v>219</v>
      </c>
      <c r="C3450" s="230"/>
      <c r="D3450" s="230">
        <v>124</v>
      </c>
      <c r="E3450" s="216">
        <v>5</v>
      </c>
      <c r="F3450" s="156">
        <f t="shared" si="475"/>
        <v>129</v>
      </c>
      <c r="G3450" s="24" t="s">
        <v>7744</v>
      </c>
      <c r="H3450" s="2003" t="str">
        <f t="shared" si="473"/>
        <v>GHB3070</v>
      </c>
      <c r="I3450" s="501"/>
      <c r="J3450" s="514" t="s">
        <v>1835</v>
      </c>
      <c r="K3450" s="501"/>
    </row>
    <row r="3451" spans="1:11" s="35" customFormat="1">
      <c r="A3451" s="510"/>
      <c r="B3451" s="53" t="s">
        <v>220</v>
      </c>
      <c r="C3451" s="230"/>
      <c r="D3451" s="230">
        <v>124</v>
      </c>
      <c r="E3451" s="216">
        <v>5</v>
      </c>
      <c r="F3451" s="156">
        <f t="shared" si="475"/>
        <v>129</v>
      </c>
      <c r="G3451" s="24" t="s">
        <v>7745</v>
      </c>
      <c r="H3451" s="2003" t="str">
        <f t="shared" si="473"/>
        <v>GHB3080</v>
      </c>
      <c r="I3451" s="501"/>
      <c r="J3451" s="514" t="s">
        <v>1835</v>
      </c>
      <c r="K3451" s="501"/>
    </row>
    <row r="3452" spans="1:11" s="35" customFormat="1">
      <c r="A3452" s="510"/>
      <c r="B3452" s="53" t="s">
        <v>221</v>
      </c>
      <c r="C3452" s="230"/>
      <c r="D3452" s="230">
        <v>124</v>
      </c>
      <c r="E3452" s="216">
        <v>5</v>
      </c>
      <c r="F3452" s="156">
        <f t="shared" si="475"/>
        <v>129</v>
      </c>
      <c r="G3452" s="24" t="s">
        <v>7746</v>
      </c>
      <c r="H3452" s="2003" t="str">
        <f t="shared" si="473"/>
        <v>GHB3090</v>
      </c>
      <c r="I3452" s="501"/>
      <c r="J3452" s="514" t="s">
        <v>1835</v>
      </c>
      <c r="K3452" s="501"/>
    </row>
    <row r="3453" spans="1:11" s="23" customFormat="1">
      <c r="A3453" s="510"/>
      <c r="B3453" s="53" t="s">
        <v>222</v>
      </c>
      <c r="C3453" s="230"/>
      <c r="D3453" s="230">
        <v>124</v>
      </c>
      <c r="E3453" s="216">
        <v>5</v>
      </c>
      <c r="F3453" s="156">
        <f t="shared" si="475"/>
        <v>129</v>
      </c>
      <c r="G3453" s="24" t="s">
        <v>7747</v>
      </c>
      <c r="H3453" s="2003" t="str">
        <f t="shared" si="473"/>
        <v>GHB3100</v>
      </c>
      <c r="I3453" s="501"/>
      <c r="J3453" s="514" t="s">
        <v>1835</v>
      </c>
      <c r="K3453" s="501"/>
    </row>
    <row r="3454" spans="1:11" s="35" customFormat="1">
      <c r="A3454" s="507"/>
      <c r="B3454" s="49"/>
      <c r="C3454" s="230"/>
      <c r="D3454" s="230"/>
      <c r="E3454" s="216"/>
      <c r="F3454" s="156"/>
      <c r="G3454" s="508"/>
      <c r="H3454" s="2031"/>
      <c r="I3454" s="508"/>
      <c r="J3454" s="507"/>
      <c r="K3454" s="508"/>
    </row>
    <row r="3455" spans="1:11" s="35" customFormat="1">
      <c r="A3455" s="1772"/>
      <c r="B3455" s="53" t="s">
        <v>7748</v>
      </c>
      <c r="C3455" s="230"/>
      <c r="D3455" s="230">
        <v>291</v>
      </c>
      <c r="E3455" s="216">
        <v>5</v>
      </c>
      <c r="F3455" s="156">
        <f>D3455+E3455</f>
        <v>296</v>
      </c>
      <c r="G3455" s="24" t="s">
        <v>7749</v>
      </c>
      <c r="H3455" s="2003" t="str">
        <f>B3455</f>
        <v>GHC3030</v>
      </c>
      <c r="I3455" s="501"/>
      <c r="J3455" s="514" t="s">
        <v>1835</v>
      </c>
      <c r="K3455" s="501"/>
    </row>
    <row r="3456" spans="1:11" s="35" customFormat="1">
      <c r="A3456" s="507"/>
      <c r="B3456" s="53"/>
      <c r="C3456" s="230"/>
      <c r="D3456" s="230"/>
      <c r="E3456" s="216"/>
      <c r="F3456" s="156"/>
      <c r="G3456" s="24"/>
      <c r="H3456" s="2003"/>
      <c r="I3456" s="501"/>
      <c r="J3456" s="514"/>
      <c r="K3456" s="501"/>
    </row>
    <row r="3457" spans="1:11" s="23" customFormat="1">
      <c r="A3457" s="1772"/>
      <c r="B3457" s="1095" t="s">
        <v>7750</v>
      </c>
      <c r="C3457" s="1096"/>
      <c r="D3457" s="537">
        <v>23</v>
      </c>
      <c r="E3457" s="1097">
        <v>1</v>
      </c>
      <c r="F3457" s="1098">
        <f>D3457+E3457</f>
        <v>24</v>
      </c>
      <c r="G3457" s="1099" t="s">
        <v>11678</v>
      </c>
      <c r="H3457" s="2003" t="str">
        <f>B3457</f>
        <v>1223C77G03</v>
      </c>
      <c r="I3457" s="501"/>
      <c r="J3457" s="502"/>
      <c r="K3457" s="501"/>
    </row>
    <row r="3458" spans="1:11" s="35" customFormat="1">
      <c r="A3458" s="507"/>
      <c r="B3458" s="49"/>
      <c r="C3458" s="230"/>
      <c r="D3458" s="230"/>
      <c r="E3458" s="216"/>
      <c r="F3458" s="156"/>
      <c r="G3458" s="508"/>
      <c r="H3458" s="2031"/>
      <c r="I3458" s="508"/>
      <c r="J3458" s="507"/>
      <c r="K3458" s="508"/>
    </row>
    <row r="3459" spans="1:11" s="23" customFormat="1">
      <c r="A3459" s="502"/>
      <c r="B3459" s="1095" t="s">
        <v>7751</v>
      </c>
      <c r="C3459" s="1096"/>
      <c r="D3459" s="537">
        <v>10</v>
      </c>
      <c r="E3459" s="1097">
        <v>1</v>
      </c>
      <c r="F3459" s="1098">
        <f>D3459+E3459</f>
        <v>11</v>
      </c>
      <c r="G3459" s="1099" t="s">
        <v>7752</v>
      </c>
      <c r="H3459" s="2003" t="str">
        <f>B3459</f>
        <v>PKL_GHB</v>
      </c>
      <c r="I3459" s="501"/>
      <c r="J3459" s="502"/>
      <c r="K3459" s="501"/>
    </row>
    <row r="3460" spans="1:11" s="35" customFormat="1">
      <c r="A3460" s="502"/>
      <c r="B3460" s="28"/>
      <c r="C3460" s="230"/>
      <c r="D3460" s="230"/>
      <c r="E3460" s="216"/>
      <c r="F3460" s="156"/>
      <c r="G3460" s="24"/>
      <c r="H3460" s="2003"/>
      <c r="I3460" s="501"/>
      <c r="J3460" s="502"/>
      <c r="K3460" s="501"/>
    </row>
    <row r="3461" spans="1:11" s="35" customFormat="1">
      <c r="A3461" s="502"/>
      <c r="B3461" s="929" t="s">
        <v>11096</v>
      </c>
      <c r="C3461" s="932"/>
      <c r="D3461" s="932">
        <v>1220</v>
      </c>
      <c r="E3461" s="804">
        <v>30</v>
      </c>
      <c r="F3461" s="805">
        <f t="shared" ref="F3461:F3466" si="476">D3461+E3461</f>
        <v>1250</v>
      </c>
      <c r="G3461" s="931" t="s">
        <v>11097</v>
      </c>
      <c r="H3461" s="2034" t="str">
        <f>B3461</f>
        <v>GJH3160-ELECTRONICO</v>
      </c>
      <c r="I3461" s="501"/>
      <c r="J3461" s="514" t="s">
        <v>1835</v>
      </c>
      <c r="K3461" s="501"/>
    </row>
    <row r="3462" spans="1:11" s="35" customFormat="1" ht="13.5" thickBot="1">
      <c r="A3462" s="502"/>
      <c r="B3462" s="929" t="s">
        <v>11098</v>
      </c>
      <c r="C3462" s="932"/>
      <c r="D3462" s="932">
        <v>1220</v>
      </c>
      <c r="E3462" s="804">
        <v>30</v>
      </c>
      <c r="F3462" s="805">
        <f t="shared" si="476"/>
        <v>1250</v>
      </c>
      <c r="G3462" s="931" t="s">
        <v>11099</v>
      </c>
      <c r="H3462" s="2034" t="str">
        <f>B3462</f>
        <v>GJH3100-ELECTRONICO</v>
      </c>
      <c r="I3462" s="501"/>
      <c r="J3462" s="514" t="s">
        <v>1835</v>
      </c>
      <c r="K3462" s="501"/>
    </row>
    <row r="3463" spans="1:11" s="35" customFormat="1">
      <c r="A3463" s="502"/>
      <c r="B3463" s="924" t="s">
        <v>95</v>
      </c>
      <c r="C3463" s="925"/>
      <c r="D3463" s="925">
        <v>390</v>
      </c>
      <c r="E3463" s="926">
        <v>30</v>
      </c>
      <c r="F3463" s="927">
        <f t="shared" si="476"/>
        <v>420</v>
      </c>
      <c r="G3463" s="928" t="s">
        <v>7753</v>
      </c>
      <c r="H3463" s="2033" t="s">
        <v>95</v>
      </c>
      <c r="I3463" s="501"/>
      <c r="J3463" s="514" t="s">
        <v>1835</v>
      </c>
      <c r="K3463" s="501"/>
    </row>
    <row r="3464" spans="1:11" s="35" customFormat="1">
      <c r="A3464" s="502"/>
      <c r="B3464" s="929" t="s">
        <v>96</v>
      </c>
      <c r="C3464" s="930"/>
      <c r="D3464" s="930">
        <v>390</v>
      </c>
      <c r="E3464" s="804">
        <v>30</v>
      </c>
      <c r="F3464" s="805">
        <f t="shared" si="476"/>
        <v>420</v>
      </c>
      <c r="G3464" s="931" t="s">
        <v>7754</v>
      </c>
      <c r="H3464" s="2034" t="s">
        <v>96</v>
      </c>
      <c r="I3464" s="501"/>
      <c r="J3464" s="514" t="s">
        <v>1835</v>
      </c>
      <c r="K3464" s="501"/>
    </row>
    <row r="3465" spans="1:11" s="35" customFormat="1">
      <c r="A3465" s="502"/>
      <c r="B3465" s="929" t="s">
        <v>97</v>
      </c>
      <c r="C3465" s="932"/>
      <c r="D3465" s="932">
        <v>370</v>
      </c>
      <c r="E3465" s="804">
        <v>30</v>
      </c>
      <c r="F3465" s="805">
        <f t="shared" si="476"/>
        <v>400</v>
      </c>
      <c r="G3465" s="931" t="s">
        <v>7755</v>
      </c>
      <c r="H3465" s="2034" t="s">
        <v>97</v>
      </c>
      <c r="I3465" s="501"/>
      <c r="J3465" s="514" t="s">
        <v>1835</v>
      </c>
      <c r="K3465" s="501"/>
    </row>
    <row r="3466" spans="1:11" s="35" customFormat="1" ht="13.5" thickBot="1">
      <c r="A3466" s="1972" t="s">
        <v>9940</v>
      </c>
      <c r="B3466" s="933" t="s">
        <v>17</v>
      </c>
      <c r="C3466" s="934"/>
      <c r="D3466" s="934">
        <v>25</v>
      </c>
      <c r="E3466" s="935">
        <v>5</v>
      </c>
      <c r="F3466" s="936">
        <f t="shared" si="476"/>
        <v>30</v>
      </c>
      <c r="G3466" s="937" t="s">
        <v>9941</v>
      </c>
      <c r="H3466" s="2035" t="s">
        <v>17</v>
      </c>
      <c r="I3466" s="501"/>
      <c r="J3466" s="514" t="s">
        <v>1835</v>
      </c>
      <c r="K3466" s="501"/>
    </row>
    <row r="3467" spans="1:11" s="23" customFormat="1">
      <c r="A3467" s="502"/>
      <c r="B3467" s="29"/>
      <c r="C3467" s="230"/>
      <c r="D3467" s="230"/>
      <c r="E3467" s="216"/>
      <c r="F3467" s="156"/>
      <c r="G3467" s="501"/>
      <c r="H3467" s="2003"/>
      <c r="I3467" s="501"/>
      <c r="J3467" s="502"/>
      <c r="K3467" s="501"/>
    </row>
    <row r="3468" spans="1:11" s="106" customFormat="1">
      <c r="A3468" s="1772"/>
      <c r="B3468" s="28" t="s">
        <v>7756</v>
      </c>
      <c r="C3468" s="602"/>
      <c r="D3468" s="602">
        <v>499</v>
      </c>
      <c r="E3468" s="804">
        <v>25</v>
      </c>
      <c r="F3468" s="805">
        <f>D3468+E3468</f>
        <v>524</v>
      </c>
      <c r="G3468" s="202" t="s">
        <v>7757</v>
      </c>
      <c r="H3468" s="2003" t="str">
        <f>B3468</f>
        <v>JGH3250FAG</v>
      </c>
      <c r="I3468" s="501"/>
      <c r="J3468" s="514" t="s">
        <v>1835</v>
      </c>
    </row>
    <row r="3469" spans="1:11" s="106" customFormat="1">
      <c r="A3469" s="1772"/>
      <c r="B3469" s="28" t="s">
        <v>7758</v>
      </c>
      <c r="C3469" s="602"/>
      <c r="D3469" s="930">
        <v>460</v>
      </c>
      <c r="E3469" s="804">
        <v>25</v>
      </c>
      <c r="F3469" s="805">
        <f>D3469+E3469</f>
        <v>485</v>
      </c>
      <c r="G3469" s="202" t="s">
        <v>7759</v>
      </c>
      <c r="H3469" s="2003" t="str">
        <f>B3469</f>
        <v>JGH3200FAG</v>
      </c>
      <c r="I3469" s="501"/>
      <c r="J3469" s="514" t="s">
        <v>1835</v>
      </c>
    </row>
    <row r="3470" spans="1:11" s="106" customFormat="1">
      <c r="A3470" s="1772"/>
      <c r="B3470" s="28" t="s">
        <v>7760</v>
      </c>
      <c r="C3470" s="602"/>
      <c r="D3470" s="930">
        <v>430</v>
      </c>
      <c r="E3470" s="804">
        <v>25</v>
      </c>
      <c r="F3470" s="805">
        <f>D3470+E3470</f>
        <v>455</v>
      </c>
      <c r="G3470" s="202" t="s">
        <v>7761</v>
      </c>
      <c r="H3470" s="2003" t="str">
        <f>B3470</f>
        <v>JGH3125FAG</v>
      </c>
      <c r="I3470" s="501"/>
      <c r="J3470" s="514" t="s">
        <v>1835</v>
      </c>
    </row>
    <row r="3471" spans="1:11" s="106" customFormat="1">
      <c r="A3471" s="954"/>
      <c r="B3471" s="28"/>
      <c r="C3471" s="602"/>
      <c r="D3471" s="930"/>
      <c r="E3471" s="804"/>
      <c r="F3471" s="805"/>
      <c r="G3471" s="202"/>
      <c r="H3471" s="2003"/>
      <c r="I3471" s="501"/>
      <c r="J3471" s="514"/>
    </row>
    <row r="3472" spans="1:11" s="106" customFormat="1">
      <c r="A3472" s="1772"/>
      <c r="B3472" s="28" t="s">
        <v>7768</v>
      </c>
      <c r="C3472" s="602"/>
      <c r="D3472" s="930">
        <v>1240</v>
      </c>
      <c r="E3472" s="804">
        <v>25</v>
      </c>
      <c r="F3472" s="805">
        <f t="shared" ref="F3472:F3478" si="477">D3472+E3472</f>
        <v>1265</v>
      </c>
      <c r="G3472" s="202" t="s">
        <v>10986</v>
      </c>
      <c r="H3472" s="2003" t="str">
        <f t="shared" ref="H3472:H3478" si="478">B3472</f>
        <v>JGS325032G</v>
      </c>
      <c r="I3472" s="501"/>
      <c r="J3472" s="514" t="s">
        <v>1835</v>
      </c>
    </row>
    <row r="3473" spans="1:11" s="106" customFormat="1">
      <c r="A3473" s="1772"/>
      <c r="B3473" s="28" t="s">
        <v>7762</v>
      </c>
      <c r="C3473" s="602"/>
      <c r="D3473" s="930">
        <v>460</v>
      </c>
      <c r="E3473" s="804">
        <v>25</v>
      </c>
      <c r="F3473" s="805">
        <f t="shared" si="477"/>
        <v>485</v>
      </c>
      <c r="G3473" s="202" t="s">
        <v>7763</v>
      </c>
      <c r="H3473" s="2003" t="str">
        <f t="shared" si="478"/>
        <v>JGS3250FAG</v>
      </c>
      <c r="I3473" s="501"/>
      <c r="J3473" s="514" t="s">
        <v>1835</v>
      </c>
    </row>
    <row r="3474" spans="1:11" s="106" customFormat="1">
      <c r="A3474" s="1772"/>
      <c r="B3474" s="28" t="s">
        <v>9404</v>
      </c>
      <c r="C3474" s="602"/>
      <c r="D3474" s="930">
        <v>460</v>
      </c>
      <c r="E3474" s="804">
        <v>25</v>
      </c>
      <c r="F3474" s="805">
        <f t="shared" si="477"/>
        <v>485</v>
      </c>
      <c r="G3474" s="30" t="s">
        <v>9405</v>
      </c>
      <c r="H3474" s="2003" t="str">
        <f t="shared" si="478"/>
        <v>JGS3225FAG</v>
      </c>
      <c r="I3474" s="501"/>
      <c r="J3474" s="514" t="s">
        <v>1835</v>
      </c>
    </row>
    <row r="3475" spans="1:11" s="106" customFormat="1">
      <c r="A3475" s="1772"/>
      <c r="B3475" s="28" t="s">
        <v>7764</v>
      </c>
      <c r="C3475" s="602"/>
      <c r="D3475" s="930">
        <v>460</v>
      </c>
      <c r="E3475" s="804">
        <v>25</v>
      </c>
      <c r="F3475" s="805">
        <f t="shared" si="477"/>
        <v>485</v>
      </c>
      <c r="G3475" s="202" t="s">
        <v>7765</v>
      </c>
      <c r="H3475" s="2003" t="str">
        <f t="shared" si="478"/>
        <v>JGS3200FAG</v>
      </c>
      <c r="I3475" s="501"/>
      <c r="J3475" s="514" t="s">
        <v>1835</v>
      </c>
    </row>
    <row r="3476" spans="1:11" s="106" customFormat="1">
      <c r="A3476" s="1772"/>
      <c r="B3476" s="28" t="s">
        <v>9406</v>
      </c>
      <c r="C3476" s="602"/>
      <c r="D3476" s="930">
        <v>460</v>
      </c>
      <c r="E3476" s="804">
        <v>25</v>
      </c>
      <c r="F3476" s="805">
        <f t="shared" si="477"/>
        <v>485</v>
      </c>
      <c r="G3476" s="30" t="s">
        <v>9407</v>
      </c>
      <c r="H3476" s="2003" t="str">
        <f t="shared" si="478"/>
        <v>JGS3175FAG</v>
      </c>
      <c r="I3476" s="501"/>
      <c r="J3476" s="514" t="s">
        <v>1835</v>
      </c>
    </row>
    <row r="3477" spans="1:11" s="106" customFormat="1">
      <c r="A3477" s="1772"/>
      <c r="B3477" s="28" t="s">
        <v>9408</v>
      </c>
      <c r="C3477" s="602"/>
      <c r="D3477" s="930">
        <v>460</v>
      </c>
      <c r="E3477" s="804">
        <v>25</v>
      </c>
      <c r="F3477" s="805">
        <f t="shared" si="477"/>
        <v>485</v>
      </c>
      <c r="G3477" s="30" t="s">
        <v>9409</v>
      </c>
      <c r="H3477" s="2003" t="str">
        <f t="shared" si="478"/>
        <v>JGS3150FAG</v>
      </c>
      <c r="I3477" s="501"/>
      <c r="J3477" s="514" t="s">
        <v>1835</v>
      </c>
    </row>
    <row r="3478" spans="1:11" s="106" customFormat="1">
      <c r="A3478" s="1772"/>
      <c r="B3478" s="28" t="s">
        <v>7766</v>
      </c>
      <c r="C3478" s="602"/>
      <c r="D3478" s="930">
        <v>430</v>
      </c>
      <c r="E3478" s="804">
        <v>25</v>
      </c>
      <c r="F3478" s="805">
        <f t="shared" si="477"/>
        <v>455</v>
      </c>
      <c r="G3478" s="202" t="s">
        <v>7767</v>
      </c>
      <c r="H3478" s="2003" t="str">
        <f t="shared" si="478"/>
        <v>JGS3125FAG</v>
      </c>
      <c r="I3478" s="501"/>
      <c r="J3478" s="514" t="s">
        <v>1835</v>
      </c>
    </row>
    <row r="3479" spans="1:11" s="106" customFormat="1">
      <c r="B3479" s="524"/>
      <c r="C3479" s="615"/>
      <c r="D3479" s="930"/>
      <c r="E3479" s="441"/>
      <c r="F3479" s="1773"/>
      <c r="G3479" s="1774"/>
      <c r="H3479" s="2036"/>
      <c r="I3479" s="525"/>
      <c r="J3479" s="515"/>
    </row>
    <row r="3480" spans="1:11" s="106" customFormat="1">
      <c r="B3480" s="524"/>
      <c r="C3480" s="615"/>
      <c r="D3480" s="930"/>
      <c r="E3480" s="441"/>
      <c r="F3480" s="1773"/>
      <c r="G3480" s="1774"/>
      <c r="H3480" s="2036"/>
      <c r="I3480" s="525"/>
      <c r="J3480" s="515"/>
    </row>
    <row r="3481" spans="1:11" s="106" customFormat="1">
      <c r="A3481" s="1772"/>
      <c r="B3481" s="28" t="s">
        <v>7768</v>
      </c>
      <c r="C3481" s="602"/>
      <c r="D3481" s="930">
        <v>750</v>
      </c>
      <c r="E3481" s="804">
        <v>25</v>
      </c>
      <c r="F3481" s="805">
        <f>D3481+E3481</f>
        <v>775</v>
      </c>
      <c r="G3481" s="202" t="s">
        <v>7769</v>
      </c>
      <c r="H3481" s="2003" t="str">
        <f>B3481</f>
        <v>JGS325032G</v>
      </c>
      <c r="I3481" s="501"/>
      <c r="J3481" s="514" t="s">
        <v>1835</v>
      </c>
    </row>
    <row r="3482" spans="1:11" s="106" customFormat="1">
      <c r="A3482" s="1772"/>
      <c r="B3482" s="28" t="s">
        <v>7770</v>
      </c>
      <c r="C3482" s="602"/>
      <c r="D3482" s="930">
        <v>750</v>
      </c>
      <c r="E3482" s="804">
        <v>25</v>
      </c>
      <c r="F3482" s="805">
        <f>D3482+E3482</f>
        <v>775</v>
      </c>
      <c r="G3482" s="202" t="s">
        <v>7771</v>
      </c>
      <c r="H3482" s="2003" t="str">
        <f>B3482</f>
        <v>JGS316032G</v>
      </c>
      <c r="I3482" s="501"/>
      <c r="J3482" s="514" t="s">
        <v>1835</v>
      </c>
    </row>
    <row r="3483" spans="1:11" s="106" customFormat="1">
      <c r="B3483" s="524"/>
      <c r="C3483" s="615"/>
      <c r="D3483" s="930"/>
      <c r="E3483" s="441"/>
      <c r="F3483" s="1773"/>
      <c r="G3483" s="1774"/>
      <c r="H3483" s="2036"/>
      <c r="I3483" s="525"/>
      <c r="J3483" s="515"/>
    </row>
    <row r="3484" spans="1:11" s="106" customFormat="1">
      <c r="A3484" s="1772"/>
      <c r="B3484" s="28" t="s">
        <v>12314</v>
      </c>
      <c r="C3484" s="602"/>
      <c r="D3484" s="930">
        <v>80</v>
      </c>
      <c r="E3484" s="804">
        <v>10</v>
      </c>
      <c r="F3484" s="805">
        <f>D3484+E3484</f>
        <v>90</v>
      </c>
      <c r="G3484" s="30" t="s">
        <v>12315</v>
      </c>
      <c r="H3484" s="2003" t="str">
        <f>B3484</f>
        <v>SNT120CPK</v>
      </c>
      <c r="I3484" s="501"/>
      <c r="J3484" s="514" t="s">
        <v>1835</v>
      </c>
    </row>
    <row r="3485" spans="1:11" s="35" customFormat="1">
      <c r="A3485" s="502"/>
      <c r="B3485" s="52"/>
      <c r="C3485" s="230"/>
      <c r="D3485" s="230"/>
      <c r="E3485" s="216"/>
      <c r="F3485" s="156"/>
      <c r="G3485" s="501"/>
      <c r="H3485" s="2003"/>
      <c r="I3485" s="501"/>
      <c r="J3485" s="502"/>
      <c r="K3485" s="501"/>
    </row>
    <row r="3486" spans="1:11" s="35" customFormat="1">
      <c r="A3486" s="502"/>
      <c r="B3486" s="52" t="s">
        <v>11679</v>
      </c>
      <c r="C3486" s="230"/>
      <c r="D3486" s="230">
        <v>50</v>
      </c>
      <c r="E3486" s="216">
        <v>10</v>
      </c>
      <c r="F3486" s="156">
        <f>D3486+E3486</f>
        <v>60</v>
      </c>
      <c r="G3486" s="24" t="s">
        <v>5303</v>
      </c>
      <c r="H3486" s="532" t="str">
        <f>B3486</f>
        <v>SNT480SPK</v>
      </c>
      <c r="I3486" s="201"/>
      <c r="J3486" s="514" t="s">
        <v>1835</v>
      </c>
      <c r="K3486" s="201" t="s">
        <v>741</v>
      </c>
    </row>
    <row r="3487" spans="1:11" s="106" customFormat="1">
      <c r="A3487" s="954"/>
      <c r="B3487" s="28"/>
      <c r="C3487" s="602"/>
      <c r="D3487" s="930"/>
      <c r="E3487" s="804"/>
      <c r="F3487" s="805"/>
      <c r="G3487" s="202"/>
      <c r="H3487" s="2003"/>
      <c r="I3487" s="501"/>
      <c r="J3487" s="514"/>
    </row>
    <row r="3488" spans="1:11" s="106" customFormat="1">
      <c r="A3488" s="2126"/>
      <c r="B3488" s="2127" t="s">
        <v>12316</v>
      </c>
      <c r="C3488" s="602"/>
      <c r="D3488" s="602">
        <v>8590</v>
      </c>
      <c r="E3488" s="804">
        <v>25</v>
      </c>
      <c r="F3488" s="805">
        <f>D3488+E3488</f>
        <v>8615</v>
      </c>
      <c r="G3488" s="202" t="s">
        <v>12317</v>
      </c>
      <c r="H3488" s="2127" t="s">
        <v>12316</v>
      </c>
      <c r="I3488" s="501"/>
      <c r="J3488" s="514" t="s">
        <v>1835</v>
      </c>
    </row>
    <row r="3489" spans="1:14" s="106" customFormat="1">
      <c r="A3489" s="954"/>
      <c r="B3489" s="28"/>
      <c r="C3489" s="602"/>
      <c r="D3489" s="930"/>
      <c r="E3489" s="804"/>
      <c r="F3489" s="805"/>
      <c r="G3489" s="202"/>
      <c r="H3489" s="2003"/>
      <c r="I3489" s="501"/>
      <c r="J3489" s="514"/>
    </row>
    <row r="3490" spans="1:14" s="106" customFormat="1">
      <c r="A3490" s="954"/>
      <c r="B3490" s="28"/>
      <c r="C3490" s="602"/>
      <c r="D3490" s="930"/>
      <c r="E3490" s="804"/>
      <c r="F3490" s="805"/>
      <c r="G3490" s="202"/>
      <c r="H3490" s="2003"/>
      <c r="I3490" s="501"/>
      <c r="J3490" s="514"/>
    </row>
    <row r="3491" spans="1:14" s="106" customFormat="1">
      <c r="A3491" s="954"/>
      <c r="B3491" s="28" t="s">
        <v>13985</v>
      </c>
      <c r="C3491" s="602"/>
      <c r="D3491" s="602">
        <v>1080</v>
      </c>
      <c r="E3491" s="804">
        <v>25</v>
      </c>
      <c r="F3491" s="805">
        <f>D3491+E3491</f>
        <v>1105</v>
      </c>
      <c r="G3491" s="202" t="s">
        <v>13986</v>
      </c>
      <c r="H3491" s="2003" t="str">
        <f>B3491</f>
        <v>JGE305032G</v>
      </c>
      <c r="I3491" s="501"/>
      <c r="J3491" s="514" t="s">
        <v>1835</v>
      </c>
    </row>
    <row r="3492" spans="1:14" s="106" customFormat="1">
      <c r="A3492" s="954"/>
      <c r="B3492" s="28" t="s">
        <v>14263</v>
      </c>
      <c r="C3492" s="602"/>
      <c r="D3492" s="602">
        <v>1080</v>
      </c>
      <c r="E3492" s="804">
        <v>25</v>
      </c>
      <c r="F3492" s="805">
        <f>D3492+E3492</f>
        <v>1105</v>
      </c>
      <c r="G3492" s="202" t="s">
        <v>14264</v>
      </c>
      <c r="H3492" s="2003" t="str">
        <f>B3492</f>
        <v>JGE310032G</v>
      </c>
      <c r="I3492" s="501"/>
      <c r="J3492" s="514" t="s">
        <v>1835</v>
      </c>
    </row>
    <row r="3493" spans="1:14" s="106" customFormat="1">
      <c r="A3493" s="954"/>
      <c r="B3493" s="28" t="s">
        <v>13987</v>
      </c>
      <c r="C3493" s="602"/>
      <c r="D3493" s="602">
        <v>1080</v>
      </c>
      <c r="E3493" s="804">
        <v>25</v>
      </c>
      <c r="F3493" s="805">
        <f>D3493+E3493</f>
        <v>1105</v>
      </c>
      <c r="G3493" s="202" t="s">
        <v>14265</v>
      </c>
      <c r="H3493" s="2003" t="str">
        <f>B3493</f>
        <v>JGE316032G</v>
      </c>
      <c r="I3493" s="501"/>
      <c r="J3493" s="514" t="s">
        <v>1835</v>
      </c>
    </row>
    <row r="3494" spans="1:14" s="106" customFormat="1">
      <c r="A3494" s="954"/>
      <c r="B3494" s="28"/>
      <c r="C3494" s="602"/>
      <c r="D3494" s="602"/>
      <c r="E3494" s="804"/>
      <c r="F3494" s="805"/>
      <c r="G3494" s="202"/>
      <c r="H3494" s="2003"/>
      <c r="I3494" s="501"/>
      <c r="J3494" s="514"/>
    </row>
    <row r="3495" spans="1:14" s="106" customFormat="1">
      <c r="A3495" s="954"/>
      <c r="B3495" s="28" t="s">
        <v>9676</v>
      </c>
      <c r="C3495" s="602"/>
      <c r="D3495" s="602">
        <f>456.7*2.2</f>
        <v>1004.74</v>
      </c>
      <c r="E3495" s="804">
        <v>25</v>
      </c>
      <c r="F3495" s="805">
        <f>D3495+E3495</f>
        <v>1029.74</v>
      </c>
      <c r="G3495" s="202" t="s">
        <v>9677</v>
      </c>
      <c r="H3495" s="2003" t="str">
        <f>B3495</f>
        <v>JGE316036G</v>
      </c>
      <c r="I3495" s="501"/>
      <c r="J3495" s="514" t="s">
        <v>1835</v>
      </c>
    </row>
    <row r="3496" spans="1:14" s="106" customFormat="1">
      <c r="A3496" s="954"/>
      <c r="B3496" s="28" t="s">
        <v>7772</v>
      </c>
      <c r="C3496" s="602"/>
      <c r="D3496" s="602">
        <v>460</v>
      </c>
      <c r="E3496" s="804">
        <v>40</v>
      </c>
      <c r="F3496" s="805">
        <f>D3496+E3496</f>
        <v>500</v>
      </c>
      <c r="G3496" s="202" t="s">
        <v>9678</v>
      </c>
      <c r="H3496" s="2003" t="str">
        <f>B3496</f>
        <v>JGE3200FAG</v>
      </c>
      <c r="I3496" s="501"/>
      <c r="J3496" s="514" t="s">
        <v>1835</v>
      </c>
    </row>
    <row r="3497" spans="1:14" s="106" customFormat="1">
      <c r="A3497" s="954"/>
      <c r="B3497" s="28" t="s">
        <v>9679</v>
      </c>
      <c r="C3497" s="602"/>
      <c r="D3497" s="602">
        <f>475.3*2.2</f>
        <v>1045.6600000000001</v>
      </c>
      <c r="E3497" s="804">
        <v>40</v>
      </c>
      <c r="F3497" s="805">
        <f>D3497+E3497</f>
        <v>1085.6600000000001</v>
      </c>
      <c r="G3497" s="202" t="s">
        <v>9680</v>
      </c>
      <c r="H3497" s="2003" t="str">
        <f>B3497</f>
        <v>JGE325036G</v>
      </c>
      <c r="I3497" s="501"/>
      <c r="J3497" s="514" t="s">
        <v>1835</v>
      </c>
    </row>
    <row r="3498" spans="1:14" s="106" customFormat="1">
      <c r="A3498" s="954"/>
      <c r="B3498" s="28"/>
      <c r="C3498" s="602"/>
      <c r="D3498" s="24"/>
      <c r="E3498" s="445"/>
      <c r="F3498" s="24"/>
      <c r="G3498" s="202"/>
      <c r="H3498" s="724"/>
      <c r="I3498" s="1774"/>
    </row>
    <row r="3499" spans="1:14" s="203" customFormat="1">
      <c r="B3499" s="1095" t="s">
        <v>7773</v>
      </c>
      <c r="C3499" s="1096"/>
      <c r="D3499" s="1096">
        <v>30</v>
      </c>
      <c r="E3499" s="1097">
        <v>3</v>
      </c>
      <c r="F3499" s="1098">
        <f>D3499+E3499</f>
        <v>33</v>
      </c>
      <c r="G3499" s="1099" t="s">
        <v>11163</v>
      </c>
      <c r="H3499" s="2037" t="str">
        <f>B3499</f>
        <v>FJPHLOFF</v>
      </c>
      <c r="I3499" s="202"/>
      <c r="J3499" s="514" t="s">
        <v>1835</v>
      </c>
    </row>
    <row r="3500" spans="1:14" s="194" customFormat="1">
      <c r="A3500" s="502"/>
      <c r="B3500" s="501"/>
      <c r="C3500" s="230"/>
      <c r="D3500" s="230"/>
      <c r="E3500" s="505"/>
      <c r="F3500" s="506"/>
      <c r="G3500" s="501"/>
      <c r="H3500" s="2003"/>
      <c r="I3500" s="501"/>
      <c r="J3500" s="502"/>
      <c r="K3500" s="501"/>
      <c r="L3500" s="443"/>
      <c r="M3500" s="443"/>
      <c r="N3500" s="443"/>
    </row>
    <row r="3501" spans="1:14" s="194" customFormat="1" ht="13.5" thickBot="1">
      <c r="A3501" s="502"/>
      <c r="B3501" s="501"/>
      <c r="C3501" s="230"/>
      <c r="D3501" s="230"/>
      <c r="E3501" s="505"/>
      <c r="F3501" s="506"/>
      <c r="G3501" s="501"/>
      <c r="H3501" s="2003"/>
      <c r="I3501" s="501"/>
      <c r="J3501" s="502"/>
      <c r="K3501" s="501"/>
      <c r="L3501" s="443"/>
      <c r="M3501" s="443"/>
      <c r="N3501" s="443"/>
    </row>
    <row r="3502" spans="1:14" s="35" customFormat="1">
      <c r="A3502" s="512"/>
      <c r="B3502" s="1775" t="s">
        <v>7774</v>
      </c>
      <c r="C3502" s="925"/>
      <c r="D3502" s="925">
        <v>1540</v>
      </c>
      <c r="E3502" s="926">
        <v>30</v>
      </c>
      <c r="F3502" s="927">
        <f t="shared" ref="F3502:F3507" si="479">D3502+E3502</f>
        <v>1570</v>
      </c>
      <c r="G3502" s="928" t="s">
        <v>7775</v>
      </c>
      <c r="H3502" s="2038" t="str">
        <f t="shared" ref="H3502:H3507" si="480">B3502</f>
        <v>LGH340033G</v>
      </c>
      <c r="I3502" s="501"/>
      <c r="J3502" s="514" t="s">
        <v>1835</v>
      </c>
      <c r="K3502" s="501"/>
    </row>
    <row r="3503" spans="1:14" s="35" customFormat="1">
      <c r="A3503" s="512"/>
      <c r="B3503" s="1776" t="s">
        <v>7776</v>
      </c>
      <c r="C3503" s="930"/>
      <c r="D3503" s="930">
        <v>1820</v>
      </c>
      <c r="E3503" s="804">
        <v>30</v>
      </c>
      <c r="F3503" s="805">
        <f t="shared" si="479"/>
        <v>1850</v>
      </c>
      <c r="G3503" s="931" t="s">
        <v>7777</v>
      </c>
      <c r="H3503" s="2039" t="str">
        <f t="shared" si="480"/>
        <v>LGH363033G</v>
      </c>
      <c r="I3503" s="501"/>
      <c r="J3503" s="514" t="s">
        <v>1835</v>
      </c>
      <c r="K3503" s="501"/>
    </row>
    <row r="3504" spans="1:14" s="35" customFormat="1">
      <c r="A3504" s="512"/>
      <c r="B3504" s="929" t="s">
        <v>7778</v>
      </c>
      <c r="C3504" s="932"/>
      <c r="D3504" s="932">
        <v>3485</v>
      </c>
      <c r="E3504" s="804">
        <v>30</v>
      </c>
      <c r="F3504" s="805">
        <f t="shared" si="479"/>
        <v>3515</v>
      </c>
      <c r="G3504" s="931" t="s">
        <v>7779</v>
      </c>
      <c r="H3504" s="2039" t="str">
        <f t="shared" si="480"/>
        <v>NGH308033E</v>
      </c>
      <c r="I3504" s="501"/>
      <c r="J3504" s="514" t="s">
        <v>1835</v>
      </c>
      <c r="K3504" s="501"/>
    </row>
    <row r="3505" spans="1:14" s="35" customFormat="1">
      <c r="A3505" s="512"/>
      <c r="B3505" s="1777" t="s">
        <v>8</v>
      </c>
      <c r="C3505" s="932"/>
      <c r="D3505" s="932">
        <v>120</v>
      </c>
      <c r="E3505" s="804">
        <v>0</v>
      </c>
      <c r="F3505" s="1778">
        <f t="shared" si="479"/>
        <v>120</v>
      </c>
      <c r="G3505" s="1779" t="s">
        <v>7600</v>
      </c>
      <c r="H3505" s="2040" t="str">
        <f t="shared" si="480"/>
        <v>T1200NB3M</v>
      </c>
      <c r="I3505" s="501"/>
      <c r="J3505" s="514" t="s">
        <v>1835</v>
      </c>
      <c r="K3505" s="501"/>
    </row>
    <row r="3506" spans="1:14" s="35" customFormat="1" ht="13.5" thickBot="1">
      <c r="A3506" s="512"/>
      <c r="B3506" s="1780" t="s">
        <v>7780</v>
      </c>
      <c r="C3506" s="934"/>
      <c r="D3506" s="934">
        <v>312</v>
      </c>
      <c r="E3506" s="935">
        <v>30</v>
      </c>
      <c r="F3506" s="1781">
        <f t="shared" si="479"/>
        <v>342</v>
      </c>
      <c r="G3506" s="1782" t="s">
        <v>7781</v>
      </c>
      <c r="H3506" s="2041" t="str">
        <f>B3506</f>
        <v>EGH3040FFG</v>
      </c>
      <c r="I3506" s="501"/>
      <c r="J3506" s="514" t="s">
        <v>1835</v>
      </c>
      <c r="K3506" s="501"/>
    </row>
    <row r="3507" spans="1:14" s="35" customFormat="1" ht="13.5" thickBot="1">
      <c r="A3507" s="512"/>
      <c r="B3507" s="1780" t="s">
        <v>7782</v>
      </c>
      <c r="C3507" s="934"/>
      <c r="D3507" s="934">
        <v>312</v>
      </c>
      <c r="E3507" s="935">
        <v>30</v>
      </c>
      <c r="F3507" s="1781">
        <f t="shared" si="479"/>
        <v>342</v>
      </c>
      <c r="G3507" s="1782" t="s">
        <v>7783</v>
      </c>
      <c r="H3507" s="2041" t="str">
        <f t="shared" si="480"/>
        <v>EGH3100FFG</v>
      </c>
      <c r="I3507" s="501"/>
      <c r="J3507" s="514" t="s">
        <v>1835</v>
      </c>
      <c r="K3507" s="501"/>
    </row>
    <row r="3508" spans="1:14" s="35" customFormat="1">
      <c r="A3508" s="523"/>
      <c r="B3508" s="524"/>
      <c r="C3508" s="230"/>
      <c r="D3508" s="230"/>
      <c r="E3508" s="462"/>
      <c r="F3508" s="164"/>
      <c r="G3508" s="465"/>
      <c r="H3508" s="1801"/>
      <c r="I3508" s="525"/>
      <c r="J3508" s="515"/>
      <c r="K3508" s="525"/>
    </row>
    <row r="3509" spans="1:14" s="35" customFormat="1">
      <c r="A3509" s="523"/>
      <c r="B3509" s="524"/>
      <c r="C3509" s="230"/>
      <c r="D3509" s="230"/>
      <c r="E3509" s="462"/>
      <c r="F3509" s="164"/>
      <c r="G3509" s="465"/>
      <c r="H3509" s="1801"/>
      <c r="I3509" s="525"/>
      <c r="J3509" s="515"/>
      <c r="K3509" s="525"/>
    </row>
    <row r="3510" spans="1:14" s="35" customFormat="1">
      <c r="A3510" s="523"/>
      <c r="B3510" s="524"/>
      <c r="C3510" s="230"/>
      <c r="D3510" s="230"/>
      <c r="E3510" s="462"/>
      <c r="F3510" s="164"/>
      <c r="G3510" s="465"/>
      <c r="H3510" s="1801"/>
      <c r="I3510" s="525"/>
      <c r="J3510" s="515"/>
      <c r="K3510" s="525"/>
    </row>
    <row r="3511" spans="1:14" s="35" customFormat="1">
      <c r="A3511" s="500"/>
      <c r="B3511" s="1783" t="s">
        <v>7784</v>
      </c>
      <c r="C3511" s="1784"/>
      <c r="D3511" s="1784">
        <v>3241</v>
      </c>
      <c r="E3511" s="1785">
        <v>30</v>
      </c>
      <c r="F3511" s="1786">
        <f>D3511+E3511</f>
        <v>3271</v>
      </c>
      <c r="G3511" s="1787" t="s">
        <v>7785</v>
      </c>
      <c r="H3511" s="2042" t="str">
        <f>B3511</f>
        <v>NGS308032E</v>
      </c>
      <c r="I3511" s="529"/>
      <c r="J3511" s="514" t="s">
        <v>1835</v>
      </c>
      <c r="K3511" s="501"/>
    </row>
    <row r="3512" spans="1:14" s="35" customFormat="1">
      <c r="A3512" s="500"/>
      <c r="B3512" s="1783" t="s">
        <v>9410</v>
      </c>
      <c r="C3512" s="1784"/>
      <c r="D3512" s="1784">
        <v>4135</v>
      </c>
      <c r="E3512" s="1785">
        <v>30</v>
      </c>
      <c r="F3512" s="1786">
        <f>D3512+E3512</f>
        <v>4165</v>
      </c>
      <c r="G3512" s="1787" t="s">
        <v>9411</v>
      </c>
      <c r="H3512" s="2042" t="str">
        <f>B3512</f>
        <v>NGS310032E</v>
      </c>
      <c r="I3512" s="529"/>
      <c r="J3512" s="514" t="s">
        <v>1835</v>
      </c>
      <c r="K3512" s="501"/>
    </row>
    <row r="3513" spans="1:14" s="195" customFormat="1">
      <c r="A3513" s="500"/>
      <c r="B3513" s="1095" t="s">
        <v>7786</v>
      </c>
      <c r="C3513" s="1096"/>
      <c r="D3513" s="1096">
        <v>68</v>
      </c>
      <c r="E3513" s="1097">
        <v>2</v>
      </c>
      <c r="F3513" s="1098">
        <f>D3513+E3513</f>
        <v>70</v>
      </c>
      <c r="G3513" s="1099" t="s">
        <v>7787</v>
      </c>
      <c r="H3513" s="2003"/>
      <c r="I3513" s="501"/>
      <c r="J3513" s="502"/>
      <c r="K3513" s="501"/>
    </row>
    <row r="3514" spans="1:14" s="35" customFormat="1">
      <c r="A3514" s="1760"/>
      <c r="B3514" s="1761" t="s">
        <v>7788</v>
      </c>
      <c r="C3514" s="230"/>
      <c r="D3514" s="230">
        <v>67</v>
      </c>
      <c r="E3514" s="216">
        <v>5</v>
      </c>
      <c r="F3514" s="158">
        <f>D3514+E3514</f>
        <v>72</v>
      </c>
      <c r="G3514" s="823" t="s">
        <v>9412</v>
      </c>
      <c r="H3514" s="2027" t="str">
        <f>B3514</f>
        <v>TA1200NB1</v>
      </c>
      <c r="I3514" s="501"/>
      <c r="J3514" s="502" t="s">
        <v>1835</v>
      </c>
      <c r="K3514" s="501"/>
    </row>
    <row r="3515" spans="1:14" s="194" customFormat="1">
      <c r="A3515" s="502"/>
      <c r="B3515" s="501"/>
      <c r="C3515" s="230"/>
      <c r="D3515" s="230"/>
      <c r="E3515" s="505"/>
      <c r="F3515" s="506"/>
      <c r="G3515" s="501"/>
      <c r="H3515" s="2003"/>
      <c r="I3515" s="501"/>
      <c r="J3515" s="502"/>
      <c r="K3515" s="501"/>
      <c r="L3515" s="443"/>
      <c r="M3515" s="443"/>
      <c r="N3515" s="443"/>
    </row>
    <row r="3516" spans="1:14" s="35" customFormat="1">
      <c r="A3516" s="512"/>
      <c r="B3516" s="1783" t="s">
        <v>7789</v>
      </c>
      <c r="C3516" s="1784"/>
      <c r="D3516" s="1784">
        <v>4052</v>
      </c>
      <c r="E3516" s="1785">
        <v>30</v>
      </c>
      <c r="F3516" s="1786">
        <f>D3516+E3516</f>
        <v>4082</v>
      </c>
      <c r="G3516" s="1787" t="s">
        <v>7790</v>
      </c>
      <c r="H3516" s="2042" t="str">
        <f>B3516</f>
        <v>NGH308036E</v>
      </c>
      <c r="I3516" s="529"/>
      <c r="J3516" s="514" t="s">
        <v>1835</v>
      </c>
      <c r="K3516" s="501"/>
    </row>
    <row r="3517" spans="1:14" s="35" customFormat="1">
      <c r="A3517" s="512"/>
      <c r="B3517" s="1783" t="s">
        <v>7791</v>
      </c>
      <c r="C3517" s="1784"/>
      <c r="D3517" s="1784">
        <v>2379</v>
      </c>
      <c r="E3517" s="1785">
        <v>30</v>
      </c>
      <c r="F3517" s="1786">
        <f>D3517+E3517</f>
        <v>2409</v>
      </c>
      <c r="G3517" s="1787" t="s">
        <v>7792</v>
      </c>
      <c r="H3517" s="2042" t="str">
        <f>B3517</f>
        <v>LGH363036G</v>
      </c>
      <c r="I3517" s="529"/>
      <c r="J3517" s="514" t="s">
        <v>1835</v>
      </c>
      <c r="K3517" s="501"/>
    </row>
    <row r="3518" spans="1:14" s="35" customFormat="1">
      <c r="A3518" s="512"/>
      <c r="B3518" s="1783" t="s">
        <v>7793</v>
      </c>
      <c r="C3518" s="1784"/>
      <c r="D3518" s="1784">
        <v>2022</v>
      </c>
      <c r="E3518" s="1785">
        <v>30</v>
      </c>
      <c r="F3518" s="1786">
        <f>D3518+E3518</f>
        <v>2052</v>
      </c>
      <c r="G3518" s="1787" t="s">
        <v>7794</v>
      </c>
      <c r="H3518" s="2042" t="str">
        <f>B3518</f>
        <v>LGH340036G</v>
      </c>
      <c r="I3518" s="529"/>
      <c r="J3518" s="514" t="s">
        <v>1835</v>
      </c>
      <c r="K3518" s="501"/>
    </row>
    <row r="3519" spans="1:14" s="35" customFormat="1">
      <c r="A3519" s="512"/>
      <c r="B3519" s="1783"/>
      <c r="C3519" s="1784"/>
      <c r="D3519" s="1784"/>
      <c r="E3519" s="1785"/>
      <c r="F3519" s="1786"/>
      <c r="G3519" s="1787"/>
      <c r="H3519" s="2042"/>
      <c r="I3519" s="529"/>
      <c r="J3519" s="514"/>
      <c r="K3519" s="501"/>
    </row>
    <row r="3520" spans="1:14" s="35" customFormat="1">
      <c r="A3520" s="512"/>
      <c r="B3520" s="1783" t="s">
        <v>7795</v>
      </c>
      <c r="C3520" s="1784"/>
      <c r="D3520" s="1784">
        <v>4104.457633199565</v>
      </c>
      <c r="E3520" s="1785">
        <v>30</v>
      </c>
      <c r="F3520" s="1786">
        <f>D3520+E3520</f>
        <v>4134.457633199565</v>
      </c>
      <c r="G3520" s="1787" t="s">
        <v>7796</v>
      </c>
      <c r="H3520" s="2042" t="s">
        <v>7795</v>
      </c>
      <c r="I3520" s="529"/>
      <c r="J3520" s="514" t="s">
        <v>1835</v>
      </c>
      <c r="K3520" s="501"/>
    </row>
    <row r="3521" spans="1:11" s="35" customFormat="1">
      <c r="A3521" s="512"/>
      <c r="B3521" s="1783" t="s">
        <v>7797</v>
      </c>
      <c r="C3521" s="1784"/>
      <c r="D3521" s="1784">
        <v>2116.550751566298</v>
      </c>
      <c r="E3521" s="1785">
        <v>30</v>
      </c>
      <c r="F3521" s="1786">
        <f>D3521+E3521</f>
        <v>2146.550751566298</v>
      </c>
      <c r="G3521" s="1787" t="s">
        <v>7798</v>
      </c>
      <c r="H3521" s="2042" t="s">
        <v>7797</v>
      </c>
      <c r="I3521" s="529"/>
      <c r="J3521" s="514" t="s">
        <v>1835</v>
      </c>
      <c r="K3521" s="501"/>
    </row>
    <row r="3522" spans="1:11" s="35" customFormat="1">
      <c r="A3522" s="512"/>
      <c r="B3522" s="1783" t="s">
        <v>7799</v>
      </c>
      <c r="C3522" s="1784"/>
      <c r="D3522" s="1784">
        <v>2116.550751566298</v>
      </c>
      <c r="E3522" s="1785">
        <v>30</v>
      </c>
      <c r="F3522" s="1786">
        <f>D3522+E3522</f>
        <v>2146.550751566298</v>
      </c>
      <c r="G3522" s="1787" t="s">
        <v>7800</v>
      </c>
      <c r="H3522" s="2042" t="s">
        <v>7799</v>
      </c>
      <c r="I3522" s="529"/>
      <c r="J3522" s="514" t="s">
        <v>1835</v>
      </c>
      <c r="K3522" s="501"/>
    </row>
    <row r="3523" spans="1:11" s="35" customFormat="1">
      <c r="A3523" s="512"/>
      <c r="B3523" s="1783"/>
      <c r="C3523" s="1784"/>
      <c r="D3523" s="1784"/>
      <c r="E3523" s="1785"/>
      <c r="F3523" s="1786"/>
      <c r="G3523" s="1787"/>
      <c r="H3523" s="2042"/>
      <c r="I3523" s="529"/>
      <c r="J3523" s="514"/>
      <c r="K3523" s="501"/>
    </row>
    <row r="3524" spans="1:11" s="35" customFormat="1">
      <c r="A3524" s="512"/>
      <c r="B3524" s="1783"/>
      <c r="C3524" s="1784"/>
      <c r="D3524" s="1784"/>
      <c r="E3524" s="1785"/>
      <c r="F3524" s="1786"/>
      <c r="G3524" s="1787"/>
      <c r="H3524" s="2042"/>
      <c r="I3524" s="529"/>
      <c r="J3524" s="514"/>
      <c r="K3524" s="501"/>
    </row>
    <row r="3525" spans="1:11" s="35" customFormat="1">
      <c r="A3525" s="500"/>
      <c r="B3525" s="1783" t="s">
        <v>7801</v>
      </c>
      <c r="C3525" s="1784"/>
      <c r="D3525" s="1784">
        <v>2427</v>
      </c>
      <c r="E3525" s="1785">
        <v>30</v>
      </c>
      <c r="F3525" s="1786">
        <f>D3525+E3525</f>
        <v>2457</v>
      </c>
      <c r="G3525" s="1787" t="s">
        <v>7802</v>
      </c>
      <c r="H3525" s="2042" t="str">
        <f>B3525</f>
        <v>LGS360032G</v>
      </c>
      <c r="I3525" s="529"/>
      <c r="J3525" s="514" t="s">
        <v>1835</v>
      </c>
      <c r="K3525" s="501"/>
    </row>
    <row r="3526" spans="1:11" s="35" customFormat="1">
      <c r="A3526" s="500"/>
      <c r="B3526" s="1783" t="s">
        <v>7803</v>
      </c>
      <c r="C3526" s="1784"/>
      <c r="D3526" s="1784">
        <v>2379</v>
      </c>
      <c r="E3526" s="1785">
        <v>30</v>
      </c>
      <c r="F3526" s="1786">
        <f>D3526+E3526</f>
        <v>2409</v>
      </c>
      <c r="G3526" s="1787" t="s">
        <v>7804</v>
      </c>
      <c r="H3526" s="2042" t="str">
        <f>B3526</f>
        <v>LGS340032G</v>
      </c>
      <c r="I3526" s="529"/>
      <c r="J3526" s="514" t="s">
        <v>1835</v>
      </c>
      <c r="K3526" s="501"/>
    </row>
    <row r="3527" spans="1:11" s="35" customFormat="1">
      <c r="A3527" s="512"/>
      <c r="B3527" s="1783"/>
      <c r="C3527" s="1784"/>
      <c r="D3527" s="1784"/>
      <c r="E3527" s="1785"/>
      <c r="F3527" s="1786"/>
      <c r="G3527" s="1787"/>
      <c r="H3527" s="2042"/>
      <c r="I3527" s="529"/>
      <c r="J3527" s="514"/>
      <c r="K3527" s="501"/>
    </row>
    <row r="3528" spans="1:11" s="35" customFormat="1">
      <c r="A3528" s="500"/>
      <c r="B3528" s="1783" t="s">
        <v>7805</v>
      </c>
      <c r="C3528" s="1784"/>
      <c r="D3528" s="1784">
        <v>2022</v>
      </c>
      <c r="E3528" s="1785">
        <v>30</v>
      </c>
      <c r="F3528" s="1786">
        <f>D3528+E3528</f>
        <v>2052</v>
      </c>
      <c r="G3528" s="1787" t="s">
        <v>7806</v>
      </c>
      <c r="H3528" s="2042" t="str">
        <f>B3528</f>
        <v>LGE340032G</v>
      </c>
      <c r="I3528" s="529"/>
      <c r="J3528" s="514" t="s">
        <v>1835</v>
      </c>
      <c r="K3528" s="501"/>
    </row>
    <row r="3529" spans="1:11" s="195" customFormat="1">
      <c r="A3529" s="500"/>
      <c r="B3529" s="1095" t="s">
        <v>7807</v>
      </c>
      <c r="C3529" s="1096"/>
      <c r="D3529" s="1096">
        <v>53</v>
      </c>
      <c r="E3529" s="1097">
        <v>2</v>
      </c>
      <c r="F3529" s="1098">
        <f>D3529+E3529</f>
        <v>55</v>
      </c>
      <c r="G3529" s="1099" t="s">
        <v>7808</v>
      </c>
      <c r="H3529" s="2003"/>
      <c r="I3529" s="501"/>
      <c r="J3529" s="502"/>
      <c r="K3529" s="501"/>
    </row>
    <row r="3530" spans="1:11" s="35" customFormat="1">
      <c r="A3530" s="512"/>
      <c r="B3530" s="1783"/>
      <c r="C3530" s="1784"/>
      <c r="D3530" s="1784"/>
      <c r="E3530" s="1785"/>
      <c r="F3530" s="1786"/>
      <c r="G3530" s="1787"/>
      <c r="H3530" s="2042"/>
      <c r="I3530" s="529"/>
      <c r="J3530" s="514"/>
      <c r="K3530" s="501"/>
    </row>
    <row r="3531" spans="1:11" s="35" customFormat="1">
      <c r="A3531" s="512"/>
      <c r="B3531" s="1783" t="s">
        <v>7809</v>
      </c>
      <c r="C3531" s="1784"/>
      <c r="D3531" s="1784">
        <v>2022</v>
      </c>
      <c r="E3531" s="1785">
        <v>30</v>
      </c>
      <c r="F3531" s="1786">
        <f>D3531+E3531</f>
        <v>2052</v>
      </c>
      <c r="G3531" s="1787" t="s">
        <v>7810</v>
      </c>
      <c r="H3531" s="2042" t="str">
        <f>B3531</f>
        <v>HFDE310036L</v>
      </c>
      <c r="I3531" s="529"/>
      <c r="J3531" s="514" t="s">
        <v>1835</v>
      </c>
      <c r="K3531" s="501"/>
    </row>
    <row r="3532" spans="1:11" s="35" customFormat="1">
      <c r="A3532" s="512"/>
      <c r="B3532" s="1783" t="s">
        <v>7811</v>
      </c>
      <c r="C3532" s="1784"/>
      <c r="D3532" s="1784">
        <v>2022</v>
      </c>
      <c r="E3532" s="1785">
        <v>30</v>
      </c>
      <c r="F3532" s="1786">
        <f>D3532+E3532</f>
        <v>2052</v>
      </c>
      <c r="G3532" s="1787" t="s">
        <v>7812</v>
      </c>
      <c r="H3532" s="2042" t="str">
        <f>B3532</f>
        <v>HFDE304036L</v>
      </c>
      <c r="I3532" s="529"/>
      <c r="J3532" s="514" t="s">
        <v>1835</v>
      </c>
      <c r="K3532" s="501"/>
    </row>
    <row r="3533" spans="1:11" s="35" customFormat="1">
      <c r="A3533" s="512"/>
      <c r="B3533" s="1783"/>
      <c r="C3533" s="1784"/>
      <c r="D3533" s="1784"/>
      <c r="E3533" s="1785"/>
      <c r="F3533" s="1786"/>
      <c r="G3533" s="1787"/>
      <c r="H3533" s="2042"/>
      <c r="I3533" s="529"/>
      <c r="J3533" s="514"/>
      <c r="K3533" s="501"/>
    </row>
    <row r="3534" spans="1:11" s="35" customFormat="1">
      <c r="A3534" s="512"/>
      <c r="B3534" s="1783" t="s">
        <v>7813</v>
      </c>
      <c r="C3534" s="1784"/>
      <c r="D3534" s="1784">
        <v>1257.2543076923075</v>
      </c>
      <c r="E3534" s="1785">
        <v>30</v>
      </c>
      <c r="F3534" s="1786">
        <f>D3534+E3534</f>
        <v>1287.2543076923075</v>
      </c>
      <c r="G3534" s="1787" t="s">
        <v>7814</v>
      </c>
      <c r="H3534" s="2042" t="s">
        <v>7813</v>
      </c>
      <c r="I3534" s="529"/>
      <c r="J3534" s="514" t="s">
        <v>1835</v>
      </c>
      <c r="K3534" s="501"/>
    </row>
    <row r="3535" spans="1:11" s="35" customFormat="1">
      <c r="A3535" s="512"/>
      <c r="B3535" s="1783" t="s">
        <v>7815</v>
      </c>
      <c r="C3535" s="1784"/>
      <c r="D3535" s="1784">
        <v>1257.2543076923075</v>
      </c>
      <c r="E3535" s="1785">
        <v>30</v>
      </c>
      <c r="F3535" s="1786">
        <f>D3535+E3535</f>
        <v>1287.2543076923075</v>
      </c>
      <c r="G3535" s="1787" t="s">
        <v>7816</v>
      </c>
      <c r="H3535" s="2042" t="s">
        <v>7815</v>
      </c>
      <c r="I3535" s="529"/>
      <c r="J3535" s="514" t="s">
        <v>1835</v>
      </c>
      <c r="K3535" s="501"/>
    </row>
    <row r="3536" spans="1:11" s="35" customFormat="1">
      <c r="A3536" s="512"/>
      <c r="B3536" s="1783" t="s">
        <v>7817</v>
      </c>
      <c r="C3536" s="1784"/>
      <c r="D3536" s="1784">
        <v>1317.9743076923075</v>
      </c>
      <c r="E3536" s="1785">
        <v>30</v>
      </c>
      <c r="F3536" s="1786">
        <f>D3536+E3536</f>
        <v>1347.9743076923075</v>
      </c>
      <c r="G3536" s="1787" t="s">
        <v>7818</v>
      </c>
      <c r="H3536" s="2042" t="s">
        <v>7817</v>
      </c>
      <c r="I3536" s="529"/>
      <c r="J3536" s="514" t="s">
        <v>1835</v>
      </c>
      <c r="K3536" s="501"/>
    </row>
    <row r="3537" spans="1:14" s="35" customFormat="1">
      <c r="A3537" s="512"/>
      <c r="B3537" s="1783" t="s">
        <v>7819</v>
      </c>
      <c r="C3537" s="1784"/>
      <c r="D3537" s="1784">
        <v>1317.9743076923075</v>
      </c>
      <c r="E3537" s="1785">
        <v>30</v>
      </c>
      <c r="F3537" s="1786">
        <f>D3537+E3537</f>
        <v>1347.9743076923075</v>
      </c>
      <c r="G3537" s="1787" t="s">
        <v>7820</v>
      </c>
      <c r="H3537" s="2042" t="s">
        <v>7819</v>
      </c>
      <c r="I3537" s="529"/>
      <c r="J3537" s="514" t="s">
        <v>1835</v>
      </c>
      <c r="K3537" s="501"/>
    </row>
    <row r="3538" spans="1:14" s="35" customFormat="1">
      <c r="A3538" s="512"/>
      <c r="B3538" s="1783"/>
      <c r="C3538" s="1784"/>
      <c r="D3538" s="1784"/>
      <c r="E3538" s="1785"/>
      <c r="F3538" s="1786"/>
      <c r="G3538" s="1787"/>
      <c r="H3538" s="2042"/>
      <c r="I3538" s="529"/>
      <c r="J3538" s="514"/>
      <c r="K3538" s="501"/>
    </row>
    <row r="3539" spans="1:14" s="35" customFormat="1">
      <c r="A3539" s="512"/>
      <c r="B3539" s="1783"/>
      <c r="C3539" s="1784"/>
      <c r="D3539" s="1784"/>
      <c r="E3539" s="1785"/>
      <c r="F3539" s="1786"/>
      <c r="G3539" s="1787"/>
      <c r="H3539" s="2042"/>
      <c r="I3539" s="529"/>
      <c r="J3539" s="514"/>
      <c r="K3539" s="501"/>
    </row>
    <row r="3540" spans="1:14" s="35" customFormat="1">
      <c r="A3540" s="512"/>
      <c r="B3540" s="1783" t="s">
        <v>29</v>
      </c>
      <c r="C3540" s="1784"/>
      <c r="D3540" s="1784">
        <v>120</v>
      </c>
      <c r="E3540" s="1785">
        <v>2</v>
      </c>
      <c r="F3540" s="1786">
        <f>D3540+E3540</f>
        <v>122</v>
      </c>
      <c r="G3540" s="1787" t="s">
        <v>7821</v>
      </c>
      <c r="H3540" s="2042" t="str">
        <f>B3540</f>
        <v>AUXALRMJPK</v>
      </c>
      <c r="I3540" s="529"/>
      <c r="J3540" s="514" t="s">
        <v>1835</v>
      </c>
      <c r="K3540" s="501" t="s">
        <v>741</v>
      </c>
    </row>
    <row r="3541" spans="1:14" s="35" customFormat="1">
      <c r="A3541" s="512"/>
      <c r="B3541" s="1783"/>
      <c r="C3541" s="1784"/>
      <c r="D3541" s="1784"/>
      <c r="E3541" s="1785"/>
      <c r="F3541" s="1786"/>
      <c r="G3541" s="1787"/>
      <c r="H3541" s="2042"/>
      <c r="I3541" s="529"/>
      <c r="J3541" s="514"/>
      <c r="K3541" s="501"/>
    </row>
    <row r="3542" spans="1:14" s="35" customFormat="1">
      <c r="A3542" s="512"/>
      <c r="B3542" s="28" t="s">
        <v>7822</v>
      </c>
      <c r="C3542" s="230"/>
      <c r="D3542" s="230">
        <v>187</v>
      </c>
      <c r="E3542" s="216">
        <v>20</v>
      </c>
      <c r="F3542" s="156">
        <f>D3542+E3542</f>
        <v>207</v>
      </c>
      <c r="G3542" s="24" t="s">
        <v>7823</v>
      </c>
      <c r="H3542" s="438" t="str">
        <f>B3542</f>
        <v>HM1R06</v>
      </c>
      <c r="I3542" s="501"/>
      <c r="J3542" s="514" t="s">
        <v>1835</v>
      </c>
      <c r="K3542" s="501" t="s">
        <v>741</v>
      </c>
    </row>
    <row r="3543" spans="1:14" s="35" customFormat="1">
      <c r="A3543" s="512"/>
      <c r="B3543" s="28" t="s">
        <v>7824</v>
      </c>
      <c r="C3543" s="230"/>
      <c r="D3543" s="230">
        <v>154</v>
      </c>
      <c r="E3543" s="216">
        <v>20</v>
      </c>
      <c r="F3543" s="156">
        <f>D3543+E3543</f>
        <v>174</v>
      </c>
      <c r="G3543" s="24" t="s">
        <v>7825</v>
      </c>
      <c r="H3543" s="438" t="str">
        <f>B3543</f>
        <v>KLMMVD06B</v>
      </c>
      <c r="I3543" s="501"/>
      <c r="J3543" s="514" t="s">
        <v>1835</v>
      </c>
      <c r="K3543" s="501" t="s">
        <v>741</v>
      </c>
    </row>
    <row r="3544" spans="1:14" s="35" customFormat="1">
      <c r="A3544" s="512"/>
      <c r="B3544" s="28" t="s">
        <v>7826</v>
      </c>
      <c r="C3544" s="230"/>
      <c r="D3544" s="230">
        <v>236</v>
      </c>
      <c r="E3544" s="216">
        <v>20</v>
      </c>
      <c r="F3544" s="156">
        <f>D3544+E3544</f>
        <v>256</v>
      </c>
      <c r="G3544" s="24" t="s">
        <v>7827</v>
      </c>
      <c r="H3544" s="438" t="str">
        <f>B3544</f>
        <v>HMVD5B</v>
      </c>
      <c r="I3544" s="501"/>
      <c r="J3544" s="514" t="s">
        <v>1835</v>
      </c>
      <c r="K3544" s="501" t="s">
        <v>741</v>
      </c>
    </row>
    <row r="3545" spans="1:14" s="48" customFormat="1">
      <c r="A3545" s="512"/>
      <c r="B3545" s="439"/>
      <c r="C3545" s="230"/>
      <c r="D3545" s="230"/>
      <c r="E3545" s="450"/>
      <c r="F3545" s="442"/>
      <c r="G3545" s="466"/>
      <c r="H3545" s="532"/>
      <c r="I3545" s="201"/>
      <c r="J3545" s="514"/>
      <c r="K3545" s="201"/>
      <c r="L3545" s="201"/>
      <c r="M3545" s="201"/>
      <c r="N3545" s="201"/>
    </row>
    <row r="3546" spans="1:14" s="35" customFormat="1">
      <c r="A3546" s="507"/>
      <c r="B3546" s="49"/>
      <c r="C3546" s="230"/>
      <c r="D3546" s="230"/>
      <c r="E3546" s="216"/>
      <c r="F3546" s="156"/>
      <c r="G3546" s="508"/>
      <c r="H3546" s="2031"/>
      <c r="I3546" s="508"/>
      <c r="J3546" s="507"/>
      <c r="K3546" s="508"/>
    </row>
    <row r="3547" spans="1:14" s="35" customFormat="1">
      <c r="A3547" s="502"/>
      <c r="B3547" s="33" t="s">
        <v>322</v>
      </c>
      <c r="C3547" s="230"/>
      <c r="D3547" s="230"/>
      <c r="E3547" s="216"/>
      <c r="F3547" s="156"/>
      <c r="G3547" s="501"/>
      <c r="H3547" s="2003"/>
      <c r="I3547" s="501"/>
      <c r="J3547" s="502"/>
      <c r="K3547" s="501"/>
    </row>
    <row r="3548" spans="1:14" s="35" customFormat="1">
      <c r="A3548" s="507"/>
      <c r="B3548" s="49"/>
      <c r="C3548" s="230"/>
      <c r="D3548" s="230"/>
      <c r="E3548" s="216"/>
      <c r="F3548" s="156"/>
      <c r="G3548" s="508"/>
      <c r="H3548" s="2031"/>
      <c r="I3548" s="508"/>
      <c r="J3548" s="507"/>
      <c r="K3548" s="508"/>
    </row>
    <row r="3549" spans="1:14" s="35" customFormat="1">
      <c r="A3549" s="507"/>
      <c r="B3549" s="49"/>
      <c r="C3549" s="230"/>
      <c r="D3549" s="230"/>
      <c r="E3549" s="216"/>
      <c r="F3549" s="156"/>
      <c r="G3549" s="508"/>
      <c r="H3549" s="2031"/>
      <c r="I3549" s="508"/>
      <c r="J3549" s="507"/>
      <c r="K3549" s="508"/>
    </row>
    <row r="3550" spans="1:14" s="35" customFormat="1">
      <c r="A3550" s="502"/>
      <c r="B3550" s="448" t="s">
        <v>7828</v>
      </c>
      <c r="C3550" s="230"/>
      <c r="D3550" s="230">
        <v>210</v>
      </c>
      <c r="E3550" s="216">
        <v>10</v>
      </c>
      <c r="F3550" s="156">
        <f>D3550+E3550</f>
        <v>220</v>
      </c>
      <c r="G3550" s="24" t="s">
        <v>7829</v>
      </c>
      <c r="H3550" s="2003" t="str">
        <f>B3550</f>
        <v>Fi2100</v>
      </c>
      <c r="I3550" s="501"/>
      <c r="J3550" s="502" t="s">
        <v>1835</v>
      </c>
      <c r="K3550" s="501" t="s">
        <v>741</v>
      </c>
    </row>
    <row r="3551" spans="1:14" s="35" customFormat="1">
      <c r="A3551" s="502"/>
      <c r="B3551" s="448" t="s">
        <v>7830</v>
      </c>
      <c r="C3551" s="230"/>
      <c r="D3551" s="230">
        <v>210</v>
      </c>
      <c r="E3551" s="216">
        <v>10</v>
      </c>
      <c r="F3551" s="156">
        <f>D3551+E3551</f>
        <v>220</v>
      </c>
      <c r="G3551" s="24" t="s">
        <v>7831</v>
      </c>
      <c r="H3551" s="2003" t="str">
        <f t="shared" ref="H3551:H3586" si="481">B3551</f>
        <v>Fi2125</v>
      </c>
      <c r="I3551" s="501"/>
      <c r="J3551" s="502" t="s">
        <v>1835</v>
      </c>
      <c r="K3551" s="501" t="s">
        <v>741</v>
      </c>
    </row>
    <row r="3552" spans="1:14" s="35" customFormat="1">
      <c r="A3552" s="502"/>
      <c r="B3552" s="448" t="s">
        <v>10987</v>
      </c>
      <c r="C3552" s="230"/>
      <c r="D3552" s="230">
        <v>80</v>
      </c>
      <c r="E3552" s="216">
        <v>10</v>
      </c>
      <c r="F3552" s="156">
        <f>D3552+E3552</f>
        <v>90</v>
      </c>
      <c r="G3552" s="24" t="s">
        <v>10988</v>
      </c>
      <c r="H3552" s="2003" t="str">
        <f t="shared" si="481"/>
        <v>Fi2040</v>
      </c>
      <c r="I3552" s="501"/>
      <c r="J3552" s="502" t="s">
        <v>1835</v>
      </c>
      <c r="K3552" s="501" t="s">
        <v>741</v>
      </c>
    </row>
    <row r="3553" spans="1:11" s="35" customFormat="1">
      <c r="A3553" s="507"/>
      <c r="B3553" s="49"/>
      <c r="C3553" s="230"/>
      <c r="D3553" s="230"/>
      <c r="E3553" s="216"/>
      <c r="F3553" s="156"/>
      <c r="G3553" s="508"/>
      <c r="H3553" s="2003"/>
      <c r="I3553" s="508"/>
      <c r="J3553" s="502"/>
      <c r="K3553" s="501"/>
    </row>
    <row r="3554" spans="1:11" s="35" customFormat="1">
      <c r="A3554" s="502"/>
      <c r="B3554" s="448" t="s">
        <v>323</v>
      </c>
      <c r="C3554" s="230"/>
      <c r="D3554" s="230">
        <v>56</v>
      </c>
      <c r="E3554" s="216">
        <v>4</v>
      </c>
      <c r="F3554" s="156">
        <f t="shared" ref="F3554:F3563" si="482">D3554+E3554</f>
        <v>60</v>
      </c>
      <c r="G3554" s="24" t="s">
        <v>7832</v>
      </c>
      <c r="H3554" s="2003" t="str">
        <f t="shared" si="481"/>
        <v>Gi1015</v>
      </c>
      <c r="I3554" s="501"/>
      <c r="J3554" s="502" t="s">
        <v>1835</v>
      </c>
      <c r="K3554" s="501" t="s">
        <v>741</v>
      </c>
    </row>
    <row r="3555" spans="1:11" s="35" customFormat="1">
      <c r="A3555" s="502"/>
      <c r="B3555" s="448" t="s">
        <v>324</v>
      </c>
      <c r="C3555" s="230"/>
      <c r="D3555" s="230">
        <v>56</v>
      </c>
      <c r="E3555" s="216">
        <v>4</v>
      </c>
      <c r="F3555" s="156">
        <f t="shared" si="482"/>
        <v>60</v>
      </c>
      <c r="G3555" s="24" t="s">
        <v>7833</v>
      </c>
      <c r="H3555" s="2003" t="str">
        <f t="shared" si="481"/>
        <v>Gi1020</v>
      </c>
      <c r="I3555" s="501"/>
      <c r="J3555" s="502" t="s">
        <v>1835</v>
      </c>
      <c r="K3555" s="501" t="s">
        <v>741</v>
      </c>
    </row>
    <row r="3556" spans="1:11" s="35" customFormat="1">
      <c r="A3556" s="502"/>
      <c r="B3556" s="448" t="s">
        <v>325</v>
      </c>
      <c r="C3556" s="230"/>
      <c r="D3556" s="230">
        <v>56</v>
      </c>
      <c r="E3556" s="216">
        <v>4</v>
      </c>
      <c r="F3556" s="156">
        <f t="shared" si="482"/>
        <v>60</v>
      </c>
      <c r="G3556" s="24" t="s">
        <v>7834</v>
      </c>
      <c r="H3556" s="2003" t="str">
        <f t="shared" si="481"/>
        <v>Gi1030</v>
      </c>
      <c r="I3556" s="501"/>
      <c r="J3556" s="502" t="s">
        <v>1835</v>
      </c>
      <c r="K3556" s="501" t="s">
        <v>741</v>
      </c>
    </row>
    <row r="3557" spans="1:11" s="35" customFormat="1">
      <c r="A3557" s="502"/>
      <c r="B3557" s="448" t="s">
        <v>326</v>
      </c>
      <c r="C3557" s="230"/>
      <c r="D3557" s="230">
        <v>56</v>
      </c>
      <c r="E3557" s="216">
        <v>4</v>
      </c>
      <c r="F3557" s="156">
        <f t="shared" si="482"/>
        <v>60</v>
      </c>
      <c r="G3557" s="24" t="s">
        <v>7835</v>
      </c>
      <c r="H3557" s="2003" t="str">
        <f t="shared" si="481"/>
        <v>Gi1040</v>
      </c>
      <c r="I3557" s="501"/>
      <c r="J3557" s="502" t="s">
        <v>1835</v>
      </c>
      <c r="K3557" s="501" t="s">
        <v>741</v>
      </c>
    </row>
    <row r="3558" spans="1:11" s="35" customFormat="1">
      <c r="A3558" s="502"/>
      <c r="B3558" s="448" t="s">
        <v>327</v>
      </c>
      <c r="C3558" s="230"/>
      <c r="D3558" s="230">
        <v>56</v>
      </c>
      <c r="E3558" s="216">
        <v>4</v>
      </c>
      <c r="F3558" s="156">
        <f t="shared" si="482"/>
        <v>60</v>
      </c>
      <c r="G3558" s="24" t="s">
        <v>7836</v>
      </c>
      <c r="H3558" s="2003" t="str">
        <f t="shared" si="481"/>
        <v>Gi1050</v>
      </c>
      <c r="I3558" s="501"/>
      <c r="J3558" s="502" t="s">
        <v>1835</v>
      </c>
      <c r="K3558" s="501" t="s">
        <v>741</v>
      </c>
    </row>
    <row r="3559" spans="1:11" s="35" customFormat="1">
      <c r="A3559" s="502"/>
      <c r="B3559" s="448" t="s">
        <v>328</v>
      </c>
      <c r="C3559" s="230"/>
      <c r="D3559" s="230">
        <v>56</v>
      </c>
      <c r="E3559" s="216">
        <v>4</v>
      </c>
      <c r="F3559" s="156">
        <f t="shared" si="482"/>
        <v>60</v>
      </c>
      <c r="G3559" s="24" t="s">
        <v>7837</v>
      </c>
      <c r="H3559" s="2003" t="str">
        <f t="shared" si="481"/>
        <v>Gi1060</v>
      </c>
      <c r="I3559" s="501"/>
      <c r="J3559" s="502" t="s">
        <v>1835</v>
      </c>
      <c r="K3559" s="501" t="s">
        <v>741</v>
      </c>
    </row>
    <row r="3560" spans="1:11" s="35" customFormat="1">
      <c r="A3560" s="502"/>
      <c r="B3560" s="448" t="s">
        <v>329</v>
      </c>
      <c r="C3560" s="230"/>
      <c r="D3560" s="230">
        <v>64</v>
      </c>
      <c r="E3560" s="216">
        <v>4</v>
      </c>
      <c r="F3560" s="156">
        <f t="shared" si="482"/>
        <v>68</v>
      </c>
      <c r="G3560" s="24" t="s">
        <v>7838</v>
      </c>
      <c r="H3560" s="2003" t="str">
        <f t="shared" si="481"/>
        <v>Gi1070</v>
      </c>
      <c r="I3560" s="501"/>
      <c r="J3560" s="502" t="s">
        <v>1835</v>
      </c>
      <c r="K3560" s="501" t="s">
        <v>741</v>
      </c>
    </row>
    <row r="3561" spans="1:11" s="35" customFormat="1">
      <c r="A3561" s="502"/>
      <c r="B3561" s="448" t="s">
        <v>330</v>
      </c>
      <c r="C3561" s="230"/>
      <c r="D3561" s="230">
        <v>64</v>
      </c>
      <c r="E3561" s="216">
        <v>4</v>
      </c>
      <c r="F3561" s="156">
        <f t="shared" si="482"/>
        <v>68</v>
      </c>
      <c r="G3561" s="24" t="s">
        <v>7839</v>
      </c>
      <c r="H3561" s="2003" t="str">
        <f t="shared" si="481"/>
        <v>Gi1080</v>
      </c>
      <c r="I3561" s="501"/>
      <c r="J3561" s="502" t="s">
        <v>1835</v>
      </c>
      <c r="K3561" s="501" t="s">
        <v>741</v>
      </c>
    </row>
    <row r="3562" spans="1:11" s="35" customFormat="1">
      <c r="A3562" s="502"/>
      <c r="B3562" s="448" t="s">
        <v>331</v>
      </c>
      <c r="C3562" s="230"/>
      <c r="D3562" s="230">
        <v>64</v>
      </c>
      <c r="E3562" s="216">
        <v>4</v>
      </c>
      <c r="F3562" s="156">
        <f t="shared" si="482"/>
        <v>68</v>
      </c>
      <c r="G3562" s="24" t="s">
        <v>7840</v>
      </c>
      <c r="H3562" s="2003" t="str">
        <f t="shared" si="481"/>
        <v>Gi1090</v>
      </c>
      <c r="I3562" s="501"/>
      <c r="J3562" s="502" t="s">
        <v>1835</v>
      </c>
      <c r="K3562" s="501" t="s">
        <v>741</v>
      </c>
    </row>
    <row r="3563" spans="1:11" s="35" customFormat="1">
      <c r="A3563" s="502"/>
      <c r="B3563" s="448" t="s">
        <v>332</v>
      </c>
      <c r="C3563" s="230"/>
      <c r="D3563" s="230">
        <v>64</v>
      </c>
      <c r="E3563" s="216">
        <v>4</v>
      </c>
      <c r="F3563" s="156">
        <f t="shared" si="482"/>
        <v>68</v>
      </c>
      <c r="G3563" s="24" t="s">
        <v>7841</v>
      </c>
      <c r="H3563" s="2003" t="str">
        <f t="shared" si="481"/>
        <v>Gi1100</v>
      </c>
      <c r="I3563" s="501"/>
      <c r="J3563" s="502" t="s">
        <v>1835</v>
      </c>
      <c r="K3563" s="501" t="s">
        <v>741</v>
      </c>
    </row>
    <row r="3564" spans="1:11" s="35" customFormat="1">
      <c r="A3564" s="502"/>
      <c r="B3564" s="448"/>
      <c r="C3564" s="230"/>
      <c r="D3564" s="230"/>
      <c r="E3564" s="216"/>
      <c r="F3564" s="156"/>
      <c r="G3564" s="24"/>
      <c r="H3564" s="2003"/>
      <c r="I3564" s="501"/>
      <c r="J3564" s="502"/>
      <c r="K3564" s="501"/>
    </row>
    <row r="3565" spans="1:11" s="35" customFormat="1">
      <c r="A3565" s="502"/>
      <c r="B3565" s="449" t="s">
        <v>333</v>
      </c>
      <c r="C3565" s="230"/>
      <c r="D3565" s="230">
        <v>73</v>
      </c>
      <c r="E3565" s="216">
        <v>6</v>
      </c>
      <c r="F3565" s="156">
        <f t="shared" ref="F3565:F3574" si="483">D3565+E3565</f>
        <v>79</v>
      </c>
      <c r="G3565" s="24" t="s">
        <v>7842</v>
      </c>
      <c r="H3565" s="2003" t="str">
        <f t="shared" si="481"/>
        <v>Gi2015</v>
      </c>
      <c r="I3565" s="501"/>
      <c r="J3565" s="502" t="s">
        <v>1835</v>
      </c>
      <c r="K3565" s="501" t="s">
        <v>741</v>
      </c>
    </row>
    <row r="3566" spans="1:11" s="35" customFormat="1">
      <c r="A3566" s="502"/>
      <c r="B3566" s="449" t="s">
        <v>334</v>
      </c>
      <c r="C3566" s="230"/>
      <c r="D3566" s="230">
        <v>73</v>
      </c>
      <c r="E3566" s="216">
        <v>6</v>
      </c>
      <c r="F3566" s="156">
        <f t="shared" si="483"/>
        <v>79</v>
      </c>
      <c r="G3566" s="24" t="s">
        <v>7843</v>
      </c>
      <c r="H3566" s="2003" t="str">
        <f t="shared" si="481"/>
        <v>Gi2020</v>
      </c>
      <c r="I3566" s="501"/>
      <c r="J3566" s="502" t="s">
        <v>1835</v>
      </c>
      <c r="K3566" s="501" t="s">
        <v>741</v>
      </c>
    </row>
    <row r="3567" spans="1:11" s="35" customFormat="1">
      <c r="A3567" s="502"/>
      <c r="B3567" s="449" t="s">
        <v>335</v>
      </c>
      <c r="C3567" s="230"/>
      <c r="D3567" s="230">
        <v>73</v>
      </c>
      <c r="E3567" s="216">
        <v>6</v>
      </c>
      <c r="F3567" s="156">
        <f t="shared" si="483"/>
        <v>79</v>
      </c>
      <c r="G3567" s="24" t="s">
        <v>7844</v>
      </c>
      <c r="H3567" s="2003" t="str">
        <f t="shared" si="481"/>
        <v>Gi2030</v>
      </c>
      <c r="I3567" s="501"/>
      <c r="J3567" s="502" t="s">
        <v>1835</v>
      </c>
      <c r="K3567" s="501" t="s">
        <v>741</v>
      </c>
    </row>
    <row r="3568" spans="1:11" s="35" customFormat="1">
      <c r="A3568" s="502"/>
      <c r="B3568" s="449" t="s">
        <v>336</v>
      </c>
      <c r="C3568" s="230"/>
      <c r="D3568" s="230">
        <v>73</v>
      </c>
      <c r="E3568" s="216">
        <v>6</v>
      </c>
      <c r="F3568" s="156">
        <f t="shared" si="483"/>
        <v>79</v>
      </c>
      <c r="G3568" s="24" t="s">
        <v>7845</v>
      </c>
      <c r="H3568" s="2003" t="str">
        <f t="shared" si="481"/>
        <v>Gi2040</v>
      </c>
      <c r="I3568" s="501"/>
      <c r="J3568" s="502" t="s">
        <v>1835</v>
      </c>
      <c r="K3568" s="501" t="s">
        <v>741</v>
      </c>
    </row>
    <row r="3569" spans="1:11" s="35" customFormat="1">
      <c r="A3569" s="502"/>
      <c r="B3569" s="449" t="s">
        <v>337</v>
      </c>
      <c r="C3569" s="230"/>
      <c r="D3569" s="230">
        <v>73</v>
      </c>
      <c r="E3569" s="216">
        <v>6</v>
      </c>
      <c r="F3569" s="156">
        <f t="shared" si="483"/>
        <v>79</v>
      </c>
      <c r="G3569" s="24" t="s">
        <v>7846</v>
      </c>
      <c r="H3569" s="2003" t="str">
        <f t="shared" si="481"/>
        <v>Gi2050</v>
      </c>
      <c r="I3569" s="501"/>
      <c r="J3569" s="502" t="s">
        <v>1835</v>
      </c>
      <c r="K3569" s="501" t="s">
        <v>741</v>
      </c>
    </row>
    <row r="3570" spans="1:11" s="35" customFormat="1">
      <c r="A3570" s="502"/>
      <c r="B3570" s="449" t="s">
        <v>338</v>
      </c>
      <c r="C3570" s="230"/>
      <c r="D3570" s="230">
        <v>73</v>
      </c>
      <c r="E3570" s="216">
        <v>6</v>
      </c>
      <c r="F3570" s="156">
        <f t="shared" si="483"/>
        <v>79</v>
      </c>
      <c r="G3570" s="24" t="s">
        <v>7847</v>
      </c>
      <c r="H3570" s="2003" t="str">
        <f t="shared" si="481"/>
        <v>Gi2060</v>
      </c>
      <c r="I3570" s="501"/>
      <c r="J3570" s="502" t="s">
        <v>1835</v>
      </c>
      <c r="K3570" s="501" t="s">
        <v>741</v>
      </c>
    </row>
    <row r="3571" spans="1:11" s="35" customFormat="1">
      <c r="A3571" s="502"/>
      <c r="B3571" s="449" t="s">
        <v>339</v>
      </c>
      <c r="C3571" s="230"/>
      <c r="D3571" s="230">
        <v>84</v>
      </c>
      <c r="E3571" s="216">
        <v>6</v>
      </c>
      <c r="F3571" s="156">
        <f t="shared" si="483"/>
        <v>90</v>
      </c>
      <c r="G3571" s="24" t="s">
        <v>7848</v>
      </c>
      <c r="H3571" s="2003" t="str">
        <f t="shared" si="481"/>
        <v>Gi2070</v>
      </c>
      <c r="I3571" s="501"/>
      <c r="J3571" s="502" t="s">
        <v>1835</v>
      </c>
      <c r="K3571" s="501" t="s">
        <v>741</v>
      </c>
    </row>
    <row r="3572" spans="1:11" s="35" customFormat="1">
      <c r="A3572" s="502"/>
      <c r="B3572" s="449" t="s">
        <v>340</v>
      </c>
      <c r="C3572" s="230"/>
      <c r="D3572" s="230">
        <v>84</v>
      </c>
      <c r="E3572" s="216">
        <v>6</v>
      </c>
      <c r="F3572" s="156">
        <f t="shared" si="483"/>
        <v>90</v>
      </c>
      <c r="G3572" s="24" t="s">
        <v>7849</v>
      </c>
      <c r="H3572" s="2003" t="str">
        <f t="shared" si="481"/>
        <v>Gi2080</v>
      </c>
      <c r="I3572" s="501"/>
      <c r="J3572" s="502" t="s">
        <v>1835</v>
      </c>
      <c r="K3572" s="501" t="s">
        <v>741</v>
      </c>
    </row>
    <row r="3573" spans="1:11" s="35" customFormat="1">
      <c r="A3573" s="502"/>
      <c r="B3573" s="449" t="s">
        <v>341</v>
      </c>
      <c r="C3573" s="230"/>
      <c r="D3573" s="230">
        <v>84</v>
      </c>
      <c r="E3573" s="216">
        <v>6</v>
      </c>
      <c r="F3573" s="156">
        <f t="shared" si="483"/>
        <v>90</v>
      </c>
      <c r="G3573" s="24" t="s">
        <v>7850</v>
      </c>
      <c r="H3573" s="2003" t="str">
        <f t="shared" si="481"/>
        <v>Gi2090</v>
      </c>
      <c r="I3573" s="501"/>
      <c r="J3573" s="502" t="s">
        <v>1835</v>
      </c>
      <c r="K3573" s="501" t="s">
        <v>741</v>
      </c>
    </row>
    <row r="3574" spans="1:11" s="35" customFormat="1">
      <c r="A3574" s="502"/>
      <c r="B3574" s="449" t="s">
        <v>342</v>
      </c>
      <c r="C3574" s="230"/>
      <c r="D3574" s="230">
        <v>84</v>
      </c>
      <c r="E3574" s="216">
        <v>6</v>
      </c>
      <c r="F3574" s="156">
        <f t="shared" si="483"/>
        <v>90</v>
      </c>
      <c r="G3574" s="24" t="s">
        <v>7851</v>
      </c>
      <c r="H3574" s="2003" t="str">
        <f t="shared" si="481"/>
        <v>Gi2100</v>
      </c>
      <c r="I3574" s="501"/>
      <c r="J3574" s="502" t="s">
        <v>1835</v>
      </c>
      <c r="K3574" s="501" t="s">
        <v>741</v>
      </c>
    </row>
    <row r="3575" spans="1:11" s="35" customFormat="1">
      <c r="A3575" s="502"/>
      <c r="B3575" s="449"/>
      <c r="C3575" s="230"/>
      <c r="D3575" s="230"/>
      <c r="E3575" s="216"/>
      <c r="F3575" s="156"/>
      <c r="G3575" s="24"/>
      <c r="H3575" s="2003"/>
      <c r="I3575" s="501"/>
      <c r="J3575" s="502"/>
      <c r="K3575" s="501"/>
    </row>
    <row r="3576" spans="1:11" s="35" customFormat="1">
      <c r="A3576" s="502"/>
      <c r="B3576" s="449" t="s">
        <v>343</v>
      </c>
      <c r="C3576" s="230"/>
      <c r="D3576" s="1788">
        <v>250</v>
      </c>
      <c r="E3576" s="216">
        <v>6</v>
      </c>
      <c r="F3576" s="156">
        <f t="shared" ref="F3576:F3586" si="484">D3576+E3576</f>
        <v>256</v>
      </c>
      <c r="G3576" s="24" t="s">
        <v>7852</v>
      </c>
      <c r="H3576" s="2003" t="str">
        <f t="shared" si="481"/>
        <v>Gi3015</v>
      </c>
      <c r="I3576" s="501"/>
      <c r="J3576" s="502" t="s">
        <v>1835</v>
      </c>
      <c r="K3576" s="501" t="s">
        <v>741</v>
      </c>
    </row>
    <row r="3577" spans="1:11" s="35" customFormat="1">
      <c r="A3577" s="502"/>
      <c r="B3577" s="449" t="s">
        <v>344</v>
      </c>
      <c r="C3577" s="230"/>
      <c r="D3577" s="1788">
        <v>250</v>
      </c>
      <c r="E3577" s="216">
        <v>6</v>
      </c>
      <c r="F3577" s="156">
        <f t="shared" si="484"/>
        <v>256</v>
      </c>
      <c r="G3577" s="24" t="s">
        <v>7853</v>
      </c>
      <c r="H3577" s="2003" t="str">
        <f t="shared" si="481"/>
        <v>Gi3020</v>
      </c>
      <c r="I3577" s="501"/>
      <c r="J3577" s="502" t="s">
        <v>1835</v>
      </c>
      <c r="K3577" s="501" t="s">
        <v>741</v>
      </c>
    </row>
    <row r="3578" spans="1:11" s="35" customFormat="1">
      <c r="A3578" s="502"/>
      <c r="B3578" s="449" t="s">
        <v>345</v>
      </c>
      <c r="C3578" s="230"/>
      <c r="D3578" s="1788">
        <v>250</v>
      </c>
      <c r="E3578" s="216">
        <v>6</v>
      </c>
      <c r="F3578" s="156">
        <f t="shared" si="484"/>
        <v>256</v>
      </c>
      <c r="G3578" s="24" t="s">
        <v>7854</v>
      </c>
      <c r="H3578" s="2003" t="str">
        <f t="shared" si="481"/>
        <v>Gi3030</v>
      </c>
      <c r="I3578" s="501"/>
      <c r="J3578" s="502" t="s">
        <v>1835</v>
      </c>
      <c r="K3578" s="501" t="s">
        <v>741</v>
      </c>
    </row>
    <row r="3579" spans="1:11" s="35" customFormat="1">
      <c r="A3579" s="502"/>
      <c r="B3579" s="449" t="s">
        <v>346</v>
      </c>
      <c r="C3579" s="230"/>
      <c r="D3579" s="1788">
        <v>250</v>
      </c>
      <c r="E3579" s="216">
        <v>6</v>
      </c>
      <c r="F3579" s="156">
        <f t="shared" si="484"/>
        <v>256</v>
      </c>
      <c r="G3579" s="24" t="s">
        <v>7855</v>
      </c>
      <c r="H3579" s="2003" t="str">
        <f t="shared" si="481"/>
        <v>Gi3040</v>
      </c>
      <c r="I3579" s="501"/>
      <c r="J3579" s="502" t="s">
        <v>1835</v>
      </c>
      <c r="K3579" s="501" t="s">
        <v>741</v>
      </c>
    </row>
    <row r="3580" spans="1:11" s="35" customFormat="1">
      <c r="A3580" s="502"/>
      <c r="B3580" s="449" t="s">
        <v>347</v>
      </c>
      <c r="C3580" s="230"/>
      <c r="D3580" s="1788">
        <v>250</v>
      </c>
      <c r="E3580" s="216">
        <v>6</v>
      </c>
      <c r="F3580" s="156">
        <f t="shared" si="484"/>
        <v>256</v>
      </c>
      <c r="G3580" s="24" t="s">
        <v>7856</v>
      </c>
      <c r="H3580" s="2003" t="str">
        <f t="shared" si="481"/>
        <v>Gi3050</v>
      </c>
      <c r="I3580" s="501"/>
      <c r="J3580" s="502" t="s">
        <v>1835</v>
      </c>
      <c r="K3580" s="501" t="s">
        <v>741</v>
      </c>
    </row>
    <row r="3581" spans="1:11" s="35" customFormat="1">
      <c r="A3581" s="502"/>
      <c r="B3581" s="449" t="s">
        <v>348</v>
      </c>
      <c r="C3581" s="230"/>
      <c r="D3581" s="1788">
        <v>270</v>
      </c>
      <c r="E3581" s="216">
        <v>6</v>
      </c>
      <c r="F3581" s="156">
        <f t="shared" si="484"/>
        <v>276</v>
      </c>
      <c r="G3581" s="24" t="s">
        <v>7857</v>
      </c>
      <c r="H3581" s="2003" t="str">
        <f t="shared" si="481"/>
        <v>Gi3060</v>
      </c>
      <c r="I3581" s="501"/>
      <c r="J3581" s="502" t="s">
        <v>1835</v>
      </c>
      <c r="K3581" s="501" t="s">
        <v>741</v>
      </c>
    </row>
    <row r="3582" spans="1:11" s="35" customFormat="1">
      <c r="A3582" s="502"/>
      <c r="B3582" s="449" t="s">
        <v>349</v>
      </c>
      <c r="C3582" s="230"/>
      <c r="D3582" s="1788">
        <v>270</v>
      </c>
      <c r="E3582" s="216">
        <v>8</v>
      </c>
      <c r="F3582" s="156">
        <f t="shared" si="484"/>
        <v>278</v>
      </c>
      <c r="G3582" s="24" t="s">
        <v>7858</v>
      </c>
      <c r="H3582" s="2003" t="str">
        <f t="shared" si="481"/>
        <v>Gi3070</v>
      </c>
      <c r="I3582" s="501"/>
      <c r="J3582" s="502" t="s">
        <v>1835</v>
      </c>
      <c r="K3582" s="501" t="s">
        <v>741</v>
      </c>
    </row>
    <row r="3583" spans="1:11" s="35" customFormat="1">
      <c r="A3583" s="502"/>
      <c r="B3583" s="449" t="s">
        <v>350</v>
      </c>
      <c r="C3583" s="230"/>
      <c r="D3583" s="1788">
        <v>270</v>
      </c>
      <c r="E3583" s="216">
        <v>8</v>
      </c>
      <c r="F3583" s="156">
        <f t="shared" si="484"/>
        <v>278</v>
      </c>
      <c r="G3583" s="24" t="s">
        <v>7859</v>
      </c>
      <c r="H3583" s="2003" t="str">
        <f t="shared" si="481"/>
        <v>Gi3080</v>
      </c>
      <c r="I3583" s="501"/>
      <c r="J3583" s="502" t="s">
        <v>1835</v>
      </c>
      <c r="K3583" s="501" t="s">
        <v>741</v>
      </c>
    </row>
    <row r="3584" spans="1:11" s="35" customFormat="1">
      <c r="A3584" s="502"/>
      <c r="B3584" s="449" t="s">
        <v>351</v>
      </c>
      <c r="C3584" s="230"/>
      <c r="D3584" s="1788">
        <v>270</v>
      </c>
      <c r="E3584" s="216">
        <v>8</v>
      </c>
      <c r="F3584" s="156">
        <f t="shared" si="484"/>
        <v>278</v>
      </c>
      <c r="G3584" s="24" t="s">
        <v>7860</v>
      </c>
      <c r="H3584" s="2003" t="str">
        <f t="shared" si="481"/>
        <v>Gi3090</v>
      </c>
      <c r="I3584" s="501"/>
      <c r="J3584" s="502" t="s">
        <v>1835</v>
      </c>
      <c r="K3584" s="501" t="s">
        <v>741</v>
      </c>
    </row>
    <row r="3585" spans="1:11" s="35" customFormat="1">
      <c r="A3585" s="502"/>
      <c r="B3585" s="449" t="s">
        <v>352</v>
      </c>
      <c r="C3585" s="447"/>
      <c r="D3585" s="447">
        <v>280</v>
      </c>
      <c r="E3585" s="445">
        <v>8</v>
      </c>
      <c r="F3585" s="446">
        <f t="shared" si="484"/>
        <v>288</v>
      </c>
      <c r="G3585" s="24" t="s">
        <v>7861</v>
      </c>
      <c r="H3585" s="2003" t="str">
        <f t="shared" si="481"/>
        <v>Gi3100</v>
      </c>
      <c r="I3585" s="501"/>
      <c r="J3585" s="502" t="s">
        <v>1835</v>
      </c>
      <c r="K3585" s="501" t="s">
        <v>741</v>
      </c>
    </row>
    <row r="3586" spans="1:11" s="23" customFormat="1">
      <c r="A3586" s="502"/>
      <c r="B3586" s="449" t="s">
        <v>353</v>
      </c>
      <c r="C3586" s="230"/>
      <c r="D3586" s="1788">
        <v>280</v>
      </c>
      <c r="E3586" s="216">
        <v>16</v>
      </c>
      <c r="F3586" s="156">
        <f t="shared" si="484"/>
        <v>296</v>
      </c>
      <c r="G3586" s="24" t="s">
        <v>7862</v>
      </c>
      <c r="H3586" s="2003" t="str">
        <f t="shared" si="481"/>
        <v>Gi3125</v>
      </c>
      <c r="I3586" s="501"/>
      <c r="J3586" s="502" t="s">
        <v>1835</v>
      </c>
      <c r="K3586" s="501" t="s">
        <v>741</v>
      </c>
    </row>
    <row r="3587" spans="1:11" s="1790" customFormat="1">
      <c r="A3587" s="523"/>
      <c r="B3587" s="1789"/>
      <c r="C3587" s="230"/>
      <c r="D3587" s="230"/>
      <c r="E3587" s="462"/>
      <c r="F3587" s="164"/>
      <c r="G3587" s="465"/>
      <c r="H3587" s="2036"/>
      <c r="I3587" s="525"/>
      <c r="J3587" s="523"/>
      <c r="K3587" s="525"/>
    </row>
    <row r="3588" spans="1:11" s="1790" customFormat="1">
      <c r="A3588" s="523"/>
      <c r="B3588" s="1789"/>
      <c r="C3588" s="230"/>
      <c r="D3588" s="230"/>
      <c r="E3588" s="462"/>
      <c r="F3588" s="164"/>
      <c r="G3588" s="24"/>
      <c r="H3588" s="2036"/>
      <c r="I3588" s="525"/>
      <c r="J3588" s="523"/>
      <c r="K3588" s="525"/>
    </row>
    <row r="3589" spans="1:11" s="1790" customFormat="1">
      <c r="A3589" s="523"/>
      <c r="B3589" s="1789"/>
      <c r="C3589" s="230"/>
      <c r="D3589" s="230"/>
      <c r="E3589" s="462"/>
      <c r="F3589" s="164"/>
      <c r="G3589" s="24"/>
      <c r="H3589" s="2036"/>
      <c r="I3589" s="525"/>
      <c r="J3589" s="523"/>
      <c r="K3589" s="525"/>
    </row>
    <row r="3590" spans="1:11" s="23" customFormat="1">
      <c r="A3590" s="500"/>
      <c r="B3590" s="419" t="s">
        <v>11747</v>
      </c>
      <c r="C3590" s="230"/>
      <c r="D3590" s="230">
        <v>1500</v>
      </c>
      <c r="E3590" s="216">
        <v>200</v>
      </c>
      <c r="F3590" s="156">
        <f>D3590+E3590</f>
        <v>1700</v>
      </c>
      <c r="G3590" s="24" t="s">
        <v>11748</v>
      </c>
      <c r="H3590" s="530" t="str">
        <f>B3590</f>
        <v>HMCP400R5</v>
      </c>
      <c r="I3590" s="552"/>
      <c r="J3590" s="106" t="s">
        <v>1835</v>
      </c>
      <c r="K3590" s="508"/>
    </row>
    <row r="3591" spans="1:11" s="23" customFormat="1">
      <c r="A3591" s="500"/>
      <c r="B3591" s="419" t="s">
        <v>11749</v>
      </c>
      <c r="C3591" s="230"/>
      <c r="D3591" s="230">
        <v>1600</v>
      </c>
      <c r="E3591" s="216">
        <v>200</v>
      </c>
      <c r="F3591" s="156">
        <f>D3591+E3591</f>
        <v>1800</v>
      </c>
      <c r="G3591" s="24" t="s">
        <v>11750</v>
      </c>
      <c r="H3591" s="530" t="str">
        <f>B3591</f>
        <v>HMCPK400</v>
      </c>
      <c r="I3591" s="552"/>
      <c r="J3591" s="106" t="s">
        <v>1835</v>
      </c>
      <c r="K3591" s="508"/>
    </row>
    <row r="3592" spans="1:11" s="23" customFormat="1">
      <c r="A3592" s="500"/>
      <c r="B3592" s="419" t="s">
        <v>11751</v>
      </c>
      <c r="C3592" s="230"/>
      <c r="D3592" s="230">
        <v>860</v>
      </c>
      <c r="E3592" s="216">
        <v>200</v>
      </c>
      <c r="F3592" s="156">
        <f>D3592+E3592</f>
        <v>1060</v>
      </c>
      <c r="G3592" s="24" t="s">
        <v>13888</v>
      </c>
      <c r="H3592" s="530" t="str">
        <f>B3592</f>
        <v>HMCPJ250</v>
      </c>
      <c r="I3592" s="552"/>
      <c r="J3592" s="106" t="s">
        <v>1835</v>
      </c>
      <c r="K3592" s="508"/>
    </row>
    <row r="3593" spans="1:11" s="23" customFormat="1">
      <c r="A3593" s="500"/>
      <c r="B3593" s="419" t="s">
        <v>13988</v>
      </c>
      <c r="C3593" s="230"/>
      <c r="D3593" s="230">
        <v>765</v>
      </c>
      <c r="E3593" s="216">
        <v>200</v>
      </c>
      <c r="F3593" s="156">
        <f>D3593+E3593</f>
        <v>965</v>
      </c>
      <c r="G3593" s="24" t="s">
        <v>13989</v>
      </c>
      <c r="H3593" s="530" t="str">
        <f>B3593</f>
        <v>HMCP250W5C</v>
      </c>
      <c r="I3593" s="552"/>
      <c r="J3593" s="106" t="s">
        <v>1835</v>
      </c>
      <c r="K3593" s="508"/>
    </row>
    <row r="3594" spans="1:11" s="1790" customFormat="1">
      <c r="A3594" s="523"/>
      <c r="B3594" s="419"/>
      <c r="C3594" s="230"/>
      <c r="D3594" s="230"/>
      <c r="E3594" s="462"/>
      <c r="F3594" s="164"/>
      <c r="G3594" s="24"/>
      <c r="H3594" s="146"/>
      <c r="I3594" s="552"/>
      <c r="J3594" s="106"/>
      <c r="K3594" s="1121"/>
    </row>
    <row r="3595" spans="1:11" s="1790" customFormat="1">
      <c r="A3595" s="523"/>
      <c r="B3595" s="419"/>
      <c r="C3595" s="230"/>
      <c r="D3595" s="230"/>
      <c r="E3595" s="462"/>
      <c r="F3595" s="164"/>
      <c r="G3595" s="465"/>
      <c r="H3595" s="146"/>
      <c r="I3595" s="552"/>
      <c r="J3595" s="106"/>
      <c r="K3595" s="1121"/>
    </row>
    <row r="3596" spans="1:11" s="1790" customFormat="1">
      <c r="A3596" s="523"/>
      <c r="B3596" s="2109" t="s">
        <v>11834</v>
      </c>
      <c r="C3596" s="230"/>
      <c r="D3596" s="230"/>
      <c r="E3596" s="462"/>
      <c r="F3596" s="164"/>
      <c r="G3596" s="465"/>
      <c r="H3596" s="146"/>
      <c r="I3596" s="552"/>
      <c r="J3596" s="106"/>
      <c r="K3596" s="1121"/>
    </row>
    <row r="3597" spans="1:11" s="1790" customFormat="1">
      <c r="A3597" s="523"/>
      <c r="B3597" s="2110"/>
      <c r="C3597" s="230"/>
      <c r="D3597" s="230"/>
      <c r="E3597" s="462"/>
      <c r="F3597" s="164"/>
      <c r="G3597" s="465"/>
      <c r="H3597" s="146"/>
      <c r="I3597" s="552"/>
      <c r="J3597" s="106"/>
      <c r="K3597" s="1121"/>
    </row>
    <row r="3598" spans="1:11" s="1790" customFormat="1">
      <c r="A3598" s="523"/>
      <c r="B3598" s="2111" t="s">
        <v>11835</v>
      </c>
      <c r="C3598" s="230"/>
      <c r="D3598" s="230"/>
      <c r="E3598" s="462"/>
      <c r="F3598" s="164"/>
      <c r="G3598" s="465"/>
      <c r="H3598" s="146"/>
      <c r="I3598" s="552"/>
      <c r="J3598" s="106"/>
      <c r="K3598" s="1121"/>
    </row>
    <row r="3599" spans="1:11" s="1790" customFormat="1">
      <c r="A3599" s="523"/>
      <c r="B3599" s="419"/>
      <c r="C3599" s="230"/>
      <c r="D3599" s="230"/>
      <c r="E3599" s="462"/>
      <c r="F3599" s="164"/>
      <c r="G3599" s="465"/>
      <c r="H3599" s="146"/>
      <c r="I3599" s="552"/>
      <c r="J3599" s="106"/>
      <c r="K3599" s="1121"/>
    </row>
    <row r="3600" spans="1:11" s="23" customFormat="1">
      <c r="A3600" s="2112"/>
      <c r="B3600" s="2113" t="s">
        <v>11836</v>
      </c>
      <c r="C3600" s="1688"/>
      <c r="D3600" s="1688">
        <v>5930</v>
      </c>
      <c r="E3600" s="216">
        <v>400</v>
      </c>
      <c r="F3600" s="156">
        <f>D3600+E3600</f>
        <v>6330</v>
      </c>
      <c r="G3600" s="197" t="s">
        <v>12318</v>
      </c>
      <c r="H3600" s="530" t="str">
        <f>B3600</f>
        <v>IZMX 1000(M)</v>
      </c>
      <c r="I3600" s="552"/>
      <c r="J3600" s="106" t="s">
        <v>1835</v>
      </c>
      <c r="K3600" s="508"/>
    </row>
    <row r="3601" spans="1:11" s="196" customFormat="1">
      <c r="A3601" s="500"/>
      <c r="B3601" s="2113" t="s">
        <v>13432</v>
      </c>
      <c r="C3601" s="230"/>
      <c r="D3601" s="230">
        <v>6760</v>
      </c>
      <c r="E3601" s="216">
        <v>400</v>
      </c>
      <c r="F3601" s="156">
        <f t="shared" ref="F3601:F3610" si="485">D3601+E3601</f>
        <v>7160</v>
      </c>
      <c r="G3601" s="197" t="s">
        <v>13433</v>
      </c>
      <c r="H3601" s="530" t="str">
        <f t="shared" ref="H3601:H3610" si="486">B3601</f>
        <v>IZMX 1600(M)_42kA</v>
      </c>
      <c r="I3601" s="552"/>
      <c r="J3601" s="106" t="s">
        <v>1835</v>
      </c>
      <c r="K3601" s="508" t="s">
        <v>741</v>
      </c>
    </row>
    <row r="3602" spans="1:11" s="196" customFormat="1">
      <c r="A3602" s="500"/>
      <c r="B3602" s="2113" t="s">
        <v>12319</v>
      </c>
      <c r="C3602" s="230"/>
      <c r="D3602" s="230">
        <v>8100</v>
      </c>
      <c r="E3602" s="216">
        <v>400</v>
      </c>
      <c r="F3602" s="156">
        <f t="shared" si="485"/>
        <v>8500</v>
      </c>
      <c r="G3602" s="197" t="s">
        <v>12320</v>
      </c>
      <c r="H3602" s="530" t="str">
        <f t="shared" si="486"/>
        <v>IZMX 2500(M)_55kA</v>
      </c>
      <c r="I3602" s="552"/>
      <c r="J3602" s="106" t="s">
        <v>1835</v>
      </c>
      <c r="K3602" s="508" t="s">
        <v>741</v>
      </c>
    </row>
    <row r="3603" spans="1:11" s="196" customFormat="1">
      <c r="A3603" s="500"/>
      <c r="B3603" s="2113" t="s">
        <v>13563</v>
      </c>
      <c r="C3603" s="230"/>
      <c r="D3603" s="230">
        <v>9210</v>
      </c>
      <c r="E3603" s="216">
        <v>400</v>
      </c>
      <c r="F3603" s="156">
        <f t="shared" si="485"/>
        <v>9610</v>
      </c>
      <c r="G3603" s="197" t="s">
        <v>13564</v>
      </c>
      <c r="H3603" s="530" t="str">
        <f t="shared" si="486"/>
        <v>IZMX 2000(M)_55kA</v>
      </c>
      <c r="I3603" s="552"/>
      <c r="J3603" s="106" t="s">
        <v>1835</v>
      </c>
      <c r="K3603" s="508" t="s">
        <v>741</v>
      </c>
    </row>
    <row r="3604" spans="1:11" s="196" customFormat="1">
      <c r="A3604" s="500"/>
      <c r="B3604" s="2113" t="s">
        <v>12321</v>
      </c>
      <c r="C3604" s="230"/>
      <c r="D3604" s="230">
        <v>7630</v>
      </c>
      <c r="E3604" s="216">
        <v>400</v>
      </c>
      <c r="F3604" s="156">
        <f t="shared" si="485"/>
        <v>8030</v>
      </c>
      <c r="G3604" s="197" t="s">
        <v>12322</v>
      </c>
      <c r="H3604" s="530" t="str">
        <f t="shared" si="486"/>
        <v>IZMX 2000_55kA</v>
      </c>
      <c r="I3604" s="552"/>
      <c r="J3604" s="106" t="s">
        <v>1835</v>
      </c>
      <c r="K3604" s="508" t="s">
        <v>741</v>
      </c>
    </row>
    <row r="3605" spans="1:11" s="196" customFormat="1">
      <c r="A3605" s="500"/>
      <c r="B3605" s="2113" t="s">
        <v>13054</v>
      </c>
      <c r="C3605" s="230"/>
      <c r="D3605" s="230">
        <v>6900</v>
      </c>
      <c r="E3605" s="216">
        <v>400</v>
      </c>
      <c r="F3605" s="156">
        <f t="shared" si="485"/>
        <v>7300</v>
      </c>
      <c r="G3605" s="197" t="s">
        <v>13055</v>
      </c>
      <c r="H3605" s="530" t="str">
        <f t="shared" si="486"/>
        <v>IZMX 2000_85kA</v>
      </c>
      <c r="I3605" s="552"/>
      <c r="J3605" s="106" t="s">
        <v>1835</v>
      </c>
      <c r="K3605" s="508" t="s">
        <v>741</v>
      </c>
    </row>
    <row r="3606" spans="1:11" s="196" customFormat="1">
      <c r="A3606" s="500"/>
      <c r="B3606" s="2113" t="s">
        <v>13591</v>
      </c>
      <c r="C3606" s="230"/>
      <c r="D3606" s="230">
        <v>9460</v>
      </c>
      <c r="E3606" s="216">
        <v>400</v>
      </c>
      <c r="F3606" s="156">
        <f t="shared" si="485"/>
        <v>9860</v>
      </c>
      <c r="G3606" s="197" t="s">
        <v>13592</v>
      </c>
      <c r="H3606" s="530" t="str">
        <f t="shared" si="486"/>
        <v>IZMX 1600_85kA_+bob cierre+bob aper+mot</v>
      </c>
      <c r="I3606" s="552"/>
      <c r="J3606" s="106" t="s">
        <v>1835</v>
      </c>
      <c r="K3606" s="508" t="s">
        <v>741</v>
      </c>
    </row>
    <row r="3607" spans="1:11" s="196" customFormat="1">
      <c r="A3607" s="500"/>
      <c r="B3607" s="2113" t="s">
        <v>13593</v>
      </c>
      <c r="C3607" s="230"/>
      <c r="D3607" s="230">
        <v>9460</v>
      </c>
      <c r="E3607" s="216">
        <v>400</v>
      </c>
      <c r="F3607" s="156">
        <f t="shared" si="485"/>
        <v>9860</v>
      </c>
      <c r="G3607" s="197" t="s">
        <v>13594</v>
      </c>
      <c r="H3607" s="530" t="str">
        <f t="shared" si="486"/>
        <v>IZMX 2000_85kA_+bob cierre+bob aper+mot</v>
      </c>
      <c r="I3607" s="552"/>
      <c r="J3607" s="106" t="s">
        <v>1835</v>
      </c>
      <c r="K3607" s="508" t="s">
        <v>741</v>
      </c>
    </row>
    <row r="3608" spans="1:11" s="196" customFormat="1">
      <c r="A3608" s="500"/>
      <c r="B3608" s="2113" t="s">
        <v>13056</v>
      </c>
      <c r="C3608" s="230"/>
      <c r="D3608" s="230">
        <v>9100</v>
      </c>
      <c r="E3608" s="216">
        <v>400</v>
      </c>
      <c r="F3608" s="156">
        <f t="shared" si="485"/>
        <v>9500</v>
      </c>
      <c r="G3608" s="197" t="s">
        <v>13055</v>
      </c>
      <c r="H3608" s="530" t="str">
        <f t="shared" si="486"/>
        <v>IZMX 2000_85kA_4p</v>
      </c>
      <c r="I3608" s="552"/>
      <c r="J3608" s="106" t="s">
        <v>1835</v>
      </c>
      <c r="K3608" s="508" t="s">
        <v>741</v>
      </c>
    </row>
    <row r="3609" spans="1:11" s="196" customFormat="1">
      <c r="A3609" s="500"/>
      <c r="B3609" s="2113" t="s">
        <v>13188</v>
      </c>
      <c r="C3609" s="230"/>
      <c r="D3609" s="230">
        <v>10700</v>
      </c>
      <c r="E3609" s="216">
        <v>400</v>
      </c>
      <c r="F3609" s="156">
        <f t="shared" si="485"/>
        <v>11100</v>
      </c>
      <c r="G3609" s="197" t="s">
        <v>13189</v>
      </c>
      <c r="H3609" s="530" t="str">
        <f t="shared" si="486"/>
        <v>IZMX 2500_85kA_4p</v>
      </c>
      <c r="I3609" s="552"/>
      <c r="J3609" s="106" t="s">
        <v>1835</v>
      </c>
      <c r="K3609" s="508" t="s">
        <v>741</v>
      </c>
    </row>
    <row r="3610" spans="1:11" s="196" customFormat="1">
      <c r="A3610" s="500"/>
      <c r="B3610" s="2113" t="s">
        <v>13057</v>
      </c>
      <c r="C3610" s="230"/>
      <c r="D3610" s="230">
        <v>10700</v>
      </c>
      <c r="E3610" s="216">
        <v>400</v>
      </c>
      <c r="F3610" s="156">
        <f t="shared" si="485"/>
        <v>11100</v>
      </c>
      <c r="G3610" s="197" t="s">
        <v>13058</v>
      </c>
      <c r="H3610" s="530" t="str">
        <f t="shared" si="486"/>
        <v>IZMX 4000_85kA</v>
      </c>
      <c r="I3610" s="552"/>
      <c r="J3610" s="106" t="s">
        <v>1835</v>
      </c>
      <c r="K3610" s="508" t="s">
        <v>741</v>
      </c>
    </row>
    <row r="3611" spans="1:11" s="194" customFormat="1">
      <c r="A3611" s="523"/>
      <c r="B3611" s="2113"/>
      <c r="C3611" s="230"/>
      <c r="D3611" s="230"/>
      <c r="E3611" s="462"/>
      <c r="F3611" s="164"/>
      <c r="G3611" s="197"/>
      <c r="H3611" s="146"/>
      <c r="I3611" s="552"/>
      <c r="J3611" s="106"/>
      <c r="K3611" s="1121"/>
    </row>
    <row r="3612" spans="1:11" s="196" customFormat="1">
      <c r="A3612" s="1764"/>
      <c r="B3612" s="2113" t="s">
        <v>13889</v>
      </c>
      <c r="C3612" s="230"/>
      <c r="D3612" s="230">
        <v>10530</v>
      </c>
      <c r="E3612" s="216">
        <v>400</v>
      </c>
      <c r="F3612" s="156">
        <f t="shared" ref="F3612" si="487">D3612+E3612</f>
        <v>10930</v>
      </c>
      <c r="G3612" s="197" t="s">
        <v>13890</v>
      </c>
      <c r="H3612" s="530" t="str">
        <f t="shared" ref="H3612" si="488">B3612</f>
        <v>IZMX 2500_66kA_+bob cierre+bob aper+mot</v>
      </c>
      <c r="I3612" s="552"/>
      <c r="J3612" s="106" t="s">
        <v>1835</v>
      </c>
      <c r="K3612" s="508" t="s">
        <v>741</v>
      </c>
    </row>
    <row r="3613" spans="1:11" s="194" customFormat="1">
      <c r="A3613" s="523"/>
      <c r="B3613" s="2113"/>
      <c r="C3613" s="230"/>
      <c r="D3613" s="230"/>
      <c r="E3613" s="462"/>
      <c r="F3613" s="164"/>
      <c r="G3613" s="197"/>
      <c r="H3613" s="146"/>
      <c r="I3613" s="552"/>
      <c r="J3613" s="106"/>
      <c r="K3613" s="1121"/>
    </row>
    <row r="3614" spans="1:11" s="196" customFormat="1">
      <c r="A3614" s="1764"/>
      <c r="B3614" s="2113" t="s">
        <v>13891</v>
      </c>
      <c r="C3614" s="230"/>
      <c r="D3614" s="230">
        <v>9340</v>
      </c>
      <c r="E3614" s="216">
        <v>400</v>
      </c>
      <c r="F3614" s="156">
        <f t="shared" ref="F3614" si="489">D3614+E3614</f>
        <v>9740</v>
      </c>
      <c r="G3614" s="197" t="s">
        <v>13892</v>
      </c>
      <c r="H3614" s="530" t="str">
        <f t="shared" ref="H3614" si="490">B3614</f>
        <v>IZMX 2000_66kA</v>
      </c>
      <c r="I3614" s="552"/>
      <c r="J3614" s="106" t="s">
        <v>1835</v>
      </c>
      <c r="K3614" s="508" t="s">
        <v>741</v>
      </c>
    </row>
    <row r="3615" spans="1:11" s="196" customFormat="1">
      <c r="A3615" s="523"/>
      <c r="B3615" s="2113"/>
      <c r="C3615" s="230"/>
      <c r="D3615" s="230"/>
      <c r="E3615" s="216"/>
      <c r="F3615" s="156"/>
      <c r="G3615" s="197"/>
      <c r="H3615" s="530"/>
      <c r="I3615" s="552"/>
      <c r="J3615" s="106"/>
      <c r="K3615" s="508"/>
    </row>
    <row r="3616" spans="1:11" s="196" customFormat="1">
      <c r="A3616" s="1764"/>
      <c r="B3616" s="2113" t="s">
        <v>12323</v>
      </c>
      <c r="C3616" s="230"/>
      <c r="D3616" s="230">
        <v>3270</v>
      </c>
      <c r="E3616" s="216">
        <v>400</v>
      </c>
      <c r="F3616" s="156">
        <f t="shared" ref="F3616" si="491">D3616+E3616</f>
        <v>3670</v>
      </c>
      <c r="G3616" s="197" t="s">
        <v>12324</v>
      </c>
      <c r="H3616" s="530" t="str">
        <f t="shared" ref="H3616" si="492">B3616</f>
        <v>ENCLAV_IZMX</v>
      </c>
      <c r="I3616" s="552"/>
      <c r="J3616" s="106" t="s">
        <v>1835</v>
      </c>
      <c r="K3616" s="508" t="s">
        <v>741</v>
      </c>
    </row>
    <row r="3617" spans="1:11" s="196" customFormat="1">
      <c r="A3617" s="523"/>
      <c r="B3617" s="2113"/>
      <c r="C3617" s="230"/>
      <c r="D3617" s="230"/>
      <c r="E3617" s="216"/>
      <c r="F3617" s="156"/>
      <c r="G3617" s="197"/>
      <c r="H3617" s="530"/>
      <c r="I3617" s="552"/>
      <c r="J3617" s="106"/>
      <c r="K3617" s="508"/>
    </row>
    <row r="3618" spans="1:11" s="1790" customFormat="1">
      <c r="A3618" s="523"/>
      <c r="B3618" s="1789"/>
      <c r="C3618" s="230"/>
      <c r="D3618" s="230"/>
      <c r="E3618" s="462"/>
      <c r="F3618" s="164"/>
      <c r="G3618" s="24"/>
      <c r="H3618" s="2036"/>
      <c r="I3618" s="525"/>
      <c r="J3618" s="523"/>
      <c r="K3618" s="525"/>
    </row>
    <row r="3619" spans="1:11" s="1790" customFormat="1">
      <c r="A3619" s="523"/>
      <c r="B3619" s="2111" t="s">
        <v>11837</v>
      </c>
      <c r="C3619" s="230"/>
      <c r="D3619" s="230"/>
      <c r="E3619" s="462"/>
      <c r="F3619" s="164"/>
      <c r="G3619" s="24"/>
      <c r="H3619" s="2036"/>
      <c r="I3619" s="525"/>
      <c r="J3619" s="523"/>
      <c r="K3619" s="525"/>
    </row>
    <row r="3620" spans="1:11" s="23" customFormat="1">
      <c r="A3620" s="523"/>
      <c r="B3620" s="49"/>
      <c r="C3620" s="230"/>
      <c r="D3620" s="230"/>
      <c r="E3620" s="216"/>
      <c r="F3620" s="156"/>
      <c r="G3620" s="1121"/>
      <c r="H3620" s="2031"/>
      <c r="I3620" s="508"/>
      <c r="J3620" s="507"/>
      <c r="K3620" s="508"/>
    </row>
    <row r="3621" spans="1:11" s="23" customFormat="1">
      <c r="A3621" s="500"/>
      <c r="B3621" s="1946" t="s">
        <v>7863</v>
      </c>
      <c r="C3621" s="230"/>
      <c r="D3621" s="230">
        <v>17810</v>
      </c>
      <c r="E3621" s="216">
        <v>500</v>
      </c>
      <c r="F3621" s="156">
        <f t="shared" ref="F3621:F3627" si="493">D3621+E3621</f>
        <v>18310</v>
      </c>
      <c r="G3621" s="197" t="s">
        <v>7864</v>
      </c>
      <c r="H3621" s="530" t="str">
        <f t="shared" ref="H3621:H3627" si="494">B3621</f>
        <v>MAGNUM 5000_85kA</v>
      </c>
      <c r="I3621" s="552"/>
      <c r="J3621" s="106" t="s">
        <v>1835</v>
      </c>
      <c r="K3621" s="508"/>
    </row>
    <row r="3622" spans="1:11" s="23" customFormat="1">
      <c r="A3622" s="500"/>
      <c r="B3622" s="1946" t="s">
        <v>7865</v>
      </c>
      <c r="C3622" s="230"/>
      <c r="D3622" s="230">
        <v>16560</v>
      </c>
      <c r="E3622" s="216">
        <v>500</v>
      </c>
      <c r="F3622" s="156">
        <f t="shared" si="493"/>
        <v>17060</v>
      </c>
      <c r="G3622" s="197" t="s">
        <v>7866</v>
      </c>
      <c r="H3622" s="530" t="str">
        <f t="shared" si="494"/>
        <v>MAGNUM 4000_85kA</v>
      </c>
      <c r="I3622" s="552"/>
      <c r="J3622" s="106" t="s">
        <v>1835</v>
      </c>
      <c r="K3622" s="508"/>
    </row>
    <row r="3623" spans="1:11" s="196" customFormat="1">
      <c r="A3623" s="500"/>
      <c r="B3623" s="1946" t="s">
        <v>7867</v>
      </c>
      <c r="C3623" s="230"/>
      <c r="D3623" s="230">
        <v>12210</v>
      </c>
      <c r="E3623" s="216">
        <v>400</v>
      </c>
      <c r="F3623" s="156">
        <f t="shared" si="493"/>
        <v>12610</v>
      </c>
      <c r="G3623" s="197" t="s">
        <v>7868</v>
      </c>
      <c r="H3623" s="530" t="str">
        <f t="shared" si="494"/>
        <v>MAGNUM 3200(M)_65kA</v>
      </c>
      <c r="I3623" s="552"/>
      <c r="J3623" s="106" t="s">
        <v>1835</v>
      </c>
      <c r="K3623" s="508" t="s">
        <v>741</v>
      </c>
    </row>
    <row r="3624" spans="1:11" s="196" customFormat="1">
      <c r="A3624" s="500"/>
      <c r="B3624" s="1946" t="s">
        <v>7869</v>
      </c>
      <c r="C3624" s="230"/>
      <c r="D3624" s="230">
        <v>10695</v>
      </c>
      <c r="E3624" s="216">
        <v>400</v>
      </c>
      <c r="F3624" s="156">
        <f t="shared" si="493"/>
        <v>11095</v>
      </c>
      <c r="G3624" s="197" t="s">
        <v>7870</v>
      </c>
      <c r="H3624" s="530" t="str">
        <f t="shared" si="494"/>
        <v>MAGNUM 2500(M)_65kA</v>
      </c>
      <c r="I3624" s="552"/>
      <c r="J3624" s="106" t="s">
        <v>1835</v>
      </c>
      <c r="K3624" s="508" t="s">
        <v>741</v>
      </c>
    </row>
    <row r="3625" spans="1:11" s="196" customFormat="1">
      <c r="A3625" s="500"/>
      <c r="B3625" s="1792" t="s">
        <v>9681</v>
      </c>
      <c r="C3625" s="230"/>
      <c r="D3625" s="230">
        <v>8513.86</v>
      </c>
      <c r="E3625" s="462">
        <v>400</v>
      </c>
      <c r="F3625" s="164">
        <f t="shared" si="493"/>
        <v>8913.86</v>
      </c>
      <c r="G3625" s="197" t="s">
        <v>7872</v>
      </c>
      <c r="H3625" s="146" t="str">
        <f t="shared" si="494"/>
        <v>MAGNUM 2000()_50kA</v>
      </c>
      <c r="I3625" s="552"/>
      <c r="J3625" s="106" t="s">
        <v>1835</v>
      </c>
      <c r="K3625" s="508" t="s">
        <v>741</v>
      </c>
    </row>
    <row r="3626" spans="1:11" s="196" customFormat="1">
      <c r="A3626" s="500"/>
      <c r="B3626" s="1946" t="s">
        <v>7871</v>
      </c>
      <c r="C3626" s="230"/>
      <c r="D3626" s="230">
        <v>9080</v>
      </c>
      <c r="E3626" s="216">
        <v>400</v>
      </c>
      <c r="F3626" s="156">
        <f t="shared" si="493"/>
        <v>9480</v>
      </c>
      <c r="G3626" s="197" t="s">
        <v>7872</v>
      </c>
      <c r="H3626" s="530" t="str">
        <f t="shared" si="494"/>
        <v>MAGNUM 2000_50kA</v>
      </c>
      <c r="I3626" s="552"/>
      <c r="J3626" s="106" t="s">
        <v>1835</v>
      </c>
      <c r="K3626" s="508" t="s">
        <v>741</v>
      </c>
    </row>
    <row r="3627" spans="1:11" s="23" customFormat="1">
      <c r="A3627" s="500"/>
      <c r="B3627" s="1946" t="s">
        <v>7873</v>
      </c>
      <c r="C3627" s="1688"/>
      <c r="D3627" s="1688">
        <v>9980</v>
      </c>
      <c r="E3627" s="216">
        <v>400</v>
      </c>
      <c r="F3627" s="156">
        <f t="shared" si="493"/>
        <v>10380</v>
      </c>
      <c r="G3627" s="197" t="s">
        <v>7874</v>
      </c>
      <c r="H3627" s="530" t="str">
        <f t="shared" si="494"/>
        <v>MAGNUM 1600(M)_50kA</v>
      </c>
      <c r="I3627" s="552"/>
      <c r="J3627" s="106" t="s">
        <v>1835</v>
      </c>
      <c r="K3627" s="508"/>
    </row>
    <row r="3628" spans="1:11" s="1790" customFormat="1">
      <c r="A3628" s="523"/>
      <c r="B3628" s="1792"/>
      <c r="C3628" s="230"/>
      <c r="D3628" s="230"/>
      <c r="E3628" s="462"/>
      <c r="F3628" s="164"/>
      <c r="G3628" s="197"/>
      <c r="H3628" s="146"/>
      <c r="I3628" s="552"/>
      <c r="J3628" s="106"/>
      <c r="K3628" s="1121"/>
    </row>
    <row r="3629" spans="1:11" s="196" customFormat="1">
      <c r="A3629" s="500"/>
      <c r="B3629" s="1792" t="s">
        <v>9682</v>
      </c>
      <c r="C3629" s="230"/>
      <c r="D3629" s="230">
        <v>11421</v>
      </c>
      <c r="E3629" s="462">
        <v>400</v>
      </c>
      <c r="F3629" s="164">
        <f>D3629+E3629</f>
        <v>11821</v>
      </c>
      <c r="G3629" s="197" t="s">
        <v>9683</v>
      </c>
      <c r="H3629" s="146" t="str">
        <f>B3629</f>
        <v>MAGNUM 2000()_4P_50kA</v>
      </c>
      <c r="I3629" s="552"/>
      <c r="J3629" s="106" t="s">
        <v>1835</v>
      </c>
      <c r="K3629" s="508" t="s">
        <v>741</v>
      </c>
    </row>
    <row r="3630" spans="1:11" s="196" customFormat="1">
      <c r="A3630" s="523"/>
      <c r="B3630" s="1792"/>
      <c r="C3630" s="230"/>
      <c r="D3630" s="230"/>
      <c r="E3630" s="462"/>
      <c r="F3630" s="164"/>
      <c r="G3630" s="197"/>
      <c r="H3630" s="146"/>
      <c r="I3630" s="552"/>
      <c r="J3630" s="106"/>
      <c r="K3630" s="508"/>
    </row>
    <row r="3631" spans="1:11" s="196" customFormat="1">
      <c r="A3631" s="523"/>
      <c r="B3631" s="1792"/>
      <c r="C3631" s="230"/>
      <c r="D3631" s="230"/>
      <c r="E3631" s="462"/>
      <c r="F3631" s="164"/>
      <c r="G3631" s="197"/>
      <c r="H3631" s="146"/>
      <c r="I3631" s="552"/>
      <c r="J3631" s="106"/>
      <c r="K3631" s="508"/>
    </row>
    <row r="3632" spans="1:11" s="196" customFormat="1">
      <c r="A3632" s="1966"/>
      <c r="B3632" s="1792" t="s">
        <v>9810</v>
      </c>
      <c r="C3632" s="230"/>
      <c r="D3632" s="230">
        <v>19593</v>
      </c>
      <c r="E3632" s="462">
        <v>400</v>
      </c>
      <c r="F3632" s="164">
        <f>D3632+E3632</f>
        <v>19993</v>
      </c>
      <c r="G3632" s="197" t="s">
        <v>9811</v>
      </c>
      <c r="H3632" s="2043" t="str">
        <f>B3632</f>
        <v>MAGNUM 3200(M)_4P_65kA</v>
      </c>
      <c r="I3632" s="552"/>
      <c r="J3632" s="106" t="s">
        <v>1835</v>
      </c>
      <c r="K3632" s="508" t="s">
        <v>741</v>
      </c>
    </row>
    <row r="3633" spans="1:11" s="196" customFormat="1">
      <c r="A3633" s="1966"/>
      <c r="B3633" s="1792" t="s">
        <v>9812</v>
      </c>
      <c r="C3633" s="230"/>
      <c r="D3633" s="230">
        <v>11750</v>
      </c>
      <c r="E3633" s="462">
        <v>400</v>
      </c>
      <c r="F3633" s="164">
        <f>D3633+E3633</f>
        <v>12150</v>
      </c>
      <c r="G3633" s="197" t="s">
        <v>9813</v>
      </c>
      <c r="H3633" s="2043" t="str">
        <f>B3633</f>
        <v>MAGNUM 2000(M)_3P_50kA</v>
      </c>
      <c r="I3633" s="552"/>
      <c r="J3633" s="106" t="s">
        <v>1835</v>
      </c>
      <c r="K3633" s="508" t="s">
        <v>741</v>
      </c>
    </row>
    <row r="3634" spans="1:11" s="196" customFormat="1">
      <c r="A3634" s="1966"/>
      <c r="B3634" s="1792" t="s">
        <v>9814</v>
      </c>
      <c r="C3634" s="230"/>
      <c r="D3634" s="230">
        <v>10390</v>
      </c>
      <c r="E3634" s="462">
        <v>400</v>
      </c>
      <c r="F3634" s="164">
        <f>D3634+E3634</f>
        <v>10790</v>
      </c>
      <c r="G3634" s="197" t="s">
        <v>9815</v>
      </c>
      <c r="H3634" s="2043" t="str">
        <f>B3634</f>
        <v>MAGNUM 1600(M)_3P_50kA</v>
      </c>
      <c r="I3634" s="552"/>
      <c r="J3634" s="106" t="s">
        <v>1835</v>
      </c>
      <c r="K3634" s="508" t="s">
        <v>741</v>
      </c>
    </row>
    <row r="3635" spans="1:11" s="196" customFormat="1">
      <c r="A3635" s="1966"/>
      <c r="B3635" s="1946" t="s">
        <v>9816</v>
      </c>
      <c r="C3635" s="230"/>
      <c r="D3635" s="230">
        <v>11590</v>
      </c>
      <c r="E3635" s="216">
        <v>400</v>
      </c>
      <c r="F3635" s="156">
        <f t="shared" ref="F3635" si="495">D3635+E3635</f>
        <v>11990</v>
      </c>
      <c r="G3635" s="197" t="s">
        <v>9817</v>
      </c>
      <c r="H3635" s="2043" t="str">
        <f t="shared" ref="H3635" si="496">B3635</f>
        <v xml:space="preserve">MAGNUM 2000_4P_50kA   </v>
      </c>
      <c r="I3635" s="552"/>
      <c r="J3635" s="106" t="s">
        <v>1835</v>
      </c>
      <c r="K3635" s="508" t="s">
        <v>741</v>
      </c>
    </row>
    <row r="3636" spans="1:11" s="196" customFormat="1">
      <c r="A3636" s="523"/>
      <c r="B3636" s="1792"/>
      <c r="C3636" s="230"/>
      <c r="D3636" s="230"/>
      <c r="E3636" s="462"/>
      <c r="F3636" s="164"/>
      <c r="G3636" s="197"/>
      <c r="H3636" s="146"/>
      <c r="I3636" s="552"/>
      <c r="J3636" s="106"/>
      <c r="K3636" s="508"/>
    </row>
    <row r="3637" spans="1:11" s="1790" customFormat="1">
      <c r="A3637" s="523"/>
      <c r="B3637" s="1792"/>
      <c r="C3637" s="230"/>
      <c r="D3637" s="230"/>
      <c r="E3637" s="462"/>
      <c r="F3637" s="164"/>
      <c r="G3637" s="197"/>
      <c r="H3637" s="146"/>
      <c r="I3637" s="552"/>
      <c r="J3637" s="106"/>
      <c r="K3637" s="1121"/>
    </row>
    <row r="3638" spans="1:11" s="23" customFormat="1">
      <c r="A3638" s="1687"/>
      <c r="B3638" s="1791" t="s">
        <v>459</v>
      </c>
      <c r="C3638" s="1688"/>
      <c r="D3638" s="1688">
        <v>15410</v>
      </c>
      <c r="E3638" s="216">
        <v>500</v>
      </c>
      <c r="F3638" s="156">
        <f t="shared" ref="F3638:F3647" si="497">D3638+E3638</f>
        <v>15910</v>
      </c>
      <c r="G3638" s="197" t="s">
        <v>7875</v>
      </c>
      <c r="H3638" s="530" t="s">
        <v>6104</v>
      </c>
      <c r="I3638" s="552"/>
      <c r="J3638" s="106" t="s">
        <v>1835</v>
      </c>
      <c r="K3638" s="508"/>
    </row>
    <row r="3639" spans="1:11" s="23" customFormat="1">
      <c r="A3639" s="502"/>
      <c r="B3639" s="1791" t="s">
        <v>354</v>
      </c>
      <c r="C3639" s="384"/>
      <c r="D3639" s="384">
        <v>9390</v>
      </c>
      <c r="E3639" s="216">
        <v>500</v>
      </c>
      <c r="F3639" s="156">
        <f t="shared" si="497"/>
        <v>9890</v>
      </c>
      <c r="G3639" s="197" t="s">
        <v>7876</v>
      </c>
      <c r="H3639" s="530" t="str">
        <f t="shared" ref="H3639:H3647" si="498">B3639</f>
        <v>MAGNUM 3200</v>
      </c>
      <c r="I3639" s="552"/>
      <c r="J3639" s="106" t="s">
        <v>1835</v>
      </c>
      <c r="K3639" s="508"/>
    </row>
    <row r="3640" spans="1:11" s="23" customFormat="1">
      <c r="A3640" s="502"/>
      <c r="B3640" s="1791" t="s">
        <v>1834</v>
      </c>
      <c r="C3640" s="384"/>
      <c r="D3640" s="384">
        <v>11210</v>
      </c>
      <c r="E3640" s="216">
        <v>500</v>
      </c>
      <c r="F3640" s="156">
        <f t="shared" si="497"/>
        <v>11710</v>
      </c>
      <c r="G3640" s="197" t="s">
        <v>7877</v>
      </c>
      <c r="H3640" s="530" t="str">
        <f t="shared" si="498"/>
        <v>MAGNUM 3000</v>
      </c>
      <c r="I3640" s="552"/>
      <c r="J3640" s="106" t="s">
        <v>1835</v>
      </c>
      <c r="K3640" s="508" t="s">
        <v>741</v>
      </c>
    </row>
    <row r="3641" spans="1:11" s="196" customFormat="1">
      <c r="A3641" s="1687"/>
      <c r="B3641" s="1791" t="s">
        <v>7878</v>
      </c>
      <c r="C3641" s="230"/>
      <c r="D3641" s="230">
        <v>10810</v>
      </c>
      <c r="E3641" s="216">
        <v>400</v>
      </c>
      <c r="F3641" s="156">
        <f>D3641+E3641</f>
        <v>11210</v>
      </c>
      <c r="G3641" s="197" t="s">
        <v>7879</v>
      </c>
      <c r="H3641" s="530" t="str">
        <f>B3641</f>
        <v>MAGNUM 2500</v>
      </c>
      <c r="I3641" s="552"/>
      <c r="J3641" s="106" t="s">
        <v>1835</v>
      </c>
      <c r="K3641" s="508" t="s">
        <v>741</v>
      </c>
    </row>
    <row r="3642" spans="1:11" s="196" customFormat="1">
      <c r="A3642" s="1687"/>
      <c r="B3642" s="1791" t="s">
        <v>7880</v>
      </c>
      <c r="C3642" s="230"/>
      <c r="D3642" s="230">
        <v>10400</v>
      </c>
      <c r="E3642" s="216">
        <v>400</v>
      </c>
      <c r="F3642" s="156">
        <f>D3642+E3642</f>
        <v>10800</v>
      </c>
      <c r="G3642" s="197" t="s">
        <v>7881</v>
      </c>
      <c r="H3642" s="530" t="str">
        <f>B3642</f>
        <v>MAGNUM 2000(M)</v>
      </c>
      <c r="I3642" s="552"/>
      <c r="J3642" s="106" t="s">
        <v>1835</v>
      </c>
      <c r="K3642" s="508" t="s">
        <v>741</v>
      </c>
    </row>
    <row r="3643" spans="1:11" s="196" customFormat="1">
      <c r="A3643" s="1687"/>
      <c r="B3643" s="1791" t="s">
        <v>355</v>
      </c>
      <c r="C3643" s="230"/>
      <c r="D3643" s="230">
        <v>9100</v>
      </c>
      <c r="E3643" s="216">
        <v>400</v>
      </c>
      <c r="F3643" s="156">
        <f t="shared" si="497"/>
        <v>9500</v>
      </c>
      <c r="G3643" s="197" t="s">
        <v>7882</v>
      </c>
      <c r="H3643" s="530" t="str">
        <f t="shared" si="498"/>
        <v>MAGNUM 2000</v>
      </c>
      <c r="I3643" s="552"/>
      <c r="J3643" s="106" t="s">
        <v>1835</v>
      </c>
      <c r="K3643" s="508" t="s">
        <v>741</v>
      </c>
    </row>
    <row r="3644" spans="1:11" s="196" customFormat="1">
      <c r="A3644" s="1687"/>
      <c r="B3644" s="1791" t="s">
        <v>7883</v>
      </c>
      <c r="C3644" s="230"/>
      <c r="D3644" s="230">
        <v>8650</v>
      </c>
      <c r="E3644" s="216">
        <v>400</v>
      </c>
      <c r="F3644" s="156">
        <f>D3644+E3644</f>
        <v>9050</v>
      </c>
      <c r="G3644" s="197" t="s">
        <v>7884</v>
      </c>
      <c r="H3644" s="530" t="str">
        <f>B3644</f>
        <v>MAGNUM 2000-LSIG</v>
      </c>
      <c r="I3644" s="552"/>
      <c r="J3644" s="106" t="s">
        <v>1835</v>
      </c>
      <c r="K3644" s="508" t="s">
        <v>741</v>
      </c>
    </row>
    <row r="3645" spans="1:11" s="23" customFormat="1">
      <c r="A3645" s="1687"/>
      <c r="B3645" s="1791" t="s">
        <v>356</v>
      </c>
      <c r="C3645" s="1688"/>
      <c r="D3645" s="1688">
        <v>9100</v>
      </c>
      <c r="E3645" s="216">
        <v>400</v>
      </c>
      <c r="F3645" s="156">
        <f t="shared" si="497"/>
        <v>9500</v>
      </c>
      <c r="G3645" s="197" t="s">
        <v>7885</v>
      </c>
      <c r="H3645" s="530" t="str">
        <f t="shared" si="498"/>
        <v>MAGNUM 1600</v>
      </c>
      <c r="I3645" s="552"/>
      <c r="J3645" s="106" t="s">
        <v>1835</v>
      </c>
      <c r="K3645" s="508"/>
    </row>
    <row r="3646" spans="1:11" s="23" customFormat="1">
      <c r="A3646" s="1687"/>
      <c r="B3646" s="1791" t="s">
        <v>7886</v>
      </c>
      <c r="C3646" s="1688"/>
      <c r="D3646" s="1688">
        <v>10569</v>
      </c>
      <c r="E3646" s="216">
        <v>400</v>
      </c>
      <c r="F3646" s="156">
        <f>D3646+E3646</f>
        <v>10969</v>
      </c>
      <c r="G3646" s="197" t="s">
        <v>7887</v>
      </c>
      <c r="H3646" s="530" t="str">
        <f>B3646</f>
        <v>MAGNUM 1600(M)</v>
      </c>
      <c r="I3646" s="552"/>
      <c r="J3646" s="106" t="s">
        <v>1835</v>
      </c>
      <c r="K3646" s="508"/>
    </row>
    <row r="3647" spans="1:11" s="23" customFormat="1">
      <c r="A3647" s="507"/>
      <c r="B3647" s="1791" t="s">
        <v>357</v>
      </c>
      <c r="C3647" s="384"/>
      <c r="D3647" s="384">
        <v>5000</v>
      </c>
      <c r="E3647" s="216">
        <v>400</v>
      </c>
      <c r="F3647" s="156">
        <f t="shared" si="497"/>
        <v>5400</v>
      </c>
      <c r="G3647" s="197" t="s">
        <v>7888</v>
      </c>
      <c r="H3647" s="530" t="str">
        <f t="shared" si="498"/>
        <v>MAGNUM 1250</v>
      </c>
      <c r="I3647" s="552"/>
      <c r="J3647" s="106" t="s">
        <v>1835</v>
      </c>
      <c r="K3647" s="508"/>
    </row>
    <row r="3648" spans="1:11" s="23" customFormat="1">
      <c r="A3648" s="507"/>
      <c r="B3648" s="1791" t="s">
        <v>7889</v>
      </c>
      <c r="C3648" s="384"/>
      <c r="D3648" s="384">
        <v>3200</v>
      </c>
      <c r="E3648" s="216">
        <v>400</v>
      </c>
      <c r="F3648" s="156">
        <f>D3648+E3648</f>
        <v>3600</v>
      </c>
      <c r="G3648" s="197" t="s">
        <v>7890</v>
      </c>
      <c r="H3648" s="530" t="str">
        <f>B3648</f>
        <v>MAGNUM 1000</v>
      </c>
      <c r="I3648" s="552"/>
      <c r="J3648" s="106" t="s">
        <v>1835</v>
      </c>
      <c r="K3648" s="508"/>
    </row>
    <row r="3649" spans="1:11" s="23" customFormat="1">
      <c r="A3649" s="507"/>
      <c r="B3649" s="49"/>
      <c r="C3649" s="230"/>
      <c r="D3649" s="230"/>
      <c r="E3649" s="216"/>
      <c r="F3649" s="156"/>
      <c r="G3649" s="1121"/>
      <c r="H3649" s="2031"/>
      <c r="I3649" s="508"/>
      <c r="J3649" s="507"/>
      <c r="K3649" s="508"/>
    </row>
    <row r="3650" spans="1:11" s="35" customFormat="1">
      <c r="A3650" s="417"/>
      <c r="B3650" s="57"/>
      <c r="C3650" s="230"/>
      <c r="D3650" s="230"/>
      <c r="E3650" s="216"/>
      <c r="F3650" s="156"/>
      <c r="G3650" s="24"/>
      <c r="H3650" s="2003"/>
      <c r="I3650" s="501"/>
      <c r="J3650" s="417"/>
      <c r="K3650" s="501"/>
    </row>
    <row r="3651" spans="1:11" s="35" customFormat="1">
      <c r="A3651" s="417"/>
      <c r="B3651" s="57"/>
      <c r="C3651" s="230"/>
      <c r="D3651" s="230"/>
      <c r="E3651" s="216"/>
      <c r="F3651" s="156"/>
      <c r="G3651" s="24"/>
      <c r="H3651" s="2003"/>
      <c r="I3651" s="501"/>
      <c r="J3651" s="417"/>
      <c r="K3651" s="501"/>
    </row>
    <row r="3652" spans="1:11" s="35" customFormat="1">
      <c r="A3652" s="512"/>
      <c r="B3652" s="58" t="s">
        <v>384</v>
      </c>
      <c r="C3652" s="230"/>
      <c r="D3652" s="230"/>
      <c r="E3652" s="216"/>
      <c r="F3652" s="156"/>
      <c r="G3652" s="501"/>
      <c r="H3652" s="2003"/>
      <c r="I3652" s="501"/>
      <c r="J3652" s="512"/>
      <c r="K3652" s="501"/>
    </row>
    <row r="3653" spans="1:11" s="35" customFormat="1">
      <c r="A3653" s="510"/>
      <c r="B3653" s="59" t="s">
        <v>703</v>
      </c>
      <c r="C3653" s="230"/>
      <c r="D3653" s="230">
        <v>6.4</v>
      </c>
      <c r="E3653" s="216">
        <v>0</v>
      </c>
      <c r="F3653" s="156">
        <f t="shared" ref="F3653:F3659" si="499">D3653+E3653</f>
        <v>6.4</v>
      </c>
      <c r="G3653" s="24" t="s">
        <v>7891</v>
      </c>
      <c r="H3653" s="2003" t="str">
        <f>B3653</f>
        <v>BR115</v>
      </c>
      <c r="I3653" s="501"/>
      <c r="J3653" s="106" t="s">
        <v>1835</v>
      </c>
      <c r="K3653" s="501"/>
    </row>
    <row r="3654" spans="1:11" s="35" customFormat="1">
      <c r="A3654" s="510"/>
      <c r="B3654" s="59" t="s">
        <v>704</v>
      </c>
      <c r="C3654" s="230"/>
      <c r="D3654" s="230">
        <v>6.4</v>
      </c>
      <c r="E3654" s="216">
        <v>0</v>
      </c>
      <c r="F3654" s="156">
        <f t="shared" si="499"/>
        <v>6.4</v>
      </c>
      <c r="G3654" s="24" t="s">
        <v>7892</v>
      </c>
      <c r="H3654" s="2003" t="str">
        <f t="shared" ref="H3654:H3720" si="500">B3654</f>
        <v>BR120</v>
      </c>
      <c r="I3654" s="501"/>
      <c r="J3654" s="106" t="s">
        <v>1835</v>
      </c>
      <c r="K3654" s="501"/>
    </row>
    <row r="3655" spans="1:11" s="35" customFormat="1">
      <c r="A3655" s="510"/>
      <c r="B3655" s="59" t="s">
        <v>705</v>
      </c>
      <c r="C3655" s="230"/>
      <c r="D3655" s="230">
        <v>6.4</v>
      </c>
      <c r="E3655" s="216">
        <v>0</v>
      </c>
      <c r="F3655" s="156">
        <f t="shared" si="499"/>
        <v>6.4</v>
      </c>
      <c r="G3655" s="24" t="s">
        <v>7893</v>
      </c>
      <c r="H3655" s="2003" t="str">
        <f t="shared" si="500"/>
        <v>BR130</v>
      </c>
      <c r="I3655" s="501"/>
      <c r="J3655" s="106" t="s">
        <v>1835</v>
      </c>
      <c r="K3655" s="501"/>
    </row>
    <row r="3656" spans="1:11" s="35" customFormat="1">
      <c r="A3656" s="510"/>
      <c r="B3656" s="59" t="s">
        <v>706</v>
      </c>
      <c r="C3656" s="230"/>
      <c r="D3656" s="230">
        <v>6.4</v>
      </c>
      <c r="E3656" s="216">
        <v>0</v>
      </c>
      <c r="F3656" s="156">
        <f t="shared" si="499"/>
        <v>6.4</v>
      </c>
      <c r="G3656" s="24" t="s">
        <v>7894</v>
      </c>
      <c r="H3656" s="2003" t="str">
        <f t="shared" si="500"/>
        <v>BR140</v>
      </c>
      <c r="I3656" s="501"/>
      <c r="J3656" s="106" t="s">
        <v>1835</v>
      </c>
      <c r="K3656" s="501"/>
    </row>
    <row r="3657" spans="1:11" s="35" customFormat="1">
      <c r="A3657" s="510"/>
      <c r="B3657" s="59" t="s">
        <v>707</v>
      </c>
      <c r="C3657" s="230"/>
      <c r="D3657" s="230">
        <v>6.4</v>
      </c>
      <c r="E3657" s="216">
        <v>0</v>
      </c>
      <c r="F3657" s="156">
        <f t="shared" si="499"/>
        <v>6.4</v>
      </c>
      <c r="G3657" s="24" t="s">
        <v>7895</v>
      </c>
      <c r="H3657" s="2003" t="str">
        <f t="shared" si="500"/>
        <v>BR150</v>
      </c>
      <c r="I3657" s="501"/>
      <c r="J3657" s="106" t="s">
        <v>1835</v>
      </c>
      <c r="K3657" s="501"/>
    </row>
    <row r="3658" spans="1:11" s="35" customFormat="1">
      <c r="A3658" s="510"/>
      <c r="B3658" s="59" t="s">
        <v>708</v>
      </c>
      <c r="C3658" s="230"/>
      <c r="D3658" s="230">
        <v>10.4</v>
      </c>
      <c r="E3658" s="216">
        <v>0</v>
      </c>
      <c r="F3658" s="156">
        <f t="shared" si="499"/>
        <v>10.4</v>
      </c>
      <c r="G3658" s="24" t="s">
        <v>7896</v>
      </c>
      <c r="H3658" s="2003" t="str">
        <f t="shared" si="500"/>
        <v>BR160</v>
      </c>
      <c r="I3658" s="501"/>
      <c r="J3658" s="106" t="s">
        <v>1835</v>
      </c>
      <c r="K3658" s="501"/>
    </row>
    <row r="3659" spans="1:11" s="35" customFormat="1">
      <c r="A3659" s="510"/>
      <c r="B3659" s="59" t="s">
        <v>709</v>
      </c>
      <c r="C3659" s="230"/>
      <c r="D3659" s="230">
        <v>10.4</v>
      </c>
      <c r="E3659" s="216">
        <v>0</v>
      </c>
      <c r="F3659" s="156">
        <f t="shared" si="499"/>
        <v>10.4</v>
      </c>
      <c r="G3659" s="24" t="s">
        <v>7897</v>
      </c>
      <c r="H3659" s="2003" t="str">
        <f t="shared" si="500"/>
        <v>BR170</v>
      </c>
      <c r="I3659" s="501"/>
      <c r="J3659" s="106" t="s">
        <v>1835</v>
      </c>
      <c r="K3659" s="501"/>
    </row>
    <row r="3660" spans="1:11" s="35" customFormat="1">
      <c r="A3660" s="502"/>
      <c r="B3660" s="59"/>
      <c r="C3660" s="230"/>
      <c r="D3660" s="230"/>
      <c r="E3660" s="216"/>
      <c r="F3660" s="156"/>
      <c r="G3660" s="24"/>
      <c r="H3660" s="2003"/>
      <c r="I3660" s="501"/>
      <c r="J3660" s="502"/>
      <c r="K3660" s="501"/>
    </row>
    <row r="3661" spans="1:11" s="35" customFormat="1">
      <c r="A3661" s="510"/>
      <c r="B3661" s="59" t="s">
        <v>141</v>
      </c>
      <c r="C3661" s="230"/>
      <c r="D3661" s="230">
        <v>13.7</v>
      </c>
      <c r="E3661" s="216">
        <v>0</v>
      </c>
      <c r="F3661" s="156">
        <f t="shared" ref="F3661:F3669" si="501">D3661+E3661</f>
        <v>13.7</v>
      </c>
      <c r="G3661" s="24" t="s">
        <v>7898</v>
      </c>
      <c r="H3661" s="2003" t="str">
        <f t="shared" si="500"/>
        <v>BR215</v>
      </c>
      <c r="I3661" s="501"/>
      <c r="J3661" s="106" t="s">
        <v>1835</v>
      </c>
      <c r="K3661" s="501"/>
    </row>
    <row r="3662" spans="1:11" s="2284" customFormat="1">
      <c r="A3662" s="2275"/>
      <c r="B3662" s="2276" t="s">
        <v>126</v>
      </c>
      <c r="C3662" s="2277"/>
      <c r="D3662" s="2277">
        <v>18</v>
      </c>
      <c r="E3662" s="2278">
        <v>0</v>
      </c>
      <c r="F3662" s="2279">
        <f t="shared" si="501"/>
        <v>18</v>
      </c>
      <c r="G3662" s="2280" t="s">
        <v>7899</v>
      </c>
      <c r="H3662" s="2281" t="str">
        <f t="shared" si="500"/>
        <v>BR220</v>
      </c>
      <c r="I3662" s="2282"/>
      <c r="J3662" s="2283" t="s">
        <v>1835</v>
      </c>
      <c r="K3662" s="2282"/>
    </row>
    <row r="3663" spans="1:11" s="35" customFormat="1">
      <c r="A3663" s="510"/>
      <c r="B3663" s="59" t="s">
        <v>127</v>
      </c>
      <c r="C3663" s="230"/>
      <c r="D3663" s="230">
        <v>15.3</v>
      </c>
      <c r="E3663" s="216">
        <v>0</v>
      </c>
      <c r="F3663" s="156">
        <f t="shared" si="501"/>
        <v>15.3</v>
      </c>
      <c r="G3663" s="24" t="s">
        <v>7900</v>
      </c>
      <c r="H3663" s="2003" t="str">
        <f t="shared" si="500"/>
        <v>BR230</v>
      </c>
      <c r="I3663" s="501"/>
      <c r="J3663" s="106" t="s">
        <v>1835</v>
      </c>
      <c r="K3663" s="501"/>
    </row>
    <row r="3664" spans="1:11" s="35" customFormat="1">
      <c r="A3664" s="510"/>
      <c r="B3664" s="59" t="s">
        <v>128</v>
      </c>
      <c r="C3664" s="230"/>
      <c r="D3664" s="230">
        <v>15.3</v>
      </c>
      <c r="E3664" s="216">
        <v>0</v>
      </c>
      <c r="F3664" s="156">
        <f t="shared" si="501"/>
        <v>15.3</v>
      </c>
      <c r="G3664" s="24" t="s">
        <v>7901</v>
      </c>
      <c r="H3664" s="2003" t="str">
        <f t="shared" si="500"/>
        <v>BR240</v>
      </c>
      <c r="I3664" s="501"/>
      <c r="J3664" s="106" t="s">
        <v>1835</v>
      </c>
      <c r="K3664" s="501"/>
    </row>
    <row r="3665" spans="1:11" s="35" customFormat="1">
      <c r="A3665" s="510"/>
      <c r="B3665" s="59" t="s">
        <v>129</v>
      </c>
      <c r="C3665" s="230"/>
      <c r="D3665" s="230">
        <v>15.3</v>
      </c>
      <c r="E3665" s="216">
        <v>0</v>
      </c>
      <c r="F3665" s="156">
        <f t="shared" si="501"/>
        <v>15.3</v>
      </c>
      <c r="G3665" s="24" t="s">
        <v>7902</v>
      </c>
      <c r="H3665" s="2003" t="str">
        <f t="shared" si="500"/>
        <v>BR250</v>
      </c>
      <c r="I3665" s="501"/>
      <c r="J3665" s="106" t="s">
        <v>1835</v>
      </c>
      <c r="K3665" s="501"/>
    </row>
    <row r="3666" spans="1:11" s="35" customFormat="1">
      <c r="A3666" s="510"/>
      <c r="B3666" s="59" t="s">
        <v>130</v>
      </c>
      <c r="C3666" s="230"/>
      <c r="D3666" s="230">
        <v>22.2</v>
      </c>
      <c r="E3666" s="216">
        <v>0</v>
      </c>
      <c r="F3666" s="156">
        <f t="shared" si="501"/>
        <v>22.2</v>
      </c>
      <c r="G3666" s="24" t="s">
        <v>7903</v>
      </c>
      <c r="H3666" s="2003" t="str">
        <f t="shared" si="500"/>
        <v>BR260</v>
      </c>
      <c r="I3666" s="501"/>
      <c r="J3666" s="106" t="s">
        <v>1835</v>
      </c>
      <c r="K3666" s="501"/>
    </row>
    <row r="3667" spans="1:11" s="35" customFormat="1">
      <c r="A3667" s="510"/>
      <c r="B3667" s="59" t="s">
        <v>131</v>
      </c>
      <c r="C3667" s="230"/>
      <c r="D3667" s="230">
        <v>22.2</v>
      </c>
      <c r="E3667" s="216">
        <v>0</v>
      </c>
      <c r="F3667" s="156">
        <f t="shared" si="501"/>
        <v>22.2</v>
      </c>
      <c r="G3667" s="24" t="s">
        <v>7904</v>
      </c>
      <c r="H3667" s="2003" t="str">
        <f t="shared" si="500"/>
        <v>BR270</v>
      </c>
      <c r="I3667" s="501"/>
      <c r="J3667" s="106" t="s">
        <v>1835</v>
      </c>
      <c r="K3667" s="501"/>
    </row>
    <row r="3668" spans="1:11" s="35" customFormat="1">
      <c r="A3668" s="510"/>
      <c r="B3668" s="59" t="s">
        <v>710</v>
      </c>
      <c r="C3668" s="230"/>
      <c r="D3668" s="230">
        <v>22.2</v>
      </c>
      <c r="E3668" s="216">
        <v>0</v>
      </c>
      <c r="F3668" s="156">
        <f t="shared" si="501"/>
        <v>22.2</v>
      </c>
      <c r="G3668" s="24" t="s">
        <v>7905</v>
      </c>
      <c r="H3668" s="2003" t="str">
        <f t="shared" si="500"/>
        <v>BR290</v>
      </c>
      <c r="I3668" s="501"/>
      <c r="J3668" s="106" t="s">
        <v>1835</v>
      </c>
      <c r="K3668" s="501"/>
    </row>
    <row r="3669" spans="1:11" s="35" customFormat="1">
      <c r="A3669" s="510"/>
      <c r="B3669" s="59" t="s">
        <v>711</v>
      </c>
      <c r="C3669" s="230"/>
      <c r="D3669" s="230">
        <v>23.1</v>
      </c>
      <c r="E3669" s="216">
        <v>0</v>
      </c>
      <c r="F3669" s="156">
        <f t="shared" si="501"/>
        <v>23.1</v>
      </c>
      <c r="G3669" s="24" t="s">
        <v>7906</v>
      </c>
      <c r="H3669" s="2003" t="str">
        <f t="shared" si="500"/>
        <v>BR2100</v>
      </c>
      <c r="I3669" s="501"/>
      <c r="J3669" s="106" t="s">
        <v>1835</v>
      </c>
      <c r="K3669" s="501"/>
    </row>
    <row r="3670" spans="1:11" s="35" customFormat="1">
      <c r="A3670" s="502"/>
      <c r="B3670" s="59"/>
      <c r="C3670" s="230"/>
      <c r="D3670" s="230"/>
      <c r="E3670" s="216"/>
      <c r="F3670" s="156"/>
      <c r="G3670" s="24"/>
      <c r="H3670" s="2003"/>
      <c r="I3670" s="501"/>
      <c r="J3670" s="502"/>
      <c r="K3670" s="501"/>
    </row>
    <row r="3671" spans="1:11" s="35" customFormat="1">
      <c r="A3671" s="510"/>
      <c r="B3671" s="59" t="s">
        <v>133</v>
      </c>
      <c r="C3671" s="230"/>
      <c r="D3671" s="230">
        <v>34.799999999999997</v>
      </c>
      <c r="E3671" s="216">
        <v>0</v>
      </c>
      <c r="F3671" s="156">
        <f t="shared" ref="F3671:F3680" si="502">D3671+E3671</f>
        <v>34.799999999999997</v>
      </c>
      <c r="G3671" s="24" t="s">
        <v>7907</v>
      </c>
      <c r="H3671" s="2003" t="str">
        <f t="shared" si="500"/>
        <v>BR315</v>
      </c>
      <c r="I3671" s="501"/>
      <c r="J3671" s="106" t="s">
        <v>1835</v>
      </c>
      <c r="K3671" s="501"/>
    </row>
    <row r="3672" spans="1:11" s="35" customFormat="1">
      <c r="A3672" s="510"/>
      <c r="B3672" s="59" t="s">
        <v>134</v>
      </c>
      <c r="C3672" s="230"/>
      <c r="D3672" s="230">
        <v>34.799999999999997</v>
      </c>
      <c r="E3672" s="216">
        <v>0</v>
      </c>
      <c r="F3672" s="156">
        <f t="shared" si="502"/>
        <v>34.799999999999997</v>
      </c>
      <c r="G3672" s="24" t="s">
        <v>7908</v>
      </c>
      <c r="H3672" s="2003" t="str">
        <f t="shared" si="500"/>
        <v>BR320</v>
      </c>
      <c r="I3672" s="501"/>
      <c r="J3672" s="106" t="s">
        <v>1835</v>
      </c>
      <c r="K3672" s="501"/>
    </row>
    <row r="3673" spans="1:11" s="35" customFormat="1">
      <c r="A3673" s="510"/>
      <c r="B3673" s="59" t="s">
        <v>135</v>
      </c>
      <c r="C3673" s="230"/>
      <c r="D3673" s="230">
        <v>34.799999999999997</v>
      </c>
      <c r="E3673" s="216">
        <v>0</v>
      </c>
      <c r="F3673" s="156">
        <f t="shared" si="502"/>
        <v>34.799999999999997</v>
      </c>
      <c r="G3673" s="24" t="s">
        <v>7909</v>
      </c>
      <c r="H3673" s="2003" t="str">
        <f t="shared" si="500"/>
        <v>BR330</v>
      </c>
      <c r="I3673" s="501"/>
      <c r="J3673" s="106" t="s">
        <v>1835</v>
      </c>
      <c r="K3673" s="501"/>
    </row>
    <row r="3674" spans="1:11" s="35" customFormat="1">
      <c r="A3674" s="510"/>
      <c r="B3674" s="59" t="s">
        <v>136</v>
      </c>
      <c r="C3674" s="230"/>
      <c r="D3674" s="230">
        <v>34.799999999999997</v>
      </c>
      <c r="E3674" s="216">
        <v>0</v>
      </c>
      <c r="F3674" s="156">
        <f t="shared" si="502"/>
        <v>34.799999999999997</v>
      </c>
      <c r="G3674" s="24" t="s">
        <v>7910</v>
      </c>
      <c r="H3674" s="2003" t="str">
        <f t="shared" si="500"/>
        <v>BR340</v>
      </c>
      <c r="I3674" s="501"/>
      <c r="J3674" s="106" t="s">
        <v>1835</v>
      </c>
      <c r="K3674" s="501"/>
    </row>
    <row r="3675" spans="1:11" s="35" customFormat="1">
      <c r="A3675" s="510"/>
      <c r="B3675" s="59" t="s">
        <v>137</v>
      </c>
      <c r="C3675" s="230"/>
      <c r="D3675" s="230">
        <v>35.5</v>
      </c>
      <c r="E3675" s="216">
        <v>0</v>
      </c>
      <c r="F3675" s="156">
        <f t="shared" si="502"/>
        <v>35.5</v>
      </c>
      <c r="G3675" s="24" t="s">
        <v>7911</v>
      </c>
      <c r="H3675" s="2003" t="str">
        <f t="shared" si="500"/>
        <v>BR350</v>
      </c>
      <c r="I3675" s="501"/>
      <c r="J3675" s="106" t="s">
        <v>1835</v>
      </c>
      <c r="K3675" s="501"/>
    </row>
    <row r="3676" spans="1:11" s="35" customFormat="1">
      <c r="A3676" s="510"/>
      <c r="B3676" s="59" t="s">
        <v>138</v>
      </c>
      <c r="C3676" s="230"/>
      <c r="D3676" s="230">
        <v>35.5</v>
      </c>
      <c r="E3676" s="216">
        <v>0</v>
      </c>
      <c r="F3676" s="156">
        <f t="shared" si="502"/>
        <v>35.5</v>
      </c>
      <c r="G3676" s="24" t="s">
        <v>7912</v>
      </c>
      <c r="H3676" s="2003" t="str">
        <f t="shared" si="500"/>
        <v>BR360</v>
      </c>
      <c r="I3676" s="501"/>
      <c r="J3676" s="106" t="s">
        <v>1835</v>
      </c>
      <c r="K3676" s="501"/>
    </row>
    <row r="3677" spans="1:11" s="35" customFormat="1">
      <c r="A3677" s="510"/>
      <c r="B3677" s="59" t="s">
        <v>139</v>
      </c>
      <c r="C3677" s="230"/>
      <c r="D3677" s="230">
        <v>46.4</v>
      </c>
      <c r="E3677" s="216">
        <v>0</v>
      </c>
      <c r="F3677" s="156">
        <f t="shared" si="502"/>
        <v>46.4</v>
      </c>
      <c r="G3677" s="24" t="s">
        <v>7913</v>
      </c>
      <c r="H3677" s="2003" t="str">
        <f t="shared" si="500"/>
        <v>BR370</v>
      </c>
      <c r="I3677" s="501"/>
      <c r="J3677" s="106" t="s">
        <v>1835</v>
      </c>
      <c r="K3677" s="501"/>
    </row>
    <row r="3678" spans="1:11" s="35" customFormat="1">
      <c r="A3678" s="510"/>
      <c r="B3678" s="59" t="s">
        <v>140</v>
      </c>
      <c r="C3678" s="230"/>
      <c r="D3678" s="230">
        <v>46.4</v>
      </c>
      <c r="E3678" s="216">
        <v>0</v>
      </c>
      <c r="F3678" s="156">
        <f t="shared" si="502"/>
        <v>46.4</v>
      </c>
      <c r="G3678" s="24" t="s">
        <v>7914</v>
      </c>
      <c r="H3678" s="2003" t="str">
        <f t="shared" si="500"/>
        <v>BR380</v>
      </c>
      <c r="I3678" s="501"/>
      <c r="J3678" s="106" t="s">
        <v>1835</v>
      </c>
      <c r="K3678" s="501"/>
    </row>
    <row r="3679" spans="1:11" s="35" customFormat="1">
      <c r="A3679" s="510"/>
      <c r="B3679" s="59" t="s">
        <v>385</v>
      </c>
      <c r="C3679" s="230"/>
      <c r="D3679" s="230">
        <v>46.4</v>
      </c>
      <c r="E3679" s="216">
        <v>0</v>
      </c>
      <c r="F3679" s="156">
        <f t="shared" si="502"/>
        <v>46.4</v>
      </c>
      <c r="G3679" s="24" t="s">
        <v>7915</v>
      </c>
      <c r="H3679" s="2003" t="str">
        <f t="shared" si="500"/>
        <v>BR390</v>
      </c>
      <c r="I3679" s="501"/>
      <c r="J3679" s="106" t="s">
        <v>1835</v>
      </c>
      <c r="K3679" s="501"/>
    </row>
    <row r="3680" spans="1:11" s="35" customFormat="1">
      <c r="A3680" s="510"/>
      <c r="B3680" s="59" t="s">
        <v>132</v>
      </c>
      <c r="C3680" s="230"/>
      <c r="D3680" s="230">
        <v>46.4</v>
      </c>
      <c r="E3680" s="216">
        <v>0</v>
      </c>
      <c r="F3680" s="156">
        <f t="shared" si="502"/>
        <v>46.4</v>
      </c>
      <c r="G3680" s="24" t="s">
        <v>7916</v>
      </c>
      <c r="H3680" s="2003" t="str">
        <f t="shared" si="500"/>
        <v>BR3100</v>
      </c>
      <c r="I3680" s="501"/>
      <c r="J3680" s="106" t="s">
        <v>1835</v>
      </c>
      <c r="K3680" s="501"/>
    </row>
    <row r="3681" spans="1:11" s="35" customFormat="1">
      <c r="A3681" s="502"/>
      <c r="B3681" s="501"/>
      <c r="C3681" s="230"/>
      <c r="D3681" s="230"/>
      <c r="E3681" s="505"/>
      <c r="F3681" s="506"/>
      <c r="G3681" s="501"/>
      <c r="H3681" s="2003"/>
      <c r="I3681" s="501"/>
      <c r="J3681" s="502"/>
      <c r="K3681" s="501"/>
    </row>
    <row r="3682" spans="1:11" s="23" customFormat="1">
      <c r="A3682" s="502"/>
      <c r="B3682" s="1095" t="s">
        <v>3275</v>
      </c>
      <c r="C3682" s="1096"/>
      <c r="D3682" s="1096">
        <v>6</v>
      </c>
      <c r="E3682" s="1097">
        <v>1</v>
      </c>
      <c r="F3682" s="1098">
        <f>D3682+E3682</f>
        <v>7</v>
      </c>
      <c r="G3682" s="1099" t="s">
        <v>7917</v>
      </c>
      <c r="H3682" s="2003" t="str">
        <f>B3682</f>
        <v>QC123PL</v>
      </c>
      <c r="I3682" s="501"/>
      <c r="J3682" s="502"/>
      <c r="K3682" s="501"/>
    </row>
    <row r="3683" spans="1:11" s="195" customFormat="1">
      <c r="A3683" s="523"/>
      <c r="B3683" s="525"/>
      <c r="C3683" s="230"/>
      <c r="D3683" s="230"/>
      <c r="E3683" s="1793"/>
      <c r="F3683" s="1794"/>
      <c r="G3683" s="525"/>
      <c r="H3683" s="2036"/>
      <c r="I3683" s="525"/>
      <c r="J3683" s="523"/>
      <c r="K3683" s="525"/>
    </row>
    <row r="3684" spans="1:11" s="35" customFormat="1">
      <c r="A3684" s="502"/>
      <c r="B3684" s="501"/>
      <c r="C3684" s="230"/>
      <c r="D3684" s="230"/>
      <c r="E3684" s="505"/>
      <c r="F3684" s="506"/>
      <c r="G3684" s="501"/>
      <c r="H3684" s="2003"/>
      <c r="I3684" s="501"/>
      <c r="J3684" s="502"/>
      <c r="K3684" s="501"/>
    </row>
    <row r="3685" spans="1:11" s="35" customFormat="1">
      <c r="A3685" s="510"/>
      <c r="B3685" s="59" t="s">
        <v>695</v>
      </c>
      <c r="C3685" s="230"/>
      <c r="D3685" s="230">
        <v>7.4</v>
      </c>
      <c r="E3685" s="216">
        <v>0</v>
      </c>
      <c r="F3685" s="156">
        <f t="shared" ref="F3685:F3691" si="503">D3685+E3685</f>
        <v>7.4</v>
      </c>
      <c r="G3685" s="24" t="s">
        <v>7918</v>
      </c>
      <c r="H3685" s="2003" t="str">
        <f t="shared" si="500"/>
        <v>QC1015</v>
      </c>
      <c r="I3685" s="501"/>
      <c r="J3685" s="106" t="s">
        <v>1835</v>
      </c>
      <c r="K3685" s="501"/>
    </row>
    <row r="3686" spans="1:11" s="35" customFormat="1">
      <c r="A3686" s="510"/>
      <c r="B3686" s="59" t="s">
        <v>696</v>
      </c>
      <c r="C3686" s="230"/>
      <c r="D3686" s="230">
        <v>7.4</v>
      </c>
      <c r="E3686" s="216">
        <v>0</v>
      </c>
      <c r="F3686" s="156">
        <f t="shared" si="503"/>
        <v>7.4</v>
      </c>
      <c r="G3686" s="24" t="s">
        <v>7919</v>
      </c>
      <c r="H3686" s="2003" t="str">
        <f t="shared" si="500"/>
        <v>QC1020</v>
      </c>
      <c r="I3686" s="501"/>
      <c r="J3686" s="106" t="s">
        <v>1835</v>
      </c>
      <c r="K3686" s="501"/>
    </row>
    <row r="3687" spans="1:11" s="35" customFormat="1">
      <c r="A3687" s="510"/>
      <c r="B3687" s="59" t="s">
        <v>697</v>
      </c>
      <c r="C3687" s="230"/>
      <c r="D3687" s="230">
        <v>7.4</v>
      </c>
      <c r="E3687" s="216">
        <v>0</v>
      </c>
      <c r="F3687" s="156">
        <f t="shared" si="503"/>
        <v>7.4</v>
      </c>
      <c r="G3687" s="24" t="s">
        <v>7920</v>
      </c>
      <c r="H3687" s="2003" t="str">
        <f t="shared" si="500"/>
        <v>QC1030</v>
      </c>
      <c r="I3687" s="501"/>
      <c r="J3687" s="106" t="s">
        <v>1835</v>
      </c>
      <c r="K3687" s="501"/>
    </row>
    <row r="3688" spans="1:11" s="21" customFormat="1">
      <c r="A3688" s="510"/>
      <c r="B3688" s="59" t="s">
        <v>698</v>
      </c>
      <c r="C3688" s="230"/>
      <c r="D3688" s="230">
        <v>8.3000000000000007</v>
      </c>
      <c r="E3688" s="216">
        <v>0</v>
      </c>
      <c r="F3688" s="156">
        <f t="shared" si="503"/>
        <v>8.3000000000000007</v>
      </c>
      <c r="G3688" s="24" t="s">
        <v>7921</v>
      </c>
      <c r="H3688" s="2003" t="str">
        <f t="shared" si="500"/>
        <v>QC1040</v>
      </c>
      <c r="I3688" s="501"/>
      <c r="J3688" s="106" t="s">
        <v>1835</v>
      </c>
      <c r="K3688" s="501"/>
    </row>
    <row r="3689" spans="1:11" s="35" customFormat="1">
      <c r="A3689" s="510"/>
      <c r="B3689" s="59" t="s">
        <v>699</v>
      </c>
      <c r="C3689" s="230"/>
      <c r="D3689" s="230">
        <v>8.8000000000000007</v>
      </c>
      <c r="E3689" s="216">
        <v>0</v>
      </c>
      <c r="F3689" s="156">
        <f t="shared" si="503"/>
        <v>8.8000000000000007</v>
      </c>
      <c r="G3689" s="24" t="s">
        <v>7922</v>
      </c>
      <c r="H3689" s="2003" t="str">
        <f t="shared" si="500"/>
        <v>QC1050</v>
      </c>
      <c r="I3689" s="501"/>
      <c r="J3689" s="106" t="s">
        <v>1835</v>
      </c>
      <c r="K3689" s="501"/>
    </row>
    <row r="3690" spans="1:11" s="35" customFormat="1">
      <c r="A3690" s="510"/>
      <c r="B3690" s="59" t="s">
        <v>700</v>
      </c>
      <c r="C3690" s="230"/>
      <c r="D3690" s="230">
        <v>8.8000000000000007</v>
      </c>
      <c r="E3690" s="216">
        <v>0</v>
      </c>
      <c r="F3690" s="156">
        <f t="shared" si="503"/>
        <v>8.8000000000000007</v>
      </c>
      <c r="G3690" s="24" t="s">
        <v>7923</v>
      </c>
      <c r="H3690" s="2003" t="str">
        <f t="shared" si="500"/>
        <v>QC1060</v>
      </c>
      <c r="I3690" s="501"/>
      <c r="J3690" s="106" t="s">
        <v>1835</v>
      </c>
      <c r="K3690" s="501"/>
    </row>
    <row r="3691" spans="1:11" s="35" customFormat="1">
      <c r="A3691" s="510"/>
      <c r="B3691" s="59" t="s">
        <v>701</v>
      </c>
      <c r="C3691" s="230"/>
      <c r="D3691" s="230">
        <v>22.3</v>
      </c>
      <c r="E3691" s="216">
        <v>0</v>
      </c>
      <c r="F3691" s="156">
        <f t="shared" si="503"/>
        <v>22.3</v>
      </c>
      <c r="G3691" s="24" t="s">
        <v>7924</v>
      </c>
      <c r="H3691" s="2003" t="str">
        <f t="shared" si="500"/>
        <v>QC1070</v>
      </c>
      <c r="I3691" s="501"/>
      <c r="J3691" s="106" t="s">
        <v>1835</v>
      </c>
      <c r="K3691" s="501"/>
    </row>
    <row r="3692" spans="1:11" s="195" customFormat="1">
      <c r="A3692" s="523"/>
      <c r="B3692" s="1795"/>
      <c r="C3692" s="230"/>
      <c r="D3692" s="230"/>
      <c r="E3692" s="462"/>
      <c r="F3692" s="164"/>
      <c r="G3692" s="465"/>
      <c r="H3692" s="2036"/>
      <c r="I3692" s="525"/>
      <c r="J3692" s="523"/>
      <c r="K3692" s="525"/>
    </row>
    <row r="3693" spans="1:11" s="35" customFormat="1">
      <c r="A3693" s="510"/>
      <c r="B3693" s="59" t="s">
        <v>80</v>
      </c>
      <c r="C3693" s="230"/>
      <c r="D3693" s="230">
        <v>14.9</v>
      </c>
      <c r="E3693" s="216">
        <v>0</v>
      </c>
      <c r="F3693" s="156">
        <f t="shared" ref="F3693:F3702" si="504">D3693+E3693</f>
        <v>14.9</v>
      </c>
      <c r="G3693" s="24" t="s">
        <v>7925</v>
      </c>
      <c r="H3693" s="2003" t="str">
        <f t="shared" si="500"/>
        <v>QC2015</v>
      </c>
      <c r="I3693" s="501"/>
      <c r="J3693" s="106" t="s">
        <v>1835</v>
      </c>
      <c r="K3693" s="501"/>
    </row>
    <row r="3694" spans="1:11" s="2284" customFormat="1">
      <c r="A3694" s="2275"/>
      <c r="B3694" s="2276" t="s">
        <v>81</v>
      </c>
      <c r="C3694" s="2277"/>
      <c r="D3694" s="2277">
        <v>44</v>
      </c>
      <c r="E3694" s="2278">
        <v>0</v>
      </c>
      <c r="F3694" s="2279">
        <f t="shared" si="504"/>
        <v>44</v>
      </c>
      <c r="G3694" s="2280" t="s">
        <v>7926</v>
      </c>
      <c r="H3694" s="2281" t="str">
        <f t="shared" si="500"/>
        <v>QC2020</v>
      </c>
      <c r="I3694" s="2282"/>
      <c r="J3694" s="2283" t="s">
        <v>1835</v>
      </c>
      <c r="K3694" s="2282"/>
    </row>
    <row r="3695" spans="1:11" s="2284" customFormat="1">
      <c r="A3695" s="2275"/>
      <c r="B3695" s="2276" t="s">
        <v>82</v>
      </c>
      <c r="C3695" s="2277"/>
      <c r="D3695" s="2277">
        <v>44</v>
      </c>
      <c r="E3695" s="2278">
        <v>0</v>
      </c>
      <c r="F3695" s="2279">
        <f t="shared" si="504"/>
        <v>44</v>
      </c>
      <c r="G3695" s="2280" t="s">
        <v>7927</v>
      </c>
      <c r="H3695" s="2281" t="str">
        <f t="shared" si="500"/>
        <v>QC2030</v>
      </c>
      <c r="I3695" s="2282"/>
      <c r="J3695" s="2283" t="s">
        <v>1835</v>
      </c>
      <c r="K3695" s="2282"/>
    </row>
    <row r="3696" spans="1:11" s="35" customFormat="1">
      <c r="A3696" s="510"/>
      <c r="B3696" s="59" t="s">
        <v>83</v>
      </c>
      <c r="C3696" s="230"/>
      <c r="D3696" s="230">
        <v>16.8</v>
      </c>
      <c r="E3696" s="216">
        <v>0</v>
      </c>
      <c r="F3696" s="156">
        <f t="shared" si="504"/>
        <v>16.8</v>
      </c>
      <c r="G3696" s="24" t="s">
        <v>7928</v>
      </c>
      <c r="H3696" s="2003" t="str">
        <f t="shared" si="500"/>
        <v>QC2040</v>
      </c>
      <c r="I3696" s="501"/>
      <c r="J3696" s="106" t="s">
        <v>1835</v>
      </c>
      <c r="K3696" s="501"/>
    </row>
    <row r="3697" spans="1:11" s="35" customFormat="1">
      <c r="A3697" s="510"/>
      <c r="B3697" s="59" t="s">
        <v>84</v>
      </c>
      <c r="C3697" s="230"/>
      <c r="D3697" s="230">
        <v>16.8</v>
      </c>
      <c r="E3697" s="216">
        <v>0</v>
      </c>
      <c r="F3697" s="156">
        <f t="shared" si="504"/>
        <v>16.8</v>
      </c>
      <c r="G3697" s="24" t="s">
        <v>7929</v>
      </c>
      <c r="H3697" s="2003" t="str">
        <f t="shared" si="500"/>
        <v>QC2050</v>
      </c>
      <c r="I3697" s="501"/>
      <c r="J3697" s="106" t="s">
        <v>1835</v>
      </c>
      <c r="K3697" s="501"/>
    </row>
    <row r="3698" spans="1:11" s="35" customFormat="1">
      <c r="A3698" s="510"/>
      <c r="B3698" s="59" t="s">
        <v>85</v>
      </c>
      <c r="C3698" s="230"/>
      <c r="D3698" s="230">
        <v>16.8</v>
      </c>
      <c r="E3698" s="216">
        <v>0</v>
      </c>
      <c r="F3698" s="156">
        <f t="shared" si="504"/>
        <v>16.8</v>
      </c>
      <c r="G3698" s="24" t="s">
        <v>7930</v>
      </c>
      <c r="H3698" s="2003" t="str">
        <f t="shared" si="500"/>
        <v>QC2060</v>
      </c>
      <c r="I3698" s="501"/>
      <c r="J3698" s="106" t="s">
        <v>1835</v>
      </c>
      <c r="K3698" s="501"/>
    </row>
    <row r="3699" spans="1:11" s="35" customFormat="1">
      <c r="A3699" s="510"/>
      <c r="B3699" s="59" t="s">
        <v>86</v>
      </c>
      <c r="C3699" s="230"/>
      <c r="D3699" s="230">
        <v>39.299999999999997</v>
      </c>
      <c r="E3699" s="216">
        <v>0</v>
      </c>
      <c r="F3699" s="156">
        <f t="shared" si="504"/>
        <v>39.299999999999997</v>
      </c>
      <c r="G3699" s="24" t="s">
        <v>7931</v>
      </c>
      <c r="H3699" s="2003" t="str">
        <f t="shared" si="500"/>
        <v>QC2070</v>
      </c>
      <c r="I3699" s="501"/>
      <c r="J3699" s="106" t="s">
        <v>1835</v>
      </c>
      <c r="K3699" s="501"/>
    </row>
    <row r="3700" spans="1:11" s="35" customFormat="1">
      <c r="A3700" s="510"/>
      <c r="B3700" s="59" t="s">
        <v>702</v>
      </c>
      <c r="C3700" s="230"/>
      <c r="D3700" s="230">
        <v>39.299999999999997</v>
      </c>
      <c r="E3700" s="216">
        <v>0</v>
      </c>
      <c r="F3700" s="156">
        <f t="shared" si="504"/>
        <v>39.299999999999997</v>
      </c>
      <c r="G3700" s="24" t="s">
        <v>7932</v>
      </c>
      <c r="H3700" s="2003" t="str">
        <f t="shared" si="500"/>
        <v>QC2080</v>
      </c>
      <c r="I3700" s="501"/>
      <c r="J3700" s="106" t="s">
        <v>1835</v>
      </c>
      <c r="K3700" s="501"/>
    </row>
    <row r="3701" spans="1:11" s="35" customFormat="1">
      <c r="A3701" s="510"/>
      <c r="B3701" s="59" t="s">
        <v>87</v>
      </c>
      <c r="C3701" s="230"/>
      <c r="D3701" s="230">
        <v>39.299999999999997</v>
      </c>
      <c r="E3701" s="216">
        <v>0</v>
      </c>
      <c r="F3701" s="156">
        <f t="shared" si="504"/>
        <v>39.299999999999997</v>
      </c>
      <c r="G3701" s="24" t="s">
        <v>7933</v>
      </c>
      <c r="H3701" s="2003" t="str">
        <f t="shared" si="500"/>
        <v>QC2090</v>
      </c>
      <c r="I3701" s="501"/>
      <c r="J3701" s="106" t="s">
        <v>1835</v>
      </c>
      <c r="K3701" s="501"/>
    </row>
    <row r="3702" spans="1:11" s="23" customFormat="1">
      <c r="A3702" s="510"/>
      <c r="B3702" s="59" t="s">
        <v>88</v>
      </c>
      <c r="C3702" s="230"/>
      <c r="D3702" s="230">
        <v>39.299999999999997</v>
      </c>
      <c r="E3702" s="216">
        <v>0</v>
      </c>
      <c r="F3702" s="156">
        <f t="shared" si="504"/>
        <v>39.299999999999997</v>
      </c>
      <c r="G3702" s="24" t="s">
        <v>7934</v>
      </c>
      <c r="H3702" s="2003" t="str">
        <f t="shared" si="500"/>
        <v>QC2100</v>
      </c>
      <c r="I3702" s="501"/>
      <c r="J3702" s="106" t="s">
        <v>1835</v>
      </c>
      <c r="K3702" s="501"/>
    </row>
    <row r="3703" spans="1:11" s="23" customFormat="1">
      <c r="A3703" s="507"/>
      <c r="B3703" s="59"/>
      <c r="C3703" s="230"/>
      <c r="D3703" s="230"/>
      <c r="E3703" s="216"/>
      <c r="F3703" s="156"/>
      <c r="G3703" s="24"/>
      <c r="H3703" s="2003"/>
      <c r="I3703" s="508"/>
      <c r="J3703" s="507"/>
      <c r="K3703" s="508"/>
    </row>
    <row r="3704" spans="1:11" s="23" customFormat="1">
      <c r="A3704" s="534"/>
      <c r="B3704" s="1100" t="s">
        <v>7935</v>
      </c>
      <c r="C3704" s="1096"/>
      <c r="D3704" s="1096">
        <v>100</v>
      </c>
      <c r="E3704" s="1097">
        <v>0</v>
      </c>
      <c r="F3704" s="1098">
        <f t="shared" ref="F3704:F3709" si="505">D3704+E3704</f>
        <v>100</v>
      </c>
      <c r="G3704" s="1099" t="s">
        <v>10937</v>
      </c>
      <c r="H3704" s="2003" t="str">
        <f>B3704</f>
        <v>QC2015H</v>
      </c>
      <c r="I3704" s="508"/>
      <c r="J3704" s="106" t="s">
        <v>1835</v>
      </c>
      <c r="K3704" s="508"/>
    </row>
    <row r="3705" spans="1:11" s="23" customFormat="1">
      <c r="A3705" s="534"/>
      <c r="B3705" s="1100" t="s">
        <v>3282</v>
      </c>
      <c r="C3705" s="1096"/>
      <c r="D3705" s="1096">
        <v>100</v>
      </c>
      <c r="E3705" s="1097">
        <v>0</v>
      </c>
      <c r="F3705" s="1098">
        <f t="shared" si="505"/>
        <v>100</v>
      </c>
      <c r="G3705" s="1099" t="s">
        <v>10938</v>
      </c>
      <c r="H3705" s="2003" t="str">
        <f t="shared" si="500"/>
        <v>QC2020H</v>
      </c>
      <c r="I3705" s="508"/>
      <c r="J3705" s="106" t="s">
        <v>1835</v>
      </c>
      <c r="K3705" s="508"/>
    </row>
    <row r="3706" spans="1:11" s="23" customFormat="1">
      <c r="A3706" s="534"/>
      <c r="B3706" s="1100" t="s">
        <v>3283</v>
      </c>
      <c r="C3706" s="1096"/>
      <c r="D3706" s="1096">
        <v>100</v>
      </c>
      <c r="E3706" s="1097">
        <v>0</v>
      </c>
      <c r="F3706" s="1098">
        <f t="shared" si="505"/>
        <v>100</v>
      </c>
      <c r="G3706" s="1099" t="s">
        <v>10939</v>
      </c>
      <c r="H3706" s="2003" t="str">
        <f t="shared" si="500"/>
        <v>QC2030H</v>
      </c>
      <c r="I3706" s="508"/>
      <c r="J3706" s="106" t="s">
        <v>1835</v>
      </c>
      <c r="K3706" s="508"/>
    </row>
    <row r="3707" spans="1:11" s="23" customFormat="1">
      <c r="A3707" s="534"/>
      <c r="B3707" s="1100" t="s">
        <v>3284</v>
      </c>
      <c r="C3707" s="1096"/>
      <c r="D3707" s="1096">
        <v>120</v>
      </c>
      <c r="E3707" s="1097">
        <v>0</v>
      </c>
      <c r="F3707" s="1098">
        <f t="shared" si="505"/>
        <v>120</v>
      </c>
      <c r="G3707" s="1099" t="s">
        <v>10940</v>
      </c>
      <c r="H3707" s="2003" t="str">
        <f t="shared" si="500"/>
        <v>QC2050H</v>
      </c>
      <c r="I3707" s="508"/>
      <c r="J3707" s="106" t="s">
        <v>1835</v>
      </c>
      <c r="K3707" s="508"/>
    </row>
    <row r="3708" spans="1:11" s="23" customFormat="1">
      <c r="A3708" s="534"/>
      <c r="B3708" s="1100" t="s">
        <v>3285</v>
      </c>
      <c r="C3708" s="1096"/>
      <c r="D3708" s="1096">
        <v>120</v>
      </c>
      <c r="E3708" s="1097">
        <v>0</v>
      </c>
      <c r="F3708" s="1098">
        <f t="shared" si="505"/>
        <v>120</v>
      </c>
      <c r="G3708" s="1099" t="s">
        <v>10941</v>
      </c>
      <c r="H3708" s="2003" t="str">
        <f t="shared" si="500"/>
        <v>QC2060H</v>
      </c>
      <c r="I3708" s="508"/>
      <c r="J3708" s="106" t="s">
        <v>1835</v>
      </c>
      <c r="K3708" s="508"/>
    </row>
    <row r="3709" spans="1:11" s="35" customFormat="1">
      <c r="A3709" s="534"/>
      <c r="B3709" s="1100" t="s">
        <v>3286</v>
      </c>
      <c r="C3709" s="1096"/>
      <c r="D3709" s="1096">
        <v>120</v>
      </c>
      <c r="E3709" s="1097">
        <v>0</v>
      </c>
      <c r="F3709" s="1098">
        <f t="shared" si="505"/>
        <v>120</v>
      </c>
      <c r="G3709" s="1099" t="s">
        <v>10942</v>
      </c>
      <c r="H3709" s="2003" t="str">
        <f t="shared" si="500"/>
        <v>QC2080H</v>
      </c>
      <c r="I3709" s="508"/>
      <c r="J3709" s="106" t="s">
        <v>1835</v>
      </c>
      <c r="K3709" s="508"/>
    </row>
    <row r="3710" spans="1:11" s="35" customFormat="1">
      <c r="A3710" s="502"/>
      <c r="B3710" s="59"/>
      <c r="C3710" s="230"/>
      <c r="D3710" s="230"/>
      <c r="E3710" s="216"/>
      <c r="F3710" s="156"/>
      <c r="G3710" s="24"/>
      <c r="H3710" s="2003"/>
      <c r="I3710" s="501"/>
      <c r="J3710" s="502"/>
      <c r="K3710" s="501"/>
    </row>
    <row r="3711" spans="1:11" s="35" customFormat="1">
      <c r="A3711" s="502"/>
      <c r="B3711" s="59"/>
      <c r="C3711" s="230"/>
      <c r="D3711" s="230"/>
      <c r="E3711" s="216"/>
      <c r="F3711" s="156"/>
      <c r="G3711" s="24"/>
      <c r="H3711" s="2003"/>
      <c r="I3711" s="501"/>
      <c r="J3711" s="502"/>
      <c r="K3711" s="501"/>
    </row>
    <row r="3712" spans="1:11" s="35" customFormat="1">
      <c r="A3712" s="510"/>
      <c r="B3712" s="59" t="s">
        <v>116</v>
      </c>
      <c r="C3712" s="230"/>
      <c r="D3712" s="230">
        <v>47.6</v>
      </c>
      <c r="E3712" s="216">
        <v>0</v>
      </c>
      <c r="F3712" s="156">
        <f t="shared" ref="F3712:F3721" si="506">D3712+E3712</f>
        <v>47.6</v>
      </c>
      <c r="G3712" s="24" t="s">
        <v>10943</v>
      </c>
      <c r="H3712" s="2003" t="str">
        <f t="shared" si="500"/>
        <v>QC3015H</v>
      </c>
      <c r="I3712" s="501"/>
      <c r="J3712" s="106" t="s">
        <v>1835</v>
      </c>
      <c r="K3712" s="501"/>
    </row>
    <row r="3713" spans="1:11" s="35" customFormat="1">
      <c r="A3713" s="510"/>
      <c r="B3713" s="59" t="s">
        <v>117</v>
      </c>
      <c r="C3713" s="230"/>
      <c r="D3713" s="230">
        <v>47.6</v>
      </c>
      <c r="E3713" s="216">
        <v>0</v>
      </c>
      <c r="F3713" s="156">
        <f t="shared" si="506"/>
        <v>47.6</v>
      </c>
      <c r="G3713" s="24" t="s">
        <v>10944</v>
      </c>
      <c r="H3713" s="2003" t="str">
        <f t="shared" si="500"/>
        <v>QC3020H</v>
      </c>
      <c r="I3713" s="501"/>
      <c r="J3713" s="106" t="s">
        <v>1835</v>
      </c>
      <c r="K3713" s="501"/>
    </row>
    <row r="3714" spans="1:11" s="2284" customFormat="1">
      <c r="A3714" s="2275"/>
      <c r="B3714" s="2276" t="s">
        <v>118</v>
      </c>
      <c r="C3714" s="2277"/>
      <c r="D3714" s="2277">
        <v>63</v>
      </c>
      <c r="E3714" s="2278">
        <v>0</v>
      </c>
      <c r="F3714" s="2279">
        <f t="shared" si="506"/>
        <v>63</v>
      </c>
      <c r="G3714" s="2280" t="s">
        <v>10945</v>
      </c>
      <c r="H3714" s="2281" t="str">
        <f t="shared" si="500"/>
        <v>QC3030H</v>
      </c>
      <c r="I3714" s="2282"/>
      <c r="J3714" s="2283" t="s">
        <v>1835</v>
      </c>
      <c r="K3714" s="2282"/>
    </row>
    <row r="3715" spans="1:11" s="35" customFormat="1">
      <c r="A3715" s="510"/>
      <c r="B3715" s="59" t="s">
        <v>119</v>
      </c>
      <c r="C3715" s="230"/>
      <c r="D3715" s="230">
        <v>47.6</v>
      </c>
      <c r="E3715" s="216">
        <v>0</v>
      </c>
      <c r="F3715" s="156">
        <f t="shared" si="506"/>
        <v>47.6</v>
      </c>
      <c r="G3715" s="24" t="s">
        <v>10946</v>
      </c>
      <c r="H3715" s="2003" t="str">
        <f t="shared" si="500"/>
        <v>QC3040H</v>
      </c>
      <c r="I3715" s="501"/>
      <c r="J3715" s="106" t="s">
        <v>1835</v>
      </c>
      <c r="K3715" s="501"/>
    </row>
    <row r="3716" spans="1:11" s="2284" customFormat="1">
      <c r="A3716" s="2275"/>
      <c r="B3716" s="2276" t="s">
        <v>120</v>
      </c>
      <c r="C3716" s="2277"/>
      <c r="D3716" s="2277">
        <v>63</v>
      </c>
      <c r="E3716" s="2278">
        <v>0</v>
      </c>
      <c r="F3716" s="2279">
        <f t="shared" si="506"/>
        <v>63</v>
      </c>
      <c r="G3716" s="2280" t="s">
        <v>10947</v>
      </c>
      <c r="H3716" s="2281" t="str">
        <f t="shared" si="500"/>
        <v>QC3050H</v>
      </c>
      <c r="I3716" s="2282"/>
      <c r="J3716" s="2283" t="s">
        <v>1835</v>
      </c>
      <c r="K3716" s="2282"/>
    </row>
    <row r="3717" spans="1:11" s="2284" customFormat="1">
      <c r="A3717" s="2275"/>
      <c r="B3717" s="2276" t="s">
        <v>121</v>
      </c>
      <c r="C3717" s="2277"/>
      <c r="D3717" s="2277">
        <v>63</v>
      </c>
      <c r="E3717" s="2278">
        <v>0</v>
      </c>
      <c r="F3717" s="2279">
        <f t="shared" si="506"/>
        <v>63</v>
      </c>
      <c r="G3717" s="2280" t="s">
        <v>10948</v>
      </c>
      <c r="H3717" s="2281" t="str">
        <f t="shared" si="500"/>
        <v>QC3060H</v>
      </c>
      <c r="I3717" s="2282"/>
      <c r="J3717" s="2283" t="s">
        <v>1835</v>
      </c>
      <c r="K3717" s="2282"/>
    </row>
    <row r="3718" spans="1:11" s="35" customFormat="1">
      <c r="A3718" s="510"/>
      <c r="B3718" s="59" t="s">
        <v>122</v>
      </c>
      <c r="C3718" s="230"/>
      <c r="D3718" s="230">
        <v>51.4</v>
      </c>
      <c r="E3718" s="216">
        <v>0</v>
      </c>
      <c r="F3718" s="156">
        <f t="shared" si="506"/>
        <v>51.4</v>
      </c>
      <c r="G3718" s="24" t="s">
        <v>10949</v>
      </c>
      <c r="H3718" s="2003" t="str">
        <f t="shared" si="500"/>
        <v>QC3070H</v>
      </c>
      <c r="I3718" s="501"/>
      <c r="J3718" s="106" t="s">
        <v>1835</v>
      </c>
      <c r="K3718" s="501"/>
    </row>
    <row r="3719" spans="1:11" s="23" customFormat="1">
      <c r="A3719" s="510"/>
      <c r="B3719" s="59" t="s">
        <v>123</v>
      </c>
      <c r="C3719" s="230"/>
      <c r="D3719" s="230">
        <v>51.4</v>
      </c>
      <c r="E3719" s="216">
        <v>0</v>
      </c>
      <c r="F3719" s="156">
        <f t="shared" si="506"/>
        <v>51.4</v>
      </c>
      <c r="G3719" s="24" t="s">
        <v>10950</v>
      </c>
      <c r="H3719" s="2003" t="str">
        <f t="shared" si="500"/>
        <v>QC3080H</v>
      </c>
      <c r="I3719" s="501"/>
      <c r="J3719" s="106" t="s">
        <v>1835</v>
      </c>
      <c r="K3719" s="501"/>
    </row>
    <row r="3720" spans="1:11" s="23" customFormat="1">
      <c r="A3720" s="510"/>
      <c r="B3720" s="59" t="s">
        <v>124</v>
      </c>
      <c r="C3720" s="230"/>
      <c r="D3720" s="230">
        <v>66.8</v>
      </c>
      <c r="E3720" s="216">
        <v>0</v>
      </c>
      <c r="F3720" s="156">
        <f t="shared" si="506"/>
        <v>66.8</v>
      </c>
      <c r="G3720" s="24" t="s">
        <v>10951</v>
      </c>
      <c r="H3720" s="2003" t="str">
        <f t="shared" si="500"/>
        <v>QC3090H</v>
      </c>
      <c r="I3720" s="501"/>
      <c r="J3720" s="106" t="s">
        <v>1835</v>
      </c>
      <c r="K3720" s="501"/>
    </row>
    <row r="3721" spans="1:11" s="23" customFormat="1">
      <c r="A3721" s="510"/>
      <c r="B3721" s="59" t="s">
        <v>125</v>
      </c>
      <c r="C3721" s="230"/>
      <c r="D3721" s="230">
        <v>66.8</v>
      </c>
      <c r="E3721" s="216">
        <v>0</v>
      </c>
      <c r="F3721" s="156">
        <f t="shared" si="506"/>
        <v>66.8</v>
      </c>
      <c r="G3721" s="24" t="s">
        <v>10952</v>
      </c>
      <c r="H3721" s="2003" t="str">
        <f t="shared" ref="H3721:H3787" si="507">B3721</f>
        <v>QC3100H</v>
      </c>
      <c r="I3721" s="501"/>
      <c r="J3721" s="106" t="s">
        <v>1835</v>
      </c>
      <c r="K3721" s="501"/>
    </row>
    <row r="3722" spans="1:11" s="23" customFormat="1">
      <c r="A3722" s="502"/>
      <c r="B3722" s="501"/>
      <c r="C3722" s="230"/>
      <c r="D3722" s="230"/>
      <c r="E3722" s="505"/>
      <c r="F3722" s="506"/>
      <c r="G3722" s="501"/>
      <c r="H3722" s="2003"/>
      <c r="I3722" s="501"/>
      <c r="J3722" s="502"/>
      <c r="K3722" s="501"/>
    </row>
    <row r="3723" spans="1:11" s="23" customFormat="1">
      <c r="A3723" s="502"/>
      <c r="B3723" s="1095" t="s">
        <v>3275</v>
      </c>
      <c r="C3723" s="1096"/>
      <c r="D3723" s="1096">
        <v>6</v>
      </c>
      <c r="E3723" s="1097">
        <v>1</v>
      </c>
      <c r="F3723" s="1098">
        <f>D3723+E3723</f>
        <v>7</v>
      </c>
      <c r="G3723" s="1099" t="s">
        <v>7917</v>
      </c>
      <c r="H3723" s="2003" t="str">
        <f t="shared" si="507"/>
        <v>QC123PL</v>
      </c>
      <c r="I3723" s="501"/>
      <c r="J3723" s="502"/>
      <c r="K3723" s="501"/>
    </row>
    <row r="3724" spans="1:11" s="23" customFormat="1">
      <c r="A3724" s="502"/>
      <c r="B3724" s="501"/>
      <c r="C3724" s="230"/>
      <c r="D3724" s="230"/>
      <c r="E3724" s="505"/>
      <c r="F3724" s="506"/>
      <c r="G3724" s="501"/>
      <c r="H3724" s="2003"/>
      <c r="I3724" s="501"/>
      <c r="J3724" s="502"/>
      <c r="K3724" s="501"/>
    </row>
    <row r="3725" spans="1:11" s="23" customFormat="1">
      <c r="A3725" s="502"/>
      <c r="B3725" s="501"/>
      <c r="C3725" s="230"/>
      <c r="D3725" s="230"/>
      <c r="E3725" s="505"/>
      <c r="F3725" s="506"/>
      <c r="G3725" s="501"/>
      <c r="H3725" s="2003"/>
      <c r="I3725" s="501"/>
      <c r="J3725" s="502"/>
      <c r="K3725" s="501"/>
    </row>
    <row r="3726" spans="1:11" s="23" customFormat="1">
      <c r="A3726" s="534"/>
      <c r="B3726" s="59" t="s">
        <v>565</v>
      </c>
      <c r="C3726" s="230"/>
      <c r="D3726" s="230">
        <v>9</v>
      </c>
      <c r="E3726" s="216">
        <v>0</v>
      </c>
      <c r="F3726" s="156">
        <f t="shared" ref="F3726:F3733" si="508">D3726+E3726</f>
        <v>9</v>
      </c>
      <c r="G3726" s="24" t="s">
        <v>7936</v>
      </c>
      <c r="H3726" s="2003" t="str">
        <f t="shared" si="507"/>
        <v>BAB1015</v>
      </c>
      <c r="I3726" s="508"/>
      <c r="J3726" s="106" t="s">
        <v>1835</v>
      </c>
      <c r="K3726" s="508"/>
    </row>
    <row r="3727" spans="1:11" s="23" customFormat="1">
      <c r="A3727" s="534"/>
      <c r="B3727" s="59" t="s">
        <v>566</v>
      </c>
      <c r="C3727" s="230"/>
      <c r="D3727" s="230">
        <v>9</v>
      </c>
      <c r="E3727" s="216">
        <v>0</v>
      </c>
      <c r="F3727" s="156">
        <f t="shared" si="508"/>
        <v>9</v>
      </c>
      <c r="G3727" s="24" t="s">
        <v>5304</v>
      </c>
      <c r="H3727" s="2003" t="str">
        <f t="shared" si="507"/>
        <v>BAB1020</v>
      </c>
      <c r="I3727" s="508"/>
      <c r="J3727" s="106" t="s">
        <v>1835</v>
      </c>
      <c r="K3727" s="508"/>
    </row>
    <row r="3728" spans="1:11" s="23" customFormat="1">
      <c r="A3728" s="534"/>
      <c r="B3728" s="59" t="s">
        <v>567</v>
      </c>
      <c r="C3728" s="230"/>
      <c r="D3728" s="230">
        <v>9</v>
      </c>
      <c r="E3728" s="216">
        <v>0</v>
      </c>
      <c r="F3728" s="156">
        <f t="shared" si="508"/>
        <v>9</v>
      </c>
      <c r="G3728" s="24" t="s">
        <v>7937</v>
      </c>
      <c r="H3728" s="2003" t="str">
        <f t="shared" si="507"/>
        <v>BAB1030</v>
      </c>
      <c r="I3728" s="508"/>
      <c r="J3728" s="106" t="s">
        <v>1835</v>
      </c>
      <c r="K3728" s="508"/>
    </row>
    <row r="3729" spans="1:11" s="23" customFormat="1">
      <c r="A3729" s="534"/>
      <c r="B3729" s="59" t="s">
        <v>568</v>
      </c>
      <c r="C3729" s="230"/>
      <c r="D3729" s="230">
        <v>9</v>
      </c>
      <c r="E3729" s="216">
        <v>0</v>
      </c>
      <c r="F3729" s="156">
        <f t="shared" si="508"/>
        <v>9</v>
      </c>
      <c r="G3729" s="24" t="s">
        <v>7938</v>
      </c>
      <c r="H3729" s="2003" t="str">
        <f t="shared" si="507"/>
        <v>BAB1040</v>
      </c>
      <c r="I3729" s="508"/>
      <c r="J3729" s="106" t="s">
        <v>1835</v>
      </c>
      <c r="K3729" s="508"/>
    </row>
    <row r="3730" spans="1:11" s="35" customFormat="1">
      <c r="A3730" s="534"/>
      <c r="B3730" s="59" t="s">
        <v>569</v>
      </c>
      <c r="C3730" s="230"/>
      <c r="D3730" s="230">
        <v>9</v>
      </c>
      <c r="E3730" s="216">
        <v>0</v>
      </c>
      <c r="F3730" s="156">
        <f t="shared" si="508"/>
        <v>9</v>
      </c>
      <c r="G3730" s="24" t="s">
        <v>7939</v>
      </c>
      <c r="H3730" s="2003" t="str">
        <f t="shared" si="507"/>
        <v>BAB1050</v>
      </c>
      <c r="I3730" s="508"/>
      <c r="J3730" s="106" t="s">
        <v>1835</v>
      </c>
      <c r="K3730" s="508"/>
    </row>
    <row r="3731" spans="1:11" s="23" customFormat="1">
      <c r="A3731" s="534"/>
      <c r="B3731" s="59" t="s">
        <v>570</v>
      </c>
      <c r="C3731" s="230"/>
      <c r="D3731" s="230">
        <v>12.5</v>
      </c>
      <c r="E3731" s="216">
        <v>0</v>
      </c>
      <c r="F3731" s="156">
        <f t="shared" si="508"/>
        <v>12.5</v>
      </c>
      <c r="G3731" s="24" t="s">
        <v>7940</v>
      </c>
      <c r="H3731" s="2003" t="str">
        <f t="shared" si="507"/>
        <v>BAB1060</v>
      </c>
      <c r="I3731" s="508"/>
      <c r="J3731" s="106" t="s">
        <v>1835</v>
      </c>
      <c r="K3731" s="508"/>
    </row>
    <row r="3732" spans="1:11" s="23" customFormat="1">
      <c r="A3732" s="534"/>
      <c r="B3732" s="59" t="s">
        <v>571</v>
      </c>
      <c r="C3732" s="230"/>
      <c r="D3732" s="230">
        <v>12.5</v>
      </c>
      <c r="E3732" s="216">
        <v>0</v>
      </c>
      <c r="F3732" s="156">
        <f t="shared" si="508"/>
        <v>12.5</v>
      </c>
      <c r="G3732" s="24" t="s">
        <v>7941</v>
      </c>
      <c r="H3732" s="2003" t="str">
        <f t="shared" si="507"/>
        <v>BAB1070</v>
      </c>
      <c r="I3732" s="508"/>
      <c r="J3732" s="106" t="s">
        <v>1835</v>
      </c>
      <c r="K3732" s="508"/>
    </row>
    <row r="3733" spans="1:11" s="23" customFormat="1">
      <c r="A3733" s="534"/>
      <c r="B3733" s="59" t="s">
        <v>572</v>
      </c>
      <c r="C3733" s="230"/>
      <c r="D3733" s="230">
        <v>12.5</v>
      </c>
      <c r="E3733" s="216">
        <v>0</v>
      </c>
      <c r="F3733" s="156">
        <f t="shared" si="508"/>
        <v>12.5</v>
      </c>
      <c r="G3733" s="24" t="s">
        <v>7942</v>
      </c>
      <c r="H3733" s="2003" t="str">
        <f t="shared" si="507"/>
        <v>BAB1080</v>
      </c>
      <c r="I3733" s="508"/>
      <c r="J3733" s="106" t="s">
        <v>1835</v>
      </c>
      <c r="K3733" s="508"/>
    </row>
    <row r="3734" spans="1:11" s="23" customFormat="1">
      <c r="A3734" s="502"/>
      <c r="B3734" s="501"/>
      <c r="C3734" s="230"/>
      <c r="D3734" s="230"/>
      <c r="E3734" s="505"/>
      <c r="F3734" s="506"/>
      <c r="G3734" s="501"/>
      <c r="H3734" s="2003"/>
      <c r="I3734" s="501"/>
      <c r="J3734" s="502"/>
      <c r="K3734" s="501"/>
    </row>
    <row r="3735" spans="1:11" s="23" customFormat="1">
      <c r="A3735" s="534"/>
      <c r="B3735" s="59" t="s">
        <v>100</v>
      </c>
      <c r="C3735" s="230"/>
      <c r="D3735" s="230">
        <v>13.4</v>
      </c>
      <c r="E3735" s="216">
        <v>0</v>
      </c>
      <c r="F3735" s="156">
        <f t="shared" ref="F3735:F3744" si="509">D3735+E3735</f>
        <v>13.4</v>
      </c>
      <c r="G3735" s="24" t="s">
        <v>7943</v>
      </c>
      <c r="H3735" s="2003" t="str">
        <f t="shared" si="507"/>
        <v>BAB2015</v>
      </c>
      <c r="I3735" s="508"/>
      <c r="J3735" s="106" t="s">
        <v>1835</v>
      </c>
      <c r="K3735" s="508"/>
    </row>
    <row r="3736" spans="1:11" s="23" customFormat="1">
      <c r="A3736" s="534"/>
      <c r="B3736" s="59" t="s">
        <v>99</v>
      </c>
      <c r="C3736" s="230"/>
      <c r="D3736" s="230">
        <v>13.4</v>
      </c>
      <c r="E3736" s="216">
        <v>0</v>
      </c>
      <c r="F3736" s="156">
        <f t="shared" si="509"/>
        <v>13.4</v>
      </c>
      <c r="G3736" s="24" t="s">
        <v>7944</v>
      </c>
      <c r="H3736" s="2003" t="str">
        <f t="shared" si="507"/>
        <v>BAB2020</v>
      </c>
      <c r="I3736" s="508"/>
      <c r="J3736" s="106" t="s">
        <v>1835</v>
      </c>
      <c r="K3736" s="508"/>
    </row>
    <row r="3737" spans="1:11" s="23" customFormat="1">
      <c r="A3737" s="534"/>
      <c r="B3737" s="59" t="s">
        <v>101</v>
      </c>
      <c r="C3737" s="230"/>
      <c r="D3737" s="230">
        <v>13.4</v>
      </c>
      <c r="E3737" s="216">
        <v>0</v>
      </c>
      <c r="F3737" s="156">
        <f t="shared" si="509"/>
        <v>13.4</v>
      </c>
      <c r="G3737" s="24" t="s">
        <v>7945</v>
      </c>
      <c r="H3737" s="2003" t="str">
        <f t="shared" si="507"/>
        <v>BAB2030</v>
      </c>
      <c r="I3737" s="508"/>
      <c r="J3737" s="106" t="s">
        <v>1835</v>
      </c>
      <c r="K3737" s="508"/>
    </row>
    <row r="3738" spans="1:11" s="23" customFormat="1">
      <c r="A3738" s="534"/>
      <c r="B3738" s="59" t="s">
        <v>102</v>
      </c>
      <c r="C3738" s="230"/>
      <c r="D3738" s="230">
        <v>13.4</v>
      </c>
      <c r="E3738" s="216">
        <v>0</v>
      </c>
      <c r="F3738" s="156">
        <f t="shared" si="509"/>
        <v>13.4</v>
      </c>
      <c r="G3738" s="24" t="s">
        <v>7946</v>
      </c>
      <c r="H3738" s="2003" t="str">
        <f t="shared" si="507"/>
        <v>BAB2040</v>
      </c>
      <c r="I3738" s="508"/>
      <c r="J3738" s="106" t="s">
        <v>1835</v>
      </c>
      <c r="K3738" s="508"/>
    </row>
    <row r="3739" spans="1:11" s="23" customFormat="1">
      <c r="A3739" s="534"/>
      <c r="B3739" s="59" t="s">
        <v>103</v>
      </c>
      <c r="C3739" s="230"/>
      <c r="D3739" s="230">
        <v>13.4</v>
      </c>
      <c r="E3739" s="216">
        <v>0</v>
      </c>
      <c r="F3739" s="156">
        <f t="shared" si="509"/>
        <v>13.4</v>
      </c>
      <c r="G3739" s="24" t="s">
        <v>7947</v>
      </c>
      <c r="H3739" s="2003" t="str">
        <f t="shared" si="507"/>
        <v>BAB2050</v>
      </c>
      <c r="I3739" s="508"/>
      <c r="J3739" s="106" t="s">
        <v>1835</v>
      </c>
      <c r="K3739" s="508"/>
    </row>
    <row r="3740" spans="1:11" s="23" customFormat="1">
      <c r="A3740" s="534"/>
      <c r="B3740" s="59" t="s">
        <v>104</v>
      </c>
      <c r="C3740" s="230"/>
      <c r="D3740" s="230">
        <v>13.4</v>
      </c>
      <c r="E3740" s="216">
        <v>0</v>
      </c>
      <c r="F3740" s="156">
        <f t="shared" si="509"/>
        <v>13.4</v>
      </c>
      <c r="G3740" s="24" t="s">
        <v>7948</v>
      </c>
      <c r="H3740" s="2003" t="str">
        <f t="shared" si="507"/>
        <v>BAB2060</v>
      </c>
      <c r="I3740" s="508"/>
      <c r="J3740" s="106" t="s">
        <v>1835</v>
      </c>
      <c r="K3740" s="508"/>
    </row>
    <row r="3741" spans="1:11" s="23" customFormat="1">
      <c r="A3741" s="534"/>
      <c r="B3741" s="59" t="s">
        <v>105</v>
      </c>
      <c r="C3741" s="230"/>
      <c r="D3741" s="230">
        <v>23.5</v>
      </c>
      <c r="E3741" s="216">
        <v>0</v>
      </c>
      <c r="F3741" s="156">
        <f t="shared" si="509"/>
        <v>23.5</v>
      </c>
      <c r="G3741" s="24" t="s">
        <v>7949</v>
      </c>
      <c r="H3741" s="2003" t="str">
        <f t="shared" si="507"/>
        <v>BAB2070</v>
      </c>
      <c r="I3741" s="508"/>
      <c r="J3741" s="106" t="s">
        <v>1835</v>
      </c>
      <c r="K3741" s="508"/>
    </row>
    <row r="3742" spans="1:11" s="23" customFormat="1">
      <c r="A3742" s="534"/>
      <c r="B3742" s="59" t="s">
        <v>693</v>
      </c>
      <c r="C3742" s="230"/>
      <c r="D3742" s="230">
        <v>23.5</v>
      </c>
      <c r="E3742" s="216">
        <v>0</v>
      </c>
      <c r="F3742" s="156">
        <f t="shared" si="509"/>
        <v>23.5</v>
      </c>
      <c r="G3742" s="24" t="s">
        <v>7950</v>
      </c>
      <c r="H3742" s="2003" t="str">
        <f t="shared" si="507"/>
        <v>BAB2080</v>
      </c>
      <c r="I3742" s="508"/>
      <c r="J3742" s="106" t="s">
        <v>1835</v>
      </c>
      <c r="K3742" s="508"/>
    </row>
    <row r="3743" spans="1:11" s="23" customFormat="1">
      <c r="A3743" s="534"/>
      <c r="B3743" s="59" t="s">
        <v>694</v>
      </c>
      <c r="C3743" s="230"/>
      <c r="D3743" s="230">
        <v>23.5</v>
      </c>
      <c r="E3743" s="216">
        <v>0</v>
      </c>
      <c r="F3743" s="156">
        <f t="shared" si="509"/>
        <v>23.5</v>
      </c>
      <c r="G3743" s="24" t="s">
        <v>7951</v>
      </c>
      <c r="H3743" s="2003" t="str">
        <f t="shared" si="507"/>
        <v>BAB2090</v>
      </c>
      <c r="I3743" s="508"/>
      <c r="J3743" s="106" t="s">
        <v>1835</v>
      </c>
      <c r="K3743" s="508"/>
    </row>
    <row r="3744" spans="1:11" s="23" customFormat="1">
      <c r="A3744" s="534"/>
      <c r="B3744" s="59" t="s">
        <v>738</v>
      </c>
      <c r="C3744" s="230"/>
      <c r="D3744" s="230">
        <v>23.5</v>
      </c>
      <c r="E3744" s="216">
        <v>0</v>
      </c>
      <c r="F3744" s="156">
        <f t="shared" si="509"/>
        <v>23.5</v>
      </c>
      <c r="G3744" s="24" t="s">
        <v>7952</v>
      </c>
      <c r="H3744" s="2003" t="str">
        <f t="shared" si="507"/>
        <v>BAB20100</v>
      </c>
      <c r="I3744" s="508"/>
      <c r="J3744" s="106" t="s">
        <v>1835</v>
      </c>
      <c r="K3744" s="508"/>
    </row>
    <row r="3745" spans="1:11" s="23" customFormat="1">
      <c r="A3745" s="507"/>
      <c r="B3745" s="59"/>
      <c r="C3745" s="230"/>
      <c r="D3745" s="230"/>
      <c r="E3745" s="216"/>
      <c r="F3745" s="156"/>
      <c r="G3745" s="24"/>
      <c r="H3745" s="2003"/>
      <c r="I3745" s="508"/>
      <c r="J3745" s="507"/>
      <c r="K3745" s="508"/>
    </row>
    <row r="3746" spans="1:11" s="23" customFormat="1">
      <c r="A3746" s="534"/>
      <c r="B3746" s="1100" t="s">
        <v>3278</v>
      </c>
      <c r="C3746" s="1096"/>
      <c r="D3746" s="1096">
        <v>41</v>
      </c>
      <c r="E3746" s="1097">
        <v>0</v>
      </c>
      <c r="F3746" s="1098">
        <v>45</v>
      </c>
      <c r="G3746" s="1099" t="s">
        <v>7953</v>
      </c>
      <c r="H3746" s="2003" t="str">
        <f t="shared" si="507"/>
        <v>BAB2015H</v>
      </c>
      <c r="I3746" s="508"/>
      <c r="J3746" s="106" t="s">
        <v>1835</v>
      </c>
      <c r="K3746" s="508"/>
    </row>
    <row r="3747" spans="1:11" s="23" customFormat="1">
      <c r="A3747" s="534"/>
      <c r="B3747" s="1100" t="s">
        <v>3276</v>
      </c>
      <c r="C3747" s="1096"/>
      <c r="D3747" s="1096">
        <v>41</v>
      </c>
      <c r="E3747" s="1097">
        <v>0</v>
      </c>
      <c r="F3747" s="1098">
        <v>45</v>
      </c>
      <c r="G3747" s="1099" t="s">
        <v>7954</v>
      </c>
      <c r="H3747" s="2003" t="str">
        <f t="shared" si="507"/>
        <v>BAB2020H</v>
      </c>
      <c r="I3747" s="508"/>
      <c r="J3747" s="106" t="s">
        <v>1835</v>
      </c>
      <c r="K3747" s="508"/>
    </row>
    <row r="3748" spans="1:11" s="23" customFormat="1">
      <c r="A3748" s="534"/>
      <c r="B3748" s="1100" t="s">
        <v>3277</v>
      </c>
      <c r="C3748" s="1096"/>
      <c r="D3748" s="1096">
        <v>41</v>
      </c>
      <c r="E3748" s="1097">
        <v>0</v>
      </c>
      <c r="F3748" s="1098">
        <v>45</v>
      </c>
      <c r="G3748" s="1099" t="s">
        <v>7955</v>
      </c>
      <c r="H3748" s="2003" t="str">
        <f t="shared" si="507"/>
        <v>BAB2030H</v>
      </c>
      <c r="I3748" s="508"/>
      <c r="J3748" s="106" t="s">
        <v>1835</v>
      </c>
      <c r="K3748" s="508"/>
    </row>
    <row r="3749" spans="1:11" s="23" customFormat="1">
      <c r="A3749" s="534"/>
      <c r="B3749" s="1100" t="s">
        <v>3279</v>
      </c>
      <c r="C3749" s="1096"/>
      <c r="D3749" s="1096">
        <v>41</v>
      </c>
      <c r="E3749" s="1097">
        <v>0</v>
      </c>
      <c r="F3749" s="1098">
        <v>45</v>
      </c>
      <c r="G3749" s="1099" t="s">
        <v>7956</v>
      </c>
      <c r="H3749" s="2003" t="str">
        <f t="shared" si="507"/>
        <v>BAB2040H</v>
      </c>
      <c r="I3749" s="508"/>
      <c r="J3749" s="106" t="s">
        <v>1835</v>
      </c>
      <c r="K3749" s="508"/>
    </row>
    <row r="3750" spans="1:11" s="23" customFormat="1">
      <c r="A3750" s="534"/>
      <c r="B3750" s="1100" t="s">
        <v>3280</v>
      </c>
      <c r="C3750" s="1096"/>
      <c r="D3750" s="1096">
        <v>41</v>
      </c>
      <c r="E3750" s="1097">
        <v>0</v>
      </c>
      <c r="F3750" s="1098">
        <v>45</v>
      </c>
      <c r="G3750" s="1099" t="s">
        <v>7957</v>
      </c>
      <c r="H3750" s="2003" t="str">
        <f t="shared" si="507"/>
        <v>BAB2050H</v>
      </c>
      <c r="I3750" s="508"/>
      <c r="J3750" s="106" t="s">
        <v>1835</v>
      </c>
      <c r="K3750" s="508"/>
    </row>
    <row r="3751" spans="1:11" s="23" customFormat="1">
      <c r="A3751" s="534"/>
      <c r="B3751" s="1100" t="s">
        <v>3281</v>
      </c>
      <c r="C3751" s="1096"/>
      <c r="D3751" s="1096">
        <v>41</v>
      </c>
      <c r="E3751" s="1097">
        <v>0</v>
      </c>
      <c r="F3751" s="1098">
        <v>45</v>
      </c>
      <c r="G3751" s="1099" t="s">
        <v>7958</v>
      </c>
      <c r="H3751" s="2003" t="str">
        <f t="shared" si="507"/>
        <v>BAB2060H</v>
      </c>
      <c r="I3751" s="508"/>
      <c r="J3751" s="106" t="s">
        <v>1835</v>
      </c>
      <c r="K3751" s="508"/>
    </row>
    <row r="3752" spans="1:11" s="23" customFormat="1">
      <c r="A3752" s="507"/>
      <c r="B3752" s="59"/>
      <c r="C3752" s="230"/>
      <c r="D3752" s="230"/>
      <c r="E3752" s="216"/>
      <c r="F3752" s="156"/>
      <c r="G3752" s="24"/>
      <c r="H3752" s="2003"/>
      <c r="I3752" s="508"/>
      <c r="J3752" s="507"/>
      <c r="K3752" s="508"/>
    </row>
    <row r="3753" spans="1:11" s="23" customFormat="1">
      <c r="A3753" s="1796"/>
      <c r="B3753" s="1100" t="s">
        <v>7959</v>
      </c>
      <c r="C3753" s="1096"/>
      <c r="D3753" s="1096">
        <v>36</v>
      </c>
      <c r="E3753" s="1097">
        <v>0</v>
      </c>
      <c r="F3753" s="1098">
        <f>D3753+E3753</f>
        <v>36</v>
      </c>
      <c r="G3753" s="1099" t="s">
        <v>7960</v>
      </c>
      <c r="H3753" s="2003" t="str">
        <f>B3753</f>
        <v>BAB2015C</v>
      </c>
      <c r="I3753" s="508"/>
      <c r="J3753" s="106" t="s">
        <v>1835</v>
      </c>
      <c r="K3753" s="508"/>
    </row>
    <row r="3754" spans="1:11" s="23" customFormat="1">
      <c r="A3754" s="1796"/>
      <c r="B3754" s="1100" t="s">
        <v>7961</v>
      </c>
      <c r="C3754" s="1096"/>
      <c r="D3754" s="1096">
        <v>36</v>
      </c>
      <c r="E3754" s="1097">
        <v>0</v>
      </c>
      <c r="F3754" s="1098">
        <f>D3754+E3754</f>
        <v>36</v>
      </c>
      <c r="G3754" s="1099" t="s">
        <v>7962</v>
      </c>
      <c r="H3754" s="2003" t="str">
        <f>B3754</f>
        <v>BAB2020C</v>
      </c>
      <c r="I3754" s="508"/>
      <c r="J3754" s="106" t="s">
        <v>1835</v>
      </c>
      <c r="K3754" s="508"/>
    </row>
    <row r="3755" spans="1:11" s="1790" customFormat="1">
      <c r="A3755" s="1797"/>
      <c r="B3755" s="1795"/>
      <c r="C3755" s="230"/>
      <c r="D3755" s="230"/>
      <c r="E3755" s="462"/>
      <c r="F3755" s="164"/>
      <c r="G3755" s="465"/>
      <c r="H3755" s="2036"/>
      <c r="I3755" s="1121"/>
      <c r="J3755" s="106"/>
      <c r="K3755" s="1121"/>
    </row>
    <row r="3756" spans="1:11" s="23" customFormat="1">
      <c r="A3756" s="1796"/>
      <c r="B3756" s="1100" t="s">
        <v>7963</v>
      </c>
      <c r="C3756" s="1096"/>
      <c r="D3756" s="1096">
        <v>188</v>
      </c>
      <c r="E3756" s="1097">
        <v>10</v>
      </c>
      <c r="F3756" s="1098">
        <f>D3756+E3756</f>
        <v>198</v>
      </c>
      <c r="G3756" s="1099" t="s">
        <v>7964</v>
      </c>
      <c r="H3756" s="2003" t="str">
        <f t="shared" si="507"/>
        <v>BABRSP2020</v>
      </c>
      <c r="I3756" s="508"/>
      <c r="J3756" s="106" t="s">
        <v>1835</v>
      </c>
      <c r="K3756" s="508"/>
    </row>
    <row r="3757" spans="1:11" s="23" customFormat="1">
      <c r="A3757" s="1796"/>
      <c r="B3757" s="1100" t="s">
        <v>7965</v>
      </c>
      <c r="C3757" s="1096"/>
      <c r="D3757" s="1096">
        <v>188</v>
      </c>
      <c r="E3757" s="1097">
        <v>10</v>
      </c>
      <c r="F3757" s="1098">
        <f>D3757+E3757</f>
        <v>198</v>
      </c>
      <c r="G3757" s="1099" t="s">
        <v>7966</v>
      </c>
      <c r="H3757" s="2003" t="str">
        <f t="shared" si="507"/>
        <v>BABRSP2015</v>
      </c>
      <c r="I3757" s="508"/>
      <c r="J3757" s="106" t="s">
        <v>1835</v>
      </c>
      <c r="K3757" s="508"/>
    </row>
    <row r="3758" spans="1:11" s="23" customFormat="1">
      <c r="A3758" s="1796"/>
      <c r="B3758" s="1100" t="s">
        <v>7967</v>
      </c>
      <c r="C3758" s="1096"/>
      <c r="D3758" s="1096">
        <v>60</v>
      </c>
      <c r="E3758" s="1097">
        <v>10</v>
      </c>
      <c r="F3758" s="1098">
        <f>D3758+E3758</f>
        <v>70</v>
      </c>
      <c r="G3758" s="1099" t="s">
        <v>7968</v>
      </c>
      <c r="H3758" s="2003" t="str">
        <f>B3758</f>
        <v>XRU1D24U</v>
      </c>
      <c r="I3758" s="508"/>
      <c r="J3758" s="106" t="s">
        <v>1835</v>
      </c>
      <c r="K3758" s="508"/>
    </row>
    <row r="3759" spans="1:11" s="23" customFormat="1">
      <c r="A3759" s="1796"/>
      <c r="B3759" s="1100" t="s">
        <v>7969</v>
      </c>
      <c r="C3759" s="1096"/>
      <c r="D3759" s="1096">
        <v>167</v>
      </c>
      <c r="E3759" s="1097">
        <v>10</v>
      </c>
      <c r="F3759" s="1098">
        <f>D3759+E3759</f>
        <v>177</v>
      </c>
      <c r="G3759" s="1099" t="s">
        <v>7970</v>
      </c>
      <c r="H3759" s="2003" t="str">
        <f>B3759</f>
        <v>C0100E2B</v>
      </c>
      <c r="I3759" s="508"/>
      <c r="J3759" s="106" t="s">
        <v>1835</v>
      </c>
      <c r="K3759" s="508"/>
    </row>
    <row r="3760" spans="1:11" s="23" customFormat="1">
      <c r="A3760" s="507"/>
      <c r="B3760" s="59"/>
      <c r="C3760" s="230"/>
      <c r="D3760" s="230"/>
      <c r="E3760" s="216"/>
      <c r="F3760" s="156"/>
      <c r="G3760" s="194"/>
      <c r="H3760" s="2003"/>
      <c r="I3760" s="508"/>
      <c r="J3760" s="507"/>
      <c r="K3760" s="508"/>
    </row>
    <row r="3761" spans="1:11" s="23" customFormat="1">
      <c r="A3761" s="534"/>
      <c r="B3761" s="59" t="s">
        <v>115</v>
      </c>
      <c r="C3761" s="230"/>
      <c r="D3761" s="230">
        <v>53</v>
      </c>
      <c r="E3761" s="216">
        <v>0</v>
      </c>
      <c r="F3761" s="156">
        <f t="shared" ref="F3761:F3770" si="510">D3761+E3761</f>
        <v>53</v>
      </c>
      <c r="G3761" s="24" t="s">
        <v>7971</v>
      </c>
      <c r="H3761" s="2003" t="str">
        <f t="shared" si="507"/>
        <v>BAB3015H</v>
      </c>
      <c r="I3761" s="508"/>
      <c r="J3761" s="106" t="s">
        <v>1835</v>
      </c>
      <c r="K3761" s="508"/>
    </row>
    <row r="3762" spans="1:11" s="23" customFormat="1">
      <c r="A3762" s="534"/>
      <c r="B3762" s="59" t="s">
        <v>113</v>
      </c>
      <c r="C3762" s="230"/>
      <c r="D3762" s="230">
        <v>53</v>
      </c>
      <c r="E3762" s="216">
        <v>0</v>
      </c>
      <c r="F3762" s="156">
        <f t="shared" si="510"/>
        <v>53</v>
      </c>
      <c r="G3762" s="24" t="s">
        <v>7972</v>
      </c>
      <c r="H3762" s="2003" t="str">
        <f t="shared" si="507"/>
        <v>BAB3020H</v>
      </c>
      <c r="I3762" s="508"/>
      <c r="J3762" s="106" t="s">
        <v>1835</v>
      </c>
      <c r="K3762" s="508"/>
    </row>
    <row r="3763" spans="1:11" s="23" customFormat="1">
      <c r="A3763" s="534"/>
      <c r="B3763" s="59" t="s">
        <v>114</v>
      </c>
      <c r="C3763" s="230"/>
      <c r="D3763" s="230">
        <v>53</v>
      </c>
      <c r="E3763" s="216">
        <v>0</v>
      </c>
      <c r="F3763" s="156">
        <f t="shared" si="510"/>
        <v>53</v>
      </c>
      <c r="G3763" s="24" t="s">
        <v>7973</v>
      </c>
      <c r="H3763" s="2003" t="str">
        <f t="shared" si="507"/>
        <v>BAB3030H</v>
      </c>
      <c r="I3763" s="508"/>
      <c r="J3763" s="106" t="s">
        <v>1835</v>
      </c>
      <c r="K3763" s="508"/>
    </row>
    <row r="3764" spans="1:11" s="23" customFormat="1">
      <c r="A3764" s="534"/>
      <c r="B3764" s="59" t="s">
        <v>106</v>
      </c>
      <c r="C3764" s="230"/>
      <c r="D3764" s="230">
        <v>53</v>
      </c>
      <c r="E3764" s="216">
        <v>0</v>
      </c>
      <c r="F3764" s="156">
        <f t="shared" si="510"/>
        <v>53</v>
      </c>
      <c r="G3764" s="24" t="s">
        <v>7974</v>
      </c>
      <c r="H3764" s="2003" t="str">
        <f t="shared" si="507"/>
        <v>BAB3040H</v>
      </c>
      <c r="I3764" s="508"/>
      <c r="J3764" s="106" t="s">
        <v>1835</v>
      </c>
      <c r="K3764" s="508"/>
    </row>
    <row r="3765" spans="1:11" s="23" customFormat="1">
      <c r="A3765" s="534"/>
      <c r="B3765" s="59" t="s">
        <v>107</v>
      </c>
      <c r="C3765" s="230"/>
      <c r="D3765" s="230">
        <v>53</v>
      </c>
      <c r="E3765" s="216">
        <v>0</v>
      </c>
      <c r="F3765" s="156">
        <f t="shared" si="510"/>
        <v>53</v>
      </c>
      <c r="G3765" s="24" t="s">
        <v>7975</v>
      </c>
      <c r="H3765" s="2003" t="str">
        <f t="shared" si="507"/>
        <v>BAB3050H</v>
      </c>
      <c r="I3765" s="508"/>
      <c r="J3765" s="106" t="s">
        <v>1835</v>
      </c>
      <c r="K3765" s="508"/>
    </row>
    <row r="3766" spans="1:11" s="23" customFormat="1">
      <c r="A3766" s="534"/>
      <c r="B3766" s="59" t="s">
        <v>108</v>
      </c>
      <c r="C3766" s="230"/>
      <c r="D3766" s="230">
        <v>57</v>
      </c>
      <c r="E3766" s="216">
        <v>0</v>
      </c>
      <c r="F3766" s="156">
        <f t="shared" si="510"/>
        <v>57</v>
      </c>
      <c r="G3766" s="24" t="s">
        <v>7976</v>
      </c>
      <c r="H3766" s="2003" t="str">
        <f t="shared" si="507"/>
        <v>BAB3060H</v>
      </c>
      <c r="I3766" s="508"/>
      <c r="J3766" s="106" t="s">
        <v>1835</v>
      </c>
      <c r="K3766" s="508"/>
    </row>
    <row r="3767" spans="1:11" s="35" customFormat="1">
      <c r="A3767" s="534"/>
      <c r="B3767" s="59" t="s">
        <v>109</v>
      </c>
      <c r="C3767" s="230"/>
      <c r="D3767" s="230">
        <v>57</v>
      </c>
      <c r="E3767" s="216">
        <v>0</v>
      </c>
      <c r="F3767" s="156">
        <f t="shared" si="510"/>
        <v>57</v>
      </c>
      <c r="G3767" s="24" t="s">
        <v>7977</v>
      </c>
      <c r="H3767" s="2003" t="str">
        <f t="shared" si="507"/>
        <v>BAB3070H</v>
      </c>
      <c r="I3767" s="508"/>
      <c r="J3767" s="106" t="s">
        <v>1835</v>
      </c>
      <c r="K3767" s="508"/>
    </row>
    <row r="3768" spans="1:11" s="35" customFormat="1">
      <c r="A3768" s="534"/>
      <c r="B3768" s="59" t="s">
        <v>110</v>
      </c>
      <c r="C3768" s="230"/>
      <c r="D3768" s="230">
        <v>57</v>
      </c>
      <c r="E3768" s="216">
        <v>0</v>
      </c>
      <c r="F3768" s="156">
        <f t="shared" si="510"/>
        <v>57</v>
      </c>
      <c r="G3768" s="24" t="s">
        <v>7978</v>
      </c>
      <c r="H3768" s="2003" t="str">
        <f t="shared" si="507"/>
        <v>BAB3080H</v>
      </c>
      <c r="I3768" s="508"/>
      <c r="J3768" s="106" t="s">
        <v>1835</v>
      </c>
      <c r="K3768" s="508"/>
    </row>
    <row r="3769" spans="1:11" s="35" customFormat="1">
      <c r="A3769" s="534"/>
      <c r="B3769" s="59" t="s">
        <v>111</v>
      </c>
      <c r="C3769" s="230"/>
      <c r="D3769" s="230">
        <v>57</v>
      </c>
      <c r="E3769" s="216">
        <v>0</v>
      </c>
      <c r="F3769" s="156">
        <f t="shared" si="510"/>
        <v>57</v>
      </c>
      <c r="G3769" s="24" t="s">
        <v>7979</v>
      </c>
      <c r="H3769" s="2003" t="str">
        <f t="shared" si="507"/>
        <v>BAB3090H</v>
      </c>
      <c r="I3769" s="508"/>
      <c r="J3769" s="106" t="s">
        <v>1835</v>
      </c>
      <c r="K3769" s="508"/>
    </row>
    <row r="3770" spans="1:11" s="23" customFormat="1">
      <c r="A3770" s="534"/>
      <c r="B3770" s="59" t="s">
        <v>112</v>
      </c>
      <c r="C3770" s="230"/>
      <c r="D3770" s="230">
        <v>57</v>
      </c>
      <c r="E3770" s="216">
        <v>0</v>
      </c>
      <c r="F3770" s="156">
        <f t="shared" si="510"/>
        <v>57</v>
      </c>
      <c r="G3770" s="24" t="s">
        <v>7980</v>
      </c>
      <c r="H3770" s="2003" t="str">
        <f t="shared" si="507"/>
        <v>BAB3100H</v>
      </c>
      <c r="I3770" s="508"/>
      <c r="J3770" s="106" t="s">
        <v>1835</v>
      </c>
      <c r="K3770" s="508"/>
    </row>
    <row r="3771" spans="1:11" s="1790" customFormat="1">
      <c r="A3771" s="1797"/>
      <c r="B3771" s="1795"/>
      <c r="C3771" s="230"/>
      <c r="D3771" s="230"/>
      <c r="E3771" s="462"/>
      <c r="F3771" s="164"/>
      <c r="G3771" s="465"/>
      <c r="H3771" s="2036"/>
      <c r="I3771" s="1121"/>
      <c r="J3771" s="106"/>
      <c r="K3771" s="1121"/>
    </row>
    <row r="3772" spans="1:11" s="1790" customFormat="1" ht="12" customHeight="1">
      <c r="A3772" s="1797"/>
      <c r="B3772" s="1795"/>
      <c r="C3772" s="230"/>
      <c r="D3772" s="230"/>
      <c r="E3772" s="462"/>
      <c r="F3772" s="164"/>
      <c r="G3772" s="465"/>
      <c r="H3772" s="2036"/>
      <c r="I3772" s="1121"/>
      <c r="J3772" s="106"/>
      <c r="K3772" s="1121"/>
    </row>
    <row r="3773" spans="1:11" s="23" customFormat="1">
      <c r="A3773" s="534"/>
      <c r="B3773" s="1795" t="s">
        <v>7981</v>
      </c>
      <c r="C3773" s="230"/>
      <c r="D3773" s="230">
        <v>140</v>
      </c>
      <c r="E3773" s="462">
        <v>0</v>
      </c>
      <c r="F3773" s="164">
        <f>D3773+E3773</f>
        <v>140</v>
      </c>
      <c r="G3773" s="465" t="s">
        <v>7982</v>
      </c>
      <c r="H3773" s="2003" t="str">
        <f>B3773</f>
        <v>BAB2020HS</v>
      </c>
      <c r="I3773" s="508"/>
      <c r="J3773" s="106" t="s">
        <v>1835</v>
      </c>
      <c r="K3773" s="508"/>
    </row>
    <row r="3774" spans="1:11" s="23" customFormat="1">
      <c r="A3774" s="534"/>
      <c r="B3774" s="59" t="s">
        <v>9413</v>
      </c>
      <c r="C3774" s="230"/>
      <c r="D3774" s="230">
        <v>140</v>
      </c>
      <c r="E3774" s="216">
        <v>0</v>
      </c>
      <c r="F3774" s="156">
        <f>D3774+E3774</f>
        <v>140</v>
      </c>
      <c r="G3774" s="24" t="s">
        <v>9414</v>
      </c>
      <c r="H3774" s="2003" t="str">
        <f>B3774</f>
        <v>BAB3020HS</v>
      </c>
      <c r="I3774" s="508"/>
      <c r="J3774" s="106" t="s">
        <v>1835</v>
      </c>
      <c r="K3774" s="508"/>
    </row>
    <row r="3775" spans="1:11" s="23" customFormat="1">
      <c r="A3775" s="534"/>
      <c r="B3775" s="59" t="s">
        <v>7983</v>
      </c>
      <c r="C3775" s="230"/>
      <c r="D3775" s="230">
        <v>140</v>
      </c>
      <c r="E3775" s="216">
        <v>0</v>
      </c>
      <c r="F3775" s="156">
        <f>D3775+E3775</f>
        <v>140</v>
      </c>
      <c r="G3775" s="24" t="s">
        <v>7984</v>
      </c>
      <c r="H3775" s="2003" t="str">
        <f>B3775</f>
        <v>BAB3030HS</v>
      </c>
      <c r="I3775" s="508"/>
      <c r="J3775" s="106" t="s">
        <v>1835</v>
      </c>
      <c r="K3775" s="508"/>
    </row>
    <row r="3776" spans="1:11" s="23" customFormat="1">
      <c r="A3776" s="502"/>
      <c r="B3776" s="501"/>
      <c r="C3776" s="230"/>
      <c r="D3776" s="230"/>
      <c r="E3776" s="505"/>
      <c r="F3776" s="506"/>
      <c r="G3776" s="501"/>
      <c r="H3776" s="2003"/>
      <c r="I3776" s="501"/>
      <c r="J3776" s="502"/>
      <c r="K3776" s="501"/>
    </row>
    <row r="3777" spans="1:11" s="35" customFormat="1">
      <c r="A3777" s="502"/>
      <c r="B3777" s="1095" t="s">
        <v>7985</v>
      </c>
      <c r="C3777" s="1096"/>
      <c r="D3777" s="1096">
        <v>6</v>
      </c>
      <c r="E3777" s="1097">
        <v>1</v>
      </c>
      <c r="F3777" s="1098">
        <f>D3777+E3777</f>
        <v>7</v>
      </c>
      <c r="G3777" s="1099" t="s">
        <v>7986</v>
      </c>
      <c r="H3777" s="2003" t="str">
        <f t="shared" si="507"/>
        <v>QL123PL</v>
      </c>
      <c r="I3777" s="501"/>
      <c r="J3777" s="106" t="s">
        <v>1835</v>
      </c>
      <c r="K3777" s="501"/>
    </row>
    <row r="3778" spans="1:11" s="35" customFormat="1">
      <c r="A3778" s="502"/>
      <c r="B3778" s="501"/>
      <c r="C3778" s="230"/>
      <c r="D3778" s="230"/>
      <c r="E3778" s="505"/>
      <c r="F3778" s="506"/>
      <c r="G3778" s="501"/>
      <c r="H3778" s="2003"/>
      <c r="I3778" s="501"/>
      <c r="J3778" s="502"/>
      <c r="K3778" s="501"/>
    </row>
    <row r="3779" spans="1:11" s="35" customFormat="1">
      <c r="A3779" s="502"/>
      <c r="B3779" s="501"/>
      <c r="C3779" s="230"/>
      <c r="D3779" s="230"/>
      <c r="E3779" s="505"/>
      <c r="F3779" s="506"/>
      <c r="G3779" s="501"/>
      <c r="H3779" s="2003"/>
      <c r="I3779" s="501"/>
      <c r="J3779" s="502"/>
      <c r="K3779" s="501"/>
    </row>
    <row r="3780" spans="1:11" s="35" customFormat="1">
      <c r="A3780" s="502"/>
      <c r="B3780" s="1102" t="s">
        <v>3294</v>
      </c>
      <c r="C3780" s="230"/>
      <c r="D3780" s="230"/>
      <c r="E3780" s="505"/>
      <c r="F3780" s="506"/>
      <c r="G3780" s="501"/>
      <c r="H3780" s="2003"/>
      <c r="I3780" s="501"/>
      <c r="J3780" s="502"/>
      <c r="K3780" s="501"/>
    </row>
    <row r="3781" spans="1:11" s="35" customFormat="1">
      <c r="A3781" s="502"/>
      <c r="B3781" s="1101"/>
      <c r="C3781" s="230"/>
      <c r="D3781" s="230"/>
      <c r="E3781" s="505"/>
      <c r="F3781" s="506"/>
      <c r="G3781" s="501"/>
      <c r="H3781" s="2003"/>
      <c r="I3781" s="501"/>
      <c r="J3781" s="502"/>
      <c r="K3781" s="501"/>
    </row>
    <row r="3782" spans="1:11" s="35" customFormat="1">
      <c r="A3782" s="502"/>
      <c r="B3782" s="1101" t="s">
        <v>3287</v>
      </c>
      <c r="C3782" s="230"/>
      <c r="D3782" s="230">
        <v>95</v>
      </c>
      <c r="E3782" s="216">
        <v>5</v>
      </c>
      <c r="F3782" s="156">
        <f t="shared" ref="F3782:F3787" si="511">D3782+E3782</f>
        <v>100</v>
      </c>
      <c r="G3782" s="501" t="s">
        <v>7987</v>
      </c>
      <c r="H3782" s="2003" t="str">
        <f t="shared" si="507"/>
        <v>QBGF2015</v>
      </c>
      <c r="I3782" s="501"/>
      <c r="J3782" s="106" t="s">
        <v>1835</v>
      </c>
      <c r="K3782" s="501"/>
    </row>
    <row r="3783" spans="1:11" s="35" customFormat="1">
      <c r="A3783" s="502"/>
      <c r="B3783" s="1101" t="s">
        <v>3288</v>
      </c>
      <c r="C3783" s="230"/>
      <c r="D3783" s="230">
        <v>95</v>
      </c>
      <c r="E3783" s="216">
        <v>5</v>
      </c>
      <c r="F3783" s="156">
        <f t="shared" si="511"/>
        <v>100</v>
      </c>
      <c r="G3783" s="501" t="s">
        <v>7988</v>
      </c>
      <c r="H3783" s="2003" t="str">
        <f t="shared" si="507"/>
        <v>QBGF2020</v>
      </c>
      <c r="I3783" s="501"/>
      <c r="J3783" s="106" t="s">
        <v>1835</v>
      </c>
      <c r="K3783" s="501"/>
    </row>
    <row r="3784" spans="1:11" s="35" customFormat="1">
      <c r="A3784" s="502"/>
      <c r="B3784" s="1101" t="s">
        <v>3289</v>
      </c>
      <c r="C3784" s="230"/>
      <c r="D3784" s="230">
        <v>95</v>
      </c>
      <c r="E3784" s="216">
        <v>5</v>
      </c>
      <c r="F3784" s="156">
        <f t="shared" si="511"/>
        <v>100</v>
      </c>
      <c r="G3784" s="501" t="s">
        <v>7989</v>
      </c>
      <c r="H3784" s="2003" t="str">
        <f t="shared" si="507"/>
        <v>QBGF2030</v>
      </c>
      <c r="I3784" s="501"/>
      <c r="J3784" s="106" t="s">
        <v>1835</v>
      </c>
      <c r="K3784" s="501"/>
    </row>
    <row r="3785" spans="1:11" s="35" customFormat="1">
      <c r="A3785" s="502"/>
      <c r="B3785" s="1101" t="s">
        <v>3291</v>
      </c>
      <c r="C3785" s="230"/>
      <c r="D3785" s="230">
        <v>125</v>
      </c>
      <c r="E3785" s="216">
        <v>5</v>
      </c>
      <c r="F3785" s="156">
        <f t="shared" si="511"/>
        <v>130</v>
      </c>
      <c r="G3785" s="501" t="s">
        <v>7990</v>
      </c>
      <c r="H3785" s="2003" t="str">
        <f t="shared" si="507"/>
        <v>QBGFEP2015</v>
      </c>
      <c r="I3785" s="501"/>
      <c r="J3785" s="106" t="s">
        <v>1835</v>
      </c>
      <c r="K3785" s="501"/>
    </row>
    <row r="3786" spans="1:11" s="23" customFormat="1">
      <c r="A3786" s="502"/>
      <c r="B3786" s="1101" t="s">
        <v>3290</v>
      </c>
      <c r="C3786" s="230"/>
      <c r="D3786" s="230">
        <v>125</v>
      </c>
      <c r="E3786" s="216">
        <v>5</v>
      </c>
      <c r="F3786" s="156">
        <f t="shared" si="511"/>
        <v>130</v>
      </c>
      <c r="G3786" s="501" t="s">
        <v>7991</v>
      </c>
      <c r="H3786" s="2003" t="str">
        <f t="shared" si="507"/>
        <v>QBGFEP2020</v>
      </c>
      <c r="I3786" s="501"/>
      <c r="J3786" s="106" t="s">
        <v>1835</v>
      </c>
      <c r="K3786" s="501"/>
    </row>
    <row r="3787" spans="1:11" s="23" customFormat="1">
      <c r="A3787" s="502"/>
      <c r="B3787" s="1101" t="s">
        <v>7992</v>
      </c>
      <c r="C3787" s="230"/>
      <c r="D3787" s="230">
        <v>125</v>
      </c>
      <c r="E3787" s="216">
        <v>5</v>
      </c>
      <c r="F3787" s="156">
        <f t="shared" si="511"/>
        <v>130</v>
      </c>
      <c r="G3787" s="501" t="s">
        <v>7993</v>
      </c>
      <c r="H3787" s="2003" t="str">
        <f t="shared" si="507"/>
        <v>QBGFEP2030</v>
      </c>
      <c r="I3787" s="501"/>
      <c r="J3787" s="106" t="s">
        <v>1835</v>
      </c>
      <c r="K3787" s="501"/>
    </row>
    <row r="3788" spans="1:11" s="23" customFormat="1">
      <c r="A3788" s="502"/>
      <c r="B3788" s="501"/>
      <c r="C3788" s="230"/>
      <c r="D3788" s="230"/>
      <c r="E3788" s="505"/>
      <c r="F3788" s="506"/>
      <c r="G3788" s="501"/>
      <c r="H3788" s="501"/>
      <c r="I3788" s="501"/>
      <c r="J3788" s="502"/>
      <c r="K3788" s="501"/>
    </row>
    <row r="3789" spans="1:11" s="35" customFormat="1">
      <c r="A3789" s="502"/>
      <c r="B3789" s="1095" t="s">
        <v>13320</v>
      </c>
      <c r="C3789" s="1096"/>
      <c r="D3789" s="1096">
        <v>6</v>
      </c>
      <c r="E3789" s="1097">
        <v>1</v>
      </c>
      <c r="F3789" s="1098">
        <f>D3789+E3789</f>
        <v>7</v>
      </c>
      <c r="G3789" s="1099" t="s">
        <v>13321</v>
      </c>
      <c r="H3789" s="501" t="str">
        <f t="shared" ref="H3789" si="512">B3789</f>
        <v>QLGF12PL</v>
      </c>
      <c r="I3789" s="501"/>
      <c r="J3789" s="106" t="s">
        <v>1835</v>
      </c>
      <c r="K3789" s="501"/>
    </row>
    <row r="3790" spans="1:11" s="23" customFormat="1">
      <c r="A3790" s="502"/>
      <c r="B3790" s="501"/>
      <c r="C3790" s="230"/>
      <c r="D3790" s="230"/>
      <c r="E3790" s="505"/>
      <c r="F3790" s="506"/>
      <c r="G3790" s="501"/>
      <c r="H3790" s="2003"/>
      <c r="I3790" s="501"/>
      <c r="J3790" s="502"/>
      <c r="K3790" s="501"/>
    </row>
    <row r="3791" spans="1:11" s="35" customFormat="1">
      <c r="A3791" s="507"/>
      <c r="B3791" s="49"/>
      <c r="C3791" s="230"/>
      <c r="D3791" s="230"/>
      <c r="E3791" s="216"/>
      <c r="F3791" s="156"/>
      <c r="G3791" s="508"/>
      <c r="H3791" s="2031"/>
      <c r="I3791" s="508"/>
      <c r="J3791" s="507"/>
      <c r="K3791" s="508"/>
    </row>
    <row r="3792" spans="1:11" s="23" customFormat="1">
      <c r="A3792" s="502"/>
      <c r="B3792" s="1101"/>
      <c r="C3792" s="230"/>
      <c r="D3792" s="230"/>
      <c r="E3792" s="505"/>
      <c r="F3792" s="506"/>
      <c r="G3792" s="501"/>
      <c r="H3792" s="2003"/>
      <c r="I3792" s="501"/>
      <c r="J3792" s="502"/>
      <c r="K3792" s="501"/>
    </row>
    <row r="3793" spans="1:11" s="35" customFormat="1">
      <c r="A3793" s="507"/>
      <c r="B3793" s="49"/>
      <c r="C3793" s="230"/>
      <c r="D3793" s="230"/>
      <c r="E3793" s="216"/>
      <c r="F3793" s="156"/>
      <c r="G3793" s="508"/>
      <c r="H3793" s="2031"/>
      <c r="I3793" s="508"/>
      <c r="J3793" s="507"/>
      <c r="K3793" s="508"/>
    </row>
    <row r="3794" spans="1:11" s="35" customFormat="1">
      <c r="A3794" s="502"/>
      <c r="B3794" s="34" t="s">
        <v>358</v>
      </c>
      <c r="C3794" s="230"/>
      <c r="D3794" s="230"/>
      <c r="E3794" s="216"/>
      <c r="F3794" s="156"/>
      <c r="G3794" s="501"/>
      <c r="H3794" s="2003"/>
      <c r="I3794" s="501"/>
      <c r="J3794" s="502"/>
      <c r="K3794" s="501"/>
    </row>
    <row r="3795" spans="1:11" s="35" customFormat="1">
      <c r="A3795" s="510"/>
      <c r="B3795" s="28" t="s">
        <v>495</v>
      </c>
      <c r="C3795" s="230"/>
      <c r="D3795" s="230">
        <v>82</v>
      </c>
      <c r="E3795" s="216">
        <v>15</v>
      </c>
      <c r="F3795" s="156">
        <f t="shared" ref="F3795:F3802" si="513">D3795+E3795</f>
        <v>97</v>
      </c>
      <c r="G3795" s="24" t="s">
        <v>7994</v>
      </c>
      <c r="H3795" s="532" t="str">
        <f t="shared" ref="H3795:H3802" si="514">B3795</f>
        <v>BZME1-1-A20-BT-AP</v>
      </c>
      <c r="I3795" s="501"/>
      <c r="J3795" s="502" t="s">
        <v>1835</v>
      </c>
      <c r="K3795" s="501" t="s">
        <v>741</v>
      </c>
    </row>
    <row r="3796" spans="1:11" s="35" customFormat="1">
      <c r="A3796" s="510"/>
      <c r="B3796" s="28" t="s">
        <v>496</v>
      </c>
      <c r="C3796" s="230"/>
      <c r="D3796" s="230">
        <v>82</v>
      </c>
      <c r="E3796" s="216">
        <v>15</v>
      </c>
      <c r="F3796" s="156">
        <f t="shared" si="513"/>
        <v>97</v>
      </c>
      <c r="G3796" s="24" t="s">
        <v>7995</v>
      </c>
      <c r="H3796" s="532" t="str">
        <f t="shared" si="514"/>
        <v>BZME1-1-A25-BT-AP</v>
      </c>
      <c r="I3796" s="501"/>
      <c r="J3796" s="502" t="s">
        <v>1835</v>
      </c>
      <c r="K3796" s="501" t="s">
        <v>741</v>
      </c>
    </row>
    <row r="3797" spans="1:11" s="35" customFormat="1">
      <c r="A3797" s="510"/>
      <c r="B3797" s="28" t="s">
        <v>497</v>
      </c>
      <c r="C3797" s="230"/>
      <c r="D3797" s="230">
        <v>82</v>
      </c>
      <c r="E3797" s="216">
        <v>15</v>
      </c>
      <c r="F3797" s="156">
        <f t="shared" si="513"/>
        <v>97</v>
      </c>
      <c r="G3797" s="24" t="s">
        <v>7996</v>
      </c>
      <c r="H3797" s="532" t="str">
        <f t="shared" si="514"/>
        <v>BZME1-1-A32-BT-AP</v>
      </c>
      <c r="I3797" s="501"/>
      <c r="J3797" s="502" t="s">
        <v>1835</v>
      </c>
      <c r="K3797" s="501" t="s">
        <v>741</v>
      </c>
    </row>
    <row r="3798" spans="1:11" s="35" customFormat="1">
      <c r="A3798" s="510"/>
      <c r="B3798" s="28" t="s">
        <v>498</v>
      </c>
      <c r="C3798" s="230"/>
      <c r="D3798" s="230">
        <v>82</v>
      </c>
      <c r="E3798" s="216">
        <v>15</v>
      </c>
      <c r="F3798" s="156">
        <f t="shared" si="513"/>
        <v>97</v>
      </c>
      <c r="G3798" s="24" t="s">
        <v>7997</v>
      </c>
      <c r="H3798" s="532" t="str">
        <f t="shared" si="514"/>
        <v>BZME1-1-A40-BT-AP</v>
      </c>
      <c r="I3798" s="501"/>
      <c r="J3798" s="502" t="s">
        <v>1835</v>
      </c>
      <c r="K3798" s="501" t="s">
        <v>741</v>
      </c>
    </row>
    <row r="3799" spans="1:11" s="35" customFormat="1">
      <c r="A3799" s="510"/>
      <c r="B3799" s="28" t="s">
        <v>499</v>
      </c>
      <c r="C3799" s="230"/>
      <c r="D3799" s="230">
        <v>83</v>
      </c>
      <c r="E3799" s="216">
        <v>15</v>
      </c>
      <c r="F3799" s="156">
        <f t="shared" si="513"/>
        <v>98</v>
      </c>
      <c r="G3799" s="24" t="s">
        <v>7998</v>
      </c>
      <c r="H3799" s="532" t="str">
        <f t="shared" si="514"/>
        <v>BZME1-1-A50-BT-AP</v>
      </c>
      <c r="I3799" s="501"/>
      <c r="J3799" s="502" t="s">
        <v>1835</v>
      </c>
      <c r="K3799" s="501" t="s">
        <v>741</v>
      </c>
    </row>
    <row r="3800" spans="1:11" s="35" customFormat="1">
      <c r="A3800" s="510"/>
      <c r="B3800" s="28" t="s">
        <v>500</v>
      </c>
      <c r="C3800" s="230"/>
      <c r="D3800" s="230">
        <v>83</v>
      </c>
      <c r="E3800" s="216">
        <v>15</v>
      </c>
      <c r="F3800" s="156">
        <f t="shared" si="513"/>
        <v>98</v>
      </c>
      <c r="G3800" s="24" t="s">
        <v>7999</v>
      </c>
      <c r="H3800" s="532" t="str">
        <f t="shared" si="514"/>
        <v>BZME1-1-A63-BT-AP</v>
      </c>
      <c r="I3800" s="501"/>
      <c r="J3800" s="502" t="s">
        <v>1835</v>
      </c>
      <c r="K3800" s="501" t="s">
        <v>741</v>
      </c>
    </row>
    <row r="3801" spans="1:11" s="35" customFormat="1">
      <c r="A3801" s="510"/>
      <c r="B3801" s="28" t="s">
        <v>501</v>
      </c>
      <c r="C3801" s="230"/>
      <c r="D3801" s="230">
        <v>89</v>
      </c>
      <c r="E3801" s="216">
        <v>15</v>
      </c>
      <c r="F3801" s="156">
        <f t="shared" si="513"/>
        <v>104</v>
      </c>
      <c r="G3801" s="24" t="s">
        <v>8000</v>
      </c>
      <c r="H3801" s="532" t="str">
        <f t="shared" si="514"/>
        <v>BZME1-1-A80-BT-AP</v>
      </c>
      <c r="I3801" s="501"/>
      <c r="J3801" s="502" t="s">
        <v>1835</v>
      </c>
      <c r="K3801" s="501" t="s">
        <v>741</v>
      </c>
    </row>
    <row r="3802" spans="1:11" s="35" customFormat="1">
      <c r="A3802" s="510"/>
      <c r="B3802" s="28" t="s">
        <v>502</v>
      </c>
      <c r="C3802" s="230"/>
      <c r="D3802" s="230">
        <v>104</v>
      </c>
      <c r="E3802" s="216">
        <v>15</v>
      </c>
      <c r="F3802" s="156">
        <f t="shared" si="513"/>
        <v>119</v>
      </c>
      <c r="G3802" s="24" t="s">
        <v>8001</v>
      </c>
      <c r="H3802" s="532" t="str">
        <f t="shared" si="514"/>
        <v>BZME1-1-A100-BT-AP</v>
      </c>
      <c r="I3802" s="501"/>
      <c r="J3802" s="502" t="s">
        <v>1835</v>
      </c>
      <c r="K3802" s="501" t="s">
        <v>741</v>
      </c>
    </row>
    <row r="3803" spans="1:11" s="35" customFormat="1">
      <c r="A3803" s="502"/>
      <c r="B3803" s="28"/>
      <c r="C3803" s="230"/>
      <c r="D3803" s="230"/>
      <c r="E3803" s="216"/>
      <c r="F3803" s="156"/>
      <c r="G3803" s="24"/>
      <c r="H3803" s="532"/>
      <c r="I3803" s="501"/>
      <c r="J3803" s="502"/>
      <c r="K3803" s="501"/>
    </row>
    <row r="3804" spans="1:11" s="35" customFormat="1">
      <c r="A3804" s="510"/>
      <c r="B3804" s="28" t="s">
        <v>8002</v>
      </c>
      <c r="C3804" s="230"/>
      <c r="D3804" s="230">
        <v>105</v>
      </c>
      <c r="E3804" s="216">
        <v>15</v>
      </c>
      <c r="F3804" s="156">
        <f t="shared" ref="F3804:F3812" si="515">D3804+E3804</f>
        <v>120</v>
      </c>
      <c r="G3804" s="24" t="s">
        <v>8003</v>
      </c>
      <c r="H3804" s="532" t="str">
        <f t="shared" ref="H3804:H3812" si="516">B3804</f>
        <v>BZME1-2-A16-BT-AP</v>
      </c>
      <c r="I3804" s="501"/>
      <c r="J3804" s="502" t="s">
        <v>1835</v>
      </c>
      <c r="K3804" s="501" t="s">
        <v>741</v>
      </c>
    </row>
    <row r="3805" spans="1:11" s="35" customFormat="1">
      <c r="A3805" s="510"/>
      <c r="B3805" s="28" t="s">
        <v>503</v>
      </c>
      <c r="C3805" s="230"/>
      <c r="D3805" s="230">
        <v>105</v>
      </c>
      <c r="E3805" s="216">
        <v>15</v>
      </c>
      <c r="F3805" s="156">
        <f>D3805+E3805</f>
        <v>120</v>
      </c>
      <c r="G3805" s="24" t="s">
        <v>8004</v>
      </c>
      <c r="H3805" s="532" t="str">
        <f>B3805</f>
        <v>BZME1-2-A20-BT-AP</v>
      </c>
      <c r="I3805" s="501"/>
      <c r="J3805" s="502" t="s">
        <v>1835</v>
      </c>
      <c r="K3805" s="501" t="s">
        <v>741</v>
      </c>
    </row>
    <row r="3806" spans="1:11" s="35" customFormat="1">
      <c r="A3806" s="510"/>
      <c r="B3806" s="28" t="s">
        <v>504</v>
      </c>
      <c r="C3806" s="230"/>
      <c r="D3806" s="230">
        <v>105</v>
      </c>
      <c r="E3806" s="216">
        <v>15</v>
      </c>
      <c r="F3806" s="156">
        <f t="shared" si="515"/>
        <v>120</v>
      </c>
      <c r="G3806" s="24" t="s">
        <v>8005</v>
      </c>
      <c r="H3806" s="532" t="str">
        <f t="shared" si="516"/>
        <v>BZME1-2-A25-BT-AP</v>
      </c>
      <c r="I3806" s="501"/>
      <c r="J3806" s="502" t="s">
        <v>1835</v>
      </c>
      <c r="K3806" s="501" t="s">
        <v>741</v>
      </c>
    </row>
    <row r="3807" spans="1:11" s="35" customFormat="1">
      <c r="A3807" s="510"/>
      <c r="B3807" s="28" t="s">
        <v>505</v>
      </c>
      <c r="C3807" s="230"/>
      <c r="D3807" s="230">
        <v>105</v>
      </c>
      <c r="E3807" s="216">
        <v>15</v>
      </c>
      <c r="F3807" s="156">
        <f t="shared" si="515"/>
        <v>120</v>
      </c>
      <c r="G3807" s="24" t="s">
        <v>8006</v>
      </c>
      <c r="H3807" s="532" t="str">
        <f t="shared" si="516"/>
        <v>BZME1-2-A32-BT-AP</v>
      </c>
      <c r="I3807" s="501"/>
      <c r="J3807" s="502" t="s">
        <v>1835</v>
      </c>
      <c r="K3807" s="501" t="s">
        <v>741</v>
      </c>
    </row>
    <row r="3808" spans="1:11" s="35" customFormat="1">
      <c r="A3808" s="510"/>
      <c r="B3808" s="28" t="s">
        <v>506</v>
      </c>
      <c r="C3808" s="230"/>
      <c r="D3808" s="230">
        <v>107</v>
      </c>
      <c r="E3808" s="216">
        <v>15</v>
      </c>
      <c r="F3808" s="156">
        <f t="shared" si="515"/>
        <v>122</v>
      </c>
      <c r="G3808" s="24" t="s">
        <v>8007</v>
      </c>
      <c r="H3808" s="532" t="str">
        <f t="shared" si="516"/>
        <v>BZME1-2-A40-BT-AP</v>
      </c>
      <c r="I3808" s="501"/>
      <c r="J3808" s="502" t="s">
        <v>1835</v>
      </c>
      <c r="K3808" s="501" t="s">
        <v>741</v>
      </c>
    </row>
    <row r="3809" spans="1:11" s="35" customFormat="1">
      <c r="A3809" s="510"/>
      <c r="B3809" s="28" t="s">
        <v>507</v>
      </c>
      <c r="C3809" s="230"/>
      <c r="D3809" s="230">
        <v>107</v>
      </c>
      <c r="E3809" s="216">
        <v>15</v>
      </c>
      <c r="F3809" s="156">
        <f t="shared" si="515"/>
        <v>122</v>
      </c>
      <c r="G3809" s="24" t="s">
        <v>8008</v>
      </c>
      <c r="H3809" s="532" t="str">
        <f t="shared" si="516"/>
        <v>BZME1-2-A50-BT-AP</v>
      </c>
      <c r="I3809" s="501"/>
      <c r="J3809" s="502" t="s">
        <v>1835</v>
      </c>
      <c r="K3809" s="501" t="s">
        <v>741</v>
      </c>
    </row>
    <row r="3810" spans="1:11" s="35" customFormat="1">
      <c r="A3810" s="510"/>
      <c r="B3810" s="28" t="s">
        <v>508</v>
      </c>
      <c r="C3810" s="230"/>
      <c r="D3810" s="230">
        <v>107</v>
      </c>
      <c r="E3810" s="216">
        <v>15</v>
      </c>
      <c r="F3810" s="156">
        <f t="shared" si="515"/>
        <v>122</v>
      </c>
      <c r="G3810" s="24" t="s">
        <v>8009</v>
      </c>
      <c r="H3810" s="532" t="str">
        <f t="shared" si="516"/>
        <v>BZME1-2-A63-BT-AP</v>
      </c>
      <c r="I3810" s="501"/>
      <c r="J3810" s="502" t="s">
        <v>1835</v>
      </c>
      <c r="K3810" s="501" t="s">
        <v>741</v>
      </c>
    </row>
    <row r="3811" spans="1:11" s="35" customFormat="1">
      <c r="A3811" s="510"/>
      <c r="B3811" s="28" t="s">
        <v>509</v>
      </c>
      <c r="C3811" s="230"/>
      <c r="D3811" s="230">
        <v>115</v>
      </c>
      <c r="E3811" s="216">
        <v>15</v>
      </c>
      <c r="F3811" s="156">
        <f t="shared" si="515"/>
        <v>130</v>
      </c>
      <c r="G3811" s="24" t="s">
        <v>8010</v>
      </c>
      <c r="H3811" s="532" t="str">
        <f t="shared" si="516"/>
        <v>BZME1-2-A80-BT-AP</v>
      </c>
      <c r="I3811" s="501"/>
      <c r="J3811" s="502" t="s">
        <v>1835</v>
      </c>
      <c r="K3811" s="501" t="s">
        <v>741</v>
      </c>
    </row>
    <row r="3812" spans="1:11" s="35" customFormat="1">
      <c r="A3812" s="510"/>
      <c r="B3812" s="28" t="s">
        <v>510</v>
      </c>
      <c r="C3812" s="230"/>
      <c r="D3812" s="230">
        <v>132</v>
      </c>
      <c r="E3812" s="216">
        <v>15</v>
      </c>
      <c r="F3812" s="156">
        <f t="shared" si="515"/>
        <v>147</v>
      </c>
      <c r="G3812" s="24" t="s">
        <v>8011</v>
      </c>
      <c r="H3812" s="532" t="str">
        <f t="shared" si="516"/>
        <v>BZME1-2-A100-BT-AP</v>
      </c>
      <c r="I3812" s="501"/>
      <c r="J3812" s="502" t="s">
        <v>1835</v>
      </c>
      <c r="K3812" s="501" t="s">
        <v>741</v>
      </c>
    </row>
    <row r="3813" spans="1:11" s="35" customFormat="1">
      <c r="A3813" s="502"/>
      <c r="B3813" s="28"/>
      <c r="C3813" s="230"/>
      <c r="D3813" s="230"/>
      <c r="E3813" s="216"/>
      <c r="F3813" s="156"/>
      <c r="G3813" s="24"/>
      <c r="H3813" s="532"/>
      <c r="I3813" s="501"/>
      <c r="J3813" s="502"/>
      <c r="K3813" s="501"/>
    </row>
    <row r="3814" spans="1:11" s="35" customFormat="1">
      <c r="A3814" s="510"/>
      <c r="B3814" s="28" t="s">
        <v>156</v>
      </c>
      <c r="C3814" s="230"/>
      <c r="D3814" s="230">
        <v>82</v>
      </c>
      <c r="E3814" s="216">
        <v>15</v>
      </c>
      <c r="F3814" s="156">
        <f t="shared" ref="F3814:F3823" si="517">D3814+E3814</f>
        <v>97</v>
      </c>
      <c r="G3814" s="24" t="s">
        <v>8012</v>
      </c>
      <c r="H3814" s="532" t="str">
        <f t="shared" ref="H3814:H3823" si="518">B3814</f>
        <v>BZME1-A16-BT-AP</v>
      </c>
      <c r="I3814" s="501"/>
      <c r="J3814" s="502" t="s">
        <v>1835</v>
      </c>
      <c r="K3814" s="501" t="s">
        <v>741</v>
      </c>
    </row>
    <row r="3815" spans="1:11" s="35" customFormat="1">
      <c r="A3815" s="510"/>
      <c r="B3815" s="28" t="s">
        <v>155</v>
      </c>
      <c r="C3815" s="230"/>
      <c r="D3815" s="230">
        <v>82</v>
      </c>
      <c r="E3815" s="216">
        <v>15</v>
      </c>
      <c r="F3815" s="156">
        <f t="shared" si="517"/>
        <v>97</v>
      </c>
      <c r="G3815" s="24" t="s">
        <v>8013</v>
      </c>
      <c r="H3815" s="532" t="str">
        <f t="shared" si="518"/>
        <v>BZME1-A20-BT-AP</v>
      </c>
      <c r="I3815" s="501"/>
      <c r="J3815" s="502" t="s">
        <v>1835</v>
      </c>
      <c r="K3815" s="501" t="s">
        <v>741</v>
      </c>
    </row>
    <row r="3816" spans="1:11" s="35" customFormat="1">
      <c r="A3816" s="510"/>
      <c r="B3816" s="28" t="s">
        <v>154</v>
      </c>
      <c r="C3816" s="230"/>
      <c r="D3816" s="230">
        <v>82</v>
      </c>
      <c r="E3816" s="216">
        <v>15</v>
      </c>
      <c r="F3816" s="156">
        <f t="shared" si="517"/>
        <v>97</v>
      </c>
      <c r="G3816" s="24" t="s">
        <v>8014</v>
      </c>
      <c r="H3816" s="532" t="str">
        <f t="shared" si="518"/>
        <v>BZME1-A25-BT-AP</v>
      </c>
      <c r="I3816" s="501"/>
      <c r="J3816" s="502" t="s">
        <v>1835</v>
      </c>
      <c r="K3816" s="501" t="s">
        <v>741</v>
      </c>
    </row>
    <row r="3817" spans="1:11" s="35" customFormat="1">
      <c r="A3817" s="510"/>
      <c r="B3817" s="28" t="s">
        <v>153</v>
      </c>
      <c r="C3817" s="230"/>
      <c r="D3817" s="230">
        <v>82</v>
      </c>
      <c r="E3817" s="216">
        <v>15</v>
      </c>
      <c r="F3817" s="156">
        <f t="shared" si="517"/>
        <v>97</v>
      </c>
      <c r="G3817" s="24" t="s">
        <v>8015</v>
      </c>
      <c r="H3817" s="532" t="str">
        <f t="shared" si="518"/>
        <v>BZME1-A32-BT-AP</v>
      </c>
      <c r="I3817" s="501"/>
      <c r="J3817" s="502" t="s">
        <v>1835</v>
      </c>
      <c r="K3817" s="501" t="s">
        <v>741</v>
      </c>
    </row>
    <row r="3818" spans="1:11" s="35" customFormat="1">
      <c r="A3818" s="510"/>
      <c r="B3818" s="28" t="s">
        <v>152</v>
      </c>
      <c r="C3818" s="230"/>
      <c r="D3818" s="230">
        <v>82</v>
      </c>
      <c r="E3818" s="216">
        <v>15</v>
      </c>
      <c r="F3818" s="156">
        <f t="shared" si="517"/>
        <v>97</v>
      </c>
      <c r="G3818" s="24" t="s">
        <v>8016</v>
      </c>
      <c r="H3818" s="532" t="str">
        <f t="shared" si="518"/>
        <v>BZME1-A40-BT-AP</v>
      </c>
      <c r="I3818" s="501"/>
      <c r="J3818" s="502" t="s">
        <v>1835</v>
      </c>
      <c r="K3818" s="501" t="s">
        <v>741</v>
      </c>
    </row>
    <row r="3819" spans="1:11" s="35" customFormat="1">
      <c r="A3819" s="510"/>
      <c r="B3819" s="28" t="s">
        <v>151</v>
      </c>
      <c r="C3819" s="230"/>
      <c r="D3819" s="230">
        <v>82</v>
      </c>
      <c r="E3819" s="216">
        <v>15</v>
      </c>
      <c r="F3819" s="156">
        <f t="shared" si="517"/>
        <v>97</v>
      </c>
      <c r="G3819" s="24" t="s">
        <v>8017</v>
      </c>
      <c r="H3819" s="532" t="str">
        <f t="shared" si="518"/>
        <v>BZME1-A50-BT-AP</v>
      </c>
      <c r="I3819" s="501"/>
      <c r="J3819" s="502" t="s">
        <v>1835</v>
      </c>
      <c r="K3819" s="501" t="s">
        <v>741</v>
      </c>
    </row>
    <row r="3820" spans="1:11" s="35" customFormat="1">
      <c r="A3820" s="510"/>
      <c r="B3820" s="28" t="s">
        <v>150</v>
      </c>
      <c r="C3820" s="230"/>
      <c r="D3820" s="230">
        <v>82</v>
      </c>
      <c r="E3820" s="216">
        <v>15</v>
      </c>
      <c r="F3820" s="156">
        <f t="shared" si="517"/>
        <v>97</v>
      </c>
      <c r="G3820" s="24" t="s">
        <v>8018</v>
      </c>
      <c r="H3820" s="532" t="str">
        <f t="shared" si="518"/>
        <v>BZME1-A63-BT-AP</v>
      </c>
      <c r="I3820" s="501"/>
      <c r="J3820" s="502" t="s">
        <v>1835</v>
      </c>
      <c r="K3820" s="501" t="s">
        <v>741</v>
      </c>
    </row>
    <row r="3821" spans="1:11" s="35" customFormat="1">
      <c r="A3821" s="510"/>
      <c r="B3821" s="28" t="s">
        <v>149</v>
      </c>
      <c r="C3821" s="230"/>
      <c r="D3821" s="230">
        <v>82</v>
      </c>
      <c r="E3821" s="216">
        <v>15</v>
      </c>
      <c r="F3821" s="156">
        <f t="shared" si="517"/>
        <v>97</v>
      </c>
      <c r="G3821" s="24" t="s">
        <v>8019</v>
      </c>
      <c r="H3821" s="532" t="str">
        <f t="shared" si="518"/>
        <v>BZME1-A80-BT-AP</v>
      </c>
      <c r="I3821" s="501"/>
      <c r="J3821" s="502" t="s">
        <v>1835</v>
      </c>
      <c r="K3821" s="501" t="s">
        <v>741</v>
      </c>
    </row>
    <row r="3822" spans="1:11" s="35" customFormat="1">
      <c r="A3822" s="510"/>
      <c r="B3822" s="28" t="s">
        <v>148</v>
      </c>
      <c r="C3822" s="230"/>
      <c r="D3822" s="230">
        <v>84</v>
      </c>
      <c r="E3822" s="216">
        <v>15</v>
      </c>
      <c r="F3822" s="156">
        <f t="shared" si="517"/>
        <v>99</v>
      </c>
      <c r="G3822" s="24" t="s">
        <v>8020</v>
      </c>
      <c r="H3822" s="532" t="str">
        <f t="shared" si="518"/>
        <v>BZME1-A100-BT-AP</v>
      </c>
      <c r="I3822" s="501"/>
      <c r="J3822" s="502" t="s">
        <v>1835</v>
      </c>
      <c r="K3822" s="501" t="s">
        <v>741</v>
      </c>
    </row>
    <row r="3823" spans="1:11" s="35" customFormat="1">
      <c r="A3823" s="510"/>
      <c r="B3823" s="28" t="s">
        <v>735</v>
      </c>
      <c r="C3823" s="230"/>
      <c r="D3823" s="496">
        <f>D3822*2.5</f>
        <v>210</v>
      </c>
      <c r="E3823" s="216">
        <v>15</v>
      </c>
      <c r="F3823" s="156">
        <f t="shared" si="517"/>
        <v>225</v>
      </c>
      <c r="G3823" s="24" t="s">
        <v>8021</v>
      </c>
      <c r="H3823" s="532" t="str">
        <f t="shared" si="518"/>
        <v>BZME1-A125-BT-AP</v>
      </c>
      <c r="I3823" s="501"/>
      <c r="J3823" s="502" t="s">
        <v>1835</v>
      </c>
      <c r="K3823" s="501" t="s">
        <v>741</v>
      </c>
    </row>
    <row r="3824" spans="1:11" s="35" customFormat="1">
      <c r="A3824" s="502"/>
      <c r="B3824" s="28"/>
      <c r="C3824" s="230"/>
      <c r="D3824" s="230"/>
      <c r="E3824" s="216"/>
      <c r="F3824" s="156"/>
      <c r="G3824" s="24"/>
      <c r="H3824" s="532"/>
      <c r="I3824" s="501"/>
      <c r="J3824" s="502"/>
      <c r="K3824" s="501"/>
    </row>
    <row r="3825" spans="1:11" s="35" customFormat="1">
      <c r="A3825" s="502"/>
      <c r="B3825" s="28" t="s">
        <v>511</v>
      </c>
      <c r="C3825" s="230"/>
      <c r="D3825" s="230">
        <v>165.7</v>
      </c>
      <c r="E3825" s="216">
        <v>15</v>
      </c>
      <c r="F3825" s="156">
        <f t="shared" ref="F3825:F3833" si="519">D3825+E3825</f>
        <v>180.7</v>
      </c>
      <c r="G3825" s="24" t="s">
        <v>8022</v>
      </c>
      <c r="H3825" s="532" t="str">
        <f t="shared" ref="H3825:H3833" si="520">B3825</f>
        <v>BZME1-4-A16-BT-AP</v>
      </c>
      <c r="I3825" s="501"/>
      <c r="J3825" s="502" t="s">
        <v>1835</v>
      </c>
      <c r="K3825" s="501" t="s">
        <v>741</v>
      </c>
    </row>
    <row r="3826" spans="1:11" s="35" customFormat="1">
      <c r="A3826" s="502"/>
      <c r="B3826" s="28" t="s">
        <v>512</v>
      </c>
      <c r="C3826" s="230"/>
      <c r="D3826" s="230">
        <v>165.7</v>
      </c>
      <c r="E3826" s="216">
        <v>15</v>
      </c>
      <c r="F3826" s="156">
        <f t="shared" si="519"/>
        <v>180.7</v>
      </c>
      <c r="G3826" s="24" t="s">
        <v>8023</v>
      </c>
      <c r="H3826" s="532" t="str">
        <f t="shared" si="520"/>
        <v>BZME1-4-A20-BT-AP</v>
      </c>
      <c r="I3826" s="501"/>
      <c r="J3826" s="502" t="s">
        <v>1835</v>
      </c>
      <c r="K3826" s="501" t="s">
        <v>741</v>
      </c>
    </row>
    <row r="3827" spans="1:11" s="35" customFormat="1">
      <c r="A3827" s="502"/>
      <c r="B3827" s="28" t="s">
        <v>513</v>
      </c>
      <c r="C3827" s="230"/>
      <c r="D3827" s="230">
        <v>165.7</v>
      </c>
      <c r="E3827" s="216">
        <v>15</v>
      </c>
      <c r="F3827" s="156">
        <f t="shared" si="519"/>
        <v>180.7</v>
      </c>
      <c r="G3827" s="24" t="s">
        <v>8024</v>
      </c>
      <c r="H3827" s="532" t="str">
        <f t="shared" si="520"/>
        <v>BZME1-4-A25-BT-AP</v>
      </c>
      <c r="I3827" s="501"/>
      <c r="J3827" s="502" t="s">
        <v>1835</v>
      </c>
      <c r="K3827" s="501" t="s">
        <v>741</v>
      </c>
    </row>
    <row r="3828" spans="1:11" s="35" customFormat="1">
      <c r="A3828" s="502"/>
      <c r="B3828" s="28" t="s">
        <v>514</v>
      </c>
      <c r="C3828" s="230"/>
      <c r="D3828" s="230">
        <v>165.7</v>
      </c>
      <c r="E3828" s="216">
        <v>15</v>
      </c>
      <c r="F3828" s="156">
        <f t="shared" si="519"/>
        <v>180.7</v>
      </c>
      <c r="G3828" s="24" t="s">
        <v>8025</v>
      </c>
      <c r="H3828" s="532" t="str">
        <f t="shared" si="520"/>
        <v>BZME1-4-A32-BT-AP</v>
      </c>
      <c r="I3828" s="501"/>
      <c r="J3828" s="502" t="s">
        <v>1835</v>
      </c>
      <c r="K3828" s="501" t="s">
        <v>741</v>
      </c>
    </row>
    <row r="3829" spans="1:11" s="35" customFormat="1">
      <c r="A3829" s="502"/>
      <c r="B3829" s="28" t="s">
        <v>515</v>
      </c>
      <c r="C3829" s="230"/>
      <c r="D3829" s="230">
        <v>165.7</v>
      </c>
      <c r="E3829" s="216">
        <v>15</v>
      </c>
      <c r="F3829" s="156">
        <f t="shared" si="519"/>
        <v>180.7</v>
      </c>
      <c r="G3829" s="24" t="s">
        <v>8026</v>
      </c>
      <c r="H3829" s="532" t="str">
        <f t="shared" si="520"/>
        <v>BZME1-4-A40-BT-AP</v>
      </c>
      <c r="I3829" s="501"/>
      <c r="J3829" s="502" t="s">
        <v>1835</v>
      </c>
      <c r="K3829" s="501" t="s">
        <v>741</v>
      </c>
    </row>
    <row r="3830" spans="1:11" s="35" customFormat="1">
      <c r="A3830" s="502"/>
      <c r="B3830" s="28" t="s">
        <v>516</v>
      </c>
      <c r="C3830" s="230"/>
      <c r="D3830" s="230">
        <v>168.1</v>
      </c>
      <c r="E3830" s="216">
        <v>15</v>
      </c>
      <c r="F3830" s="156">
        <f t="shared" si="519"/>
        <v>183.1</v>
      </c>
      <c r="G3830" s="24" t="s">
        <v>8027</v>
      </c>
      <c r="H3830" s="532" t="str">
        <f t="shared" si="520"/>
        <v>BZME1-4-A50-BT-AP</v>
      </c>
      <c r="I3830" s="501"/>
      <c r="J3830" s="502" t="s">
        <v>1835</v>
      </c>
      <c r="K3830" s="501" t="s">
        <v>741</v>
      </c>
    </row>
    <row r="3831" spans="1:11" s="35" customFormat="1">
      <c r="A3831" s="502"/>
      <c r="B3831" s="28" t="s">
        <v>517</v>
      </c>
      <c r="C3831" s="230"/>
      <c r="D3831" s="230">
        <v>168.1</v>
      </c>
      <c r="E3831" s="216">
        <v>15</v>
      </c>
      <c r="F3831" s="156">
        <f t="shared" si="519"/>
        <v>183.1</v>
      </c>
      <c r="G3831" s="24" t="s">
        <v>8028</v>
      </c>
      <c r="H3831" s="532" t="str">
        <f t="shared" si="520"/>
        <v>BZME1-4-A63-BT-AP</v>
      </c>
      <c r="I3831" s="501"/>
      <c r="J3831" s="502" t="s">
        <v>1835</v>
      </c>
      <c r="K3831" s="501" t="s">
        <v>741</v>
      </c>
    </row>
    <row r="3832" spans="1:11" s="35" customFormat="1">
      <c r="A3832" s="502"/>
      <c r="B3832" s="28" t="s">
        <v>518</v>
      </c>
      <c r="C3832" s="230"/>
      <c r="D3832" s="230">
        <v>181.6</v>
      </c>
      <c r="E3832" s="216">
        <v>15</v>
      </c>
      <c r="F3832" s="156">
        <f t="shared" si="519"/>
        <v>196.6</v>
      </c>
      <c r="G3832" s="24" t="s">
        <v>8029</v>
      </c>
      <c r="H3832" s="532" t="str">
        <f t="shared" si="520"/>
        <v>BZME1-4-A80-BT-AP</v>
      </c>
      <c r="I3832" s="501"/>
      <c r="J3832" s="502" t="s">
        <v>1835</v>
      </c>
      <c r="K3832" s="501" t="s">
        <v>741</v>
      </c>
    </row>
    <row r="3833" spans="1:11" s="35" customFormat="1">
      <c r="A3833" s="502"/>
      <c r="B3833" s="28" t="s">
        <v>519</v>
      </c>
      <c r="C3833" s="230"/>
      <c r="D3833" s="230">
        <v>181.6</v>
      </c>
      <c r="E3833" s="216">
        <v>15</v>
      </c>
      <c r="F3833" s="156">
        <f t="shared" si="519"/>
        <v>196.6</v>
      </c>
      <c r="G3833" s="24" t="s">
        <v>8030</v>
      </c>
      <c r="H3833" s="532" t="str">
        <f t="shared" si="520"/>
        <v>BZME1-4-A100-BT-AP</v>
      </c>
      <c r="I3833" s="501"/>
      <c r="J3833" s="502" t="s">
        <v>1835</v>
      </c>
      <c r="K3833" s="501" t="s">
        <v>741</v>
      </c>
    </row>
    <row r="3834" spans="1:11" s="35" customFormat="1">
      <c r="A3834" s="502"/>
      <c r="B3834" s="28"/>
      <c r="C3834" s="230"/>
      <c r="D3834" s="230"/>
      <c r="E3834" s="216"/>
      <c r="F3834" s="156"/>
      <c r="G3834" s="24"/>
      <c r="H3834" s="532"/>
      <c r="I3834" s="501"/>
      <c r="J3834" s="502"/>
      <c r="K3834" s="501"/>
    </row>
    <row r="3835" spans="1:11" s="35" customFormat="1">
      <c r="A3835" s="502"/>
      <c r="B3835" s="34" t="s">
        <v>359</v>
      </c>
      <c r="C3835" s="230"/>
      <c r="D3835" s="230"/>
      <c r="E3835" s="216"/>
      <c r="F3835" s="156"/>
      <c r="G3835" s="501"/>
      <c r="H3835" s="532"/>
      <c r="I3835" s="501"/>
      <c r="J3835" s="502"/>
      <c r="K3835" s="501"/>
    </row>
    <row r="3836" spans="1:11" s="35" customFormat="1">
      <c r="A3836" s="502"/>
      <c r="B3836" s="28" t="s">
        <v>520</v>
      </c>
      <c r="C3836" s="230"/>
      <c r="D3836" s="230">
        <v>92</v>
      </c>
      <c r="E3836" s="216">
        <v>15</v>
      </c>
      <c r="F3836" s="156">
        <f t="shared" ref="F3836:F3843" si="521">D3836+E3836</f>
        <v>107</v>
      </c>
      <c r="G3836" s="24" t="s">
        <v>8031</v>
      </c>
      <c r="H3836" s="532" t="str">
        <f t="shared" ref="H3836:H3843" si="522">B3836</f>
        <v>BZMB1-1-A20-BT-AP</v>
      </c>
      <c r="I3836" s="501"/>
      <c r="J3836" s="502" t="s">
        <v>1835</v>
      </c>
      <c r="K3836" s="501" t="s">
        <v>741</v>
      </c>
    </row>
    <row r="3837" spans="1:11" s="35" customFormat="1">
      <c r="A3837" s="502"/>
      <c r="B3837" s="28" t="s">
        <v>521</v>
      </c>
      <c r="C3837" s="230"/>
      <c r="D3837" s="230">
        <v>92</v>
      </c>
      <c r="E3837" s="216">
        <v>15</v>
      </c>
      <c r="F3837" s="156">
        <f t="shared" si="521"/>
        <v>107</v>
      </c>
      <c r="G3837" s="24" t="s">
        <v>8032</v>
      </c>
      <c r="H3837" s="532" t="str">
        <f t="shared" si="522"/>
        <v>BZMB1-1-A25-BT-AP</v>
      </c>
      <c r="I3837" s="501"/>
      <c r="J3837" s="502" t="s">
        <v>1835</v>
      </c>
      <c r="K3837" s="501" t="s">
        <v>741</v>
      </c>
    </row>
    <row r="3838" spans="1:11" s="35" customFormat="1">
      <c r="A3838" s="502"/>
      <c r="B3838" s="28" t="s">
        <v>522</v>
      </c>
      <c r="C3838" s="230"/>
      <c r="D3838" s="230">
        <v>92</v>
      </c>
      <c r="E3838" s="216">
        <v>15</v>
      </c>
      <c r="F3838" s="156">
        <f t="shared" si="521"/>
        <v>107</v>
      </c>
      <c r="G3838" s="24" t="s">
        <v>8033</v>
      </c>
      <c r="H3838" s="532" t="str">
        <f t="shared" si="522"/>
        <v>BZMB1-1-A32-BT-AP</v>
      </c>
      <c r="I3838" s="501"/>
      <c r="J3838" s="502" t="s">
        <v>1835</v>
      </c>
      <c r="K3838" s="501" t="s">
        <v>741</v>
      </c>
    </row>
    <row r="3839" spans="1:11" s="35" customFormat="1">
      <c r="A3839" s="502"/>
      <c r="B3839" s="28" t="s">
        <v>523</v>
      </c>
      <c r="C3839" s="230"/>
      <c r="D3839" s="230">
        <v>93.3</v>
      </c>
      <c r="E3839" s="216">
        <v>15</v>
      </c>
      <c r="F3839" s="156">
        <f t="shared" si="521"/>
        <v>108.3</v>
      </c>
      <c r="G3839" s="24" t="s">
        <v>8034</v>
      </c>
      <c r="H3839" s="532" t="str">
        <f t="shared" si="522"/>
        <v>BZMB1-1-A40-BT-AP</v>
      </c>
      <c r="I3839" s="501"/>
      <c r="J3839" s="502" t="s">
        <v>1835</v>
      </c>
      <c r="K3839" s="501" t="s">
        <v>741</v>
      </c>
    </row>
    <row r="3840" spans="1:11" s="35" customFormat="1">
      <c r="A3840" s="502"/>
      <c r="B3840" s="28" t="s">
        <v>524</v>
      </c>
      <c r="C3840" s="230"/>
      <c r="D3840" s="230">
        <v>93.3</v>
      </c>
      <c r="E3840" s="216">
        <v>15</v>
      </c>
      <c r="F3840" s="156">
        <f t="shared" si="521"/>
        <v>108.3</v>
      </c>
      <c r="G3840" s="24" t="s">
        <v>8035</v>
      </c>
      <c r="H3840" s="532" t="str">
        <f t="shared" si="522"/>
        <v>BZMB1-1-A50-BT-AP</v>
      </c>
      <c r="I3840" s="501"/>
      <c r="J3840" s="502" t="s">
        <v>1835</v>
      </c>
      <c r="K3840" s="501" t="s">
        <v>741</v>
      </c>
    </row>
    <row r="3841" spans="1:11" s="35" customFormat="1">
      <c r="A3841" s="502"/>
      <c r="B3841" s="28" t="s">
        <v>525</v>
      </c>
      <c r="C3841" s="230"/>
      <c r="D3841" s="230">
        <v>93.3</v>
      </c>
      <c r="E3841" s="216">
        <v>15</v>
      </c>
      <c r="F3841" s="156">
        <f t="shared" si="521"/>
        <v>108.3</v>
      </c>
      <c r="G3841" s="24" t="s">
        <v>8036</v>
      </c>
      <c r="H3841" s="532" t="str">
        <f t="shared" si="522"/>
        <v>BZMB1-1-A63-BT-AP</v>
      </c>
      <c r="I3841" s="501"/>
      <c r="J3841" s="502" t="s">
        <v>1835</v>
      </c>
      <c r="K3841" s="501" t="s">
        <v>741</v>
      </c>
    </row>
    <row r="3842" spans="1:11" s="35" customFormat="1">
      <c r="A3842" s="502"/>
      <c r="B3842" s="28" t="s">
        <v>526</v>
      </c>
      <c r="C3842" s="230"/>
      <c r="D3842" s="230">
        <v>100.8</v>
      </c>
      <c r="E3842" s="216">
        <v>15</v>
      </c>
      <c r="F3842" s="156">
        <f t="shared" si="521"/>
        <v>115.8</v>
      </c>
      <c r="G3842" s="24" t="s">
        <v>8037</v>
      </c>
      <c r="H3842" s="532" t="str">
        <f t="shared" si="522"/>
        <v>BZMB1-1-A80-BT-AP</v>
      </c>
      <c r="I3842" s="501"/>
      <c r="J3842" s="502" t="s">
        <v>1835</v>
      </c>
      <c r="K3842" s="501" t="s">
        <v>741</v>
      </c>
    </row>
    <row r="3843" spans="1:11" s="35" customFormat="1">
      <c r="A3843" s="502"/>
      <c r="B3843" s="28" t="s">
        <v>527</v>
      </c>
      <c r="C3843" s="230"/>
      <c r="D3843" s="230">
        <v>115.7</v>
      </c>
      <c r="E3843" s="216">
        <v>15</v>
      </c>
      <c r="F3843" s="156">
        <f t="shared" si="521"/>
        <v>130.69999999999999</v>
      </c>
      <c r="G3843" s="24" t="s">
        <v>8038</v>
      </c>
      <c r="H3843" s="532" t="str">
        <f t="shared" si="522"/>
        <v>BZMB1-1-A100-BT-AP</v>
      </c>
      <c r="I3843" s="501"/>
      <c r="J3843" s="502" t="s">
        <v>1835</v>
      </c>
      <c r="K3843" s="501" t="s">
        <v>741</v>
      </c>
    </row>
    <row r="3844" spans="1:11" s="35" customFormat="1">
      <c r="A3844" s="502"/>
      <c r="B3844" s="28"/>
      <c r="C3844" s="230"/>
      <c r="D3844" s="230"/>
      <c r="E3844" s="216"/>
      <c r="F3844" s="156"/>
      <c r="G3844" s="24"/>
      <c r="H3844" s="532"/>
      <c r="I3844" s="501"/>
      <c r="J3844" s="502"/>
      <c r="K3844" s="501"/>
    </row>
    <row r="3845" spans="1:11" s="35" customFormat="1">
      <c r="A3845" s="502"/>
      <c r="B3845" s="835" t="s">
        <v>2711</v>
      </c>
      <c r="C3845" s="579"/>
      <c r="D3845" s="579">
        <f t="shared" ref="D3845:D3851" si="523">107.2*1.07</f>
        <v>114.70400000000001</v>
      </c>
      <c r="E3845" s="836">
        <v>15</v>
      </c>
      <c r="F3845" s="837">
        <f t="shared" ref="F3845:F3853" si="524">D3845+E3845</f>
        <v>129.70400000000001</v>
      </c>
      <c r="G3845" s="528" t="s">
        <v>8039</v>
      </c>
      <c r="H3845" s="532" t="str">
        <f t="shared" ref="H3845:H3853" si="525">B3845</f>
        <v>BZMB1-2-A16-BT-AP</v>
      </c>
      <c r="I3845" s="501"/>
      <c r="J3845" s="502" t="s">
        <v>1835</v>
      </c>
      <c r="K3845" s="501" t="s">
        <v>741</v>
      </c>
    </row>
    <row r="3846" spans="1:11" s="35" customFormat="1">
      <c r="A3846" s="502"/>
      <c r="B3846" s="28" t="s">
        <v>528</v>
      </c>
      <c r="C3846" s="230"/>
      <c r="D3846" s="230">
        <f t="shared" si="523"/>
        <v>114.70400000000001</v>
      </c>
      <c r="E3846" s="216">
        <v>15</v>
      </c>
      <c r="F3846" s="156">
        <f t="shared" si="524"/>
        <v>129.70400000000001</v>
      </c>
      <c r="G3846" s="24" t="s">
        <v>8040</v>
      </c>
      <c r="H3846" s="532" t="str">
        <f t="shared" si="525"/>
        <v>BZMB1-2-A20-BT-AP</v>
      </c>
      <c r="I3846" s="501"/>
      <c r="J3846" s="502" t="s">
        <v>1835</v>
      </c>
      <c r="K3846" s="501" t="s">
        <v>741</v>
      </c>
    </row>
    <row r="3847" spans="1:11" s="35" customFormat="1">
      <c r="A3847" s="502"/>
      <c r="B3847" s="28" t="s">
        <v>529</v>
      </c>
      <c r="C3847" s="230"/>
      <c r="D3847" s="230">
        <f t="shared" si="523"/>
        <v>114.70400000000001</v>
      </c>
      <c r="E3847" s="216">
        <v>15</v>
      </c>
      <c r="F3847" s="156">
        <f t="shared" si="524"/>
        <v>129.70400000000001</v>
      </c>
      <c r="G3847" s="24" t="s">
        <v>8041</v>
      </c>
      <c r="H3847" s="532" t="str">
        <f t="shared" si="525"/>
        <v>BZMB1-2-A25-BT-AP</v>
      </c>
      <c r="I3847" s="501"/>
      <c r="J3847" s="502" t="s">
        <v>1835</v>
      </c>
      <c r="K3847" s="501" t="s">
        <v>741</v>
      </c>
    </row>
    <row r="3848" spans="1:11" s="35" customFormat="1">
      <c r="A3848" s="502"/>
      <c r="B3848" s="28" t="s">
        <v>530</v>
      </c>
      <c r="C3848" s="230"/>
      <c r="D3848" s="230">
        <f t="shared" si="523"/>
        <v>114.70400000000001</v>
      </c>
      <c r="E3848" s="216">
        <v>15</v>
      </c>
      <c r="F3848" s="156">
        <f t="shared" si="524"/>
        <v>129.70400000000001</v>
      </c>
      <c r="G3848" s="24" t="s">
        <v>8042</v>
      </c>
      <c r="H3848" s="532" t="str">
        <f t="shared" si="525"/>
        <v>BZMB1-2-A32-BT-AP</v>
      </c>
      <c r="I3848" s="501"/>
      <c r="J3848" s="502" t="s">
        <v>1835</v>
      </c>
      <c r="K3848" s="501" t="s">
        <v>741</v>
      </c>
    </row>
    <row r="3849" spans="1:11" s="35" customFormat="1">
      <c r="A3849" s="502"/>
      <c r="B3849" s="28" t="s">
        <v>531</v>
      </c>
      <c r="C3849" s="230"/>
      <c r="D3849" s="230">
        <f t="shared" si="523"/>
        <v>114.70400000000001</v>
      </c>
      <c r="E3849" s="216">
        <v>15</v>
      </c>
      <c r="F3849" s="156">
        <f t="shared" si="524"/>
        <v>129.70400000000001</v>
      </c>
      <c r="G3849" s="24" t="s">
        <v>8043</v>
      </c>
      <c r="H3849" s="532" t="str">
        <f t="shared" si="525"/>
        <v>BZMB1-2-A40-BT-AP</v>
      </c>
      <c r="I3849" s="501"/>
      <c r="J3849" s="502" t="s">
        <v>1835</v>
      </c>
      <c r="K3849" s="501" t="s">
        <v>741</v>
      </c>
    </row>
    <row r="3850" spans="1:11" s="35" customFormat="1">
      <c r="A3850" s="502"/>
      <c r="B3850" s="28" t="s">
        <v>532</v>
      </c>
      <c r="C3850" s="230"/>
      <c r="D3850" s="230">
        <f t="shared" si="523"/>
        <v>114.70400000000001</v>
      </c>
      <c r="E3850" s="216">
        <v>15</v>
      </c>
      <c r="F3850" s="156">
        <f t="shared" si="524"/>
        <v>129.70400000000001</v>
      </c>
      <c r="G3850" s="24" t="s">
        <v>8044</v>
      </c>
      <c r="H3850" s="532" t="str">
        <f t="shared" si="525"/>
        <v>BZMB1-2-A50-BT-AP</v>
      </c>
      <c r="I3850" s="501"/>
      <c r="J3850" s="502" t="s">
        <v>1835</v>
      </c>
      <c r="K3850" s="501" t="s">
        <v>741</v>
      </c>
    </row>
    <row r="3851" spans="1:11" s="35" customFormat="1">
      <c r="A3851" s="502"/>
      <c r="B3851" s="28" t="s">
        <v>533</v>
      </c>
      <c r="C3851" s="230"/>
      <c r="D3851" s="230">
        <f t="shared" si="523"/>
        <v>114.70400000000001</v>
      </c>
      <c r="E3851" s="216">
        <v>15</v>
      </c>
      <c r="F3851" s="156">
        <f t="shared" si="524"/>
        <v>129.70400000000001</v>
      </c>
      <c r="G3851" s="24" t="s">
        <v>8045</v>
      </c>
      <c r="H3851" s="532" t="str">
        <f t="shared" si="525"/>
        <v>BZMB1-2-A63-BT-AP</v>
      </c>
      <c r="I3851" s="501"/>
      <c r="J3851" s="502" t="s">
        <v>1835</v>
      </c>
      <c r="K3851" s="501" t="s">
        <v>741</v>
      </c>
    </row>
    <row r="3852" spans="1:11" s="35" customFormat="1">
      <c r="A3852" s="502"/>
      <c r="B3852" s="28" t="s">
        <v>534</v>
      </c>
      <c r="C3852" s="230"/>
      <c r="D3852" s="230">
        <f>118.2*1.07</f>
        <v>126.474</v>
      </c>
      <c r="E3852" s="216">
        <v>15</v>
      </c>
      <c r="F3852" s="156">
        <f t="shared" si="524"/>
        <v>141.47399999999999</v>
      </c>
      <c r="G3852" s="24" t="s">
        <v>8046</v>
      </c>
      <c r="H3852" s="532" t="str">
        <f t="shared" si="525"/>
        <v>BZMB1-2-A80-BT-AP</v>
      </c>
      <c r="I3852" s="501"/>
      <c r="J3852" s="502" t="s">
        <v>1835</v>
      </c>
      <c r="K3852" s="501" t="s">
        <v>741</v>
      </c>
    </row>
    <row r="3853" spans="1:11" s="21" customFormat="1">
      <c r="A3853" s="502"/>
      <c r="B3853" s="28" t="s">
        <v>535</v>
      </c>
      <c r="C3853" s="230"/>
      <c r="D3853" s="230">
        <f>135.2*1.07</f>
        <v>144.66399999999999</v>
      </c>
      <c r="E3853" s="216">
        <v>15</v>
      </c>
      <c r="F3853" s="156">
        <f t="shared" si="524"/>
        <v>159.66399999999999</v>
      </c>
      <c r="G3853" s="24" t="s">
        <v>8047</v>
      </c>
      <c r="H3853" s="532" t="str">
        <f t="shared" si="525"/>
        <v>BZMB1-2-A100-BT-AP</v>
      </c>
      <c r="I3853" s="501"/>
      <c r="J3853" s="502" t="s">
        <v>1835</v>
      </c>
      <c r="K3853" s="501" t="s">
        <v>741</v>
      </c>
    </row>
    <row r="3854" spans="1:11" s="35" customFormat="1">
      <c r="A3854" s="523"/>
      <c r="B3854" s="524"/>
      <c r="C3854" s="230"/>
      <c r="D3854" s="230"/>
      <c r="E3854" s="462"/>
      <c r="F3854" s="164"/>
      <c r="G3854" s="465"/>
      <c r="H3854" s="532"/>
      <c r="I3854" s="513"/>
      <c r="J3854" s="502"/>
      <c r="K3854" s="501"/>
    </row>
    <row r="3855" spans="1:11" s="35" customFormat="1">
      <c r="A3855" s="510"/>
      <c r="B3855" s="28" t="s">
        <v>165</v>
      </c>
      <c r="C3855" s="230"/>
      <c r="D3855" s="230">
        <v>90</v>
      </c>
      <c r="E3855" s="216">
        <v>15</v>
      </c>
      <c r="F3855" s="156">
        <f t="shared" ref="F3855:F3863" si="526">D3855+E3855</f>
        <v>105</v>
      </c>
      <c r="G3855" s="24" t="s">
        <v>8048</v>
      </c>
      <c r="H3855" s="532" t="str">
        <f t="shared" ref="H3855:H3863" si="527">B3855</f>
        <v>BZMB1-A16-BT-AP</v>
      </c>
      <c r="I3855" s="501"/>
      <c r="J3855" s="502" t="s">
        <v>1835</v>
      </c>
      <c r="K3855" s="501" t="s">
        <v>741</v>
      </c>
    </row>
    <row r="3856" spans="1:11" s="35" customFormat="1">
      <c r="A3856" s="510"/>
      <c r="B3856" s="28" t="s">
        <v>164</v>
      </c>
      <c r="C3856" s="230"/>
      <c r="D3856" s="230">
        <v>90</v>
      </c>
      <c r="E3856" s="216">
        <v>15</v>
      </c>
      <c r="F3856" s="156">
        <f t="shared" si="526"/>
        <v>105</v>
      </c>
      <c r="G3856" s="24" t="s">
        <v>8049</v>
      </c>
      <c r="H3856" s="532" t="str">
        <f t="shared" si="527"/>
        <v>BZMB1-A20-BT-AP</v>
      </c>
      <c r="I3856" s="501"/>
      <c r="J3856" s="502" t="s">
        <v>1835</v>
      </c>
      <c r="K3856" s="501" t="s">
        <v>741</v>
      </c>
    </row>
    <row r="3857" spans="1:11" s="35" customFormat="1">
      <c r="A3857" s="510"/>
      <c r="B3857" s="28" t="s">
        <v>163</v>
      </c>
      <c r="C3857" s="230"/>
      <c r="D3857" s="230">
        <v>90</v>
      </c>
      <c r="E3857" s="216">
        <v>15</v>
      </c>
      <c r="F3857" s="156">
        <f t="shared" si="526"/>
        <v>105</v>
      </c>
      <c r="G3857" s="24" t="s">
        <v>8050</v>
      </c>
      <c r="H3857" s="532" t="str">
        <f t="shared" si="527"/>
        <v>BZMB1-A25-BT-AP</v>
      </c>
      <c r="I3857" s="501"/>
      <c r="J3857" s="502" t="s">
        <v>1835</v>
      </c>
      <c r="K3857" s="501" t="s">
        <v>741</v>
      </c>
    </row>
    <row r="3858" spans="1:11" s="35" customFormat="1">
      <c r="A3858" s="510"/>
      <c r="B3858" s="28" t="s">
        <v>162</v>
      </c>
      <c r="C3858" s="230"/>
      <c r="D3858" s="230">
        <v>90</v>
      </c>
      <c r="E3858" s="216">
        <v>15</v>
      </c>
      <c r="F3858" s="156">
        <f t="shared" si="526"/>
        <v>105</v>
      </c>
      <c r="G3858" s="24" t="s">
        <v>8051</v>
      </c>
      <c r="H3858" s="532" t="str">
        <f t="shared" si="527"/>
        <v>BZMB1-A32-BT-AP</v>
      </c>
      <c r="I3858" s="501"/>
      <c r="J3858" s="502" t="s">
        <v>1835</v>
      </c>
      <c r="K3858" s="501" t="s">
        <v>741</v>
      </c>
    </row>
    <row r="3859" spans="1:11" s="35" customFormat="1">
      <c r="A3859" s="510"/>
      <c r="B3859" s="28" t="s">
        <v>161</v>
      </c>
      <c r="C3859" s="230"/>
      <c r="D3859" s="230">
        <v>90</v>
      </c>
      <c r="E3859" s="216">
        <v>15</v>
      </c>
      <c r="F3859" s="156">
        <f t="shared" si="526"/>
        <v>105</v>
      </c>
      <c r="G3859" s="24" t="s">
        <v>8052</v>
      </c>
      <c r="H3859" s="532" t="str">
        <f t="shared" si="527"/>
        <v>BZMB1-A40-BT-AP</v>
      </c>
      <c r="I3859" s="501"/>
      <c r="J3859" s="502" t="s">
        <v>1835</v>
      </c>
      <c r="K3859" s="501" t="s">
        <v>741</v>
      </c>
    </row>
    <row r="3860" spans="1:11" s="35" customFormat="1">
      <c r="A3860" s="510"/>
      <c r="B3860" s="28" t="s">
        <v>160</v>
      </c>
      <c r="C3860" s="230"/>
      <c r="D3860" s="230">
        <v>90</v>
      </c>
      <c r="E3860" s="216">
        <v>15</v>
      </c>
      <c r="F3860" s="156">
        <f t="shared" si="526"/>
        <v>105</v>
      </c>
      <c r="G3860" s="24" t="s">
        <v>8053</v>
      </c>
      <c r="H3860" s="532" t="str">
        <f t="shared" si="527"/>
        <v>BZMB1-A50-BT-AP</v>
      </c>
      <c r="I3860" s="501"/>
      <c r="J3860" s="502" t="s">
        <v>1835</v>
      </c>
      <c r="K3860" s="501" t="s">
        <v>741</v>
      </c>
    </row>
    <row r="3861" spans="1:11" s="35" customFormat="1">
      <c r="A3861" s="510"/>
      <c r="B3861" s="28" t="s">
        <v>159</v>
      </c>
      <c r="C3861" s="230"/>
      <c r="D3861" s="230">
        <v>90</v>
      </c>
      <c r="E3861" s="216">
        <v>15</v>
      </c>
      <c r="F3861" s="156">
        <f t="shared" si="526"/>
        <v>105</v>
      </c>
      <c r="G3861" s="24" t="s">
        <v>8054</v>
      </c>
      <c r="H3861" s="532" t="str">
        <f t="shared" si="527"/>
        <v>BZMB1-A63-BT-AP</v>
      </c>
      <c r="I3861" s="501"/>
      <c r="J3861" s="502" t="s">
        <v>1835</v>
      </c>
      <c r="K3861" s="501" t="s">
        <v>741</v>
      </c>
    </row>
    <row r="3862" spans="1:11" s="35" customFormat="1">
      <c r="A3862" s="510"/>
      <c r="B3862" s="28" t="s">
        <v>158</v>
      </c>
      <c r="C3862" s="230"/>
      <c r="D3862" s="230">
        <v>91</v>
      </c>
      <c r="E3862" s="216">
        <v>15</v>
      </c>
      <c r="F3862" s="156">
        <f t="shared" si="526"/>
        <v>106</v>
      </c>
      <c r="G3862" s="24" t="s">
        <v>8055</v>
      </c>
      <c r="H3862" s="532" t="str">
        <f t="shared" si="527"/>
        <v>BZMB1-A80-BT-AP</v>
      </c>
      <c r="I3862" s="501"/>
      <c r="J3862" s="502" t="s">
        <v>1835</v>
      </c>
      <c r="K3862" s="501" t="s">
        <v>741</v>
      </c>
    </row>
    <row r="3863" spans="1:11" s="35" customFormat="1">
      <c r="A3863" s="510"/>
      <c r="B3863" s="28" t="s">
        <v>157</v>
      </c>
      <c r="C3863" s="230"/>
      <c r="D3863" s="230">
        <v>91</v>
      </c>
      <c r="E3863" s="216">
        <v>15</v>
      </c>
      <c r="F3863" s="156">
        <f t="shared" si="526"/>
        <v>106</v>
      </c>
      <c r="G3863" s="24" t="s">
        <v>8056</v>
      </c>
      <c r="H3863" s="532" t="str">
        <f t="shared" si="527"/>
        <v>BZMB1-A100-BT-AP</v>
      </c>
      <c r="I3863" s="501"/>
      <c r="J3863" s="502" t="s">
        <v>1835</v>
      </c>
      <c r="K3863" s="501" t="s">
        <v>741</v>
      </c>
    </row>
    <row r="3864" spans="1:11" s="35" customFormat="1">
      <c r="A3864" s="502"/>
      <c r="B3864" s="28"/>
      <c r="C3864" s="230"/>
      <c r="D3864" s="230"/>
      <c r="E3864" s="216"/>
      <c r="F3864" s="156"/>
      <c r="G3864" s="24"/>
      <c r="H3864" s="532"/>
      <c r="I3864" s="501"/>
      <c r="J3864" s="502"/>
      <c r="K3864" s="501"/>
    </row>
    <row r="3865" spans="1:11" s="35" customFormat="1">
      <c r="A3865" s="502"/>
      <c r="B3865" s="786" t="s">
        <v>536</v>
      </c>
      <c r="C3865" s="230"/>
      <c r="D3865" s="230">
        <v>167.7</v>
      </c>
      <c r="E3865" s="216">
        <v>15</v>
      </c>
      <c r="F3865" s="156">
        <f t="shared" ref="F3865:F3873" si="528">D3865+E3865</f>
        <v>182.7</v>
      </c>
      <c r="G3865" s="24" t="s">
        <v>8057</v>
      </c>
      <c r="H3865" s="532" t="str">
        <f t="shared" ref="H3865:H3873" si="529">B3865</f>
        <v>BZMB1-4-A16-BT-AP</v>
      </c>
      <c r="I3865" s="501"/>
      <c r="J3865" s="502" t="s">
        <v>1835</v>
      </c>
      <c r="K3865" s="501" t="s">
        <v>741</v>
      </c>
    </row>
    <row r="3866" spans="1:11" s="35" customFormat="1">
      <c r="A3866" s="502"/>
      <c r="B3866" s="786" t="s">
        <v>537</v>
      </c>
      <c r="C3866" s="230"/>
      <c r="D3866" s="230">
        <v>167.7</v>
      </c>
      <c r="E3866" s="216">
        <v>15</v>
      </c>
      <c r="F3866" s="156">
        <f t="shared" si="528"/>
        <v>182.7</v>
      </c>
      <c r="G3866" s="24" t="s">
        <v>8058</v>
      </c>
      <c r="H3866" s="532" t="str">
        <f t="shared" si="529"/>
        <v>BZMB1-4-A20-BT-AP</v>
      </c>
      <c r="I3866" s="501"/>
      <c r="J3866" s="502" t="s">
        <v>1835</v>
      </c>
      <c r="K3866" s="501" t="s">
        <v>741</v>
      </c>
    </row>
    <row r="3867" spans="1:11" s="35" customFormat="1">
      <c r="A3867" s="502"/>
      <c r="B3867" s="786" t="s">
        <v>538</v>
      </c>
      <c r="C3867" s="230"/>
      <c r="D3867" s="230">
        <v>167.7</v>
      </c>
      <c r="E3867" s="216">
        <v>15</v>
      </c>
      <c r="F3867" s="156">
        <f t="shared" si="528"/>
        <v>182.7</v>
      </c>
      <c r="G3867" s="24" t="s">
        <v>8059</v>
      </c>
      <c r="H3867" s="532" t="str">
        <f t="shared" si="529"/>
        <v>BZMB1-4-A25-BT-AP</v>
      </c>
      <c r="I3867" s="501"/>
      <c r="J3867" s="502" t="s">
        <v>1835</v>
      </c>
      <c r="K3867" s="501" t="s">
        <v>741</v>
      </c>
    </row>
    <row r="3868" spans="1:11" s="35" customFormat="1">
      <c r="A3868" s="502"/>
      <c r="B3868" s="786" t="s">
        <v>539</v>
      </c>
      <c r="C3868" s="230"/>
      <c r="D3868" s="230">
        <v>167.7</v>
      </c>
      <c r="E3868" s="216">
        <v>15</v>
      </c>
      <c r="F3868" s="156">
        <f t="shared" si="528"/>
        <v>182.7</v>
      </c>
      <c r="G3868" s="24" t="s">
        <v>8060</v>
      </c>
      <c r="H3868" s="532" t="str">
        <f t="shared" si="529"/>
        <v>BZMB1-4-A32-BT-AP</v>
      </c>
      <c r="I3868" s="501"/>
      <c r="J3868" s="502" t="s">
        <v>1835</v>
      </c>
      <c r="K3868" s="501" t="s">
        <v>741</v>
      </c>
    </row>
    <row r="3869" spans="1:11" s="35" customFormat="1">
      <c r="A3869" s="502"/>
      <c r="B3869" s="786" t="s">
        <v>540</v>
      </c>
      <c r="C3869" s="230"/>
      <c r="D3869" s="230">
        <v>167.7</v>
      </c>
      <c r="E3869" s="216">
        <v>15</v>
      </c>
      <c r="F3869" s="156">
        <f t="shared" si="528"/>
        <v>182.7</v>
      </c>
      <c r="G3869" s="24" t="s">
        <v>8061</v>
      </c>
      <c r="H3869" s="532" t="str">
        <f t="shared" si="529"/>
        <v>BZMB1-4-A40-BT-AP</v>
      </c>
      <c r="I3869" s="501"/>
      <c r="J3869" s="502" t="s">
        <v>1835</v>
      </c>
      <c r="K3869" s="501" t="s">
        <v>741</v>
      </c>
    </row>
    <row r="3870" spans="1:11" s="35" customFormat="1">
      <c r="A3870" s="502"/>
      <c r="B3870" s="786" t="s">
        <v>541</v>
      </c>
      <c r="C3870" s="230"/>
      <c r="D3870" s="230">
        <v>167.7</v>
      </c>
      <c r="E3870" s="216">
        <v>15</v>
      </c>
      <c r="F3870" s="156">
        <f t="shared" si="528"/>
        <v>182.7</v>
      </c>
      <c r="G3870" s="24" t="s">
        <v>8062</v>
      </c>
      <c r="H3870" s="532" t="str">
        <f t="shared" si="529"/>
        <v>BZMB1-4-A50-BT-AP</v>
      </c>
      <c r="I3870" s="501"/>
      <c r="J3870" s="502" t="s">
        <v>1835</v>
      </c>
      <c r="K3870" s="501" t="s">
        <v>741</v>
      </c>
    </row>
    <row r="3871" spans="1:11" s="35" customFormat="1">
      <c r="A3871" s="502"/>
      <c r="B3871" s="786" t="s">
        <v>542</v>
      </c>
      <c r="C3871" s="230"/>
      <c r="D3871" s="230">
        <v>167.7</v>
      </c>
      <c r="E3871" s="216">
        <v>15</v>
      </c>
      <c r="F3871" s="156">
        <f t="shared" si="528"/>
        <v>182.7</v>
      </c>
      <c r="G3871" s="24" t="s">
        <v>8063</v>
      </c>
      <c r="H3871" s="532" t="str">
        <f t="shared" si="529"/>
        <v>BZMB1-4-A63-BT-AP</v>
      </c>
      <c r="I3871" s="501"/>
      <c r="J3871" s="502" t="s">
        <v>1835</v>
      </c>
      <c r="K3871" s="501" t="s">
        <v>741</v>
      </c>
    </row>
    <row r="3872" spans="1:11" s="35" customFormat="1">
      <c r="A3872" s="502"/>
      <c r="B3872" s="786" t="s">
        <v>543</v>
      </c>
      <c r="C3872" s="230"/>
      <c r="D3872" s="230">
        <v>184.9</v>
      </c>
      <c r="E3872" s="216">
        <v>15</v>
      </c>
      <c r="F3872" s="156">
        <f t="shared" si="528"/>
        <v>199.9</v>
      </c>
      <c r="G3872" s="24" t="s">
        <v>8064</v>
      </c>
      <c r="H3872" s="532" t="str">
        <f t="shared" si="529"/>
        <v>BZMB1-4-A80-BT-AP</v>
      </c>
      <c r="I3872" s="501"/>
      <c r="J3872" s="502" t="s">
        <v>1835</v>
      </c>
      <c r="K3872" s="501" t="s">
        <v>741</v>
      </c>
    </row>
    <row r="3873" spans="1:14" s="195" customFormat="1">
      <c r="A3873" s="502"/>
      <c r="B3873" s="786" t="s">
        <v>544</v>
      </c>
      <c r="C3873" s="230"/>
      <c r="D3873" s="230">
        <v>211.5</v>
      </c>
      <c r="E3873" s="216">
        <v>15</v>
      </c>
      <c r="F3873" s="156">
        <f t="shared" si="528"/>
        <v>226.5</v>
      </c>
      <c r="G3873" s="24" t="s">
        <v>8065</v>
      </c>
      <c r="H3873" s="532" t="str">
        <f t="shared" si="529"/>
        <v>BZMB1-4-A100-BT-AP</v>
      </c>
      <c r="I3873" s="501"/>
      <c r="J3873" s="502" t="s">
        <v>1835</v>
      </c>
      <c r="K3873" s="501" t="s">
        <v>741</v>
      </c>
    </row>
    <row r="3874" spans="1:14" s="195" customFormat="1">
      <c r="A3874" s="1798"/>
      <c r="B3874" s="786" t="s">
        <v>8066</v>
      </c>
      <c r="C3874" s="230"/>
      <c r="D3874" s="230">
        <v>211.5</v>
      </c>
      <c r="E3874" s="216">
        <v>15</v>
      </c>
      <c r="F3874" s="156">
        <f>D3874+E3874</f>
        <v>226.5</v>
      </c>
      <c r="G3874" s="24" t="s">
        <v>8065</v>
      </c>
      <c r="H3874" s="532" t="str">
        <f>B3874</f>
        <v>BZMB1-4-A160-BT-AP</v>
      </c>
      <c r="I3874" s="501"/>
      <c r="J3874" s="502" t="s">
        <v>1835</v>
      </c>
      <c r="K3874" s="501" t="s">
        <v>741</v>
      </c>
    </row>
    <row r="3875" spans="1:14" s="35" customFormat="1">
      <c r="A3875" s="523"/>
      <c r="B3875" s="524"/>
      <c r="C3875" s="230"/>
      <c r="D3875" s="230"/>
      <c r="E3875" s="462"/>
      <c r="F3875" s="164"/>
      <c r="G3875" s="465"/>
      <c r="H3875" s="1801"/>
      <c r="I3875" s="525"/>
      <c r="J3875" s="523"/>
      <c r="K3875" s="525"/>
    </row>
    <row r="3876" spans="1:14" s="35" customFormat="1">
      <c r="A3876" s="510"/>
      <c r="B3876" s="28" t="s">
        <v>166</v>
      </c>
      <c r="C3876" s="230"/>
      <c r="D3876" s="230">
        <v>131</v>
      </c>
      <c r="E3876" s="216">
        <v>15</v>
      </c>
      <c r="F3876" s="156">
        <f>D3876+E3876</f>
        <v>146</v>
      </c>
      <c r="G3876" s="24" t="s">
        <v>8067</v>
      </c>
      <c r="H3876" s="532" t="str">
        <f>B3876</f>
        <v>BZMB2-A125</v>
      </c>
      <c r="I3876" s="501"/>
      <c r="J3876" s="514" t="s">
        <v>1835</v>
      </c>
      <c r="K3876" s="501"/>
    </row>
    <row r="3877" spans="1:14" s="35" customFormat="1">
      <c r="A3877" s="510"/>
      <c r="B3877" s="28" t="s">
        <v>167</v>
      </c>
      <c r="C3877" s="230"/>
      <c r="D3877" s="230">
        <v>131</v>
      </c>
      <c r="E3877" s="216">
        <v>15</v>
      </c>
      <c r="F3877" s="156">
        <f>D3877+E3877</f>
        <v>146</v>
      </c>
      <c r="G3877" s="24" t="s">
        <v>8068</v>
      </c>
      <c r="H3877" s="532" t="str">
        <f>B3877</f>
        <v>BZMB2-A160</v>
      </c>
      <c r="I3877" s="501"/>
      <c r="J3877" s="514" t="s">
        <v>1835</v>
      </c>
      <c r="K3877" s="501"/>
    </row>
    <row r="3878" spans="1:14" s="35" customFormat="1">
      <c r="A3878" s="510"/>
      <c r="B3878" s="28" t="s">
        <v>168</v>
      </c>
      <c r="C3878" s="230"/>
      <c r="D3878" s="230">
        <v>195</v>
      </c>
      <c r="E3878" s="216">
        <v>30</v>
      </c>
      <c r="F3878" s="156">
        <f>D3878+E3878</f>
        <v>225</v>
      </c>
      <c r="G3878" s="24" t="s">
        <v>8069</v>
      </c>
      <c r="H3878" s="532" t="str">
        <f>B3878</f>
        <v>BZMB2-A200</v>
      </c>
      <c r="I3878" s="501"/>
      <c r="J3878" s="514" t="s">
        <v>1835</v>
      </c>
      <c r="K3878" s="501"/>
    </row>
    <row r="3879" spans="1:14" s="35" customFormat="1">
      <c r="A3879" s="510"/>
      <c r="B3879" s="28" t="s">
        <v>169</v>
      </c>
      <c r="C3879" s="230"/>
      <c r="D3879" s="230">
        <v>202</v>
      </c>
      <c r="E3879" s="216">
        <v>30</v>
      </c>
      <c r="F3879" s="156">
        <f>D3879+E3879</f>
        <v>232</v>
      </c>
      <c r="G3879" s="24" t="s">
        <v>8070</v>
      </c>
      <c r="H3879" s="532" t="str">
        <f>B3879</f>
        <v>BZMB2-A250</v>
      </c>
      <c r="I3879" s="501"/>
      <c r="J3879" s="514" t="s">
        <v>1835</v>
      </c>
      <c r="K3879" s="501"/>
    </row>
    <row r="3880" spans="1:14" s="35" customFormat="1">
      <c r="A3880" s="502"/>
      <c r="B3880" s="28"/>
      <c r="C3880" s="230"/>
      <c r="D3880" s="230"/>
      <c r="E3880" s="216"/>
      <c r="F3880" s="156"/>
      <c r="G3880" s="24"/>
      <c r="H3880" s="532"/>
      <c r="I3880" s="501"/>
      <c r="J3880" s="514"/>
      <c r="K3880" s="501"/>
    </row>
    <row r="3881" spans="1:14" s="35" customFormat="1">
      <c r="A3881" s="510"/>
      <c r="B3881" s="28" t="s">
        <v>360</v>
      </c>
      <c r="C3881" s="230"/>
      <c r="D3881" s="230">
        <v>315</v>
      </c>
      <c r="E3881" s="216">
        <v>50</v>
      </c>
      <c r="F3881" s="156">
        <f>D3881+E3881</f>
        <v>365</v>
      </c>
      <c r="G3881" s="24" t="s">
        <v>8071</v>
      </c>
      <c r="H3881" s="532" t="str">
        <f>B3881</f>
        <v>BZMB3-A250</v>
      </c>
      <c r="I3881" s="501"/>
      <c r="J3881" s="514" t="s">
        <v>1835</v>
      </c>
      <c r="K3881" s="501"/>
    </row>
    <row r="3882" spans="1:14" s="35" customFormat="1">
      <c r="A3882" s="510"/>
      <c r="B3882" s="28" t="s">
        <v>361</v>
      </c>
      <c r="C3882" s="230"/>
      <c r="D3882" s="230">
        <v>315</v>
      </c>
      <c r="E3882" s="216">
        <v>50</v>
      </c>
      <c r="F3882" s="156">
        <f>D3882+E3882</f>
        <v>365</v>
      </c>
      <c r="G3882" s="24" t="s">
        <v>8072</v>
      </c>
      <c r="H3882" s="532" t="str">
        <f>B3882</f>
        <v>BZMB3-A320</v>
      </c>
      <c r="I3882" s="501"/>
      <c r="J3882" s="514" t="s">
        <v>1835</v>
      </c>
      <c r="K3882" s="501"/>
    </row>
    <row r="3883" spans="1:14" s="21" customFormat="1">
      <c r="A3883" s="510"/>
      <c r="B3883" s="28" t="s">
        <v>362</v>
      </c>
      <c r="C3883" s="230"/>
      <c r="D3883" s="230">
        <v>315</v>
      </c>
      <c r="E3883" s="216">
        <v>50</v>
      </c>
      <c r="F3883" s="156">
        <f>D3883+E3883</f>
        <v>365</v>
      </c>
      <c r="G3883" s="24" t="s">
        <v>8073</v>
      </c>
      <c r="H3883" s="532" t="str">
        <f>B3883</f>
        <v>BZMB3-A400</v>
      </c>
      <c r="I3883" s="501"/>
      <c r="J3883" s="514" t="s">
        <v>1835</v>
      </c>
      <c r="K3883" s="501"/>
    </row>
    <row r="3884" spans="1:14" s="35" customFormat="1">
      <c r="A3884" s="512"/>
      <c r="B3884" s="139"/>
      <c r="C3884" s="230"/>
      <c r="D3884" s="230"/>
      <c r="E3884" s="227"/>
      <c r="F3884" s="159"/>
      <c r="G3884" s="140"/>
      <c r="H3884" s="532"/>
      <c r="I3884" s="513"/>
      <c r="J3884" s="514"/>
      <c r="K3884" s="513"/>
    </row>
    <row r="3885" spans="1:14" s="48" customFormat="1">
      <c r="A3885" s="502"/>
      <c r="B3885" s="34" t="s">
        <v>1697</v>
      </c>
      <c r="C3885" s="384"/>
      <c r="D3885" s="384"/>
      <c r="E3885" s="216"/>
      <c r="F3885" s="156"/>
      <c r="G3885" s="501"/>
      <c r="H3885" s="532"/>
      <c r="I3885" s="501"/>
      <c r="J3885" s="514"/>
      <c r="K3885" s="501"/>
      <c r="L3885" s="201"/>
      <c r="M3885" s="201"/>
      <c r="N3885" s="201"/>
    </row>
    <row r="3886" spans="1:14" s="48" customFormat="1">
      <c r="A3886" s="514"/>
      <c r="B3886" s="439" t="s">
        <v>1698</v>
      </c>
      <c r="C3886" s="230"/>
      <c r="D3886" s="230">
        <v>75</v>
      </c>
      <c r="E3886" s="450">
        <v>5</v>
      </c>
      <c r="F3886" s="442">
        <f>D3886+E3886</f>
        <v>80</v>
      </c>
      <c r="G3886" s="443" t="s">
        <v>9415</v>
      </c>
      <c r="H3886" s="532" t="str">
        <f>B3886</f>
        <v>BZM1-3-XA230-240VAC</v>
      </c>
      <c r="I3886" s="201"/>
      <c r="J3886" s="514" t="s">
        <v>1835</v>
      </c>
      <c r="K3886" s="201" t="s">
        <v>741</v>
      </c>
      <c r="L3886" s="201"/>
      <c r="M3886" s="201"/>
      <c r="N3886" s="201"/>
    </row>
    <row r="3887" spans="1:14" s="48" customFormat="1">
      <c r="A3887" s="514"/>
      <c r="B3887" s="439" t="s">
        <v>8074</v>
      </c>
      <c r="C3887" s="230"/>
      <c r="D3887" s="230">
        <v>3</v>
      </c>
      <c r="E3887" s="450">
        <v>2</v>
      </c>
      <c r="F3887" s="442">
        <f>D3887+E3887</f>
        <v>5</v>
      </c>
      <c r="G3887" s="466" t="s">
        <v>9416</v>
      </c>
      <c r="H3887" s="532" t="str">
        <f>B3887</f>
        <v>M22-K10_bz</v>
      </c>
      <c r="I3887" s="201"/>
      <c r="J3887" s="514" t="s">
        <v>1835</v>
      </c>
      <c r="K3887" s="201" t="s">
        <v>741</v>
      </c>
      <c r="L3887" s="201"/>
      <c r="M3887" s="201"/>
      <c r="N3887" s="201"/>
    </row>
    <row r="3888" spans="1:14" s="194" customFormat="1">
      <c r="A3888" s="514"/>
      <c r="B3888" s="439" t="s">
        <v>8075</v>
      </c>
      <c r="C3888" s="230"/>
      <c r="D3888" s="230">
        <v>3</v>
      </c>
      <c r="E3888" s="450">
        <v>2</v>
      </c>
      <c r="F3888" s="442">
        <f>D3888+E3888</f>
        <v>5</v>
      </c>
      <c r="G3888" s="466" t="s">
        <v>9417</v>
      </c>
      <c r="H3888" s="532" t="str">
        <f>B3888</f>
        <v>M22-K01_bz</v>
      </c>
      <c r="I3888" s="201"/>
      <c r="J3888" s="514" t="s">
        <v>1835</v>
      </c>
      <c r="K3888" s="201" t="s">
        <v>741</v>
      </c>
      <c r="L3888" s="443"/>
      <c r="M3888" s="443"/>
      <c r="N3888" s="443"/>
    </row>
    <row r="3889" spans="1:14" s="35" customFormat="1">
      <c r="A3889" s="515"/>
      <c r="B3889" s="439"/>
      <c r="C3889" s="230"/>
      <c r="D3889" s="230"/>
      <c r="E3889" s="441"/>
      <c r="F3889" s="442"/>
      <c r="G3889" s="443"/>
      <c r="H3889" s="532"/>
      <c r="I3889" s="443"/>
      <c r="J3889" s="514"/>
      <c r="K3889" s="443"/>
    </row>
    <row r="3890" spans="1:14" s="48" customFormat="1">
      <c r="A3890" s="514"/>
      <c r="B3890" s="439" t="s">
        <v>1836</v>
      </c>
      <c r="C3890" s="230"/>
      <c r="D3890" s="230">
        <v>10</v>
      </c>
      <c r="E3890" s="450">
        <v>1</v>
      </c>
      <c r="F3890" s="442">
        <f>D3890+E3890</f>
        <v>11</v>
      </c>
      <c r="G3890" s="466" t="s">
        <v>13990</v>
      </c>
      <c r="H3890" s="532" t="str">
        <f>B3890</f>
        <v>BZM1-XKP</v>
      </c>
      <c r="I3890" s="201"/>
      <c r="J3890" s="514" t="s">
        <v>1835</v>
      </c>
      <c r="K3890" s="201" t="s">
        <v>741</v>
      </c>
      <c r="L3890" s="201"/>
      <c r="M3890" s="201"/>
      <c r="N3890" s="201"/>
    </row>
    <row r="3891" spans="1:14" s="48" customFormat="1">
      <c r="A3891" s="514"/>
      <c r="B3891" s="439" t="s">
        <v>1837</v>
      </c>
      <c r="C3891" s="230"/>
      <c r="D3891" s="230">
        <v>20</v>
      </c>
      <c r="E3891" s="450">
        <v>1</v>
      </c>
      <c r="F3891" s="442">
        <f>D3891+E3891</f>
        <v>21</v>
      </c>
      <c r="G3891" s="466" t="s">
        <v>13991</v>
      </c>
      <c r="H3891" s="532" t="str">
        <f>B3891</f>
        <v>BZM2-XKP</v>
      </c>
      <c r="I3891" s="201"/>
      <c r="J3891" s="514" t="s">
        <v>1835</v>
      </c>
      <c r="K3891" s="201" t="s">
        <v>741</v>
      </c>
      <c r="L3891" s="201"/>
      <c r="M3891" s="201"/>
      <c r="N3891" s="201"/>
    </row>
    <row r="3892" spans="1:14" s="341" customFormat="1">
      <c r="A3892" s="515"/>
      <c r="B3892" s="439"/>
      <c r="C3892" s="230"/>
      <c r="D3892" s="230"/>
      <c r="E3892" s="450"/>
      <c r="F3892" s="442"/>
      <c r="G3892" s="466"/>
      <c r="H3892" s="532"/>
      <c r="I3892" s="201"/>
      <c r="J3892" s="514"/>
      <c r="K3892" s="201"/>
    </row>
    <row r="3893" spans="1:14" s="35" customFormat="1">
      <c r="A3893" s="421"/>
      <c r="B3893" s="516" t="s">
        <v>1838</v>
      </c>
      <c r="C3893" s="517"/>
      <c r="D3893" s="517">
        <v>50</v>
      </c>
      <c r="E3893" s="518">
        <v>5</v>
      </c>
      <c r="F3893" s="519">
        <f>ROUNDUP(D3893+E3893,1)</f>
        <v>55</v>
      </c>
      <c r="G3893" s="466" t="s">
        <v>5305</v>
      </c>
      <c r="H3893" s="532" t="str">
        <f>B3893</f>
        <v>BZM1-XKAV</v>
      </c>
      <c r="I3893" s="520"/>
      <c r="J3893" s="514" t="s">
        <v>1835</v>
      </c>
      <c r="K3893" s="520" t="s">
        <v>741</v>
      </c>
    </row>
    <row r="3894" spans="1:14" s="35" customFormat="1">
      <c r="A3894" s="515"/>
      <c r="B3894" s="439"/>
      <c r="C3894" s="230"/>
      <c r="D3894" s="440"/>
      <c r="E3894" s="441"/>
      <c r="F3894" s="442"/>
      <c r="G3894" s="443"/>
      <c r="H3894" s="532"/>
      <c r="I3894" s="443"/>
      <c r="J3894" s="515"/>
      <c r="K3894" s="443"/>
    </row>
    <row r="3895" spans="1:14" customFormat="1">
      <c r="A3895" s="502"/>
      <c r="B3895" s="34" t="s">
        <v>1696</v>
      </c>
      <c r="C3895" s="230"/>
      <c r="D3895" s="215"/>
      <c r="E3895" s="216"/>
      <c r="F3895" s="156"/>
      <c r="G3895" s="501"/>
      <c r="H3895" s="532"/>
      <c r="I3895" s="501"/>
      <c r="J3895" s="502"/>
      <c r="K3895" s="501"/>
    </row>
    <row r="3896" spans="1:14" customFormat="1">
      <c r="A3896" s="521"/>
      <c r="B3896" s="141" t="s">
        <v>1601</v>
      </c>
      <c r="C3896" s="230"/>
      <c r="D3896" s="440"/>
      <c r="E3896" s="441"/>
      <c r="F3896" s="437">
        <v>40</v>
      </c>
      <c r="G3896" s="444" t="s">
        <v>1600</v>
      </c>
      <c r="H3896" s="532" t="str">
        <f>B3896</f>
        <v>CUBREBOR_BZM2_3t</v>
      </c>
      <c r="I3896" s="201"/>
      <c r="J3896" s="514" t="s">
        <v>1835</v>
      </c>
      <c r="K3896" s="201" t="s">
        <v>741</v>
      </c>
    </row>
    <row r="3897" spans="1:14" s="48" customFormat="1">
      <c r="A3897" s="502"/>
      <c r="B3897" s="29"/>
      <c r="C3897" s="230"/>
      <c r="D3897" s="215"/>
      <c r="E3897" s="216"/>
      <c r="F3897" s="156"/>
      <c r="G3897" s="501"/>
      <c r="H3897" s="532"/>
      <c r="I3897" s="501"/>
      <c r="J3897" s="502"/>
      <c r="K3897" s="501"/>
      <c r="L3897" s="201"/>
      <c r="M3897" s="201"/>
      <c r="N3897" s="201"/>
    </row>
    <row r="3898" spans="1:14" s="48" customFormat="1">
      <c r="A3898" s="502"/>
      <c r="B3898" s="34" t="s">
        <v>1602</v>
      </c>
      <c r="C3898" s="230"/>
      <c r="D3898" s="215"/>
      <c r="E3898" s="216"/>
      <c r="F3898" s="156"/>
      <c r="G3898" s="501"/>
      <c r="H3898" s="532"/>
      <c r="I3898" s="501"/>
      <c r="J3898" s="502"/>
      <c r="K3898" s="501"/>
      <c r="L3898" s="201"/>
      <c r="M3898" s="201"/>
      <c r="N3898" s="201"/>
    </row>
    <row r="3899" spans="1:14" s="194" customFormat="1">
      <c r="A3899" s="522"/>
      <c r="B3899" s="439" t="s">
        <v>1653</v>
      </c>
      <c r="C3899" s="522"/>
      <c r="D3899" s="522"/>
      <c r="E3899" s="522"/>
      <c r="F3899" s="522"/>
      <c r="G3899" s="522"/>
      <c r="H3899" s="532"/>
      <c r="I3899" s="522"/>
      <c r="J3899" s="522"/>
      <c r="K3899" s="522"/>
      <c r="L3899" s="443"/>
      <c r="M3899" s="443"/>
      <c r="N3899" s="443"/>
    </row>
    <row r="3900" spans="1:14" s="23" customFormat="1">
      <c r="A3900" s="522"/>
      <c r="B3900" s="439"/>
      <c r="C3900" s="522"/>
      <c r="D3900" s="522"/>
      <c r="E3900" s="522"/>
      <c r="F3900" s="522"/>
      <c r="G3900" s="522"/>
      <c r="H3900" s="532"/>
      <c r="I3900" s="522"/>
      <c r="J3900" s="522"/>
      <c r="K3900" s="522"/>
    </row>
    <row r="3901" spans="1:14" s="35" customFormat="1">
      <c r="A3901" s="521"/>
      <c r="B3901" s="439" t="s">
        <v>5213</v>
      </c>
      <c r="C3901" s="230"/>
      <c r="D3901" s="230">
        <v>56</v>
      </c>
      <c r="E3901" s="450">
        <v>10</v>
      </c>
      <c r="F3901" s="442">
        <f>D3901+E3901</f>
        <v>66</v>
      </c>
      <c r="G3901" s="438" t="s">
        <v>8076</v>
      </c>
      <c r="H3901" s="532" t="str">
        <f>B3901</f>
        <v>BZM3-XKA1</v>
      </c>
      <c r="I3901" s="201"/>
      <c r="J3901" s="514" t="s">
        <v>1835</v>
      </c>
      <c r="K3901" s="201" t="s">
        <v>741</v>
      </c>
    </row>
    <row r="3902" spans="1:14" s="35" customFormat="1">
      <c r="A3902" s="521"/>
      <c r="B3902" s="439" t="s">
        <v>5214</v>
      </c>
      <c r="C3902" s="230"/>
      <c r="D3902" s="230">
        <v>105</v>
      </c>
      <c r="E3902" s="450">
        <v>10</v>
      </c>
      <c r="F3902" s="442">
        <f>D3902+E3902</f>
        <v>115</v>
      </c>
      <c r="G3902" s="438" t="s">
        <v>8077</v>
      </c>
      <c r="H3902" s="532" t="str">
        <f>B3902</f>
        <v>BZM3-XKA2</v>
      </c>
      <c r="I3902" s="201"/>
      <c r="J3902" s="514" t="s">
        <v>1835</v>
      </c>
      <c r="K3902" s="201" t="s">
        <v>741</v>
      </c>
    </row>
    <row r="3903" spans="1:14" s="35" customFormat="1">
      <c r="A3903" s="515"/>
      <c r="B3903" s="439"/>
      <c r="C3903" s="230"/>
      <c r="D3903" s="230"/>
      <c r="E3903" s="441"/>
      <c r="F3903" s="442"/>
      <c r="G3903" s="443"/>
      <c r="H3903" s="532"/>
      <c r="I3903" s="443"/>
      <c r="J3903" s="515"/>
      <c r="K3903" s="443"/>
    </row>
    <row r="3904" spans="1:14" s="35" customFormat="1">
      <c r="A3904" s="507"/>
      <c r="B3904" s="49"/>
      <c r="C3904" s="230"/>
      <c r="D3904" s="230"/>
      <c r="E3904" s="216"/>
      <c r="F3904" s="156"/>
      <c r="G3904" s="508"/>
      <c r="H3904" s="532"/>
      <c r="I3904" s="508"/>
      <c r="J3904" s="507"/>
      <c r="K3904" s="508"/>
    </row>
    <row r="3905" spans="1:11" s="35" customFormat="1">
      <c r="A3905" s="502"/>
      <c r="B3905" s="34" t="s">
        <v>363</v>
      </c>
      <c r="C3905" s="230"/>
      <c r="D3905" s="230"/>
      <c r="E3905" s="216"/>
      <c r="F3905" s="156"/>
      <c r="G3905" s="501"/>
      <c r="H3905" s="532"/>
      <c r="I3905" s="501"/>
      <c r="J3905" s="502"/>
      <c r="K3905" s="501"/>
    </row>
    <row r="3906" spans="1:11" s="35" customFormat="1">
      <c r="A3906" s="510"/>
      <c r="B3906" s="28" t="s">
        <v>170</v>
      </c>
      <c r="C3906" s="230"/>
      <c r="D3906" s="230">
        <v>131</v>
      </c>
      <c r="E3906" s="216">
        <v>15</v>
      </c>
      <c r="F3906" s="156">
        <f t="shared" ref="F3906:F3915" si="530">D3906+E3906</f>
        <v>146</v>
      </c>
      <c r="G3906" s="24" t="s">
        <v>8078</v>
      </c>
      <c r="H3906" s="532" t="str">
        <f t="shared" ref="H3906:H3915" si="531">B3906</f>
        <v>LZMS1-A20</v>
      </c>
      <c r="I3906" s="501"/>
      <c r="J3906" s="514" t="s">
        <v>1835</v>
      </c>
      <c r="K3906" s="501" t="s">
        <v>741</v>
      </c>
    </row>
    <row r="3907" spans="1:11" s="35" customFormat="1">
      <c r="A3907" s="510"/>
      <c r="B3907" s="28" t="s">
        <v>171</v>
      </c>
      <c r="C3907" s="230"/>
      <c r="D3907" s="230">
        <v>131</v>
      </c>
      <c r="E3907" s="216">
        <v>15</v>
      </c>
      <c r="F3907" s="156">
        <f t="shared" si="530"/>
        <v>146</v>
      </c>
      <c r="G3907" s="24" t="s">
        <v>8079</v>
      </c>
      <c r="H3907" s="532" t="str">
        <f t="shared" si="531"/>
        <v>LZMS1-A25</v>
      </c>
      <c r="I3907" s="501"/>
      <c r="J3907" s="514" t="s">
        <v>1835</v>
      </c>
      <c r="K3907" s="501" t="s">
        <v>741</v>
      </c>
    </row>
    <row r="3908" spans="1:11" s="35" customFormat="1">
      <c r="A3908" s="510"/>
      <c r="B3908" s="28" t="s">
        <v>172</v>
      </c>
      <c r="C3908" s="230"/>
      <c r="D3908" s="230">
        <v>131</v>
      </c>
      <c r="E3908" s="216">
        <v>15</v>
      </c>
      <c r="F3908" s="156">
        <f t="shared" si="530"/>
        <v>146</v>
      </c>
      <c r="G3908" s="24" t="s">
        <v>8080</v>
      </c>
      <c r="H3908" s="532" t="str">
        <f t="shared" si="531"/>
        <v>LZMS1-A32</v>
      </c>
      <c r="I3908" s="501"/>
      <c r="J3908" s="514" t="s">
        <v>1835</v>
      </c>
      <c r="K3908" s="501" t="s">
        <v>741</v>
      </c>
    </row>
    <row r="3909" spans="1:11" s="35" customFormat="1">
      <c r="A3909" s="510"/>
      <c r="B3909" s="28" t="s">
        <v>173</v>
      </c>
      <c r="C3909" s="230"/>
      <c r="D3909" s="230">
        <v>135</v>
      </c>
      <c r="E3909" s="216">
        <v>15</v>
      </c>
      <c r="F3909" s="156">
        <f t="shared" si="530"/>
        <v>150</v>
      </c>
      <c r="G3909" s="24" t="s">
        <v>8081</v>
      </c>
      <c r="H3909" s="532" t="str">
        <f t="shared" si="531"/>
        <v>LZMS1-A40</v>
      </c>
      <c r="I3909" s="501"/>
      <c r="J3909" s="514" t="s">
        <v>1835</v>
      </c>
      <c r="K3909" s="501" t="s">
        <v>741</v>
      </c>
    </row>
    <row r="3910" spans="1:11" s="35" customFormat="1">
      <c r="A3910" s="510"/>
      <c r="B3910" s="28" t="s">
        <v>174</v>
      </c>
      <c r="C3910" s="230"/>
      <c r="D3910" s="230">
        <v>135</v>
      </c>
      <c r="E3910" s="216">
        <v>15</v>
      </c>
      <c r="F3910" s="156">
        <f t="shared" si="530"/>
        <v>150</v>
      </c>
      <c r="G3910" s="24" t="s">
        <v>8082</v>
      </c>
      <c r="H3910" s="532" t="str">
        <f t="shared" si="531"/>
        <v>LZMS1-A50</v>
      </c>
      <c r="I3910" s="501"/>
      <c r="J3910" s="514" t="s">
        <v>1835</v>
      </c>
      <c r="K3910" s="501" t="s">
        <v>741</v>
      </c>
    </row>
    <row r="3911" spans="1:11" s="35" customFormat="1">
      <c r="A3911" s="510"/>
      <c r="B3911" s="28" t="s">
        <v>175</v>
      </c>
      <c r="C3911" s="230"/>
      <c r="D3911" s="230">
        <v>135</v>
      </c>
      <c r="E3911" s="216">
        <v>15</v>
      </c>
      <c r="F3911" s="156">
        <f t="shared" si="530"/>
        <v>150</v>
      </c>
      <c r="G3911" s="24" t="s">
        <v>8083</v>
      </c>
      <c r="H3911" s="532" t="str">
        <f t="shared" si="531"/>
        <v>LZMS1-A63</v>
      </c>
      <c r="I3911" s="501"/>
      <c r="J3911" s="514" t="s">
        <v>1835</v>
      </c>
      <c r="K3911" s="501" t="s">
        <v>741</v>
      </c>
    </row>
    <row r="3912" spans="1:11" s="35" customFormat="1">
      <c r="A3912" s="510"/>
      <c r="B3912" s="28" t="s">
        <v>176</v>
      </c>
      <c r="C3912" s="230"/>
      <c r="D3912" s="230">
        <v>141</v>
      </c>
      <c r="E3912" s="216">
        <v>15</v>
      </c>
      <c r="F3912" s="156">
        <f t="shared" si="530"/>
        <v>156</v>
      </c>
      <c r="G3912" s="24" t="s">
        <v>8084</v>
      </c>
      <c r="H3912" s="532" t="str">
        <f t="shared" si="531"/>
        <v>LZMS1-A80</v>
      </c>
      <c r="I3912" s="501"/>
      <c r="J3912" s="514" t="s">
        <v>1835</v>
      </c>
      <c r="K3912" s="501" t="s">
        <v>741</v>
      </c>
    </row>
    <row r="3913" spans="1:11" s="35" customFormat="1">
      <c r="A3913" s="510"/>
      <c r="B3913" s="28" t="s">
        <v>177</v>
      </c>
      <c r="C3913" s="230"/>
      <c r="D3913" s="230">
        <v>141</v>
      </c>
      <c r="E3913" s="216">
        <v>15</v>
      </c>
      <c r="F3913" s="156">
        <f t="shared" si="530"/>
        <v>156</v>
      </c>
      <c r="G3913" s="24" t="s">
        <v>8085</v>
      </c>
      <c r="H3913" s="532" t="str">
        <f t="shared" si="531"/>
        <v>LZMS1-A100</v>
      </c>
      <c r="I3913" s="501"/>
      <c r="J3913" s="514" t="s">
        <v>1835</v>
      </c>
      <c r="K3913" s="501" t="s">
        <v>741</v>
      </c>
    </row>
    <row r="3914" spans="1:11" s="35" customFormat="1">
      <c r="A3914" s="510"/>
      <c r="B3914" s="28" t="s">
        <v>178</v>
      </c>
      <c r="C3914" s="230"/>
      <c r="D3914" s="230">
        <v>141</v>
      </c>
      <c r="E3914" s="216">
        <v>15</v>
      </c>
      <c r="F3914" s="156">
        <f t="shared" si="530"/>
        <v>156</v>
      </c>
      <c r="G3914" s="24" t="s">
        <v>8086</v>
      </c>
      <c r="H3914" s="532" t="str">
        <f t="shared" si="531"/>
        <v>LZMS1-A125</v>
      </c>
      <c r="I3914" s="501"/>
      <c r="J3914" s="514" t="s">
        <v>1835</v>
      </c>
      <c r="K3914" s="501" t="s">
        <v>741</v>
      </c>
    </row>
    <row r="3915" spans="1:11" s="35" customFormat="1">
      <c r="A3915" s="510"/>
      <c r="B3915" s="28" t="s">
        <v>179</v>
      </c>
      <c r="C3915" s="230"/>
      <c r="D3915" s="230">
        <v>237</v>
      </c>
      <c r="E3915" s="216">
        <v>15</v>
      </c>
      <c r="F3915" s="156">
        <f t="shared" si="530"/>
        <v>252</v>
      </c>
      <c r="G3915" s="24" t="s">
        <v>8087</v>
      </c>
      <c r="H3915" s="532" t="str">
        <f t="shared" si="531"/>
        <v>LZMS1-A160</v>
      </c>
      <c r="I3915" s="501"/>
      <c r="J3915" s="514" t="s">
        <v>1835</v>
      </c>
      <c r="K3915" s="501" t="s">
        <v>741</v>
      </c>
    </row>
    <row r="3916" spans="1:11" s="35" customFormat="1">
      <c r="A3916" s="502"/>
      <c r="B3916" s="28"/>
      <c r="C3916" s="230"/>
      <c r="D3916" s="230"/>
      <c r="E3916" s="216"/>
      <c r="F3916" s="156"/>
      <c r="G3916" s="24"/>
      <c r="H3916" s="532"/>
      <c r="I3916" s="501"/>
      <c r="J3916" s="514"/>
      <c r="K3916" s="501"/>
    </row>
    <row r="3917" spans="1:11" s="35" customFormat="1">
      <c r="A3917" s="510"/>
      <c r="B3917" s="28" t="s">
        <v>8088</v>
      </c>
      <c r="C3917" s="230"/>
      <c r="D3917" s="230">
        <v>169.65088680085117</v>
      </c>
      <c r="E3917" s="216">
        <v>15</v>
      </c>
      <c r="F3917" s="156">
        <f t="shared" ref="F3917:F3923" si="532">D3917+E3917</f>
        <v>184.65088680085117</v>
      </c>
      <c r="G3917" s="24" t="s">
        <v>8089</v>
      </c>
      <c r="H3917" s="532" t="s">
        <v>8088</v>
      </c>
      <c r="I3917" s="501"/>
      <c r="J3917" s="514" t="s">
        <v>1835</v>
      </c>
      <c r="K3917" s="501"/>
    </row>
    <row r="3918" spans="1:11" s="35" customFormat="1">
      <c r="A3918" s="510"/>
      <c r="B3918" s="28" t="s">
        <v>8090</v>
      </c>
      <c r="C3918" s="230"/>
      <c r="D3918" s="230">
        <v>169.65088680085117</v>
      </c>
      <c r="E3918" s="216">
        <v>15</v>
      </c>
      <c r="F3918" s="156">
        <f>D3918+E3918</f>
        <v>184.65088680085117</v>
      </c>
      <c r="G3918" s="24" t="s">
        <v>8091</v>
      </c>
      <c r="H3918" s="532" t="s">
        <v>8090</v>
      </c>
      <c r="I3918" s="501"/>
      <c r="J3918" s="514" t="s">
        <v>1835</v>
      </c>
      <c r="K3918" s="501"/>
    </row>
    <row r="3919" spans="1:11" s="35" customFormat="1">
      <c r="A3919" s="510"/>
      <c r="B3919" s="28" t="s">
        <v>8092</v>
      </c>
      <c r="C3919" s="230"/>
      <c r="D3919" s="230">
        <v>163.2418614316465</v>
      </c>
      <c r="E3919" s="216">
        <v>15</v>
      </c>
      <c r="F3919" s="156">
        <f>D3919+E3919</f>
        <v>178.2418614316465</v>
      </c>
      <c r="G3919" s="24" t="s">
        <v>8093</v>
      </c>
      <c r="H3919" s="532" t="s">
        <v>8092</v>
      </c>
      <c r="I3919" s="501"/>
      <c r="J3919" s="514" t="s">
        <v>1835</v>
      </c>
      <c r="K3919" s="501"/>
    </row>
    <row r="3920" spans="1:11" s="35" customFormat="1">
      <c r="A3920" s="510"/>
      <c r="B3920" s="28" t="s">
        <v>8094</v>
      </c>
      <c r="C3920" s="230"/>
      <c r="D3920" s="230">
        <v>163.2418614316465</v>
      </c>
      <c r="E3920" s="216">
        <v>15</v>
      </c>
      <c r="F3920" s="156">
        <f t="shared" si="532"/>
        <v>178.2418614316465</v>
      </c>
      <c r="G3920" s="24" t="s">
        <v>8095</v>
      </c>
      <c r="H3920" s="532" t="s">
        <v>8094</v>
      </c>
      <c r="I3920" s="501"/>
      <c r="J3920" s="514" t="s">
        <v>1835</v>
      </c>
      <c r="K3920" s="501"/>
    </row>
    <row r="3921" spans="1:11" s="35" customFormat="1">
      <c r="A3921" s="510"/>
      <c r="B3921" s="28" t="s">
        <v>8096</v>
      </c>
      <c r="C3921" s="230"/>
      <c r="D3921" s="230">
        <v>163.2418614316465</v>
      </c>
      <c r="E3921" s="216">
        <v>15</v>
      </c>
      <c r="F3921" s="156">
        <f>D3921+E3921</f>
        <v>178.2418614316465</v>
      </c>
      <c r="G3921" s="24" t="s">
        <v>8097</v>
      </c>
      <c r="H3921" s="532" t="s">
        <v>8096</v>
      </c>
      <c r="I3921" s="501"/>
      <c r="J3921" s="514" t="s">
        <v>1835</v>
      </c>
      <c r="K3921" s="501"/>
    </row>
    <row r="3922" spans="1:11" s="35" customFormat="1">
      <c r="A3922" s="510"/>
      <c r="B3922" s="28" t="s">
        <v>8098</v>
      </c>
      <c r="C3922" s="230"/>
      <c r="D3922" s="230">
        <v>423.90494844804289</v>
      </c>
      <c r="E3922" s="216">
        <v>15</v>
      </c>
      <c r="F3922" s="156">
        <f t="shared" si="532"/>
        <v>438.90494844804289</v>
      </c>
      <c r="G3922" s="24" t="s">
        <v>8099</v>
      </c>
      <c r="H3922" s="532" t="s">
        <v>8098</v>
      </c>
      <c r="I3922" s="501"/>
      <c r="J3922" s="514" t="s">
        <v>1835</v>
      </c>
      <c r="K3922" s="501"/>
    </row>
    <row r="3923" spans="1:11" s="35" customFormat="1">
      <c r="A3923" s="510"/>
      <c r="B3923" s="28" t="s">
        <v>8100</v>
      </c>
      <c r="C3923" s="230"/>
      <c r="D3923" s="230">
        <v>981.54323723076914</v>
      </c>
      <c r="E3923" s="216">
        <v>15</v>
      </c>
      <c r="F3923" s="156">
        <f t="shared" si="532"/>
        <v>996.54323723076914</v>
      </c>
      <c r="G3923" s="24" t="s">
        <v>8101</v>
      </c>
      <c r="H3923" s="532" t="s">
        <v>8100</v>
      </c>
      <c r="I3923" s="501"/>
      <c r="J3923" s="514" t="s">
        <v>1835</v>
      </c>
      <c r="K3923" s="501"/>
    </row>
    <row r="3924" spans="1:11" s="35" customFormat="1">
      <c r="A3924" s="502"/>
      <c r="B3924" s="28"/>
      <c r="C3924" s="230"/>
      <c r="D3924" s="230"/>
      <c r="E3924" s="216"/>
      <c r="F3924" s="156"/>
      <c r="G3924" s="24"/>
      <c r="H3924" s="532"/>
      <c r="I3924" s="501"/>
      <c r="J3924" s="514"/>
      <c r="K3924" s="501"/>
    </row>
    <row r="3925" spans="1:11" s="35" customFormat="1">
      <c r="A3925" s="502"/>
      <c r="B3925" s="29"/>
      <c r="C3925" s="230"/>
      <c r="D3925" s="230"/>
      <c r="E3925" s="216"/>
      <c r="F3925" s="156"/>
      <c r="G3925" s="501"/>
      <c r="H3925" s="532"/>
      <c r="I3925" s="501"/>
      <c r="J3925" s="514"/>
      <c r="K3925" s="501"/>
    </row>
    <row r="3926" spans="1:11" s="35" customFormat="1">
      <c r="A3926" s="500"/>
      <c r="B3926" s="492" t="s">
        <v>1839</v>
      </c>
      <c r="C3926" s="496"/>
      <c r="D3926" s="230">
        <v>398</v>
      </c>
      <c r="E3926" s="493">
        <v>20</v>
      </c>
      <c r="F3926" s="494">
        <f t="shared" ref="F3926:F3937" si="533">D3926+E3926</f>
        <v>418</v>
      </c>
      <c r="G3926" s="24" t="s">
        <v>8102</v>
      </c>
      <c r="H3926" s="532" t="str">
        <f t="shared" ref="H3926:H3937" si="534">B3926</f>
        <v>LZMS2-A25</v>
      </c>
      <c r="I3926" s="501"/>
      <c r="J3926" s="514" t="s">
        <v>1835</v>
      </c>
      <c r="K3926" s="501"/>
    </row>
    <row r="3927" spans="1:11" s="35" customFormat="1">
      <c r="A3927" s="500"/>
      <c r="B3927" s="492" t="s">
        <v>1840</v>
      </c>
      <c r="C3927" s="496"/>
      <c r="D3927" s="230">
        <v>398</v>
      </c>
      <c r="E3927" s="493">
        <v>20</v>
      </c>
      <c r="F3927" s="494">
        <f>D3927+E3927</f>
        <v>418</v>
      </c>
      <c r="G3927" s="24" t="s">
        <v>8103</v>
      </c>
      <c r="H3927" s="532" t="str">
        <f>B3927</f>
        <v>LZMS2-A32</v>
      </c>
      <c r="I3927" s="501"/>
      <c r="J3927" s="514" t="s">
        <v>1835</v>
      </c>
      <c r="K3927" s="501"/>
    </row>
    <row r="3928" spans="1:11" s="35" customFormat="1">
      <c r="A3928" s="500"/>
      <c r="B3928" s="492" t="s">
        <v>8104</v>
      </c>
      <c r="C3928" s="496"/>
      <c r="D3928" s="230">
        <v>398</v>
      </c>
      <c r="E3928" s="493">
        <v>20</v>
      </c>
      <c r="F3928" s="494">
        <f>D3928+E3928</f>
        <v>418</v>
      </c>
      <c r="G3928" s="24" t="s">
        <v>8105</v>
      </c>
      <c r="H3928" s="532" t="str">
        <f>B3928</f>
        <v>LZMS2-A40</v>
      </c>
      <c r="I3928" s="501"/>
      <c r="J3928" s="514" t="s">
        <v>1835</v>
      </c>
      <c r="K3928" s="501"/>
    </row>
    <row r="3929" spans="1:11" s="35" customFormat="1">
      <c r="A3929" s="500"/>
      <c r="B3929" s="492" t="s">
        <v>11752</v>
      </c>
      <c r="C3929" s="496"/>
      <c r="D3929" s="230">
        <v>398</v>
      </c>
      <c r="E3929" s="493">
        <v>20</v>
      </c>
      <c r="F3929" s="494">
        <f>D3929+E3929</f>
        <v>418</v>
      </c>
      <c r="G3929" s="24" t="s">
        <v>11753</v>
      </c>
      <c r="H3929" s="532" t="str">
        <f>B3929</f>
        <v>LZMS2-A50</v>
      </c>
      <c r="I3929" s="501"/>
      <c r="J3929" s="514" t="s">
        <v>1835</v>
      </c>
      <c r="K3929" s="501"/>
    </row>
    <row r="3930" spans="1:11" s="35" customFormat="1">
      <c r="A3930" s="500"/>
      <c r="B3930" s="492" t="s">
        <v>6105</v>
      </c>
      <c r="C3930" s="496"/>
      <c r="D3930" s="230">
        <v>398</v>
      </c>
      <c r="E3930" s="493">
        <v>20</v>
      </c>
      <c r="F3930" s="494">
        <f>D3930+E3930</f>
        <v>418</v>
      </c>
      <c r="G3930" s="24" t="s">
        <v>8106</v>
      </c>
      <c r="H3930" s="532" t="str">
        <f>B3930</f>
        <v>LZMS2-A63</v>
      </c>
      <c r="I3930" s="501"/>
      <c r="J3930" s="514" t="s">
        <v>1835</v>
      </c>
      <c r="K3930" s="501"/>
    </row>
    <row r="3931" spans="1:11" s="35" customFormat="1">
      <c r="A3931" s="500"/>
      <c r="B3931" s="492" t="s">
        <v>8107</v>
      </c>
      <c r="C3931" s="496"/>
      <c r="D3931" s="230">
        <v>398</v>
      </c>
      <c r="E3931" s="493">
        <v>20</v>
      </c>
      <c r="F3931" s="494">
        <f>D3931+E3931</f>
        <v>418</v>
      </c>
      <c r="G3931" s="24" t="s">
        <v>8108</v>
      </c>
      <c r="H3931" s="532" t="str">
        <f>B3931</f>
        <v>LZMS2-A80</v>
      </c>
      <c r="I3931" s="501"/>
      <c r="J3931" s="514" t="s">
        <v>1835</v>
      </c>
      <c r="K3931" s="501"/>
    </row>
    <row r="3932" spans="1:11" s="35" customFormat="1">
      <c r="A3932" s="500"/>
      <c r="B3932" s="492" t="s">
        <v>467</v>
      </c>
      <c r="C3932" s="496"/>
      <c r="D3932" s="230">
        <v>398</v>
      </c>
      <c r="E3932" s="493">
        <v>20</v>
      </c>
      <c r="F3932" s="494">
        <f t="shared" si="533"/>
        <v>418</v>
      </c>
      <c r="G3932" s="24" t="s">
        <v>8109</v>
      </c>
      <c r="H3932" s="532" t="str">
        <f t="shared" si="534"/>
        <v>LZMS2-A100</v>
      </c>
      <c r="I3932" s="501"/>
      <c r="J3932" s="514" t="s">
        <v>1835</v>
      </c>
      <c r="K3932" s="501"/>
    </row>
    <row r="3933" spans="1:11" s="35" customFormat="1">
      <c r="A3933" s="510"/>
      <c r="B3933" s="28" t="s">
        <v>8110</v>
      </c>
      <c r="C3933" s="230"/>
      <c r="D3933" s="230">
        <v>398</v>
      </c>
      <c r="E3933" s="216">
        <v>20</v>
      </c>
      <c r="F3933" s="156">
        <f t="shared" si="533"/>
        <v>418</v>
      </c>
      <c r="G3933" s="24" t="s">
        <v>8111</v>
      </c>
      <c r="H3933" s="532" t="str">
        <f t="shared" si="534"/>
        <v>LZMS2-A125</v>
      </c>
      <c r="I3933" s="501"/>
      <c r="J3933" s="514" t="s">
        <v>1835</v>
      </c>
      <c r="K3933" s="501"/>
    </row>
    <row r="3934" spans="1:11" s="35" customFormat="1">
      <c r="A3934" s="510"/>
      <c r="B3934" s="28" t="s">
        <v>180</v>
      </c>
      <c r="C3934" s="230"/>
      <c r="D3934" s="230">
        <v>398</v>
      </c>
      <c r="E3934" s="216">
        <v>20</v>
      </c>
      <c r="F3934" s="156">
        <f t="shared" si="533"/>
        <v>418</v>
      </c>
      <c r="G3934" s="24" t="s">
        <v>8112</v>
      </c>
      <c r="H3934" s="532" t="str">
        <f t="shared" si="534"/>
        <v>LZMS2-A160</v>
      </c>
      <c r="I3934" s="501"/>
      <c r="J3934" s="514" t="s">
        <v>1835</v>
      </c>
      <c r="K3934" s="501"/>
    </row>
    <row r="3935" spans="1:11" s="35" customFormat="1">
      <c r="A3935" s="510"/>
      <c r="B3935" s="28" t="s">
        <v>181</v>
      </c>
      <c r="C3935" s="230"/>
      <c r="D3935" s="230">
        <v>398</v>
      </c>
      <c r="E3935" s="216">
        <v>30</v>
      </c>
      <c r="F3935" s="156">
        <f t="shared" si="533"/>
        <v>428</v>
      </c>
      <c r="G3935" s="24" t="s">
        <v>8113</v>
      </c>
      <c r="H3935" s="532" t="str">
        <f t="shared" si="534"/>
        <v>LZMS2-A200</v>
      </c>
      <c r="I3935" s="501"/>
      <c r="J3935" s="514" t="s">
        <v>1835</v>
      </c>
      <c r="K3935" s="501"/>
    </row>
    <row r="3936" spans="1:11" s="35" customFormat="1">
      <c r="A3936" s="510"/>
      <c r="B3936" s="28" t="s">
        <v>182</v>
      </c>
      <c r="C3936" s="230"/>
      <c r="D3936" s="230">
        <v>398</v>
      </c>
      <c r="E3936" s="216">
        <v>30</v>
      </c>
      <c r="F3936" s="156">
        <f t="shared" si="533"/>
        <v>428</v>
      </c>
      <c r="G3936" s="24" t="s">
        <v>8114</v>
      </c>
      <c r="H3936" s="532" t="str">
        <f t="shared" si="534"/>
        <v>LZMS2-A250</v>
      </c>
      <c r="I3936" s="501"/>
      <c r="J3936" s="514" t="s">
        <v>1835</v>
      </c>
      <c r="K3936" s="501"/>
    </row>
    <row r="3937" spans="1:14" s="35" customFormat="1">
      <c r="A3937" s="510"/>
      <c r="B3937" s="28" t="s">
        <v>183</v>
      </c>
      <c r="C3937" s="230"/>
      <c r="D3937" s="230">
        <v>480</v>
      </c>
      <c r="E3937" s="227">
        <v>40</v>
      </c>
      <c r="F3937" s="156">
        <f t="shared" si="533"/>
        <v>520</v>
      </c>
      <c r="G3937" s="24" t="s">
        <v>8115</v>
      </c>
      <c r="H3937" s="532" t="str">
        <f t="shared" si="534"/>
        <v>LZMS2-A300</v>
      </c>
      <c r="I3937" s="501"/>
      <c r="J3937" s="514" t="s">
        <v>1835</v>
      </c>
      <c r="K3937" s="501"/>
    </row>
    <row r="3938" spans="1:14" s="35" customFormat="1">
      <c r="A3938" s="502"/>
      <c r="B3938" s="29"/>
      <c r="C3938" s="230"/>
      <c r="D3938" s="230"/>
      <c r="E3938" s="216"/>
      <c r="F3938" s="156"/>
      <c r="G3938" s="501"/>
      <c r="H3938" s="532"/>
      <c r="I3938" s="501"/>
      <c r="J3938" s="514"/>
      <c r="K3938" s="501"/>
    </row>
    <row r="3939" spans="1:14" s="35" customFormat="1">
      <c r="A3939" s="510"/>
      <c r="B3939" s="28" t="s">
        <v>184</v>
      </c>
      <c r="C3939" s="230"/>
      <c r="D3939" s="230">
        <v>648</v>
      </c>
      <c r="E3939" s="216">
        <v>40</v>
      </c>
      <c r="F3939" s="156">
        <f>D3939+E3939</f>
        <v>688</v>
      </c>
      <c r="G3939" s="24" t="s">
        <v>8116</v>
      </c>
      <c r="H3939" s="532" t="str">
        <f>B3939</f>
        <v>LZMS3-A320</v>
      </c>
      <c r="I3939" s="501"/>
      <c r="J3939" s="514" t="s">
        <v>1835</v>
      </c>
      <c r="K3939" s="501"/>
    </row>
    <row r="3940" spans="1:14" s="35" customFormat="1">
      <c r="A3940" s="510"/>
      <c r="B3940" s="28" t="s">
        <v>185</v>
      </c>
      <c r="C3940" s="230"/>
      <c r="D3940" s="230">
        <v>648</v>
      </c>
      <c r="E3940" s="216">
        <v>40</v>
      </c>
      <c r="F3940" s="156">
        <f>D3940+E3940</f>
        <v>688</v>
      </c>
      <c r="G3940" s="24" t="s">
        <v>8117</v>
      </c>
      <c r="H3940" s="532" t="str">
        <f>B3940</f>
        <v>LZMS3-A400</v>
      </c>
      <c r="I3940" s="501"/>
      <c r="J3940" s="514" t="s">
        <v>1835</v>
      </c>
      <c r="K3940" s="501"/>
    </row>
    <row r="3941" spans="1:14" s="35" customFormat="1">
      <c r="A3941" s="510"/>
      <c r="B3941" s="28" t="s">
        <v>186</v>
      </c>
      <c r="C3941" s="230"/>
      <c r="D3941" s="230">
        <v>722</v>
      </c>
      <c r="E3941" s="216">
        <v>80</v>
      </c>
      <c r="F3941" s="156">
        <f>D3941+E3941</f>
        <v>802</v>
      </c>
      <c r="G3941" s="24" t="s">
        <v>8118</v>
      </c>
      <c r="H3941" s="532" t="str">
        <f>B3941</f>
        <v>LZMS3-A500</v>
      </c>
      <c r="I3941" s="501"/>
      <c r="J3941" s="514" t="s">
        <v>1835</v>
      </c>
      <c r="K3941" s="501"/>
    </row>
    <row r="3942" spans="1:14" s="35" customFormat="1">
      <c r="A3942" s="502"/>
      <c r="B3942" s="29"/>
      <c r="C3942" s="230"/>
      <c r="D3942" s="230"/>
      <c r="E3942" s="216"/>
      <c r="F3942" s="156"/>
      <c r="G3942" s="501"/>
      <c r="H3942" s="532"/>
      <c r="I3942" s="501"/>
      <c r="J3942" s="514"/>
      <c r="K3942" s="501"/>
    </row>
    <row r="3943" spans="1:14" s="35" customFormat="1">
      <c r="A3943" s="502"/>
      <c r="B3943" s="34" t="s">
        <v>364</v>
      </c>
      <c r="C3943" s="230"/>
      <c r="D3943" s="230"/>
      <c r="E3943" s="216"/>
      <c r="F3943" s="156"/>
      <c r="G3943" s="501"/>
      <c r="H3943" s="532"/>
      <c r="I3943" s="501"/>
      <c r="J3943" s="514"/>
      <c r="K3943" s="501"/>
    </row>
    <row r="3944" spans="1:14" s="35" customFormat="1">
      <c r="A3944" s="510"/>
      <c r="B3944" s="28" t="s">
        <v>187</v>
      </c>
      <c r="C3944" s="230"/>
      <c r="D3944" s="230">
        <v>974</v>
      </c>
      <c r="E3944" s="216">
        <v>70</v>
      </c>
      <c r="F3944" s="156">
        <f>D3944+E3944</f>
        <v>1044</v>
      </c>
      <c r="G3944" s="24" t="s">
        <v>8119</v>
      </c>
      <c r="H3944" s="532" t="str">
        <f>B3944</f>
        <v>LZMS3-VE400</v>
      </c>
      <c r="I3944" s="501"/>
      <c r="J3944" s="514" t="s">
        <v>1835</v>
      </c>
      <c r="K3944" s="501" t="s">
        <v>741</v>
      </c>
    </row>
    <row r="3945" spans="1:14" s="195" customFormat="1">
      <c r="A3945" s="510"/>
      <c r="B3945" s="28" t="s">
        <v>188</v>
      </c>
      <c r="C3945" s="230"/>
      <c r="D3945" s="230">
        <v>974</v>
      </c>
      <c r="E3945" s="216">
        <f>50+90</f>
        <v>140</v>
      </c>
      <c r="F3945" s="156">
        <f>D3945+E3945</f>
        <v>1114</v>
      </c>
      <c r="G3945" s="24" t="s">
        <v>8120</v>
      </c>
      <c r="H3945" s="532" t="str">
        <f>B3945</f>
        <v>LZMS3-VE630</v>
      </c>
      <c r="I3945" s="501"/>
      <c r="J3945" s="514" t="s">
        <v>1835</v>
      </c>
      <c r="K3945" s="501" t="s">
        <v>741</v>
      </c>
    </row>
    <row r="3946" spans="1:14" s="35" customFormat="1">
      <c r="A3946" s="523"/>
      <c r="B3946" s="524"/>
      <c r="C3946" s="230"/>
      <c r="D3946" s="230"/>
      <c r="E3946" s="462"/>
      <c r="F3946" s="164"/>
      <c r="G3946" s="465"/>
      <c r="H3946" s="532"/>
      <c r="I3946" s="525"/>
      <c r="J3946" s="514"/>
      <c r="K3946" s="525"/>
    </row>
    <row r="3947" spans="1:14" s="23" customFormat="1">
      <c r="A3947" s="510"/>
      <c r="B3947" s="28" t="s">
        <v>189</v>
      </c>
      <c r="C3947" s="230"/>
      <c r="D3947" s="230">
        <v>2056</v>
      </c>
      <c r="E3947" s="216">
        <f>234-90</f>
        <v>144</v>
      </c>
      <c r="F3947" s="156">
        <f>D3947+E3947</f>
        <v>2200</v>
      </c>
      <c r="G3947" s="24" t="s">
        <v>8121</v>
      </c>
      <c r="H3947" s="532" t="str">
        <f>B3947</f>
        <v>LZMS4-VE800</v>
      </c>
      <c r="I3947" s="501"/>
      <c r="J3947" s="514" t="s">
        <v>1835</v>
      </c>
      <c r="K3947" s="501" t="s">
        <v>741</v>
      </c>
    </row>
    <row r="3948" spans="1:14" s="35" customFormat="1">
      <c r="A3948" s="510"/>
      <c r="B3948" s="28" t="s">
        <v>190</v>
      </c>
      <c r="C3948" s="230"/>
      <c r="D3948" s="230">
        <v>2056</v>
      </c>
      <c r="E3948" s="216">
        <v>234</v>
      </c>
      <c r="F3948" s="156">
        <f>D3948+E3948</f>
        <v>2290</v>
      </c>
      <c r="G3948" s="24" t="s">
        <v>8122</v>
      </c>
      <c r="H3948" s="532" t="str">
        <f>B3948</f>
        <v>LZMS4-VE1000</v>
      </c>
      <c r="I3948" s="501"/>
      <c r="J3948" s="514" t="s">
        <v>1835</v>
      </c>
      <c r="K3948" s="501"/>
    </row>
    <row r="3949" spans="1:14" s="48" customFormat="1">
      <c r="A3949" s="510"/>
      <c r="B3949" s="28" t="s">
        <v>191</v>
      </c>
      <c r="C3949" s="230"/>
      <c r="D3949" s="230">
        <v>2056</v>
      </c>
      <c r="E3949" s="216">
        <v>234</v>
      </c>
      <c r="F3949" s="156">
        <f>D3949+E3949</f>
        <v>2290</v>
      </c>
      <c r="G3949" s="24" t="s">
        <v>8123</v>
      </c>
      <c r="H3949" s="532" t="str">
        <f>B3949</f>
        <v>LZMS4-VE1250</v>
      </c>
      <c r="I3949" s="501"/>
      <c r="J3949" s="514" t="s">
        <v>1835</v>
      </c>
      <c r="K3949" s="501"/>
      <c r="L3949" s="201"/>
      <c r="M3949" s="201"/>
      <c r="N3949" s="201"/>
    </row>
    <row r="3950" spans="1:14" s="48" customFormat="1">
      <c r="A3950" s="510"/>
      <c r="B3950" s="28" t="s">
        <v>192</v>
      </c>
      <c r="C3950" s="230"/>
      <c r="D3950" s="230">
        <v>2056</v>
      </c>
      <c r="E3950" s="216">
        <v>234</v>
      </c>
      <c r="F3950" s="156">
        <f>D3950+E3950</f>
        <v>2290</v>
      </c>
      <c r="G3950" s="24" t="s">
        <v>8124</v>
      </c>
      <c r="H3950" s="532" t="str">
        <f>B3950</f>
        <v>LZMS4-VE1600</v>
      </c>
      <c r="I3950" s="501"/>
      <c r="J3950" s="514" t="s">
        <v>1835</v>
      </c>
      <c r="K3950" s="501"/>
      <c r="L3950" s="201"/>
      <c r="M3950" s="201"/>
      <c r="N3950" s="201"/>
    </row>
    <row r="3951" spans="1:14" s="48" customFormat="1">
      <c r="A3951" s="510"/>
      <c r="B3951" s="28"/>
      <c r="C3951" s="230"/>
      <c r="D3951" s="230"/>
      <c r="E3951" s="216"/>
      <c r="F3951" s="156"/>
      <c r="G3951" s="24"/>
      <c r="H3951" s="532"/>
      <c r="I3951" s="501"/>
      <c r="J3951" s="514"/>
      <c r="K3951" s="501"/>
      <c r="L3951" s="201"/>
      <c r="M3951" s="201"/>
      <c r="N3951" s="201"/>
    </row>
    <row r="3952" spans="1:14" s="35" customFormat="1">
      <c r="A3952" s="502"/>
      <c r="B3952" s="34" t="s">
        <v>10968</v>
      </c>
      <c r="C3952" s="230"/>
      <c r="D3952" s="230"/>
      <c r="E3952" s="216"/>
      <c r="F3952" s="156"/>
      <c r="G3952" s="501"/>
      <c r="H3952" s="532"/>
      <c r="I3952" s="501"/>
      <c r="J3952" s="514"/>
      <c r="K3952" s="501"/>
    </row>
    <row r="3953" spans="1:14" s="48" customFormat="1">
      <c r="A3953" s="510"/>
      <c r="B3953" s="28" t="s">
        <v>10969</v>
      </c>
      <c r="C3953" s="230"/>
      <c r="D3953" s="230">
        <v>4490</v>
      </c>
      <c r="E3953" s="216">
        <v>234</v>
      </c>
      <c r="F3953" s="156">
        <f>D3953+E3953</f>
        <v>4724</v>
      </c>
      <c r="G3953" s="24" t="s">
        <v>10970</v>
      </c>
      <c r="H3953" s="532" t="str">
        <f>B3953</f>
        <v>IZMX16B3-P12F-1</v>
      </c>
      <c r="I3953" s="501"/>
      <c r="J3953" s="514" t="s">
        <v>1835</v>
      </c>
      <c r="K3953" s="501"/>
      <c r="L3953" s="201"/>
      <c r="M3953" s="201"/>
      <c r="N3953" s="201"/>
    </row>
    <row r="3954" spans="1:14" s="48" customFormat="1">
      <c r="A3954" s="510"/>
      <c r="B3954" s="28" t="s">
        <v>10971</v>
      </c>
      <c r="C3954" s="230"/>
      <c r="D3954" s="230">
        <v>4490</v>
      </c>
      <c r="E3954" s="216">
        <v>234</v>
      </c>
      <c r="F3954" s="156">
        <f>D3954+E3954</f>
        <v>4724</v>
      </c>
      <c r="G3954" s="24" t="s">
        <v>10972</v>
      </c>
      <c r="H3954" s="532" t="str">
        <f>B3954</f>
        <v>IZMX16B3-P16F-1</v>
      </c>
      <c r="I3954" s="501"/>
      <c r="J3954" s="514" t="s">
        <v>1835</v>
      </c>
      <c r="K3954" s="501"/>
      <c r="L3954" s="201"/>
      <c r="M3954" s="201"/>
      <c r="N3954" s="201"/>
    </row>
    <row r="3955" spans="1:14" s="35" customFormat="1">
      <c r="A3955" s="502"/>
      <c r="B3955" s="29"/>
      <c r="C3955" s="230"/>
      <c r="D3955" s="230"/>
      <c r="E3955" s="216"/>
      <c r="F3955" s="156"/>
      <c r="G3955" s="501"/>
      <c r="H3955" s="532"/>
      <c r="I3955" s="501"/>
      <c r="J3955" s="514"/>
      <c r="K3955" s="501"/>
    </row>
    <row r="3956" spans="1:14" s="35" customFormat="1">
      <c r="A3956" s="502"/>
      <c r="B3956" s="34" t="s">
        <v>6106</v>
      </c>
      <c r="C3956" s="230"/>
      <c r="D3956" s="230"/>
      <c r="E3956" s="216"/>
      <c r="F3956" s="156"/>
      <c r="G3956" s="501"/>
      <c r="H3956" s="532"/>
      <c r="I3956" s="501"/>
      <c r="J3956" s="514"/>
      <c r="K3956" s="501"/>
    </row>
    <row r="3957" spans="1:14" s="35" customFormat="1">
      <c r="A3957" s="510"/>
      <c r="B3957" s="29" t="s">
        <v>6107</v>
      </c>
      <c r="C3957" s="230"/>
      <c r="D3957" s="230">
        <v>458</v>
      </c>
      <c r="E3957" s="216">
        <v>30</v>
      </c>
      <c r="F3957" s="156">
        <f>D3957+E3957</f>
        <v>488</v>
      </c>
      <c r="G3957" s="24" t="s">
        <v>8125</v>
      </c>
      <c r="H3957" s="532" t="str">
        <f>B3957</f>
        <v>LZMS2-S200</v>
      </c>
      <c r="I3957" s="501"/>
      <c r="J3957" s="514" t="s">
        <v>1835</v>
      </c>
      <c r="K3957" s="501"/>
    </row>
    <row r="3958" spans="1:14" s="35" customFormat="1">
      <c r="A3958" s="510"/>
      <c r="B3958" s="29" t="s">
        <v>13893</v>
      </c>
      <c r="C3958" s="230"/>
      <c r="D3958" s="230">
        <v>635.94000000000005</v>
      </c>
      <c r="E3958" s="216">
        <v>80</v>
      </c>
      <c r="F3958" s="156">
        <f>D3958+E3958</f>
        <v>715.94</v>
      </c>
      <c r="G3958" s="24" t="s">
        <v>13894</v>
      </c>
      <c r="H3958" s="532" t="str">
        <f>B3958</f>
        <v>LZMS3-S320</v>
      </c>
      <c r="I3958" s="501"/>
      <c r="J3958" s="514" t="s">
        <v>1835</v>
      </c>
      <c r="K3958" s="501"/>
    </row>
    <row r="3959" spans="1:14" s="35" customFormat="1">
      <c r="A3959" s="510"/>
      <c r="B3959" s="29" t="s">
        <v>6108</v>
      </c>
      <c r="C3959" s="230"/>
      <c r="D3959" s="230">
        <v>574</v>
      </c>
      <c r="E3959" s="216">
        <v>80</v>
      </c>
      <c r="F3959" s="156">
        <f>D3959+E3959</f>
        <v>654</v>
      </c>
      <c r="G3959" s="24" t="s">
        <v>8126</v>
      </c>
      <c r="H3959" s="532" t="str">
        <f>B3959</f>
        <v>LZMS3-S500</v>
      </c>
      <c r="I3959" s="501"/>
      <c r="J3959" s="514" t="s">
        <v>1835</v>
      </c>
      <c r="K3959" s="501"/>
    </row>
    <row r="3960" spans="1:14" s="35" customFormat="1">
      <c r="A3960" s="502"/>
      <c r="B3960" s="29"/>
      <c r="C3960" s="230"/>
      <c r="D3960" s="230"/>
      <c r="E3960" s="216"/>
      <c r="F3960" s="156"/>
      <c r="G3960" s="501"/>
      <c r="H3960" s="532"/>
      <c r="I3960" s="501"/>
      <c r="J3960" s="514"/>
      <c r="K3960" s="501"/>
    </row>
    <row r="3961" spans="1:14" s="48" customFormat="1">
      <c r="A3961" s="507"/>
      <c r="B3961" s="49"/>
      <c r="C3961" s="230"/>
      <c r="D3961" s="230"/>
      <c r="E3961" s="216"/>
      <c r="F3961" s="156"/>
      <c r="G3961" s="508"/>
      <c r="H3961" s="532"/>
      <c r="I3961" s="508"/>
      <c r="J3961" s="507"/>
      <c r="K3961" s="508"/>
      <c r="L3961" s="201"/>
      <c r="M3961" s="201"/>
      <c r="N3961" s="201"/>
    </row>
    <row r="3962" spans="1:14" s="194" customFormat="1">
      <c r="A3962" s="502"/>
      <c r="B3962" s="34" t="s">
        <v>1841</v>
      </c>
      <c r="C3962" s="384"/>
      <c r="D3962" s="384"/>
      <c r="E3962" s="216"/>
      <c r="F3962" s="156"/>
      <c r="G3962" s="501"/>
      <c r="H3962" s="2003"/>
      <c r="I3962" s="501"/>
      <c r="J3962" s="502"/>
      <c r="K3962" s="501"/>
      <c r="L3962" s="443"/>
      <c r="M3962" s="443"/>
      <c r="N3962" s="443"/>
    </row>
    <row r="3963" spans="1:14" s="23" customFormat="1">
      <c r="A3963" s="514"/>
      <c r="B3963" s="439" t="s">
        <v>1701</v>
      </c>
      <c r="C3963" s="230"/>
      <c r="D3963" s="230">
        <v>87</v>
      </c>
      <c r="E3963" s="450">
        <v>5</v>
      </c>
      <c r="F3963" s="442">
        <f>D3963+E3963</f>
        <v>92</v>
      </c>
      <c r="G3963" s="443" t="s">
        <v>1705</v>
      </c>
      <c r="H3963" s="438" t="str">
        <f>B3963</f>
        <v>NZM1-XA208-250AC/DC</v>
      </c>
      <c r="I3963" s="201"/>
      <c r="J3963" s="514" t="s">
        <v>1835</v>
      </c>
      <c r="K3963" s="201" t="s">
        <v>741</v>
      </c>
    </row>
    <row r="3964" spans="1:14" s="35" customFormat="1">
      <c r="A3964" s="514"/>
      <c r="B3964" s="439" t="s">
        <v>1702</v>
      </c>
      <c r="C3964" s="230"/>
      <c r="D3964" s="230">
        <v>104</v>
      </c>
      <c r="E3964" s="450">
        <v>2</v>
      </c>
      <c r="F3964" s="442">
        <f>D3964+E3964</f>
        <v>106</v>
      </c>
      <c r="G3964" s="443" t="s">
        <v>1704</v>
      </c>
      <c r="H3964" s="438" t="str">
        <f>B3964</f>
        <v>NZM2/3-XA208-250AC/DC</v>
      </c>
      <c r="I3964" s="201"/>
      <c r="J3964" s="514" t="s">
        <v>1835</v>
      </c>
      <c r="K3964" s="201" t="s">
        <v>741</v>
      </c>
    </row>
    <row r="3965" spans="1:14" s="195" customFormat="1">
      <c r="A3965" s="514"/>
      <c r="B3965" s="439" t="s">
        <v>1703</v>
      </c>
      <c r="C3965" s="230"/>
      <c r="D3965" s="230">
        <v>126</v>
      </c>
      <c r="E3965" s="450">
        <v>2</v>
      </c>
      <c r="F3965" s="442">
        <f>D3965+E3965</f>
        <v>128</v>
      </c>
      <c r="G3965" s="443" t="s">
        <v>1706</v>
      </c>
      <c r="H3965" s="438" t="str">
        <f>B3965</f>
        <v>NZM4-XA208-250AC/DC</v>
      </c>
      <c r="I3965" s="201"/>
      <c r="J3965" s="514" t="s">
        <v>1835</v>
      </c>
      <c r="K3965" s="201" t="s">
        <v>741</v>
      </c>
    </row>
    <row r="3966" spans="1:14" s="35" customFormat="1">
      <c r="A3966" s="515"/>
      <c r="B3966" s="439"/>
      <c r="C3966" s="230"/>
      <c r="D3966" s="230"/>
      <c r="E3966" s="441"/>
      <c r="F3966" s="442"/>
      <c r="G3966" s="443"/>
      <c r="H3966" s="438"/>
      <c r="I3966" s="443"/>
      <c r="J3966" s="515"/>
      <c r="K3966" s="443"/>
    </row>
    <row r="3967" spans="1:14" s="35" customFormat="1">
      <c r="A3967" s="515"/>
      <c r="B3967" s="526" t="s">
        <v>1842</v>
      </c>
      <c r="C3967" s="230"/>
      <c r="D3967" s="230">
        <v>121</v>
      </c>
      <c r="E3967" s="441">
        <v>15</v>
      </c>
      <c r="F3967" s="442">
        <f>D3967+E3967</f>
        <v>136</v>
      </c>
      <c r="G3967" s="466" t="s">
        <v>5306</v>
      </c>
      <c r="H3967" s="438" t="str">
        <f>B3967</f>
        <v>NZM2/3-XU208-240AC</v>
      </c>
      <c r="I3967" s="443"/>
      <c r="J3967" s="515"/>
      <c r="K3967" s="443"/>
    </row>
    <row r="3968" spans="1:14" s="35" customFormat="1">
      <c r="A3968" s="515"/>
      <c r="B3968" s="526" t="s">
        <v>1843</v>
      </c>
      <c r="C3968" s="230"/>
      <c r="D3968" s="230">
        <v>146</v>
      </c>
      <c r="E3968" s="441">
        <v>15</v>
      </c>
      <c r="F3968" s="442">
        <f>D3968+E3968</f>
        <v>161</v>
      </c>
      <c r="G3968" s="466" t="s">
        <v>5307</v>
      </c>
      <c r="H3968" s="438" t="str">
        <f>B3968</f>
        <v>NZM4-XU208-240AC</v>
      </c>
      <c r="I3968" s="443"/>
      <c r="J3968" s="515"/>
      <c r="K3968" s="443"/>
    </row>
    <row r="3969" spans="1:11" s="35" customFormat="1">
      <c r="A3969" s="515"/>
      <c r="B3969" s="439"/>
      <c r="C3969" s="230"/>
      <c r="D3969" s="230"/>
      <c r="E3969" s="441"/>
      <c r="F3969" s="442"/>
      <c r="G3969" s="466"/>
      <c r="H3969" s="438"/>
      <c r="I3969" s="443"/>
      <c r="J3969" s="515"/>
      <c r="K3969" s="443"/>
    </row>
    <row r="3970" spans="1:11" s="35" customFormat="1">
      <c r="A3970" s="515"/>
      <c r="B3970" s="439"/>
      <c r="C3970" s="230"/>
      <c r="D3970" s="230"/>
      <c r="E3970" s="441"/>
      <c r="F3970" s="442"/>
      <c r="G3970" s="466"/>
      <c r="H3970" s="438"/>
      <c r="I3970" s="443"/>
      <c r="J3970" s="515"/>
      <c r="K3970" s="443"/>
    </row>
    <row r="3971" spans="1:11" s="35" customFormat="1">
      <c r="A3971" s="515"/>
      <c r="B3971" s="439"/>
      <c r="C3971" s="230"/>
      <c r="D3971" s="230"/>
      <c r="E3971" s="441"/>
      <c r="F3971" s="442"/>
      <c r="G3971" s="466"/>
      <c r="H3971" s="438"/>
      <c r="I3971" s="443"/>
      <c r="J3971" s="515"/>
      <c r="K3971" s="443"/>
    </row>
    <row r="3972" spans="1:11" s="35" customFormat="1">
      <c r="A3972" s="507"/>
      <c r="B3972" s="34" t="s">
        <v>365</v>
      </c>
      <c r="C3972" s="230"/>
      <c r="D3972" s="230"/>
      <c r="E3972" s="216"/>
      <c r="F3972" s="156"/>
      <c r="G3972" s="508"/>
      <c r="H3972" s="438"/>
      <c r="I3972" s="508"/>
      <c r="J3972" s="507"/>
      <c r="K3972" s="508"/>
    </row>
    <row r="3973" spans="1:11" s="23" customFormat="1">
      <c r="A3973" s="527"/>
      <c r="B3973" s="28" t="s">
        <v>368</v>
      </c>
      <c r="C3973" s="230"/>
      <c r="D3973" s="230">
        <v>1057</v>
      </c>
      <c r="E3973" s="216">
        <v>18</v>
      </c>
      <c r="F3973" s="156">
        <f>D3973+E3973</f>
        <v>1075</v>
      </c>
      <c r="G3973" s="24" t="s">
        <v>5215</v>
      </c>
      <c r="H3973" s="438" t="str">
        <f>B3973</f>
        <v>NZM2-XR208-240AC</v>
      </c>
      <c r="I3973" s="501"/>
      <c r="J3973" s="514" t="s">
        <v>1835</v>
      </c>
      <c r="K3973" s="501" t="s">
        <v>741</v>
      </c>
    </row>
    <row r="3974" spans="1:11" s="23" customFormat="1">
      <c r="A3974" s="527"/>
      <c r="B3974" s="28" t="s">
        <v>367</v>
      </c>
      <c r="C3974" s="230"/>
      <c r="D3974" s="230">
        <v>903</v>
      </c>
      <c r="E3974" s="216">
        <v>17</v>
      </c>
      <c r="F3974" s="156">
        <f>D3974+E3974</f>
        <v>920</v>
      </c>
      <c r="G3974" s="24" t="s">
        <v>5216</v>
      </c>
      <c r="H3974" s="438" t="str">
        <f>B3974</f>
        <v>NZM3-XR208-240AC</v>
      </c>
      <c r="I3974" s="501"/>
      <c r="J3974" s="514" t="s">
        <v>1835</v>
      </c>
      <c r="K3974" s="501" t="s">
        <v>741</v>
      </c>
    </row>
    <row r="3975" spans="1:11" s="35" customFormat="1">
      <c r="A3975" s="527"/>
      <c r="B3975" s="28" t="s">
        <v>366</v>
      </c>
      <c r="C3975" s="230"/>
      <c r="D3975" s="230">
        <v>1197</v>
      </c>
      <c r="E3975" s="216">
        <v>17</v>
      </c>
      <c r="F3975" s="156">
        <f>D3975+E3975</f>
        <v>1214</v>
      </c>
      <c r="G3975" s="24" t="s">
        <v>5217</v>
      </c>
      <c r="H3975" s="438" t="str">
        <f>B3975</f>
        <v>NZM4-XR208-240AC</v>
      </c>
      <c r="I3975" s="501"/>
      <c r="J3975" s="514" t="s">
        <v>1835</v>
      </c>
      <c r="K3975" s="501" t="s">
        <v>741</v>
      </c>
    </row>
    <row r="3976" spans="1:11" s="35" customFormat="1">
      <c r="A3976" s="507"/>
      <c r="B3976" s="49"/>
      <c r="C3976" s="230"/>
      <c r="D3976" s="230"/>
      <c r="E3976" s="216"/>
      <c r="F3976" s="156"/>
      <c r="G3976" s="508"/>
      <c r="H3976" s="438"/>
      <c r="I3976" s="508"/>
      <c r="J3976" s="507"/>
      <c r="K3976" s="508"/>
    </row>
    <row r="3977" spans="1:11" s="35" customFormat="1">
      <c r="A3977" s="507"/>
      <c r="B3977" s="34" t="s">
        <v>369</v>
      </c>
      <c r="C3977" s="230"/>
      <c r="D3977" s="230"/>
      <c r="E3977" s="216"/>
      <c r="F3977" s="156"/>
      <c r="G3977" s="508"/>
      <c r="H3977" s="438"/>
      <c r="I3977" s="508"/>
      <c r="J3977" s="507"/>
      <c r="K3977" s="508"/>
    </row>
    <row r="3978" spans="1:11" s="35" customFormat="1">
      <c r="A3978" s="502"/>
      <c r="B3978" s="28" t="s">
        <v>10125</v>
      </c>
      <c r="C3978" s="230"/>
      <c r="D3978" s="230">
        <v>890</v>
      </c>
      <c r="E3978" s="216">
        <v>30</v>
      </c>
      <c r="F3978" s="156">
        <f>D3978+E3978</f>
        <v>920</v>
      </c>
      <c r="G3978" s="20" t="s">
        <v>10126</v>
      </c>
      <c r="H3978" s="438" t="str">
        <f>B3978</f>
        <v>NZM2/3-XMVR</v>
      </c>
      <c r="I3978" s="501"/>
      <c r="J3978" s="502"/>
      <c r="K3978" s="501"/>
    </row>
    <row r="3979" spans="1:11" s="35" customFormat="1">
      <c r="A3979" s="502"/>
      <c r="B3979" s="28" t="s">
        <v>370</v>
      </c>
      <c r="C3979" s="230"/>
      <c r="D3979" s="230">
        <v>980</v>
      </c>
      <c r="E3979" s="216">
        <v>30</v>
      </c>
      <c r="F3979" s="156">
        <f>D3979+E3979</f>
        <v>1010</v>
      </c>
      <c r="G3979" s="20" t="s">
        <v>10127</v>
      </c>
      <c r="H3979" s="438" t="str">
        <f>B3979</f>
        <v>NZM3/4-XMVR</v>
      </c>
      <c r="I3979" s="501"/>
      <c r="J3979" s="502"/>
      <c r="K3979" s="501"/>
    </row>
    <row r="3980" spans="1:11" s="35" customFormat="1">
      <c r="A3980" s="502"/>
      <c r="B3980" s="28" t="s">
        <v>6109</v>
      </c>
      <c r="D3980" s="230">
        <v>300</v>
      </c>
      <c r="E3980" s="216">
        <v>30</v>
      </c>
      <c r="F3980" s="156">
        <f>D3980+E3980</f>
        <v>330</v>
      </c>
      <c r="G3980" s="24" t="s">
        <v>6110</v>
      </c>
      <c r="H3980" s="438" t="str">
        <f>B3980</f>
        <v>ENC. TRIPLE</v>
      </c>
      <c r="I3980" s="501"/>
      <c r="J3980" s="502"/>
      <c r="K3980" s="501"/>
    </row>
    <row r="3981" spans="1:11" s="35" customFormat="1">
      <c r="A3981" s="502"/>
      <c r="B3981" s="28"/>
      <c r="C3981" s="230"/>
      <c r="D3981" s="230"/>
      <c r="E3981" s="216"/>
      <c r="F3981" s="156"/>
      <c r="G3981" s="24"/>
      <c r="H3981" s="438"/>
      <c r="I3981" s="501"/>
      <c r="J3981" s="502"/>
      <c r="K3981" s="501"/>
    </row>
    <row r="3982" spans="1:11" s="35" customFormat="1">
      <c r="A3982" s="507"/>
      <c r="B3982" s="34" t="s">
        <v>8127</v>
      </c>
      <c r="C3982" s="230"/>
      <c r="D3982" s="230"/>
      <c r="E3982" s="216"/>
      <c r="F3982" s="156"/>
      <c r="G3982" s="508"/>
      <c r="H3982" s="438"/>
      <c r="I3982" s="508"/>
      <c r="J3982" s="507"/>
      <c r="K3982" s="508"/>
    </row>
    <row r="3983" spans="1:11" s="35" customFormat="1">
      <c r="A3983" s="502"/>
      <c r="B3983" s="28" t="s">
        <v>8128</v>
      </c>
      <c r="C3983" s="230"/>
      <c r="D3983" s="230">
        <v>100</v>
      </c>
      <c r="E3983" s="216">
        <v>20</v>
      </c>
      <c r="F3983" s="156">
        <f t="shared" ref="F3983:F3988" si="535">D3983+E3983</f>
        <v>120</v>
      </c>
      <c r="G3983" s="24" t="s">
        <v>8129</v>
      </c>
      <c r="H3983" s="438" t="str">
        <f t="shared" ref="H3983:H3988" si="536">B3983</f>
        <v>BZM1-XTVD</v>
      </c>
      <c r="I3983" s="501"/>
      <c r="J3983" s="514" t="s">
        <v>1835</v>
      </c>
      <c r="K3983" s="501" t="s">
        <v>741</v>
      </c>
    </row>
    <row r="3984" spans="1:11" s="35" customFormat="1">
      <c r="A3984" s="502"/>
      <c r="B3984" s="28" t="s">
        <v>8130</v>
      </c>
      <c r="C3984" s="230"/>
      <c r="D3984" s="230">
        <v>67</v>
      </c>
      <c r="E3984" s="216">
        <v>20</v>
      </c>
      <c r="F3984" s="156">
        <f t="shared" si="535"/>
        <v>87</v>
      </c>
      <c r="G3984" s="24" t="s">
        <v>8131</v>
      </c>
      <c r="H3984" s="438" t="str">
        <f t="shared" si="536"/>
        <v>NZM1-XTVD</v>
      </c>
      <c r="I3984" s="501"/>
      <c r="J3984" s="514" t="s">
        <v>1835</v>
      </c>
      <c r="K3984" s="501" t="s">
        <v>741</v>
      </c>
    </row>
    <row r="3985" spans="1:14" s="35" customFormat="1">
      <c r="A3985" s="502"/>
      <c r="B3985" s="28" t="s">
        <v>8132</v>
      </c>
      <c r="C3985" s="230"/>
      <c r="D3985" s="230">
        <v>82</v>
      </c>
      <c r="E3985" s="216">
        <v>20</v>
      </c>
      <c r="F3985" s="156">
        <f t="shared" si="535"/>
        <v>102</v>
      </c>
      <c r="G3985" s="24" t="s">
        <v>8133</v>
      </c>
      <c r="H3985" s="438" t="str">
        <f t="shared" si="536"/>
        <v>NZM2-XTVD</v>
      </c>
      <c r="I3985" s="501"/>
      <c r="J3985" s="514" t="s">
        <v>1835</v>
      </c>
      <c r="K3985" s="501" t="s">
        <v>741</v>
      </c>
    </row>
    <row r="3986" spans="1:14" s="35" customFormat="1">
      <c r="A3986" s="502"/>
      <c r="B3986" s="28" t="s">
        <v>8134</v>
      </c>
      <c r="C3986" s="230"/>
      <c r="D3986" s="230">
        <v>135</v>
      </c>
      <c r="E3986" s="216">
        <v>20</v>
      </c>
      <c r="F3986" s="156">
        <f t="shared" si="535"/>
        <v>155</v>
      </c>
      <c r="G3986" s="24" t="s">
        <v>8135</v>
      </c>
      <c r="H3986" s="438" t="str">
        <f t="shared" si="536"/>
        <v>NZM3-XTVD</v>
      </c>
      <c r="I3986" s="501"/>
      <c r="J3986" s="514" t="s">
        <v>1835</v>
      </c>
      <c r="K3986" s="501" t="s">
        <v>741</v>
      </c>
    </row>
    <row r="3987" spans="1:14" s="35" customFormat="1">
      <c r="A3987" s="502"/>
      <c r="B3987" s="28" t="s">
        <v>8136</v>
      </c>
      <c r="C3987" s="230"/>
      <c r="D3987" s="230">
        <v>30</v>
      </c>
      <c r="E3987" s="216">
        <v>10</v>
      </c>
      <c r="F3987" s="156">
        <f t="shared" si="535"/>
        <v>40</v>
      </c>
      <c r="G3987" s="24" t="s">
        <v>8137</v>
      </c>
      <c r="H3987" s="438" t="str">
        <f t="shared" si="536"/>
        <v>BZM1-XV4</v>
      </c>
      <c r="I3987" s="501"/>
      <c r="J3987" s="514" t="s">
        <v>1835</v>
      </c>
      <c r="K3987" s="501" t="s">
        <v>741</v>
      </c>
    </row>
    <row r="3988" spans="1:14" s="35" customFormat="1">
      <c r="A3988" s="502"/>
      <c r="B3988" s="28" t="s">
        <v>8138</v>
      </c>
      <c r="C3988" s="230"/>
      <c r="D3988" s="230">
        <v>20</v>
      </c>
      <c r="E3988" s="216">
        <v>10</v>
      </c>
      <c r="F3988" s="156">
        <f t="shared" si="535"/>
        <v>30</v>
      </c>
      <c r="G3988" s="24" t="s">
        <v>8139</v>
      </c>
      <c r="H3988" s="438" t="str">
        <f t="shared" si="536"/>
        <v>LZM1-XV4</v>
      </c>
      <c r="I3988" s="501"/>
      <c r="J3988" s="514" t="s">
        <v>1835</v>
      </c>
      <c r="K3988" s="501" t="s">
        <v>741</v>
      </c>
    </row>
    <row r="3989" spans="1:14" s="35" customFormat="1">
      <c r="A3989" s="502"/>
      <c r="B3989" s="28"/>
      <c r="C3989" s="230"/>
      <c r="D3989" s="230"/>
      <c r="E3989" s="216"/>
      <c r="F3989" s="156"/>
      <c r="G3989" s="24"/>
      <c r="H3989" s="438"/>
      <c r="I3989" s="501"/>
      <c r="J3989" s="502"/>
      <c r="K3989" s="501"/>
    </row>
    <row r="3990" spans="1:14" s="23" customFormat="1">
      <c r="A3990" s="502"/>
      <c r="B3990" s="34" t="s">
        <v>371</v>
      </c>
      <c r="C3990" s="230"/>
      <c r="D3990" s="230"/>
      <c r="E3990" s="216"/>
      <c r="F3990" s="158"/>
      <c r="G3990" s="501"/>
      <c r="H3990" s="438"/>
      <c r="I3990" s="501"/>
      <c r="J3990" s="502"/>
      <c r="K3990" s="501"/>
    </row>
    <row r="3991" spans="1:14" s="35" customFormat="1">
      <c r="A3991" s="502"/>
      <c r="B3991" s="28" t="s">
        <v>1699</v>
      </c>
      <c r="C3991" s="230"/>
      <c r="D3991" s="230">
        <v>3</v>
      </c>
      <c r="E3991" s="216">
        <v>2</v>
      </c>
      <c r="F3991" s="158">
        <f>D3991+E3991</f>
        <v>5</v>
      </c>
      <c r="G3991" s="528" t="s">
        <v>1844</v>
      </c>
      <c r="H3991" s="438" t="str">
        <f>B3991</f>
        <v>M22-K10</v>
      </c>
      <c r="I3991" s="501"/>
      <c r="J3991" s="514" t="s">
        <v>1835</v>
      </c>
      <c r="K3991" s="501" t="s">
        <v>741</v>
      </c>
    </row>
    <row r="3992" spans="1:14" s="35" customFormat="1">
      <c r="A3992" s="502"/>
      <c r="B3992" s="28" t="s">
        <v>1700</v>
      </c>
      <c r="C3992" s="230"/>
      <c r="D3992" s="230">
        <v>3</v>
      </c>
      <c r="E3992" s="216">
        <v>2</v>
      </c>
      <c r="F3992" s="158">
        <f>D3992+E3992</f>
        <v>5</v>
      </c>
      <c r="G3992" s="528" t="s">
        <v>1845</v>
      </c>
      <c r="H3992" s="438" t="str">
        <f>B3992</f>
        <v>M22-K01</v>
      </c>
      <c r="I3992" s="501"/>
      <c r="J3992" s="514" t="s">
        <v>1835</v>
      </c>
      <c r="K3992" s="501" t="s">
        <v>741</v>
      </c>
    </row>
    <row r="3993" spans="1:14" s="35" customFormat="1">
      <c r="A3993" s="502"/>
      <c r="B3993" s="28" t="s">
        <v>6111</v>
      </c>
      <c r="C3993" s="230"/>
      <c r="D3993" s="230">
        <v>7</v>
      </c>
      <c r="E3993" s="216">
        <v>3</v>
      </c>
      <c r="F3993" s="158">
        <f>D3993+E3993</f>
        <v>10</v>
      </c>
      <c r="G3993" s="24" t="s">
        <v>736</v>
      </c>
      <c r="H3993" s="438" t="str">
        <f>B3993</f>
        <v>M22-CK11</v>
      </c>
      <c r="I3993" s="501"/>
      <c r="J3993" s="514" t="s">
        <v>1835</v>
      </c>
      <c r="K3993" s="501" t="s">
        <v>741</v>
      </c>
    </row>
    <row r="3994" spans="1:14" s="35" customFormat="1">
      <c r="A3994" s="502"/>
      <c r="B3994" s="28"/>
      <c r="C3994" s="230"/>
      <c r="D3994" s="230"/>
      <c r="E3994" s="216"/>
      <c r="F3994" s="158"/>
      <c r="G3994" s="24"/>
      <c r="H3994" s="438"/>
      <c r="I3994" s="501"/>
      <c r="J3994" s="502"/>
      <c r="K3994" s="501"/>
    </row>
    <row r="3995" spans="1:14" s="35" customFormat="1">
      <c r="A3995" s="1973"/>
      <c r="B3995" s="20" t="s">
        <v>10989</v>
      </c>
      <c r="C3995" s="230"/>
      <c r="D3995" s="230">
        <v>30</v>
      </c>
      <c r="E3995" s="216">
        <v>3</v>
      </c>
      <c r="F3995" s="158">
        <f>D3995+E3995</f>
        <v>33</v>
      </c>
      <c r="G3995" s="20" t="s">
        <v>10990</v>
      </c>
      <c r="H3995" s="438" t="str">
        <f>B3995</f>
        <v>NZM1-XKAV</v>
      </c>
      <c r="I3995" s="501"/>
      <c r="J3995" s="514" t="s">
        <v>1835</v>
      </c>
      <c r="K3995" s="501" t="s">
        <v>741</v>
      </c>
    </row>
    <row r="3996" spans="1:14" s="35" customFormat="1">
      <c r="A3996" s="1973"/>
      <c r="B3996" s="20" t="s">
        <v>10991</v>
      </c>
      <c r="C3996" s="230"/>
      <c r="D3996" s="230">
        <v>30</v>
      </c>
      <c r="E3996" s="216">
        <v>3</v>
      </c>
      <c r="F3996" s="158">
        <f>D3996+E3996</f>
        <v>33</v>
      </c>
      <c r="G3996" s="20" t="s">
        <v>11164</v>
      </c>
      <c r="H3996" s="438" t="str">
        <f>B3996</f>
        <v>NZM2/3-XKAV</v>
      </c>
      <c r="I3996" s="501"/>
      <c r="J3996" s="514" t="s">
        <v>1835</v>
      </c>
      <c r="K3996" s="501" t="s">
        <v>741</v>
      </c>
    </row>
    <row r="3997" spans="1:14" s="35" customFormat="1">
      <c r="A3997" s="502"/>
      <c r="B3997" s="28"/>
      <c r="C3997" s="230"/>
      <c r="D3997" s="230"/>
      <c r="E3997" s="216"/>
      <c r="F3997" s="158"/>
      <c r="G3997" s="24"/>
      <c r="H3997" s="438"/>
      <c r="I3997" s="501"/>
      <c r="J3997" s="502"/>
      <c r="K3997" s="501"/>
    </row>
    <row r="3998" spans="1:14" s="35" customFormat="1">
      <c r="A3998" s="507"/>
      <c r="B3998" s="49"/>
      <c r="C3998" s="230"/>
      <c r="D3998" s="230"/>
      <c r="E3998" s="216"/>
      <c r="F3998" s="156"/>
      <c r="G3998" s="508"/>
      <c r="H3998" s="438"/>
      <c r="I3998" s="508"/>
      <c r="J3998" s="507"/>
      <c r="K3998" s="508"/>
    </row>
    <row r="3999" spans="1:14" s="48" customFormat="1">
      <c r="A3999" s="500"/>
      <c r="B3999" s="28"/>
      <c r="C3999" s="230"/>
      <c r="D3999" s="230"/>
      <c r="E3999" s="216"/>
      <c r="F3999" s="156"/>
      <c r="G3999" s="24"/>
      <c r="H3999" s="438"/>
      <c r="I3999" s="501"/>
      <c r="J3999" s="500"/>
      <c r="K3999" s="501"/>
      <c r="L3999" s="201"/>
      <c r="M3999" s="201"/>
      <c r="N3999" s="201"/>
    </row>
    <row r="4000" spans="1:14" s="48" customFormat="1">
      <c r="A4000" s="502"/>
      <c r="B4000" s="501"/>
      <c r="C4000" s="230"/>
      <c r="D4000" s="230"/>
      <c r="E4000" s="505"/>
      <c r="F4000" s="506"/>
      <c r="G4000" s="501"/>
      <c r="H4000" s="438"/>
      <c r="I4000" s="501"/>
      <c r="J4000" s="502"/>
      <c r="K4000" s="501"/>
      <c r="L4000" s="201"/>
      <c r="M4000" s="201"/>
      <c r="N4000" s="201"/>
    </row>
    <row r="4001" spans="1:14" s="48" customFormat="1">
      <c r="A4001" s="502"/>
      <c r="B4001" s="34" t="s">
        <v>372</v>
      </c>
      <c r="C4001" s="230"/>
      <c r="D4001" s="230"/>
      <c r="E4001" s="216"/>
      <c r="F4001" s="156"/>
      <c r="G4001" s="501"/>
      <c r="H4001" s="438"/>
      <c r="I4001" s="501"/>
      <c r="J4001" s="502"/>
      <c r="K4001" s="501"/>
      <c r="L4001" s="201"/>
      <c r="M4001" s="201"/>
      <c r="N4001" s="201"/>
    </row>
    <row r="4002" spans="1:14" s="48" customFormat="1">
      <c r="A4002" s="514"/>
      <c r="B4002" s="439" t="s">
        <v>5218</v>
      </c>
      <c r="C4002" s="230"/>
      <c r="D4002" s="230">
        <v>71</v>
      </c>
      <c r="E4002" s="450">
        <v>3</v>
      </c>
      <c r="F4002" s="442">
        <f>D4002+E4002</f>
        <v>74</v>
      </c>
      <c r="G4002" s="443" t="s">
        <v>8140</v>
      </c>
      <c r="H4002" s="438" t="str">
        <f>B4002</f>
        <v>NZM1-XKA</v>
      </c>
      <c r="I4002" s="201"/>
      <c r="J4002" s="514" t="s">
        <v>1835</v>
      </c>
      <c r="K4002" s="201" t="s">
        <v>741</v>
      </c>
      <c r="L4002" s="201"/>
      <c r="M4002" s="201"/>
      <c r="N4002" s="201"/>
    </row>
    <row r="4003" spans="1:14" s="48" customFormat="1">
      <c r="A4003" s="514"/>
      <c r="B4003" s="439"/>
      <c r="C4003" s="230"/>
      <c r="D4003" s="230"/>
      <c r="E4003" s="441"/>
      <c r="F4003" s="442"/>
      <c r="G4003" s="443"/>
      <c r="H4003" s="438"/>
      <c r="I4003" s="201"/>
      <c r="J4003" s="514"/>
      <c r="K4003" s="201"/>
      <c r="L4003" s="201"/>
      <c r="M4003" s="201"/>
      <c r="N4003" s="201"/>
    </row>
    <row r="4004" spans="1:14" s="48" customFormat="1">
      <c r="A4004" s="514"/>
      <c r="B4004" s="439" t="s">
        <v>5219</v>
      </c>
      <c r="C4004" s="230"/>
      <c r="D4004" s="230">
        <v>26</v>
      </c>
      <c r="E4004" s="450">
        <v>5</v>
      </c>
      <c r="F4004" s="442">
        <f>D4004+E4004</f>
        <v>31</v>
      </c>
      <c r="G4004" s="443" t="s">
        <v>8141</v>
      </c>
      <c r="H4004" s="438" t="str">
        <f>B4004</f>
        <v>NZM2-160-XKC</v>
      </c>
      <c r="I4004" s="201"/>
      <c r="J4004" s="514" t="s">
        <v>1835</v>
      </c>
      <c r="K4004" s="201" t="s">
        <v>741</v>
      </c>
      <c r="L4004" s="201"/>
      <c r="M4004" s="201"/>
      <c r="N4004" s="201"/>
    </row>
    <row r="4005" spans="1:14" s="48" customFormat="1">
      <c r="A4005" s="514"/>
      <c r="B4005" s="439" t="s">
        <v>5220</v>
      </c>
      <c r="C4005" s="230"/>
      <c r="D4005" s="230">
        <v>33</v>
      </c>
      <c r="E4005" s="450">
        <v>5</v>
      </c>
      <c r="F4005" s="442">
        <f>D4005+E4005</f>
        <v>38</v>
      </c>
      <c r="G4005" s="443" t="s">
        <v>8142</v>
      </c>
      <c r="H4005" s="438" t="str">
        <f>B4005</f>
        <v>NZM2-250-XKC</v>
      </c>
      <c r="I4005" s="201"/>
      <c r="J4005" s="514" t="s">
        <v>1835</v>
      </c>
      <c r="K4005" s="201" t="s">
        <v>741</v>
      </c>
      <c r="L4005" s="201"/>
      <c r="M4005" s="201"/>
      <c r="N4005" s="201"/>
    </row>
    <row r="4006" spans="1:14" s="48" customFormat="1">
      <c r="A4006" s="514"/>
      <c r="B4006" s="439" t="s">
        <v>5221</v>
      </c>
      <c r="C4006" s="230"/>
      <c r="D4006" s="230">
        <v>150</v>
      </c>
      <c r="E4006" s="450">
        <v>5</v>
      </c>
      <c r="F4006" s="442">
        <f>D4006+E4006</f>
        <v>155</v>
      </c>
      <c r="G4006" s="443" t="s">
        <v>8143</v>
      </c>
      <c r="H4006" s="438" t="str">
        <f>B4006</f>
        <v>NZM2-XKA</v>
      </c>
      <c r="I4006" s="201"/>
      <c r="J4006" s="514" t="s">
        <v>1835</v>
      </c>
      <c r="K4006" s="201" t="s">
        <v>741</v>
      </c>
      <c r="L4006" s="201"/>
      <c r="M4006" s="201"/>
      <c r="N4006" s="201"/>
    </row>
    <row r="4007" spans="1:14" s="48" customFormat="1">
      <c r="A4007" s="514"/>
      <c r="B4007" s="439"/>
      <c r="C4007" s="230"/>
      <c r="D4007" s="230"/>
      <c r="E4007" s="441"/>
      <c r="F4007" s="442"/>
      <c r="G4007" s="443"/>
      <c r="H4007" s="438"/>
      <c r="I4007" s="201"/>
      <c r="J4007" s="514"/>
      <c r="K4007" s="201"/>
      <c r="L4007" s="201"/>
      <c r="M4007" s="201"/>
      <c r="N4007" s="201"/>
    </row>
    <row r="4008" spans="1:14" s="48" customFormat="1">
      <c r="A4008" s="514"/>
      <c r="B4008" s="439" t="s">
        <v>5222</v>
      </c>
      <c r="C4008" s="230"/>
      <c r="D4008" s="230">
        <v>78</v>
      </c>
      <c r="E4008" s="450">
        <v>10</v>
      </c>
      <c r="F4008" s="442">
        <f>D4008+E4008</f>
        <v>88</v>
      </c>
      <c r="G4008" s="443" t="s">
        <v>8144</v>
      </c>
      <c r="H4008" s="438" t="str">
        <f>B4008</f>
        <v>NZM3-XKC</v>
      </c>
      <c r="I4008" s="201"/>
      <c r="J4008" s="514" t="s">
        <v>1835</v>
      </c>
      <c r="K4008" s="201" t="s">
        <v>741</v>
      </c>
      <c r="L4008" s="201"/>
      <c r="M4008" s="201"/>
      <c r="N4008" s="201"/>
    </row>
    <row r="4009" spans="1:14" s="35" customFormat="1">
      <c r="A4009" s="514"/>
      <c r="B4009" s="439" t="s">
        <v>5223</v>
      </c>
      <c r="C4009" s="230"/>
      <c r="D4009" s="230">
        <v>109</v>
      </c>
      <c r="E4009" s="450">
        <v>10</v>
      </c>
      <c r="F4009" s="442">
        <f>D4009+E4009</f>
        <v>119</v>
      </c>
      <c r="G4009" s="443" t="s">
        <v>8145</v>
      </c>
      <c r="H4009" s="438" t="str">
        <f>B4009</f>
        <v>NZM3-XKA1</v>
      </c>
      <c r="I4009" s="201"/>
      <c r="J4009" s="514" t="s">
        <v>1835</v>
      </c>
      <c r="K4009" s="201" t="s">
        <v>741</v>
      </c>
    </row>
    <row r="4010" spans="1:14" s="35" customFormat="1">
      <c r="A4010" s="514"/>
      <c r="B4010" s="439" t="s">
        <v>5224</v>
      </c>
      <c r="C4010" s="230"/>
      <c r="D4010" s="230">
        <v>210</v>
      </c>
      <c r="E4010" s="450">
        <v>10</v>
      </c>
      <c r="F4010" s="442">
        <f>D4010+E4010</f>
        <v>220</v>
      </c>
      <c r="G4010" s="443" t="s">
        <v>8146</v>
      </c>
      <c r="H4010" s="438" t="str">
        <f>B4010</f>
        <v>NZM3-XKA2</v>
      </c>
      <c r="I4010" s="201"/>
      <c r="J4010" s="514" t="s">
        <v>1835</v>
      </c>
      <c r="K4010" s="201" t="s">
        <v>741</v>
      </c>
    </row>
    <row r="4011" spans="1:14" s="48" customFormat="1">
      <c r="A4011" s="514"/>
      <c r="B4011" s="439"/>
      <c r="C4011" s="230"/>
      <c r="D4011" s="230"/>
      <c r="E4011" s="441"/>
      <c r="F4011" s="442"/>
      <c r="G4011" s="443"/>
      <c r="H4011" s="438"/>
      <c r="I4011" s="201"/>
      <c r="J4011" s="514"/>
      <c r="K4011" s="201"/>
      <c r="L4011" s="201"/>
      <c r="M4011" s="201"/>
      <c r="N4011" s="201"/>
    </row>
    <row r="4012" spans="1:14" s="48" customFormat="1">
      <c r="A4012" s="514"/>
      <c r="B4012" s="439" t="s">
        <v>5225</v>
      </c>
      <c r="C4012" s="230"/>
      <c r="D4012" s="230">
        <v>289</v>
      </c>
      <c r="E4012" s="450">
        <v>15</v>
      </c>
      <c r="F4012" s="442">
        <f>D4012+E4012</f>
        <v>304</v>
      </c>
      <c r="G4012" s="443" t="s">
        <v>8147</v>
      </c>
      <c r="H4012" s="438" t="str">
        <f>B4012</f>
        <v>NZM4-XKA</v>
      </c>
      <c r="I4012" s="201"/>
      <c r="J4012" s="514" t="s">
        <v>1835</v>
      </c>
      <c r="K4012" s="201" t="s">
        <v>741</v>
      </c>
      <c r="L4012" s="201"/>
      <c r="M4012" s="201"/>
      <c r="N4012" s="201"/>
    </row>
    <row r="4013" spans="1:14" s="48" customFormat="1">
      <c r="A4013" s="502"/>
      <c r="B4013" s="501"/>
      <c r="C4013" s="230"/>
      <c r="D4013" s="230"/>
      <c r="E4013" s="505"/>
      <c r="F4013" s="506"/>
      <c r="G4013" s="501"/>
      <c r="H4013" s="438"/>
      <c r="I4013" s="501"/>
      <c r="J4013" s="514"/>
      <c r="K4013" s="501"/>
      <c r="L4013" s="201"/>
      <c r="M4013" s="201"/>
      <c r="N4013" s="201"/>
    </row>
    <row r="4014" spans="1:14" s="48" customFormat="1">
      <c r="A4014" s="502"/>
      <c r="B4014" s="34" t="s">
        <v>1654</v>
      </c>
      <c r="C4014" s="384"/>
      <c r="D4014" s="384"/>
      <c r="E4014" s="216"/>
      <c r="F4014" s="156"/>
      <c r="G4014" s="501"/>
      <c r="H4014" s="438"/>
      <c r="I4014" s="501"/>
      <c r="J4014" s="514"/>
      <c r="K4014" s="501"/>
      <c r="L4014" s="201"/>
      <c r="M4014" s="201"/>
      <c r="N4014" s="201"/>
    </row>
    <row r="4015" spans="1:14" s="35" customFormat="1">
      <c r="A4015" s="514"/>
      <c r="B4015" s="439" t="s">
        <v>1655</v>
      </c>
      <c r="C4015" s="230"/>
      <c r="D4015" s="230">
        <v>462</v>
      </c>
      <c r="E4015" s="450">
        <v>5</v>
      </c>
      <c r="F4015" s="442">
        <f>D4015+E4015</f>
        <v>467</v>
      </c>
      <c r="G4015" s="443" t="s">
        <v>1658</v>
      </c>
      <c r="H4015" s="438" t="str">
        <f>B4015</f>
        <v>NZM1-XFI30R</v>
      </c>
      <c r="I4015" s="201"/>
      <c r="J4015" s="514" t="s">
        <v>1835</v>
      </c>
      <c r="K4015" s="201" t="s">
        <v>741</v>
      </c>
    </row>
    <row r="4016" spans="1:14" s="35" customFormat="1">
      <c r="A4016" s="514"/>
      <c r="B4016" s="439" t="s">
        <v>1656</v>
      </c>
      <c r="C4016" s="230"/>
      <c r="D4016" s="230">
        <v>462</v>
      </c>
      <c r="E4016" s="450">
        <v>5</v>
      </c>
      <c r="F4016" s="442">
        <f>D4016+E4016</f>
        <v>467</v>
      </c>
      <c r="G4016" s="443" t="s">
        <v>1659</v>
      </c>
      <c r="H4016" s="438" t="str">
        <f>B4016</f>
        <v>NZM1-XFI300R</v>
      </c>
      <c r="I4016" s="201"/>
      <c r="J4016" s="514" t="s">
        <v>1835</v>
      </c>
      <c r="K4016" s="201" t="s">
        <v>741</v>
      </c>
    </row>
    <row r="4017" spans="1:11" s="35" customFormat="1">
      <c r="A4017" s="514"/>
      <c r="B4017" s="439" t="s">
        <v>1661</v>
      </c>
      <c r="C4017" s="230"/>
      <c r="D4017" s="230">
        <v>658</v>
      </c>
      <c r="E4017" s="450">
        <v>5</v>
      </c>
      <c r="F4017" s="442">
        <f>D4017+E4017</f>
        <v>663</v>
      </c>
      <c r="G4017" s="443" t="s">
        <v>1662</v>
      </c>
      <c r="H4017" s="438" t="str">
        <f>B4017</f>
        <v>NZM1-XFIU</v>
      </c>
      <c r="I4017" s="201"/>
      <c r="J4017" s="514" t="s">
        <v>1835</v>
      </c>
      <c r="K4017" s="201" t="s">
        <v>741</v>
      </c>
    </row>
    <row r="4018" spans="1:11" s="35" customFormat="1">
      <c r="A4018" s="514"/>
      <c r="B4018" s="439" t="s">
        <v>1657</v>
      </c>
      <c r="C4018" s="230"/>
      <c r="D4018" s="230">
        <v>779</v>
      </c>
      <c r="E4018" s="450">
        <v>5</v>
      </c>
      <c r="F4018" s="442">
        <f>D4018+E4018</f>
        <v>784</v>
      </c>
      <c r="G4018" s="443" t="s">
        <v>1660</v>
      </c>
      <c r="H4018" s="438" t="str">
        <f>B4018</f>
        <v>NZM1-XFIR</v>
      </c>
      <c r="I4018" s="201"/>
      <c r="J4018" s="514" t="s">
        <v>1835</v>
      </c>
      <c r="K4018" s="201" t="s">
        <v>741</v>
      </c>
    </row>
    <row r="4019" spans="1:11" s="35" customFormat="1">
      <c r="A4019" s="502"/>
      <c r="B4019" s="501"/>
      <c r="C4019" s="230"/>
      <c r="D4019" s="230"/>
      <c r="E4019" s="505"/>
      <c r="F4019" s="506"/>
      <c r="G4019" s="501"/>
      <c r="H4019" s="2003"/>
      <c r="I4019" s="501"/>
      <c r="J4019" s="502"/>
      <c r="K4019" s="501"/>
    </row>
    <row r="4020" spans="1:11" s="35" customFormat="1">
      <c r="A4020" s="502"/>
      <c r="B4020" s="28"/>
      <c r="C4020" s="230"/>
      <c r="D4020" s="230"/>
      <c r="E4020" s="216"/>
      <c r="F4020" s="156"/>
      <c r="G4020" s="529"/>
      <c r="H4020" s="2003"/>
      <c r="I4020" s="501"/>
      <c r="J4020" s="502"/>
      <c r="K4020" s="501"/>
    </row>
    <row r="4021" spans="1:11" s="35" customFormat="1">
      <c r="A4021" s="502"/>
      <c r="B4021" s="28"/>
      <c r="C4021" s="230"/>
      <c r="D4021" s="230"/>
      <c r="E4021" s="216"/>
      <c r="F4021" s="156"/>
      <c r="G4021" s="54"/>
      <c r="H4021" s="2003"/>
      <c r="I4021" s="501"/>
      <c r="J4021" s="502"/>
      <c r="K4021" s="501"/>
    </row>
    <row r="4022" spans="1:11" s="35" customFormat="1">
      <c r="A4022" s="502"/>
      <c r="B4022" s="34" t="s">
        <v>373</v>
      </c>
      <c r="C4022" s="230"/>
      <c r="D4022" s="230"/>
      <c r="E4022" s="216"/>
      <c r="F4022" s="156"/>
      <c r="G4022" s="529"/>
      <c r="H4022" s="2003"/>
      <c r="I4022" s="501"/>
      <c r="J4022" s="502"/>
      <c r="K4022" s="501"/>
    </row>
    <row r="4023" spans="1:11" s="35" customFormat="1">
      <c r="A4023" s="500"/>
      <c r="B4023" s="28" t="s">
        <v>5226</v>
      </c>
      <c r="C4023" s="1648">
        <v>527.77</v>
      </c>
      <c r="D4023" s="230">
        <f>C4023*fcl*(1-0.28)/TC</f>
        <v>189.43004417910444</v>
      </c>
      <c r="E4023" s="216">
        <v>15</v>
      </c>
      <c r="F4023" s="156">
        <f>D4023+E4023</f>
        <v>204.43004417910444</v>
      </c>
      <c r="G4023" s="529" t="s">
        <v>8148</v>
      </c>
      <c r="H4023" s="2003"/>
      <c r="I4023" s="501"/>
      <c r="J4023" s="500" t="s">
        <v>5227</v>
      </c>
      <c r="K4023" s="501"/>
    </row>
    <row r="4024" spans="1:11" s="35" customFormat="1">
      <c r="A4024" s="500"/>
      <c r="B4024" s="28" t="s">
        <v>5228</v>
      </c>
      <c r="C4024" s="1648">
        <v>398.49</v>
      </c>
      <c r="D4024" s="230">
        <f>C4024*fcl*(1-0.28)/TC</f>
        <v>143.02817194029851</v>
      </c>
      <c r="E4024" s="216">
        <v>15</v>
      </c>
      <c r="F4024" s="156">
        <f>D4024+E4024</f>
        <v>158.02817194029851</v>
      </c>
      <c r="G4024" s="529" t="s">
        <v>8149</v>
      </c>
      <c r="H4024" s="2003"/>
      <c r="I4024" s="501"/>
      <c r="J4024" s="500" t="s">
        <v>5227</v>
      </c>
      <c r="K4024" s="501"/>
    </row>
    <row r="4025" spans="1:11" s="35" customFormat="1">
      <c r="A4025" s="500"/>
      <c r="B4025" s="28" t="s">
        <v>5229</v>
      </c>
      <c r="C4025" s="1648">
        <v>211.91</v>
      </c>
      <c r="D4025" s="230">
        <f>C4025*fcl*(1-0.28)/TC</f>
        <v>76.059875820895513</v>
      </c>
      <c r="E4025" s="216">
        <v>15</v>
      </c>
      <c r="F4025" s="156">
        <f>D4025+E4025</f>
        <v>91.059875820895513</v>
      </c>
      <c r="G4025" s="529" t="s">
        <v>8150</v>
      </c>
      <c r="H4025" s="2003"/>
      <c r="I4025" s="501"/>
      <c r="J4025" s="500" t="s">
        <v>5227</v>
      </c>
      <c r="K4025" s="501"/>
    </row>
    <row r="4026" spans="1:11" s="35" customFormat="1">
      <c r="A4026" s="511"/>
      <c r="B4026" s="28"/>
      <c r="C4026" s="1648"/>
      <c r="D4026" s="230"/>
      <c r="E4026" s="216"/>
      <c r="F4026" s="156"/>
      <c r="G4026" s="529"/>
      <c r="H4026" s="2003"/>
      <c r="I4026" s="501"/>
      <c r="J4026" s="511"/>
      <c r="K4026" s="501"/>
    </row>
    <row r="4027" spans="1:11" s="35" customFormat="1">
      <c r="A4027" s="500"/>
      <c r="B4027" s="28" t="s">
        <v>374</v>
      </c>
      <c r="C4027" s="1648">
        <v>935.59</v>
      </c>
      <c r="D4027" s="230">
        <f>C4027*fcl*(1-0.28)/TC</f>
        <v>335.80698985074628</v>
      </c>
      <c r="E4027" s="216">
        <v>15</v>
      </c>
      <c r="F4027" s="156">
        <f>D4027+E4027</f>
        <v>350.80698985074628</v>
      </c>
      <c r="G4027" s="529" t="s">
        <v>8151</v>
      </c>
      <c r="H4027" s="2003"/>
      <c r="I4027" s="501"/>
      <c r="J4027" s="500" t="s">
        <v>5227</v>
      </c>
      <c r="K4027" s="501"/>
    </row>
    <row r="4028" spans="1:11" s="35" customFormat="1">
      <c r="A4028" s="500"/>
      <c r="B4028" s="28" t="s">
        <v>737</v>
      </c>
      <c r="C4028" s="1648">
        <v>405.16</v>
      </c>
      <c r="D4028" s="230">
        <f>C4028*fcl*(1-0.28)/TC</f>
        <v>145.42220417910448</v>
      </c>
      <c r="E4028" s="216">
        <v>15</v>
      </c>
      <c r="F4028" s="156">
        <f>D4028+E4028</f>
        <v>160.42220417910448</v>
      </c>
      <c r="G4028" s="529" t="s">
        <v>8152</v>
      </c>
      <c r="H4028" s="2003"/>
      <c r="I4028" s="501"/>
      <c r="J4028" s="500" t="s">
        <v>5227</v>
      </c>
      <c r="K4028" s="501"/>
    </row>
    <row r="4029" spans="1:11" s="35" customFormat="1">
      <c r="A4029" s="500"/>
      <c r="B4029" s="28" t="s">
        <v>5230</v>
      </c>
      <c r="C4029" s="1648">
        <v>329.19</v>
      </c>
      <c r="D4029" s="230">
        <f>C4029*fcl*(1-0.28)/TC</f>
        <v>118.15464358208953</v>
      </c>
      <c r="E4029" s="216">
        <v>15</v>
      </c>
      <c r="F4029" s="156">
        <f>D4029+E4029</f>
        <v>133.15464358208953</v>
      </c>
      <c r="G4029" s="529" t="s">
        <v>8153</v>
      </c>
      <c r="H4029" s="2003"/>
      <c r="I4029" s="501"/>
      <c r="J4029" s="500" t="s">
        <v>5227</v>
      </c>
      <c r="K4029" s="501"/>
    </row>
    <row r="4030" spans="1:11" s="35" customFormat="1">
      <c r="A4030" s="511"/>
      <c r="B4030" s="28" t="s">
        <v>5231</v>
      </c>
      <c r="C4030" s="1648">
        <v>179.92</v>
      </c>
      <c r="D4030" s="230">
        <f>C4030*fcl*(1-0.28)/TC</f>
        <v>64.57785313432835</v>
      </c>
      <c r="E4030" s="216">
        <v>15</v>
      </c>
      <c r="F4030" s="156">
        <f>D4030+E4030</f>
        <v>79.57785313432835</v>
      </c>
      <c r="G4030" s="529" t="s">
        <v>8154</v>
      </c>
      <c r="H4030" s="2003"/>
      <c r="I4030" s="501"/>
      <c r="J4030" s="500" t="s">
        <v>5227</v>
      </c>
      <c r="K4030" s="501"/>
    </row>
    <row r="4031" spans="1:11" s="35" customFormat="1">
      <c r="A4031" s="511"/>
      <c r="B4031" s="28" t="s">
        <v>5232</v>
      </c>
      <c r="C4031" s="1648">
        <v>174.59</v>
      </c>
      <c r="D4031" s="230">
        <f>C4031*fcl*(1-0.28)/TC</f>
        <v>62.664780895522384</v>
      </c>
      <c r="E4031" s="216">
        <v>15</v>
      </c>
      <c r="F4031" s="156">
        <f>D4031+E4031</f>
        <v>77.664780895522384</v>
      </c>
      <c r="G4031" s="529" t="s">
        <v>8155</v>
      </c>
      <c r="H4031" s="2003"/>
      <c r="I4031" s="501"/>
      <c r="J4031" s="500" t="s">
        <v>5227</v>
      </c>
      <c r="K4031" s="501"/>
    </row>
    <row r="4032" spans="1:11" s="35" customFormat="1">
      <c r="A4032" s="511"/>
      <c r="B4032" s="28"/>
      <c r="C4032" s="1648"/>
      <c r="D4032" s="230"/>
      <c r="E4032" s="216"/>
      <c r="F4032" s="156"/>
      <c r="G4032" s="529"/>
      <c r="H4032" s="2003"/>
      <c r="I4032" s="501"/>
      <c r="J4032" s="511"/>
      <c r="K4032" s="501"/>
    </row>
    <row r="4033" spans="1:11" s="35" customFormat="1">
      <c r="A4033" s="500"/>
      <c r="B4033" s="28" t="s">
        <v>5233</v>
      </c>
      <c r="C4033" s="1648">
        <v>726.35</v>
      </c>
      <c r="D4033" s="230">
        <f>C4033*fcl*(1-0.28)/TC</f>
        <v>260.70544477611941</v>
      </c>
      <c r="E4033" s="216">
        <v>15</v>
      </c>
      <c r="F4033" s="156">
        <f>D4033+E4033</f>
        <v>275.70544477611941</v>
      </c>
      <c r="G4033" s="529" t="s">
        <v>8156</v>
      </c>
      <c r="H4033" s="2003"/>
      <c r="I4033" s="501"/>
      <c r="J4033" s="500" t="s">
        <v>5227</v>
      </c>
      <c r="K4033" s="501"/>
    </row>
    <row r="4034" spans="1:11" s="35" customFormat="1">
      <c r="A4034" s="500"/>
      <c r="B4034" s="28" t="s">
        <v>375</v>
      </c>
      <c r="C4034" s="1648">
        <v>334.52</v>
      </c>
      <c r="D4034" s="230">
        <f>C4034*fcl*(1-0.28)/TC</f>
        <v>120.06771582089549</v>
      </c>
      <c r="E4034" s="216">
        <v>15</v>
      </c>
      <c r="F4034" s="156">
        <f>D4034+E4034</f>
        <v>135.0677158208955</v>
      </c>
      <c r="G4034" s="529" t="s">
        <v>8157</v>
      </c>
      <c r="H4034" s="2003"/>
      <c r="I4034" s="501"/>
      <c r="J4034" s="500" t="s">
        <v>5227</v>
      </c>
      <c r="K4034" s="501"/>
    </row>
    <row r="4035" spans="1:11" s="35" customFormat="1">
      <c r="A4035" s="500"/>
      <c r="B4035" s="28" t="s">
        <v>456</v>
      </c>
      <c r="C4035" s="1648">
        <v>258.55</v>
      </c>
      <c r="D4035" s="230">
        <f>C4035*fcl*(1-0.28)/TC</f>
        <v>92.800155223880594</v>
      </c>
      <c r="E4035" s="216">
        <v>15</v>
      </c>
      <c r="F4035" s="156">
        <f>D4035+E4035</f>
        <v>107.80015522388059</v>
      </c>
      <c r="G4035" s="529" t="s">
        <v>8158</v>
      </c>
      <c r="H4035" s="2003"/>
      <c r="I4035" s="501"/>
      <c r="J4035" s="500" t="s">
        <v>5227</v>
      </c>
      <c r="K4035" s="501"/>
    </row>
    <row r="4036" spans="1:11" s="35" customFormat="1">
      <c r="A4036" s="500"/>
      <c r="B4036" s="28" t="s">
        <v>5234</v>
      </c>
      <c r="C4036" s="1648">
        <v>135.94</v>
      </c>
      <c r="D4036" s="230">
        <f>C4036*fcl*(1-0.28)/TC</f>
        <v>48.792315223880593</v>
      </c>
      <c r="E4036" s="216">
        <v>15</v>
      </c>
      <c r="F4036" s="156">
        <f>D4036+E4036</f>
        <v>63.792315223880593</v>
      </c>
      <c r="G4036" s="529" t="s">
        <v>8159</v>
      </c>
      <c r="H4036" s="2003"/>
      <c r="I4036" s="501"/>
      <c r="J4036" s="500" t="s">
        <v>5227</v>
      </c>
      <c r="K4036" s="501"/>
    </row>
    <row r="4037" spans="1:11" s="35" customFormat="1">
      <c r="A4037" s="500"/>
      <c r="B4037" s="28" t="s">
        <v>5235</v>
      </c>
      <c r="C4037" s="1648">
        <v>133.28</v>
      </c>
      <c r="D4037" s="230">
        <f>C4037*fcl*(1-0.28)/TC</f>
        <v>47.837573731343277</v>
      </c>
      <c r="E4037" s="216">
        <v>15</v>
      </c>
      <c r="F4037" s="156">
        <f>D4037+E4037</f>
        <v>62.837573731343277</v>
      </c>
      <c r="G4037" s="529" t="s">
        <v>8160</v>
      </c>
      <c r="H4037" s="2003"/>
      <c r="I4037" s="501"/>
      <c r="J4037" s="500" t="s">
        <v>5227</v>
      </c>
      <c r="K4037" s="501"/>
    </row>
    <row r="4038" spans="1:11" s="35" customFormat="1">
      <c r="A4038" s="502"/>
      <c r="B4038" s="28"/>
      <c r="C4038" s="230"/>
      <c r="D4038" s="230"/>
      <c r="E4038" s="216"/>
      <c r="F4038" s="156"/>
      <c r="G4038" s="529"/>
      <c r="H4038" s="2003"/>
      <c r="I4038" s="501"/>
      <c r="J4038" s="502"/>
      <c r="K4038" s="501"/>
    </row>
    <row r="4039" spans="1:11" s="35" customFormat="1">
      <c r="A4039" s="502"/>
      <c r="B4039" s="28"/>
      <c r="C4039" s="230"/>
      <c r="D4039" s="230"/>
      <c r="E4039" s="216"/>
      <c r="F4039" s="156"/>
      <c r="G4039" s="529"/>
      <c r="H4039" s="2003"/>
      <c r="I4039" s="501"/>
      <c r="J4039" s="502"/>
      <c r="K4039" s="501"/>
    </row>
    <row r="4040" spans="1:11" s="35" customFormat="1">
      <c r="A4040" s="502"/>
      <c r="B4040" s="28"/>
      <c r="C4040" s="230"/>
      <c r="D4040" s="230"/>
      <c r="E4040" s="216"/>
      <c r="F4040" s="156"/>
      <c r="G4040" s="24"/>
      <c r="H4040" s="2003"/>
      <c r="I4040" s="501"/>
      <c r="J4040" s="502"/>
      <c r="K4040" s="501"/>
    </row>
    <row r="4041" spans="1:11" s="35" customFormat="1">
      <c r="A4041" s="502"/>
      <c r="B4041" s="28"/>
      <c r="C4041" s="230"/>
      <c r="D4041" s="230"/>
      <c r="E4041" s="216"/>
      <c r="F4041" s="156"/>
      <c r="G4041" s="24"/>
      <c r="H4041" s="2003"/>
      <c r="I4041" s="501"/>
      <c r="J4041" s="502"/>
      <c r="K4041" s="501"/>
    </row>
    <row r="4042" spans="1:11" s="35" customFormat="1">
      <c r="A4042" s="502"/>
      <c r="B4042" s="55" t="s">
        <v>376</v>
      </c>
      <c r="C4042" s="230"/>
      <c r="D4042" s="230"/>
      <c r="E4042" s="216"/>
      <c r="F4042" s="156"/>
      <c r="G4042" s="501"/>
      <c r="H4042" s="2003"/>
      <c r="I4042" s="501"/>
      <c r="J4042" s="502"/>
      <c r="K4042" s="501"/>
    </row>
    <row r="4043" spans="1:11" s="35" customFormat="1">
      <c r="A4043" s="502"/>
      <c r="B4043" s="50" t="s">
        <v>377</v>
      </c>
      <c r="C4043" s="230"/>
      <c r="D4043" s="230">
        <v>690</v>
      </c>
      <c r="E4043" s="216">
        <v>30</v>
      </c>
      <c r="F4043" s="156">
        <f>D4043+E4043</f>
        <v>720</v>
      </c>
      <c r="G4043" s="501" t="s">
        <v>8161</v>
      </c>
      <c r="H4043" s="2003"/>
      <c r="I4043" s="501"/>
      <c r="J4043" s="502"/>
      <c r="K4043" s="501"/>
    </row>
    <row r="4044" spans="1:11" s="35" customFormat="1">
      <c r="A4044" s="502"/>
      <c r="B4044" s="28"/>
      <c r="C4044" s="230"/>
      <c r="D4044" s="230"/>
      <c r="E4044" s="216"/>
      <c r="F4044" s="156"/>
      <c r="G4044" s="24"/>
      <c r="H4044" s="2003"/>
      <c r="I4044" s="501"/>
      <c r="J4044" s="502"/>
      <c r="K4044" s="501"/>
    </row>
    <row r="4045" spans="1:11" s="35" customFormat="1">
      <c r="A4045" s="502"/>
      <c r="B4045" s="28" t="s">
        <v>378</v>
      </c>
      <c r="C4045" s="230"/>
      <c r="D4045" s="230">
        <v>2130</v>
      </c>
      <c r="E4045" s="216">
        <v>70</v>
      </c>
      <c r="F4045" s="156">
        <f>D4045+E4045</f>
        <v>2200</v>
      </c>
      <c r="G4045" s="529" t="s">
        <v>379</v>
      </c>
      <c r="H4045" s="2003"/>
      <c r="I4045" s="501"/>
      <c r="J4045" s="502"/>
      <c r="K4045" s="501"/>
    </row>
    <row r="4046" spans="1:11" s="35" customFormat="1">
      <c r="A4046" s="502"/>
      <c r="B4046" s="28"/>
      <c r="C4046" s="230"/>
      <c r="D4046" s="230"/>
      <c r="E4046" s="216"/>
      <c r="F4046" s="156"/>
      <c r="G4046" s="529"/>
      <c r="H4046" s="2003"/>
      <c r="I4046" s="501"/>
      <c r="J4046" s="502"/>
      <c r="K4046" s="501"/>
    </row>
    <row r="4047" spans="1:11" s="35" customFormat="1">
      <c r="A4047" s="523"/>
      <c r="B4047" s="28"/>
      <c r="C4047" s="230"/>
      <c r="D4047" s="230"/>
      <c r="E4047" s="216"/>
      <c r="F4047" s="156"/>
      <c r="G4047" s="529"/>
      <c r="H4047" s="2003"/>
      <c r="I4047" s="501"/>
      <c r="J4047" s="510"/>
      <c r="K4047" s="501"/>
    </row>
    <row r="4048" spans="1:11" s="195" customFormat="1">
      <c r="A4048" s="523"/>
      <c r="B4048" s="525"/>
      <c r="C4048" s="230"/>
      <c r="D4048" s="230"/>
      <c r="E4048" s="1793"/>
      <c r="F4048" s="1794"/>
      <c r="G4048" s="525"/>
      <c r="H4048" s="2036"/>
      <c r="I4048" s="525"/>
      <c r="J4048" s="523"/>
      <c r="K4048" s="525"/>
    </row>
    <row r="4049" spans="1:11" s="35" customFormat="1">
      <c r="A4049" s="502"/>
      <c r="B4049" s="56" t="s">
        <v>8162</v>
      </c>
      <c r="C4049" s="230"/>
      <c r="D4049" s="230"/>
      <c r="E4049" s="216"/>
      <c r="F4049" s="156"/>
      <c r="G4049" s="501"/>
      <c r="H4049" s="530"/>
      <c r="I4049" s="501"/>
      <c r="J4049" s="502"/>
      <c r="K4049" s="501"/>
    </row>
    <row r="4050" spans="1:11" s="35" customFormat="1">
      <c r="A4050" s="510"/>
      <c r="B4050" s="57" t="s">
        <v>8163</v>
      </c>
      <c r="C4050" s="230"/>
      <c r="D4050" s="230">
        <v>5.3</v>
      </c>
      <c r="E4050" s="216"/>
      <c r="F4050" s="156">
        <f t="shared" ref="F4050:F4057" si="537">D4050+E4050</f>
        <v>5.3</v>
      </c>
      <c r="G4050" s="24" t="s">
        <v>8164</v>
      </c>
      <c r="H4050" s="530" t="str">
        <f t="shared" ref="H4050:H4057" si="538">B4050</f>
        <v>ER-C10/1</v>
      </c>
      <c r="I4050" s="501"/>
      <c r="J4050" s="510" t="s">
        <v>1835</v>
      </c>
      <c r="K4050" s="501"/>
    </row>
    <row r="4051" spans="1:11" s="35" customFormat="1">
      <c r="A4051" s="510"/>
      <c r="B4051" s="57" t="s">
        <v>8165</v>
      </c>
      <c r="C4051" s="230"/>
      <c r="D4051" s="230">
        <v>5.3</v>
      </c>
      <c r="E4051" s="216"/>
      <c r="F4051" s="156">
        <f t="shared" si="537"/>
        <v>5.3</v>
      </c>
      <c r="G4051" s="24" t="s">
        <v>8166</v>
      </c>
      <c r="H4051" s="530" t="str">
        <f t="shared" si="538"/>
        <v>ER-C16/1</v>
      </c>
      <c r="I4051" s="501"/>
      <c r="J4051" s="510" t="s">
        <v>1835</v>
      </c>
      <c r="K4051" s="501"/>
    </row>
    <row r="4052" spans="1:11" s="35" customFormat="1">
      <c r="A4052" s="510"/>
      <c r="B4052" s="57" t="s">
        <v>8167</v>
      </c>
      <c r="C4052" s="230"/>
      <c r="D4052" s="230">
        <v>5.3</v>
      </c>
      <c r="E4052" s="216"/>
      <c r="F4052" s="156">
        <f t="shared" si="537"/>
        <v>5.3</v>
      </c>
      <c r="G4052" s="24" t="s">
        <v>8168</v>
      </c>
      <c r="H4052" s="530" t="str">
        <f t="shared" si="538"/>
        <v>ER-C20/1</v>
      </c>
      <c r="I4052" s="501"/>
      <c r="J4052" s="510" t="s">
        <v>1835</v>
      </c>
      <c r="K4052" s="501"/>
    </row>
    <row r="4053" spans="1:11" s="35" customFormat="1">
      <c r="A4053" s="510"/>
      <c r="B4053" s="57" t="s">
        <v>8169</v>
      </c>
      <c r="C4053" s="230"/>
      <c r="D4053" s="230">
        <v>5.9</v>
      </c>
      <c r="E4053" s="216"/>
      <c r="F4053" s="156">
        <f t="shared" si="537"/>
        <v>5.9</v>
      </c>
      <c r="G4053" s="24" t="s">
        <v>8170</v>
      </c>
      <c r="H4053" s="530" t="str">
        <f t="shared" si="538"/>
        <v>ER-C25/1</v>
      </c>
      <c r="I4053" s="501"/>
      <c r="J4053" s="510" t="s">
        <v>1835</v>
      </c>
      <c r="K4053" s="501"/>
    </row>
    <row r="4054" spans="1:11" s="35" customFormat="1">
      <c r="A4054" s="510"/>
      <c r="B4054" s="57" t="s">
        <v>8171</v>
      </c>
      <c r="C4054" s="230"/>
      <c r="D4054" s="230">
        <v>5.9</v>
      </c>
      <c r="E4054" s="216"/>
      <c r="F4054" s="156">
        <f t="shared" si="537"/>
        <v>5.9</v>
      </c>
      <c r="G4054" s="24" t="s">
        <v>8172</v>
      </c>
      <c r="H4054" s="530" t="str">
        <f t="shared" si="538"/>
        <v>ER-C32/1</v>
      </c>
      <c r="I4054" s="501"/>
      <c r="J4054" s="510" t="s">
        <v>1835</v>
      </c>
      <c r="K4054" s="501"/>
    </row>
    <row r="4055" spans="1:11" s="35" customFormat="1">
      <c r="A4055" s="510"/>
      <c r="B4055" s="57" t="s">
        <v>8173</v>
      </c>
      <c r="C4055" s="230"/>
      <c r="D4055" s="230">
        <v>6.8</v>
      </c>
      <c r="E4055" s="216"/>
      <c r="F4055" s="156">
        <f t="shared" si="537"/>
        <v>6.8</v>
      </c>
      <c r="G4055" s="24" t="s">
        <v>8174</v>
      </c>
      <c r="H4055" s="530" t="str">
        <f t="shared" si="538"/>
        <v>ER-C40/1</v>
      </c>
      <c r="I4055" s="501"/>
      <c r="J4055" s="510" t="s">
        <v>1835</v>
      </c>
      <c r="K4055" s="501"/>
    </row>
    <row r="4056" spans="1:11" s="35" customFormat="1">
      <c r="A4056" s="510"/>
      <c r="B4056" s="57" t="s">
        <v>8175</v>
      </c>
      <c r="C4056" s="230"/>
      <c r="D4056" s="230">
        <v>11.6</v>
      </c>
      <c r="E4056" s="216"/>
      <c r="F4056" s="156">
        <f t="shared" si="537"/>
        <v>11.6</v>
      </c>
      <c r="G4056" s="24" t="s">
        <v>8176</v>
      </c>
      <c r="H4056" s="530" t="str">
        <f t="shared" si="538"/>
        <v>ER-C50/1</v>
      </c>
      <c r="I4056" s="501"/>
      <c r="J4056" s="510" t="s">
        <v>1835</v>
      </c>
      <c r="K4056" s="501"/>
    </row>
    <row r="4057" spans="1:11" s="194" customFormat="1">
      <c r="A4057" s="510"/>
      <c r="B4057" s="57" t="s">
        <v>8177</v>
      </c>
      <c r="C4057" s="230"/>
      <c r="D4057" s="230">
        <v>11.6</v>
      </c>
      <c r="E4057" s="216"/>
      <c r="F4057" s="156">
        <f t="shared" si="537"/>
        <v>11.6</v>
      </c>
      <c r="G4057" s="24" t="s">
        <v>8178</v>
      </c>
      <c r="H4057" s="530" t="str">
        <f t="shared" si="538"/>
        <v>ER-C63/1</v>
      </c>
      <c r="I4057" s="501"/>
      <c r="J4057" s="510" t="s">
        <v>1835</v>
      </c>
      <c r="K4057" s="501"/>
    </row>
    <row r="4058" spans="1:11" s="196" customFormat="1">
      <c r="A4058" s="502"/>
      <c r="B4058" s="57"/>
      <c r="C4058" s="230"/>
      <c r="D4058" s="230"/>
      <c r="E4058" s="216"/>
      <c r="F4058" s="156"/>
      <c r="G4058" s="24"/>
      <c r="H4058" s="530"/>
      <c r="I4058" s="501"/>
      <c r="J4058" s="502"/>
      <c r="K4058" s="501"/>
    </row>
    <row r="4059" spans="1:11" s="196" customFormat="1">
      <c r="A4059" s="510"/>
      <c r="B4059" s="57" t="s">
        <v>8179</v>
      </c>
      <c r="C4059" s="230"/>
      <c r="D4059" s="230">
        <v>15</v>
      </c>
      <c r="E4059" s="216"/>
      <c r="F4059" s="156">
        <v>14</v>
      </c>
      <c r="G4059" s="24" t="s">
        <v>8180</v>
      </c>
      <c r="H4059" s="530" t="str">
        <f t="shared" ref="H4059:H4067" si="539">B4059</f>
        <v>ER-C6/2</v>
      </c>
      <c r="I4059" s="501"/>
      <c r="J4059" s="510" t="s">
        <v>1835</v>
      </c>
      <c r="K4059" s="35"/>
    </row>
    <row r="4060" spans="1:11" s="196" customFormat="1">
      <c r="A4060" s="510"/>
      <c r="B4060" s="57" t="s">
        <v>8181</v>
      </c>
      <c r="C4060" s="230"/>
      <c r="D4060" s="230">
        <v>13.8</v>
      </c>
      <c r="E4060" s="216"/>
      <c r="F4060" s="156">
        <f t="shared" ref="F4060:F4067" si="540">D4060+E4060</f>
        <v>13.8</v>
      </c>
      <c r="G4060" s="24" t="s">
        <v>8182</v>
      </c>
      <c r="H4060" s="530" t="str">
        <f t="shared" si="539"/>
        <v>ER-C10/2</v>
      </c>
      <c r="I4060" s="501"/>
      <c r="J4060" s="510" t="s">
        <v>1835</v>
      </c>
      <c r="K4060" s="35"/>
    </row>
    <row r="4061" spans="1:11" s="196" customFormat="1">
      <c r="A4061" s="510"/>
      <c r="B4061" s="57" t="s">
        <v>8183</v>
      </c>
      <c r="C4061" s="230"/>
      <c r="D4061" s="230">
        <v>13.8</v>
      </c>
      <c r="E4061" s="216"/>
      <c r="F4061" s="156">
        <f t="shared" si="540"/>
        <v>13.8</v>
      </c>
      <c r="G4061" s="24" t="s">
        <v>8184</v>
      </c>
      <c r="H4061" s="530" t="str">
        <f t="shared" si="539"/>
        <v>ER-C16/2</v>
      </c>
      <c r="I4061" s="501"/>
      <c r="J4061" s="510" t="s">
        <v>1835</v>
      </c>
      <c r="K4061" s="35"/>
    </row>
    <row r="4062" spans="1:11" s="35" customFormat="1">
      <c r="A4062" s="510"/>
      <c r="B4062" s="57" t="s">
        <v>8185</v>
      </c>
      <c r="C4062" s="230"/>
      <c r="D4062" s="230">
        <v>13.8</v>
      </c>
      <c r="E4062" s="216"/>
      <c r="F4062" s="156">
        <f t="shared" si="540"/>
        <v>13.8</v>
      </c>
      <c r="G4062" s="24" t="s">
        <v>8186</v>
      </c>
      <c r="H4062" s="530" t="str">
        <f t="shared" si="539"/>
        <v>ER-C20/2</v>
      </c>
      <c r="I4062" s="501"/>
      <c r="J4062" s="510" t="s">
        <v>1835</v>
      </c>
    </row>
    <row r="4063" spans="1:11" s="35" customFormat="1">
      <c r="A4063" s="510"/>
      <c r="B4063" s="57" t="s">
        <v>8187</v>
      </c>
      <c r="C4063" s="230"/>
      <c r="D4063" s="230">
        <v>15</v>
      </c>
      <c r="E4063" s="216"/>
      <c r="F4063" s="156">
        <f t="shared" si="540"/>
        <v>15</v>
      </c>
      <c r="G4063" s="24" t="s">
        <v>8188</v>
      </c>
      <c r="H4063" s="530" t="str">
        <f t="shared" si="539"/>
        <v>ER-C25/2</v>
      </c>
      <c r="I4063" s="501"/>
      <c r="J4063" s="510" t="s">
        <v>1835</v>
      </c>
    </row>
    <row r="4064" spans="1:11" s="35" customFormat="1">
      <c r="A4064" s="510"/>
      <c r="B4064" s="57" t="s">
        <v>8189</v>
      </c>
      <c r="C4064" s="230"/>
      <c r="D4064" s="230">
        <v>15</v>
      </c>
      <c r="E4064" s="216"/>
      <c r="F4064" s="156">
        <f t="shared" si="540"/>
        <v>15</v>
      </c>
      <c r="G4064" s="24" t="s">
        <v>8190</v>
      </c>
      <c r="H4064" s="530" t="str">
        <f t="shared" si="539"/>
        <v>ER-C32/2</v>
      </c>
      <c r="I4064" s="501"/>
      <c r="J4064" s="510" t="s">
        <v>1835</v>
      </c>
    </row>
    <row r="4065" spans="1:11" s="35" customFormat="1">
      <c r="A4065" s="510"/>
      <c r="B4065" s="57" t="s">
        <v>8191</v>
      </c>
      <c r="C4065" s="230"/>
      <c r="D4065" s="230">
        <v>15</v>
      </c>
      <c r="E4065" s="216"/>
      <c r="F4065" s="156">
        <f t="shared" si="540"/>
        <v>15</v>
      </c>
      <c r="G4065" s="24" t="s">
        <v>8192</v>
      </c>
      <c r="H4065" s="530" t="str">
        <f t="shared" si="539"/>
        <v>ER-C40/2</v>
      </c>
      <c r="I4065" s="501"/>
      <c r="J4065" s="510" t="s">
        <v>1835</v>
      </c>
    </row>
    <row r="4066" spans="1:11" s="35" customFormat="1">
      <c r="A4066" s="510"/>
      <c r="B4066" s="57" t="s">
        <v>8193</v>
      </c>
      <c r="C4066" s="230"/>
      <c r="D4066" s="230">
        <v>26.6</v>
      </c>
      <c r="E4066" s="216"/>
      <c r="F4066" s="156">
        <f t="shared" si="540"/>
        <v>26.6</v>
      </c>
      <c r="G4066" s="24" t="s">
        <v>8194</v>
      </c>
      <c r="H4066" s="530" t="str">
        <f t="shared" si="539"/>
        <v>ER-C50/2</v>
      </c>
      <c r="I4066" s="501"/>
      <c r="J4066" s="510" t="s">
        <v>1835</v>
      </c>
    </row>
    <row r="4067" spans="1:11" s="35" customFormat="1">
      <c r="A4067" s="510"/>
      <c r="B4067" s="57" t="s">
        <v>8195</v>
      </c>
      <c r="C4067" s="230"/>
      <c r="D4067" s="230">
        <v>26.6</v>
      </c>
      <c r="E4067" s="216"/>
      <c r="F4067" s="156">
        <f t="shared" si="540"/>
        <v>26.6</v>
      </c>
      <c r="G4067" s="24" t="s">
        <v>8196</v>
      </c>
      <c r="H4067" s="530" t="str">
        <f t="shared" si="539"/>
        <v>ER-C63/2</v>
      </c>
      <c r="I4067" s="501"/>
      <c r="J4067" s="510" t="s">
        <v>1835</v>
      </c>
    </row>
    <row r="4068" spans="1:11" s="35" customFormat="1">
      <c r="A4068" s="502"/>
      <c r="B4068" s="57"/>
      <c r="C4068" s="230"/>
      <c r="D4068" s="230"/>
      <c r="E4068" s="216"/>
      <c r="F4068" s="156"/>
      <c r="G4068" s="24"/>
      <c r="H4068" s="530"/>
      <c r="I4068" s="501"/>
      <c r="J4068" s="502"/>
      <c r="K4068" s="501"/>
    </row>
    <row r="4069" spans="1:11" s="35" customFormat="1">
      <c r="A4069" s="510"/>
      <c r="B4069" s="57" t="s">
        <v>8197</v>
      </c>
      <c r="C4069" s="230"/>
      <c r="D4069" s="230">
        <v>21.6</v>
      </c>
      <c r="E4069" s="216"/>
      <c r="F4069" s="156">
        <f t="shared" ref="F4069:F4076" si="541">D4069+E4069</f>
        <v>21.6</v>
      </c>
      <c r="G4069" s="24" t="s">
        <v>8198</v>
      </c>
      <c r="H4069" s="530" t="str">
        <f t="shared" ref="H4069:H4076" si="542">B4069</f>
        <v>ER-C10/3</v>
      </c>
      <c r="I4069" s="501"/>
      <c r="J4069" s="510" t="s">
        <v>1835</v>
      </c>
      <c r="K4069" s="501"/>
    </row>
    <row r="4070" spans="1:11" s="35" customFormat="1">
      <c r="A4070" s="510"/>
      <c r="B4070" s="57" t="s">
        <v>8199</v>
      </c>
      <c r="C4070" s="230"/>
      <c r="D4070" s="230">
        <v>21.6</v>
      </c>
      <c r="E4070" s="216"/>
      <c r="F4070" s="156">
        <f t="shared" si="541"/>
        <v>21.6</v>
      </c>
      <c r="G4070" s="24" t="s">
        <v>8200</v>
      </c>
      <c r="H4070" s="530" t="str">
        <f t="shared" si="542"/>
        <v>ER-C16/3</v>
      </c>
      <c r="I4070" s="501"/>
      <c r="J4070" s="510" t="s">
        <v>1835</v>
      </c>
      <c r="K4070" s="501"/>
    </row>
    <row r="4071" spans="1:11" s="196" customFormat="1">
      <c r="A4071" s="510"/>
      <c r="B4071" s="57" t="s">
        <v>8201</v>
      </c>
      <c r="C4071" s="230"/>
      <c r="D4071" s="230">
        <v>21.6</v>
      </c>
      <c r="E4071" s="216"/>
      <c r="F4071" s="156">
        <f t="shared" si="541"/>
        <v>21.6</v>
      </c>
      <c r="G4071" s="24" t="s">
        <v>8202</v>
      </c>
      <c r="H4071" s="530" t="str">
        <f t="shared" si="542"/>
        <v>ER-C20/3</v>
      </c>
      <c r="I4071" s="501"/>
      <c r="J4071" s="510" t="s">
        <v>1835</v>
      </c>
      <c r="K4071" s="501"/>
    </row>
    <row r="4072" spans="1:11" s="196" customFormat="1">
      <c r="A4072" s="510"/>
      <c r="B4072" s="57" t="s">
        <v>8203</v>
      </c>
      <c r="C4072" s="230"/>
      <c r="D4072" s="230">
        <v>21.6</v>
      </c>
      <c r="E4072" s="216"/>
      <c r="F4072" s="156">
        <f t="shared" si="541"/>
        <v>21.6</v>
      </c>
      <c r="G4072" s="24" t="s">
        <v>8204</v>
      </c>
      <c r="H4072" s="530" t="str">
        <f t="shared" si="542"/>
        <v>ER-C25/3</v>
      </c>
      <c r="I4072" s="501"/>
      <c r="J4072" s="510" t="s">
        <v>1835</v>
      </c>
      <c r="K4072" s="501"/>
    </row>
    <row r="4073" spans="1:11" s="341" customFormat="1">
      <c r="A4073" s="510"/>
      <c r="B4073" s="57" t="s">
        <v>8205</v>
      </c>
      <c r="C4073" s="230"/>
      <c r="D4073" s="230">
        <v>21.6</v>
      </c>
      <c r="E4073" s="216"/>
      <c r="F4073" s="156">
        <f t="shared" si="541"/>
        <v>21.6</v>
      </c>
      <c r="G4073" s="24" t="s">
        <v>8206</v>
      </c>
      <c r="H4073" s="530" t="str">
        <f t="shared" si="542"/>
        <v>ER-C32/3</v>
      </c>
      <c r="I4073" s="501"/>
      <c r="J4073" s="510" t="s">
        <v>1835</v>
      </c>
      <c r="K4073" s="501"/>
    </row>
    <row r="4074" spans="1:11" s="35" customFormat="1">
      <c r="A4074" s="510"/>
      <c r="B4074" s="57" t="s">
        <v>8207</v>
      </c>
      <c r="C4074" s="230"/>
      <c r="D4074" s="230">
        <v>23.4</v>
      </c>
      <c r="E4074" s="216"/>
      <c r="F4074" s="156">
        <f t="shared" si="541"/>
        <v>23.4</v>
      </c>
      <c r="G4074" s="24" t="s">
        <v>8208</v>
      </c>
      <c r="H4074" s="530" t="str">
        <f t="shared" si="542"/>
        <v>ER-C40/3</v>
      </c>
      <c r="I4074" s="501"/>
      <c r="J4074" s="510" t="s">
        <v>1835</v>
      </c>
      <c r="K4074" s="501"/>
    </row>
    <row r="4075" spans="1:11" s="35" customFormat="1">
      <c r="A4075" s="510"/>
      <c r="B4075" s="57" t="s">
        <v>8209</v>
      </c>
      <c r="C4075" s="230"/>
      <c r="D4075" s="230">
        <v>36.700000000000003</v>
      </c>
      <c r="E4075" s="216"/>
      <c r="F4075" s="156">
        <f t="shared" si="541"/>
        <v>36.700000000000003</v>
      </c>
      <c r="G4075" s="24" t="s">
        <v>8210</v>
      </c>
      <c r="H4075" s="530" t="str">
        <f t="shared" si="542"/>
        <v>ER-C50/3</v>
      </c>
      <c r="I4075" s="501"/>
      <c r="J4075" s="510" t="s">
        <v>1835</v>
      </c>
      <c r="K4075" s="501"/>
    </row>
    <row r="4076" spans="1:11" s="35" customFormat="1">
      <c r="A4076" s="510"/>
      <c r="B4076" s="57" t="s">
        <v>8211</v>
      </c>
      <c r="C4076" s="230"/>
      <c r="D4076" s="230">
        <v>36.700000000000003</v>
      </c>
      <c r="E4076" s="216"/>
      <c r="F4076" s="156">
        <f t="shared" si="541"/>
        <v>36.700000000000003</v>
      </c>
      <c r="G4076" s="24" t="s">
        <v>8212</v>
      </c>
      <c r="H4076" s="530" t="str">
        <f t="shared" si="542"/>
        <v>ER-C63/3</v>
      </c>
      <c r="I4076" s="501"/>
      <c r="J4076" s="510" t="s">
        <v>1835</v>
      </c>
      <c r="K4076" s="501"/>
    </row>
    <row r="4077" spans="1:11" s="35" customFormat="1">
      <c r="A4077" s="502"/>
      <c r="B4077" s="501"/>
      <c r="C4077" s="230"/>
      <c r="D4077" s="230"/>
      <c r="E4077" s="505"/>
      <c r="F4077" s="506"/>
      <c r="G4077" s="501"/>
      <c r="H4077" s="530"/>
      <c r="I4077" s="501"/>
      <c r="J4077" s="502"/>
      <c r="K4077" s="501"/>
    </row>
    <row r="4078" spans="1:11" s="35" customFormat="1">
      <c r="A4078" s="502"/>
      <c r="B4078" s="56" t="s">
        <v>13414</v>
      </c>
      <c r="C4078" s="230"/>
      <c r="D4078" s="230"/>
      <c r="E4078" s="216"/>
      <c r="F4078" s="156"/>
      <c r="G4078" s="501"/>
      <c r="H4078" s="530"/>
      <c r="I4078" s="501"/>
      <c r="J4078" s="502"/>
      <c r="K4078" s="501"/>
    </row>
    <row r="4079" spans="1:11" s="195" customFormat="1" ht="12" customHeight="1">
      <c r="A4079" s="523"/>
      <c r="B4079" s="533" t="s">
        <v>13415</v>
      </c>
      <c r="C4079" s="230"/>
      <c r="D4079" s="230">
        <v>22.42</v>
      </c>
      <c r="E4079" s="462"/>
      <c r="F4079" s="164">
        <f t="shared" ref="F4079:F4082" si="543">D4079+E4079</f>
        <v>22.42</v>
      </c>
      <c r="G4079" s="465" t="s">
        <v>8263</v>
      </c>
      <c r="H4079" s="146" t="str">
        <f t="shared" ref="H4079:H4082" si="544">B4079</f>
        <v>mMC6-D20/3-MW</v>
      </c>
      <c r="I4079" s="525"/>
      <c r="J4079" s="523" t="s">
        <v>1835</v>
      </c>
      <c r="K4079" s="525"/>
    </row>
    <row r="4080" spans="1:11" s="195" customFormat="1">
      <c r="A4080" s="523"/>
      <c r="B4080" s="533" t="s">
        <v>13416</v>
      </c>
      <c r="C4080" s="230"/>
      <c r="D4080" s="230">
        <v>22.42</v>
      </c>
      <c r="E4080" s="462"/>
      <c r="F4080" s="164">
        <f t="shared" si="543"/>
        <v>22.42</v>
      </c>
      <c r="G4080" s="465" t="s">
        <v>8262</v>
      </c>
      <c r="H4080" s="146" t="str">
        <f t="shared" si="544"/>
        <v>mMC6-D16/3-MW</v>
      </c>
      <c r="I4080" s="525"/>
      <c r="J4080" s="523" t="s">
        <v>1835</v>
      </c>
      <c r="K4080" s="525"/>
    </row>
    <row r="4081" spans="1:11" s="195" customFormat="1">
      <c r="A4081" s="523"/>
      <c r="B4081" s="533" t="s">
        <v>13417</v>
      </c>
      <c r="C4081" s="230"/>
      <c r="D4081" s="230">
        <v>14.91</v>
      </c>
      <c r="E4081" s="462"/>
      <c r="F4081" s="164">
        <f t="shared" si="543"/>
        <v>14.91</v>
      </c>
      <c r="G4081" s="465" t="s">
        <v>8255</v>
      </c>
      <c r="H4081" s="146" t="str">
        <f t="shared" si="544"/>
        <v>mMC6-D20/2-MW</v>
      </c>
      <c r="I4081" s="525"/>
      <c r="J4081" s="523" t="s">
        <v>1835</v>
      </c>
      <c r="K4081" s="525"/>
    </row>
    <row r="4082" spans="1:11" s="2243" customFormat="1">
      <c r="A4082" s="1764"/>
      <c r="B4082" s="2237" t="s">
        <v>13418</v>
      </c>
      <c r="C4082" s="517"/>
      <c r="D4082" s="517">
        <v>40</v>
      </c>
      <c r="E4082" s="2238"/>
      <c r="F4082" s="2239">
        <f t="shared" si="543"/>
        <v>40</v>
      </c>
      <c r="G4082" s="2240" t="s">
        <v>8254</v>
      </c>
      <c r="H4082" s="2241" t="str">
        <f t="shared" si="544"/>
        <v>mMC6-D16/2-MW</v>
      </c>
      <c r="I4082" s="2242"/>
      <c r="J4082" s="1764" t="s">
        <v>1835</v>
      </c>
      <c r="K4082" s="2242"/>
    </row>
    <row r="4083" spans="1:11" s="195" customFormat="1">
      <c r="A4083" s="523"/>
      <c r="B4083" s="525"/>
      <c r="C4083" s="230"/>
      <c r="D4083" s="230"/>
      <c r="E4083" s="1793"/>
      <c r="F4083" s="1794"/>
      <c r="G4083" s="525"/>
      <c r="H4083" s="2036"/>
      <c r="I4083" s="525"/>
      <c r="J4083" s="523"/>
      <c r="K4083" s="525"/>
    </row>
    <row r="4084" spans="1:11" s="35" customFormat="1">
      <c r="A4084" s="502"/>
      <c r="B4084" s="501"/>
      <c r="C4084" s="230"/>
      <c r="D4084" s="230"/>
      <c r="E4084" s="505"/>
      <c r="F4084" s="506"/>
      <c r="G4084" s="501"/>
      <c r="H4084" s="2003"/>
      <c r="I4084" s="501"/>
      <c r="J4084" s="502"/>
      <c r="K4084" s="501"/>
    </row>
    <row r="4085" spans="1:11" s="35" customFormat="1">
      <c r="A4085" s="502"/>
      <c r="B4085" s="56" t="s">
        <v>380</v>
      </c>
      <c r="C4085" s="230"/>
      <c r="D4085" s="230"/>
      <c r="E4085" s="216"/>
      <c r="F4085" s="156"/>
      <c r="G4085" s="501"/>
      <c r="H4085" s="530"/>
      <c r="I4085" s="501"/>
      <c r="J4085" s="502"/>
      <c r="K4085" s="501"/>
    </row>
    <row r="4086" spans="1:11" s="35" customFormat="1">
      <c r="A4086" s="510"/>
      <c r="B4086" s="57" t="s">
        <v>226</v>
      </c>
      <c r="C4086" s="230"/>
      <c r="D4086" s="230">
        <v>5.3</v>
      </c>
      <c r="E4086" s="216"/>
      <c r="F4086" s="156">
        <f t="shared" ref="F4086:F4093" si="545">D4086+E4086</f>
        <v>5.3</v>
      </c>
      <c r="G4086" s="24" t="s">
        <v>8213</v>
      </c>
      <c r="H4086" s="530" t="str">
        <f t="shared" ref="H4086:H4093" si="546">B4086</f>
        <v>mMCM-C10/1-MW</v>
      </c>
      <c r="I4086" s="501"/>
      <c r="J4086" s="510" t="s">
        <v>1835</v>
      </c>
      <c r="K4086" s="501"/>
    </row>
    <row r="4087" spans="1:11" s="35" customFormat="1">
      <c r="A4087" s="510"/>
      <c r="B4087" s="57" t="s">
        <v>227</v>
      </c>
      <c r="C4087" s="230"/>
      <c r="D4087" s="230">
        <v>5.3</v>
      </c>
      <c r="E4087" s="216"/>
      <c r="F4087" s="156">
        <f t="shared" si="545"/>
        <v>5.3</v>
      </c>
      <c r="G4087" s="24" t="s">
        <v>8214</v>
      </c>
      <c r="H4087" s="530" t="str">
        <f t="shared" si="546"/>
        <v>mMCM-C16/1-MW</v>
      </c>
      <c r="I4087" s="501"/>
      <c r="J4087" s="510" t="s">
        <v>1835</v>
      </c>
      <c r="K4087" s="501"/>
    </row>
    <row r="4088" spans="1:11" s="35" customFormat="1">
      <c r="A4088" s="510"/>
      <c r="B4088" s="57" t="s">
        <v>228</v>
      </c>
      <c r="C4088" s="230"/>
      <c r="D4088" s="230">
        <v>5.3</v>
      </c>
      <c r="E4088" s="216"/>
      <c r="F4088" s="156">
        <f t="shared" si="545"/>
        <v>5.3</v>
      </c>
      <c r="G4088" s="24" t="s">
        <v>8215</v>
      </c>
      <c r="H4088" s="530" t="str">
        <f t="shared" si="546"/>
        <v>mMCM-C20/1-MW</v>
      </c>
      <c r="I4088" s="501"/>
      <c r="J4088" s="510" t="s">
        <v>1835</v>
      </c>
      <c r="K4088" s="501"/>
    </row>
    <row r="4089" spans="1:11" s="35" customFormat="1">
      <c r="A4089" s="510"/>
      <c r="B4089" s="57" t="s">
        <v>229</v>
      </c>
      <c r="C4089" s="230"/>
      <c r="D4089" s="230">
        <v>5.9</v>
      </c>
      <c r="E4089" s="216"/>
      <c r="F4089" s="156">
        <f t="shared" si="545"/>
        <v>5.9</v>
      </c>
      <c r="G4089" s="24" t="s">
        <v>8216</v>
      </c>
      <c r="H4089" s="530" t="str">
        <f t="shared" si="546"/>
        <v>mMCM-C25/1-MW</v>
      </c>
      <c r="I4089" s="501"/>
      <c r="J4089" s="510" t="s">
        <v>1835</v>
      </c>
      <c r="K4089" s="501"/>
    </row>
    <row r="4090" spans="1:11" s="35" customFormat="1">
      <c r="A4090" s="510"/>
      <c r="B4090" s="57" t="s">
        <v>230</v>
      </c>
      <c r="C4090" s="230"/>
      <c r="D4090" s="230">
        <v>5.9</v>
      </c>
      <c r="E4090" s="216"/>
      <c r="F4090" s="156">
        <f t="shared" si="545"/>
        <v>5.9</v>
      </c>
      <c r="G4090" s="24" t="s">
        <v>8217</v>
      </c>
      <c r="H4090" s="530" t="str">
        <f t="shared" si="546"/>
        <v>mMCM-C32/1-MW</v>
      </c>
      <c r="I4090" s="501"/>
      <c r="J4090" s="510" t="s">
        <v>1835</v>
      </c>
      <c r="K4090" s="501"/>
    </row>
    <row r="4091" spans="1:11" s="35" customFormat="1">
      <c r="A4091" s="510"/>
      <c r="B4091" s="57" t="s">
        <v>231</v>
      </c>
      <c r="C4091" s="230"/>
      <c r="D4091" s="230">
        <v>6.8</v>
      </c>
      <c r="E4091" s="216"/>
      <c r="F4091" s="156">
        <f t="shared" si="545"/>
        <v>6.8</v>
      </c>
      <c r="G4091" s="24" t="s">
        <v>8218</v>
      </c>
      <c r="H4091" s="530" t="str">
        <f t="shared" si="546"/>
        <v>mMCM-C40/1-MW</v>
      </c>
      <c r="I4091" s="501"/>
      <c r="J4091" s="510" t="s">
        <v>1835</v>
      </c>
      <c r="K4091" s="501"/>
    </row>
    <row r="4092" spans="1:11" s="35" customFormat="1">
      <c r="A4092" s="510"/>
      <c r="B4092" s="57" t="s">
        <v>232</v>
      </c>
      <c r="C4092" s="230"/>
      <c r="D4092" s="230">
        <v>11.6</v>
      </c>
      <c r="E4092" s="216"/>
      <c r="F4092" s="156">
        <f t="shared" si="545"/>
        <v>11.6</v>
      </c>
      <c r="G4092" s="24" t="s">
        <v>8219</v>
      </c>
      <c r="H4092" s="530" t="str">
        <f t="shared" si="546"/>
        <v>mMCM-C50/1-MW</v>
      </c>
      <c r="I4092" s="501"/>
      <c r="J4092" s="510" t="s">
        <v>1835</v>
      </c>
      <c r="K4092" s="501"/>
    </row>
    <row r="4093" spans="1:11" s="194" customFormat="1">
      <c r="A4093" s="510"/>
      <c r="B4093" s="57" t="s">
        <v>233</v>
      </c>
      <c r="C4093" s="230"/>
      <c r="D4093" s="230">
        <v>11.6</v>
      </c>
      <c r="E4093" s="216"/>
      <c r="F4093" s="156">
        <f t="shared" si="545"/>
        <v>11.6</v>
      </c>
      <c r="G4093" s="24" t="s">
        <v>8220</v>
      </c>
      <c r="H4093" s="530" t="str">
        <f t="shared" si="546"/>
        <v>mMCM-C63/1-MW</v>
      </c>
      <c r="I4093" s="501"/>
      <c r="J4093" s="510" t="s">
        <v>1835</v>
      </c>
      <c r="K4093" s="501"/>
    </row>
    <row r="4094" spans="1:11" s="196" customFormat="1">
      <c r="A4094" s="502"/>
      <c r="B4094" s="57"/>
      <c r="C4094" s="230"/>
      <c r="D4094" s="230"/>
      <c r="E4094" s="216"/>
      <c r="F4094" s="156"/>
      <c r="G4094" s="24"/>
      <c r="H4094" s="530"/>
      <c r="I4094" s="501"/>
      <c r="J4094" s="502"/>
      <c r="K4094" s="501"/>
    </row>
    <row r="4095" spans="1:11" s="196" customFormat="1">
      <c r="A4095" s="510"/>
      <c r="B4095" s="57" t="s">
        <v>3408</v>
      </c>
      <c r="C4095" s="230"/>
      <c r="D4095" s="230">
        <v>15</v>
      </c>
      <c r="E4095" s="216"/>
      <c r="F4095" s="156">
        <v>14</v>
      </c>
      <c r="G4095" s="24" t="s">
        <v>8221</v>
      </c>
      <c r="H4095" s="530" t="str">
        <f t="shared" ref="H4095:H4103" si="547">B4095</f>
        <v>mMCM-C6/2-MW</v>
      </c>
      <c r="I4095" s="501"/>
      <c r="J4095" s="510" t="s">
        <v>1835</v>
      </c>
      <c r="K4095" s="35"/>
    </row>
    <row r="4096" spans="1:11" s="196" customFormat="1">
      <c r="A4096" s="510"/>
      <c r="B4096" s="57" t="s">
        <v>234</v>
      </c>
      <c r="C4096" s="230"/>
      <c r="D4096" s="230">
        <v>13.8</v>
      </c>
      <c r="E4096" s="216"/>
      <c r="F4096" s="156">
        <f t="shared" ref="F4096:F4103" si="548">D4096+E4096</f>
        <v>13.8</v>
      </c>
      <c r="G4096" s="24" t="s">
        <v>8222</v>
      </c>
      <c r="H4096" s="530" t="str">
        <f t="shared" si="547"/>
        <v>mMCM-C10/2-MW</v>
      </c>
      <c r="I4096" s="501"/>
      <c r="J4096" s="510" t="s">
        <v>1835</v>
      </c>
      <c r="K4096" s="35"/>
    </row>
    <row r="4097" spans="1:11" s="196" customFormat="1">
      <c r="A4097" s="510"/>
      <c r="B4097" s="57" t="s">
        <v>235</v>
      </c>
      <c r="C4097" s="230"/>
      <c r="D4097" s="230">
        <v>13.8</v>
      </c>
      <c r="E4097" s="216"/>
      <c r="F4097" s="156">
        <f t="shared" si="548"/>
        <v>13.8</v>
      </c>
      <c r="G4097" s="24" t="s">
        <v>8223</v>
      </c>
      <c r="H4097" s="530" t="str">
        <f t="shared" si="547"/>
        <v>mMCM-C16/2-MW</v>
      </c>
      <c r="I4097" s="501"/>
      <c r="J4097" s="510" t="s">
        <v>1835</v>
      </c>
      <c r="K4097" s="35"/>
    </row>
    <row r="4098" spans="1:11" s="35" customFormat="1">
      <c r="A4098" s="510"/>
      <c r="B4098" s="57" t="s">
        <v>236</v>
      </c>
      <c r="C4098" s="230"/>
      <c r="D4098" s="230">
        <v>13.8</v>
      </c>
      <c r="E4098" s="216"/>
      <c r="F4098" s="156">
        <f t="shared" si="548"/>
        <v>13.8</v>
      </c>
      <c r="G4098" s="24" t="s">
        <v>8224</v>
      </c>
      <c r="H4098" s="530" t="str">
        <f t="shared" si="547"/>
        <v>mMCM-C20/2-MW</v>
      </c>
      <c r="I4098" s="501"/>
      <c r="J4098" s="510" t="s">
        <v>1835</v>
      </c>
    </row>
    <row r="4099" spans="1:11" s="35" customFormat="1">
      <c r="A4099" s="510"/>
      <c r="B4099" s="57" t="s">
        <v>237</v>
      </c>
      <c r="C4099" s="230"/>
      <c r="D4099" s="230">
        <v>15</v>
      </c>
      <c r="E4099" s="216"/>
      <c r="F4099" s="156">
        <f t="shared" si="548"/>
        <v>15</v>
      </c>
      <c r="G4099" s="24" t="s">
        <v>8225</v>
      </c>
      <c r="H4099" s="530" t="str">
        <f t="shared" si="547"/>
        <v>mMCM-C25/2-MW</v>
      </c>
      <c r="I4099" s="501"/>
      <c r="J4099" s="510" t="s">
        <v>1835</v>
      </c>
    </row>
    <row r="4100" spans="1:11" s="35" customFormat="1">
      <c r="A4100" s="510"/>
      <c r="B4100" s="57" t="s">
        <v>238</v>
      </c>
      <c r="C4100" s="230"/>
      <c r="D4100" s="230">
        <v>15</v>
      </c>
      <c r="E4100" s="216"/>
      <c r="F4100" s="156">
        <f t="shared" si="548"/>
        <v>15</v>
      </c>
      <c r="G4100" s="24" t="s">
        <v>8226</v>
      </c>
      <c r="H4100" s="530" t="str">
        <f t="shared" si="547"/>
        <v>mMCM-C32/2-MW</v>
      </c>
      <c r="I4100" s="501"/>
      <c r="J4100" s="510" t="s">
        <v>1835</v>
      </c>
    </row>
    <row r="4101" spans="1:11" s="35" customFormat="1">
      <c r="A4101" s="510"/>
      <c r="B4101" s="57" t="s">
        <v>239</v>
      </c>
      <c r="C4101" s="230"/>
      <c r="D4101" s="230">
        <v>15</v>
      </c>
      <c r="E4101" s="216"/>
      <c r="F4101" s="156">
        <f t="shared" si="548"/>
        <v>15</v>
      </c>
      <c r="G4101" s="24" t="s">
        <v>8227</v>
      </c>
      <c r="H4101" s="530" t="str">
        <f t="shared" si="547"/>
        <v>mMCM-C40/2-MW</v>
      </c>
      <c r="I4101" s="501"/>
      <c r="J4101" s="510" t="s">
        <v>1835</v>
      </c>
    </row>
    <row r="4102" spans="1:11" s="35" customFormat="1">
      <c r="A4102" s="510"/>
      <c r="B4102" s="57" t="s">
        <v>240</v>
      </c>
      <c r="C4102" s="230"/>
      <c r="D4102" s="230">
        <v>26.6</v>
      </c>
      <c r="E4102" s="216"/>
      <c r="F4102" s="156">
        <f t="shared" si="548"/>
        <v>26.6</v>
      </c>
      <c r="G4102" s="24" t="s">
        <v>8228</v>
      </c>
      <c r="H4102" s="530" t="str">
        <f t="shared" si="547"/>
        <v>mMCM-C50/2-MW</v>
      </c>
      <c r="I4102" s="501"/>
      <c r="J4102" s="510" t="s">
        <v>1835</v>
      </c>
    </row>
    <row r="4103" spans="1:11" s="35" customFormat="1">
      <c r="A4103" s="510"/>
      <c r="B4103" s="57" t="s">
        <v>241</v>
      </c>
      <c r="C4103" s="230"/>
      <c r="D4103" s="230">
        <v>26.6</v>
      </c>
      <c r="E4103" s="216"/>
      <c r="F4103" s="156">
        <f t="shared" si="548"/>
        <v>26.6</v>
      </c>
      <c r="G4103" s="24" t="s">
        <v>8229</v>
      </c>
      <c r="H4103" s="530" t="str">
        <f t="shared" si="547"/>
        <v>mMCM-C63/2-MW</v>
      </c>
      <c r="I4103" s="501"/>
      <c r="J4103" s="510" t="s">
        <v>1835</v>
      </c>
    </row>
    <row r="4104" spans="1:11" s="35" customFormat="1">
      <c r="A4104" s="502"/>
      <c r="B4104" s="57"/>
      <c r="C4104" s="230"/>
      <c r="D4104" s="230"/>
      <c r="E4104" s="216"/>
      <c r="F4104" s="156"/>
      <c r="G4104" s="24"/>
      <c r="H4104" s="530"/>
      <c r="I4104" s="501"/>
      <c r="J4104" s="502"/>
      <c r="K4104" s="501"/>
    </row>
    <row r="4105" spans="1:11" s="35" customFormat="1">
      <c r="A4105" s="510"/>
      <c r="B4105" s="57" t="s">
        <v>242</v>
      </c>
      <c r="C4105" s="230"/>
      <c r="D4105" s="230">
        <v>21.6</v>
      </c>
      <c r="E4105" s="216"/>
      <c r="F4105" s="156">
        <f t="shared" ref="F4105:F4112" si="549">D4105+E4105</f>
        <v>21.6</v>
      </c>
      <c r="G4105" s="24" t="s">
        <v>8230</v>
      </c>
      <c r="H4105" s="530" t="str">
        <f t="shared" ref="H4105:H4112" si="550">B4105</f>
        <v>mMCM-C10/3-MW</v>
      </c>
      <c r="I4105" s="501"/>
      <c r="J4105" s="510" t="s">
        <v>1835</v>
      </c>
      <c r="K4105" s="501"/>
    </row>
    <row r="4106" spans="1:11" s="35" customFormat="1">
      <c r="A4106" s="510"/>
      <c r="B4106" s="57" t="s">
        <v>243</v>
      </c>
      <c r="C4106" s="230"/>
      <c r="D4106" s="230">
        <v>21.6</v>
      </c>
      <c r="E4106" s="216"/>
      <c r="F4106" s="156">
        <f t="shared" si="549"/>
        <v>21.6</v>
      </c>
      <c r="G4106" s="24" t="s">
        <v>8231</v>
      </c>
      <c r="H4106" s="530" t="str">
        <f t="shared" si="550"/>
        <v>mMCM-C16/3-MW</v>
      </c>
      <c r="I4106" s="501"/>
      <c r="J4106" s="510" t="s">
        <v>1835</v>
      </c>
      <c r="K4106" s="501"/>
    </row>
    <row r="4107" spans="1:11" s="196" customFormat="1">
      <c r="A4107" s="510"/>
      <c r="B4107" s="57" t="s">
        <v>244</v>
      </c>
      <c r="C4107" s="230"/>
      <c r="D4107" s="230">
        <v>21.6</v>
      </c>
      <c r="E4107" s="216"/>
      <c r="F4107" s="156">
        <f t="shared" si="549"/>
        <v>21.6</v>
      </c>
      <c r="G4107" s="24" t="s">
        <v>8232</v>
      </c>
      <c r="H4107" s="530" t="str">
        <f t="shared" si="550"/>
        <v>mMCM-C20/3-MW</v>
      </c>
      <c r="I4107" s="501"/>
      <c r="J4107" s="510" t="s">
        <v>1835</v>
      </c>
      <c r="K4107" s="501"/>
    </row>
    <row r="4108" spans="1:11" s="196" customFormat="1">
      <c r="A4108" s="510"/>
      <c r="B4108" s="57" t="s">
        <v>245</v>
      </c>
      <c r="C4108" s="230"/>
      <c r="D4108" s="230">
        <v>21.6</v>
      </c>
      <c r="E4108" s="216"/>
      <c r="F4108" s="156">
        <f t="shared" si="549"/>
        <v>21.6</v>
      </c>
      <c r="G4108" s="24" t="s">
        <v>8233</v>
      </c>
      <c r="H4108" s="530" t="str">
        <f t="shared" si="550"/>
        <v>mMCM-C25/3-MW</v>
      </c>
      <c r="I4108" s="501"/>
      <c r="J4108" s="510" t="s">
        <v>1835</v>
      </c>
      <c r="K4108" s="501"/>
    </row>
    <row r="4109" spans="1:11" s="341" customFormat="1">
      <c r="A4109" s="510"/>
      <c r="B4109" s="57" t="s">
        <v>246</v>
      </c>
      <c r="C4109" s="230"/>
      <c r="D4109" s="230">
        <v>21.6</v>
      </c>
      <c r="E4109" s="216"/>
      <c r="F4109" s="156">
        <f t="shared" si="549"/>
        <v>21.6</v>
      </c>
      <c r="G4109" s="24" t="s">
        <v>8234</v>
      </c>
      <c r="H4109" s="530" t="str">
        <f t="shared" si="550"/>
        <v>mMCM-C32/3-MW</v>
      </c>
      <c r="I4109" s="501"/>
      <c r="J4109" s="510" t="s">
        <v>1835</v>
      </c>
      <c r="K4109" s="501"/>
    </row>
    <row r="4110" spans="1:11" s="35" customFormat="1">
      <c r="A4110" s="510"/>
      <c r="B4110" s="57" t="s">
        <v>247</v>
      </c>
      <c r="C4110" s="230"/>
      <c r="D4110" s="230">
        <v>23.4</v>
      </c>
      <c r="E4110" s="216"/>
      <c r="F4110" s="156">
        <f t="shared" si="549"/>
        <v>23.4</v>
      </c>
      <c r="G4110" s="24" t="s">
        <v>8235</v>
      </c>
      <c r="H4110" s="530" t="str">
        <f t="shared" si="550"/>
        <v>mMCM-C40/3-MW</v>
      </c>
      <c r="I4110" s="501"/>
      <c r="J4110" s="510" t="s">
        <v>1835</v>
      </c>
      <c r="K4110" s="501"/>
    </row>
    <row r="4111" spans="1:11" s="35" customFormat="1">
      <c r="A4111" s="510"/>
      <c r="B4111" s="57" t="s">
        <v>248</v>
      </c>
      <c r="C4111" s="230"/>
      <c r="D4111" s="230">
        <v>36.700000000000003</v>
      </c>
      <c r="E4111" s="216"/>
      <c r="F4111" s="156">
        <f t="shared" si="549"/>
        <v>36.700000000000003</v>
      </c>
      <c r="G4111" s="24" t="s">
        <v>8236</v>
      </c>
      <c r="H4111" s="530" t="str">
        <f t="shared" si="550"/>
        <v>mMCM-C50/3-MW</v>
      </c>
      <c r="I4111" s="501"/>
      <c r="J4111" s="510" t="s">
        <v>1835</v>
      </c>
      <c r="K4111" s="501"/>
    </row>
    <row r="4112" spans="1:11" s="35" customFormat="1">
      <c r="A4112" s="510"/>
      <c r="B4112" s="57" t="s">
        <v>249</v>
      </c>
      <c r="C4112" s="230"/>
      <c r="D4112" s="230">
        <v>36.700000000000003</v>
      </c>
      <c r="E4112" s="216"/>
      <c r="F4112" s="156">
        <f t="shared" si="549"/>
        <v>36.700000000000003</v>
      </c>
      <c r="G4112" s="24" t="s">
        <v>8237</v>
      </c>
      <c r="H4112" s="530" t="str">
        <f t="shared" si="550"/>
        <v>mMCM-C63/3-MW</v>
      </c>
      <c r="I4112" s="501"/>
      <c r="J4112" s="510" t="s">
        <v>1835</v>
      </c>
      <c r="K4112" s="501"/>
    </row>
    <row r="4113" spans="1:11" s="35" customFormat="1">
      <c r="A4113" s="502"/>
      <c r="B4113" s="501"/>
      <c r="C4113" s="230"/>
      <c r="D4113" s="230"/>
      <c r="E4113" s="505"/>
      <c r="F4113" s="506"/>
      <c r="G4113" s="501"/>
      <c r="H4113" s="530"/>
      <c r="I4113" s="501"/>
      <c r="J4113" s="502"/>
      <c r="K4113" s="501"/>
    </row>
    <row r="4114" spans="1:11" s="35" customFormat="1">
      <c r="A4114" s="502"/>
      <c r="B4114" s="501"/>
      <c r="C4114" s="230"/>
      <c r="D4114" s="230"/>
      <c r="E4114" s="505"/>
      <c r="F4114" s="506"/>
      <c r="G4114" s="501"/>
      <c r="H4114" s="2003"/>
      <c r="I4114" s="501"/>
      <c r="J4114" s="502"/>
      <c r="K4114" s="501"/>
    </row>
    <row r="4115" spans="1:11" s="35" customFormat="1">
      <c r="A4115" s="502"/>
      <c r="B4115" s="56" t="s">
        <v>5236</v>
      </c>
      <c r="C4115" s="230"/>
      <c r="D4115" s="230"/>
      <c r="E4115" s="216"/>
      <c r="F4115" s="156"/>
      <c r="G4115" s="501"/>
      <c r="H4115" s="530"/>
      <c r="I4115" s="501"/>
      <c r="J4115" s="502"/>
      <c r="K4115" s="501"/>
    </row>
    <row r="4116" spans="1:11" s="35" customFormat="1">
      <c r="A4116" s="510"/>
      <c r="B4116" s="57" t="s">
        <v>5237</v>
      </c>
      <c r="C4116" s="230"/>
      <c r="D4116" s="230">
        <v>5.3</v>
      </c>
      <c r="E4116" s="216"/>
      <c r="F4116" s="156">
        <f>D4116+E4116</f>
        <v>5.3</v>
      </c>
      <c r="G4116" s="24" t="s">
        <v>8238</v>
      </c>
      <c r="H4116" s="530" t="str">
        <f>B4116</f>
        <v>ER-C16/1-MW</v>
      </c>
      <c r="I4116" s="501"/>
      <c r="J4116" s="510" t="s">
        <v>1835</v>
      </c>
      <c r="K4116" s="501"/>
    </row>
    <row r="4117" spans="1:11" s="35" customFormat="1">
      <c r="A4117" s="510"/>
      <c r="B4117" s="57" t="s">
        <v>5238</v>
      </c>
      <c r="C4117" s="230"/>
      <c r="D4117" s="230">
        <v>5.3</v>
      </c>
      <c r="E4117" s="216"/>
      <c r="F4117" s="156">
        <f>D4117+E4117</f>
        <v>5.3</v>
      </c>
      <c r="G4117" s="24" t="s">
        <v>8239</v>
      </c>
      <c r="H4117" s="530" t="str">
        <f>B4117</f>
        <v>ER-C20/1-MW</v>
      </c>
      <c r="I4117" s="501"/>
      <c r="J4117" s="510" t="s">
        <v>1835</v>
      </c>
      <c r="K4117" s="501"/>
    </row>
    <row r="4118" spans="1:11" s="35" customFormat="1">
      <c r="A4118" s="510"/>
      <c r="B4118" s="57" t="s">
        <v>6112</v>
      </c>
      <c r="C4118" s="230"/>
      <c r="D4118" s="230">
        <v>5.9</v>
      </c>
      <c r="E4118" s="216"/>
      <c r="F4118" s="156">
        <f>D4118+E4118</f>
        <v>5.9</v>
      </c>
      <c r="G4118" s="24" t="s">
        <v>8240</v>
      </c>
      <c r="H4118" s="530" t="str">
        <f>B4118</f>
        <v>ER-C32/1-MW</v>
      </c>
      <c r="I4118" s="501"/>
      <c r="J4118" s="510" t="s">
        <v>1835</v>
      </c>
      <c r="K4118" s="501"/>
    </row>
    <row r="4119" spans="1:11" s="35" customFormat="1">
      <c r="A4119" s="502"/>
      <c r="B4119" s="57"/>
      <c r="C4119" s="230"/>
      <c r="D4119" s="230"/>
      <c r="E4119" s="216"/>
      <c r="F4119" s="156"/>
      <c r="G4119" s="24"/>
      <c r="H4119" s="530"/>
      <c r="I4119" s="501"/>
      <c r="J4119" s="502"/>
      <c r="K4119" s="501"/>
    </row>
    <row r="4120" spans="1:11" s="196" customFormat="1">
      <c r="A4120" s="510"/>
      <c r="B4120" s="57" t="s">
        <v>6113</v>
      </c>
      <c r="C4120" s="230"/>
      <c r="D4120" s="230">
        <v>13.8</v>
      </c>
      <c r="E4120" s="216"/>
      <c r="F4120" s="156">
        <f>D4120+E4120</f>
        <v>13.8</v>
      </c>
      <c r="G4120" s="24" t="s">
        <v>8241</v>
      </c>
      <c r="H4120" s="530" t="str">
        <f>B4120</f>
        <v>ER-C16/2-MW</v>
      </c>
      <c r="I4120" s="501"/>
      <c r="J4120" s="510" t="s">
        <v>1835</v>
      </c>
      <c r="K4120" s="35"/>
    </row>
    <row r="4121" spans="1:11" s="35" customFormat="1">
      <c r="A4121" s="510"/>
      <c r="B4121" s="57" t="s">
        <v>6114</v>
      </c>
      <c r="C4121" s="230"/>
      <c r="D4121" s="230">
        <v>13.8</v>
      </c>
      <c r="E4121" s="216"/>
      <c r="F4121" s="156">
        <f>D4121+E4121</f>
        <v>13.8</v>
      </c>
      <c r="G4121" s="24" t="s">
        <v>8242</v>
      </c>
      <c r="H4121" s="530" t="str">
        <f>B4121</f>
        <v>ER-C20/2-MW</v>
      </c>
      <c r="I4121" s="501"/>
      <c r="J4121" s="510" t="s">
        <v>1835</v>
      </c>
    </row>
    <row r="4122" spans="1:11" s="35" customFormat="1">
      <c r="A4122" s="510"/>
      <c r="B4122" s="57" t="s">
        <v>6115</v>
      </c>
      <c r="C4122" s="230"/>
      <c r="D4122" s="230">
        <v>15</v>
      </c>
      <c r="E4122" s="216"/>
      <c r="F4122" s="156">
        <f>D4122+E4122</f>
        <v>15</v>
      </c>
      <c r="G4122" s="24" t="s">
        <v>8243</v>
      </c>
      <c r="H4122" s="530" t="str">
        <f>B4122</f>
        <v>ER-C32/2-MW</v>
      </c>
      <c r="I4122" s="501"/>
      <c r="J4122" s="510" t="s">
        <v>1835</v>
      </c>
    </row>
    <row r="4123" spans="1:11" s="35" customFormat="1">
      <c r="A4123" s="502"/>
      <c r="B4123" s="57"/>
      <c r="C4123" s="230"/>
      <c r="D4123" s="230"/>
      <c r="E4123" s="216"/>
      <c r="F4123" s="156"/>
      <c r="G4123" s="24"/>
      <c r="H4123" s="530"/>
      <c r="I4123" s="501"/>
      <c r="J4123" s="502"/>
      <c r="K4123" s="501"/>
    </row>
    <row r="4124" spans="1:11" s="196" customFormat="1">
      <c r="A4124" s="510"/>
      <c r="B4124" s="57" t="s">
        <v>5239</v>
      </c>
      <c r="C4124" s="230"/>
      <c r="D4124" s="230">
        <v>21.6</v>
      </c>
      <c r="E4124" s="216"/>
      <c r="F4124" s="156">
        <f>D4124+E4124</f>
        <v>21.6</v>
      </c>
      <c r="G4124" s="24" t="s">
        <v>8244</v>
      </c>
      <c r="H4124" s="530" t="str">
        <f>B4124</f>
        <v>ER-C20/3-MW</v>
      </c>
      <c r="I4124" s="501"/>
      <c r="J4124" s="510" t="s">
        <v>1835</v>
      </c>
      <c r="K4124" s="501"/>
    </row>
    <row r="4125" spans="1:11" s="35" customFormat="1">
      <c r="A4125" s="502"/>
      <c r="B4125" s="501"/>
      <c r="C4125" s="230"/>
      <c r="D4125" s="230"/>
      <c r="E4125" s="505"/>
      <c r="F4125" s="506"/>
      <c r="G4125" s="501"/>
      <c r="H4125" s="530"/>
      <c r="I4125" s="501"/>
      <c r="J4125" s="502"/>
      <c r="K4125" s="501"/>
    </row>
    <row r="4126" spans="1:11" s="35" customFormat="1">
      <c r="A4126" s="502"/>
      <c r="B4126" s="56" t="s">
        <v>454</v>
      </c>
      <c r="C4126" s="230"/>
      <c r="D4126" s="230"/>
      <c r="E4126" s="216"/>
      <c r="F4126" s="156"/>
      <c r="G4126" s="501"/>
      <c r="H4126" s="530"/>
      <c r="I4126" s="501"/>
      <c r="J4126" s="502"/>
      <c r="K4126" s="501"/>
    </row>
    <row r="4127" spans="1:11" s="35" customFormat="1">
      <c r="A4127" s="510"/>
      <c r="B4127" s="57" t="s">
        <v>471</v>
      </c>
      <c r="C4127" s="230"/>
      <c r="D4127" s="230">
        <v>4.3</v>
      </c>
      <c r="E4127" s="216"/>
      <c r="F4127" s="156">
        <f t="shared" ref="F4127:F4134" si="551">D4127+E4127</f>
        <v>4.3</v>
      </c>
      <c r="G4127" s="24" t="s">
        <v>8245</v>
      </c>
      <c r="H4127" s="530" t="str">
        <f t="shared" ref="H4127:H4134" si="552">B4127</f>
        <v>mMC6-C10/1-MW</v>
      </c>
      <c r="I4127" s="501"/>
      <c r="J4127" s="510" t="s">
        <v>1835</v>
      </c>
      <c r="K4127" s="501"/>
    </row>
    <row r="4128" spans="1:11" s="35" customFormat="1">
      <c r="A4128" s="510"/>
      <c r="B4128" s="57" t="s">
        <v>472</v>
      </c>
      <c r="C4128" s="230"/>
      <c r="D4128" s="230">
        <v>4.3</v>
      </c>
      <c r="E4128" s="216"/>
      <c r="F4128" s="156">
        <f t="shared" si="551"/>
        <v>4.3</v>
      </c>
      <c r="G4128" s="24" t="s">
        <v>8246</v>
      </c>
      <c r="H4128" s="530" t="str">
        <f t="shared" si="552"/>
        <v>mMC6-C16/1-MW</v>
      </c>
      <c r="I4128" s="501"/>
      <c r="J4128" s="510" t="s">
        <v>1835</v>
      </c>
      <c r="K4128" s="501"/>
    </row>
    <row r="4129" spans="1:11" s="35" customFormat="1">
      <c r="A4129" s="510"/>
      <c r="B4129" s="57" t="s">
        <v>473</v>
      </c>
      <c r="C4129" s="230"/>
      <c r="D4129" s="230">
        <v>4.3</v>
      </c>
      <c r="E4129" s="216"/>
      <c r="F4129" s="156">
        <f t="shared" si="551"/>
        <v>4.3</v>
      </c>
      <c r="G4129" s="24" t="s">
        <v>8247</v>
      </c>
      <c r="H4129" s="530" t="str">
        <f t="shared" si="552"/>
        <v>mMC6-C20/1-MW</v>
      </c>
      <c r="I4129" s="501"/>
      <c r="J4129" s="510" t="s">
        <v>1835</v>
      </c>
      <c r="K4129" s="501"/>
    </row>
    <row r="4130" spans="1:11" s="35" customFormat="1">
      <c r="A4130" s="510"/>
      <c r="B4130" s="57" t="s">
        <v>474</v>
      </c>
      <c r="C4130" s="230"/>
      <c r="D4130" s="230">
        <v>5.5</v>
      </c>
      <c r="E4130" s="216"/>
      <c r="F4130" s="156">
        <f t="shared" si="551"/>
        <v>5.5</v>
      </c>
      <c r="G4130" s="24" t="s">
        <v>8248</v>
      </c>
      <c r="H4130" s="530" t="str">
        <f t="shared" si="552"/>
        <v>mMC6-C25/1-MW</v>
      </c>
      <c r="I4130" s="501"/>
      <c r="J4130" s="510" t="s">
        <v>1835</v>
      </c>
      <c r="K4130" s="501"/>
    </row>
    <row r="4131" spans="1:11" s="35" customFormat="1">
      <c r="A4131" s="510"/>
      <c r="B4131" s="57" t="s">
        <v>475</v>
      </c>
      <c r="C4131" s="230"/>
      <c r="D4131" s="230">
        <v>5.5</v>
      </c>
      <c r="E4131" s="216"/>
      <c r="F4131" s="156">
        <f t="shared" si="551"/>
        <v>5.5</v>
      </c>
      <c r="G4131" s="24" t="s">
        <v>8249</v>
      </c>
      <c r="H4131" s="530" t="str">
        <f t="shared" si="552"/>
        <v>mMC6-C32/1-MW</v>
      </c>
      <c r="I4131" s="501"/>
      <c r="J4131" s="510" t="s">
        <v>1835</v>
      </c>
      <c r="K4131" s="501"/>
    </row>
    <row r="4132" spans="1:11" s="35" customFormat="1">
      <c r="A4132" s="510"/>
      <c r="B4132" s="57" t="s">
        <v>476</v>
      </c>
      <c r="C4132" s="230"/>
      <c r="D4132" s="230">
        <v>6.3</v>
      </c>
      <c r="E4132" s="216"/>
      <c r="F4132" s="156">
        <f t="shared" si="551"/>
        <v>6.3</v>
      </c>
      <c r="G4132" s="24" t="s">
        <v>8250</v>
      </c>
      <c r="H4132" s="530" t="str">
        <f t="shared" si="552"/>
        <v>mMC6-C40/1-MW</v>
      </c>
      <c r="I4132" s="501"/>
      <c r="J4132" s="510" t="s">
        <v>1835</v>
      </c>
      <c r="K4132" s="501"/>
    </row>
    <row r="4133" spans="1:11" s="35" customFormat="1">
      <c r="A4133" s="510"/>
      <c r="B4133" s="57" t="s">
        <v>477</v>
      </c>
      <c r="C4133" s="230"/>
      <c r="D4133" s="230">
        <v>10.7</v>
      </c>
      <c r="E4133" s="216"/>
      <c r="F4133" s="156">
        <f t="shared" si="551"/>
        <v>10.7</v>
      </c>
      <c r="G4133" s="24" t="s">
        <v>8251</v>
      </c>
      <c r="H4133" s="530" t="str">
        <f t="shared" si="552"/>
        <v>mMC6-C50/1-MW</v>
      </c>
      <c r="I4133" s="501"/>
      <c r="J4133" s="510" t="s">
        <v>1835</v>
      </c>
      <c r="K4133" s="501"/>
    </row>
    <row r="4134" spans="1:11" s="35" customFormat="1">
      <c r="A4134" s="510"/>
      <c r="B4134" s="57" t="s">
        <v>478</v>
      </c>
      <c r="C4134" s="230"/>
      <c r="D4134" s="230">
        <v>10.7</v>
      </c>
      <c r="E4134" s="216"/>
      <c r="F4134" s="156">
        <f t="shared" si="551"/>
        <v>10.7</v>
      </c>
      <c r="G4134" s="24" t="s">
        <v>8252</v>
      </c>
      <c r="H4134" s="530" t="str">
        <f t="shared" si="552"/>
        <v>mMC6-C63/1-MW</v>
      </c>
      <c r="I4134" s="501"/>
      <c r="J4134" s="510" t="s">
        <v>1835</v>
      </c>
      <c r="K4134" s="501"/>
    </row>
    <row r="4135" spans="1:11" s="35" customFormat="1">
      <c r="A4135" s="502"/>
      <c r="B4135" s="57"/>
      <c r="C4135" s="230"/>
      <c r="D4135" s="230"/>
      <c r="E4135" s="216"/>
      <c r="F4135" s="156"/>
      <c r="G4135" s="24"/>
      <c r="H4135" s="530"/>
      <c r="I4135" s="501"/>
      <c r="J4135" s="502"/>
      <c r="K4135" s="501"/>
    </row>
    <row r="4136" spans="1:11" s="35" customFormat="1">
      <c r="A4136" s="510"/>
      <c r="B4136" s="57" t="s">
        <v>479</v>
      </c>
      <c r="C4136" s="230"/>
      <c r="D4136" s="230">
        <v>9</v>
      </c>
      <c r="E4136" s="216"/>
      <c r="F4136" s="156">
        <f t="shared" ref="F4136:F4143" si="553">D4136+E4136</f>
        <v>9</v>
      </c>
      <c r="G4136" s="24" t="s">
        <v>8253</v>
      </c>
      <c r="H4136" s="530" t="str">
        <f t="shared" ref="H4136:H4143" si="554">B4136</f>
        <v>mMC6-C10/2-MW</v>
      </c>
      <c r="I4136" s="501"/>
      <c r="J4136" s="510" t="s">
        <v>1835</v>
      </c>
      <c r="K4136" s="501"/>
    </row>
    <row r="4137" spans="1:11" s="35" customFormat="1">
      <c r="A4137" s="510"/>
      <c r="B4137" s="57" t="s">
        <v>480</v>
      </c>
      <c r="C4137" s="230"/>
      <c r="D4137" s="230">
        <v>9</v>
      </c>
      <c r="E4137" s="216"/>
      <c r="F4137" s="156">
        <f t="shared" si="553"/>
        <v>9</v>
      </c>
      <c r="G4137" s="24" t="s">
        <v>8254</v>
      </c>
      <c r="H4137" s="530" t="str">
        <f t="shared" si="554"/>
        <v>mMC6-C16/2-MW</v>
      </c>
      <c r="I4137" s="501"/>
      <c r="J4137" s="510" t="s">
        <v>1835</v>
      </c>
      <c r="K4137" s="501"/>
    </row>
    <row r="4138" spans="1:11" s="35" customFormat="1">
      <c r="A4138" s="510"/>
      <c r="B4138" s="57" t="s">
        <v>481</v>
      </c>
      <c r="C4138" s="230"/>
      <c r="D4138" s="230">
        <v>9</v>
      </c>
      <c r="E4138" s="216"/>
      <c r="F4138" s="156">
        <f t="shared" si="553"/>
        <v>9</v>
      </c>
      <c r="G4138" s="24" t="s">
        <v>8255</v>
      </c>
      <c r="H4138" s="530" t="str">
        <f t="shared" si="554"/>
        <v>mMC6-C20/2-MW</v>
      </c>
      <c r="I4138" s="501"/>
      <c r="J4138" s="510" t="s">
        <v>1835</v>
      </c>
      <c r="K4138" s="501"/>
    </row>
    <row r="4139" spans="1:11" s="35" customFormat="1">
      <c r="A4139" s="510"/>
      <c r="B4139" s="57" t="s">
        <v>482</v>
      </c>
      <c r="C4139" s="230"/>
      <c r="D4139" s="230">
        <v>10.3</v>
      </c>
      <c r="E4139" s="216"/>
      <c r="F4139" s="156">
        <f t="shared" si="553"/>
        <v>10.3</v>
      </c>
      <c r="G4139" s="24" t="s">
        <v>8256</v>
      </c>
      <c r="H4139" s="530" t="str">
        <f t="shared" si="554"/>
        <v>mMC6-C25/2-MW</v>
      </c>
      <c r="I4139" s="501"/>
      <c r="J4139" s="510" t="s">
        <v>1835</v>
      </c>
      <c r="K4139" s="501"/>
    </row>
    <row r="4140" spans="1:11" s="35" customFormat="1">
      <c r="A4140" s="510"/>
      <c r="B4140" s="57" t="s">
        <v>483</v>
      </c>
      <c r="C4140" s="230"/>
      <c r="D4140" s="230">
        <v>10.3</v>
      </c>
      <c r="E4140" s="216"/>
      <c r="F4140" s="156">
        <f t="shared" si="553"/>
        <v>10.3</v>
      </c>
      <c r="G4140" s="24" t="s">
        <v>8257</v>
      </c>
      <c r="H4140" s="530" t="str">
        <f t="shared" si="554"/>
        <v>mMC6-C32/2-MW</v>
      </c>
      <c r="I4140" s="501"/>
      <c r="J4140" s="510" t="s">
        <v>1835</v>
      </c>
      <c r="K4140" s="501"/>
    </row>
    <row r="4141" spans="1:11" s="35" customFormat="1">
      <c r="A4141" s="510"/>
      <c r="B4141" s="57" t="s">
        <v>484</v>
      </c>
      <c r="C4141" s="230"/>
      <c r="D4141" s="230">
        <v>12.9</v>
      </c>
      <c r="E4141" s="216"/>
      <c r="F4141" s="156">
        <f t="shared" si="553"/>
        <v>12.9</v>
      </c>
      <c r="G4141" s="24" t="s">
        <v>8258</v>
      </c>
      <c r="H4141" s="530" t="str">
        <f t="shared" si="554"/>
        <v>mMC6-C40/2-MW</v>
      </c>
      <c r="I4141" s="501"/>
      <c r="J4141" s="510" t="s">
        <v>1835</v>
      </c>
      <c r="K4141" s="501"/>
    </row>
    <row r="4142" spans="1:11" s="35" customFormat="1">
      <c r="A4142" s="510"/>
      <c r="B4142" s="57" t="s">
        <v>485</v>
      </c>
      <c r="C4142" s="230"/>
      <c r="D4142" s="230">
        <v>19.600000000000001</v>
      </c>
      <c r="E4142" s="216"/>
      <c r="F4142" s="156">
        <f t="shared" si="553"/>
        <v>19.600000000000001</v>
      </c>
      <c r="G4142" s="24" t="s">
        <v>8259</v>
      </c>
      <c r="H4142" s="530" t="str">
        <f t="shared" si="554"/>
        <v>mMC6-C50/2-MW</v>
      </c>
      <c r="I4142" s="501"/>
      <c r="J4142" s="510" t="s">
        <v>1835</v>
      </c>
      <c r="K4142" s="501"/>
    </row>
    <row r="4143" spans="1:11" s="35" customFormat="1">
      <c r="A4143" s="510"/>
      <c r="B4143" s="57" t="s">
        <v>486</v>
      </c>
      <c r="C4143" s="230"/>
      <c r="D4143" s="230">
        <v>21.1</v>
      </c>
      <c r="E4143" s="216"/>
      <c r="F4143" s="156">
        <f t="shared" si="553"/>
        <v>21.1</v>
      </c>
      <c r="G4143" s="24" t="s">
        <v>8260</v>
      </c>
      <c r="H4143" s="530" t="str">
        <f t="shared" si="554"/>
        <v>mMC6-C63/2-MW</v>
      </c>
      <c r="I4143" s="501"/>
      <c r="J4143" s="510" t="s">
        <v>1835</v>
      </c>
      <c r="K4143" s="501"/>
    </row>
    <row r="4144" spans="1:11" s="35" customFormat="1">
      <c r="A4144" s="502"/>
      <c r="B4144" s="57"/>
      <c r="C4144" s="230"/>
      <c r="D4144" s="230"/>
      <c r="E4144" s="216"/>
      <c r="F4144" s="156"/>
      <c r="G4144" s="24"/>
      <c r="H4144" s="530"/>
      <c r="I4144" s="501"/>
      <c r="J4144" s="502"/>
      <c r="K4144" s="501"/>
    </row>
    <row r="4145" spans="1:11" s="35" customFormat="1">
      <c r="A4145" s="510"/>
      <c r="B4145" s="57" t="s">
        <v>487</v>
      </c>
      <c r="C4145" s="230"/>
      <c r="D4145" s="230">
        <v>28.6</v>
      </c>
      <c r="E4145" s="216"/>
      <c r="F4145" s="156">
        <f t="shared" ref="F4145:F4152" si="555">D4145+E4145</f>
        <v>28.6</v>
      </c>
      <c r="G4145" s="24" t="s">
        <v>8261</v>
      </c>
      <c r="H4145" s="530" t="str">
        <f t="shared" ref="H4145:H4152" si="556">B4145</f>
        <v>mMC6-C10/3-MW</v>
      </c>
      <c r="I4145" s="501"/>
      <c r="J4145" s="510" t="s">
        <v>1835</v>
      </c>
      <c r="K4145" s="501"/>
    </row>
    <row r="4146" spans="1:11" s="35" customFormat="1">
      <c r="A4146" s="510"/>
      <c r="B4146" s="57" t="s">
        <v>488</v>
      </c>
      <c r="C4146" s="230"/>
      <c r="D4146" s="230">
        <v>13.2</v>
      </c>
      <c r="E4146" s="216"/>
      <c r="F4146" s="156">
        <f t="shared" si="555"/>
        <v>13.2</v>
      </c>
      <c r="G4146" s="24" t="s">
        <v>8262</v>
      </c>
      <c r="H4146" s="530" t="str">
        <f t="shared" si="556"/>
        <v>mMC6-C16/3-MW</v>
      </c>
      <c r="I4146" s="501"/>
      <c r="J4146" s="510" t="s">
        <v>1835</v>
      </c>
      <c r="K4146" s="501"/>
    </row>
    <row r="4147" spans="1:11" s="35" customFormat="1">
      <c r="A4147" s="510"/>
      <c r="B4147" s="57" t="s">
        <v>489</v>
      </c>
      <c r="C4147" s="230"/>
      <c r="D4147" s="230">
        <v>13.2</v>
      </c>
      <c r="E4147" s="216"/>
      <c r="F4147" s="156">
        <f t="shared" si="555"/>
        <v>13.2</v>
      </c>
      <c r="G4147" s="24" t="s">
        <v>8263</v>
      </c>
      <c r="H4147" s="530" t="str">
        <f t="shared" si="556"/>
        <v>mMC6-C20/3-MW</v>
      </c>
      <c r="I4147" s="501"/>
      <c r="J4147" s="510" t="s">
        <v>1835</v>
      </c>
      <c r="K4147" s="501"/>
    </row>
    <row r="4148" spans="1:11" s="35" customFormat="1">
      <c r="A4148" s="510"/>
      <c r="B4148" s="57" t="s">
        <v>490</v>
      </c>
      <c r="C4148" s="230"/>
      <c r="D4148" s="230">
        <v>16.899999999999999</v>
      </c>
      <c r="E4148" s="216"/>
      <c r="F4148" s="156">
        <f t="shared" si="555"/>
        <v>16.899999999999999</v>
      </c>
      <c r="G4148" s="24" t="s">
        <v>8264</v>
      </c>
      <c r="H4148" s="530" t="str">
        <f t="shared" si="556"/>
        <v>mMC6-C25/3-MW</v>
      </c>
      <c r="I4148" s="501"/>
      <c r="J4148" s="510" t="s">
        <v>1835</v>
      </c>
      <c r="K4148" s="501"/>
    </row>
    <row r="4149" spans="1:11" s="35" customFormat="1">
      <c r="A4149" s="510"/>
      <c r="B4149" s="57" t="s">
        <v>491</v>
      </c>
      <c r="C4149" s="230"/>
      <c r="D4149" s="230">
        <v>16.899999999999999</v>
      </c>
      <c r="E4149" s="216"/>
      <c r="F4149" s="156">
        <f t="shared" si="555"/>
        <v>16.899999999999999</v>
      </c>
      <c r="G4149" s="24" t="s">
        <v>8265</v>
      </c>
      <c r="H4149" s="530" t="str">
        <f t="shared" si="556"/>
        <v>mMC6-C32/3-MW</v>
      </c>
      <c r="I4149" s="501"/>
      <c r="J4149" s="510" t="s">
        <v>1835</v>
      </c>
      <c r="K4149" s="501"/>
    </row>
    <row r="4150" spans="1:11" s="35" customFormat="1">
      <c r="A4150" s="510"/>
      <c r="B4150" s="57" t="s">
        <v>492</v>
      </c>
      <c r="C4150" s="230"/>
      <c r="D4150" s="230">
        <v>19.2</v>
      </c>
      <c r="E4150" s="216"/>
      <c r="F4150" s="156">
        <f t="shared" si="555"/>
        <v>19.2</v>
      </c>
      <c r="G4150" s="24" t="s">
        <v>8266</v>
      </c>
      <c r="H4150" s="530" t="str">
        <f t="shared" si="556"/>
        <v>mMC6-C40/3-MW</v>
      </c>
      <c r="I4150" s="501"/>
      <c r="J4150" s="510" t="s">
        <v>1835</v>
      </c>
      <c r="K4150" s="501"/>
    </row>
    <row r="4151" spans="1:11" s="35" customFormat="1">
      <c r="A4151" s="510"/>
      <c r="B4151" s="57" t="s">
        <v>493</v>
      </c>
      <c r="C4151" s="230"/>
      <c r="D4151" s="230">
        <v>30.8</v>
      </c>
      <c r="E4151" s="216"/>
      <c r="F4151" s="156">
        <f t="shared" si="555"/>
        <v>30.8</v>
      </c>
      <c r="G4151" s="24" t="s">
        <v>8267</v>
      </c>
      <c r="H4151" s="530" t="str">
        <f t="shared" si="556"/>
        <v>mMC6-C50/3-MW</v>
      </c>
      <c r="I4151" s="501"/>
      <c r="J4151" s="510" t="s">
        <v>1835</v>
      </c>
      <c r="K4151" s="501"/>
    </row>
    <row r="4152" spans="1:11" s="35" customFormat="1">
      <c r="A4152" s="510"/>
      <c r="B4152" s="57" t="s">
        <v>494</v>
      </c>
      <c r="C4152" s="230"/>
      <c r="D4152" s="230">
        <v>33.700000000000003</v>
      </c>
      <c r="E4152" s="216"/>
      <c r="F4152" s="156">
        <f t="shared" si="555"/>
        <v>33.700000000000003</v>
      </c>
      <c r="G4152" s="24" t="s">
        <v>8268</v>
      </c>
      <c r="H4152" s="530" t="str">
        <f t="shared" si="556"/>
        <v>mMC6-C63/3-MW</v>
      </c>
      <c r="I4152" s="501"/>
      <c r="J4152" s="510" t="s">
        <v>1835</v>
      </c>
      <c r="K4152" s="501"/>
    </row>
    <row r="4153" spans="1:11" s="35" customFormat="1">
      <c r="A4153" s="502"/>
      <c r="B4153" s="501"/>
      <c r="C4153" s="230"/>
      <c r="D4153" s="230"/>
      <c r="E4153" s="505"/>
      <c r="F4153" s="506"/>
      <c r="G4153" s="501"/>
      <c r="H4153" s="530"/>
      <c r="I4153" s="501"/>
      <c r="J4153" s="502"/>
      <c r="K4153" s="501"/>
    </row>
    <row r="4154" spans="1:11" s="35" customFormat="1">
      <c r="A4154" s="502"/>
      <c r="B4154" s="501"/>
      <c r="C4154" s="230"/>
      <c r="D4154" s="230"/>
      <c r="E4154" s="505"/>
      <c r="F4154" s="506"/>
      <c r="G4154" s="501"/>
      <c r="H4154" s="530"/>
      <c r="I4154" s="501"/>
      <c r="J4154" s="502"/>
      <c r="K4154" s="501"/>
    </row>
    <row r="4155" spans="1:11" s="35" customFormat="1">
      <c r="A4155" s="502"/>
      <c r="B4155" s="56" t="s">
        <v>6116</v>
      </c>
      <c r="C4155" s="230"/>
      <c r="D4155" s="230"/>
      <c r="E4155" s="218"/>
      <c r="F4155" s="156"/>
      <c r="G4155" s="501"/>
      <c r="H4155" s="530"/>
      <c r="I4155" s="501"/>
      <c r="J4155" s="502"/>
      <c r="K4155" s="501"/>
    </row>
    <row r="4156" spans="1:11" s="35" customFormat="1">
      <c r="A4156" s="510"/>
      <c r="B4156" s="36" t="s">
        <v>6117</v>
      </c>
      <c r="C4156" s="230"/>
      <c r="D4156" s="230">
        <v>42.8</v>
      </c>
      <c r="E4156" s="216">
        <v>10</v>
      </c>
      <c r="F4156" s="156">
        <f>D4156+E4156</f>
        <v>52.8</v>
      </c>
      <c r="G4156" s="24" t="s">
        <v>8269</v>
      </c>
      <c r="H4156" s="530" t="str">
        <f>B4156</f>
        <v>mMCT-C80/1</v>
      </c>
      <c r="I4156" s="501"/>
      <c r="J4156" s="510" t="s">
        <v>1835</v>
      </c>
      <c r="K4156" s="501"/>
    </row>
    <row r="4157" spans="1:11" s="35" customFormat="1">
      <c r="A4157" s="510"/>
      <c r="B4157" s="36" t="s">
        <v>6118</v>
      </c>
      <c r="C4157" s="230"/>
      <c r="D4157" s="230">
        <v>42.8</v>
      </c>
      <c r="E4157" s="216">
        <v>10</v>
      </c>
      <c r="F4157" s="156">
        <f>D4157+E4157</f>
        <v>52.8</v>
      </c>
      <c r="G4157" s="24" t="s">
        <v>8270</v>
      </c>
      <c r="H4157" s="530" t="str">
        <f>B4157</f>
        <v>mMCT-C100/1</v>
      </c>
      <c r="I4157" s="501"/>
      <c r="J4157" s="510" t="s">
        <v>1835</v>
      </c>
      <c r="K4157" s="501"/>
    </row>
    <row r="4158" spans="1:11" s="35" customFormat="1">
      <c r="A4158" s="510"/>
      <c r="B4158" s="36" t="s">
        <v>6119</v>
      </c>
      <c r="C4158" s="230"/>
      <c r="D4158" s="230">
        <v>42.8</v>
      </c>
      <c r="E4158" s="216">
        <v>10</v>
      </c>
      <c r="F4158" s="156">
        <f>D4158+E4158</f>
        <v>52.8</v>
      </c>
      <c r="G4158" s="24" t="s">
        <v>8271</v>
      </c>
      <c r="H4158" s="530" t="str">
        <f>B4158</f>
        <v>mMCT-C125/1</v>
      </c>
      <c r="I4158" s="501"/>
      <c r="J4158" s="510" t="s">
        <v>1835</v>
      </c>
      <c r="K4158" s="501"/>
    </row>
    <row r="4159" spans="1:11" s="35" customFormat="1">
      <c r="A4159" s="510"/>
      <c r="B4159" s="36"/>
      <c r="C4159" s="230"/>
      <c r="D4159" s="230"/>
      <c r="E4159" s="216"/>
      <c r="F4159" s="156"/>
      <c r="G4159" s="24"/>
      <c r="H4159" s="530"/>
      <c r="I4159" s="501"/>
      <c r="J4159" s="510"/>
      <c r="K4159" s="501"/>
    </row>
    <row r="4160" spans="1:11" s="35" customFormat="1">
      <c r="A4160" s="510"/>
      <c r="B4160" s="36" t="s">
        <v>6120</v>
      </c>
      <c r="C4160" s="230"/>
      <c r="D4160" s="230">
        <v>78.8</v>
      </c>
      <c r="E4160" s="216">
        <v>10</v>
      </c>
      <c r="F4160" s="156">
        <f>D4160+E4160</f>
        <v>88.8</v>
      </c>
      <c r="G4160" s="24" t="s">
        <v>8272</v>
      </c>
      <c r="H4160" s="530" t="str">
        <f>B4160</f>
        <v>mMCT-C80/2</v>
      </c>
      <c r="I4160" s="501"/>
      <c r="J4160" s="510" t="s">
        <v>1835</v>
      </c>
      <c r="K4160" s="501"/>
    </row>
    <row r="4161" spans="1:11" s="35" customFormat="1">
      <c r="A4161" s="510"/>
      <c r="B4161" s="36" t="s">
        <v>6121</v>
      </c>
      <c r="C4161" s="230"/>
      <c r="D4161" s="230">
        <v>78.8</v>
      </c>
      <c r="E4161" s="216">
        <v>10</v>
      </c>
      <c r="F4161" s="156">
        <f>D4161+E4161</f>
        <v>88.8</v>
      </c>
      <c r="G4161" s="24" t="s">
        <v>8273</v>
      </c>
      <c r="H4161" s="530" t="str">
        <f>B4161</f>
        <v>mMCT-C100/2</v>
      </c>
      <c r="I4161" s="501"/>
      <c r="J4161" s="510" t="s">
        <v>1835</v>
      </c>
      <c r="K4161" s="501"/>
    </row>
    <row r="4162" spans="1:11" s="35" customFormat="1">
      <c r="A4162" s="510"/>
      <c r="B4162" s="36" t="s">
        <v>6122</v>
      </c>
      <c r="C4162" s="230"/>
      <c r="D4162" s="230">
        <v>78.8</v>
      </c>
      <c r="E4162" s="216">
        <v>10</v>
      </c>
      <c r="F4162" s="156">
        <f>D4162+E4162</f>
        <v>88.8</v>
      </c>
      <c r="G4162" s="24" t="s">
        <v>8274</v>
      </c>
      <c r="H4162" s="530" t="str">
        <f>B4162</f>
        <v>mMCT-C125/2</v>
      </c>
      <c r="I4162" s="501"/>
      <c r="J4162" s="510" t="s">
        <v>1835</v>
      </c>
      <c r="K4162" s="501"/>
    </row>
    <row r="4163" spans="1:11" s="35" customFormat="1">
      <c r="A4163" s="510"/>
      <c r="B4163" s="36"/>
      <c r="C4163" s="230"/>
      <c r="D4163" s="230"/>
      <c r="E4163" s="216"/>
      <c r="F4163" s="156"/>
      <c r="G4163" s="24"/>
      <c r="H4163" s="530"/>
      <c r="I4163" s="501"/>
      <c r="J4163" s="510"/>
      <c r="K4163" s="501"/>
    </row>
    <row r="4164" spans="1:11" s="35" customFormat="1">
      <c r="A4164" s="510"/>
      <c r="B4164" s="36" t="s">
        <v>6123</v>
      </c>
      <c r="C4164" s="230"/>
      <c r="D4164" s="230">
        <v>123.1</v>
      </c>
      <c r="E4164" s="216">
        <v>10</v>
      </c>
      <c r="F4164" s="156">
        <f>D4164+E4164</f>
        <v>133.1</v>
      </c>
      <c r="G4164" s="24" t="s">
        <v>8275</v>
      </c>
      <c r="H4164" s="530" t="str">
        <f>B4164</f>
        <v>mMCT-C80/3</v>
      </c>
      <c r="I4164" s="501"/>
      <c r="J4164" s="510" t="s">
        <v>1835</v>
      </c>
      <c r="K4164" s="501"/>
    </row>
    <row r="4165" spans="1:11" s="35" customFormat="1">
      <c r="A4165" s="510"/>
      <c r="B4165" s="36" t="s">
        <v>6124</v>
      </c>
      <c r="C4165" s="230"/>
      <c r="D4165" s="230">
        <v>123.1</v>
      </c>
      <c r="E4165" s="216">
        <v>10</v>
      </c>
      <c r="F4165" s="156">
        <f>D4165+E4165</f>
        <v>133.1</v>
      </c>
      <c r="G4165" s="24" t="s">
        <v>8276</v>
      </c>
      <c r="H4165" s="530" t="str">
        <f>B4165</f>
        <v>mMCT-C100/3</v>
      </c>
      <c r="I4165" s="501"/>
      <c r="J4165" s="510" t="s">
        <v>1835</v>
      </c>
      <c r="K4165" s="501"/>
    </row>
    <row r="4166" spans="1:11" s="35" customFormat="1">
      <c r="A4166" s="510"/>
      <c r="B4166" s="57" t="s">
        <v>6125</v>
      </c>
      <c r="C4166" s="230"/>
      <c r="D4166" s="230">
        <v>123.1</v>
      </c>
      <c r="E4166" s="216">
        <v>10</v>
      </c>
      <c r="F4166" s="156">
        <f>D4166+E4166</f>
        <v>133.1</v>
      </c>
      <c r="G4166" s="24" t="s">
        <v>8277</v>
      </c>
      <c r="H4166" s="530" t="str">
        <f>B4166</f>
        <v>mMCT-C125/3</v>
      </c>
      <c r="I4166" s="501"/>
      <c r="J4166" s="510" t="s">
        <v>1835</v>
      </c>
      <c r="K4166" s="501"/>
    </row>
    <row r="4167" spans="1:11" s="35" customFormat="1">
      <c r="A4167" s="502"/>
      <c r="B4167" s="57"/>
      <c r="C4167" s="230"/>
      <c r="D4167" s="230"/>
      <c r="E4167" s="216"/>
      <c r="F4167" s="156"/>
      <c r="G4167" s="501"/>
      <c r="H4167" s="2003"/>
      <c r="I4167" s="501"/>
      <c r="J4167" s="510"/>
      <c r="K4167" s="501"/>
    </row>
    <row r="4168" spans="1:11" s="35" customFormat="1">
      <c r="A4168" s="502"/>
      <c r="B4168" s="56" t="s">
        <v>381</v>
      </c>
      <c r="C4168" s="230"/>
      <c r="D4168" s="230"/>
      <c r="E4168" s="216"/>
      <c r="F4168" s="156"/>
      <c r="G4168" s="501"/>
      <c r="H4168" s="2003"/>
      <c r="I4168" s="501"/>
      <c r="J4168" s="510"/>
      <c r="K4168" s="501"/>
    </row>
    <row r="4169" spans="1:11" s="35" customFormat="1">
      <c r="A4169" s="510"/>
      <c r="B4169" s="57" t="s">
        <v>260</v>
      </c>
      <c r="C4169" s="230"/>
      <c r="D4169" s="230">
        <v>32.5</v>
      </c>
      <c r="E4169" s="216">
        <v>3</v>
      </c>
      <c r="F4169" s="156">
        <f>D4169+E4169</f>
        <v>35.5</v>
      </c>
      <c r="G4169" s="24" t="s">
        <v>8278</v>
      </c>
      <c r="H4169" s="532" t="str">
        <f>B4169</f>
        <v>mRCM-25/2/003-MW</v>
      </c>
      <c r="I4169" s="501"/>
      <c r="J4169" s="510" t="s">
        <v>1835</v>
      </c>
      <c r="K4169" s="501"/>
    </row>
    <row r="4170" spans="1:11" s="35" customFormat="1">
      <c r="A4170" s="510"/>
      <c r="B4170" s="57" t="s">
        <v>261</v>
      </c>
      <c r="C4170" s="230"/>
      <c r="D4170" s="230">
        <v>32.5</v>
      </c>
      <c r="E4170" s="216">
        <v>3</v>
      </c>
      <c r="F4170" s="156">
        <f>D4170+E4170</f>
        <v>35.5</v>
      </c>
      <c r="G4170" s="24" t="s">
        <v>8279</v>
      </c>
      <c r="H4170" s="532" t="str">
        <f>B4170</f>
        <v>mRCM-40/2/003-MW</v>
      </c>
      <c r="I4170" s="501"/>
      <c r="J4170" s="510" t="s">
        <v>1835</v>
      </c>
      <c r="K4170" s="501"/>
    </row>
    <row r="4171" spans="1:11" s="35" customFormat="1">
      <c r="A4171" s="510"/>
      <c r="B4171" s="57" t="s">
        <v>262</v>
      </c>
      <c r="C4171" s="230"/>
      <c r="D4171" s="230">
        <v>40</v>
      </c>
      <c r="E4171" s="216">
        <v>3</v>
      </c>
      <c r="F4171" s="156">
        <f>D4171+E4171</f>
        <v>43</v>
      </c>
      <c r="G4171" s="24" t="s">
        <v>8280</v>
      </c>
      <c r="H4171" s="532" t="str">
        <f>B4171</f>
        <v>mRCM-63/2/003-MW</v>
      </c>
      <c r="I4171" s="501"/>
      <c r="J4171" s="510" t="s">
        <v>1835</v>
      </c>
      <c r="K4171" s="501"/>
    </row>
    <row r="4172" spans="1:11" s="35" customFormat="1">
      <c r="A4172" s="510"/>
      <c r="B4172" s="57" t="s">
        <v>263</v>
      </c>
      <c r="C4172" s="230"/>
      <c r="D4172" s="230">
        <v>64</v>
      </c>
      <c r="E4172" s="216">
        <v>3</v>
      </c>
      <c r="F4172" s="156">
        <f>D4172+E4172</f>
        <v>67</v>
      </c>
      <c r="G4172" s="24" t="s">
        <v>8281</v>
      </c>
      <c r="H4172" s="532" t="str">
        <f>B4172</f>
        <v>mRCM-80/2/003-MW</v>
      </c>
      <c r="I4172" s="501"/>
      <c r="J4172" s="510" t="s">
        <v>1835</v>
      </c>
      <c r="K4172" s="501"/>
    </row>
    <row r="4173" spans="1:11" s="35" customFormat="1">
      <c r="A4173" s="512"/>
      <c r="B4173" s="57" t="s">
        <v>264</v>
      </c>
      <c r="C4173" s="230"/>
      <c r="D4173" s="230"/>
      <c r="E4173" s="216"/>
      <c r="F4173" s="156">
        <f>D4173+E4173</f>
        <v>0</v>
      </c>
      <c r="G4173" s="24" t="s">
        <v>8282</v>
      </c>
      <c r="H4173" s="532" t="str">
        <f>B4173</f>
        <v>mRCM-100/2/003-MW</v>
      </c>
      <c r="I4173" s="501"/>
      <c r="J4173" s="512"/>
      <c r="K4173" s="501"/>
    </row>
    <row r="4174" spans="1:11" s="35" customFormat="1">
      <c r="A4174" s="502"/>
      <c r="B4174" s="57"/>
      <c r="C4174" s="230"/>
      <c r="D4174" s="230"/>
      <c r="E4174" s="216"/>
      <c r="F4174" s="156"/>
      <c r="G4174" s="24"/>
      <c r="H4174" s="1801"/>
      <c r="I4174" s="501"/>
      <c r="J4174" s="502"/>
      <c r="K4174" s="501"/>
    </row>
    <row r="4175" spans="1:11" s="35" customFormat="1">
      <c r="A4175" s="510"/>
      <c r="B4175" s="57" t="s">
        <v>265</v>
      </c>
      <c r="C4175" s="230"/>
      <c r="D4175" s="230">
        <v>52</v>
      </c>
      <c r="E4175" s="216">
        <v>6</v>
      </c>
      <c r="F4175" s="156">
        <f>D4175+E4175</f>
        <v>58</v>
      </c>
      <c r="G4175" s="24" t="s">
        <v>8283</v>
      </c>
      <c r="H4175" s="532" t="str">
        <f>B4175</f>
        <v>mRCM-25/4/003-MW</v>
      </c>
      <c r="I4175" s="501"/>
      <c r="J4175" s="510" t="s">
        <v>1835</v>
      </c>
      <c r="K4175" s="501"/>
    </row>
    <row r="4176" spans="1:11" s="35" customFormat="1">
      <c r="A4176" s="510"/>
      <c r="B4176" s="57" t="s">
        <v>266</v>
      </c>
      <c r="C4176" s="230"/>
      <c r="D4176" s="230">
        <v>54</v>
      </c>
      <c r="E4176" s="216">
        <v>6</v>
      </c>
      <c r="F4176" s="156">
        <f>D4176+E4176</f>
        <v>60</v>
      </c>
      <c r="G4176" s="24" t="s">
        <v>8284</v>
      </c>
      <c r="H4176" s="532" t="str">
        <f>B4176</f>
        <v>mRCM-40/4/003-MW</v>
      </c>
      <c r="I4176" s="501"/>
      <c r="J4176" s="510" t="s">
        <v>1835</v>
      </c>
      <c r="K4176" s="501"/>
    </row>
    <row r="4177" spans="1:11" s="35" customFormat="1">
      <c r="A4177" s="510"/>
      <c r="B4177" s="57" t="s">
        <v>267</v>
      </c>
      <c r="C4177" s="230"/>
      <c r="D4177" s="230">
        <v>69</v>
      </c>
      <c r="E4177" s="216">
        <v>6</v>
      </c>
      <c r="F4177" s="156">
        <f>D4177+E4177</f>
        <v>75</v>
      </c>
      <c r="G4177" s="24" t="s">
        <v>8285</v>
      </c>
      <c r="H4177" s="532" t="str">
        <f>B4177</f>
        <v>mRCM-63/4/003-MW</v>
      </c>
      <c r="I4177" s="501"/>
      <c r="J4177" s="510" t="s">
        <v>1835</v>
      </c>
      <c r="K4177" s="501"/>
    </row>
    <row r="4178" spans="1:11" s="35" customFormat="1">
      <c r="A4178" s="510"/>
      <c r="B4178" s="57" t="s">
        <v>268</v>
      </c>
      <c r="C4178" s="230"/>
      <c r="D4178" s="230">
        <v>94</v>
      </c>
      <c r="E4178" s="216">
        <v>6</v>
      </c>
      <c r="F4178" s="156">
        <f>D4178+E4178</f>
        <v>100</v>
      </c>
      <c r="G4178" s="24" t="s">
        <v>8286</v>
      </c>
      <c r="H4178" s="532" t="str">
        <f>B4178</f>
        <v>mRCM-80/4/003-MW</v>
      </c>
      <c r="I4178" s="501"/>
      <c r="J4178" s="510" t="s">
        <v>1835</v>
      </c>
      <c r="K4178" s="501"/>
    </row>
    <row r="4179" spans="1:11" s="35" customFormat="1">
      <c r="A4179" s="510"/>
      <c r="B4179" s="531" t="s">
        <v>269</v>
      </c>
      <c r="C4179" s="384"/>
      <c r="D4179" s="384">
        <v>140</v>
      </c>
      <c r="E4179" s="216">
        <v>6</v>
      </c>
      <c r="F4179" s="385">
        <f>D4179+E4179</f>
        <v>146</v>
      </c>
      <c r="G4179" s="170" t="s">
        <v>8287</v>
      </c>
      <c r="H4179" s="532" t="str">
        <f>B4179</f>
        <v>mRCM-100/4/003-MW</v>
      </c>
      <c r="I4179" s="501"/>
      <c r="J4179" s="510" t="s">
        <v>1835</v>
      </c>
      <c r="K4179" s="501" t="s">
        <v>741</v>
      </c>
    </row>
    <row r="4180" spans="1:11" s="35" customFormat="1">
      <c r="A4180" s="502"/>
      <c r="B4180" s="36"/>
      <c r="C4180" s="230"/>
      <c r="D4180" s="230"/>
      <c r="E4180" s="216"/>
      <c r="F4180" s="156"/>
      <c r="G4180" s="24"/>
      <c r="H4180" s="1801"/>
      <c r="I4180" s="501"/>
      <c r="J4180" s="502"/>
      <c r="K4180" s="501"/>
    </row>
    <row r="4181" spans="1:11" s="35" customFormat="1">
      <c r="A4181" s="502"/>
      <c r="B4181" s="56" t="s">
        <v>382</v>
      </c>
      <c r="C4181" s="230"/>
      <c r="D4181" s="230"/>
      <c r="E4181" s="216"/>
      <c r="F4181" s="156"/>
      <c r="G4181" s="501"/>
      <c r="H4181" s="1801"/>
      <c r="I4181" s="501"/>
      <c r="J4181" s="502"/>
      <c r="K4181" s="501"/>
    </row>
    <row r="4182" spans="1:11" s="35" customFormat="1">
      <c r="A4182" s="510"/>
      <c r="B4182" s="57" t="s">
        <v>270</v>
      </c>
      <c r="C4182" s="230"/>
      <c r="D4182" s="230">
        <v>48</v>
      </c>
      <c r="E4182" s="216">
        <v>3</v>
      </c>
      <c r="F4182" s="156">
        <f>D4182+E4182</f>
        <v>51</v>
      </c>
      <c r="G4182" s="24" t="s">
        <v>8288</v>
      </c>
      <c r="H4182" s="532" t="str">
        <f>B4182</f>
        <v>mRCM-25/2/003-A-MW</v>
      </c>
      <c r="I4182" s="501"/>
      <c r="J4182" s="510" t="s">
        <v>1835</v>
      </c>
      <c r="K4182" s="501" t="s">
        <v>741</v>
      </c>
    </row>
    <row r="4183" spans="1:11" s="35" customFormat="1">
      <c r="A4183" s="510"/>
      <c r="B4183" s="57" t="s">
        <v>271</v>
      </c>
      <c r="C4183" s="230"/>
      <c r="D4183" s="230">
        <v>48</v>
      </c>
      <c r="E4183" s="216">
        <v>3</v>
      </c>
      <c r="F4183" s="156">
        <f>D4183+E4183</f>
        <v>51</v>
      </c>
      <c r="G4183" s="24" t="s">
        <v>8289</v>
      </c>
      <c r="H4183" s="532" t="str">
        <f>B4183</f>
        <v>mRCM-40/2/003-A-MW</v>
      </c>
      <c r="I4183" s="501"/>
      <c r="J4183" s="510" t="s">
        <v>1835</v>
      </c>
      <c r="K4183" s="501" t="s">
        <v>741</v>
      </c>
    </row>
    <row r="4184" spans="1:11" s="35" customFormat="1">
      <c r="A4184" s="510"/>
      <c r="B4184" s="57" t="s">
        <v>272</v>
      </c>
      <c r="C4184" s="230"/>
      <c r="D4184" s="230">
        <v>60</v>
      </c>
      <c r="E4184" s="216">
        <v>3</v>
      </c>
      <c r="F4184" s="156">
        <f>D4184+E4184</f>
        <v>63</v>
      </c>
      <c r="G4184" s="24" t="s">
        <v>8290</v>
      </c>
      <c r="H4184" s="532" t="str">
        <f>B4184</f>
        <v>mRCM-63/2/003-A-MW</v>
      </c>
      <c r="I4184" s="501"/>
      <c r="J4184" s="510" t="s">
        <v>1835</v>
      </c>
      <c r="K4184" s="501" t="s">
        <v>741</v>
      </c>
    </row>
    <row r="4185" spans="1:11" s="35" customFormat="1">
      <c r="A4185" s="502"/>
      <c r="B4185" s="57"/>
      <c r="C4185" s="230"/>
      <c r="D4185" s="230"/>
      <c r="E4185" s="216"/>
      <c r="F4185" s="156"/>
      <c r="G4185" s="24"/>
      <c r="H4185" s="1801"/>
      <c r="I4185" s="501"/>
      <c r="J4185" s="502"/>
      <c r="K4185" s="501"/>
    </row>
    <row r="4186" spans="1:11" s="35" customFormat="1">
      <c r="A4186" s="510"/>
      <c r="B4186" s="57" t="s">
        <v>273</v>
      </c>
      <c r="C4186" s="230"/>
      <c r="D4186" s="230">
        <v>60</v>
      </c>
      <c r="E4186" s="216">
        <v>6</v>
      </c>
      <c r="F4186" s="156">
        <f>D4186+E4186</f>
        <v>66</v>
      </c>
      <c r="G4186" s="24" t="s">
        <v>8291</v>
      </c>
      <c r="H4186" s="532" t="str">
        <f>B4186</f>
        <v>mRCM-25/4/003-A-MW</v>
      </c>
      <c r="I4186" s="501"/>
      <c r="J4186" s="510" t="s">
        <v>1835</v>
      </c>
      <c r="K4186" s="501" t="s">
        <v>741</v>
      </c>
    </row>
    <row r="4187" spans="1:11" s="35" customFormat="1">
      <c r="A4187" s="510"/>
      <c r="B4187" s="57" t="s">
        <v>274</v>
      </c>
      <c r="C4187" s="230"/>
      <c r="D4187" s="230">
        <v>60</v>
      </c>
      <c r="E4187" s="216">
        <v>6</v>
      </c>
      <c r="F4187" s="156">
        <f>D4187+E4187</f>
        <v>66</v>
      </c>
      <c r="G4187" s="24" t="s">
        <v>8292</v>
      </c>
      <c r="H4187" s="532" t="str">
        <f>B4187</f>
        <v>mRCM-40/4/003-A-MW</v>
      </c>
      <c r="I4187" s="501"/>
      <c r="J4187" s="510" t="s">
        <v>1835</v>
      </c>
      <c r="K4187" s="501" t="s">
        <v>741</v>
      </c>
    </row>
    <row r="4188" spans="1:11" s="35" customFormat="1">
      <c r="A4188" s="510"/>
      <c r="B4188" s="57" t="s">
        <v>275</v>
      </c>
      <c r="C4188" s="230"/>
      <c r="D4188" s="230">
        <v>80</v>
      </c>
      <c r="E4188" s="216">
        <v>6</v>
      </c>
      <c r="F4188" s="156">
        <f>D4188+E4188</f>
        <v>86</v>
      </c>
      <c r="G4188" s="24" t="s">
        <v>8293</v>
      </c>
      <c r="H4188" s="532" t="str">
        <f>B4188</f>
        <v>mRCM-63/4/003-A-MW</v>
      </c>
      <c r="I4188" s="501"/>
      <c r="J4188" s="510" t="s">
        <v>1835</v>
      </c>
      <c r="K4188" s="501" t="s">
        <v>741</v>
      </c>
    </row>
    <row r="4189" spans="1:11" s="339" customFormat="1">
      <c r="A4189" s="510"/>
      <c r="B4189" s="57" t="s">
        <v>276</v>
      </c>
      <c r="C4189" s="230"/>
      <c r="D4189" s="230">
        <v>120</v>
      </c>
      <c r="E4189" s="216">
        <v>6</v>
      </c>
      <c r="F4189" s="156">
        <f>D4189+E4189</f>
        <v>126</v>
      </c>
      <c r="G4189" s="24" t="s">
        <v>8294</v>
      </c>
      <c r="H4189" s="532" t="str">
        <f>B4189</f>
        <v>mRCM-80/4/003-A-MW</v>
      </c>
      <c r="I4189" s="501"/>
      <c r="J4189" s="510" t="s">
        <v>1835</v>
      </c>
      <c r="K4189" s="501" t="s">
        <v>741</v>
      </c>
    </row>
    <row r="4190" spans="1:11" s="341" customFormat="1">
      <c r="A4190" s="510"/>
      <c r="B4190" s="57" t="s">
        <v>277</v>
      </c>
      <c r="C4190" s="230"/>
      <c r="D4190" s="230"/>
      <c r="E4190" s="216"/>
      <c r="F4190" s="156">
        <f>D4190+E4190</f>
        <v>0</v>
      </c>
      <c r="G4190" s="24" t="s">
        <v>8295</v>
      </c>
      <c r="H4190" s="532" t="str">
        <f>B4190</f>
        <v>mRCM-100/4/003-A-MW</v>
      </c>
      <c r="I4190" s="501"/>
      <c r="J4190" s="510" t="s">
        <v>1835</v>
      </c>
      <c r="K4190" s="501" t="s">
        <v>741</v>
      </c>
    </row>
    <row r="4191" spans="1:11" s="341" customFormat="1">
      <c r="A4191" s="502"/>
      <c r="B4191" s="501"/>
      <c r="C4191" s="230"/>
      <c r="D4191" s="230"/>
      <c r="E4191" s="505"/>
      <c r="F4191" s="506"/>
      <c r="G4191" s="501"/>
      <c r="H4191" s="1801"/>
      <c r="I4191" s="501"/>
      <c r="J4191" s="502"/>
      <c r="K4191" s="501"/>
    </row>
    <row r="4192" spans="1:11" s="341" customFormat="1">
      <c r="A4192" s="502"/>
      <c r="B4192" s="56" t="s">
        <v>383</v>
      </c>
      <c r="C4192" s="230"/>
      <c r="D4192" s="230"/>
      <c r="E4192" s="216"/>
      <c r="F4192" s="156"/>
      <c r="G4192" s="501"/>
      <c r="H4192" s="1801"/>
      <c r="I4192" s="501"/>
      <c r="J4192" s="502"/>
      <c r="K4192" s="501"/>
    </row>
    <row r="4193" spans="1:11" s="35" customFormat="1">
      <c r="A4193" s="510"/>
      <c r="B4193" s="57" t="s">
        <v>250</v>
      </c>
      <c r="C4193" s="230"/>
      <c r="D4193" s="230">
        <v>43.5</v>
      </c>
      <c r="E4193" s="216">
        <v>3</v>
      </c>
      <c r="F4193" s="156">
        <f>D4193+E4193</f>
        <v>46.5</v>
      </c>
      <c r="G4193" s="24" t="s">
        <v>8296</v>
      </c>
      <c r="H4193" s="532" t="str">
        <f>B4193</f>
        <v>mRCM-25/2/03-MW</v>
      </c>
      <c r="I4193" s="501"/>
      <c r="J4193" s="510" t="s">
        <v>1835</v>
      </c>
      <c r="K4193" s="501"/>
    </row>
    <row r="4194" spans="1:11" s="35" customFormat="1">
      <c r="A4194" s="510"/>
      <c r="B4194" s="57" t="s">
        <v>251</v>
      </c>
      <c r="C4194" s="230"/>
      <c r="D4194" s="230">
        <v>43.5</v>
      </c>
      <c r="E4194" s="216">
        <v>3</v>
      </c>
      <c r="F4194" s="156">
        <f>D4194+E4194</f>
        <v>46.5</v>
      </c>
      <c r="G4194" s="24" t="s">
        <v>8297</v>
      </c>
      <c r="H4194" s="532" t="str">
        <f>B4194</f>
        <v>mRCM-40/2/03-MW</v>
      </c>
      <c r="I4194" s="501"/>
      <c r="J4194" s="510" t="s">
        <v>1835</v>
      </c>
      <c r="K4194" s="501"/>
    </row>
    <row r="4195" spans="1:11" s="35" customFormat="1">
      <c r="A4195" s="510"/>
      <c r="B4195" s="57" t="s">
        <v>252</v>
      </c>
      <c r="C4195" s="230"/>
      <c r="D4195" s="230">
        <v>48</v>
      </c>
      <c r="E4195" s="216">
        <v>3</v>
      </c>
      <c r="F4195" s="156">
        <f>D4195+E4195</f>
        <v>51</v>
      </c>
      <c r="G4195" s="24" t="s">
        <v>8298</v>
      </c>
      <c r="H4195" s="532" t="str">
        <f>B4195</f>
        <v>mRCM-63/2/03-MW</v>
      </c>
      <c r="I4195" s="501"/>
      <c r="J4195" s="510" t="s">
        <v>1835</v>
      </c>
      <c r="K4195" s="501"/>
    </row>
    <row r="4196" spans="1:11" s="35" customFormat="1">
      <c r="A4196" s="510"/>
      <c r="B4196" s="57" t="s">
        <v>253</v>
      </c>
      <c r="C4196" s="230"/>
      <c r="D4196" s="230">
        <v>60</v>
      </c>
      <c r="E4196" s="216">
        <v>3</v>
      </c>
      <c r="F4196" s="156">
        <f>D4196+E4196</f>
        <v>63</v>
      </c>
      <c r="G4196" s="24" t="s">
        <v>8299</v>
      </c>
      <c r="H4196" s="532" t="str">
        <f>B4196</f>
        <v>mRCM-80/2/03-MW</v>
      </c>
      <c r="I4196" s="501"/>
      <c r="J4196" s="510" t="s">
        <v>1835</v>
      </c>
      <c r="K4196" s="501"/>
    </row>
    <row r="4197" spans="1:11" s="35" customFormat="1">
      <c r="A4197" s="510"/>
      <c r="B4197" s="57" t="s">
        <v>254</v>
      </c>
      <c r="C4197" s="230"/>
      <c r="D4197" s="230"/>
      <c r="E4197" s="216"/>
      <c r="F4197" s="156">
        <f>D4197+E4197</f>
        <v>0</v>
      </c>
      <c r="G4197" s="24" t="s">
        <v>8300</v>
      </c>
      <c r="H4197" s="532" t="str">
        <f>B4197</f>
        <v>mRCM-100/2/03-MW</v>
      </c>
      <c r="I4197" s="501"/>
      <c r="J4197" s="510" t="s">
        <v>1835</v>
      </c>
      <c r="K4197" s="501"/>
    </row>
    <row r="4198" spans="1:11" s="35" customFormat="1">
      <c r="A4198" s="417"/>
      <c r="B4198" s="57"/>
      <c r="C4198" s="230"/>
      <c r="D4198" s="230"/>
      <c r="E4198" s="216"/>
      <c r="F4198" s="156"/>
      <c r="G4198" s="24"/>
      <c r="H4198" s="1801"/>
      <c r="I4198" s="501"/>
      <c r="J4198" s="417"/>
      <c r="K4198" s="501"/>
    </row>
    <row r="4199" spans="1:11" s="35" customFormat="1">
      <c r="A4199" s="510"/>
      <c r="B4199" s="57" t="s">
        <v>255</v>
      </c>
      <c r="C4199" s="230"/>
      <c r="D4199" s="230">
        <v>55</v>
      </c>
      <c r="E4199" s="216">
        <v>6</v>
      </c>
      <c r="F4199" s="156">
        <f>D4199+E4199</f>
        <v>61</v>
      </c>
      <c r="G4199" s="24" t="s">
        <v>8301</v>
      </c>
      <c r="H4199" s="532" t="str">
        <f>B4199</f>
        <v>mRCM-25/4/03-MW</v>
      </c>
      <c r="I4199" s="501"/>
      <c r="J4199" s="510" t="s">
        <v>1835</v>
      </c>
      <c r="K4199" s="501"/>
    </row>
    <row r="4200" spans="1:11" s="35" customFormat="1">
      <c r="A4200" s="510"/>
      <c r="B4200" s="57" t="s">
        <v>256</v>
      </c>
      <c r="C4200" s="230"/>
      <c r="D4200" s="230">
        <v>55</v>
      </c>
      <c r="E4200" s="216">
        <v>6</v>
      </c>
      <c r="F4200" s="156">
        <f>D4200+E4200</f>
        <v>61</v>
      </c>
      <c r="G4200" s="24" t="s">
        <v>8302</v>
      </c>
      <c r="H4200" s="532" t="str">
        <f t="shared" ref="H4200:H4203" si="557">B4200</f>
        <v>mRCM-40/4/03-MW</v>
      </c>
      <c r="I4200" s="501"/>
      <c r="J4200" s="510" t="s">
        <v>1835</v>
      </c>
      <c r="K4200" s="501"/>
    </row>
    <row r="4201" spans="1:11" s="35" customFormat="1">
      <c r="A4201" s="510"/>
      <c r="B4201" s="57" t="s">
        <v>257</v>
      </c>
      <c r="C4201" s="230"/>
      <c r="D4201" s="230">
        <v>72</v>
      </c>
      <c r="E4201" s="216">
        <v>6</v>
      </c>
      <c r="F4201" s="156">
        <f>D4201+E4201</f>
        <v>78</v>
      </c>
      <c r="G4201" s="24" t="s">
        <v>8303</v>
      </c>
      <c r="H4201" s="532" t="str">
        <f t="shared" si="557"/>
        <v>mRCM-63/4/03-MW</v>
      </c>
      <c r="I4201" s="501"/>
      <c r="J4201" s="510" t="s">
        <v>1835</v>
      </c>
      <c r="K4201" s="501"/>
    </row>
    <row r="4202" spans="1:11" s="35" customFormat="1">
      <c r="A4202" s="510"/>
      <c r="B4202" s="57" t="s">
        <v>258</v>
      </c>
      <c r="C4202" s="230"/>
      <c r="D4202" s="230">
        <v>96</v>
      </c>
      <c r="E4202" s="216">
        <v>6</v>
      </c>
      <c r="F4202" s="156">
        <f>D4202+E4202</f>
        <v>102</v>
      </c>
      <c r="G4202" s="24" t="s">
        <v>8304</v>
      </c>
      <c r="H4202" s="532" t="str">
        <f t="shared" si="557"/>
        <v>mRCM-80/4/03-MW</v>
      </c>
      <c r="I4202" s="501"/>
      <c r="J4202" s="510" t="s">
        <v>1835</v>
      </c>
      <c r="K4202" s="501"/>
    </row>
    <row r="4203" spans="1:11" s="35" customFormat="1">
      <c r="A4203" s="510"/>
      <c r="B4203" s="531" t="s">
        <v>259</v>
      </c>
      <c r="C4203" s="384"/>
      <c r="D4203" s="384">
        <v>460</v>
      </c>
      <c r="E4203" s="216">
        <v>6</v>
      </c>
      <c r="F4203" s="385">
        <f>D4203+E4203</f>
        <v>466</v>
      </c>
      <c r="G4203" s="170" t="s">
        <v>8305</v>
      </c>
      <c r="H4203" s="532" t="str">
        <f t="shared" si="557"/>
        <v>mRCM-100/4/03-MW</v>
      </c>
      <c r="I4203" s="501"/>
      <c r="J4203" s="510" t="s">
        <v>1835</v>
      </c>
      <c r="K4203" s="501" t="s">
        <v>741</v>
      </c>
    </row>
    <row r="4204" spans="1:11" s="35" customFormat="1">
      <c r="A4204" s="523"/>
      <c r="B4204" s="533"/>
      <c r="C4204" s="230"/>
      <c r="D4204" s="230"/>
      <c r="E4204" s="462"/>
      <c r="F4204" s="164"/>
      <c r="G4204" s="465"/>
      <c r="H4204" s="1801"/>
      <c r="I4204" s="525"/>
      <c r="J4204" s="523"/>
      <c r="K4204" s="525"/>
    </row>
    <row r="4205" spans="1:11" s="195" customFormat="1">
      <c r="A4205" s="523"/>
      <c r="B4205" s="533"/>
      <c r="C4205" s="230"/>
      <c r="D4205" s="230"/>
      <c r="E4205" s="462"/>
      <c r="F4205" s="164"/>
      <c r="G4205" s="1800"/>
      <c r="H4205" s="1801"/>
      <c r="I4205" s="525"/>
      <c r="J4205" s="523"/>
      <c r="K4205" s="525"/>
    </row>
    <row r="4206" spans="1:11" s="341" customFormat="1">
      <c r="A4206" s="502"/>
      <c r="B4206" s="56" t="s">
        <v>8306</v>
      </c>
      <c r="C4206" s="230"/>
      <c r="D4206" s="230"/>
      <c r="E4206" s="216"/>
      <c r="F4206" s="156"/>
      <c r="G4206" s="501"/>
      <c r="H4206" s="1801"/>
      <c r="I4206" s="501"/>
      <c r="J4206" s="502"/>
      <c r="K4206" s="501"/>
    </row>
    <row r="4207" spans="1:11" s="35" customFormat="1">
      <c r="A4207" s="510"/>
      <c r="B4207" s="57" t="s">
        <v>9684</v>
      </c>
      <c r="C4207" s="230"/>
      <c r="D4207" s="230">
        <v>80</v>
      </c>
      <c r="E4207" s="216">
        <v>3</v>
      </c>
      <c r="F4207" s="156">
        <f>D4207+E4207</f>
        <v>83</v>
      </c>
      <c r="G4207" s="24" t="s">
        <v>9685</v>
      </c>
      <c r="H4207" s="532" t="str">
        <f>B4207</f>
        <v>mRCM-40/2/03-A-MW</v>
      </c>
      <c r="I4207" s="501"/>
      <c r="J4207" s="510" t="s">
        <v>1835</v>
      </c>
      <c r="K4207" s="501"/>
    </row>
    <row r="4208" spans="1:11" s="35" customFormat="1">
      <c r="A4208" s="510"/>
      <c r="B4208" s="57" t="s">
        <v>9686</v>
      </c>
      <c r="C4208" s="230"/>
      <c r="D4208" s="230">
        <v>80</v>
      </c>
      <c r="E4208" s="216">
        <v>3</v>
      </c>
      <c r="F4208" s="156">
        <f>D4208+E4208</f>
        <v>83</v>
      </c>
      <c r="G4208" s="24" t="s">
        <v>9687</v>
      </c>
      <c r="H4208" s="532" t="str">
        <f>B4208</f>
        <v>mRCM-25/2/03-A-MW</v>
      </c>
      <c r="I4208" s="501"/>
      <c r="J4208" s="510" t="s">
        <v>1835</v>
      </c>
      <c r="K4208" s="501"/>
    </row>
    <row r="4209" spans="1:11" s="339" customFormat="1">
      <c r="A4209" s="523"/>
      <c r="B4209" s="1948"/>
      <c r="C4209" s="230"/>
      <c r="D4209" s="230"/>
      <c r="E4209" s="462"/>
      <c r="F4209" s="164"/>
      <c r="G4209" s="525"/>
      <c r="H4209" s="1801"/>
      <c r="I4209" s="525"/>
      <c r="J4209" s="523"/>
      <c r="K4209" s="525"/>
    </row>
    <row r="4210" spans="1:11" s="339" customFormat="1">
      <c r="A4210" s="523"/>
      <c r="B4210" s="1948"/>
      <c r="C4210" s="230"/>
      <c r="D4210" s="230"/>
      <c r="E4210" s="462"/>
      <c r="F4210" s="164"/>
      <c r="G4210" s="525"/>
      <c r="H4210" s="1801"/>
      <c r="I4210" s="525"/>
      <c r="J4210" s="523"/>
      <c r="K4210" s="525"/>
    </row>
    <row r="4211" spans="1:11" s="35" customFormat="1">
      <c r="A4211" s="510"/>
      <c r="B4211" s="57" t="s">
        <v>11251</v>
      </c>
      <c r="C4211" s="230"/>
      <c r="D4211" s="230">
        <v>105</v>
      </c>
      <c r="E4211" s="216">
        <v>6</v>
      </c>
      <c r="F4211" s="156">
        <f>D4211+E4211</f>
        <v>111</v>
      </c>
      <c r="G4211" s="24" t="s">
        <v>11252</v>
      </c>
      <c r="H4211" s="532" t="str">
        <f>B4211</f>
        <v>mRCM-63/4/03-A-MW</v>
      </c>
      <c r="I4211" s="501"/>
      <c r="J4211" s="510" t="s">
        <v>1835</v>
      </c>
      <c r="K4211" s="501"/>
    </row>
    <row r="4212" spans="1:11" s="35" customFormat="1">
      <c r="A4212" s="510"/>
      <c r="B4212" s="57" t="s">
        <v>8307</v>
      </c>
      <c r="C4212" s="230"/>
      <c r="D4212" s="230">
        <v>80</v>
      </c>
      <c r="E4212" s="216">
        <v>6</v>
      </c>
      <c r="F4212" s="156">
        <f>D4212+E4212</f>
        <v>86</v>
      </c>
      <c r="G4212" s="24" t="s">
        <v>8308</v>
      </c>
      <c r="H4212" s="532" t="str">
        <f>B4212</f>
        <v>mRCM-40/4/03-A-MW</v>
      </c>
      <c r="I4212" s="501"/>
      <c r="J4212" s="510" t="s">
        <v>1835</v>
      </c>
      <c r="K4212" s="501"/>
    </row>
    <row r="4213" spans="1:11" s="35" customFormat="1">
      <c r="A4213" s="510"/>
      <c r="B4213" s="57" t="s">
        <v>8309</v>
      </c>
      <c r="C4213" s="230"/>
      <c r="D4213" s="230">
        <v>70</v>
      </c>
      <c r="E4213" s="216">
        <v>6</v>
      </c>
      <c r="F4213" s="156">
        <f>D4213+E4213</f>
        <v>76</v>
      </c>
      <c r="G4213" s="24" t="s">
        <v>8310</v>
      </c>
      <c r="H4213" s="532" t="str">
        <f>B4213</f>
        <v>mRCM-25/4/03-A-MW</v>
      </c>
      <c r="I4213" s="501"/>
      <c r="J4213" s="510" t="s">
        <v>1835</v>
      </c>
      <c r="K4213" s="501"/>
    </row>
    <row r="4214" spans="1:11" s="195" customFormat="1">
      <c r="A4214" s="523"/>
      <c r="B4214" s="533"/>
      <c r="C4214" s="230"/>
      <c r="D4214" s="230"/>
      <c r="E4214" s="462"/>
      <c r="F4214" s="164"/>
      <c r="G4214" s="465"/>
      <c r="H4214" s="1801"/>
      <c r="I4214" s="525"/>
      <c r="J4214" s="523"/>
      <c r="K4214" s="525"/>
    </row>
    <row r="4215" spans="1:11" s="35" customFormat="1">
      <c r="A4215" s="510"/>
      <c r="B4215" s="57" t="s">
        <v>13992</v>
      </c>
      <c r="C4215" s="230"/>
      <c r="D4215" s="230">
        <v>60</v>
      </c>
      <c r="E4215" s="216">
        <v>6</v>
      </c>
      <c r="F4215" s="156">
        <f>D4215+E4215</f>
        <v>66</v>
      </c>
      <c r="G4215" s="24" t="s">
        <v>8283</v>
      </c>
      <c r="H4215" s="532">
        <v>235406</v>
      </c>
      <c r="I4215" s="501"/>
      <c r="J4215" s="510" t="s">
        <v>1835</v>
      </c>
      <c r="K4215" s="501" t="s">
        <v>741</v>
      </c>
    </row>
    <row r="4216" spans="1:11" s="35" customFormat="1">
      <c r="A4216" s="510"/>
      <c r="B4216" s="57" t="s">
        <v>1846</v>
      </c>
      <c r="C4216" s="230"/>
      <c r="D4216" s="230">
        <v>160</v>
      </c>
      <c r="E4216" s="216">
        <v>6</v>
      </c>
      <c r="F4216" s="156">
        <f>D4216+E4216</f>
        <v>166</v>
      </c>
      <c r="G4216" s="24" t="s">
        <v>8305</v>
      </c>
      <c r="H4216" s="532">
        <v>102825</v>
      </c>
      <c r="I4216" s="501"/>
      <c r="J4216" s="510" t="s">
        <v>1835</v>
      </c>
      <c r="K4216" s="501" t="s">
        <v>741</v>
      </c>
    </row>
    <row r="4217" spans="1:11" s="195" customFormat="1">
      <c r="A4217" s="523"/>
      <c r="B4217" s="533"/>
      <c r="C4217" s="230"/>
      <c r="D4217" s="230"/>
      <c r="E4217" s="216"/>
      <c r="F4217" s="156"/>
      <c r="G4217" s="465"/>
      <c r="H4217" s="1801"/>
      <c r="I4217" s="525"/>
      <c r="J4217" s="523"/>
      <c r="K4217" s="525"/>
    </row>
    <row r="4218" spans="1:11" s="195" customFormat="1">
      <c r="A4218" s="1764"/>
      <c r="B4218" s="533" t="s">
        <v>13565</v>
      </c>
      <c r="C4218" s="230"/>
      <c r="D4218" s="230">
        <v>10</v>
      </c>
      <c r="E4218" s="216">
        <v>6</v>
      </c>
      <c r="F4218" s="156">
        <f t="shared" ref="F4218:F4219" si="558">D4218+E4218</f>
        <v>16</v>
      </c>
      <c r="G4218" s="465" t="s">
        <v>13566</v>
      </c>
      <c r="H4218" s="532" t="str">
        <f>B4218</f>
        <v>Z-IS/SPE-1TE</v>
      </c>
      <c r="I4218" s="501"/>
      <c r="J4218" s="510" t="s">
        <v>1835</v>
      </c>
      <c r="K4218" s="501"/>
    </row>
    <row r="4219" spans="1:11" s="195" customFormat="1">
      <c r="A4219" s="1764"/>
      <c r="B4219" s="533" t="s">
        <v>14266</v>
      </c>
      <c r="C4219" s="230"/>
      <c r="D4219" s="230">
        <v>12</v>
      </c>
      <c r="E4219" s="216">
        <v>3</v>
      </c>
      <c r="F4219" s="156">
        <f t="shared" si="558"/>
        <v>15</v>
      </c>
      <c r="G4219" s="465" t="s">
        <v>14267</v>
      </c>
      <c r="H4219" s="532" t="str">
        <f>B4219</f>
        <v>ZP-IHK</v>
      </c>
      <c r="I4219" s="501"/>
      <c r="J4219" s="510" t="s">
        <v>1835</v>
      </c>
      <c r="K4219" s="501"/>
    </row>
    <row r="4220" spans="1:11" s="195" customFormat="1">
      <c r="A4220" s="502"/>
      <c r="B4220" s="1101"/>
      <c r="C4220" s="230"/>
      <c r="D4220" s="230"/>
      <c r="E4220" s="505"/>
      <c r="F4220" s="506"/>
      <c r="G4220" s="501"/>
      <c r="H4220" s="2003"/>
      <c r="I4220" s="501"/>
      <c r="J4220" s="502"/>
      <c r="K4220" s="501"/>
    </row>
    <row r="4221" spans="1:11" s="195" customFormat="1">
      <c r="A4221" s="502"/>
      <c r="B4221" s="37" t="s">
        <v>386</v>
      </c>
      <c r="C4221" s="230"/>
      <c r="D4221" s="230"/>
      <c r="E4221" s="216"/>
      <c r="F4221" s="156"/>
      <c r="G4221" s="501"/>
      <c r="H4221" s="2003"/>
      <c r="I4221" s="501"/>
      <c r="J4221" s="502"/>
      <c r="K4221" s="501"/>
    </row>
    <row r="4222" spans="1:11" s="195" customFormat="1">
      <c r="A4222" s="510"/>
      <c r="B4222" s="47" t="s">
        <v>712</v>
      </c>
      <c r="C4222" s="230"/>
      <c r="D4222" s="230">
        <v>14.9</v>
      </c>
      <c r="E4222" s="216">
        <v>5</v>
      </c>
      <c r="F4222" s="156">
        <f t="shared" ref="F4222:F4243" si="559">D4222+E4222</f>
        <v>19.899999999999999</v>
      </c>
      <c r="G4222" s="24" t="s">
        <v>5308</v>
      </c>
      <c r="H4222" s="530" t="str">
        <f t="shared" ref="H4222:H4243" si="560">B4222</f>
        <v>DILM7-10</v>
      </c>
      <c r="I4222" s="501"/>
      <c r="J4222" s="510" t="s">
        <v>1835</v>
      </c>
      <c r="K4222" s="501"/>
    </row>
    <row r="4223" spans="1:11" s="35" customFormat="1">
      <c r="A4223" s="510"/>
      <c r="B4223" s="47" t="s">
        <v>278</v>
      </c>
      <c r="C4223" s="230"/>
      <c r="D4223" s="230">
        <v>16.100000000000001</v>
      </c>
      <c r="E4223" s="216">
        <v>5</v>
      </c>
      <c r="F4223" s="156">
        <f t="shared" si="559"/>
        <v>21.1</v>
      </c>
      <c r="G4223" s="24" t="s">
        <v>5309</v>
      </c>
      <c r="H4223" s="530" t="str">
        <f t="shared" si="560"/>
        <v>DILM9-10</v>
      </c>
      <c r="I4223" s="501"/>
      <c r="J4223" s="510" t="s">
        <v>1835</v>
      </c>
      <c r="K4223" s="501"/>
    </row>
    <row r="4224" spans="1:11" s="35" customFormat="1">
      <c r="A4224" s="510"/>
      <c r="B4224" s="47" t="s">
        <v>279</v>
      </c>
      <c r="C4224" s="230"/>
      <c r="D4224" s="230">
        <v>20</v>
      </c>
      <c r="E4224" s="216">
        <v>5</v>
      </c>
      <c r="F4224" s="156">
        <f t="shared" si="559"/>
        <v>25</v>
      </c>
      <c r="G4224" s="24" t="s">
        <v>5310</v>
      </c>
      <c r="H4224" s="530" t="str">
        <f t="shared" si="560"/>
        <v>DILM12-10</v>
      </c>
      <c r="I4224" s="501"/>
      <c r="J4224" s="510" t="s">
        <v>1835</v>
      </c>
      <c r="K4224" s="501"/>
    </row>
    <row r="4225" spans="1:11" s="35" customFormat="1">
      <c r="A4225" s="510"/>
      <c r="B4225" s="47" t="s">
        <v>713</v>
      </c>
      <c r="C4225" s="230"/>
      <c r="D4225" s="230">
        <v>23.3</v>
      </c>
      <c r="E4225" s="216">
        <v>8</v>
      </c>
      <c r="F4225" s="156">
        <f t="shared" si="559"/>
        <v>31.3</v>
      </c>
      <c r="G4225" s="24" t="s">
        <v>5311</v>
      </c>
      <c r="H4225" s="530" t="str">
        <f t="shared" si="560"/>
        <v>DILM15-10</v>
      </c>
      <c r="I4225" s="501"/>
      <c r="J4225" s="510" t="s">
        <v>1835</v>
      </c>
      <c r="K4225" s="501"/>
    </row>
    <row r="4226" spans="1:11" s="35" customFormat="1">
      <c r="A4226" s="510"/>
      <c r="B4226" s="47" t="s">
        <v>280</v>
      </c>
      <c r="C4226" s="230"/>
      <c r="D4226" s="230">
        <v>27.9</v>
      </c>
      <c r="E4226" s="216">
        <v>8</v>
      </c>
      <c r="F4226" s="156">
        <f t="shared" si="559"/>
        <v>35.9</v>
      </c>
      <c r="G4226" s="24" t="s">
        <v>5312</v>
      </c>
      <c r="H4226" s="530" t="str">
        <f t="shared" si="560"/>
        <v>DILM17-10</v>
      </c>
      <c r="I4226" s="501"/>
      <c r="J4226" s="510" t="s">
        <v>1835</v>
      </c>
      <c r="K4226" s="501"/>
    </row>
    <row r="4227" spans="1:11" s="35" customFormat="1">
      <c r="A4227" s="510"/>
      <c r="B4227" s="47" t="s">
        <v>281</v>
      </c>
      <c r="C4227" s="230"/>
      <c r="D4227" s="230">
        <v>37.9</v>
      </c>
      <c r="E4227" s="216">
        <v>10</v>
      </c>
      <c r="F4227" s="156">
        <f t="shared" si="559"/>
        <v>47.9</v>
      </c>
      <c r="G4227" s="24" t="s">
        <v>5313</v>
      </c>
      <c r="H4227" s="530" t="str">
        <f t="shared" si="560"/>
        <v>DILM25-10</v>
      </c>
      <c r="I4227" s="501"/>
      <c r="J4227" s="510" t="s">
        <v>1835</v>
      </c>
      <c r="K4227" s="501"/>
    </row>
    <row r="4228" spans="1:11" s="35" customFormat="1">
      <c r="A4228" s="510"/>
      <c r="B4228" s="47" t="s">
        <v>282</v>
      </c>
      <c r="C4228" s="230"/>
      <c r="D4228" s="230">
        <v>55.6</v>
      </c>
      <c r="E4228" s="216">
        <v>12</v>
      </c>
      <c r="F4228" s="156">
        <f t="shared" si="559"/>
        <v>67.599999999999994</v>
      </c>
      <c r="G4228" s="24" t="s">
        <v>5314</v>
      </c>
      <c r="H4228" s="530" t="str">
        <f t="shared" si="560"/>
        <v>DILM32-10</v>
      </c>
      <c r="I4228" s="501"/>
      <c r="J4228" s="510" t="s">
        <v>1835</v>
      </c>
      <c r="K4228" s="501"/>
    </row>
    <row r="4229" spans="1:11" s="35" customFormat="1">
      <c r="A4229" s="510"/>
      <c r="B4229" s="47" t="s">
        <v>283</v>
      </c>
      <c r="C4229" s="230"/>
      <c r="D4229" s="230">
        <v>80</v>
      </c>
      <c r="E4229" s="216">
        <v>18</v>
      </c>
      <c r="F4229" s="156">
        <f t="shared" si="559"/>
        <v>98</v>
      </c>
      <c r="G4229" s="24" t="s">
        <v>5315</v>
      </c>
      <c r="H4229" s="530" t="str">
        <f t="shared" si="560"/>
        <v>DILM40</v>
      </c>
      <c r="I4229" s="501"/>
      <c r="J4229" s="510" t="s">
        <v>1835</v>
      </c>
      <c r="K4229" s="501"/>
    </row>
    <row r="4230" spans="1:11" s="35" customFormat="1">
      <c r="A4230" s="510"/>
      <c r="B4230" s="47" t="s">
        <v>284</v>
      </c>
      <c r="C4230" s="230"/>
      <c r="D4230" s="230">
        <v>105</v>
      </c>
      <c r="E4230" s="216">
        <v>25</v>
      </c>
      <c r="F4230" s="156">
        <f t="shared" si="559"/>
        <v>130</v>
      </c>
      <c r="G4230" s="24" t="s">
        <v>5316</v>
      </c>
      <c r="H4230" s="530" t="str">
        <f t="shared" si="560"/>
        <v>DILM50</v>
      </c>
      <c r="I4230" s="501"/>
      <c r="J4230" s="510" t="s">
        <v>1835</v>
      </c>
      <c r="K4230" s="501"/>
    </row>
    <row r="4231" spans="1:11" s="35" customFormat="1">
      <c r="A4231" s="510"/>
      <c r="B4231" s="47" t="s">
        <v>285</v>
      </c>
      <c r="C4231" s="230"/>
      <c r="D4231" s="230">
        <v>149</v>
      </c>
      <c r="E4231" s="216">
        <v>36</v>
      </c>
      <c r="F4231" s="156">
        <f t="shared" si="559"/>
        <v>185</v>
      </c>
      <c r="G4231" s="24" t="s">
        <v>5317</v>
      </c>
      <c r="H4231" s="530" t="str">
        <f t="shared" si="560"/>
        <v>DILM65</v>
      </c>
      <c r="I4231" s="501"/>
      <c r="J4231" s="510" t="s">
        <v>1835</v>
      </c>
      <c r="K4231" s="501"/>
    </row>
    <row r="4232" spans="1:11" s="35" customFormat="1">
      <c r="A4232" s="510"/>
      <c r="B4232" s="47" t="s">
        <v>714</v>
      </c>
      <c r="C4232" s="230"/>
      <c r="D4232" s="230">
        <v>150</v>
      </c>
      <c r="E4232" s="216">
        <v>50</v>
      </c>
      <c r="F4232" s="156">
        <f t="shared" si="559"/>
        <v>200</v>
      </c>
      <c r="G4232" s="24" t="s">
        <v>5318</v>
      </c>
      <c r="H4232" s="530" t="str">
        <f t="shared" si="560"/>
        <v>DILM72</v>
      </c>
      <c r="I4232" s="501"/>
      <c r="J4232" s="510" t="s">
        <v>1835</v>
      </c>
      <c r="K4232" s="501"/>
    </row>
    <row r="4233" spans="1:11" s="35" customFormat="1">
      <c r="A4233" s="510"/>
      <c r="B4233" s="47" t="s">
        <v>286</v>
      </c>
      <c r="C4233" s="230"/>
      <c r="D4233" s="230">
        <v>173.9</v>
      </c>
      <c r="E4233" s="216">
        <v>50</v>
      </c>
      <c r="F4233" s="156">
        <f t="shared" si="559"/>
        <v>223.9</v>
      </c>
      <c r="G4233" s="24" t="s">
        <v>5319</v>
      </c>
      <c r="H4233" s="530" t="str">
        <f t="shared" si="560"/>
        <v>DILM80</v>
      </c>
      <c r="I4233" s="501"/>
      <c r="J4233" s="510" t="s">
        <v>1835</v>
      </c>
      <c r="K4233" s="501"/>
    </row>
    <row r="4234" spans="1:11" s="35" customFormat="1">
      <c r="A4234" s="510"/>
      <c r="B4234" s="47" t="s">
        <v>287</v>
      </c>
      <c r="C4234" s="230"/>
      <c r="D4234" s="230">
        <v>221.2</v>
      </c>
      <c r="E4234" s="216">
        <v>72</v>
      </c>
      <c r="F4234" s="156">
        <f t="shared" si="559"/>
        <v>293.2</v>
      </c>
      <c r="G4234" s="24" t="s">
        <v>5320</v>
      </c>
      <c r="H4234" s="530" t="str">
        <f t="shared" si="560"/>
        <v>DILM95</v>
      </c>
      <c r="I4234" s="501"/>
      <c r="J4234" s="510" t="s">
        <v>1835</v>
      </c>
      <c r="K4234" s="501"/>
    </row>
    <row r="4235" spans="1:11" s="35" customFormat="1">
      <c r="A4235" s="510"/>
      <c r="B4235" s="47" t="s">
        <v>288</v>
      </c>
      <c r="C4235" s="230"/>
      <c r="D4235" s="230">
        <v>286.2</v>
      </c>
      <c r="E4235" s="216">
        <v>100</v>
      </c>
      <c r="F4235" s="156">
        <f t="shared" si="559"/>
        <v>386.2</v>
      </c>
      <c r="G4235" s="24" t="s">
        <v>5321</v>
      </c>
      <c r="H4235" s="530" t="str">
        <f t="shared" si="560"/>
        <v>DILM115</v>
      </c>
      <c r="I4235" s="501"/>
      <c r="J4235" s="510" t="s">
        <v>1835</v>
      </c>
      <c r="K4235" s="501"/>
    </row>
    <row r="4236" spans="1:11" s="35" customFormat="1">
      <c r="A4236" s="510"/>
      <c r="B4236" s="47" t="s">
        <v>289</v>
      </c>
      <c r="C4236" s="230"/>
      <c r="D4236" s="230">
        <v>353.7</v>
      </c>
      <c r="E4236" s="216">
        <v>150</v>
      </c>
      <c r="F4236" s="156">
        <f t="shared" si="559"/>
        <v>503.7</v>
      </c>
      <c r="G4236" s="24" t="s">
        <v>5322</v>
      </c>
      <c r="H4236" s="530" t="str">
        <f t="shared" si="560"/>
        <v>DILM150</v>
      </c>
      <c r="I4236" s="501"/>
      <c r="J4236" s="510" t="s">
        <v>1835</v>
      </c>
      <c r="K4236" s="501"/>
    </row>
    <row r="4237" spans="1:11" s="35" customFormat="1">
      <c r="A4237" s="510"/>
      <c r="B4237" s="47" t="s">
        <v>715</v>
      </c>
      <c r="C4237" s="230"/>
      <c r="D4237" s="230">
        <v>466.2</v>
      </c>
      <c r="E4237" s="216">
        <v>150</v>
      </c>
      <c r="F4237" s="156">
        <f t="shared" si="559"/>
        <v>616.20000000000005</v>
      </c>
      <c r="G4237" s="24" t="s">
        <v>5323</v>
      </c>
      <c r="H4237" s="530" t="str">
        <f t="shared" si="560"/>
        <v>DILM170</v>
      </c>
      <c r="I4237" s="501"/>
      <c r="J4237" s="510" t="s">
        <v>1835</v>
      </c>
      <c r="K4237" s="501"/>
    </row>
    <row r="4238" spans="1:11" s="35" customFormat="1">
      <c r="A4238" s="510"/>
      <c r="B4238" s="47" t="s">
        <v>290</v>
      </c>
      <c r="C4238" s="230"/>
      <c r="D4238" s="230">
        <v>446</v>
      </c>
      <c r="E4238" s="216">
        <v>150</v>
      </c>
      <c r="F4238" s="156">
        <f t="shared" si="559"/>
        <v>596</v>
      </c>
      <c r="G4238" s="24" t="s">
        <v>5324</v>
      </c>
      <c r="H4238" s="530" t="str">
        <f t="shared" si="560"/>
        <v>DILM185-S/22</v>
      </c>
      <c r="I4238" s="501"/>
      <c r="J4238" s="510" t="s">
        <v>1835</v>
      </c>
      <c r="K4238" s="501"/>
    </row>
    <row r="4239" spans="1:11" s="35" customFormat="1">
      <c r="A4239" s="510"/>
      <c r="B4239" s="47" t="s">
        <v>291</v>
      </c>
      <c r="C4239" s="230"/>
      <c r="D4239" s="230">
        <v>495.2</v>
      </c>
      <c r="E4239" s="216">
        <v>200</v>
      </c>
      <c r="F4239" s="156">
        <f t="shared" si="559"/>
        <v>695.2</v>
      </c>
      <c r="G4239" s="24" t="s">
        <v>5325</v>
      </c>
      <c r="H4239" s="530" t="str">
        <f t="shared" si="560"/>
        <v>DILM225-S/22</v>
      </c>
      <c r="I4239" s="501"/>
      <c r="J4239" s="510" t="s">
        <v>1835</v>
      </c>
      <c r="K4239" s="501"/>
    </row>
    <row r="4240" spans="1:11" s="35" customFormat="1">
      <c r="A4240" s="510"/>
      <c r="B4240" s="47" t="s">
        <v>292</v>
      </c>
      <c r="C4240" s="230"/>
      <c r="D4240" s="230">
        <v>689.6</v>
      </c>
      <c r="E4240" s="216">
        <v>250</v>
      </c>
      <c r="F4240" s="156">
        <f t="shared" si="559"/>
        <v>939.6</v>
      </c>
      <c r="G4240" s="24" t="s">
        <v>5326</v>
      </c>
      <c r="H4240" s="530" t="str">
        <f t="shared" si="560"/>
        <v>DILM250-S/22</v>
      </c>
      <c r="I4240" s="501"/>
      <c r="J4240" s="510" t="s">
        <v>1835</v>
      </c>
      <c r="K4240" s="501"/>
    </row>
    <row r="4241" spans="1:11" s="35" customFormat="1">
      <c r="A4241" s="510"/>
      <c r="B4241" s="47" t="s">
        <v>293</v>
      </c>
      <c r="C4241" s="230"/>
      <c r="D4241" s="230">
        <v>834.1</v>
      </c>
      <c r="E4241" s="216">
        <v>300</v>
      </c>
      <c r="F4241" s="156">
        <f t="shared" si="559"/>
        <v>1134.0999999999999</v>
      </c>
      <c r="G4241" s="24" t="s">
        <v>5327</v>
      </c>
      <c r="H4241" s="530" t="str">
        <f t="shared" si="560"/>
        <v>DILM300-S/22</v>
      </c>
      <c r="I4241" s="501"/>
      <c r="J4241" s="510" t="s">
        <v>1835</v>
      </c>
      <c r="K4241" s="501"/>
    </row>
    <row r="4242" spans="1:11" s="35" customFormat="1">
      <c r="A4242" s="510"/>
      <c r="B4242" s="47" t="s">
        <v>387</v>
      </c>
      <c r="C4242" s="230"/>
      <c r="D4242" s="230">
        <v>1073.4000000000001</v>
      </c>
      <c r="E4242" s="216">
        <v>300</v>
      </c>
      <c r="F4242" s="156">
        <f t="shared" si="559"/>
        <v>1373.4</v>
      </c>
      <c r="G4242" s="24" t="s">
        <v>5328</v>
      </c>
      <c r="H4242" s="530" t="str">
        <f t="shared" si="560"/>
        <v>DILM400-S22</v>
      </c>
      <c r="I4242" s="501"/>
      <c r="J4242" s="510" t="s">
        <v>1835</v>
      </c>
      <c r="K4242" s="501"/>
    </row>
    <row r="4243" spans="1:11" s="35" customFormat="1">
      <c r="A4243" s="510"/>
      <c r="B4243" s="47" t="s">
        <v>388</v>
      </c>
      <c r="C4243" s="230"/>
      <c r="D4243" s="230">
        <v>1500.9</v>
      </c>
      <c r="E4243" s="216">
        <v>300</v>
      </c>
      <c r="F4243" s="156">
        <f t="shared" si="559"/>
        <v>1800.9</v>
      </c>
      <c r="G4243" s="24" t="s">
        <v>5329</v>
      </c>
      <c r="H4243" s="530" t="str">
        <f t="shared" si="560"/>
        <v>DILM500-S22</v>
      </c>
      <c r="I4243" s="501"/>
      <c r="J4243" s="510" t="s">
        <v>1835</v>
      </c>
      <c r="K4243" s="501"/>
    </row>
    <row r="4244" spans="1:11" s="35" customFormat="1">
      <c r="A4244" s="502"/>
      <c r="B4244" s="47"/>
      <c r="C4244" s="230"/>
      <c r="D4244" s="230"/>
      <c r="E4244" s="216"/>
      <c r="F4244" s="156"/>
      <c r="G4244" s="24"/>
      <c r="H4244" s="2003"/>
      <c r="I4244" s="501"/>
      <c r="J4244" s="502"/>
      <c r="K4244" s="501"/>
    </row>
    <row r="4245" spans="1:11" s="35" customFormat="1">
      <c r="A4245" s="510" t="s">
        <v>12828</v>
      </c>
      <c r="B4245" s="47" t="s">
        <v>12829</v>
      </c>
      <c r="C4245" s="230"/>
      <c r="D4245" s="230">
        <v>140</v>
      </c>
      <c r="E4245" s="216">
        <v>25</v>
      </c>
      <c r="F4245" s="156">
        <f t="shared" ref="F4245:F4247" si="561">D4245+E4245</f>
        <v>165</v>
      </c>
      <c r="G4245" s="24" t="s">
        <v>12830</v>
      </c>
      <c r="H4245" s="530" t="str">
        <f t="shared" ref="H4245:H4247" si="562">B4245</f>
        <v>DILMP80</v>
      </c>
      <c r="I4245" s="501"/>
      <c r="J4245" s="510" t="s">
        <v>1835</v>
      </c>
      <c r="K4245" s="501"/>
    </row>
    <row r="4246" spans="1:11" s="35" customFormat="1">
      <c r="A4246" s="510" t="s">
        <v>12828</v>
      </c>
      <c r="B4246" s="47" t="s">
        <v>12831</v>
      </c>
      <c r="C4246" s="230"/>
      <c r="D4246" s="230">
        <v>195</v>
      </c>
      <c r="E4246" s="216">
        <v>36</v>
      </c>
      <c r="F4246" s="156">
        <f t="shared" si="561"/>
        <v>231</v>
      </c>
      <c r="G4246" s="24" t="s">
        <v>12832</v>
      </c>
      <c r="H4246" s="530" t="str">
        <f t="shared" si="562"/>
        <v>DILMP63</v>
      </c>
      <c r="I4246" s="501"/>
      <c r="J4246" s="510" t="s">
        <v>1835</v>
      </c>
      <c r="K4246" s="501"/>
    </row>
    <row r="4247" spans="1:11" s="604" customFormat="1" ht="14.25">
      <c r="A4247" s="2190" t="s">
        <v>12828</v>
      </c>
      <c r="B4247" s="2301" t="s">
        <v>13895</v>
      </c>
      <c r="C4247" s="2302"/>
      <c r="D4247" s="2302">
        <v>386</v>
      </c>
      <c r="E4247" s="216">
        <v>150</v>
      </c>
      <c r="F4247" s="2303">
        <f t="shared" si="561"/>
        <v>536</v>
      </c>
      <c r="G4247" s="2304" t="s">
        <v>13896</v>
      </c>
      <c r="H4247" s="2052" t="str">
        <f t="shared" si="562"/>
        <v>DILMP125</v>
      </c>
      <c r="I4247" s="2305"/>
      <c r="J4247" s="2190" t="s">
        <v>1835</v>
      </c>
      <c r="K4247" s="2305"/>
    </row>
    <row r="4248" spans="1:11" s="35" customFormat="1">
      <c r="A4248" s="523"/>
      <c r="B4248" s="47"/>
      <c r="C4248" s="230"/>
      <c r="D4248" s="230"/>
      <c r="E4248" s="216"/>
      <c r="F4248" s="156"/>
      <c r="G4248" s="24"/>
      <c r="H4248" s="2003"/>
      <c r="I4248" s="501"/>
      <c r="J4248" s="523"/>
      <c r="K4248" s="501"/>
    </row>
    <row r="4249" spans="1:11" s="35" customFormat="1">
      <c r="A4249" s="510"/>
      <c r="B4249" s="497" t="s">
        <v>2667</v>
      </c>
      <c r="C4249" s="498"/>
      <c r="D4249" s="498">
        <f>1.2*14.9</f>
        <v>17.88</v>
      </c>
      <c r="E4249" s="493">
        <v>5</v>
      </c>
      <c r="F4249" s="494">
        <f t="shared" ref="F4249:F4255" si="563">D4249+E4249</f>
        <v>22.88</v>
      </c>
      <c r="G4249" s="495" t="s">
        <v>5330</v>
      </c>
      <c r="H4249" s="530" t="str">
        <f t="shared" ref="H4249:H4255" si="564">B4249</f>
        <v>DILM7-10_120V</v>
      </c>
      <c r="I4249" s="501"/>
      <c r="J4249" s="510" t="s">
        <v>1835</v>
      </c>
      <c r="K4249" s="501"/>
    </row>
    <row r="4250" spans="1:11" s="35" customFormat="1">
      <c r="A4250" s="510"/>
      <c r="B4250" s="497" t="s">
        <v>2666</v>
      </c>
      <c r="C4250" s="498"/>
      <c r="D4250" s="498">
        <f>1.2*16.1</f>
        <v>19.32</v>
      </c>
      <c r="E4250" s="493">
        <v>5</v>
      </c>
      <c r="F4250" s="494">
        <f t="shared" si="563"/>
        <v>24.32</v>
      </c>
      <c r="G4250" s="495" t="s">
        <v>5331</v>
      </c>
      <c r="H4250" s="530" t="str">
        <f t="shared" si="564"/>
        <v>DILM9-10_120V</v>
      </c>
      <c r="I4250" s="501"/>
      <c r="J4250" s="510" t="s">
        <v>1835</v>
      </c>
      <c r="K4250" s="501"/>
    </row>
    <row r="4251" spans="1:11" s="35" customFormat="1">
      <c r="A4251" s="510"/>
      <c r="B4251" s="497" t="s">
        <v>2668</v>
      </c>
      <c r="C4251" s="498"/>
      <c r="D4251" s="498">
        <f>1.2*20</f>
        <v>24</v>
      </c>
      <c r="E4251" s="493">
        <v>5</v>
      </c>
      <c r="F4251" s="494">
        <f t="shared" si="563"/>
        <v>29</v>
      </c>
      <c r="G4251" s="495" t="s">
        <v>5332</v>
      </c>
      <c r="H4251" s="530" t="str">
        <f t="shared" si="564"/>
        <v>DILM12-10_120V</v>
      </c>
      <c r="I4251" s="501"/>
      <c r="J4251" s="510" t="s">
        <v>1835</v>
      </c>
      <c r="K4251" s="501"/>
    </row>
    <row r="4252" spans="1:11" s="35" customFormat="1">
      <c r="A4252" s="510"/>
      <c r="B4252" s="497" t="s">
        <v>2669</v>
      </c>
      <c r="C4252" s="498"/>
      <c r="D4252" s="498">
        <f>1.2*23.3</f>
        <v>27.96</v>
      </c>
      <c r="E4252" s="493">
        <v>8</v>
      </c>
      <c r="F4252" s="494">
        <f t="shared" si="563"/>
        <v>35.96</v>
      </c>
      <c r="G4252" s="495" t="s">
        <v>5333</v>
      </c>
      <c r="H4252" s="530" t="str">
        <f t="shared" si="564"/>
        <v>DILM15-10_120V</v>
      </c>
      <c r="I4252" s="501"/>
      <c r="J4252" s="510" t="s">
        <v>1835</v>
      </c>
      <c r="K4252" s="501"/>
    </row>
    <row r="4253" spans="1:11" s="35" customFormat="1">
      <c r="A4253" s="510"/>
      <c r="B4253" s="497" t="s">
        <v>2670</v>
      </c>
      <c r="C4253" s="498"/>
      <c r="D4253" s="498">
        <f>1.2*27.9</f>
        <v>33.479999999999997</v>
      </c>
      <c r="E4253" s="493">
        <v>8</v>
      </c>
      <c r="F4253" s="494">
        <f t="shared" si="563"/>
        <v>41.48</v>
      </c>
      <c r="G4253" s="495" t="s">
        <v>5334</v>
      </c>
      <c r="H4253" s="530" t="str">
        <f t="shared" si="564"/>
        <v>DILM17-10_120V</v>
      </c>
      <c r="I4253" s="501"/>
      <c r="J4253" s="510" t="s">
        <v>1835</v>
      </c>
      <c r="K4253" s="501"/>
    </row>
    <row r="4254" spans="1:11" s="35" customFormat="1">
      <c r="A4254" s="510"/>
      <c r="B4254" s="497" t="s">
        <v>2671</v>
      </c>
      <c r="C4254" s="498"/>
      <c r="D4254" s="498">
        <f>1.2*37.9</f>
        <v>45.48</v>
      </c>
      <c r="E4254" s="493">
        <v>10</v>
      </c>
      <c r="F4254" s="494">
        <f t="shared" si="563"/>
        <v>55.48</v>
      </c>
      <c r="G4254" s="495" t="s">
        <v>5335</v>
      </c>
      <c r="H4254" s="530" t="str">
        <f t="shared" si="564"/>
        <v>DILM25-10_120V</v>
      </c>
      <c r="I4254" s="501"/>
      <c r="J4254" s="510" t="s">
        <v>1835</v>
      </c>
      <c r="K4254" s="501"/>
    </row>
    <row r="4255" spans="1:11" s="35" customFormat="1">
      <c r="A4255" s="510"/>
      <c r="B4255" s="497" t="s">
        <v>2672</v>
      </c>
      <c r="C4255" s="498"/>
      <c r="D4255" s="498">
        <f>1.2*55.6</f>
        <v>66.72</v>
      </c>
      <c r="E4255" s="493">
        <v>12</v>
      </c>
      <c r="F4255" s="494">
        <f t="shared" si="563"/>
        <v>78.72</v>
      </c>
      <c r="G4255" s="495" t="s">
        <v>5336</v>
      </c>
      <c r="H4255" s="530" t="str">
        <f t="shared" si="564"/>
        <v>DILM32-10_120V</v>
      </c>
      <c r="I4255" s="501"/>
      <c r="J4255" s="510" t="s">
        <v>1835</v>
      </c>
      <c r="K4255" s="501"/>
    </row>
    <row r="4256" spans="1:11" s="35" customFormat="1">
      <c r="A4256" s="502"/>
      <c r="B4256" s="47"/>
      <c r="C4256" s="230"/>
      <c r="D4256" s="230"/>
      <c r="E4256" s="216"/>
      <c r="F4256" s="156"/>
      <c r="G4256" s="24"/>
      <c r="H4256" s="2003"/>
      <c r="I4256" s="501"/>
      <c r="J4256" s="502"/>
      <c r="K4256" s="501"/>
    </row>
    <row r="4257" spans="1:11" s="196" customFormat="1">
      <c r="A4257" s="419"/>
      <c r="B4257" s="165" t="s">
        <v>750</v>
      </c>
      <c r="C4257" s="230"/>
      <c r="D4257" s="230">
        <v>8.6</v>
      </c>
      <c r="E4257" s="230">
        <v>3</v>
      </c>
      <c r="F4257" s="166">
        <f t="shared" ref="F4257:F4262" si="565">D4257+E4257</f>
        <v>11.6</v>
      </c>
      <c r="G4257" s="167" t="s">
        <v>1668</v>
      </c>
      <c r="H4257" s="530" t="str">
        <f>B4257</f>
        <v>DILM32-XHI11</v>
      </c>
      <c r="I4257" s="552"/>
      <c r="J4257" s="419" t="s">
        <v>1835</v>
      </c>
      <c r="K4257" s="566" t="s">
        <v>741</v>
      </c>
    </row>
    <row r="4258" spans="1:11" s="196" customFormat="1">
      <c r="A4258" s="419"/>
      <c r="B4258" s="165" t="s">
        <v>1886</v>
      </c>
      <c r="C4258" s="230"/>
      <c r="D4258" s="230">
        <v>14.5</v>
      </c>
      <c r="E4258" s="230">
        <v>6</v>
      </c>
      <c r="F4258" s="166">
        <f t="shared" si="565"/>
        <v>20.5</v>
      </c>
      <c r="G4258" s="167" t="s">
        <v>1887</v>
      </c>
      <c r="H4258" s="530" t="str">
        <f>B4258</f>
        <v>DILM32-XHI22</v>
      </c>
      <c r="I4258" s="552"/>
      <c r="J4258" s="419" t="s">
        <v>1835</v>
      </c>
      <c r="K4258" s="566" t="s">
        <v>741</v>
      </c>
    </row>
    <row r="4259" spans="1:11" s="196" customFormat="1">
      <c r="A4259" s="419"/>
      <c r="B4259" s="165" t="s">
        <v>1666</v>
      </c>
      <c r="C4259" s="230"/>
      <c r="D4259" s="230">
        <v>7.9</v>
      </c>
      <c r="E4259" s="230">
        <v>3</v>
      </c>
      <c r="F4259" s="166">
        <f t="shared" si="565"/>
        <v>10.9</v>
      </c>
      <c r="G4259" s="167" t="s">
        <v>1667</v>
      </c>
      <c r="H4259" s="530" t="str">
        <f>B4259</f>
        <v>DILM150-XHI20</v>
      </c>
      <c r="I4259" s="552"/>
      <c r="J4259" s="419" t="s">
        <v>1835</v>
      </c>
      <c r="K4259" s="566" t="s">
        <v>741</v>
      </c>
    </row>
    <row r="4260" spans="1:11" s="196" customFormat="1">
      <c r="A4260" s="419"/>
      <c r="B4260" s="165" t="s">
        <v>1673</v>
      </c>
      <c r="C4260" s="230"/>
      <c r="D4260" s="230">
        <v>7.9</v>
      </c>
      <c r="E4260" s="230">
        <v>3</v>
      </c>
      <c r="F4260" s="166">
        <f t="shared" si="565"/>
        <v>10.9</v>
      </c>
      <c r="G4260" s="167" t="s">
        <v>1674</v>
      </c>
      <c r="H4260" s="530" t="str">
        <f>B4260</f>
        <v>DILM150-XHI02</v>
      </c>
      <c r="I4260" s="552"/>
      <c r="J4260" s="419" t="s">
        <v>1835</v>
      </c>
      <c r="K4260" s="566" t="s">
        <v>741</v>
      </c>
    </row>
    <row r="4261" spans="1:11" s="196" customFormat="1">
      <c r="A4261" s="419"/>
      <c r="B4261" s="165" t="s">
        <v>8456</v>
      </c>
      <c r="C4261" s="230"/>
      <c r="D4261" s="230">
        <v>8.4</v>
      </c>
      <c r="E4261" s="230">
        <v>3</v>
      </c>
      <c r="F4261" s="166">
        <f t="shared" si="565"/>
        <v>11.4</v>
      </c>
      <c r="G4261" s="167" t="s">
        <v>8457</v>
      </c>
      <c r="H4261" s="530" t="str">
        <f t="shared" ref="H4261" si="566">B4261</f>
        <v>DILM150-XHI11</v>
      </c>
      <c r="I4261" s="552"/>
      <c r="J4261" s="419" t="s">
        <v>1835</v>
      </c>
      <c r="K4261" s="566" t="s">
        <v>741</v>
      </c>
    </row>
    <row r="4262" spans="1:11" s="196" customFormat="1">
      <c r="A4262" s="419"/>
      <c r="B4262" s="165" t="s">
        <v>6126</v>
      </c>
      <c r="C4262" s="230"/>
      <c r="D4262" s="230">
        <v>13.7</v>
      </c>
      <c r="E4262" s="230">
        <v>3</v>
      </c>
      <c r="F4262" s="166">
        <f t="shared" si="565"/>
        <v>16.7</v>
      </c>
      <c r="G4262" s="167" t="s">
        <v>9840</v>
      </c>
      <c r="H4262" s="530" t="str">
        <f>B4262</f>
        <v>DILM150-XHI22</v>
      </c>
      <c r="I4262" s="552"/>
      <c r="J4262" s="419" t="s">
        <v>1835</v>
      </c>
      <c r="K4262" s="566" t="s">
        <v>741</v>
      </c>
    </row>
    <row r="4263" spans="1:11" s="196" customFormat="1">
      <c r="A4263" s="419"/>
      <c r="B4263" s="165"/>
      <c r="C4263" s="230"/>
      <c r="D4263" s="230"/>
      <c r="E4263" s="230"/>
      <c r="F4263" s="166"/>
      <c r="G4263" s="167"/>
      <c r="H4263" s="530"/>
      <c r="I4263" s="552"/>
      <c r="J4263" s="419"/>
      <c r="K4263" s="566"/>
    </row>
    <row r="4264" spans="1:11" s="196" customFormat="1">
      <c r="A4264" s="419"/>
      <c r="B4264" s="165" t="s">
        <v>1050</v>
      </c>
      <c r="C4264" s="230"/>
      <c r="D4264" s="230">
        <v>44.2</v>
      </c>
      <c r="E4264" s="230">
        <v>3</v>
      </c>
      <c r="F4264" s="166">
        <f>D4264+E4264</f>
        <v>47.2</v>
      </c>
      <c r="G4264" s="167" t="s">
        <v>1669</v>
      </c>
      <c r="H4264" s="530" t="str">
        <f>B4264</f>
        <v>DILA-XHI01-S</v>
      </c>
      <c r="I4264" s="552"/>
      <c r="J4264" s="419" t="s">
        <v>1835</v>
      </c>
      <c r="K4264" s="566" t="s">
        <v>741</v>
      </c>
    </row>
    <row r="4265" spans="1:11" s="196" customFormat="1">
      <c r="A4265" s="419"/>
      <c r="B4265" s="165" t="s">
        <v>1052</v>
      </c>
      <c r="C4265" s="230"/>
      <c r="D4265" s="230">
        <v>44.2</v>
      </c>
      <c r="E4265" s="230">
        <v>3</v>
      </c>
      <c r="F4265" s="166">
        <f>D4265+E4265</f>
        <v>47.2</v>
      </c>
      <c r="G4265" s="167" t="s">
        <v>1670</v>
      </c>
      <c r="H4265" s="530" t="str">
        <f>B4265</f>
        <v>DILA-XHI10-S</v>
      </c>
      <c r="I4265" s="552"/>
      <c r="J4265" s="419" t="s">
        <v>1835</v>
      </c>
      <c r="K4265" s="566" t="s">
        <v>741</v>
      </c>
    </row>
    <row r="4266" spans="1:11" s="196" customFormat="1">
      <c r="A4266" s="419"/>
      <c r="B4266" s="165" t="s">
        <v>771</v>
      </c>
      <c r="C4266" s="230"/>
      <c r="D4266" s="230">
        <v>17.3</v>
      </c>
      <c r="E4266" s="230">
        <v>3</v>
      </c>
      <c r="F4266" s="166">
        <f>D4266+E4266</f>
        <v>20.3</v>
      </c>
      <c r="G4266" s="167" t="s">
        <v>1051</v>
      </c>
      <c r="H4266" s="530" t="str">
        <f>B4266</f>
        <v>DILM32-XHI11-S</v>
      </c>
      <c r="I4266" s="552"/>
      <c r="J4266" s="419" t="s">
        <v>1835</v>
      </c>
      <c r="K4266" s="566" t="s">
        <v>741</v>
      </c>
    </row>
    <row r="4267" spans="1:11" s="196" customFormat="1">
      <c r="A4267" s="419"/>
      <c r="B4267" s="165" t="s">
        <v>1671</v>
      </c>
      <c r="C4267" s="230"/>
      <c r="D4267" s="230">
        <v>15.9</v>
      </c>
      <c r="E4267" s="230">
        <v>3</v>
      </c>
      <c r="F4267" s="166">
        <f>D4267+E4267</f>
        <v>18.899999999999999</v>
      </c>
      <c r="G4267" s="167" t="s">
        <v>1672</v>
      </c>
      <c r="H4267" s="530" t="str">
        <f>B4267</f>
        <v>DILM1000-XHI11-SA</v>
      </c>
      <c r="I4267" s="552"/>
      <c r="J4267" s="419" t="s">
        <v>1835</v>
      </c>
      <c r="K4267" s="566" t="s">
        <v>741</v>
      </c>
    </row>
    <row r="4268" spans="1:11" s="196" customFormat="1">
      <c r="A4268" s="419"/>
      <c r="B4268" s="148"/>
      <c r="C4268" s="230"/>
      <c r="D4268" s="230"/>
      <c r="E4268" s="231"/>
      <c r="F4268" s="164"/>
      <c r="G4268" s="149"/>
      <c r="H4268" s="530"/>
      <c r="I4268" s="552"/>
      <c r="J4268" s="419"/>
      <c r="K4268" s="545"/>
    </row>
    <row r="4269" spans="1:11" s="196" customFormat="1">
      <c r="A4269" s="419"/>
      <c r="B4269" s="165" t="s">
        <v>773</v>
      </c>
      <c r="C4269" s="230"/>
      <c r="D4269" s="498">
        <v>30</v>
      </c>
      <c r="E4269" s="230">
        <v>5</v>
      </c>
      <c r="F4269" s="166">
        <f>D4269+E4269</f>
        <v>35</v>
      </c>
      <c r="G4269" s="153" t="s">
        <v>5342</v>
      </c>
      <c r="H4269" s="2046" t="str">
        <f>B4269</f>
        <v>XTRM10A22B</v>
      </c>
      <c r="I4269" s="552"/>
      <c r="J4269" s="419" t="s">
        <v>1835</v>
      </c>
      <c r="K4269" s="566" t="s">
        <v>741</v>
      </c>
    </row>
    <row r="4270" spans="1:11" s="196" customFormat="1">
      <c r="A4270" s="419"/>
      <c r="B4270" s="165" t="s">
        <v>1888</v>
      </c>
      <c r="C4270" s="230"/>
      <c r="D4270" s="498">
        <v>30</v>
      </c>
      <c r="E4270" s="230">
        <v>5</v>
      </c>
      <c r="F4270" s="166">
        <f>D4270+E4270</f>
        <v>35</v>
      </c>
      <c r="G4270" s="153" t="s">
        <v>5343</v>
      </c>
      <c r="H4270" s="2046" t="str">
        <f>B4270</f>
        <v>XTRM10A22T</v>
      </c>
      <c r="I4270" s="552"/>
      <c r="J4270" s="419" t="s">
        <v>1835</v>
      </c>
      <c r="K4270" s="566" t="s">
        <v>741</v>
      </c>
    </row>
    <row r="4271" spans="1:11" s="196" customFormat="1">
      <c r="A4271" s="419"/>
      <c r="B4271" s="148"/>
      <c r="C4271" s="240"/>
      <c r="D4271" s="240"/>
      <c r="E4271" s="229"/>
      <c r="F4271" s="163"/>
      <c r="G4271" s="197"/>
      <c r="H4271" s="546"/>
      <c r="I4271" s="552"/>
      <c r="J4271" s="419"/>
      <c r="K4271" s="545"/>
    </row>
    <row r="4272" spans="1:11" s="196" customFormat="1">
      <c r="A4272" s="419"/>
      <c r="B4272" s="165"/>
      <c r="C4272" s="230"/>
      <c r="D4272" s="230"/>
      <c r="E4272" s="230"/>
      <c r="F4272" s="166"/>
      <c r="G4272" s="167"/>
      <c r="H4272" s="546"/>
      <c r="I4272" s="552"/>
      <c r="J4272" s="419"/>
      <c r="K4272" s="566"/>
    </row>
    <row r="4273" spans="1:11" s="196" customFormat="1">
      <c r="A4273" s="419"/>
      <c r="B4273" s="165" t="s">
        <v>1675</v>
      </c>
      <c r="C4273" s="230"/>
      <c r="D4273" s="230">
        <v>5.3</v>
      </c>
      <c r="E4273" s="230">
        <v>3</v>
      </c>
      <c r="F4273" s="166">
        <f t="shared" ref="F4273:F4278" si="567">D4273+E4273</f>
        <v>8.3000000000000007</v>
      </c>
      <c r="G4273" s="167" t="s">
        <v>1678</v>
      </c>
      <c r="H4273" s="2046" t="str">
        <f t="shared" ref="H4273:H4278" si="568">B4273</f>
        <v>DILM12-XMV</v>
      </c>
      <c r="I4273" s="552"/>
      <c r="J4273" s="419" t="s">
        <v>1835</v>
      </c>
      <c r="K4273" s="566" t="s">
        <v>741</v>
      </c>
    </row>
    <row r="4274" spans="1:11" s="196" customFormat="1">
      <c r="A4274" s="419"/>
      <c r="B4274" s="165" t="s">
        <v>1676</v>
      </c>
      <c r="C4274" s="230"/>
      <c r="D4274" s="230">
        <v>7.1</v>
      </c>
      <c r="E4274" s="230">
        <v>3</v>
      </c>
      <c r="F4274" s="166">
        <f t="shared" si="567"/>
        <v>10.1</v>
      </c>
      <c r="G4274" s="167" t="s">
        <v>1679</v>
      </c>
      <c r="H4274" s="2046" t="str">
        <f t="shared" si="568"/>
        <v>DILM32-XMV</v>
      </c>
      <c r="I4274" s="552"/>
      <c r="J4274" s="419" t="s">
        <v>1835</v>
      </c>
      <c r="K4274" s="566" t="s">
        <v>741</v>
      </c>
    </row>
    <row r="4275" spans="1:11" s="196" customFormat="1">
      <c r="A4275" s="419"/>
      <c r="B4275" s="165" t="s">
        <v>1677</v>
      </c>
      <c r="C4275" s="230"/>
      <c r="D4275" s="230">
        <v>8.1999999999999993</v>
      </c>
      <c r="E4275" s="230">
        <v>3</v>
      </c>
      <c r="F4275" s="166">
        <f t="shared" si="567"/>
        <v>11.2</v>
      </c>
      <c r="G4275" s="167" t="s">
        <v>1680</v>
      </c>
      <c r="H4275" s="2046" t="str">
        <f>B4275</f>
        <v>DILM65-XMV</v>
      </c>
      <c r="I4275" s="552"/>
      <c r="J4275" s="419" t="s">
        <v>1835</v>
      </c>
      <c r="K4275" s="566" t="s">
        <v>741</v>
      </c>
    </row>
    <row r="4276" spans="1:11" s="196" customFormat="1">
      <c r="A4276" s="419"/>
      <c r="B4276" s="165" t="s">
        <v>6127</v>
      </c>
      <c r="C4276" s="230"/>
      <c r="D4276" s="230">
        <v>8.6999999999999993</v>
      </c>
      <c r="E4276" s="230">
        <v>3</v>
      </c>
      <c r="F4276" s="166">
        <f t="shared" si="567"/>
        <v>11.7</v>
      </c>
      <c r="G4276" s="167" t="s">
        <v>8458</v>
      </c>
      <c r="H4276" s="2046" t="str">
        <f>B4276</f>
        <v>DILM150-XMVE</v>
      </c>
      <c r="I4276" s="552"/>
      <c r="J4276" s="419" t="s">
        <v>1835</v>
      </c>
      <c r="K4276" s="566" t="s">
        <v>741</v>
      </c>
    </row>
    <row r="4277" spans="1:11" s="196" customFormat="1">
      <c r="A4277" s="419"/>
      <c r="B4277" s="165" t="s">
        <v>8459</v>
      </c>
      <c r="C4277" s="230"/>
      <c r="D4277" s="230">
        <v>34</v>
      </c>
      <c r="E4277" s="230">
        <v>3</v>
      </c>
      <c r="F4277" s="166">
        <f t="shared" si="567"/>
        <v>37</v>
      </c>
      <c r="G4277" s="167" t="s">
        <v>8460</v>
      </c>
      <c r="H4277" s="2046" t="str">
        <f>B4277</f>
        <v>DILM500-XMV</v>
      </c>
      <c r="I4277" s="552"/>
      <c r="J4277" s="419" t="s">
        <v>1835</v>
      </c>
      <c r="K4277" s="566" t="s">
        <v>741</v>
      </c>
    </row>
    <row r="4278" spans="1:11" s="196" customFormat="1">
      <c r="A4278" s="419"/>
      <c r="B4278" s="165" t="s">
        <v>8461</v>
      </c>
      <c r="C4278" s="230"/>
      <c r="D4278" s="230">
        <v>480.6</v>
      </c>
      <c r="E4278" s="230">
        <v>3</v>
      </c>
      <c r="F4278" s="166">
        <f t="shared" si="567"/>
        <v>483.6</v>
      </c>
      <c r="G4278" s="167" t="s">
        <v>8462</v>
      </c>
      <c r="H4278" s="2046" t="str">
        <f t="shared" si="568"/>
        <v>DILM820-XMV</v>
      </c>
      <c r="I4278" s="552"/>
      <c r="J4278" s="419" t="s">
        <v>1835</v>
      </c>
      <c r="K4278" s="566" t="s">
        <v>741</v>
      </c>
    </row>
    <row r="4279" spans="1:11" s="35" customFormat="1">
      <c r="A4279" s="502"/>
      <c r="B4279" s="501"/>
      <c r="C4279" s="230"/>
      <c r="D4279" s="230"/>
      <c r="E4279" s="505"/>
      <c r="F4279" s="506"/>
      <c r="G4279" s="501"/>
      <c r="H4279" s="2003"/>
      <c r="I4279" s="501"/>
      <c r="J4279" s="502"/>
      <c r="K4279" s="501"/>
    </row>
    <row r="4280" spans="1:11" s="35" customFormat="1">
      <c r="A4280" s="507"/>
      <c r="B4280" s="535" t="s">
        <v>6128</v>
      </c>
      <c r="C4280" s="230"/>
      <c r="D4280" s="230"/>
      <c r="E4280" s="216"/>
      <c r="F4280" s="156"/>
      <c r="G4280" s="508"/>
      <c r="H4280" s="2031"/>
      <c r="I4280" s="508"/>
      <c r="J4280" s="507"/>
      <c r="K4280" s="508"/>
    </row>
    <row r="4281" spans="1:11" s="35" customFormat="1">
      <c r="A4281" s="536"/>
      <c r="B4281" s="38" t="s">
        <v>13434</v>
      </c>
      <c r="C4281" s="230">
        <v>238</v>
      </c>
      <c r="D4281" s="244">
        <f>C4281*(1-0)*fcl</f>
        <v>397.46</v>
      </c>
      <c r="E4281" s="216">
        <v>15</v>
      </c>
      <c r="F4281" s="156">
        <f t="shared" ref="F4281:F4283" si="569">D4281+E4281</f>
        <v>412.46</v>
      </c>
      <c r="G4281" s="24" t="s">
        <v>13435</v>
      </c>
      <c r="H4281" s="530" t="s">
        <v>13436</v>
      </c>
      <c r="I4281" s="501"/>
      <c r="J4281" s="536" t="s">
        <v>5240</v>
      </c>
      <c r="K4281" s="501" t="s">
        <v>741</v>
      </c>
    </row>
    <row r="4282" spans="1:11" s="35" customFormat="1">
      <c r="A4282" s="536"/>
      <c r="B4282" s="38" t="s">
        <v>13437</v>
      </c>
      <c r="C4282" s="230">
        <v>238</v>
      </c>
      <c r="D4282" s="244">
        <f>C4282*(1-0)*fcl</f>
        <v>397.46</v>
      </c>
      <c r="E4282" s="216">
        <v>15</v>
      </c>
      <c r="F4282" s="156">
        <f t="shared" si="569"/>
        <v>412.46</v>
      </c>
      <c r="G4282" s="24" t="s">
        <v>13438</v>
      </c>
      <c r="H4282" s="530" t="s">
        <v>13439</v>
      </c>
      <c r="I4282" s="501"/>
      <c r="J4282" s="536" t="s">
        <v>5240</v>
      </c>
      <c r="K4282" s="501" t="s">
        <v>741</v>
      </c>
    </row>
    <row r="4283" spans="1:11" s="35" customFormat="1">
      <c r="A4283" s="536"/>
      <c r="B4283" s="38" t="s">
        <v>9783</v>
      </c>
      <c r="C4283" s="230">
        <v>238</v>
      </c>
      <c r="D4283" s="244">
        <f>C4283*(1-0)*fcl</f>
        <v>397.46</v>
      </c>
      <c r="E4283" s="216">
        <v>15</v>
      </c>
      <c r="F4283" s="156">
        <f t="shared" si="569"/>
        <v>412.46</v>
      </c>
      <c r="G4283" s="24" t="s">
        <v>13440</v>
      </c>
      <c r="H4283" s="530" t="s">
        <v>13441</v>
      </c>
      <c r="I4283" s="501"/>
      <c r="J4283" s="536" t="s">
        <v>5240</v>
      </c>
      <c r="K4283" s="501" t="s">
        <v>741</v>
      </c>
    </row>
    <row r="4284" spans="1:11" s="35" customFormat="1">
      <c r="A4284" s="502"/>
      <c r="B4284" s="38"/>
      <c r="C4284" s="230"/>
      <c r="D4284" s="215"/>
      <c r="E4284" s="216"/>
      <c r="F4284" s="156"/>
      <c r="G4284" s="59"/>
      <c r="H4284" s="2003"/>
      <c r="I4284" s="501"/>
      <c r="J4284" s="502"/>
      <c r="K4284" s="501"/>
    </row>
    <row r="4285" spans="1:11" s="35" customFormat="1">
      <c r="A4285" s="536"/>
      <c r="B4285" s="38" t="s">
        <v>11838</v>
      </c>
      <c r="C4285" s="230">
        <v>75</v>
      </c>
      <c r="D4285" s="244">
        <f>C4285*(1-0)*fcl</f>
        <v>125.25</v>
      </c>
      <c r="E4285" s="216">
        <v>15</v>
      </c>
      <c r="F4285" s="156">
        <f t="shared" ref="F4285:F4287" si="570">D4285+E4285</f>
        <v>140.25</v>
      </c>
      <c r="G4285" s="24" t="s">
        <v>11839</v>
      </c>
      <c r="H4285" s="530" t="str">
        <f t="shared" ref="H4285:H4287" si="571">B4285</f>
        <v>HXE34k</v>
      </c>
      <c r="I4285" s="501"/>
      <c r="J4285" s="536" t="s">
        <v>10993</v>
      </c>
      <c r="K4285" s="501" t="s">
        <v>741</v>
      </c>
    </row>
    <row r="4286" spans="1:11" s="35" customFormat="1">
      <c r="A4286" s="536"/>
      <c r="B4286" s="38" t="s">
        <v>10992</v>
      </c>
      <c r="C4286" s="230">
        <v>75</v>
      </c>
      <c r="D4286" s="244">
        <f>C4286*(1-0)*fcl</f>
        <v>125.25</v>
      </c>
      <c r="E4286" s="216">
        <v>15</v>
      </c>
      <c r="F4286" s="156">
        <f t="shared" si="570"/>
        <v>140.25</v>
      </c>
      <c r="G4286" s="24" t="s">
        <v>11840</v>
      </c>
      <c r="H4286" s="530" t="str">
        <f t="shared" si="571"/>
        <v>HXE33K-A</v>
      </c>
      <c r="I4286" s="501"/>
      <c r="J4286" s="536" t="s">
        <v>10993</v>
      </c>
      <c r="K4286" s="501" t="s">
        <v>741</v>
      </c>
    </row>
    <row r="4287" spans="1:11" s="35" customFormat="1">
      <c r="A4287" s="536"/>
      <c r="B4287" s="38" t="s">
        <v>10994</v>
      </c>
      <c r="C4287" s="230">
        <v>12</v>
      </c>
      <c r="D4287" s="244">
        <f>C4287*(1-0)*fcl</f>
        <v>20.04</v>
      </c>
      <c r="E4287" s="216">
        <v>15</v>
      </c>
      <c r="F4287" s="156">
        <f t="shared" si="570"/>
        <v>35.04</v>
      </c>
      <c r="G4287" s="24" t="s">
        <v>11841</v>
      </c>
      <c r="H4287" s="530" t="str">
        <f t="shared" si="571"/>
        <v>HXE12R</v>
      </c>
      <c r="I4287" s="501"/>
      <c r="J4287" s="536" t="s">
        <v>10993</v>
      </c>
      <c r="K4287" s="501" t="s">
        <v>741</v>
      </c>
    </row>
    <row r="4288" spans="1:11" s="35" customFormat="1">
      <c r="A4288" s="502"/>
      <c r="B4288" s="151"/>
      <c r="C4288" s="230"/>
      <c r="D4288" s="244"/>
      <c r="E4288" s="228"/>
      <c r="F4288" s="585"/>
      <c r="G4288" s="338"/>
      <c r="H4288" s="592"/>
      <c r="I4288" s="501"/>
      <c r="J4288" s="502"/>
      <c r="K4288" s="501"/>
    </row>
    <row r="4289" spans="1:11" s="35" customFormat="1">
      <c r="A4289" s="2612" t="s">
        <v>12833</v>
      </c>
      <c r="B4289" s="151" t="s">
        <v>3983</v>
      </c>
      <c r="C4289" s="230">
        <v>349.52</v>
      </c>
      <c r="D4289" s="244">
        <f t="shared" ref="D4289:D4294" si="572">C4289*fcl</f>
        <v>583.69839999999999</v>
      </c>
      <c r="E4289" s="472">
        <v>20</v>
      </c>
      <c r="F4289" s="585">
        <f t="shared" ref="F4289:F4294" si="573">ROUNDUP(D4289+E4289,2)</f>
        <v>603.70000000000005</v>
      </c>
      <c r="G4289" s="338" t="s">
        <v>3996</v>
      </c>
      <c r="H4289" s="592" t="s">
        <v>3984</v>
      </c>
      <c r="I4289" s="501"/>
      <c r="J4289" s="421" t="s">
        <v>3982</v>
      </c>
      <c r="K4289" s="520" t="s">
        <v>741</v>
      </c>
    </row>
    <row r="4290" spans="1:11" s="35" customFormat="1">
      <c r="A4290" s="2612"/>
      <c r="B4290" s="151" t="s">
        <v>3985</v>
      </c>
      <c r="C4290" s="230">
        <v>100.66</v>
      </c>
      <c r="D4290" s="244">
        <f t="shared" si="572"/>
        <v>168.10219999999998</v>
      </c>
      <c r="E4290" s="228">
        <v>2</v>
      </c>
      <c r="F4290" s="585">
        <f>ROUNDUP(D4290+E4290,2)</f>
        <v>170.10999999999999</v>
      </c>
      <c r="G4290" s="338" t="s">
        <v>5337</v>
      </c>
      <c r="H4290" s="592" t="s">
        <v>3986</v>
      </c>
      <c r="I4290" s="520"/>
      <c r="J4290" s="421" t="s">
        <v>3982</v>
      </c>
      <c r="K4290" s="520" t="s">
        <v>741</v>
      </c>
    </row>
    <row r="4291" spans="1:11" s="35" customFormat="1">
      <c r="A4291" s="2612"/>
      <c r="B4291" s="151" t="s">
        <v>5338</v>
      </c>
      <c r="C4291" s="230">
        <v>268.19</v>
      </c>
      <c r="D4291" s="244">
        <f t="shared" si="572"/>
        <v>447.87729999999999</v>
      </c>
      <c r="E4291" s="228">
        <v>2</v>
      </c>
      <c r="F4291" s="585">
        <f t="shared" si="573"/>
        <v>449.88</v>
      </c>
      <c r="G4291" s="338" t="s">
        <v>5339</v>
      </c>
      <c r="H4291" s="592" t="s">
        <v>5340</v>
      </c>
      <c r="I4291" s="520"/>
      <c r="J4291" s="421" t="s">
        <v>3982</v>
      </c>
      <c r="K4291" s="520" t="s">
        <v>741</v>
      </c>
    </row>
    <row r="4292" spans="1:11" s="35" customFormat="1">
      <c r="A4292" s="2612"/>
      <c r="B4292" s="151" t="s">
        <v>3987</v>
      </c>
      <c r="C4292" s="230">
        <v>173.07</v>
      </c>
      <c r="D4292" s="244">
        <f t="shared" si="572"/>
        <v>289.02689999999996</v>
      </c>
      <c r="E4292" s="228">
        <v>2</v>
      </c>
      <c r="F4292" s="585">
        <f t="shared" si="573"/>
        <v>291.02999999999997</v>
      </c>
      <c r="G4292" s="338" t="s">
        <v>3989</v>
      </c>
      <c r="H4292" s="592" t="s">
        <v>3988</v>
      </c>
      <c r="I4292" s="520"/>
      <c r="J4292" s="421" t="s">
        <v>3982</v>
      </c>
      <c r="K4292" s="520" t="s">
        <v>741</v>
      </c>
    </row>
    <row r="4293" spans="1:11" s="35" customFormat="1">
      <c r="A4293" s="2612"/>
      <c r="B4293" s="151" t="s">
        <v>3990</v>
      </c>
      <c r="C4293" s="230">
        <v>299.33</v>
      </c>
      <c r="D4293" s="244">
        <f t="shared" si="572"/>
        <v>499.88109999999995</v>
      </c>
      <c r="E4293" s="228">
        <v>2</v>
      </c>
      <c r="F4293" s="585">
        <f t="shared" si="573"/>
        <v>501.89</v>
      </c>
      <c r="G4293" s="338" t="s">
        <v>3992</v>
      </c>
      <c r="H4293" s="592" t="s">
        <v>3991</v>
      </c>
      <c r="I4293" s="520"/>
      <c r="J4293" s="421" t="s">
        <v>3982</v>
      </c>
      <c r="K4293" s="520" t="s">
        <v>741</v>
      </c>
    </row>
    <row r="4294" spans="1:11" s="23" customFormat="1">
      <c r="A4294" s="2612"/>
      <c r="B4294" s="151" t="s">
        <v>3993</v>
      </c>
      <c r="C4294" s="230">
        <v>69.77</v>
      </c>
      <c r="D4294" s="244">
        <f t="shared" si="572"/>
        <v>116.51589999999999</v>
      </c>
      <c r="E4294" s="228">
        <v>1</v>
      </c>
      <c r="F4294" s="585">
        <f t="shared" si="573"/>
        <v>117.52000000000001</v>
      </c>
      <c r="G4294" s="338" t="s">
        <v>3995</v>
      </c>
      <c r="H4294" s="592" t="s">
        <v>3994</v>
      </c>
      <c r="I4294" s="520"/>
      <c r="J4294" s="421" t="s">
        <v>3982</v>
      </c>
      <c r="K4294" s="520" t="s">
        <v>741</v>
      </c>
    </row>
    <row r="4295" spans="1:11" s="23" customFormat="1">
      <c r="A4295" s="421"/>
      <c r="B4295" s="151"/>
      <c r="C4295" s="230"/>
      <c r="D4295" s="244"/>
      <c r="E4295" s="228"/>
      <c r="F4295" s="585"/>
      <c r="G4295" s="338"/>
      <c r="H4295" s="592"/>
      <c r="I4295" s="520"/>
      <c r="J4295" s="421"/>
      <c r="K4295" s="520"/>
    </row>
    <row r="4296" spans="1:11" s="23" customFormat="1">
      <c r="A4296" s="421"/>
      <c r="B4296" s="151"/>
      <c r="C4296" s="230"/>
      <c r="D4296" s="244"/>
      <c r="E4296" s="228"/>
      <c r="F4296" s="585"/>
      <c r="G4296" s="338"/>
      <c r="H4296" s="592"/>
      <c r="I4296" s="520"/>
      <c r="J4296" s="421"/>
      <c r="K4296" s="520"/>
    </row>
    <row r="4297" spans="1:11" s="35" customFormat="1">
      <c r="A4297" s="2190"/>
      <c r="B4297" s="151" t="s">
        <v>12325</v>
      </c>
      <c r="C4297" s="230">
        <v>270</v>
      </c>
      <c r="D4297" s="244">
        <f t="shared" ref="D4297:D4300" si="574">C4297*fcl</f>
        <v>450.9</v>
      </c>
      <c r="E4297" s="228">
        <v>20</v>
      </c>
      <c r="F4297" s="585">
        <f t="shared" ref="F4297:F4300" si="575">ROUNDUP(D4297+E4297,2)</f>
        <v>470.9</v>
      </c>
      <c r="G4297" s="338" t="s">
        <v>12326</v>
      </c>
      <c r="H4297" s="592" t="s">
        <v>12834</v>
      </c>
      <c r="I4297" s="501"/>
      <c r="J4297" s="502"/>
      <c r="K4297" s="501"/>
    </row>
    <row r="4298" spans="1:11" s="35" customFormat="1">
      <c r="A4298" s="2190"/>
      <c r="B4298" s="151" t="s">
        <v>12327</v>
      </c>
      <c r="C4298" s="230">
        <v>50</v>
      </c>
      <c r="D4298" s="244">
        <f t="shared" si="574"/>
        <v>83.5</v>
      </c>
      <c r="E4298" s="228">
        <v>2</v>
      </c>
      <c r="F4298" s="585">
        <f>ROUNDUP(D4298+E4298,2)</f>
        <v>85.5</v>
      </c>
      <c r="G4298" s="338" t="s">
        <v>12328</v>
      </c>
      <c r="H4298" s="592" t="s">
        <v>3986</v>
      </c>
      <c r="I4298" s="520"/>
      <c r="J4298" s="421" t="s">
        <v>3982</v>
      </c>
      <c r="K4298" s="520" t="s">
        <v>741</v>
      </c>
    </row>
    <row r="4299" spans="1:11" s="35" customFormat="1">
      <c r="A4299" s="2190"/>
      <c r="B4299" s="151" t="s">
        <v>12329</v>
      </c>
      <c r="C4299" s="230">
        <v>180</v>
      </c>
      <c r="D4299" s="244">
        <f t="shared" si="574"/>
        <v>300.59999999999997</v>
      </c>
      <c r="E4299" s="228">
        <v>2</v>
      </c>
      <c r="F4299" s="585">
        <f t="shared" si="575"/>
        <v>302.60000000000002</v>
      </c>
      <c r="G4299" s="338" t="s">
        <v>12330</v>
      </c>
      <c r="H4299" s="592" t="s">
        <v>3988</v>
      </c>
      <c r="I4299" s="520"/>
      <c r="J4299" s="421" t="s">
        <v>3982</v>
      </c>
      <c r="K4299" s="520" t="s">
        <v>741</v>
      </c>
    </row>
    <row r="4300" spans="1:11" s="35" customFormat="1">
      <c r="A4300" s="2190"/>
      <c r="B4300" s="151" t="s">
        <v>12331</v>
      </c>
      <c r="C4300" s="230">
        <v>160</v>
      </c>
      <c r="D4300" s="244">
        <f t="shared" si="574"/>
        <v>267.2</v>
      </c>
      <c r="E4300" s="228">
        <v>2</v>
      </c>
      <c r="F4300" s="585">
        <f t="shared" si="575"/>
        <v>269.2</v>
      </c>
      <c r="G4300" s="338" t="s">
        <v>12332</v>
      </c>
      <c r="H4300" s="592" t="s">
        <v>3991</v>
      </c>
      <c r="I4300" s="520"/>
      <c r="J4300" s="421" t="s">
        <v>3982</v>
      </c>
      <c r="K4300" s="520" t="s">
        <v>741</v>
      </c>
    </row>
    <row r="4301" spans="1:11" s="35" customFormat="1">
      <c r="A4301" s="502"/>
      <c r="B4301" s="38"/>
      <c r="C4301" s="230"/>
      <c r="D4301" s="215"/>
      <c r="E4301" s="216"/>
      <c r="F4301" s="156"/>
      <c r="G4301" s="59"/>
      <c r="H4301" s="2003"/>
      <c r="I4301" s="501"/>
      <c r="J4301" s="502"/>
      <c r="K4301" s="501"/>
    </row>
    <row r="4302" spans="1:11" s="2129" customFormat="1" ht="18.75" customHeight="1">
      <c r="A4302" s="2190"/>
      <c r="B4302" s="2191" t="s">
        <v>10995</v>
      </c>
      <c r="C4302" s="230">
        <v>210</v>
      </c>
      <c r="D4302" s="243">
        <f>C4302*fcl</f>
        <v>350.7</v>
      </c>
      <c r="E4302" s="228">
        <v>20</v>
      </c>
      <c r="F4302" s="638">
        <f>ROUNDUP(D4302+E4302,2)</f>
        <v>370.7</v>
      </c>
      <c r="G4302" s="2192" t="s">
        <v>13993</v>
      </c>
      <c r="H4302" s="592" t="s">
        <v>12835</v>
      </c>
      <c r="I4302" s="520"/>
      <c r="J4302" s="421" t="s">
        <v>3982</v>
      </c>
      <c r="K4302" s="520" t="s">
        <v>741</v>
      </c>
    </row>
    <row r="4303" spans="1:11" s="35" customFormat="1">
      <c r="A4303" s="2190"/>
      <c r="B4303" s="151" t="s">
        <v>12836</v>
      </c>
      <c r="C4303" s="230">
        <v>50</v>
      </c>
      <c r="D4303" s="244">
        <f t="shared" ref="D4303" si="576">C4303*fcl</f>
        <v>83.5</v>
      </c>
      <c r="E4303" s="228">
        <v>2</v>
      </c>
      <c r="F4303" s="585">
        <f>ROUNDUP(D4303+E4303,2)</f>
        <v>85.5</v>
      </c>
      <c r="G4303" s="338" t="s">
        <v>12837</v>
      </c>
      <c r="H4303" s="592" t="s">
        <v>12838</v>
      </c>
      <c r="I4303" s="520"/>
      <c r="J4303" s="421" t="s">
        <v>3982</v>
      </c>
      <c r="K4303" s="520" t="s">
        <v>741</v>
      </c>
    </row>
    <row r="4304" spans="1:11" s="23" customFormat="1">
      <c r="A4304" s="421"/>
      <c r="B4304" s="151"/>
      <c r="C4304" s="230"/>
      <c r="D4304" s="244"/>
      <c r="E4304" s="228"/>
      <c r="F4304" s="585"/>
      <c r="G4304" s="338"/>
      <c r="H4304" s="592"/>
      <c r="I4304" s="520"/>
      <c r="J4304" s="421"/>
      <c r="K4304" s="520"/>
    </row>
    <row r="4305" spans="1:11" s="35" customFormat="1">
      <c r="A4305" s="502"/>
      <c r="B4305" s="38"/>
      <c r="C4305" s="230"/>
      <c r="D4305" s="215"/>
      <c r="E4305" s="216"/>
      <c r="F4305" s="156"/>
      <c r="G4305" s="59"/>
      <c r="H4305" s="2003"/>
      <c r="I4305" s="501"/>
      <c r="J4305" s="502"/>
      <c r="K4305" s="501"/>
    </row>
    <row r="4306" spans="1:11" s="35" customFormat="1">
      <c r="A4306" s="502"/>
      <c r="B4306" s="38"/>
      <c r="C4306" s="230"/>
      <c r="D4306" s="215"/>
      <c r="E4306" s="216"/>
      <c r="F4306" s="156"/>
      <c r="G4306" s="59"/>
      <c r="H4306" s="2003"/>
      <c r="I4306" s="501"/>
      <c r="J4306" s="502"/>
      <c r="K4306" s="501"/>
    </row>
    <row r="4307" spans="1:11" s="35" customFormat="1">
      <c r="A4307" s="421"/>
      <c r="B4307" s="151" t="s">
        <v>3997</v>
      </c>
      <c r="C4307" s="230">
        <v>365.7</v>
      </c>
      <c r="D4307" s="244">
        <f>C4307*fcl</f>
        <v>610.71899999999994</v>
      </c>
      <c r="E4307" s="472">
        <v>20</v>
      </c>
      <c r="F4307" s="585">
        <f>ROUNDUP(D4307+E4307,2)</f>
        <v>630.72</v>
      </c>
      <c r="G4307" s="338" t="s">
        <v>3998</v>
      </c>
      <c r="H4307" s="592" t="s">
        <v>3999</v>
      </c>
      <c r="I4307" s="520"/>
      <c r="J4307" s="421" t="s">
        <v>6177</v>
      </c>
      <c r="K4307" s="520" t="s">
        <v>741</v>
      </c>
    </row>
    <row r="4308" spans="1:11" s="35" customFormat="1">
      <c r="A4308" s="421"/>
      <c r="B4308" s="151" t="s">
        <v>4000</v>
      </c>
      <c r="C4308" s="230">
        <v>379.3</v>
      </c>
      <c r="D4308" s="244">
        <f>C4308*fcl</f>
        <v>633.43100000000004</v>
      </c>
      <c r="E4308" s="228">
        <v>20</v>
      </c>
      <c r="F4308" s="585">
        <f>ROUNDUP(D4308+E4308,2)</f>
        <v>653.43999999999994</v>
      </c>
      <c r="G4308" s="338" t="s">
        <v>4001</v>
      </c>
      <c r="H4308" s="592" t="s">
        <v>4002</v>
      </c>
      <c r="I4308" s="520"/>
      <c r="J4308" s="421" t="s">
        <v>6177</v>
      </c>
      <c r="K4308" s="520" t="s">
        <v>741</v>
      </c>
    </row>
    <row r="4309" spans="1:11" s="35" customFormat="1">
      <c r="A4309" s="1170"/>
      <c r="B4309" s="151" t="s">
        <v>6129</v>
      </c>
      <c r="C4309" s="230">
        <v>769</v>
      </c>
      <c r="D4309" s="244">
        <f>C4309*fcl</f>
        <v>1284.23</v>
      </c>
      <c r="E4309" s="228">
        <v>20</v>
      </c>
      <c r="F4309" s="585">
        <f>ROUNDUP(D4309+E4309,2)</f>
        <v>1304.23</v>
      </c>
      <c r="G4309" s="338" t="s">
        <v>6130</v>
      </c>
      <c r="H4309" s="592" t="s">
        <v>4002</v>
      </c>
      <c r="I4309" s="520"/>
      <c r="J4309" s="421" t="s">
        <v>6177</v>
      </c>
      <c r="K4309" s="520" t="s">
        <v>741</v>
      </c>
    </row>
    <row r="4310" spans="1:11" s="195" customFormat="1">
      <c r="A4310" s="421"/>
      <c r="B4310" s="151"/>
      <c r="C4310" s="230"/>
      <c r="D4310" s="244"/>
      <c r="E4310" s="228"/>
      <c r="F4310" s="585"/>
      <c r="G4310" s="338"/>
      <c r="H4310" s="592"/>
      <c r="I4310" s="520"/>
      <c r="J4310" s="421"/>
      <c r="K4310" s="520"/>
    </row>
    <row r="4311" spans="1:11" s="35" customFormat="1">
      <c r="A4311" s="502"/>
      <c r="B4311" s="38"/>
      <c r="C4311" s="230"/>
      <c r="D4311" s="215"/>
      <c r="E4311" s="216"/>
      <c r="F4311" s="156"/>
      <c r="G4311" s="59"/>
      <c r="H4311" s="2003"/>
      <c r="I4311" s="501"/>
      <c r="J4311" s="502"/>
      <c r="K4311" s="501"/>
    </row>
    <row r="4312" spans="1:11" s="194" customFormat="1">
      <c r="A4312" s="421"/>
      <c r="B4312" s="150" t="s">
        <v>13994</v>
      </c>
      <c r="C4312" s="1802">
        <v>240</v>
      </c>
      <c r="D4312" s="162">
        <f>C4312*(1-0)*fcl</f>
        <v>400.79999999999995</v>
      </c>
      <c r="E4312" s="228">
        <v>30</v>
      </c>
      <c r="F4312" s="585">
        <f t="shared" ref="F4312" si="577">ROUNDUP(D4312+E4312,1)</f>
        <v>430.8</v>
      </c>
      <c r="G4312" s="338" t="s">
        <v>13995</v>
      </c>
      <c r="H4312" s="592" t="str">
        <f>B4312</f>
        <v>DUCA-LCD96 485</v>
      </c>
      <c r="I4312" s="520"/>
      <c r="J4312" s="421" t="s">
        <v>13996</v>
      </c>
      <c r="K4312" s="520" t="s">
        <v>741</v>
      </c>
    </row>
    <row r="4313" spans="1:11" s="35" customFormat="1">
      <c r="A4313" s="502"/>
      <c r="B4313" s="38"/>
      <c r="C4313" s="230"/>
      <c r="D4313" s="215"/>
      <c r="E4313" s="216"/>
      <c r="F4313" s="156"/>
      <c r="G4313" s="59"/>
      <c r="H4313" s="2003"/>
      <c r="I4313" s="501"/>
      <c r="J4313" s="502"/>
      <c r="K4313" s="501"/>
    </row>
    <row r="4314" spans="1:11" s="35" customFormat="1">
      <c r="A4314" s="502"/>
      <c r="B4314" s="38"/>
      <c r="C4314" s="230"/>
      <c r="D4314" s="215"/>
      <c r="E4314" s="216"/>
      <c r="F4314" s="156"/>
      <c r="G4314" s="59"/>
      <c r="H4314" s="2003"/>
      <c r="I4314" s="501"/>
      <c r="J4314" s="502"/>
      <c r="K4314" s="501"/>
    </row>
    <row r="4315" spans="1:11" s="194" customFormat="1">
      <c r="A4315" s="421"/>
      <c r="B4315" s="150" t="s">
        <v>2651</v>
      </c>
      <c r="C4315" s="1802">
        <v>201</v>
      </c>
      <c r="D4315" s="162">
        <f>C4315*(1-0)*fcl</f>
        <v>335.66999999999996</v>
      </c>
      <c r="E4315" s="228">
        <v>30</v>
      </c>
      <c r="F4315" s="585">
        <f t="shared" ref="F4315:F4321" si="578">ROUNDUP(D4315+E4315,1)</f>
        <v>365.70000000000005</v>
      </c>
      <c r="G4315" s="338" t="s">
        <v>8319</v>
      </c>
      <c r="H4315" s="592" t="s">
        <v>744</v>
      </c>
      <c r="I4315" s="520"/>
      <c r="J4315" s="421" t="s">
        <v>6177</v>
      </c>
      <c r="K4315" s="520" t="s">
        <v>741</v>
      </c>
    </row>
    <row r="4316" spans="1:11" s="196" customFormat="1">
      <c r="A4316" s="421"/>
      <c r="B4316" s="150" t="s">
        <v>2652</v>
      </c>
      <c r="C4316" s="1802">
        <v>580</v>
      </c>
      <c r="D4316" s="162">
        <f>C4316*(1-0)*fcl</f>
        <v>968.59999999999991</v>
      </c>
      <c r="E4316" s="228">
        <v>30</v>
      </c>
      <c r="F4316" s="585">
        <f t="shared" si="578"/>
        <v>998.6</v>
      </c>
      <c r="G4316" s="338" t="s">
        <v>8320</v>
      </c>
      <c r="H4316" s="592" t="s">
        <v>1599</v>
      </c>
      <c r="I4316" s="520"/>
      <c r="J4316" s="421" t="s">
        <v>6177</v>
      </c>
      <c r="K4316" s="520" t="s">
        <v>741</v>
      </c>
    </row>
    <row r="4317" spans="1:11" s="194" customFormat="1">
      <c r="A4317" s="421"/>
      <c r="B4317" s="150" t="s">
        <v>12839</v>
      </c>
      <c r="C4317" s="162">
        <v>370</v>
      </c>
      <c r="D4317" s="162">
        <f>C4317*(1-0)*fcl</f>
        <v>617.9</v>
      </c>
      <c r="E4317" s="228">
        <v>10</v>
      </c>
      <c r="F4317" s="585">
        <f>ROUNDUP(D4317+E4317,1)</f>
        <v>627.9</v>
      </c>
      <c r="G4317" s="338" t="s">
        <v>12840</v>
      </c>
      <c r="H4317" s="530" t="str">
        <f>B4317</f>
        <v>Modulo de Memoria_CVM-B100</v>
      </c>
      <c r="I4317" s="520"/>
      <c r="J4317" s="421" t="s">
        <v>6177</v>
      </c>
      <c r="K4317" s="520" t="s">
        <v>741</v>
      </c>
    </row>
    <row r="4318" spans="1:11" s="196" customFormat="1">
      <c r="A4318" s="421"/>
      <c r="B4318" s="150" t="s">
        <v>2636</v>
      </c>
      <c r="C4318" s="552"/>
      <c r="D4318" s="162">
        <v>1135</v>
      </c>
      <c r="E4318" s="228">
        <v>30</v>
      </c>
      <c r="F4318" s="585">
        <f t="shared" si="578"/>
        <v>1165</v>
      </c>
      <c r="G4318" s="338" t="s">
        <v>11680</v>
      </c>
      <c r="H4318" s="530" t="str">
        <f>B4318</f>
        <v>CVM-B100-ETHERNET</v>
      </c>
      <c r="I4318" s="520"/>
      <c r="J4318" s="421" t="s">
        <v>6177</v>
      </c>
      <c r="K4318" s="520" t="s">
        <v>741</v>
      </c>
    </row>
    <row r="4319" spans="1:11" s="196" customFormat="1">
      <c r="A4319" s="421"/>
      <c r="B4319" s="150" t="s">
        <v>2637</v>
      </c>
      <c r="C4319" s="552"/>
      <c r="D4319" s="162">
        <v>1425</v>
      </c>
      <c r="E4319" s="228">
        <v>30</v>
      </c>
      <c r="F4319" s="585">
        <f t="shared" si="578"/>
        <v>1455</v>
      </c>
      <c r="G4319" s="338" t="s">
        <v>8321</v>
      </c>
      <c r="H4319" s="530" t="str">
        <f>B4319</f>
        <v>CVM-B100-PROFIBUS</v>
      </c>
      <c r="I4319" s="520"/>
      <c r="J4319" s="421" t="s">
        <v>6177</v>
      </c>
      <c r="K4319" s="520" t="s">
        <v>741</v>
      </c>
    </row>
    <row r="4320" spans="1:11" s="196" customFormat="1">
      <c r="A4320" s="421"/>
      <c r="B4320" s="150" t="s">
        <v>8322</v>
      </c>
      <c r="C4320" s="1802">
        <v>710</v>
      </c>
      <c r="D4320" s="162">
        <f>C4320*(1-0)*fcl</f>
        <v>1185.7</v>
      </c>
      <c r="E4320" s="228">
        <v>30</v>
      </c>
      <c r="F4320" s="585">
        <f t="shared" si="578"/>
        <v>1215.7</v>
      </c>
      <c r="G4320" s="338" t="s">
        <v>8323</v>
      </c>
      <c r="H4320" s="2044" t="s">
        <v>8324</v>
      </c>
      <c r="I4320" s="520"/>
      <c r="J4320" s="421" t="s">
        <v>6177</v>
      </c>
      <c r="K4320" s="520" t="s">
        <v>741</v>
      </c>
    </row>
    <row r="4321" spans="1:11" s="194" customFormat="1">
      <c r="A4321" s="421"/>
      <c r="B4321" s="150" t="s">
        <v>8325</v>
      </c>
      <c r="C4321" s="1802">
        <f>1.08*16.53</f>
        <v>17.852400000000003</v>
      </c>
      <c r="D4321" s="162">
        <f>C4321*(1-0.2)*fcl</f>
        <v>23.850806400000003</v>
      </c>
      <c r="E4321" s="228">
        <v>10</v>
      </c>
      <c r="F4321" s="585">
        <f t="shared" si="578"/>
        <v>33.9</v>
      </c>
      <c r="G4321" s="338" t="s">
        <v>8326</v>
      </c>
      <c r="H4321" s="592" t="s">
        <v>8327</v>
      </c>
      <c r="I4321" s="520"/>
      <c r="J4321" s="421" t="s">
        <v>6177</v>
      </c>
      <c r="K4321" s="520" t="s">
        <v>741</v>
      </c>
    </row>
    <row r="4322" spans="1:11" s="194" customFormat="1">
      <c r="A4322" s="421"/>
      <c r="B4322" s="150" t="s">
        <v>8328</v>
      </c>
      <c r="C4322" s="162">
        <v>290</v>
      </c>
      <c r="D4322" s="162">
        <f>C4322*(1-0.2)*fcl</f>
        <v>387.44</v>
      </c>
      <c r="E4322" s="228">
        <v>10</v>
      </c>
      <c r="F4322" s="585">
        <f>ROUNDUP(D4322+E4322,1)</f>
        <v>397.5</v>
      </c>
      <c r="G4322" s="338" t="s">
        <v>11681</v>
      </c>
      <c r="H4322" s="530" t="str">
        <f>B4322</f>
        <v>Modulo de Ethernet_CVM-B100</v>
      </c>
      <c r="I4322" s="520"/>
      <c r="J4322" s="421" t="s">
        <v>6177</v>
      </c>
      <c r="K4322" s="520" t="s">
        <v>741</v>
      </c>
    </row>
    <row r="4323" spans="1:11" s="194" customFormat="1">
      <c r="A4323" s="421"/>
      <c r="B4323" s="150"/>
      <c r="C4323" s="162"/>
      <c r="D4323" s="162"/>
      <c r="E4323" s="228"/>
      <c r="F4323" s="585"/>
      <c r="G4323" s="338"/>
      <c r="H4323" s="530"/>
      <c r="I4323" s="520"/>
      <c r="J4323" s="421"/>
      <c r="K4323" s="520"/>
    </row>
    <row r="4324" spans="1:11" s="341" customFormat="1">
      <c r="A4324" s="421"/>
      <c r="B4324" s="150" t="s">
        <v>13514</v>
      </c>
      <c r="C4324" s="1802">
        <v>1556.42</v>
      </c>
      <c r="D4324" s="162">
        <f>C4324*(1-0)*fcl</f>
        <v>2599.2213999999999</v>
      </c>
      <c r="E4324" s="228">
        <v>150</v>
      </c>
      <c r="F4324" s="585">
        <f t="shared" ref="F4324" si="579">ROUNDUP(D4324+E4324,1)</f>
        <v>2749.2999999999997</v>
      </c>
      <c r="G4324" s="338" t="s">
        <v>13515</v>
      </c>
      <c r="H4324" s="592" t="s">
        <v>13516</v>
      </c>
      <c r="I4324" s="520"/>
      <c r="J4324" s="421" t="s">
        <v>13378</v>
      </c>
      <c r="K4324" s="520" t="s">
        <v>741</v>
      </c>
    </row>
    <row r="4325" spans="1:11" s="35" customFormat="1">
      <c r="A4325" s="502"/>
      <c r="B4325" s="38"/>
      <c r="C4325" s="230"/>
      <c r="D4325" s="215"/>
      <c r="E4325" s="216"/>
      <c r="F4325" s="156"/>
      <c r="G4325" s="59"/>
      <c r="H4325" s="2003"/>
      <c r="I4325" s="501"/>
      <c r="J4325" s="502"/>
      <c r="K4325" s="501"/>
    </row>
    <row r="4326" spans="1:11" s="196" customFormat="1">
      <c r="A4326" s="421"/>
      <c r="B4326" s="150" t="s">
        <v>9942</v>
      </c>
      <c r="C4326" s="1802">
        <f>1.2*212.26</f>
        <v>254.71199999999999</v>
      </c>
      <c r="D4326" s="162">
        <f>C4326*(1-0.1)*fcl</f>
        <v>382.83213599999999</v>
      </c>
      <c r="E4326" s="228">
        <v>5</v>
      </c>
      <c r="F4326" s="585">
        <f t="shared" ref="F4326" si="580">ROUNDUP(D4326+E4326,1)</f>
        <v>387.90000000000003</v>
      </c>
      <c r="G4326" s="338" t="s">
        <v>9943</v>
      </c>
      <c r="H4326" s="592" t="s">
        <v>9944</v>
      </c>
      <c r="I4326" s="520"/>
      <c r="J4326" s="421" t="s">
        <v>6177</v>
      </c>
      <c r="K4326" s="520" t="s">
        <v>741</v>
      </c>
    </row>
    <row r="4327" spans="1:11" s="194" customFormat="1">
      <c r="A4327" s="421"/>
      <c r="B4327" s="150" t="s">
        <v>9418</v>
      </c>
      <c r="C4327" s="1802">
        <v>433</v>
      </c>
      <c r="D4327" s="162">
        <f>C4327*(1-0.2)*fcl</f>
        <v>578.48800000000006</v>
      </c>
      <c r="E4327" s="228">
        <v>30</v>
      </c>
      <c r="F4327" s="585">
        <f>ROUNDUP(D4327+E4327,1)</f>
        <v>608.5</v>
      </c>
      <c r="G4327" s="338" t="s">
        <v>9419</v>
      </c>
      <c r="H4327" s="150" t="s">
        <v>9418</v>
      </c>
      <c r="I4327" s="520"/>
      <c r="J4327" s="421" t="s">
        <v>6177</v>
      </c>
      <c r="K4327" s="520" t="s">
        <v>741</v>
      </c>
    </row>
    <row r="4328" spans="1:11" s="196" customFormat="1">
      <c r="A4328" s="421"/>
      <c r="B4328" s="150"/>
      <c r="C4328" s="552"/>
      <c r="D4328" s="162"/>
      <c r="E4328" s="228"/>
      <c r="F4328" s="585"/>
      <c r="G4328" s="338"/>
      <c r="H4328" s="592"/>
      <c r="I4328" s="520"/>
      <c r="J4328" s="421"/>
      <c r="K4328" s="520"/>
    </row>
    <row r="4329" spans="1:11" s="341" customFormat="1">
      <c r="A4329" s="421"/>
      <c r="B4329" s="150" t="s">
        <v>6131</v>
      </c>
      <c r="C4329" s="162">
        <v>41.2</v>
      </c>
      <c r="D4329" s="162">
        <f>C4329*(1-0.2)*fcl</f>
        <v>55.043199999999999</v>
      </c>
      <c r="E4329" s="228">
        <v>15</v>
      </c>
      <c r="F4329" s="585">
        <f>ROUNDUP(D4329+E4329,1)</f>
        <v>70.099999999999994</v>
      </c>
      <c r="G4329" s="338" t="s">
        <v>6132</v>
      </c>
      <c r="H4329" s="592" t="s">
        <v>6133</v>
      </c>
      <c r="I4329" s="520"/>
      <c r="J4329" s="421" t="s">
        <v>6177</v>
      </c>
      <c r="K4329" s="520" t="s">
        <v>741</v>
      </c>
    </row>
    <row r="4330" spans="1:11" s="341" customFormat="1">
      <c r="A4330" s="421"/>
      <c r="B4330" s="150" t="s">
        <v>6134</v>
      </c>
      <c r="C4330" s="1802">
        <v>44.19</v>
      </c>
      <c r="D4330" s="162">
        <f>C4330*(1-0.2)*fcl</f>
        <v>59.037839999999989</v>
      </c>
      <c r="E4330" s="228">
        <v>15</v>
      </c>
      <c r="F4330" s="585">
        <f>ROUNDUP(D4330+E4330,1)</f>
        <v>74.099999999999994</v>
      </c>
      <c r="G4330" s="338" t="s">
        <v>6135</v>
      </c>
      <c r="H4330" s="592" t="s">
        <v>6136</v>
      </c>
      <c r="I4330" s="520"/>
      <c r="J4330" s="421" t="s">
        <v>6177</v>
      </c>
      <c r="K4330" s="520" t="s">
        <v>741</v>
      </c>
    </row>
    <row r="4331" spans="1:11" s="339" customFormat="1">
      <c r="A4331" s="421"/>
      <c r="B4331" s="150"/>
      <c r="C4331" s="162"/>
      <c r="D4331" s="162"/>
      <c r="E4331" s="228"/>
      <c r="F4331" s="585"/>
      <c r="G4331" s="338"/>
      <c r="H4331" s="592"/>
      <c r="I4331" s="520"/>
      <c r="J4331" s="421"/>
      <c r="K4331" s="520"/>
    </row>
    <row r="4332" spans="1:11" s="341" customFormat="1">
      <c r="A4332" s="421"/>
      <c r="B4332" s="20" t="s">
        <v>13897</v>
      </c>
      <c r="C4332" s="162">
        <v>610</v>
      </c>
      <c r="D4332" s="162">
        <f>C4332</f>
        <v>610</v>
      </c>
      <c r="E4332" s="228">
        <v>5</v>
      </c>
      <c r="F4332" s="585">
        <f>ROUNDUP(D4332+E4332,1)</f>
        <v>615</v>
      </c>
      <c r="G4332" s="338" t="s">
        <v>13997</v>
      </c>
      <c r="H4332" s="592" t="str">
        <f>B4332</f>
        <v>RGU-10B</v>
      </c>
      <c r="I4332" s="520"/>
      <c r="J4332" s="421" t="s">
        <v>6177</v>
      </c>
      <c r="K4332" s="520" t="s">
        <v>741</v>
      </c>
    </row>
    <row r="4333" spans="1:11" s="341" customFormat="1">
      <c r="A4333" s="421"/>
      <c r="B4333" s="150" t="s">
        <v>13998</v>
      </c>
      <c r="C4333" s="1802">
        <v>400</v>
      </c>
      <c r="D4333" s="162">
        <f>C4333</f>
        <v>400</v>
      </c>
      <c r="E4333" s="228">
        <v>5</v>
      </c>
      <c r="F4333" s="585">
        <f>ROUNDUP(D4333+E4333,1)</f>
        <v>405</v>
      </c>
      <c r="G4333" s="338" t="s">
        <v>13999</v>
      </c>
      <c r="H4333" s="592" t="str">
        <f>B4333</f>
        <v>WGC</v>
      </c>
      <c r="I4333" s="520"/>
      <c r="J4333" s="421" t="s">
        <v>6177</v>
      </c>
      <c r="K4333" s="520" t="s">
        <v>741</v>
      </c>
    </row>
    <row r="4334" spans="1:11" s="339" customFormat="1">
      <c r="A4334" s="421"/>
      <c r="B4334" s="150"/>
      <c r="C4334" s="162"/>
      <c r="D4334" s="162"/>
      <c r="E4334" s="228"/>
      <c r="F4334" s="585"/>
      <c r="G4334" s="338"/>
      <c r="H4334" s="592"/>
      <c r="I4334" s="520"/>
      <c r="J4334" s="421"/>
      <c r="K4334" s="520"/>
    </row>
    <row r="4335" spans="1:11" s="339" customFormat="1">
      <c r="A4335" s="421"/>
      <c r="B4335" s="2256" t="s">
        <v>13622</v>
      </c>
      <c r="C4335" s="162"/>
      <c r="D4335" s="162"/>
      <c r="E4335" s="228"/>
      <c r="F4335" s="585"/>
      <c r="G4335" s="338"/>
      <c r="H4335" s="592"/>
      <c r="I4335" s="520"/>
      <c r="J4335" s="421"/>
      <c r="K4335" s="520"/>
    </row>
    <row r="4336" spans="1:11" s="339" customFormat="1">
      <c r="A4336" s="421"/>
      <c r="B4336" s="2256" t="s">
        <v>13623</v>
      </c>
      <c r="C4336" s="162"/>
      <c r="D4336" s="162"/>
      <c r="E4336" s="228"/>
      <c r="F4336" s="585"/>
      <c r="G4336" s="338"/>
      <c r="H4336" s="592"/>
      <c r="I4336" s="520"/>
      <c r="J4336" s="421"/>
      <c r="K4336" s="520"/>
    </row>
    <row r="4337" spans="1:11" s="194" customFormat="1">
      <c r="A4337" s="421"/>
      <c r="B4337" s="150" t="s">
        <v>13624</v>
      </c>
      <c r="C4337" s="1802">
        <v>28.41</v>
      </c>
      <c r="D4337" s="162">
        <f>C4337*(1-0.2)*fcl</f>
        <v>37.955759999999998</v>
      </c>
      <c r="E4337" s="228">
        <v>10</v>
      </c>
      <c r="F4337" s="585">
        <f t="shared" ref="F4337:F4344" si="581">ROUNDUP(D4337+E4337,1)</f>
        <v>48</v>
      </c>
      <c r="G4337" s="338" t="s">
        <v>13625</v>
      </c>
      <c r="H4337" s="592" t="s">
        <v>13626</v>
      </c>
      <c r="I4337" s="520"/>
      <c r="J4337" s="421" t="s">
        <v>6177</v>
      </c>
      <c r="K4337" s="520" t="s">
        <v>741</v>
      </c>
    </row>
    <row r="4338" spans="1:11" s="194" customFormat="1">
      <c r="A4338" s="421"/>
      <c r="B4338" s="150" t="s">
        <v>13627</v>
      </c>
      <c r="C4338" s="1802">
        <v>28.41</v>
      </c>
      <c r="D4338" s="162">
        <f t="shared" ref="D4338:D4341" si="582">C4338*(1-0.2)*fcl</f>
        <v>37.955759999999998</v>
      </c>
      <c r="E4338" s="228">
        <v>10</v>
      </c>
      <c r="F4338" s="585">
        <f t="shared" si="581"/>
        <v>48</v>
      </c>
      <c r="G4338" s="338" t="s">
        <v>13628</v>
      </c>
      <c r="H4338" s="592" t="s">
        <v>13629</v>
      </c>
      <c r="I4338" s="520"/>
      <c r="J4338" s="421" t="s">
        <v>6177</v>
      </c>
      <c r="K4338" s="520" t="s">
        <v>741</v>
      </c>
    </row>
    <row r="4339" spans="1:11" s="194" customFormat="1">
      <c r="A4339" s="421"/>
      <c r="B4339" s="150" t="s">
        <v>13630</v>
      </c>
      <c r="C4339" s="1802">
        <v>29.32</v>
      </c>
      <c r="D4339" s="162">
        <f t="shared" si="582"/>
        <v>39.171520000000001</v>
      </c>
      <c r="E4339" s="228">
        <v>10</v>
      </c>
      <c r="F4339" s="585">
        <f t="shared" si="581"/>
        <v>49.2</v>
      </c>
      <c r="G4339" s="338" t="s">
        <v>13631</v>
      </c>
      <c r="H4339" s="592" t="s">
        <v>13632</v>
      </c>
      <c r="I4339" s="520"/>
      <c r="J4339" s="421" t="s">
        <v>6177</v>
      </c>
      <c r="K4339" s="520" t="s">
        <v>741</v>
      </c>
    </row>
    <row r="4340" spans="1:11" s="194" customFormat="1">
      <c r="A4340" s="421"/>
      <c r="B4340" s="150" t="s">
        <v>13633</v>
      </c>
      <c r="C4340" s="1802">
        <v>29.32</v>
      </c>
      <c r="D4340" s="162">
        <f t="shared" si="582"/>
        <v>39.171520000000001</v>
      </c>
      <c r="E4340" s="228">
        <v>10</v>
      </c>
      <c r="F4340" s="585">
        <f t="shared" si="581"/>
        <v>49.2</v>
      </c>
      <c r="G4340" s="338" t="s">
        <v>13634</v>
      </c>
      <c r="H4340" s="592" t="s">
        <v>13635</v>
      </c>
      <c r="I4340" s="520"/>
      <c r="J4340" s="421" t="s">
        <v>6177</v>
      </c>
      <c r="K4340" s="520" t="s">
        <v>741</v>
      </c>
    </row>
    <row r="4341" spans="1:11" s="194" customFormat="1">
      <c r="A4341" s="421"/>
      <c r="B4341" s="150" t="s">
        <v>13636</v>
      </c>
      <c r="C4341" s="1802">
        <v>31.07</v>
      </c>
      <c r="D4341" s="162">
        <f t="shared" si="582"/>
        <v>41.509520000000002</v>
      </c>
      <c r="E4341" s="228">
        <v>10</v>
      </c>
      <c r="F4341" s="585">
        <f t="shared" si="581"/>
        <v>51.6</v>
      </c>
      <c r="G4341" s="338" t="s">
        <v>13637</v>
      </c>
      <c r="H4341" s="592" t="s">
        <v>13638</v>
      </c>
      <c r="I4341" s="520"/>
      <c r="J4341" s="421" t="s">
        <v>6177</v>
      </c>
      <c r="K4341" s="520" t="s">
        <v>741</v>
      </c>
    </row>
    <row r="4342" spans="1:11" s="196" customFormat="1">
      <c r="A4342" s="421"/>
      <c r="B4342" s="150" t="s">
        <v>13639</v>
      </c>
      <c r="C4342" s="1802">
        <v>31.34</v>
      </c>
      <c r="D4342" s="162">
        <f>C4342*(1-0)*fcl</f>
        <v>52.337799999999994</v>
      </c>
      <c r="E4342" s="228">
        <v>20</v>
      </c>
      <c r="F4342" s="585">
        <f t="shared" si="581"/>
        <v>72.399999999999991</v>
      </c>
      <c r="G4342" s="338" t="s">
        <v>13640</v>
      </c>
      <c r="H4342" s="592" t="s">
        <v>13641</v>
      </c>
      <c r="I4342" s="520"/>
      <c r="J4342" s="421" t="s">
        <v>6177</v>
      </c>
      <c r="K4342" s="520" t="s">
        <v>741</v>
      </c>
    </row>
    <row r="4343" spans="1:11" s="196" customFormat="1">
      <c r="A4343" s="421"/>
      <c r="B4343" s="150" t="s">
        <v>13642</v>
      </c>
      <c r="C4343" s="1802">
        <v>32.21</v>
      </c>
      <c r="D4343" s="162">
        <f>C4343*(1-0)*fcl</f>
        <v>53.790700000000001</v>
      </c>
      <c r="E4343" s="228">
        <v>20</v>
      </c>
      <c r="F4343" s="585">
        <f t="shared" si="581"/>
        <v>73.8</v>
      </c>
      <c r="G4343" s="338" t="s">
        <v>13643</v>
      </c>
      <c r="H4343" s="592" t="s">
        <v>13644</v>
      </c>
      <c r="I4343" s="520"/>
      <c r="J4343" s="421" t="s">
        <v>6177</v>
      </c>
      <c r="K4343" s="520" t="s">
        <v>741</v>
      </c>
    </row>
    <row r="4344" spans="1:11" s="196" customFormat="1">
      <c r="A4344" s="421"/>
      <c r="B4344" s="150" t="s">
        <v>13645</v>
      </c>
      <c r="C4344" s="1802">
        <v>33.25</v>
      </c>
      <c r="D4344" s="162">
        <f>C4344*(1-0)*fcl</f>
        <v>55.527499999999996</v>
      </c>
      <c r="E4344" s="228">
        <v>20</v>
      </c>
      <c r="F4344" s="585">
        <f t="shared" si="581"/>
        <v>75.599999999999994</v>
      </c>
      <c r="G4344" s="338" t="s">
        <v>13646</v>
      </c>
      <c r="H4344" s="592" t="s">
        <v>13647</v>
      </c>
      <c r="I4344" s="520"/>
      <c r="J4344" s="421" t="s">
        <v>6177</v>
      </c>
      <c r="K4344" s="520" t="s">
        <v>741</v>
      </c>
    </row>
    <row r="4345" spans="1:11" s="341" customFormat="1" ht="13.5" customHeight="1">
      <c r="A4345" s="421"/>
      <c r="B4345" s="150"/>
      <c r="C4345" s="209"/>
      <c r="D4345" s="244"/>
      <c r="E4345" s="228"/>
      <c r="F4345" s="585"/>
      <c r="G4345" s="338"/>
      <c r="H4345" s="592"/>
      <c r="I4345" s="520"/>
      <c r="J4345" s="589"/>
      <c r="K4345" s="520"/>
    </row>
    <row r="4346" spans="1:11" s="339" customFormat="1">
      <c r="A4346" s="421"/>
      <c r="B4346" s="150"/>
      <c r="C4346" s="162"/>
      <c r="D4346" s="162"/>
      <c r="E4346" s="228"/>
      <c r="F4346" s="585"/>
      <c r="G4346" s="338"/>
      <c r="H4346" s="592"/>
      <c r="I4346" s="520"/>
      <c r="J4346" s="421"/>
      <c r="K4346" s="520"/>
    </row>
    <row r="4347" spans="1:11" s="339" customFormat="1">
      <c r="A4347" s="421"/>
      <c r="B4347" s="2256" t="s">
        <v>13648</v>
      </c>
      <c r="C4347" s="162"/>
      <c r="D4347" s="162"/>
      <c r="E4347" s="228"/>
      <c r="F4347" s="585"/>
      <c r="G4347" s="338"/>
      <c r="H4347" s="592"/>
      <c r="I4347" s="520"/>
      <c r="J4347" s="421"/>
      <c r="K4347" s="520"/>
    </row>
    <row r="4348" spans="1:11" s="339" customFormat="1">
      <c r="A4348" s="421"/>
      <c r="B4348" s="2256" t="s">
        <v>13649</v>
      </c>
      <c r="C4348" s="162"/>
      <c r="D4348" s="162"/>
      <c r="E4348" s="228"/>
      <c r="F4348" s="585"/>
      <c r="G4348" s="338"/>
      <c r="H4348" s="592"/>
      <c r="I4348" s="520"/>
      <c r="J4348" s="421"/>
      <c r="K4348" s="520"/>
    </row>
    <row r="4349" spans="1:11" s="196" customFormat="1">
      <c r="A4349" s="421"/>
      <c r="B4349" s="150" t="s">
        <v>13650</v>
      </c>
      <c r="C4349" s="1802">
        <v>39.020000000000003</v>
      </c>
      <c r="D4349" s="162">
        <f>C4349*(1-0)*fcl</f>
        <v>65.163399999999996</v>
      </c>
      <c r="E4349" s="228">
        <v>20</v>
      </c>
      <c r="F4349" s="585">
        <f t="shared" ref="F4349" si="583">ROUNDUP(D4349+E4349,1)</f>
        <v>85.199999999999989</v>
      </c>
      <c r="G4349" s="338" t="s">
        <v>13651</v>
      </c>
      <c r="H4349" s="592" t="s">
        <v>13652</v>
      </c>
      <c r="I4349" s="520"/>
      <c r="J4349" s="421" t="s">
        <v>6177</v>
      </c>
      <c r="K4349" s="520" t="s">
        <v>741</v>
      </c>
    </row>
    <row r="4350" spans="1:11" s="341" customFormat="1" ht="13.5" customHeight="1">
      <c r="A4350" s="421"/>
      <c r="B4350" s="150"/>
      <c r="C4350" s="209"/>
      <c r="D4350" s="244"/>
      <c r="E4350" s="228"/>
      <c r="F4350" s="585"/>
      <c r="G4350" s="338"/>
      <c r="H4350" s="592"/>
      <c r="I4350" s="520"/>
      <c r="J4350" s="589"/>
      <c r="K4350" s="520"/>
    </row>
    <row r="4351" spans="1:11" s="339" customFormat="1">
      <c r="A4351" s="421"/>
      <c r="B4351" s="150"/>
      <c r="C4351" s="162"/>
      <c r="D4351" s="162"/>
      <c r="E4351" s="228"/>
      <c r="F4351" s="585"/>
      <c r="G4351" s="338"/>
      <c r="H4351" s="592"/>
      <c r="I4351" s="520"/>
      <c r="J4351" s="421"/>
      <c r="K4351" s="520"/>
    </row>
    <row r="4352" spans="1:11" s="339" customFormat="1">
      <c r="A4352" s="421"/>
      <c r="B4352" s="2256" t="s">
        <v>13653</v>
      </c>
      <c r="C4352" s="162"/>
      <c r="D4352" s="162"/>
      <c r="E4352" s="228"/>
      <c r="F4352" s="585"/>
      <c r="G4352" s="338"/>
      <c r="H4352" s="592"/>
      <c r="I4352" s="520"/>
      <c r="J4352" s="421"/>
      <c r="K4352" s="520"/>
    </row>
    <row r="4353" spans="1:11" s="339" customFormat="1">
      <c r="A4353" s="421"/>
      <c r="B4353" s="2256" t="s">
        <v>13442</v>
      </c>
      <c r="C4353" s="162"/>
      <c r="D4353" s="162"/>
      <c r="E4353" s="228"/>
      <c r="F4353" s="585"/>
      <c r="G4353" s="338"/>
      <c r="H4353" s="592"/>
      <c r="I4353" s="520"/>
      <c r="J4353" s="421"/>
      <c r="K4353" s="520"/>
    </row>
    <row r="4354" spans="1:11" s="194" customFormat="1">
      <c r="A4354" s="421"/>
      <c r="B4354" s="150" t="s">
        <v>13654</v>
      </c>
      <c r="C4354" s="1802">
        <v>102.47</v>
      </c>
      <c r="D4354" s="162">
        <f t="shared" ref="D4354:D4359" si="584">C4354*(1-0.2)*fcl</f>
        <v>136.89991999999998</v>
      </c>
      <c r="E4354" s="228">
        <v>10</v>
      </c>
      <c r="F4354" s="585">
        <f t="shared" ref="F4354:F4360" si="585">ROUNDUP(D4354+E4354,1)</f>
        <v>146.9</v>
      </c>
      <c r="G4354" s="338" t="s">
        <v>13443</v>
      </c>
      <c r="H4354" s="592" t="s">
        <v>13444</v>
      </c>
      <c r="I4354" s="520"/>
      <c r="J4354" s="421" t="s">
        <v>6177</v>
      </c>
      <c r="K4354" s="520" t="s">
        <v>741</v>
      </c>
    </row>
    <row r="4355" spans="1:11" s="194" customFormat="1">
      <c r="A4355" s="421"/>
      <c r="B4355" s="150" t="s">
        <v>13655</v>
      </c>
      <c r="C4355" s="1802">
        <v>102.47</v>
      </c>
      <c r="D4355" s="162">
        <f t="shared" si="584"/>
        <v>136.89991999999998</v>
      </c>
      <c r="E4355" s="228">
        <v>10</v>
      </c>
      <c r="F4355" s="585">
        <f t="shared" si="585"/>
        <v>146.9</v>
      </c>
      <c r="G4355" s="338" t="s">
        <v>13445</v>
      </c>
      <c r="H4355" s="592" t="s">
        <v>13446</v>
      </c>
      <c r="I4355" s="520"/>
      <c r="J4355" s="421" t="s">
        <v>6177</v>
      </c>
      <c r="K4355" s="520" t="s">
        <v>741</v>
      </c>
    </row>
    <row r="4356" spans="1:11" s="194" customFormat="1">
      <c r="A4356" s="421"/>
      <c r="B4356" s="150" t="s">
        <v>13656</v>
      </c>
      <c r="C4356" s="1802">
        <v>102.47</v>
      </c>
      <c r="D4356" s="162">
        <f t="shared" si="584"/>
        <v>136.89991999999998</v>
      </c>
      <c r="E4356" s="228">
        <v>10</v>
      </c>
      <c r="F4356" s="585">
        <f t="shared" si="585"/>
        <v>146.9</v>
      </c>
      <c r="G4356" s="338" t="s">
        <v>13447</v>
      </c>
      <c r="H4356" s="592" t="s">
        <v>13448</v>
      </c>
      <c r="I4356" s="520"/>
      <c r="J4356" s="421" t="s">
        <v>6177</v>
      </c>
      <c r="K4356" s="520" t="s">
        <v>741</v>
      </c>
    </row>
    <row r="4357" spans="1:11" s="194" customFormat="1">
      <c r="A4357" s="421"/>
      <c r="B4357" s="150" t="s">
        <v>13657</v>
      </c>
      <c r="C4357" s="1802">
        <v>102.47</v>
      </c>
      <c r="D4357" s="162">
        <f t="shared" si="584"/>
        <v>136.89991999999998</v>
      </c>
      <c r="E4357" s="228">
        <v>10</v>
      </c>
      <c r="F4357" s="585">
        <f t="shared" si="585"/>
        <v>146.9</v>
      </c>
      <c r="G4357" s="338" t="s">
        <v>13449</v>
      </c>
      <c r="H4357" s="592" t="s">
        <v>13450</v>
      </c>
      <c r="I4357" s="520"/>
      <c r="J4357" s="421" t="s">
        <v>6177</v>
      </c>
      <c r="K4357" s="520" t="s">
        <v>741</v>
      </c>
    </row>
    <row r="4358" spans="1:11" s="194" customFormat="1">
      <c r="A4358" s="421"/>
      <c r="B4358" s="150" t="s">
        <v>13658</v>
      </c>
      <c r="C4358" s="1802">
        <v>102.47</v>
      </c>
      <c r="D4358" s="162">
        <f t="shared" si="584"/>
        <v>136.89991999999998</v>
      </c>
      <c r="E4358" s="228">
        <v>10</v>
      </c>
      <c r="F4358" s="585">
        <f t="shared" si="585"/>
        <v>146.9</v>
      </c>
      <c r="G4358" s="338" t="s">
        <v>13451</v>
      </c>
      <c r="H4358" s="592" t="s">
        <v>13452</v>
      </c>
      <c r="I4358" s="520"/>
      <c r="J4358" s="421" t="s">
        <v>6177</v>
      </c>
      <c r="K4358" s="520" t="s">
        <v>741</v>
      </c>
    </row>
    <row r="4359" spans="1:11" s="194" customFormat="1">
      <c r="A4359" s="421"/>
      <c r="B4359" s="150" t="s">
        <v>13659</v>
      </c>
      <c r="C4359" s="1802">
        <v>102.47</v>
      </c>
      <c r="D4359" s="162">
        <f t="shared" si="584"/>
        <v>136.89991999999998</v>
      </c>
      <c r="E4359" s="228">
        <v>10</v>
      </c>
      <c r="F4359" s="585">
        <f t="shared" si="585"/>
        <v>146.9</v>
      </c>
      <c r="G4359" s="338" t="s">
        <v>13453</v>
      </c>
      <c r="H4359" s="592" t="s">
        <v>13454</v>
      </c>
      <c r="I4359" s="520"/>
      <c r="J4359" s="421" t="s">
        <v>6177</v>
      </c>
      <c r="K4359" s="520" t="s">
        <v>741</v>
      </c>
    </row>
    <row r="4360" spans="1:11" s="196" customFormat="1">
      <c r="A4360" s="421"/>
      <c r="B4360" s="150" t="s">
        <v>13660</v>
      </c>
      <c r="C4360" s="1802">
        <v>102.47</v>
      </c>
      <c r="D4360" s="162">
        <f>C4360*(1-0)*fcl</f>
        <v>171.1249</v>
      </c>
      <c r="E4360" s="228">
        <v>20</v>
      </c>
      <c r="F4360" s="585">
        <f t="shared" si="585"/>
        <v>191.2</v>
      </c>
      <c r="G4360" s="338" t="s">
        <v>13455</v>
      </c>
      <c r="H4360" s="592" t="s">
        <v>13456</v>
      </c>
      <c r="I4360" s="520"/>
      <c r="J4360" s="421" t="s">
        <v>6177</v>
      </c>
      <c r="K4360" s="520" t="s">
        <v>741</v>
      </c>
    </row>
    <row r="4361" spans="1:11" s="341" customFormat="1" ht="13.5" customHeight="1">
      <c r="A4361" s="421"/>
      <c r="B4361" s="150"/>
      <c r="C4361" s="209"/>
      <c r="D4361" s="244"/>
      <c r="E4361" s="228"/>
      <c r="F4361" s="585"/>
      <c r="G4361" s="338"/>
      <c r="H4361" s="592"/>
      <c r="I4361" s="520"/>
      <c r="J4361" s="589"/>
      <c r="K4361" s="520"/>
    </row>
    <row r="4362" spans="1:11" s="339" customFormat="1">
      <c r="A4362" s="421"/>
      <c r="B4362" s="2256" t="s">
        <v>13457</v>
      </c>
      <c r="C4362" s="162"/>
      <c r="D4362" s="162"/>
      <c r="E4362" s="228"/>
      <c r="F4362" s="585"/>
      <c r="G4362" s="338"/>
      <c r="H4362" s="592"/>
      <c r="I4362" s="520"/>
      <c r="J4362" s="421"/>
      <c r="K4362" s="520"/>
    </row>
    <row r="4363" spans="1:11" s="194" customFormat="1">
      <c r="A4363" s="421"/>
      <c r="B4363" s="150" t="s">
        <v>13458</v>
      </c>
      <c r="C4363" s="1802">
        <v>115.85</v>
      </c>
      <c r="D4363" s="162">
        <f>C4363*(1-0.2)*fcl</f>
        <v>154.7756</v>
      </c>
      <c r="E4363" s="228">
        <v>10</v>
      </c>
      <c r="F4363" s="585">
        <f t="shared" ref="F4363:F4372" si="586">ROUNDUP(D4363+E4363,1)</f>
        <v>164.79999999999998</v>
      </c>
      <c r="G4363" s="338" t="s">
        <v>13445</v>
      </c>
      <c r="H4363" s="592" t="s">
        <v>13459</v>
      </c>
      <c r="I4363" s="520"/>
      <c r="J4363" s="421" t="s">
        <v>6177</v>
      </c>
      <c r="K4363" s="520" t="s">
        <v>741</v>
      </c>
    </row>
    <row r="4364" spans="1:11" s="194" customFormat="1">
      <c r="A4364" s="421"/>
      <c r="B4364" s="150" t="s">
        <v>13460</v>
      </c>
      <c r="C4364" s="1802">
        <v>115.85</v>
      </c>
      <c r="D4364" s="162">
        <f>C4364*(1-0.2)*fcl</f>
        <v>154.7756</v>
      </c>
      <c r="E4364" s="228">
        <v>10</v>
      </c>
      <c r="F4364" s="585">
        <f t="shared" si="586"/>
        <v>164.79999999999998</v>
      </c>
      <c r="G4364" s="338" t="s">
        <v>13449</v>
      </c>
      <c r="H4364" s="592" t="s">
        <v>13461</v>
      </c>
      <c r="I4364" s="520"/>
      <c r="J4364" s="421" t="s">
        <v>6177</v>
      </c>
      <c r="K4364" s="520" t="s">
        <v>741</v>
      </c>
    </row>
    <row r="4365" spans="1:11" s="194" customFormat="1">
      <c r="A4365" s="421"/>
      <c r="B4365" s="150" t="s">
        <v>13462</v>
      </c>
      <c r="C4365" s="1802">
        <v>115.85</v>
      </c>
      <c r="D4365" s="162">
        <f>C4365*(1-0.2)*fcl</f>
        <v>154.7756</v>
      </c>
      <c r="E4365" s="228">
        <v>10</v>
      </c>
      <c r="F4365" s="585">
        <f t="shared" si="586"/>
        <v>164.79999999999998</v>
      </c>
      <c r="G4365" s="338" t="s">
        <v>13451</v>
      </c>
      <c r="H4365" s="592" t="s">
        <v>13463</v>
      </c>
      <c r="I4365" s="520"/>
      <c r="J4365" s="421" t="s">
        <v>6177</v>
      </c>
      <c r="K4365" s="520" t="s">
        <v>741</v>
      </c>
    </row>
    <row r="4366" spans="1:11" s="194" customFormat="1">
      <c r="A4366" s="421"/>
      <c r="B4366" s="150" t="s">
        <v>13464</v>
      </c>
      <c r="C4366" s="1802">
        <v>115.85</v>
      </c>
      <c r="D4366" s="162">
        <f>C4366*(1-0.2)*fcl</f>
        <v>154.7756</v>
      </c>
      <c r="E4366" s="228">
        <v>10</v>
      </c>
      <c r="F4366" s="585">
        <f t="shared" si="586"/>
        <v>164.79999999999998</v>
      </c>
      <c r="G4366" s="338" t="s">
        <v>13453</v>
      </c>
      <c r="H4366" s="592" t="s">
        <v>13465</v>
      </c>
      <c r="I4366" s="520"/>
      <c r="J4366" s="421" t="s">
        <v>6177</v>
      </c>
      <c r="K4366" s="520" t="s">
        <v>741</v>
      </c>
    </row>
    <row r="4367" spans="1:11" s="196" customFormat="1">
      <c r="A4367" s="421"/>
      <c r="B4367" s="150" t="s">
        <v>13466</v>
      </c>
      <c r="C4367" s="1802">
        <v>115.85</v>
      </c>
      <c r="D4367" s="162">
        <f>C4367*(1-0)*fcl</f>
        <v>193.46949999999998</v>
      </c>
      <c r="E4367" s="228">
        <v>20</v>
      </c>
      <c r="F4367" s="585">
        <f t="shared" si="586"/>
        <v>213.5</v>
      </c>
      <c r="G4367" s="338" t="s">
        <v>13455</v>
      </c>
      <c r="H4367" s="592" t="s">
        <v>13467</v>
      </c>
      <c r="I4367" s="520"/>
      <c r="J4367" s="421" t="s">
        <v>6177</v>
      </c>
      <c r="K4367" s="520" t="s">
        <v>741</v>
      </c>
    </row>
    <row r="4368" spans="1:11" s="194" customFormat="1">
      <c r="A4368" s="421"/>
      <c r="B4368" s="150" t="s">
        <v>13468</v>
      </c>
      <c r="C4368" s="1802">
        <v>115.85</v>
      </c>
      <c r="D4368" s="162">
        <f>C4368*(1-0.2)*fcl</f>
        <v>154.7756</v>
      </c>
      <c r="E4368" s="228">
        <v>20</v>
      </c>
      <c r="F4368" s="585">
        <f t="shared" si="586"/>
        <v>174.79999999999998</v>
      </c>
      <c r="G4368" s="338" t="s">
        <v>13469</v>
      </c>
      <c r="H4368" s="592" t="s">
        <v>13470</v>
      </c>
      <c r="I4368" s="520"/>
      <c r="J4368" s="421" t="s">
        <v>6177</v>
      </c>
      <c r="K4368" s="520" t="s">
        <v>741</v>
      </c>
    </row>
    <row r="4369" spans="1:11" s="196" customFormat="1">
      <c r="A4369" s="421"/>
      <c r="B4369" s="150" t="s">
        <v>13471</v>
      </c>
      <c r="C4369" s="1802">
        <v>115.85</v>
      </c>
      <c r="D4369" s="162">
        <f>C4369*(1-0)*fcl</f>
        <v>193.46949999999998</v>
      </c>
      <c r="E4369" s="228">
        <v>20</v>
      </c>
      <c r="F4369" s="585">
        <f t="shared" si="586"/>
        <v>213.5</v>
      </c>
      <c r="G4369" s="338" t="s">
        <v>13472</v>
      </c>
      <c r="H4369" s="592" t="s">
        <v>13473</v>
      </c>
      <c r="I4369" s="520"/>
      <c r="J4369" s="421" t="s">
        <v>6177</v>
      </c>
      <c r="K4369" s="520" t="s">
        <v>741</v>
      </c>
    </row>
    <row r="4370" spans="1:11" s="196" customFormat="1">
      <c r="A4370" s="421"/>
      <c r="B4370" s="150" t="s">
        <v>13474</v>
      </c>
      <c r="C4370" s="1802">
        <v>115.85</v>
      </c>
      <c r="D4370" s="162">
        <f>C4370*(1-0)*fcl</f>
        <v>193.46949999999998</v>
      </c>
      <c r="E4370" s="228">
        <v>20</v>
      </c>
      <c r="F4370" s="585">
        <f t="shared" si="586"/>
        <v>213.5</v>
      </c>
      <c r="G4370" s="338" t="s">
        <v>13475</v>
      </c>
      <c r="H4370" s="592" t="s">
        <v>13476</v>
      </c>
      <c r="I4370" s="520"/>
      <c r="J4370" s="421" t="s">
        <v>6177</v>
      </c>
      <c r="K4370" s="520" t="s">
        <v>741</v>
      </c>
    </row>
    <row r="4371" spans="1:11" s="194" customFormat="1">
      <c r="A4371" s="421"/>
      <c r="B4371" s="150" t="s">
        <v>13477</v>
      </c>
      <c r="C4371" s="1802">
        <v>115.85</v>
      </c>
      <c r="D4371" s="162">
        <f>C4371*(1-0.2)*fcl</f>
        <v>154.7756</v>
      </c>
      <c r="E4371" s="228">
        <v>30</v>
      </c>
      <c r="F4371" s="585">
        <f t="shared" si="586"/>
        <v>184.79999999999998</v>
      </c>
      <c r="G4371" s="338" t="s">
        <v>13478</v>
      </c>
      <c r="H4371" s="592" t="s">
        <v>13479</v>
      </c>
      <c r="I4371" s="520"/>
      <c r="J4371" s="421" t="s">
        <v>6177</v>
      </c>
      <c r="K4371" s="520" t="s">
        <v>741</v>
      </c>
    </row>
    <row r="4372" spans="1:11" s="196" customFormat="1">
      <c r="A4372" s="421"/>
      <c r="B4372" s="150" t="s">
        <v>13480</v>
      </c>
      <c r="C4372" s="1802">
        <v>115.85</v>
      </c>
      <c r="D4372" s="162">
        <f>C4372*(1-0)*fcl</f>
        <v>193.46949999999998</v>
      </c>
      <c r="E4372" s="228">
        <v>30</v>
      </c>
      <c r="F4372" s="585">
        <f t="shared" si="586"/>
        <v>223.5</v>
      </c>
      <c r="G4372" s="338" t="s">
        <v>13481</v>
      </c>
      <c r="H4372" s="592" t="s">
        <v>13482</v>
      </c>
      <c r="I4372" s="520"/>
      <c r="J4372" s="421" t="s">
        <v>6177</v>
      </c>
      <c r="K4372" s="520" t="s">
        <v>741</v>
      </c>
    </row>
    <row r="4373" spans="1:11" s="341" customFormat="1">
      <c r="A4373" s="421"/>
      <c r="B4373" s="150"/>
      <c r="C4373" s="209"/>
      <c r="D4373" s="244"/>
      <c r="E4373" s="228"/>
      <c r="F4373" s="585"/>
      <c r="G4373" s="338"/>
      <c r="H4373" s="592"/>
      <c r="I4373" s="520"/>
      <c r="J4373" s="589"/>
      <c r="K4373" s="520"/>
    </row>
    <row r="4374" spans="1:11" s="339" customFormat="1">
      <c r="A4374" s="421"/>
      <c r="B4374" s="2256" t="s">
        <v>13483</v>
      </c>
      <c r="C4374" s="162"/>
      <c r="D4374" s="162"/>
      <c r="E4374" s="228"/>
      <c r="F4374" s="585"/>
      <c r="G4374" s="338"/>
      <c r="H4374" s="592"/>
      <c r="I4374" s="520"/>
      <c r="J4374" s="421"/>
      <c r="K4374" s="520"/>
    </row>
    <row r="4375" spans="1:11" s="194" customFormat="1">
      <c r="A4375" s="421"/>
      <c r="B4375" s="150" t="s">
        <v>13484</v>
      </c>
      <c r="C4375" s="1802">
        <v>127.55</v>
      </c>
      <c r="D4375" s="162">
        <f>C4375*(1-0.2)*fcl</f>
        <v>170.4068</v>
      </c>
      <c r="E4375" s="228">
        <v>10</v>
      </c>
      <c r="F4375" s="585">
        <f t="shared" ref="F4375:F4382" si="587">ROUNDUP(D4375+E4375,1)</f>
        <v>180.5</v>
      </c>
      <c r="G4375" s="338" t="s">
        <v>13451</v>
      </c>
      <c r="H4375" s="592" t="s">
        <v>13463</v>
      </c>
      <c r="I4375" s="520"/>
      <c r="J4375" s="421" t="s">
        <v>6177</v>
      </c>
      <c r="K4375" s="520" t="s">
        <v>741</v>
      </c>
    </row>
    <row r="4376" spans="1:11" s="194" customFormat="1">
      <c r="A4376" s="421"/>
      <c r="B4376" s="150" t="s">
        <v>13485</v>
      </c>
      <c r="C4376" s="1802">
        <v>127.55</v>
      </c>
      <c r="D4376" s="162">
        <f>C4376*(1-0.2)*fcl</f>
        <v>170.4068</v>
      </c>
      <c r="E4376" s="228">
        <v>10</v>
      </c>
      <c r="F4376" s="585">
        <f t="shared" si="587"/>
        <v>180.5</v>
      </c>
      <c r="G4376" s="338" t="s">
        <v>13453</v>
      </c>
      <c r="H4376" s="592" t="s">
        <v>13465</v>
      </c>
      <c r="I4376" s="520"/>
      <c r="J4376" s="421" t="s">
        <v>6177</v>
      </c>
      <c r="K4376" s="520" t="s">
        <v>741</v>
      </c>
    </row>
    <row r="4377" spans="1:11" s="196" customFormat="1">
      <c r="A4377" s="421"/>
      <c r="B4377" s="150" t="s">
        <v>13486</v>
      </c>
      <c r="C4377" s="1802">
        <v>127.55</v>
      </c>
      <c r="D4377" s="162">
        <f>C4377*(1-0)*fcl</f>
        <v>213.0085</v>
      </c>
      <c r="E4377" s="228">
        <v>20</v>
      </c>
      <c r="F4377" s="585">
        <f t="shared" si="587"/>
        <v>233.1</v>
      </c>
      <c r="G4377" s="338" t="s">
        <v>13455</v>
      </c>
      <c r="H4377" s="592" t="s">
        <v>13467</v>
      </c>
      <c r="I4377" s="520"/>
      <c r="J4377" s="421" t="s">
        <v>6177</v>
      </c>
      <c r="K4377" s="520" t="s">
        <v>741</v>
      </c>
    </row>
    <row r="4378" spans="1:11" s="194" customFormat="1">
      <c r="A4378" s="421"/>
      <c r="B4378" s="150" t="s">
        <v>13487</v>
      </c>
      <c r="C4378" s="1802">
        <v>127.55</v>
      </c>
      <c r="D4378" s="162">
        <f>C4378*(1-0.2)*fcl</f>
        <v>170.4068</v>
      </c>
      <c r="E4378" s="228">
        <v>20</v>
      </c>
      <c r="F4378" s="585">
        <f t="shared" si="587"/>
        <v>190.5</v>
      </c>
      <c r="G4378" s="338" t="s">
        <v>13469</v>
      </c>
      <c r="H4378" s="592" t="s">
        <v>13470</v>
      </c>
      <c r="I4378" s="520"/>
      <c r="J4378" s="421" t="s">
        <v>6177</v>
      </c>
      <c r="K4378" s="520" t="s">
        <v>741</v>
      </c>
    </row>
    <row r="4379" spans="1:11" s="196" customFormat="1">
      <c r="A4379" s="421"/>
      <c r="B4379" s="150" t="s">
        <v>13488</v>
      </c>
      <c r="C4379" s="1802">
        <v>127.55</v>
      </c>
      <c r="D4379" s="162">
        <f>C4379*(1-0)*fcl</f>
        <v>213.0085</v>
      </c>
      <c r="E4379" s="228">
        <v>20</v>
      </c>
      <c r="F4379" s="585">
        <f t="shared" si="587"/>
        <v>233.1</v>
      </c>
      <c r="G4379" s="338" t="s">
        <v>13472</v>
      </c>
      <c r="H4379" s="592" t="s">
        <v>13473</v>
      </c>
      <c r="I4379" s="520"/>
      <c r="J4379" s="421" t="s">
        <v>6177</v>
      </c>
      <c r="K4379" s="520" t="s">
        <v>741</v>
      </c>
    </row>
    <row r="4380" spans="1:11" s="196" customFormat="1">
      <c r="A4380" s="421"/>
      <c r="B4380" s="150" t="s">
        <v>13489</v>
      </c>
      <c r="C4380" s="1802">
        <v>127.55</v>
      </c>
      <c r="D4380" s="162">
        <f>C4380*(1-0)*fcl</f>
        <v>213.0085</v>
      </c>
      <c r="E4380" s="228">
        <v>20</v>
      </c>
      <c r="F4380" s="585">
        <f t="shared" si="587"/>
        <v>233.1</v>
      </c>
      <c r="G4380" s="338" t="s">
        <v>13475</v>
      </c>
      <c r="H4380" s="592" t="s">
        <v>13476</v>
      </c>
      <c r="I4380" s="520"/>
      <c r="J4380" s="421" t="s">
        <v>6177</v>
      </c>
      <c r="K4380" s="520" t="s">
        <v>741</v>
      </c>
    </row>
    <row r="4381" spans="1:11" s="194" customFormat="1">
      <c r="A4381" s="421"/>
      <c r="B4381" s="150" t="s">
        <v>13490</v>
      </c>
      <c r="C4381" s="1802">
        <v>127.55</v>
      </c>
      <c r="D4381" s="162">
        <f>C4381*(1-0.2)*fcl</f>
        <v>170.4068</v>
      </c>
      <c r="E4381" s="228">
        <v>30</v>
      </c>
      <c r="F4381" s="585">
        <f t="shared" si="587"/>
        <v>200.5</v>
      </c>
      <c r="G4381" s="338" t="s">
        <v>13478</v>
      </c>
      <c r="H4381" s="592" t="s">
        <v>13479</v>
      </c>
      <c r="I4381" s="520"/>
      <c r="J4381" s="421" t="s">
        <v>6177</v>
      </c>
      <c r="K4381" s="520" t="s">
        <v>741</v>
      </c>
    </row>
    <row r="4382" spans="1:11" s="196" customFormat="1">
      <c r="A4382" s="421"/>
      <c r="B4382" s="150" t="s">
        <v>13491</v>
      </c>
      <c r="C4382" s="1802">
        <v>127.55</v>
      </c>
      <c r="D4382" s="162">
        <f>C4382*(1-0)*fcl</f>
        <v>213.0085</v>
      </c>
      <c r="E4382" s="228">
        <v>30</v>
      </c>
      <c r="F4382" s="585">
        <f t="shared" si="587"/>
        <v>243.1</v>
      </c>
      <c r="G4382" s="338" t="s">
        <v>13481</v>
      </c>
      <c r="H4382" s="592" t="s">
        <v>13482</v>
      </c>
      <c r="I4382" s="520"/>
      <c r="J4382" s="421" t="s">
        <v>6177</v>
      </c>
      <c r="K4382" s="520" t="s">
        <v>741</v>
      </c>
    </row>
    <row r="4383" spans="1:11" s="341" customFormat="1">
      <c r="A4383" s="421"/>
      <c r="B4383" s="150"/>
      <c r="C4383" s="209"/>
      <c r="D4383" s="244"/>
      <c r="E4383" s="228"/>
      <c r="F4383" s="585"/>
      <c r="G4383" s="338"/>
      <c r="H4383" s="592"/>
      <c r="I4383" s="520"/>
      <c r="J4383" s="589"/>
      <c r="K4383" s="520"/>
    </row>
    <row r="4384" spans="1:11" s="339" customFormat="1">
      <c r="A4384" s="421"/>
      <c r="B4384" s="2256" t="s">
        <v>13595</v>
      </c>
      <c r="C4384" s="162"/>
      <c r="D4384" s="162"/>
      <c r="E4384" s="228"/>
      <c r="F4384" s="585"/>
      <c r="G4384" s="338"/>
      <c r="H4384" s="592"/>
      <c r="I4384" s="520"/>
      <c r="J4384" s="421"/>
      <c r="K4384" s="520"/>
    </row>
    <row r="4385" spans="1:11" s="194" customFormat="1">
      <c r="A4385" s="421"/>
      <c r="B4385" s="150" t="s">
        <v>13596</v>
      </c>
      <c r="C4385" s="1802">
        <v>185.87</v>
      </c>
      <c r="D4385" s="162">
        <f t="shared" ref="D4385:D4394" si="588">C4385*(1-0.2)*fcl</f>
        <v>248.32231999999999</v>
      </c>
      <c r="E4385" s="228">
        <v>20</v>
      </c>
      <c r="F4385" s="585">
        <f t="shared" ref="F4385:F4394" si="589">ROUNDUP(D4385+E4385,1)</f>
        <v>268.40000000000003</v>
      </c>
      <c r="G4385" s="338" t="s">
        <v>13469</v>
      </c>
      <c r="H4385" s="592" t="s">
        <v>13597</v>
      </c>
      <c r="I4385" s="520"/>
      <c r="J4385" s="421" t="s">
        <v>6177</v>
      </c>
      <c r="K4385" s="520" t="s">
        <v>741</v>
      </c>
    </row>
    <row r="4386" spans="1:11" s="196" customFormat="1">
      <c r="A4386" s="421"/>
      <c r="B4386" s="150" t="s">
        <v>13598</v>
      </c>
      <c r="C4386" s="1802">
        <v>185.87</v>
      </c>
      <c r="D4386" s="162">
        <f t="shared" si="588"/>
        <v>248.32231999999999</v>
      </c>
      <c r="E4386" s="228">
        <v>20</v>
      </c>
      <c r="F4386" s="585">
        <f t="shared" si="589"/>
        <v>268.40000000000003</v>
      </c>
      <c r="G4386" s="338" t="s">
        <v>13472</v>
      </c>
      <c r="H4386" s="592" t="s">
        <v>13599</v>
      </c>
      <c r="I4386" s="520"/>
      <c r="J4386" s="421" t="s">
        <v>6177</v>
      </c>
      <c r="K4386" s="520" t="s">
        <v>741</v>
      </c>
    </row>
    <row r="4387" spans="1:11" s="196" customFormat="1">
      <c r="A4387" s="421"/>
      <c r="B4387" s="150" t="s">
        <v>13600</v>
      </c>
      <c r="C4387" s="1802">
        <v>185.87</v>
      </c>
      <c r="D4387" s="162">
        <f t="shared" si="588"/>
        <v>248.32231999999999</v>
      </c>
      <c r="E4387" s="228">
        <v>20</v>
      </c>
      <c r="F4387" s="585">
        <f t="shared" si="589"/>
        <v>268.40000000000003</v>
      </c>
      <c r="G4387" s="338" t="s">
        <v>13601</v>
      </c>
      <c r="H4387" s="592" t="s">
        <v>13602</v>
      </c>
      <c r="I4387" s="520"/>
      <c r="J4387" s="421" t="s">
        <v>6177</v>
      </c>
      <c r="K4387" s="520" t="s">
        <v>741</v>
      </c>
    </row>
    <row r="4388" spans="1:11" s="194" customFormat="1">
      <c r="A4388" s="421"/>
      <c r="B4388" s="150" t="s">
        <v>13603</v>
      </c>
      <c r="C4388" s="1802">
        <v>185.87</v>
      </c>
      <c r="D4388" s="162">
        <f t="shared" si="588"/>
        <v>248.32231999999999</v>
      </c>
      <c r="E4388" s="228">
        <v>30</v>
      </c>
      <c r="F4388" s="585">
        <f t="shared" si="589"/>
        <v>278.40000000000003</v>
      </c>
      <c r="G4388" s="338" t="s">
        <v>13478</v>
      </c>
      <c r="H4388" s="592" t="s">
        <v>13604</v>
      </c>
      <c r="I4388" s="520"/>
      <c r="J4388" s="421" t="s">
        <v>6177</v>
      </c>
      <c r="K4388" s="520" t="s">
        <v>741</v>
      </c>
    </row>
    <row r="4389" spans="1:11" s="196" customFormat="1">
      <c r="A4389" s="421"/>
      <c r="B4389" s="150" t="s">
        <v>13605</v>
      </c>
      <c r="C4389" s="1802">
        <v>185.87</v>
      </c>
      <c r="D4389" s="162">
        <f t="shared" si="588"/>
        <v>248.32231999999999</v>
      </c>
      <c r="E4389" s="228">
        <v>30</v>
      </c>
      <c r="F4389" s="585">
        <f t="shared" si="589"/>
        <v>278.40000000000003</v>
      </c>
      <c r="G4389" s="338" t="s">
        <v>13481</v>
      </c>
      <c r="H4389" s="592" t="s">
        <v>13606</v>
      </c>
      <c r="I4389" s="520"/>
      <c r="J4389" s="421" t="s">
        <v>6177</v>
      </c>
      <c r="K4389" s="520" t="s">
        <v>741</v>
      </c>
    </row>
    <row r="4390" spans="1:11" s="196" customFormat="1">
      <c r="A4390" s="421"/>
      <c r="B4390" s="150" t="s">
        <v>13607</v>
      </c>
      <c r="C4390" s="1802">
        <v>185.87</v>
      </c>
      <c r="D4390" s="162">
        <f t="shared" si="588"/>
        <v>248.32231999999999</v>
      </c>
      <c r="E4390" s="228">
        <v>20</v>
      </c>
      <c r="F4390" s="585">
        <f t="shared" si="589"/>
        <v>268.40000000000003</v>
      </c>
      <c r="G4390" s="338" t="s">
        <v>13608</v>
      </c>
      <c r="H4390" s="592" t="s">
        <v>13609</v>
      </c>
      <c r="I4390" s="520"/>
      <c r="J4390" s="421" t="s">
        <v>6177</v>
      </c>
      <c r="K4390" s="520" t="s">
        <v>741</v>
      </c>
    </row>
    <row r="4391" spans="1:11" s="194" customFormat="1">
      <c r="A4391" s="421"/>
      <c r="B4391" s="150" t="s">
        <v>13610</v>
      </c>
      <c r="C4391" s="1802">
        <v>185.87</v>
      </c>
      <c r="D4391" s="162">
        <f t="shared" si="588"/>
        <v>248.32231999999999</v>
      </c>
      <c r="E4391" s="228">
        <v>30</v>
      </c>
      <c r="F4391" s="585">
        <f t="shared" si="589"/>
        <v>278.40000000000003</v>
      </c>
      <c r="G4391" s="338" t="s">
        <v>13611</v>
      </c>
      <c r="H4391" s="592" t="s">
        <v>13612</v>
      </c>
      <c r="I4391" s="520"/>
      <c r="J4391" s="421" t="s">
        <v>6177</v>
      </c>
      <c r="K4391" s="520" t="s">
        <v>741</v>
      </c>
    </row>
    <row r="4392" spans="1:11" s="196" customFormat="1">
      <c r="A4392" s="421"/>
      <c r="B4392" s="150" t="s">
        <v>13613</v>
      </c>
      <c r="C4392" s="1802">
        <v>185.87</v>
      </c>
      <c r="D4392" s="162">
        <f t="shared" si="588"/>
        <v>248.32231999999999</v>
      </c>
      <c r="E4392" s="228">
        <v>30</v>
      </c>
      <c r="F4392" s="585">
        <f t="shared" si="589"/>
        <v>278.40000000000003</v>
      </c>
      <c r="G4392" s="338" t="s">
        <v>13614</v>
      </c>
      <c r="H4392" s="592" t="s">
        <v>13615</v>
      </c>
      <c r="I4392" s="520"/>
      <c r="J4392" s="421" t="s">
        <v>6177</v>
      </c>
      <c r="K4392" s="520" t="s">
        <v>741</v>
      </c>
    </row>
    <row r="4393" spans="1:11" s="196" customFormat="1">
      <c r="A4393" s="421"/>
      <c r="B4393" s="150" t="s">
        <v>13616</v>
      </c>
      <c r="C4393" s="1802">
        <v>185.87</v>
      </c>
      <c r="D4393" s="162">
        <f t="shared" si="588"/>
        <v>248.32231999999999</v>
      </c>
      <c r="E4393" s="228">
        <v>20</v>
      </c>
      <c r="F4393" s="585">
        <f t="shared" si="589"/>
        <v>268.40000000000003</v>
      </c>
      <c r="G4393" s="338" t="s">
        <v>13617</v>
      </c>
      <c r="H4393" s="592" t="s">
        <v>13618</v>
      </c>
      <c r="I4393" s="520"/>
      <c r="J4393" s="421" t="s">
        <v>6177</v>
      </c>
      <c r="K4393" s="520" t="s">
        <v>741</v>
      </c>
    </row>
    <row r="4394" spans="1:11" s="194" customFormat="1">
      <c r="A4394" s="421"/>
      <c r="B4394" s="150" t="s">
        <v>13619</v>
      </c>
      <c r="C4394" s="1802">
        <v>213.75</v>
      </c>
      <c r="D4394" s="162">
        <f t="shared" si="588"/>
        <v>285.57</v>
      </c>
      <c r="E4394" s="228">
        <v>30</v>
      </c>
      <c r="F4394" s="585">
        <f t="shared" si="589"/>
        <v>315.60000000000002</v>
      </c>
      <c r="G4394" s="338" t="s">
        <v>13620</v>
      </c>
      <c r="H4394" s="592" t="s">
        <v>13621</v>
      </c>
      <c r="I4394" s="520"/>
      <c r="J4394" s="421" t="s">
        <v>6177</v>
      </c>
      <c r="K4394" s="520" t="s">
        <v>741</v>
      </c>
    </row>
    <row r="4395" spans="1:11" s="341" customFormat="1">
      <c r="A4395" s="421"/>
      <c r="B4395" s="150"/>
      <c r="C4395" s="209"/>
      <c r="D4395" s="244"/>
      <c r="E4395" s="228"/>
      <c r="F4395" s="585"/>
      <c r="G4395" s="338"/>
      <c r="H4395" s="592"/>
      <c r="I4395" s="520"/>
      <c r="J4395" s="589"/>
      <c r="K4395" s="520"/>
    </row>
    <row r="4396" spans="1:11" s="339" customFormat="1">
      <c r="A4396" s="421"/>
      <c r="B4396" s="2256" t="s">
        <v>13661</v>
      </c>
      <c r="C4396" s="162"/>
      <c r="D4396" s="162"/>
      <c r="E4396" s="228"/>
      <c r="F4396" s="585"/>
      <c r="G4396" s="338"/>
      <c r="H4396" s="592"/>
      <c r="I4396" s="520"/>
      <c r="J4396" s="421"/>
      <c r="K4396" s="520"/>
    </row>
    <row r="4397" spans="1:11" s="194" customFormat="1">
      <c r="A4397" s="421"/>
      <c r="B4397" s="150" t="s">
        <v>13662</v>
      </c>
      <c r="C4397" s="1802">
        <v>395.09</v>
      </c>
      <c r="D4397" s="162">
        <f t="shared" ref="D4397:D4407" si="590">C4397*(1-0.2)*fcl</f>
        <v>527.84023999999999</v>
      </c>
      <c r="E4397" s="228">
        <v>20</v>
      </c>
      <c r="F4397" s="585">
        <f t="shared" ref="F4397:F4407" si="591">ROUNDUP(D4397+E4397,1)</f>
        <v>547.9</v>
      </c>
      <c r="G4397" s="338" t="s">
        <v>13469</v>
      </c>
      <c r="H4397" s="592" t="s">
        <v>13663</v>
      </c>
      <c r="I4397" s="520"/>
      <c r="J4397" s="421" t="s">
        <v>6177</v>
      </c>
      <c r="K4397" s="520" t="s">
        <v>741</v>
      </c>
    </row>
    <row r="4398" spans="1:11" s="196" customFormat="1">
      <c r="A4398" s="421"/>
      <c r="B4398" s="150" t="s">
        <v>13664</v>
      </c>
      <c r="C4398" s="1802">
        <v>458.63</v>
      </c>
      <c r="D4398" s="162">
        <f t="shared" si="590"/>
        <v>612.72967999999992</v>
      </c>
      <c r="E4398" s="228">
        <v>20</v>
      </c>
      <c r="F4398" s="585">
        <f t="shared" si="591"/>
        <v>632.80000000000007</v>
      </c>
      <c r="G4398" s="338" t="s">
        <v>13472</v>
      </c>
      <c r="H4398" s="592" t="s">
        <v>13665</v>
      </c>
      <c r="I4398" s="520"/>
      <c r="J4398" s="421" t="s">
        <v>6177</v>
      </c>
      <c r="K4398" s="520" t="s">
        <v>741</v>
      </c>
    </row>
    <row r="4399" spans="1:11" s="196" customFormat="1">
      <c r="A4399" s="421"/>
      <c r="B4399" s="150" t="s">
        <v>13666</v>
      </c>
      <c r="C4399" s="1802">
        <v>399.71</v>
      </c>
      <c r="D4399" s="162">
        <f t="shared" si="590"/>
        <v>534.01256000000001</v>
      </c>
      <c r="E4399" s="228">
        <v>20</v>
      </c>
      <c r="F4399" s="585">
        <f t="shared" si="591"/>
        <v>554.1</v>
      </c>
      <c r="G4399" s="338" t="s">
        <v>13601</v>
      </c>
      <c r="H4399" s="592" t="s">
        <v>13667</v>
      </c>
      <c r="I4399" s="520"/>
      <c r="J4399" s="421" t="s">
        <v>6177</v>
      </c>
      <c r="K4399" s="520" t="s">
        <v>741</v>
      </c>
    </row>
    <row r="4400" spans="1:11" s="196" customFormat="1">
      <c r="A4400" s="421"/>
      <c r="B4400" s="150" t="s">
        <v>13668</v>
      </c>
      <c r="C4400" s="1802">
        <v>400.98</v>
      </c>
      <c r="D4400" s="162">
        <f t="shared" si="590"/>
        <v>535.70928000000004</v>
      </c>
      <c r="E4400" s="228">
        <v>30</v>
      </c>
      <c r="F4400" s="585">
        <f t="shared" si="591"/>
        <v>565.80000000000007</v>
      </c>
      <c r="G4400" s="338" t="s">
        <v>13481</v>
      </c>
      <c r="H4400" s="592" t="s">
        <v>13669</v>
      </c>
      <c r="I4400" s="520"/>
      <c r="J4400" s="421" t="s">
        <v>6177</v>
      </c>
      <c r="K4400" s="520" t="s">
        <v>741</v>
      </c>
    </row>
    <row r="4401" spans="1:15" s="194" customFormat="1">
      <c r="A4401" s="421"/>
      <c r="B4401" s="150" t="s">
        <v>13670</v>
      </c>
      <c r="C4401" s="1802">
        <v>409</v>
      </c>
      <c r="D4401" s="162">
        <f t="shared" si="590"/>
        <v>546.42400000000009</v>
      </c>
      <c r="E4401" s="228">
        <v>30</v>
      </c>
      <c r="F4401" s="585">
        <f t="shared" si="591"/>
        <v>576.5</v>
      </c>
      <c r="G4401" s="338" t="s">
        <v>13611</v>
      </c>
      <c r="H4401" s="592" t="s">
        <v>13671</v>
      </c>
      <c r="I4401" s="520"/>
      <c r="J4401" s="421" t="s">
        <v>6177</v>
      </c>
      <c r="K4401" s="520" t="s">
        <v>741</v>
      </c>
    </row>
    <row r="4402" spans="1:15" s="196" customFormat="1">
      <c r="A4402" s="421"/>
      <c r="B4402" s="150" t="s">
        <v>13672</v>
      </c>
      <c r="C4402" s="1802">
        <v>409</v>
      </c>
      <c r="D4402" s="162">
        <f t="shared" si="590"/>
        <v>546.42400000000009</v>
      </c>
      <c r="E4402" s="228">
        <v>30</v>
      </c>
      <c r="F4402" s="585">
        <f t="shared" si="591"/>
        <v>576.5</v>
      </c>
      <c r="G4402" s="338" t="s">
        <v>13614</v>
      </c>
      <c r="H4402" s="592" t="s">
        <v>13673</v>
      </c>
      <c r="I4402" s="520"/>
      <c r="J4402" s="421" t="s">
        <v>6177</v>
      </c>
      <c r="K4402" s="520" t="s">
        <v>741</v>
      </c>
    </row>
    <row r="4403" spans="1:15" s="196" customFormat="1">
      <c r="A4403" s="421"/>
      <c r="B4403" s="150" t="s">
        <v>13674</v>
      </c>
      <c r="C4403" s="1802">
        <v>415.51</v>
      </c>
      <c r="D4403" s="162">
        <f t="shared" si="590"/>
        <v>555.12135999999998</v>
      </c>
      <c r="E4403" s="228">
        <v>20</v>
      </c>
      <c r="F4403" s="585">
        <f t="shared" si="591"/>
        <v>575.20000000000005</v>
      </c>
      <c r="G4403" s="338" t="s">
        <v>13617</v>
      </c>
      <c r="H4403" s="592" t="s">
        <v>13675</v>
      </c>
      <c r="I4403" s="520"/>
      <c r="J4403" s="421" t="s">
        <v>6177</v>
      </c>
      <c r="K4403" s="520" t="s">
        <v>741</v>
      </c>
    </row>
    <row r="4404" spans="1:15" s="194" customFormat="1">
      <c r="A4404" s="421"/>
      <c r="B4404" s="150" t="s">
        <v>13676</v>
      </c>
      <c r="C4404" s="1802">
        <v>377.67</v>
      </c>
      <c r="D4404" s="162">
        <f t="shared" si="590"/>
        <v>504.56712000000005</v>
      </c>
      <c r="E4404" s="228">
        <v>30</v>
      </c>
      <c r="F4404" s="585">
        <f t="shared" si="591"/>
        <v>534.6</v>
      </c>
      <c r="G4404" s="338" t="s">
        <v>13752</v>
      </c>
      <c r="H4404" s="592" t="s">
        <v>13677</v>
      </c>
      <c r="I4404" s="520"/>
      <c r="J4404" s="421" t="s">
        <v>6177</v>
      </c>
      <c r="K4404" s="520" t="s">
        <v>741</v>
      </c>
    </row>
    <row r="4405" spans="1:15" s="194" customFormat="1">
      <c r="A4405" s="421"/>
      <c r="B4405" s="150" t="s">
        <v>13678</v>
      </c>
      <c r="C4405" s="1802">
        <v>399.48</v>
      </c>
      <c r="D4405" s="162">
        <f t="shared" si="590"/>
        <v>533.70528000000013</v>
      </c>
      <c r="E4405" s="228">
        <v>30</v>
      </c>
      <c r="F4405" s="585">
        <f t="shared" si="591"/>
        <v>563.80000000000007</v>
      </c>
      <c r="G4405" s="338" t="s">
        <v>13620</v>
      </c>
      <c r="H4405" s="592" t="s">
        <v>13679</v>
      </c>
      <c r="I4405" s="520"/>
      <c r="J4405" s="421" t="s">
        <v>6177</v>
      </c>
      <c r="K4405" s="520" t="s">
        <v>741</v>
      </c>
    </row>
    <row r="4406" spans="1:15" s="194" customFormat="1">
      <c r="A4406" s="421"/>
      <c r="B4406" s="150" t="s">
        <v>13680</v>
      </c>
      <c r="C4406" s="1802">
        <v>433.79</v>
      </c>
      <c r="D4406" s="162">
        <f t="shared" si="590"/>
        <v>579.54344000000003</v>
      </c>
      <c r="E4406" s="228">
        <v>30</v>
      </c>
      <c r="F4406" s="585">
        <f t="shared" si="591"/>
        <v>609.6</v>
      </c>
      <c r="G4406" s="338" t="s">
        <v>13753</v>
      </c>
      <c r="H4406" s="592" t="s">
        <v>13681</v>
      </c>
      <c r="I4406" s="520"/>
      <c r="J4406" s="421" t="s">
        <v>6177</v>
      </c>
      <c r="K4406" s="520" t="s">
        <v>741</v>
      </c>
    </row>
    <row r="4407" spans="1:15" s="194" customFormat="1">
      <c r="A4407" s="421"/>
      <c r="B4407" s="150" t="s">
        <v>13682</v>
      </c>
      <c r="C4407" s="1802">
        <v>437.27</v>
      </c>
      <c r="D4407" s="162">
        <f t="shared" si="590"/>
        <v>584.19272000000001</v>
      </c>
      <c r="E4407" s="228">
        <v>30</v>
      </c>
      <c r="F4407" s="585">
        <f t="shared" si="591"/>
        <v>614.20000000000005</v>
      </c>
      <c r="G4407" s="338" t="s">
        <v>13754</v>
      </c>
      <c r="H4407" s="592" t="s">
        <v>13683</v>
      </c>
      <c r="I4407" s="520"/>
      <c r="J4407" s="421" t="s">
        <v>6177</v>
      </c>
      <c r="K4407" s="520" t="s">
        <v>741</v>
      </c>
    </row>
    <row r="4408" spans="1:15" s="341" customFormat="1">
      <c r="A4408" s="421"/>
      <c r="B4408" s="150"/>
      <c r="C4408" s="209"/>
      <c r="D4408" s="244"/>
      <c r="E4408" s="228"/>
      <c r="F4408" s="585"/>
      <c r="G4408" s="338"/>
      <c r="H4408" s="592"/>
      <c r="I4408" s="520"/>
      <c r="J4408" s="589"/>
      <c r="K4408" s="520"/>
    </row>
    <row r="4409" spans="1:15" s="35" customFormat="1">
      <c r="A4409" s="502"/>
      <c r="B4409" s="38"/>
      <c r="C4409" s="230"/>
      <c r="D4409" s="215"/>
      <c r="E4409" s="216"/>
      <c r="F4409" s="156"/>
      <c r="G4409" s="59"/>
      <c r="H4409" s="2003"/>
      <c r="I4409" s="501"/>
      <c r="J4409" s="502"/>
      <c r="K4409" s="501"/>
    </row>
    <row r="4410" spans="1:15" s="196" customFormat="1">
      <c r="A4410" s="502"/>
      <c r="B4410" s="38"/>
      <c r="C4410" s="230"/>
      <c r="D4410" s="230"/>
      <c r="E4410" s="216"/>
      <c r="F4410" s="156"/>
      <c r="G4410" s="24"/>
      <c r="H4410" s="2003"/>
      <c r="I4410" s="501"/>
      <c r="J4410" s="502"/>
      <c r="K4410" s="501"/>
      <c r="L4410" s="203"/>
      <c r="M4410" s="203"/>
      <c r="N4410" s="203"/>
      <c r="O4410" s="203"/>
    </row>
    <row r="4411" spans="1:15" s="35" customFormat="1">
      <c r="A4411" s="502"/>
      <c r="B4411" s="60" t="s">
        <v>389</v>
      </c>
      <c r="C4411" s="230"/>
      <c r="D4411" s="230"/>
      <c r="E4411" s="216"/>
      <c r="F4411" s="156"/>
      <c r="G4411" s="501"/>
      <c r="H4411" s="2003"/>
      <c r="I4411" s="501"/>
      <c r="J4411" s="502"/>
      <c r="K4411" s="501"/>
    </row>
    <row r="4412" spans="1:15" s="35" customFormat="1">
      <c r="A4412" s="500"/>
      <c r="B4412" s="38" t="s">
        <v>390</v>
      </c>
      <c r="C4412" s="230"/>
      <c r="D4412" s="230">
        <v>690</v>
      </c>
      <c r="E4412" s="216">
        <v>50</v>
      </c>
      <c r="F4412" s="156">
        <f t="shared" ref="F4412:F4425" si="592">D4412+E4412</f>
        <v>740</v>
      </c>
      <c r="G4412" s="501" t="s">
        <v>391</v>
      </c>
      <c r="H4412" s="2003"/>
      <c r="I4412" s="501"/>
      <c r="J4412" s="500"/>
      <c r="K4412" s="501"/>
    </row>
    <row r="4413" spans="1:15" s="35" customFormat="1">
      <c r="A4413" s="500"/>
      <c r="B4413" s="38" t="s">
        <v>392</v>
      </c>
      <c r="C4413" s="230"/>
      <c r="D4413" s="230">
        <v>635</v>
      </c>
      <c r="E4413" s="216">
        <v>50</v>
      </c>
      <c r="F4413" s="156">
        <f t="shared" si="592"/>
        <v>685</v>
      </c>
      <c r="G4413" s="501" t="s">
        <v>393</v>
      </c>
      <c r="H4413" s="2003"/>
      <c r="I4413" s="501"/>
      <c r="J4413" s="500"/>
      <c r="K4413" s="501"/>
    </row>
    <row r="4414" spans="1:15" s="35" customFormat="1">
      <c r="A4414" s="500"/>
      <c r="B4414" s="38" t="s">
        <v>394</v>
      </c>
      <c r="C4414" s="230"/>
      <c r="D4414" s="230">
        <v>600</v>
      </c>
      <c r="E4414" s="216">
        <v>50</v>
      </c>
      <c r="F4414" s="156">
        <f t="shared" si="592"/>
        <v>650</v>
      </c>
      <c r="G4414" s="501" t="s">
        <v>395</v>
      </c>
      <c r="H4414" s="2003"/>
      <c r="I4414" s="501"/>
      <c r="J4414" s="500"/>
      <c r="K4414" s="501"/>
    </row>
    <row r="4415" spans="1:15" s="35" customFormat="1">
      <c r="A4415" s="500"/>
      <c r="B4415" s="38" t="s">
        <v>396</v>
      </c>
      <c r="C4415" s="230"/>
      <c r="D4415" s="230">
        <v>268</v>
      </c>
      <c r="E4415" s="216">
        <v>30</v>
      </c>
      <c r="F4415" s="156">
        <f t="shared" si="592"/>
        <v>298</v>
      </c>
      <c r="G4415" s="501" t="s">
        <v>397</v>
      </c>
      <c r="H4415" s="2003"/>
      <c r="I4415" s="501"/>
      <c r="J4415" s="500"/>
      <c r="K4415" s="501"/>
    </row>
    <row r="4416" spans="1:15" s="35" customFormat="1">
      <c r="A4416" s="500"/>
      <c r="B4416" s="38" t="s">
        <v>398</v>
      </c>
      <c r="C4416" s="230"/>
      <c r="D4416" s="230">
        <v>268</v>
      </c>
      <c r="E4416" s="216">
        <v>30</v>
      </c>
      <c r="F4416" s="156">
        <f t="shared" si="592"/>
        <v>298</v>
      </c>
      <c r="G4416" s="501" t="s">
        <v>399</v>
      </c>
      <c r="H4416" s="2003"/>
      <c r="I4416" s="501"/>
      <c r="J4416" s="500"/>
      <c r="K4416" s="501"/>
    </row>
    <row r="4417" spans="1:11" s="35" customFormat="1">
      <c r="A4417" s="500"/>
      <c r="B4417" s="38" t="s">
        <v>400</v>
      </c>
      <c r="C4417" s="230"/>
      <c r="D4417" s="230">
        <v>268</v>
      </c>
      <c r="E4417" s="216">
        <v>30</v>
      </c>
      <c r="F4417" s="156">
        <f t="shared" si="592"/>
        <v>298</v>
      </c>
      <c r="G4417" s="501" t="s">
        <v>401</v>
      </c>
      <c r="H4417" s="2003"/>
      <c r="I4417" s="501"/>
      <c r="J4417" s="500"/>
      <c r="K4417" s="501"/>
    </row>
    <row r="4418" spans="1:11" s="35" customFormat="1">
      <c r="A4418" s="500"/>
      <c r="B4418" s="38" t="s">
        <v>402</v>
      </c>
      <c r="C4418" s="230"/>
      <c r="D4418" s="230">
        <v>268</v>
      </c>
      <c r="E4418" s="216">
        <v>30</v>
      </c>
      <c r="F4418" s="156">
        <f t="shared" si="592"/>
        <v>298</v>
      </c>
      <c r="G4418" s="501" t="s">
        <v>403</v>
      </c>
      <c r="H4418" s="2003"/>
      <c r="I4418" s="501"/>
      <c r="J4418" s="500"/>
      <c r="K4418" s="501"/>
    </row>
    <row r="4419" spans="1:11" s="35" customFormat="1">
      <c r="A4419" s="500"/>
      <c r="B4419" s="38" t="s">
        <v>404</v>
      </c>
      <c r="C4419" s="230"/>
      <c r="D4419" s="230">
        <v>167</v>
      </c>
      <c r="E4419" s="216">
        <v>20</v>
      </c>
      <c r="F4419" s="156">
        <f t="shared" si="592"/>
        <v>187</v>
      </c>
      <c r="G4419" s="501" t="s">
        <v>405</v>
      </c>
      <c r="H4419" s="2003"/>
      <c r="I4419" s="501"/>
      <c r="J4419" s="500"/>
      <c r="K4419" s="501"/>
    </row>
    <row r="4420" spans="1:11" s="35" customFormat="1">
      <c r="A4420" s="500"/>
      <c r="B4420" s="38" t="s">
        <v>406</v>
      </c>
      <c r="C4420" s="230"/>
      <c r="D4420" s="230">
        <v>167</v>
      </c>
      <c r="E4420" s="216">
        <v>20</v>
      </c>
      <c r="F4420" s="156">
        <f t="shared" si="592"/>
        <v>187</v>
      </c>
      <c r="G4420" s="501" t="s">
        <v>407</v>
      </c>
      <c r="H4420" s="2003"/>
      <c r="I4420" s="501"/>
      <c r="J4420" s="500"/>
      <c r="K4420" s="501"/>
    </row>
    <row r="4421" spans="1:11" s="35" customFormat="1">
      <c r="A4421" s="500"/>
      <c r="B4421" s="38" t="s">
        <v>408</v>
      </c>
      <c r="C4421" s="230"/>
      <c r="D4421" s="230">
        <v>167</v>
      </c>
      <c r="E4421" s="216">
        <v>20</v>
      </c>
      <c r="F4421" s="156">
        <f t="shared" si="592"/>
        <v>187</v>
      </c>
      <c r="G4421" s="501" t="s">
        <v>409</v>
      </c>
      <c r="H4421" s="2003"/>
      <c r="I4421" s="501"/>
      <c r="J4421" s="500"/>
      <c r="K4421" s="501"/>
    </row>
    <row r="4422" spans="1:11" s="35" customFormat="1">
      <c r="A4422" s="500"/>
      <c r="B4422" s="38" t="s">
        <v>410</v>
      </c>
      <c r="C4422" s="230"/>
      <c r="D4422" s="230">
        <v>167</v>
      </c>
      <c r="E4422" s="216">
        <v>20</v>
      </c>
      <c r="F4422" s="156">
        <f t="shared" si="592"/>
        <v>187</v>
      </c>
      <c r="G4422" s="501" t="s">
        <v>411</v>
      </c>
      <c r="H4422" s="2003"/>
      <c r="I4422" s="501"/>
      <c r="J4422" s="500"/>
      <c r="K4422" s="501"/>
    </row>
    <row r="4423" spans="1:11" s="35" customFormat="1">
      <c r="A4423" s="500"/>
      <c r="B4423" s="38" t="s">
        <v>412</v>
      </c>
      <c r="C4423" s="230"/>
      <c r="D4423" s="230">
        <v>147</v>
      </c>
      <c r="E4423" s="216">
        <v>10</v>
      </c>
      <c r="F4423" s="156">
        <f t="shared" si="592"/>
        <v>157</v>
      </c>
      <c r="G4423" s="501" t="s">
        <v>413</v>
      </c>
      <c r="H4423" s="2003"/>
      <c r="I4423" s="501"/>
      <c r="J4423" s="500"/>
      <c r="K4423" s="501"/>
    </row>
    <row r="4424" spans="1:11" s="35" customFormat="1">
      <c r="A4424" s="500"/>
      <c r="B4424" s="38" t="s">
        <v>414</v>
      </c>
      <c r="C4424" s="230"/>
      <c r="D4424" s="230">
        <v>147</v>
      </c>
      <c r="E4424" s="216">
        <v>10</v>
      </c>
      <c r="F4424" s="156">
        <f t="shared" si="592"/>
        <v>157</v>
      </c>
      <c r="G4424" s="501" t="s">
        <v>415</v>
      </c>
      <c r="H4424" s="2003"/>
      <c r="I4424" s="501"/>
      <c r="J4424" s="500"/>
      <c r="K4424" s="501"/>
    </row>
    <row r="4425" spans="1:11" s="35" customFormat="1">
      <c r="A4425" s="500"/>
      <c r="B4425" s="38" t="s">
        <v>416</v>
      </c>
      <c r="C4425" s="230"/>
      <c r="D4425" s="230">
        <v>147</v>
      </c>
      <c r="E4425" s="216">
        <v>10</v>
      </c>
      <c r="F4425" s="156">
        <f t="shared" si="592"/>
        <v>157</v>
      </c>
      <c r="G4425" s="501" t="s">
        <v>417</v>
      </c>
      <c r="H4425" s="2003"/>
      <c r="I4425" s="501"/>
      <c r="J4425" s="500"/>
      <c r="K4425" s="501"/>
    </row>
    <row r="4426" spans="1:11" s="35" customFormat="1">
      <c r="A4426" s="502"/>
      <c r="B4426" s="38"/>
      <c r="C4426" s="230"/>
      <c r="D4426" s="230"/>
      <c r="E4426" s="216"/>
      <c r="F4426" s="156"/>
      <c r="G4426" s="24"/>
      <c r="H4426" s="2003"/>
      <c r="I4426" s="501"/>
      <c r="J4426" s="502"/>
      <c r="K4426" s="501"/>
    </row>
    <row r="4427" spans="1:11" s="35" customFormat="1">
      <c r="A4427" s="502"/>
      <c r="B4427" s="39" t="s">
        <v>418</v>
      </c>
      <c r="C4427" s="230"/>
      <c r="D4427" s="230"/>
      <c r="E4427" s="216"/>
      <c r="F4427" s="156"/>
      <c r="G4427" s="501"/>
      <c r="H4427" s="2003"/>
      <c r="I4427" s="501"/>
      <c r="J4427" s="502"/>
      <c r="K4427" s="501"/>
    </row>
    <row r="4428" spans="1:11" s="35" customFormat="1">
      <c r="A4428" s="500"/>
      <c r="B4428" s="38" t="s">
        <v>3568</v>
      </c>
      <c r="C4428" s="230"/>
      <c r="D4428" s="230">
        <v>320</v>
      </c>
      <c r="E4428" s="216">
        <v>60</v>
      </c>
      <c r="F4428" s="156">
        <f t="shared" ref="F4428:F4444" si="593">D4428+E4428</f>
        <v>380</v>
      </c>
      <c r="G4428" s="501" t="s">
        <v>3569</v>
      </c>
      <c r="H4428" s="2003"/>
      <c r="I4428" s="501"/>
      <c r="J4428" s="500"/>
    </row>
    <row r="4429" spans="1:11" s="35" customFormat="1">
      <c r="A4429" s="500"/>
      <c r="B4429" s="38" t="s">
        <v>419</v>
      </c>
      <c r="C4429" s="230"/>
      <c r="D4429" s="230">
        <v>250</v>
      </c>
      <c r="E4429" s="216">
        <v>50</v>
      </c>
      <c r="F4429" s="156">
        <f t="shared" si="593"/>
        <v>300</v>
      </c>
      <c r="G4429" s="501" t="s">
        <v>420</v>
      </c>
      <c r="H4429" s="2003"/>
      <c r="I4429" s="501"/>
      <c r="J4429" s="500"/>
    </row>
    <row r="4430" spans="1:11" s="35" customFormat="1">
      <c r="A4430" s="500"/>
      <c r="B4430" s="38" t="s">
        <v>1847</v>
      </c>
      <c r="C4430" s="230"/>
      <c r="D4430" s="230">
        <v>250</v>
      </c>
      <c r="E4430" s="216">
        <v>50</v>
      </c>
      <c r="F4430" s="156">
        <f t="shared" si="593"/>
        <v>300</v>
      </c>
      <c r="G4430" s="501" t="s">
        <v>1848</v>
      </c>
      <c r="H4430" s="2003"/>
      <c r="I4430" s="501"/>
      <c r="J4430" s="500"/>
      <c r="K4430" s="501" t="s">
        <v>741</v>
      </c>
    </row>
    <row r="4431" spans="1:11" s="35" customFormat="1">
      <c r="A4431" s="500"/>
      <c r="B4431" s="38" t="s">
        <v>1849</v>
      </c>
      <c r="C4431" s="230"/>
      <c r="D4431" s="230">
        <v>250</v>
      </c>
      <c r="E4431" s="216">
        <v>50</v>
      </c>
      <c r="F4431" s="156">
        <f t="shared" si="593"/>
        <v>300</v>
      </c>
      <c r="G4431" s="501" t="s">
        <v>421</v>
      </c>
      <c r="H4431" s="2003"/>
      <c r="I4431" s="501"/>
      <c r="J4431" s="500"/>
      <c r="K4431" s="501"/>
    </row>
    <row r="4432" spans="1:11" s="35" customFormat="1">
      <c r="A4432" s="500"/>
      <c r="B4432" s="539" t="s">
        <v>1850</v>
      </c>
      <c r="C4432" s="230"/>
      <c r="D4432" s="230">
        <v>250</v>
      </c>
      <c r="E4432" s="462">
        <v>50</v>
      </c>
      <c r="F4432" s="164">
        <f t="shared" si="593"/>
        <v>300</v>
      </c>
      <c r="G4432" s="525" t="s">
        <v>422</v>
      </c>
      <c r="H4432" s="2003"/>
      <c r="I4432" s="501"/>
      <c r="J4432" s="500"/>
      <c r="K4432" s="501"/>
    </row>
    <row r="4433" spans="1:11" s="35" customFormat="1">
      <c r="A4433" s="502"/>
      <c r="B4433" s="38" t="s">
        <v>90</v>
      </c>
      <c r="C4433" s="230"/>
      <c r="D4433" s="230">
        <v>150</v>
      </c>
      <c r="E4433" s="216">
        <v>30</v>
      </c>
      <c r="F4433" s="156">
        <f t="shared" si="593"/>
        <v>180</v>
      </c>
      <c r="G4433" s="501" t="s">
        <v>423</v>
      </c>
      <c r="H4433" s="2003"/>
      <c r="I4433" s="501"/>
      <c r="J4433" s="502"/>
      <c r="K4433" s="501"/>
    </row>
    <row r="4434" spans="1:11" s="35" customFormat="1">
      <c r="A4434" s="500"/>
      <c r="B4434" s="38" t="s">
        <v>1851</v>
      </c>
      <c r="C4434" s="230"/>
      <c r="D4434" s="230">
        <v>150</v>
      </c>
      <c r="E4434" s="216">
        <v>30</v>
      </c>
      <c r="F4434" s="156">
        <f t="shared" si="593"/>
        <v>180</v>
      </c>
      <c r="G4434" s="501" t="s">
        <v>424</v>
      </c>
      <c r="H4434" s="2003"/>
      <c r="I4434" s="501"/>
      <c r="J4434" s="500"/>
      <c r="K4434" s="501"/>
    </row>
    <row r="4435" spans="1:11" s="35" customFormat="1">
      <c r="A4435" s="502"/>
      <c r="B4435" s="38" t="s">
        <v>425</v>
      </c>
      <c r="C4435" s="230"/>
      <c r="D4435" s="230">
        <v>150</v>
      </c>
      <c r="E4435" s="216">
        <v>30</v>
      </c>
      <c r="F4435" s="156">
        <f t="shared" si="593"/>
        <v>180</v>
      </c>
      <c r="G4435" s="501" t="s">
        <v>426</v>
      </c>
      <c r="H4435" s="2003"/>
      <c r="I4435" s="501"/>
      <c r="J4435" s="502"/>
      <c r="K4435" s="501"/>
    </row>
    <row r="4436" spans="1:11" s="35" customFormat="1">
      <c r="A4436" s="502"/>
      <c r="B4436" s="38" t="s">
        <v>31</v>
      </c>
      <c r="C4436" s="230"/>
      <c r="D4436" s="230">
        <v>150</v>
      </c>
      <c r="E4436" s="216">
        <v>30</v>
      </c>
      <c r="F4436" s="156">
        <f t="shared" si="593"/>
        <v>180</v>
      </c>
      <c r="G4436" s="501" t="s">
        <v>427</v>
      </c>
      <c r="H4436" s="2003"/>
      <c r="I4436" s="501"/>
      <c r="J4436" s="502"/>
      <c r="K4436" s="501"/>
    </row>
    <row r="4437" spans="1:11" s="35" customFormat="1">
      <c r="A4437" s="500"/>
      <c r="B4437" s="38" t="s">
        <v>1852</v>
      </c>
      <c r="C4437" s="230"/>
      <c r="D4437" s="230">
        <v>90</v>
      </c>
      <c r="E4437" s="216">
        <v>20</v>
      </c>
      <c r="F4437" s="156">
        <f t="shared" si="593"/>
        <v>110</v>
      </c>
      <c r="G4437" s="501" t="s">
        <v>428</v>
      </c>
      <c r="H4437" s="2003"/>
      <c r="I4437" s="501"/>
      <c r="J4437" s="500"/>
      <c r="K4437" s="501"/>
    </row>
    <row r="4438" spans="1:11" s="35" customFormat="1">
      <c r="A4438" s="502"/>
      <c r="B4438" s="38" t="s">
        <v>32</v>
      </c>
      <c r="C4438" s="230"/>
      <c r="D4438" s="230">
        <v>90</v>
      </c>
      <c r="E4438" s="216">
        <v>20</v>
      </c>
      <c r="F4438" s="156">
        <f t="shared" si="593"/>
        <v>110</v>
      </c>
      <c r="G4438" s="501" t="s">
        <v>429</v>
      </c>
      <c r="H4438" s="2003"/>
      <c r="I4438" s="501"/>
      <c r="J4438" s="502"/>
      <c r="K4438" s="501"/>
    </row>
    <row r="4439" spans="1:11" s="35" customFormat="1">
      <c r="A4439" s="500"/>
      <c r="B4439" s="38" t="s">
        <v>1853</v>
      </c>
      <c r="C4439" s="230"/>
      <c r="D4439" s="230">
        <v>90</v>
      </c>
      <c r="E4439" s="216">
        <v>20</v>
      </c>
      <c r="F4439" s="156">
        <f t="shared" si="593"/>
        <v>110</v>
      </c>
      <c r="G4439" s="501" t="s">
        <v>430</v>
      </c>
      <c r="H4439" s="2003"/>
      <c r="I4439" s="501"/>
      <c r="J4439" s="500"/>
      <c r="K4439" s="501"/>
    </row>
    <row r="4440" spans="1:11" s="35" customFormat="1">
      <c r="A4440" s="500"/>
      <c r="B4440" s="38" t="s">
        <v>1854</v>
      </c>
      <c r="C4440" s="230"/>
      <c r="D4440" s="230">
        <v>90</v>
      </c>
      <c r="E4440" s="216">
        <v>20</v>
      </c>
      <c r="F4440" s="156">
        <f t="shared" si="593"/>
        <v>110</v>
      </c>
      <c r="G4440" s="501" t="s">
        <v>431</v>
      </c>
      <c r="H4440" s="2003"/>
      <c r="I4440" s="501"/>
      <c r="J4440" s="500"/>
      <c r="K4440" s="501"/>
    </row>
    <row r="4441" spans="1:11" s="35" customFormat="1">
      <c r="A4441" s="502"/>
      <c r="B4441" s="38" t="s">
        <v>33</v>
      </c>
      <c r="C4441" s="230"/>
      <c r="D4441" s="230">
        <v>65</v>
      </c>
      <c r="E4441" s="216">
        <v>10</v>
      </c>
      <c r="F4441" s="156">
        <f t="shared" si="593"/>
        <v>75</v>
      </c>
      <c r="G4441" s="501" t="s">
        <v>432</v>
      </c>
      <c r="H4441" s="2003"/>
      <c r="I4441" s="501"/>
      <c r="J4441" s="502"/>
      <c r="K4441" s="501"/>
    </row>
    <row r="4442" spans="1:11" s="35" customFormat="1">
      <c r="A4442" s="500"/>
      <c r="B4442" s="38" t="s">
        <v>1855</v>
      </c>
      <c r="C4442" s="230"/>
      <c r="D4442" s="230">
        <v>65</v>
      </c>
      <c r="E4442" s="216">
        <v>10</v>
      </c>
      <c r="F4442" s="156">
        <f t="shared" si="593"/>
        <v>75</v>
      </c>
      <c r="G4442" s="501" t="s">
        <v>433</v>
      </c>
      <c r="H4442" s="2003"/>
      <c r="I4442" s="501"/>
      <c r="J4442" s="500"/>
      <c r="K4442" s="501"/>
    </row>
    <row r="4443" spans="1:11" s="35" customFormat="1">
      <c r="A4443" s="500"/>
      <c r="B4443" s="38" t="s">
        <v>1856</v>
      </c>
      <c r="C4443" s="230"/>
      <c r="D4443" s="230">
        <v>65</v>
      </c>
      <c r="E4443" s="216">
        <v>10</v>
      </c>
      <c r="F4443" s="156">
        <f t="shared" si="593"/>
        <v>75</v>
      </c>
      <c r="G4443" s="501" t="s">
        <v>1857</v>
      </c>
      <c r="H4443" s="2003"/>
      <c r="I4443" s="501"/>
      <c r="J4443" s="500"/>
      <c r="K4443" s="501" t="s">
        <v>741</v>
      </c>
    </row>
    <row r="4444" spans="1:11" s="35" customFormat="1">
      <c r="A4444" s="502"/>
      <c r="B4444" s="38" t="s">
        <v>143</v>
      </c>
      <c r="C4444" s="230"/>
      <c r="D4444" s="384">
        <v>55</v>
      </c>
      <c r="E4444" s="216">
        <v>10</v>
      </c>
      <c r="F4444" s="156">
        <f t="shared" si="593"/>
        <v>65</v>
      </c>
      <c r="G4444" s="501" t="s">
        <v>434</v>
      </c>
      <c r="H4444" s="2003"/>
      <c r="I4444" s="501"/>
      <c r="J4444" s="502"/>
      <c r="K4444" s="501"/>
    </row>
    <row r="4445" spans="1:11" s="35" customFormat="1">
      <c r="A4445" s="502"/>
      <c r="B4445" s="38" t="s">
        <v>8329</v>
      </c>
      <c r="C4445" s="230"/>
      <c r="D4445" s="384">
        <v>55</v>
      </c>
      <c r="E4445" s="216">
        <v>10</v>
      </c>
      <c r="F4445" s="156">
        <f>D4445+E4445</f>
        <v>65</v>
      </c>
      <c r="G4445" s="501" t="s">
        <v>8330</v>
      </c>
      <c r="H4445" s="2003"/>
      <c r="I4445" s="501"/>
      <c r="J4445" s="502"/>
      <c r="K4445" s="501"/>
    </row>
    <row r="4446" spans="1:11" s="35" customFormat="1">
      <c r="A4446" s="502"/>
      <c r="B4446" s="38"/>
      <c r="C4446" s="230"/>
      <c r="D4446" s="230"/>
      <c r="E4446" s="216"/>
      <c r="F4446" s="156"/>
      <c r="G4446" s="501"/>
      <c r="H4446" s="2003"/>
      <c r="I4446" s="501"/>
      <c r="J4446" s="502"/>
      <c r="K4446" s="501"/>
    </row>
    <row r="4447" spans="1:11" s="35" customFormat="1">
      <c r="A4447" s="502"/>
      <c r="B4447" s="38" t="s">
        <v>8331</v>
      </c>
      <c r="C4447" s="230"/>
      <c r="D4447" s="230">
        <f>1.67*116*0.8</f>
        <v>154.976</v>
      </c>
      <c r="E4447" s="216">
        <v>30</v>
      </c>
      <c r="F4447" s="156">
        <f t="shared" ref="F4447:F4452" si="594">D4447+E4447</f>
        <v>184.976</v>
      </c>
      <c r="G4447" s="501" t="s">
        <v>8332</v>
      </c>
      <c r="H4447" s="2003"/>
      <c r="I4447" s="501"/>
      <c r="J4447" s="502"/>
      <c r="K4447" s="501"/>
    </row>
    <row r="4448" spans="1:11" s="35" customFormat="1">
      <c r="A4448" s="502"/>
      <c r="B4448" s="38" t="s">
        <v>8333</v>
      </c>
      <c r="C4448" s="230"/>
      <c r="D4448" s="230">
        <f>1.67*102*0.8</f>
        <v>136.27200000000002</v>
      </c>
      <c r="E4448" s="216">
        <v>30</v>
      </c>
      <c r="F4448" s="156">
        <f t="shared" si="594"/>
        <v>166.27200000000002</v>
      </c>
      <c r="G4448" s="501" t="s">
        <v>8334</v>
      </c>
      <c r="H4448" s="2003"/>
      <c r="I4448" s="501"/>
      <c r="J4448" s="502"/>
      <c r="K4448" s="501"/>
    </row>
    <row r="4449" spans="1:11" s="35" customFormat="1">
      <c r="A4449" s="502"/>
      <c r="B4449" s="38" t="s">
        <v>8335</v>
      </c>
      <c r="C4449" s="230"/>
      <c r="D4449" s="230">
        <v>150</v>
      </c>
      <c r="E4449" s="216">
        <v>30</v>
      </c>
      <c r="F4449" s="156">
        <f t="shared" si="594"/>
        <v>180</v>
      </c>
      <c r="G4449" s="501" t="s">
        <v>8336</v>
      </c>
      <c r="H4449" s="2003"/>
      <c r="I4449" s="501"/>
      <c r="J4449" s="502"/>
      <c r="K4449" s="501"/>
    </row>
    <row r="4450" spans="1:11" s="35" customFormat="1">
      <c r="A4450" s="500"/>
      <c r="B4450" s="38" t="s">
        <v>8337</v>
      </c>
      <c r="C4450" s="230"/>
      <c r="D4450" s="230">
        <f>1.67*67*0.8</f>
        <v>89.512</v>
      </c>
      <c r="E4450" s="216">
        <v>20</v>
      </c>
      <c r="F4450" s="156">
        <f t="shared" si="594"/>
        <v>109.512</v>
      </c>
      <c r="G4450" s="501" t="s">
        <v>8338</v>
      </c>
      <c r="H4450" s="2003"/>
      <c r="I4450" s="501"/>
      <c r="J4450" s="500"/>
      <c r="K4450" s="501"/>
    </row>
    <row r="4451" spans="1:11" s="35" customFormat="1">
      <c r="A4451" s="500"/>
      <c r="B4451" s="38" t="s">
        <v>8339</v>
      </c>
      <c r="C4451" s="230"/>
      <c r="D4451" s="230">
        <v>90</v>
      </c>
      <c r="E4451" s="216">
        <v>20</v>
      </c>
      <c r="F4451" s="156">
        <f t="shared" si="594"/>
        <v>110</v>
      </c>
      <c r="G4451" s="501" t="s">
        <v>8340</v>
      </c>
      <c r="H4451" s="2003"/>
      <c r="I4451" s="501"/>
      <c r="J4451" s="500"/>
      <c r="K4451" s="501"/>
    </row>
    <row r="4452" spans="1:11" s="35" customFormat="1">
      <c r="A4452" s="502"/>
      <c r="B4452" s="38" t="s">
        <v>8341</v>
      </c>
      <c r="C4452" s="230"/>
      <c r="D4452" s="230">
        <f>1.67*54*0.8</f>
        <v>72.143999999999991</v>
      </c>
      <c r="E4452" s="216">
        <v>20</v>
      </c>
      <c r="F4452" s="156">
        <f t="shared" si="594"/>
        <v>92.143999999999991</v>
      </c>
      <c r="G4452" s="501" t="s">
        <v>8342</v>
      </c>
      <c r="H4452" s="2003"/>
      <c r="I4452" s="501"/>
      <c r="J4452" s="502"/>
      <c r="K4452" s="501"/>
    </row>
    <row r="4453" spans="1:11" s="35" customFormat="1">
      <c r="A4453" s="502"/>
      <c r="B4453" s="38"/>
      <c r="C4453" s="230"/>
      <c r="D4453" s="230"/>
      <c r="E4453" s="216"/>
      <c r="F4453" s="156"/>
      <c r="G4453" s="501"/>
      <c r="H4453" s="2003"/>
      <c r="I4453" s="501"/>
      <c r="J4453" s="502"/>
      <c r="K4453" s="501"/>
    </row>
    <row r="4454" spans="1:11" s="35" customFormat="1">
      <c r="A4454" s="502"/>
      <c r="B4454" s="38"/>
      <c r="C4454" s="230"/>
      <c r="D4454" s="230"/>
      <c r="E4454" s="216"/>
      <c r="F4454" s="156"/>
      <c r="G4454" s="501"/>
      <c r="H4454" s="2003"/>
      <c r="I4454" s="501"/>
      <c r="J4454" s="502"/>
      <c r="K4454" s="501"/>
    </row>
    <row r="4455" spans="1:11" s="35" customFormat="1">
      <c r="A4455" s="502"/>
      <c r="B4455" s="38"/>
      <c r="C4455" s="230"/>
      <c r="D4455" s="230"/>
      <c r="E4455" s="216"/>
      <c r="F4455" s="156"/>
      <c r="G4455" s="501"/>
      <c r="H4455" s="2003"/>
      <c r="I4455" s="501"/>
      <c r="J4455" s="502"/>
      <c r="K4455" s="501"/>
    </row>
    <row r="4456" spans="1:11" s="35" customFormat="1">
      <c r="A4456" s="500"/>
      <c r="B4456" s="540" t="s">
        <v>460</v>
      </c>
      <c r="C4456" s="498"/>
      <c r="D4456" s="498">
        <v>250</v>
      </c>
      <c r="E4456" s="493">
        <v>50</v>
      </c>
      <c r="F4456" s="494">
        <f t="shared" ref="F4456:F4462" si="595">D4456+E4456</f>
        <v>300</v>
      </c>
      <c r="G4456" s="541" t="s">
        <v>422</v>
      </c>
      <c r="H4456" s="2003"/>
      <c r="I4456" s="501"/>
      <c r="J4456" s="500"/>
      <c r="K4456" s="501"/>
    </row>
    <row r="4457" spans="1:11" s="35" customFormat="1">
      <c r="A4457" s="500"/>
      <c r="B4457" s="540" t="s">
        <v>462</v>
      </c>
      <c r="C4457" s="498"/>
      <c r="D4457" s="498">
        <v>250</v>
      </c>
      <c r="E4457" s="493">
        <v>50</v>
      </c>
      <c r="F4457" s="494">
        <f t="shared" si="595"/>
        <v>300</v>
      </c>
      <c r="G4457" s="541" t="s">
        <v>421</v>
      </c>
      <c r="H4457" s="2003"/>
      <c r="I4457" s="501"/>
      <c r="J4457" s="500"/>
      <c r="K4457" s="501"/>
    </row>
    <row r="4458" spans="1:11" s="35" customFormat="1">
      <c r="A4458" s="500"/>
      <c r="B4458" s="540" t="s">
        <v>461</v>
      </c>
      <c r="C4458" s="498"/>
      <c r="D4458" s="498">
        <v>150</v>
      </c>
      <c r="E4458" s="493">
        <v>30</v>
      </c>
      <c r="F4458" s="494">
        <f t="shared" si="595"/>
        <v>180</v>
      </c>
      <c r="G4458" s="541" t="s">
        <v>424</v>
      </c>
      <c r="H4458" s="2003"/>
      <c r="I4458" s="501"/>
      <c r="J4458" s="500"/>
      <c r="K4458" s="501"/>
    </row>
    <row r="4459" spans="1:11" s="35" customFormat="1">
      <c r="A4459" s="500"/>
      <c r="B4459" s="540" t="s">
        <v>463</v>
      </c>
      <c r="C4459" s="498"/>
      <c r="D4459" s="498">
        <v>90</v>
      </c>
      <c r="E4459" s="493">
        <v>20</v>
      </c>
      <c r="F4459" s="494">
        <f t="shared" si="595"/>
        <v>110</v>
      </c>
      <c r="G4459" s="541" t="s">
        <v>428</v>
      </c>
      <c r="H4459" s="2003"/>
      <c r="I4459" s="501"/>
      <c r="J4459" s="500"/>
      <c r="K4459" s="501"/>
    </row>
    <row r="4460" spans="1:11" s="35" customFormat="1">
      <c r="A4460" s="500"/>
      <c r="B4460" s="540" t="s">
        <v>466</v>
      </c>
      <c r="C4460" s="498"/>
      <c r="D4460" s="498">
        <v>90</v>
      </c>
      <c r="E4460" s="493">
        <v>20</v>
      </c>
      <c r="F4460" s="494">
        <f t="shared" si="595"/>
        <v>110</v>
      </c>
      <c r="G4460" s="541" t="s">
        <v>430</v>
      </c>
      <c r="H4460" s="2003"/>
      <c r="I4460" s="501"/>
      <c r="J4460" s="500"/>
      <c r="K4460" s="501"/>
    </row>
    <row r="4461" spans="1:11" s="35" customFormat="1">
      <c r="A4461" s="500"/>
      <c r="B4461" s="540" t="s">
        <v>464</v>
      </c>
      <c r="C4461" s="498"/>
      <c r="D4461" s="498">
        <v>90</v>
      </c>
      <c r="E4461" s="493">
        <v>20</v>
      </c>
      <c r="F4461" s="494">
        <f t="shared" si="595"/>
        <v>110</v>
      </c>
      <c r="G4461" s="541" t="s">
        <v>431</v>
      </c>
      <c r="H4461" s="2003"/>
      <c r="I4461" s="501"/>
      <c r="J4461" s="500"/>
      <c r="K4461" s="501"/>
    </row>
    <row r="4462" spans="1:11" s="35" customFormat="1">
      <c r="A4462" s="500"/>
      <c r="B4462" s="540" t="s">
        <v>465</v>
      </c>
      <c r="C4462" s="498"/>
      <c r="D4462" s="498">
        <v>65</v>
      </c>
      <c r="E4462" s="493">
        <v>10</v>
      </c>
      <c r="F4462" s="494">
        <f t="shared" si="595"/>
        <v>75</v>
      </c>
      <c r="G4462" s="541" t="s">
        <v>433</v>
      </c>
      <c r="H4462" s="2003"/>
      <c r="I4462" s="501"/>
      <c r="J4462" s="500"/>
      <c r="K4462" s="501"/>
    </row>
    <row r="4463" spans="1:11" s="35" customFormat="1">
      <c r="A4463" s="502"/>
      <c r="B4463" s="38"/>
      <c r="C4463" s="230"/>
      <c r="D4463" s="230"/>
      <c r="E4463" s="216"/>
      <c r="F4463" s="156"/>
      <c r="G4463" s="501"/>
      <c r="H4463" s="2003"/>
      <c r="I4463" s="501"/>
      <c r="J4463" s="502"/>
      <c r="K4463" s="501"/>
    </row>
    <row r="4464" spans="1:11" s="35" customFormat="1">
      <c r="A4464" s="502"/>
      <c r="B4464" s="38" t="s">
        <v>34</v>
      </c>
      <c r="C4464" s="230"/>
      <c r="D4464" s="230">
        <v>10</v>
      </c>
      <c r="E4464" s="216"/>
      <c r="F4464" s="156">
        <f>D4464+E4464</f>
        <v>10</v>
      </c>
      <c r="G4464" s="501" t="s">
        <v>8343</v>
      </c>
      <c r="H4464" s="2003"/>
      <c r="I4464" s="501"/>
      <c r="J4464" s="502"/>
      <c r="K4464" s="501"/>
    </row>
    <row r="4465" spans="1:11" s="35" customFormat="1">
      <c r="A4465" s="502"/>
      <c r="B4465" s="38" t="s">
        <v>435</v>
      </c>
      <c r="C4465" s="230"/>
      <c r="D4465" s="230">
        <v>12</v>
      </c>
      <c r="E4465" s="216"/>
      <c r="F4465" s="156">
        <f>D4465+E4465</f>
        <v>12</v>
      </c>
      <c r="G4465" s="501" t="s">
        <v>8344</v>
      </c>
      <c r="H4465" s="2003"/>
      <c r="I4465" s="501"/>
      <c r="J4465" s="502"/>
      <c r="K4465" s="501"/>
    </row>
    <row r="4466" spans="1:11" s="35" customFormat="1">
      <c r="A4466" s="502"/>
      <c r="B4466" s="38" t="s">
        <v>436</v>
      </c>
      <c r="C4466" s="384"/>
      <c r="D4466" s="230">
        <v>4</v>
      </c>
      <c r="E4466" s="216"/>
      <c r="F4466" s="156">
        <f t="shared" ref="F4466:F4476" si="596">D4466+E4466</f>
        <v>4</v>
      </c>
      <c r="G4466" s="501" t="s">
        <v>8345</v>
      </c>
      <c r="H4466" s="2003"/>
      <c r="I4466" s="501"/>
      <c r="J4466" s="500"/>
      <c r="K4466" s="501" t="s">
        <v>741</v>
      </c>
    </row>
    <row r="4467" spans="1:11" s="195" customFormat="1">
      <c r="A4467" s="523"/>
      <c r="B4467" s="539"/>
      <c r="C4467" s="230"/>
      <c r="D4467" s="230"/>
      <c r="E4467" s="462"/>
      <c r="F4467" s="164"/>
      <c r="G4467" s="525"/>
      <c r="H4467" s="2036"/>
      <c r="I4467" s="525"/>
      <c r="J4467" s="523"/>
      <c r="K4467" s="525"/>
    </row>
    <row r="4468" spans="1:11" s="35" customFormat="1">
      <c r="A4468" s="500"/>
      <c r="B4468" s="38" t="s">
        <v>14000</v>
      </c>
      <c r="C4468" s="384"/>
      <c r="D4468" s="384">
        <v>15</v>
      </c>
      <c r="E4468" s="216"/>
      <c r="F4468" s="156">
        <f t="shared" ref="F4468:F4473" si="597">D4468+E4468</f>
        <v>15</v>
      </c>
      <c r="G4468" s="542" t="s">
        <v>8353</v>
      </c>
      <c r="H4468" s="2003"/>
      <c r="I4468" s="501"/>
      <c r="J4468" s="500"/>
      <c r="K4468" s="501" t="s">
        <v>741</v>
      </c>
    </row>
    <row r="4469" spans="1:11" s="35" customFormat="1">
      <c r="A4469" s="500"/>
      <c r="B4469" s="38" t="s">
        <v>8352</v>
      </c>
      <c r="C4469" s="384"/>
      <c r="D4469" s="384">
        <v>10</v>
      </c>
      <c r="E4469" s="216"/>
      <c r="F4469" s="156">
        <f t="shared" si="597"/>
        <v>10</v>
      </c>
      <c r="G4469" s="542" t="s">
        <v>14001</v>
      </c>
      <c r="H4469" s="2003"/>
      <c r="I4469" s="501"/>
      <c r="J4469" s="500"/>
      <c r="K4469" s="501" t="s">
        <v>741</v>
      </c>
    </row>
    <row r="4470" spans="1:11" s="35" customFormat="1">
      <c r="A4470" s="500"/>
      <c r="B4470" s="38" t="s">
        <v>8350</v>
      </c>
      <c r="C4470" s="384"/>
      <c r="D4470" s="384">
        <v>8</v>
      </c>
      <c r="E4470" s="216"/>
      <c r="F4470" s="156">
        <f t="shared" si="597"/>
        <v>8</v>
      </c>
      <c r="G4470" s="542" t="s">
        <v>8351</v>
      </c>
      <c r="H4470" s="2003"/>
      <c r="I4470" s="501"/>
      <c r="J4470" s="500"/>
      <c r="K4470" s="501" t="s">
        <v>741</v>
      </c>
    </row>
    <row r="4471" spans="1:11" s="35" customFormat="1">
      <c r="A4471" s="500"/>
      <c r="B4471" s="38" t="s">
        <v>8348</v>
      </c>
      <c r="C4471" s="384"/>
      <c r="D4471" s="384">
        <v>5</v>
      </c>
      <c r="E4471" s="216"/>
      <c r="F4471" s="156">
        <f t="shared" si="597"/>
        <v>5</v>
      </c>
      <c r="G4471" s="542" t="s">
        <v>8349</v>
      </c>
      <c r="H4471" s="2003"/>
      <c r="I4471" s="501"/>
      <c r="J4471" s="500"/>
      <c r="K4471" s="501" t="s">
        <v>741</v>
      </c>
    </row>
    <row r="4472" spans="1:11" s="35" customFormat="1">
      <c r="A4472" s="500"/>
      <c r="B4472" s="38" t="s">
        <v>455</v>
      </c>
      <c r="C4472" s="384"/>
      <c r="D4472" s="384">
        <v>4</v>
      </c>
      <c r="E4472" s="216"/>
      <c r="F4472" s="156">
        <f t="shared" si="597"/>
        <v>4</v>
      </c>
      <c r="G4472" s="542" t="s">
        <v>8347</v>
      </c>
      <c r="H4472" s="2003"/>
      <c r="I4472" s="501"/>
      <c r="J4472" s="500"/>
      <c r="K4472" s="501" t="s">
        <v>741</v>
      </c>
    </row>
    <row r="4473" spans="1:11" s="35" customFormat="1">
      <c r="A4473" s="500"/>
      <c r="B4473" s="38" t="s">
        <v>437</v>
      </c>
      <c r="C4473" s="384"/>
      <c r="D4473" s="384">
        <v>2.5</v>
      </c>
      <c r="E4473" s="216"/>
      <c r="F4473" s="156">
        <f t="shared" si="597"/>
        <v>2.5</v>
      </c>
      <c r="G4473" s="542" t="s">
        <v>8346</v>
      </c>
      <c r="H4473" s="2003"/>
      <c r="I4473" s="501"/>
      <c r="J4473" s="500"/>
      <c r="K4473" s="501" t="s">
        <v>741</v>
      </c>
    </row>
    <row r="4474" spans="1:11" s="195" customFormat="1">
      <c r="A4474" s="523"/>
      <c r="B4474" s="539"/>
      <c r="C4474" s="230"/>
      <c r="D4474" s="230"/>
      <c r="E4474" s="462"/>
      <c r="F4474" s="164"/>
      <c r="G4474" s="525"/>
      <c r="H4474" s="2036"/>
      <c r="I4474" s="525"/>
      <c r="J4474" s="523"/>
      <c r="K4474" s="525"/>
    </row>
    <row r="4475" spans="1:11" s="35" customFormat="1">
      <c r="A4475" s="502"/>
      <c r="B4475" s="38" t="s">
        <v>438</v>
      </c>
      <c r="C4475" s="230"/>
      <c r="D4475" s="230">
        <v>3</v>
      </c>
      <c r="E4475" s="216"/>
      <c r="F4475" s="156">
        <f t="shared" si="596"/>
        <v>3</v>
      </c>
      <c r="G4475" s="501" t="s">
        <v>8354</v>
      </c>
      <c r="H4475" s="2003"/>
      <c r="I4475" s="501"/>
      <c r="J4475" s="502"/>
      <c r="K4475" s="501"/>
    </row>
    <row r="4476" spans="1:11" s="35" customFormat="1">
      <c r="A4476" s="502"/>
      <c r="B4476" s="38" t="s">
        <v>35</v>
      </c>
      <c r="C4476" s="230"/>
      <c r="D4476" s="230">
        <v>3</v>
      </c>
      <c r="E4476" s="216"/>
      <c r="F4476" s="156">
        <f t="shared" si="596"/>
        <v>3</v>
      </c>
      <c r="G4476" s="501"/>
      <c r="H4476" s="2003"/>
      <c r="I4476" s="501"/>
      <c r="J4476" s="502"/>
      <c r="K4476" s="501"/>
    </row>
    <row r="4477" spans="1:11" s="35" customFormat="1">
      <c r="A4477" s="500"/>
      <c r="B4477" s="38" t="s">
        <v>453</v>
      </c>
      <c r="C4477" s="230">
        <f>(0.37+2.1)*1.1</f>
        <v>2.7170000000000005</v>
      </c>
      <c r="D4477" s="215">
        <f>C4477*fcl</f>
        <v>4.5373900000000003</v>
      </c>
      <c r="E4477" s="216">
        <v>2</v>
      </c>
      <c r="F4477" s="156">
        <f>D4477+E4477</f>
        <v>6.5373900000000003</v>
      </c>
      <c r="G4477" s="501" t="s">
        <v>8355</v>
      </c>
      <c r="H4477" s="2003"/>
      <c r="I4477" s="501"/>
      <c r="J4477" s="500"/>
      <c r="K4477" s="501" t="s">
        <v>741</v>
      </c>
    </row>
    <row r="4478" spans="1:11" s="35" customFormat="1">
      <c r="A4478" s="502"/>
      <c r="B4478" s="38"/>
      <c r="C4478" s="230"/>
      <c r="D4478" s="230"/>
      <c r="E4478" s="216"/>
      <c r="F4478" s="156"/>
      <c r="G4478" s="501"/>
      <c r="H4478" s="2003"/>
      <c r="I4478" s="501"/>
      <c r="J4478" s="502"/>
      <c r="K4478" s="501"/>
    </row>
    <row r="4479" spans="1:11" s="35" customFormat="1">
      <c r="A4479" s="511"/>
      <c r="B4479" s="38" t="s">
        <v>440</v>
      </c>
      <c r="C4479" s="230"/>
      <c r="D4479" s="230">
        <v>25</v>
      </c>
      <c r="E4479" s="216">
        <v>5</v>
      </c>
      <c r="F4479" s="156">
        <f>D4479+E4479</f>
        <v>30</v>
      </c>
      <c r="G4479" s="501" t="s">
        <v>739</v>
      </c>
      <c r="H4479" s="2003"/>
      <c r="I4479" s="501"/>
      <c r="J4479" s="511"/>
      <c r="K4479" s="501"/>
    </row>
    <row r="4480" spans="1:11" s="35" customFormat="1">
      <c r="A4480" s="502"/>
      <c r="B4480" s="38"/>
      <c r="C4480" s="230"/>
      <c r="D4480" s="230"/>
      <c r="E4480" s="216"/>
      <c r="F4480" s="156"/>
      <c r="G4480" s="501"/>
      <c r="H4480" s="2003"/>
      <c r="I4480" s="501"/>
      <c r="J4480" s="502"/>
      <c r="K4480" s="501"/>
    </row>
    <row r="4481" spans="1:11" s="35" customFormat="1">
      <c r="A4481" s="502"/>
      <c r="B4481" s="29"/>
      <c r="C4481" s="230"/>
      <c r="D4481" s="215"/>
      <c r="E4481" s="216"/>
      <c r="F4481" s="156"/>
      <c r="G4481" s="501"/>
      <c r="H4481" s="2003"/>
      <c r="I4481" s="501"/>
      <c r="J4481" s="502"/>
      <c r="K4481" s="501"/>
    </row>
    <row r="4482" spans="1:11" s="35" customFormat="1">
      <c r="A4482" s="502"/>
      <c r="B4482" s="61" t="s">
        <v>441</v>
      </c>
      <c r="C4482" s="230"/>
      <c r="D4482" s="217"/>
      <c r="E4482" s="216"/>
      <c r="F4482" s="156"/>
      <c r="G4482" s="501"/>
      <c r="H4482" s="2003"/>
      <c r="I4482" s="501"/>
      <c r="J4482" s="502"/>
      <c r="K4482" s="501"/>
    </row>
    <row r="4483" spans="1:11" s="35" customFormat="1">
      <c r="A4483" s="502"/>
      <c r="B4483" s="62" t="s">
        <v>1858</v>
      </c>
      <c r="D4483" s="537">
        <v>55</v>
      </c>
      <c r="E4483" s="457">
        <v>5</v>
      </c>
      <c r="F4483" s="156">
        <f t="shared" ref="F4483:F4485" si="598">D4483+E4483</f>
        <v>60</v>
      </c>
      <c r="G4483" s="407" t="s">
        <v>442</v>
      </c>
      <c r="H4483" s="2003"/>
      <c r="I4483" s="501"/>
      <c r="J4483" s="502" t="s">
        <v>5241</v>
      </c>
      <c r="K4483" s="501" t="s">
        <v>741</v>
      </c>
    </row>
    <row r="4484" spans="1:11" s="35" customFormat="1">
      <c r="A4484" s="502"/>
      <c r="B4484" s="62" t="s">
        <v>1859</v>
      </c>
      <c r="D4484" s="537">
        <v>50</v>
      </c>
      <c r="E4484" s="457">
        <v>5</v>
      </c>
      <c r="F4484" s="156">
        <f t="shared" si="598"/>
        <v>55</v>
      </c>
      <c r="G4484" s="407" t="s">
        <v>442</v>
      </c>
      <c r="H4484" s="530"/>
      <c r="I4484" s="501"/>
      <c r="J4484" s="502"/>
      <c r="K4484" s="501" t="s">
        <v>741</v>
      </c>
    </row>
    <row r="4485" spans="1:11" s="35" customFormat="1">
      <c r="A4485" s="502"/>
      <c r="B4485" s="62" t="s">
        <v>1860</v>
      </c>
      <c r="C4485" s="537">
        <v>34</v>
      </c>
      <c r="D4485" s="217">
        <f>C4485*fcl</f>
        <v>56.78</v>
      </c>
      <c r="E4485" s="457">
        <v>5</v>
      </c>
      <c r="F4485" s="156">
        <f t="shared" si="598"/>
        <v>61.78</v>
      </c>
      <c r="G4485" s="407" t="s">
        <v>1861</v>
      </c>
      <c r="H4485" s="530" t="str">
        <f>B4485</f>
        <v>IH_GRASSLIN</v>
      </c>
      <c r="I4485" s="501"/>
      <c r="J4485" s="502" t="s">
        <v>2674</v>
      </c>
      <c r="K4485" s="501" t="s">
        <v>741</v>
      </c>
    </row>
    <row r="4486" spans="1:11" s="35" customFormat="1">
      <c r="A4486" s="502"/>
      <c r="B4486" s="62" t="s">
        <v>6249</v>
      </c>
      <c r="C4486" s="537">
        <v>84.94</v>
      </c>
      <c r="D4486" s="217">
        <f>C4486*fcl</f>
        <v>141.84979999999999</v>
      </c>
      <c r="E4486" s="457">
        <v>5</v>
      </c>
      <c r="F4486" s="156">
        <f>D4486+E4486</f>
        <v>146.84979999999999</v>
      </c>
      <c r="G4486" s="407" t="s">
        <v>6250</v>
      </c>
      <c r="H4486" s="530" t="str">
        <f>B4486</f>
        <v>IH_GRASSLIN doble</v>
      </c>
      <c r="I4486" s="501"/>
      <c r="J4486" s="502" t="s">
        <v>2674</v>
      </c>
      <c r="K4486" s="501" t="s">
        <v>741</v>
      </c>
    </row>
    <row r="4487" spans="1:11" s="35" customFormat="1">
      <c r="A4487" s="502"/>
      <c r="B4487" s="62" t="s">
        <v>8356</v>
      </c>
      <c r="C4487" s="537">
        <v>38.799999999999997</v>
      </c>
      <c r="D4487" s="217">
        <f>C4487*fcl</f>
        <v>64.795999999999992</v>
      </c>
      <c r="E4487" s="457">
        <v>5</v>
      </c>
      <c r="F4487" s="156">
        <f>D4487+E4487</f>
        <v>69.795999999999992</v>
      </c>
      <c r="G4487" s="407" t="s">
        <v>8357</v>
      </c>
      <c r="H4487" s="530" t="str">
        <f>B4487</f>
        <v>IH_TALENTO PRO</v>
      </c>
      <c r="I4487" s="501"/>
      <c r="J4487" s="502" t="s">
        <v>2674</v>
      </c>
      <c r="K4487" s="501" t="s">
        <v>741</v>
      </c>
    </row>
    <row r="4488" spans="1:11" s="35" customFormat="1">
      <c r="A4488" s="502"/>
      <c r="B4488" s="62" t="s">
        <v>443</v>
      </c>
      <c r="C4488" s="610">
        <v>300</v>
      </c>
      <c r="D4488" s="230">
        <f>C4488*fcl/TC</f>
        <v>149.55223880597015</v>
      </c>
      <c r="E4488" s="457">
        <v>5</v>
      </c>
      <c r="F4488" s="156">
        <f>D4488+E4488</f>
        <v>154.55223880597015</v>
      </c>
      <c r="G4488" s="407" t="s">
        <v>5242</v>
      </c>
      <c r="H4488" s="530" t="str">
        <f>B4488</f>
        <v>IH-DIG. ORBIS</v>
      </c>
      <c r="I4488" s="501"/>
      <c r="J4488" s="502" t="s">
        <v>5241</v>
      </c>
      <c r="K4488" s="501" t="s">
        <v>741</v>
      </c>
    </row>
    <row r="4489" spans="1:11" s="35" customFormat="1">
      <c r="A4489" s="502"/>
      <c r="B4489" s="62" t="s">
        <v>11842</v>
      </c>
      <c r="C4489" s="610">
        <v>300</v>
      </c>
      <c r="D4489" s="244">
        <f t="shared" ref="D4489" si="599">C4489*(1-VLOOKUP(I4489,descuentos,6,FALSE))*fcl/IF(dol_sol="dólar", TC,1)</f>
        <v>134.59701492537312</v>
      </c>
      <c r="E4489" s="216">
        <v>5</v>
      </c>
      <c r="F4489" s="2001">
        <f t="shared" ref="F4489" si="600">D4489+E4489</f>
        <v>139.59701492537312</v>
      </c>
      <c r="G4489" s="407" t="s">
        <v>11843</v>
      </c>
      <c r="H4489" s="530" t="str">
        <f>B4489</f>
        <v>IH-DIG. Legrand</v>
      </c>
      <c r="I4489" s="501" t="s">
        <v>10379</v>
      </c>
      <c r="J4489" s="502" t="s">
        <v>10678</v>
      </c>
      <c r="K4489" s="501" t="s">
        <v>741</v>
      </c>
    </row>
    <row r="4490" spans="1:11" s="35" customFormat="1">
      <c r="A4490" s="502"/>
      <c r="B4490" s="47"/>
      <c r="D4490" s="230"/>
      <c r="E4490" s="216"/>
      <c r="F4490" s="156"/>
      <c r="G4490" s="24"/>
      <c r="H4490" s="2003"/>
      <c r="I4490" s="501"/>
      <c r="J4490" s="502"/>
      <c r="K4490" s="501"/>
    </row>
    <row r="4491" spans="1:11" s="35" customFormat="1">
      <c r="A4491" s="502"/>
      <c r="B4491" s="47"/>
      <c r="D4491" s="230"/>
      <c r="E4491" s="216"/>
      <c r="F4491" s="156"/>
      <c r="G4491" s="24"/>
      <c r="H4491" s="2003"/>
      <c r="I4491" s="501"/>
      <c r="J4491" s="502"/>
      <c r="K4491" s="501"/>
    </row>
    <row r="4492" spans="1:11" s="35" customFormat="1">
      <c r="A4492" s="502"/>
      <c r="B4492" s="63"/>
      <c r="D4492" s="230"/>
      <c r="E4492" s="216"/>
      <c r="F4492" s="156"/>
      <c r="G4492" s="40"/>
      <c r="H4492" s="2003"/>
      <c r="I4492" s="501"/>
      <c r="J4492" s="502"/>
      <c r="K4492" s="501"/>
    </row>
    <row r="4493" spans="1:11" s="196" customFormat="1">
      <c r="A4493" s="419"/>
      <c r="B4493" s="165" t="s">
        <v>772</v>
      </c>
      <c r="C4493" s="230"/>
      <c r="D4493" s="498">
        <v>22</v>
      </c>
      <c r="E4493" s="230">
        <v>5</v>
      </c>
      <c r="F4493" s="166">
        <f>D4493+E4493</f>
        <v>27</v>
      </c>
      <c r="G4493" s="167" t="s">
        <v>8453</v>
      </c>
      <c r="H4493" s="530" t="str">
        <f>B4493</f>
        <v>D2PR4B+D2PA6</v>
      </c>
      <c r="I4493" s="552"/>
      <c r="J4493" s="419" t="s">
        <v>1835</v>
      </c>
      <c r="K4493" s="566" t="s">
        <v>741</v>
      </c>
    </row>
    <row r="4494" spans="1:11" s="196" customFormat="1">
      <c r="A4494" s="419"/>
      <c r="B4494" s="165" t="s">
        <v>8454</v>
      </c>
      <c r="C4494" s="230"/>
      <c r="D4494" s="498">
        <v>20</v>
      </c>
      <c r="E4494" s="230">
        <v>3</v>
      </c>
      <c r="F4494" s="166">
        <f>D4494+E4494</f>
        <v>23</v>
      </c>
      <c r="G4494" s="167" t="s">
        <v>8455</v>
      </c>
      <c r="H4494" s="530" t="str">
        <f>B4494</f>
        <v>D2PR2B+D2PA6</v>
      </c>
      <c r="I4494" s="552"/>
      <c r="J4494" s="419" t="s">
        <v>1835</v>
      </c>
      <c r="K4494" s="566" t="s">
        <v>741</v>
      </c>
    </row>
    <row r="4495" spans="1:11" s="35" customFormat="1">
      <c r="A4495" s="502"/>
      <c r="B4495" s="50"/>
      <c r="D4495" s="230"/>
      <c r="E4495" s="216"/>
      <c r="F4495" s="156"/>
      <c r="G4495" s="501"/>
      <c r="H4495" s="2003"/>
      <c r="I4495" s="501"/>
      <c r="J4495" s="502"/>
      <c r="K4495" s="501"/>
    </row>
    <row r="4496" spans="1:11" s="35" customFormat="1">
      <c r="A4496" s="502"/>
      <c r="B4496" s="165" t="s">
        <v>12849</v>
      </c>
      <c r="C4496" s="230"/>
      <c r="D4496" s="498">
        <v>47</v>
      </c>
      <c r="E4496" s="230">
        <v>3</v>
      </c>
      <c r="F4496" s="166">
        <f>D4496+E4496</f>
        <v>50</v>
      </c>
      <c r="G4496" s="167" t="s">
        <v>12850</v>
      </c>
      <c r="H4496" s="2003"/>
      <c r="I4496" s="501"/>
      <c r="J4496" s="502"/>
      <c r="K4496" s="501"/>
    </row>
    <row r="4497" spans="1:11" s="35" customFormat="1">
      <c r="A4497" s="502"/>
      <c r="B4497" s="165"/>
      <c r="C4497" s="230"/>
      <c r="D4497" s="498"/>
      <c r="E4497" s="230"/>
      <c r="F4497" s="166"/>
      <c r="G4497" s="167"/>
      <c r="H4497" s="2003"/>
      <c r="I4497" s="501"/>
      <c r="J4497" s="502"/>
      <c r="K4497" s="501"/>
    </row>
    <row r="4498" spans="1:11" s="35" customFormat="1">
      <c r="A4498" s="500"/>
      <c r="B4498" s="50" t="s">
        <v>457</v>
      </c>
      <c r="D4498" s="230">
        <v>265</v>
      </c>
      <c r="E4498" s="216">
        <v>5</v>
      </c>
      <c r="F4498" s="156">
        <f t="shared" ref="F4498" si="601">D4498+E4498</f>
        <v>270</v>
      </c>
      <c r="G4498" s="46" t="s">
        <v>10244</v>
      </c>
      <c r="H4498" s="2003"/>
      <c r="I4498" s="501"/>
      <c r="J4498" s="500"/>
      <c r="K4498" s="501"/>
    </row>
    <row r="4499" spans="1:11" s="35" customFormat="1">
      <c r="A4499" s="523"/>
      <c r="B4499" s="543"/>
      <c r="D4499" s="230"/>
      <c r="E4499" s="462"/>
      <c r="F4499" s="164"/>
      <c r="G4499" s="544"/>
      <c r="H4499" s="2036"/>
      <c r="I4499" s="525"/>
      <c r="J4499" s="523"/>
      <c r="K4499" s="525"/>
    </row>
    <row r="4500" spans="1:11" s="35" customFormat="1">
      <c r="A4500" s="502"/>
      <c r="B4500" s="41" t="s">
        <v>13901</v>
      </c>
      <c r="D4500" s="537">
        <v>80</v>
      </c>
      <c r="E4500" s="216">
        <v>5</v>
      </c>
      <c r="F4500" s="156">
        <f>D4500+E4500</f>
        <v>85</v>
      </c>
      <c r="G4500" s="501" t="s">
        <v>13902</v>
      </c>
      <c r="H4500" s="2045" t="s">
        <v>13903</v>
      </c>
      <c r="I4500" s="501"/>
      <c r="J4500" s="502" t="s">
        <v>1835</v>
      </c>
      <c r="K4500" s="501" t="s">
        <v>741</v>
      </c>
    </row>
    <row r="4501" spans="1:11" s="35" customFormat="1">
      <c r="A4501" s="502"/>
      <c r="B4501" s="41" t="s">
        <v>13904</v>
      </c>
      <c r="D4501" s="537">
        <v>130</v>
      </c>
      <c r="E4501" s="216">
        <v>5</v>
      </c>
      <c r="F4501" s="156">
        <f>D4501+E4501</f>
        <v>135</v>
      </c>
      <c r="G4501" s="501" t="s">
        <v>13905</v>
      </c>
      <c r="H4501" s="2045" t="s">
        <v>13906</v>
      </c>
      <c r="I4501" s="501"/>
      <c r="J4501" s="502" t="s">
        <v>1835</v>
      </c>
      <c r="K4501" s="501" t="s">
        <v>741</v>
      </c>
    </row>
    <row r="4502" spans="1:11" s="35" customFormat="1">
      <c r="A4502" s="502"/>
      <c r="B4502" s="41" t="s">
        <v>13907</v>
      </c>
      <c r="D4502" s="537">
        <v>120</v>
      </c>
      <c r="E4502" s="216">
        <v>5</v>
      </c>
      <c r="F4502" s="156">
        <f>D4502+E4502</f>
        <v>125</v>
      </c>
      <c r="G4502" s="501" t="s">
        <v>13908</v>
      </c>
      <c r="H4502" s="2045" t="s">
        <v>13909</v>
      </c>
      <c r="I4502" s="501"/>
      <c r="J4502" s="502" t="s">
        <v>1835</v>
      </c>
      <c r="K4502" s="501" t="s">
        <v>741</v>
      </c>
    </row>
    <row r="4503" spans="1:11" s="35" customFormat="1">
      <c r="A4503" s="502"/>
      <c r="B4503" s="50"/>
      <c r="D4503" s="230"/>
      <c r="E4503" s="216"/>
      <c r="F4503" s="156"/>
      <c r="G4503" s="501"/>
      <c r="H4503" s="2003"/>
      <c r="I4503" s="501"/>
      <c r="J4503" s="502"/>
      <c r="K4503" s="501"/>
    </row>
    <row r="4504" spans="1:11" s="35" customFormat="1">
      <c r="A4504" s="502"/>
      <c r="B4504" s="501"/>
      <c r="D4504" s="230"/>
      <c r="E4504" s="505"/>
      <c r="F4504" s="506"/>
      <c r="G4504" s="501"/>
      <c r="H4504" s="2003"/>
      <c r="I4504" s="501"/>
      <c r="J4504" s="502"/>
      <c r="K4504" s="501"/>
    </row>
    <row r="4505" spans="1:11" s="35" customFormat="1">
      <c r="A4505" s="421"/>
      <c r="B4505" s="455" t="s">
        <v>1663</v>
      </c>
      <c r="D4505" s="456">
        <v>15</v>
      </c>
      <c r="E4505" s="457">
        <v>5</v>
      </c>
      <c r="F4505" s="458">
        <f>ROUNDUP(D4505+E4505,1)</f>
        <v>20</v>
      </c>
      <c r="G4505" s="542" t="s">
        <v>1862</v>
      </c>
      <c r="H4505" s="592"/>
      <c r="I4505" s="545"/>
      <c r="J4505" s="421"/>
      <c r="K4505" s="545" t="s">
        <v>741</v>
      </c>
    </row>
    <row r="4506" spans="1:11" s="35" customFormat="1">
      <c r="A4506" s="421"/>
      <c r="B4506" s="455" t="s">
        <v>1664</v>
      </c>
      <c r="D4506" s="456">
        <v>15</v>
      </c>
      <c r="E4506" s="457">
        <v>5</v>
      </c>
      <c r="F4506" s="458">
        <f>ROUNDUP(D4506+E4506,1)</f>
        <v>20</v>
      </c>
      <c r="G4506" s="542" t="s">
        <v>1863</v>
      </c>
      <c r="H4506" s="592"/>
      <c r="I4506" s="545"/>
      <c r="J4506" s="421"/>
      <c r="K4506" s="545" t="s">
        <v>741</v>
      </c>
    </row>
    <row r="4507" spans="1:11" s="35" customFormat="1">
      <c r="A4507" s="421"/>
      <c r="B4507" s="455" t="s">
        <v>1665</v>
      </c>
      <c r="D4507" s="456">
        <v>15</v>
      </c>
      <c r="E4507" s="457">
        <v>5</v>
      </c>
      <c r="F4507" s="458">
        <f>ROUNDUP(D4507+E4507,1)</f>
        <v>20</v>
      </c>
      <c r="G4507" s="542" t="s">
        <v>1864</v>
      </c>
      <c r="H4507" s="592"/>
      <c r="I4507" s="545"/>
      <c r="J4507" s="421"/>
      <c r="K4507" s="545" t="s">
        <v>741</v>
      </c>
    </row>
    <row r="4508" spans="1:11" s="195" customFormat="1">
      <c r="A4508" s="421"/>
      <c r="B4508" s="482"/>
      <c r="D4508" s="230"/>
      <c r="E4508" s="462"/>
      <c r="F4508" s="164"/>
      <c r="G4508" s="525"/>
      <c r="H4508" s="592"/>
      <c r="I4508" s="545"/>
      <c r="J4508" s="421"/>
      <c r="K4508" s="545"/>
    </row>
    <row r="4509" spans="1:11" s="35" customFormat="1">
      <c r="A4509" s="421"/>
      <c r="B4509" s="455" t="s">
        <v>1865</v>
      </c>
      <c r="D4509" s="456">
        <v>6</v>
      </c>
      <c r="E4509" s="457">
        <v>5</v>
      </c>
      <c r="F4509" s="458">
        <f>ROUNDUP(D4509+E4509,1)</f>
        <v>11</v>
      </c>
      <c r="G4509" s="542" t="s">
        <v>1866</v>
      </c>
      <c r="H4509" s="592"/>
      <c r="I4509" s="545"/>
      <c r="J4509" s="421"/>
      <c r="K4509" s="545" t="s">
        <v>741</v>
      </c>
    </row>
    <row r="4510" spans="1:11" s="35" customFormat="1">
      <c r="A4510" s="421"/>
      <c r="B4510" s="455" t="s">
        <v>1867</v>
      </c>
      <c r="D4510" s="456">
        <v>6</v>
      </c>
      <c r="E4510" s="457">
        <v>5</v>
      </c>
      <c r="F4510" s="458">
        <f>ROUNDUP(D4510+E4510,1)</f>
        <v>11</v>
      </c>
      <c r="G4510" s="542" t="s">
        <v>1868</v>
      </c>
      <c r="H4510" s="592"/>
      <c r="I4510" s="545"/>
      <c r="J4510" s="421"/>
      <c r="K4510" s="545" t="s">
        <v>741</v>
      </c>
    </row>
    <row r="4511" spans="1:11" s="35" customFormat="1">
      <c r="A4511" s="421"/>
      <c r="B4511" s="455" t="s">
        <v>1869</v>
      </c>
      <c r="D4511" s="456">
        <v>6</v>
      </c>
      <c r="E4511" s="457">
        <v>5</v>
      </c>
      <c r="F4511" s="458">
        <f>ROUNDUP(D4511+E4511,1)</f>
        <v>11</v>
      </c>
      <c r="G4511" s="542" t="s">
        <v>1870</v>
      </c>
      <c r="H4511" s="592"/>
      <c r="I4511" s="545"/>
      <c r="J4511" s="421"/>
      <c r="K4511" s="545" t="s">
        <v>741</v>
      </c>
    </row>
    <row r="4512" spans="1:11" s="35" customFormat="1">
      <c r="A4512" s="421"/>
      <c r="B4512" s="455"/>
      <c r="D4512" s="456"/>
      <c r="E4512" s="457"/>
      <c r="F4512" s="458"/>
      <c r="G4512" s="542"/>
      <c r="H4512" s="592"/>
      <c r="I4512" s="545"/>
      <c r="J4512" s="421"/>
      <c r="K4512" s="545"/>
    </row>
    <row r="4513" spans="1:11" s="2063" customFormat="1">
      <c r="A4513" s="1170"/>
      <c r="B4513" s="2244" t="s">
        <v>13419</v>
      </c>
      <c r="D4513" s="384">
        <v>10</v>
      </c>
      <c r="E4513" s="2220">
        <v>5</v>
      </c>
      <c r="F4513" s="385">
        <f>ROUNDUP(D4513+E4513,1)</f>
        <v>15</v>
      </c>
      <c r="G4513" s="2223" t="s">
        <v>13420</v>
      </c>
      <c r="H4513" s="2013"/>
      <c r="I4513" s="2245"/>
      <c r="J4513" s="1170"/>
      <c r="K4513" s="2245" t="s">
        <v>741</v>
      </c>
    </row>
    <row r="4514" spans="1:11" s="2063" customFormat="1">
      <c r="A4514" s="1170"/>
      <c r="B4514" s="2246" t="s">
        <v>13421</v>
      </c>
      <c r="D4514" s="384">
        <v>10</v>
      </c>
      <c r="E4514" s="2220">
        <v>5</v>
      </c>
      <c r="F4514" s="385">
        <f>ROUNDUP(D4514+E4514,1)</f>
        <v>15</v>
      </c>
      <c r="G4514" s="2223" t="s">
        <v>13422</v>
      </c>
      <c r="H4514" s="2013"/>
      <c r="I4514" s="2245"/>
      <c r="J4514" s="1170"/>
      <c r="K4514" s="2245" t="s">
        <v>741</v>
      </c>
    </row>
    <row r="4515" spans="1:11" s="35" customFormat="1">
      <c r="A4515" s="421"/>
      <c r="B4515" s="459" t="s">
        <v>1871</v>
      </c>
      <c r="D4515" s="456">
        <v>10</v>
      </c>
      <c r="E4515" s="457">
        <v>5</v>
      </c>
      <c r="F4515" s="458">
        <f>ROUNDUP(D4515+E4515,1)</f>
        <v>15</v>
      </c>
      <c r="G4515" s="542" t="s">
        <v>3638</v>
      </c>
      <c r="H4515" s="592"/>
      <c r="I4515" s="545"/>
      <c r="J4515" s="421"/>
      <c r="K4515" s="545" t="s">
        <v>741</v>
      </c>
    </row>
    <row r="4516" spans="1:11" s="35" customFormat="1">
      <c r="A4516" s="421"/>
      <c r="B4516" s="455" t="s">
        <v>1872</v>
      </c>
      <c r="D4516" s="456">
        <v>10</v>
      </c>
      <c r="E4516" s="457">
        <v>5</v>
      </c>
      <c r="F4516" s="458">
        <f>ROUNDUP(D4516+E4516,1)</f>
        <v>15</v>
      </c>
      <c r="G4516" s="542" t="s">
        <v>3639</v>
      </c>
      <c r="H4516" s="592"/>
      <c r="I4516" s="545"/>
      <c r="J4516" s="421"/>
      <c r="K4516" s="545" t="s">
        <v>741</v>
      </c>
    </row>
    <row r="4517" spans="1:11" s="35" customFormat="1">
      <c r="A4517" s="421"/>
      <c r="B4517" s="455" t="s">
        <v>1873</v>
      </c>
      <c r="D4517" s="456">
        <v>10</v>
      </c>
      <c r="E4517" s="457">
        <v>5</v>
      </c>
      <c r="F4517" s="458">
        <f>ROUNDUP(D4517+E4517,1)</f>
        <v>15</v>
      </c>
      <c r="G4517" s="542" t="s">
        <v>3640</v>
      </c>
      <c r="H4517" s="592"/>
      <c r="I4517" s="545"/>
      <c r="J4517" s="421"/>
      <c r="K4517" s="545" t="s">
        <v>741</v>
      </c>
    </row>
    <row r="4518" spans="1:11" s="35" customFormat="1">
      <c r="A4518" s="421"/>
      <c r="B4518" s="455"/>
      <c r="D4518" s="456"/>
      <c r="E4518" s="457"/>
      <c r="F4518" s="458"/>
      <c r="G4518" s="542"/>
      <c r="H4518" s="592"/>
      <c r="I4518" s="545"/>
      <c r="J4518" s="421"/>
      <c r="K4518" s="545"/>
    </row>
    <row r="4519" spans="1:11" s="35" customFormat="1">
      <c r="A4519" s="421"/>
      <c r="B4519" s="459" t="s">
        <v>1874</v>
      </c>
      <c r="D4519" s="456">
        <v>10</v>
      </c>
      <c r="E4519" s="457">
        <v>5</v>
      </c>
      <c r="F4519" s="458">
        <f>ROUNDUP(D4519+E4519,1)</f>
        <v>15</v>
      </c>
      <c r="G4519" s="542" t="s">
        <v>3641</v>
      </c>
      <c r="H4519" s="592"/>
      <c r="I4519" s="545"/>
      <c r="J4519" s="421"/>
      <c r="K4519" s="545" t="s">
        <v>741</v>
      </c>
    </row>
    <row r="4520" spans="1:11" s="35" customFormat="1">
      <c r="A4520" s="421"/>
      <c r="B4520" s="455" t="s">
        <v>1875</v>
      </c>
      <c r="D4520" s="456">
        <v>10</v>
      </c>
      <c r="E4520" s="457">
        <v>5</v>
      </c>
      <c r="F4520" s="458">
        <f>ROUNDUP(D4520+E4520,1)</f>
        <v>15</v>
      </c>
      <c r="G4520" s="542" t="s">
        <v>3642</v>
      </c>
      <c r="H4520" s="592"/>
      <c r="I4520" s="545"/>
      <c r="J4520" s="421"/>
      <c r="K4520" s="545" t="s">
        <v>741</v>
      </c>
    </row>
    <row r="4521" spans="1:11" s="35" customFormat="1">
      <c r="A4521" s="421"/>
      <c r="B4521" s="455" t="s">
        <v>1876</v>
      </c>
      <c r="D4521" s="456">
        <v>10</v>
      </c>
      <c r="E4521" s="457">
        <v>5</v>
      </c>
      <c r="F4521" s="458">
        <f>ROUNDUP(D4521+E4521,1)</f>
        <v>15</v>
      </c>
      <c r="G4521" s="542" t="s">
        <v>3643</v>
      </c>
      <c r="H4521" s="592"/>
      <c r="I4521" s="545"/>
      <c r="J4521" s="421"/>
      <c r="K4521" s="545" t="s">
        <v>741</v>
      </c>
    </row>
    <row r="4522" spans="1:11" s="35" customFormat="1">
      <c r="A4522" s="421"/>
      <c r="B4522" s="455"/>
      <c r="D4522" s="456"/>
      <c r="E4522" s="457"/>
      <c r="F4522" s="458"/>
      <c r="G4522" s="542"/>
      <c r="H4522" s="592"/>
      <c r="I4522" s="545"/>
      <c r="J4522" s="421"/>
      <c r="K4522" s="545"/>
    </row>
    <row r="4523" spans="1:11" s="35" customFormat="1">
      <c r="A4523" s="421"/>
      <c r="B4523" s="455"/>
      <c r="D4523" s="456"/>
      <c r="E4523" s="457"/>
      <c r="F4523" s="458"/>
      <c r="G4523" s="542"/>
      <c r="H4523" s="592"/>
      <c r="I4523" s="545"/>
      <c r="J4523" s="421"/>
      <c r="K4523" s="545"/>
    </row>
    <row r="4524" spans="1:11" s="35" customFormat="1">
      <c r="A4524" s="511"/>
      <c r="B4524" s="38" t="s">
        <v>6137</v>
      </c>
      <c r="C4524" s="230"/>
      <c r="D4524" s="456">
        <v>10</v>
      </c>
      <c r="E4524" s="216">
        <v>5</v>
      </c>
      <c r="F4524" s="458">
        <f>ROUNDUP(D4524+E4524,1)</f>
        <v>15</v>
      </c>
      <c r="G4524" s="501" t="s">
        <v>6138</v>
      </c>
      <c r="H4524" s="2003"/>
      <c r="I4524" s="501"/>
      <c r="J4524" s="511"/>
      <c r="K4524" s="501"/>
    </row>
    <row r="4525" spans="1:11" s="35" customFormat="1">
      <c r="A4525" s="511"/>
      <c r="B4525" s="38" t="s">
        <v>6139</v>
      </c>
      <c r="C4525" s="230"/>
      <c r="D4525" s="456">
        <v>10</v>
      </c>
      <c r="E4525" s="216">
        <v>5</v>
      </c>
      <c r="F4525" s="458">
        <f>ROUNDUP(D4525+E4525,1)</f>
        <v>15</v>
      </c>
      <c r="G4525" s="501" t="s">
        <v>6140</v>
      </c>
      <c r="H4525" s="2003"/>
      <c r="I4525" s="501"/>
      <c r="J4525" s="511"/>
      <c r="K4525" s="501"/>
    </row>
    <row r="4526" spans="1:11" s="35" customFormat="1">
      <c r="A4526" s="511"/>
      <c r="B4526" s="38" t="s">
        <v>6141</v>
      </c>
      <c r="C4526" s="230"/>
      <c r="D4526" s="456">
        <v>10</v>
      </c>
      <c r="E4526" s="216">
        <v>5</v>
      </c>
      <c r="F4526" s="458">
        <f>ROUNDUP(D4526+E4526,1)</f>
        <v>15</v>
      </c>
      <c r="G4526" s="501" t="s">
        <v>6142</v>
      </c>
      <c r="H4526" s="2003"/>
      <c r="I4526" s="501"/>
      <c r="J4526" s="511"/>
      <c r="K4526" s="501"/>
    </row>
    <row r="4527" spans="1:11" s="196" customFormat="1">
      <c r="A4527" s="502"/>
      <c r="B4527" s="29"/>
      <c r="D4527" s="230"/>
      <c r="E4527" s="216"/>
      <c r="F4527" s="156"/>
      <c r="G4527" s="501"/>
      <c r="H4527" s="2003"/>
      <c r="I4527" s="501"/>
      <c r="J4527" s="502"/>
      <c r="K4527" s="501"/>
    </row>
    <row r="4528" spans="1:11" s="196" customFormat="1">
      <c r="A4528" s="511"/>
      <c r="B4528" s="42" t="s">
        <v>8358</v>
      </c>
      <c r="D4528" s="230">
        <v>35</v>
      </c>
      <c r="E4528" s="216">
        <v>11</v>
      </c>
      <c r="F4528" s="156">
        <f>D4528+E4528</f>
        <v>46</v>
      </c>
      <c r="G4528" s="529" t="s">
        <v>1877</v>
      </c>
      <c r="H4528" s="2003"/>
      <c r="I4528" s="501"/>
      <c r="J4528" s="511"/>
      <c r="K4528" s="501"/>
    </row>
    <row r="4529" spans="1:15" s="196" customFormat="1">
      <c r="A4529" s="500"/>
      <c r="B4529" s="42" t="s">
        <v>8359</v>
      </c>
      <c r="D4529" s="517">
        <v>28</v>
      </c>
      <c r="E4529" s="216">
        <v>10</v>
      </c>
      <c r="F4529" s="156">
        <f>D4529+E4529</f>
        <v>38</v>
      </c>
      <c r="G4529" s="529" t="s">
        <v>1878</v>
      </c>
      <c r="H4529" s="2003"/>
      <c r="I4529" s="501"/>
      <c r="J4529" s="500"/>
      <c r="K4529" s="501"/>
    </row>
    <row r="4530" spans="1:15" s="35" customFormat="1">
      <c r="A4530" s="511"/>
      <c r="B4530" s="42" t="s">
        <v>6143</v>
      </c>
      <c r="C4530" s="230"/>
      <c r="D4530" s="230">
        <v>25</v>
      </c>
      <c r="E4530" s="216">
        <v>5</v>
      </c>
      <c r="F4530" s="156">
        <f>D4530+E4530</f>
        <v>30</v>
      </c>
      <c r="G4530" s="529" t="s">
        <v>6144</v>
      </c>
      <c r="H4530" s="2003"/>
      <c r="I4530" s="501"/>
      <c r="J4530" s="511"/>
      <c r="K4530" s="501"/>
    </row>
    <row r="4531" spans="1:15" s="35" customFormat="1">
      <c r="A4531" s="511"/>
      <c r="B4531" s="42" t="s">
        <v>6145</v>
      </c>
      <c r="C4531" s="230"/>
      <c r="D4531" s="230">
        <v>25</v>
      </c>
      <c r="E4531" s="216">
        <v>5</v>
      </c>
      <c r="F4531" s="156">
        <f>D4531+E4531</f>
        <v>30</v>
      </c>
      <c r="G4531" s="529" t="s">
        <v>6146</v>
      </c>
      <c r="H4531" s="2003"/>
      <c r="I4531" s="501"/>
      <c r="J4531" s="511"/>
      <c r="K4531" s="501"/>
    </row>
    <row r="4532" spans="1:15" s="196" customFormat="1">
      <c r="A4532" s="502"/>
      <c r="B4532" s="42"/>
      <c r="D4532" s="230"/>
      <c r="E4532" s="216"/>
      <c r="F4532" s="156"/>
      <c r="G4532" s="501"/>
      <c r="H4532" s="2003"/>
      <c r="I4532" s="501"/>
      <c r="J4532" s="502"/>
      <c r="K4532" s="501"/>
    </row>
    <row r="4533" spans="1:15" s="196" customFormat="1">
      <c r="A4533" s="500"/>
      <c r="B4533" s="42" t="s">
        <v>446</v>
      </c>
      <c r="D4533" s="384">
        <v>20</v>
      </c>
      <c r="E4533" s="216">
        <v>8</v>
      </c>
      <c r="F4533" s="385">
        <f t="shared" ref="F4533:F4537" si="602">D4533+E4533</f>
        <v>28</v>
      </c>
      <c r="G4533" s="529" t="s">
        <v>11253</v>
      </c>
      <c r="H4533" s="2003"/>
      <c r="I4533" s="501"/>
      <c r="J4533" s="500"/>
      <c r="K4533" s="501" t="s">
        <v>741</v>
      </c>
    </row>
    <row r="4534" spans="1:15" s="196" customFormat="1">
      <c r="A4534" s="500"/>
      <c r="B4534" s="42" t="s">
        <v>445</v>
      </c>
      <c r="D4534" s="384">
        <v>20</v>
      </c>
      <c r="E4534" s="216">
        <v>8</v>
      </c>
      <c r="F4534" s="385">
        <f t="shared" si="602"/>
        <v>28</v>
      </c>
      <c r="G4534" s="529" t="s">
        <v>11254</v>
      </c>
      <c r="H4534" s="2003"/>
      <c r="I4534" s="501"/>
      <c r="J4534" s="500"/>
      <c r="K4534" s="501" t="s">
        <v>741</v>
      </c>
    </row>
    <row r="4535" spans="1:15" s="35" customFormat="1">
      <c r="A4535" s="500"/>
      <c r="B4535" s="42" t="s">
        <v>4984</v>
      </c>
      <c r="D4535" s="384">
        <v>20</v>
      </c>
      <c r="E4535" s="216">
        <v>8</v>
      </c>
      <c r="F4535" s="385">
        <f t="shared" si="602"/>
        <v>28</v>
      </c>
      <c r="G4535" s="529" t="s">
        <v>5243</v>
      </c>
      <c r="H4535" s="2003"/>
      <c r="I4535" s="501"/>
      <c r="J4535" s="500"/>
      <c r="K4535" s="501" t="s">
        <v>741</v>
      </c>
    </row>
    <row r="4536" spans="1:15" s="35" customFormat="1">
      <c r="A4536" s="500"/>
      <c r="B4536" s="42" t="s">
        <v>8360</v>
      </c>
      <c r="C4536" s="196"/>
      <c r="D4536" s="384">
        <v>35</v>
      </c>
      <c r="E4536" s="216">
        <v>8</v>
      </c>
      <c r="F4536" s="385">
        <f t="shared" si="602"/>
        <v>43</v>
      </c>
      <c r="G4536" s="529" t="s">
        <v>8361</v>
      </c>
      <c r="H4536" s="2003"/>
      <c r="I4536" s="501"/>
      <c r="J4536" s="500"/>
      <c r="K4536" s="501" t="s">
        <v>741</v>
      </c>
    </row>
    <row r="4537" spans="1:15" s="35" customFormat="1">
      <c r="A4537" s="500"/>
      <c r="B4537" s="42" t="s">
        <v>5244</v>
      </c>
      <c r="D4537" s="384">
        <v>20</v>
      </c>
      <c r="E4537" s="216">
        <v>8</v>
      </c>
      <c r="F4537" s="385">
        <f t="shared" si="602"/>
        <v>28</v>
      </c>
      <c r="G4537" s="529" t="s">
        <v>5245</v>
      </c>
      <c r="H4537" s="2003"/>
      <c r="I4537" s="501"/>
      <c r="J4537" s="500"/>
      <c r="K4537" s="501" t="s">
        <v>741</v>
      </c>
    </row>
    <row r="4538" spans="1:15" s="35" customFormat="1">
      <c r="A4538" s="502"/>
      <c r="B4538" s="42"/>
      <c r="D4538" s="230"/>
      <c r="E4538" s="216"/>
      <c r="F4538" s="156"/>
      <c r="G4538" s="529"/>
      <c r="H4538" s="2003"/>
      <c r="I4538" s="501"/>
      <c r="J4538" s="502"/>
      <c r="K4538" s="501"/>
    </row>
    <row r="4539" spans="1:15" s="35" customFormat="1">
      <c r="A4539" s="502"/>
      <c r="B4539" s="42" t="s">
        <v>1879</v>
      </c>
      <c r="D4539" s="384">
        <v>4</v>
      </c>
      <c r="E4539" s="216">
        <v>1</v>
      </c>
      <c r="F4539" s="385">
        <f>D4539+E4539</f>
        <v>5</v>
      </c>
      <c r="G4539" s="529" t="s">
        <v>1880</v>
      </c>
      <c r="H4539" s="2003"/>
      <c r="I4539" s="501"/>
      <c r="J4539" s="502"/>
      <c r="K4539" s="501" t="s">
        <v>741</v>
      </c>
    </row>
    <row r="4540" spans="1:15" s="35" customFormat="1">
      <c r="A4540" s="502"/>
      <c r="B4540" s="42" t="s">
        <v>1881</v>
      </c>
      <c r="D4540" s="384">
        <v>4</v>
      </c>
      <c r="E4540" s="216">
        <v>1</v>
      </c>
      <c r="F4540" s="385">
        <f>D4540+E4540</f>
        <v>5</v>
      </c>
      <c r="G4540" s="529" t="s">
        <v>1882</v>
      </c>
      <c r="H4540" s="2003"/>
      <c r="I4540" s="501"/>
      <c r="J4540" s="502"/>
      <c r="K4540" s="501" t="s">
        <v>741</v>
      </c>
    </row>
    <row r="4541" spans="1:15" s="35" customFormat="1">
      <c r="A4541" s="502"/>
      <c r="B4541" s="42"/>
      <c r="D4541" s="230"/>
      <c r="E4541" s="216"/>
      <c r="F4541" s="156"/>
      <c r="G4541" s="529"/>
      <c r="H4541" s="2003"/>
      <c r="I4541" s="501"/>
      <c r="J4541" s="502"/>
      <c r="K4541" s="501"/>
    </row>
    <row r="4542" spans="1:15" s="196" customFormat="1">
      <c r="A4542" s="589"/>
      <c r="B4542" s="150" t="s">
        <v>8362</v>
      </c>
      <c r="C4542" s="209">
        <v>152.32</v>
      </c>
      <c r="D4542" s="244">
        <f>C4542*fcl/IF(dol_sol="dólar", TC,1)</f>
        <v>75.93265671641791</v>
      </c>
      <c r="E4542" s="228">
        <v>10</v>
      </c>
      <c r="F4542" s="585">
        <f>ROUNDUP(D4542+E4542,2)</f>
        <v>85.940000000000012</v>
      </c>
      <c r="G4542" s="338" t="s">
        <v>8363</v>
      </c>
      <c r="H4542" s="592" t="s">
        <v>8364</v>
      </c>
      <c r="I4542" s="520"/>
      <c r="J4542" s="589" t="s">
        <v>8365</v>
      </c>
      <c r="K4542" s="520" t="s">
        <v>741</v>
      </c>
      <c r="L4542" s="203"/>
      <c r="M4542" s="203"/>
      <c r="N4542" s="203"/>
      <c r="O4542" s="203"/>
    </row>
    <row r="4543" spans="1:15" s="35" customFormat="1">
      <c r="A4543" s="502"/>
      <c r="B4543" s="50"/>
      <c r="D4543" s="230"/>
      <c r="E4543" s="216"/>
      <c r="F4543" s="156"/>
      <c r="G4543" s="501"/>
      <c r="H4543" s="2003"/>
      <c r="I4543" s="501"/>
      <c r="J4543" s="502"/>
      <c r="K4543" s="501"/>
    </row>
    <row r="4544" spans="1:15" s="35" customFormat="1">
      <c r="A4544" s="515"/>
      <c r="B4544" s="546"/>
      <c r="C4544" s="547"/>
      <c r="D4544" s="548"/>
      <c r="E4544" s="549"/>
      <c r="F4544" s="550"/>
      <c r="G4544" s="551"/>
      <c r="H4544" s="546"/>
      <c r="I4544" s="552"/>
      <c r="J4544" s="515"/>
      <c r="K4544" s="553"/>
    </row>
    <row r="4545" spans="1:11" s="35" customFormat="1">
      <c r="A4545" s="515"/>
      <c r="B4545" s="554" t="s">
        <v>751</v>
      </c>
      <c r="C4545" s="547"/>
      <c r="D4545" s="548"/>
      <c r="E4545" s="549"/>
      <c r="F4545" s="550"/>
      <c r="G4545" s="551"/>
      <c r="H4545" s="546"/>
      <c r="I4545" s="552"/>
      <c r="J4545" s="515"/>
      <c r="K4545" s="553"/>
    </row>
    <row r="4546" spans="1:11" s="35" customFormat="1">
      <c r="A4546" s="515"/>
      <c r="B4546" s="554"/>
      <c r="C4546" s="547"/>
      <c r="D4546" s="548"/>
      <c r="E4546" s="549"/>
      <c r="F4546" s="550"/>
      <c r="G4546" s="551"/>
      <c r="H4546" s="546"/>
      <c r="I4546" s="552"/>
      <c r="J4546" s="515"/>
      <c r="K4546" s="553"/>
    </row>
    <row r="4547" spans="1:11" s="35" customFormat="1">
      <c r="A4547" s="515"/>
      <c r="B4547" s="154" t="s">
        <v>8366</v>
      </c>
      <c r="C4547" s="939"/>
      <c r="D4547" s="220"/>
      <c r="E4547" s="220"/>
      <c r="F4547" s="160">
        <v>10</v>
      </c>
      <c r="G4547" s="154" t="s">
        <v>316</v>
      </c>
      <c r="H4547" s="546"/>
      <c r="I4547" s="552"/>
      <c r="J4547" s="555"/>
      <c r="K4547" s="555" t="s">
        <v>741</v>
      </c>
    </row>
    <row r="4548" spans="1:11" s="35" customFormat="1">
      <c r="A4548" s="515"/>
      <c r="B4548" s="154" t="s">
        <v>3050</v>
      </c>
      <c r="C4548" s="939"/>
      <c r="D4548" s="220"/>
      <c r="E4548" s="220"/>
      <c r="F4548" s="160">
        <v>15</v>
      </c>
      <c r="G4548" s="154" t="s">
        <v>3051</v>
      </c>
      <c r="H4548" s="546"/>
      <c r="I4548" s="552"/>
      <c r="J4548" s="555"/>
      <c r="K4548" s="555" t="s">
        <v>741</v>
      </c>
    </row>
    <row r="4549" spans="1:11" s="35" customFormat="1">
      <c r="A4549" s="515"/>
      <c r="B4549" s="154" t="s">
        <v>3052</v>
      </c>
      <c r="C4549" s="939"/>
      <c r="D4549" s="220"/>
      <c r="E4549" s="220"/>
      <c r="F4549" s="160">
        <v>15</v>
      </c>
      <c r="G4549" s="154" t="s">
        <v>3053</v>
      </c>
      <c r="H4549" s="546"/>
      <c r="I4549" s="552"/>
      <c r="J4549" s="555"/>
      <c r="K4549" s="555" t="s">
        <v>741</v>
      </c>
    </row>
    <row r="4550" spans="1:11" s="35" customFormat="1">
      <c r="A4550" s="419"/>
      <c r="B4550" s="154"/>
      <c r="C4550" s="237"/>
      <c r="D4550" s="220"/>
      <c r="E4550" s="220"/>
      <c r="F4550" s="160"/>
      <c r="G4550" s="154"/>
      <c r="H4550" s="546"/>
      <c r="I4550" s="552"/>
      <c r="J4550" s="555"/>
      <c r="K4550" s="555"/>
    </row>
    <row r="4551" spans="1:11" s="35" customFormat="1">
      <c r="A4551" s="419"/>
      <c r="B4551" s="154" t="s">
        <v>3054</v>
      </c>
      <c r="C4551" s="237"/>
      <c r="D4551" s="220"/>
      <c r="E4551" s="220"/>
      <c r="F4551" s="160">
        <v>25</v>
      </c>
      <c r="G4551" s="154" t="s">
        <v>3053</v>
      </c>
      <c r="H4551" s="546"/>
      <c r="I4551" s="552"/>
      <c r="J4551" s="555"/>
      <c r="K4551" s="555" t="s">
        <v>741</v>
      </c>
    </row>
    <row r="4552" spans="1:11" s="35" customFormat="1">
      <c r="A4552" s="419"/>
      <c r="B4552" s="154" t="s">
        <v>3420</v>
      </c>
      <c r="C4552" s="237"/>
      <c r="D4552" s="220"/>
      <c r="E4552" s="220"/>
      <c r="F4552" s="160">
        <v>30</v>
      </c>
      <c r="G4552" s="154" t="s">
        <v>316</v>
      </c>
      <c r="H4552" s="546"/>
      <c r="I4552" s="552"/>
      <c r="J4552" s="555"/>
      <c r="K4552" s="555" t="s">
        <v>741</v>
      </c>
    </row>
    <row r="4553" spans="1:11" customFormat="1">
      <c r="A4553" s="419"/>
      <c r="B4553" s="154" t="s">
        <v>3421</v>
      </c>
      <c r="C4553" s="237"/>
      <c r="D4553" s="220"/>
      <c r="E4553" s="220"/>
      <c r="F4553" s="160">
        <v>50</v>
      </c>
      <c r="G4553" s="154" t="s">
        <v>3051</v>
      </c>
      <c r="H4553" s="546"/>
      <c r="I4553" s="552"/>
      <c r="J4553" s="555"/>
      <c r="K4553" s="555" t="s">
        <v>741</v>
      </c>
    </row>
    <row r="4554" spans="1:11" customFormat="1">
      <c r="A4554" s="515"/>
      <c r="B4554" s="940"/>
      <c r="C4554" s="941"/>
      <c r="D4554" s="942"/>
      <c r="E4554" s="943"/>
      <c r="F4554" s="944"/>
      <c r="G4554" s="945"/>
      <c r="H4554" s="546"/>
      <c r="I4554" s="552"/>
      <c r="J4554" s="515"/>
      <c r="K4554" s="555"/>
    </row>
    <row r="4555" spans="1:11" customFormat="1">
      <c r="A4555" s="515"/>
      <c r="B4555" s="940"/>
      <c r="C4555" s="941"/>
      <c r="D4555" s="942"/>
      <c r="E4555" s="943"/>
      <c r="F4555" s="944"/>
      <c r="G4555" s="945"/>
      <c r="H4555" s="546"/>
      <c r="I4555" s="552"/>
      <c r="J4555" s="515"/>
      <c r="K4555" s="555"/>
    </row>
    <row r="4556" spans="1:11" s="196" customFormat="1">
      <c r="A4556" s="515"/>
      <c r="B4556" s="154" t="s">
        <v>3208</v>
      </c>
      <c r="C4556" s="939"/>
      <c r="D4556" s="220"/>
      <c r="E4556" s="220"/>
      <c r="F4556" s="160">
        <v>3</v>
      </c>
      <c r="G4556" s="154" t="s">
        <v>9420</v>
      </c>
      <c r="H4556" s="546"/>
      <c r="I4556" s="552"/>
      <c r="J4556" s="555"/>
      <c r="K4556" s="555" t="s">
        <v>741</v>
      </c>
    </row>
    <row r="4557" spans="1:11" s="196" customFormat="1">
      <c r="A4557" s="515"/>
      <c r="B4557" s="154" t="s">
        <v>3209</v>
      </c>
      <c r="C4557" s="939"/>
      <c r="D4557" s="220"/>
      <c r="E4557" s="220"/>
      <c r="F4557" s="160">
        <v>1.5</v>
      </c>
      <c r="G4557" s="154" t="s">
        <v>3212</v>
      </c>
      <c r="H4557" s="546"/>
      <c r="I4557" s="552"/>
      <c r="J4557" s="555"/>
      <c r="K4557" s="555" t="s">
        <v>741</v>
      </c>
    </row>
    <row r="4558" spans="1:11" s="196" customFormat="1">
      <c r="A4558" s="419"/>
      <c r="B4558" s="154" t="s">
        <v>3210</v>
      </c>
      <c r="C4558" s="237"/>
      <c r="D4558" s="220"/>
      <c r="E4558" s="220"/>
      <c r="F4558" s="160">
        <v>0.7</v>
      </c>
      <c r="G4558" s="154" t="s">
        <v>3211</v>
      </c>
      <c r="H4558" s="546"/>
      <c r="I4558" s="552"/>
      <c r="J4558" s="555"/>
      <c r="K4558" s="555" t="s">
        <v>741</v>
      </c>
    </row>
    <row r="4559" spans="1:11" s="196" customFormat="1">
      <c r="A4559" s="515"/>
      <c r="B4559" s="940"/>
      <c r="C4559" s="941"/>
      <c r="D4559" s="942"/>
      <c r="E4559" s="943"/>
      <c r="F4559" s="944"/>
      <c r="G4559" s="945"/>
      <c r="H4559" s="546"/>
      <c r="I4559" s="552"/>
      <c r="J4559" s="515"/>
      <c r="K4559" s="555"/>
    </row>
    <row r="4560" spans="1:11" s="196" customFormat="1">
      <c r="A4560" s="419"/>
      <c r="B4560" s="191"/>
      <c r="C4560" s="237"/>
      <c r="D4560" s="220"/>
      <c r="E4560" s="220"/>
      <c r="F4560" s="160"/>
      <c r="G4560" s="154"/>
      <c r="H4560" s="546"/>
      <c r="I4560" s="552"/>
      <c r="J4560" s="419"/>
      <c r="K4560" s="555"/>
    </row>
    <row r="4561" spans="1:11" s="196" customFormat="1">
      <c r="A4561" s="419"/>
      <c r="B4561" s="191" t="s">
        <v>13517</v>
      </c>
      <c r="C4561" s="237"/>
      <c r="D4561" s="220"/>
      <c r="E4561" s="220"/>
      <c r="F4561" s="160">
        <v>80</v>
      </c>
      <c r="G4561" s="154" t="s">
        <v>13518</v>
      </c>
      <c r="H4561" s="546"/>
      <c r="I4561" s="552"/>
      <c r="J4561" s="419"/>
      <c r="K4561" s="555" t="s">
        <v>741</v>
      </c>
    </row>
    <row r="4562" spans="1:11" s="196" customFormat="1">
      <c r="A4562" s="419"/>
      <c r="B4562" s="191" t="s">
        <v>5246</v>
      </c>
      <c r="C4562" s="237"/>
      <c r="D4562" s="220"/>
      <c r="E4562" s="220"/>
      <c r="F4562" s="160">
        <v>100</v>
      </c>
      <c r="G4562" s="154" t="s">
        <v>5247</v>
      </c>
      <c r="H4562" s="546"/>
      <c r="I4562" s="552"/>
      <c r="J4562" s="419"/>
      <c r="K4562" s="555" t="s">
        <v>741</v>
      </c>
    </row>
    <row r="4563" spans="1:11" s="196" customFormat="1">
      <c r="A4563" s="419"/>
      <c r="B4563" s="191" t="s">
        <v>5248</v>
      </c>
      <c r="C4563" s="237"/>
      <c r="D4563" s="220"/>
      <c r="E4563" s="220"/>
      <c r="F4563" s="1649">
        <v>150</v>
      </c>
      <c r="G4563" s="154" t="s">
        <v>5249</v>
      </c>
      <c r="H4563" s="546"/>
      <c r="I4563" s="552"/>
      <c r="J4563" s="419"/>
      <c r="K4563" s="555" t="s">
        <v>741</v>
      </c>
    </row>
    <row r="4564" spans="1:11" s="196" customFormat="1">
      <c r="A4564" s="419"/>
      <c r="B4564" s="191" t="s">
        <v>5250</v>
      </c>
      <c r="C4564" s="237"/>
      <c r="D4564" s="220"/>
      <c r="E4564" s="220"/>
      <c r="F4564" s="160">
        <v>180</v>
      </c>
      <c r="G4564" s="154" t="s">
        <v>5251</v>
      </c>
      <c r="H4564" s="546"/>
      <c r="I4564" s="552"/>
      <c r="J4564" s="419"/>
      <c r="K4564" s="555" t="s">
        <v>741</v>
      </c>
    </row>
    <row r="4565" spans="1:11" s="196" customFormat="1">
      <c r="A4565" s="419"/>
      <c r="B4565" s="191" t="s">
        <v>5252</v>
      </c>
      <c r="C4565" s="237"/>
      <c r="D4565" s="220"/>
      <c r="E4565" s="220"/>
      <c r="F4565" s="160">
        <v>220</v>
      </c>
      <c r="G4565" s="154" t="s">
        <v>5253</v>
      </c>
      <c r="H4565" s="546"/>
      <c r="I4565" s="552"/>
      <c r="J4565" s="419"/>
      <c r="K4565" s="555" t="s">
        <v>741</v>
      </c>
    </row>
    <row r="4566" spans="1:11" s="196" customFormat="1">
      <c r="A4566" s="419"/>
      <c r="B4566" s="191" t="s">
        <v>5254</v>
      </c>
      <c r="C4566" s="237"/>
      <c r="D4566" s="220"/>
      <c r="E4566" s="220"/>
      <c r="F4566" s="1649">
        <v>280</v>
      </c>
      <c r="G4566" s="154" t="s">
        <v>5255</v>
      </c>
      <c r="H4566" s="546"/>
      <c r="I4566" s="552"/>
      <c r="J4566" s="419"/>
      <c r="K4566" s="555" t="s">
        <v>741</v>
      </c>
    </row>
    <row r="4567" spans="1:11" s="196" customFormat="1">
      <c r="A4567" s="419"/>
      <c r="B4567" s="191" t="s">
        <v>5256</v>
      </c>
      <c r="C4567" s="237"/>
      <c r="D4567" s="220"/>
      <c r="E4567" s="220"/>
      <c r="F4567" s="160">
        <v>320</v>
      </c>
      <c r="G4567" s="154" t="s">
        <v>5257</v>
      </c>
      <c r="H4567" s="546"/>
      <c r="I4567" s="552"/>
      <c r="J4567" s="419"/>
      <c r="K4567" s="555" t="s">
        <v>741</v>
      </c>
    </row>
    <row r="4568" spans="1:11" s="196" customFormat="1">
      <c r="A4568" s="419"/>
      <c r="B4568" s="191"/>
      <c r="C4568" s="237"/>
      <c r="D4568" s="220"/>
      <c r="E4568" s="220"/>
      <c r="F4568" s="160"/>
      <c r="G4568" s="154"/>
      <c r="H4568" s="546"/>
      <c r="I4568" s="552"/>
      <c r="J4568" s="419"/>
      <c r="K4568" s="555"/>
    </row>
    <row r="4569" spans="1:11" s="196" customFormat="1">
      <c r="A4569" s="419"/>
      <c r="B4569" s="191" t="s">
        <v>6147</v>
      </c>
      <c r="C4569" s="237"/>
      <c r="D4569" s="220"/>
      <c r="E4569" s="220"/>
      <c r="F4569" s="160">
        <v>50</v>
      </c>
      <c r="G4569" s="154" t="s">
        <v>6148</v>
      </c>
      <c r="H4569" s="546"/>
      <c r="I4569" s="552"/>
      <c r="J4569" s="419"/>
      <c r="K4569" s="555" t="s">
        <v>741</v>
      </c>
    </row>
    <row r="4570" spans="1:11" s="196" customFormat="1">
      <c r="A4570" s="419"/>
      <c r="B4570" s="191" t="s">
        <v>3055</v>
      </c>
      <c r="C4570" s="237"/>
      <c r="D4570" s="220"/>
      <c r="E4570" s="220"/>
      <c r="F4570" s="160">
        <v>50</v>
      </c>
      <c r="G4570" s="154" t="s">
        <v>13519</v>
      </c>
      <c r="H4570" s="546"/>
      <c r="I4570" s="552"/>
      <c r="J4570" s="419"/>
      <c r="K4570" s="555" t="s">
        <v>741</v>
      </c>
    </row>
    <row r="4571" spans="1:11" s="196" customFormat="1">
      <c r="A4571" s="515"/>
      <c r="B4571" s="940"/>
      <c r="C4571" s="941"/>
      <c r="D4571" s="942"/>
      <c r="E4571" s="943"/>
      <c r="F4571" s="944"/>
      <c r="G4571" s="154"/>
      <c r="H4571" s="546"/>
      <c r="I4571" s="552"/>
      <c r="J4571" s="515"/>
      <c r="K4571" s="555"/>
    </row>
    <row r="4572" spans="1:11" s="196" customFormat="1">
      <c r="A4572" s="515"/>
      <c r="B4572" s="940"/>
      <c r="C4572" s="941"/>
      <c r="D4572" s="942"/>
      <c r="E4572" s="943"/>
      <c r="F4572" s="944"/>
      <c r="G4572" s="154"/>
      <c r="H4572" s="546"/>
      <c r="I4572" s="552"/>
      <c r="J4572" s="515"/>
      <c r="K4572" s="555"/>
    </row>
    <row r="4573" spans="1:11" s="196" customFormat="1">
      <c r="A4573" s="419"/>
      <c r="B4573" s="191" t="s">
        <v>3056</v>
      </c>
      <c r="C4573" s="237"/>
      <c r="D4573" s="220"/>
      <c r="E4573" s="220"/>
      <c r="F4573" s="160">
        <v>2.5</v>
      </c>
      <c r="G4573" s="154" t="s">
        <v>3057</v>
      </c>
      <c r="H4573" s="546"/>
      <c r="I4573" s="552"/>
      <c r="J4573" s="419"/>
      <c r="K4573" s="555" t="s">
        <v>741</v>
      </c>
    </row>
    <row r="4574" spans="1:11" s="196" customFormat="1">
      <c r="A4574" s="419"/>
      <c r="B4574" s="191" t="s">
        <v>3058</v>
      </c>
      <c r="C4574" s="237"/>
      <c r="D4574" s="220"/>
      <c r="E4574" s="220"/>
      <c r="F4574" s="160">
        <v>5</v>
      </c>
      <c r="G4574" s="154" t="s">
        <v>3059</v>
      </c>
      <c r="H4574" s="546"/>
      <c r="I4574" s="552"/>
      <c r="J4574" s="419"/>
      <c r="K4574" s="555" t="s">
        <v>741</v>
      </c>
    </row>
    <row r="4575" spans="1:11" s="196" customFormat="1">
      <c r="A4575" s="419"/>
      <c r="B4575" s="191" t="s">
        <v>3060</v>
      </c>
      <c r="C4575" s="237"/>
      <c r="D4575" s="220"/>
      <c r="E4575" s="220"/>
      <c r="F4575" s="160">
        <v>2.5</v>
      </c>
      <c r="G4575" s="154" t="s">
        <v>3061</v>
      </c>
      <c r="H4575" s="546"/>
      <c r="I4575" s="552"/>
      <c r="J4575" s="419"/>
      <c r="K4575" s="555" t="s">
        <v>741</v>
      </c>
    </row>
    <row r="4576" spans="1:11" s="196" customFormat="1">
      <c r="A4576" s="419"/>
      <c r="B4576" s="191" t="s">
        <v>3062</v>
      </c>
      <c r="C4576" s="237"/>
      <c r="D4576" s="220"/>
      <c r="E4576" s="220"/>
      <c r="F4576" s="160">
        <v>5</v>
      </c>
      <c r="G4576" s="154" t="s">
        <v>3063</v>
      </c>
      <c r="H4576" s="546"/>
      <c r="I4576" s="552"/>
      <c r="J4576" s="419"/>
      <c r="K4576" s="555" t="s">
        <v>741</v>
      </c>
    </row>
    <row r="4577" spans="1:11" s="196" customFormat="1">
      <c r="A4577" s="419"/>
      <c r="B4577" s="191"/>
      <c r="C4577" s="237"/>
      <c r="D4577" s="220"/>
      <c r="E4577" s="220"/>
      <c r="F4577" s="160"/>
      <c r="G4577" s="154"/>
      <c r="H4577" s="546"/>
      <c r="I4577" s="552"/>
      <c r="J4577" s="419"/>
      <c r="K4577" s="555"/>
    </row>
    <row r="4578" spans="1:11" s="196" customFormat="1">
      <c r="A4578" s="419"/>
      <c r="B4578" s="191" t="s">
        <v>6149</v>
      </c>
      <c r="C4578" s="237"/>
      <c r="D4578" s="220"/>
      <c r="E4578" s="220"/>
      <c r="F4578" s="160">
        <v>1.5</v>
      </c>
      <c r="G4578" s="154" t="s">
        <v>6150</v>
      </c>
      <c r="H4578" s="546"/>
      <c r="I4578" s="552"/>
      <c r="J4578" s="419"/>
      <c r="K4578" s="555" t="s">
        <v>741</v>
      </c>
    </row>
    <row r="4579" spans="1:11" s="196" customFormat="1">
      <c r="A4579" s="419"/>
      <c r="B4579" s="191" t="s">
        <v>8367</v>
      </c>
      <c r="C4579" s="237"/>
      <c r="D4579" s="220"/>
      <c r="E4579" s="220"/>
      <c r="F4579" s="160">
        <v>2.5</v>
      </c>
      <c r="G4579" s="154" t="s">
        <v>8368</v>
      </c>
      <c r="H4579" s="546"/>
      <c r="I4579" s="552"/>
      <c r="J4579" s="419"/>
      <c r="K4579" s="555" t="s">
        <v>741</v>
      </c>
    </row>
    <row r="4580" spans="1:11" s="196" customFormat="1">
      <c r="A4580" s="419"/>
      <c r="B4580" s="191" t="s">
        <v>3064</v>
      </c>
      <c r="C4580" s="237"/>
      <c r="D4580" s="220"/>
      <c r="E4580" s="220"/>
      <c r="F4580" s="160">
        <v>1.5</v>
      </c>
      <c r="G4580" s="154" t="s">
        <v>3065</v>
      </c>
      <c r="H4580" s="546"/>
      <c r="I4580" s="552"/>
      <c r="J4580" s="419"/>
      <c r="K4580" s="555" t="s">
        <v>741</v>
      </c>
    </row>
    <row r="4581" spans="1:11" s="196" customFormat="1">
      <c r="A4581" s="419"/>
      <c r="B4581" s="191" t="s">
        <v>3066</v>
      </c>
      <c r="C4581" s="237"/>
      <c r="D4581" s="220"/>
      <c r="E4581" s="220"/>
      <c r="F4581" s="160">
        <v>2.5</v>
      </c>
      <c r="G4581" s="154" t="s">
        <v>3067</v>
      </c>
      <c r="H4581" s="546"/>
      <c r="I4581" s="552"/>
      <c r="J4581" s="419"/>
      <c r="K4581" s="555" t="s">
        <v>741</v>
      </c>
    </row>
    <row r="4582" spans="1:11" s="196" customFormat="1">
      <c r="A4582" s="419"/>
      <c r="B4582" s="191" t="s">
        <v>1048</v>
      </c>
      <c r="C4582" s="237"/>
      <c r="D4582" s="220"/>
      <c r="E4582" s="220"/>
      <c r="F4582" s="160">
        <v>1.5</v>
      </c>
      <c r="G4582" s="154" t="s">
        <v>3068</v>
      </c>
      <c r="H4582" s="546"/>
      <c r="I4582" s="552"/>
      <c r="J4582" s="419"/>
      <c r="K4582" s="555" t="s">
        <v>741</v>
      </c>
    </row>
    <row r="4583" spans="1:11" s="196" customFormat="1">
      <c r="A4583" s="419"/>
      <c r="B4583" s="191" t="s">
        <v>3069</v>
      </c>
      <c r="C4583" s="237"/>
      <c r="D4583" s="220"/>
      <c r="E4583" s="220"/>
      <c r="F4583" s="160">
        <v>2.5</v>
      </c>
      <c r="G4583" s="154" t="s">
        <v>3070</v>
      </c>
      <c r="H4583" s="546"/>
      <c r="I4583" s="552"/>
      <c r="J4583" s="419"/>
      <c r="K4583" s="555" t="s">
        <v>741</v>
      </c>
    </row>
    <row r="4584" spans="1:11" s="196" customFormat="1">
      <c r="A4584" s="419"/>
      <c r="B4584" s="191" t="s">
        <v>8369</v>
      </c>
      <c r="C4584" s="237"/>
      <c r="D4584" s="220"/>
      <c r="E4584" s="220"/>
      <c r="F4584" s="160">
        <v>1.5</v>
      </c>
      <c r="G4584" s="154" t="s">
        <v>8370</v>
      </c>
      <c r="H4584" s="546"/>
      <c r="I4584" s="552"/>
      <c r="J4584" s="419"/>
      <c r="K4584" s="555" t="s">
        <v>741</v>
      </c>
    </row>
    <row r="4585" spans="1:11" s="196" customFormat="1">
      <c r="A4585" s="419"/>
      <c r="B4585" s="191" t="s">
        <v>8371</v>
      </c>
      <c r="C4585" s="237"/>
      <c r="D4585" s="220"/>
      <c r="E4585" s="220"/>
      <c r="F4585" s="160">
        <v>2.5</v>
      </c>
      <c r="G4585" s="154" t="s">
        <v>8372</v>
      </c>
      <c r="H4585" s="546"/>
      <c r="I4585" s="552"/>
      <c r="J4585" s="419"/>
      <c r="K4585" s="555" t="s">
        <v>741</v>
      </c>
    </row>
    <row r="4586" spans="1:11" s="196" customFormat="1">
      <c r="A4586" s="419"/>
      <c r="B4586" s="191" t="s">
        <v>3071</v>
      </c>
      <c r="C4586" s="237"/>
      <c r="D4586" s="220"/>
      <c r="E4586" s="220"/>
      <c r="F4586" s="160">
        <v>1.5</v>
      </c>
      <c r="G4586" s="154" t="s">
        <v>3072</v>
      </c>
      <c r="H4586" s="546"/>
      <c r="I4586" s="552"/>
      <c r="J4586" s="419"/>
      <c r="K4586" s="555" t="s">
        <v>741</v>
      </c>
    </row>
    <row r="4587" spans="1:11" s="196" customFormat="1">
      <c r="A4587" s="419"/>
      <c r="B4587" s="191" t="s">
        <v>8373</v>
      </c>
      <c r="C4587" s="237"/>
      <c r="D4587" s="220"/>
      <c r="E4587" s="220"/>
      <c r="F4587" s="160">
        <v>1.5</v>
      </c>
      <c r="G4587" s="154" t="s">
        <v>8374</v>
      </c>
      <c r="H4587" s="546"/>
      <c r="I4587" s="552"/>
      <c r="J4587" s="419"/>
      <c r="K4587" s="555" t="s">
        <v>741</v>
      </c>
    </row>
    <row r="4588" spans="1:11" s="196" customFormat="1">
      <c r="A4588" s="419"/>
      <c r="B4588" s="191"/>
      <c r="C4588" s="237"/>
      <c r="D4588" s="220"/>
      <c r="E4588" s="220"/>
      <c r="F4588" s="160"/>
      <c r="G4588" s="154"/>
      <c r="H4588" s="546"/>
      <c r="I4588" s="552"/>
      <c r="J4588" s="419"/>
      <c r="K4588" s="555"/>
    </row>
    <row r="4589" spans="1:11" s="196" customFormat="1">
      <c r="A4589" s="419"/>
      <c r="B4589" s="191" t="s">
        <v>10128</v>
      </c>
      <c r="C4589" s="237"/>
      <c r="D4589" s="220"/>
      <c r="E4589" s="220"/>
      <c r="F4589" s="946">
        <v>10</v>
      </c>
      <c r="G4589" s="154" t="s">
        <v>8375</v>
      </c>
      <c r="H4589" s="546"/>
      <c r="I4589" s="552"/>
      <c r="J4589" s="419"/>
      <c r="K4589" s="555" t="s">
        <v>741</v>
      </c>
    </row>
    <row r="4590" spans="1:11" s="196" customFormat="1">
      <c r="A4590" s="419"/>
      <c r="B4590" s="191" t="s">
        <v>3073</v>
      </c>
      <c r="C4590" s="237"/>
      <c r="D4590" s="220"/>
      <c r="E4590" s="220"/>
      <c r="F4590" s="946">
        <v>10</v>
      </c>
      <c r="G4590" s="154" t="s">
        <v>3074</v>
      </c>
      <c r="H4590" s="546"/>
      <c r="I4590" s="552"/>
      <c r="J4590" s="419"/>
      <c r="K4590" s="555" t="s">
        <v>741</v>
      </c>
    </row>
    <row r="4591" spans="1:11" s="196" customFormat="1">
      <c r="A4591" s="419"/>
      <c r="B4591" s="191" t="s">
        <v>3075</v>
      </c>
      <c r="C4591" s="237"/>
      <c r="D4591" s="220"/>
      <c r="E4591" s="220"/>
      <c r="F4591" s="946">
        <v>15</v>
      </c>
      <c r="G4591" s="154" t="s">
        <v>3076</v>
      </c>
      <c r="H4591" s="546"/>
      <c r="I4591" s="552"/>
      <c r="J4591" s="419"/>
      <c r="K4591" s="555" t="s">
        <v>741</v>
      </c>
    </row>
    <row r="4592" spans="1:11" s="196" customFormat="1">
      <c r="A4592" s="419"/>
      <c r="B4592" s="191" t="s">
        <v>6151</v>
      </c>
      <c r="C4592" s="237"/>
      <c r="D4592" s="220"/>
      <c r="E4592" s="220"/>
      <c r="F4592" s="946">
        <v>15</v>
      </c>
      <c r="G4592" s="154" t="s">
        <v>6152</v>
      </c>
      <c r="H4592" s="546"/>
      <c r="I4592" s="552"/>
      <c r="J4592" s="419"/>
      <c r="K4592" s="555" t="s">
        <v>741</v>
      </c>
    </row>
    <row r="4593" spans="1:11" s="196" customFormat="1">
      <c r="A4593" s="419"/>
      <c r="B4593" s="191" t="s">
        <v>3077</v>
      </c>
      <c r="C4593" s="237"/>
      <c r="D4593" s="220"/>
      <c r="E4593" s="220"/>
      <c r="F4593" s="946">
        <v>15</v>
      </c>
      <c r="G4593" s="154" t="s">
        <v>3078</v>
      </c>
      <c r="H4593" s="546"/>
      <c r="I4593" s="552"/>
      <c r="J4593" s="419"/>
      <c r="K4593" s="555" t="s">
        <v>741</v>
      </c>
    </row>
    <row r="4594" spans="1:11" s="196" customFormat="1">
      <c r="A4594" s="419"/>
      <c r="B4594" s="191" t="s">
        <v>3079</v>
      </c>
      <c r="C4594" s="237"/>
      <c r="D4594" s="220"/>
      <c r="E4594" s="220"/>
      <c r="F4594" s="946">
        <v>25</v>
      </c>
      <c r="G4594" s="154" t="s">
        <v>3080</v>
      </c>
      <c r="H4594" s="546"/>
      <c r="I4594" s="552"/>
      <c r="J4594" s="419"/>
      <c r="K4594" s="555" t="s">
        <v>741</v>
      </c>
    </row>
    <row r="4595" spans="1:11" s="196" customFormat="1">
      <c r="A4595" s="419"/>
      <c r="B4595" s="191" t="s">
        <v>3463</v>
      </c>
      <c r="C4595" s="237"/>
      <c r="D4595" s="220"/>
      <c r="E4595" s="220"/>
      <c r="F4595" s="946">
        <v>100</v>
      </c>
      <c r="G4595" s="154" t="s">
        <v>8376</v>
      </c>
      <c r="H4595" s="546"/>
      <c r="I4595" s="552"/>
      <c r="J4595" s="419"/>
      <c r="K4595" s="555" t="s">
        <v>741</v>
      </c>
    </row>
    <row r="4596" spans="1:11" s="196" customFormat="1">
      <c r="A4596" s="419"/>
      <c r="B4596" s="191" t="s">
        <v>8377</v>
      </c>
      <c r="C4596" s="237"/>
      <c r="D4596" s="220"/>
      <c r="E4596" s="220"/>
      <c r="F4596" s="946">
        <v>200</v>
      </c>
      <c r="G4596" s="154" t="s">
        <v>8378</v>
      </c>
      <c r="H4596" s="546"/>
      <c r="I4596" s="552"/>
      <c r="J4596" s="419"/>
      <c r="K4596" s="555" t="s">
        <v>741</v>
      </c>
    </row>
    <row r="4597" spans="1:11" s="194" customFormat="1">
      <c r="A4597" s="419"/>
      <c r="B4597" s="191"/>
      <c r="C4597" s="237"/>
      <c r="D4597" s="220"/>
      <c r="E4597" s="220"/>
      <c r="F4597" s="160"/>
      <c r="G4597" s="154"/>
      <c r="H4597" s="546"/>
      <c r="I4597" s="552"/>
      <c r="J4597" s="419"/>
      <c r="K4597" s="555"/>
    </row>
    <row r="4598" spans="1:11" s="196" customFormat="1">
      <c r="A4598" s="419"/>
      <c r="B4598" s="191" t="s">
        <v>3081</v>
      </c>
      <c r="C4598" s="237"/>
      <c r="D4598" s="220"/>
      <c r="E4598" s="220"/>
      <c r="F4598" s="946">
        <v>18</v>
      </c>
      <c r="G4598" s="154" t="s">
        <v>3082</v>
      </c>
      <c r="H4598" s="546"/>
      <c r="I4598" s="552"/>
      <c r="J4598" s="419"/>
      <c r="K4598" s="555" t="s">
        <v>741</v>
      </c>
    </row>
    <row r="4599" spans="1:11" s="196" customFormat="1">
      <c r="A4599" s="419"/>
      <c r="B4599" s="191"/>
      <c r="C4599" s="237"/>
      <c r="D4599" s="220"/>
      <c r="E4599" s="220"/>
      <c r="F4599" s="160"/>
      <c r="G4599" s="154"/>
      <c r="H4599" s="546"/>
      <c r="I4599" s="552"/>
      <c r="J4599" s="419"/>
      <c r="K4599" s="555"/>
    </row>
    <row r="4600" spans="1:11" s="196" customFormat="1">
      <c r="A4600" s="419"/>
      <c r="B4600" s="191" t="s">
        <v>3083</v>
      </c>
      <c r="C4600" s="237"/>
      <c r="D4600" s="220"/>
      <c r="E4600" s="220"/>
      <c r="F4600" s="160">
        <f>15*1.5</f>
        <v>22.5</v>
      </c>
      <c r="G4600" s="154" t="s">
        <v>3084</v>
      </c>
      <c r="H4600" s="546"/>
      <c r="I4600" s="552"/>
      <c r="J4600" s="419"/>
      <c r="K4600" s="555" t="s">
        <v>741</v>
      </c>
    </row>
    <row r="4601" spans="1:11" s="196" customFormat="1">
      <c r="A4601" s="419"/>
      <c r="B4601" s="191" t="s">
        <v>3085</v>
      </c>
      <c r="C4601" s="237"/>
      <c r="D4601" s="220"/>
      <c r="E4601" s="220"/>
      <c r="F4601" s="160">
        <f>15*1.5</f>
        <v>22.5</v>
      </c>
      <c r="G4601" s="154" t="s">
        <v>3086</v>
      </c>
      <c r="H4601" s="546"/>
      <c r="I4601" s="552"/>
      <c r="J4601" s="419"/>
      <c r="K4601" s="555" t="s">
        <v>741</v>
      </c>
    </row>
    <row r="4602" spans="1:11" s="196" customFormat="1">
      <c r="A4602" s="419"/>
      <c r="B4602" s="191" t="s">
        <v>3087</v>
      </c>
      <c r="C4602" s="237"/>
      <c r="D4602" s="220"/>
      <c r="E4602" s="220"/>
      <c r="F4602" s="160">
        <f>15*1.5</f>
        <v>22.5</v>
      </c>
      <c r="G4602" s="154" t="s">
        <v>3088</v>
      </c>
      <c r="H4602" s="546"/>
      <c r="I4602" s="552"/>
      <c r="J4602" s="419"/>
      <c r="K4602" s="555" t="s">
        <v>741</v>
      </c>
    </row>
    <row r="4603" spans="1:11" s="196" customFormat="1">
      <c r="A4603" s="419"/>
      <c r="B4603" s="191" t="s">
        <v>3089</v>
      </c>
      <c r="C4603" s="237"/>
      <c r="D4603" s="220"/>
      <c r="E4603" s="220"/>
      <c r="F4603" s="160">
        <f>15*1.5</f>
        <v>22.5</v>
      </c>
      <c r="G4603" s="154" t="s">
        <v>3090</v>
      </c>
      <c r="H4603" s="546"/>
      <c r="I4603" s="552"/>
      <c r="J4603" s="419"/>
      <c r="K4603" s="555" t="s">
        <v>741</v>
      </c>
    </row>
    <row r="4604" spans="1:11" s="196" customFormat="1">
      <c r="A4604" s="419"/>
      <c r="B4604" s="191" t="s">
        <v>3091</v>
      </c>
      <c r="C4604" s="237"/>
      <c r="D4604" s="220"/>
      <c r="E4604" s="220"/>
      <c r="F4604" s="160">
        <f>30*1.5</f>
        <v>45</v>
      </c>
      <c r="G4604" s="154" t="s">
        <v>3092</v>
      </c>
      <c r="H4604" s="546"/>
      <c r="I4604" s="552"/>
      <c r="J4604" s="419"/>
      <c r="K4604" s="555" t="s">
        <v>741</v>
      </c>
    </row>
    <row r="4605" spans="1:11" s="196" customFormat="1">
      <c r="A4605" s="419"/>
      <c r="B4605" s="191" t="s">
        <v>3093</v>
      </c>
      <c r="C4605" s="237"/>
      <c r="D4605" s="220"/>
      <c r="E4605" s="220"/>
      <c r="F4605" s="948">
        <f>15*1.5</f>
        <v>22.5</v>
      </c>
      <c r="G4605" s="154" t="s">
        <v>3094</v>
      </c>
      <c r="H4605" s="546"/>
      <c r="I4605" s="552"/>
      <c r="J4605" s="419"/>
      <c r="K4605" s="555" t="s">
        <v>741</v>
      </c>
    </row>
    <row r="4606" spans="1:11" s="196" customFormat="1">
      <c r="A4606" s="419"/>
      <c r="B4606" s="191" t="s">
        <v>3095</v>
      </c>
      <c r="C4606" s="237"/>
      <c r="D4606" s="220"/>
      <c r="E4606" s="220"/>
      <c r="F4606" s="948">
        <f>15*1.5</f>
        <v>22.5</v>
      </c>
      <c r="G4606" s="154" t="s">
        <v>3096</v>
      </c>
      <c r="H4606" s="546"/>
      <c r="I4606" s="552"/>
      <c r="J4606" s="419"/>
      <c r="K4606" s="555" t="s">
        <v>741</v>
      </c>
    </row>
    <row r="4607" spans="1:11" s="196" customFormat="1">
      <c r="A4607" s="419"/>
      <c r="B4607" s="191" t="s">
        <v>3097</v>
      </c>
      <c r="C4607" s="237"/>
      <c r="D4607" s="220"/>
      <c r="E4607" s="220"/>
      <c r="F4607" s="948">
        <f>15*1.5</f>
        <v>22.5</v>
      </c>
      <c r="G4607" s="154" t="s">
        <v>3098</v>
      </c>
      <c r="H4607" s="546"/>
      <c r="I4607" s="552"/>
      <c r="J4607" s="419"/>
      <c r="K4607" s="555" t="s">
        <v>741</v>
      </c>
    </row>
    <row r="4608" spans="1:11" s="196" customFormat="1">
      <c r="A4608" s="419"/>
      <c r="B4608" s="191"/>
      <c r="C4608" s="237"/>
      <c r="D4608" s="220"/>
      <c r="E4608" s="220"/>
      <c r="F4608" s="948"/>
      <c r="G4608" s="154"/>
      <c r="H4608" s="546"/>
      <c r="I4608" s="552"/>
      <c r="J4608" s="419"/>
      <c r="K4608" s="555"/>
    </row>
    <row r="4609" spans="1:11" s="196" customFormat="1">
      <c r="A4609" s="419"/>
      <c r="B4609" s="191" t="s">
        <v>3099</v>
      </c>
      <c r="C4609" s="237"/>
      <c r="D4609" s="220"/>
      <c r="E4609" s="220"/>
      <c r="F4609" s="160">
        <v>5</v>
      </c>
      <c r="G4609" s="154" t="s">
        <v>3100</v>
      </c>
      <c r="H4609" s="546"/>
      <c r="I4609" s="552"/>
      <c r="J4609" s="419"/>
      <c r="K4609" s="555" t="s">
        <v>741</v>
      </c>
    </row>
    <row r="4610" spans="1:11" s="196" customFormat="1">
      <c r="A4610" s="419"/>
      <c r="B4610" s="191" t="s">
        <v>3101</v>
      </c>
      <c r="C4610" s="237"/>
      <c r="D4610" s="220"/>
      <c r="E4610" s="220"/>
      <c r="F4610" s="160">
        <v>5</v>
      </c>
      <c r="G4610" s="154" t="s">
        <v>3102</v>
      </c>
      <c r="H4610" s="546"/>
      <c r="I4610" s="552"/>
      <c r="J4610" s="419"/>
      <c r="K4610" s="555" t="s">
        <v>741</v>
      </c>
    </row>
    <row r="4611" spans="1:11" s="196" customFormat="1">
      <c r="A4611" s="419"/>
      <c r="B4611" s="191"/>
      <c r="C4611" s="237"/>
      <c r="D4611" s="220"/>
      <c r="E4611" s="220"/>
      <c r="F4611" s="160"/>
      <c r="G4611" s="154"/>
      <c r="H4611" s="546"/>
      <c r="I4611" s="552"/>
      <c r="J4611" s="419"/>
      <c r="K4611" s="555"/>
    </row>
    <row r="4612" spans="1:11" s="196" customFormat="1">
      <c r="A4612" s="515"/>
      <c r="B4612" s="546"/>
      <c r="C4612" s="547"/>
      <c r="D4612" s="548"/>
      <c r="E4612" s="549"/>
      <c r="F4612" s="556"/>
      <c r="G4612" s="557"/>
      <c r="H4612" s="546"/>
      <c r="I4612" s="552"/>
      <c r="J4612" s="515"/>
      <c r="K4612" s="552"/>
    </row>
    <row r="4613" spans="1:11" s="196" customFormat="1">
      <c r="A4613" s="419"/>
      <c r="B4613" s="191" t="s">
        <v>3103</v>
      </c>
      <c r="C4613" s="237"/>
      <c r="D4613" s="220"/>
      <c r="E4613" s="220"/>
      <c r="F4613" s="160">
        <v>60</v>
      </c>
      <c r="G4613" s="154" t="s">
        <v>3104</v>
      </c>
      <c r="H4613" s="546"/>
      <c r="I4613" s="552"/>
      <c r="J4613" s="419"/>
      <c r="K4613" s="555" t="s">
        <v>741</v>
      </c>
    </row>
    <row r="4614" spans="1:11" s="196" customFormat="1">
      <c r="A4614" s="420"/>
      <c r="B4614" s="151"/>
      <c r="C4614" s="209"/>
      <c r="D4614" s="221"/>
      <c r="E4614" s="228"/>
      <c r="F4614" s="162"/>
      <c r="G4614" s="338"/>
      <c r="H4614" s="546"/>
      <c r="I4614" s="552"/>
      <c r="J4614" s="420"/>
      <c r="K4614" s="520"/>
    </row>
    <row r="4615" spans="1:11" s="196" customFormat="1">
      <c r="A4615" s="419"/>
      <c r="B4615" s="191" t="s">
        <v>3105</v>
      </c>
      <c r="C4615" s="237"/>
      <c r="D4615" s="220"/>
      <c r="E4615" s="220"/>
      <c r="F4615" s="160">
        <v>100</v>
      </c>
      <c r="G4615" s="154" t="s">
        <v>3106</v>
      </c>
      <c r="H4615" s="546"/>
      <c r="I4615" s="552"/>
      <c r="J4615" s="419"/>
      <c r="K4615" s="555" t="s">
        <v>741</v>
      </c>
    </row>
    <row r="4616" spans="1:11" s="947" customFormat="1">
      <c r="A4616" s="419"/>
      <c r="B4616" s="191"/>
      <c r="C4616" s="237"/>
      <c r="D4616" s="220"/>
      <c r="E4616" s="220"/>
      <c r="F4616" s="160"/>
      <c r="G4616" s="154"/>
      <c r="H4616" s="546"/>
      <c r="I4616" s="552"/>
      <c r="J4616" s="419"/>
      <c r="K4616" s="555"/>
    </row>
    <row r="4617" spans="1:11" s="947" customFormat="1">
      <c r="A4617" s="419"/>
      <c r="B4617" s="191" t="s">
        <v>3107</v>
      </c>
      <c r="C4617" s="237"/>
      <c r="D4617" s="220"/>
      <c r="E4617" s="220"/>
      <c r="F4617" s="160">
        <v>1.5</v>
      </c>
      <c r="G4617" s="154" t="s">
        <v>3108</v>
      </c>
      <c r="H4617" s="546"/>
      <c r="I4617" s="552"/>
      <c r="J4617" s="419"/>
      <c r="K4617" s="555" t="s">
        <v>741</v>
      </c>
    </row>
    <row r="4618" spans="1:11" s="196" customFormat="1">
      <c r="A4618" s="419"/>
      <c r="B4618" s="191" t="s">
        <v>3109</v>
      </c>
      <c r="C4618" s="237"/>
      <c r="E4618" s="220"/>
      <c r="F4618" s="160">
        <v>1.5</v>
      </c>
      <c r="G4618" s="154" t="s">
        <v>3110</v>
      </c>
      <c r="H4618" s="546"/>
      <c r="I4618" s="552"/>
      <c r="J4618" s="419"/>
      <c r="K4618" s="555" t="s">
        <v>741</v>
      </c>
    </row>
    <row r="4619" spans="1:11" s="196" customFormat="1">
      <c r="A4619" s="419"/>
      <c r="B4619" s="949" t="s">
        <v>8379</v>
      </c>
      <c r="C4619" s="950">
        <f>70/48*36</f>
        <v>52.5</v>
      </c>
      <c r="D4619" s="244">
        <f>C4619*fcl/TC</f>
        <v>26.171641791044774</v>
      </c>
      <c r="E4619" s="601">
        <v>2</v>
      </c>
      <c r="F4619" s="160">
        <f>D4619+E4619</f>
        <v>28.171641791044774</v>
      </c>
      <c r="G4619" s="154" t="s">
        <v>8380</v>
      </c>
      <c r="H4619" s="546"/>
      <c r="I4619" s="552"/>
      <c r="J4619" s="419"/>
      <c r="K4619" s="555" t="s">
        <v>741</v>
      </c>
    </row>
    <row r="4620" spans="1:11" s="196" customFormat="1">
      <c r="A4620" s="419"/>
      <c r="B4620" s="951" t="s">
        <v>8381</v>
      </c>
      <c r="C4620" s="950">
        <f>70/48*24</f>
        <v>35</v>
      </c>
      <c r="D4620" s="244">
        <f>C4620*fcl/TC</f>
        <v>17.447761194029848</v>
      </c>
      <c r="E4620" s="601">
        <v>2</v>
      </c>
      <c r="F4620" s="160">
        <f>D4620+E4620</f>
        <v>19.447761194029848</v>
      </c>
      <c r="G4620" s="154" t="s">
        <v>8382</v>
      </c>
      <c r="H4620" s="546"/>
      <c r="I4620" s="552"/>
      <c r="J4620" s="419"/>
      <c r="K4620" s="555" t="s">
        <v>741</v>
      </c>
    </row>
    <row r="4621" spans="1:11" s="196" customFormat="1">
      <c r="A4621" s="419"/>
      <c r="B4621" s="951" t="s">
        <v>10144</v>
      </c>
      <c r="C4621" s="950">
        <f>70/48*18</f>
        <v>26.25</v>
      </c>
      <c r="D4621" s="244">
        <f>C4621*fcl/TC</f>
        <v>13.085820895522387</v>
      </c>
      <c r="E4621" s="601">
        <v>2</v>
      </c>
      <c r="F4621" s="160">
        <f t="shared" ref="F4621:F4631" si="603">D4621+E4621</f>
        <v>15.085820895522387</v>
      </c>
      <c r="G4621" s="154" t="s">
        <v>10145</v>
      </c>
      <c r="H4621" s="546"/>
      <c r="I4621" s="552"/>
      <c r="J4621" s="419"/>
      <c r="K4621" s="555" t="s">
        <v>741</v>
      </c>
    </row>
    <row r="4622" spans="1:11" s="196" customFormat="1">
      <c r="A4622" s="419"/>
      <c r="B4622" s="951" t="s">
        <v>3111</v>
      </c>
      <c r="C4622" s="950">
        <f>70/48*12</f>
        <v>17.5</v>
      </c>
      <c r="D4622" s="244">
        <f>C4622*fcl/TC</f>
        <v>8.723880597014924</v>
      </c>
      <c r="E4622" s="601">
        <v>2</v>
      </c>
      <c r="F4622" s="160">
        <f t="shared" si="603"/>
        <v>10.723880597014924</v>
      </c>
      <c r="G4622" s="154" t="s">
        <v>3112</v>
      </c>
      <c r="H4622" s="546"/>
      <c r="I4622" s="552"/>
      <c r="J4622" s="419"/>
      <c r="K4622" s="555" t="s">
        <v>741</v>
      </c>
    </row>
    <row r="4623" spans="1:11" s="196" customFormat="1">
      <c r="A4623" s="419"/>
      <c r="B4623" s="951" t="s">
        <v>3113</v>
      </c>
      <c r="C4623" s="950">
        <f>70/48*9</f>
        <v>13.125</v>
      </c>
      <c r="D4623" s="244">
        <f t="shared" ref="D4623:D4631" si="604">C4623*fcl/TC</f>
        <v>6.5429104477611935</v>
      </c>
      <c r="E4623" s="601">
        <v>2</v>
      </c>
      <c r="F4623" s="160">
        <f t="shared" si="603"/>
        <v>8.5429104477611943</v>
      </c>
      <c r="G4623" s="154" t="s">
        <v>3114</v>
      </c>
      <c r="H4623" s="546"/>
      <c r="I4623" s="552"/>
      <c r="J4623" s="419"/>
      <c r="K4623" s="555" t="s">
        <v>741</v>
      </c>
    </row>
    <row r="4624" spans="1:11" s="196" customFormat="1">
      <c r="A4624" s="419"/>
      <c r="B4624" s="952" t="s">
        <v>3115</v>
      </c>
      <c r="C4624" s="950">
        <f>70/48*6</f>
        <v>8.75</v>
      </c>
      <c r="D4624" s="244">
        <f t="shared" si="604"/>
        <v>4.361940298507462</v>
      </c>
      <c r="E4624" s="601">
        <v>0</v>
      </c>
      <c r="F4624" s="160">
        <f t="shared" si="603"/>
        <v>4.361940298507462</v>
      </c>
      <c r="G4624" s="154" t="s">
        <v>3116</v>
      </c>
      <c r="H4624" s="546"/>
      <c r="I4624" s="552"/>
      <c r="J4624" s="419"/>
      <c r="K4624" s="555" t="s">
        <v>741</v>
      </c>
    </row>
    <row r="4625" spans="1:11" s="196" customFormat="1">
      <c r="A4625" s="419"/>
      <c r="B4625" s="949" t="s">
        <v>10138</v>
      </c>
      <c r="C4625" s="950">
        <f>C4627*2</f>
        <v>35</v>
      </c>
      <c r="D4625" s="244">
        <f>C4625*fcl/TC</f>
        <v>17.447761194029848</v>
      </c>
      <c r="E4625" s="601">
        <v>2</v>
      </c>
      <c r="F4625" s="160">
        <f>D4625+E4625</f>
        <v>19.447761194029848</v>
      </c>
      <c r="G4625" s="154" t="s">
        <v>10139</v>
      </c>
      <c r="H4625" s="546"/>
      <c r="I4625" s="552"/>
      <c r="J4625" s="419"/>
      <c r="K4625" s="555" t="s">
        <v>741</v>
      </c>
    </row>
    <row r="4626" spans="1:11" s="196" customFormat="1">
      <c r="A4626" s="419"/>
      <c r="B4626" s="951" t="s">
        <v>8383</v>
      </c>
      <c r="C4626" s="950">
        <f>C4628*2</f>
        <v>23.333333333333332</v>
      </c>
      <c r="D4626" s="244">
        <f>C4626*fcl/TC</f>
        <v>11.631840796019899</v>
      </c>
      <c r="E4626" s="601">
        <v>2</v>
      </c>
      <c r="F4626" s="160">
        <f>D4626+E4626</f>
        <v>13.631840796019899</v>
      </c>
      <c r="G4626" s="154" t="s">
        <v>8384</v>
      </c>
      <c r="H4626" s="546"/>
      <c r="I4626" s="552"/>
      <c r="J4626" s="419"/>
      <c r="K4626" s="555" t="s">
        <v>741</v>
      </c>
    </row>
    <row r="4627" spans="1:11" s="196" customFormat="1">
      <c r="A4627" s="419"/>
      <c r="B4627" s="951" t="s">
        <v>8385</v>
      </c>
      <c r="C4627" s="950">
        <f>C4629*2</f>
        <v>17.5</v>
      </c>
      <c r="D4627" s="244">
        <f>C4627*fcl/TC</f>
        <v>8.723880597014924</v>
      </c>
      <c r="E4627" s="601">
        <v>2</v>
      </c>
      <c r="F4627" s="160">
        <f>D4627+E4627</f>
        <v>10.723880597014924</v>
      </c>
      <c r="G4627" s="154" t="s">
        <v>8386</v>
      </c>
      <c r="H4627" s="546"/>
      <c r="I4627" s="552"/>
      <c r="J4627" s="419"/>
      <c r="K4627" s="555" t="s">
        <v>741</v>
      </c>
    </row>
    <row r="4628" spans="1:11" s="196" customFormat="1">
      <c r="A4628" s="419"/>
      <c r="B4628" s="951" t="s">
        <v>3117</v>
      </c>
      <c r="C4628" s="950">
        <f>C4622*2/3</f>
        <v>11.666666666666666</v>
      </c>
      <c r="D4628" s="244">
        <f t="shared" si="604"/>
        <v>5.8159203980099496</v>
      </c>
      <c r="E4628" s="601">
        <v>2</v>
      </c>
      <c r="F4628" s="160">
        <f t="shared" si="603"/>
        <v>7.8159203980099496</v>
      </c>
      <c r="G4628" s="154" t="s">
        <v>3118</v>
      </c>
      <c r="H4628" s="546"/>
      <c r="I4628" s="552"/>
      <c r="J4628" s="419"/>
      <c r="K4628" s="555" t="s">
        <v>741</v>
      </c>
    </row>
    <row r="4629" spans="1:11" s="196" customFormat="1">
      <c r="A4629" s="419"/>
      <c r="B4629" s="951" t="s">
        <v>3119</v>
      </c>
      <c r="C4629" s="950">
        <f>C4623*2/3</f>
        <v>8.75</v>
      </c>
      <c r="D4629" s="244">
        <f t="shared" si="604"/>
        <v>4.361940298507462</v>
      </c>
      <c r="E4629" s="601">
        <v>2</v>
      </c>
      <c r="F4629" s="160">
        <f t="shared" si="603"/>
        <v>6.361940298507462</v>
      </c>
      <c r="G4629" s="154" t="s">
        <v>3120</v>
      </c>
      <c r="H4629" s="546"/>
      <c r="I4629" s="552"/>
      <c r="J4629" s="419"/>
      <c r="K4629" s="555" t="s">
        <v>741</v>
      </c>
    </row>
    <row r="4630" spans="1:11" s="196" customFormat="1">
      <c r="A4630" s="419"/>
      <c r="B4630" s="951" t="s">
        <v>8387</v>
      </c>
      <c r="C4630" s="950">
        <f>C4628*2/3</f>
        <v>7.7777777777777777</v>
      </c>
      <c r="D4630" s="244">
        <f t="shared" si="604"/>
        <v>3.8772802653399667</v>
      </c>
      <c r="E4630" s="601">
        <v>2</v>
      </c>
      <c r="F4630" s="160">
        <f>D4630+E4630</f>
        <v>5.8772802653399667</v>
      </c>
      <c r="G4630" s="154" t="s">
        <v>8388</v>
      </c>
      <c r="H4630" s="546"/>
      <c r="I4630" s="552"/>
      <c r="J4630" s="419"/>
      <c r="K4630" s="555" t="s">
        <v>741</v>
      </c>
    </row>
    <row r="4631" spans="1:11" s="196" customFormat="1">
      <c r="A4631" s="419"/>
      <c r="B4631" s="952" t="s">
        <v>3121</v>
      </c>
      <c r="C4631" s="950">
        <f>C4624*2/3</f>
        <v>5.833333333333333</v>
      </c>
      <c r="D4631" s="244">
        <f t="shared" si="604"/>
        <v>2.9079601990049748</v>
      </c>
      <c r="E4631" s="601">
        <v>0</v>
      </c>
      <c r="F4631" s="160">
        <f t="shared" si="603"/>
        <v>2.9079601990049748</v>
      </c>
      <c r="G4631" s="154" t="s">
        <v>3122</v>
      </c>
      <c r="H4631" s="546"/>
      <c r="I4631" s="552"/>
      <c r="J4631" s="419"/>
      <c r="K4631" s="555" t="s">
        <v>741</v>
      </c>
    </row>
    <row r="4632" spans="1:11" s="196" customFormat="1">
      <c r="A4632" s="419"/>
      <c r="B4632" s="191"/>
      <c r="C4632" s="237"/>
      <c r="D4632" s="220"/>
      <c r="E4632" s="220"/>
      <c r="F4632" s="160"/>
      <c r="G4632" s="154"/>
      <c r="H4632" s="546"/>
      <c r="I4632" s="552"/>
      <c r="J4632" s="419"/>
      <c r="K4632" s="555"/>
    </row>
    <row r="4633" spans="1:11" s="2264" customFormat="1">
      <c r="A4633" s="1642"/>
      <c r="B4633" s="2257" t="s">
        <v>13492</v>
      </c>
      <c r="C4633" s="2258">
        <v>20</v>
      </c>
      <c r="D4633" s="2259">
        <f t="shared" ref="D4633:D4634" si="605">C4633*fcl/TC</f>
        <v>9.9701492537313428</v>
      </c>
      <c r="E4633" s="2260">
        <f>D4633*0.3</f>
        <v>2.9910447761194026</v>
      </c>
      <c r="F4633" s="2261">
        <f t="shared" ref="F4633:F4636" si="606">ROUNDUP(D4633+E4633,2)</f>
        <v>12.97</v>
      </c>
      <c r="G4633" s="2262" t="s">
        <v>13493</v>
      </c>
      <c r="H4633" s="2257"/>
      <c r="I4633" s="2263"/>
      <c r="J4633" s="1642" t="s">
        <v>13494</v>
      </c>
      <c r="K4633" s="2263" t="s">
        <v>741</v>
      </c>
    </row>
    <row r="4634" spans="1:11" s="2264" customFormat="1">
      <c r="A4634" s="1642"/>
      <c r="B4634" s="2257" t="s">
        <v>13495</v>
      </c>
      <c r="C4634" s="2258">
        <v>15</v>
      </c>
      <c r="D4634" s="2259">
        <f t="shared" si="605"/>
        <v>7.4776119402985062</v>
      </c>
      <c r="E4634" s="2260">
        <f>D4634*0.3</f>
        <v>2.2432835820895516</v>
      </c>
      <c r="F4634" s="2261">
        <f t="shared" si="606"/>
        <v>9.73</v>
      </c>
      <c r="G4634" s="2262" t="s">
        <v>13496</v>
      </c>
      <c r="H4634" s="2257"/>
      <c r="I4634" s="2263"/>
      <c r="J4634" s="1642" t="s">
        <v>13494</v>
      </c>
      <c r="K4634" s="2263" t="s">
        <v>741</v>
      </c>
    </row>
    <row r="4635" spans="1:11" s="2264" customFormat="1">
      <c r="A4635" s="1642"/>
      <c r="B4635" s="2257" t="s">
        <v>13497</v>
      </c>
      <c r="C4635" s="2258">
        <v>9.5</v>
      </c>
      <c r="D4635" s="2259">
        <f t="shared" ref="D4635" si="607">C4635*fcl/TC</f>
        <v>4.7358208955223873</v>
      </c>
      <c r="E4635" s="2260">
        <f>D4635*0.3</f>
        <v>1.420746268656716</v>
      </c>
      <c r="F4635" s="2261">
        <f t="shared" si="606"/>
        <v>6.16</v>
      </c>
      <c r="G4635" s="2262" t="s">
        <v>13496</v>
      </c>
      <c r="H4635" s="2257"/>
      <c r="I4635" s="2263"/>
      <c r="J4635" s="1642" t="s">
        <v>13494</v>
      </c>
      <c r="K4635" s="2263" t="s">
        <v>741</v>
      </c>
    </row>
    <row r="4636" spans="1:11" s="2264" customFormat="1">
      <c r="A4636" s="1642"/>
      <c r="B4636" s="2257" t="s">
        <v>13498</v>
      </c>
      <c r="C4636" s="2258">
        <v>6.5</v>
      </c>
      <c r="D4636" s="2259">
        <f t="shared" ref="D4636" si="608">C4636*fcl/TC</f>
        <v>3.2402985074626867</v>
      </c>
      <c r="E4636" s="2260">
        <f>D4636*0.3</f>
        <v>0.972089552238806</v>
      </c>
      <c r="F4636" s="2261">
        <f t="shared" si="606"/>
        <v>4.22</v>
      </c>
      <c r="G4636" s="2262" t="s">
        <v>13499</v>
      </c>
      <c r="H4636" s="2257"/>
      <c r="I4636" s="2263"/>
      <c r="J4636" s="1642" t="s">
        <v>13494</v>
      </c>
      <c r="K4636" s="2263" t="s">
        <v>741</v>
      </c>
    </row>
    <row r="4637" spans="1:11" s="196" customFormat="1">
      <c r="A4637" s="419"/>
      <c r="B4637" s="191"/>
      <c r="C4637" s="237"/>
      <c r="D4637" s="220"/>
      <c r="E4637" s="220"/>
      <c r="F4637" s="160"/>
      <c r="G4637" s="154"/>
      <c r="H4637" s="546"/>
      <c r="I4637" s="552"/>
      <c r="J4637" s="419"/>
      <c r="K4637" s="555"/>
    </row>
    <row r="4638" spans="1:11" s="947" customFormat="1">
      <c r="A4638" s="419"/>
      <c r="B4638" s="191"/>
      <c r="C4638" s="237"/>
      <c r="D4638" s="220"/>
      <c r="E4638" s="220"/>
      <c r="F4638" s="160"/>
      <c r="G4638" s="154"/>
      <c r="H4638" s="546"/>
      <c r="I4638" s="552"/>
      <c r="J4638" s="419"/>
      <c r="K4638" s="555"/>
    </row>
    <row r="4639" spans="1:11" s="947" customFormat="1">
      <c r="A4639" s="515"/>
      <c r="B4639" s="554" t="s">
        <v>5341</v>
      </c>
      <c r="C4639" s="558"/>
      <c r="D4639" s="559"/>
      <c r="E4639" s="560"/>
      <c r="F4639" s="163"/>
      <c r="G4639" s="145"/>
      <c r="H4639" s="546"/>
      <c r="I4639" s="552"/>
      <c r="J4639" s="515"/>
      <c r="K4639" s="552"/>
    </row>
    <row r="4640" spans="1:11" s="947" customFormat="1">
      <c r="A4640" s="515"/>
      <c r="B4640" s="554"/>
      <c r="C4640" s="558"/>
      <c r="D4640" s="559"/>
      <c r="E4640" s="560"/>
      <c r="F4640" s="163"/>
      <c r="G4640" s="145"/>
      <c r="H4640" s="546"/>
      <c r="I4640" s="552"/>
      <c r="J4640" s="515"/>
      <c r="K4640" s="552"/>
    </row>
    <row r="4641" spans="1:11" s="947" customFormat="1">
      <c r="A4641" s="419"/>
      <c r="B4641" s="561" t="s">
        <v>745</v>
      </c>
      <c r="C4641" s="164"/>
      <c r="D4641" s="164">
        <v>17</v>
      </c>
      <c r="E4641" s="229">
        <v>0</v>
      </c>
      <c r="F4641" s="519">
        <f>D4641+E4641</f>
        <v>17</v>
      </c>
      <c r="G4641" s="562" t="s">
        <v>1883</v>
      </c>
      <c r="H4641" s="565"/>
      <c r="I4641" s="545"/>
      <c r="J4641" s="419"/>
      <c r="K4641" s="545" t="s">
        <v>741</v>
      </c>
    </row>
    <row r="4642" spans="1:11" s="947" customFormat="1">
      <c r="A4642" s="419"/>
      <c r="B4642" s="561" t="s">
        <v>746</v>
      </c>
      <c r="C4642" s="164"/>
      <c r="D4642" s="164">
        <v>26</v>
      </c>
      <c r="E4642" s="229">
        <v>0</v>
      </c>
      <c r="F4642" s="519">
        <f>D4642+E4642</f>
        <v>26</v>
      </c>
      <c r="G4642" s="562" t="s">
        <v>1884</v>
      </c>
      <c r="H4642" s="565"/>
      <c r="I4642" s="545"/>
      <c r="J4642" s="419"/>
      <c r="K4642" s="545" t="s">
        <v>741</v>
      </c>
    </row>
    <row r="4643" spans="1:11" s="947" customFormat="1">
      <c r="A4643" s="419"/>
      <c r="B4643" s="148"/>
      <c r="C4643" s="164"/>
      <c r="D4643" s="222"/>
      <c r="E4643" s="222"/>
      <c r="F4643" s="556"/>
      <c r="G4643" s="562"/>
      <c r="H4643" s="565"/>
      <c r="I4643" s="545"/>
      <c r="J4643" s="419"/>
      <c r="K4643" s="545"/>
    </row>
    <row r="4644" spans="1:11" s="196" customFormat="1">
      <c r="A4644" s="563"/>
      <c r="B4644" s="198" t="s">
        <v>803</v>
      </c>
      <c r="C4644" s="564">
        <f>(70.62+5.35)</f>
        <v>75.97</v>
      </c>
      <c r="D4644" s="223">
        <f>C4644*fcl*(1-0.1)/TC</f>
        <v>34.084450746268651</v>
      </c>
      <c r="E4644" s="229">
        <v>3</v>
      </c>
      <c r="F4644" s="519">
        <f>D4644+E4644</f>
        <v>37.084450746268651</v>
      </c>
      <c r="G4644" s="198" t="s">
        <v>789</v>
      </c>
      <c r="H4644" s="565"/>
      <c r="I4644" s="545"/>
      <c r="J4644" s="563"/>
      <c r="K4644" s="545" t="s">
        <v>741</v>
      </c>
    </row>
    <row r="4645" spans="1:11" s="196" customFormat="1">
      <c r="A4645" s="419"/>
      <c r="B4645" s="545"/>
      <c r="C4645" s="558"/>
      <c r="D4645" s="560"/>
      <c r="E4645" s="560"/>
      <c r="F4645" s="545"/>
      <c r="G4645" s="545"/>
      <c r="H4645" s="565"/>
      <c r="I4645" s="545"/>
      <c r="J4645" s="419"/>
      <c r="K4645" s="545"/>
    </row>
    <row r="4646" spans="1:11" s="35" customFormat="1">
      <c r="A4646" s="523"/>
      <c r="B4646" s="28"/>
      <c r="C4646" s="230"/>
      <c r="D4646" s="230"/>
      <c r="E4646" s="216"/>
      <c r="F4646" s="156"/>
      <c r="G4646" s="529"/>
      <c r="H4646" s="2003"/>
      <c r="I4646" s="501"/>
      <c r="J4646" s="510"/>
      <c r="K4646" s="501"/>
    </row>
    <row r="4647" spans="1:11" s="35" customFormat="1">
      <c r="A4647" s="510"/>
      <c r="B4647" s="28" t="s">
        <v>9693</v>
      </c>
      <c r="C4647" s="230"/>
      <c r="D4647" s="230">
        <v>910</v>
      </c>
      <c r="E4647" s="216">
        <v>20</v>
      </c>
      <c r="F4647" s="156">
        <f>D4647+E4647</f>
        <v>930</v>
      </c>
      <c r="G4647" s="1803" t="s">
        <v>9421</v>
      </c>
      <c r="H4647" s="530" t="str">
        <f>B4647</f>
        <v>CVX050-230L</v>
      </c>
      <c r="I4647" s="501"/>
      <c r="J4647" s="419" t="s">
        <v>1835</v>
      </c>
      <c r="K4647" s="501"/>
    </row>
    <row r="4648" spans="1:11" s="35" customFormat="1">
      <c r="A4648" s="510"/>
      <c r="B4648" s="28" t="s">
        <v>9422</v>
      </c>
      <c r="C4648" s="230"/>
      <c r="D4648" s="230">
        <v>910</v>
      </c>
      <c r="E4648" s="216">
        <v>20</v>
      </c>
      <c r="F4648" s="156">
        <f>D4648+E4648</f>
        <v>930</v>
      </c>
      <c r="G4648" s="1803" t="s">
        <v>9423</v>
      </c>
      <c r="H4648" s="530" t="str">
        <f>B4648</f>
        <v>CVX050-240D</v>
      </c>
      <c r="I4648" s="501"/>
      <c r="J4648" s="419" t="s">
        <v>1835</v>
      </c>
      <c r="K4648" s="501"/>
    </row>
    <row r="4649" spans="1:11" s="35" customFormat="1">
      <c r="A4649" s="510"/>
      <c r="B4649" s="28" t="s">
        <v>10397</v>
      </c>
      <c r="C4649" s="230"/>
      <c r="D4649" s="230">
        <v>780</v>
      </c>
      <c r="E4649" s="216">
        <v>20</v>
      </c>
      <c r="F4649" s="156">
        <f>D4649+E4649</f>
        <v>800</v>
      </c>
      <c r="G4649" s="1803" t="s">
        <v>10398</v>
      </c>
      <c r="H4649" s="530" t="str">
        <f>B4649</f>
        <v>CVX050-208Y</v>
      </c>
      <c r="I4649" s="501"/>
      <c r="J4649" s="510"/>
      <c r="K4649" s="501"/>
    </row>
    <row r="4650" spans="1:11" s="195" customFormat="1">
      <c r="A4650" s="523"/>
      <c r="B4650" s="524"/>
      <c r="C4650" s="230"/>
      <c r="D4650" s="230"/>
      <c r="E4650" s="462"/>
      <c r="F4650" s="164"/>
      <c r="G4650" s="2328"/>
      <c r="H4650" s="146"/>
      <c r="I4650" s="525"/>
      <c r="J4650" s="523"/>
      <c r="K4650" s="525"/>
    </row>
    <row r="4651" spans="1:11" s="35" customFormat="1">
      <c r="A4651" s="1764"/>
      <c r="B4651" s="20" t="s">
        <v>13910</v>
      </c>
      <c r="C4651" s="230"/>
      <c r="D4651" s="230">
        <v>1879</v>
      </c>
      <c r="E4651" s="216">
        <v>20</v>
      </c>
      <c r="F4651" s="156">
        <f>D4651+E4651</f>
        <v>1899</v>
      </c>
      <c r="G4651" s="171" t="s">
        <v>13911</v>
      </c>
      <c r="H4651" s="530" t="str">
        <f>B4651</f>
        <v>CVX100-240D</v>
      </c>
      <c r="I4651" s="501"/>
      <c r="J4651" s="419" t="s">
        <v>1835</v>
      </c>
      <c r="K4651" s="501"/>
    </row>
    <row r="4652" spans="1:11" s="195" customFormat="1">
      <c r="A4652" s="512"/>
      <c r="B4652" s="525"/>
      <c r="C4652" s="230"/>
      <c r="D4652" s="230"/>
      <c r="E4652" s="1793"/>
      <c r="F4652" s="1794"/>
      <c r="G4652" s="171"/>
      <c r="H4652" s="2036"/>
      <c r="I4652" s="525"/>
      <c r="J4652" s="523"/>
      <c r="K4652" s="525"/>
    </row>
    <row r="4653" spans="1:11" s="35" customFormat="1">
      <c r="A4653" s="510"/>
      <c r="B4653" s="28" t="s">
        <v>13755</v>
      </c>
      <c r="C4653" s="230"/>
      <c r="D4653" s="230">
        <v>2245</v>
      </c>
      <c r="E4653" s="216">
        <v>20</v>
      </c>
      <c r="F4653" s="156">
        <f>D4653+E4653</f>
        <v>2265</v>
      </c>
      <c r="G4653" s="1803" t="s">
        <v>13756</v>
      </c>
      <c r="H4653" s="530" t="str">
        <f>B4653</f>
        <v>CVX100-480Y</v>
      </c>
      <c r="I4653" s="501"/>
      <c r="J4653" s="419" t="s">
        <v>1835</v>
      </c>
      <c r="K4653" s="566" t="s">
        <v>741</v>
      </c>
    </row>
    <row r="4654" spans="1:11" s="35" customFormat="1">
      <c r="A4654" s="510"/>
      <c r="B4654" s="28" t="s">
        <v>13757</v>
      </c>
      <c r="C4654" s="230"/>
      <c r="D4654" s="230">
        <v>1440</v>
      </c>
      <c r="E4654" s="216">
        <v>20</v>
      </c>
      <c r="F4654" s="156">
        <f>D4654+E4654</f>
        <v>1460</v>
      </c>
      <c r="G4654" s="1803" t="s">
        <v>13758</v>
      </c>
      <c r="H4654" s="530" t="str">
        <f>B4654</f>
        <v>CVX050-480Y</v>
      </c>
      <c r="I4654" s="501"/>
      <c r="J4654" s="419" t="s">
        <v>1835</v>
      </c>
      <c r="K4654" s="566" t="s">
        <v>741</v>
      </c>
    </row>
    <row r="4655" spans="1:11" s="196" customFormat="1">
      <c r="A4655" s="1807"/>
      <c r="B4655" s="165"/>
      <c r="C4655" s="194"/>
      <c r="D4655" s="230"/>
      <c r="E4655" s="230"/>
      <c r="F4655" s="166"/>
      <c r="G4655" s="153"/>
      <c r="H4655" s="530"/>
      <c r="I4655" s="552"/>
      <c r="J4655" s="419"/>
      <c r="K4655" s="566"/>
    </row>
    <row r="4656" spans="1:11" s="196" customFormat="1">
      <c r="A4656" s="1807"/>
      <c r="B4656" s="148"/>
      <c r="C4656" s="238"/>
      <c r="D4656" s="222"/>
      <c r="E4656" s="222"/>
      <c r="F4656" s="164"/>
      <c r="G4656" s="197"/>
      <c r="H4656" s="565"/>
      <c r="I4656" s="545"/>
      <c r="J4656" s="419"/>
      <c r="K4656" s="545"/>
    </row>
    <row r="4657" spans="1:11" s="196" customFormat="1" ht="12" customHeight="1">
      <c r="A4657" s="1807"/>
      <c r="B4657" s="1953" t="s">
        <v>9694</v>
      </c>
      <c r="C4657" s="1947"/>
      <c r="D4657" s="1947">
        <v>1131</v>
      </c>
      <c r="E4657" s="1947">
        <v>20</v>
      </c>
      <c r="F4657" s="1954">
        <f>D4657+E4657</f>
        <v>1151</v>
      </c>
      <c r="G4657" s="1955" t="s">
        <v>8391</v>
      </c>
      <c r="H4657" s="530" t="str">
        <f>B4657</f>
        <v>SPC050415Y2P</v>
      </c>
      <c r="I4657" s="552"/>
      <c r="J4657" s="419" t="s">
        <v>1835</v>
      </c>
      <c r="K4657" s="566" t="s">
        <v>741</v>
      </c>
    </row>
    <row r="4658" spans="1:11" s="196" customFormat="1">
      <c r="A4658" s="1956"/>
      <c r="B4658" s="565"/>
      <c r="C4658" s="239"/>
      <c r="D4658" s="559"/>
      <c r="E4658" s="229"/>
      <c r="F4658" s="163"/>
      <c r="G4658" s="145"/>
      <c r="H4658" s="530"/>
      <c r="I4658" s="552"/>
      <c r="J4658" s="515"/>
      <c r="K4658" s="552"/>
    </row>
    <row r="4659" spans="1:11" s="196" customFormat="1" ht="12" customHeight="1">
      <c r="A4659" s="1807"/>
      <c r="B4659" s="20" t="s">
        <v>12333</v>
      </c>
      <c r="C4659" s="1947"/>
      <c r="D4659" s="1947">
        <v>1114</v>
      </c>
      <c r="E4659" s="1947">
        <v>20</v>
      </c>
      <c r="F4659" s="1954">
        <f>D4659+E4659</f>
        <v>1134</v>
      </c>
      <c r="G4659" s="1955" t="s">
        <v>12334</v>
      </c>
      <c r="H4659" s="20" t="s">
        <v>12333</v>
      </c>
      <c r="I4659" s="552"/>
      <c r="J4659" s="419" t="s">
        <v>1835</v>
      </c>
      <c r="K4659" s="566" t="s">
        <v>741</v>
      </c>
    </row>
    <row r="4660" spans="1:11" s="196" customFormat="1">
      <c r="A4660" s="1956"/>
      <c r="B4660" s="565"/>
      <c r="C4660" s="239"/>
      <c r="D4660" s="559"/>
      <c r="E4660" s="229"/>
      <c r="F4660" s="163"/>
      <c r="G4660" s="145"/>
      <c r="H4660" s="530"/>
      <c r="I4660" s="552"/>
      <c r="J4660" s="515"/>
      <c r="K4660" s="552"/>
    </row>
    <row r="4661" spans="1:11" s="196" customFormat="1">
      <c r="A4661" s="1956"/>
      <c r="B4661" s="565"/>
      <c r="C4661" s="239"/>
      <c r="D4661" s="559"/>
      <c r="E4661" s="229"/>
      <c r="F4661" s="163"/>
      <c r="G4661" s="145"/>
      <c r="H4661" s="530"/>
      <c r="I4661" s="552"/>
      <c r="J4661" s="515"/>
      <c r="K4661" s="552"/>
    </row>
    <row r="4662" spans="1:11" s="196" customFormat="1" ht="12" customHeight="1">
      <c r="A4662" s="1807"/>
      <c r="B4662" s="20" t="s">
        <v>13684</v>
      </c>
      <c r="C4662" s="1947"/>
      <c r="D4662" s="1947">
        <v>2245</v>
      </c>
      <c r="E4662" s="1947">
        <v>20</v>
      </c>
      <c r="F4662" s="1954">
        <f>D4662+E4662</f>
        <v>2265</v>
      </c>
      <c r="G4662" s="1955" t="s">
        <v>13685</v>
      </c>
      <c r="H4662" s="20" t="s">
        <v>12333</v>
      </c>
      <c r="I4662" s="552"/>
      <c r="J4662" s="419" t="s">
        <v>1835</v>
      </c>
      <c r="K4662" s="566" t="s">
        <v>741</v>
      </c>
    </row>
    <row r="4663" spans="1:11" s="196" customFormat="1">
      <c r="A4663" s="1956"/>
      <c r="B4663" s="565"/>
      <c r="C4663" s="239"/>
      <c r="D4663" s="559"/>
      <c r="E4663" s="229"/>
      <c r="F4663" s="163"/>
      <c r="G4663" s="145"/>
      <c r="H4663" s="530"/>
      <c r="I4663" s="552"/>
      <c r="J4663" s="515"/>
      <c r="K4663" s="552"/>
    </row>
    <row r="4664" spans="1:11" s="196" customFormat="1">
      <c r="A4664" s="1807"/>
      <c r="B4664" s="165" t="s">
        <v>8389</v>
      </c>
      <c r="C4664" s="230"/>
      <c r="D4664" s="230">
        <v>960</v>
      </c>
      <c r="E4664" s="230">
        <v>20</v>
      </c>
      <c r="F4664" s="166">
        <f>D4664+E4664</f>
        <v>980</v>
      </c>
      <c r="G4664" s="153" t="s">
        <v>8390</v>
      </c>
      <c r="H4664" s="530" t="str">
        <f>B4664</f>
        <v>SPV050480Y2K</v>
      </c>
      <c r="I4664" s="552"/>
      <c r="J4664" s="419" t="s">
        <v>1835</v>
      </c>
      <c r="K4664" s="566" t="s">
        <v>741</v>
      </c>
    </row>
    <row r="4665" spans="1:11" s="196" customFormat="1">
      <c r="A4665" s="1807"/>
      <c r="B4665" s="165" t="s">
        <v>3262</v>
      </c>
      <c r="C4665" s="230"/>
      <c r="D4665" s="230">
        <v>960</v>
      </c>
      <c r="E4665" s="230">
        <v>20</v>
      </c>
      <c r="F4665" s="166">
        <f t="shared" ref="F4665:F4674" si="609">D4665+E4665</f>
        <v>980</v>
      </c>
      <c r="G4665" s="153" t="s">
        <v>8391</v>
      </c>
      <c r="H4665" s="530" t="str">
        <f t="shared" ref="H4665:H4677" si="610">B4665</f>
        <v>SPV050400Y2K</v>
      </c>
      <c r="I4665" s="552"/>
      <c r="J4665" s="419" t="s">
        <v>1835</v>
      </c>
      <c r="K4665" s="566" t="s">
        <v>741</v>
      </c>
    </row>
    <row r="4666" spans="1:11" s="196" customFormat="1">
      <c r="A4666" s="1807"/>
      <c r="B4666" s="165" t="s">
        <v>8392</v>
      </c>
      <c r="C4666" s="230"/>
      <c r="D4666" s="230">
        <v>960</v>
      </c>
      <c r="E4666" s="230">
        <v>20</v>
      </c>
      <c r="F4666" s="166">
        <f>D4666+E4666</f>
        <v>980</v>
      </c>
      <c r="G4666" s="153" t="s">
        <v>8393</v>
      </c>
      <c r="H4666" s="530" t="str">
        <f>B4666</f>
        <v>SPV050208Y2K</v>
      </c>
      <c r="I4666" s="552"/>
      <c r="J4666" s="419" t="s">
        <v>1835</v>
      </c>
      <c r="K4666" s="566" t="s">
        <v>741</v>
      </c>
    </row>
    <row r="4667" spans="1:11" s="196" customFormat="1">
      <c r="A4667" s="1807"/>
      <c r="B4667" s="165" t="s">
        <v>3304</v>
      </c>
      <c r="C4667" s="230"/>
      <c r="D4667" s="230">
        <v>2180</v>
      </c>
      <c r="E4667" s="230">
        <v>20</v>
      </c>
      <c r="F4667" s="166">
        <f t="shared" si="609"/>
        <v>2200</v>
      </c>
      <c r="G4667" s="153" t="s">
        <v>8394</v>
      </c>
      <c r="H4667" s="530" t="str">
        <f t="shared" si="610"/>
        <v>PSPD100400Y3K</v>
      </c>
      <c r="I4667" s="552"/>
      <c r="J4667" s="419" t="s">
        <v>1835</v>
      </c>
      <c r="K4667" s="566" t="s">
        <v>741</v>
      </c>
    </row>
    <row r="4668" spans="1:11" s="196" customFormat="1">
      <c r="A4668" s="1807"/>
      <c r="B4668" s="165" t="s">
        <v>3263</v>
      </c>
      <c r="C4668" s="230"/>
      <c r="D4668" s="230">
        <v>3275</v>
      </c>
      <c r="E4668" s="230">
        <v>40</v>
      </c>
      <c r="F4668" s="166">
        <f t="shared" si="609"/>
        <v>3315</v>
      </c>
      <c r="G4668" s="153" t="s">
        <v>8395</v>
      </c>
      <c r="H4668" s="530" t="str">
        <f t="shared" si="610"/>
        <v>PSPD120400Y3K</v>
      </c>
      <c r="I4668" s="552"/>
      <c r="J4668" s="419" t="s">
        <v>1835</v>
      </c>
      <c r="K4668" s="566" t="s">
        <v>741</v>
      </c>
    </row>
    <row r="4669" spans="1:11" s="196" customFormat="1" ht="12" customHeight="1">
      <c r="A4669" s="1807"/>
      <c r="B4669" s="165" t="s">
        <v>8396</v>
      </c>
      <c r="C4669" s="230"/>
      <c r="D4669" s="230">
        <v>8632</v>
      </c>
      <c r="E4669" s="230">
        <v>80</v>
      </c>
      <c r="F4669" s="166">
        <f>D4669+E4669</f>
        <v>8712</v>
      </c>
      <c r="G4669" s="153" t="s">
        <v>8397</v>
      </c>
      <c r="H4669" s="530" t="str">
        <f>B4669</f>
        <v>PSPD250220Y3K</v>
      </c>
      <c r="I4669" s="552"/>
      <c r="J4669" s="419" t="s">
        <v>1835</v>
      </c>
      <c r="K4669" s="566" t="s">
        <v>741</v>
      </c>
    </row>
    <row r="4670" spans="1:11" s="196" customFormat="1" ht="12" customHeight="1">
      <c r="A4670" s="1807"/>
      <c r="B4670" s="1953" t="s">
        <v>9695</v>
      </c>
      <c r="C4670" s="1947"/>
      <c r="D4670" s="1947">
        <v>7580</v>
      </c>
      <c r="E4670" s="1947">
        <v>80</v>
      </c>
      <c r="F4670" s="1954">
        <f>D4670+E4670</f>
        <v>7660</v>
      </c>
      <c r="G4670" s="1955" t="s">
        <v>8398</v>
      </c>
      <c r="H4670" s="530" t="str">
        <f>B4670</f>
        <v>SPD250400Y3K</v>
      </c>
      <c r="I4670" s="552"/>
      <c r="J4670" s="419" t="s">
        <v>1835</v>
      </c>
      <c r="K4670" s="566" t="s">
        <v>741</v>
      </c>
    </row>
    <row r="4671" spans="1:11" s="196" customFormat="1" ht="12" customHeight="1">
      <c r="A4671" s="1807"/>
      <c r="B4671" s="1957" t="s">
        <v>3264</v>
      </c>
      <c r="C4671" s="1958"/>
      <c r="D4671" s="1958">
        <v>7580</v>
      </c>
      <c r="E4671" s="1958">
        <v>80</v>
      </c>
      <c r="F4671" s="1959">
        <f t="shared" si="609"/>
        <v>7660</v>
      </c>
      <c r="G4671" s="1960" t="s">
        <v>8398</v>
      </c>
      <c r="H4671" s="530" t="str">
        <f t="shared" si="610"/>
        <v>PSPD250400Y3K</v>
      </c>
      <c r="I4671" s="552"/>
      <c r="J4671" s="419" t="s">
        <v>1835</v>
      </c>
      <c r="K4671" s="566" t="s">
        <v>741</v>
      </c>
    </row>
    <row r="4672" spans="1:11" s="196" customFormat="1" ht="12" customHeight="1">
      <c r="A4672" s="1807"/>
      <c r="B4672" s="165" t="s">
        <v>6153</v>
      </c>
      <c r="C4672" s="230"/>
      <c r="D4672" s="230">
        <v>7200</v>
      </c>
      <c r="E4672" s="230">
        <v>80</v>
      </c>
      <c r="F4672" s="166">
        <f t="shared" si="609"/>
        <v>7280</v>
      </c>
      <c r="G4672" s="153" t="s">
        <v>8399</v>
      </c>
      <c r="H4672" s="530" t="str">
        <f t="shared" si="610"/>
        <v>PSPD400400Y3K</v>
      </c>
      <c r="I4672" s="552"/>
      <c r="J4672" s="419" t="s">
        <v>1835</v>
      </c>
      <c r="K4672" s="566" t="s">
        <v>741</v>
      </c>
    </row>
    <row r="4673" spans="1:11" s="196" customFormat="1">
      <c r="A4673" s="1807"/>
      <c r="B4673" s="1953" t="s">
        <v>9696</v>
      </c>
      <c r="C4673" s="1947"/>
      <c r="D4673" s="1947">
        <v>3275</v>
      </c>
      <c r="E4673" s="1947">
        <v>40</v>
      </c>
      <c r="F4673" s="1954">
        <f>D4673+E4673</f>
        <v>3315</v>
      </c>
      <c r="G4673" s="1955" t="s">
        <v>9697</v>
      </c>
      <c r="H4673" s="530" t="str">
        <f>B4673</f>
        <v>SPD100400Y3K</v>
      </c>
      <c r="I4673" s="552"/>
      <c r="J4673" s="419" t="s">
        <v>1835</v>
      </c>
      <c r="K4673" s="566" t="s">
        <v>741</v>
      </c>
    </row>
    <row r="4674" spans="1:11" s="196" customFormat="1">
      <c r="A4674" s="1807"/>
      <c r="B4674" s="1957" t="s">
        <v>4976</v>
      </c>
      <c r="C4674" s="1958"/>
      <c r="D4674" s="1958">
        <v>3275</v>
      </c>
      <c r="E4674" s="1958">
        <v>40</v>
      </c>
      <c r="F4674" s="1959">
        <f t="shared" si="609"/>
        <v>3315</v>
      </c>
      <c r="G4674" s="1960" t="s">
        <v>8400</v>
      </c>
      <c r="H4674" s="530" t="str">
        <f t="shared" si="610"/>
        <v>PSPD120220Y3K</v>
      </c>
      <c r="I4674" s="552"/>
      <c r="J4674" s="419" t="s">
        <v>1835</v>
      </c>
      <c r="K4674" s="566" t="s">
        <v>741</v>
      </c>
    </row>
    <row r="4675" spans="1:11" s="196" customFormat="1">
      <c r="A4675" s="1807"/>
      <c r="B4675" s="165" t="s">
        <v>6154</v>
      </c>
      <c r="C4675" s="194"/>
      <c r="D4675" s="230">
        <f>2190*1.1</f>
        <v>2409</v>
      </c>
      <c r="E4675" s="230">
        <v>40</v>
      </c>
      <c r="F4675" s="166">
        <f>D4675+E4675</f>
        <v>2449</v>
      </c>
      <c r="G4675" s="153" t="s">
        <v>6155</v>
      </c>
      <c r="H4675" s="530" t="str">
        <f t="shared" si="610"/>
        <v>PSPD120480Y3K</v>
      </c>
      <c r="I4675" s="552"/>
      <c r="J4675" s="419" t="s">
        <v>1835</v>
      </c>
      <c r="K4675" s="566" t="s">
        <v>741</v>
      </c>
    </row>
    <row r="4676" spans="1:11" s="196" customFormat="1">
      <c r="A4676" s="1807"/>
      <c r="B4676" s="165" t="s">
        <v>6156</v>
      </c>
      <c r="C4676" s="194"/>
      <c r="D4676" s="230">
        <f>4190*1.1</f>
        <v>4609</v>
      </c>
      <c r="E4676" s="230">
        <v>80</v>
      </c>
      <c r="F4676" s="166">
        <f>D4676+E4676</f>
        <v>4689</v>
      </c>
      <c r="G4676" s="153" t="s">
        <v>6157</v>
      </c>
      <c r="H4676" s="530" t="str">
        <f t="shared" si="610"/>
        <v>PSPD250480Y3K</v>
      </c>
      <c r="I4676" s="552"/>
      <c r="J4676" s="419" t="s">
        <v>1835</v>
      </c>
      <c r="K4676" s="566" t="s">
        <v>741</v>
      </c>
    </row>
    <row r="4677" spans="1:11" s="196" customFormat="1">
      <c r="A4677" s="1807"/>
      <c r="B4677" s="165" t="s">
        <v>8401</v>
      </c>
      <c r="C4677" s="194"/>
      <c r="D4677" s="230">
        <v>1952</v>
      </c>
      <c r="E4677" s="230">
        <v>40</v>
      </c>
      <c r="F4677" s="166">
        <f>D4677+E4677</f>
        <v>1992</v>
      </c>
      <c r="G4677" s="153" t="s">
        <v>8402</v>
      </c>
      <c r="H4677" s="530" t="str">
        <f t="shared" si="610"/>
        <v>PSPD100220Y3K</v>
      </c>
      <c r="I4677" s="552"/>
      <c r="J4677" s="419" t="s">
        <v>1835</v>
      </c>
      <c r="K4677" s="566" t="s">
        <v>741</v>
      </c>
    </row>
    <row r="4678" spans="1:11" s="196" customFormat="1">
      <c r="A4678" s="1807"/>
      <c r="B4678" s="165" t="s">
        <v>8403</v>
      </c>
      <c r="C4678" s="194"/>
      <c r="D4678" s="230">
        <v>1525</v>
      </c>
      <c r="E4678" s="230">
        <v>40</v>
      </c>
      <c r="F4678" s="166">
        <f>D4678+E4678</f>
        <v>1565</v>
      </c>
      <c r="G4678" s="153" t="s">
        <v>8404</v>
      </c>
      <c r="H4678" s="530" t="s">
        <v>8403</v>
      </c>
      <c r="I4678" s="552"/>
      <c r="J4678" s="419" t="s">
        <v>1835</v>
      </c>
      <c r="K4678" s="566" t="s">
        <v>741</v>
      </c>
    </row>
    <row r="4679" spans="1:11" s="196" customFormat="1">
      <c r="A4679" s="1807"/>
      <c r="B4679" s="165"/>
      <c r="C4679" s="194"/>
      <c r="D4679" s="230"/>
      <c r="E4679" s="230"/>
      <c r="F4679" s="166"/>
      <c r="G4679" s="153"/>
      <c r="H4679" s="530"/>
      <c r="I4679" s="552"/>
      <c r="J4679" s="419"/>
      <c r="K4679" s="566"/>
    </row>
    <row r="4680" spans="1:11" s="196" customFormat="1">
      <c r="A4680" s="1807"/>
      <c r="B4680" s="165" t="s">
        <v>8405</v>
      </c>
      <c r="C4680" s="194"/>
      <c r="D4680" s="230">
        <v>2680</v>
      </c>
      <c r="E4680" s="230">
        <v>40</v>
      </c>
      <c r="F4680" s="166">
        <f>D4680+E4680</f>
        <v>2720</v>
      </c>
      <c r="G4680" s="153" t="s">
        <v>8406</v>
      </c>
      <c r="H4680" s="530" t="str">
        <f>B4680</f>
        <v>SPD100220Y3K</v>
      </c>
      <c r="I4680" s="552"/>
      <c r="J4680" s="419" t="s">
        <v>1835</v>
      </c>
      <c r="K4680" s="566" t="s">
        <v>741</v>
      </c>
    </row>
    <row r="4681" spans="1:11" s="196" customFormat="1">
      <c r="A4681" s="1807"/>
      <c r="B4681" s="165" t="s">
        <v>9424</v>
      </c>
      <c r="C4681" s="194"/>
      <c r="D4681" s="230">
        <v>3045</v>
      </c>
      <c r="E4681" s="230">
        <v>40</v>
      </c>
      <c r="F4681" s="166">
        <f>D4681+E4681</f>
        <v>3085</v>
      </c>
      <c r="G4681" s="153" t="s">
        <v>9425</v>
      </c>
      <c r="H4681" s="530" t="str">
        <f>B4681</f>
        <v>SPD100460Y3K</v>
      </c>
      <c r="I4681" s="552"/>
      <c r="J4681" s="419" t="s">
        <v>1835</v>
      </c>
      <c r="K4681" s="566" t="s">
        <v>741</v>
      </c>
    </row>
    <row r="4682" spans="1:11" s="196" customFormat="1">
      <c r="A4682" s="1807"/>
      <c r="B4682" s="165"/>
      <c r="C4682" s="194"/>
      <c r="D4682" s="230"/>
      <c r="E4682" s="230"/>
      <c r="F4682" s="166"/>
      <c r="G4682" s="153"/>
      <c r="H4682" s="530"/>
      <c r="I4682" s="552"/>
      <c r="J4682" s="419"/>
      <c r="K4682" s="566"/>
    </row>
    <row r="4683" spans="1:11" s="196" customFormat="1">
      <c r="A4683" s="2002"/>
      <c r="B4683" s="165" t="s">
        <v>10399</v>
      </c>
      <c r="C4683" s="194"/>
      <c r="D4683" s="230">
        <v>1900</v>
      </c>
      <c r="E4683" s="230">
        <v>40</v>
      </c>
      <c r="F4683" s="166">
        <f>D4683+E4683</f>
        <v>1940</v>
      </c>
      <c r="G4683" s="153" t="s">
        <v>8407</v>
      </c>
      <c r="H4683" s="530" t="str">
        <f t="shared" ref="H4683" si="611">B4683</f>
        <v>SPD050220Y3K</v>
      </c>
      <c r="I4683" s="552"/>
      <c r="J4683" s="419" t="s">
        <v>1835</v>
      </c>
      <c r="K4683" s="566" t="s">
        <v>741</v>
      </c>
    </row>
    <row r="4684" spans="1:11" s="196" customFormat="1">
      <c r="A4684" s="419"/>
      <c r="B4684" s="148"/>
      <c r="C4684" s="238"/>
      <c r="D4684" s="238"/>
      <c r="E4684" s="222"/>
      <c r="F4684" s="164"/>
      <c r="G4684" s="197"/>
      <c r="H4684" s="565"/>
      <c r="I4684" s="545"/>
      <c r="J4684" s="419"/>
      <c r="K4684" s="545"/>
    </row>
    <row r="4685" spans="1:11" s="196" customFormat="1">
      <c r="A4685" s="419"/>
      <c r="B4685" s="165" t="s">
        <v>5258</v>
      </c>
      <c r="D4685" s="230">
        <f>43*1.05</f>
        <v>45.15</v>
      </c>
      <c r="E4685" s="230">
        <v>5</v>
      </c>
      <c r="F4685" s="166">
        <f>D4685+E4685</f>
        <v>50.15</v>
      </c>
      <c r="G4685" s="153" t="s">
        <v>8408</v>
      </c>
      <c r="H4685" s="530">
        <v>278431</v>
      </c>
      <c r="I4685" s="552"/>
      <c r="J4685" s="419" t="s">
        <v>1835</v>
      </c>
      <c r="K4685" s="566" t="s">
        <v>741</v>
      </c>
    </row>
    <row r="4686" spans="1:11" s="196" customFormat="1">
      <c r="A4686" s="419"/>
      <c r="B4686" s="165" t="s">
        <v>5259</v>
      </c>
      <c r="D4686" s="230">
        <f t="shared" ref="D4686:D4696" si="612">43*1.05</f>
        <v>45.15</v>
      </c>
      <c r="E4686" s="230">
        <v>5</v>
      </c>
      <c r="F4686" s="166">
        <f>D4686+E4686</f>
        <v>50.15</v>
      </c>
      <c r="G4686" s="153" t="s">
        <v>8409</v>
      </c>
      <c r="H4686" s="530">
        <v>278432</v>
      </c>
      <c r="I4686" s="552"/>
      <c r="J4686" s="419" t="s">
        <v>1835</v>
      </c>
      <c r="K4686" s="566" t="s">
        <v>741</v>
      </c>
    </row>
    <row r="4687" spans="1:11" s="196" customFormat="1">
      <c r="A4687" s="419"/>
      <c r="B4687" s="165" t="s">
        <v>5260</v>
      </c>
      <c r="D4687" s="230">
        <f t="shared" si="612"/>
        <v>45.15</v>
      </c>
      <c r="E4687" s="230">
        <v>5</v>
      </c>
      <c r="F4687" s="166">
        <f>D4687+E4687</f>
        <v>50.15</v>
      </c>
      <c r="G4687" s="153" t="s">
        <v>8410</v>
      </c>
      <c r="H4687" s="530">
        <v>278433</v>
      </c>
      <c r="I4687" s="552"/>
      <c r="J4687" s="419" t="s">
        <v>1835</v>
      </c>
      <c r="K4687" s="566" t="s">
        <v>741</v>
      </c>
    </row>
    <row r="4688" spans="1:11" s="196" customFormat="1">
      <c r="A4688" s="419"/>
      <c r="B4688" s="165" t="s">
        <v>5261</v>
      </c>
      <c r="D4688" s="230">
        <f t="shared" si="612"/>
        <v>45.15</v>
      </c>
      <c r="E4688" s="230">
        <v>5</v>
      </c>
      <c r="F4688" s="166">
        <f>D4688+E4688</f>
        <v>50.15</v>
      </c>
      <c r="G4688" s="153" t="s">
        <v>8411</v>
      </c>
      <c r="H4688" s="530">
        <v>278434</v>
      </c>
      <c r="I4688" s="552"/>
      <c r="J4688" s="419" t="s">
        <v>1835</v>
      </c>
      <c r="K4688" s="566" t="s">
        <v>741</v>
      </c>
    </row>
    <row r="4689" spans="1:11" s="196" customFormat="1">
      <c r="A4689" s="419"/>
      <c r="B4689" s="165" t="s">
        <v>5262</v>
      </c>
      <c r="D4689" s="230">
        <f t="shared" si="612"/>
        <v>45.15</v>
      </c>
      <c r="E4689" s="230">
        <v>5</v>
      </c>
      <c r="F4689" s="166">
        <f>D4689+E4689</f>
        <v>50.15</v>
      </c>
      <c r="G4689" s="153" t="s">
        <v>8412</v>
      </c>
      <c r="H4689" s="530">
        <v>278435</v>
      </c>
      <c r="I4689" s="552"/>
      <c r="J4689" s="419" t="s">
        <v>1835</v>
      </c>
      <c r="K4689" s="566" t="s">
        <v>741</v>
      </c>
    </row>
    <row r="4690" spans="1:11" s="196" customFormat="1">
      <c r="A4690" s="419"/>
      <c r="B4690" s="165" t="s">
        <v>5263</v>
      </c>
      <c r="D4690" s="230">
        <f t="shared" si="612"/>
        <v>45.15</v>
      </c>
      <c r="E4690" s="230">
        <v>5</v>
      </c>
      <c r="F4690" s="166">
        <f t="shared" ref="F4690:F4696" si="613">D4690+E4690</f>
        <v>50.15</v>
      </c>
      <c r="G4690" s="153" t="s">
        <v>8413</v>
      </c>
      <c r="H4690" s="530">
        <v>278436</v>
      </c>
      <c r="I4690" s="552"/>
      <c r="J4690" s="419" t="s">
        <v>1835</v>
      </c>
      <c r="K4690" s="566" t="s">
        <v>741</v>
      </c>
    </row>
    <row r="4691" spans="1:11" s="196" customFormat="1">
      <c r="A4691" s="419"/>
      <c r="B4691" s="165" t="s">
        <v>5264</v>
      </c>
      <c r="D4691" s="230">
        <f t="shared" si="612"/>
        <v>45.15</v>
      </c>
      <c r="E4691" s="230">
        <v>5</v>
      </c>
      <c r="F4691" s="166">
        <f t="shared" si="613"/>
        <v>50.15</v>
      </c>
      <c r="G4691" s="153" t="s">
        <v>8414</v>
      </c>
      <c r="H4691" s="530">
        <v>278437</v>
      </c>
      <c r="I4691" s="552"/>
      <c r="J4691" s="419" t="s">
        <v>1835</v>
      </c>
      <c r="K4691" s="566" t="s">
        <v>741</v>
      </c>
    </row>
    <row r="4692" spans="1:11" s="196" customFormat="1">
      <c r="A4692" s="419"/>
      <c r="B4692" s="165" t="s">
        <v>5265</v>
      </c>
      <c r="D4692" s="230">
        <f t="shared" si="612"/>
        <v>45.15</v>
      </c>
      <c r="E4692" s="230">
        <v>5</v>
      </c>
      <c r="F4692" s="166">
        <f t="shared" si="613"/>
        <v>50.15</v>
      </c>
      <c r="G4692" s="153" t="s">
        <v>8415</v>
      </c>
      <c r="H4692" s="530">
        <v>278438</v>
      </c>
      <c r="I4692" s="552"/>
      <c r="J4692" s="419" t="s">
        <v>1835</v>
      </c>
      <c r="K4692" s="566" t="s">
        <v>741</v>
      </c>
    </row>
    <row r="4693" spans="1:11" s="196" customFormat="1">
      <c r="A4693" s="419"/>
      <c r="B4693" s="165" t="s">
        <v>5266</v>
      </c>
      <c r="D4693" s="230">
        <f t="shared" si="612"/>
        <v>45.15</v>
      </c>
      <c r="E4693" s="230">
        <v>5</v>
      </c>
      <c r="F4693" s="166">
        <f t="shared" si="613"/>
        <v>50.15</v>
      </c>
      <c r="G4693" s="153" t="s">
        <v>8416</v>
      </c>
      <c r="H4693" s="530">
        <v>278439</v>
      </c>
      <c r="I4693" s="552"/>
      <c r="J4693" s="419" t="s">
        <v>1835</v>
      </c>
      <c r="K4693" s="566" t="s">
        <v>741</v>
      </c>
    </row>
    <row r="4694" spans="1:11" s="196" customFormat="1">
      <c r="A4694" s="419"/>
      <c r="B4694" s="165" t="s">
        <v>5267</v>
      </c>
      <c r="D4694" s="230">
        <f t="shared" si="612"/>
        <v>45.15</v>
      </c>
      <c r="E4694" s="230">
        <v>5</v>
      </c>
      <c r="F4694" s="166">
        <f t="shared" si="613"/>
        <v>50.15</v>
      </c>
      <c r="G4694" s="153" t="s">
        <v>8417</v>
      </c>
      <c r="H4694" s="530">
        <v>278440</v>
      </c>
      <c r="I4694" s="552"/>
      <c r="J4694" s="419" t="s">
        <v>1835</v>
      </c>
      <c r="K4694" s="566" t="s">
        <v>741</v>
      </c>
    </row>
    <row r="4695" spans="1:11" s="196" customFormat="1">
      <c r="A4695" s="419"/>
      <c r="B4695" s="165" t="s">
        <v>5268</v>
      </c>
      <c r="D4695" s="230">
        <f t="shared" si="612"/>
        <v>45.15</v>
      </c>
      <c r="E4695" s="230">
        <v>5</v>
      </c>
      <c r="F4695" s="166">
        <f t="shared" si="613"/>
        <v>50.15</v>
      </c>
      <c r="G4695" s="153" t="s">
        <v>8418</v>
      </c>
      <c r="H4695" s="530">
        <v>278441</v>
      </c>
      <c r="I4695" s="552"/>
      <c r="J4695" s="419" t="s">
        <v>1835</v>
      </c>
      <c r="K4695" s="566" t="s">
        <v>741</v>
      </c>
    </row>
    <row r="4696" spans="1:11" s="196" customFormat="1">
      <c r="A4696" s="419"/>
      <c r="B4696" s="165" t="s">
        <v>5269</v>
      </c>
      <c r="D4696" s="230">
        <f t="shared" si="612"/>
        <v>45.15</v>
      </c>
      <c r="E4696" s="230">
        <v>5</v>
      </c>
      <c r="F4696" s="166">
        <f t="shared" si="613"/>
        <v>50.15</v>
      </c>
      <c r="G4696" s="153" t="s">
        <v>8419</v>
      </c>
      <c r="H4696" s="530">
        <v>290168</v>
      </c>
      <c r="I4696" s="552"/>
      <c r="J4696" s="419" t="s">
        <v>1835</v>
      </c>
      <c r="K4696" s="566" t="s">
        <v>741</v>
      </c>
    </row>
    <row r="4697" spans="1:11" s="196" customFormat="1">
      <c r="A4697" s="515"/>
      <c r="B4697" s="567"/>
      <c r="D4697" s="230"/>
      <c r="E4697" s="230"/>
      <c r="F4697" s="166"/>
      <c r="G4697" s="568"/>
      <c r="H4697" s="530"/>
      <c r="I4697" s="552"/>
      <c r="J4697" s="515"/>
      <c r="K4697" s="566"/>
    </row>
    <row r="4698" spans="1:11" s="196" customFormat="1">
      <c r="A4698" s="419"/>
      <c r="B4698" s="165" t="s">
        <v>5270</v>
      </c>
      <c r="D4698" s="230">
        <f t="shared" ref="D4698:D4711" si="614">53*1.05</f>
        <v>55.650000000000006</v>
      </c>
      <c r="E4698" s="230">
        <v>5</v>
      </c>
      <c r="F4698" s="166">
        <f t="shared" ref="F4698:F4710" si="615">D4698+E4698</f>
        <v>60.650000000000006</v>
      </c>
      <c r="G4698" s="153" t="s">
        <v>8420</v>
      </c>
      <c r="H4698" s="530">
        <v>278442</v>
      </c>
      <c r="I4698" s="552"/>
      <c r="J4698" s="419" t="s">
        <v>1835</v>
      </c>
      <c r="K4698" s="566" t="s">
        <v>741</v>
      </c>
    </row>
    <row r="4699" spans="1:11" s="196" customFormat="1">
      <c r="A4699" s="419"/>
      <c r="B4699" s="165" t="s">
        <v>5271</v>
      </c>
      <c r="D4699" s="230">
        <f t="shared" si="614"/>
        <v>55.650000000000006</v>
      </c>
      <c r="E4699" s="230">
        <v>5</v>
      </c>
      <c r="F4699" s="166">
        <f t="shared" si="615"/>
        <v>60.650000000000006</v>
      </c>
      <c r="G4699" s="153" t="s">
        <v>8421</v>
      </c>
      <c r="H4699" s="530">
        <v>278443</v>
      </c>
      <c r="I4699" s="552"/>
      <c r="J4699" s="419" t="s">
        <v>1835</v>
      </c>
      <c r="K4699" s="566" t="s">
        <v>741</v>
      </c>
    </row>
    <row r="4700" spans="1:11" s="196" customFormat="1">
      <c r="A4700" s="419"/>
      <c r="B4700" s="165" t="s">
        <v>5272</v>
      </c>
      <c r="D4700" s="230">
        <f t="shared" si="614"/>
        <v>55.650000000000006</v>
      </c>
      <c r="E4700" s="230">
        <v>5</v>
      </c>
      <c r="F4700" s="166">
        <f t="shared" si="615"/>
        <v>60.650000000000006</v>
      </c>
      <c r="G4700" s="153" t="s">
        <v>8422</v>
      </c>
      <c r="H4700" s="530">
        <v>278444</v>
      </c>
      <c r="I4700" s="552"/>
      <c r="J4700" s="419" t="s">
        <v>1835</v>
      </c>
      <c r="K4700" s="566" t="s">
        <v>741</v>
      </c>
    </row>
    <row r="4701" spans="1:11" s="196" customFormat="1">
      <c r="A4701" s="419"/>
      <c r="B4701" s="165" t="s">
        <v>5273</v>
      </c>
      <c r="D4701" s="230">
        <f t="shared" si="614"/>
        <v>55.650000000000006</v>
      </c>
      <c r="E4701" s="230">
        <v>5</v>
      </c>
      <c r="F4701" s="166">
        <f t="shared" si="615"/>
        <v>60.650000000000006</v>
      </c>
      <c r="G4701" s="153" t="s">
        <v>8423</v>
      </c>
      <c r="H4701" s="530">
        <v>278445</v>
      </c>
      <c r="I4701" s="552"/>
      <c r="J4701" s="419" t="s">
        <v>1835</v>
      </c>
      <c r="K4701" s="566" t="s">
        <v>741</v>
      </c>
    </row>
    <row r="4702" spans="1:11" s="196" customFormat="1">
      <c r="A4702" s="419"/>
      <c r="B4702" s="165" t="s">
        <v>5274</v>
      </c>
      <c r="D4702" s="230">
        <f t="shared" si="614"/>
        <v>55.650000000000006</v>
      </c>
      <c r="E4702" s="230">
        <v>5</v>
      </c>
      <c r="F4702" s="166">
        <f t="shared" si="615"/>
        <v>60.650000000000006</v>
      </c>
      <c r="G4702" s="153" t="s">
        <v>8424</v>
      </c>
      <c r="H4702" s="530">
        <v>278446</v>
      </c>
      <c r="I4702" s="552"/>
      <c r="J4702" s="419" t="s">
        <v>1835</v>
      </c>
      <c r="K4702" s="566" t="s">
        <v>741</v>
      </c>
    </row>
    <row r="4703" spans="1:11" s="196" customFormat="1">
      <c r="A4703" s="419"/>
      <c r="B4703" s="165" t="s">
        <v>5275</v>
      </c>
      <c r="D4703" s="230">
        <f t="shared" si="614"/>
        <v>55.650000000000006</v>
      </c>
      <c r="E4703" s="230">
        <v>5</v>
      </c>
      <c r="F4703" s="166">
        <f t="shared" si="615"/>
        <v>60.650000000000006</v>
      </c>
      <c r="G4703" s="153" t="s">
        <v>8425</v>
      </c>
      <c r="H4703" s="530">
        <v>278447</v>
      </c>
      <c r="I4703" s="552"/>
      <c r="J4703" s="419" t="s">
        <v>1835</v>
      </c>
      <c r="K4703" s="566" t="s">
        <v>741</v>
      </c>
    </row>
    <row r="4704" spans="1:11" s="196" customFormat="1">
      <c r="A4704" s="419"/>
      <c r="B4704" s="165" t="s">
        <v>5276</v>
      </c>
      <c r="D4704" s="230">
        <f t="shared" si="614"/>
        <v>55.650000000000006</v>
      </c>
      <c r="E4704" s="230">
        <v>5</v>
      </c>
      <c r="F4704" s="166">
        <f t="shared" si="615"/>
        <v>60.650000000000006</v>
      </c>
      <c r="G4704" s="153" t="s">
        <v>8426</v>
      </c>
      <c r="H4704" s="530">
        <v>278448</v>
      </c>
      <c r="I4704" s="552"/>
      <c r="J4704" s="419" t="s">
        <v>1835</v>
      </c>
      <c r="K4704" s="566" t="s">
        <v>741</v>
      </c>
    </row>
    <row r="4705" spans="1:11" s="196" customFormat="1">
      <c r="A4705" s="419"/>
      <c r="B4705" s="165" t="s">
        <v>5277</v>
      </c>
      <c r="D4705" s="230">
        <f t="shared" si="614"/>
        <v>55.650000000000006</v>
      </c>
      <c r="E4705" s="230">
        <v>5</v>
      </c>
      <c r="F4705" s="166">
        <f t="shared" si="615"/>
        <v>60.650000000000006</v>
      </c>
      <c r="G4705" s="153" t="s">
        <v>8427</v>
      </c>
      <c r="H4705" s="530">
        <v>278449</v>
      </c>
      <c r="I4705" s="552"/>
      <c r="J4705" s="419" t="s">
        <v>1835</v>
      </c>
      <c r="K4705" s="566" t="s">
        <v>741</v>
      </c>
    </row>
    <row r="4706" spans="1:11" s="196" customFormat="1">
      <c r="A4706" s="419"/>
      <c r="B4706" s="165" t="s">
        <v>5278</v>
      </c>
      <c r="D4706" s="230">
        <f t="shared" si="614"/>
        <v>55.650000000000006</v>
      </c>
      <c r="E4706" s="230">
        <v>5</v>
      </c>
      <c r="F4706" s="166">
        <f t="shared" si="615"/>
        <v>60.650000000000006</v>
      </c>
      <c r="G4706" s="153" t="s">
        <v>8428</v>
      </c>
      <c r="H4706" s="530">
        <v>278450</v>
      </c>
      <c r="I4706" s="552"/>
      <c r="J4706" s="419" t="s">
        <v>1835</v>
      </c>
      <c r="K4706" s="566" t="s">
        <v>741</v>
      </c>
    </row>
    <row r="4707" spans="1:11" s="196" customFormat="1">
      <c r="A4707" s="419"/>
      <c r="B4707" s="165" t="s">
        <v>5279</v>
      </c>
      <c r="D4707" s="230">
        <f t="shared" si="614"/>
        <v>55.650000000000006</v>
      </c>
      <c r="E4707" s="230">
        <v>5</v>
      </c>
      <c r="F4707" s="166">
        <f t="shared" si="615"/>
        <v>60.650000000000006</v>
      </c>
      <c r="G4707" s="153" t="s">
        <v>8429</v>
      </c>
      <c r="H4707" s="530">
        <v>278451</v>
      </c>
      <c r="I4707" s="552"/>
      <c r="J4707" s="419" t="s">
        <v>1835</v>
      </c>
      <c r="K4707" s="566" t="s">
        <v>741</v>
      </c>
    </row>
    <row r="4708" spans="1:11" s="196" customFormat="1">
      <c r="A4708" s="419"/>
      <c r="B4708" s="165" t="s">
        <v>5280</v>
      </c>
      <c r="D4708" s="230">
        <f t="shared" si="614"/>
        <v>55.650000000000006</v>
      </c>
      <c r="E4708" s="230">
        <v>5</v>
      </c>
      <c r="F4708" s="166">
        <f t="shared" si="615"/>
        <v>60.650000000000006</v>
      </c>
      <c r="G4708" s="153" t="s">
        <v>8430</v>
      </c>
      <c r="H4708" s="530">
        <v>278452</v>
      </c>
      <c r="I4708" s="552"/>
      <c r="J4708" s="419" t="s">
        <v>1835</v>
      </c>
      <c r="K4708" s="566" t="s">
        <v>741</v>
      </c>
    </row>
    <row r="4709" spans="1:11" s="196" customFormat="1">
      <c r="A4709" s="419"/>
      <c r="B4709" s="165" t="s">
        <v>5281</v>
      </c>
      <c r="D4709" s="230">
        <f t="shared" si="614"/>
        <v>55.650000000000006</v>
      </c>
      <c r="E4709" s="230">
        <v>8</v>
      </c>
      <c r="F4709" s="166">
        <f t="shared" si="615"/>
        <v>63.650000000000006</v>
      </c>
      <c r="G4709" s="153" t="s">
        <v>8431</v>
      </c>
      <c r="H4709" s="530">
        <v>278453</v>
      </c>
      <c r="I4709" s="552"/>
      <c r="J4709" s="419" t="s">
        <v>1835</v>
      </c>
      <c r="K4709" s="566" t="s">
        <v>741</v>
      </c>
    </row>
    <row r="4710" spans="1:11" s="196" customFormat="1">
      <c r="A4710" s="419"/>
      <c r="B4710" s="165" t="s">
        <v>5282</v>
      </c>
      <c r="D4710" s="230">
        <f t="shared" si="614"/>
        <v>55.650000000000006</v>
      </c>
      <c r="E4710" s="230">
        <v>8</v>
      </c>
      <c r="F4710" s="166">
        <f t="shared" si="615"/>
        <v>63.650000000000006</v>
      </c>
      <c r="G4710" s="153" t="s">
        <v>8432</v>
      </c>
      <c r="H4710" s="530">
        <v>278454</v>
      </c>
      <c r="I4710" s="552"/>
      <c r="J4710" s="419" t="s">
        <v>1835</v>
      </c>
      <c r="K4710" s="566" t="s">
        <v>741</v>
      </c>
    </row>
    <row r="4711" spans="1:11" s="196" customFormat="1">
      <c r="A4711" s="419"/>
      <c r="B4711" s="165" t="s">
        <v>8433</v>
      </c>
      <c r="D4711" s="230">
        <f t="shared" si="614"/>
        <v>55.650000000000006</v>
      </c>
      <c r="E4711" s="230">
        <v>8</v>
      </c>
      <c r="F4711" s="166">
        <f>D4711+E4711</f>
        <v>63.650000000000006</v>
      </c>
      <c r="G4711" s="153" t="s">
        <v>8434</v>
      </c>
      <c r="H4711" s="530">
        <v>112474</v>
      </c>
      <c r="I4711" s="552"/>
      <c r="J4711" s="419" t="s">
        <v>1835</v>
      </c>
      <c r="K4711" s="566" t="s">
        <v>741</v>
      </c>
    </row>
    <row r="4712" spans="1:11" s="196" customFormat="1" ht="14.25" customHeight="1">
      <c r="A4712" s="419"/>
      <c r="B4712" s="165" t="s">
        <v>12851</v>
      </c>
      <c r="D4712" s="230">
        <v>70</v>
      </c>
      <c r="E4712" s="230">
        <v>8</v>
      </c>
      <c r="F4712" s="166">
        <f>D4712+E4712</f>
        <v>78</v>
      </c>
      <c r="G4712" s="153" t="s">
        <v>12852</v>
      </c>
      <c r="H4712" s="530">
        <v>278458</v>
      </c>
      <c r="I4712" s="552"/>
      <c r="J4712" s="419" t="s">
        <v>1835</v>
      </c>
      <c r="K4712" s="566" t="s">
        <v>741</v>
      </c>
    </row>
    <row r="4713" spans="1:11" s="196" customFormat="1">
      <c r="A4713" s="419"/>
      <c r="B4713" s="165"/>
      <c r="C4713" s="230"/>
      <c r="D4713" s="224"/>
      <c r="E4713" s="230"/>
      <c r="F4713" s="166"/>
      <c r="G4713" s="153"/>
      <c r="H4713" s="530"/>
      <c r="I4713" s="552"/>
      <c r="J4713" s="419"/>
      <c r="K4713" s="566"/>
    </row>
    <row r="4714" spans="1:11" s="196" customFormat="1">
      <c r="A4714" s="419"/>
      <c r="B4714" s="165"/>
      <c r="C4714" s="230"/>
      <c r="D4714" s="224"/>
      <c r="E4714" s="230"/>
      <c r="F4714" s="166"/>
      <c r="G4714" s="153"/>
      <c r="H4714" s="530"/>
      <c r="I4714" s="552"/>
      <c r="J4714" s="419"/>
      <c r="K4714" s="566"/>
    </row>
    <row r="4715" spans="1:11" s="196" customFormat="1">
      <c r="A4715" s="515"/>
      <c r="B4715" s="565"/>
      <c r="C4715" s="239"/>
      <c r="D4715" s="239"/>
      <c r="E4715" s="229"/>
      <c r="F4715" s="163"/>
      <c r="G4715" s="145"/>
      <c r="H4715" s="530"/>
      <c r="I4715" s="552"/>
      <c r="J4715" s="515"/>
      <c r="K4715" s="552"/>
    </row>
    <row r="4716" spans="1:11" s="196" customFormat="1">
      <c r="A4716" s="419"/>
      <c r="B4716" s="165" t="s">
        <v>1828</v>
      </c>
      <c r="C4716" s="230"/>
      <c r="D4716" s="230">
        <v>43</v>
      </c>
      <c r="E4716" s="230">
        <v>5</v>
      </c>
      <c r="F4716" s="166">
        <f t="shared" ref="F4716:F4722" si="616">D4716+E4716</f>
        <v>48</v>
      </c>
      <c r="G4716" s="153" t="s">
        <v>8435</v>
      </c>
      <c r="H4716" s="530" t="str">
        <f>B4716</f>
        <v>XTOB1P6BC1</v>
      </c>
      <c r="I4716" s="552"/>
      <c r="J4716" s="419" t="s">
        <v>1835</v>
      </c>
      <c r="K4716" s="566" t="s">
        <v>741</v>
      </c>
    </row>
    <row r="4717" spans="1:11" s="196" customFormat="1">
      <c r="A4717" s="419"/>
      <c r="B4717" s="165" t="s">
        <v>1827</v>
      </c>
      <c r="C4717" s="230"/>
      <c r="D4717" s="230">
        <v>43</v>
      </c>
      <c r="E4717" s="230">
        <v>5</v>
      </c>
      <c r="F4717" s="166">
        <f t="shared" si="616"/>
        <v>48</v>
      </c>
      <c r="G4717" s="153" t="s">
        <v>8436</v>
      </c>
      <c r="H4717" s="530" t="str">
        <f>B4717</f>
        <v>XTOB2P4BC1</v>
      </c>
      <c r="I4717" s="552"/>
      <c r="J4717" s="419" t="s">
        <v>1835</v>
      </c>
      <c r="K4717" s="566" t="s">
        <v>741</v>
      </c>
    </row>
    <row r="4718" spans="1:11" s="196" customFormat="1">
      <c r="A4718" s="419"/>
      <c r="B4718" s="165" t="s">
        <v>1826</v>
      </c>
      <c r="C4718" s="230"/>
      <c r="D4718" s="230">
        <v>43</v>
      </c>
      <c r="E4718" s="230">
        <v>5</v>
      </c>
      <c r="F4718" s="166">
        <f t="shared" si="616"/>
        <v>48</v>
      </c>
      <c r="G4718" s="153" t="s">
        <v>8437</v>
      </c>
      <c r="H4718" s="530" t="str">
        <f t="shared" ref="H4718:H4750" si="617">B4718</f>
        <v>XTOB004BC1</v>
      </c>
      <c r="I4718" s="552"/>
      <c r="J4718" s="419" t="s">
        <v>1835</v>
      </c>
      <c r="K4718" s="566" t="s">
        <v>741</v>
      </c>
    </row>
    <row r="4719" spans="1:11" s="196" customFormat="1">
      <c r="A4719" s="419"/>
      <c r="B4719" s="165" t="s">
        <v>1825</v>
      </c>
      <c r="C4719" s="230"/>
      <c r="D4719" s="230">
        <v>43</v>
      </c>
      <c r="E4719" s="230">
        <v>5</v>
      </c>
      <c r="F4719" s="166">
        <f t="shared" si="616"/>
        <v>48</v>
      </c>
      <c r="G4719" s="153" t="s">
        <v>8438</v>
      </c>
      <c r="H4719" s="530" t="str">
        <f t="shared" si="617"/>
        <v>XTOB006BC1</v>
      </c>
      <c r="I4719" s="552"/>
      <c r="J4719" s="419" t="s">
        <v>1835</v>
      </c>
      <c r="K4719" s="566" t="s">
        <v>741</v>
      </c>
    </row>
    <row r="4720" spans="1:11" s="196" customFormat="1">
      <c r="A4720" s="419"/>
      <c r="B4720" s="165" t="s">
        <v>747</v>
      </c>
      <c r="C4720" s="230"/>
      <c r="D4720" s="230">
        <v>43</v>
      </c>
      <c r="E4720" s="230">
        <v>5</v>
      </c>
      <c r="F4720" s="166">
        <f t="shared" si="616"/>
        <v>48</v>
      </c>
      <c r="G4720" s="153" t="s">
        <v>8439</v>
      </c>
      <c r="H4720" s="530" t="str">
        <f t="shared" si="617"/>
        <v>XTOB010BC1</v>
      </c>
      <c r="I4720" s="552"/>
      <c r="J4720" s="419" t="s">
        <v>1835</v>
      </c>
      <c r="K4720" s="566" t="s">
        <v>741</v>
      </c>
    </row>
    <row r="4721" spans="1:11" s="196" customFormat="1">
      <c r="A4721" s="419"/>
      <c r="B4721" s="165" t="s">
        <v>748</v>
      </c>
      <c r="C4721" s="230"/>
      <c r="D4721" s="230">
        <v>43</v>
      </c>
      <c r="E4721" s="230">
        <v>5</v>
      </c>
      <c r="F4721" s="166">
        <f t="shared" si="616"/>
        <v>48</v>
      </c>
      <c r="G4721" s="153" t="s">
        <v>8440</v>
      </c>
      <c r="H4721" s="530" t="str">
        <f t="shared" si="617"/>
        <v>XTOB012BC1</v>
      </c>
      <c r="I4721" s="552"/>
      <c r="J4721" s="419" t="s">
        <v>1835</v>
      </c>
      <c r="K4721" s="566" t="s">
        <v>741</v>
      </c>
    </row>
    <row r="4722" spans="1:11" s="196" customFormat="1">
      <c r="A4722" s="419"/>
      <c r="B4722" s="165" t="s">
        <v>749</v>
      </c>
      <c r="C4722" s="230"/>
      <c r="D4722" s="230">
        <v>43</v>
      </c>
      <c r="E4722" s="230">
        <v>5</v>
      </c>
      <c r="F4722" s="166">
        <f t="shared" si="616"/>
        <v>48</v>
      </c>
      <c r="G4722" s="153" t="s">
        <v>8441</v>
      </c>
      <c r="H4722" s="530" t="str">
        <f t="shared" si="617"/>
        <v>XTOB016BC1</v>
      </c>
      <c r="I4722" s="552"/>
      <c r="J4722" s="419" t="s">
        <v>1835</v>
      </c>
      <c r="K4722" s="566" t="s">
        <v>741</v>
      </c>
    </row>
    <row r="4723" spans="1:11" s="196" customFormat="1">
      <c r="A4723" s="515"/>
      <c r="B4723" s="567"/>
      <c r="C4723" s="230"/>
      <c r="D4723" s="230"/>
      <c r="E4723" s="230"/>
      <c r="F4723" s="166"/>
      <c r="G4723" s="568"/>
      <c r="H4723" s="530"/>
      <c r="I4723" s="552"/>
      <c r="J4723" s="515"/>
      <c r="K4723" s="566"/>
    </row>
    <row r="4724" spans="1:11" s="196" customFormat="1">
      <c r="A4724" s="419"/>
      <c r="B4724" s="165" t="s">
        <v>8442</v>
      </c>
      <c r="C4724" s="230"/>
      <c r="D4724" s="230">
        <v>53</v>
      </c>
      <c r="E4724" s="230">
        <v>8</v>
      </c>
      <c r="F4724" s="166">
        <f>D4724+E4724</f>
        <v>61</v>
      </c>
      <c r="G4724" s="153" t="s">
        <v>8443</v>
      </c>
      <c r="H4724" s="530" t="str">
        <f>B4724</f>
        <v>XTOB016CC1</v>
      </c>
      <c r="I4724" s="552"/>
      <c r="J4724" s="419" t="s">
        <v>8444</v>
      </c>
      <c r="K4724" s="566" t="s">
        <v>741</v>
      </c>
    </row>
    <row r="4725" spans="1:11" s="196" customFormat="1">
      <c r="A4725" s="419"/>
      <c r="B4725" s="165" t="s">
        <v>2491</v>
      </c>
      <c r="C4725" s="230"/>
      <c r="D4725" s="230">
        <v>53</v>
      </c>
      <c r="E4725" s="230">
        <v>8</v>
      </c>
      <c r="F4725" s="166">
        <f>D4725+E4725</f>
        <v>61</v>
      </c>
      <c r="G4725" s="153" t="s">
        <v>8445</v>
      </c>
      <c r="H4725" s="530" t="str">
        <f t="shared" si="617"/>
        <v>XTOB024CC1</v>
      </c>
      <c r="I4725" s="552"/>
      <c r="J4725" s="419" t="s">
        <v>1835</v>
      </c>
      <c r="K4725" s="566" t="s">
        <v>741</v>
      </c>
    </row>
    <row r="4726" spans="1:11" s="196" customFormat="1">
      <c r="A4726" s="419"/>
      <c r="B4726" s="165" t="s">
        <v>2492</v>
      </c>
      <c r="C4726" s="230"/>
      <c r="D4726" s="230">
        <v>53</v>
      </c>
      <c r="E4726" s="230">
        <v>8</v>
      </c>
      <c r="F4726" s="166">
        <f>D4726+E4726</f>
        <v>61</v>
      </c>
      <c r="G4726" s="153" t="s">
        <v>8446</v>
      </c>
      <c r="H4726" s="530" t="str">
        <f t="shared" si="617"/>
        <v>XTOB032CC1</v>
      </c>
      <c r="I4726" s="552"/>
      <c r="J4726" s="419" t="s">
        <v>1835</v>
      </c>
      <c r="K4726" s="566" t="s">
        <v>741</v>
      </c>
    </row>
    <row r="4727" spans="1:11" s="196" customFormat="1">
      <c r="A4727" s="419"/>
      <c r="B4727" s="165"/>
      <c r="C4727" s="230"/>
      <c r="D4727" s="230"/>
      <c r="E4727" s="230"/>
      <c r="F4727" s="166"/>
      <c r="G4727" s="153"/>
      <c r="H4727" s="530"/>
      <c r="I4727" s="552"/>
      <c r="J4727" s="419"/>
      <c r="K4727" s="566"/>
    </row>
    <row r="4728" spans="1:11" s="196" customFormat="1">
      <c r="A4728" s="419"/>
      <c r="B4728" s="165" t="s">
        <v>8447</v>
      </c>
      <c r="C4728" s="230"/>
      <c r="D4728" s="230">
        <v>60</v>
      </c>
      <c r="E4728" s="230">
        <v>8</v>
      </c>
      <c r="F4728" s="166">
        <f>D4728+E4728</f>
        <v>68</v>
      </c>
      <c r="G4728" s="153" t="s">
        <v>8448</v>
      </c>
      <c r="H4728" s="530" t="str">
        <f>B4728</f>
        <v>XTOB040DC1</v>
      </c>
      <c r="I4728" s="552"/>
      <c r="J4728" s="419" t="s">
        <v>1835</v>
      </c>
      <c r="K4728" s="566" t="s">
        <v>741</v>
      </c>
    </row>
    <row r="4729" spans="1:11" s="196" customFormat="1">
      <c r="A4729" s="419"/>
      <c r="B4729" s="165" t="s">
        <v>8449</v>
      </c>
      <c r="C4729" s="230"/>
      <c r="D4729" s="230">
        <v>120</v>
      </c>
      <c r="E4729" s="230">
        <v>8</v>
      </c>
      <c r="F4729" s="166">
        <f>D4729+E4729</f>
        <v>128</v>
      </c>
      <c r="G4729" s="153" t="s">
        <v>8450</v>
      </c>
      <c r="H4729" s="530" t="str">
        <f>B4729</f>
        <v>XTOB057DC1</v>
      </c>
      <c r="I4729" s="552"/>
      <c r="J4729" s="419" t="s">
        <v>1835</v>
      </c>
      <c r="K4729" s="566" t="s">
        <v>741</v>
      </c>
    </row>
    <row r="4730" spans="1:11" s="196" customFormat="1">
      <c r="A4730" s="419"/>
      <c r="B4730" s="165" t="s">
        <v>8451</v>
      </c>
      <c r="C4730" s="230"/>
      <c r="D4730" s="230">
        <v>120</v>
      </c>
      <c r="E4730" s="230">
        <v>8</v>
      </c>
      <c r="F4730" s="166">
        <f>D4730+E4730</f>
        <v>128</v>
      </c>
      <c r="G4730" s="153" t="s">
        <v>8452</v>
      </c>
      <c r="H4730" s="530" t="str">
        <f>B4730</f>
        <v>XTOB065DC1</v>
      </c>
      <c r="I4730" s="552"/>
      <c r="J4730" s="419" t="s">
        <v>1835</v>
      </c>
      <c r="K4730" s="566" t="s">
        <v>741</v>
      </c>
    </row>
    <row r="4731" spans="1:11" s="196" customFormat="1">
      <c r="A4731" s="419"/>
      <c r="B4731" s="165"/>
      <c r="C4731" s="230"/>
      <c r="D4731" s="230"/>
      <c r="E4731" s="230"/>
      <c r="F4731" s="166"/>
      <c r="G4731" s="153"/>
      <c r="H4731" s="530"/>
      <c r="I4731" s="552"/>
      <c r="J4731" s="419"/>
      <c r="K4731" s="566"/>
    </row>
    <row r="4732" spans="1:11" s="196" customFormat="1">
      <c r="A4732" s="419"/>
      <c r="B4732" s="165" t="s">
        <v>9818</v>
      </c>
      <c r="C4732" s="230"/>
      <c r="D4732" s="230">
        <v>113</v>
      </c>
      <c r="E4732" s="230">
        <v>8</v>
      </c>
      <c r="F4732" s="166">
        <f t="shared" ref="F4732:F4737" si="618">D4732+E4732</f>
        <v>121</v>
      </c>
      <c r="G4732" s="153" t="s">
        <v>9819</v>
      </c>
      <c r="H4732" s="530" t="str">
        <f t="shared" ref="H4732:H4737" si="619">B4732</f>
        <v>XTOB035GC1</v>
      </c>
      <c r="I4732" s="552"/>
      <c r="J4732" s="419" t="s">
        <v>1835</v>
      </c>
      <c r="K4732" s="566" t="s">
        <v>741</v>
      </c>
    </row>
    <row r="4733" spans="1:11" s="196" customFormat="1">
      <c r="A4733" s="419"/>
      <c r="B4733" s="165" t="s">
        <v>9820</v>
      </c>
      <c r="C4733" s="230"/>
      <c r="D4733" s="230">
        <v>113</v>
      </c>
      <c r="E4733" s="230">
        <v>8</v>
      </c>
      <c r="F4733" s="166">
        <f t="shared" si="618"/>
        <v>121</v>
      </c>
      <c r="G4733" s="153" t="s">
        <v>9821</v>
      </c>
      <c r="H4733" s="530" t="str">
        <f t="shared" si="619"/>
        <v>XTOB050GC1</v>
      </c>
      <c r="I4733" s="552"/>
      <c r="J4733" s="419" t="s">
        <v>1835</v>
      </c>
      <c r="K4733" s="566" t="s">
        <v>741</v>
      </c>
    </row>
    <row r="4734" spans="1:11" s="196" customFormat="1">
      <c r="A4734" s="419"/>
      <c r="B4734" s="165" t="s">
        <v>9822</v>
      </c>
      <c r="C4734" s="230"/>
      <c r="D4734" s="230">
        <v>140</v>
      </c>
      <c r="E4734" s="230">
        <v>8</v>
      </c>
      <c r="F4734" s="166">
        <f t="shared" si="618"/>
        <v>148</v>
      </c>
      <c r="G4734" s="153" t="s">
        <v>9823</v>
      </c>
      <c r="H4734" s="530" t="str">
        <f t="shared" si="619"/>
        <v>XTOB070GC1</v>
      </c>
      <c r="I4734" s="552"/>
      <c r="J4734" s="419" t="s">
        <v>1835</v>
      </c>
      <c r="K4734" s="566" t="s">
        <v>741</v>
      </c>
    </row>
    <row r="4735" spans="1:11" s="196" customFormat="1">
      <c r="A4735" s="419"/>
      <c r="B4735" s="165" t="s">
        <v>9824</v>
      </c>
      <c r="C4735" s="230"/>
      <c r="D4735" s="230">
        <v>195</v>
      </c>
      <c r="E4735" s="230">
        <v>8</v>
      </c>
      <c r="F4735" s="166">
        <f t="shared" si="618"/>
        <v>203</v>
      </c>
      <c r="G4735" s="153" t="s">
        <v>9825</v>
      </c>
      <c r="H4735" s="530" t="str">
        <f t="shared" si="619"/>
        <v>XTOB100GC1</v>
      </c>
      <c r="I4735" s="552"/>
      <c r="J4735" s="419" t="s">
        <v>1835</v>
      </c>
      <c r="K4735" s="566" t="s">
        <v>741</v>
      </c>
    </row>
    <row r="4736" spans="1:11" s="196" customFormat="1">
      <c r="A4736" s="419"/>
      <c r="B4736" s="165" t="s">
        <v>9826</v>
      </c>
      <c r="C4736" s="230"/>
      <c r="D4736" s="230">
        <v>195</v>
      </c>
      <c r="E4736" s="230">
        <v>8</v>
      </c>
      <c r="F4736" s="166">
        <f t="shared" si="618"/>
        <v>203</v>
      </c>
      <c r="G4736" s="153" t="s">
        <v>9827</v>
      </c>
      <c r="H4736" s="530" t="str">
        <f t="shared" si="619"/>
        <v>XTOB125GC1</v>
      </c>
      <c r="I4736" s="552"/>
      <c r="J4736" s="419" t="s">
        <v>1835</v>
      </c>
      <c r="K4736" s="566" t="s">
        <v>741</v>
      </c>
    </row>
    <row r="4737" spans="1:11" s="196" customFormat="1">
      <c r="A4737" s="419"/>
      <c r="B4737" s="165" t="s">
        <v>9828</v>
      </c>
      <c r="C4737" s="230"/>
      <c r="D4737" s="230">
        <v>195</v>
      </c>
      <c r="E4737" s="230">
        <v>8</v>
      </c>
      <c r="F4737" s="166">
        <f t="shared" si="618"/>
        <v>203</v>
      </c>
      <c r="G4737" s="153" t="s">
        <v>9829</v>
      </c>
      <c r="H4737" s="530" t="str">
        <f t="shared" si="619"/>
        <v>XTOB150GC1</v>
      </c>
      <c r="I4737" s="552"/>
      <c r="J4737" s="419" t="s">
        <v>1835</v>
      </c>
      <c r="K4737" s="566" t="s">
        <v>741</v>
      </c>
    </row>
    <row r="4738" spans="1:11" s="196" customFormat="1">
      <c r="A4738" s="419"/>
      <c r="B4738" s="165"/>
      <c r="C4738" s="230"/>
      <c r="D4738" s="230"/>
      <c r="E4738" s="230"/>
      <c r="F4738" s="166"/>
      <c r="G4738" s="153"/>
      <c r="H4738" s="530"/>
      <c r="I4738" s="552"/>
      <c r="J4738" s="419"/>
      <c r="K4738" s="566"/>
    </row>
    <row r="4739" spans="1:11" s="196" customFormat="1">
      <c r="A4739" s="419"/>
      <c r="B4739" s="165" t="s">
        <v>9830</v>
      </c>
      <c r="C4739" s="230"/>
      <c r="D4739" s="230">
        <v>385</v>
      </c>
      <c r="E4739" s="230">
        <v>8</v>
      </c>
      <c r="F4739" s="166">
        <f>D4739+E4739</f>
        <v>393</v>
      </c>
      <c r="G4739" s="153" t="s">
        <v>9831</v>
      </c>
      <c r="H4739" s="530" t="str">
        <f t="shared" ref="H4739:H4743" si="620">B4739</f>
        <v>XTOB100LC1</v>
      </c>
      <c r="I4739" s="552"/>
      <c r="J4739" s="419" t="s">
        <v>1835</v>
      </c>
      <c r="K4739" s="566" t="s">
        <v>741</v>
      </c>
    </row>
    <row r="4740" spans="1:11" s="196" customFormat="1">
      <c r="A4740" s="419"/>
      <c r="B4740" s="165" t="s">
        <v>9832</v>
      </c>
      <c r="C4740" s="230"/>
      <c r="D4740" s="230">
        <v>385</v>
      </c>
      <c r="E4740" s="230">
        <v>8</v>
      </c>
      <c r="F4740" s="166">
        <f>D4740+E4740</f>
        <v>393</v>
      </c>
      <c r="G4740" s="153" t="s">
        <v>9833</v>
      </c>
      <c r="H4740" s="530" t="str">
        <f t="shared" si="620"/>
        <v>XTOB125LC1</v>
      </c>
      <c r="I4740" s="552"/>
      <c r="J4740" s="419" t="s">
        <v>1835</v>
      </c>
      <c r="K4740" s="566" t="s">
        <v>741</v>
      </c>
    </row>
    <row r="4741" spans="1:11" s="196" customFormat="1">
      <c r="A4741" s="419"/>
      <c r="B4741" s="165" t="s">
        <v>9834</v>
      </c>
      <c r="C4741" s="230"/>
      <c r="D4741" s="230">
        <v>385</v>
      </c>
      <c r="E4741" s="230">
        <v>8</v>
      </c>
      <c r="F4741" s="166">
        <f>D4741+E4741</f>
        <v>393</v>
      </c>
      <c r="G4741" s="153" t="s">
        <v>9835</v>
      </c>
      <c r="H4741" s="530" t="str">
        <f t="shared" si="620"/>
        <v>XTOB160LC1</v>
      </c>
      <c r="I4741" s="552"/>
      <c r="J4741" s="419" t="s">
        <v>1835</v>
      </c>
      <c r="K4741" s="566" t="s">
        <v>741</v>
      </c>
    </row>
    <row r="4742" spans="1:11" s="196" customFormat="1">
      <c r="A4742" s="419"/>
      <c r="B4742" s="165" t="s">
        <v>9836</v>
      </c>
      <c r="C4742" s="230"/>
      <c r="D4742" s="230">
        <v>405</v>
      </c>
      <c r="E4742" s="230">
        <v>8</v>
      </c>
      <c r="F4742" s="166">
        <f>D4742+E4742</f>
        <v>413</v>
      </c>
      <c r="G4742" s="153" t="s">
        <v>9837</v>
      </c>
      <c r="H4742" s="530" t="str">
        <f t="shared" si="620"/>
        <v>XTOB220LC1</v>
      </c>
      <c r="I4742" s="552"/>
      <c r="J4742" s="419" t="s">
        <v>1835</v>
      </c>
      <c r="K4742" s="566" t="s">
        <v>741</v>
      </c>
    </row>
    <row r="4743" spans="1:11" s="196" customFormat="1">
      <c r="A4743" s="419"/>
      <c r="B4743" s="165" t="s">
        <v>9838</v>
      </c>
      <c r="C4743" s="230"/>
      <c r="D4743" s="230">
        <v>405</v>
      </c>
      <c r="E4743" s="230">
        <v>8</v>
      </c>
      <c r="F4743" s="166">
        <f>D4743+E4743</f>
        <v>413</v>
      </c>
      <c r="G4743" s="153" t="s">
        <v>9839</v>
      </c>
      <c r="H4743" s="530" t="str">
        <f t="shared" si="620"/>
        <v>XTOB250LC1</v>
      </c>
      <c r="I4743" s="552"/>
      <c r="J4743" s="419" t="s">
        <v>1835</v>
      </c>
      <c r="K4743" s="566" t="s">
        <v>741</v>
      </c>
    </row>
    <row r="4744" spans="1:11" s="196" customFormat="1">
      <c r="A4744" s="419"/>
      <c r="B4744" s="165"/>
      <c r="C4744" s="230"/>
      <c r="D4744" s="230"/>
      <c r="E4744" s="230"/>
      <c r="F4744" s="166"/>
      <c r="G4744" s="153"/>
      <c r="H4744" s="530"/>
      <c r="I4744" s="552"/>
      <c r="J4744" s="419"/>
      <c r="K4744" s="566"/>
    </row>
    <row r="4745" spans="1:11" s="196" customFormat="1">
      <c r="A4745" s="515"/>
      <c r="B4745" s="567"/>
      <c r="C4745" s="230"/>
      <c r="D4745" s="230"/>
      <c r="E4745" s="230"/>
      <c r="F4745" s="166"/>
      <c r="G4745" s="568"/>
      <c r="H4745" s="530"/>
      <c r="I4745" s="552"/>
      <c r="J4745" s="515"/>
      <c r="K4745" s="566"/>
    </row>
    <row r="4746" spans="1:11" s="196" customFormat="1">
      <c r="A4746" s="482"/>
      <c r="B4746" s="165" t="s">
        <v>1824</v>
      </c>
      <c r="C4746" s="230"/>
      <c r="D4746" s="230">
        <v>11</v>
      </c>
      <c r="E4746" s="230">
        <v>1</v>
      </c>
      <c r="F4746" s="166">
        <f>D4746+E4746</f>
        <v>12</v>
      </c>
      <c r="G4746" s="153" t="s">
        <v>2673</v>
      </c>
      <c r="H4746" s="530" t="str">
        <f t="shared" si="617"/>
        <v>XTCEXVSBB</v>
      </c>
      <c r="I4746" s="552"/>
      <c r="J4746" s="419" t="s">
        <v>6158</v>
      </c>
      <c r="K4746" s="566" t="s">
        <v>741</v>
      </c>
    </row>
    <row r="4747" spans="1:11" s="196" customFormat="1">
      <c r="A4747" s="419"/>
      <c r="B4747" s="165"/>
      <c r="C4747" s="230"/>
      <c r="D4747" s="230"/>
      <c r="E4747" s="230"/>
      <c r="F4747" s="166"/>
      <c r="G4747" s="153"/>
      <c r="H4747" s="530"/>
      <c r="I4747" s="552"/>
      <c r="J4747" s="419"/>
      <c r="K4747" s="566"/>
    </row>
    <row r="4748" spans="1:11" s="196" customFormat="1">
      <c r="A4748" s="515"/>
      <c r="B4748" s="567"/>
      <c r="C4748" s="230"/>
      <c r="D4748" s="230"/>
      <c r="E4748" s="230"/>
      <c r="F4748" s="166"/>
      <c r="G4748" s="568"/>
      <c r="H4748" s="530"/>
      <c r="I4748" s="552"/>
      <c r="J4748" s="515"/>
      <c r="K4748" s="566"/>
    </row>
    <row r="4749" spans="1:11" s="196" customFormat="1">
      <c r="A4749" s="419"/>
      <c r="B4749" s="165"/>
      <c r="C4749" s="230"/>
      <c r="D4749" s="230"/>
      <c r="E4749" s="230"/>
      <c r="F4749" s="166"/>
      <c r="G4749" s="167"/>
      <c r="H4749" s="530"/>
      <c r="I4749" s="552"/>
      <c r="J4749" s="419"/>
      <c r="K4749" s="566"/>
    </row>
    <row r="4750" spans="1:11" s="196" customFormat="1">
      <c r="A4750" s="419"/>
      <c r="B4750" s="165" t="s">
        <v>6159</v>
      </c>
      <c r="C4750" s="230"/>
      <c r="D4750" s="230">
        <v>50</v>
      </c>
      <c r="E4750" s="230">
        <v>5</v>
      </c>
      <c r="F4750" s="166">
        <f>D4750+E4750</f>
        <v>55</v>
      </c>
      <c r="G4750" s="167" t="s">
        <v>6160</v>
      </c>
      <c r="H4750" s="530" t="str">
        <f t="shared" si="617"/>
        <v>XTRE010B22B + XTCEXFCA22</v>
      </c>
      <c r="I4750" s="552"/>
      <c r="J4750" s="419" t="s">
        <v>1835</v>
      </c>
      <c r="K4750" s="566" t="s">
        <v>741</v>
      </c>
    </row>
    <row r="4751" spans="1:11" s="196" customFormat="1">
      <c r="A4751" s="419"/>
      <c r="B4751" s="165"/>
      <c r="C4751" s="230"/>
      <c r="D4751" s="230"/>
      <c r="E4751" s="230"/>
      <c r="F4751" s="166"/>
      <c r="G4751" s="167"/>
      <c r="H4751" s="530"/>
      <c r="I4751" s="552"/>
      <c r="J4751" s="419"/>
      <c r="K4751" s="566"/>
    </row>
    <row r="4752" spans="1:11" s="196" customFormat="1">
      <c r="A4752" s="419"/>
      <c r="B4752" s="165"/>
      <c r="C4752" s="230"/>
      <c r="D4752" s="230"/>
      <c r="E4752" s="230"/>
      <c r="F4752" s="166"/>
      <c r="G4752" s="167"/>
      <c r="H4752" s="2046"/>
      <c r="I4752" s="552"/>
      <c r="J4752" s="419"/>
      <c r="K4752" s="566"/>
    </row>
    <row r="4753" spans="1:11" s="196" customFormat="1">
      <c r="A4753" s="419"/>
      <c r="B4753" s="165"/>
      <c r="C4753" s="230"/>
      <c r="D4753" s="230"/>
      <c r="E4753" s="230"/>
      <c r="F4753" s="166"/>
      <c r="G4753" s="167"/>
      <c r="H4753" s="2046"/>
      <c r="I4753" s="552"/>
      <c r="J4753" s="419"/>
      <c r="K4753" s="566"/>
    </row>
    <row r="4754" spans="1:11" s="196" customFormat="1">
      <c r="A4754" s="1689"/>
      <c r="B4754" s="165" t="s">
        <v>8463</v>
      </c>
      <c r="D4754" s="230">
        <v>52</v>
      </c>
      <c r="E4754" s="230">
        <v>5</v>
      </c>
      <c r="F4754" s="166">
        <f>D4754+E4754</f>
        <v>57</v>
      </c>
      <c r="G4754" s="153" t="s">
        <v>8464</v>
      </c>
      <c r="H4754" s="530" t="str">
        <f>B4754</f>
        <v>PKZM0-6,3</v>
      </c>
      <c r="I4754" s="552"/>
      <c r="J4754" s="419" t="s">
        <v>1835</v>
      </c>
      <c r="K4754" s="566" t="s">
        <v>741</v>
      </c>
    </row>
    <row r="4755" spans="1:11" s="196" customFormat="1">
      <c r="A4755" s="419"/>
      <c r="B4755" s="165"/>
      <c r="C4755" s="230"/>
      <c r="D4755" s="230"/>
      <c r="E4755" s="230"/>
      <c r="F4755" s="166"/>
      <c r="G4755" s="167"/>
      <c r="H4755" s="546"/>
      <c r="I4755" s="552"/>
      <c r="J4755" s="419"/>
      <c r="K4755" s="566"/>
    </row>
    <row r="4756" spans="1:11" s="196" customFormat="1">
      <c r="A4756" s="1804"/>
      <c r="B4756" s="165" t="s">
        <v>8465</v>
      </c>
      <c r="D4756" s="230">
        <v>36.4</v>
      </c>
      <c r="E4756" s="230">
        <v>5</v>
      </c>
      <c r="F4756" s="166">
        <f t="shared" ref="F4756:F4767" si="621">D4756+E4756</f>
        <v>41.4</v>
      </c>
      <c r="G4756" s="153" t="s">
        <v>8466</v>
      </c>
      <c r="H4756" s="530" t="str">
        <f t="shared" ref="H4756:H4767" si="622">B4756</f>
        <v>PKZM01-0,16</v>
      </c>
      <c r="I4756" s="552"/>
      <c r="J4756" s="419" t="s">
        <v>1835</v>
      </c>
      <c r="K4756" s="566" t="s">
        <v>741</v>
      </c>
    </row>
    <row r="4757" spans="1:11" s="196" customFormat="1">
      <c r="A4757" s="1804"/>
      <c r="B4757" s="165" t="s">
        <v>8467</v>
      </c>
      <c r="D4757" s="230">
        <v>36.4</v>
      </c>
      <c r="E4757" s="230">
        <v>5</v>
      </c>
      <c r="F4757" s="166">
        <f t="shared" si="621"/>
        <v>41.4</v>
      </c>
      <c r="G4757" s="153" t="s">
        <v>8468</v>
      </c>
      <c r="H4757" s="530" t="str">
        <f t="shared" si="622"/>
        <v>PKZM01-0,25</v>
      </c>
      <c r="I4757" s="552"/>
      <c r="J4757" s="419" t="s">
        <v>1835</v>
      </c>
      <c r="K4757" s="566" t="s">
        <v>741</v>
      </c>
    </row>
    <row r="4758" spans="1:11" s="196" customFormat="1">
      <c r="A4758" s="1804"/>
      <c r="B4758" s="165" t="s">
        <v>8469</v>
      </c>
      <c r="D4758" s="230">
        <v>36.4</v>
      </c>
      <c r="E4758" s="230">
        <v>5</v>
      </c>
      <c r="F4758" s="166">
        <f t="shared" si="621"/>
        <v>41.4</v>
      </c>
      <c r="G4758" s="153" t="s">
        <v>8470</v>
      </c>
      <c r="H4758" s="530" t="str">
        <f t="shared" si="622"/>
        <v>PKZM01-0,4</v>
      </c>
      <c r="I4758" s="552"/>
      <c r="J4758" s="419" t="s">
        <v>1835</v>
      </c>
      <c r="K4758" s="566" t="s">
        <v>741</v>
      </c>
    </row>
    <row r="4759" spans="1:11" s="196" customFormat="1">
      <c r="A4759" s="1804"/>
      <c r="B4759" s="165" t="s">
        <v>8471</v>
      </c>
      <c r="D4759" s="230">
        <v>40.4</v>
      </c>
      <c r="E4759" s="230">
        <v>5</v>
      </c>
      <c r="F4759" s="166">
        <f t="shared" si="621"/>
        <v>45.4</v>
      </c>
      <c r="G4759" s="153" t="s">
        <v>8472</v>
      </c>
      <c r="H4759" s="530" t="str">
        <f t="shared" si="622"/>
        <v>PKZM01-0,63</v>
      </c>
      <c r="I4759" s="552"/>
      <c r="J4759" s="419" t="s">
        <v>1835</v>
      </c>
      <c r="K4759" s="566" t="s">
        <v>741</v>
      </c>
    </row>
    <row r="4760" spans="1:11" s="196" customFormat="1">
      <c r="A4760" s="1804"/>
      <c r="B4760" s="165" t="s">
        <v>8473</v>
      </c>
      <c r="D4760" s="230">
        <v>40.4</v>
      </c>
      <c r="E4760" s="230">
        <v>5</v>
      </c>
      <c r="F4760" s="166">
        <f t="shared" si="621"/>
        <v>45.4</v>
      </c>
      <c r="G4760" s="153" t="s">
        <v>8474</v>
      </c>
      <c r="H4760" s="530" t="str">
        <f t="shared" si="622"/>
        <v>PKZM01-1</v>
      </c>
      <c r="I4760" s="552"/>
      <c r="J4760" s="419" t="s">
        <v>1835</v>
      </c>
      <c r="K4760" s="566" t="s">
        <v>741</v>
      </c>
    </row>
    <row r="4761" spans="1:11" s="196" customFormat="1">
      <c r="A4761" s="1804"/>
      <c r="B4761" s="165" t="s">
        <v>8475</v>
      </c>
      <c r="D4761" s="230">
        <v>40.4</v>
      </c>
      <c r="E4761" s="230">
        <v>5</v>
      </c>
      <c r="F4761" s="166">
        <f t="shared" si="621"/>
        <v>45.4</v>
      </c>
      <c r="G4761" s="153" t="s">
        <v>8476</v>
      </c>
      <c r="H4761" s="530" t="str">
        <f t="shared" si="622"/>
        <v>PKZM01-1,6</v>
      </c>
      <c r="I4761" s="552"/>
      <c r="J4761" s="419" t="s">
        <v>1835</v>
      </c>
      <c r="K4761" s="566" t="s">
        <v>741</v>
      </c>
    </row>
    <row r="4762" spans="1:11" s="196" customFormat="1">
      <c r="A4762" s="1804"/>
      <c r="B4762" s="165" t="s">
        <v>8477</v>
      </c>
      <c r="D4762" s="230">
        <v>43.7</v>
      </c>
      <c r="E4762" s="230">
        <v>5</v>
      </c>
      <c r="F4762" s="166">
        <f t="shared" si="621"/>
        <v>48.7</v>
      </c>
      <c r="G4762" s="153" t="s">
        <v>8478</v>
      </c>
      <c r="H4762" s="530" t="str">
        <f t="shared" si="622"/>
        <v>PKZM01-2,5</v>
      </c>
      <c r="I4762" s="552"/>
      <c r="J4762" s="419" t="s">
        <v>1835</v>
      </c>
      <c r="K4762" s="566" t="s">
        <v>741</v>
      </c>
    </row>
    <row r="4763" spans="1:11" s="196" customFormat="1">
      <c r="A4763" s="1804"/>
      <c r="B4763" s="165" t="s">
        <v>8479</v>
      </c>
      <c r="D4763" s="230">
        <v>43.7</v>
      </c>
      <c r="E4763" s="230">
        <v>5</v>
      </c>
      <c r="F4763" s="166">
        <f t="shared" si="621"/>
        <v>48.7</v>
      </c>
      <c r="G4763" s="153" t="s">
        <v>8480</v>
      </c>
      <c r="H4763" s="530" t="str">
        <f t="shared" si="622"/>
        <v>PKZM01-4</v>
      </c>
      <c r="I4763" s="552"/>
      <c r="J4763" s="419" t="s">
        <v>1835</v>
      </c>
      <c r="K4763" s="566" t="s">
        <v>741</v>
      </c>
    </row>
    <row r="4764" spans="1:11" s="196" customFormat="1">
      <c r="A4764" s="1804"/>
      <c r="B4764" s="165" t="s">
        <v>8481</v>
      </c>
      <c r="D4764" s="230">
        <v>43.7</v>
      </c>
      <c r="E4764" s="230">
        <v>5</v>
      </c>
      <c r="F4764" s="166">
        <f t="shared" si="621"/>
        <v>48.7</v>
      </c>
      <c r="G4764" s="153" t="s">
        <v>8482</v>
      </c>
      <c r="H4764" s="530" t="str">
        <f t="shared" si="622"/>
        <v>PKZM01-6,3</v>
      </c>
      <c r="I4764" s="552"/>
      <c r="J4764" s="419" t="s">
        <v>1835</v>
      </c>
      <c r="K4764" s="566" t="s">
        <v>741</v>
      </c>
    </row>
    <row r="4765" spans="1:11" s="196" customFormat="1">
      <c r="A4765" s="1804"/>
      <c r="B4765" s="165" t="s">
        <v>8483</v>
      </c>
      <c r="D4765" s="230">
        <v>51</v>
      </c>
      <c r="E4765" s="230">
        <v>5</v>
      </c>
      <c r="F4765" s="166">
        <f t="shared" si="621"/>
        <v>56</v>
      </c>
      <c r="G4765" s="153" t="s">
        <v>8484</v>
      </c>
      <c r="H4765" s="530" t="str">
        <f t="shared" si="622"/>
        <v>PKZM01-10</v>
      </c>
      <c r="I4765" s="552"/>
      <c r="J4765" s="419" t="s">
        <v>1835</v>
      </c>
      <c r="K4765" s="566" t="s">
        <v>741</v>
      </c>
    </row>
    <row r="4766" spans="1:11" s="196" customFormat="1">
      <c r="A4766" s="1804"/>
      <c r="B4766" s="165" t="s">
        <v>8485</v>
      </c>
      <c r="D4766" s="230">
        <v>51.5</v>
      </c>
      <c r="E4766" s="230">
        <v>5</v>
      </c>
      <c r="F4766" s="166">
        <f t="shared" si="621"/>
        <v>56.5</v>
      </c>
      <c r="G4766" s="153" t="s">
        <v>8486</v>
      </c>
      <c r="H4766" s="530" t="str">
        <f t="shared" si="622"/>
        <v>PKZM01-12</v>
      </c>
      <c r="I4766" s="552"/>
      <c r="J4766" s="419" t="s">
        <v>1835</v>
      </c>
      <c r="K4766" s="566" t="s">
        <v>741</v>
      </c>
    </row>
    <row r="4767" spans="1:11" s="196" customFormat="1">
      <c r="A4767" s="1804"/>
      <c r="B4767" s="165" t="s">
        <v>8487</v>
      </c>
      <c r="D4767" s="230">
        <v>51</v>
      </c>
      <c r="E4767" s="230">
        <v>5</v>
      </c>
      <c r="F4767" s="166">
        <f t="shared" si="621"/>
        <v>56</v>
      </c>
      <c r="G4767" s="153" t="s">
        <v>8488</v>
      </c>
      <c r="H4767" s="530" t="str">
        <f t="shared" si="622"/>
        <v>PKZM01-16</v>
      </c>
      <c r="I4767" s="552"/>
      <c r="J4767" s="419" t="s">
        <v>1835</v>
      </c>
      <c r="K4767" s="566" t="s">
        <v>741</v>
      </c>
    </row>
    <row r="4768" spans="1:11" s="196" customFormat="1">
      <c r="A4768" s="419"/>
      <c r="B4768" s="165"/>
      <c r="C4768" s="230"/>
      <c r="D4768" s="230"/>
      <c r="E4768" s="230"/>
      <c r="F4768" s="166"/>
      <c r="G4768" s="167"/>
      <c r="H4768" s="546"/>
      <c r="I4768" s="552"/>
      <c r="J4768" s="419"/>
      <c r="K4768" s="566"/>
    </row>
    <row r="4769" spans="1:11" s="196" customFormat="1">
      <c r="A4769" s="106"/>
      <c r="B4769" s="569"/>
      <c r="C4769" s="569"/>
      <c r="D4769" s="569"/>
      <c r="E4769" s="569"/>
      <c r="F4769" s="569"/>
      <c r="G4769" s="569"/>
      <c r="H4769" s="724"/>
      <c r="I4769" s="106"/>
      <c r="J4769" s="106"/>
      <c r="K4769" s="106"/>
    </row>
    <row r="4770" spans="1:11" s="196" customFormat="1">
      <c r="A4770" s="106"/>
      <c r="B4770" s="569"/>
      <c r="C4770" s="569"/>
      <c r="D4770" s="569"/>
      <c r="E4770" s="569"/>
      <c r="F4770" s="569"/>
      <c r="G4770" s="569"/>
      <c r="H4770" s="724"/>
      <c r="I4770" s="106"/>
      <c r="J4770" s="106"/>
      <c r="K4770" s="106"/>
    </row>
    <row r="4771" spans="1:11" s="196" customFormat="1">
      <c r="A4771" s="106"/>
      <c r="B4771" s="570" t="s">
        <v>1889</v>
      </c>
      <c r="C4771" s="456"/>
      <c r="D4771" s="456">
        <f>0.6*170</f>
        <v>102</v>
      </c>
      <c r="E4771" s="456">
        <v>5</v>
      </c>
      <c r="F4771" s="572">
        <f t="shared" ref="F4771:F4778" si="623">D4771+E4771</f>
        <v>107</v>
      </c>
      <c r="G4771" s="573" t="s">
        <v>5344</v>
      </c>
      <c r="H4771" s="2046" t="str">
        <f t="shared" ref="H4771:H4778" si="624">B4771</f>
        <v>XTCF020B00B</v>
      </c>
      <c r="I4771" s="552"/>
      <c r="J4771" s="106" t="s">
        <v>1835</v>
      </c>
      <c r="K4771" s="566" t="s">
        <v>741</v>
      </c>
    </row>
    <row r="4772" spans="1:11" s="194" customFormat="1">
      <c r="A4772" s="106"/>
      <c r="B4772" s="570" t="s">
        <v>1890</v>
      </c>
      <c r="C4772" s="456"/>
      <c r="D4772" s="456">
        <f>0.6*240</f>
        <v>144</v>
      </c>
      <c r="E4772" s="456">
        <v>5</v>
      </c>
      <c r="F4772" s="572">
        <f t="shared" si="623"/>
        <v>149</v>
      </c>
      <c r="G4772" s="573" t="s">
        <v>5345</v>
      </c>
      <c r="H4772" s="2046" t="str">
        <f t="shared" si="624"/>
        <v>XTCF032C10B</v>
      </c>
      <c r="I4772" s="552"/>
      <c r="J4772" s="106" t="s">
        <v>1835</v>
      </c>
      <c r="K4772" s="566" t="s">
        <v>741</v>
      </c>
    </row>
    <row r="4773" spans="1:11" s="194" customFormat="1">
      <c r="A4773" s="106"/>
      <c r="B4773" s="570" t="s">
        <v>1891</v>
      </c>
      <c r="C4773" s="456"/>
      <c r="D4773" s="456">
        <f>0.6*290</f>
        <v>174</v>
      </c>
      <c r="E4773" s="456">
        <v>5</v>
      </c>
      <c r="F4773" s="572">
        <f t="shared" si="623"/>
        <v>179</v>
      </c>
      <c r="G4773" s="573" t="s">
        <v>5346</v>
      </c>
      <c r="H4773" s="2046" t="str">
        <f t="shared" si="624"/>
        <v>XTCF045C10B</v>
      </c>
      <c r="I4773" s="552"/>
      <c r="J4773" s="106" t="s">
        <v>1835</v>
      </c>
      <c r="K4773" s="566" t="s">
        <v>741</v>
      </c>
    </row>
    <row r="4774" spans="1:11" s="194" customFormat="1">
      <c r="A4774" s="106"/>
      <c r="B4774" s="570" t="s">
        <v>1892</v>
      </c>
      <c r="C4774" s="456"/>
      <c r="D4774" s="456">
        <f>0.6*360</f>
        <v>216</v>
      </c>
      <c r="E4774" s="456">
        <v>10</v>
      </c>
      <c r="F4774" s="572">
        <f t="shared" si="623"/>
        <v>226</v>
      </c>
      <c r="G4774" s="573" t="s">
        <v>5347</v>
      </c>
      <c r="H4774" s="2046" t="str">
        <f t="shared" si="624"/>
        <v>XTCF063D00B</v>
      </c>
      <c r="I4774" s="552"/>
      <c r="J4774" s="106" t="s">
        <v>1835</v>
      </c>
      <c r="K4774" s="566" t="s">
        <v>741</v>
      </c>
    </row>
    <row r="4775" spans="1:11" s="196" customFormat="1">
      <c r="A4775" s="106"/>
      <c r="B4775" s="570" t="s">
        <v>1893</v>
      </c>
      <c r="C4775" s="456"/>
      <c r="D4775" s="456">
        <f>0.6*480</f>
        <v>288</v>
      </c>
      <c r="E4775" s="456">
        <v>15</v>
      </c>
      <c r="F4775" s="572">
        <f t="shared" si="623"/>
        <v>303</v>
      </c>
      <c r="G4775" s="573" t="s">
        <v>5348</v>
      </c>
      <c r="H4775" s="2046" t="str">
        <f t="shared" si="624"/>
        <v>XTCF080D00B</v>
      </c>
      <c r="I4775" s="552"/>
      <c r="J4775" s="106" t="s">
        <v>1835</v>
      </c>
      <c r="K4775" s="566" t="s">
        <v>741</v>
      </c>
    </row>
    <row r="4776" spans="1:11" s="196" customFormat="1">
      <c r="A4776" s="106"/>
      <c r="B4776" s="570" t="s">
        <v>1894</v>
      </c>
      <c r="C4776" s="456"/>
      <c r="D4776" s="456">
        <f>0.6*760</f>
        <v>456</v>
      </c>
      <c r="E4776" s="456">
        <v>15</v>
      </c>
      <c r="F4776" s="572">
        <f t="shared" si="623"/>
        <v>471</v>
      </c>
      <c r="G4776" s="573" t="s">
        <v>5349</v>
      </c>
      <c r="H4776" s="2046" t="str">
        <f t="shared" si="624"/>
        <v>XTCF125G00B</v>
      </c>
      <c r="I4776" s="552"/>
      <c r="J4776" s="106" t="s">
        <v>1835</v>
      </c>
      <c r="K4776" s="566" t="s">
        <v>741</v>
      </c>
    </row>
    <row r="4777" spans="1:11" s="196" customFormat="1">
      <c r="A4777" s="106"/>
      <c r="B4777" s="570" t="s">
        <v>1895</v>
      </c>
      <c r="C4777" s="456"/>
      <c r="D4777" s="456">
        <f>0.6*970</f>
        <v>582</v>
      </c>
      <c r="E4777" s="456">
        <v>15</v>
      </c>
      <c r="F4777" s="572">
        <f t="shared" si="623"/>
        <v>597</v>
      </c>
      <c r="G4777" s="573" t="s">
        <v>5350</v>
      </c>
      <c r="H4777" s="2046" t="str">
        <f t="shared" si="624"/>
        <v>XTCF160G00B</v>
      </c>
      <c r="I4777" s="552"/>
      <c r="J4777" s="106" t="s">
        <v>1835</v>
      </c>
      <c r="K4777" s="566" t="s">
        <v>741</v>
      </c>
    </row>
    <row r="4778" spans="1:11" s="196" customFormat="1">
      <c r="A4778" s="106"/>
      <c r="B4778" s="570" t="s">
        <v>1896</v>
      </c>
      <c r="C4778" s="456"/>
      <c r="D4778" s="456">
        <f>0.6*1160</f>
        <v>696</v>
      </c>
      <c r="E4778" s="456">
        <v>15</v>
      </c>
      <c r="F4778" s="572">
        <f t="shared" si="623"/>
        <v>711</v>
      </c>
      <c r="G4778" s="573" t="s">
        <v>5351</v>
      </c>
      <c r="H4778" s="2046" t="str">
        <f t="shared" si="624"/>
        <v>XTCF200G00B</v>
      </c>
      <c r="I4778" s="552"/>
      <c r="J4778" s="106" t="s">
        <v>1835</v>
      </c>
      <c r="K4778" s="566" t="s">
        <v>741</v>
      </c>
    </row>
    <row r="4779" spans="1:11" s="196" customFormat="1">
      <c r="A4779" s="106"/>
      <c r="B4779" s="570"/>
      <c r="C4779" s="456"/>
      <c r="D4779" s="456"/>
      <c r="E4779" s="456"/>
      <c r="F4779" s="572"/>
      <c r="G4779" s="573"/>
      <c r="H4779" s="546"/>
      <c r="I4779" s="552"/>
      <c r="J4779" s="106"/>
      <c r="K4779" s="566"/>
    </row>
    <row r="4780" spans="1:11" s="196" customFormat="1">
      <c r="A4780" s="106"/>
      <c r="B4780" s="570"/>
      <c r="C4780" s="456"/>
      <c r="D4780" s="456"/>
      <c r="E4780" s="456"/>
      <c r="F4780" s="572"/>
      <c r="G4780" s="573"/>
      <c r="H4780" s="546"/>
      <c r="I4780" s="552"/>
      <c r="J4780" s="106"/>
      <c r="K4780" s="566"/>
    </row>
    <row r="4781" spans="1:11" s="196" customFormat="1">
      <c r="A4781" s="106"/>
      <c r="B4781" s="569"/>
      <c r="C4781" s="569"/>
      <c r="D4781" s="569"/>
      <c r="E4781" s="569"/>
      <c r="F4781" s="569"/>
      <c r="G4781" s="569"/>
      <c r="H4781" s="724"/>
      <c r="I4781" s="106"/>
      <c r="J4781" s="106"/>
      <c r="K4781" s="106"/>
    </row>
    <row r="4782" spans="1:11" s="196" customFormat="1">
      <c r="A4782" s="106"/>
      <c r="B4782" s="569"/>
      <c r="C4782" s="569"/>
      <c r="D4782" s="569"/>
      <c r="E4782" s="569"/>
      <c r="F4782" s="569"/>
      <c r="G4782" s="569"/>
      <c r="H4782" s="724"/>
      <c r="I4782" s="106"/>
      <c r="J4782" s="106"/>
      <c r="K4782" s="106"/>
    </row>
    <row r="4783" spans="1:11" s="196" customFormat="1">
      <c r="A4783" s="106"/>
      <c r="B4783" s="570" t="s">
        <v>1897</v>
      </c>
      <c r="C4783" s="456"/>
      <c r="D4783" s="456">
        <v>34</v>
      </c>
      <c r="E4783" s="456"/>
      <c r="F4783" s="572">
        <f t="shared" ref="F4783:F4790" si="625">D4783+E4783</f>
        <v>34</v>
      </c>
      <c r="G4783" s="573" t="s">
        <v>5352</v>
      </c>
      <c r="H4783" s="142">
        <v>115717</v>
      </c>
      <c r="I4783" s="552"/>
      <c r="J4783" s="106" t="s">
        <v>1835</v>
      </c>
      <c r="K4783" s="566" t="s">
        <v>741</v>
      </c>
    </row>
    <row r="4784" spans="1:11" s="196" customFormat="1">
      <c r="A4784" s="106"/>
      <c r="B4784" s="570" t="s">
        <v>1898</v>
      </c>
      <c r="C4784" s="456"/>
      <c r="D4784" s="456">
        <v>34</v>
      </c>
      <c r="E4784" s="456"/>
      <c r="F4784" s="572">
        <f t="shared" si="625"/>
        <v>34</v>
      </c>
      <c r="G4784" s="573" t="s">
        <v>5353</v>
      </c>
      <c r="H4784" s="142">
        <v>115718</v>
      </c>
      <c r="I4784" s="552"/>
      <c r="J4784" s="106" t="s">
        <v>1835</v>
      </c>
      <c r="K4784" s="566" t="s">
        <v>741</v>
      </c>
    </row>
    <row r="4785" spans="1:11" s="196" customFormat="1">
      <c r="A4785" s="106"/>
      <c r="B4785" s="570" t="s">
        <v>1899</v>
      </c>
      <c r="C4785" s="456"/>
      <c r="D4785" s="456">
        <v>34</v>
      </c>
      <c r="E4785" s="456"/>
      <c r="F4785" s="572">
        <f t="shared" si="625"/>
        <v>34</v>
      </c>
      <c r="G4785" s="573" t="s">
        <v>5354</v>
      </c>
      <c r="H4785" s="142">
        <v>115719</v>
      </c>
      <c r="I4785" s="552"/>
      <c r="J4785" s="106" t="s">
        <v>1835</v>
      </c>
      <c r="K4785" s="566" t="s">
        <v>741</v>
      </c>
    </row>
    <row r="4786" spans="1:11" s="196" customFormat="1">
      <c r="A4786" s="106"/>
      <c r="B4786" s="570" t="s">
        <v>1900</v>
      </c>
      <c r="C4786" s="456"/>
      <c r="D4786" s="456">
        <v>34</v>
      </c>
      <c r="E4786" s="456"/>
      <c r="F4786" s="572">
        <f t="shared" si="625"/>
        <v>34</v>
      </c>
      <c r="G4786" s="573" t="s">
        <v>5355</v>
      </c>
      <c r="H4786" s="142">
        <v>115720</v>
      </c>
      <c r="I4786" s="552"/>
      <c r="J4786" s="106" t="s">
        <v>1835</v>
      </c>
      <c r="K4786" s="566" t="s">
        <v>741</v>
      </c>
    </row>
    <row r="4787" spans="1:11" s="106" customFormat="1">
      <c r="B4787" s="570" t="s">
        <v>1901</v>
      </c>
      <c r="C4787" s="456"/>
      <c r="D4787" s="456">
        <v>34</v>
      </c>
      <c r="E4787" s="456"/>
      <c r="F4787" s="572">
        <f t="shared" si="625"/>
        <v>34</v>
      </c>
      <c r="G4787" s="573" t="s">
        <v>5356</v>
      </c>
      <c r="H4787" s="142">
        <v>115721</v>
      </c>
      <c r="I4787" s="552"/>
      <c r="J4787" s="106" t="s">
        <v>1835</v>
      </c>
      <c r="K4787" s="566" t="s">
        <v>741</v>
      </c>
    </row>
    <row r="4788" spans="1:11" s="106" customFormat="1">
      <c r="B4788" s="570" t="s">
        <v>1902</v>
      </c>
      <c r="C4788" s="456"/>
      <c r="D4788" s="456">
        <v>37</v>
      </c>
      <c r="E4788" s="456"/>
      <c r="F4788" s="572">
        <f t="shared" si="625"/>
        <v>37</v>
      </c>
      <c r="G4788" s="573" t="s">
        <v>5357</v>
      </c>
      <c r="H4788" s="142">
        <v>115722</v>
      </c>
      <c r="I4788" s="552"/>
      <c r="J4788" s="106" t="s">
        <v>1835</v>
      </c>
      <c r="K4788" s="566" t="s">
        <v>741</v>
      </c>
    </row>
    <row r="4789" spans="1:11" s="106" customFormat="1">
      <c r="B4789" s="570" t="s">
        <v>1903</v>
      </c>
      <c r="C4789" s="456"/>
      <c r="D4789" s="456">
        <v>63</v>
      </c>
      <c r="E4789" s="456"/>
      <c r="F4789" s="572">
        <f t="shared" si="625"/>
        <v>63</v>
      </c>
      <c r="G4789" s="573" t="s">
        <v>5358</v>
      </c>
      <c r="H4789" s="142">
        <v>115723</v>
      </c>
      <c r="I4789" s="552"/>
      <c r="J4789" s="106" t="s">
        <v>1835</v>
      </c>
      <c r="K4789" s="566" t="s">
        <v>741</v>
      </c>
    </row>
    <row r="4790" spans="1:11" s="106" customFormat="1">
      <c r="B4790" s="570" t="s">
        <v>1904</v>
      </c>
      <c r="C4790" s="456"/>
      <c r="D4790" s="456">
        <v>65</v>
      </c>
      <c r="E4790" s="456"/>
      <c r="F4790" s="572">
        <f t="shared" si="625"/>
        <v>65</v>
      </c>
      <c r="G4790" s="573" t="s">
        <v>5359</v>
      </c>
      <c r="H4790" s="142">
        <v>115724</v>
      </c>
      <c r="I4790" s="552"/>
      <c r="J4790" s="106" t="s">
        <v>1835</v>
      </c>
      <c r="K4790" s="566" t="s">
        <v>741</v>
      </c>
    </row>
    <row r="4791" spans="1:11" s="106" customFormat="1">
      <c r="B4791" s="570"/>
      <c r="C4791" s="456"/>
      <c r="D4791" s="456"/>
      <c r="E4791" s="456"/>
      <c r="F4791" s="572"/>
      <c r="G4791" s="573"/>
      <c r="H4791" s="142"/>
      <c r="I4791" s="552"/>
      <c r="K4791" s="566"/>
    </row>
    <row r="4792" spans="1:11" s="106" customFormat="1">
      <c r="B4792" s="570"/>
      <c r="C4792" s="456"/>
      <c r="D4792" s="456"/>
      <c r="E4792" s="456"/>
      <c r="F4792" s="572"/>
      <c r="G4792" s="573"/>
      <c r="H4792" s="142"/>
      <c r="I4792" s="552"/>
      <c r="K4792" s="566"/>
    </row>
    <row r="4793" spans="1:11" s="106" customFormat="1">
      <c r="B4793" s="569"/>
      <c r="C4793" s="569"/>
      <c r="D4793" s="569"/>
      <c r="E4793" s="569"/>
      <c r="F4793" s="569"/>
      <c r="G4793" s="569"/>
      <c r="H4793" s="724"/>
    </row>
    <row r="4794" spans="1:11" s="106" customFormat="1">
      <c r="B4794" s="570" t="s">
        <v>1905</v>
      </c>
      <c r="C4794" s="456"/>
      <c r="D4794" s="456">
        <v>258.7</v>
      </c>
      <c r="E4794" s="574">
        <f t="shared" ref="E4794:E4803" si="626">D4794/8</f>
        <v>32.337499999999999</v>
      </c>
      <c r="F4794" s="572">
        <f t="shared" ref="F4794:F4803" si="627">D4794+E4794</f>
        <v>291.03749999999997</v>
      </c>
      <c r="G4794" s="573" t="s">
        <v>8489</v>
      </c>
      <c r="H4794" s="142">
        <v>109512</v>
      </c>
      <c r="I4794" s="552"/>
      <c r="J4794" s="106" t="s">
        <v>1835</v>
      </c>
      <c r="K4794" s="566" t="s">
        <v>741</v>
      </c>
    </row>
    <row r="4795" spans="1:11" s="106" customFormat="1">
      <c r="B4795" s="570" t="s">
        <v>1906</v>
      </c>
      <c r="C4795" s="456"/>
      <c r="D4795" s="456">
        <v>258.7</v>
      </c>
      <c r="E4795" s="574">
        <f t="shared" si="626"/>
        <v>32.337499999999999</v>
      </c>
      <c r="F4795" s="572">
        <f t="shared" si="627"/>
        <v>291.03749999999997</v>
      </c>
      <c r="G4795" s="573" t="s">
        <v>8490</v>
      </c>
      <c r="H4795" s="142">
        <v>109513</v>
      </c>
      <c r="I4795" s="552"/>
      <c r="J4795" s="106" t="s">
        <v>1835</v>
      </c>
      <c r="K4795" s="566" t="s">
        <v>741</v>
      </c>
    </row>
    <row r="4796" spans="1:11" s="106" customFormat="1">
      <c r="B4796" s="570" t="s">
        <v>1907</v>
      </c>
      <c r="C4796" s="456"/>
      <c r="D4796" s="456">
        <v>258.7</v>
      </c>
      <c r="E4796" s="574">
        <f t="shared" si="626"/>
        <v>32.337499999999999</v>
      </c>
      <c r="F4796" s="572">
        <f t="shared" si="627"/>
        <v>291.03749999999997</v>
      </c>
      <c r="G4796" s="573" t="s">
        <v>8491</v>
      </c>
      <c r="H4796" s="142">
        <v>109514</v>
      </c>
      <c r="I4796" s="552"/>
      <c r="J4796" s="106" t="s">
        <v>1835</v>
      </c>
      <c r="K4796" s="566" t="s">
        <v>741</v>
      </c>
    </row>
    <row r="4797" spans="1:11" s="106" customFormat="1">
      <c r="B4797" s="570" t="s">
        <v>1908</v>
      </c>
      <c r="C4797" s="456"/>
      <c r="D4797" s="456">
        <v>258.7</v>
      </c>
      <c r="E4797" s="574">
        <f t="shared" si="626"/>
        <v>32.337499999999999</v>
      </c>
      <c r="F4797" s="572">
        <f t="shared" si="627"/>
        <v>291.03749999999997</v>
      </c>
      <c r="G4797" s="573" t="s">
        <v>8492</v>
      </c>
      <c r="H4797" s="142">
        <v>109515</v>
      </c>
      <c r="I4797" s="552"/>
      <c r="J4797" s="106" t="s">
        <v>1835</v>
      </c>
      <c r="K4797" s="566" t="s">
        <v>741</v>
      </c>
    </row>
    <row r="4798" spans="1:11" s="106" customFormat="1">
      <c r="B4798" s="570" t="s">
        <v>1909</v>
      </c>
      <c r="C4798" s="456"/>
      <c r="D4798" s="456">
        <v>258.7</v>
      </c>
      <c r="E4798" s="574">
        <f t="shared" si="626"/>
        <v>32.337499999999999</v>
      </c>
      <c r="F4798" s="572">
        <f t="shared" si="627"/>
        <v>291.03749999999997</v>
      </c>
      <c r="G4798" s="573" t="s">
        <v>8493</v>
      </c>
      <c r="H4798" s="142">
        <v>109516</v>
      </c>
      <c r="I4798" s="552"/>
      <c r="J4798" s="106" t="s">
        <v>1835</v>
      </c>
      <c r="K4798" s="566" t="s">
        <v>741</v>
      </c>
    </row>
    <row r="4799" spans="1:11" s="106" customFormat="1">
      <c r="B4799" s="570" t="s">
        <v>1910</v>
      </c>
      <c r="C4799" s="456"/>
      <c r="D4799" s="456">
        <v>258.7</v>
      </c>
      <c r="E4799" s="574">
        <f t="shared" si="626"/>
        <v>32.337499999999999</v>
      </c>
      <c r="F4799" s="572">
        <f t="shared" si="627"/>
        <v>291.03749999999997</v>
      </c>
      <c r="G4799" s="573" t="s">
        <v>8494</v>
      </c>
      <c r="H4799" s="142">
        <v>109517</v>
      </c>
      <c r="I4799" s="552"/>
      <c r="J4799" s="106" t="s">
        <v>1835</v>
      </c>
      <c r="K4799" s="566" t="s">
        <v>741</v>
      </c>
    </row>
    <row r="4800" spans="1:11" s="106" customFormat="1">
      <c r="B4800" s="570" t="s">
        <v>1911</v>
      </c>
      <c r="C4800" s="456"/>
      <c r="D4800" s="456">
        <v>258.7</v>
      </c>
      <c r="E4800" s="574">
        <f t="shared" si="626"/>
        <v>32.337499999999999</v>
      </c>
      <c r="F4800" s="572">
        <f t="shared" si="627"/>
        <v>291.03749999999997</v>
      </c>
      <c r="G4800" s="573" t="s">
        <v>8495</v>
      </c>
      <c r="H4800" s="142">
        <v>109518</v>
      </c>
      <c r="I4800" s="552"/>
      <c r="J4800" s="106" t="s">
        <v>1835</v>
      </c>
      <c r="K4800" s="566" t="s">
        <v>741</v>
      </c>
    </row>
    <row r="4801" spans="1:11" s="106" customFormat="1">
      <c r="B4801" s="570" t="s">
        <v>1912</v>
      </c>
      <c r="C4801" s="456"/>
      <c r="D4801" s="456">
        <v>258.7</v>
      </c>
      <c r="E4801" s="574">
        <f t="shared" si="626"/>
        <v>32.337499999999999</v>
      </c>
      <c r="F4801" s="572">
        <f t="shared" si="627"/>
        <v>291.03749999999997</v>
      </c>
      <c r="G4801" s="573" t="s">
        <v>8496</v>
      </c>
      <c r="H4801" s="142">
        <v>109519</v>
      </c>
      <c r="I4801" s="552"/>
      <c r="J4801" s="106" t="s">
        <v>1835</v>
      </c>
      <c r="K4801" s="566" t="s">
        <v>741</v>
      </c>
    </row>
    <row r="4802" spans="1:11" s="106" customFormat="1">
      <c r="B4802" s="570" t="s">
        <v>1913</v>
      </c>
      <c r="C4802" s="456"/>
      <c r="D4802" s="456">
        <v>258.7</v>
      </c>
      <c r="E4802" s="574">
        <f t="shared" si="626"/>
        <v>32.337499999999999</v>
      </c>
      <c r="F4802" s="572">
        <f t="shared" si="627"/>
        <v>291.03749999999997</v>
      </c>
      <c r="G4802" s="573" t="s">
        <v>8497</v>
      </c>
      <c r="H4802" s="142">
        <v>109520</v>
      </c>
      <c r="I4802" s="552"/>
      <c r="J4802" s="106" t="s">
        <v>1835</v>
      </c>
      <c r="K4802" s="566" t="s">
        <v>741</v>
      </c>
    </row>
    <row r="4803" spans="1:11" s="106" customFormat="1">
      <c r="B4803" s="570" t="s">
        <v>1914</v>
      </c>
      <c r="C4803" s="456"/>
      <c r="D4803" s="456">
        <v>486.3</v>
      </c>
      <c r="E4803" s="574">
        <f t="shared" si="626"/>
        <v>60.787500000000001</v>
      </c>
      <c r="F4803" s="572">
        <f t="shared" si="627"/>
        <v>547.08749999999998</v>
      </c>
      <c r="G4803" s="573" t="s">
        <v>8498</v>
      </c>
      <c r="H4803" s="142">
        <v>109521</v>
      </c>
      <c r="I4803" s="552"/>
      <c r="J4803" s="106" t="s">
        <v>1835</v>
      </c>
      <c r="K4803" s="566" t="s">
        <v>741</v>
      </c>
    </row>
    <row r="4804" spans="1:11" s="106" customFormat="1">
      <c r="B4804" s="570"/>
      <c r="C4804" s="456"/>
      <c r="D4804" s="456"/>
      <c r="E4804" s="574"/>
      <c r="F4804" s="572"/>
      <c r="G4804" s="573"/>
      <c r="H4804" s="724"/>
      <c r="I4804" s="552"/>
      <c r="K4804" s="566"/>
    </row>
    <row r="4805" spans="1:11" s="106" customFormat="1">
      <c r="A4805" s="1805"/>
      <c r="B4805" s="570" t="s">
        <v>8499</v>
      </c>
      <c r="C4805" s="537"/>
      <c r="D4805" s="537">
        <v>450</v>
      </c>
      <c r="E4805" s="574">
        <f t="shared" ref="E4805:E4815" si="628">D4805/8</f>
        <v>56.25</v>
      </c>
      <c r="F4805" s="572">
        <f>D4805+E4805</f>
        <v>506.25</v>
      </c>
      <c r="G4805" s="573" t="s">
        <v>8500</v>
      </c>
      <c r="H4805" s="146">
        <v>109591</v>
      </c>
      <c r="I4805" s="552"/>
      <c r="J4805" s="106" t="s">
        <v>1835</v>
      </c>
      <c r="K4805" s="566" t="s">
        <v>741</v>
      </c>
    </row>
    <row r="4806" spans="1:11" s="106" customFormat="1">
      <c r="A4806" s="1805"/>
      <c r="B4806" s="570" t="s">
        <v>1915</v>
      </c>
      <c r="C4806" s="537"/>
      <c r="D4806" s="537">
        <v>450</v>
      </c>
      <c r="E4806" s="574">
        <f t="shared" si="628"/>
        <v>56.25</v>
      </c>
      <c r="F4806" s="572">
        <f t="shared" ref="F4806:F4815" si="629">D4806+E4806</f>
        <v>506.25</v>
      </c>
      <c r="G4806" s="573" t="s">
        <v>8501</v>
      </c>
      <c r="H4806" s="146">
        <v>109591</v>
      </c>
      <c r="I4806" s="552"/>
      <c r="J4806" s="106" t="s">
        <v>1835</v>
      </c>
      <c r="K4806" s="566" t="s">
        <v>741</v>
      </c>
    </row>
    <row r="4807" spans="1:11" s="106" customFormat="1">
      <c r="A4807" s="1805"/>
      <c r="B4807" s="570" t="s">
        <v>8502</v>
      </c>
      <c r="C4807" s="537"/>
      <c r="D4807" s="537">
        <v>450</v>
      </c>
      <c r="E4807" s="574">
        <f t="shared" si="628"/>
        <v>56.25</v>
      </c>
      <c r="F4807" s="572">
        <f t="shared" si="629"/>
        <v>506.25</v>
      </c>
      <c r="G4807" s="573" t="s">
        <v>8503</v>
      </c>
      <c r="H4807" s="146">
        <v>109591</v>
      </c>
      <c r="I4807" s="552"/>
      <c r="J4807" s="106" t="s">
        <v>1835</v>
      </c>
      <c r="K4807" s="566" t="s">
        <v>741</v>
      </c>
    </row>
    <row r="4808" spans="1:11" s="106" customFormat="1">
      <c r="A4808" s="1805"/>
      <c r="B4808" s="570" t="s">
        <v>8504</v>
      </c>
      <c r="C4808" s="537"/>
      <c r="D4808" s="537">
        <v>450</v>
      </c>
      <c r="E4808" s="574">
        <f t="shared" si="628"/>
        <v>56.25</v>
      </c>
      <c r="F4808" s="572">
        <f t="shared" si="629"/>
        <v>506.25</v>
      </c>
      <c r="G4808" s="573" t="s">
        <v>8505</v>
      </c>
      <c r="H4808" s="146">
        <v>109591</v>
      </c>
      <c r="I4808" s="552"/>
      <c r="J4808" s="106" t="s">
        <v>1835</v>
      </c>
      <c r="K4808" s="566" t="s">
        <v>741</v>
      </c>
    </row>
    <row r="4809" spans="1:11" s="106" customFormat="1">
      <c r="A4809" s="1805"/>
      <c r="B4809" s="570" t="s">
        <v>8506</v>
      </c>
      <c r="C4809" s="537"/>
      <c r="D4809" s="537">
        <v>450</v>
      </c>
      <c r="E4809" s="574">
        <f t="shared" si="628"/>
        <v>56.25</v>
      </c>
      <c r="F4809" s="572">
        <f t="shared" si="629"/>
        <v>506.25</v>
      </c>
      <c r="G4809" s="573" t="s">
        <v>8507</v>
      </c>
      <c r="H4809" s="146">
        <v>109591</v>
      </c>
      <c r="I4809" s="552"/>
      <c r="J4809" s="106" t="s">
        <v>1835</v>
      </c>
      <c r="K4809" s="566" t="s">
        <v>741</v>
      </c>
    </row>
    <row r="4810" spans="1:11" s="106" customFormat="1">
      <c r="A4810" s="1805"/>
      <c r="B4810" s="570" t="s">
        <v>8508</v>
      </c>
      <c r="C4810" s="537"/>
      <c r="D4810" s="537">
        <v>450</v>
      </c>
      <c r="E4810" s="574">
        <f t="shared" si="628"/>
        <v>56.25</v>
      </c>
      <c r="F4810" s="572">
        <f t="shared" si="629"/>
        <v>506.25</v>
      </c>
      <c r="G4810" s="573" t="s">
        <v>8509</v>
      </c>
      <c r="H4810" s="146">
        <v>109591</v>
      </c>
      <c r="I4810" s="552"/>
      <c r="J4810" s="106" t="s">
        <v>1835</v>
      </c>
      <c r="K4810" s="566" t="s">
        <v>741</v>
      </c>
    </row>
    <row r="4811" spans="1:11" s="106" customFormat="1">
      <c r="A4811" s="1805"/>
      <c r="B4811" s="570" t="s">
        <v>1916</v>
      </c>
      <c r="C4811" s="537"/>
      <c r="D4811" s="537">
        <v>450</v>
      </c>
      <c r="E4811" s="574">
        <f t="shared" si="628"/>
        <v>56.25</v>
      </c>
      <c r="F4811" s="572">
        <f t="shared" si="629"/>
        <v>506.25</v>
      </c>
      <c r="G4811" s="573" t="s">
        <v>8510</v>
      </c>
      <c r="H4811" s="146">
        <v>109591</v>
      </c>
      <c r="I4811" s="552"/>
      <c r="J4811" s="106" t="s">
        <v>1835</v>
      </c>
      <c r="K4811" s="566" t="s">
        <v>741</v>
      </c>
    </row>
    <row r="4812" spans="1:11" s="106" customFormat="1">
      <c r="A4812" s="1805"/>
      <c r="B4812" s="570" t="s">
        <v>8511</v>
      </c>
      <c r="C4812" s="537"/>
      <c r="D4812" s="537">
        <v>450</v>
      </c>
      <c r="E4812" s="574">
        <f>D4812/8</f>
        <v>56.25</v>
      </c>
      <c r="F4812" s="572">
        <f>D4812+E4812</f>
        <v>506.25</v>
      </c>
      <c r="G4812" s="573" t="s">
        <v>8512</v>
      </c>
      <c r="H4812" s="146">
        <v>109591</v>
      </c>
      <c r="I4812" s="552"/>
      <c r="J4812" s="106" t="s">
        <v>1835</v>
      </c>
      <c r="K4812" s="566" t="s">
        <v>741</v>
      </c>
    </row>
    <row r="4813" spans="1:11" s="106" customFormat="1">
      <c r="B4813" s="570" t="s">
        <v>1917</v>
      </c>
      <c r="C4813" s="456"/>
      <c r="D4813" s="456">
        <v>516.1</v>
      </c>
      <c r="E4813" s="574">
        <f t="shared" si="628"/>
        <v>64.512500000000003</v>
      </c>
      <c r="F4813" s="572">
        <f t="shared" si="629"/>
        <v>580.61250000000007</v>
      </c>
      <c r="G4813" s="573" t="s">
        <v>8513</v>
      </c>
      <c r="H4813" s="146">
        <v>109591</v>
      </c>
      <c r="I4813" s="552"/>
      <c r="J4813" s="106" t="s">
        <v>1835</v>
      </c>
      <c r="K4813" s="566" t="s">
        <v>741</v>
      </c>
    </row>
    <row r="4814" spans="1:11" s="106" customFormat="1">
      <c r="B4814" s="570" t="s">
        <v>1918</v>
      </c>
      <c r="C4814" s="456"/>
      <c r="D4814" s="456">
        <v>516.1</v>
      </c>
      <c r="E4814" s="574">
        <f t="shared" si="628"/>
        <v>64.512500000000003</v>
      </c>
      <c r="F4814" s="572">
        <f t="shared" si="629"/>
        <v>580.61250000000007</v>
      </c>
      <c r="G4814" s="573" t="s">
        <v>8514</v>
      </c>
      <c r="H4814" s="146">
        <v>109593</v>
      </c>
      <c r="I4814" s="552"/>
      <c r="J4814" s="106" t="s">
        <v>1835</v>
      </c>
      <c r="K4814" s="566" t="s">
        <v>741</v>
      </c>
    </row>
    <row r="4815" spans="1:11" s="106" customFormat="1">
      <c r="B4815" s="570" t="s">
        <v>1919</v>
      </c>
      <c r="C4815" s="456"/>
      <c r="D4815" s="456">
        <v>516.1</v>
      </c>
      <c r="E4815" s="574">
        <f t="shared" si="628"/>
        <v>64.512500000000003</v>
      </c>
      <c r="F4815" s="572">
        <f t="shared" si="629"/>
        <v>580.61250000000007</v>
      </c>
      <c r="G4815" s="573" t="s">
        <v>8515</v>
      </c>
      <c r="H4815" s="146">
        <v>109595</v>
      </c>
      <c r="I4815" s="552"/>
      <c r="J4815" s="106" t="s">
        <v>1835</v>
      </c>
      <c r="K4815" s="566" t="s">
        <v>741</v>
      </c>
    </row>
    <row r="4816" spans="1:11" s="106" customFormat="1">
      <c r="B4816" s="570"/>
      <c r="C4816" s="456"/>
      <c r="D4816" s="456"/>
      <c r="E4816" s="574"/>
      <c r="F4816" s="572"/>
      <c r="G4816" s="573"/>
      <c r="H4816" s="724"/>
      <c r="I4816" s="552"/>
      <c r="K4816" s="566"/>
    </row>
    <row r="4817" spans="1:11" s="106" customFormat="1">
      <c r="B4817" s="570" t="s">
        <v>1920</v>
      </c>
      <c r="C4817" s="456"/>
      <c r="D4817" s="456">
        <v>816.7</v>
      </c>
      <c r="E4817" s="574">
        <f>D4817/8</f>
        <v>102.08750000000001</v>
      </c>
      <c r="F4817" s="572">
        <f>D4817+E4817</f>
        <v>918.78750000000002</v>
      </c>
      <c r="G4817" s="573" t="s">
        <v>8516</v>
      </c>
      <c r="H4817" s="146">
        <v>109633</v>
      </c>
      <c r="I4817" s="552"/>
      <c r="J4817" s="106" t="s">
        <v>1835</v>
      </c>
      <c r="K4817" s="566" t="s">
        <v>741</v>
      </c>
    </row>
    <row r="4818" spans="1:11" s="196" customFormat="1">
      <c r="A4818" s="106"/>
      <c r="B4818" s="570" t="s">
        <v>1921</v>
      </c>
      <c r="C4818" s="456"/>
      <c r="D4818" s="456">
        <v>816.7</v>
      </c>
      <c r="E4818" s="574">
        <f>D4818/8</f>
        <v>102.08750000000001</v>
      </c>
      <c r="F4818" s="572">
        <f>D4818+E4818</f>
        <v>918.78750000000002</v>
      </c>
      <c r="G4818" s="573" t="s">
        <v>8517</v>
      </c>
      <c r="H4818" s="146">
        <v>109635</v>
      </c>
      <c r="I4818" s="552"/>
      <c r="J4818" s="106" t="s">
        <v>1835</v>
      </c>
      <c r="K4818" s="566" t="s">
        <v>741</v>
      </c>
    </row>
    <row r="4819" spans="1:11" s="196" customFormat="1">
      <c r="A4819" s="106"/>
      <c r="B4819" s="570" t="s">
        <v>1922</v>
      </c>
      <c r="C4819" s="456"/>
      <c r="D4819" s="456">
        <v>875.9</v>
      </c>
      <c r="E4819" s="574">
        <f>D4819/8</f>
        <v>109.4875</v>
      </c>
      <c r="F4819" s="572">
        <f>D4819+E4819</f>
        <v>985.38749999999993</v>
      </c>
      <c r="G4819" s="573" t="s">
        <v>8518</v>
      </c>
      <c r="H4819" s="146">
        <v>109637</v>
      </c>
      <c r="I4819" s="552"/>
      <c r="J4819" s="106" t="s">
        <v>1835</v>
      </c>
      <c r="K4819" s="566" t="s">
        <v>741</v>
      </c>
    </row>
    <row r="4820" spans="1:11" s="196" customFormat="1">
      <c r="A4820" s="106"/>
      <c r="B4820" s="34" t="s">
        <v>1923</v>
      </c>
      <c r="C4820" s="456"/>
      <c r="D4820" s="456"/>
      <c r="E4820" s="574"/>
      <c r="F4820" s="572"/>
      <c r="G4820" s="573"/>
      <c r="H4820" s="146"/>
      <c r="I4820" s="552"/>
      <c r="J4820" s="106"/>
      <c r="K4820" s="566"/>
    </row>
    <row r="4821" spans="1:11" s="196" customFormat="1">
      <c r="A4821" s="106"/>
      <c r="B4821" s="570" t="s">
        <v>1924</v>
      </c>
      <c r="C4821" s="537"/>
      <c r="D4821" s="537">
        <v>1400</v>
      </c>
      <c r="E4821" s="574">
        <f t="shared" ref="E4821:E4826" si="630">D4821/8</f>
        <v>175</v>
      </c>
      <c r="F4821" s="572">
        <f t="shared" ref="F4821:F4826" si="631">D4821+E4821</f>
        <v>1575</v>
      </c>
      <c r="G4821" s="573" t="s">
        <v>8519</v>
      </c>
      <c r="H4821" s="530" t="str">
        <f>B4821</f>
        <v>LZMS3-4-VE400</v>
      </c>
      <c r="I4821" s="552"/>
      <c r="J4821" s="106" t="s">
        <v>1835</v>
      </c>
      <c r="K4821" s="566" t="s">
        <v>741</v>
      </c>
    </row>
    <row r="4822" spans="1:11" s="106" customFormat="1">
      <c r="B4822" s="570" t="s">
        <v>1925</v>
      </c>
      <c r="C4822" s="456"/>
      <c r="D4822" s="456">
        <v>1185.4000000000001</v>
      </c>
      <c r="E4822" s="574">
        <f t="shared" si="630"/>
        <v>148.17500000000001</v>
      </c>
      <c r="F4822" s="572">
        <f t="shared" si="631"/>
        <v>1333.575</v>
      </c>
      <c r="G4822" s="573" t="s">
        <v>8520</v>
      </c>
      <c r="H4822" s="530" t="str">
        <f>B4822</f>
        <v>LZMS3-4-VE630</v>
      </c>
      <c r="I4822" s="552"/>
      <c r="J4822" s="106" t="s">
        <v>1835</v>
      </c>
      <c r="K4822" s="566" t="s">
        <v>741</v>
      </c>
    </row>
    <row r="4823" spans="1:11" s="106" customFormat="1">
      <c r="B4823" s="570" t="s">
        <v>1926</v>
      </c>
      <c r="C4823" s="456"/>
      <c r="D4823" s="456">
        <v>3739.9</v>
      </c>
      <c r="E4823" s="574">
        <f t="shared" si="630"/>
        <v>467.48750000000001</v>
      </c>
      <c r="F4823" s="572">
        <f t="shared" si="631"/>
        <v>4207.3874999999998</v>
      </c>
      <c r="G4823" s="573" t="s">
        <v>8521</v>
      </c>
      <c r="H4823" s="146">
        <v>110992</v>
      </c>
      <c r="I4823" s="552"/>
      <c r="J4823" s="106" t="s">
        <v>1835</v>
      </c>
      <c r="K4823" s="566" t="s">
        <v>741</v>
      </c>
    </row>
    <row r="4824" spans="1:11" s="106" customFormat="1">
      <c r="B4824" s="570" t="s">
        <v>1927</v>
      </c>
      <c r="C4824" s="456"/>
      <c r="D4824" s="456">
        <v>3739.9</v>
      </c>
      <c r="E4824" s="574">
        <f t="shared" si="630"/>
        <v>467.48750000000001</v>
      </c>
      <c r="F4824" s="572">
        <f t="shared" si="631"/>
        <v>4207.3874999999998</v>
      </c>
      <c r="G4824" s="573" t="s">
        <v>8522</v>
      </c>
      <c r="H4824" s="146">
        <v>110994</v>
      </c>
      <c r="I4824" s="552"/>
      <c r="J4824" s="106" t="s">
        <v>1835</v>
      </c>
      <c r="K4824" s="566" t="s">
        <v>741</v>
      </c>
    </row>
    <row r="4825" spans="1:11" s="106" customFormat="1">
      <c r="B4825" s="570" t="s">
        <v>1928</v>
      </c>
      <c r="C4825" s="456"/>
      <c r="D4825" s="456">
        <v>3739.9</v>
      </c>
      <c r="E4825" s="574">
        <f t="shared" si="630"/>
        <v>467.48750000000001</v>
      </c>
      <c r="F4825" s="572">
        <f t="shared" si="631"/>
        <v>4207.3874999999998</v>
      </c>
      <c r="G4825" s="573" t="s">
        <v>8523</v>
      </c>
      <c r="H4825" s="146">
        <v>110996</v>
      </c>
      <c r="I4825" s="552"/>
      <c r="J4825" s="106" t="s">
        <v>1835</v>
      </c>
      <c r="K4825" s="566" t="s">
        <v>741</v>
      </c>
    </row>
    <row r="4826" spans="1:11" s="106" customFormat="1">
      <c r="B4826" s="570" t="s">
        <v>1929</v>
      </c>
      <c r="C4826" s="456"/>
      <c r="D4826" s="456">
        <v>3739.9</v>
      </c>
      <c r="E4826" s="574">
        <f t="shared" si="630"/>
        <v>467.48750000000001</v>
      </c>
      <c r="F4826" s="572">
        <f t="shared" si="631"/>
        <v>4207.3874999999998</v>
      </c>
      <c r="G4826" s="573" t="s">
        <v>8524</v>
      </c>
      <c r="H4826" s="146">
        <v>110998</v>
      </c>
      <c r="I4826" s="552"/>
      <c r="J4826" s="106" t="s">
        <v>1835</v>
      </c>
      <c r="K4826" s="566" t="s">
        <v>741</v>
      </c>
    </row>
    <row r="4827" spans="1:11" s="106" customFormat="1">
      <c r="B4827" s="570"/>
      <c r="C4827" s="456"/>
      <c r="D4827" s="456"/>
      <c r="E4827" s="456"/>
      <c r="F4827" s="572"/>
      <c r="G4827" s="573"/>
      <c r="H4827" s="146"/>
      <c r="I4827" s="552"/>
      <c r="K4827" s="566"/>
    </row>
    <row r="4828" spans="1:11" s="106" customFormat="1">
      <c r="B4828" s="575" t="s">
        <v>1841</v>
      </c>
      <c r="C4828" s="456"/>
      <c r="D4828" s="456"/>
      <c r="E4828" s="456"/>
      <c r="F4828" s="572"/>
      <c r="G4828" s="573"/>
      <c r="H4828" s="146"/>
      <c r="I4828" s="552"/>
      <c r="K4828" s="566"/>
    </row>
    <row r="4829" spans="1:11" s="194" customFormat="1">
      <c r="A4829" s="1806"/>
      <c r="B4829" s="576" t="s">
        <v>8525</v>
      </c>
      <c r="C4829" s="456"/>
      <c r="D4829" s="456">
        <v>36</v>
      </c>
      <c r="E4829" s="450">
        <v>5</v>
      </c>
      <c r="F4829" s="577">
        <f>D4829+E4829</f>
        <v>41</v>
      </c>
      <c r="G4829" s="443" t="s">
        <v>8526</v>
      </c>
      <c r="H4829" s="146">
        <v>266755</v>
      </c>
      <c r="I4829" s="201"/>
      <c r="J4829" s="514" t="s">
        <v>1835</v>
      </c>
      <c r="K4829" s="201" t="s">
        <v>741</v>
      </c>
    </row>
    <row r="4830" spans="1:11" s="194" customFormat="1">
      <c r="A4830" s="514"/>
      <c r="B4830" s="576" t="s">
        <v>1930</v>
      </c>
      <c r="C4830" s="456"/>
      <c r="D4830" s="456">
        <v>36</v>
      </c>
      <c r="E4830" s="450">
        <v>5</v>
      </c>
      <c r="F4830" s="577">
        <f>D4830+E4830</f>
        <v>41</v>
      </c>
      <c r="G4830" s="444" t="s">
        <v>8527</v>
      </c>
      <c r="H4830" s="146">
        <v>266755</v>
      </c>
      <c r="I4830" s="201"/>
      <c r="J4830" s="514" t="s">
        <v>1835</v>
      </c>
      <c r="K4830" s="201" t="s">
        <v>741</v>
      </c>
    </row>
    <row r="4831" spans="1:11" s="194" customFormat="1">
      <c r="A4831" s="514"/>
      <c r="B4831" s="576" t="s">
        <v>1931</v>
      </c>
      <c r="C4831" s="456"/>
      <c r="D4831" s="456">
        <v>29.6</v>
      </c>
      <c r="E4831" s="450">
        <v>5</v>
      </c>
      <c r="F4831" s="577">
        <f>D4831+E4831</f>
        <v>34.6</v>
      </c>
      <c r="G4831" s="444" t="s">
        <v>8528</v>
      </c>
      <c r="H4831" s="146">
        <v>266756</v>
      </c>
      <c r="I4831" s="201"/>
      <c r="J4831" s="514" t="s">
        <v>1835</v>
      </c>
      <c r="K4831" s="201" t="s">
        <v>741</v>
      </c>
    </row>
    <row r="4832" spans="1:11" s="194" customFormat="1">
      <c r="A4832" s="514"/>
      <c r="B4832" s="576" t="s">
        <v>1932</v>
      </c>
      <c r="C4832" s="456"/>
      <c r="D4832" s="456">
        <v>210</v>
      </c>
      <c r="E4832" s="450">
        <v>5</v>
      </c>
      <c r="F4832" s="577">
        <f>D4832+E4832</f>
        <v>215</v>
      </c>
      <c r="G4832" s="444" t="s">
        <v>8529</v>
      </c>
      <c r="H4832" s="146">
        <v>271458</v>
      </c>
      <c r="I4832" s="201"/>
      <c r="J4832" s="514" t="s">
        <v>1835</v>
      </c>
      <c r="K4832" s="201" t="s">
        <v>741</v>
      </c>
    </row>
    <row r="4833" spans="1:11" s="194" customFormat="1">
      <c r="A4833" s="514"/>
      <c r="B4833" s="576"/>
      <c r="C4833" s="456"/>
      <c r="D4833" s="456"/>
      <c r="E4833" s="578"/>
      <c r="F4833" s="577"/>
      <c r="G4833" s="444"/>
      <c r="H4833" s="146"/>
      <c r="I4833" s="201"/>
      <c r="J4833" s="514"/>
      <c r="K4833" s="201"/>
    </row>
    <row r="4834" spans="1:11" s="194" customFormat="1">
      <c r="A4834" s="514"/>
      <c r="B4834" s="576" t="s">
        <v>1933</v>
      </c>
      <c r="C4834" s="456"/>
      <c r="D4834" s="456">
        <v>102.6</v>
      </c>
      <c r="E4834" s="450">
        <v>10</v>
      </c>
      <c r="F4834" s="577">
        <f>D4834+E4834</f>
        <v>112.6</v>
      </c>
      <c r="G4834" s="444" t="s">
        <v>8530</v>
      </c>
      <c r="H4834" s="146">
        <v>266783</v>
      </c>
      <c r="I4834" s="201"/>
      <c r="J4834" s="514" t="s">
        <v>1835</v>
      </c>
      <c r="K4834" s="201" t="s">
        <v>741</v>
      </c>
    </row>
    <row r="4835" spans="1:11" s="106" customFormat="1">
      <c r="A4835" s="514"/>
      <c r="B4835" s="576" t="s">
        <v>1934</v>
      </c>
      <c r="C4835" s="456"/>
      <c r="D4835" s="456">
        <v>210</v>
      </c>
      <c r="E4835" s="450">
        <v>10</v>
      </c>
      <c r="F4835" s="577">
        <f>D4835+E4835</f>
        <v>220</v>
      </c>
      <c r="G4835" s="444" t="s">
        <v>8531</v>
      </c>
      <c r="H4835" s="146">
        <v>271460</v>
      </c>
      <c r="I4835" s="201"/>
      <c r="J4835" s="514" t="s">
        <v>1835</v>
      </c>
      <c r="K4835" s="201" t="s">
        <v>741</v>
      </c>
    </row>
    <row r="4836" spans="1:11" s="194" customFormat="1">
      <c r="A4836" s="514"/>
      <c r="B4836" s="576" t="s">
        <v>1935</v>
      </c>
      <c r="C4836" s="456"/>
      <c r="D4836" s="456">
        <v>319.2</v>
      </c>
      <c r="E4836" s="450">
        <v>10</v>
      </c>
      <c r="F4836" s="577">
        <f>D4836+E4836</f>
        <v>329.2</v>
      </c>
      <c r="G4836" s="444" t="s">
        <v>8532</v>
      </c>
      <c r="H4836" s="146">
        <v>271462</v>
      </c>
      <c r="I4836" s="201"/>
      <c r="J4836" s="514" t="s">
        <v>1835</v>
      </c>
      <c r="K4836" s="201" t="s">
        <v>741</v>
      </c>
    </row>
    <row r="4837" spans="1:11" s="194" customFormat="1">
      <c r="A4837" s="514"/>
      <c r="B4837" s="576"/>
      <c r="C4837" s="456"/>
      <c r="D4837" s="456"/>
      <c r="E4837" s="578"/>
      <c r="F4837" s="577"/>
      <c r="G4837" s="444"/>
      <c r="H4837" s="146"/>
      <c r="I4837" s="201"/>
      <c r="J4837" s="514"/>
      <c r="K4837" s="201"/>
    </row>
    <row r="4838" spans="1:11" s="194" customFormat="1">
      <c r="A4838" s="514"/>
      <c r="B4838" s="576" t="s">
        <v>1936</v>
      </c>
      <c r="C4838" s="456"/>
      <c r="D4838" s="456">
        <v>450</v>
      </c>
      <c r="E4838" s="450">
        <v>15</v>
      </c>
      <c r="F4838" s="577">
        <f>D4838+E4838</f>
        <v>465</v>
      </c>
      <c r="G4838" s="444" t="s">
        <v>8533</v>
      </c>
      <c r="H4838" s="146">
        <v>266837</v>
      </c>
      <c r="I4838" s="201"/>
      <c r="J4838" s="514" t="s">
        <v>1835</v>
      </c>
      <c r="K4838" s="201" t="s">
        <v>741</v>
      </c>
    </row>
    <row r="4839" spans="1:11" s="194" customFormat="1">
      <c r="A4839" s="106"/>
      <c r="B4839" s="575"/>
      <c r="C4839" s="456"/>
      <c r="D4839" s="456"/>
      <c r="E4839" s="456"/>
      <c r="F4839" s="572"/>
      <c r="G4839" s="573"/>
      <c r="H4839" s="146"/>
      <c r="I4839" s="552"/>
      <c r="J4839" s="106"/>
      <c r="K4839" s="566"/>
    </row>
    <row r="4840" spans="1:11" s="194" customFormat="1">
      <c r="A4840" s="106"/>
      <c r="B4840" s="575"/>
      <c r="C4840" s="456"/>
      <c r="D4840" s="456"/>
      <c r="E4840" s="456"/>
      <c r="F4840" s="572"/>
      <c r="G4840" s="573"/>
      <c r="H4840" s="146"/>
      <c r="I4840" s="552"/>
      <c r="J4840" s="106"/>
      <c r="K4840" s="566"/>
    </row>
    <row r="4841" spans="1:11" s="194" customFormat="1">
      <c r="A4841" s="106"/>
      <c r="B4841" s="575"/>
      <c r="C4841" s="456"/>
      <c r="D4841" s="456"/>
      <c r="E4841" s="456"/>
      <c r="F4841" s="572"/>
      <c r="G4841" s="573"/>
      <c r="H4841" s="146"/>
      <c r="I4841" s="552"/>
      <c r="J4841" s="106"/>
      <c r="K4841" s="566"/>
    </row>
    <row r="4842" spans="1:11" s="194" customFormat="1">
      <c r="A4842" s="106"/>
      <c r="B4842" s="570"/>
      <c r="C4842" s="456"/>
      <c r="D4842" s="456"/>
      <c r="E4842" s="456"/>
      <c r="F4842" s="572"/>
      <c r="G4842" s="573"/>
      <c r="H4842" s="146"/>
      <c r="I4842" s="552"/>
      <c r="J4842" s="106"/>
      <c r="K4842" s="566"/>
    </row>
    <row r="4843" spans="1:11" s="194" customFormat="1">
      <c r="A4843" s="419"/>
      <c r="B4843" s="570"/>
      <c r="C4843" s="456"/>
      <c r="D4843" s="456"/>
      <c r="E4843" s="456"/>
      <c r="F4843" s="572"/>
      <c r="G4843" s="573"/>
      <c r="H4843" s="146"/>
      <c r="I4843" s="552"/>
      <c r="J4843" s="419"/>
      <c r="K4843" s="566"/>
    </row>
    <row r="4844" spans="1:11" s="194" customFormat="1">
      <c r="A4844" s="106"/>
      <c r="B4844" s="570" t="s">
        <v>2612</v>
      </c>
      <c r="C4844" s="456"/>
      <c r="D4844" s="456">
        <f>1.01*31790/2</f>
        <v>16053.95</v>
      </c>
      <c r="E4844" s="579">
        <f>400+80</f>
        <v>480</v>
      </c>
      <c r="F4844" s="572">
        <f>D4844+E4844</f>
        <v>16533.95</v>
      </c>
      <c r="G4844" s="573" t="s">
        <v>2613</v>
      </c>
      <c r="H4844" s="530" t="str">
        <f>B4844</f>
        <v>Magnum(MWN)-extraib_800A_4p_LSIA + enc</v>
      </c>
      <c r="I4844" s="546"/>
      <c r="J4844" s="106" t="s">
        <v>1835</v>
      </c>
      <c r="K4844" s="566" t="s">
        <v>741</v>
      </c>
    </row>
    <row r="4845" spans="1:11" s="194" customFormat="1">
      <c r="A4845" s="106"/>
      <c r="B4845" s="570" t="s">
        <v>2616</v>
      </c>
      <c r="C4845" s="456"/>
      <c r="D4845" s="456">
        <f>1.01*28113/2</f>
        <v>14197.065000000001</v>
      </c>
      <c r="E4845" s="579">
        <f>400+80</f>
        <v>480</v>
      </c>
      <c r="F4845" s="572">
        <f>D4845+E4845</f>
        <v>14677.065000000001</v>
      </c>
      <c r="G4845" s="573" t="s">
        <v>2617</v>
      </c>
      <c r="H4845" s="530" t="str">
        <f>B4845</f>
        <v>Magnum(MWN)-extraib_1250A_3p_LSIA + enc</v>
      </c>
      <c r="I4845" s="765"/>
      <c r="J4845" s="106" t="s">
        <v>1835</v>
      </c>
      <c r="K4845" s="566" t="s">
        <v>741</v>
      </c>
    </row>
    <row r="4846" spans="1:11" s="194" customFormat="1">
      <c r="A4846" s="106"/>
      <c r="B4846" s="570" t="s">
        <v>2614</v>
      </c>
      <c r="C4846" s="456"/>
      <c r="D4846" s="456">
        <f>1.01*28113/2</f>
        <v>14197.065000000001</v>
      </c>
      <c r="E4846" s="579">
        <f>400+100</f>
        <v>500</v>
      </c>
      <c r="F4846" s="572">
        <f>D4846+E4846</f>
        <v>14697.065000000001</v>
      </c>
      <c r="G4846" s="573" t="s">
        <v>2615</v>
      </c>
      <c r="H4846" s="530" t="str">
        <f>B4846</f>
        <v>Magnum(MWN)-extraib_2000A_3p_LSIA + enc</v>
      </c>
      <c r="I4846" s="765"/>
      <c r="J4846" s="106" t="s">
        <v>1835</v>
      </c>
      <c r="K4846" s="566" t="s">
        <v>741</v>
      </c>
    </row>
    <row r="4847" spans="1:11" s="194" customFormat="1">
      <c r="A4847" s="419"/>
      <c r="B4847" s="570"/>
      <c r="C4847" s="456"/>
      <c r="D4847" s="456"/>
      <c r="E4847" s="456"/>
      <c r="F4847" s="572"/>
      <c r="G4847" s="573"/>
      <c r="H4847" s="146"/>
      <c r="I4847" s="552"/>
      <c r="J4847" s="419"/>
      <c r="K4847" s="566"/>
    </row>
    <row r="4848" spans="1:11" s="194" customFormat="1">
      <c r="A4848" s="1807"/>
      <c r="B4848" s="570"/>
      <c r="C4848" s="456"/>
      <c r="D4848" s="456"/>
      <c r="E4848" s="456"/>
      <c r="F4848" s="572"/>
      <c r="G4848" s="573"/>
      <c r="H4848" s="146"/>
      <c r="I4848" s="552"/>
      <c r="J4848" s="419"/>
      <c r="K4848" s="566"/>
    </row>
    <row r="4849" spans="1:11" s="194" customFormat="1">
      <c r="A4849" s="1808"/>
      <c r="B4849" s="1809" t="s">
        <v>8534</v>
      </c>
      <c r="C4849" s="1769"/>
      <c r="D4849" s="1769">
        <v>16465.41</v>
      </c>
      <c r="E4849" s="579">
        <f t="shared" ref="E4849:E4867" si="632">400+80</f>
        <v>480</v>
      </c>
      <c r="F4849" s="572">
        <f t="shared" ref="F4849:F4867" si="633">D4849+E4849</f>
        <v>16945.41</v>
      </c>
      <c r="G4849" s="573" t="s">
        <v>8535</v>
      </c>
      <c r="H4849" s="530" t="str">
        <f t="shared" ref="H4849:H4867" si="634">B4849</f>
        <v>Magnum(MWN)-extraib_2000A_3p_65kA_LSI + bloq mec + motor</v>
      </c>
      <c r="I4849" s="765"/>
      <c r="J4849" s="106" t="s">
        <v>1835</v>
      </c>
      <c r="K4849" s="566" t="s">
        <v>741</v>
      </c>
    </row>
    <row r="4850" spans="1:11" s="194" customFormat="1">
      <c r="A4850" s="1808"/>
      <c r="B4850" s="1809" t="s">
        <v>8536</v>
      </c>
      <c r="C4850" s="1769"/>
      <c r="D4850" s="1769">
        <v>11567.98</v>
      </c>
      <c r="E4850" s="579">
        <f t="shared" si="632"/>
        <v>480</v>
      </c>
      <c r="F4850" s="572">
        <f t="shared" si="633"/>
        <v>12047.98</v>
      </c>
      <c r="G4850" s="573" t="s">
        <v>8537</v>
      </c>
      <c r="H4850" s="530" t="str">
        <f t="shared" si="634"/>
        <v>Magnum(MWN)-extraib_1000A_3p_65kA_LSI + bloq mec + motor</v>
      </c>
      <c r="I4850" s="765"/>
      <c r="J4850" s="106" t="s">
        <v>1835</v>
      </c>
      <c r="K4850" s="566" t="s">
        <v>741</v>
      </c>
    </row>
    <row r="4851" spans="1:11" s="194" customFormat="1">
      <c r="A4851" s="1808"/>
      <c r="B4851" s="1809" t="s">
        <v>8538</v>
      </c>
      <c r="C4851" s="1769"/>
      <c r="D4851" s="1769">
        <v>11567.98</v>
      </c>
      <c r="E4851" s="579">
        <f t="shared" si="632"/>
        <v>480</v>
      </c>
      <c r="F4851" s="572">
        <f t="shared" si="633"/>
        <v>12047.98</v>
      </c>
      <c r="G4851" s="573" t="s">
        <v>8539</v>
      </c>
      <c r="H4851" s="530" t="str">
        <f t="shared" si="634"/>
        <v>Magnum(MWN)-extraib_800A_3p_65kA_LSI + bloq mec + motor</v>
      </c>
      <c r="I4851" s="765"/>
      <c r="J4851" s="106" t="s">
        <v>1835</v>
      </c>
      <c r="K4851" s="566" t="s">
        <v>741</v>
      </c>
    </row>
    <row r="4852" spans="1:11" s="194" customFormat="1">
      <c r="A4852" s="1808"/>
      <c r="B4852" s="1809" t="s">
        <v>8540</v>
      </c>
      <c r="C4852" s="1769"/>
      <c r="D4852" s="1769">
        <v>11567.98</v>
      </c>
      <c r="E4852" s="579">
        <f t="shared" si="632"/>
        <v>480</v>
      </c>
      <c r="F4852" s="572">
        <f t="shared" si="633"/>
        <v>12047.98</v>
      </c>
      <c r="G4852" s="573" t="s">
        <v>8541</v>
      </c>
      <c r="H4852" s="530" t="str">
        <f t="shared" si="634"/>
        <v>Magnum(MWN)-extraib_630A_3p_65kA_LSI + bloq mec + motor</v>
      </c>
      <c r="I4852" s="765"/>
      <c r="J4852" s="106" t="s">
        <v>1835</v>
      </c>
      <c r="K4852" s="566" t="s">
        <v>741</v>
      </c>
    </row>
    <row r="4853" spans="1:11" s="194" customFormat="1">
      <c r="A4853" s="1808"/>
      <c r="B4853" s="1809" t="s">
        <v>8542</v>
      </c>
      <c r="C4853" s="1769"/>
      <c r="D4853" s="1769">
        <v>11567.98</v>
      </c>
      <c r="E4853" s="579">
        <f t="shared" si="632"/>
        <v>480</v>
      </c>
      <c r="F4853" s="572">
        <f t="shared" si="633"/>
        <v>12047.98</v>
      </c>
      <c r="G4853" s="573" t="s">
        <v>8543</v>
      </c>
      <c r="H4853" s="530" t="str">
        <f t="shared" si="634"/>
        <v>Magnum(MWN)-extraib_500A_3p_65kA_LSI + bloq mec + motor</v>
      </c>
      <c r="I4853" s="765"/>
      <c r="J4853" s="106" t="s">
        <v>1835</v>
      </c>
      <c r="K4853" s="566" t="s">
        <v>741</v>
      </c>
    </row>
    <row r="4854" spans="1:11" s="194" customFormat="1">
      <c r="A4854" s="1808"/>
      <c r="B4854" s="1810" t="s">
        <v>8544</v>
      </c>
      <c r="C4854" s="1688"/>
      <c r="D4854" s="1688">
        <v>15346.8</v>
      </c>
      <c r="E4854" s="579">
        <f t="shared" si="632"/>
        <v>480</v>
      </c>
      <c r="F4854" s="572">
        <f t="shared" si="633"/>
        <v>15826.8</v>
      </c>
      <c r="G4854" s="573" t="s">
        <v>8545</v>
      </c>
      <c r="H4854" s="530" t="str">
        <f t="shared" si="634"/>
        <v>Magnum(MWN)-extraib_1250A_3p_50kA_LSI + bloq mec + motor</v>
      </c>
      <c r="I4854" s="765"/>
      <c r="J4854" s="106" t="s">
        <v>1835</v>
      </c>
      <c r="K4854" s="566" t="s">
        <v>741</v>
      </c>
    </row>
    <row r="4855" spans="1:11" s="194" customFormat="1">
      <c r="A4855" s="1808"/>
      <c r="B4855" s="1810" t="s">
        <v>8546</v>
      </c>
      <c r="C4855" s="1688"/>
      <c r="D4855" s="1688">
        <v>13819.84</v>
      </c>
      <c r="E4855" s="579">
        <f t="shared" si="632"/>
        <v>480</v>
      </c>
      <c r="F4855" s="572">
        <f t="shared" si="633"/>
        <v>14299.84</v>
      </c>
      <c r="G4855" s="573" t="s">
        <v>8547</v>
      </c>
      <c r="H4855" s="530" t="str">
        <f t="shared" si="634"/>
        <v>Magnum(MWN)-extraib_1250A_3p_50kA_LSI + motor</v>
      </c>
      <c r="I4855" s="765"/>
      <c r="J4855" s="106" t="s">
        <v>1835</v>
      </c>
      <c r="K4855" s="566" t="s">
        <v>741</v>
      </c>
    </row>
    <row r="4856" spans="1:11" s="194" customFormat="1">
      <c r="A4856" s="1808"/>
      <c r="B4856" s="1810" t="s">
        <v>8548</v>
      </c>
      <c r="C4856" s="1688"/>
      <c r="D4856" s="1688">
        <v>11967.24</v>
      </c>
      <c r="E4856" s="579">
        <f t="shared" si="632"/>
        <v>480</v>
      </c>
      <c r="F4856" s="572">
        <f t="shared" si="633"/>
        <v>12447.24</v>
      </c>
      <c r="G4856" s="573" t="s">
        <v>8549</v>
      </c>
      <c r="H4856" s="530" t="str">
        <f t="shared" si="634"/>
        <v>Magnum(MWN)-extraib_1000A_3p_50kA_LSI + bloq mec + motor</v>
      </c>
      <c r="I4856" s="765"/>
      <c r="J4856" s="106" t="s">
        <v>1835</v>
      </c>
      <c r="K4856" s="566" t="s">
        <v>741</v>
      </c>
    </row>
    <row r="4857" spans="1:11" s="194" customFormat="1">
      <c r="A4857" s="1808"/>
      <c r="B4857" s="1810" t="s">
        <v>8550</v>
      </c>
      <c r="C4857" s="1688"/>
      <c r="D4857" s="1688">
        <v>11967.24</v>
      </c>
      <c r="E4857" s="579">
        <f t="shared" si="632"/>
        <v>480</v>
      </c>
      <c r="F4857" s="572">
        <f t="shared" si="633"/>
        <v>12447.24</v>
      </c>
      <c r="G4857" s="573" t="s">
        <v>8551</v>
      </c>
      <c r="H4857" s="530" t="str">
        <f t="shared" si="634"/>
        <v>Magnum(MWN)-extraib_800A_3p_50kA_LSI + bloq mec + motor</v>
      </c>
      <c r="I4857" s="765"/>
      <c r="J4857" s="106" t="s">
        <v>1835</v>
      </c>
      <c r="K4857" s="566" t="s">
        <v>741</v>
      </c>
    </row>
    <row r="4858" spans="1:11" s="194" customFormat="1">
      <c r="A4858" s="1808"/>
      <c r="B4858" s="1810" t="s">
        <v>8552</v>
      </c>
      <c r="C4858" s="1688"/>
      <c r="D4858" s="1688">
        <v>11967.24</v>
      </c>
      <c r="E4858" s="579">
        <f t="shared" si="632"/>
        <v>480</v>
      </c>
      <c r="F4858" s="572">
        <f t="shared" si="633"/>
        <v>12447.24</v>
      </c>
      <c r="G4858" s="573" t="s">
        <v>8553</v>
      </c>
      <c r="H4858" s="530" t="str">
        <f t="shared" si="634"/>
        <v>Magnum(MWN)-extraib_630A_3p_50kA_LSI + bloq mec + motor</v>
      </c>
      <c r="I4858" s="765"/>
      <c r="J4858" s="106" t="s">
        <v>1835</v>
      </c>
      <c r="K4858" s="566" t="s">
        <v>741</v>
      </c>
    </row>
    <row r="4859" spans="1:11" s="194" customFormat="1">
      <c r="A4859" s="1808"/>
      <c r="B4859" s="1810" t="s">
        <v>8554</v>
      </c>
      <c r="C4859" s="1688"/>
      <c r="D4859" s="1688">
        <v>11967.24</v>
      </c>
      <c r="E4859" s="579">
        <f t="shared" si="632"/>
        <v>480</v>
      </c>
      <c r="F4859" s="572">
        <f t="shared" si="633"/>
        <v>12447.24</v>
      </c>
      <c r="G4859" s="573" t="s">
        <v>8555</v>
      </c>
      <c r="H4859" s="530" t="str">
        <f t="shared" si="634"/>
        <v>Magnum(MWN)-extraib_500A_3p_50kA_LSI + bloq mec + motor</v>
      </c>
      <c r="I4859" s="765"/>
      <c r="J4859" s="106" t="s">
        <v>1835</v>
      </c>
      <c r="K4859" s="566" t="s">
        <v>741</v>
      </c>
    </row>
    <row r="4860" spans="1:11" s="194" customFormat="1">
      <c r="A4860" s="1808"/>
      <c r="B4860" s="1811" t="s">
        <v>8556</v>
      </c>
      <c r="C4860" s="1812"/>
      <c r="D4860" s="1812">
        <v>7497.98</v>
      </c>
      <c r="E4860" s="579">
        <f t="shared" si="632"/>
        <v>480</v>
      </c>
      <c r="F4860" s="572">
        <f t="shared" si="633"/>
        <v>7977.98</v>
      </c>
      <c r="G4860" s="573" t="s">
        <v>8557</v>
      </c>
      <c r="H4860" s="530" t="str">
        <f t="shared" si="634"/>
        <v>Magnum(MWN)-extraib_1000A_3p_50kA_LSI</v>
      </c>
      <c r="I4860" s="765"/>
      <c r="J4860" s="106" t="s">
        <v>1835</v>
      </c>
      <c r="K4860" s="566" t="s">
        <v>741</v>
      </c>
    </row>
    <row r="4861" spans="1:11" s="194" customFormat="1">
      <c r="A4861" s="1808"/>
      <c r="B4861" s="1811" t="s">
        <v>8558</v>
      </c>
      <c r="C4861" s="1812"/>
      <c r="D4861" s="1812">
        <v>7497.98</v>
      </c>
      <c r="E4861" s="579">
        <f t="shared" si="632"/>
        <v>480</v>
      </c>
      <c r="F4861" s="572">
        <f t="shared" si="633"/>
        <v>7977.98</v>
      </c>
      <c r="G4861" s="573" t="s">
        <v>8559</v>
      </c>
      <c r="H4861" s="530" t="str">
        <f t="shared" si="634"/>
        <v>Magnum(MWN)-extraib_800A_3p_50kA_LSI</v>
      </c>
      <c r="I4861" s="765"/>
      <c r="J4861" s="106" t="s">
        <v>1835</v>
      </c>
      <c r="K4861" s="566" t="s">
        <v>741</v>
      </c>
    </row>
    <row r="4862" spans="1:11" s="194" customFormat="1">
      <c r="A4862" s="1808"/>
      <c r="B4862" s="1811" t="s">
        <v>8560</v>
      </c>
      <c r="C4862" s="1812"/>
      <c r="D4862" s="1812">
        <v>7497.98</v>
      </c>
      <c r="E4862" s="579">
        <f t="shared" si="632"/>
        <v>480</v>
      </c>
      <c r="F4862" s="572">
        <f t="shared" si="633"/>
        <v>7977.98</v>
      </c>
      <c r="G4862" s="573" t="s">
        <v>8561</v>
      </c>
      <c r="H4862" s="530" t="str">
        <f t="shared" si="634"/>
        <v>Magnum(MWN)-extraib_630A_3p_50kA_LSI</v>
      </c>
      <c r="I4862" s="765"/>
      <c r="J4862" s="106" t="s">
        <v>1835</v>
      </c>
      <c r="K4862" s="566" t="s">
        <v>741</v>
      </c>
    </row>
    <row r="4863" spans="1:11" s="194" customFormat="1">
      <c r="A4863" s="1808"/>
      <c r="B4863" s="1811" t="s">
        <v>8562</v>
      </c>
      <c r="C4863" s="1812"/>
      <c r="D4863" s="1812">
        <v>7497.98</v>
      </c>
      <c r="E4863" s="579">
        <f t="shared" si="632"/>
        <v>480</v>
      </c>
      <c r="F4863" s="572">
        <f t="shared" si="633"/>
        <v>7977.98</v>
      </c>
      <c r="G4863" s="573" t="s">
        <v>8563</v>
      </c>
      <c r="H4863" s="530" t="str">
        <f t="shared" si="634"/>
        <v>Magnum(MWN)-extraib_500A_3p_50kA_LSI</v>
      </c>
      <c r="I4863" s="765"/>
      <c r="J4863" s="106" t="s">
        <v>1835</v>
      </c>
      <c r="K4863" s="566" t="s">
        <v>741</v>
      </c>
    </row>
    <row r="4864" spans="1:11" s="194" customFormat="1">
      <c r="A4864" s="1808"/>
      <c r="B4864" s="1809" t="s">
        <v>8564</v>
      </c>
      <c r="C4864" s="1769"/>
      <c r="D4864" s="1769">
        <v>7320.8</v>
      </c>
      <c r="E4864" s="579">
        <f t="shared" si="632"/>
        <v>480</v>
      </c>
      <c r="F4864" s="572">
        <f t="shared" si="633"/>
        <v>7800.8</v>
      </c>
      <c r="G4864" s="573" t="s">
        <v>8565</v>
      </c>
      <c r="H4864" s="530" t="str">
        <f t="shared" si="634"/>
        <v>Magnum(MWN)-extraib_1000A_3p_40kA_LSI</v>
      </c>
      <c r="I4864" s="765"/>
      <c r="J4864" s="106" t="s">
        <v>1835</v>
      </c>
      <c r="K4864" s="566" t="s">
        <v>741</v>
      </c>
    </row>
    <row r="4865" spans="1:11" s="194" customFormat="1">
      <c r="A4865" s="1808"/>
      <c r="B4865" s="1809" t="s">
        <v>8566</v>
      </c>
      <c r="C4865" s="1769"/>
      <c r="D4865" s="1769">
        <v>7320.8</v>
      </c>
      <c r="E4865" s="579">
        <f t="shared" si="632"/>
        <v>480</v>
      </c>
      <c r="F4865" s="572">
        <f t="shared" si="633"/>
        <v>7800.8</v>
      </c>
      <c r="G4865" s="573" t="s">
        <v>8567</v>
      </c>
      <c r="H4865" s="530" t="str">
        <f t="shared" si="634"/>
        <v>Magnum(MWN)-extraib_800A_3p_40kA_LSI</v>
      </c>
      <c r="I4865" s="765"/>
      <c r="J4865" s="106" t="s">
        <v>1835</v>
      </c>
      <c r="K4865" s="566" t="s">
        <v>741</v>
      </c>
    </row>
    <row r="4866" spans="1:11" s="194" customFormat="1">
      <c r="A4866" s="1808"/>
      <c r="B4866" s="1809" t="s">
        <v>8568</v>
      </c>
      <c r="C4866" s="1769"/>
      <c r="D4866" s="1769">
        <v>7320.8</v>
      </c>
      <c r="E4866" s="579">
        <f t="shared" si="632"/>
        <v>480</v>
      </c>
      <c r="F4866" s="572">
        <f t="shared" si="633"/>
        <v>7800.8</v>
      </c>
      <c r="G4866" s="573" t="s">
        <v>8569</v>
      </c>
      <c r="H4866" s="530" t="str">
        <f t="shared" si="634"/>
        <v>Magnum(MWN)-extraib_630A_3p_40kA_LSI</v>
      </c>
      <c r="I4866" s="765"/>
      <c r="J4866" s="106" t="s">
        <v>1835</v>
      </c>
      <c r="K4866" s="566" t="s">
        <v>741</v>
      </c>
    </row>
    <row r="4867" spans="1:11" s="194" customFormat="1">
      <c r="A4867" s="1808"/>
      <c r="B4867" s="1809" t="s">
        <v>8570</v>
      </c>
      <c r="C4867" s="1769"/>
      <c r="D4867" s="1769">
        <v>7320.8</v>
      </c>
      <c r="E4867" s="579">
        <f t="shared" si="632"/>
        <v>480</v>
      </c>
      <c r="F4867" s="572">
        <f t="shared" si="633"/>
        <v>7800.8</v>
      </c>
      <c r="G4867" s="573" t="s">
        <v>8571</v>
      </c>
      <c r="H4867" s="530" t="str">
        <f t="shared" si="634"/>
        <v>Magnum(MWN)-extraib_500A_3p_40kA_LSI</v>
      </c>
      <c r="I4867" s="765"/>
      <c r="J4867" s="106" t="s">
        <v>1835</v>
      </c>
      <c r="K4867" s="566" t="s">
        <v>741</v>
      </c>
    </row>
    <row r="4868" spans="1:11" s="194" customFormat="1">
      <c r="A4868" s="954"/>
      <c r="B4868" s="570"/>
      <c r="C4868" s="456"/>
      <c r="D4868" s="456"/>
      <c r="E4868" s="579"/>
      <c r="F4868" s="572"/>
      <c r="G4868" s="573"/>
      <c r="H4868" s="530"/>
      <c r="I4868" s="765"/>
      <c r="J4868" s="106"/>
      <c r="K4868" s="566"/>
    </row>
    <row r="4869" spans="1:11" s="194" customFormat="1">
      <c r="A4869" s="1807"/>
      <c r="B4869" s="570"/>
      <c r="C4869" s="456"/>
      <c r="D4869" s="456"/>
      <c r="E4869" s="456"/>
      <c r="F4869" s="572"/>
      <c r="G4869" s="573"/>
      <c r="H4869" s="146"/>
      <c r="I4869" s="552"/>
      <c r="J4869" s="419"/>
      <c r="K4869" s="566"/>
    </row>
    <row r="4870" spans="1:11" s="194" customFormat="1">
      <c r="A4870" s="1808"/>
      <c r="B4870" s="1809" t="s">
        <v>8572</v>
      </c>
      <c r="C4870" s="1769"/>
      <c r="D4870" s="1769">
        <v>19034.66</v>
      </c>
      <c r="E4870" s="579">
        <f t="shared" ref="E4870:E4878" si="635">400+80</f>
        <v>480</v>
      </c>
      <c r="F4870" s="572">
        <f t="shared" ref="F4870:F4875" si="636">D4870+E4870</f>
        <v>19514.66</v>
      </c>
      <c r="G4870" s="573" t="s">
        <v>8573</v>
      </c>
      <c r="H4870" s="530" t="str">
        <f t="shared" ref="H4870:H4875" si="637">B4870</f>
        <v>Magnum(MWN)-extraib_2000A_3p_65kA_LSIG + bloq mec + motor</v>
      </c>
      <c r="I4870" s="765"/>
      <c r="J4870" s="106" t="s">
        <v>1835</v>
      </c>
      <c r="K4870" s="566" t="s">
        <v>741</v>
      </c>
    </row>
    <row r="4871" spans="1:11" s="194" customFormat="1">
      <c r="A4871" s="1808"/>
      <c r="B4871" s="1809" t="s">
        <v>8574</v>
      </c>
      <c r="C4871" s="1769"/>
      <c r="D4871" s="1769">
        <v>17424.62</v>
      </c>
      <c r="E4871" s="579">
        <f t="shared" si="635"/>
        <v>480</v>
      </c>
      <c r="F4871" s="572">
        <f t="shared" si="636"/>
        <v>17904.62</v>
      </c>
      <c r="G4871" s="573" t="s">
        <v>8575</v>
      </c>
      <c r="H4871" s="530" t="str">
        <f t="shared" si="637"/>
        <v>Magnum(MWN)-extraib_1250A_3p_50kA_LSIG + bloq mec + motor</v>
      </c>
      <c r="I4871" s="765"/>
      <c r="J4871" s="106" t="s">
        <v>1835</v>
      </c>
      <c r="K4871" s="566" t="s">
        <v>741</v>
      </c>
    </row>
    <row r="4872" spans="1:11" s="194" customFormat="1">
      <c r="A4872" s="1808"/>
      <c r="B4872" s="1809" t="s">
        <v>8576</v>
      </c>
      <c r="C4872" s="1769"/>
      <c r="D4872" s="1769">
        <v>12843.73</v>
      </c>
      <c r="E4872" s="579">
        <f t="shared" si="635"/>
        <v>480</v>
      </c>
      <c r="F4872" s="572">
        <f t="shared" si="636"/>
        <v>13323.73</v>
      </c>
      <c r="G4872" s="573" t="s">
        <v>8577</v>
      </c>
      <c r="H4872" s="530" t="str">
        <f t="shared" si="637"/>
        <v>Magnum(MWN)-extraib_1250A_3p_50kA_LSIG + motor</v>
      </c>
      <c r="I4872" s="765"/>
      <c r="J4872" s="106" t="s">
        <v>1835</v>
      </c>
      <c r="K4872" s="566" t="s">
        <v>741</v>
      </c>
    </row>
    <row r="4873" spans="1:11" s="194" customFormat="1">
      <c r="A4873" s="1808"/>
      <c r="B4873" s="1809" t="s">
        <v>8578</v>
      </c>
      <c r="C4873" s="1769"/>
      <c r="D4873" s="1769">
        <v>12938.23</v>
      </c>
      <c r="E4873" s="579">
        <f t="shared" si="635"/>
        <v>480</v>
      </c>
      <c r="F4873" s="572">
        <f t="shared" si="636"/>
        <v>13418.23</v>
      </c>
      <c r="G4873" s="573" t="s">
        <v>8579</v>
      </c>
      <c r="H4873" s="530" t="str">
        <f t="shared" si="637"/>
        <v>Magnum(MWN)-extraib_1000A_3p_65kA_LSIG + bloq mec + motor</v>
      </c>
      <c r="I4873" s="765"/>
      <c r="J4873" s="106" t="s">
        <v>1835</v>
      </c>
      <c r="K4873" s="566" t="s">
        <v>741</v>
      </c>
    </row>
    <row r="4874" spans="1:11" s="194" customFormat="1">
      <c r="A4874" s="1808"/>
      <c r="B4874" s="1809" t="s">
        <v>8580</v>
      </c>
      <c r="C4874" s="1769"/>
      <c r="D4874" s="1769">
        <v>8314.23</v>
      </c>
      <c r="E4874" s="579">
        <f t="shared" si="635"/>
        <v>480</v>
      </c>
      <c r="F4874" s="572">
        <f t="shared" si="636"/>
        <v>8794.23</v>
      </c>
      <c r="G4874" s="573" t="s">
        <v>8581</v>
      </c>
      <c r="H4874" s="530" t="str">
        <f t="shared" si="637"/>
        <v>Magnum(MWN)-extraib_630A_3p_50kA_LSIG</v>
      </c>
      <c r="I4874" s="765"/>
      <c r="J4874" s="106" t="s">
        <v>1835</v>
      </c>
      <c r="K4874" s="566" t="s">
        <v>741</v>
      </c>
    </row>
    <row r="4875" spans="1:11" s="194" customFormat="1">
      <c r="A4875" s="1808"/>
      <c r="B4875" s="1809" t="s">
        <v>8582</v>
      </c>
      <c r="C4875" s="1769"/>
      <c r="D4875" s="1769">
        <v>10121.540000000001</v>
      </c>
      <c r="E4875" s="579">
        <f t="shared" si="635"/>
        <v>480</v>
      </c>
      <c r="F4875" s="572">
        <f t="shared" si="636"/>
        <v>10601.54</v>
      </c>
      <c r="G4875" s="573" t="s">
        <v>8583</v>
      </c>
      <c r="H4875" s="530" t="str">
        <f t="shared" si="637"/>
        <v>Magnum(MWN)-extraib_500A_3p_40kA_LSIG + bloq mec + motor</v>
      </c>
      <c r="I4875" s="765"/>
      <c r="J4875" s="106" t="s">
        <v>1835</v>
      </c>
      <c r="K4875" s="566" t="s">
        <v>741</v>
      </c>
    </row>
    <row r="4876" spans="1:11" s="194" customFormat="1">
      <c r="A4876" s="1808"/>
      <c r="B4876" s="1809"/>
      <c r="C4876" s="1769"/>
      <c r="D4876" s="1769"/>
      <c r="E4876" s="579"/>
      <c r="F4876" s="572"/>
      <c r="G4876" s="573"/>
      <c r="H4876" s="530"/>
      <c r="I4876" s="765"/>
      <c r="J4876" s="106"/>
      <c r="K4876" s="566"/>
    </row>
    <row r="4877" spans="1:11" s="194" customFormat="1">
      <c r="A4877" s="1808"/>
      <c r="B4877" s="1809" t="s">
        <v>8584</v>
      </c>
      <c r="C4877" s="1769"/>
      <c r="D4877" s="1769">
        <v>8496.14</v>
      </c>
      <c r="E4877" s="579">
        <f t="shared" si="635"/>
        <v>480</v>
      </c>
      <c r="F4877" s="572">
        <f>D4877+E4877</f>
        <v>8976.14</v>
      </c>
      <c r="G4877" s="573" t="s">
        <v>8585</v>
      </c>
      <c r="H4877" s="530" t="str">
        <f>B4877</f>
        <v>Magnum(MWN)-extraib_1000A_3p_40kA_LSIG</v>
      </c>
      <c r="I4877" s="765"/>
      <c r="J4877" s="106" t="s">
        <v>1835</v>
      </c>
      <c r="K4877" s="566" t="s">
        <v>741</v>
      </c>
    </row>
    <row r="4878" spans="1:11" s="194" customFormat="1">
      <c r="A4878" s="1808"/>
      <c r="B4878" s="1809" t="s">
        <v>8586</v>
      </c>
      <c r="C4878" s="1769"/>
      <c r="D4878" s="1769">
        <v>8196.1</v>
      </c>
      <c r="E4878" s="579">
        <f t="shared" si="635"/>
        <v>480</v>
      </c>
      <c r="F4878" s="572">
        <f>D4878+E4878</f>
        <v>8676.1</v>
      </c>
      <c r="G4878" s="573" t="s">
        <v>8587</v>
      </c>
      <c r="H4878" s="530" t="str">
        <f>B4878</f>
        <v>Magnum(MWN)-extraib_630A_3p_40kA_LSIG</v>
      </c>
      <c r="I4878" s="765"/>
      <c r="J4878" s="106" t="s">
        <v>1835</v>
      </c>
      <c r="K4878" s="566" t="s">
        <v>741</v>
      </c>
    </row>
    <row r="4879" spans="1:11" s="194" customFormat="1">
      <c r="A4879" s="954"/>
      <c r="B4879" s="1810"/>
      <c r="C4879" s="1688"/>
      <c r="D4879" s="1688"/>
      <c r="E4879" s="1688"/>
      <c r="F4879" s="1813"/>
      <c r="G4879" s="1814"/>
      <c r="H4879" s="2047"/>
      <c r="I4879" s="1815"/>
      <c r="J4879" s="954"/>
      <c r="K4879" s="1816"/>
    </row>
    <row r="4880" spans="1:11" s="194" customFormat="1">
      <c r="A4880" s="954"/>
      <c r="B4880" s="1810"/>
      <c r="C4880" s="1688"/>
      <c r="D4880" s="1688"/>
      <c r="E4880" s="1688"/>
      <c r="F4880" s="1813"/>
      <c r="G4880" s="1814"/>
      <c r="H4880" s="2047"/>
      <c r="I4880" s="1815"/>
      <c r="J4880" s="954"/>
      <c r="K4880" s="1816"/>
    </row>
    <row r="4881" spans="1:11" s="194" customFormat="1">
      <c r="A4881" s="954"/>
      <c r="B4881" s="1810" t="s">
        <v>8588</v>
      </c>
      <c r="C4881" s="1688"/>
      <c r="D4881" s="1688">
        <v>7114.9403076923054</v>
      </c>
      <c r="E4881" s="579">
        <f t="shared" ref="E4881:E4886" si="638">400+80</f>
        <v>480</v>
      </c>
      <c r="F4881" s="572">
        <f t="shared" ref="F4881:F4886" si="639">D4881+E4881</f>
        <v>7594.9403076923054</v>
      </c>
      <c r="G4881" s="1814" t="s">
        <v>8589</v>
      </c>
      <c r="H4881" s="2047" t="s">
        <v>8588</v>
      </c>
      <c r="I4881" s="1815"/>
      <c r="J4881" s="954" t="s">
        <v>1835</v>
      </c>
      <c r="K4881" s="1816"/>
    </row>
    <row r="4882" spans="1:11" s="194" customFormat="1">
      <c r="A4882" s="954"/>
      <c r="B4882" s="1810" t="s">
        <v>8590</v>
      </c>
      <c r="C4882" s="1688"/>
      <c r="D4882" s="1688">
        <v>7114.9403076923054</v>
      </c>
      <c r="E4882" s="579">
        <f t="shared" si="638"/>
        <v>480</v>
      </c>
      <c r="F4882" s="572">
        <f t="shared" si="639"/>
        <v>7594.9403076923054</v>
      </c>
      <c r="G4882" s="1814" t="s">
        <v>8591</v>
      </c>
      <c r="H4882" s="2047" t="s">
        <v>8590</v>
      </c>
      <c r="I4882" s="1815"/>
      <c r="J4882" s="954" t="s">
        <v>1835</v>
      </c>
      <c r="K4882" s="1816"/>
    </row>
    <row r="4883" spans="1:11" s="194" customFormat="1">
      <c r="A4883" s="954"/>
      <c r="B4883" s="1810" t="s">
        <v>8592</v>
      </c>
      <c r="C4883" s="1688"/>
      <c r="D4883" s="1688">
        <v>6924.8824615384592</v>
      </c>
      <c r="E4883" s="579">
        <f t="shared" si="638"/>
        <v>480</v>
      </c>
      <c r="F4883" s="572">
        <f t="shared" si="639"/>
        <v>7404.8824615384592</v>
      </c>
      <c r="G4883" s="1814" t="s">
        <v>8593</v>
      </c>
      <c r="H4883" s="2047" t="s">
        <v>8592</v>
      </c>
      <c r="I4883" s="1815"/>
      <c r="J4883" s="954" t="s">
        <v>1835</v>
      </c>
      <c r="K4883" s="1816"/>
    </row>
    <row r="4884" spans="1:11" s="194" customFormat="1">
      <c r="A4884" s="954"/>
      <c r="B4884" s="1810" t="s">
        <v>8594</v>
      </c>
      <c r="C4884" s="1688"/>
      <c r="D4884" s="1688">
        <v>7114.9403076923054</v>
      </c>
      <c r="E4884" s="579">
        <f t="shared" si="638"/>
        <v>480</v>
      </c>
      <c r="F4884" s="572">
        <f t="shared" si="639"/>
        <v>7594.9403076923054</v>
      </c>
      <c r="G4884" s="1814" t="s">
        <v>8595</v>
      </c>
      <c r="H4884" s="2047" t="s">
        <v>8594</v>
      </c>
      <c r="I4884" s="1815"/>
      <c r="J4884" s="954" t="s">
        <v>1835</v>
      </c>
      <c r="K4884" s="1816"/>
    </row>
    <row r="4885" spans="1:11" s="194" customFormat="1">
      <c r="A4885" s="954"/>
      <c r="B4885" s="1810" t="s">
        <v>8596</v>
      </c>
      <c r="C4885" s="1688"/>
      <c r="D4885" s="1688">
        <v>7114.9403076923054</v>
      </c>
      <c r="E4885" s="579">
        <f t="shared" si="638"/>
        <v>480</v>
      </c>
      <c r="F4885" s="572">
        <f t="shared" si="639"/>
        <v>7594.9403076923054</v>
      </c>
      <c r="G4885" s="1814" t="s">
        <v>8597</v>
      </c>
      <c r="H4885" s="2047" t="s">
        <v>8596</v>
      </c>
      <c r="I4885" s="1815"/>
      <c r="J4885" s="954" t="s">
        <v>1835</v>
      </c>
      <c r="K4885" s="1816"/>
    </row>
    <row r="4886" spans="1:11" s="194" customFormat="1">
      <c r="A4886" s="954"/>
      <c r="B4886" s="1810" t="s">
        <v>8598</v>
      </c>
      <c r="C4886" s="1688"/>
      <c r="D4886" s="1688">
        <v>9416.185846153845</v>
      </c>
      <c r="E4886" s="579">
        <f t="shared" si="638"/>
        <v>480</v>
      </c>
      <c r="F4886" s="572">
        <f t="shared" si="639"/>
        <v>9896.185846153845</v>
      </c>
      <c r="G4886" s="1814" t="s">
        <v>8599</v>
      </c>
      <c r="H4886" s="2047" t="s">
        <v>8598</v>
      </c>
      <c r="I4886" s="1815"/>
      <c r="J4886" s="954" t="s">
        <v>1835</v>
      </c>
      <c r="K4886" s="1816"/>
    </row>
    <row r="4887" spans="1:11" s="194" customFormat="1">
      <c r="A4887" s="954"/>
      <c r="B4887" s="1810"/>
      <c r="C4887" s="1688"/>
      <c r="D4887" s="1688"/>
      <c r="E4887" s="1688"/>
      <c r="F4887" s="1813"/>
      <c r="G4887" s="1814"/>
      <c r="H4887" s="2047"/>
      <c r="I4887" s="1815"/>
      <c r="J4887" s="954"/>
      <c r="K4887" s="1816"/>
    </row>
    <row r="4888" spans="1:11" s="194" customFormat="1">
      <c r="A4888" s="954"/>
      <c r="B4888" s="1810" t="s">
        <v>8600</v>
      </c>
      <c r="C4888" s="1688"/>
      <c r="D4888" s="1688">
        <v>658.57846153846151</v>
      </c>
      <c r="E4888" s="579">
        <v>30</v>
      </c>
      <c r="F4888" s="572">
        <f t="shared" ref="F4888:F4893" si="640">D4888+E4888</f>
        <v>688.57846153846151</v>
      </c>
      <c r="G4888" s="1814" t="s">
        <v>8601</v>
      </c>
      <c r="H4888" s="2047" t="s">
        <v>8600</v>
      </c>
      <c r="I4888" s="1815"/>
      <c r="J4888" s="954" t="s">
        <v>1835</v>
      </c>
      <c r="K4888" s="1816"/>
    </row>
    <row r="4889" spans="1:11" s="194" customFormat="1">
      <c r="A4889" s="954"/>
      <c r="B4889" s="1810" t="s">
        <v>8602</v>
      </c>
      <c r="C4889" s="1688"/>
      <c r="D4889" s="1688">
        <v>597.85846153846148</v>
      </c>
      <c r="E4889" s="579">
        <v>30</v>
      </c>
      <c r="F4889" s="572">
        <f t="shared" si="640"/>
        <v>627.85846153846148</v>
      </c>
      <c r="G4889" s="1814" t="s">
        <v>8603</v>
      </c>
      <c r="H4889" s="2047" t="s">
        <v>8602</v>
      </c>
      <c r="I4889" s="1815"/>
      <c r="J4889" s="954" t="s">
        <v>1835</v>
      </c>
      <c r="K4889" s="1816"/>
    </row>
    <row r="4890" spans="1:11" s="194" customFormat="1">
      <c r="A4890" s="954"/>
      <c r="B4890" s="1810" t="s">
        <v>8604</v>
      </c>
      <c r="C4890" s="1688"/>
      <c r="D4890" s="1688">
        <v>836.06769230769225</v>
      </c>
      <c r="E4890" s="579">
        <v>30</v>
      </c>
      <c r="F4890" s="572">
        <f t="shared" si="640"/>
        <v>866.06769230769225</v>
      </c>
      <c r="G4890" s="1814" t="s">
        <v>8605</v>
      </c>
      <c r="H4890" s="2047" t="s">
        <v>8604</v>
      </c>
      <c r="I4890" s="1815"/>
      <c r="J4890" s="954" t="s">
        <v>1835</v>
      </c>
      <c r="K4890" s="1816"/>
    </row>
    <row r="4891" spans="1:11" s="194" customFormat="1">
      <c r="A4891" s="954"/>
      <c r="B4891" s="1810" t="s">
        <v>8606</v>
      </c>
      <c r="C4891" s="1688"/>
      <c r="D4891" s="1688">
        <v>565.16307692307691</v>
      </c>
      <c r="E4891" s="579">
        <v>30</v>
      </c>
      <c r="F4891" s="572">
        <f t="shared" si="640"/>
        <v>595.16307692307691</v>
      </c>
      <c r="G4891" s="1814" t="s">
        <v>8607</v>
      </c>
      <c r="H4891" s="2047" t="s">
        <v>8606</v>
      </c>
      <c r="I4891" s="1815"/>
      <c r="J4891" s="954" t="s">
        <v>1835</v>
      </c>
      <c r="K4891" s="1816"/>
    </row>
    <row r="4892" spans="1:11" s="194" customFormat="1">
      <c r="A4892" s="954"/>
      <c r="B4892" s="1810" t="s">
        <v>8608</v>
      </c>
      <c r="C4892" s="1688"/>
      <c r="D4892" s="1688">
        <v>565.16307692307691</v>
      </c>
      <c r="E4892" s="579">
        <v>30</v>
      </c>
      <c r="F4892" s="572">
        <f t="shared" si="640"/>
        <v>595.16307692307691</v>
      </c>
      <c r="G4892" s="1814" t="s">
        <v>8609</v>
      </c>
      <c r="H4892" s="2047" t="s">
        <v>8608</v>
      </c>
      <c r="I4892" s="1815"/>
      <c r="J4892" s="954" t="s">
        <v>1835</v>
      </c>
      <c r="K4892" s="1816"/>
    </row>
    <row r="4893" spans="1:11" s="194" customFormat="1">
      <c r="A4893" s="954"/>
      <c r="B4893" s="1810" t="s">
        <v>8610</v>
      </c>
      <c r="C4893" s="1688"/>
      <c r="D4893" s="1688">
        <v>635.22461538461528</v>
      </c>
      <c r="E4893" s="579">
        <v>30</v>
      </c>
      <c r="F4893" s="572">
        <f t="shared" si="640"/>
        <v>665.22461538461528</v>
      </c>
      <c r="G4893" s="1814" t="s">
        <v>8611</v>
      </c>
      <c r="H4893" s="2047" t="s">
        <v>8610</v>
      </c>
      <c r="I4893" s="1815"/>
      <c r="J4893" s="954" t="s">
        <v>1835</v>
      </c>
      <c r="K4893" s="1816"/>
    </row>
    <row r="4894" spans="1:11" s="194" customFormat="1">
      <c r="A4894" s="954"/>
      <c r="B4894" s="1810"/>
      <c r="C4894" s="1688"/>
      <c r="D4894" s="1688"/>
      <c r="E4894" s="1688"/>
      <c r="F4894" s="1813"/>
      <c r="G4894" s="1814"/>
      <c r="H4894" s="2047"/>
      <c r="I4894" s="1815"/>
      <c r="J4894" s="954"/>
      <c r="K4894" s="1816"/>
    </row>
    <row r="4895" spans="1:11" s="194" customFormat="1">
      <c r="A4895" s="954"/>
      <c r="B4895" s="1810"/>
      <c r="C4895" s="1688"/>
      <c r="D4895" s="1688"/>
      <c r="E4895" s="1688"/>
      <c r="F4895" s="1813"/>
      <c r="G4895" s="1814"/>
      <c r="H4895" s="2047"/>
      <c r="I4895" s="1815"/>
      <c r="J4895" s="954"/>
      <c r="K4895" s="1816"/>
    </row>
    <row r="4896" spans="1:11" s="194" customFormat="1">
      <c r="A4896" s="954"/>
      <c r="B4896" s="1810"/>
      <c r="C4896" s="1688"/>
      <c r="D4896" s="1688"/>
      <c r="E4896" s="1688"/>
      <c r="F4896" s="1813"/>
      <c r="G4896" s="1814"/>
      <c r="H4896" s="2047"/>
      <c r="I4896" s="1815"/>
      <c r="J4896" s="954"/>
      <c r="K4896" s="1816"/>
    </row>
    <row r="4897" spans="1:30" s="194" customFormat="1">
      <c r="A4897" s="954"/>
      <c r="B4897" s="1810"/>
      <c r="C4897" s="1688"/>
      <c r="D4897" s="1688"/>
      <c r="E4897" s="1688"/>
      <c r="F4897" s="1813"/>
      <c r="G4897" s="1814"/>
      <c r="H4897" s="2047"/>
      <c r="I4897" s="1815"/>
      <c r="J4897" s="954"/>
      <c r="K4897" s="566"/>
    </row>
    <row r="4898" spans="1:30" s="609" customFormat="1">
      <c r="A4898" s="954"/>
      <c r="B4898" s="613" t="s">
        <v>8612</v>
      </c>
      <c r="C4898" s="1769"/>
      <c r="D4898" s="1769">
        <v>500</v>
      </c>
      <c r="E4898" s="579">
        <v>30</v>
      </c>
      <c r="F4898" s="572">
        <f>D4898+E4898</f>
        <v>530</v>
      </c>
      <c r="G4898" s="344" t="s">
        <v>8613</v>
      </c>
      <c r="H4898" s="532" t="str">
        <f>B4898</f>
        <v>Mod_Com_Bastidor_Eaton</v>
      </c>
      <c r="I4898" s="30"/>
      <c r="J4898" s="106" t="s">
        <v>1835</v>
      </c>
      <c r="K4898" s="35" t="s">
        <v>741</v>
      </c>
      <c r="L4898" s="202"/>
      <c r="M4898" s="202"/>
      <c r="N4898" s="202"/>
      <c r="O4898" s="202"/>
      <c r="P4898" s="202"/>
      <c r="Q4898" s="202"/>
      <c r="R4898" s="202"/>
      <c r="S4898" s="202"/>
      <c r="T4898" s="202"/>
      <c r="U4898" s="202"/>
      <c r="V4898" s="202"/>
      <c r="W4898" s="202"/>
      <c r="X4898" s="202"/>
      <c r="Y4898" s="202"/>
      <c r="Z4898" s="202"/>
      <c r="AA4898" s="202"/>
      <c r="AB4898" s="202"/>
      <c r="AC4898" s="202"/>
      <c r="AD4898" s="202"/>
    </row>
    <row r="4899" spans="1:30" s="194" customFormat="1">
      <c r="A4899" s="954"/>
      <c r="B4899" s="1810"/>
      <c r="C4899" s="1688"/>
      <c r="D4899" s="1688"/>
      <c r="E4899" s="1688"/>
      <c r="F4899" s="1813"/>
      <c r="G4899" s="1814"/>
      <c r="H4899" s="2047"/>
      <c r="I4899" s="1815"/>
      <c r="J4899" s="954"/>
      <c r="K4899" s="566"/>
    </row>
    <row r="4900" spans="1:30" s="194" customFormat="1">
      <c r="A4900" s="419"/>
      <c r="B4900" s="570"/>
      <c r="C4900" s="456"/>
      <c r="D4900" s="456"/>
      <c r="E4900" s="456"/>
      <c r="F4900" s="572"/>
      <c r="G4900" s="573"/>
      <c r="H4900" s="146"/>
      <c r="I4900" s="552"/>
      <c r="J4900" s="419"/>
      <c r="K4900" s="566"/>
    </row>
    <row r="4901" spans="1:30" s="48" customFormat="1">
      <c r="A4901" s="106"/>
      <c r="B4901" s="570" t="s">
        <v>2663</v>
      </c>
      <c r="C4901" s="456"/>
      <c r="D4901" s="456">
        <v>14252</v>
      </c>
      <c r="E4901" s="579">
        <v>500</v>
      </c>
      <c r="F4901" s="572">
        <f>D4901+E4901</f>
        <v>14752</v>
      </c>
      <c r="G4901" s="573" t="s">
        <v>2696</v>
      </c>
      <c r="H4901" s="530" t="str">
        <f>B4901</f>
        <v>Magnum(MWS)-extraib_2500A_3p_LSIA</v>
      </c>
      <c r="I4901" s="765"/>
      <c r="J4901" s="106" t="s">
        <v>1835</v>
      </c>
      <c r="K4901" s="566" t="s">
        <v>741</v>
      </c>
      <c r="L4901" s="201"/>
      <c r="M4901" s="201"/>
      <c r="N4901" s="201"/>
    </row>
    <row r="4902" spans="1:30" s="48" customFormat="1">
      <c r="A4902" s="106"/>
      <c r="B4902" s="570" t="s">
        <v>2695</v>
      </c>
      <c r="C4902" s="456"/>
      <c r="D4902" s="456">
        <v>17704</v>
      </c>
      <c r="E4902" s="579">
        <v>600</v>
      </c>
      <c r="F4902" s="572">
        <f>D4902+E4902</f>
        <v>18304</v>
      </c>
      <c r="G4902" s="573" t="s">
        <v>2697</v>
      </c>
      <c r="H4902" s="530" t="str">
        <f>B4902</f>
        <v>Magnum(MWS)-extraib_2500A_4p_LSIA</v>
      </c>
      <c r="I4902" s="765"/>
      <c r="J4902" s="106" t="s">
        <v>1835</v>
      </c>
      <c r="K4902" s="566" t="s">
        <v>741</v>
      </c>
      <c r="L4902" s="201"/>
      <c r="M4902" s="201"/>
      <c r="N4902" s="201"/>
    </row>
    <row r="4903" spans="1:30" s="48" customFormat="1">
      <c r="A4903" s="106"/>
      <c r="B4903" s="570" t="s">
        <v>2701</v>
      </c>
      <c r="C4903" s="456"/>
      <c r="D4903" s="456">
        <v>15584</v>
      </c>
      <c r="E4903" s="579">
        <v>500</v>
      </c>
      <c r="F4903" s="572">
        <f>D4903+E4903</f>
        <v>16084</v>
      </c>
      <c r="G4903" s="573" t="s">
        <v>2702</v>
      </c>
      <c r="H4903" s="530" t="str">
        <f>B4903</f>
        <v>Magnum(MWS)-extraib_3200A_3p_LSIA</v>
      </c>
      <c r="I4903" s="765"/>
      <c r="J4903" s="106" t="s">
        <v>1835</v>
      </c>
      <c r="K4903" s="566" t="s">
        <v>741</v>
      </c>
      <c r="L4903" s="201"/>
      <c r="M4903" s="201"/>
      <c r="N4903" s="201"/>
    </row>
    <row r="4904" spans="1:30" s="48" customFormat="1">
      <c r="A4904" s="419"/>
      <c r="B4904" s="570"/>
      <c r="C4904" s="456"/>
      <c r="D4904" s="456"/>
      <c r="E4904" s="456"/>
      <c r="F4904" s="572"/>
      <c r="G4904" s="573"/>
      <c r="H4904" s="146"/>
      <c r="I4904" s="546"/>
      <c r="J4904" s="419"/>
      <c r="K4904" s="566"/>
      <c r="L4904" s="201"/>
      <c r="M4904" s="201"/>
      <c r="N4904" s="201"/>
    </row>
    <row r="4905" spans="1:30" s="48" customFormat="1">
      <c r="A4905" s="106"/>
      <c r="B4905" s="570" t="s">
        <v>1937</v>
      </c>
      <c r="C4905" s="456"/>
      <c r="D4905" s="456">
        <v>18590</v>
      </c>
      <c r="E4905" s="579">
        <v>600</v>
      </c>
      <c r="F4905" s="572">
        <f>D4905+E4905</f>
        <v>19190</v>
      </c>
      <c r="G4905" s="573" t="s">
        <v>1938</v>
      </c>
      <c r="H4905" s="530" t="str">
        <f>B4905</f>
        <v>Magnum(S)_2500A_4p_Digitrip1150i-LSIG/A</v>
      </c>
      <c r="I4905" s="552"/>
      <c r="J4905" s="106" t="s">
        <v>1835</v>
      </c>
      <c r="K4905" s="566" t="s">
        <v>741</v>
      </c>
      <c r="L4905" s="201"/>
      <c r="M4905" s="201"/>
      <c r="N4905" s="201"/>
    </row>
    <row r="4906" spans="1:30" s="48" customFormat="1">
      <c r="A4906" s="106"/>
      <c r="B4906" s="570" t="s">
        <v>1939</v>
      </c>
      <c r="C4906" s="456"/>
      <c r="D4906" s="456">
        <v>13790</v>
      </c>
      <c r="E4906" s="579">
        <v>600</v>
      </c>
      <c r="F4906" s="572">
        <f>D4906+E4906</f>
        <v>14390</v>
      </c>
      <c r="G4906" s="573" t="s">
        <v>1940</v>
      </c>
      <c r="H4906" s="530" t="str">
        <f>B4906</f>
        <v>Magnum(S)_2500A_4p_Digitrip520-LSIG</v>
      </c>
      <c r="I4906" s="552"/>
      <c r="J4906" s="106" t="s">
        <v>1835</v>
      </c>
      <c r="K4906" s="566" t="s">
        <v>741</v>
      </c>
      <c r="L4906" s="201"/>
      <c r="M4906" s="201"/>
      <c r="N4906" s="201"/>
    </row>
    <row r="4907" spans="1:30" s="35" customFormat="1">
      <c r="A4907" s="106"/>
      <c r="B4907" s="570" t="s">
        <v>1941</v>
      </c>
      <c r="C4907" s="456"/>
      <c r="D4907" s="456">
        <v>13350</v>
      </c>
      <c r="E4907" s="579">
        <v>600</v>
      </c>
      <c r="F4907" s="572">
        <f>D4907+E4907</f>
        <v>13950</v>
      </c>
      <c r="G4907" s="573" t="s">
        <v>1942</v>
      </c>
      <c r="H4907" s="530" t="str">
        <f>B4907</f>
        <v>Magnum(S)_2500A_4p_Digitrip520-LSI</v>
      </c>
      <c r="I4907" s="552"/>
      <c r="J4907" s="106" t="s">
        <v>1835</v>
      </c>
      <c r="K4907" s="566" t="s">
        <v>741</v>
      </c>
    </row>
    <row r="4908" spans="1:30" s="35" customFormat="1">
      <c r="A4908" s="106"/>
      <c r="B4908" s="570" t="s">
        <v>1943</v>
      </c>
      <c r="C4908" s="456"/>
      <c r="D4908" s="456">
        <v>10890</v>
      </c>
      <c r="E4908" s="579">
        <v>600</v>
      </c>
      <c r="F4908" s="572">
        <f>D4908+E4908</f>
        <v>11490</v>
      </c>
      <c r="G4908" s="573" t="s">
        <v>1944</v>
      </c>
      <c r="H4908" s="530" t="str">
        <f>B4908</f>
        <v>Magnum(N)_2000A_4p_Digitrip520-LSIG</v>
      </c>
      <c r="I4908" s="552"/>
      <c r="J4908" s="106" t="s">
        <v>1835</v>
      </c>
      <c r="K4908" s="566" t="s">
        <v>741</v>
      </c>
    </row>
    <row r="4909" spans="1:30" s="48" customFormat="1">
      <c r="A4909" s="106"/>
      <c r="B4909" s="580" t="s">
        <v>1945</v>
      </c>
      <c r="C4909" s="579"/>
      <c r="D4909" s="579">
        <v>0</v>
      </c>
      <c r="E4909" s="581">
        <v>0</v>
      </c>
      <c r="F4909" s="582" t="e">
        <f>ROUNDUP(#REF!+E4909,1)</f>
        <v>#REF!</v>
      </c>
      <c r="G4909" s="580" t="s">
        <v>5283</v>
      </c>
      <c r="H4909" s="2022"/>
      <c r="I4909" s="520"/>
      <c r="J4909" s="106" t="s">
        <v>1835</v>
      </c>
      <c r="K4909" s="520" t="s">
        <v>741</v>
      </c>
      <c r="L4909" s="201"/>
      <c r="M4909" s="201"/>
      <c r="N4909" s="201"/>
    </row>
    <row r="4910" spans="1:30" s="194" customFormat="1">
      <c r="A4910" s="106"/>
      <c r="B4910" s="580" t="s">
        <v>1946</v>
      </c>
      <c r="C4910" s="579"/>
      <c r="D4910" s="579">
        <v>0</v>
      </c>
      <c r="E4910" s="581">
        <v>0</v>
      </c>
      <c r="F4910" s="582" t="e">
        <f>ROUNDUP(#REF!+E4910,1)</f>
        <v>#REF!</v>
      </c>
      <c r="G4910" s="580" t="s">
        <v>5284</v>
      </c>
      <c r="H4910" s="2022"/>
      <c r="I4910" s="520"/>
      <c r="J4910" s="106" t="s">
        <v>1835</v>
      </c>
      <c r="K4910" s="520" t="s">
        <v>741</v>
      </c>
    </row>
    <row r="4911" spans="1:30" s="194" customFormat="1">
      <c r="A4911" s="106"/>
      <c r="B4911" s="580" t="s">
        <v>1947</v>
      </c>
      <c r="C4911" s="579"/>
      <c r="D4911" s="579">
        <v>0</v>
      </c>
      <c r="E4911" s="581">
        <v>0</v>
      </c>
      <c r="F4911" s="582" t="e">
        <f>ROUNDUP(#REF!+E4911,1)</f>
        <v>#REF!</v>
      </c>
      <c r="G4911" s="580" t="s">
        <v>1948</v>
      </c>
      <c r="H4911" s="2022"/>
      <c r="I4911" s="520"/>
      <c r="J4911" s="106" t="s">
        <v>1835</v>
      </c>
      <c r="K4911" s="520" t="s">
        <v>741</v>
      </c>
    </row>
    <row r="4912" spans="1:30" s="194" customFormat="1">
      <c r="A4912" s="106"/>
      <c r="B4912" s="580" t="s">
        <v>1949</v>
      </c>
      <c r="C4912" s="579"/>
      <c r="D4912" s="579">
        <v>0</v>
      </c>
      <c r="E4912" s="581">
        <v>0</v>
      </c>
      <c r="F4912" s="582" t="e">
        <f>ROUNDUP(#REF!+E4912,1)</f>
        <v>#REF!</v>
      </c>
      <c r="G4912" s="580" t="s">
        <v>1950</v>
      </c>
      <c r="H4912" s="2022"/>
      <c r="I4912" s="520"/>
      <c r="J4912" s="106" t="s">
        <v>1835</v>
      </c>
      <c r="K4912" s="520" t="s">
        <v>741</v>
      </c>
    </row>
    <row r="4913" spans="1:11" s="194" customFormat="1">
      <c r="A4913"/>
      <c r="B4913" s="569"/>
      <c r="C4913" s="456"/>
      <c r="D4913" s="569"/>
      <c r="E4913" s="569"/>
      <c r="F4913" s="569"/>
      <c r="G4913" s="569"/>
      <c r="H4913" s="409"/>
      <c r="I4913"/>
      <c r="J4913"/>
      <c r="K4913"/>
    </row>
    <row r="4914" spans="1:11" s="35" customFormat="1">
      <c r="A4914" s="106"/>
      <c r="B4914" s="570" t="s">
        <v>8614</v>
      </c>
      <c r="C4914" s="456"/>
      <c r="D4914" s="456">
        <v>10529</v>
      </c>
      <c r="E4914" s="579">
        <v>600</v>
      </c>
      <c r="F4914" s="572">
        <f>D4914+E4914</f>
        <v>11129</v>
      </c>
      <c r="G4914" s="573" t="s">
        <v>8615</v>
      </c>
      <c r="H4914" s="530" t="str">
        <f>B4914</f>
        <v>Magnum(N)_2000A_4p_MWN5204HAA-20M2NMN4YNANFX</v>
      </c>
      <c r="I4914" s="552"/>
      <c r="J4914" s="106" t="s">
        <v>1835</v>
      </c>
      <c r="K4914" s="566" t="s">
        <v>741</v>
      </c>
    </row>
    <row r="4915" spans="1:11" s="194" customFormat="1">
      <c r="A4915" s="106"/>
      <c r="B4915" s="569"/>
      <c r="C4915" s="569"/>
      <c r="D4915" s="569"/>
      <c r="E4915" s="569"/>
      <c r="F4915" s="569"/>
      <c r="G4915" s="569"/>
      <c r="H4915" s="724"/>
      <c r="I4915" s="106"/>
      <c r="J4915" s="106"/>
      <c r="K4915" s="106"/>
    </row>
    <row r="4916" spans="1:11" s="196" customFormat="1">
      <c r="A4916" s="106"/>
      <c r="B4916" s="573" t="s">
        <v>1951</v>
      </c>
      <c r="C4916" s="1650"/>
      <c r="D4916" s="583">
        <v>2200</v>
      </c>
      <c r="E4916" s="456">
        <v>6</v>
      </c>
      <c r="F4916" s="584">
        <f>ROUNDUP(D4916+E4916,1)</f>
        <v>2206</v>
      </c>
      <c r="G4916" s="573" t="s">
        <v>1952</v>
      </c>
      <c r="H4916" s="530" t="str">
        <f>B4916</f>
        <v>Dif-63/4/03-B</v>
      </c>
      <c r="I4916" s="520"/>
      <c r="J4916" s="106" t="s">
        <v>1835</v>
      </c>
      <c r="K4916" s="520" t="s">
        <v>741</v>
      </c>
    </row>
    <row r="4917" spans="1:11" s="196" customFormat="1">
      <c r="A4917" s="106"/>
      <c r="B4917" s="573" t="s">
        <v>1953</v>
      </c>
      <c r="C4917" s="1650"/>
      <c r="D4917" s="583">
        <v>5500</v>
      </c>
      <c r="E4917" s="456">
        <v>12</v>
      </c>
      <c r="F4917" s="584">
        <f>ROUNDUP(D4917+E4917,1)</f>
        <v>5512</v>
      </c>
      <c r="G4917" s="573" t="s">
        <v>1954</v>
      </c>
      <c r="H4917" s="530" t="str">
        <f>B4917</f>
        <v>Dif-125/4/03-B</v>
      </c>
      <c r="I4917" s="520"/>
      <c r="J4917" s="106" t="s">
        <v>1835</v>
      </c>
      <c r="K4917" s="520" t="s">
        <v>741</v>
      </c>
    </row>
    <row r="4918" spans="1:11" s="196" customFormat="1">
      <c r="A4918" s="106"/>
      <c r="B4918" s="569"/>
      <c r="C4918" s="569"/>
      <c r="D4918" s="569"/>
      <c r="E4918" s="569"/>
      <c r="F4918" s="569"/>
      <c r="G4918" s="569"/>
      <c r="H4918" s="724"/>
      <c r="I4918" s="106"/>
      <c r="J4918" s="106"/>
      <c r="K4918" s="106"/>
    </row>
    <row r="4919" spans="1:11" s="194" customFormat="1">
      <c r="A4919" s="419"/>
      <c r="B4919" s="570"/>
      <c r="C4919" s="456"/>
      <c r="D4919" s="571"/>
      <c r="E4919" s="456"/>
      <c r="F4919" s="572"/>
      <c r="G4919" s="573"/>
      <c r="H4919" s="546"/>
      <c r="I4919" s="552"/>
      <c r="J4919" s="419"/>
      <c r="K4919" s="566"/>
    </row>
    <row r="4920" spans="1:11" s="196" customFormat="1">
      <c r="A4920" s="106"/>
      <c r="B4920" s="570" t="s">
        <v>1955</v>
      </c>
      <c r="C4920" s="456"/>
      <c r="D4920" s="456">
        <v>2020</v>
      </c>
      <c r="E4920" s="579">
        <v>210</v>
      </c>
      <c r="F4920" s="572">
        <f>D4920+E4920</f>
        <v>2230</v>
      </c>
      <c r="G4920" s="573" t="s">
        <v>5360</v>
      </c>
      <c r="H4920" s="530" t="str">
        <f>B4920</f>
        <v>ATC-300</v>
      </c>
      <c r="I4920" s="552"/>
      <c r="J4920" s="106" t="s">
        <v>1835</v>
      </c>
      <c r="K4920" s="566" t="s">
        <v>741</v>
      </c>
    </row>
    <row r="4921" spans="1:11" s="196" customFormat="1">
      <c r="A4921" s="106"/>
      <c r="B4921" s="570"/>
      <c r="C4921" s="456"/>
      <c r="D4921" s="230"/>
      <c r="E4921" s="230"/>
      <c r="F4921" s="166"/>
      <c r="G4921" s="573"/>
      <c r="H4921" s="530"/>
      <c r="I4921" s="552"/>
      <c r="J4921" s="106"/>
      <c r="K4921" s="566"/>
    </row>
    <row r="4922" spans="1:11" s="196" customFormat="1">
      <c r="A4922" s="106"/>
      <c r="B4922" s="570" t="s">
        <v>1956</v>
      </c>
      <c r="C4922" s="456"/>
      <c r="D4922" s="456">
        <f>(32538-1815-2*13790)+903</f>
        <v>4046</v>
      </c>
      <c r="E4922" s="579">
        <v>0</v>
      </c>
      <c r="F4922" s="572">
        <f>D4922+E4922</f>
        <v>4046</v>
      </c>
      <c r="G4922" s="573" t="s">
        <v>5361</v>
      </c>
      <c r="H4922" s="530" t="str">
        <f>B4922</f>
        <v>KIT-TRANSF_Magnum_2500A</v>
      </c>
      <c r="I4922" s="520"/>
      <c r="J4922" s="106" t="s">
        <v>1835</v>
      </c>
      <c r="K4922" s="520" t="s">
        <v>741</v>
      </c>
    </row>
    <row r="4923" spans="1:11" s="194" customFormat="1">
      <c r="A4923" s="106"/>
      <c r="B4923" s="165"/>
      <c r="C4923" s="230"/>
      <c r="D4923" s="230"/>
      <c r="E4923" s="230"/>
      <c r="F4923" s="166"/>
      <c r="G4923" s="167"/>
      <c r="H4923" s="146"/>
      <c r="I4923" s="520"/>
      <c r="J4923" s="106"/>
      <c r="K4923" s="520"/>
    </row>
    <row r="4924" spans="1:11" s="196" customFormat="1">
      <c r="A4924" s="106"/>
      <c r="B4924" s="766" t="s">
        <v>2618</v>
      </c>
      <c r="C4924" s="498"/>
      <c r="D4924" s="498">
        <v>903</v>
      </c>
      <c r="E4924" s="498">
        <v>0</v>
      </c>
      <c r="F4924" s="767">
        <f>D4924+E4924</f>
        <v>903</v>
      </c>
      <c r="G4924" s="768" t="s">
        <v>5362</v>
      </c>
      <c r="H4924" s="530" t="str">
        <f>B4924</f>
        <v>KIT-TRANSF_Magnum_800A</v>
      </c>
      <c r="I4924" s="520"/>
      <c r="J4924" s="106" t="s">
        <v>1835</v>
      </c>
      <c r="K4924" s="520" t="s">
        <v>741</v>
      </c>
    </row>
    <row r="4925" spans="1:11" s="196" customFormat="1">
      <c r="A4925" s="106"/>
      <c r="B4925" s="766" t="s">
        <v>2619</v>
      </c>
      <c r="C4925" s="498"/>
      <c r="D4925" s="498">
        <v>903</v>
      </c>
      <c r="E4925" s="498">
        <v>0</v>
      </c>
      <c r="F4925" s="767">
        <f>D4925+E4925</f>
        <v>903</v>
      </c>
      <c r="G4925" s="768" t="s">
        <v>5363</v>
      </c>
      <c r="H4925" s="530" t="str">
        <f>B4925</f>
        <v>KIT-TRANSF_Magnum_1250/2000A</v>
      </c>
      <c r="I4925" s="520"/>
      <c r="J4925" s="106" t="s">
        <v>1835</v>
      </c>
      <c r="K4925" s="520" t="s">
        <v>741</v>
      </c>
    </row>
    <row r="4926" spans="1:11" s="196" customFormat="1">
      <c r="A4926" s="106"/>
      <c r="B4926" s="165"/>
      <c r="C4926" s="230"/>
      <c r="D4926" s="230"/>
      <c r="E4926" s="230"/>
      <c r="F4926" s="166"/>
      <c r="G4926" s="167"/>
      <c r="H4926" s="146"/>
      <c r="I4926" s="520"/>
      <c r="J4926" s="106"/>
      <c r="K4926" s="520"/>
    </row>
    <row r="4927" spans="1:11" s="196" customFormat="1">
      <c r="A4927" s="106"/>
      <c r="B4927" s="570"/>
      <c r="C4927" s="456"/>
      <c r="D4927" s="456"/>
      <c r="E4927" s="579"/>
      <c r="F4927" s="572"/>
      <c r="G4927" s="573"/>
      <c r="H4927" s="530"/>
      <c r="I4927" s="552"/>
      <c r="J4927" s="106"/>
      <c r="K4927" s="566"/>
    </row>
    <row r="4928" spans="1:11" s="106" customFormat="1">
      <c r="A4928" s="419"/>
      <c r="B4928" s="570"/>
      <c r="C4928" s="456"/>
      <c r="D4928" s="456"/>
      <c r="E4928" s="456"/>
      <c r="F4928" s="572"/>
      <c r="G4928" s="573"/>
      <c r="H4928" s="546"/>
      <c r="I4928" s="552"/>
      <c r="J4928" s="419"/>
      <c r="K4928" s="566"/>
    </row>
    <row r="4929" spans="1:12" s="194" customFormat="1">
      <c r="A4929" s="106"/>
      <c r="B4929" s="570" t="s">
        <v>1957</v>
      </c>
      <c r="C4929" s="517"/>
      <c r="D4929" s="517">
        <f>592</f>
        <v>592</v>
      </c>
      <c r="E4929" s="579">
        <v>40</v>
      </c>
      <c r="F4929" s="572">
        <f>D4929+E4929</f>
        <v>632</v>
      </c>
      <c r="G4929" s="573" t="s">
        <v>2834</v>
      </c>
      <c r="H4929" s="530" t="str">
        <f>B4929</f>
        <v>NZM2-XMVR</v>
      </c>
      <c r="I4929" s="520"/>
      <c r="J4929" s="106" t="s">
        <v>1835</v>
      </c>
      <c r="K4929" s="520" t="s">
        <v>741</v>
      </c>
      <c r="L4929" s="146"/>
    </row>
    <row r="4930" spans="1:12" s="196" customFormat="1">
      <c r="A4930" s="106"/>
      <c r="B4930" s="570" t="s">
        <v>1958</v>
      </c>
      <c r="C4930" s="517"/>
      <c r="D4930" s="517">
        <f>565*1.1</f>
        <v>621.5</v>
      </c>
      <c r="E4930" s="579">
        <v>60</v>
      </c>
      <c r="F4930" s="572">
        <f>D4930+E4930</f>
        <v>681.5</v>
      </c>
      <c r="G4930" s="573" t="s">
        <v>2835</v>
      </c>
      <c r="H4930" s="530" t="str">
        <f>B4930</f>
        <v>NZM3-XMVR</v>
      </c>
      <c r="I4930" s="520"/>
      <c r="J4930" s="106" t="s">
        <v>1835</v>
      </c>
      <c r="K4930" s="520" t="s">
        <v>741</v>
      </c>
    </row>
    <row r="4931" spans="1:12" s="196" customFormat="1">
      <c r="A4931" s="106"/>
      <c r="B4931" s="570" t="s">
        <v>1959</v>
      </c>
      <c r="C4931" s="517"/>
      <c r="D4931" s="517">
        <v>710</v>
      </c>
      <c r="E4931" s="579">
        <v>100</v>
      </c>
      <c r="F4931" s="572">
        <f>D4931+E4931</f>
        <v>810</v>
      </c>
      <c r="G4931" s="573" t="s">
        <v>2836</v>
      </c>
      <c r="H4931" s="530" t="str">
        <f>B4931</f>
        <v>NZM4-XMVR</v>
      </c>
      <c r="I4931" s="520"/>
      <c r="J4931" s="106" t="s">
        <v>1835</v>
      </c>
      <c r="K4931" s="520" t="s">
        <v>741</v>
      </c>
    </row>
    <row r="4932" spans="1:12" s="196" customFormat="1">
      <c r="A4932" s="419"/>
      <c r="B4932" s="570"/>
      <c r="C4932" s="456"/>
      <c r="D4932" s="571"/>
      <c r="E4932" s="456"/>
      <c r="F4932" s="572"/>
      <c r="G4932" s="573"/>
      <c r="H4932" s="546"/>
      <c r="I4932" s="552"/>
      <c r="J4932" s="419"/>
      <c r="K4932" s="566"/>
    </row>
    <row r="4933" spans="1:12" s="194" customFormat="1">
      <c r="A4933" s="419"/>
      <c r="B4933" s="165"/>
      <c r="C4933" s="230"/>
      <c r="D4933" s="224"/>
      <c r="E4933" s="230"/>
      <c r="F4933" s="166"/>
      <c r="G4933" s="167"/>
      <c r="H4933" s="546"/>
      <c r="I4933" s="552"/>
      <c r="J4933" s="419"/>
      <c r="K4933" s="566"/>
    </row>
    <row r="4934" spans="1:12" s="196" customFormat="1">
      <c r="A4934" s="419"/>
      <c r="B4934" s="148"/>
      <c r="C4934" s="240"/>
      <c r="D4934" s="222"/>
      <c r="E4934" s="229"/>
      <c r="F4934" s="163"/>
      <c r="G4934" s="197"/>
      <c r="H4934" s="546"/>
      <c r="I4934" s="552"/>
      <c r="J4934" s="419"/>
      <c r="K4934" s="545"/>
    </row>
    <row r="4935" spans="1:12" s="196" customFormat="1">
      <c r="A4935" s="515"/>
      <c r="B4935" s="554" t="s">
        <v>752</v>
      </c>
      <c r="C4935" s="558"/>
      <c r="D4935" s="559"/>
      <c r="E4935" s="560"/>
      <c r="F4935" s="163"/>
      <c r="G4935" s="145"/>
      <c r="H4935" s="546"/>
      <c r="I4935" s="552"/>
      <c r="J4935" s="515"/>
      <c r="K4935" s="552"/>
    </row>
    <row r="4936" spans="1:12" s="194" customFormat="1">
      <c r="A4936" s="515"/>
      <c r="B4936" s="554"/>
      <c r="C4936" s="558"/>
      <c r="D4936" s="559"/>
      <c r="E4936" s="560"/>
      <c r="F4936" s="163"/>
      <c r="G4936" s="145"/>
      <c r="H4936" s="546"/>
      <c r="I4936" s="552"/>
      <c r="J4936" s="515"/>
      <c r="K4936" s="552"/>
    </row>
    <row r="4937" spans="1:12" s="196" customFormat="1">
      <c r="A4937" s="515"/>
      <c r="B4937" s="554"/>
      <c r="C4937" s="558"/>
      <c r="D4937" s="559"/>
      <c r="E4937" s="560"/>
      <c r="F4937" s="163"/>
      <c r="G4937" s="145"/>
      <c r="H4937" s="546"/>
      <c r="I4937" s="552"/>
      <c r="J4937" s="515"/>
      <c r="K4937" s="552"/>
    </row>
    <row r="4938" spans="1:12" s="196" customFormat="1" ht="12.75" customHeight="1">
      <c r="A4938" s="1974"/>
      <c r="B4938" s="150" t="s">
        <v>6161</v>
      </c>
      <c r="C4938" s="2219">
        <v>12.1</v>
      </c>
      <c r="D4938" s="472">
        <f t="shared" ref="D4938:D4943" si="641">C4938*fcl*(1-0.24)</f>
        <v>15.357319999999998</v>
      </c>
      <c r="E4938" s="228">
        <v>3</v>
      </c>
      <c r="F4938" s="585">
        <f t="shared" ref="F4938:F4939" si="642">ROUNDUP(D4938+E4938,1)</f>
        <v>18.400000000000002</v>
      </c>
      <c r="G4938" s="338" t="s">
        <v>9426</v>
      </c>
      <c r="H4938" s="592">
        <v>1475</v>
      </c>
      <c r="I4938" s="520"/>
      <c r="J4938" s="421" t="s">
        <v>1962</v>
      </c>
      <c r="K4938" s="520" t="s">
        <v>741</v>
      </c>
    </row>
    <row r="4939" spans="1:12" s="196" customFormat="1" ht="12.75" customHeight="1">
      <c r="A4939" s="1974"/>
      <c r="B4939" s="150" t="s">
        <v>6162</v>
      </c>
      <c r="C4939" s="2219">
        <v>8.7200000000000006</v>
      </c>
      <c r="D4939" s="472">
        <f t="shared" si="641"/>
        <v>11.067424000000001</v>
      </c>
      <c r="E4939" s="228">
        <v>3</v>
      </c>
      <c r="F4939" s="585">
        <f t="shared" si="642"/>
        <v>14.1</v>
      </c>
      <c r="G4939" s="338" t="s">
        <v>9427</v>
      </c>
      <c r="H4939" s="592">
        <v>278</v>
      </c>
      <c r="I4939" s="520"/>
      <c r="J4939" s="421" t="s">
        <v>1962</v>
      </c>
      <c r="K4939" s="520" t="s">
        <v>741</v>
      </c>
    </row>
    <row r="4940" spans="1:12" s="196" customFormat="1" ht="12.75" customHeight="1">
      <c r="A4940" s="1974"/>
      <c r="B4940" s="150" t="s">
        <v>6165</v>
      </c>
      <c r="C4940" s="2219">
        <v>15.25</v>
      </c>
      <c r="D4940" s="472">
        <f t="shared" si="641"/>
        <v>19.3553</v>
      </c>
      <c r="E4940" s="228">
        <v>3</v>
      </c>
      <c r="F4940" s="585">
        <f>ROUNDUP(D4940+E4940,1)</f>
        <v>22.400000000000002</v>
      </c>
      <c r="G4940" s="338" t="s">
        <v>9428</v>
      </c>
      <c r="H4940" s="592">
        <v>1502</v>
      </c>
      <c r="I4940" s="520"/>
      <c r="J4940" s="421" t="s">
        <v>1962</v>
      </c>
      <c r="K4940" s="520" t="s">
        <v>741</v>
      </c>
    </row>
    <row r="4941" spans="1:12" s="196" customFormat="1" ht="12.75" customHeight="1">
      <c r="A4941" s="1974"/>
      <c r="B4941" s="150" t="s">
        <v>6166</v>
      </c>
      <c r="C4941" s="2219">
        <v>13.98</v>
      </c>
      <c r="D4941" s="472">
        <f t="shared" si="641"/>
        <v>17.743416</v>
      </c>
      <c r="E4941" s="228">
        <v>3</v>
      </c>
      <c r="F4941" s="585">
        <f>ROUNDUP(D4941+E4941,1)</f>
        <v>20.8</v>
      </c>
      <c r="G4941" s="338" t="s">
        <v>9429</v>
      </c>
      <c r="H4941" s="592">
        <v>290</v>
      </c>
      <c r="I4941" s="520"/>
      <c r="J4941" s="421" t="s">
        <v>1962</v>
      </c>
      <c r="K4941" s="520" t="s">
        <v>741</v>
      </c>
    </row>
    <row r="4942" spans="1:12" s="196" customFormat="1" ht="12.75" customHeight="1">
      <c r="A4942" s="1974"/>
      <c r="B4942" s="150" t="s">
        <v>13281</v>
      </c>
      <c r="C4942" s="2219">
        <v>33.97</v>
      </c>
      <c r="D4942" s="472">
        <f t="shared" si="641"/>
        <v>43.114723999999995</v>
      </c>
      <c r="E4942" s="228">
        <v>3</v>
      </c>
      <c r="F4942" s="585">
        <f>ROUNDUP(D4942+E4942,1)</f>
        <v>46.2</v>
      </c>
      <c r="G4942" s="338" t="s">
        <v>13282</v>
      </c>
      <c r="H4942" s="592" t="s">
        <v>13283</v>
      </c>
      <c r="I4942" s="520"/>
      <c r="J4942" s="421" t="s">
        <v>1962</v>
      </c>
      <c r="K4942" s="520" t="s">
        <v>741</v>
      </c>
    </row>
    <row r="4943" spans="1:12" s="196" customFormat="1" ht="12.75" customHeight="1">
      <c r="A4943" s="1974"/>
      <c r="B4943" s="150" t="s">
        <v>13284</v>
      </c>
      <c r="C4943" s="2219">
        <v>38.69</v>
      </c>
      <c r="D4943" s="472">
        <f t="shared" si="641"/>
        <v>49.105347999999992</v>
      </c>
      <c r="E4943" s="228">
        <v>3</v>
      </c>
      <c r="F4943" s="585">
        <f>ROUNDUP(D4943+E4943,1)</f>
        <v>52.2</v>
      </c>
      <c r="G4943" s="338" t="s">
        <v>13285</v>
      </c>
      <c r="H4943" s="592">
        <v>3303</v>
      </c>
      <c r="I4943" s="520"/>
      <c r="J4943" s="421" t="s">
        <v>1962</v>
      </c>
      <c r="K4943" s="520" t="s">
        <v>741</v>
      </c>
    </row>
    <row r="4944" spans="1:12" s="196" customFormat="1" ht="12.75" customHeight="1">
      <c r="A4944" s="1974"/>
      <c r="B4944" s="150"/>
      <c r="C4944" s="637"/>
      <c r="D4944" s="472"/>
      <c r="E4944" s="228"/>
      <c r="F4944" s="585"/>
      <c r="G4944" s="338"/>
      <c r="H4944" s="592"/>
      <c r="I4944" s="520"/>
      <c r="J4944" s="421"/>
      <c r="K4944" s="520"/>
    </row>
    <row r="4945" spans="1:11" s="196" customFormat="1" ht="12.75" customHeight="1">
      <c r="A4945" s="1974"/>
      <c r="B4945" s="150" t="s">
        <v>6163</v>
      </c>
      <c r="C4945" s="2219">
        <v>10.9</v>
      </c>
      <c r="D4945" s="472">
        <f>C4945*fcl*(1-0.24)</f>
        <v>13.83428</v>
      </c>
      <c r="E4945" s="228">
        <v>3</v>
      </c>
      <c r="F4945" s="585">
        <f t="shared" ref="F4945:F4948" si="643">ROUNDUP(D4945+E4945,1)</f>
        <v>16.900000000000002</v>
      </c>
      <c r="G4945" s="338" t="s">
        <v>12335</v>
      </c>
      <c r="H4945" s="592">
        <v>1478</v>
      </c>
      <c r="I4945" s="520"/>
      <c r="J4945" s="421" t="s">
        <v>1962</v>
      </c>
      <c r="K4945" s="520" t="s">
        <v>741</v>
      </c>
    </row>
    <row r="4946" spans="1:11" s="196" customFormat="1" ht="12.75" customHeight="1">
      <c r="A4946" s="1974"/>
      <c r="B4946" s="150" t="s">
        <v>6164</v>
      </c>
      <c r="C4946" s="2219">
        <v>12.06</v>
      </c>
      <c r="D4946" s="472">
        <f>C4946*fcl*(1-0.24)</f>
        <v>15.306552</v>
      </c>
      <c r="E4946" s="228">
        <v>3</v>
      </c>
      <c r="F4946" s="585">
        <f t="shared" si="643"/>
        <v>18.400000000000002</v>
      </c>
      <c r="G4946" s="338" t="s">
        <v>12336</v>
      </c>
      <c r="H4946" s="592">
        <v>281</v>
      </c>
      <c r="I4946" s="520"/>
      <c r="J4946" s="421" t="s">
        <v>1962</v>
      </c>
      <c r="K4946" s="520" t="s">
        <v>741</v>
      </c>
    </row>
    <row r="4947" spans="1:11" s="196" customFormat="1" ht="12.75" customHeight="1">
      <c r="A4947" s="1974"/>
      <c r="B4947" s="150" t="s">
        <v>6167</v>
      </c>
      <c r="C4947" s="2219">
        <v>14.92</v>
      </c>
      <c r="D4947" s="472">
        <f>C4947*fcl*(1-0.24)</f>
        <v>18.936464000000001</v>
      </c>
      <c r="E4947" s="228">
        <v>3</v>
      </c>
      <c r="F4947" s="585">
        <f t="shared" si="643"/>
        <v>22</v>
      </c>
      <c r="G4947" s="338" t="s">
        <v>9430</v>
      </c>
      <c r="H4947" s="592">
        <v>1505</v>
      </c>
      <c r="I4947" s="520"/>
      <c r="J4947" s="421" t="s">
        <v>1962</v>
      </c>
      <c r="K4947" s="520" t="s">
        <v>741</v>
      </c>
    </row>
    <row r="4948" spans="1:11" s="196" customFormat="1" ht="12.75" customHeight="1">
      <c r="A4948" s="1974"/>
      <c r="B4948" s="150" t="s">
        <v>6168</v>
      </c>
      <c r="C4948" s="2219">
        <v>18.36</v>
      </c>
      <c r="D4948" s="472">
        <f>C4948*fcl*(1-0.24)</f>
        <v>23.302511999999997</v>
      </c>
      <c r="E4948" s="228">
        <v>3</v>
      </c>
      <c r="F4948" s="585">
        <f t="shared" si="643"/>
        <v>26.400000000000002</v>
      </c>
      <c r="G4948" s="338" t="s">
        <v>9431</v>
      </c>
      <c r="H4948" s="592">
        <v>293</v>
      </c>
      <c r="I4948" s="520"/>
      <c r="J4948" s="421" t="s">
        <v>1962</v>
      </c>
      <c r="K4948" s="520" t="s">
        <v>741</v>
      </c>
    </row>
    <row r="4949" spans="1:11" s="196" customFormat="1">
      <c r="A4949" s="421"/>
      <c r="B4949" s="150"/>
      <c r="C4949" s="228"/>
      <c r="D4949" s="472"/>
      <c r="E4949" s="228"/>
      <c r="F4949" s="585"/>
      <c r="G4949" s="338"/>
      <c r="H4949" s="592"/>
      <c r="I4949" s="520"/>
      <c r="J4949" s="421"/>
      <c r="K4949" s="520"/>
    </row>
    <row r="4950" spans="1:11" s="196" customFormat="1">
      <c r="A4950" s="421"/>
      <c r="B4950" s="150"/>
      <c r="C4950" s="228"/>
      <c r="D4950" s="472"/>
      <c r="E4950" s="228"/>
      <c r="F4950" s="585"/>
      <c r="G4950" s="338"/>
      <c r="H4950" s="592"/>
      <c r="I4950" s="520"/>
      <c r="J4950" s="421"/>
      <c r="K4950" s="520"/>
    </row>
    <row r="4951" spans="1:11" s="196" customFormat="1">
      <c r="A4951" s="1170"/>
      <c r="B4951" s="150" t="s">
        <v>12337</v>
      </c>
      <c r="C4951" s="2219">
        <v>14.15</v>
      </c>
      <c r="D4951" s="472">
        <f>C4951*fcl*(1-0.24)</f>
        <v>17.95918</v>
      </c>
      <c r="E4951" s="228">
        <v>3</v>
      </c>
      <c r="F4951" s="585">
        <f>ROUNDUP(D4951+E4951,1)</f>
        <v>21</v>
      </c>
      <c r="G4951" s="338" t="s">
        <v>12338</v>
      </c>
      <c r="H4951" s="592" t="s">
        <v>12339</v>
      </c>
      <c r="I4951" s="520"/>
      <c r="J4951" s="421" t="s">
        <v>1962</v>
      </c>
      <c r="K4951" s="520" t="s">
        <v>741</v>
      </c>
    </row>
    <row r="4952" spans="1:11" s="196" customFormat="1">
      <c r="A4952" s="1170"/>
      <c r="B4952" s="150" t="s">
        <v>12340</v>
      </c>
      <c r="C4952" s="2219">
        <v>11.26</v>
      </c>
      <c r="D4952" s="472">
        <f>C4952*fcl*(1-0.24)</f>
        <v>14.291191999999999</v>
      </c>
      <c r="E4952" s="228">
        <v>3</v>
      </c>
      <c r="F4952" s="585">
        <f>ROUNDUP(D4952+E4952,1)</f>
        <v>17.3</v>
      </c>
      <c r="G4952" s="338" t="s">
        <v>12341</v>
      </c>
      <c r="H4952" s="592">
        <v>279</v>
      </c>
      <c r="I4952" s="520"/>
      <c r="J4952" s="421" t="s">
        <v>1962</v>
      </c>
      <c r="K4952" s="520" t="s">
        <v>741</v>
      </c>
    </row>
    <row r="4953" spans="1:11" s="196" customFormat="1">
      <c r="A4953" s="1170"/>
      <c r="B4953" s="150" t="s">
        <v>8620</v>
      </c>
      <c r="C4953" s="2219">
        <v>14.92</v>
      </c>
      <c r="D4953" s="472">
        <f>C4953*fcl*(1-0.24)</f>
        <v>18.936464000000001</v>
      </c>
      <c r="E4953" s="228">
        <v>3</v>
      </c>
      <c r="F4953" s="585">
        <f>ROUNDUP(D4953+E4953,1)</f>
        <v>22</v>
      </c>
      <c r="G4953" s="338" t="s">
        <v>12342</v>
      </c>
      <c r="H4953" s="592">
        <v>1503</v>
      </c>
      <c r="I4953" s="520"/>
      <c r="J4953" s="421" t="s">
        <v>1962</v>
      </c>
      <c r="K4953" s="520" t="s">
        <v>741</v>
      </c>
    </row>
    <row r="4954" spans="1:11" s="196" customFormat="1">
      <c r="A4954" s="1170"/>
      <c r="B4954" s="150" t="s">
        <v>8621</v>
      </c>
      <c r="C4954" s="2219">
        <v>18.5</v>
      </c>
      <c r="D4954" s="472">
        <f>C4954*fcl*(1-0.24)</f>
        <v>23.4802</v>
      </c>
      <c r="E4954" s="228">
        <v>3</v>
      </c>
      <c r="F4954" s="585">
        <f>ROUNDUP(D4954+E4954,1)</f>
        <v>26.5</v>
      </c>
      <c r="G4954" s="338" t="s">
        <v>12343</v>
      </c>
      <c r="H4954" s="592">
        <v>291</v>
      </c>
      <c r="I4954" s="520"/>
      <c r="J4954" s="421" t="s">
        <v>1962</v>
      </c>
      <c r="K4954" s="520" t="s">
        <v>741</v>
      </c>
    </row>
    <row r="4955" spans="1:11" s="196" customFormat="1">
      <c r="A4955" s="1170"/>
      <c r="B4955" s="150"/>
      <c r="C4955" s="228"/>
      <c r="D4955" s="472"/>
      <c r="E4955" s="228"/>
      <c r="F4955" s="585"/>
      <c r="G4955" s="338"/>
      <c r="H4955" s="592"/>
      <c r="I4955" s="520"/>
      <c r="J4955" s="421"/>
      <c r="K4955" s="520"/>
    </row>
    <row r="4956" spans="1:11" s="194" customFormat="1">
      <c r="A4956" s="1170"/>
      <c r="B4956" s="150" t="s">
        <v>6169</v>
      </c>
      <c r="C4956" s="2219">
        <v>18.11</v>
      </c>
      <c r="D4956" s="472">
        <f t="shared" ref="D4956:D4961" si="644">C4956*fcl*(1-0.24)</f>
        <v>22.985211999999997</v>
      </c>
      <c r="E4956" s="228">
        <v>3</v>
      </c>
      <c r="F4956" s="585">
        <f t="shared" ref="F4956:F4961" si="645">ROUNDUP(D4956+E4956,1)</f>
        <v>26</v>
      </c>
      <c r="G4956" s="338" t="s">
        <v>13286</v>
      </c>
      <c r="H4956" s="592">
        <v>1485</v>
      </c>
      <c r="I4956" s="520"/>
      <c r="J4956" s="421" t="s">
        <v>1962</v>
      </c>
      <c r="K4956" s="520" t="s">
        <v>741</v>
      </c>
    </row>
    <row r="4957" spans="1:11" s="194" customFormat="1">
      <c r="A4957" s="1170"/>
      <c r="B4957" s="150" t="s">
        <v>6170</v>
      </c>
      <c r="C4957" s="2219">
        <v>10.4</v>
      </c>
      <c r="D4957" s="472">
        <f t="shared" si="644"/>
        <v>13.199679999999999</v>
      </c>
      <c r="E4957" s="228">
        <v>3</v>
      </c>
      <c r="F4957" s="585">
        <f t="shared" si="645"/>
        <v>16.200000000000003</v>
      </c>
      <c r="G4957" s="338" t="s">
        <v>13287</v>
      </c>
      <c r="H4957" s="592">
        <v>288</v>
      </c>
      <c r="I4957" s="520"/>
      <c r="J4957" s="421" t="s">
        <v>1962</v>
      </c>
      <c r="K4957" s="520" t="s">
        <v>741</v>
      </c>
    </row>
    <row r="4958" spans="1:11" s="196" customFormat="1">
      <c r="A4958" s="1170"/>
      <c r="B4958" s="150" t="s">
        <v>8618</v>
      </c>
      <c r="C4958" s="2219">
        <v>26.41</v>
      </c>
      <c r="D4958" s="472">
        <f t="shared" si="644"/>
        <v>33.519572000000004</v>
      </c>
      <c r="E4958" s="228">
        <v>3</v>
      </c>
      <c r="F4958" s="585">
        <f t="shared" si="645"/>
        <v>36.6</v>
      </c>
      <c r="G4958" s="338" t="s">
        <v>9434</v>
      </c>
      <c r="H4958" s="592" t="s">
        <v>13288</v>
      </c>
      <c r="I4958" s="520"/>
      <c r="J4958" s="421" t="s">
        <v>1962</v>
      </c>
      <c r="K4958" s="520" t="s">
        <v>741</v>
      </c>
    </row>
    <row r="4959" spans="1:11" s="196" customFormat="1">
      <c r="A4959" s="1170"/>
      <c r="B4959" s="150" t="s">
        <v>8619</v>
      </c>
      <c r="C4959" s="2219">
        <v>33.94</v>
      </c>
      <c r="D4959" s="472">
        <f t="shared" si="644"/>
        <v>43.076647999999999</v>
      </c>
      <c r="E4959" s="228">
        <v>3</v>
      </c>
      <c r="F4959" s="585">
        <f t="shared" si="645"/>
        <v>46.1</v>
      </c>
      <c r="G4959" s="338" t="s">
        <v>9435</v>
      </c>
      <c r="H4959" s="592">
        <v>300</v>
      </c>
      <c r="I4959" s="520"/>
      <c r="J4959" s="421" t="s">
        <v>1962</v>
      </c>
      <c r="K4959" s="520" t="s">
        <v>741</v>
      </c>
    </row>
    <row r="4960" spans="1:11" s="196" customFormat="1">
      <c r="A4960" s="1170"/>
      <c r="B4960" s="150" t="s">
        <v>8616</v>
      </c>
      <c r="C4960" s="2219">
        <v>32.86</v>
      </c>
      <c r="D4960" s="472">
        <f t="shared" si="644"/>
        <v>41.705911999999998</v>
      </c>
      <c r="E4960" s="228">
        <v>3</v>
      </c>
      <c r="F4960" s="585">
        <f t="shared" si="645"/>
        <v>44.800000000000004</v>
      </c>
      <c r="G4960" s="338" t="s">
        <v>9432</v>
      </c>
      <c r="H4960" s="592" t="s">
        <v>12344</v>
      </c>
      <c r="I4960" s="520"/>
      <c r="J4960" s="421" t="s">
        <v>1962</v>
      </c>
      <c r="K4960" s="520" t="s">
        <v>741</v>
      </c>
    </row>
    <row r="4961" spans="1:11" s="196" customFormat="1">
      <c r="A4961" s="1170"/>
      <c r="B4961" s="150" t="s">
        <v>8617</v>
      </c>
      <c r="C4961" s="2219">
        <v>38.619999999999997</v>
      </c>
      <c r="D4961" s="472">
        <f t="shared" si="644"/>
        <v>49.016503999999991</v>
      </c>
      <c r="E4961" s="228">
        <v>3</v>
      </c>
      <c r="F4961" s="585">
        <f t="shared" si="645"/>
        <v>52.1</v>
      </c>
      <c r="G4961" s="338" t="s">
        <v>9433</v>
      </c>
      <c r="H4961" s="592">
        <v>3325</v>
      </c>
      <c r="I4961" s="520"/>
      <c r="J4961" s="421" t="s">
        <v>1962</v>
      </c>
      <c r="K4961" s="520" t="s">
        <v>741</v>
      </c>
    </row>
    <row r="4962" spans="1:11" s="196" customFormat="1">
      <c r="A4962" s="1170"/>
      <c r="B4962" s="150"/>
      <c r="C4962" s="209"/>
      <c r="D4962" s="244"/>
      <c r="E4962" s="228"/>
      <c r="F4962" s="585"/>
      <c r="G4962" s="338"/>
      <c r="H4962" s="592"/>
      <c r="I4962" s="520"/>
      <c r="J4962" s="421"/>
      <c r="K4962" s="520"/>
    </row>
    <row r="4963" spans="1:11" s="196" customFormat="1">
      <c r="A4963" s="1170"/>
      <c r="B4963" s="150" t="s">
        <v>13289</v>
      </c>
      <c r="C4963" s="2219">
        <v>96.5</v>
      </c>
      <c r="D4963" s="472">
        <f>C4963*fcl*(1-0.24)</f>
        <v>122.4778</v>
      </c>
      <c r="E4963" s="228">
        <v>3</v>
      </c>
      <c r="F4963" s="585">
        <f>ROUNDUP(D4963+E4963,1)</f>
        <v>125.5</v>
      </c>
      <c r="G4963" s="338" t="s">
        <v>13290</v>
      </c>
      <c r="H4963" s="592" t="s">
        <v>13291</v>
      </c>
      <c r="I4963" s="520"/>
      <c r="J4963" s="421" t="s">
        <v>1962</v>
      </c>
      <c r="K4963" s="520" t="s">
        <v>741</v>
      </c>
    </row>
    <row r="4964" spans="1:11" s="196" customFormat="1">
      <c r="A4964" s="1170"/>
      <c r="B4964" s="150" t="s">
        <v>13292</v>
      </c>
      <c r="C4964" s="2219">
        <v>78.180000000000007</v>
      </c>
      <c r="D4964" s="472">
        <f>C4964*fcl*(1-0.24)</f>
        <v>99.226056</v>
      </c>
      <c r="E4964" s="228">
        <v>3</v>
      </c>
      <c r="F4964" s="585">
        <f>ROUNDUP(D4964+E4964,1)</f>
        <v>102.3</v>
      </c>
      <c r="G4964" s="338" t="s">
        <v>13293</v>
      </c>
      <c r="H4964" s="592">
        <v>3374</v>
      </c>
      <c r="I4964" s="520"/>
      <c r="J4964" s="421" t="s">
        <v>1962</v>
      </c>
      <c r="K4964" s="520" t="s">
        <v>741</v>
      </c>
    </row>
    <row r="4965" spans="1:11" s="194" customFormat="1">
      <c r="A4965" s="421"/>
      <c r="B4965" s="150"/>
      <c r="C4965" s="228"/>
      <c r="D4965" s="228"/>
      <c r="E4965" s="228"/>
      <c r="F4965" s="585"/>
      <c r="G4965" s="338"/>
      <c r="H4965" s="592"/>
      <c r="I4965" s="520"/>
      <c r="J4965" s="421"/>
      <c r="K4965" s="520"/>
    </row>
    <row r="4966" spans="1:11" s="196" customFormat="1">
      <c r="A4966" s="1170"/>
      <c r="B4966" s="2230" t="s">
        <v>13356</v>
      </c>
      <c r="C4966" s="2231">
        <v>83</v>
      </c>
      <c r="D4966" s="2232">
        <f>C4966*fcl*(1-0.24)</f>
        <v>105.3436</v>
      </c>
      <c r="E4966" s="2232">
        <v>3</v>
      </c>
      <c r="F4966" s="2233">
        <f>ROUNDUP(D4966+E4966,1)</f>
        <v>108.39999999999999</v>
      </c>
      <c r="G4966" s="1969" t="s">
        <v>13357</v>
      </c>
      <c r="H4966" s="2234" t="s">
        <v>13291</v>
      </c>
      <c r="I4966" s="520"/>
      <c r="J4966" s="421" t="s">
        <v>1962</v>
      </c>
      <c r="K4966" s="520" t="s">
        <v>741</v>
      </c>
    </row>
    <row r="4967" spans="1:11" s="196" customFormat="1">
      <c r="A4967" s="1170"/>
      <c r="B4967" s="2230" t="s">
        <v>13358</v>
      </c>
      <c r="C4967" s="2231">
        <v>85.8</v>
      </c>
      <c r="D4967" s="2232">
        <f>C4967*fcl*(1-0.24)</f>
        <v>108.89736000000001</v>
      </c>
      <c r="E4967" s="2232">
        <v>3</v>
      </c>
      <c r="F4967" s="2233">
        <f>ROUNDUP(D4967+E4967,1)</f>
        <v>111.89999999999999</v>
      </c>
      <c r="G4967" s="1969" t="s">
        <v>13359</v>
      </c>
      <c r="H4967" s="2234">
        <v>3374</v>
      </c>
      <c r="I4967" s="520"/>
      <c r="J4967" s="421" t="s">
        <v>1962</v>
      </c>
      <c r="K4967" s="520" t="s">
        <v>741</v>
      </c>
    </row>
    <row r="4968" spans="1:11" s="194" customFormat="1">
      <c r="A4968" s="421"/>
      <c r="B4968" s="150"/>
      <c r="C4968" s="228"/>
      <c r="D4968" s="228"/>
      <c r="E4968" s="228"/>
      <c r="F4968" s="585"/>
      <c r="G4968" s="338"/>
      <c r="H4968" s="592"/>
      <c r="I4968" s="520"/>
      <c r="J4968" s="421"/>
      <c r="K4968" s="520"/>
    </row>
    <row r="4969" spans="1:11" s="196" customFormat="1">
      <c r="A4969" s="1170"/>
      <c r="B4969" s="2230" t="s">
        <v>13360</v>
      </c>
      <c r="C4969" s="2231">
        <v>28</v>
      </c>
      <c r="D4969" s="2232">
        <f t="shared" ref="D4969:D4970" si="646">C4969*fcl*(1-0.24)</f>
        <v>35.537599999999998</v>
      </c>
      <c r="E4969" s="2232">
        <v>3</v>
      </c>
      <c r="F4969" s="2233">
        <f t="shared" ref="F4969:F4970" si="647">ROUNDUP(D4969+E4969,1)</f>
        <v>38.6</v>
      </c>
      <c r="G4969" s="1969" t="s">
        <v>13361</v>
      </c>
      <c r="H4969" s="2234" t="s">
        <v>13362</v>
      </c>
      <c r="I4969" s="520"/>
      <c r="J4969" s="421" t="s">
        <v>1962</v>
      </c>
      <c r="K4969" s="520" t="s">
        <v>741</v>
      </c>
    </row>
    <row r="4970" spans="1:11" s="196" customFormat="1">
      <c r="A4970" s="1170"/>
      <c r="B4970" s="2230" t="s">
        <v>13363</v>
      </c>
      <c r="C4970" s="2231">
        <v>46</v>
      </c>
      <c r="D4970" s="2232">
        <f t="shared" si="646"/>
        <v>58.383199999999995</v>
      </c>
      <c r="E4970" s="2232">
        <v>3</v>
      </c>
      <c r="F4970" s="2233">
        <f t="shared" si="647"/>
        <v>61.4</v>
      </c>
      <c r="G4970" s="1969" t="s">
        <v>13364</v>
      </c>
      <c r="H4970" s="2234" t="s">
        <v>13365</v>
      </c>
      <c r="I4970" s="520"/>
      <c r="J4970" s="421" t="s">
        <v>1962</v>
      </c>
      <c r="K4970" s="520" t="s">
        <v>741</v>
      </c>
    </row>
    <row r="4971" spans="1:11" s="196" customFormat="1">
      <c r="A4971" s="421"/>
      <c r="B4971" s="150"/>
      <c r="C4971" s="209"/>
      <c r="D4971" s="244"/>
      <c r="E4971" s="228"/>
      <c r="F4971" s="585"/>
      <c r="G4971" s="338"/>
      <c r="H4971" s="592"/>
      <c r="I4971" s="520"/>
      <c r="J4971" s="421"/>
      <c r="K4971" s="520"/>
    </row>
    <row r="4972" spans="1:11" s="194" customFormat="1">
      <c r="A4972" s="421"/>
      <c r="B4972" s="150"/>
      <c r="C4972" s="228"/>
      <c r="D4972" s="228"/>
      <c r="E4972" s="228"/>
      <c r="F4972" s="585"/>
      <c r="G4972" s="338"/>
      <c r="H4972" s="592"/>
      <c r="I4972" s="520"/>
      <c r="J4972" s="421"/>
      <c r="K4972" s="520"/>
    </row>
    <row r="4973" spans="1:11" s="194" customFormat="1">
      <c r="A4973" s="1743"/>
      <c r="B4973" s="150" t="s">
        <v>13898</v>
      </c>
      <c r="C4973" s="2510">
        <v>10</v>
      </c>
      <c r="D4973" s="472">
        <f>C4973*fcl*(1-0.2)/TC</f>
        <v>3.9880597014925372</v>
      </c>
      <c r="E4973" s="228">
        <v>3</v>
      </c>
      <c r="F4973" s="585">
        <f>ROUNDUP(D4973+E4973,1)</f>
        <v>7</v>
      </c>
      <c r="G4973" s="338" t="s">
        <v>13899</v>
      </c>
      <c r="H4973" s="592"/>
      <c r="I4973" s="520"/>
      <c r="J4973" s="421" t="s">
        <v>1961</v>
      </c>
      <c r="K4973" s="520" t="s">
        <v>741</v>
      </c>
    </row>
    <row r="4974" spans="1:11" s="194" customFormat="1">
      <c r="A4974" s="421"/>
      <c r="B4974" s="150"/>
      <c r="C4974" s="2510"/>
      <c r="D4974" s="228"/>
      <c r="E4974" s="228"/>
      <c r="F4974" s="585"/>
      <c r="G4974" s="338"/>
      <c r="H4974" s="592"/>
      <c r="I4974" s="520"/>
      <c r="J4974" s="421"/>
      <c r="K4974" s="520"/>
    </row>
    <row r="4975" spans="1:11" s="196" customFormat="1" ht="12.75" customHeight="1">
      <c r="A4975" s="1732"/>
      <c r="B4975" s="150" t="s">
        <v>14002</v>
      </c>
      <c r="C4975" s="2510">
        <v>18.7</v>
      </c>
      <c r="D4975" s="472">
        <f>C4975*fcl*(1-0.2)/TC</f>
        <v>7.4576716417910447</v>
      </c>
      <c r="E4975" s="228">
        <v>3</v>
      </c>
      <c r="F4975" s="585">
        <f>ROUNDUP(D4975+E4975,1)</f>
        <v>10.5</v>
      </c>
      <c r="G4975" s="338" t="s">
        <v>14003</v>
      </c>
      <c r="H4975" s="592">
        <v>1475</v>
      </c>
      <c r="I4975" s="520"/>
      <c r="J4975" s="421" t="s">
        <v>1962</v>
      </c>
      <c r="K4975" s="520" t="s">
        <v>741</v>
      </c>
    </row>
    <row r="4976" spans="1:11" s="194" customFormat="1">
      <c r="A4976" s="421"/>
      <c r="B4976" s="150"/>
      <c r="C4976" s="637"/>
      <c r="D4976" s="228"/>
      <c r="E4976" s="228"/>
      <c r="F4976" s="585"/>
      <c r="G4976" s="338"/>
      <c r="H4976" s="592"/>
      <c r="I4976" s="520"/>
      <c r="J4976" s="421"/>
      <c r="K4976" s="520"/>
    </row>
    <row r="4977" spans="1:12" s="196" customFormat="1" ht="12.75" customHeight="1">
      <c r="A4977" s="1732"/>
      <c r="B4977" s="150" t="s">
        <v>11754</v>
      </c>
      <c r="C4977" s="2510">
        <v>28.378</v>
      </c>
      <c r="D4977" s="472">
        <f>C4977*fcl*(1-0.2)/TC</f>
        <v>11.317315820895521</v>
      </c>
      <c r="E4977" s="228">
        <v>3</v>
      </c>
      <c r="F4977" s="585">
        <f>ROUNDUP(D4977+E4977,1)</f>
        <v>14.4</v>
      </c>
      <c r="G4977" s="338" t="s">
        <v>11755</v>
      </c>
      <c r="H4977" s="592">
        <v>1475</v>
      </c>
      <c r="I4977" s="520"/>
      <c r="J4977" s="421" t="s">
        <v>1962</v>
      </c>
      <c r="K4977" s="520" t="s">
        <v>741</v>
      </c>
    </row>
    <row r="4978" spans="1:12" s="196" customFormat="1" ht="12.75" customHeight="1">
      <c r="A4978" s="1732"/>
      <c r="B4978" s="150" t="s">
        <v>11756</v>
      </c>
      <c r="C4978" s="2510">
        <v>9.49</v>
      </c>
      <c r="D4978" s="472">
        <f>C4978*fcl*(1-0.2)/TC</f>
        <v>3.7846686567164181</v>
      </c>
      <c r="E4978" s="228">
        <v>3</v>
      </c>
      <c r="F4978" s="585">
        <f>ROUNDUP(D4978+E4978,1)</f>
        <v>6.8</v>
      </c>
      <c r="G4978" s="338" t="s">
        <v>11757</v>
      </c>
      <c r="H4978" s="592">
        <v>1475</v>
      </c>
      <c r="I4978" s="520"/>
      <c r="J4978" s="421" t="s">
        <v>1962</v>
      </c>
      <c r="K4978" s="520" t="s">
        <v>741</v>
      </c>
    </row>
    <row r="4979" spans="1:12" s="196" customFormat="1" ht="12.75" customHeight="1">
      <c r="A4979" s="1732"/>
      <c r="B4979" s="150" t="s">
        <v>11758</v>
      </c>
      <c r="C4979" s="2510">
        <v>1.65</v>
      </c>
      <c r="D4979" s="472">
        <f>C4979*fcl*(1-0.2)/TC</f>
        <v>0.65802985074626852</v>
      </c>
      <c r="E4979" s="228">
        <v>3</v>
      </c>
      <c r="F4979" s="585">
        <f>ROUNDUP(D4979+E4979,1)</f>
        <v>3.7</v>
      </c>
      <c r="G4979" s="338" t="s">
        <v>11759</v>
      </c>
      <c r="H4979" s="592">
        <v>1475</v>
      </c>
      <c r="I4979" s="520"/>
      <c r="J4979" s="421" t="s">
        <v>1962</v>
      </c>
      <c r="K4979" s="520" t="s">
        <v>741</v>
      </c>
    </row>
    <row r="4980" spans="1:12" s="194" customFormat="1">
      <c r="A4980" s="421"/>
      <c r="B4980" s="150"/>
      <c r="C4980" s="637"/>
      <c r="D4980" s="228"/>
      <c r="E4980" s="228"/>
      <c r="F4980" s="585"/>
      <c r="G4980" s="338"/>
      <c r="H4980" s="592"/>
      <c r="I4980" s="520"/>
      <c r="J4980" s="421"/>
      <c r="K4980" s="520"/>
    </row>
    <row r="4981" spans="1:12" s="194" customFormat="1">
      <c r="A4981" s="421"/>
      <c r="B4981" s="150"/>
      <c r="C4981" s="637"/>
      <c r="D4981" s="228"/>
      <c r="E4981" s="228"/>
      <c r="F4981" s="585"/>
      <c r="G4981" s="338"/>
      <c r="H4981" s="592"/>
      <c r="I4981" s="520"/>
      <c r="J4981" s="421"/>
      <c r="K4981" s="520"/>
    </row>
    <row r="4982" spans="1:12" s="194" customFormat="1">
      <c r="A4982" s="1963"/>
      <c r="B4982" s="150" t="s">
        <v>9945</v>
      </c>
      <c r="C4982" s="637">
        <v>19</v>
      </c>
      <c r="D4982" s="472">
        <f>C4982*fcl*(1-0.2)/TC</f>
        <v>7.5773134328358207</v>
      </c>
      <c r="E4982" s="228">
        <v>3</v>
      </c>
      <c r="F4982" s="585">
        <f t="shared" ref="F4982:F4983" si="648">ROUNDUP(D4982+E4982,1)</f>
        <v>10.6</v>
      </c>
      <c r="G4982" s="338" t="s">
        <v>9946</v>
      </c>
      <c r="H4982" s="592" t="s">
        <v>9947</v>
      </c>
      <c r="I4982" s="520"/>
      <c r="J4982" s="421" t="s">
        <v>1961</v>
      </c>
      <c r="K4982" s="520" t="s">
        <v>741</v>
      </c>
    </row>
    <row r="4983" spans="1:12" s="194" customFormat="1">
      <c r="A4983" s="1963"/>
      <c r="B4983" s="150" t="s">
        <v>9948</v>
      </c>
      <c r="C4983" s="637">
        <v>41</v>
      </c>
      <c r="D4983" s="472">
        <f>C4983*fcl*(1-0.2)/TC</f>
        <v>16.351044776119405</v>
      </c>
      <c r="E4983" s="228">
        <v>3</v>
      </c>
      <c r="F4983" s="585">
        <f t="shared" si="648"/>
        <v>19.400000000000002</v>
      </c>
      <c r="G4983" s="338" t="s">
        <v>9949</v>
      </c>
      <c r="H4983" s="592">
        <v>25603</v>
      </c>
      <c r="I4983" s="520"/>
      <c r="J4983" s="421" t="s">
        <v>1961</v>
      </c>
      <c r="K4983" s="520" t="s">
        <v>741</v>
      </c>
    </row>
    <row r="4984" spans="1:12" s="194" customFormat="1">
      <c r="A4984" s="421"/>
      <c r="B4984" s="150"/>
      <c r="C4984" s="637"/>
      <c r="D4984" s="228"/>
      <c r="E4984" s="228"/>
      <c r="F4984" s="585"/>
      <c r="G4984" s="338"/>
      <c r="H4984" s="592"/>
      <c r="I4984" s="520"/>
      <c r="J4984" s="421"/>
      <c r="K4984" s="520"/>
    </row>
    <row r="4985" spans="1:12" s="196" customFormat="1">
      <c r="A4985" s="1963"/>
      <c r="B4985" s="150" t="s">
        <v>13294</v>
      </c>
      <c r="C4985" s="637">
        <v>14</v>
      </c>
      <c r="D4985" s="472">
        <f>C4985*fcl*(1-0)/TC</f>
        <v>6.9791044776119397</v>
      </c>
      <c r="E4985" s="228">
        <v>3</v>
      </c>
      <c r="F4985" s="585">
        <f t="shared" ref="F4985:F4988" si="649">ROUNDUP(D4985+E4985,1)</f>
        <v>10</v>
      </c>
      <c r="G4985" s="338" t="s">
        <v>13295</v>
      </c>
      <c r="H4985" s="592">
        <v>5025</v>
      </c>
      <c r="I4985" s="520"/>
      <c r="J4985" s="421" t="s">
        <v>1961</v>
      </c>
      <c r="K4985" s="520" t="s">
        <v>741</v>
      </c>
    </row>
    <row r="4986" spans="1:12" s="196" customFormat="1">
      <c r="A4986" s="1963"/>
      <c r="B4986" s="150" t="s">
        <v>13296</v>
      </c>
      <c r="C4986" s="637">
        <v>14</v>
      </c>
      <c r="D4986" s="472">
        <f>C4986*fcl*(1-0)/TC</f>
        <v>6.9791044776119397</v>
      </c>
      <c r="E4986" s="228">
        <v>3</v>
      </c>
      <c r="F4986" s="585">
        <f t="shared" si="649"/>
        <v>10</v>
      </c>
      <c r="G4986" s="338" t="s">
        <v>13297</v>
      </c>
      <c r="H4986" s="592">
        <v>5025</v>
      </c>
      <c r="I4986" s="552"/>
      <c r="J4986" s="421" t="s">
        <v>1961</v>
      </c>
      <c r="K4986" s="520" t="s">
        <v>741</v>
      </c>
    </row>
    <row r="4987" spans="1:12" s="196" customFormat="1">
      <c r="A4987" s="1963"/>
      <c r="B4987" s="150" t="s">
        <v>13298</v>
      </c>
      <c r="C4987" s="637">
        <v>14</v>
      </c>
      <c r="D4987" s="472">
        <f>C4987*fcl*(1-0)/TC</f>
        <v>6.9791044776119397</v>
      </c>
      <c r="E4987" s="228">
        <v>3</v>
      </c>
      <c r="F4987" s="585">
        <f t="shared" si="649"/>
        <v>10</v>
      </c>
      <c r="G4987" s="338" t="s">
        <v>13299</v>
      </c>
      <c r="H4987" s="592">
        <v>5028</v>
      </c>
      <c r="I4987" s="520"/>
      <c r="J4987" s="421" t="s">
        <v>1961</v>
      </c>
      <c r="K4987" s="520" t="s">
        <v>741</v>
      </c>
    </row>
    <row r="4988" spans="1:12" s="196" customFormat="1">
      <c r="A4988" s="1963"/>
      <c r="B4988" s="150" t="s">
        <v>13300</v>
      </c>
      <c r="C4988" s="637">
        <v>50</v>
      </c>
      <c r="D4988" s="472">
        <f>C4988*fcl*(1-0)/TC</f>
        <v>24.925373134328357</v>
      </c>
      <c r="E4988" s="228">
        <v>3</v>
      </c>
      <c r="F4988" s="585">
        <f t="shared" si="649"/>
        <v>28</v>
      </c>
      <c r="G4988" s="338" t="s">
        <v>13301</v>
      </c>
      <c r="H4988" s="592">
        <v>25502</v>
      </c>
      <c r="I4988" s="552"/>
      <c r="J4988" s="421" t="s">
        <v>1961</v>
      </c>
      <c r="K4988" s="520" t="s">
        <v>741</v>
      </c>
    </row>
    <row r="4989" spans="1:12" s="196" customFormat="1">
      <c r="A4989" s="421"/>
      <c r="B4989" s="150"/>
      <c r="C4989" s="228"/>
      <c r="D4989" s="228"/>
      <c r="E4989" s="228"/>
      <c r="F4989" s="585"/>
      <c r="G4989" s="338"/>
      <c r="H4989" s="592"/>
      <c r="I4989" s="520"/>
      <c r="J4989" s="421"/>
      <c r="K4989" s="520"/>
    </row>
    <row r="4990" spans="1:12" s="196" customFormat="1">
      <c r="A4990" s="515"/>
      <c r="B4990" s="554"/>
      <c r="C4990" s="558"/>
      <c r="D4990" s="559"/>
      <c r="E4990" s="560"/>
      <c r="F4990" s="163"/>
      <c r="G4990" s="145"/>
      <c r="H4990" s="546"/>
      <c r="I4990" s="552"/>
      <c r="J4990" s="515"/>
      <c r="K4990" s="552"/>
    </row>
    <row r="4991" spans="1:12" s="196" customFormat="1">
      <c r="A4991" s="421"/>
      <c r="B4991" s="150" t="s">
        <v>1963</v>
      </c>
      <c r="C4991" s="209">
        <f>(21+4)*(TC/3)</f>
        <v>27.916666666666668</v>
      </c>
      <c r="D4991" s="228">
        <f>C4991*fcl*(1-0)/TC</f>
        <v>13.916666666666666</v>
      </c>
      <c r="E4991" s="228">
        <v>2</v>
      </c>
      <c r="F4991" s="585">
        <f>ROUNDUP(D4991+E4991,1)</f>
        <v>16</v>
      </c>
      <c r="G4991" s="338" t="s">
        <v>1964</v>
      </c>
      <c r="H4991" s="592"/>
      <c r="I4991" s="520"/>
      <c r="J4991" s="421" t="s">
        <v>1961</v>
      </c>
      <c r="K4991" s="520" t="s">
        <v>741</v>
      </c>
    </row>
    <row r="4992" spans="1:12" s="194" customFormat="1">
      <c r="A4992" s="421"/>
      <c r="B4992" s="150" t="s">
        <v>1965</v>
      </c>
      <c r="C4992" s="209">
        <f>(7+2)*(TC/3)</f>
        <v>10.050000000000001</v>
      </c>
      <c r="D4992" s="228">
        <f>C4992*fcl*(1-0)/TC</f>
        <v>5.01</v>
      </c>
      <c r="E4992" s="228">
        <v>1</v>
      </c>
      <c r="F4992" s="585">
        <f>ROUNDUP(D4992+E4992,1)</f>
        <v>6.1</v>
      </c>
      <c r="G4992" s="338" t="s">
        <v>1966</v>
      </c>
      <c r="H4992" s="592"/>
      <c r="I4992" s="520"/>
      <c r="J4992" s="421" t="s">
        <v>1961</v>
      </c>
      <c r="K4992" s="520" t="s">
        <v>741</v>
      </c>
      <c r="L4992" s="146"/>
    </row>
    <row r="4993" spans="1:11" s="194" customFormat="1">
      <c r="A4993" s="421"/>
      <c r="B4993" s="150"/>
      <c r="C4993" s="209"/>
      <c r="D4993" s="228"/>
      <c r="E4993" s="228"/>
      <c r="F4993" s="585"/>
      <c r="G4993" s="338"/>
      <c r="H4993" s="592"/>
      <c r="I4993" s="520"/>
      <c r="J4993" s="421"/>
      <c r="K4993" s="520"/>
    </row>
    <row r="4994" spans="1:11" s="194" customFormat="1">
      <c r="A4994" s="421"/>
      <c r="B4994" s="150"/>
      <c r="C4994" s="209"/>
      <c r="D4994" s="228"/>
      <c r="E4994" s="228"/>
      <c r="F4994" s="585"/>
      <c r="G4994" s="338"/>
      <c r="H4994" s="592"/>
      <c r="I4994" s="520"/>
      <c r="J4994" s="421"/>
      <c r="K4994" s="520"/>
    </row>
    <row r="4995" spans="1:11" s="196" customFormat="1">
      <c r="A4995" s="421"/>
      <c r="B4995" s="150" t="s">
        <v>9698</v>
      </c>
      <c r="C4995" s="209">
        <v>111.96</v>
      </c>
      <c r="D4995" s="228">
        <f>C4995*fcl*(1-0)/TC</f>
        <v>55.812895522388054</v>
      </c>
      <c r="E4995" s="228">
        <v>15</v>
      </c>
      <c r="F4995" s="585">
        <f>ROUNDUP(D4995+E4995,1)</f>
        <v>70.899999999999991</v>
      </c>
      <c r="G4995" s="338" t="s">
        <v>9699</v>
      </c>
      <c r="H4995" s="592">
        <v>27006</v>
      </c>
      <c r="I4995" s="520"/>
      <c r="J4995" s="421" t="s">
        <v>1961</v>
      </c>
      <c r="K4995" s="520" t="s">
        <v>741</v>
      </c>
    </row>
    <row r="4996" spans="1:11" s="196" customFormat="1">
      <c r="A4996" s="421"/>
      <c r="B4996" s="150" t="s">
        <v>9700</v>
      </c>
      <c r="C4996" s="209">
        <v>111.96</v>
      </c>
      <c r="D4996" s="228">
        <f>C4996*fcl*(1-0)/TC</f>
        <v>55.812895522388054</v>
      </c>
      <c r="E4996" s="228">
        <v>15</v>
      </c>
      <c r="F4996" s="585">
        <f>ROUNDUP(D4996+E4996,1)</f>
        <v>70.899999999999991</v>
      </c>
      <c r="G4996" s="338" t="s">
        <v>9701</v>
      </c>
      <c r="H4996" s="592">
        <v>27005</v>
      </c>
      <c r="I4996" s="520"/>
      <c r="J4996" s="421" t="s">
        <v>1961</v>
      </c>
      <c r="K4996" s="520" t="s">
        <v>741</v>
      </c>
    </row>
    <row r="4997" spans="1:11" s="196" customFormat="1">
      <c r="A4997" s="421"/>
      <c r="B4997" s="150"/>
      <c r="C4997" s="209"/>
      <c r="D4997" s="472"/>
      <c r="E4997" s="228"/>
      <c r="F4997" s="585"/>
      <c r="G4997" s="338"/>
      <c r="H4997" s="592"/>
      <c r="I4997" s="520"/>
      <c r="J4997" s="421"/>
      <c r="K4997" s="520"/>
    </row>
    <row r="4998" spans="1:11" s="196" customFormat="1">
      <c r="A4998" s="421"/>
      <c r="B4998" s="150" t="s">
        <v>9702</v>
      </c>
      <c r="C4998" s="209">
        <v>22.81</v>
      </c>
      <c r="D4998" s="228">
        <f>C4998*fcl*(1-0)/TC</f>
        <v>11.370955223880594</v>
      </c>
      <c r="E4998" s="228">
        <v>0</v>
      </c>
      <c r="F4998" s="585">
        <f>ROUNDUP(D4998+E4998,1)</f>
        <v>11.4</v>
      </c>
      <c r="G4998" s="338" t="s">
        <v>9703</v>
      </c>
      <c r="H4998" s="592" t="s">
        <v>9704</v>
      </c>
      <c r="I4998" s="520"/>
      <c r="J4998" s="421" t="s">
        <v>1961</v>
      </c>
      <c r="K4998" s="520" t="s">
        <v>741</v>
      </c>
    </row>
    <row r="4999" spans="1:11" s="196" customFormat="1">
      <c r="A4999" s="421"/>
      <c r="B4999" s="150" t="s">
        <v>9705</v>
      </c>
      <c r="C4999" s="209">
        <v>22.81</v>
      </c>
      <c r="D4999" s="228">
        <f>C4999*fcl*(1-0)/TC</f>
        <v>11.370955223880594</v>
      </c>
      <c r="E4999" s="228">
        <v>0</v>
      </c>
      <c r="F4999" s="585">
        <f>ROUNDUP(D4999+E4999,1)</f>
        <v>11.4</v>
      </c>
      <c r="G4999" s="338" t="s">
        <v>9706</v>
      </c>
      <c r="H4999" s="592" t="s">
        <v>9707</v>
      </c>
      <c r="I4999" s="520"/>
      <c r="J4999" s="421" t="s">
        <v>1961</v>
      </c>
      <c r="K4999" s="520" t="s">
        <v>741</v>
      </c>
    </row>
    <row r="5000" spans="1:11" s="196" customFormat="1">
      <c r="A5000" s="421"/>
      <c r="B5000" s="150" t="s">
        <v>9708</v>
      </c>
      <c r="C5000" s="209">
        <v>22.81</v>
      </c>
      <c r="D5000" s="228">
        <f>C5000*fcl*(1-0)/TC</f>
        <v>11.370955223880594</v>
      </c>
      <c r="E5000" s="228">
        <v>0</v>
      </c>
      <c r="F5000" s="585">
        <f>ROUNDUP(D5000+E5000,1)</f>
        <v>11.4</v>
      </c>
      <c r="G5000" s="338" t="s">
        <v>9709</v>
      </c>
      <c r="H5000" s="592" t="s">
        <v>9710</v>
      </c>
      <c r="I5000" s="520"/>
      <c r="J5000" s="421" t="s">
        <v>1961</v>
      </c>
      <c r="K5000" s="520" t="s">
        <v>741</v>
      </c>
    </row>
    <row r="5001" spans="1:11" s="196" customFormat="1">
      <c r="A5001" s="421"/>
      <c r="B5001" s="150" t="s">
        <v>9711</v>
      </c>
      <c r="C5001" s="209">
        <v>22.81</v>
      </c>
      <c r="D5001" s="228">
        <f>C5001*fcl*(1-0)/TC</f>
        <v>11.370955223880594</v>
      </c>
      <c r="E5001" s="228">
        <v>0</v>
      </c>
      <c r="F5001" s="585">
        <f>ROUNDUP(D5001+E5001,1)</f>
        <v>11.4</v>
      </c>
      <c r="G5001" s="338" t="s">
        <v>9712</v>
      </c>
      <c r="H5001" s="592" t="s">
        <v>9713</v>
      </c>
      <c r="I5001" s="520"/>
      <c r="J5001" s="421" t="s">
        <v>1961</v>
      </c>
      <c r="K5001" s="520" t="s">
        <v>741</v>
      </c>
    </row>
    <row r="5002" spans="1:11" s="196" customFormat="1">
      <c r="A5002" s="421"/>
      <c r="B5002" s="150"/>
      <c r="C5002" s="209"/>
      <c r="D5002" s="472"/>
      <c r="E5002" s="228"/>
      <c r="F5002" s="585"/>
      <c r="G5002" s="338"/>
      <c r="H5002" s="592"/>
      <c r="I5002" s="520"/>
      <c r="J5002" s="421"/>
      <c r="K5002" s="520"/>
    </row>
    <row r="5003" spans="1:11" s="196" customFormat="1">
      <c r="A5003" s="421"/>
      <c r="B5003" s="150" t="s">
        <v>9714</v>
      </c>
      <c r="C5003" s="209">
        <v>65.319999999999993</v>
      </c>
      <c r="D5003" s="228">
        <f>C5003*fcl*(1-0)/TC</f>
        <v>32.562507462686561</v>
      </c>
      <c r="E5003" s="228">
        <v>0</v>
      </c>
      <c r="F5003" s="585">
        <f>ROUNDUP(D5003+E5003,1)</f>
        <v>32.6</v>
      </c>
      <c r="G5003" s="338" t="s">
        <v>9715</v>
      </c>
      <c r="H5003" s="592" t="s">
        <v>9716</v>
      </c>
      <c r="I5003" s="520"/>
      <c r="J5003" s="421" t="s">
        <v>1961</v>
      </c>
      <c r="K5003" s="520" t="s">
        <v>741</v>
      </c>
    </row>
    <row r="5004" spans="1:11" s="196" customFormat="1">
      <c r="A5004" s="421"/>
      <c r="B5004" s="150"/>
      <c r="C5004" s="209"/>
      <c r="D5004" s="472"/>
      <c r="E5004" s="228"/>
      <c r="F5004" s="585"/>
      <c r="G5004" s="338"/>
      <c r="H5004" s="592"/>
      <c r="I5004" s="520"/>
      <c r="J5004" s="421"/>
      <c r="K5004" s="520"/>
    </row>
    <row r="5005" spans="1:11" s="196" customFormat="1">
      <c r="A5005" s="421"/>
      <c r="B5005" s="150"/>
      <c r="C5005" s="209"/>
      <c r="D5005" s="472"/>
      <c r="E5005" s="228"/>
      <c r="F5005" s="585"/>
      <c r="G5005" s="338"/>
      <c r="H5005" s="592"/>
      <c r="I5005" s="520"/>
      <c r="J5005" s="421"/>
      <c r="K5005" s="520"/>
    </row>
    <row r="5006" spans="1:11" s="196" customFormat="1">
      <c r="A5006" s="421"/>
      <c r="B5006" s="150" t="s">
        <v>9717</v>
      </c>
      <c r="C5006" s="209">
        <v>80.47</v>
      </c>
      <c r="D5006" s="228">
        <f>C5006*fcl*(1-0)/TC</f>
        <v>40.114895522388053</v>
      </c>
      <c r="E5006" s="228">
        <v>3</v>
      </c>
      <c r="F5006" s="585">
        <f>ROUNDUP(D5006+E5006,1)</f>
        <v>43.2</v>
      </c>
      <c r="G5006" s="338" t="s">
        <v>9718</v>
      </c>
      <c r="H5006" s="592" t="s">
        <v>9719</v>
      </c>
      <c r="I5006" s="520"/>
      <c r="J5006" s="421" t="s">
        <v>1961</v>
      </c>
      <c r="K5006" s="520" t="s">
        <v>741</v>
      </c>
    </row>
    <row r="5007" spans="1:11" s="196" customFormat="1">
      <c r="A5007" s="421"/>
      <c r="B5007" s="150" t="s">
        <v>9720</v>
      </c>
      <c r="C5007" s="209">
        <v>88.51</v>
      </c>
      <c r="D5007" s="228">
        <f>C5007*fcl*(1-0)/TC</f>
        <v>44.122895522388056</v>
      </c>
      <c r="E5007" s="228">
        <v>3</v>
      </c>
      <c r="F5007" s="585">
        <f>ROUNDUP(D5007+E5007,1)</f>
        <v>47.2</v>
      </c>
      <c r="G5007" s="338" t="s">
        <v>9721</v>
      </c>
      <c r="H5007" s="592" t="s">
        <v>9722</v>
      </c>
      <c r="I5007" s="520"/>
      <c r="J5007" s="421" t="s">
        <v>1961</v>
      </c>
      <c r="K5007" s="520" t="s">
        <v>741</v>
      </c>
    </row>
    <row r="5008" spans="1:11" s="196" customFormat="1">
      <c r="A5008" s="421"/>
      <c r="B5008" s="150"/>
      <c r="C5008" s="209"/>
      <c r="D5008" s="472"/>
      <c r="E5008" s="228"/>
      <c r="F5008" s="585"/>
      <c r="G5008" s="338"/>
      <c r="H5008" s="592"/>
      <c r="I5008" s="520"/>
      <c r="J5008" s="421"/>
      <c r="K5008" s="520"/>
    </row>
    <row r="5009" spans="1:11" s="196" customFormat="1">
      <c r="A5009" s="421"/>
      <c r="B5009" s="150" t="s">
        <v>9723</v>
      </c>
      <c r="C5009" s="209">
        <v>204.48</v>
      </c>
      <c r="D5009" s="228">
        <f>C5009*fcl*(1-0)/TC</f>
        <v>101.93480597014924</v>
      </c>
      <c r="E5009" s="228">
        <v>3</v>
      </c>
      <c r="F5009" s="585">
        <f>ROUNDUP(D5009+E5009,1)</f>
        <v>105</v>
      </c>
      <c r="G5009" s="338" t="s">
        <v>9724</v>
      </c>
      <c r="H5009" s="592" t="s">
        <v>9725</v>
      </c>
      <c r="I5009" s="520"/>
      <c r="J5009" s="421" t="s">
        <v>1961</v>
      </c>
      <c r="K5009" s="520" t="s">
        <v>741</v>
      </c>
    </row>
    <row r="5010" spans="1:11" s="196" customFormat="1">
      <c r="A5010" s="421"/>
      <c r="B5010" s="150"/>
      <c r="C5010" s="209"/>
      <c r="D5010" s="472"/>
      <c r="E5010" s="228"/>
      <c r="F5010" s="585"/>
      <c r="G5010" s="338"/>
      <c r="H5010" s="592"/>
      <c r="I5010" s="520"/>
      <c r="J5010" s="421"/>
      <c r="K5010" s="520"/>
    </row>
    <row r="5011" spans="1:11" s="194" customFormat="1">
      <c r="A5011" s="515"/>
      <c r="B5011" s="554"/>
      <c r="C5011" s="558"/>
      <c r="D5011" s="559"/>
      <c r="E5011" s="560"/>
      <c r="F5011" s="163"/>
      <c r="G5011" s="145"/>
      <c r="H5011" s="546"/>
      <c r="I5011" s="552"/>
      <c r="J5011" s="515"/>
      <c r="K5011" s="552"/>
    </row>
    <row r="5012" spans="1:11" s="196" customFormat="1">
      <c r="A5012" s="421"/>
      <c r="B5012" s="150" t="s">
        <v>1715</v>
      </c>
      <c r="C5012" s="228">
        <v>23.28</v>
      </c>
      <c r="D5012" s="472">
        <f>C5012*fcl*(1-0)</f>
        <v>38.877600000000001</v>
      </c>
      <c r="E5012" s="228">
        <v>5</v>
      </c>
      <c r="F5012" s="585">
        <f>ROUNDUP(D5012+E5012,1)</f>
        <v>43.9</v>
      </c>
      <c r="G5012" s="338" t="s">
        <v>1716</v>
      </c>
      <c r="H5012" s="592"/>
      <c r="I5012" s="520"/>
      <c r="J5012" s="421" t="s">
        <v>1715</v>
      </c>
      <c r="K5012" s="520" t="s">
        <v>741</v>
      </c>
    </row>
    <row r="5013" spans="1:11" s="196" customFormat="1">
      <c r="A5013" s="421"/>
      <c r="B5013" s="150" t="s">
        <v>1717</v>
      </c>
      <c r="C5013" s="228">
        <v>41.8</v>
      </c>
      <c r="D5013" s="472">
        <f>C5013*fcl*(1-0)</f>
        <v>69.805999999999997</v>
      </c>
      <c r="E5013" s="228">
        <v>5</v>
      </c>
      <c r="F5013" s="585">
        <f>ROUNDUP(D5013+E5013,1)</f>
        <v>74.899999999999991</v>
      </c>
      <c r="G5013" s="338" t="s">
        <v>1718</v>
      </c>
      <c r="H5013" s="592"/>
      <c r="I5013" s="520"/>
      <c r="J5013" s="421" t="s">
        <v>1715</v>
      </c>
      <c r="K5013" s="520" t="s">
        <v>741</v>
      </c>
    </row>
    <row r="5014" spans="1:11" s="196" customFormat="1">
      <c r="A5014" s="515"/>
      <c r="B5014" s="554"/>
      <c r="C5014" s="558"/>
      <c r="D5014" s="559"/>
      <c r="E5014" s="560"/>
      <c r="F5014" s="163"/>
      <c r="G5014" s="145"/>
      <c r="H5014" s="546"/>
      <c r="I5014" s="552"/>
      <c r="J5014" s="515"/>
      <c r="K5014" s="552"/>
    </row>
    <row r="5015" spans="1:11" s="196" customFormat="1">
      <c r="A5015" s="421"/>
      <c r="B5015" s="150"/>
      <c r="C5015" s="209"/>
      <c r="D5015" s="228"/>
      <c r="E5015" s="228"/>
      <c r="F5015" s="585"/>
      <c r="G5015" s="338"/>
      <c r="H5015" s="592"/>
      <c r="I5015" s="520"/>
      <c r="J5015" s="421"/>
      <c r="K5015" s="520"/>
    </row>
    <row r="5016" spans="1:11" s="196" customFormat="1">
      <c r="A5016" s="589"/>
      <c r="B5016" s="151"/>
      <c r="C5016" s="209"/>
      <c r="D5016" s="243"/>
      <c r="E5016" s="228"/>
      <c r="F5016" s="585"/>
      <c r="G5016" s="590"/>
      <c r="H5016" s="592"/>
      <c r="I5016" s="520"/>
      <c r="J5016" s="589"/>
      <c r="K5016" s="520"/>
    </row>
    <row r="5017" spans="1:11" s="196" customFormat="1">
      <c r="A5017" s="589"/>
      <c r="B5017" s="151"/>
      <c r="C5017" s="209"/>
      <c r="D5017" s="244"/>
      <c r="E5017" s="228"/>
      <c r="F5017" s="585"/>
      <c r="G5017" s="592"/>
      <c r="H5017" s="592"/>
      <c r="I5017" s="520"/>
      <c r="J5017" s="589"/>
      <c r="K5017" s="520"/>
    </row>
    <row r="5018" spans="1:11" s="196" customFormat="1">
      <c r="A5018" s="589"/>
      <c r="B5018" s="151"/>
      <c r="C5018" s="209"/>
      <c r="D5018" s="243"/>
      <c r="E5018" s="228"/>
      <c r="F5018" s="585"/>
      <c r="G5018" s="590"/>
      <c r="H5018" s="592"/>
      <c r="I5018" s="520"/>
      <c r="J5018" s="589"/>
      <c r="K5018" s="520"/>
    </row>
    <row r="5019" spans="1:11" s="196" customFormat="1">
      <c r="A5019" s="589"/>
      <c r="B5019" s="151" t="s">
        <v>3575</v>
      </c>
      <c r="C5019" s="209">
        <v>25.85</v>
      </c>
      <c r="D5019" s="244">
        <f>C5019*(1-0)*fcl/TC</f>
        <v>12.886417910447761</v>
      </c>
      <c r="E5019" s="228">
        <v>10</v>
      </c>
      <c r="F5019" s="585">
        <f>ROUNDUP(D5019+E5019,1)</f>
        <v>22.900000000000002</v>
      </c>
      <c r="G5019" s="592" t="s">
        <v>3577</v>
      </c>
      <c r="H5019" s="146" t="s">
        <v>3579</v>
      </c>
      <c r="I5019" s="520"/>
      <c r="J5019" s="589" t="s">
        <v>3581</v>
      </c>
      <c r="K5019" s="520" t="s">
        <v>741</v>
      </c>
    </row>
    <row r="5020" spans="1:11" s="196" customFormat="1">
      <c r="A5020" s="589"/>
      <c r="B5020" s="151" t="s">
        <v>3576</v>
      </c>
      <c r="C5020" s="209">
        <v>12.37</v>
      </c>
      <c r="D5020" s="244">
        <f>C5020*(1-0)*fcl/TC</f>
        <v>6.1665373134328352</v>
      </c>
      <c r="E5020" s="228">
        <v>5</v>
      </c>
      <c r="F5020" s="585">
        <f>ROUNDUP(D5020+E5020,1)</f>
        <v>11.2</v>
      </c>
      <c r="G5020" s="592" t="s">
        <v>3578</v>
      </c>
      <c r="H5020" s="146" t="s">
        <v>3580</v>
      </c>
      <c r="I5020" s="520"/>
      <c r="J5020" s="589" t="s">
        <v>3581</v>
      </c>
      <c r="K5020" s="520" t="s">
        <v>741</v>
      </c>
    </row>
    <row r="5021" spans="1:11" s="196" customFormat="1">
      <c r="A5021" s="589"/>
      <c r="B5021" s="151"/>
      <c r="C5021" s="209"/>
      <c r="D5021" s="243"/>
      <c r="E5021" s="228"/>
      <c r="F5021" s="585"/>
      <c r="G5021" s="590"/>
      <c r="H5021" s="592"/>
      <c r="I5021" s="520"/>
      <c r="J5021" s="589"/>
      <c r="K5021" s="520"/>
    </row>
    <row r="5022" spans="1:11" s="196" customFormat="1">
      <c r="A5022" s="589"/>
      <c r="B5022" s="151"/>
      <c r="C5022" s="209"/>
      <c r="D5022" s="244"/>
      <c r="E5022" s="228"/>
      <c r="F5022" s="585"/>
      <c r="G5022" s="592"/>
      <c r="H5022" s="592"/>
      <c r="I5022" s="520"/>
      <c r="J5022" s="589"/>
      <c r="K5022" s="520"/>
    </row>
    <row r="5023" spans="1:11" s="196" customFormat="1">
      <c r="A5023" s="589"/>
      <c r="B5023" s="151"/>
      <c r="C5023" s="209"/>
      <c r="D5023" s="243"/>
      <c r="E5023" s="228"/>
      <c r="F5023" s="585"/>
      <c r="G5023" s="590"/>
      <c r="H5023" s="592"/>
      <c r="I5023" s="520"/>
      <c r="J5023" s="589"/>
      <c r="K5023" s="520"/>
    </row>
    <row r="5024" spans="1:11" s="196" customFormat="1">
      <c r="A5024" s="589"/>
      <c r="B5024" s="151"/>
      <c r="C5024" s="209"/>
      <c r="D5024" s="244"/>
      <c r="E5024" s="228"/>
      <c r="F5024" s="585"/>
      <c r="G5024" s="592"/>
      <c r="H5024" s="592"/>
      <c r="I5024" s="520"/>
      <c r="J5024" s="589"/>
      <c r="K5024" s="520"/>
    </row>
    <row r="5025" spans="1:15" s="196" customFormat="1">
      <c r="A5025" s="589"/>
      <c r="B5025" s="151" t="s">
        <v>3428</v>
      </c>
      <c r="C5025" s="209">
        <v>39.76</v>
      </c>
      <c r="D5025" s="244">
        <f t="shared" ref="D5025:D5031" si="650">C5025*(1-0)*fcl/TC</f>
        <v>19.820656716417908</v>
      </c>
      <c r="E5025" s="228">
        <v>5</v>
      </c>
      <c r="F5025" s="585">
        <f>ROUNDUP(D5025+E5025,1)</f>
        <v>24.900000000000002</v>
      </c>
      <c r="G5025" s="592" t="s">
        <v>3429</v>
      </c>
      <c r="H5025" s="146" t="s">
        <v>3432</v>
      </c>
      <c r="I5025" s="520"/>
      <c r="J5025" s="589" t="s">
        <v>3427</v>
      </c>
      <c r="K5025" s="520" t="s">
        <v>741</v>
      </c>
    </row>
    <row r="5026" spans="1:15" s="196" customFormat="1">
      <c r="A5026" s="589"/>
      <c r="B5026" s="151" t="s">
        <v>3430</v>
      </c>
      <c r="C5026" s="209">
        <v>70.08</v>
      </c>
      <c r="D5026" s="244">
        <f t="shared" si="650"/>
        <v>34.935402985074624</v>
      </c>
      <c r="E5026" s="228">
        <v>7</v>
      </c>
      <c r="F5026" s="585">
        <f>ROUNDUP(D5026+E5026,1)</f>
        <v>42</v>
      </c>
      <c r="G5026" s="592" t="s">
        <v>3431</v>
      </c>
      <c r="H5026" s="146" t="s">
        <v>3426</v>
      </c>
      <c r="I5026" s="520"/>
      <c r="J5026" s="589" t="s">
        <v>3427</v>
      </c>
      <c r="K5026" s="520" t="s">
        <v>741</v>
      </c>
    </row>
    <row r="5027" spans="1:15" s="196" customFormat="1">
      <c r="A5027" s="589"/>
      <c r="B5027" s="151" t="s">
        <v>3433</v>
      </c>
      <c r="C5027" s="209">
        <v>76.819999999999993</v>
      </c>
      <c r="D5027" s="244">
        <f t="shared" si="650"/>
        <v>38.295343283582078</v>
      </c>
      <c r="E5027" s="228">
        <v>10</v>
      </c>
      <c r="F5027" s="585">
        <f>ROUNDUP(D5027+E5027,1)</f>
        <v>48.300000000000004</v>
      </c>
      <c r="G5027" s="592" t="s">
        <v>3434</v>
      </c>
      <c r="H5027" s="146" t="s">
        <v>3435</v>
      </c>
      <c r="I5027" s="520"/>
      <c r="J5027" s="589" t="s">
        <v>3427</v>
      </c>
      <c r="K5027" s="520" t="s">
        <v>741</v>
      </c>
    </row>
    <row r="5028" spans="1:15" s="196" customFormat="1">
      <c r="A5028" s="589"/>
      <c r="B5028" s="151" t="s">
        <v>3436</v>
      </c>
      <c r="C5028" s="209">
        <v>283.02999999999997</v>
      </c>
      <c r="D5028" s="244">
        <f t="shared" si="650"/>
        <v>141.09256716417909</v>
      </c>
      <c r="E5028" s="228">
        <v>10</v>
      </c>
      <c r="F5028" s="585">
        <f>ROUNDUP(D5028+E5028,1)</f>
        <v>151.1</v>
      </c>
      <c r="G5028" s="592" t="s">
        <v>3558</v>
      </c>
      <c r="H5028" s="146" t="s">
        <v>3438</v>
      </c>
      <c r="I5028" s="520"/>
      <c r="J5028" s="589" t="s">
        <v>3427</v>
      </c>
      <c r="K5028" s="520" t="s">
        <v>741</v>
      </c>
    </row>
    <row r="5029" spans="1:15" s="196" customFormat="1">
      <c r="A5029" s="589"/>
      <c r="B5029" s="151" t="s">
        <v>3437</v>
      </c>
      <c r="C5029" s="209">
        <v>370.64</v>
      </c>
      <c r="D5029" s="244">
        <f t="shared" si="650"/>
        <v>184.76680597014925</v>
      </c>
      <c r="E5029" s="228">
        <v>15</v>
      </c>
      <c r="F5029" s="585">
        <f>ROUNDUP(D5029+E5029,1)</f>
        <v>199.79999999999998</v>
      </c>
      <c r="G5029" s="592" t="s">
        <v>8627</v>
      </c>
      <c r="H5029" s="146" t="s">
        <v>3439</v>
      </c>
      <c r="I5029" s="520"/>
      <c r="J5029" s="589" t="s">
        <v>3427</v>
      </c>
      <c r="K5029" s="520" t="s">
        <v>741</v>
      </c>
    </row>
    <row r="5030" spans="1:15" s="196" customFormat="1">
      <c r="A5030" s="589"/>
      <c r="B5030" s="151" t="s">
        <v>3442</v>
      </c>
      <c r="C5030" s="209">
        <v>53.91</v>
      </c>
      <c r="D5030" s="244">
        <f t="shared" si="650"/>
        <v>26.874537313432832</v>
      </c>
      <c r="E5030" s="228">
        <v>5</v>
      </c>
      <c r="F5030" s="585">
        <f>ROUNDUP(D5030+E5030,2)</f>
        <v>31.880000000000003</v>
      </c>
      <c r="G5030" s="592" t="s">
        <v>3444</v>
      </c>
      <c r="H5030" s="146" t="s">
        <v>3440</v>
      </c>
      <c r="I5030" s="520"/>
      <c r="J5030" s="589" t="s">
        <v>3427</v>
      </c>
      <c r="K5030" s="520" t="s">
        <v>741</v>
      </c>
    </row>
    <row r="5031" spans="1:15" s="196" customFormat="1">
      <c r="A5031" s="589"/>
      <c r="B5031" s="151" t="s">
        <v>3443</v>
      </c>
      <c r="C5031" s="209">
        <v>53.91</v>
      </c>
      <c r="D5031" s="244">
        <f t="shared" si="650"/>
        <v>26.874537313432832</v>
      </c>
      <c r="E5031" s="228">
        <v>5</v>
      </c>
      <c r="F5031" s="585">
        <f>ROUNDUP(D5031+E5031,2)</f>
        <v>31.880000000000003</v>
      </c>
      <c r="G5031" s="592" t="s">
        <v>3445</v>
      </c>
      <c r="H5031" s="146" t="s">
        <v>3441</v>
      </c>
      <c r="I5031" s="520"/>
      <c r="J5031" s="589" t="s">
        <v>3427</v>
      </c>
      <c r="K5031" s="520" t="s">
        <v>741</v>
      </c>
    </row>
    <row r="5032" spans="1:15" s="196" customFormat="1">
      <c r="A5032" s="589"/>
      <c r="B5032" s="151" t="s">
        <v>3446</v>
      </c>
      <c r="C5032" s="209">
        <v>172.52</v>
      </c>
      <c r="D5032" s="244">
        <f>C5032*(1-0)*fcl/TC</f>
        <v>86.002507462686566</v>
      </c>
      <c r="E5032" s="228">
        <v>10</v>
      </c>
      <c r="F5032" s="585">
        <f>ROUNDUP(D5032+E5032,1)</f>
        <v>96.1</v>
      </c>
      <c r="G5032" s="592" t="s">
        <v>3448</v>
      </c>
      <c r="H5032" s="146" t="s">
        <v>3447</v>
      </c>
      <c r="I5032" s="520"/>
      <c r="J5032" s="589" t="s">
        <v>3427</v>
      </c>
      <c r="K5032" s="520" t="s">
        <v>741</v>
      </c>
    </row>
    <row r="5033" spans="1:15" s="196" customFormat="1">
      <c r="A5033" s="421"/>
      <c r="B5033" s="151" t="s">
        <v>3571</v>
      </c>
      <c r="C5033" s="209">
        <v>83</v>
      </c>
      <c r="D5033" s="244">
        <f>C5033*(1-0)*fcl/TC</f>
        <v>41.376119402985069</v>
      </c>
      <c r="E5033" s="228">
        <v>10</v>
      </c>
      <c r="F5033" s="585">
        <f>ROUNDUP(D5033+E5033,1)</f>
        <v>51.4</v>
      </c>
      <c r="G5033" s="590" t="s">
        <v>3572</v>
      </c>
      <c r="H5033" s="530" t="str">
        <f>B5033</f>
        <v>LAMP_FLUOR_FAND</v>
      </c>
      <c r="I5033" s="520"/>
      <c r="J5033" s="589" t="s">
        <v>3427</v>
      </c>
      <c r="K5033" s="520" t="s">
        <v>741</v>
      </c>
    </row>
    <row r="5034" spans="1:15" s="196" customFormat="1">
      <c r="A5034" s="421"/>
      <c r="B5034" s="151" t="s">
        <v>3573</v>
      </c>
      <c r="C5034" s="209">
        <v>62.67</v>
      </c>
      <c r="D5034" s="244">
        <f>C5034*(1-0)*fcl/TC</f>
        <v>31.241462686567164</v>
      </c>
      <c r="E5034" s="228">
        <v>5</v>
      </c>
      <c r="F5034" s="585">
        <f>ROUNDUP(D5034+E5034,1)</f>
        <v>36.300000000000004</v>
      </c>
      <c r="G5034" s="590" t="s">
        <v>3574</v>
      </c>
      <c r="H5034" s="530" t="str">
        <f>B5034</f>
        <v>LIMIT_SWITCH_FAND</v>
      </c>
      <c r="I5034" s="520"/>
      <c r="J5034" s="589" t="s">
        <v>3427</v>
      </c>
      <c r="K5034" s="520" t="s">
        <v>741</v>
      </c>
    </row>
    <row r="5035" spans="1:15" s="196" customFormat="1">
      <c r="A5035" s="589"/>
      <c r="B5035" s="151" t="s">
        <v>13588</v>
      </c>
      <c r="C5035" s="209">
        <v>114</v>
      </c>
      <c r="D5035" s="451">
        <f t="shared" ref="D5035" si="651">C5035*(1-0.2)*fcl/TC</f>
        <v>45.463880597014928</v>
      </c>
      <c r="E5035" s="228">
        <v>5</v>
      </c>
      <c r="F5035" s="585">
        <f t="shared" ref="F5035" si="652">ROUNDUP(D5035+E5035,1)</f>
        <v>50.5</v>
      </c>
      <c r="G5035" s="592" t="s">
        <v>13589</v>
      </c>
      <c r="H5035" s="2064" t="str">
        <f t="shared" ref="H5035" si="653">B5035</f>
        <v>TERMOSTATO-1NA_RIT</v>
      </c>
      <c r="I5035" s="520"/>
      <c r="J5035" s="589" t="s">
        <v>1413</v>
      </c>
      <c r="K5035" s="520" t="s">
        <v>741</v>
      </c>
    </row>
    <row r="5036" spans="1:15" s="196" customFormat="1">
      <c r="A5036" s="589"/>
      <c r="B5036" s="151"/>
      <c r="C5036" s="209"/>
      <c r="D5036" s="243"/>
      <c r="E5036" s="228"/>
      <c r="F5036" s="585"/>
      <c r="G5036" s="590"/>
      <c r="H5036" s="592"/>
      <c r="I5036" s="520"/>
      <c r="J5036" s="589"/>
      <c r="K5036" s="520"/>
    </row>
    <row r="5037" spans="1:15" s="196" customFormat="1">
      <c r="A5037" s="589"/>
      <c r="B5037" s="151" t="s">
        <v>12345</v>
      </c>
      <c r="C5037" s="228">
        <v>56</v>
      </c>
      <c r="D5037" s="408">
        <f>C5037*fcl</f>
        <v>93.52</v>
      </c>
      <c r="E5037" s="1092">
        <f>D5037/8</f>
        <v>11.69</v>
      </c>
      <c r="F5037" s="585">
        <f>ROUNDUP(D5037+E5037,1)</f>
        <v>105.3</v>
      </c>
      <c r="G5037" s="592" t="s">
        <v>12346</v>
      </c>
      <c r="H5037" s="146" t="s">
        <v>12347</v>
      </c>
      <c r="I5037" s="520"/>
      <c r="J5037" s="589" t="s">
        <v>12348</v>
      </c>
      <c r="K5037" s="520" t="s">
        <v>741</v>
      </c>
      <c r="L5037" s="203"/>
      <c r="M5037" s="203"/>
      <c r="N5037" s="203"/>
      <c r="O5037" s="203"/>
    </row>
    <row r="5038" spans="1:15" s="196" customFormat="1">
      <c r="A5038" s="589"/>
      <c r="B5038" s="151"/>
      <c r="C5038" s="209"/>
      <c r="D5038" s="243"/>
      <c r="E5038" s="228"/>
      <c r="F5038" s="585"/>
      <c r="G5038" s="590"/>
      <c r="H5038" s="592"/>
      <c r="I5038" s="520"/>
      <c r="J5038" s="589"/>
      <c r="K5038" s="520"/>
    </row>
    <row r="5039" spans="1:15" s="196" customFormat="1">
      <c r="A5039" s="589"/>
      <c r="B5039" s="151" t="s">
        <v>8628</v>
      </c>
      <c r="C5039" s="209">
        <v>463</v>
      </c>
      <c r="D5039" s="244">
        <f>C5039*(1-0)*fcl/TC</f>
        <v>230.80895522388056</v>
      </c>
      <c r="E5039" s="228">
        <v>5</v>
      </c>
      <c r="F5039" s="585">
        <f>ROUNDUP(D5039+E5039,2)</f>
        <v>235.81</v>
      </c>
      <c r="G5039" s="592" t="s">
        <v>8629</v>
      </c>
      <c r="H5039" s="146" t="s">
        <v>8630</v>
      </c>
      <c r="I5039" s="520"/>
      <c r="J5039" s="589" t="s">
        <v>1603</v>
      </c>
      <c r="K5039" s="520" t="s">
        <v>741</v>
      </c>
      <c r="L5039" s="203"/>
      <c r="M5039" s="203"/>
      <c r="N5039" s="203"/>
      <c r="O5039" s="203"/>
    </row>
    <row r="5040" spans="1:15" s="196" customFormat="1">
      <c r="A5040" s="589"/>
      <c r="B5040" s="151" t="s">
        <v>8631</v>
      </c>
      <c r="C5040" s="209">
        <v>214</v>
      </c>
      <c r="D5040" s="244">
        <f>C5040*(1-0)*fcl/TC</f>
        <v>106.68059701492537</v>
      </c>
      <c r="E5040" s="228">
        <v>5</v>
      </c>
      <c r="F5040" s="585">
        <f>ROUNDUP(D5040+E5040,2)</f>
        <v>111.69000000000001</v>
      </c>
      <c r="G5040" s="592" t="s">
        <v>8632</v>
      </c>
      <c r="H5040" s="146" t="s">
        <v>8633</v>
      </c>
      <c r="I5040" s="520"/>
      <c r="J5040" s="589" t="s">
        <v>1603</v>
      </c>
      <c r="K5040" s="520" t="s">
        <v>741</v>
      </c>
      <c r="L5040" s="203"/>
      <c r="M5040" s="203"/>
      <c r="N5040" s="203"/>
      <c r="O5040" s="203"/>
    </row>
    <row r="5041" spans="1:11" s="196" customFormat="1">
      <c r="A5041" s="589"/>
      <c r="B5041" s="151"/>
      <c r="C5041" s="209"/>
      <c r="D5041" s="244"/>
      <c r="E5041" s="228"/>
      <c r="F5041" s="585"/>
      <c r="G5041" s="592"/>
      <c r="H5041" s="592"/>
      <c r="I5041" s="520"/>
      <c r="J5041" s="589"/>
      <c r="K5041" s="520"/>
    </row>
    <row r="5042" spans="1:11" s="196" customFormat="1">
      <c r="A5042" s="589"/>
      <c r="B5042" s="151" t="s">
        <v>8634</v>
      </c>
      <c r="C5042" s="209">
        <v>15</v>
      </c>
      <c r="D5042" s="451">
        <f>C5042*(1-0.2)*fcl/TC</f>
        <v>5.9820895522388051</v>
      </c>
      <c r="E5042" s="228">
        <v>0.5</v>
      </c>
      <c r="F5042" s="585">
        <f>ROUNDUP(D5042+E5042,1)</f>
        <v>6.5</v>
      </c>
      <c r="G5042" s="592" t="s">
        <v>8635</v>
      </c>
      <c r="H5042" s="530" t="str">
        <f>B5042</f>
        <v>Placa lamicoid p/autosop.</v>
      </c>
      <c r="I5042" s="520"/>
      <c r="J5042" s="589" t="s">
        <v>8636</v>
      </c>
      <c r="K5042" s="520" t="s">
        <v>741</v>
      </c>
    </row>
    <row r="5043" spans="1:11" s="196" customFormat="1">
      <c r="A5043" s="589"/>
      <c r="B5043" s="151" t="s">
        <v>8637</v>
      </c>
      <c r="C5043" s="209">
        <v>3</v>
      </c>
      <c r="D5043" s="451">
        <f>C5043*(1-0.2)*fcl/TC</f>
        <v>1.1964179104477612</v>
      </c>
      <c r="E5043" s="228">
        <v>0.5</v>
      </c>
      <c r="F5043" s="585">
        <f>ROUNDUP(D5043+E5043,1)</f>
        <v>1.7000000000000002</v>
      </c>
      <c r="G5043" s="592" t="s">
        <v>8635</v>
      </c>
      <c r="H5043" s="530" t="str">
        <f>B5043</f>
        <v>Placa lamicoid p/distr.</v>
      </c>
      <c r="I5043" s="520"/>
      <c r="J5043" s="589" t="s">
        <v>8636</v>
      </c>
      <c r="K5043" s="520" t="s">
        <v>741</v>
      </c>
    </row>
    <row r="5044" spans="1:11" s="196" customFormat="1">
      <c r="A5044" s="589"/>
      <c r="B5044" s="151"/>
      <c r="C5044" s="209"/>
      <c r="D5044" s="243"/>
      <c r="E5044" s="228"/>
      <c r="F5044" s="585"/>
      <c r="G5044" s="590"/>
      <c r="H5044" s="592"/>
      <c r="I5044" s="520"/>
      <c r="J5044" s="589"/>
      <c r="K5044" s="520"/>
    </row>
    <row r="5045" spans="1:11" s="196" customFormat="1">
      <c r="A5045" s="589"/>
      <c r="B5045" s="151"/>
      <c r="C5045" s="209"/>
      <c r="D5045" s="244"/>
      <c r="E5045" s="228"/>
      <c r="F5045" s="585"/>
      <c r="G5045" s="592"/>
      <c r="H5045" s="592"/>
      <c r="I5045" s="520"/>
      <c r="J5045" s="589"/>
      <c r="K5045" s="520"/>
    </row>
    <row r="5046" spans="1:11" s="196" customFormat="1">
      <c r="A5046" s="589"/>
      <c r="B5046" s="2613" t="s">
        <v>1413</v>
      </c>
      <c r="C5046" s="209"/>
      <c r="D5046" s="244"/>
      <c r="E5046" s="228"/>
      <c r="F5046" s="585"/>
      <c r="G5046" s="592"/>
      <c r="H5046" s="592"/>
      <c r="I5046" s="520"/>
      <c r="J5046" s="589"/>
      <c r="K5046" s="520"/>
    </row>
    <row r="5047" spans="1:11" s="196" customFormat="1">
      <c r="A5047" s="589"/>
      <c r="B5047" s="2613"/>
      <c r="C5047" s="209"/>
      <c r="D5047" s="244"/>
      <c r="E5047" s="228"/>
      <c r="F5047" s="585"/>
      <c r="G5047" s="592"/>
      <c r="H5047" s="592"/>
      <c r="I5047" s="520"/>
      <c r="J5047" s="589"/>
      <c r="K5047" s="520"/>
    </row>
    <row r="5048" spans="1:11" s="196" customFormat="1">
      <c r="A5048" s="589"/>
      <c r="B5048" s="151"/>
      <c r="C5048" s="209"/>
      <c r="D5048" s="243"/>
      <c r="E5048" s="228"/>
      <c r="F5048" s="585"/>
      <c r="G5048" s="590"/>
      <c r="H5048" s="592"/>
      <c r="I5048" s="520"/>
      <c r="J5048" s="589"/>
      <c r="K5048" s="520"/>
    </row>
    <row r="5049" spans="1:11" s="196" customFormat="1">
      <c r="A5049" s="589"/>
      <c r="B5049" s="151"/>
      <c r="C5049" s="209"/>
      <c r="D5049" s="243"/>
      <c r="E5049" s="228"/>
      <c r="F5049" s="585"/>
      <c r="G5049" s="590"/>
      <c r="H5049" s="592"/>
      <c r="I5049" s="520"/>
      <c r="J5049" s="589"/>
      <c r="K5049" s="520"/>
    </row>
    <row r="5050" spans="1:11" s="194" customFormat="1">
      <c r="A5050" s="589"/>
      <c r="B5050" s="902" t="s">
        <v>13069</v>
      </c>
      <c r="C5050" s="209">
        <v>383</v>
      </c>
      <c r="D5050" s="244">
        <f t="shared" ref="D5050" si="654">C5050*(1-0.35)*fcl/TC</f>
        <v>124.1034328358209</v>
      </c>
      <c r="E5050" s="228">
        <v>5</v>
      </c>
      <c r="F5050" s="585">
        <f t="shared" ref="F5050:F5058" si="655">ROUNDUP(D5050+E5050,1)</f>
        <v>129.19999999999999</v>
      </c>
      <c r="G5050" s="592" t="s">
        <v>13070</v>
      </c>
      <c r="H5050" s="764">
        <v>1423500</v>
      </c>
      <c r="I5050" s="520"/>
      <c r="J5050" s="589" t="s">
        <v>1413</v>
      </c>
      <c r="K5050" s="520" t="s">
        <v>741</v>
      </c>
    </row>
    <row r="5051" spans="1:11" s="194" customFormat="1">
      <c r="A5051" s="589"/>
      <c r="B5051" s="902" t="s">
        <v>13071</v>
      </c>
      <c r="C5051" s="209">
        <v>414</v>
      </c>
      <c r="D5051" s="244">
        <f t="shared" ref="D5051" si="656">C5051*(1-0.35)*fcl/TC</f>
        <v>134.14835820895522</v>
      </c>
      <c r="E5051" s="228">
        <v>5</v>
      </c>
      <c r="F5051" s="585">
        <f t="shared" si="655"/>
        <v>139.19999999999999</v>
      </c>
      <c r="G5051" s="592" t="s">
        <v>13072</v>
      </c>
      <c r="H5051" s="764">
        <v>1432500</v>
      </c>
      <c r="I5051" s="520"/>
      <c r="J5051" s="589" t="s">
        <v>1413</v>
      </c>
      <c r="K5051" s="520" t="s">
        <v>741</v>
      </c>
    </row>
    <row r="5052" spans="1:11" s="194" customFormat="1">
      <c r="A5052" s="589"/>
      <c r="B5052" s="902" t="s">
        <v>13073</v>
      </c>
      <c r="C5052" s="209">
        <v>564</v>
      </c>
      <c r="D5052" s="244">
        <f t="shared" ref="D5052:D5054" si="657">C5052*(1-0.35)*fcl/TC</f>
        <v>182.75283582089551</v>
      </c>
      <c r="E5052" s="228">
        <v>5</v>
      </c>
      <c r="F5052" s="585">
        <f t="shared" si="655"/>
        <v>187.79999999999998</v>
      </c>
      <c r="G5052" s="592" t="s">
        <v>13074</v>
      </c>
      <c r="H5052" s="764">
        <v>1434500</v>
      </c>
      <c r="I5052" s="520"/>
      <c r="J5052" s="589" t="s">
        <v>1413</v>
      </c>
      <c r="K5052" s="520" t="s">
        <v>741</v>
      </c>
    </row>
    <row r="5053" spans="1:11" s="194" customFormat="1">
      <c r="A5053" s="589"/>
      <c r="B5053" s="902" t="s">
        <v>13075</v>
      </c>
      <c r="C5053" s="209">
        <v>680</v>
      </c>
      <c r="D5053" s="244">
        <f t="shared" si="657"/>
        <v>220.34029850746268</v>
      </c>
      <c r="E5053" s="228">
        <v>5</v>
      </c>
      <c r="F5053" s="585">
        <f t="shared" si="655"/>
        <v>225.4</v>
      </c>
      <c r="G5053" s="592" t="s">
        <v>13076</v>
      </c>
      <c r="H5053" s="764">
        <v>1444500</v>
      </c>
      <c r="I5053" s="520"/>
      <c r="J5053" s="589" t="s">
        <v>1413</v>
      </c>
      <c r="K5053" s="520" t="s">
        <v>741</v>
      </c>
    </row>
    <row r="5054" spans="1:11" s="194" customFormat="1">
      <c r="A5054" s="589"/>
      <c r="B5054" s="902" t="s">
        <v>13077</v>
      </c>
      <c r="C5054" s="209">
        <v>868</v>
      </c>
      <c r="D5054" s="244">
        <f t="shared" si="657"/>
        <v>281.25791044776122</v>
      </c>
      <c r="E5054" s="228">
        <v>5</v>
      </c>
      <c r="F5054" s="585">
        <f t="shared" si="655"/>
        <v>286.3</v>
      </c>
      <c r="G5054" s="592" t="s">
        <v>13078</v>
      </c>
      <c r="H5054" s="764">
        <v>1446500</v>
      </c>
      <c r="I5054" s="520"/>
      <c r="J5054" s="589" t="s">
        <v>1413</v>
      </c>
      <c r="K5054" s="520" t="s">
        <v>741</v>
      </c>
    </row>
    <row r="5055" spans="1:11" s="194" customFormat="1">
      <c r="A5055" s="589"/>
      <c r="B5055" s="902" t="s">
        <v>13079</v>
      </c>
      <c r="C5055" s="209">
        <v>1587</v>
      </c>
      <c r="D5055" s="244">
        <f t="shared" ref="D5055:D5056" si="658">C5055*(1-0.35)*fcl/TC</f>
        <v>514.23537313432826</v>
      </c>
      <c r="E5055" s="228">
        <v>5</v>
      </c>
      <c r="F5055" s="585">
        <f t="shared" si="655"/>
        <v>519.30000000000007</v>
      </c>
      <c r="G5055" s="592" t="s">
        <v>13080</v>
      </c>
      <c r="H5055" s="764">
        <v>1453500</v>
      </c>
      <c r="I5055" s="520"/>
      <c r="J5055" s="589" t="s">
        <v>1413</v>
      </c>
      <c r="K5055" s="520" t="s">
        <v>741</v>
      </c>
    </row>
    <row r="5056" spans="1:11" s="194" customFormat="1">
      <c r="A5056" s="589"/>
      <c r="B5056" s="902" t="s">
        <v>13081</v>
      </c>
      <c r="C5056" s="209">
        <v>1225</v>
      </c>
      <c r="D5056" s="244">
        <f t="shared" si="658"/>
        <v>396.93656716417905</v>
      </c>
      <c r="E5056" s="228">
        <v>5</v>
      </c>
      <c r="F5056" s="585">
        <f t="shared" si="655"/>
        <v>402</v>
      </c>
      <c r="G5056" s="592" t="s">
        <v>13082</v>
      </c>
      <c r="H5056" s="764">
        <v>1466500</v>
      </c>
      <c r="I5056" s="520"/>
      <c r="J5056" s="589" t="s">
        <v>1413</v>
      </c>
      <c r="K5056" s="520" t="s">
        <v>741</v>
      </c>
    </row>
    <row r="5057" spans="1:15" s="194" customFormat="1">
      <c r="A5057" s="589"/>
      <c r="B5057" s="902" t="s">
        <v>13083</v>
      </c>
      <c r="C5057" s="209">
        <v>1831</v>
      </c>
      <c r="D5057" s="244">
        <f t="shared" ref="D5057" si="659">C5057*(1-0.35)*fcl/TC</f>
        <v>593.2986567164179</v>
      </c>
      <c r="E5057" s="228">
        <v>5</v>
      </c>
      <c r="F5057" s="585">
        <f t="shared" si="655"/>
        <v>598.30000000000007</v>
      </c>
      <c r="G5057" s="592" t="s">
        <v>13084</v>
      </c>
      <c r="H5057" s="764">
        <v>1468500</v>
      </c>
      <c r="I5057" s="520"/>
      <c r="J5057" s="589" t="s">
        <v>1413</v>
      </c>
      <c r="K5057" s="520" t="s">
        <v>741</v>
      </c>
    </row>
    <row r="5058" spans="1:15" s="194" customFormat="1">
      <c r="A5058" s="589"/>
      <c r="B5058" s="902" t="s">
        <v>13085</v>
      </c>
      <c r="C5058" s="209">
        <v>3150</v>
      </c>
      <c r="D5058" s="244">
        <f t="shared" ref="D5058" si="660">C5058*(1-0.35)*fcl/TC</f>
        <v>1020.6940298507462</v>
      </c>
      <c r="E5058" s="228">
        <v>5</v>
      </c>
      <c r="F5058" s="585">
        <f t="shared" si="655"/>
        <v>1025.6999999999998</v>
      </c>
      <c r="G5058" s="592" t="s">
        <v>13086</v>
      </c>
      <c r="H5058" s="764">
        <v>1480500</v>
      </c>
      <c r="I5058" s="520"/>
      <c r="J5058" s="589" t="s">
        <v>1413</v>
      </c>
      <c r="K5058" s="520" t="s">
        <v>741</v>
      </c>
    </row>
    <row r="5059" spans="1:15" s="196" customFormat="1">
      <c r="A5059" s="589" t="s">
        <v>13087</v>
      </c>
      <c r="B5059" s="151"/>
      <c r="C5059" s="209"/>
      <c r="D5059" s="243"/>
      <c r="E5059" s="228"/>
      <c r="F5059" s="585"/>
      <c r="G5059" s="590"/>
      <c r="H5059" s="592"/>
      <c r="I5059" s="520"/>
      <c r="J5059" s="589"/>
      <c r="K5059" s="520"/>
    </row>
    <row r="5060" spans="1:15" s="194" customFormat="1">
      <c r="A5060" s="589"/>
      <c r="B5060" s="902" t="s">
        <v>13122</v>
      </c>
      <c r="C5060" s="209">
        <v>888</v>
      </c>
      <c r="D5060" s="244">
        <f t="shared" ref="D5060:D5064" si="661">C5060*(1-0.35)*fcl/TC</f>
        <v>287.73850746268653</v>
      </c>
      <c r="E5060" s="228">
        <v>5</v>
      </c>
      <c r="F5060" s="585">
        <f t="shared" ref="F5060:F5065" si="662">ROUNDUP(D5060+E5060,1)</f>
        <v>292.8</v>
      </c>
      <c r="G5060" s="592" t="s">
        <v>13123</v>
      </c>
      <c r="H5060" s="764">
        <v>1448500</v>
      </c>
      <c r="I5060" s="520"/>
      <c r="J5060" s="589" t="s">
        <v>1413</v>
      </c>
      <c r="K5060" s="520" t="s">
        <v>741</v>
      </c>
    </row>
    <row r="5061" spans="1:15" s="194" customFormat="1">
      <c r="A5061" s="589"/>
      <c r="B5061" s="902" t="s">
        <v>13124</v>
      </c>
      <c r="C5061" s="209">
        <v>1867</v>
      </c>
      <c r="D5061" s="244">
        <f>C5061*(1-0.35)*fcl/TC</f>
        <v>604.96373134328348</v>
      </c>
      <c r="E5061" s="228">
        <v>5</v>
      </c>
      <c r="F5061" s="585">
        <f>ROUNDUP(D5061+E5061,1)</f>
        <v>610</v>
      </c>
      <c r="G5061" s="592" t="s">
        <v>13125</v>
      </c>
      <c r="H5061" s="764">
        <v>1454500</v>
      </c>
      <c r="I5061" s="520"/>
      <c r="J5061" s="589" t="s">
        <v>1413</v>
      </c>
      <c r="K5061" s="520" t="s">
        <v>741</v>
      </c>
    </row>
    <row r="5062" spans="1:15" s="194" customFormat="1">
      <c r="A5062" s="589"/>
      <c r="B5062" s="902" t="s">
        <v>13126</v>
      </c>
      <c r="C5062" s="209">
        <v>1158</v>
      </c>
      <c r="D5062" s="244">
        <f t="shared" si="661"/>
        <v>375.22656716417907</v>
      </c>
      <c r="E5062" s="228">
        <v>5</v>
      </c>
      <c r="F5062" s="585">
        <f t="shared" si="662"/>
        <v>380.3</v>
      </c>
      <c r="G5062" s="592" t="s">
        <v>13127</v>
      </c>
      <c r="H5062" s="764">
        <v>1449500</v>
      </c>
      <c r="I5062" s="520"/>
      <c r="J5062" s="589" t="s">
        <v>1413</v>
      </c>
      <c r="K5062" s="520" t="s">
        <v>741</v>
      </c>
    </row>
    <row r="5063" spans="1:15" s="194" customFormat="1">
      <c r="A5063" s="589"/>
      <c r="B5063" s="902" t="s">
        <v>13128</v>
      </c>
      <c r="C5063" s="209">
        <v>1637</v>
      </c>
      <c r="D5063" s="244">
        <f t="shared" si="661"/>
        <v>530.43686567164173</v>
      </c>
      <c r="E5063" s="228">
        <v>5</v>
      </c>
      <c r="F5063" s="585">
        <f t="shared" si="662"/>
        <v>535.5</v>
      </c>
      <c r="G5063" s="592" t="s">
        <v>13129</v>
      </c>
      <c r="H5063" s="764">
        <v>1467500</v>
      </c>
      <c r="I5063" s="520"/>
      <c r="J5063" s="589" t="s">
        <v>1413</v>
      </c>
      <c r="K5063" s="520" t="s">
        <v>741</v>
      </c>
    </row>
    <row r="5064" spans="1:15" s="194" customFormat="1">
      <c r="A5064" s="589"/>
      <c r="B5064" s="902" t="s">
        <v>13130</v>
      </c>
      <c r="C5064" s="209">
        <v>2265</v>
      </c>
      <c r="D5064" s="244">
        <f t="shared" si="661"/>
        <v>733.92761194029845</v>
      </c>
      <c r="E5064" s="228">
        <v>5</v>
      </c>
      <c r="F5064" s="585">
        <f t="shared" si="662"/>
        <v>739</v>
      </c>
      <c r="G5064" s="592" t="s">
        <v>13131</v>
      </c>
      <c r="H5064" s="764">
        <v>1469500</v>
      </c>
      <c r="I5064" s="520"/>
      <c r="J5064" s="589" t="s">
        <v>1413</v>
      </c>
      <c r="K5064" s="520" t="s">
        <v>741</v>
      </c>
    </row>
    <row r="5065" spans="1:15" s="194" customFormat="1">
      <c r="A5065" s="589"/>
      <c r="B5065" s="902" t="s">
        <v>13132</v>
      </c>
      <c r="C5065" s="209">
        <v>3945</v>
      </c>
      <c r="D5065" s="244">
        <f t="shared" ref="D5065" si="663">C5065*(1-0.35)*fcl/TC</f>
        <v>1278.2977611940298</v>
      </c>
      <c r="E5065" s="228">
        <v>5</v>
      </c>
      <c r="F5065" s="585">
        <f t="shared" si="662"/>
        <v>1283.3</v>
      </c>
      <c r="G5065" s="592" t="s">
        <v>13133</v>
      </c>
      <c r="H5065" s="764">
        <v>1479500</v>
      </c>
      <c r="I5065" s="520"/>
      <c r="J5065" s="589" t="s">
        <v>1413</v>
      </c>
      <c r="K5065" s="520" t="s">
        <v>741</v>
      </c>
    </row>
    <row r="5066" spans="1:15" s="194" customFormat="1">
      <c r="A5066" s="589"/>
      <c r="B5066" s="902" t="s">
        <v>13134</v>
      </c>
      <c r="C5066" s="209">
        <v>3987</v>
      </c>
      <c r="D5066" s="244">
        <f>C5066*(1-0.35)*fcl/TC</f>
        <v>1291.907014925373</v>
      </c>
      <c r="E5066" s="228">
        <v>5</v>
      </c>
      <c r="F5066" s="585">
        <f>ROUNDUP(D5066+E5066,1)</f>
        <v>1297</v>
      </c>
      <c r="G5066" s="592" t="s">
        <v>13088</v>
      </c>
      <c r="H5066" s="764">
        <v>1400500</v>
      </c>
      <c r="I5066" s="520"/>
      <c r="J5066" s="589" t="s">
        <v>1413</v>
      </c>
      <c r="K5066" s="520" t="s">
        <v>741</v>
      </c>
    </row>
    <row r="5067" spans="1:15" s="196" customFormat="1">
      <c r="A5067" s="589"/>
      <c r="B5067" s="151"/>
      <c r="C5067" s="209"/>
      <c r="D5067" s="243"/>
      <c r="E5067" s="228"/>
      <c r="F5067" s="585"/>
      <c r="G5067" s="590"/>
      <c r="H5067" s="592"/>
      <c r="I5067" s="520"/>
      <c r="J5067" s="589"/>
      <c r="K5067" s="520"/>
    </row>
    <row r="5068" spans="1:15" s="194" customFormat="1">
      <c r="A5068" s="589"/>
      <c r="B5068" s="902" t="s">
        <v>8641</v>
      </c>
      <c r="C5068" s="798">
        <v>43</v>
      </c>
      <c r="D5068" s="799">
        <f>C5068*(1-0.35)*fcl/TC</f>
        <v>13.933283582089551</v>
      </c>
      <c r="E5068" s="232">
        <v>2</v>
      </c>
      <c r="F5068" s="585">
        <f>ROUNDUP(D5068+E5068,1)</f>
        <v>16</v>
      </c>
      <c r="G5068" s="592" t="s">
        <v>12349</v>
      </c>
      <c r="H5068" s="2203">
        <v>1483010</v>
      </c>
      <c r="I5068" s="520"/>
      <c r="J5068" s="589" t="s">
        <v>1413</v>
      </c>
      <c r="K5068" s="520" t="s">
        <v>741</v>
      </c>
    </row>
    <row r="5069" spans="1:15" s="194" customFormat="1">
      <c r="A5069" s="589"/>
      <c r="B5069" s="902" t="s">
        <v>13135</v>
      </c>
      <c r="C5069" s="798">
        <v>91</v>
      </c>
      <c r="D5069" s="799">
        <f>C5069*(1-0.35)*fcl/TC</f>
        <v>29.486716417910444</v>
      </c>
      <c r="E5069" s="232">
        <v>2</v>
      </c>
      <c r="F5069" s="585">
        <f>ROUNDUP(D5069+E5069,1)</f>
        <v>31.5</v>
      </c>
      <c r="G5069" s="592" t="s">
        <v>13136</v>
      </c>
      <c r="H5069" s="2203">
        <v>1482000</v>
      </c>
      <c r="I5069" s="520"/>
      <c r="J5069" s="589" t="s">
        <v>1413</v>
      </c>
      <c r="K5069" s="520" t="s">
        <v>741</v>
      </c>
    </row>
    <row r="5070" spans="1:15" s="196" customFormat="1">
      <c r="A5070" s="589"/>
      <c r="B5070" s="151"/>
      <c r="C5070" s="209"/>
      <c r="D5070" s="243"/>
      <c r="E5070" s="228"/>
      <c r="F5070" s="585"/>
      <c r="G5070" s="590"/>
      <c r="H5070" s="592"/>
      <c r="I5070" s="520"/>
      <c r="J5070" s="589"/>
      <c r="K5070" s="520"/>
    </row>
    <row r="5071" spans="1:15" s="196" customFormat="1">
      <c r="A5071" s="589"/>
      <c r="B5071" s="151"/>
      <c r="C5071" s="209"/>
      <c r="D5071" s="244"/>
      <c r="E5071" s="228"/>
      <c r="F5071" s="585"/>
      <c r="G5071" s="592"/>
      <c r="H5071" s="592"/>
      <c r="I5071" s="520"/>
      <c r="J5071" s="589"/>
      <c r="K5071" s="520"/>
    </row>
    <row r="5072" spans="1:15" s="196" customFormat="1">
      <c r="A5072" s="1645"/>
      <c r="B5072" s="483" t="s">
        <v>1606</v>
      </c>
      <c r="C5072" s="209">
        <v>228</v>
      </c>
      <c r="D5072" s="451">
        <f>C5072*(1-0.35)*fcl/TC</f>
        <v>73.878805970149259</v>
      </c>
      <c r="E5072" s="228">
        <v>5</v>
      </c>
      <c r="F5072" s="585">
        <f>ROUNDUP(D5072+E5072,1)</f>
        <v>78.899999999999991</v>
      </c>
      <c r="G5072" s="580" t="s">
        <v>1614</v>
      </c>
      <c r="H5072" s="651">
        <v>1032500</v>
      </c>
      <c r="I5072" s="520"/>
      <c r="J5072" s="589" t="s">
        <v>1413</v>
      </c>
      <c r="K5072" s="520" t="s">
        <v>741</v>
      </c>
      <c r="L5072" s="203"/>
      <c r="M5072" s="203"/>
      <c r="N5072" s="203"/>
      <c r="O5072" s="203"/>
    </row>
    <row r="5073" spans="1:15" s="196" customFormat="1">
      <c r="A5073" s="1645"/>
      <c r="B5073" s="484" t="s">
        <v>1607</v>
      </c>
      <c r="C5073" s="209">
        <v>259</v>
      </c>
      <c r="D5073" s="451">
        <f>C5073*(1-0.35)*fcl/TC</f>
        <v>83.923731343283578</v>
      </c>
      <c r="E5073" s="228">
        <v>5</v>
      </c>
      <c r="F5073" s="585">
        <f>ROUNDUP(D5073+E5073,1)</f>
        <v>89</v>
      </c>
      <c r="G5073" s="580" t="s">
        <v>1615</v>
      </c>
      <c r="H5073" s="651">
        <v>1035500</v>
      </c>
      <c r="I5073" s="520"/>
      <c r="J5073" s="589" t="s">
        <v>1413</v>
      </c>
      <c r="K5073" s="520" t="s">
        <v>741</v>
      </c>
      <c r="L5073" s="203"/>
      <c r="M5073" s="203"/>
      <c r="N5073" s="203"/>
      <c r="O5073" s="203"/>
    </row>
    <row r="5074" spans="1:15" s="196" customFormat="1" ht="13.5" customHeight="1">
      <c r="A5074" s="1645"/>
      <c r="B5074" s="454" t="s">
        <v>1610</v>
      </c>
      <c r="C5074" s="209">
        <v>309</v>
      </c>
      <c r="D5074" s="451">
        <f>C5074*(1-0.35)*fcl/TC</f>
        <v>100.12522388059701</v>
      </c>
      <c r="E5074" s="228">
        <v>5</v>
      </c>
      <c r="F5074" s="585">
        <f>ROUNDUP(D5074+E5074,1)</f>
        <v>105.19999999999999</v>
      </c>
      <c r="G5074" s="592" t="s">
        <v>1618</v>
      </c>
      <c r="H5074" s="651">
        <v>1030500</v>
      </c>
      <c r="I5074" s="520"/>
      <c r="J5074" s="589" t="s">
        <v>1413</v>
      </c>
      <c r="K5074" s="520" t="s">
        <v>741</v>
      </c>
    </row>
    <row r="5075" spans="1:15" s="196" customFormat="1">
      <c r="A5075" s="1645"/>
      <c r="B5075" s="151"/>
      <c r="C5075" s="209"/>
      <c r="D5075" s="244"/>
      <c r="E5075" s="228"/>
      <c r="F5075" s="585"/>
      <c r="G5075" s="592"/>
      <c r="H5075" s="592"/>
      <c r="I5075" s="520"/>
      <c r="J5075" s="589"/>
      <c r="K5075" s="520"/>
    </row>
    <row r="5076" spans="1:15" s="196" customFormat="1">
      <c r="A5076" s="1645"/>
      <c r="B5076" s="452" t="s">
        <v>1608</v>
      </c>
      <c r="C5076" s="209">
        <v>325</v>
      </c>
      <c r="D5076" s="451">
        <f t="shared" ref="D5076:D5084" si="664">C5076*(1-0.35)*fcl/TC</f>
        <v>105.3097014925373</v>
      </c>
      <c r="E5076" s="228">
        <v>5</v>
      </c>
      <c r="F5076" s="585">
        <f t="shared" ref="F5076:F5084" si="665">ROUNDUP(D5076+E5076,1)</f>
        <v>110.39999999999999</v>
      </c>
      <c r="G5076" s="592" t="s">
        <v>1616</v>
      </c>
      <c r="H5076" s="651">
        <v>1033500</v>
      </c>
      <c r="I5076" s="520"/>
      <c r="J5076" s="589" t="s">
        <v>1413</v>
      </c>
      <c r="K5076" s="520" t="s">
        <v>741</v>
      </c>
    </row>
    <row r="5077" spans="1:15" s="196" customFormat="1">
      <c r="A5077" s="1645"/>
      <c r="B5077" s="453" t="s">
        <v>1609</v>
      </c>
      <c r="C5077" s="209">
        <v>353</v>
      </c>
      <c r="D5077" s="451">
        <f t="shared" si="664"/>
        <v>114.38253731343283</v>
      </c>
      <c r="E5077" s="228">
        <v>5</v>
      </c>
      <c r="F5077" s="585">
        <f t="shared" si="665"/>
        <v>119.39999999999999</v>
      </c>
      <c r="G5077" s="592" t="s">
        <v>1617</v>
      </c>
      <c r="H5077" s="651">
        <v>1034500</v>
      </c>
      <c r="I5077" s="520"/>
      <c r="J5077" s="589" t="s">
        <v>1413</v>
      </c>
      <c r="K5077" s="520" t="s">
        <v>741</v>
      </c>
    </row>
    <row r="5078" spans="1:15" s="196" customFormat="1">
      <c r="A5078" s="1645"/>
      <c r="B5078" s="452" t="s">
        <v>1611</v>
      </c>
      <c r="C5078" s="209">
        <v>362</v>
      </c>
      <c r="D5078" s="451">
        <f t="shared" si="664"/>
        <v>117.29880597014926</v>
      </c>
      <c r="E5078" s="228">
        <v>5</v>
      </c>
      <c r="F5078" s="585">
        <f t="shared" si="665"/>
        <v>122.3</v>
      </c>
      <c r="G5078" s="592" t="s">
        <v>1619</v>
      </c>
      <c r="H5078" s="651">
        <v>1380500</v>
      </c>
      <c r="I5078" s="520"/>
      <c r="J5078" s="589" t="s">
        <v>1413</v>
      </c>
      <c r="K5078" s="520" t="s">
        <v>741</v>
      </c>
    </row>
    <row r="5079" spans="1:15" s="196" customFormat="1">
      <c r="A5079" s="1645"/>
      <c r="B5079" s="427" t="s">
        <v>1613</v>
      </c>
      <c r="C5079" s="209">
        <v>408</v>
      </c>
      <c r="D5079" s="451">
        <f t="shared" si="664"/>
        <v>132.20417910447759</v>
      </c>
      <c r="E5079" s="228">
        <v>5</v>
      </c>
      <c r="F5079" s="585">
        <f t="shared" si="665"/>
        <v>137.29999999999998</v>
      </c>
      <c r="G5079" s="592" t="s">
        <v>1622</v>
      </c>
      <c r="H5079" s="651">
        <v>1045500</v>
      </c>
      <c r="I5079" s="520"/>
      <c r="J5079" s="589" t="s">
        <v>1413</v>
      </c>
      <c r="K5079" s="520" t="s">
        <v>741</v>
      </c>
    </row>
    <row r="5080" spans="1:15" s="196" customFormat="1">
      <c r="A5080" s="1645"/>
      <c r="B5080" s="453" t="s">
        <v>1612</v>
      </c>
      <c r="C5080" s="209">
        <v>431</v>
      </c>
      <c r="D5080" s="451">
        <f t="shared" si="664"/>
        <v>139.65686567164178</v>
      </c>
      <c r="E5080" s="228">
        <v>5</v>
      </c>
      <c r="F5080" s="585">
        <f t="shared" si="665"/>
        <v>144.69999999999999</v>
      </c>
      <c r="G5080" s="592" t="s">
        <v>1620</v>
      </c>
      <c r="H5080" s="651">
        <v>1038500</v>
      </c>
      <c r="I5080" s="520"/>
      <c r="J5080" s="589" t="s">
        <v>1413</v>
      </c>
      <c r="K5080" s="520" t="s">
        <v>741</v>
      </c>
    </row>
    <row r="5081" spans="1:15" s="196" customFormat="1">
      <c r="A5081" s="1645"/>
      <c r="B5081" s="452" t="s">
        <v>1621</v>
      </c>
      <c r="C5081" s="209">
        <v>507</v>
      </c>
      <c r="D5081" s="451">
        <f t="shared" si="664"/>
        <v>164.28313432835819</v>
      </c>
      <c r="E5081" s="228">
        <v>5</v>
      </c>
      <c r="F5081" s="585">
        <f t="shared" si="665"/>
        <v>169.29999999999998</v>
      </c>
      <c r="G5081" s="592" t="s">
        <v>1623</v>
      </c>
      <c r="H5081" s="651">
        <v>1050500</v>
      </c>
      <c r="I5081" s="520"/>
      <c r="J5081" s="589" t="s">
        <v>1413</v>
      </c>
      <c r="K5081" s="520" t="s">
        <v>741</v>
      </c>
    </row>
    <row r="5082" spans="1:15" s="196" customFormat="1">
      <c r="A5082" s="1645"/>
      <c r="B5082" s="427" t="s">
        <v>1627</v>
      </c>
      <c r="C5082" s="209">
        <v>560</v>
      </c>
      <c r="D5082" s="451">
        <f t="shared" si="664"/>
        <v>181.45671641791043</v>
      </c>
      <c r="E5082" s="228">
        <v>5</v>
      </c>
      <c r="F5082" s="585">
        <f t="shared" si="665"/>
        <v>186.5</v>
      </c>
      <c r="G5082" s="592" t="s">
        <v>1629</v>
      </c>
      <c r="H5082" s="651">
        <v>1060500</v>
      </c>
      <c r="I5082" s="520"/>
      <c r="J5082" s="589" t="s">
        <v>1413</v>
      </c>
      <c r="K5082" s="520" t="s">
        <v>741</v>
      </c>
    </row>
    <row r="5083" spans="1:15" s="196" customFormat="1">
      <c r="A5083" s="1645"/>
      <c r="B5083" s="453" t="s">
        <v>1632</v>
      </c>
      <c r="C5083" s="209">
        <v>697</v>
      </c>
      <c r="D5083" s="451">
        <f t="shared" si="664"/>
        <v>225.84880597014924</v>
      </c>
      <c r="E5083" s="228">
        <v>5</v>
      </c>
      <c r="F5083" s="585">
        <f t="shared" si="665"/>
        <v>230.9</v>
      </c>
      <c r="G5083" s="592" t="s">
        <v>1633</v>
      </c>
      <c r="H5083" s="651">
        <v>1076500</v>
      </c>
      <c r="I5083" s="520"/>
      <c r="J5083" s="589" t="s">
        <v>1413</v>
      </c>
      <c r="K5083" s="520" t="s">
        <v>741</v>
      </c>
    </row>
    <row r="5084" spans="1:15" s="196" customFormat="1">
      <c r="A5084" s="1645"/>
      <c r="B5084" s="454" t="s">
        <v>1634</v>
      </c>
      <c r="C5084" s="209">
        <v>931</v>
      </c>
      <c r="D5084" s="451">
        <f t="shared" si="664"/>
        <v>301.67179104477606</v>
      </c>
      <c r="E5084" s="228">
        <v>5</v>
      </c>
      <c r="F5084" s="585">
        <f t="shared" si="665"/>
        <v>306.70000000000005</v>
      </c>
      <c r="G5084" s="592" t="s">
        <v>1635</v>
      </c>
      <c r="H5084" s="651">
        <v>1077500</v>
      </c>
      <c r="I5084" s="520"/>
      <c r="J5084" s="589" t="s">
        <v>1413</v>
      </c>
      <c r="K5084" s="520" t="s">
        <v>741</v>
      </c>
    </row>
    <row r="5085" spans="1:15" s="196" customFormat="1">
      <c r="A5085" s="1645"/>
      <c r="B5085" s="151"/>
      <c r="C5085" s="209"/>
      <c r="D5085" s="244"/>
      <c r="E5085" s="228"/>
      <c r="F5085" s="585"/>
      <c r="G5085" s="592"/>
      <c r="H5085" s="592"/>
      <c r="I5085" s="520"/>
      <c r="J5085" s="589"/>
      <c r="K5085" s="520"/>
    </row>
    <row r="5086" spans="1:15" s="196" customFormat="1">
      <c r="A5086" s="1645"/>
      <c r="B5086" s="452" t="s">
        <v>1624</v>
      </c>
      <c r="C5086" s="209">
        <v>703</v>
      </c>
      <c r="D5086" s="451">
        <f t="shared" ref="D5086:D5099" si="666">C5086*(1-0.35)*fcl/TC</f>
        <v>227.79298507462684</v>
      </c>
      <c r="E5086" s="228">
        <v>5</v>
      </c>
      <c r="F5086" s="585">
        <f t="shared" ref="F5086:F5098" si="667">ROUNDUP(D5086+E5086,1)</f>
        <v>232.79999999999998</v>
      </c>
      <c r="G5086" s="592" t="s">
        <v>1625</v>
      </c>
      <c r="H5086" s="651">
        <v>1350500</v>
      </c>
      <c r="I5086" s="520"/>
      <c r="J5086" s="589" t="s">
        <v>1413</v>
      </c>
      <c r="K5086" s="520" t="s">
        <v>741</v>
      </c>
    </row>
    <row r="5087" spans="1:15" s="196" customFormat="1" ht="13.5" customHeight="1">
      <c r="A5087" s="1645"/>
      <c r="B5087" s="427" t="s">
        <v>1630</v>
      </c>
      <c r="C5087" s="209">
        <v>885</v>
      </c>
      <c r="D5087" s="451">
        <f t="shared" si="666"/>
        <v>286.76641791044773</v>
      </c>
      <c r="E5087" s="228">
        <v>5</v>
      </c>
      <c r="F5087" s="585">
        <f t="shared" si="667"/>
        <v>291.8</v>
      </c>
      <c r="G5087" s="592" t="s">
        <v>1631</v>
      </c>
      <c r="H5087" s="651">
        <v>1360500</v>
      </c>
      <c r="I5087" s="520"/>
      <c r="J5087" s="589" t="s">
        <v>1413</v>
      </c>
      <c r="K5087" s="520" t="s">
        <v>741</v>
      </c>
    </row>
    <row r="5088" spans="1:15" s="196" customFormat="1">
      <c r="A5088" s="1645"/>
      <c r="B5088" s="427" t="s">
        <v>1626</v>
      </c>
      <c r="C5088" s="209">
        <v>736</v>
      </c>
      <c r="D5088" s="451">
        <f t="shared" si="666"/>
        <v>238.48597014925372</v>
      </c>
      <c r="E5088" s="228">
        <v>5</v>
      </c>
      <c r="F5088" s="585">
        <f t="shared" si="667"/>
        <v>243.5</v>
      </c>
      <c r="G5088" s="592" t="s">
        <v>1628</v>
      </c>
      <c r="H5088" s="651">
        <v>1057500</v>
      </c>
      <c r="I5088" s="520"/>
      <c r="J5088" s="589" t="s">
        <v>1413</v>
      </c>
      <c r="K5088" s="520" t="s">
        <v>741</v>
      </c>
    </row>
    <row r="5089" spans="1:11" s="196" customFormat="1">
      <c r="A5089" s="1645"/>
      <c r="B5089" s="427" t="s">
        <v>1636</v>
      </c>
      <c r="C5089" s="209">
        <v>887</v>
      </c>
      <c r="D5089" s="451">
        <f t="shared" si="666"/>
        <v>287.4144776119403</v>
      </c>
      <c r="E5089" s="228">
        <v>5</v>
      </c>
      <c r="F5089" s="585">
        <f t="shared" si="667"/>
        <v>292.5</v>
      </c>
      <c r="G5089" s="592" t="s">
        <v>1637</v>
      </c>
      <c r="H5089" s="651">
        <v>1058500</v>
      </c>
      <c r="I5089" s="520"/>
      <c r="J5089" s="589" t="s">
        <v>1413</v>
      </c>
      <c r="K5089" s="520" t="s">
        <v>741</v>
      </c>
    </row>
    <row r="5090" spans="1:11" s="196" customFormat="1">
      <c r="A5090" s="1645"/>
      <c r="B5090" s="427" t="s">
        <v>1638</v>
      </c>
      <c r="C5090" s="209">
        <v>1012</v>
      </c>
      <c r="D5090" s="451">
        <f t="shared" si="666"/>
        <v>327.91820895522392</v>
      </c>
      <c r="E5090" s="228">
        <v>5</v>
      </c>
      <c r="F5090" s="585">
        <f t="shared" si="667"/>
        <v>333</v>
      </c>
      <c r="G5090" s="592" t="s">
        <v>1639</v>
      </c>
      <c r="H5090" s="651">
        <v>1090500</v>
      </c>
      <c r="I5090" s="520"/>
      <c r="J5090" s="589" t="s">
        <v>1413</v>
      </c>
      <c r="K5090" s="520" t="s">
        <v>741</v>
      </c>
    </row>
    <row r="5091" spans="1:11" s="196" customFormat="1">
      <c r="A5091" s="1645"/>
      <c r="B5091" s="453" t="s">
        <v>1640</v>
      </c>
      <c r="C5091" s="209">
        <v>1282</v>
      </c>
      <c r="D5091" s="451">
        <f t="shared" si="666"/>
        <v>415.40626865671646</v>
      </c>
      <c r="E5091" s="228">
        <v>5</v>
      </c>
      <c r="F5091" s="585">
        <f t="shared" si="667"/>
        <v>420.5</v>
      </c>
      <c r="G5091" s="592" t="s">
        <v>1641</v>
      </c>
      <c r="H5091" s="651">
        <v>1260500</v>
      </c>
      <c r="I5091" s="520"/>
      <c r="J5091" s="589" t="s">
        <v>1413</v>
      </c>
      <c r="K5091" s="520" t="s">
        <v>741</v>
      </c>
    </row>
    <row r="5092" spans="1:11" s="196" customFormat="1">
      <c r="A5092" s="1645"/>
      <c r="B5092" s="452" t="s">
        <v>1642</v>
      </c>
      <c r="C5092" s="209">
        <v>1158</v>
      </c>
      <c r="D5092" s="451">
        <f t="shared" si="666"/>
        <v>375.22656716417907</v>
      </c>
      <c r="E5092" s="228">
        <v>5</v>
      </c>
      <c r="F5092" s="585">
        <f t="shared" si="667"/>
        <v>380.3</v>
      </c>
      <c r="G5092" s="592" t="s">
        <v>1643</v>
      </c>
      <c r="H5092" s="651">
        <v>1180500</v>
      </c>
      <c r="I5092" s="520"/>
      <c r="J5092" s="589" t="s">
        <v>1413</v>
      </c>
      <c r="K5092" s="520" t="s">
        <v>741</v>
      </c>
    </row>
    <row r="5093" spans="1:11" s="196" customFormat="1">
      <c r="A5093" s="1645"/>
      <c r="B5093" s="453" t="s">
        <v>1644</v>
      </c>
      <c r="C5093" s="209">
        <v>1473</v>
      </c>
      <c r="D5093" s="451">
        <f t="shared" si="666"/>
        <v>477.29597014925366</v>
      </c>
      <c r="E5093" s="228">
        <v>5</v>
      </c>
      <c r="F5093" s="585">
        <f t="shared" si="667"/>
        <v>482.3</v>
      </c>
      <c r="G5093" s="592" t="s">
        <v>1645</v>
      </c>
      <c r="H5093" s="651">
        <v>1280500</v>
      </c>
      <c r="I5093" s="520"/>
      <c r="J5093" s="589" t="s">
        <v>1413</v>
      </c>
      <c r="K5093" s="520" t="s">
        <v>741</v>
      </c>
    </row>
    <row r="5094" spans="1:11" s="194" customFormat="1">
      <c r="A5094" s="1645"/>
      <c r="B5094" s="483" t="s">
        <v>1646</v>
      </c>
      <c r="C5094" s="209">
        <v>1946</v>
      </c>
      <c r="D5094" s="451">
        <f t="shared" si="666"/>
        <v>630.56208955223883</v>
      </c>
      <c r="E5094" s="228">
        <v>5</v>
      </c>
      <c r="F5094" s="585">
        <f t="shared" si="667"/>
        <v>635.6</v>
      </c>
      <c r="G5094" s="580" t="s">
        <v>1651</v>
      </c>
      <c r="H5094" s="651">
        <v>1213500</v>
      </c>
      <c r="I5094" s="520"/>
      <c r="J5094" s="589" t="s">
        <v>1413</v>
      </c>
      <c r="K5094" s="520" t="s">
        <v>741</v>
      </c>
    </row>
    <row r="5095" spans="1:11" s="196" customFormat="1">
      <c r="A5095" s="1645"/>
      <c r="B5095" s="484" t="s">
        <v>1647</v>
      </c>
      <c r="C5095" s="209">
        <v>2338</v>
      </c>
      <c r="D5095" s="451">
        <f t="shared" si="666"/>
        <v>757.58179104477608</v>
      </c>
      <c r="E5095" s="228">
        <v>5</v>
      </c>
      <c r="F5095" s="585">
        <f t="shared" si="667"/>
        <v>762.6</v>
      </c>
      <c r="G5095" s="580" t="s">
        <v>1652</v>
      </c>
      <c r="H5095" s="651">
        <v>1114500</v>
      </c>
      <c r="I5095" s="520"/>
      <c r="J5095" s="589" t="s">
        <v>1413</v>
      </c>
      <c r="K5095" s="520" t="s">
        <v>741</v>
      </c>
    </row>
    <row r="5096" spans="1:11" s="194" customFormat="1">
      <c r="A5096" s="1645"/>
      <c r="B5096" s="483" t="s">
        <v>9436</v>
      </c>
      <c r="C5096" s="209">
        <v>3388</v>
      </c>
      <c r="D5096" s="451">
        <f t="shared" si="666"/>
        <v>1097.8131343283583</v>
      </c>
      <c r="E5096" s="228">
        <v>5</v>
      </c>
      <c r="F5096" s="585">
        <f>ROUNDUP(D5096+E5096,1)</f>
        <v>1102.8999999999999</v>
      </c>
      <c r="G5096" s="580" t="s">
        <v>9437</v>
      </c>
      <c r="H5096" s="651">
        <v>1014600</v>
      </c>
      <c r="I5096" s="520"/>
      <c r="J5096" s="589" t="s">
        <v>1413</v>
      </c>
      <c r="K5096" s="520" t="s">
        <v>741</v>
      </c>
    </row>
    <row r="5097" spans="1:11" s="194" customFormat="1">
      <c r="A5097" s="1645"/>
      <c r="B5097" s="483" t="s">
        <v>9438</v>
      </c>
      <c r="C5097" s="209">
        <v>2355</v>
      </c>
      <c r="D5097" s="451">
        <f t="shared" si="666"/>
        <v>763.09029850746265</v>
      </c>
      <c r="E5097" s="228">
        <v>5</v>
      </c>
      <c r="F5097" s="585">
        <f>ROUNDUP(D5097+E5097,1)</f>
        <v>768.1</v>
      </c>
      <c r="G5097" s="580" t="s">
        <v>9439</v>
      </c>
      <c r="H5097" s="651">
        <v>1012600</v>
      </c>
      <c r="I5097" s="520"/>
      <c r="J5097" s="589" t="s">
        <v>1413</v>
      </c>
      <c r="K5097" s="520" t="s">
        <v>741</v>
      </c>
    </row>
    <row r="5098" spans="1:11" s="194" customFormat="1">
      <c r="A5098" s="1645"/>
      <c r="B5098" s="483" t="s">
        <v>8638</v>
      </c>
      <c r="C5098" s="209">
        <v>3904</v>
      </c>
      <c r="D5098" s="451">
        <f t="shared" si="666"/>
        <v>1265.0125373134326</v>
      </c>
      <c r="E5098" s="228">
        <v>5</v>
      </c>
      <c r="F5098" s="585">
        <f t="shared" si="667"/>
        <v>1270.0999999999999</v>
      </c>
      <c r="G5098" s="580" t="s">
        <v>8639</v>
      </c>
      <c r="H5098" s="651">
        <v>1016600</v>
      </c>
      <c r="I5098" s="520"/>
      <c r="J5098" s="589" t="s">
        <v>1413</v>
      </c>
      <c r="K5098" s="520" t="s">
        <v>741</v>
      </c>
    </row>
    <row r="5099" spans="1:11" s="194" customFormat="1">
      <c r="A5099" s="1645"/>
      <c r="B5099" s="483" t="s">
        <v>8640</v>
      </c>
      <c r="C5099" s="209">
        <v>4495</v>
      </c>
      <c r="D5099" s="451">
        <f t="shared" si="666"/>
        <v>1456.5141791044775</v>
      </c>
      <c r="E5099" s="228">
        <v>5</v>
      </c>
      <c r="F5099" s="585">
        <f>ROUNDUP(D5099+E5099,1)</f>
        <v>1461.6</v>
      </c>
      <c r="G5099" s="580" t="s">
        <v>8639</v>
      </c>
      <c r="H5099" s="651">
        <v>1017600</v>
      </c>
      <c r="I5099" s="520"/>
      <c r="J5099" s="589" t="s">
        <v>1413</v>
      </c>
      <c r="K5099" s="520" t="s">
        <v>741</v>
      </c>
    </row>
    <row r="5100" spans="1:11" s="196" customFormat="1">
      <c r="A5100" s="1645"/>
      <c r="B5100" s="151"/>
      <c r="C5100" s="209"/>
      <c r="D5100" s="244"/>
      <c r="E5100" s="228"/>
      <c r="F5100" s="585"/>
      <c r="G5100" s="592"/>
      <c r="H5100" s="592"/>
      <c r="I5100" s="520"/>
      <c r="J5100" s="589"/>
      <c r="K5100" s="520"/>
    </row>
    <row r="5101" spans="1:11" s="194" customFormat="1">
      <c r="A5101" s="1645"/>
      <c r="B5101" s="452" t="s">
        <v>8641</v>
      </c>
      <c r="C5101" s="209">
        <v>72.319999999999993</v>
      </c>
      <c r="D5101" s="451">
        <f>C5101*(1-0)*fcl/TC</f>
        <v>36.052059701492531</v>
      </c>
      <c r="E5101" s="228">
        <v>2</v>
      </c>
      <c r="F5101" s="585">
        <f>ROUNDUP(D5101+E5101,1)</f>
        <v>38.1</v>
      </c>
      <c r="G5101" s="592" t="s">
        <v>8642</v>
      </c>
      <c r="H5101" s="651" t="s">
        <v>12853</v>
      </c>
      <c r="I5101" s="520"/>
      <c r="J5101" s="589" t="s">
        <v>1413</v>
      </c>
      <c r="K5101" s="520" t="s">
        <v>741</v>
      </c>
    </row>
    <row r="5102" spans="1:11" s="194" customFormat="1">
      <c r="A5102" s="1645"/>
      <c r="B5102" s="452" t="s">
        <v>1648</v>
      </c>
      <c r="C5102" s="209">
        <v>50</v>
      </c>
      <c r="D5102" s="451">
        <f>C5102*(1-0.2)*fcl/TC</f>
        <v>19.940298507462686</v>
      </c>
      <c r="E5102" s="228">
        <v>2</v>
      </c>
      <c r="F5102" s="585">
        <f>ROUNDUP(D5102+E5102,1)</f>
        <v>22</v>
      </c>
      <c r="G5102" s="592" t="s">
        <v>5285</v>
      </c>
      <c r="H5102" s="651" t="s">
        <v>12854</v>
      </c>
      <c r="I5102" s="520"/>
      <c r="J5102" s="589" t="s">
        <v>1413</v>
      </c>
      <c r="K5102" s="520" t="s">
        <v>741</v>
      </c>
    </row>
    <row r="5103" spans="1:11" s="194" customFormat="1">
      <c r="A5103" s="1645"/>
      <c r="B5103" s="452" t="s">
        <v>12855</v>
      </c>
      <c r="C5103" s="209">
        <v>33.799999999999997</v>
      </c>
      <c r="D5103" s="451">
        <f>C5103*(1-0.2)*fcl/TC</f>
        <v>13.479641791044775</v>
      </c>
      <c r="E5103" s="228">
        <v>2</v>
      </c>
      <c r="F5103" s="585">
        <f>ROUNDUP(D5103+E5103,1)</f>
        <v>15.5</v>
      </c>
      <c r="G5103" s="592" t="s">
        <v>12856</v>
      </c>
      <c r="H5103" s="651" t="s">
        <v>12857</v>
      </c>
      <c r="I5103" s="520"/>
      <c r="J5103" s="589" t="s">
        <v>1413</v>
      </c>
      <c r="K5103" s="520" t="s">
        <v>741</v>
      </c>
    </row>
    <row r="5104" spans="1:11" s="194" customFormat="1">
      <c r="A5104" s="1645"/>
      <c r="B5104" s="453" t="s">
        <v>1649</v>
      </c>
      <c r="C5104" s="209">
        <v>26.65</v>
      </c>
      <c r="D5104" s="451">
        <f>C5104*(1-0)*fcl/TC</f>
        <v>13.285223880597014</v>
      </c>
      <c r="E5104" s="228">
        <v>0</v>
      </c>
      <c r="F5104" s="585">
        <f>ROUNDUP(D5104+E5104,1)</f>
        <v>13.299999999999999</v>
      </c>
      <c r="G5104" s="592" t="s">
        <v>1650</v>
      </c>
      <c r="H5104" s="651" t="s">
        <v>12858</v>
      </c>
      <c r="I5104" s="520"/>
      <c r="J5104" s="589" t="s">
        <v>1413</v>
      </c>
      <c r="K5104" s="520" t="s">
        <v>741</v>
      </c>
    </row>
    <row r="5105" spans="1:11" s="196" customFormat="1">
      <c r="B5105" s="142"/>
      <c r="C5105" s="235"/>
      <c r="D5105" s="213"/>
      <c r="E5105" s="226"/>
      <c r="F5105" s="155"/>
      <c r="G5105" s="143"/>
      <c r="H5105" s="142"/>
    </row>
    <row r="5106" spans="1:11" s="196" customFormat="1">
      <c r="B5106" s="142"/>
      <c r="C5106" s="235"/>
      <c r="D5106" s="213"/>
      <c r="E5106" s="226"/>
      <c r="F5106" s="155"/>
      <c r="G5106" s="143"/>
      <c r="H5106" s="142"/>
    </row>
    <row r="5107" spans="1:11" s="196" customFormat="1">
      <c r="B5107" s="142"/>
      <c r="C5107" s="235"/>
      <c r="D5107" s="213"/>
      <c r="E5107" s="226"/>
      <c r="F5107" s="155"/>
      <c r="G5107" s="143"/>
      <c r="H5107" s="142"/>
    </row>
    <row r="5108" spans="1:11" s="196" customFormat="1">
      <c r="B5108" s="142"/>
      <c r="C5108" s="235"/>
      <c r="D5108" s="213"/>
      <c r="E5108" s="226"/>
      <c r="F5108" s="155"/>
      <c r="G5108" s="143"/>
      <c r="H5108" s="142"/>
    </row>
    <row r="5109" spans="1:11" s="194" customFormat="1">
      <c r="A5109" s="1645"/>
      <c r="B5109" s="151"/>
      <c r="C5109" s="209"/>
      <c r="D5109" s="244"/>
      <c r="E5109" s="228"/>
      <c r="F5109" s="585"/>
      <c r="G5109" s="592"/>
      <c r="H5109" s="592"/>
      <c r="I5109" s="520"/>
      <c r="J5109" s="589"/>
      <c r="K5109" s="520"/>
    </row>
    <row r="5110" spans="1:11" s="194" customFormat="1">
      <c r="A5110" s="1645"/>
      <c r="B5110" s="452"/>
      <c r="C5110" s="209"/>
      <c r="D5110" s="244"/>
      <c r="E5110" s="228"/>
      <c r="F5110" s="585"/>
      <c r="G5110" s="592"/>
      <c r="H5110" s="592"/>
      <c r="I5110" s="520"/>
      <c r="J5110" s="589"/>
      <c r="K5110" s="520"/>
    </row>
    <row r="5111" spans="1:11" s="194" customFormat="1">
      <c r="A5111" s="1645"/>
      <c r="B5111" s="427" t="s">
        <v>2837</v>
      </c>
      <c r="C5111" s="209">
        <v>3315</v>
      </c>
      <c r="D5111" s="451">
        <f>C5111*(1-0.35)*fcl/TC</f>
        <v>1074.1589552238806</v>
      </c>
      <c r="E5111" s="228">
        <v>100</v>
      </c>
      <c r="F5111" s="585">
        <f>ROUNDUP(D5111+E5111,1)</f>
        <v>1174.1999999999998</v>
      </c>
      <c r="G5111" s="592" t="s">
        <v>9440</v>
      </c>
      <c r="H5111" s="651">
        <v>8606500</v>
      </c>
      <c r="I5111" s="520"/>
      <c r="J5111" s="589" t="s">
        <v>1413</v>
      </c>
      <c r="K5111" s="520" t="s">
        <v>741</v>
      </c>
    </row>
    <row r="5112" spans="1:11" s="194" customFormat="1">
      <c r="A5112" s="1645"/>
      <c r="B5112" s="427" t="s">
        <v>2838</v>
      </c>
      <c r="C5112" s="209">
        <v>3530</v>
      </c>
      <c r="D5112" s="451">
        <f>C5112*(1-0.35)*fcl/TC</f>
        <v>1143.8253731343284</v>
      </c>
      <c r="E5112" s="228">
        <v>100</v>
      </c>
      <c r="F5112" s="585">
        <f>ROUNDUP(D5112+E5112,1)</f>
        <v>1243.8999999999999</v>
      </c>
      <c r="G5112" s="592" t="s">
        <v>9441</v>
      </c>
      <c r="H5112" s="651">
        <v>8806500</v>
      </c>
      <c r="I5112" s="520"/>
      <c r="J5112" s="589" t="s">
        <v>1413</v>
      </c>
      <c r="K5112" s="520" t="s">
        <v>741</v>
      </c>
    </row>
    <row r="5113" spans="1:11" s="194" customFormat="1">
      <c r="A5113" s="1645"/>
      <c r="B5113" s="427"/>
      <c r="C5113" s="209"/>
      <c r="D5113" s="244"/>
      <c r="E5113" s="228"/>
      <c r="F5113" s="585"/>
      <c r="G5113" s="592"/>
      <c r="H5113" s="592"/>
      <c r="I5113" s="520"/>
      <c r="J5113" s="589"/>
      <c r="K5113" s="520"/>
    </row>
    <row r="5114" spans="1:11" s="194" customFormat="1">
      <c r="A5114" s="1645"/>
      <c r="B5114" s="427" t="s">
        <v>2839</v>
      </c>
      <c r="C5114" s="209">
        <v>775</v>
      </c>
      <c r="D5114" s="451">
        <f>C5114*(1-0.35)*fcl/TC</f>
        <v>251.12313432835819</v>
      </c>
      <c r="E5114" s="228">
        <v>80</v>
      </c>
      <c r="F5114" s="585">
        <f>ROUNDUP(D5114+E5114,1)</f>
        <v>331.20000000000005</v>
      </c>
      <c r="G5114" s="592" t="s">
        <v>2840</v>
      </c>
      <c r="H5114" s="651">
        <v>8106235</v>
      </c>
      <c r="I5114" s="520"/>
      <c r="J5114" s="589" t="s">
        <v>1413</v>
      </c>
      <c r="K5114" s="520" t="s">
        <v>741</v>
      </c>
    </row>
    <row r="5115" spans="1:11" s="194" customFormat="1">
      <c r="A5115" s="1645"/>
      <c r="B5115" s="427"/>
      <c r="C5115" s="209"/>
      <c r="D5115" s="244"/>
      <c r="E5115" s="228"/>
      <c r="F5115" s="585"/>
      <c r="G5115" s="592"/>
      <c r="H5115" s="764"/>
      <c r="I5115" s="520"/>
      <c r="J5115" s="589"/>
      <c r="K5115" s="520"/>
    </row>
    <row r="5116" spans="1:11" s="194" customFormat="1">
      <c r="A5116" s="1645"/>
      <c r="B5116" s="427" t="s">
        <v>2841</v>
      </c>
      <c r="C5116" s="209">
        <v>643</v>
      </c>
      <c r="D5116" s="451">
        <f>C5116*(1-0.35)*fcl/TC</f>
        <v>208.35119402985075</v>
      </c>
      <c r="E5116" s="228">
        <v>10</v>
      </c>
      <c r="F5116" s="585">
        <f>ROUNDUP(D5116+E5116,1)</f>
        <v>218.4</v>
      </c>
      <c r="G5116" s="592" t="s">
        <v>2842</v>
      </c>
      <c r="H5116" s="651">
        <v>8701600</v>
      </c>
      <c r="I5116" s="520"/>
      <c r="J5116" s="589" t="s">
        <v>1413</v>
      </c>
      <c r="K5116" s="520" t="s">
        <v>741</v>
      </c>
    </row>
    <row r="5117" spans="1:11" s="194" customFormat="1">
      <c r="A5117" s="1645"/>
      <c r="B5117" s="427" t="s">
        <v>2843</v>
      </c>
      <c r="C5117" s="209">
        <v>732</v>
      </c>
      <c r="D5117" s="451">
        <f>C5117*(1-0.35)*fcl/TC</f>
        <v>237.18985074626866</v>
      </c>
      <c r="E5117" s="228">
        <v>10</v>
      </c>
      <c r="F5117" s="585">
        <f>ROUNDUP(D5117+E5117,1)</f>
        <v>247.2</v>
      </c>
      <c r="G5117" s="592" t="s">
        <v>2844</v>
      </c>
      <c r="H5117" s="651">
        <v>8701800</v>
      </c>
      <c r="I5117" s="520"/>
      <c r="J5117" s="589" t="s">
        <v>1413</v>
      </c>
      <c r="K5117" s="520" t="s">
        <v>741</v>
      </c>
    </row>
    <row r="5118" spans="1:11" s="194" customFormat="1">
      <c r="A5118" s="1645"/>
      <c r="B5118" s="1136" t="s">
        <v>3410</v>
      </c>
      <c r="C5118" s="1137">
        <v>1095</v>
      </c>
      <c r="D5118" s="451">
        <f>C5118*(1-0.35)*fcl/TC</f>
        <v>354.81268656716418</v>
      </c>
      <c r="E5118" s="1138">
        <v>10</v>
      </c>
      <c r="F5118" s="1139">
        <f>ROUNDUP(D5118+E5118,1)</f>
        <v>364.90000000000003</v>
      </c>
      <c r="G5118" s="1140" t="s">
        <v>3411</v>
      </c>
      <c r="H5118" s="1141">
        <v>8702600</v>
      </c>
      <c r="I5118" s="520"/>
      <c r="J5118" s="589" t="s">
        <v>1413</v>
      </c>
      <c r="K5118" s="520" t="s">
        <v>741</v>
      </c>
    </row>
    <row r="5119" spans="1:11" s="194" customFormat="1">
      <c r="A5119" s="1645"/>
      <c r="B5119" s="1136" t="s">
        <v>3412</v>
      </c>
      <c r="C5119" s="1137">
        <v>1201</v>
      </c>
      <c r="D5119" s="451">
        <f>C5119*(1-0.35)*fcl/TC</f>
        <v>389.1598507462686</v>
      </c>
      <c r="E5119" s="1138">
        <v>10</v>
      </c>
      <c r="F5119" s="1139">
        <f>ROUNDUP(D5119+E5119,1)</f>
        <v>399.20000000000005</v>
      </c>
      <c r="G5119" s="1140" t="s">
        <v>3413</v>
      </c>
      <c r="H5119" s="1141">
        <v>8702800</v>
      </c>
      <c r="I5119" s="520"/>
      <c r="J5119" s="589" t="s">
        <v>1413</v>
      </c>
      <c r="K5119" s="520" t="s">
        <v>741</v>
      </c>
    </row>
    <row r="5120" spans="1:11" s="194" customFormat="1">
      <c r="A5120" s="1645"/>
      <c r="B5120" s="427"/>
      <c r="C5120" s="209"/>
      <c r="D5120" s="244"/>
      <c r="E5120" s="228"/>
      <c r="F5120" s="585"/>
      <c r="G5120" s="592"/>
      <c r="H5120" s="592"/>
      <c r="I5120" s="520"/>
      <c r="J5120" s="589"/>
      <c r="K5120" s="520"/>
    </row>
    <row r="5121" spans="1:11" s="194" customFormat="1">
      <c r="A5121" s="1645"/>
      <c r="B5121" s="427" t="s">
        <v>2845</v>
      </c>
      <c r="C5121" s="209">
        <v>444</v>
      </c>
      <c r="D5121" s="451">
        <f>C5121*(1-0.35)*fcl/TC</f>
        <v>143.86925373134326</v>
      </c>
      <c r="E5121" s="228">
        <v>10</v>
      </c>
      <c r="F5121" s="585">
        <f>ROUNDUP(D5121+E5121,1)</f>
        <v>153.9</v>
      </c>
      <c r="G5121" s="592" t="s">
        <v>2846</v>
      </c>
      <c r="H5121" s="651">
        <v>8701060</v>
      </c>
      <c r="I5121" s="520"/>
      <c r="J5121" s="589" t="s">
        <v>1413</v>
      </c>
      <c r="K5121" s="520" t="s">
        <v>741</v>
      </c>
    </row>
    <row r="5122" spans="1:11" s="194" customFormat="1">
      <c r="A5122" s="1645"/>
      <c r="B5122" s="1136" t="s">
        <v>3414</v>
      </c>
      <c r="C5122" s="1137">
        <v>549</v>
      </c>
      <c r="D5122" s="451">
        <f>C5122*(1-0.35)*fcl/TC</f>
        <v>177.89238805970152</v>
      </c>
      <c r="E5122" s="1138">
        <v>10</v>
      </c>
      <c r="F5122" s="1139">
        <f>ROUNDUP(D5122+E5122,1)</f>
        <v>187.9</v>
      </c>
      <c r="G5122" s="1140" t="s">
        <v>3415</v>
      </c>
      <c r="H5122" s="1141">
        <v>8702060</v>
      </c>
      <c r="I5122" s="520"/>
      <c r="J5122" s="589" t="s">
        <v>1413</v>
      </c>
      <c r="K5122" s="520" t="s">
        <v>741</v>
      </c>
    </row>
    <row r="5123" spans="1:11" s="194" customFormat="1">
      <c r="A5123" s="1645"/>
      <c r="B5123" s="427"/>
      <c r="C5123" s="209"/>
      <c r="D5123" s="244"/>
      <c r="E5123" s="228"/>
      <c r="F5123" s="585"/>
      <c r="G5123" s="592"/>
      <c r="H5123" s="592"/>
      <c r="I5123" s="520"/>
      <c r="J5123" s="589"/>
      <c r="K5123" s="520"/>
    </row>
    <row r="5124" spans="1:11" s="194" customFormat="1">
      <c r="A5124" s="1645"/>
      <c r="B5124" s="427" t="s">
        <v>2847</v>
      </c>
      <c r="C5124" s="209">
        <v>41</v>
      </c>
      <c r="D5124" s="451">
        <f>C5124*(1-0.35)*fcl/TC</f>
        <v>13.285223880597016</v>
      </c>
      <c r="E5124" s="228">
        <v>2</v>
      </c>
      <c r="F5124" s="585">
        <f>ROUNDUP(D5124+E5124,1)</f>
        <v>15.299999999999999</v>
      </c>
      <c r="G5124" s="592" t="s">
        <v>2848</v>
      </c>
      <c r="H5124" s="651">
        <v>2514000</v>
      </c>
      <c r="I5124" s="520"/>
      <c r="J5124" s="589" t="s">
        <v>1413</v>
      </c>
      <c r="K5124" s="520" t="s">
        <v>741</v>
      </c>
    </row>
    <row r="5125" spans="1:11" s="196" customFormat="1">
      <c r="A5125" s="1645"/>
      <c r="B5125" s="427"/>
      <c r="C5125" s="209"/>
      <c r="D5125" s="244"/>
      <c r="E5125" s="228"/>
      <c r="F5125" s="585"/>
      <c r="G5125" s="592"/>
      <c r="H5125" s="592"/>
      <c r="I5125" s="520"/>
      <c r="J5125" s="589"/>
      <c r="K5125" s="520"/>
    </row>
    <row r="5126" spans="1:11" s="196" customFormat="1" ht="12.75" customHeight="1">
      <c r="A5126" s="1645"/>
      <c r="B5126" s="427" t="s">
        <v>2849</v>
      </c>
      <c r="C5126" s="209">
        <v>109</v>
      </c>
      <c r="D5126" s="451">
        <f>C5126*(1-0.35)*fcl/TC</f>
        <v>35.319253731343281</v>
      </c>
      <c r="E5126" s="228">
        <v>10</v>
      </c>
      <c r="F5126" s="585">
        <f>ROUNDUP(D5126+E5126,1)</f>
        <v>45.4</v>
      </c>
      <c r="G5126" s="592" t="s">
        <v>2850</v>
      </c>
      <c r="H5126" s="651">
        <v>4540000</v>
      </c>
      <c r="I5126" s="520"/>
      <c r="J5126" s="589" t="s">
        <v>1413</v>
      </c>
      <c r="K5126" s="520" t="s">
        <v>741</v>
      </c>
    </row>
    <row r="5127" spans="1:11" s="196" customFormat="1" ht="12.75" customHeight="1">
      <c r="A5127" s="1645"/>
      <c r="B5127" s="453"/>
      <c r="C5127" s="209"/>
      <c r="D5127" s="244"/>
      <c r="E5127" s="228"/>
      <c r="F5127" s="585"/>
      <c r="G5127" s="592"/>
      <c r="H5127" s="592"/>
      <c r="I5127" s="520"/>
      <c r="J5127" s="589"/>
      <c r="K5127" s="520"/>
    </row>
    <row r="5128" spans="1:11" s="194" customFormat="1">
      <c r="A5128" s="1645"/>
      <c r="B5128" s="151"/>
      <c r="C5128" s="209"/>
      <c r="D5128" s="408"/>
      <c r="E5128" s="228"/>
      <c r="F5128" s="585"/>
      <c r="G5128" s="592"/>
      <c r="H5128" s="592"/>
      <c r="I5128" s="520"/>
      <c r="J5128" s="589"/>
      <c r="K5128" s="520"/>
    </row>
    <row r="5129" spans="1:11" s="194" customFormat="1">
      <c r="A5129" s="1645"/>
      <c r="B5129" s="452"/>
      <c r="C5129" s="209"/>
      <c r="D5129" s="244"/>
      <c r="E5129" s="228"/>
      <c r="F5129" s="585"/>
      <c r="G5129" s="592"/>
      <c r="H5129" s="592"/>
      <c r="I5129" s="520"/>
      <c r="J5129" s="589"/>
      <c r="K5129" s="520"/>
    </row>
    <row r="5130" spans="1:11" s="194" customFormat="1">
      <c r="A5130" s="1645"/>
      <c r="B5130" s="427" t="s">
        <v>2851</v>
      </c>
      <c r="C5130" s="209">
        <v>3957</v>
      </c>
      <c r="D5130" s="451">
        <f>C5130*(1-0.35)*fcl/TC</f>
        <v>1282.1861194029852</v>
      </c>
      <c r="E5130" s="228">
        <v>150</v>
      </c>
      <c r="F5130" s="585">
        <f>ROUNDUP(D5130+E5130,1)</f>
        <v>1432.1999999999998</v>
      </c>
      <c r="G5130" s="592" t="s">
        <v>9442</v>
      </c>
      <c r="H5130" s="651">
        <v>8808500</v>
      </c>
      <c r="I5130" s="520"/>
      <c r="J5130" s="589" t="s">
        <v>1413</v>
      </c>
      <c r="K5130" s="520" t="s">
        <v>741</v>
      </c>
    </row>
    <row r="5131" spans="1:11" s="194" customFormat="1">
      <c r="A5131" s="1645"/>
      <c r="B5131" s="427" t="s">
        <v>2852</v>
      </c>
      <c r="C5131" s="209">
        <v>5574</v>
      </c>
      <c r="D5131" s="451">
        <f>C5131*(1-0.35)*fcl/TC</f>
        <v>1806.1423880597013</v>
      </c>
      <c r="E5131" s="228">
        <v>150</v>
      </c>
      <c r="F5131" s="585">
        <f>ROUNDUP(D5131+E5131,1)</f>
        <v>1956.1999999999998</v>
      </c>
      <c r="G5131" s="592" t="s">
        <v>9443</v>
      </c>
      <c r="H5131" s="651">
        <v>8208500</v>
      </c>
      <c r="I5131" s="520"/>
      <c r="J5131" s="589" t="s">
        <v>1413</v>
      </c>
      <c r="K5131" s="520" t="s">
        <v>741</v>
      </c>
    </row>
    <row r="5132" spans="1:11" s="194" customFormat="1">
      <c r="A5132" s="1645"/>
      <c r="B5132" s="427"/>
      <c r="C5132" s="209"/>
      <c r="D5132" s="244"/>
      <c r="E5132" s="228"/>
      <c r="F5132" s="585"/>
      <c r="G5132" s="592"/>
      <c r="H5132" s="592"/>
      <c r="I5132" s="520"/>
      <c r="J5132" s="589"/>
      <c r="K5132" s="520"/>
    </row>
    <row r="5133" spans="1:11" s="194" customFormat="1">
      <c r="A5133" s="1645"/>
      <c r="B5133" s="427" t="s">
        <v>2853</v>
      </c>
      <c r="C5133" s="209">
        <v>933</v>
      </c>
      <c r="D5133" s="451">
        <f>C5133*(1-0.35)*fcl/TC</f>
        <v>302.31985074626868</v>
      </c>
      <c r="E5133" s="228">
        <v>120</v>
      </c>
      <c r="F5133" s="585">
        <f>ROUNDUP(D5133+E5133,1)</f>
        <v>422.40000000000003</v>
      </c>
      <c r="G5133" s="592" t="s">
        <v>2854</v>
      </c>
      <c r="H5133" s="651">
        <v>8108235</v>
      </c>
      <c r="I5133" s="520"/>
      <c r="J5133" s="589" t="s">
        <v>1413</v>
      </c>
      <c r="K5133" s="520" t="s">
        <v>741</v>
      </c>
    </row>
    <row r="5134" spans="1:11" s="194" customFormat="1">
      <c r="A5134" s="1645"/>
      <c r="B5134" s="427"/>
      <c r="C5134" s="209"/>
      <c r="D5134" s="244"/>
      <c r="E5134" s="228"/>
      <c r="F5134" s="585"/>
      <c r="G5134" s="592"/>
      <c r="H5134" s="764"/>
      <c r="I5134" s="520"/>
      <c r="J5134" s="589"/>
      <c r="K5134" s="520"/>
    </row>
    <row r="5135" spans="1:11" s="194" customFormat="1">
      <c r="A5135" s="1645"/>
      <c r="B5135" s="427" t="s">
        <v>2843</v>
      </c>
      <c r="C5135" s="209">
        <v>732</v>
      </c>
      <c r="D5135" s="451">
        <f>C5135*(1-0.35)*fcl/TC</f>
        <v>237.18985074626866</v>
      </c>
      <c r="E5135" s="228">
        <v>10</v>
      </c>
      <c r="F5135" s="585">
        <f>ROUNDUP(D5135+E5135,1)</f>
        <v>247.2</v>
      </c>
      <c r="G5135" s="592" t="s">
        <v>2855</v>
      </c>
      <c r="H5135" s="651">
        <v>8701800</v>
      </c>
      <c r="I5135" s="520"/>
      <c r="J5135" s="589" t="s">
        <v>1413</v>
      </c>
      <c r="K5135" s="520" t="s">
        <v>741</v>
      </c>
    </row>
    <row r="5136" spans="1:11" s="194" customFormat="1">
      <c r="A5136" s="1645"/>
      <c r="B5136" s="427" t="s">
        <v>2856</v>
      </c>
      <c r="C5136" s="209">
        <v>912</v>
      </c>
      <c r="D5136" s="451">
        <f>C5136*(1-0.35)*fcl/TC</f>
        <v>295.51522388059703</v>
      </c>
      <c r="E5136" s="228">
        <v>10</v>
      </c>
      <c r="F5136" s="585">
        <f>ROUNDUP(D5136+E5136,1)</f>
        <v>305.60000000000002</v>
      </c>
      <c r="G5136" s="592" t="s">
        <v>2857</v>
      </c>
      <c r="H5136" s="651">
        <v>8701200</v>
      </c>
      <c r="I5136" s="520"/>
      <c r="J5136" s="589" t="s">
        <v>1413</v>
      </c>
      <c r="K5136" s="520" t="s">
        <v>741</v>
      </c>
    </row>
    <row r="5137" spans="1:11" s="194" customFormat="1">
      <c r="A5137" s="1645"/>
      <c r="B5137" s="1136" t="s">
        <v>3412</v>
      </c>
      <c r="C5137" s="1137">
        <v>1201</v>
      </c>
      <c r="D5137" s="451">
        <f>C5137*(1-0.35)*fcl/TC</f>
        <v>389.1598507462686</v>
      </c>
      <c r="E5137" s="1138">
        <v>10</v>
      </c>
      <c r="F5137" s="1139">
        <f>ROUNDUP(D5137+E5137,1)</f>
        <v>399.20000000000005</v>
      </c>
      <c r="G5137" s="1140" t="s">
        <v>3413</v>
      </c>
      <c r="H5137" s="1141">
        <v>8702800</v>
      </c>
      <c r="I5137" s="520"/>
      <c r="J5137" s="589" t="s">
        <v>1413</v>
      </c>
      <c r="K5137" s="520" t="s">
        <v>741</v>
      </c>
    </row>
    <row r="5138" spans="1:11" s="194" customFormat="1">
      <c r="A5138" s="1645"/>
      <c r="B5138" s="1136" t="s">
        <v>3416</v>
      </c>
      <c r="C5138" s="1137">
        <v>1426</v>
      </c>
      <c r="D5138" s="451">
        <f>C5138*(1-0.35)*fcl/TC</f>
        <v>462.06656716417911</v>
      </c>
      <c r="E5138" s="1138">
        <v>10</v>
      </c>
      <c r="F5138" s="1139">
        <f>ROUNDUP(D5138+E5138,1)</f>
        <v>472.1</v>
      </c>
      <c r="G5138" s="1140" t="s">
        <v>3417</v>
      </c>
      <c r="H5138" s="1141">
        <v>8702200</v>
      </c>
      <c r="I5138" s="520"/>
      <c r="J5138" s="589" t="s">
        <v>1413</v>
      </c>
      <c r="K5138" s="520" t="s">
        <v>741</v>
      </c>
    </row>
    <row r="5139" spans="1:11" s="194" customFormat="1">
      <c r="A5139" s="1645"/>
      <c r="B5139" s="427"/>
      <c r="C5139" s="209"/>
      <c r="D5139" s="244"/>
      <c r="E5139" s="228"/>
      <c r="F5139" s="585"/>
      <c r="G5139" s="592"/>
      <c r="H5139" s="592"/>
      <c r="I5139" s="520"/>
      <c r="J5139" s="589"/>
      <c r="K5139" s="520"/>
    </row>
    <row r="5140" spans="1:11" s="194" customFormat="1">
      <c r="A5140" s="1645"/>
      <c r="B5140" s="2174" t="s">
        <v>2858</v>
      </c>
      <c r="C5140" s="248">
        <v>700</v>
      </c>
      <c r="D5140" s="400">
        <f>C5140*(1-0.35)*fcl/TC</f>
        <v>226.82089552238807</v>
      </c>
      <c r="E5140" s="1668">
        <v>10</v>
      </c>
      <c r="F5140" s="591">
        <f>ROUNDUP(D5140+E5140,1)</f>
        <v>236.9</v>
      </c>
      <c r="G5140" s="2013" t="s">
        <v>2859</v>
      </c>
      <c r="H5140" s="2131">
        <v>8701080</v>
      </c>
      <c r="I5140" s="620"/>
      <c r="J5140" s="1680" t="s">
        <v>1413</v>
      </c>
      <c r="K5140" s="520" t="s">
        <v>741</v>
      </c>
    </row>
    <row r="5141" spans="1:11" s="194" customFormat="1">
      <c r="A5141" s="1645"/>
      <c r="B5141" s="2182" t="s">
        <v>3418</v>
      </c>
      <c r="C5141" s="248" t="s">
        <v>12730</v>
      </c>
      <c r="D5141" s="400" t="e">
        <f>C5141*(1-0.35)*fcl/TC</f>
        <v>#VALUE!</v>
      </c>
      <c r="E5141" s="2183">
        <v>0</v>
      </c>
      <c r="F5141" s="2184" t="e">
        <f>ROUNDUP(D5141+E5141,1)</f>
        <v>#VALUE!</v>
      </c>
      <c r="G5141" s="2185" t="s">
        <v>3419</v>
      </c>
      <c r="H5141" s="2186">
        <v>8702080</v>
      </c>
      <c r="I5141" s="620"/>
      <c r="J5141" s="1680" t="s">
        <v>1413</v>
      </c>
      <c r="K5141" s="520" t="s">
        <v>741</v>
      </c>
    </row>
    <row r="5142" spans="1:11" s="194" customFormat="1">
      <c r="A5142" s="1645"/>
      <c r="B5142" s="427"/>
      <c r="C5142" s="209"/>
      <c r="D5142" s="244"/>
      <c r="E5142" s="228"/>
      <c r="F5142" s="585"/>
      <c r="G5142" s="592"/>
      <c r="H5142" s="592"/>
      <c r="I5142" s="520"/>
      <c r="J5142" s="589"/>
      <c r="K5142" s="520"/>
    </row>
    <row r="5143" spans="1:11" s="194" customFormat="1">
      <c r="A5143" s="1645"/>
      <c r="B5143" s="427" t="s">
        <v>2847</v>
      </c>
      <c r="C5143" s="209">
        <v>41</v>
      </c>
      <c r="D5143" s="451">
        <f>C5143*(1-0.35)*fcl/TC</f>
        <v>13.285223880597016</v>
      </c>
      <c r="E5143" s="228">
        <v>2</v>
      </c>
      <c r="F5143" s="585">
        <f>ROUNDUP(D5143+E5143,1)</f>
        <v>15.299999999999999</v>
      </c>
      <c r="G5143" s="592" t="s">
        <v>2848</v>
      </c>
      <c r="H5143" s="651">
        <v>2514000</v>
      </c>
      <c r="I5143" s="520"/>
      <c r="J5143" s="589" t="s">
        <v>1413</v>
      </c>
      <c r="K5143" s="520" t="s">
        <v>741</v>
      </c>
    </row>
    <row r="5144" spans="1:11" s="194" customFormat="1">
      <c r="A5144" s="1645"/>
      <c r="B5144" s="427"/>
      <c r="C5144" s="209"/>
      <c r="D5144" s="244"/>
      <c r="E5144" s="228"/>
      <c r="F5144" s="585"/>
      <c r="G5144" s="592"/>
      <c r="H5144" s="592"/>
      <c r="I5144" s="520"/>
      <c r="J5144" s="589"/>
      <c r="K5144" s="520"/>
    </row>
    <row r="5145" spans="1:11" s="196" customFormat="1">
      <c r="A5145" s="1645"/>
      <c r="B5145" s="427" t="s">
        <v>2849</v>
      </c>
      <c r="C5145" s="209">
        <v>109</v>
      </c>
      <c r="D5145" s="451">
        <f>C5145*(1-0.35)*fcl/TC</f>
        <v>35.319253731343281</v>
      </c>
      <c r="E5145" s="228">
        <v>10</v>
      </c>
      <c r="F5145" s="585">
        <f>ROUNDUP(D5145+E5145,1)</f>
        <v>45.4</v>
      </c>
      <c r="G5145" s="592" t="s">
        <v>2850</v>
      </c>
      <c r="H5145" s="651">
        <v>4540000</v>
      </c>
      <c r="I5145" s="520"/>
      <c r="J5145" s="589" t="s">
        <v>1413</v>
      </c>
      <c r="K5145" s="520" t="s">
        <v>741</v>
      </c>
    </row>
    <row r="5146" spans="1:11" s="194" customFormat="1">
      <c r="A5146" s="1645"/>
      <c r="B5146" s="453"/>
      <c r="C5146" s="209"/>
      <c r="D5146" s="244"/>
      <c r="E5146" s="228"/>
      <c r="F5146" s="585"/>
      <c r="G5146" s="592"/>
      <c r="H5146" s="592"/>
      <c r="I5146" s="520"/>
      <c r="J5146" s="589"/>
      <c r="K5146" s="520"/>
    </row>
    <row r="5147" spans="1:11" s="194" customFormat="1">
      <c r="A5147" s="1645"/>
      <c r="B5147" s="151"/>
      <c r="C5147" s="209"/>
      <c r="D5147" s="408"/>
      <c r="E5147" s="228"/>
      <c r="F5147" s="585"/>
      <c r="G5147" s="592"/>
      <c r="H5147" s="592"/>
      <c r="I5147" s="520"/>
      <c r="J5147" s="589"/>
      <c r="K5147" s="520"/>
    </row>
    <row r="5148" spans="1:11" s="194" customFormat="1">
      <c r="A5148" s="1645"/>
      <c r="B5148" s="151"/>
      <c r="C5148" s="209"/>
      <c r="D5148" s="408"/>
      <c r="E5148" s="228"/>
      <c r="F5148" s="585"/>
      <c r="G5148" s="592"/>
      <c r="H5148" s="592"/>
      <c r="I5148" s="520"/>
      <c r="J5148" s="589"/>
      <c r="K5148" s="520"/>
    </row>
    <row r="5149" spans="1:11" s="194" customFormat="1">
      <c r="A5149" s="1645"/>
      <c r="B5149" s="151"/>
      <c r="C5149" s="209"/>
      <c r="D5149" s="408"/>
      <c r="E5149" s="228"/>
      <c r="F5149" s="585"/>
      <c r="G5149" s="592"/>
      <c r="H5149" s="592"/>
      <c r="I5149" s="520"/>
      <c r="J5149" s="589"/>
      <c r="K5149" s="520"/>
    </row>
    <row r="5150" spans="1:11" s="194" customFormat="1">
      <c r="A5150" s="1645"/>
      <c r="B5150" s="902" t="s">
        <v>8643</v>
      </c>
      <c r="C5150" s="209">
        <v>19669</v>
      </c>
      <c r="D5150" s="451">
        <f>C5150*(1-0.35)*fcl/TC</f>
        <v>6373.3431343283573</v>
      </c>
      <c r="E5150" s="228">
        <v>150</v>
      </c>
      <c r="F5150" s="585">
        <f>ROUNDUP(D5150+E5150,1)</f>
        <v>6523.4000000000005</v>
      </c>
      <c r="G5150" s="592" t="s">
        <v>9444</v>
      </c>
      <c r="H5150" s="651">
        <v>8450680</v>
      </c>
      <c r="I5150" s="520"/>
      <c r="J5150" s="589" t="s">
        <v>1413</v>
      </c>
      <c r="K5150" s="520" t="s">
        <v>741</v>
      </c>
    </row>
    <row r="5151" spans="1:11" s="194" customFormat="1">
      <c r="A5151" s="1645"/>
      <c r="B5151" s="902" t="s">
        <v>8644</v>
      </c>
      <c r="C5151" s="798">
        <v>2435</v>
      </c>
      <c r="D5151" s="451">
        <f>C5151*(1-0.35)*fcl/TC</f>
        <v>789.01268656716422</v>
      </c>
      <c r="E5151" s="228">
        <v>120</v>
      </c>
      <c r="F5151" s="585">
        <f>ROUNDUP(D5151+E5151,1)</f>
        <v>909.1</v>
      </c>
      <c r="G5151" s="592" t="s">
        <v>8645</v>
      </c>
      <c r="H5151" s="651">
        <v>8700060</v>
      </c>
      <c r="I5151" s="520"/>
      <c r="J5151" s="589" t="s">
        <v>1413</v>
      </c>
      <c r="K5151" s="520" t="s">
        <v>741</v>
      </c>
    </row>
    <row r="5152" spans="1:11" s="194" customFormat="1">
      <c r="A5152" s="1645"/>
      <c r="B5152" s="902" t="s">
        <v>8646</v>
      </c>
      <c r="C5152" s="209">
        <v>732</v>
      </c>
      <c r="D5152" s="451">
        <f>C5152*(1-0.35)*fcl/TC</f>
        <v>237.18985074626866</v>
      </c>
      <c r="E5152" s="228">
        <v>10</v>
      </c>
      <c r="F5152" s="585">
        <f>ROUNDUP(D5152+E5152,1)</f>
        <v>247.2</v>
      </c>
      <c r="G5152" s="1140" t="s">
        <v>11056</v>
      </c>
      <c r="H5152" s="651">
        <v>8701800</v>
      </c>
      <c r="I5152" s="520"/>
      <c r="J5152" s="589" t="s">
        <v>1413</v>
      </c>
      <c r="K5152" s="520" t="s">
        <v>741</v>
      </c>
    </row>
    <row r="5153" spans="1:11" s="194" customFormat="1">
      <c r="A5153" s="1645"/>
      <c r="B5153" s="902" t="s">
        <v>8647</v>
      </c>
      <c r="C5153" s="1137">
        <v>444</v>
      </c>
      <c r="D5153" s="451">
        <f>C5153*(1-0.35)*fcl/TC</f>
        <v>143.86925373134326</v>
      </c>
      <c r="E5153" s="1138">
        <v>10</v>
      </c>
      <c r="F5153" s="1139">
        <f>ROUNDUP(D5153+E5153,1)</f>
        <v>153.9</v>
      </c>
      <c r="G5153" s="592" t="s">
        <v>11057</v>
      </c>
      <c r="H5153" s="651">
        <v>8701060</v>
      </c>
      <c r="I5153" s="520"/>
      <c r="J5153" s="589" t="s">
        <v>1413</v>
      </c>
      <c r="K5153" s="520" t="s">
        <v>741</v>
      </c>
    </row>
    <row r="5154" spans="1:11" s="194" customFormat="1">
      <c r="A5154" s="589"/>
      <c r="B5154" s="151"/>
      <c r="C5154" s="209"/>
      <c r="D5154" s="408"/>
      <c r="E5154" s="228"/>
      <c r="F5154" s="585"/>
      <c r="G5154" s="592"/>
      <c r="H5154" s="651"/>
      <c r="I5154" s="520"/>
      <c r="J5154" s="589"/>
      <c r="K5154" s="520"/>
    </row>
    <row r="5155" spans="1:11" s="194" customFormat="1" ht="14.25" customHeight="1">
      <c r="A5155" s="589"/>
      <c r="B5155" s="151"/>
      <c r="C5155" s="209"/>
      <c r="D5155" s="408"/>
      <c r="E5155" s="228"/>
      <c r="F5155" s="585"/>
      <c r="H5155" s="592"/>
      <c r="I5155" s="520"/>
      <c r="J5155" s="589"/>
      <c r="K5155" s="520"/>
    </row>
    <row r="5156" spans="1:11" s="2271" customFormat="1" ht="27.75" customHeight="1">
      <c r="A5156" s="1651"/>
      <c r="B5156" s="2270" t="s">
        <v>13686</v>
      </c>
      <c r="C5156" s="649"/>
      <c r="D5156" s="2177"/>
      <c r="E5156" s="1690"/>
      <c r="F5156" s="2261"/>
      <c r="H5156" s="2257"/>
      <c r="I5156" s="2263"/>
      <c r="J5156" s="1651"/>
      <c r="K5156" s="2263"/>
    </row>
    <row r="5157" spans="1:11" s="196" customFormat="1" ht="15">
      <c r="A5157" s="589"/>
      <c r="B5157" s="151" t="s">
        <v>13366</v>
      </c>
      <c r="C5157" s="209">
        <v>65.3</v>
      </c>
      <c r="D5157" s="451">
        <f>C5157*(1-0.27)*fcl/TC</f>
        <v>23.763352238805965</v>
      </c>
      <c r="E5157" s="228">
        <v>3</v>
      </c>
      <c r="F5157" s="585">
        <f t="shared" ref="F5157:F5160" si="668">ROUNDUP(D5157+E5157,1)</f>
        <v>26.8</v>
      </c>
      <c r="G5157" s="2235" t="s">
        <v>13367</v>
      </c>
      <c r="H5157" s="530" t="str">
        <f t="shared" ref="H5157:H5160" si="669">B5157</f>
        <v>SOLERA 18MODULOS</v>
      </c>
      <c r="I5157" s="520"/>
      <c r="J5157" s="589" t="s">
        <v>13368</v>
      </c>
      <c r="K5157" s="520" t="s">
        <v>741</v>
      </c>
    </row>
    <row r="5158" spans="1:11" s="196" customFormat="1" ht="15">
      <c r="A5158" s="589"/>
      <c r="B5158" s="151" t="s">
        <v>13369</v>
      </c>
      <c r="C5158" s="209">
        <v>79.5</v>
      </c>
      <c r="D5158" s="451">
        <f>C5158*(1-0.27)*fcl/TC</f>
        <v>28.930880597014923</v>
      </c>
      <c r="E5158" s="228">
        <v>3</v>
      </c>
      <c r="F5158" s="585">
        <f t="shared" si="668"/>
        <v>32</v>
      </c>
      <c r="G5158" s="2235" t="s">
        <v>13370</v>
      </c>
      <c r="H5158" s="530" t="str">
        <f t="shared" si="669"/>
        <v>SOLERA 22MODULOS</v>
      </c>
      <c r="I5158" s="520"/>
      <c r="J5158" s="589" t="s">
        <v>13368</v>
      </c>
      <c r="K5158" s="520" t="s">
        <v>741</v>
      </c>
    </row>
    <row r="5159" spans="1:11" s="196" customFormat="1" ht="15">
      <c r="A5159" s="589"/>
      <c r="B5159" s="151" t="s">
        <v>13371</v>
      </c>
      <c r="C5159" s="209">
        <v>86</v>
      </c>
      <c r="D5159" s="451">
        <f>C5159*(1-0.27)*fcl/TC</f>
        <v>31.296298507462687</v>
      </c>
      <c r="E5159" s="228">
        <v>3</v>
      </c>
      <c r="F5159" s="585">
        <f t="shared" si="668"/>
        <v>34.300000000000004</v>
      </c>
      <c r="G5159" s="2235" t="s">
        <v>13372</v>
      </c>
      <c r="H5159" s="530" t="str">
        <f t="shared" si="669"/>
        <v>SOLERA 28MODULOS</v>
      </c>
      <c r="I5159" s="520"/>
      <c r="J5159" s="589" t="s">
        <v>13368</v>
      </c>
      <c r="K5159" s="520" t="s">
        <v>741</v>
      </c>
    </row>
    <row r="5160" spans="1:11" s="194" customFormat="1" ht="15">
      <c r="A5160" s="589"/>
      <c r="B5160" s="151" t="s">
        <v>13382</v>
      </c>
      <c r="C5160" s="209">
        <v>103</v>
      </c>
      <c r="D5160" s="244">
        <f>C5160*(1-0.27)*fcl/TC</f>
        <v>37.482776119402978</v>
      </c>
      <c r="E5160" s="228">
        <v>3</v>
      </c>
      <c r="F5160" s="585">
        <f t="shared" si="668"/>
        <v>40.5</v>
      </c>
      <c r="G5160" s="2272" t="s">
        <v>13383</v>
      </c>
      <c r="H5160" s="146" t="str">
        <f t="shared" si="669"/>
        <v>SOLERA 40MODULOS</v>
      </c>
      <c r="I5160" s="520"/>
      <c r="J5160" s="589" t="s">
        <v>13368</v>
      </c>
      <c r="K5160" s="520" t="s">
        <v>741</v>
      </c>
    </row>
    <row r="5161" spans="1:11" s="194" customFormat="1">
      <c r="A5161" s="589"/>
      <c r="B5161" s="151"/>
      <c r="C5161" s="209"/>
      <c r="D5161" s="408"/>
      <c r="E5161" s="228"/>
      <c r="F5161" s="585"/>
      <c r="G5161" s="592"/>
      <c r="H5161" s="592"/>
      <c r="I5161" s="520"/>
      <c r="J5161" s="589"/>
      <c r="K5161" s="520"/>
    </row>
    <row r="5162" spans="1:11" s="194" customFormat="1">
      <c r="A5162" s="421"/>
      <c r="B5162" s="150" t="s">
        <v>12841</v>
      </c>
      <c r="C5162" s="162">
        <v>2850</v>
      </c>
      <c r="D5162" s="2193">
        <f>C5162*(1-0)*fcl</f>
        <v>4759.5</v>
      </c>
      <c r="E5162" s="228">
        <v>10</v>
      </c>
      <c r="F5162" s="585">
        <f>ROUNDUP(D5162+E5162,1)</f>
        <v>4769.5</v>
      </c>
      <c r="G5162" s="338" t="s">
        <v>12842</v>
      </c>
      <c r="H5162" s="530" t="str">
        <f>B5162</f>
        <v>Trafo_BENDER_DS0107/10000_10KVA</v>
      </c>
      <c r="I5162" s="520"/>
      <c r="J5162" s="421" t="s">
        <v>6177</v>
      </c>
      <c r="K5162" s="520" t="s">
        <v>741</v>
      </c>
    </row>
    <row r="5163" spans="1:11" s="194" customFormat="1">
      <c r="A5163" s="589"/>
      <c r="B5163" s="151"/>
      <c r="C5163" s="209"/>
      <c r="D5163" s="408"/>
      <c r="E5163" s="228"/>
      <c r="F5163" s="585"/>
      <c r="G5163" s="592"/>
      <c r="H5163" s="592"/>
      <c r="I5163" s="520"/>
      <c r="J5163" s="589"/>
      <c r="K5163" s="520"/>
    </row>
    <row r="5164" spans="1:11" s="194" customFormat="1">
      <c r="A5164" s="589"/>
      <c r="B5164" s="151"/>
      <c r="C5164" s="209"/>
      <c r="D5164" s="408"/>
      <c r="E5164" s="228"/>
      <c r="F5164" s="585"/>
      <c r="G5164" s="592"/>
      <c r="H5164" s="592"/>
      <c r="I5164" s="520"/>
      <c r="J5164" s="589"/>
      <c r="K5164" s="520"/>
    </row>
    <row r="5165" spans="1:11" s="194" customFormat="1">
      <c r="A5165" s="589"/>
      <c r="B5165" s="151"/>
      <c r="C5165" s="209"/>
      <c r="D5165" s="408"/>
      <c r="E5165" s="228"/>
      <c r="F5165" s="585"/>
      <c r="G5165" s="592"/>
      <c r="H5165" s="592"/>
      <c r="I5165" s="520"/>
      <c r="J5165" s="589"/>
      <c r="K5165" s="520"/>
    </row>
    <row r="5166" spans="1:11" s="194" customFormat="1">
      <c r="A5166" s="589"/>
      <c r="B5166" s="151"/>
      <c r="C5166" s="209"/>
      <c r="D5166" s="408"/>
      <c r="E5166" s="228"/>
      <c r="F5166" s="585"/>
      <c r="G5166" s="592"/>
      <c r="H5166" s="592"/>
      <c r="I5166" s="520"/>
      <c r="J5166" s="589"/>
      <c r="K5166" s="520"/>
    </row>
    <row r="5167" spans="1:11" s="194" customFormat="1">
      <c r="A5167" s="589"/>
      <c r="B5167" s="151" t="s">
        <v>8648</v>
      </c>
      <c r="C5167" s="228">
        <v>30</v>
      </c>
      <c r="D5167" s="408">
        <f>C5167*fcl</f>
        <v>50.099999999999994</v>
      </c>
      <c r="E5167" s="1092">
        <f>D5167/8</f>
        <v>6.2624999999999993</v>
      </c>
      <c r="F5167" s="585">
        <f>ROUNDUP(D5167+E5167,1)</f>
        <v>56.4</v>
      </c>
      <c r="G5167" s="592" t="s">
        <v>8649</v>
      </c>
      <c r="H5167" s="592"/>
      <c r="I5167" s="520"/>
      <c r="J5167" s="589" t="s">
        <v>1514</v>
      </c>
      <c r="K5167" s="520" t="s">
        <v>741</v>
      </c>
    </row>
    <row r="5168" spans="1:11" s="194" customFormat="1">
      <c r="A5168" s="589"/>
      <c r="B5168" s="151" t="s">
        <v>3222</v>
      </c>
      <c r="C5168" s="228">
        <v>45</v>
      </c>
      <c r="D5168" s="408">
        <f>C5168*fcl</f>
        <v>75.149999999999991</v>
      </c>
      <c r="E5168" s="1092">
        <f t="shared" ref="E5168:E5188" si="670">D5168/8</f>
        <v>9.3937499999999989</v>
      </c>
      <c r="F5168" s="585">
        <f>ROUNDUP(D5168+E5168,1)</f>
        <v>84.6</v>
      </c>
      <c r="G5168" s="592" t="s">
        <v>2675</v>
      </c>
      <c r="H5168" s="592"/>
      <c r="I5168" s="520"/>
      <c r="J5168" s="589" t="s">
        <v>1514</v>
      </c>
      <c r="K5168" s="520" t="s">
        <v>741</v>
      </c>
    </row>
    <row r="5169" spans="1:11" s="194" customFormat="1">
      <c r="A5169" s="589"/>
      <c r="B5169" s="151" t="s">
        <v>9726</v>
      </c>
      <c r="C5169" s="228">
        <v>80</v>
      </c>
      <c r="D5169" s="408">
        <f>C5169*fcl</f>
        <v>133.6</v>
      </c>
      <c r="E5169" s="1092">
        <f t="shared" si="670"/>
        <v>16.7</v>
      </c>
      <c r="F5169" s="585">
        <f>ROUNDUP(D5169+E5169,1)</f>
        <v>150.30000000000001</v>
      </c>
      <c r="G5169" s="592" t="s">
        <v>9727</v>
      </c>
      <c r="H5169" s="592"/>
      <c r="I5169" s="520"/>
      <c r="J5169" s="589" t="s">
        <v>1514</v>
      </c>
      <c r="K5169" s="520" t="s">
        <v>741</v>
      </c>
    </row>
    <row r="5170" spans="1:11" s="194" customFormat="1">
      <c r="A5170" s="589"/>
      <c r="B5170" s="151"/>
      <c r="C5170" s="228"/>
      <c r="D5170" s="408"/>
      <c r="E5170" s="1092"/>
      <c r="F5170" s="585"/>
      <c r="G5170" s="592"/>
      <c r="H5170" s="592"/>
      <c r="I5170" s="520"/>
      <c r="J5170" s="589"/>
      <c r="K5170" s="520"/>
    </row>
    <row r="5171" spans="1:11" s="194" customFormat="1">
      <c r="A5171" s="589"/>
      <c r="B5171" s="151" t="s">
        <v>9445</v>
      </c>
      <c r="C5171" s="408">
        <v>127</v>
      </c>
      <c r="D5171" s="408">
        <f>C5171*fcl</f>
        <v>212.09</v>
      </c>
      <c r="E5171" s="1092">
        <f>D5171/8</f>
        <v>26.51125</v>
      </c>
      <c r="F5171" s="585">
        <f>ROUNDUP(D5171+E5171,1)</f>
        <v>238.7</v>
      </c>
      <c r="G5171" s="592" t="s">
        <v>9446</v>
      </c>
      <c r="H5171" s="592"/>
      <c r="I5171" s="520"/>
      <c r="J5171" s="589" t="s">
        <v>1835</v>
      </c>
      <c r="K5171" s="520" t="s">
        <v>741</v>
      </c>
    </row>
    <row r="5172" spans="1:11" s="194" customFormat="1">
      <c r="A5172" s="589"/>
      <c r="B5172" s="151" t="s">
        <v>9447</v>
      </c>
      <c r="C5172" s="408">
        <v>127</v>
      </c>
      <c r="D5172" s="408">
        <f>C5172*fcl</f>
        <v>212.09</v>
      </c>
      <c r="E5172" s="1092">
        <f>D5172/8</f>
        <v>26.51125</v>
      </c>
      <c r="F5172" s="585">
        <f>ROUNDUP(D5172+E5172,1)</f>
        <v>238.7</v>
      </c>
      <c r="G5172" s="592" t="s">
        <v>9448</v>
      </c>
      <c r="H5172" s="592"/>
      <c r="I5172" s="520"/>
      <c r="J5172" s="589" t="s">
        <v>1835</v>
      </c>
      <c r="K5172" s="520" t="s">
        <v>741</v>
      </c>
    </row>
    <row r="5173" spans="1:11" s="194" customFormat="1">
      <c r="A5173" s="589"/>
      <c r="B5173" s="151"/>
      <c r="C5173" s="228"/>
      <c r="D5173" s="408"/>
      <c r="E5173" s="1092"/>
      <c r="F5173" s="585"/>
      <c r="G5173" s="592"/>
      <c r="H5173" s="592"/>
      <c r="I5173" s="520"/>
      <c r="J5173" s="589"/>
      <c r="K5173" s="520"/>
    </row>
    <row r="5174" spans="1:11" s="194" customFormat="1">
      <c r="A5174" s="589"/>
      <c r="B5174" s="151" t="s">
        <v>3223</v>
      </c>
      <c r="C5174" s="228">
        <v>28</v>
      </c>
      <c r="D5174" s="408">
        <f>C5174*fcl</f>
        <v>46.76</v>
      </c>
      <c r="E5174" s="1092">
        <f t="shared" si="670"/>
        <v>5.8449999999999998</v>
      </c>
      <c r="F5174" s="585">
        <f>ROUNDUP(D5174+E5174,1)</f>
        <v>52.7</v>
      </c>
      <c r="G5174" s="592" t="s">
        <v>2676</v>
      </c>
      <c r="H5174" s="592"/>
      <c r="I5174" s="520"/>
      <c r="J5174" s="589" t="s">
        <v>1514</v>
      </c>
      <c r="K5174" s="520" t="s">
        <v>741</v>
      </c>
    </row>
    <row r="5175" spans="1:11" s="194" customFormat="1">
      <c r="A5175" s="589"/>
      <c r="B5175" s="151" t="s">
        <v>3224</v>
      </c>
      <c r="C5175" s="648">
        <f>C5185</f>
        <v>40</v>
      </c>
      <c r="D5175" s="408">
        <f>C5175*fcl</f>
        <v>66.8</v>
      </c>
      <c r="E5175" s="1092">
        <f t="shared" si="670"/>
        <v>8.35</v>
      </c>
      <c r="F5175" s="585">
        <f>ROUNDUP(D5175+E5175,1)</f>
        <v>75.199999999999989</v>
      </c>
      <c r="G5175" s="592" t="s">
        <v>2686</v>
      </c>
      <c r="H5175" s="592"/>
      <c r="I5175" s="520"/>
      <c r="J5175" s="589" t="s">
        <v>1514</v>
      </c>
      <c r="K5175" s="520" t="s">
        <v>741</v>
      </c>
    </row>
    <row r="5176" spans="1:11" s="194" customFormat="1">
      <c r="A5176" s="589"/>
      <c r="B5176" s="151" t="s">
        <v>3225</v>
      </c>
      <c r="C5176" s="228">
        <v>38</v>
      </c>
      <c r="D5176" s="408">
        <f>C5176*fcl</f>
        <v>63.459999999999994</v>
      </c>
      <c r="E5176" s="1092">
        <f t="shared" si="670"/>
        <v>7.9324999999999992</v>
      </c>
      <c r="F5176" s="585">
        <f>ROUNDUP(D5176+E5176,1)</f>
        <v>71.399999999999991</v>
      </c>
      <c r="G5176" s="592" t="s">
        <v>2678</v>
      </c>
      <c r="H5176" s="592"/>
      <c r="I5176" s="520"/>
      <c r="J5176" s="589" t="s">
        <v>1514</v>
      </c>
      <c r="K5176" s="520" t="s">
        <v>741</v>
      </c>
    </row>
    <row r="5177" spans="1:11" s="194" customFormat="1">
      <c r="A5177" s="589"/>
      <c r="B5177" s="151" t="s">
        <v>3226</v>
      </c>
      <c r="C5177" s="228">
        <v>50</v>
      </c>
      <c r="D5177" s="408">
        <f>C5177*fcl</f>
        <v>83.5</v>
      </c>
      <c r="E5177" s="1092">
        <f t="shared" si="670"/>
        <v>10.4375</v>
      </c>
      <c r="F5177" s="585">
        <f>ROUNDUP(D5177+E5177,1)</f>
        <v>94</v>
      </c>
      <c r="G5177" s="592" t="s">
        <v>2677</v>
      </c>
      <c r="H5177" s="592"/>
      <c r="I5177" s="520"/>
      <c r="J5177" s="589" t="s">
        <v>1514</v>
      </c>
      <c r="K5177" s="520" t="s">
        <v>741</v>
      </c>
    </row>
    <row r="5178" spans="1:11" s="194" customFormat="1">
      <c r="A5178" s="589"/>
      <c r="B5178" s="151"/>
      <c r="C5178" s="228"/>
      <c r="D5178" s="408"/>
      <c r="E5178" s="1092"/>
      <c r="F5178" s="585"/>
      <c r="G5178" s="592"/>
      <c r="H5178" s="592"/>
      <c r="I5178" s="520"/>
      <c r="J5178" s="589"/>
      <c r="K5178" s="520"/>
    </row>
    <row r="5179" spans="1:11" s="194" customFormat="1">
      <c r="A5179" s="589"/>
      <c r="B5179" s="151" t="s">
        <v>6251</v>
      </c>
      <c r="C5179" s="1690">
        <v>100</v>
      </c>
      <c r="D5179" s="408">
        <f>C5179*fcl</f>
        <v>167</v>
      </c>
      <c r="E5179" s="1092">
        <f>D5179/8</f>
        <v>20.875</v>
      </c>
      <c r="F5179" s="585">
        <f>ROUNDUP(D5179+E5179,1)</f>
        <v>187.9</v>
      </c>
      <c r="G5179" s="592" t="s">
        <v>6252</v>
      </c>
      <c r="H5179" s="592"/>
      <c r="I5179" s="520"/>
      <c r="J5179" s="589" t="s">
        <v>1514</v>
      </c>
      <c r="K5179" s="520" t="s">
        <v>741</v>
      </c>
    </row>
    <row r="5180" spans="1:11" s="194" customFormat="1">
      <c r="A5180" s="589"/>
      <c r="B5180" s="151" t="s">
        <v>6171</v>
      </c>
      <c r="C5180" s="1690">
        <v>170</v>
      </c>
      <c r="D5180" s="408">
        <f>C5180*fcl</f>
        <v>283.89999999999998</v>
      </c>
      <c r="E5180" s="1092">
        <f t="shared" si="670"/>
        <v>35.487499999999997</v>
      </c>
      <c r="F5180" s="585">
        <f>ROUNDUP(D5180+E5180,1)</f>
        <v>319.40000000000003</v>
      </c>
      <c r="G5180" s="592" t="s">
        <v>6172</v>
      </c>
      <c r="H5180" s="592"/>
      <c r="I5180" s="520"/>
      <c r="J5180" s="589" t="s">
        <v>1514</v>
      </c>
      <c r="K5180" s="520" t="s">
        <v>741</v>
      </c>
    </row>
    <row r="5181" spans="1:11" s="194" customFormat="1">
      <c r="A5181" s="589"/>
      <c r="B5181" s="151" t="s">
        <v>6173</v>
      </c>
      <c r="C5181" s="1690">
        <v>200</v>
      </c>
      <c r="D5181" s="408">
        <f>C5181*fcl</f>
        <v>334</v>
      </c>
      <c r="E5181" s="1092">
        <f>D5181/8</f>
        <v>41.75</v>
      </c>
      <c r="F5181" s="585">
        <f>ROUNDUP(D5181+E5181,1)</f>
        <v>375.8</v>
      </c>
      <c r="G5181" s="592" t="s">
        <v>6174</v>
      </c>
      <c r="H5181" s="592"/>
      <c r="I5181" s="520"/>
      <c r="J5181" s="589" t="s">
        <v>1514</v>
      </c>
      <c r="K5181" s="520" t="s">
        <v>741</v>
      </c>
    </row>
    <row r="5182" spans="1:11" s="196" customFormat="1">
      <c r="A5182" s="421"/>
      <c r="B5182" s="151" t="s">
        <v>6175</v>
      </c>
      <c r="C5182" s="228">
        <v>48</v>
      </c>
      <c r="D5182" s="408">
        <f>C5182*fcl</f>
        <v>80.16</v>
      </c>
      <c r="E5182" s="1092">
        <f>D5182/8</f>
        <v>10.02</v>
      </c>
      <c r="F5182" s="585">
        <f>ROUNDUP(D5182+E5182,1)</f>
        <v>90.199999999999989</v>
      </c>
      <c r="G5182" s="592" t="s">
        <v>6176</v>
      </c>
      <c r="H5182" s="764"/>
      <c r="I5182" s="520"/>
      <c r="J5182" s="589" t="s">
        <v>1514</v>
      </c>
      <c r="K5182" s="520" t="s">
        <v>741</v>
      </c>
    </row>
    <row r="5183" spans="1:11" s="196" customFormat="1">
      <c r="A5183" s="421"/>
      <c r="B5183" s="151"/>
      <c r="C5183" s="228"/>
      <c r="D5183" s="408"/>
      <c r="E5183" s="1092"/>
      <c r="F5183" s="585"/>
      <c r="G5183" s="592"/>
      <c r="H5183" s="764"/>
      <c r="I5183" s="520"/>
      <c r="J5183" s="589"/>
      <c r="K5183" s="520"/>
    </row>
    <row r="5184" spans="1:11" s="194" customFormat="1">
      <c r="A5184" s="589"/>
      <c r="B5184" s="151" t="s">
        <v>3227</v>
      </c>
      <c r="C5184" s="228">
        <v>35</v>
      </c>
      <c r="D5184" s="408">
        <f t="shared" ref="D5184:D5192" si="671">C5184*fcl</f>
        <v>58.449999999999996</v>
      </c>
      <c r="E5184" s="1092">
        <f t="shared" si="670"/>
        <v>7.3062499999999995</v>
      </c>
      <c r="F5184" s="585">
        <f t="shared" ref="F5184:F5192" si="672">ROUNDUP(D5184+E5184,1)</f>
        <v>65.8</v>
      </c>
      <c r="G5184" s="592" t="s">
        <v>2682</v>
      </c>
      <c r="H5184" s="592"/>
      <c r="I5184" s="520"/>
      <c r="J5184" s="589" t="s">
        <v>1514</v>
      </c>
      <c r="K5184" s="520" t="s">
        <v>741</v>
      </c>
    </row>
    <row r="5185" spans="1:11" s="194" customFormat="1">
      <c r="A5185" s="589"/>
      <c r="B5185" s="151" t="s">
        <v>3228</v>
      </c>
      <c r="C5185" s="228">
        <v>40</v>
      </c>
      <c r="D5185" s="408">
        <f t="shared" si="671"/>
        <v>66.8</v>
      </c>
      <c r="E5185" s="1092">
        <f t="shared" si="670"/>
        <v>8.35</v>
      </c>
      <c r="F5185" s="585">
        <f t="shared" si="672"/>
        <v>75.199999999999989</v>
      </c>
      <c r="G5185" s="592" t="s">
        <v>2681</v>
      </c>
      <c r="H5185" s="592"/>
      <c r="I5185" s="520"/>
      <c r="J5185" s="589" t="s">
        <v>1514</v>
      </c>
      <c r="K5185" s="520" t="s">
        <v>741</v>
      </c>
    </row>
    <row r="5186" spans="1:11" s="194" customFormat="1">
      <c r="A5186" s="589"/>
      <c r="B5186" s="783" t="s">
        <v>3229</v>
      </c>
      <c r="C5186" s="472">
        <v>38</v>
      </c>
      <c r="D5186" s="784">
        <f t="shared" si="671"/>
        <v>63.459999999999994</v>
      </c>
      <c r="E5186" s="1092">
        <f t="shared" si="670"/>
        <v>7.9324999999999992</v>
      </c>
      <c r="F5186" s="785">
        <f t="shared" si="672"/>
        <v>71.399999999999991</v>
      </c>
      <c r="G5186" s="634" t="s">
        <v>2680</v>
      </c>
      <c r="H5186" s="592"/>
      <c r="I5186" s="520"/>
      <c r="J5186" s="589" t="s">
        <v>1514</v>
      </c>
      <c r="K5186" s="520" t="s">
        <v>741</v>
      </c>
    </row>
    <row r="5187" spans="1:11" s="194" customFormat="1">
      <c r="A5187" s="589"/>
      <c r="B5187" s="151" t="s">
        <v>3230</v>
      </c>
      <c r="C5187" s="228">
        <v>45</v>
      </c>
      <c r="D5187" s="408">
        <f t="shared" si="671"/>
        <v>75.149999999999991</v>
      </c>
      <c r="E5187" s="1092">
        <f t="shared" si="670"/>
        <v>9.3937499999999989</v>
      </c>
      <c r="F5187" s="585">
        <f t="shared" si="672"/>
        <v>84.6</v>
      </c>
      <c r="G5187" s="592" t="s">
        <v>2679</v>
      </c>
      <c r="H5187" s="592"/>
      <c r="I5187" s="520"/>
      <c r="J5187" s="589" t="s">
        <v>1514</v>
      </c>
      <c r="K5187" s="520" t="s">
        <v>741</v>
      </c>
    </row>
    <row r="5188" spans="1:11" s="194" customFormat="1">
      <c r="A5188" s="589"/>
      <c r="B5188" s="151" t="s">
        <v>3523</v>
      </c>
      <c r="C5188" s="228">
        <v>185</v>
      </c>
      <c r="D5188" s="408">
        <f t="shared" si="671"/>
        <v>308.95</v>
      </c>
      <c r="E5188" s="1092">
        <f t="shared" si="670"/>
        <v>38.618749999999999</v>
      </c>
      <c r="F5188" s="585">
        <f t="shared" si="672"/>
        <v>347.6</v>
      </c>
      <c r="G5188" s="592" t="s">
        <v>3524</v>
      </c>
      <c r="H5188" s="592"/>
      <c r="I5188" s="520"/>
      <c r="J5188" s="589" t="s">
        <v>1514</v>
      </c>
      <c r="K5188" s="520" t="s">
        <v>741</v>
      </c>
    </row>
    <row r="5189" spans="1:11" s="194" customFormat="1">
      <c r="A5189" s="421"/>
      <c r="B5189" s="151" t="s">
        <v>3378</v>
      </c>
      <c r="C5189" s="228">
        <v>300</v>
      </c>
      <c r="D5189" s="408">
        <f t="shared" si="671"/>
        <v>501</v>
      </c>
      <c r="E5189" s="1092">
        <f>D5189/8</f>
        <v>62.625</v>
      </c>
      <c r="F5189" s="585">
        <f t="shared" si="672"/>
        <v>563.70000000000005</v>
      </c>
      <c r="G5189" s="592" t="s">
        <v>3321</v>
      </c>
      <c r="H5189" s="764"/>
      <c r="I5189" s="520"/>
      <c r="J5189" s="589" t="s">
        <v>1514</v>
      </c>
      <c r="K5189" s="520" t="s">
        <v>741</v>
      </c>
    </row>
    <row r="5190" spans="1:11" s="194" customFormat="1">
      <c r="A5190" s="589"/>
      <c r="B5190" s="783" t="s">
        <v>8650</v>
      </c>
      <c r="C5190" s="472">
        <v>406</v>
      </c>
      <c r="D5190" s="784">
        <f t="shared" si="671"/>
        <v>678.02</v>
      </c>
      <c r="E5190" s="1092">
        <f>D5190/8</f>
        <v>84.752499999999998</v>
      </c>
      <c r="F5190" s="785">
        <f t="shared" si="672"/>
        <v>762.80000000000007</v>
      </c>
      <c r="G5190" s="634" t="s">
        <v>5364</v>
      </c>
      <c r="H5190" s="592"/>
      <c r="I5190" s="520"/>
      <c r="J5190" s="589" t="s">
        <v>1514</v>
      </c>
      <c r="K5190" s="520" t="s">
        <v>741</v>
      </c>
    </row>
    <row r="5191" spans="1:11" s="194" customFormat="1">
      <c r="A5191" s="589"/>
      <c r="B5191" s="783" t="s">
        <v>8651</v>
      </c>
      <c r="C5191" s="472">
        <f>406*1.1</f>
        <v>446.6</v>
      </c>
      <c r="D5191" s="784">
        <f t="shared" si="671"/>
        <v>745.822</v>
      </c>
      <c r="E5191" s="1092">
        <f>D5191/8</f>
        <v>93.22775</v>
      </c>
      <c r="F5191" s="785">
        <f t="shared" si="672"/>
        <v>839.1</v>
      </c>
      <c r="G5191" s="634" t="s">
        <v>5365</v>
      </c>
      <c r="H5191" s="592"/>
      <c r="I5191" s="520"/>
      <c r="J5191" s="589" t="s">
        <v>1514</v>
      </c>
      <c r="K5191" s="520" t="s">
        <v>741</v>
      </c>
    </row>
    <row r="5192" spans="1:11" s="194" customFormat="1">
      <c r="A5192" s="589"/>
      <c r="B5192" s="783" t="s">
        <v>8652</v>
      </c>
      <c r="C5192" s="472">
        <v>750</v>
      </c>
      <c r="D5192" s="784">
        <f t="shared" si="671"/>
        <v>1252.5</v>
      </c>
      <c r="E5192" s="1092">
        <f>D5192/8</f>
        <v>156.5625</v>
      </c>
      <c r="F5192" s="785">
        <f t="shared" si="672"/>
        <v>1409.1</v>
      </c>
      <c r="G5192" s="634" t="s">
        <v>5366</v>
      </c>
      <c r="H5192" s="592"/>
      <c r="I5192" s="520"/>
      <c r="J5192" s="589" t="s">
        <v>1514</v>
      </c>
      <c r="K5192" s="520" t="s">
        <v>741</v>
      </c>
    </row>
    <row r="5193" spans="1:11" s="194" customFormat="1">
      <c r="A5193" s="421"/>
      <c r="B5193" s="151"/>
      <c r="C5193" s="228"/>
      <c r="D5193" s="408"/>
      <c r="E5193" s="1092"/>
      <c r="F5193" s="585"/>
      <c r="G5193" s="592"/>
      <c r="H5193" s="764"/>
      <c r="I5193" s="520"/>
      <c r="J5193" s="589"/>
      <c r="K5193" s="520"/>
    </row>
    <row r="5194" spans="1:11" s="194" customFormat="1">
      <c r="A5194" s="589"/>
      <c r="B5194" s="151" t="s">
        <v>8653</v>
      </c>
      <c r="C5194" s="472">
        <v>30</v>
      </c>
      <c r="D5194" s="408">
        <f>C5194*fcl</f>
        <v>50.099999999999994</v>
      </c>
      <c r="E5194" s="1092">
        <f>D5194/8</f>
        <v>6.2624999999999993</v>
      </c>
      <c r="F5194" s="585">
        <f>ROUNDUP(D5194+E5194,1)</f>
        <v>56.4</v>
      </c>
      <c r="G5194" s="592" t="s">
        <v>8654</v>
      </c>
      <c r="H5194" s="592"/>
      <c r="I5194" s="520"/>
      <c r="J5194" s="589" t="s">
        <v>1514</v>
      </c>
      <c r="K5194" s="520" t="s">
        <v>741</v>
      </c>
    </row>
    <row r="5195" spans="1:11" s="194" customFormat="1">
      <c r="A5195" s="589"/>
      <c r="B5195" s="151" t="s">
        <v>8653</v>
      </c>
      <c r="C5195" s="472">
        <v>30</v>
      </c>
      <c r="D5195" s="408">
        <f>C5195*fcl</f>
        <v>50.099999999999994</v>
      </c>
      <c r="E5195" s="1092">
        <f>D5195/8</f>
        <v>6.2624999999999993</v>
      </c>
      <c r="F5195" s="585">
        <f>ROUNDUP(D5195+E5195,1)</f>
        <v>56.4</v>
      </c>
      <c r="G5195" s="592" t="s">
        <v>8654</v>
      </c>
      <c r="H5195" s="592"/>
      <c r="I5195" s="520"/>
      <c r="J5195" s="589" t="s">
        <v>1514</v>
      </c>
      <c r="K5195" s="520" t="s">
        <v>741</v>
      </c>
    </row>
    <row r="5196" spans="1:11" s="194" customFormat="1">
      <c r="A5196" s="589"/>
      <c r="B5196" s="783" t="s">
        <v>5367</v>
      </c>
      <c r="C5196" s="472">
        <v>35</v>
      </c>
      <c r="D5196" s="784">
        <f>C5196*fcl</f>
        <v>58.449999999999996</v>
      </c>
      <c r="E5196" s="1092">
        <f>D5196/8</f>
        <v>7.3062499999999995</v>
      </c>
      <c r="F5196" s="785">
        <f>ROUNDUP(D5196+E5196,1)</f>
        <v>65.8</v>
      </c>
      <c r="G5196" s="634" t="s">
        <v>5368</v>
      </c>
      <c r="H5196" s="592"/>
      <c r="I5196" s="520"/>
      <c r="J5196" s="589" t="s">
        <v>1514</v>
      </c>
      <c r="K5196" s="520" t="s">
        <v>741</v>
      </c>
    </row>
    <row r="5197" spans="1:11" s="194" customFormat="1">
      <c r="A5197" s="421"/>
      <c r="B5197" s="151"/>
      <c r="C5197" s="228"/>
      <c r="D5197" s="408"/>
      <c r="E5197" s="228"/>
      <c r="F5197" s="585"/>
      <c r="G5197" s="592"/>
      <c r="H5197" s="764"/>
      <c r="I5197" s="520"/>
      <c r="J5197" s="589"/>
      <c r="K5197" s="520"/>
    </row>
    <row r="5198" spans="1:11" s="194" customFormat="1">
      <c r="A5198" s="589"/>
      <c r="B5198" s="1840" t="s">
        <v>9449</v>
      </c>
      <c r="C5198" s="1842">
        <v>793</v>
      </c>
      <c r="D5198" s="408">
        <f>C5198*fcl</f>
        <v>1324.31</v>
      </c>
      <c r="E5198" s="1841">
        <f>D5198/8</f>
        <v>165.53874999999999</v>
      </c>
      <c r="F5198" s="1843">
        <f>ROUNDUP(D5198+E5198,1)</f>
        <v>1489.8999999999999</v>
      </c>
      <c r="G5198" s="1844" t="s">
        <v>9450</v>
      </c>
      <c r="H5198" s="592"/>
      <c r="I5198" s="520"/>
      <c r="J5198" s="589" t="s">
        <v>1514</v>
      </c>
      <c r="K5198" s="520" t="s">
        <v>741</v>
      </c>
    </row>
    <row r="5199" spans="1:11" s="194" customFormat="1">
      <c r="A5199" s="589"/>
      <c r="B5199" s="1840" t="s">
        <v>9451</v>
      </c>
      <c r="C5199" s="1842">
        <v>1872</v>
      </c>
      <c r="D5199" s="408">
        <f>C5199*fcl</f>
        <v>3126.24</v>
      </c>
      <c r="E5199" s="1841">
        <f>D5199/8</f>
        <v>390.78</v>
      </c>
      <c r="F5199" s="1843">
        <f>ROUNDUP(D5199+E5199,1)</f>
        <v>3517.1</v>
      </c>
      <c r="G5199" s="1844" t="s">
        <v>9452</v>
      </c>
      <c r="H5199" s="592"/>
      <c r="I5199" s="520"/>
      <c r="J5199" s="589" t="s">
        <v>1514</v>
      </c>
      <c r="K5199" s="520" t="s">
        <v>741</v>
      </c>
    </row>
    <row r="5200" spans="1:11" s="194" customFormat="1">
      <c r="A5200" s="421"/>
      <c r="B5200" s="151"/>
      <c r="C5200" s="228"/>
      <c r="D5200" s="408"/>
      <c r="E5200" s="228"/>
      <c r="F5200" s="585"/>
      <c r="G5200" s="592"/>
      <c r="H5200" s="764"/>
      <c r="I5200" s="520"/>
      <c r="J5200" s="589"/>
      <c r="K5200" s="520"/>
    </row>
    <row r="5201" spans="1:11" s="117" customFormat="1">
      <c r="A5201" s="2375"/>
      <c r="B5201" s="151" t="s">
        <v>14004</v>
      </c>
      <c r="C5201" s="798">
        <v>60</v>
      </c>
      <c r="D5201" s="408">
        <f t="shared" ref="D5201:D5202" si="673">C5201*(1-0)*fcl/TC</f>
        <v>29.910447761194025</v>
      </c>
      <c r="E5201" s="1092">
        <f t="shared" ref="E5201:E5202" si="674">D5201/8</f>
        <v>3.7388059701492531</v>
      </c>
      <c r="F5201" s="585">
        <f t="shared" ref="F5201:F5202" si="675">ROUNDUP(D5201+E5201,1)</f>
        <v>33.700000000000003</v>
      </c>
      <c r="G5201" s="592" t="s">
        <v>14005</v>
      </c>
      <c r="H5201" s="764"/>
      <c r="I5201" s="520"/>
      <c r="J5201" s="589"/>
      <c r="K5201" s="520" t="s">
        <v>741</v>
      </c>
    </row>
    <row r="5202" spans="1:11" s="117" customFormat="1">
      <c r="A5202" s="2375"/>
      <c r="B5202" s="151" t="s">
        <v>14006</v>
      </c>
      <c r="C5202" s="798">
        <v>50</v>
      </c>
      <c r="D5202" s="408">
        <f t="shared" si="673"/>
        <v>24.925373134328357</v>
      </c>
      <c r="E5202" s="1092">
        <f t="shared" si="674"/>
        <v>3.1156716417910446</v>
      </c>
      <c r="F5202" s="585">
        <f t="shared" si="675"/>
        <v>28.1</v>
      </c>
      <c r="G5202" s="592" t="s">
        <v>14007</v>
      </c>
      <c r="H5202" s="764"/>
      <c r="I5202" s="520"/>
      <c r="J5202" s="589"/>
      <c r="K5202" s="520" t="s">
        <v>741</v>
      </c>
    </row>
    <row r="5203" spans="1:11" s="194" customFormat="1">
      <c r="A5203" s="421"/>
      <c r="B5203" s="151"/>
      <c r="C5203" s="228"/>
      <c r="D5203" s="408"/>
      <c r="E5203" s="228"/>
      <c r="F5203" s="585"/>
      <c r="G5203" s="592"/>
      <c r="H5203" s="764"/>
      <c r="I5203" s="520"/>
      <c r="J5203" s="589"/>
      <c r="K5203" s="520"/>
    </row>
    <row r="5204" spans="1:11" s="194" customFormat="1">
      <c r="A5204" s="421"/>
      <c r="B5204" s="151"/>
      <c r="C5204" s="228"/>
      <c r="D5204" s="408"/>
      <c r="E5204" s="228"/>
      <c r="F5204" s="585"/>
      <c r="G5204" s="592"/>
      <c r="H5204" s="764"/>
      <c r="I5204" s="520"/>
      <c r="J5204" s="589"/>
      <c r="K5204" s="520"/>
    </row>
    <row r="5205" spans="1:11" s="194" customFormat="1">
      <c r="A5205" s="421"/>
      <c r="B5205" s="151"/>
      <c r="C5205" s="228"/>
      <c r="D5205" s="408"/>
      <c r="E5205" s="228"/>
      <c r="F5205" s="585"/>
      <c r="G5205" s="592"/>
      <c r="H5205" s="764"/>
      <c r="I5205" s="520"/>
      <c r="J5205" s="589"/>
      <c r="K5205" s="520"/>
    </row>
    <row r="5206" spans="1:11" s="117" customFormat="1">
      <c r="A5206" s="589"/>
      <c r="B5206" s="151" t="s">
        <v>14008</v>
      </c>
      <c r="C5206" s="637">
        <v>48.02</v>
      </c>
      <c r="D5206" s="408">
        <f t="shared" ref="D5206" si="676">C5206*(1-0)*fcl/TC</f>
        <v>23.938328358208953</v>
      </c>
      <c r="E5206" s="1092">
        <f t="shared" ref="E5206" si="677">D5206/8</f>
        <v>2.9922910447761191</v>
      </c>
      <c r="F5206" s="585">
        <f t="shared" ref="F5206" si="678">ROUNDUP(D5206+E5206,1)</f>
        <v>27</v>
      </c>
      <c r="G5206" s="592" t="s">
        <v>14009</v>
      </c>
      <c r="H5206" s="592" t="s">
        <v>14010</v>
      </c>
      <c r="I5206" s="520"/>
      <c r="J5206" s="589" t="s">
        <v>2635</v>
      </c>
      <c r="K5206" s="520" t="s">
        <v>741</v>
      </c>
    </row>
    <row r="5207" spans="1:11" s="194" customFormat="1">
      <c r="A5207" s="589"/>
      <c r="B5207" s="151"/>
      <c r="C5207" s="228"/>
      <c r="D5207" s="408"/>
      <c r="E5207" s="228"/>
      <c r="F5207" s="585"/>
      <c r="G5207" s="592"/>
      <c r="H5207" s="592"/>
      <c r="I5207" s="520"/>
      <c r="J5207" s="589"/>
      <c r="K5207" s="520"/>
    </row>
    <row r="5208" spans="1:11" s="117" customFormat="1">
      <c r="A5208" s="589"/>
      <c r="B5208" s="151" t="s">
        <v>12731</v>
      </c>
      <c r="C5208" s="637">
        <f>60.26</f>
        <v>60.26</v>
      </c>
      <c r="D5208" s="408">
        <f t="shared" ref="D5208" si="679">C5208*(1-0)*fcl/TC</f>
        <v>30.040059701492535</v>
      </c>
      <c r="E5208" s="1092">
        <f t="shared" ref="E5208:E5213" si="680">D5208/8</f>
        <v>3.7550074626865668</v>
      </c>
      <c r="F5208" s="585">
        <f t="shared" ref="F5208:F5213" si="681">ROUNDUP(D5208+E5208,1)</f>
        <v>33.800000000000004</v>
      </c>
      <c r="G5208" s="592" t="s">
        <v>12732</v>
      </c>
      <c r="H5208" s="592" t="s">
        <v>12733</v>
      </c>
      <c r="I5208" s="520"/>
      <c r="J5208" s="589" t="s">
        <v>2635</v>
      </c>
      <c r="K5208" s="520" t="s">
        <v>741</v>
      </c>
    </row>
    <row r="5209" spans="1:11" s="117" customFormat="1">
      <c r="A5209" s="589"/>
      <c r="B5209" s="151" t="s">
        <v>12734</v>
      </c>
      <c r="C5209" s="637">
        <f>191.79</f>
        <v>191.79</v>
      </c>
      <c r="D5209" s="408">
        <f t="shared" ref="D5209" si="682">C5209*(1-0)*fcl/TC</f>
        <v>95.608746268656702</v>
      </c>
      <c r="E5209" s="1092">
        <f t="shared" si="680"/>
        <v>11.951093283582088</v>
      </c>
      <c r="F5209" s="585">
        <f t="shared" si="681"/>
        <v>107.6</v>
      </c>
      <c r="G5209" s="592" t="s">
        <v>12735</v>
      </c>
      <c r="H5209" s="592" t="s">
        <v>12736</v>
      </c>
      <c r="I5209" s="520"/>
      <c r="J5209" s="589" t="s">
        <v>2635</v>
      </c>
      <c r="K5209" s="520" t="s">
        <v>741</v>
      </c>
    </row>
    <row r="5210" spans="1:11" s="117" customFormat="1">
      <c r="A5210" s="421"/>
      <c r="B5210" s="151" t="s">
        <v>10996</v>
      </c>
      <c r="C5210" s="798">
        <v>68</v>
      </c>
      <c r="D5210" s="408">
        <f t="shared" ref="D5210" si="683">C5210*(1-0)*fcl/TC</f>
        <v>33.898507462686567</v>
      </c>
      <c r="E5210" s="1092">
        <f t="shared" si="680"/>
        <v>4.2373134328358208</v>
      </c>
      <c r="F5210" s="585">
        <f t="shared" si="681"/>
        <v>38.200000000000003</v>
      </c>
      <c r="G5210" s="592" t="s">
        <v>10997</v>
      </c>
      <c r="H5210" s="764"/>
      <c r="I5210" s="520"/>
      <c r="J5210" s="589" t="s">
        <v>2635</v>
      </c>
      <c r="K5210" s="520" t="s">
        <v>741</v>
      </c>
    </row>
    <row r="5211" spans="1:11" s="117" customFormat="1">
      <c r="A5211" s="421"/>
      <c r="B5211" s="151" t="s">
        <v>10998</v>
      </c>
      <c r="C5211" s="798">
        <v>99</v>
      </c>
      <c r="D5211" s="408">
        <f t="shared" ref="D5211:D5212" si="684">C5211*(1-0)*fcl/TC</f>
        <v>49.352238805970146</v>
      </c>
      <c r="E5211" s="1092">
        <f t="shared" si="680"/>
        <v>6.1690298507462682</v>
      </c>
      <c r="F5211" s="585">
        <f t="shared" si="681"/>
        <v>55.6</v>
      </c>
      <c r="G5211" s="592" t="s">
        <v>10999</v>
      </c>
      <c r="H5211" s="764"/>
      <c r="I5211" s="520"/>
      <c r="J5211" s="589" t="s">
        <v>2635</v>
      </c>
      <c r="K5211" s="520" t="s">
        <v>741</v>
      </c>
    </row>
    <row r="5212" spans="1:11" s="117" customFormat="1">
      <c r="A5212" s="421"/>
      <c r="B5212" s="151" t="s">
        <v>14011</v>
      </c>
      <c r="C5212" s="798">
        <v>170</v>
      </c>
      <c r="D5212" s="408">
        <f t="shared" si="684"/>
        <v>84.74626865671641</v>
      </c>
      <c r="E5212" s="1092">
        <f t="shared" si="680"/>
        <v>10.593283582089551</v>
      </c>
      <c r="F5212" s="585">
        <f t="shared" si="681"/>
        <v>95.399999999999991</v>
      </c>
      <c r="G5212" s="592" t="s">
        <v>14012</v>
      </c>
      <c r="H5212" s="764"/>
      <c r="I5212" s="520"/>
      <c r="J5212" s="589" t="s">
        <v>2635</v>
      </c>
      <c r="K5212" s="520" t="s">
        <v>741</v>
      </c>
    </row>
    <row r="5213" spans="1:11" s="117" customFormat="1">
      <c r="A5213" s="421"/>
      <c r="B5213" s="151" t="s">
        <v>14013</v>
      </c>
      <c r="C5213" s="798">
        <v>100</v>
      </c>
      <c r="D5213" s="408">
        <f t="shared" ref="D5213" si="685">C5213*(1-0)*fcl/TC</f>
        <v>49.850746268656714</v>
      </c>
      <c r="E5213" s="1092">
        <f t="shared" si="680"/>
        <v>6.2313432835820892</v>
      </c>
      <c r="F5213" s="585">
        <f t="shared" si="681"/>
        <v>56.1</v>
      </c>
      <c r="G5213" s="592" t="s">
        <v>10999</v>
      </c>
      <c r="H5213" s="764"/>
      <c r="I5213" s="520"/>
      <c r="J5213" s="589" t="s">
        <v>2635</v>
      </c>
      <c r="K5213" s="520" t="s">
        <v>741</v>
      </c>
    </row>
    <row r="5214" spans="1:11" s="117" customFormat="1">
      <c r="A5214" s="421"/>
      <c r="B5214" s="151"/>
      <c r="C5214" s="798"/>
      <c r="D5214" s="408"/>
      <c r="E5214" s="1092"/>
      <c r="F5214" s="585"/>
      <c r="G5214" s="592"/>
      <c r="H5214" s="764"/>
      <c r="I5214" s="520"/>
      <c r="J5214" s="589"/>
      <c r="K5214" s="520"/>
    </row>
    <row r="5215" spans="1:11" s="194" customFormat="1">
      <c r="A5215" s="421"/>
      <c r="B5215" s="151" t="s">
        <v>13759</v>
      </c>
      <c r="C5215" s="798">
        <v>246.19</v>
      </c>
      <c r="D5215" s="408">
        <f t="shared" ref="D5215:D5238" si="686">C5215*(1-0)*fcl/TC</f>
        <v>122.72755223880596</v>
      </c>
      <c r="E5215" s="1092">
        <f t="shared" ref="E5215:E5238" si="687">D5215/8</f>
        <v>15.340944029850744</v>
      </c>
      <c r="F5215" s="585">
        <f t="shared" ref="F5215:F5238" si="688">ROUNDUP(D5215+E5215,1)</f>
        <v>138.1</v>
      </c>
      <c r="G5215" s="592" t="s">
        <v>13760</v>
      </c>
      <c r="H5215" s="764"/>
      <c r="I5215" s="520"/>
      <c r="J5215" s="589" t="s">
        <v>2635</v>
      </c>
      <c r="K5215" s="520" t="s">
        <v>741</v>
      </c>
    </row>
    <row r="5216" spans="1:11" s="194" customFormat="1">
      <c r="A5216" s="421"/>
      <c r="B5216" s="151" t="s">
        <v>13761</v>
      </c>
      <c r="C5216" s="798">
        <v>285.48</v>
      </c>
      <c r="D5216" s="408">
        <f t="shared" si="686"/>
        <v>142.3139104477612</v>
      </c>
      <c r="E5216" s="1092">
        <f t="shared" si="687"/>
        <v>17.78923880597015</v>
      </c>
      <c r="F5216" s="585">
        <f t="shared" si="688"/>
        <v>160.19999999999999</v>
      </c>
      <c r="G5216" s="592" t="s">
        <v>13762</v>
      </c>
      <c r="H5216" s="764"/>
      <c r="I5216" s="520"/>
      <c r="J5216" s="589" t="s">
        <v>2635</v>
      </c>
      <c r="K5216" s="520" t="s">
        <v>741</v>
      </c>
    </row>
    <row r="5217" spans="1:12" s="194" customFormat="1">
      <c r="A5217" s="421"/>
      <c r="B5217" s="151" t="s">
        <v>12666</v>
      </c>
      <c r="C5217" s="798">
        <v>161</v>
      </c>
      <c r="D5217" s="408">
        <f>C5217*(1-0.2)*fcl/TC</f>
        <v>64.207761194029857</v>
      </c>
      <c r="E5217" s="1092">
        <f t="shared" si="687"/>
        <v>8.0259701492537321</v>
      </c>
      <c r="F5217" s="585">
        <f t="shared" si="688"/>
        <v>72.3</v>
      </c>
      <c r="G5217" s="592" t="s">
        <v>12667</v>
      </c>
      <c r="H5217" s="764" t="s">
        <v>12668</v>
      </c>
      <c r="I5217" s="520"/>
      <c r="J5217" s="589" t="s">
        <v>2635</v>
      </c>
      <c r="K5217" s="520" t="s">
        <v>741</v>
      </c>
    </row>
    <row r="5218" spans="1:12" s="194" customFormat="1">
      <c r="A5218" s="421"/>
      <c r="B5218" s="151" t="s">
        <v>13763</v>
      </c>
      <c r="C5218" s="798">
        <v>472</v>
      </c>
      <c r="D5218" s="408">
        <f>C5218*(1-0.2)*fcl/TC</f>
        <v>188.23641791044776</v>
      </c>
      <c r="E5218" s="1092">
        <f t="shared" si="687"/>
        <v>23.529552238805969</v>
      </c>
      <c r="F5218" s="585">
        <f t="shared" si="688"/>
        <v>211.79999999999998</v>
      </c>
      <c r="G5218" s="592" t="s">
        <v>12667</v>
      </c>
      <c r="H5218" s="764" t="s">
        <v>13764</v>
      </c>
      <c r="I5218" s="520"/>
      <c r="J5218" s="589" t="s">
        <v>2635</v>
      </c>
      <c r="K5218" s="520" t="s">
        <v>741</v>
      </c>
    </row>
    <row r="5219" spans="1:12" s="194" customFormat="1">
      <c r="A5219" s="421"/>
      <c r="B5219" s="151" t="s">
        <v>260</v>
      </c>
      <c r="C5219" s="798"/>
      <c r="D5219" s="408"/>
      <c r="E5219" s="1092"/>
      <c r="F5219" s="585"/>
      <c r="G5219" s="592"/>
      <c r="H5219" s="764"/>
      <c r="I5219" s="520"/>
      <c r="J5219" s="589"/>
      <c r="K5219" s="520"/>
    </row>
    <row r="5220" spans="1:12" s="194" customFormat="1">
      <c r="A5220" s="421"/>
      <c r="B5220" s="151" t="s">
        <v>12737</v>
      </c>
      <c r="C5220" s="798">
        <v>2045.76</v>
      </c>
      <c r="D5220" s="2177">
        <f>C5220*(1-0.2)*fcl/TC</f>
        <v>815.86130149253734</v>
      </c>
      <c r="E5220" s="228">
        <f t="shared" ref="E5220:E5223" si="689">D5220/8</f>
        <v>101.98266268656717</v>
      </c>
      <c r="F5220" s="585">
        <f t="shared" ref="F5220:F5223" si="690">ROUNDUP(D5220+E5220,1)</f>
        <v>917.9</v>
      </c>
      <c r="G5220" s="592" t="s">
        <v>12738</v>
      </c>
      <c r="H5220" s="764" t="s">
        <v>12739</v>
      </c>
      <c r="I5220" s="520"/>
      <c r="J5220" s="589" t="s">
        <v>2635</v>
      </c>
      <c r="K5220" s="520" t="s">
        <v>741</v>
      </c>
    </row>
    <row r="5221" spans="1:12" s="194" customFormat="1">
      <c r="A5221" s="421"/>
      <c r="B5221" s="151" t="s">
        <v>12740</v>
      </c>
      <c r="C5221" s="798">
        <v>864.41</v>
      </c>
      <c r="D5221" s="2177">
        <f>C5221*(1-0.2)*fcl/TC</f>
        <v>344.73186865671641</v>
      </c>
      <c r="E5221" s="228">
        <f t="shared" si="689"/>
        <v>43.091483582089552</v>
      </c>
      <c r="F5221" s="585">
        <f t="shared" si="690"/>
        <v>387.90000000000003</v>
      </c>
      <c r="G5221" s="592" t="s">
        <v>12741</v>
      </c>
      <c r="H5221" s="764" t="s">
        <v>12742</v>
      </c>
      <c r="I5221" s="520"/>
      <c r="J5221" s="589" t="s">
        <v>2635</v>
      </c>
      <c r="K5221" s="520" t="s">
        <v>741</v>
      </c>
    </row>
    <row r="5222" spans="1:12" s="194" customFormat="1">
      <c r="A5222" s="421"/>
      <c r="B5222" s="151" t="s">
        <v>12843</v>
      </c>
      <c r="C5222" s="798">
        <v>672.03</v>
      </c>
      <c r="D5222" s="2177">
        <f>C5222*(1-0.2)*fcl/TC</f>
        <v>268.00957611940299</v>
      </c>
      <c r="E5222" s="228">
        <f t="shared" si="689"/>
        <v>33.501197014925374</v>
      </c>
      <c r="F5222" s="585">
        <f t="shared" si="690"/>
        <v>301.60000000000002</v>
      </c>
      <c r="G5222" s="592" t="s">
        <v>12844</v>
      </c>
      <c r="H5222" s="764" t="s">
        <v>12845</v>
      </c>
      <c r="I5222" s="520"/>
      <c r="J5222" s="589" t="s">
        <v>2635</v>
      </c>
      <c r="K5222" s="520" t="s">
        <v>741</v>
      </c>
    </row>
    <row r="5223" spans="1:12" s="194" customFormat="1">
      <c r="A5223" s="421"/>
      <c r="B5223" s="151" t="s">
        <v>12846</v>
      </c>
      <c r="C5223" s="798">
        <v>471.19</v>
      </c>
      <c r="D5223" s="2177">
        <f>C5223*(1-0.2)*fcl/TC</f>
        <v>187.91338507462683</v>
      </c>
      <c r="E5223" s="228">
        <f t="shared" si="689"/>
        <v>23.489173134328354</v>
      </c>
      <c r="F5223" s="585">
        <f t="shared" si="690"/>
        <v>211.5</v>
      </c>
      <c r="G5223" s="592" t="s">
        <v>12847</v>
      </c>
      <c r="H5223" s="764" t="s">
        <v>12848</v>
      </c>
      <c r="I5223" s="520"/>
      <c r="J5223" s="589" t="s">
        <v>2635</v>
      </c>
      <c r="K5223" s="520" t="s">
        <v>741</v>
      </c>
    </row>
    <row r="5224" spans="1:12" s="194" customFormat="1">
      <c r="A5224" s="421"/>
      <c r="B5224" s="151"/>
      <c r="C5224" s="798"/>
      <c r="D5224" s="2177"/>
      <c r="E5224" s="228"/>
      <c r="F5224" s="585"/>
      <c r="G5224" s="592"/>
      <c r="H5224" s="764"/>
      <c r="I5224" s="520"/>
      <c r="J5224" s="589"/>
      <c r="K5224" s="520"/>
    </row>
    <row r="5225" spans="1:12" s="194" customFormat="1">
      <c r="A5225" s="421"/>
      <c r="B5225" s="151" t="s">
        <v>3232</v>
      </c>
      <c r="C5225" s="798">
        <v>65.25</v>
      </c>
      <c r="D5225" s="408">
        <f t="shared" si="686"/>
        <v>32.527611940298506</v>
      </c>
      <c r="E5225" s="1092">
        <f t="shared" si="687"/>
        <v>4.0659514925373132</v>
      </c>
      <c r="F5225" s="585">
        <f t="shared" si="688"/>
        <v>36.6</v>
      </c>
      <c r="G5225" s="592" t="s">
        <v>8656</v>
      </c>
      <c r="H5225" s="764"/>
      <c r="I5225" s="520"/>
      <c r="J5225" s="589" t="s">
        <v>2635</v>
      </c>
      <c r="K5225" s="520" t="s">
        <v>741</v>
      </c>
    </row>
    <row r="5226" spans="1:12" s="48" customFormat="1">
      <c r="A5226" s="421"/>
      <c r="B5226" s="151" t="s">
        <v>12350</v>
      </c>
      <c r="C5226" s="798">
        <v>161.02000000000001</v>
      </c>
      <c r="D5226" s="408">
        <f>C5226*(1-0.2)*fcl/TC</f>
        <v>64.215737313432825</v>
      </c>
      <c r="E5226" s="1092">
        <f t="shared" si="687"/>
        <v>8.0269671641791032</v>
      </c>
      <c r="F5226" s="585">
        <f t="shared" si="688"/>
        <v>72.3</v>
      </c>
      <c r="G5226" s="592" t="s">
        <v>12351</v>
      </c>
      <c r="H5226" s="764" t="s">
        <v>12352</v>
      </c>
      <c r="I5226" s="520"/>
      <c r="J5226" s="589" t="s">
        <v>2635</v>
      </c>
      <c r="K5226" s="520" t="s">
        <v>741</v>
      </c>
      <c r="L5226" s="194"/>
    </row>
    <row r="5227" spans="1:12" s="48" customFormat="1">
      <c r="A5227" s="421"/>
      <c r="B5227" s="151" t="s">
        <v>3233</v>
      </c>
      <c r="C5227" s="798">
        <v>196.95</v>
      </c>
      <c r="D5227" s="408">
        <f t="shared" si="686"/>
        <v>98.181044776119393</v>
      </c>
      <c r="E5227" s="1092">
        <f t="shared" si="687"/>
        <v>12.272630597014924</v>
      </c>
      <c r="F5227" s="585">
        <f t="shared" si="688"/>
        <v>110.5</v>
      </c>
      <c r="G5227" s="592" t="s">
        <v>8657</v>
      </c>
      <c r="H5227" s="764"/>
      <c r="I5227" s="520"/>
      <c r="J5227" s="589" t="s">
        <v>2635</v>
      </c>
      <c r="K5227" s="520" t="s">
        <v>741</v>
      </c>
      <c r="L5227" s="194"/>
    </row>
    <row r="5228" spans="1:12" s="48" customFormat="1">
      <c r="A5228" s="421"/>
      <c r="B5228" s="151" t="s">
        <v>12353</v>
      </c>
      <c r="C5228" s="798">
        <v>1576.27</v>
      </c>
      <c r="D5228" s="408">
        <f>C5228*(1-0.2)*fcl/TC</f>
        <v>628.62588656716423</v>
      </c>
      <c r="E5228" s="1092">
        <f t="shared" si="687"/>
        <v>78.578235820895529</v>
      </c>
      <c r="F5228" s="585">
        <f t="shared" si="688"/>
        <v>707.30000000000007</v>
      </c>
      <c r="G5228" s="592" t="s">
        <v>12354</v>
      </c>
      <c r="H5228" s="764" t="s">
        <v>12355</v>
      </c>
      <c r="I5228" s="520"/>
      <c r="J5228" s="589" t="s">
        <v>2635</v>
      </c>
      <c r="K5228" s="520" t="s">
        <v>741</v>
      </c>
      <c r="L5228" s="194"/>
    </row>
    <row r="5229" spans="1:12" s="48" customFormat="1">
      <c r="A5229" s="421"/>
      <c r="B5229" s="151" t="s">
        <v>12356</v>
      </c>
      <c r="C5229" s="798">
        <v>2389.83</v>
      </c>
      <c r="D5229" s="408">
        <f>C5229*(1-0.2)*fcl/TC</f>
        <v>953.078471641791</v>
      </c>
      <c r="E5229" s="1092">
        <f t="shared" si="687"/>
        <v>119.13480895522387</v>
      </c>
      <c r="F5229" s="585">
        <f t="shared" si="688"/>
        <v>1072.3</v>
      </c>
      <c r="G5229" s="592" t="s">
        <v>12357</v>
      </c>
      <c r="H5229" s="764" t="s">
        <v>12358</v>
      </c>
      <c r="I5229" s="520"/>
      <c r="J5229" s="589" t="s">
        <v>2635</v>
      </c>
      <c r="K5229" s="520" t="s">
        <v>741</v>
      </c>
      <c r="L5229" s="194"/>
    </row>
    <row r="5230" spans="1:12" s="48" customFormat="1">
      <c r="A5230" s="421"/>
      <c r="B5230" s="151"/>
      <c r="C5230" s="798"/>
      <c r="D5230" s="408"/>
      <c r="E5230" s="1092"/>
      <c r="F5230" s="585"/>
      <c r="G5230" s="592"/>
      <c r="H5230" s="764"/>
      <c r="I5230" s="520"/>
      <c r="J5230" s="589"/>
      <c r="K5230" s="520"/>
      <c r="L5230" s="194"/>
    </row>
    <row r="5231" spans="1:12" s="117" customFormat="1">
      <c r="A5231" s="421"/>
      <c r="B5231" s="151" t="s">
        <v>3234</v>
      </c>
      <c r="C5231" s="798">
        <v>1858.75</v>
      </c>
      <c r="D5231" s="408">
        <f t="shared" si="686"/>
        <v>926.60074626865662</v>
      </c>
      <c r="E5231" s="1092">
        <f t="shared" si="687"/>
        <v>115.82509328358208</v>
      </c>
      <c r="F5231" s="585">
        <f t="shared" si="688"/>
        <v>1042.5</v>
      </c>
      <c r="G5231" s="592" t="s">
        <v>8659</v>
      </c>
      <c r="H5231" s="764"/>
      <c r="I5231" s="520"/>
      <c r="J5231" s="589" t="s">
        <v>2635</v>
      </c>
      <c r="K5231" s="520" t="s">
        <v>741</v>
      </c>
      <c r="L5231" s="194"/>
    </row>
    <row r="5232" spans="1:12" s="194" customFormat="1">
      <c r="A5232" s="589"/>
      <c r="B5232" s="151" t="s">
        <v>8661</v>
      </c>
      <c r="C5232" s="798">
        <v>75</v>
      </c>
      <c r="D5232" s="408">
        <f>C5232*(1-0)*fcl/TC</f>
        <v>37.388059701492537</v>
      </c>
      <c r="E5232" s="1092">
        <f t="shared" si="687"/>
        <v>4.6735074626865671</v>
      </c>
      <c r="F5232" s="585">
        <f>ROUNDUP(D5232+E5232,1)</f>
        <v>42.1</v>
      </c>
      <c r="G5232" s="592" t="s">
        <v>8662</v>
      </c>
      <c r="H5232" s="592"/>
      <c r="I5232" s="520"/>
      <c r="J5232" s="589" t="s">
        <v>2635</v>
      </c>
      <c r="K5232" s="520" t="s">
        <v>741</v>
      </c>
    </row>
    <row r="5233" spans="1:12" s="194" customFormat="1">
      <c r="A5233" s="1753"/>
      <c r="B5233" s="151" t="s">
        <v>12496</v>
      </c>
      <c r="C5233" s="798">
        <v>454.5</v>
      </c>
      <c r="D5233" s="408">
        <f>C5233*(1-0.2)*fcl/TC</f>
        <v>181.25731343283582</v>
      </c>
      <c r="E5233" s="1092">
        <f>D5233/8</f>
        <v>22.657164179104477</v>
      </c>
      <c r="F5233" s="585">
        <f>ROUNDUP(D5233+E5233,1)</f>
        <v>204</v>
      </c>
      <c r="G5233" s="592" t="s">
        <v>12497</v>
      </c>
      <c r="H5233" s="592"/>
      <c r="I5233" s="520"/>
      <c r="J5233" s="589" t="s">
        <v>2635</v>
      </c>
      <c r="K5233" s="520" t="s">
        <v>741</v>
      </c>
    </row>
    <row r="5234" spans="1:12" s="194" customFormat="1">
      <c r="A5234" s="1753"/>
      <c r="B5234" s="151"/>
      <c r="C5234" s="798"/>
      <c r="D5234" s="408"/>
      <c r="E5234" s="1092"/>
      <c r="F5234" s="585"/>
      <c r="G5234" s="592"/>
      <c r="H5234" s="592"/>
      <c r="I5234" s="520"/>
      <c r="J5234" s="589"/>
      <c r="K5234" s="520"/>
    </row>
    <row r="5235" spans="1:12" s="194" customFormat="1">
      <c r="A5235" s="421"/>
      <c r="B5235" s="151" t="s">
        <v>3235</v>
      </c>
      <c r="C5235" s="798">
        <v>180.93</v>
      </c>
      <c r="D5235" s="408">
        <f>C5235*(1-0)*fcl/TC</f>
        <v>90.194955223880598</v>
      </c>
      <c r="E5235" s="1092">
        <f>D5235/8</f>
        <v>11.274369402985075</v>
      </c>
      <c r="F5235" s="585">
        <f>ROUNDUP(D5235+E5235,1)</f>
        <v>101.5</v>
      </c>
      <c r="G5235" s="592" t="s">
        <v>8655</v>
      </c>
      <c r="H5235" s="764"/>
      <c r="I5235" s="520"/>
      <c r="J5235" s="589" t="s">
        <v>2635</v>
      </c>
      <c r="K5235" s="520" t="s">
        <v>741</v>
      </c>
    </row>
    <row r="5236" spans="1:12" s="117" customFormat="1">
      <c r="A5236" s="421"/>
      <c r="B5236" s="151" t="s">
        <v>3236</v>
      </c>
      <c r="C5236" s="798">
        <v>1999.15</v>
      </c>
      <c r="D5236" s="408">
        <f>C5236*(1-0)*fcl/TC</f>
        <v>996.59119402985073</v>
      </c>
      <c r="E5236" s="1092">
        <f>D5236/8</f>
        <v>124.57389925373134</v>
      </c>
      <c r="F5236" s="585">
        <f>ROUNDUP(D5236+E5236,1)</f>
        <v>1121.1999999999998</v>
      </c>
      <c r="G5236" s="592" t="s">
        <v>8660</v>
      </c>
      <c r="H5236" s="764"/>
      <c r="I5236" s="520"/>
      <c r="J5236" s="589" t="s">
        <v>2635</v>
      </c>
      <c r="K5236" s="520" t="s">
        <v>741</v>
      </c>
    </row>
    <row r="5237" spans="1:12" s="2285" customFormat="1">
      <c r="A5237" s="421"/>
      <c r="B5237" s="151" t="s">
        <v>3231</v>
      </c>
      <c r="C5237" s="798">
        <f>180.93</f>
        <v>180.93</v>
      </c>
      <c r="D5237" s="408">
        <f>C5237*(1-0)*fcl/TC</f>
        <v>90.194955223880598</v>
      </c>
      <c r="E5237" s="1092">
        <f>D5237/8</f>
        <v>11.274369402985075</v>
      </c>
      <c r="F5237" s="585">
        <f>ROUNDUP(D5237+E5237,1)</f>
        <v>101.5</v>
      </c>
      <c r="G5237" s="592" t="s">
        <v>8658</v>
      </c>
      <c r="H5237" s="764"/>
      <c r="I5237" s="520"/>
      <c r="J5237" s="589" t="s">
        <v>2635</v>
      </c>
      <c r="K5237" s="520" t="s">
        <v>741</v>
      </c>
      <c r="L5237" s="194"/>
    </row>
    <row r="5238" spans="1:12" s="117" customFormat="1">
      <c r="A5238" s="421"/>
      <c r="B5238" s="151" t="s">
        <v>3237</v>
      </c>
      <c r="C5238" s="798">
        <v>180.93</v>
      </c>
      <c r="D5238" s="408">
        <f t="shared" si="686"/>
        <v>90.194955223880598</v>
      </c>
      <c r="E5238" s="1092">
        <f t="shared" si="687"/>
        <v>11.274369402985075</v>
      </c>
      <c r="F5238" s="585">
        <f t="shared" si="688"/>
        <v>101.5</v>
      </c>
      <c r="G5238" s="592" t="s">
        <v>8663</v>
      </c>
      <c r="H5238" s="764"/>
      <c r="I5238" s="520"/>
      <c r="J5238" s="589" t="s">
        <v>2635</v>
      </c>
      <c r="K5238" s="520" t="s">
        <v>741</v>
      </c>
    </row>
    <row r="5239" spans="1:12" s="194" customFormat="1">
      <c r="A5239" s="589"/>
      <c r="B5239" s="151"/>
      <c r="C5239" s="798"/>
      <c r="D5239" s="408"/>
      <c r="E5239" s="228"/>
      <c r="F5239" s="585"/>
      <c r="G5239" s="592"/>
      <c r="H5239" s="592"/>
      <c r="I5239" s="520"/>
      <c r="J5239" s="589"/>
      <c r="K5239" s="520"/>
    </row>
    <row r="5240" spans="1:12" s="194" customFormat="1">
      <c r="A5240" s="589"/>
      <c r="B5240" s="151"/>
      <c r="C5240" s="798"/>
      <c r="D5240" s="408"/>
      <c r="E5240" s="228"/>
      <c r="F5240" s="585"/>
      <c r="G5240" s="592"/>
      <c r="H5240" s="592"/>
      <c r="I5240" s="520"/>
      <c r="J5240" s="589"/>
      <c r="K5240" s="520"/>
    </row>
    <row r="5241" spans="1:12" s="117" customFormat="1">
      <c r="A5241" s="589"/>
      <c r="B5241" s="151"/>
      <c r="C5241" s="228"/>
      <c r="D5241" s="408"/>
      <c r="E5241" s="228"/>
      <c r="F5241" s="585"/>
      <c r="G5241" s="592"/>
      <c r="H5241" s="592"/>
      <c r="I5241" s="520"/>
      <c r="J5241" s="589"/>
      <c r="K5241" s="520"/>
    </row>
    <row r="5242" spans="1:12" s="117" customFormat="1">
      <c r="A5242" s="589"/>
      <c r="B5242" s="151" t="s">
        <v>9784</v>
      </c>
      <c r="C5242" s="228"/>
      <c r="D5242" s="408">
        <v>120</v>
      </c>
      <c r="E5242" s="228">
        <v>8</v>
      </c>
      <c r="F5242" s="585">
        <f>ROUNDUP(D5242+E5242,1)</f>
        <v>128</v>
      </c>
      <c r="G5242" s="592" t="s">
        <v>8664</v>
      </c>
      <c r="H5242" s="530" t="str">
        <f>B5242</f>
        <v>TRAFO_460/230-120V_50VA_1F_EATON</v>
      </c>
      <c r="I5242" s="520"/>
      <c r="J5242" s="589" t="s">
        <v>1835</v>
      </c>
      <c r="K5242" s="520" t="s">
        <v>741</v>
      </c>
    </row>
    <row r="5243" spans="1:12" s="117" customFormat="1">
      <c r="A5243" s="589"/>
      <c r="B5243" s="151" t="s">
        <v>9785</v>
      </c>
      <c r="C5243" s="228"/>
      <c r="D5243" s="408">
        <v>160</v>
      </c>
      <c r="E5243" s="228">
        <v>8</v>
      </c>
      <c r="F5243" s="585">
        <f>ROUNDUP(D5243+E5243,1)</f>
        <v>168</v>
      </c>
      <c r="G5243" s="592" t="s">
        <v>8665</v>
      </c>
      <c r="H5243" s="530" t="str">
        <f>B5243</f>
        <v>TRAFO_460/230-120V_100VA_1F_EATON</v>
      </c>
      <c r="I5243" s="520"/>
      <c r="J5243" s="589" t="s">
        <v>1835</v>
      </c>
      <c r="K5243" s="520" t="s">
        <v>741</v>
      </c>
    </row>
    <row r="5244" spans="1:12" s="117" customFormat="1">
      <c r="A5244" s="589"/>
      <c r="B5244" s="151" t="s">
        <v>9786</v>
      </c>
      <c r="C5244" s="228"/>
      <c r="D5244" s="1817">
        <f>D5243*1.8</f>
        <v>288</v>
      </c>
      <c r="E5244" s="228">
        <v>10</v>
      </c>
      <c r="F5244" s="585">
        <f>ROUNDUP(D5244+E5244,1)</f>
        <v>298</v>
      </c>
      <c r="G5244" s="592" t="s">
        <v>8666</v>
      </c>
      <c r="H5244" s="530" t="str">
        <f>B5244</f>
        <v>TRAFO_460/230-120V_200VA_1F_EATON</v>
      </c>
      <c r="I5244" s="520"/>
      <c r="J5244" s="589" t="s">
        <v>1835</v>
      </c>
      <c r="K5244" s="520" t="s">
        <v>741</v>
      </c>
    </row>
    <row r="5245" spans="1:12" s="117" customFormat="1">
      <c r="A5245" s="589"/>
      <c r="B5245" s="151"/>
      <c r="C5245" s="228"/>
      <c r="D5245" s="408"/>
      <c r="E5245" s="228"/>
      <c r="F5245" s="585"/>
      <c r="G5245" s="592"/>
      <c r="H5245" s="530"/>
      <c r="I5245" s="520"/>
      <c r="J5245" s="589"/>
      <c r="K5245" s="520"/>
    </row>
    <row r="5246" spans="1:12" s="196" customFormat="1">
      <c r="A5246" s="589"/>
      <c r="B5246" s="151" t="s">
        <v>8667</v>
      </c>
      <c r="C5246" s="228"/>
      <c r="D5246" s="408">
        <v>450</v>
      </c>
      <c r="E5246" s="228">
        <v>12</v>
      </c>
      <c r="F5246" s="585">
        <f>ROUNDUP(D5246+E5246,1)</f>
        <v>462</v>
      </c>
      <c r="G5246" s="592" t="s">
        <v>8668</v>
      </c>
      <c r="H5246" s="530" t="str">
        <f>B5246</f>
        <v>TRAFO_460V-120V_300VA_2F_IT</v>
      </c>
      <c r="I5246" s="520"/>
      <c r="J5246" s="589" t="s">
        <v>2641</v>
      </c>
      <c r="K5246" s="520" t="s">
        <v>741</v>
      </c>
    </row>
    <row r="5247" spans="1:12" s="117" customFormat="1">
      <c r="A5247" s="589"/>
      <c r="B5247" s="151" t="s">
        <v>8669</v>
      </c>
      <c r="C5247" s="228"/>
      <c r="D5247" s="408">
        <v>450</v>
      </c>
      <c r="E5247" s="228">
        <v>12</v>
      </c>
      <c r="F5247" s="585">
        <f>ROUNDUP(D5247+E5247,1)</f>
        <v>462</v>
      </c>
      <c r="G5247" s="592" t="s">
        <v>8670</v>
      </c>
      <c r="H5247" s="530" t="str">
        <f>B5247</f>
        <v>TRAFO_480V-120V_300VA_2F_IT</v>
      </c>
      <c r="I5247" s="520"/>
      <c r="J5247" s="589" t="s">
        <v>2641</v>
      </c>
      <c r="K5247" s="520" t="s">
        <v>741</v>
      </c>
    </row>
    <row r="5248" spans="1:12" s="117" customFormat="1">
      <c r="A5248" s="589"/>
      <c r="B5248" s="151" t="s">
        <v>8671</v>
      </c>
      <c r="C5248" s="228"/>
      <c r="D5248" s="818">
        <f>D5246</f>
        <v>450</v>
      </c>
      <c r="E5248" s="228">
        <v>12</v>
      </c>
      <c r="F5248" s="585">
        <f>ROUNDUP(D5248+E5248,1)</f>
        <v>462</v>
      </c>
      <c r="G5248" s="592" t="s">
        <v>8672</v>
      </c>
      <c r="H5248" s="530" t="str">
        <f>B5248</f>
        <v>TRAFO_380V-120V_300VA_2F_IT</v>
      </c>
      <c r="I5248" s="520"/>
      <c r="J5248" s="589" t="s">
        <v>2641</v>
      </c>
      <c r="K5248" s="520" t="s">
        <v>741</v>
      </c>
    </row>
    <row r="5249" spans="1:12" s="117" customFormat="1">
      <c r="A5249" s="589"/>
      <c r="B5249" s="151"/>
      <c r="C5249" s="228"/>
      <c r="D5249" s="408"/>
      <c r="E5249" s="228"/>
      <c r="F5249" s="585"/>
      <c r="G5249" s="592"/>
      <c r="H5249" s="592"/>
      <c r="I5249" s="520"/>
      <c r="J5249" s="589"/>
      <c r="K5249" s="520"/>
    </row>
    <row r="5250" spans="1:12" s="117" customFormat="1">
      <c r="A5250" s="589"/>
      <c r="B5250" s="151" t="s">
        <v>6178</v>
      </c>
      <c r="C5250" s="228"/>
      <c r="D5250" s="408">
        <v>140</v>
      </c>
      <c r="E5250" s="228">
        <v>12</v>
      </c>
      <c r="F5250" s="585">
        <f>ROUNDUP(D5250+E5250,1)</f>
        <v>152</v>
      </c>
      <c r="G5250" s="592" t="s">
        <v>6179</v>
      </c>
      <c r="H5250" s="530" t="str">
        <f>B5250</f>
        <v>C0050E2A</v>
      </c>
      <c r="I5250" s="520"/>
      <c r="J5250" s="589" t="s">
        <v>1835</v>
      </c>
      <c r="K5250" s="520"/>
    </row>
    <row r="5251" spans="1:12" s="117" customFormat="1">
      <c r="A5251" s="589"/>
      <c r="B5251" s="151"/>
      <c r="C5251" s="228"/>
      <c r="D5251" s="408"/>
      <c r="E5251" s="228"/>
      <c r="F5251" s="585"/>
      <c r="G5251" s="592"/>
      <c r="H5251" s="592"/>
      <c r="I5251" s="520"/>
      <c r="J5251" s="589"/>
      <c r="K5251" s="520"/>
    </row>
    <row r="5252" spans="1:12" s="117" customFormat="1">
      <c r="A5252" s="589"/>
      <c r="B5252" s="151"/>
      <c r="C5252" s="228"/>
      <c r="D5252" s="408"/>
      <c r="E5252" s="228"/>
      <c r="F5252" s="585"/>
      <c r="G5252" s="592"/>
      <c r="H5252" s="592"/>
      <c r="I5252" s="520"/>
      <c r="J5252" s="589"/>
      <c r="K5252" s="520"/>
    </row>
    <row r="5253" spans="1:12" s="117" customFormat="1">
      <c r="A5253" s="589"/>
      <c r="B5253" s="151"/>
      <c r="C5253" s="228"/>
      <c r="D5253" s="408"/>
      <c r="E5253" s="228"/>
      <c r="F5253" s="585"/>
      <c r="G5253" s="592"/>
      <c r="H5253" s="592"/>
      <c r="I5253" s="520"/>
      <c r="J5253" s="589"/>
      <c r="K5253" s="520"/>
    </row>
    <row r="5254" spans="1:12" s="117" customFormat="1">
      <c r="A5254" s="589"/>
      <c r="B5254" s="151"/>
      <c r="C5254" s="228"/>
      <c r="D5254" s="408"/>
      <c r="E5254" s="228"/>
      <c r="F5254" s="585"/>
      <c r="G5254" s="592"/>
      <c r="H5254" s="592"/>
      <c r="I5254" s="520"/>
      <c r="J5254" s="589"/>
      <c r="K5254" s="520"/>
    </row>
    <row r="5255" spans="1:12" s="196" customFormat="1">
      <c r="A5255" s="589"/>
      <c r="B5255" s="151"/>
      <c r="C5255" s="228"/>
      <c r="D5255" s="408"/>
      <c r="E5255" s="228"/>
      <c r="F5255" s="585"/>
      <c r="G5255" s="592"/>
      <c r="H5255" s="592"/>
      <c r="I5255" s="520"/>
      <c r="J5255" s="589"/>
      <c r="K5255" s="520"/>
    </row>
    <row r="5256" spans="1:12" s="117" customFormat="1">
      <c r="A5256" s="500"/>
      <c r="B5256" s="38" t="s">
        <v>6180</v>
      </c>
      <c r="C5256" s="209">
        <v>429.91</v>
      </c>
      <c r="D5256" s="244">
        <f>C5256*fcl/TC</f>
        <v>214.3133432835821</v>
      </c>
      <c r="E5256" s="216">
        <v>10</v>
      </c>
      <c r="F5256" s="585">
        <f>ROUNDUP(D5256+E5256,2)</f>
        <v>224.32</v>
      </c>
      <c r="G5256" s="501" t="s">
        <v>6181</v>
      </c>
      <c r="H5256" s="2048" t="s">
        <v>6180</v>
      </c>
      <c r="I5256" s="589"/>
      <c r="J5256" s="589" t="s">
        <v>6177</v>
      </c>
      <c r="K5256" s="520" t="s">
        <v>741</v>
      </c>
    </row>
    <row r="5257" spans="1:12" s="117" customFormat="1">
      <c r="A5257" s="500"/>
      <c r="B5257" s="38" t="s">
        <v>10953</v>
      </c>
      <c r="C5257" s="209"/>
      <c r="D5257" s="1688">
        <v>720</v>
      </c>
      <c r="E5257" s="579">
        <v>10</v>
      </c>
      <c r="F5257" s="572">
        <f t="shared" ref="F5257" si="691">D5257+E5257</f>
        <v>730</v>
      </c>
      <c r="G5257" s="501" t="s">
        <v>10954</v>
      </c>
      <c r="H5257" s="2048" t="s">
        <v>10953</v>
      </c>
      <c r="I5257" s="589"/>
      <c r="J5257" s="589" t="s">
        <v>6177</v>
      </c>
      <c r="K5257" s="520" t="s">
        <v>741</v>
      </c>
    </row>
    <row r="5258" spans="1:12" s="117" customFormat="1">
      <c r="A5258" s="523"/>
      <c r="B5258" s="539"/>
      <c r="C5258" s="209"/>
      <c r="D5258" s="230"/>
      <c r="E5258" s="230"/>
      <c r="F5258" s="166"/>
      <c r="G5258" s="525"/>
      <c r="H5258" s="2330"/>
      <c r="I5258" s="589"/>
      <c r="J5258" s="589"/>
      <c r="K5258" s="520"/>
    </row>
    <row r="5259" spans="1:12" s="117" customFormat="1">
      <c r="A5259" s="523"/>
      <c r="B5259" s="539"/>
      <c r="C5259" s="209"/>
      <c r="D5259" s="230"/>
      <c r="E5259" s="230"/>
      <c r="F5259" s="166"/>
      <c r="G5259" s="525"/>
      <c r="H5259" s="2330"/>
      <c r="I5259" s="589"/>
      <c r="J5259" s="589"/>
      <c r="K5259" s="520"/>
    </row>
    <row r="5260" spans="1:12" s="117" customFormat="1">
      <c r="A5260" s="523"/>
      <c r="B5260" s="539"/>
      <c r="C5260" s="209"/>
      <c r="D5260" s="230"/>
      <c r="E5260" s="230"/>
      <c r="F5260" s="166"/>
      <c r="G5260" s="525"/>
      <c r="H5260" s="2330"/>
      <c r="I5260" s="589"/>
      <c r="J5260" s="589"/>
      <c r="K5260" s="520"/>
    </row>
    <row r="5261" spans="1:12" s="106" customFormat="1" ht="15.75">
      <c r="B5261" s="1691" t="s">
        <v>14014</v>
      </c>
      <c r="H5261" s="724"/>
    </row>
    <row r="5262" spans="1:12" s="196" customFormat="1">
      <c r="A5262" s="2095"/>
      <c r="B5262" s="1819" t="s">
        <v>13913</v>
      </c>
      <c r="C5262" s="408">
        <v>135</v>
      </c>
      <c r="D5262" s="408">
        <f>C5262*(1-0)*fcl</f>
        <v>225.45</v>
      </c>
      <c r="E5262" s="1818">
        <v>10</v>
      </c>
      <c r="F5262" s="1820">
        <f>ROUNDUP(D5262+E5262,1)</f>
        <v>235.5</v>
      </c>
      <c r="G5262" s="1821" t="s">
        <v>13914</v>
      </c>
      <c r="H5262" s="530" t="str">
        <f>B5262</f>
        <v>COND_10kVAR/220V</v>
      </c>
      <c r="I5262" s="520"/>
      <c r="J5262" s="589" t="s">
        <v>6177</v>
      </c>
      <c r="K5262" s="520" t="s">
        <v>741</v>
      </c>
      <c r="L5262" s="194"/>
    </row>
    <row r="5263" spans="1:12" s="194" customFormat="1">
      <c r="A5263" s="589"/>
      <c r="B5263" s="902"/>
      <c r="C5263" s="408"/>
      <c r="D5263" s="408"/>
      <c r="E5263" s="228"/>
      <c r="F5263" s="585"/>
      <c r="G5263" s="592"/>
      <c r="H5263" s="146"/>
      <c r="I5263" s="520"/>
      <c r="J5263" s="589"/>
      <c r="K5263" s="520"/>
    </row>
    <row r="5264" spans="1:12" s="194" customFormat="1" ht="15.75">
      <c r="A5264" s="589"/>
      <c r="B5264" s="1691" t="s">
        <v>6187</v>
      </c>
      <c r="C5264" s="408"/>
      <c r="D5264" s="408"/>
      <c r="E5264" s="228"/>
      <c r="F5264" s="585"/>
      <c r="G5264" s="592"/>
      <c r="H5264" s="146"/>
      <c r="I5264" s="520"/>
      <c r="J5264" s="589"/>
      <c r="K5264" s="520"/>
    </row>
    <row r="5265" spans="1:12" s="196" customFormat="1">
      <c r="A5265" s="2095"/>
      <c r="B5265" s="1819" t="s">
        <v>14015</v>
      </c>
      <c r="C5265" s="408">
        <v>80</v>
      </c>
      <c r="D5265" s="408">
        <f>C5265*(1-0)*fcl</f>
        <v>133.6</v>
      </c>
      <c r="E5265" s="1818">
        <v>10</v>
      </c>
      <c r="F5265" s="1820">
        <f>ROUNDUP(D5265+E5265,1)</f>
        <v>143.6</v>
      </c>
      <c r="G5265" s="1821" t="s">
        <v>14016</v>
      </c>
      <c r="H5265" s="530" t="str">
        <f>B5265</f>
        <v>COND_13kVAR/400V</v>
      </c>
      <c r="I5265" s="520"/>
      <c r="J5265" s="589" t="s">
        <v>6177</v>
      </c>
      <c r="K5265" s="520" t="s">
        <v>741</v>
      </c>
      <c r="L5265" s="194"/>
    </row>
    <row r="5266" spans="1:12" s="196" customFormat="1">
      <c r="A5266" s="2095"/>
      <c r="B5266" s="1819" t="s">
        <v>14017</v>
      </c>
      <c r="C5266" s="408">
        <v>120</v>
      </c>
      <c r="D5266" s="408">
        <f>C5266*(1-0)*fcl</f>
        <v>200.39999999999998</v>
      </c>
      <c r="E5266" s="1818">
        <v>10</v>
      </c>
      <c r="F5266" s="1820">
        <f>ROUNDUP(D5266+E5266,1)</f>
        <v>210.4</v>
      </c>
      <c r="G5266" s="1821" t="s">
        <v>14018</v>
      </c>
      <c r="H5266" s="530" t="str">
        <f>B5266</f>
        <v>COND_17.4kVAR/400V</v>
      </c>
      <c r="I5266" s="520"/>
      <c r="J5266" s="589" t="s">
        <v>6177</v>
      </c>
      <c r="K5266" s="520" t="s">
        <v>741</v>
      </c>
      <c r="L5266" s="194"/>
    </row>
    <row r="5267" spans="1:12" s="194" customFormat="1">
      <c r="A5267" s="589"/>
      <c r="B5267" s="902"/>
      <c r="C5267" s="408"/>
      <c r="D5267" s="408"/>
      <c r="E5267" s="228"/>
      <c r="F5267" s="585"/>
      <c r="G5267" s="592"/>
      <c r="H5267" s="146"/>
      <c r="I5267" s="520"/>
      <c r="J5267" s="589"/>
      <c r="K5267" s="520"/>
    </row>
    <row r="5268" spans="1:12" s="196" customFormat="1" ht="15.75">
      <c r="A5268" s="589"/>
      <c r="B5268" s="1691" t="s">
        <v>6182</v>
      </c>
      <c r="C5268" s="194"/>
      <c r="D5268" s="209"/>
      <c r="E5268" s="228"/>
      <c r="F5268" s="585"/>
      <c r="G5268" s="592"/>
      <c r="H5268" s="146"/>
      <c r="I5268" s="520"/>
      <c r="J5268" s="589"/>
      <c r="K5268" s="520"/>
      <c r="L5268" s="194"/>
    </row>
    <row r="5269" spans="1:12" s="196" customFormat="1">
      <c r="A5269" s="589"/>
      <c r="B5269" s="452"/>
      <c r="C5269" s="194"/>
      <c r="D5269" s="209"/>
      <c r="E5269" s="228"/>
      <c r="F5269" s="585"/>
      <c r="G5269" s="592"/>
      <c r="H5269" s="146"/>
      <c r="I5269" s="520"/>
      <c r="J5269" s="589"/>
      <c r="K5269" s="520"/>
      <c r="L5269" s="194"/>
    </row>
    <row r="5270" spans="1:12" s="196" customFormat="1">
      <c r="A5270" s="589"/>
      <c r="B5270" s="1819" t="s">
        <v>8673</v>
      </c>
      <c r="C5270" s="408"/>
      <c r="D5270" s="408">
        <f>C5270*(1-0)*fcl</f>
        <v>0</v>
      </c>
      <c r="E5270" s="1818">
        <v>10</v>
      </c>
      <c r="F5270" s="1820">
        <f>ROUNDUP(D5270+E5270,1)</f>
        <v>10</v>
      </c>
      <c r="G5270" s="1821" t="s">
        <v>8674</v>
      </c>
      <c r="H5270" s="530" t="str">
        <f>B5270</f>
        <v>REACT_5kVAR/230V_p7</v>
      </c>
      <c r="I5270" s="520"/>
      <c r="J5270" s="589" t="s">
        <v>6177</v>
      </c>
      <c r="K5270" s="520" t="s">
        <v>741</v>
      </c>
      <c r="L5270" s="194"/>
    </row>
    <row r="5271" spans="1:12" s="196" customFormat="1">
      <c r="A5271" s="589"/>
      <c r="B5271" s="1819" t="s">
        <v>8675</v>
      </c>
      <c r="C5271" s="408"/>
      <c r="D5271" s="408">
        <f>C5271*(1-0)*fcl</f>
        <v>0</v>
      </c>
      <c r="E5271" s="1818">
        <v>10</v>
      </c>
      <c r="F5271" s="1820">
        <f>ROUNDUP(D5271+E5271,1)</f>
        <v>10</v>
      </c>
      <c r="G5271" s="1821" t="s">
        <v>8676</v>
      </c>
      <c r="H5271" s="530" t="str">
        <f>B5271</f>
        <v>COND_5kVAR/230V_p7</v>
      </c>
      <c r="I5271" s="520"/>
      <c r="J5271" s="589" t="s">
        <v>6177</v>
      </c>
      <c r="K5271" s="520" t="s">
        <v>741</v>
      </c>
      <c r="L5271" s="194"/>
    </row>
    <row r="5272" spans="1:12" s="196" customFormat="1">
      <c r="A5272" s="589"/>
      <c r="B5272" s="1819"/>
      <c r="C5272" s="408"/>
      <c r="D5272" s="408"/>
      <c r="E5272" s="1818"/>
      <c r="F5272" s="1820"/>
      <c r="G5272" s="1821"/>
      <c r="H5272" s="530"/>
      <c r="I5272" s="520"/>
      <c r="J5272" s="589"/>
      <c r="K5272" s="520"/>
      <c r="L5272" s="194"/>
    </row>
    <row r="5273" spans="1:12" s="196" customFormat="1">
      <c r="A5273" s="589"/>
      <c r="B5273" s="1819" t="s">
        <v>8677</v>
      </c>
      <c r="C5273" s="408"/>
      <c r="D5273" s="408">
        <f>C5273*(1-0)*fcl</f>
        <v>0</v>
      </c>
      <c r="E5273" s="1818">
        <v>10</v>
      </c>
      <c r="F5273" s="1820">
        <f>ROUNDUP(D5273+E5273,1)</f>
        <v>10</v>
      </c>
      <c r="G5273" s="1821" t="s">
        <v>8678</v>
      </c>
      <c r="H5273" s="530" t="str">
        <f>B5273</f>
        <v>REACT_7.5kVAR/230V_p7</v>
      </c>
      <c r="I5273" s="520"/>
      <c r="J5273" s="589" t="s">
        <v>6177</v>
      </c>
      <c r="K5273" s="520" t="s">
        <v>741</v>
      </c>
      <c r="L5273" s="194"/>
    </row>
    <row r="5274" spans="1:12" s="196" customFormat="1">
      <c r="A5274" s="589"/>
      <c r="B5274" s="1819" t="s">
        <v>8679</v>
      </c>
      <c r="C5274" s="408"/>
      <c r="D5274" s="408">
        <f>C5274*(1-0)*fcl</f>
        <v>0</v>
      </c>
      <c r="E5274" s="1818">
        <v>10</v>
      </c>
      <c r="F5274" s="1820">
        <f>ROUNDUP(D5274+E5274,1)</f>
        <v>10</v>
      </c>
      <c r="G5274" s="1821" t="s">
        <v>8680</v>
      </c>
      <c r="H5274" s="530" t="str">
        <f>B5274</f>
        <v>COND_7.5kVAR/230V_p7</v>
      </c>
      <c r="I5274" s="520"/>
      <c r="J5274" s="589" t="s">
        <v>6177</v>
      </c>
      <c r="K5274" s="520" t="s">
        <v>741</v>
      </c>
      <c r="L5274" s="194"/>
    </row>
    <row r="5275" spans="1:12" s="196" customFormat="1">
      <c r="A5275" s="589"/>
      <c r="B5275" s="427"/>
      <c r="C5275" s="408"/>
      <c r="D5275" s="408"/>
      <c r="E5275" s="228"/>
      <c r="F5275" s="585"/>
      <c r="G5275" s="592"/>
      <c r="H5275" s="530"/>
      <c r="I5275" s="520"/>
      <c r="J5275" s="589"/>
      <c r="K5275" s="520"/>
      <c r="L5275" s="194"/>
    </row>
    <row r="5276" spans="1:12" s="196" customFormat="1">
      <c r="A5276" s="589"/>
      <c r="B5276" s="1819" t="s">
        <v>12437</v>
      </c>
      <c r="C5276" s="408">
        <v>100</v>
      </c>
      <c r="D5276" s="408">
        <f>C5276*(1-0)*fcl</f>
        <v>167</v>
      </c>
      <c r="E5276" s="1818">
        <v>10</v>
      </c>
      <c r="F5276" s="1820">
        <f>ROUNDUP(D5276+E5276,1)</f>
        <v>177</v>
      </c>
      <c r="G5276" s="1821" t="s">
        <v>12438</v>
      </c>
      <c r="H5276" s="530" t="str">
        <f>B5276</f>
        <v>COND_7.5kVAR/220V_p7</v>
      </c>
      <c r="I5276" s="520"/>
      <c r="J5276" s="589" t="s">
        <v>6177</v>
      </c>
      <c r="K5276" s="520" t="s">
        <v>741</v>
      </c>
      <c r="L5276" s="194"/>
    </row>
    <row r="5277" spans="1:12" s="196" customFormat="1">
      <c r="A5277" s="589"/>
      <c r="B5277" s="427"/>
      <c r="C5277" s="408"/>
      <c r="D5277" s="408"/>
      <c r="E5277" s="228"/>
      <c r="F5277" s="585"/>
      <c r="G5277" s="592"/>
      <c r="H5277" s="530"/>
      <c r="I5277" s="520"/>
      <c r="J5277" s="589"/>
      <c r="K5277" s="520"/>
      <c r="L5277" s="194"/>
    </row>
    <row r="5278" spans="1:12" s="196" customFormat="1">
      <c r="A5278" s="589"/>
      <c r="B5278" s="427" t="s">
        <v>1726</v>
      </c>
      <c r="C5278" s="408"/>
      <c r="D5278" s="408">
        <f>C5278*(1-0)*fcl</f>
        <v>0</v>
      </c>
      <c r="E5278" s="228">
        <v>10</v>
      </c>
      <c r="F5278" s="585">
        <f>ROUNDUP(D5278+E5278,1)</f>
        <v>10</v>
      </c>
      <c r="G5278" s="592" t="s">
        <v>8681</v>
      </c>
      <c r="H5278" s="530" t="str">
        <f>B5278</f>
        <v>REACT_15kVAR/230V_p14</v>
      </c>
      <c r="I5278" s="520"/>
      <c r="J5278" s="589" t="s">
        <v>6177</v>
      </c>
      <c r="K5278" s="520" t="s">
        <v>741</v>
      </c>
      <c r="L5278" s="194"/>
    </row>
    <row r="5279" spans="1:12" s="196" customFormat="1">
      <c r="A5279" s="589"/>
      <c r="B5279" s="427" t="s">
        <v>1727</v>
      </c>
      <c r="C5279" s="408"/>
      <c r="D5279" s="408">
        <f>C5279*(1-0)*fcl</f>
        <v>0</v>
      </c>
      <c r="E5279" s="228">
        <v>10</v>
      </c>
      <c r="F5279" s="585">
        <f>ROUNDUP(D5279+E5279,1)</f>
        <v>10</v>
      </c>
      <c r="G5279" s="592" t="s">
        <v>8682</v>
      </c>
      <c r="H5279" s="530" t="str">
        <f>B5279</f>
        <v>COND_15kVAR/230V_p14</v>
      </c>
      <c r="I5279" s="520"/>
      <c r="J5279" s="589" t="s">
        <v>6177</v>
      </c>
      <c r="K5279" s="520" t="s">
        <v>741</v>
      </c>
      <c r="L5279" s="194"/>
    </row>
    <row r="5280" spans="1:12" s="196" customFormat="1">
      <c r="A5280" s="589"/>
      <c r="B5280" s="427"/>
      <c r="C5280" s="408"/>
      <c r="D5280" s="408"/>
      <c r="E5280" s="228"/>
      <c r="F5280" s="585"/>
      <c r="G5280" s="592"/>
      <c r="H5280" s="530"/>
      <c r="I5280" s="520"/>
      <c r="J5280" s="589"/>
      <c r="K5280" s="520"/>
      <c r="L5280" s="194"/>
    </row>
    <row r="5281" spans="1:12" s="196" customFormat="1">
      <c r="A5281" s="589"/>
      <c r="B5281" s="427" t="s">
        <v>2661</v>
      </c>
      <c r="C5281" s="408"/>
      <c r="D5281" s="408">
        <f>C5281*(1-0)*fcl</f>
        <v>0</v>
      </c>
      <c r="E5281" s="228">
        <v>10</v>
      </c>
      <c r="F5281" s="585">
        <f>ROUNDUP(D5281+E5281,1)</f>
        <v>10</v>
      </c>
      <c r="G5281" s="592" t="s">
        <v>8683</v>
      </c>
      <c r="H5281" s="530" t="str">
        <f>B5281</f>
        <v>REACT_20kVAR/230V_p14</v>
      </c>
      <c r="I5281" s="520"/>
      <c r="J5281" s="589" t="s">
        <v>6177</v>
      </c>
      <c r="K5281" s="520" t="s">
        <v>741</v>
      </c>
      <c r="L5281" s="194"/>
    </row>
    <row r="5282" spans="1:12" s="196" customFormat="1">
      <c r="A5282" s="589"/>
      <c r="B5282" s="427" t="s">
        <v>2662</v>
      </c>
      <c r="C5282" s="408"/>
      <c r="D5282" s="408">
        <f>C5282*(1-0)*fcl</f>
        <v>0</v>
      </c>
      <c r="E5282" s="228">
        <v>10</v>
      </c>
      <c r="F5282" s="585">
        <f>ROUNDUP(D5282+E5282,1)</f>
        <v>10</v>
      </c>
      <c r="G5282" s="592" t="s">
        <v>8684</v>
      </c>
      <c r="H5282" s="530" t="str">
        <f>B5282</f>
        <v>COND_20kVAR/230V_p14</v>
      </c>
      <c r="I5282" s="520"/>
      <c r="J5282" s="589" t="s">
        <v>6177</v>
      </c>
      <c r="K5282" s="520" t="s">
        <v>741</v>
      </c>
      <c r="L5282" s="194"/>
    </row>
    <row r="5283" spans="1:12" s="196" customFormat="1">
      <c r="A5283" s="589"/>
      <c r="B5283" s="427"/>
      <c r="C5283" s="408"/>
      <c r="D5283" s="408"/>
      <c r="E5283" s="228"/>
      <c r="F5283" s="585"/>
      <c r="G5283" s="592"/>
      <c r="H5283" s="530"/>
      <c r="I5283" s="520"/>
      <c r="J5283" s="589"/>
      <c r="K5283" s="520"/>
      <c r="L5283" s="194"/>
    </row>
    <row r="5284" spans="1:12" s="196" customFormat="1">
      <c r="A5284" s="589"/>
      <c r="B5284" s="427" t="s">
        <v>1979</v>
      </c>
      <c r="C5284" s="408"/>
      <c r="D5284" s="408">
        <f>C5284*(1-0)*fcl</f>
        <v>0</v>
      </c>
      <c r="E5284" s="228">
        <v>20</v>
      </c>
      <c r="F5284" s="585">
        <f>ROUNDUP(D5284+E5284,1)</f>
        <v>20</v>
      </c>
      <c r="G5284" s="592" t="s">
        <v>8685</v>
      </c>
      <c r="H5284" s="530" t="str">
        <f>B5284</f>
        <v>REACT_30kVAR/230V_p7</v>
      </c>
      <c r="I5284" s="520"/>
      <c r="J5284" s="589" t="s">
        <v>6177</v>
      </c>
      <c r="K5284" s="520" t="s">
        <v>741</v>
      </c>
      <c r="L5284" s="194"/>
    </row>
    <row r="5285" spans="1:12" s="196" customFormat="1">
      <c r="A5285" s="589"/>
      <c r="B5285" s="427" t="s">
        <v>1980</v>
      </c>
      <c r="C5285" s="408"/>
      <c r="D5285" s="408">
        <f>C5285*(1-0)*fcl</f>
        <v>0</v>
      </c>
      <c r="E5285" s="228">
        <v>20</v>
      </c>
      <c r="F5285" s="585">
        <f>ROUNDUP(D5285+E5285,1)</f>
        <v>20</v>
      </c>
      <c r="G5285" s="592" t="s">
        <v>8686</v>
      </c>
      <c r="H5285" s="530" t="str">
        <f>B5285</f>
        <v>COND_30kVAR/230V_p7</v>
      </c>
      <c r="I5285" s="520"/>
      <c r="J5285" s="589" t="s">
        <v>6177</v>
      </c>
      <c r="K5285" s="520" t="s">
        <v>741</v>
      </c>
      <c r="L5285" s="194"/>
    </row>
    <row r="5286" spans="1:12" s="196" customFormat="1">
      <c r="A5286" s="589"/>
      <c r="B5286" s="427"/>
      <c r="C5286" s="408"/>
      <c r="D5286" s="408"/>
      <c r="E5286" s="228"/>
      <c r="F5286" s="585"/>
      <c r="G5286" s="592"/>
      <c r="H5286" s="530"/>
      <c r="I5286" s="520"/>
      <c r="J5286" s="589"/>
      <c r="K5286" s="520"/>
      <c r="L5286" s="194"/>
    </row>
    <row r="5287" spans="1:12" s="196" customFormat="1">
      <c r="A5287" s="589"/>
      <c r="B5287" s="427" t="s">
        <v>10955</v>
      </c>
      <c r="C5287" s="408">
        <v>660</v>
      </c>
      <c r="D5287" s="408">
        <f>C5287*(1-0)*fcl</f>
        <v>1102.2</v>
      </c>
      <c r="E5287" s="228">
        <v>20</v>
      </c>
      <c r="F5287" s="585">
        <f>ROUNDUP(D5287+E5287,1)</f>
        <v>1122.2</v>
      </c>
      <c r="G5287" s="592" t="s">
        <v>10956</v>
      </c>
      <c r="H5287" s="530" t="str">
        <f>B5287</f>
        <v>REACT_40kVAR/230V_p7</v>
      </c>
      <c r="I5287" s="520"/>
      <c r="J5287" s="589" t="s">
        <v>6177</v>
      </c>
      <c r="K5287" s="520" t="s">
        <v>741</v>
      </c>
      <c r="L5287" s="194"/>
    </row>
    <row r="5288" spans="1:12" s="196" customFormat="1">
      <c r="A5288" s="589"/>
      <c r="B5288" s="427" t="s">
        <v>10957</v>
      </c>
      <c r="C5288" s="408"/>
      <c r="D5288" s="408">
        <f>C5288*(1-0)*fcl</f>
        <v>0</v>
      </c>
      <c r="E5288" s="228">
        <v>20</v>
      </c>
      <c r="F5288" s="585">
        <f>ROUNDUP(D5288+E5288,1)</f>
        <v>20</v>
      </c>
      <c r="G5288" s="592" t="s">
        <v>10958</v>
      </c>
      <c r="H5288" s="530" t="str">
        <f>B5288</f>
        <v>COND_40kVAR/230V_p7</v>
      </c>
      <c r="I5288" s="520"/>
      <c r="J5288" s="589" t="s">
        <v>6177</v>
      </c>
      <c r="K5288" s="520" t="s">
        <v>741</v>
      </c>
      <c r="L5288" s="194"/>
    </row>
    <row r="5289" spans="1:12" s="196" customFormat="1">
      <c r="A5289" s="589"/>
      <c r="B5289" s="427"/>
      <c r="C5289" s="408"/>
      <c r="D5289" s="408"/>
      <c r="E5289" s="228"/>
      <c r="F5289" s="585"/>
      <c r="G5289" s="592"/>
      <c r="H5289" s="530"/>
      <c r="I5289" s="520"/>
      <c r="J5289" s="589"/>
      <c r="K5289" s="520"/>
      <c r="L5289" s="194"/>
    </row>
    <row r="5290" spans="1:12" s="117" customFormat="1">
      <c r="A5290" s="1651"/>
      <c r="B5290" s="427" t="s">
        <v>6183</v>
      </c>
      <c r="C5290" s="408">
        <v>490</v>
      </c>
      <c r="D5290" s="408">
        <f>C5290*(1-0)*fcl</f>
        <v>818.3</v>
      </c>
      <c r="E5290" s="228">
        <v>20</v>
      </c>
      <c r="F5290" s="585">
        <f>ROUNDUP(D5290+E5290,1)</f>
        <v>838.3</v>
      </c>
      <c r="G5290" s="592" t="s">
        <v>8687</v>
      </c>
      <c r="H5290" s="530" t="str">
        <f>B5290</f>
        <v>REACT_20kVAR/220V_p7</v>
      </c>
      <c r="I5290" s="520"/>
      <c r="J5290" s="589" t="s">
        <v>6177</v>
      </c>
      <c r="K5290" s="520" t="s">
        <v>741</v>
      </c>
    </row>
    <row r="5291" spans="1:12" s="117" customFormat="1">
      <c r="A5291" s="1651"/>
      <c r="B5291" s="427" t="s">
        <v>6184</v>
      </c>
      <c r="C5291" s="408"/>
      <c r="D5291" s="408">
        <f>C5291*(1-0)*fcl</f>
        <v>0</v>
      </c>
      <c r="E5291" s="228">
        <v>20</v>
      </c>
      <c r="F5291" s="585">
        <f>ROUNDUP(D5291+E5291,1)</f>
        <v>20</v>
      </c>
      <c r="G5291" s="592" t="s">
        <v>8688</v>
      </c>
      <c r="H5291" s="530" t="str">
        <f>B5291</f>
        <v>COND_20kVAR/220V_p7</v>
      </c>
      <c r="I5291" s="520"/>
      <c r="J5291" s="589" t="s">
        <v>6177</v>
      </c>
      <c r="K5291" s="520" t="s">
        <v>741</v>
      </c>
    </row>
    <row r="5292" spans="1:12" s="117" customFormat="1">
      <c r="A5292" s="1651"/>
      <c r="B5292" s="427"/>
      <c r="C5292" s="408"/>
      <c r="D5292" s="408"/>
      <c r="E5292" s="228"/>
      <c r="F5292" s="585"/>
      <c r="G5292" s="592"/>
      <c r="H5292" s="530"/>
      <c r="I5292" s="520"/>
      <c r="J5292" s="589"/>
      <c r="K5292" s="520"/>
    </row>
    <row r="5293" spans="1:12" s="117" customFormat="1">
      <c r="A5293" s="1651"/>
      <c r="B5293" s="427" t="s">
        <v>4978</v>
      </c>
      <c r="C5293" s="408">
        <v>390</v>
      </c>
      <c r="D5293" s="408">
        <f>C5293*(1-0)*fcl</f>
        <v>651.29999999999995</v>
      </c>
      <c r="E5293" s="228">
        <v>20</v>
      </c>
      <c r="F5293" s="585">
        <f>ROUNDUP(D5293+E5293,1)</f>
        <v>671.3</v>
      </c>
      <c r="G5293" s="592" t="s">
        <v>14019</v>
      </c>
      <c r="H5293" s="530" t="str">
        <f>B5293</f>
        <v>REACT_15kVAR/220V_p7</v>
      </c>
      <c r="I5293" s="520"/>
      <c r="J5293" s="589" t="s">
        <v>6177</v>
      </c>
      <c r="K5293" s="520" t="s">
        <v>741</v>
      </c>
    </row>
    <row r="5294" spans="1:12" s="117" customFormat="1">
      <c r="A5294" s="1651"/>
      <c r="B5294" s="427" t="s">
        <v>4979</v>
      </c>
      <c r="C5294" s="408"/>
      <c r="D5294" s="408">
        <f>C5294*(1-0)*fcl</f>
        <v>0</v>
      </c>
      <c r="E5294" s="228">
        <v>20</v>
      </c>
      <c r="F5294" s="585">
        <f>ROUNDUP(D5294+E5294,1)</f>
        <v>20</v>
      </c>
      <c r="G5294" s="592" t="s">
        <v>8686</v>
      </c>
      <c r="H5294" s="530" t="str">
        <f>B5294</f>
        <v>COND_15kVAR/220V_p7</v>
      </c>
      <c r="I5294" s="520"/>
      <c r="J5294" s="589" t="s">
        <v>6177</v>
      </c>
      <c r="K5294" s="520" t="s">
        <v>741</v>
      </c>
    </row>
    <row r="5295" spans="1:12" s="117" customFormat="1">
      <c r="A5295" s="1651"/>
      <c r="B5295" s="427"/>
      <c r="C5295" s="408"/>
      <c r="D5295" s="408"/>
      <c r="E5295" s="228"/>
      <c r="F5295" s="585"/>
      <c r="G5295" s="592"/>
      <c r="H5295" s="530"/>
      <c r="I5295" s="520"/>
      <c r="J5295" s="589"/>
      <c r="K5295" s="520"/>
    </row>
    <row r="5296" spans="1:12" s="117" customFormat="1">
      <c r="A5296" s="1651"/>
      <c r="B5296" s="427" t="s">
        <v>14020</v>
      </c>
      <c r="C5296" s="408">
        <v>110</v>
      </c>
      <c r="D5296" s="408">
        <f>C5296*(1-0)*fcl</f>
        <v>183.7</v>
      </c>
      <c r="E5296" s="228">
        <v>20</v>
      </c>
      <c r="F5296" s="585">
        <f>ROUNDUP(D5296+E5296,1)</f>
        <v>203.7</v>
      </c>
      <c r="G5296" s="592" t="s">
        <v>14021</v>
      </c>
      <c r="H5296" s="530" t="str">
        <f>B5296</f>
        <v>COND_30kVAR/220V_p7_CLZ</v>
      </c>
      <c r="I5296" s="520"/>
      <c r="J5296" s="589" t="s">
        <v>6177</v>
      </c>
      <c r="K5296" s="520" t="s">
        <v>741</v>
      </c>
    </row>
    <row r="5297" spans="1:12" s="117" customFormat="1">
      <c r="A5297" s="1651"/>
      <c r="B5297" s="427"/>
      <c r="C5297" s="408"/>
      <c r="D5297" s="408"/>
      <c r="E5297" s="228"/>
      <c r="F5297" s="585"/>
      <c r="G5297" s="592"/>
      <c r="H5297" s="530"/>
      <c r="I5297" s="520"/>
      <c r="J5297" s="589"/>
      <c r="K5297" s="520"/>
    </row>
    <row r="5298" spans="1:12" s="196" customFormat="1">
      <c r="A5298" s="589"/>
      <c r="B5298" s="427" t="s">
        <v>5286</v>
      </c>
      <c r="C5298" s="408"/>
      <c r="D5298" s="408">
        <f>C5298*(1-0)*fcl</f>
        <v>0</v>
      </c>
      <c r="E5298" s="228">
        <v>20</v>
      </c>
      <c r="F5298" s="585">
        <f>ROUNDUP(D5298+E5298,1)</f>
        <v>20</v>
      </c>
      <c r="G5298" s="592" t="s">
        <v>8689</v>
      </c>
      <c r="H5298" s="530" t="str">
        <f>B5298</f>
        <v>REACT_12.5kVAR/230V_p7</v>
      </c>
      <c r="I5298" s="520"/>
      <c r="J5298" s="589" t="s">
        <v>6177</v>
      </c>
      <c r="K5298" s="520" t="s">
        <v>741</v>
      </c>
      <c r="L5298" s="194"/>
    </row>
    <row r="5299" spans="1:12" s="196" customFormat="1">
      <c r="A5299" s="589"/>
      <c r="B5299" s="427" t="s">
        <v>5287</v>
      </c>
      <c r="C5299" s="408"/>
      <c r="D5299" s="408">
        <f>C5299*(1-0)*fcl</f>
        <v>0</v>
      </c>
      <c r="E5299" s="228">
        <v>20</v>
      </c>
      <c r="F5299" s="585">
        <f>ROUNDUP(D5299+E5299,1)</f>
        <v>20</v>
      </c>
      <c r="G5299" s="592" t="s">
        <v>8690</v>
      </c>
      <c r="H5299" s="530" t="str">
        <f>B5299</f>
        <v>COND_12.5kVAR/230V_p7</v>
      </c>
      <c r="I5299" s="520"/>
      <c r="J5299" s="589" t="s">
        <v>6177</v>
      </c>
      <c r="K5299" s="520" t="s">
        <v>741</v>
      </c>
      <c r="L5299" s="194"/>
    </row>
    <row r="5300" spans="1:12" s="196" customFormat="1">
      <c r="A5300" s="589"/>
      <c r="B5300" s="427"/>
      <c r="C5300" s="408"/>
      <c r="D5300" s="408"/>
      <c r="E5300" s="228"/>
      <c r="F5300" s="585"/>
      <c r="G5300" s="592"/>
      <c r="H5300" s="530"/>
      <c r="I5300" s="520"/>
      <c r="J5300" s="589"/>
      <c r="K5300" s="520"/>
      <c r="L5300" s="194"/>
    </row>
    <row r="5301" spans="1:12" s="117" customFormat="1">
      <c r="A5301" s="1651"/>
      <c r="B5301" s="427" t="s">
        <v>4981</v>
      </c>
      <c r="C5301" s="408"/>
      <c r="D5301" s="408">
        <f>C5301*(1-0)*fcl</f>
        <v>0</v>
      </c>
      <c r="E5301" s="228">
        <v>20</v>
      </c>
      <c r="F5301" s="585">
        <f>ROUNDUP(D5301+E5301,1)</f>
        <v>20</v>
      </c>
      <c r="G5301" s="592" t="s">
        <v>8691</v>
      </c>
      <c r="H5301" s="530" t="str">
        <f>B5301</f>
        <v>REACT_10kVAR/220V_p7</v>
      </c>
      <c r="I5301" s="520"/>
      <c r="J5301" s="589" t="s">
        <v>6177</v>
      </c>
      <c r="K5301" s="520" t="s">
        <v>741</v>
      </c>
    </row>
    <row r="5302" spans="1:12" s="117" customFormat="1">
      <c r="A5302" s="1651"/>
      <c r="B5302" s="427" t="s">
        <v>4982</v>
      </c>
      <c r="C5302" s="408">
        <v>140</v>
      </c>
      <c r="D5302" s="408">
        <f>C5302*(1-0)*fcl</f>
        <v>233.79999999999998</v>
      </c>
      <c r="E5302" s="228">
        <v>20</v>
      </c>
      <c r="F5302" s="585">
        <f>ROUNDUP(D5302+E5302,1)</f>
        <v>253.8</v>
      </c>
      <c r="G5302" s="592" t="s">
        <v>12743</v>
      </c>
      <c r="H5302" s="530" t="str">
        <f>B5302</f>
        <v>COND_10kVAR/220V_p7</v>
      </c>
      <c r="I5302" s="520"/>
      <c r="J5302" s="589" t="s">
        <v>6177</v>
      </c>
      <c r="K5302" s="520" t="s">
        <v>741</v>
      </c>
    </row>
    <row r="5303" spans="1:12" s="196" customFormat="1">
      <c r="A5303" s="589"/>
      <c r="B5303" s="452"/>
      <c r="C5303" s="408"/>
      <c r="D5303" s="408"/>
      <c r="E5303" s="228"/>
      <c r="F5303" s="585"/>
      <c r="G5303" s="592"/>
      <c r="H5303" s="530"/>
      <c r="I5303" s="520"/>
      <c r="J5303" s="589"/>
      <c r="K5303" s="520"/>
      <c r="L5303" s="194"/>
    </row>
    <row r="5304" spans="1:12" s="1678" customFormat="1">
      <c r="A5304" s="1680"/>
      <c r="B5304" s="2174" t="s">
        <v>13567</v>
      </c>
      <c r="C5304" s="2130">
        <v>590</v>
      </c>
      <c r="D5304" s="2130">
        <f>C5304*(1-0)*fcl</f>
        <v>985.3</v>
      </c>
      <c r="E5304" s="1668">
        <v>22</v>
      </c>
      <c r="F5304" s="591">
        <f t="shared" ref="F5304" si="692">ROUNDUP(D5304+E5304,1)</f>
        <v>1007.3</v>
      </c>
      <c r="G5304" s="2013" t="s">
        <v>13568</v>
      </c>
      <c r="H5304" s="2187" t="str">
        <f>B5304</f>
        <v>REACT_25kVAR/230V_p7</v>
      </c>
      <c r="I5304" s="620"/>
      <c r="J5304" s="1680" t="s">
        <v>6177</v>
      </c>
      <c r="K5304" s="620" t="s">
        <v>741</v>
      </c>
    </row>
    <row r="5305" spans="1:12" s="196" customFormat="1">
      <c r="A5305" s="589"/>
      <c r="B5305" s="453"/>
      <c r="C5305" s="408"/>
      <c r="D5305" s="408"/>
      <c r="E5305" s="228"/>
      <c r="F5305" s="585"/>
      <c r="G5305" s="592"/>
      <c r="H5305" s="146"/>
      <c r="I5305" s="520"/>
      <c r="J5305" s="589"/>
      <c r="K5305" s="520"/>
      <c r="L5305" s="194"/>
    </row>
    <row r="5306" spans="1:12" s="196" customFormat="1">
      <c r="A5306" s="589"/>
      <c r="B5306" s="151"/>
      <c r="C5306" s="408"/>
      <c r="D5306" s="408"/>
      <c r="E5306" s="228"/>
      <c r="F5306" s="585"/>
      <c r="G5306" s="592"/>
      <c r="H5306" s="146"/>
      <c r="I5306" s="520"/>
      <c r="J5306" s="589"/>
      <c r="K5306" s="520"/>
      <c r="L5306" s="194"/>
    </row>
    <row r="5307" spans="1:12" s="196" customFormat="1">
      <c r="A5307" s="589"/>
      <c r="B5307" s="151"/>
      <c r="C5307" s="408"/>
      <c r="D5307" s="408"/>
      <c r="E5307" s="228"/>
      <c r="F5307" s="585"/>
      <c r="G5307" s="592"/>
      <c r="H5307" s="146"/>
      <c r="I5307" s="520"/>
      <c r="J5307" s="589"/>
      <c r="K5307" s="520"/>
      <c r="L5307" s="194"/>
    </row>
    <row r="5308" spans="1:12" s="196" customFormat="1">
      <c r="A5308" s="589"/>
      <c r="B5308" s="151"/>
      <c r="C5308" s="408"/>
      <c r="D5308" s="408"/>
      <c r="E5308" s="228"/>
      <c r="F5308" s="585"/>
      <c r="G5308" s="592"/>
      <c r="H5308" s="146"/>
      <c r="I5308" s="520"/>
      <c r="J5308" s="589"/>
      <c r="K5308" s="520"/>
      <c r="L5308" s="194"/>
    </row>
    <row r="5309" spans="1:12" s="196" customFormat="1" ht="15.75">
      <c r="A5309" s="589"/>
      <c r="B5309" s="1691" t="s">
        <v>6185</v>
      </c>
      <c r="C5309" s="408"/>
      <c r="D5309" s="408"/>
      <c r="E5309" s="228"/>
      <c r="F5309" s="585"/>
      <c r="G5309" s="592"/>
      <c r="H5309" s="592"/>
      <c r="I5309" s="520"/>
      <c r="J5309" s="589"/>
      <c r="K5309" s="520"/>
    </row>
    <row r="5310" spans="1:12" s="117" customFormat="1">
      <c r="A5310" s="2132"/>
      <c r="B5310" s="427" t="s">
        <v>12359</v>
      </c>
      <c r="C5310" s="408">
        <v>560</v>
      </c>
      <c r="D5310" s="408">
        <f>C5310*(1-0)*fcl</f>
        <v>935.19999999999993</v>
      </c>
      <c r="E5310" s="228">
        <v>10</v>
      </c>
      <c r="F5310" s="585">
        <f>ROUNDUP(D5310+E5310,1)</f>
        <v>945.2</v>
      </c>
      <c r="G5310" s="592" t="s">
        <v>12360</v>
      </c>
      <c r="H5310" s="530" t="str">
        <f>B5310</f>
        <v>REACT_RX_20kVAR/380V_p14</v>
      </c>
      <c r="I5310" s="520"/>
      <c r="J5310" s="589" t="s">
        <v>6177</v>
      </c>
      <c r="K5310" s="520" t="s">
        <v>741</v>
      </c>
    </row>
    <row r="5311" spans="1:12" s="117" customFormat="1">
      <c r="A5311" s="2132"/>
      <c r="B5311" s="427" t="s">
        <v>12361</v>
      </c>
      <c r="C5311" s="408">
        <v>180</v>
      </c>
      <c r="D5311" s="408">
        <f>C5311*(1-0)*fcl</f>
        <v>300.59999999999997</v>
      </c>
      <c r="E5311" s="228">
        <v>10</v>
      </c>
      <c r="F5311" s="585">
        <f>ROUNDUP(D5311+E5311,1)</f>
        <v>310.60000000000002</v>
      </c>
      <c r="G5311" s="592" t="s">
        <v>12362</v>
      </c>
      <c r="H5311" s="530" t="str">
        <f>B5311</f>
        <v>COND_pris_20kVAR/380V_p14</v>
      </c>
      <c r="I5311" s="520"/>
      <c r="J5311" s="589" t="s">
        <v>6177</v>
      </c>
      <c r="K5311" s="520" t="s">
        <v>741</v>
      </c>
    </row>
    <row r="5312" spans="1:12" s="117" customFormat="1">
      <c r="A5312" s="589"/>
      <c r="B5312" s="427" t="s">
        <v>12363</v>
      </c>
      <c r="C5312" s="408">
        <v>180</v>
      </c>
      <c r="D5312" s="408">
        <f>C5312*(1-0)*fcl</f>
        <v>300.59999999999997</v>
      </c>
      <c r="E5312" s="228">
        <v>20</v>
      </c>
      <c r="F5312" s="585">
        <f>ROUNDUP(D5312+E5312,1)</f>
        <v>320.60000000000002</v>
      </c>
      <c r="G5312" s="592" t="s">
        <v>12364</v>
      </c>
      <c r="H5312" s="530" t="str">
        <f>B5312</f>
        <v>COND_pris_40kVAR/380V_p14</v>
      </c>
      <c r="I5312" s="520"/>
      <c r="J5312" s="589" t="s">
        <v>6177</v>
      </c>
      <c r="K5312" s="520" t="s">
        <v>741</v>
      </c>
    </row>
    <row r="5313" spans="1:11" s="196" customFormat="1" ht="15.75">
      <c r="A5313" s="589"/>
      <c r="B5313" s="1691"/>
      <c r="C5313" s="408"/>
      <c r="D5313" s="408"/>
      <c r="E5313" s="228"/>
      <c r="F5313" s="585"/>
      <c r="G5313" s="592"/>
      <c r="H5313" s="592"/>
      <c r="I5313" s="520"/>
      <c r="J5313" s="589"/>
      <c r="K5313" s="520"/>
    </row>
    <row r="5314" spans="1:11" s="196" customFormat="1">
      <c r="A5314" s="589"/>
      <c r="B5314" s="427" t="s">
        <v>12744</v>
      </c>
      <c r="C5314" s="408">
        <v>70</v>
      </c>
      <c r="D5314" s="408">
        <f>C5314*(1-0)*fcl</f>
        <v>116.89999999999999</v>
      </c>
      <c r="E5314" s="228">
        <v>10</v>
      </c>
      <c r="F5314" s="585">
        <f>ROUNDUP(D5314+E5314,1)</f>
        <v>126.9</v>
      </c>
      <c r="G5314" s="592" t="s">
        <v>12745</v>
      </c>
      <c r="H5314" s="530" t="str">
        <f>B5314</f>
        <v>COND_7kVAR/380V_p14</v>
      </c>
      <c r="I5314" s="520"/>
      <c r="J5314" s="589" t="s">
        <v>6177</v>
      </c>
      <c r="K5314" s="520" t="s">
        <v>741</v>
      </c>
    </row>
    <row r="5315" spans="1:11" s="117" customFormat="1">
      <c r="A5315" s="589"/>
      <c r="B5315" s="452"/>
      <c r="C5315" s="408"/>
      <c r="D5315" s="408"/>
      <c r="E5315" s="228"/>
      <c r="F5315" s="585"/>
      <c r="G5315" s="592"/>
      <c r="H5315" s="530"/>
      <c r="I5315" s="520"/>
      <c r="J5315" s="589"/>
      <c r="K5315" s="520"/>
    </row>
    <row r="5316" spans="1:11" s="196" customFormat="1">
      <c r="A5316" s="589"/>
      <c r="B5316" s="427" t="s">
        <v>1719</v>
      </c>
      <c r="C5316" s="408"/>
      <c r="D5316" s="228">
        <f>1.05*630</f>
        <v>661.5</v>
      </c>
      <c r="E5316" s="228">
        <v>10</v>
      </c>
      <c r="F5316" s="585">
        <f>ROUNDUP(D5316+E5316,1)</f>
        <v>671.5</v>
      </c>
      <c r="G5316" s="592" t="s">
        <v>8692</v>
      </c>
      <c r="H5316" s="530" t="str">
        <f>B5316</f>
        <v>REACT_10kVAR/380V_p14</v>
      </c>
      <c r="I5316" s="520"/>
      <c r="J5316" s="589" t="s">
        <v>6177</v>
      </c>
      <c r="K5316" s="520" t="s">
        <v>741</v>
      </c>
    </row>
    <row r="5317" spans="1:11" s="117" customFormat="1">
      <c r="A5317" s="589"/>
      <c r="B5317" s="427" t="s">
        <v>1720</v>
      </c>
      <c r="C5317" s="408"/>
      <c r="D5317" s="408">
        <v>294</v>
      </c>
      <c r="E5317" s="228">
        <v>10</v>
      </c>
      <c r="F5317" s="585">
        <f>ROUNDUP(D5317+E5317,1)</f>
        <v>304</v>
      </c>
      <c r="G5317" s="592" t="s">
        <v>8693</v>
      </c>
      <c r="H5317" s="530" t="str">
        <f>B5317</f>
        <v>COND_10kVAR/380V_p14</v>
      </c>
      <c r="I5317" s="520"/>
      <c r="J5317" s="589" t="s">
        <v>6177</v>
      </c>
      <c r="K5317" s="520" t="s">
        <v>741</v>
      </c>
    </row>
    <row r="5318" spans="1:11" s="196" customFormat="1">
      <c r="A5318" s="589"/>
      <c r="B5318" s="427"/>
      <c r="C5318" s="408"/>
      <c r="D5318" s="408"/>
      <c r="E5318" s="228"/>
      <c r="F5318" s="585"/>
      <c r="G5318" s="592"/>
      <c r="H5318" s="530"/>
      <c r="I5318" s="520"/>
      <c r="J5318" s="589"/>
      <c r="K5318" s="520"/>
    </row>
    <row r="5319" spans="1:11" s="2156" customFormat="1">
      <c r="A5319" s="1652"/>
      <c r="B5319" s="2150" t="s">
        <v>12412</v>
      </c>
      <c r="C5319" s="2151">
        <v>500</v>
      </c>
      <c r="D5319" s="2151">
        <f>C5319*(1-0)*fcl</f>
        <v>835</v>
      </c>
      <c r="E5319" s="1952">
        <v>10</v>
      </c>
      <c r="F5319" s="2152">
        <f>ROUNDUP(D5319+E5319,1)</f>
        <v>845</v>
      </c>
      <c r="G5319" s="2153" t="s">
        <v>12413</v>
      </c>
      <c r="H5319" s="2154" t="str">
        <f>B5319</f>
        <v>REACT_15kVAR/380V_p14</v>
      </c>
      <c r="I5319" s="2155"/>
      <c r="J5319" s="1652" t="s">
        <v>6177</v>
      </c>
      <c r="K5319" s="2155" t="s">
        <v>741</v>
      </c>
    </row>
    <row r="5320" spans="1:11" s="2157" customFormat="1">
      <c r="A5320" s="1652"/>
      <c r="B5320" s="2150" t="s">
        <v>12414</v>
      </c>
      <c r="C5320" s="2151">
        <v>90</v>
      </c>
      <c r="D5320" s="2151">
        <f>C5320*(1-0)*fcl</f>
        <v>150.29999999999998</v>
      </c>
      <c r="E5320" s="1952">
        <v>10</v>
      </c>
      <c r="F5320" s="2152">
        <f>ROUNDUP(D5320+E5320,1)</f>
        <v>160.30000000000001</v>
      </c>
      <c r="G5320" s="2153" t="s">
        <v>12415</v>
      </c>
      <c r="H5320" s="2154" t="str">
        <f>B5320</f>
        <v>COND_15kVAR/380V_p14</v>
      </c>
      <c r="I5320" s="2155"/>
      <c r="J5320" s="1652" t="s">
        <v>6177</v>
      </c>
      <c r="K5320" s="2155" t="s">
        <v>741</v>
      </c>
    </row>
    <row r="5321" spans="1:11" s="2156" customFormat="1">
      <c r="A5321" s="1652"/>
      <c r="B5321" s="2150"/>
      <c r="C5321" s="2151"/>
      <c r="D5321" s="2151"/>
      <c r="E5321" s="1952"/>
      <c r="F5321" s="2152"/>
      <c r="G5321" s="2153"/>
      <c r="H5321" s="2154"/>
      <c r="I5321" s="2155"/>
      <c r="J5321" s="1652"/>
      <c r="K5321" s="2155"/>
    </row>
    <row r="5322" spans="1:11" s="196" customFormat="1">
      <c r="A5322" s="589"/>
      <c r="B5322" s="427" t="s">
        <v>1977</v>
      </c>
      <c r="C5322" s="408"/>
      <c r="D5322" s="408">
        <f>C5322*(1-0)*fcl</f>
        <v>0</v>
      </c>
      <c r="E5322" s="228">
        <v>10</v>
      </c>
      <c r="F5322" s="585">
        <f>ROUNDUP(D5322+E5322,1)</f>
        <v>10</v>
      </c>
      <c r="G5322" s="592" t="s">
        <v>8694</v>
      </c>
      <c r="H5322" s="530" t="str">
        <f>B5322</f>
        <v>REACT_18kVAR/380V_p14</v>
      </c>
      <c r="I5322" s="520"/>
      <c r="J5322" s="589" t="s">
        <v>6177</v>
      </c>
      <c r="K5322" s="520" t="s">
        <v>741</v>
      </c>
    </row>
    <row r="5323" spans="1:11" s="196" customFormat="1">
      <c r="A5323" s="589"/>
      <c r="B5323" s="427" t="s">
        <v>1978</v>
      </c>
      <c r="C5323" s="408">
        <v>120</v>
      </c>
      <c r="D5323" s="408">
        <f>C5323*(1-0)*fcl</f>
        <v>200.39999999999998</v>
      </c>
      <c r="E5323" s="228">
        <v>10</v>
      </c>
      <c r="F5323" s="585">
        <f>ROUNDUP(D5323+E5323,1)</f>
        <v>210.4</v>
      </c>
      <c r="G5323" s="592" t="s">
        <v>12746</v>
      </c>
      <c r="H5323" s="530" t="str">
        <f>B5323</f>
        <v>COND_18kVAR/380V_p14</v>
      </c>
      <c r="I5323" s="520"/>
      <c r="J5323" s="589" t="s">
        <v>6177</v>
      </c>
      <c r="K5323" s="520" t="s">
        <v>741</v>
      </c>
    </row>
    <row r="5324" spans="1:11" s="117" customFormat="1">
      <c r="A5324" s="589"/>
      <c r="B5324" s="427"/>
      <c r="C5324" s="408"/>
      <c r="D5324" s="408"/>
      <c r="E5324" s="228"/>
      <c r="F5324" s="585"/>
      <c r="G5324" s="592"/>
      <c r="H5324" s="530"/>
      <c r="I5324" s="520"/>
      <c r="J5324" s="589"/>
      <c r="K5324" s="520"/>
    </row>
    <row r="5325" spans="1:11" s="117" customFormat="1">
      <c r="A5325" s="589"/>
      <c r="B5325" s="427" t="s">
        <v>1721</v>
      </c>
      <c r="C5325" s="408"/>
      <c r="D5325" s="408">
        <f>C5325*(1-0)*fcl</f>
        <v>0</v>
      </c>
      <c r="E5325" s="228">
        <v>10</v>
      </c>
      <c r="F5325" s="585">
        <f>ROUNDUP(D5325+E5325,1)</f>
        <v>10</v>
      </c>
      <c r="G5325" s="592" t="s">
        <v>8695</v>
      </c>
      <c r="H5325" s="530" t="str">
        <f>B5325</f>
        <v>REACT_20kVAR/380V_p14</v>
      </c>
      <c r="I5325" s="520"/>
      <c r="J5325" s="589" t="s">
        <v>6177</v>
      </c>
      <c r="K5325" s="520" t="s">
        <v>741</v>
      </c>
    </row>
    <row r="5326" spans="1:11" s="117" customFormat="1">
      <c r="A5326" s="589"/>
      <c r="B5326" s="427" t="s">
        <v>1722</v>
      </c>
      <c r="C5326" s="408"/>
      <c r="D5326" s="408">
        <f>C5326*(1-0)*fcl</f>
        <v>0</v>
      </c>
      <c r="E5326" s="228">
        <v>10</v>
      </c>
      <c r="F5326" s="585">
        <f>ROUNDUP(D5326+E5326,1)</f>
        <v>10</v>
      </c>
      <c r="G5326" s="592" t="s">
        <v>12416</v>
      </c>
      <c r="H5326" s="530" t="str">
        <f>B5326</f>
        <v>COND_20kVAR/380V_p14</v>
      </c>
      <c r="I5326" s="520"/>
      <c r="J5326" s="589" t="s">
        <v>6177</v>
      </c>
      <c r="K5326" s="520" t="s">
        <v>741</v>
      </c>
    </row>
    <row r="5327" spans="1:11" s="117" customFormat="1">
      <c r="A5327" s="589"/>
      <c r="B5327" s="427"/>
      <c r="C5327" s="408"/>
      <c r="D5327" s="408"/>
      <c r="E5327" s="228"/>
      <c r="F5327" s="585"/>
      <c r="G5327" s="592"/>
      <c r="H5327" s="530"/>
      <c r="I5327" s="520"/>
      <c r="J5327" s="589"/>
      <c r="K5327" s="520"/>
    </row>
    <row r="5328" spans="1:11" s="117" customFormat="1">
      <c r="A5328" s="589"/>
      <c r="B5328" s="427" t="s">
        <v>12747</v>
      </c>
      <c r="C5328" s="408">
        <v>660</v>
      </c>
      <c r="D5328" s="408">
        <f>C5328*(1-0)*fcl</f>
        <v>1102.2</v>
      </c>
      <c r="E5328" s="228">
        <v>10</v>
      </c>
      <c r="F5328" s="585">
        <f>ROUNDUP(D5328+E5328,1)</f>
        <v>1112.2</v>
      </c>
      <c r="G5328" s="592" t="s">
        <v>12748</v>
      </c>
      <c r="H5328" s="530" t="str">
        <f>B5328</f>
        <v>REACT_25kVAR/380V_p14</v>
      </c>
      <c r="I5328" s="520"/>
      <c r="J5328" s="589" t="s">
        <v>6177</v>
      </c>
      <c r="K5328" s="520" t="s">
        <v>741</v>
      </c>
    </row>
    <row r="5329" spans="1:11" s="117" customFormat="1">
      <c r="A5329" s="589"/>
      <c r="B5329" s="427"/>
      <c r="C5329" s="408"/>
      <c r="D5329" s="408"/>
      <c r="E5329" s="228"/>
      <c r="F5329" s="585"/>
      <c r="G5329" s="592"/>
      <c r="H5329" s="530"/>
      <c r="I5329" s="520"/>
      <c r="J5329" s="589"/>
      <c r="K5329" s="520"/>
    </row>
    <row r="5330" spans="1:11" s="2163" customFormat="1">
      <c r="A5330" s="1745"/>
      <c r="B5330" s="427" t="s">
        <v>12417</v>
      </c>
      <c r="C5330" s="2158">
        <v>660</v>
      </c>
      <c r="D5330" s="2158">
        <f>C5330*(1-0)*fcl</f>
        <v>1102.2</v>
      </c>
      <c r="E5330" s="2159">
        <v>10</v>
      </c>
      <c r="F5330" s="2160">
        <f>ROUNDUP(D5330+E5330,1)</f>
        <v>1112.2</v>
      </c>
      <c r="G5330" s="1755" t="s">
        <v>12418</v>
      </c>
      <c r="H5330" s="2161" t="str">
        <f>B5330</f>
        <v>REACT_30kVAR/380V_p14</v>
      </c>
      <c r="I5330" s="2162"/>
      <c r="J5330" s="1745" t="s">
        <v>6177</v>
      </c>
      <c r="K5330" s="2162" t="s">
        <v>741</v>
      </c>
    </row>
    <row r="5331" spans="1:11" s="2163" customFormat="1">
      <c r="A5331" s="1745"/>
      <c r="B5331" s="427" t="s">
        <v>12419</v>
      </c>
      <c r="C5331" s="2158"/>
      <c r="D5331" s="2158">
        <f>C5331*(1-0)*fcl</f>
        <v>0</v>
      </c>
      <c r="E5331" s="2159">
        <v>10</v>
      </c>
      <c r="F5331" s="2160">
        <f>ROUNDUP(D5331+E5331,1)</f>
        <v>10</v>
      </c>
      <c r="G5331" s="1755" t="s">
        <v>12420</v>
      </c>
      <c r="H5331" s="2161" t="str">
        <f>B5331</f>
        <v>COND_30kVAR/380V_p14</v>
      </c>
      <c r="I5331" s="2162"/>
      <c r="J5331" s="1745" t="s">
        <v>6177</v>
      </c>
      <c r="K5331" s="2162" t="s">
        <v>741</v>
      </c>
    </row>
    <row r="5332" spans="1:11" s="2163" customFormat="1">
      <c r="A5332" s="1745"/>
      <c r="B5332" s="2164"/>
      <c r="C5332" s="2158"/>
      <c r="D5332" s="2158"/>
      <c r="E5332" s="2159"/>
      <c r="F5332" s="2160"/>
      <c r="G5332" s="1755"/>
      <c r="H5332" s="2161"/>
      <c r="I5332" s="2162"/>
      <c r="J5332" s="1745"/>
      <c r="K5332" s="2162"/>
    </row>
    <row r="5333" spans="1:11" s="117" customFormat="1">
      <c r="A5333" s="2132"/>
      <c r="B5333" s="427" t="s">
        <v>1981</v>
      </c>
      <c r="C5333" s="408">
        <v>740</v>
      </c>
      <c r="D5333" s="408">
        <f>C5333*(1-0)*fcl</f>
        <v>1235.8</v>
      </c>
      <c r="E5333" s="228">
        <v>20</v>
      </c>
      <c r="F5333" s="2160">
        <f>ROUNDUP(D5333+E5333,1)</f>
        <v>1255.8</v>
      </c>
      <c r="G5333" s="592" t="s">
        <v>8696</v>
      </c>
      <c r="H5333" s="530" t="str">
        <f>B5333</f>
        <v>REACT_40kVAR/380V_p14</v>
      </c>
      <c r="I5333" s="520"/>
      <c r="J5333" s="589" t="s">
        <v>6177</v>
      </c>
      <c r="K5333" s="520" t="s">
        <v>741</v>
      </c>
    </row>
    <row r="5334" spans="1:11" s="117" customFormat="1">
      <c r="A5334" s="589"/>
      <c r="B5334" s="427" t="s">
        <v>1983</v>
      </c>
      <c r="C5334" s="408"/>
      <c r="D5334" s="408">
        <v>1200</v>
      </c>
      <c r="E5334" s="228">
        <v>20</v>
      </c>
      <c r="F5334" s="585">
        <f>ROUNDUP(D5334+E5334,1)</f>
        <v>1220</v>
      </c>
      <c r="G5334" s="592" t="s">
        <v>8697</v>
      </c>
      <c r="H5334" s="530" t="str">
        <f>B5334</f>
        <v>COND_40kVAR/380V_p14</v>
      </c>
      <c r="I5334" s="520"/>
      <c r="J5334" s="589" t="s">
        <v>6177</v>
      </c>
      <c r="K5334" s="520" t="s">
        <v>741</v>
      </c>
    </row>
    <row r="5335" spans="1:11" s="117" customFormat="1">
      <c r="A5335" s="589"/>
      <c r="B5335" s="427"/>
      <c r="C5335" s="408"/>
      <c r="D5335" s="408"/>
      <c r="E5335" s="228"/>
      <c r="F5335" s="585"/>
      <c r="G5335" s="592"/>
      <c r="H5335" s="530"/>
      <c r="I5335" s="520"/>
      <c r="J5335" s="589"/>
      <c r="K5335" s="520"/>
    </row>
    <row r="5336" spans="1:11" s="117" customFormat="1">
      <c r="A5336" s="1680"/>
      <c r="B5336" s="427" t="s">
        <v>13190</v>
      </c>
      <c r="C5336" s="408">
        <v>0</v>
      </c>
      <c r="D5336" s="408">
        <f>C5336*(1-0)*fcl</f>
        <v>0</v>
      </c>
      <c r="E5336" s="228">
        <v>20</v>
      </c>
      <c r="F5336" s="2160">
        <f>ROUNDUP(D5336+E5336,1)</f>
        <v>20</v>
      </c>
      <c r="G5336" s="592" t="s">
        <v>13191</v>
      </c>
      <c r="H5336" s="530" t="str">
        <f>B5336</f>
        <v>REACT_45kVAR/380V_p14</v>
      </c>
      <c r="I5336" s="520"/>
      <c r="J5336" s="589" t="s">
        <v>6177</v>
      </c>
      <c r="K5336" s="520" t="s">
        <v>741</v>
      </c>
    </row>
    <row r="5337" spans="1:11" s="117" customFormat="1">
      <c r="A5337" s="589"/>
      <c r="B5337" s="427"/>
      <c r="C5337" s="408"/>
      <c r="D5337" s="408">
        <v>1200</v>
      </c>
      <c r="E5337" s="228">
        <v>20</v>
      </c>
      <c r="F5337" s="585">
        <f>ROUNDUP(D5337+E5337,1)</f>
        <v>1220</v>
      </c>
      <c r="G5337" s="592" t="s">
        <v>8697</v>
      </c>
      <c r="H5337" s="530">
        <f>B5337</f>
        <v>0</v>
      </c>
      <c r="I5337" s="520"/>
      <c r="J5337" s="589" t="s">
        <v>6177</v>
      </c>
      <c r="K5337" s="520" t="s">
        <v>741</v>
      </c>
    </row>
    <row r="5338" spans="1:11" s="117" customFormat="1">
      <c r="A5338" s="589"/>
      <c r="B5338" s="427"/>
      <c r="C5338" s="408"/>
      <c r="D5338" s="408"/>
      <c r="E5338" s="228"/>
      <c r="F5338" s="585"/>
      <c r="G5338" s="592"/>
      <c r="H5338" s="530"/>
      <c r="I5338" s="520"/>
      <c r="J5338" s="589"/>
      <c r="K5338" s="520"/>
    </row>
    <row r="5339" spans="1:11" s="117" customFormat="1">
      <c r="A5339" s="1680"/>
      <c r="B5339" s="427" t="s">
        <v>13059</v>
      </c>
      <c r="C5339" s="408">
        <v>850</v>
      </c>
      <c r="D5339" s="408">
        <f>C5339*(1-0)*fcl</f>
        <v>1419.5</v>
      </c>
      <c r="E5339" s="228">
        <v>20</v>
      </c>
      <c r="F5339" s="585">
        <f>ROUNDUP(D5339+E5339,1)</f>
        <v>1439.5</v>
      </c>
      <c r="G5339" s="592" t="s">
        <v>13060</v>
      </c>
      <c r="H5339" s="530" t="str">
        <f>B5339</f>
        <v>REACT_50kVAR/380V_p14</v>
      </c>
      <c r="I5339" s="520"/>
      <c r="J5339" s="589" t="s">
        <v>6177</v>
      </c>
      <c r="K5339" s="520" t="s">
        <v>741</v>
      </c>
    </row>
    <row r="5340" spans="1:11" s="117" customFormat="1">
      <c r="A5340" s="589"/>
      <c r="B5340" s="427"/>
      <c r="C5340" s="408"/>
      <c r="D5340" s="408"/>
      <c r="E5340" s="228"/>
      <c r="F5340" s="585"/>
      <c r="G5340" s="592"/>
      <c r="H5340" s="530"/>
      <c r="I5340" s="520"/>
      <c r="J5340" s="589"/>
      <c r="K5340" s="520"/>
    </row>
    <row r="5341" spans="1:11" s="117" customFormat="1">
      <c r="A5341" s="589"/>
      <c r="B5341" s="427" t="s">
        <v>13500</v>
      </c>
      <c r="C5341" s="408">
        <v>220</v>
      </c>
      <c r="D5341" s="408">
        <f>C5341*(1-0)*fcl</f>
        <v>367.4</v>
      </c>
      <c r="E5341" s="228">
        <v>10</v>
      </c>
      <c r="F5341" s="585">
        <f>ROUNDUP(D5341+E5341,1)</f>
        <v>377.4</v>
      </c>
      <c r="G5341" s="592" t="s">
        <v>13501</v>
      </c>
      <c r="H5341" s="530" t="str">
        <f>B5341</f>
        <v>REACT_5kVAR/380V_p7</v>
      </c>
      <c r="I5341" s="520"/>
      <c r="J5341" s="589" t="s">
        <v>6177</v>
      </c>
      <c r="K5341" s="520" t="s">
        <v>741</v>
      </c>
    </row>
    <row r="5342" spans="1:11" s="117" customFormat="1">
      <c r="A5342" s="589"/>
      <c r="B5342" s="427"/>
      <c r="C5342" s="408"/>
      <c r="D5342" s="408"/>
      <c r="E5342" s="228"/>
      <c r="F5342" s="585"/>
      <c r="G5342" s="592"/>
      <c r="H5342" s="530"/>
      <c r="I5342" s="520"/>
      <c r="J5342" s="589"/>
      <c r="K5342" s="520"/>
    </row>
    <row r="5343" spans="1:11" s="117" customFormat="1">
      <c r="A5343" s="589"/>
      <c r="B5343" s="427"/>
      <c r="C5343" s="408"/>
      <c r="D5343" s="408"/>
      <c r="E5343" s="228"/>
      <c r="F5343" s="585"/>
      <c r="G5343" s="592"/>
      <c r="H5343" s="530"/>
      <c r="I5343" s="520"/>
      <c r="J5343" s="589"/>
      <c r="K5343" s="520"/>
    </row>
    <row r="5344" spans="1:11" s="117" customFormat="1">
      <c r="A5344" s="589"/>
      <c r="B5344" s="427" t="s">
        <v>1723</v>
      </c>
      <c r="C5344" s="408">
        <v>290</v>
      </c>
      <c r="D5344" s="408">
        <f>C5344*(1-0)*fcl</f>
        <v>484.29999999999995</v>
      </c>
      <c r="E5344" s="228">
        <v>10</v>
      </c>
      <c r="F5344" s="585">
        <f>ROUNDUP(D5344+E5344,1)</f>
        <v>494.3</v>
      </c>
      <c r="G5344" s="592" t="s">
        <v>13502</v>
      </c>
      <c r="H5344" s="530" t="str">
        <f>B5344</f>
        <v>REACT_10kVAR/380V_p7</v>
      </c>
      <c r="I5344" s="520"/>
      <c r="J5344" s="589" t="s">
        <v>6177</v>
      </c>
      <c r="K5344" s="520" t="s">
        <v>741</v>
      </c>
    </row>
    <row r="5345" spans="1:11" s="117" customFormat="1">
      <c r="A5345" s="589"/>
      <c r="B5345" s="427" t="s">
        <v>1724</v>
      </c>
      <c r="C5345" s="408"/>
      <c r="D5345" s="408">
        <f>C5345*(1-0)*fcl</f>
        <v>0</v>
      </c>
      <c r="E5345" s="228">
        <v>10</v>
      </c>
      <c r="F5345" s="585">
        <f>ROUNDUP(D5345+E5345,1)</f>
        <v>10</v>
      </c>
      <c r="G5345" s="592" t="s">
        <v>8698</v>
      </c>
      <c r="H5345" s="530" t="str">
        <f>B5345</f>
        <v>COND_10kVAR/380V_p7</v>
      </c>
      <c r="I5345" s="520"/>
      <c r="J5345" s="589" t="s">
        <v>6177</v>
      </c>
      <c r="K5345" s="520" t="s">
        <v>741</v>
      </c>
    </row>
    <row r="5346" spans="1:11" s="194" customFormat="1">
      <c r="A5346" s="589"/>
      <c r="B5346" s="427"/>
      <c r="C5346" s="408"/>
      <c r="D5346" s="408"/>
      <c r="E5346" s="228"/>
      <c r="F5346" s="585"/>
      <c r="G5346" s="592"/>
      <c r="H5346" s="530"/>
      <c r="I5346" s="520"/>
      <c r="J5346" s="589"/>
      <c r="K5346" s="520"/>
    </row>
    <row r="5347" spans="1:11" s="117" customFormat="1">
      <c r="A5347" s="589"/>
      <c r="B5347" s="427" t="s">
        <v>3311</v>
      </c>
      <c r="C5347" s="408">
        <v>240</v>
      </c>
      <c r="D5347" s="408">
        <f>C5347*(1-0)*fcl</f>
        <v>400.79999999999995</v>
      </c>
      <c r="E5347" s="228">
        <v>10</v>
      </c>
      <c r="F5347" s="585">
        <f>ROUNDUP(D5347+E5347,1)</f>
        <v>410.8</v>
      </c>
      <c r="G5347" s="592" t="s">
        <v>8699</v>
      </c>
      <c r="H5347" s="530" t="str">
        <f>B5347</f>
        <v>REACT_15kVAR/380V_p7</v>
      </c>
      <c r="I5347" s="520"/>
      <c r="J5347" s="589" t="s">
        <v>6177</v>
      </c>
      <c r="K5347" s="520" t="s">
        <v>741</v>
      </c>
    </row>
    <row r="5348" spans="1:11" s="117" customFormat="1">
      <c r="A5348" s="589"/>
      <c r="B5348" s="427" t="s">
        <v>3312</v>
      </c>
      <c r="C5348" s="408">
        <v>120</v>
      </c>
      <c r="D5348" s="408">
        <f>C5348*(1-0)*fcl</f>
        <v>200.39999999999998</v>
      </c>
      <c r="E5348" s="228">
        <v>10</v>
      </c>
      <c r="F5348" s="585">
        <f>ROUNDUP(D5348+E5348,1)</f>
        <v>210.4</v>
      </c>
      <c r="G5348" s="592" t="s">
        <v>8700</v>
      </c>
      <c r="H5348" s="530" t="str">
        <f>B5348</f>
        <v>COND_15kVAR/380V_p7</v>
      </c>
      <c r="I5348" s="520"/>
      <c r="J5348" s="589" t="s">
        <v>6177</v>
      </c>
      <c r="K5348" s="520" t="s">
        <v>741</v>
      </c>
    </row>
    <row r="5349" spans="1:11" s="117" customFormat="1">
      <c r="A5349" s="589"/>
      <c r="B5349" s="427"/>
      <c r="C5349" s="408"/>
      <c r="D5349" s="408"/>
      <c r="E5349" s="228"/>
      <c r="F5349" s="585"/>
      <c r="G5349" s="592"/>
      <c r="H5349" s="530"/>
      <c r="I5349" s="520"/>
      <c r="J5349" s="589"/>
      <c r="K5349" s="520"/>
    </row>
    <row r="5350" spans="1:11" s="117" customFormat="1">
      <c r="A5350" s="589"/>
      <c r="B5350" s="427" t="s">
        <v>12669</v>
      </c>
      <c r="C5350" s="408">
        <v>240</v>
      </c>
      <c r="D5350" s="408">
        <f>C5350*(1-0)*fcl</f>
        <v>400.79999999999995</v>
      </c>
      <c r="E5350" s="228">
        <v>10</v>
      </c>
      <c r="F5350" s="585">
        <f>ROUNDUP(D5350+E5350,1)</f>
        <v>410.8</v>
      </c>
      <c r="G5350" s="592" t="s">
        <v>12670</v>
      </c>
      <c r="H5350" s="530" t="str">
        <f>B5350</f>
        <v>REACT_15kVAR RX/380V_p7</v>
      </c>
      <c r="I5350" s="520"/>
      <c r="J5350" s="589" t="s">
        <v>6177</v>
      </c>
      <c r="K5350" s="520" t="s">
        <v>741</v>
      </c>
    </row>
    <row r="5351" spans="1:11" s="117" customFormat="1">
      <c r="A5351" s="589"/>
      <c r="B5351" s="427" t="s">
        <v>12671</v>
      </c>
      <c r="C5351" s="408">
        <v>120</v>
      </c>
      <c r="D5351" s="408">
        <f>C5351*(1-0)*fcl</f>
        <v>200.39999999999998</v>
      </c>
      <c r="E5351" s="228">
        <v>10</v>
      </c>
      <c r="F5351" s="585">
        <f>ROUNDUP(D5351+E5351,1)</f>
        <v>210.4</v>
      </c>
      <c r="G5351" s="592" t="s">
        <v>12672</v>
      </c>
      <c r="H5351" s="530" t="str">
        <f>B5351</f>
        <v>COND_15kVAR CLZ-FP/380V_p7</v>
      </c>
      <c r="I5351" s="520"/>
      <c r="J5351" s="589" t="s">
        <v>6177</v>
      </c>
      <c r="K5351" s="520" t="s">
        <v>741</v>
      </c>
    </row>
    <row r="5352" spans="1:11" s="194" customFormat="1">
      <c r="A5352" s="589"/>
      <c r="B5352" s="427" t="s">
        <v>13192</v>
      </c>
      <c r="C5352" s="408">
        <v>70</v>
      </c>
      <c r="D5352" s="408">
        <f t="shared" ref="D5352" si="693">C5352*(1-0)*fcl</f>
        <v>116.89999999999999</v>
      </c>
      <c r="E5352" s="228">
        <v>10</v>
      </c>
      <c r="F5352" s="585">
        <f>ROUNDUP(D5352+E5352,1)</f>
        <v>126.9</v>
      </c>
      <c r="G5352" s="592" t="s">
        <v>13193</v>
      </c>
      <c r="H5352" s="530" t="str">
        <f>B5352</f>
        <v>COND_15kVAR/380V_p7_CLZ-FP-HD</v>
      </c>
      <c r="I5352" s="520"/>
      <c r="J5352" s="589" t="s">
        <v>6177</v>
      </c>
      <c r="K5352" s="520" t="s">
        <v>741</v>
      </c>
    </row>
    <row r="5353" spans="1:11" s="117" customFormat="1">
      <c r="A5353" s="589"/>
      <c r="B5353" s="427"/>
      <c r="C5353" s="408"/>
      <c r="D5353" s="408"/>
      <c r="E5353" s="228"/>
      <c r="F5353" s="585"/>
      <c r="G5353" s="592"/>
      <c r="H5353" s="530"/>
      <c r="I5353" s="520"/>
      <c r="J5353" s="589"/>
      <c r="K5353" s="520"/>
    </row>
    <row r="5354" spans="1:11" s="117" customFormat="1">
      <c r="A5354" s="589"/>
      <c r="B5354" s="427" t="s">
        <v>1725</v>
      </c>
      <c r="C5354" s="408">
        <v>330</v>
      </c>
      <c r="D5354" s="408">
        <f t="shared" ref="D5354:D5360" si="694">C5354*(1-0)*fcl</f>
        <v>551.1</v>
      </c>
      <c r="E5354" s="228">
        <v>10</v>
      </c>
      <c r="F5354" s="585">
        <f>ROUNDUP(D5354+E5354,1)</f>
        <v>561.1</v>
      </c>
      <c r="G5354" s="592" t="s">
        <v>8701</v>
      </c>
      <c r="H5354" s="530" t="str">
        <f>B5354</f>
        <v>REACT_20kVAR/380V_p7</v>
      </c>
      <c r="I5354" s="520"/>
      <c r="J5354" s="589" t="s">
        <v>6177</v>
      </c>
      <c r="K5354" s="520" t="s">
        <v>741</v>
      </c>
    </row>
    <row r="5355" spans="1:11" s="194" customFormat="1">
      <c r="A5355" s="589"/>
      <c r="B5355" s="427" t="s">
        <v>11220</v>
      </c>
      <c r="C5355" s="408">
        <v>140</v>
      </c>
      <c r="D5355" s="408">
        <f t="shared" si="694"/>
        <v>233.79999999999998</v>
      </c>
      <c r="E5355" s="228">
        <v>10</v>
      </c>
      <c r="F5355" s="585">
        <f>ROUNDUP(D5355+E5355,1)</f>
        <v>243.8</v>
      </c>
      <c r="G5355" s="592" t="s">
        <v>11221</v>
      </c>
      <c r="H5355" s="530" t="str">
        <f>B5355</f>
        <v>COND_20kVAR/380V_p7_CLZ</v>
      </c>
      <c r="I5355" s="520"/>
      <c r="J5355" s="589" t="s">
        <v>6177</v>
      </c>
      <c r="K5355" s="520" t="s">
        <v>741</v>
      </c>
    </row>
    <row r="5356" spans="1:11" s="194" customFormat="1">
      <c r="A5356" s="589"/>
      <c r="B5356" s="427"/>
      <c r="C5356" s="408"/>
      <c r="D5356" s="408">
        <f t="shared" si="694"/>
        <v>0</v>
      </c>
      <c r="E5356" s="228"/>
      <c r="F5356" s="585"/>
      <c r="G5356" s="592"/>
      <c r="H5356" s="530"/>
      <c r="I5356" s="520"/>
      <c r="J5356" s="589"/>
      <c r="K5356" s="520"/>
    </row>
    <row r="5357" spans="1:11" s="1678" customFormat="1">
      <c r="A5357" s="1680"/>
      <c r="B5357" s="2174" t="s">
        <v>12749</v>
      </c>
      <c r="C5357" s="2130">
        <v>180</v>
      </c>
      <c r="D5357" s="2130">
        <f t="shared" si="694"/>
        <v>300.59999999999997</v>
      </c>
      <c r="E5357" s="1668">
        <v>10</v>
      </c>
      <c r="F5357" s="591">
        <f>ROUNDUP(D5357+E5357,1)</f>
        <v>310.60000000000002</v>
      </c>
      <c r="G5357" s="2013" t="s">
        <v>11221</v>
      </c>
      <c r="H5357" s="2187" t="str">
        <f>B5357</f>
        <v>COND_20.95kVAR/380V_p7_CLZ</v>
      </c>
      <c r="I5357" s="620"/>
      <c r="J5357" s="1680" t="s">
        <v>6177</v>
      </c>
      <c r="K5357" s="620" t="s">
        <v>741</v>
      </c>
    </row>
    <row r="5358" spans="1:11" s="194" customFormat="1">
      <c r="A5358" s="589"/>
      <c r="B5358" s="427"/>
      <c r="C5358" s="408"/>
      <c r="D5358" s="408">
        <f t="shared" si="694"/>
        <v>0</v>
      </c>
      <c r="E5358" s="228"/>
      <c r="F5358" s="585"/>
      <c r="G5358" s="592"/>
      <c r="H5358" s="146"/>
      <c r="I5358" s="520"/>
      <c r="J5358" s="589"/>
      <c r="K5358" s="520"/>
    </row>
    <row r="5359" spans="1:11" s="117" customFormat="1">
      <c r="A5359" s="1938"/>
      <c r="B5359" s="2174" t="s">
        <v>8702</v>
      </c>
      <c r="C5359" s="408">
        <v>330</v>
      </c>
      <c r="D5359" s="408">
        <f t="shared" si="694"/>
        <v>551.1</v>
      </c>
      <c r="E5359" s="228">
        <v>10</v>
      </c>
      <c r="F5359" s="585">
        <f>ROUNDUP(D5359+E5359,1)</f>
        <v>561.1</v>
      </c>
      <c r="G5359" s="592" t="s">
        <v>8703</v>
      </c>
      <c r="H5359" s="530" t="str">
        <f>B5359</f>
        <v>REACT_25kVAR/380V_p7</v>
      </c>
      <c r="I5359" s="520"/>
      <c r="J5359" s="589" t="s">
        <v>6177</v>
      </c>
      <c r="K5359" s="520" t="s">
        <v>741</v>
      </c>
    </row>
    <row r="5360" spans="1:11" s="194" customFormat="1">
      <c r="A5360" s="1938"/>
      <c r="B5360" s="2174" t="s">
        <v>12673</v>
      </c>
      <c r="C5360" s="408">
        <v>80</v>
      </c>
      <c r="D5360" s="408">
        <f t="shared" si="694"/>
        <v>133.6</v>
      </c>
      <c r="E5360" s="228">
        <v>10</v>
      </c>
      <c r="F5360" s="585">
        <f>ROUNDUP(D5360+E5360,1)</f>
        <v>143.6</v>
      </c>
      <c r="G5360" s="592" t="s">
        <v>12674</v>
      </c>
      <c r="H5360" s="530" t="str">
        <f>B5360</f>
        <v>COND_12,5kVAR/380V_p7_CLZ</v>
      </c>
      <c r="I5360" s="520"/>
      <c r="J5360" s="589" t="s">
        <v>6177</v>
      </c>
      <c r="K5360" s="520" t="s">
        <v>741</v>
      </c>
    </row>
    <row r="5361" spans="1:12" s="194" customFormat="1">
      <c r="A5361" s="589"/>
      <c r="B5361" s="427"/>
      <c r="C5361" s="408"/>
      <c r="D5361" s="408"/>
      <c r="E5361" s="228"/>
      <c r="F5361" s="585"/>
      <c r="G5361" s="592"/>
      <c r="H5361" s="530"/>
      <c r="I5361" s="520"/>
      <c r="J5361" s="589"/>
      <c r="K5361" s="520"/>
    </row>
    <row r="5362" spans="1:12" s="117" customFormat="1">
      <c r="A5362" s="589"/>
      <c r="B5362" s="427" t="s">
        <v>8704</v>
      </c>
      <c r="C5362" s="408"/>
      <c r="D5362" s="408">
        <f>C5362*(1-0)*fcl</f>
        <v>0</v>
      </c>
      <c r="E5362" s="228">
        <v>20</v>
      </c>
      <c r="F5362" s="585">
        <f>ROUNDUP(D5362+E5362,1)</f>
        <v>20</v>
      </c>
      <c r="G5362" s="592" t="s">
        <v>8705</v>
      </c>
      <c r="H5362" s="530" t="str">
        <f>B5362</f>
        <v>REACT_26kVAR/380V_p7</v>
      </c>
      <c r="I5362" s="520"/>
      <c r="J5362" s="589" t="s">
        <v>6177</v>
      </c>
      <c r="K5362" s="520" t="s">
        <v>741</v>
      </c>
    </row>
    <row r="5363" spans="1:12" s="194" customFormat="1">
      <c r="A5363" s="589"/>
      <c r="B5363" s="427" t="s">
        <v>8706</v>
      </c>
      <c r="C5363" s="408"/>
      <c r="D5363" s="408">
        <f>C5363*(1-0)*fcl</f>
        <v>0</v>
      </c>
      <c r="E5363" s="228">
        <v>20</v>
      </c>
      <c r="F5363" s="585">
        <f>ROUNDUP(D5363+E5363,1)</f>
        <v>20</v>
      </c>
      <c r="G5363" s="592" t="s">
        <v>8707</v>
      </c>
      <c r="H5363" s="530" t="str">
        <f>B5363</f>
        <v>COND_26kVAR/380V_p7</v>
      </c>
      <c r="I5363" s="520"/>
      <c r="J5363" s="589" t="s">
        <v>6177</v>
      </c>
      <c r="K5363" s="520" t="s">
        <v>741</v>
      </c>
    </row>
    <row r="5364" spans="1:12" s="194" customFormat="1">
      <c r="A5364" s="589"/>
      <c r="B5364" s="427"/>
      <c r="C5364" s="408"/>
      <c r="D5364" s="408"/>
      <c r="E5364" s="228"/>
      <c r="F5364" s="585"/>
      <c r="G5364" s="592"/>
      <c r="H5364" s="530"/>
      <c r="I5364" s="520"/>
      <c r="J5364" s="589"/>
      <c r="K5364" s="520"/>
    </row>
    <row r="5365" spans="1:12" s="194" customFormat="1">
      <c r="A5365" s="1680"/>
      <c r="B5365" s="427" t="s">
        <v>3300</v>
      </c>
      <c r="C5365" s="408">
        <v>340</v>
      </c>
      <c r="D5365" s="408">
        <f>C5365*(1-0)*fcl</f>
        <v>567.79999999999995</v>
      </c>
      <c r="E5365" s="228">
        <v>20</v>
      </c>
      <c r="F5365" s="585">
        <f>ROUNDUP(D5365+E5365,1)</f>
        <v>587.79999999999995</v>
      </c>
      <c r="G5365" s="592" t="s">
        <v>8708</v>
      </c>
      <c r="H5365" s="530" t="str">
        <f>B5365</f>
        <v>REACT_30kVAR/380V_p7</v>
      </c>
      <c r="I5365" s="520"/>
      <c r="J5365" s="589" t="s">
        <v>6177</v>
      </c>
      <c r="K5365" s="520" t="s">
        <v>741</v>
      </c>
    </row>
    <row r="5366" spans="1:12" s="117" customFormat="1">
      <c r="A5366" s="1823"/>
      <c r="B5366" s="427" t="s">
        <v>3299</v>
      </c>
      <c r="C5366" s="408"/>
      <c r="D5366" s="408">
        <f>C5366*(1-0)*fcl</f>
        <v>0</v>
      </c>
      <c r="E5366" s="228">
        <v>20</v>
      </c>
      <c r="F5366" s="585">
        <f>ROUNDUP(D5366+E5366,1)</f>
        <v>20</v>
      </c>
      <c r="G5366" s="592" t="s">
        <v>8709</v>
      </c>
      <c r="H5366" s="530" t="str">
        <f>B5366</f>
        <v>COND_30kVAR/380V_p7</v>
      </c>
      <c r="I5366" s="520"/>
      <c r="J5366" s="589" t="s">
        <v>6177</v>
      </c>
      <c r="K5366" s="520" t="s">
        <v>741</v>
      </c>
    </row>
    <row r="5367" spans="1:12" s="194" customFormat="1">
      <c r="A5367" s="589"/>
      <c r="B5367" s="427" t="s">
        <v>13373</v>
      </c>
      <c r="C5367" s="408">
        <v>140</v>
      </c>
      <c r="D5367" s="408">
        <f>C5367*(1-0)*fcl</f>
        <v>233.79999999999998</v>
      </c>
      <c r="E5367" s="228">
        <v>10</v>
      </c>
      <c r="F5367" s="585">
        <f>ROUNDUP(D5367+E5367,1)</f>
        <v>243.8</v>
      </c>
      <c r="G5367" s="592" t="s">
        <v>13374</v>
      </c>
      <c r="H5367" s="530" t="str">
        <f>B5367</f>
        <v>COND_30kVAR/480V_p7_CLZ</v>
      </c>
      <c r="I5367" s="520"/>
      <c r="J5367" s="589" t="s">
        <v>6177</v>
      </c>
      <c r="K5367" s="520" t="s">
        <v>741</v>
      </c>
    </row>
    <row r="5368" spans="1:12" s="194" customFormat="1">
      <c r="A5368" s="589"/>
      <c r="B5368" s="427" t="s">
        <v>13194</v>
      </c>
      <c r="C5368" s="408">
        <v>250</v>
      </c>
      <c r="D5368" s="408">
        <f>C5368*(1-0)*fcl</f>
        <v>417.5</v>
      </c>
      <c r="E5368" s="228">
        <v>20</v>
      </c>
      <c r="F5368" s="585">
        <f>ROUNDUP(D5368+E5368,1)</f>
        <v>437.5</v>
      </c>
      <c r="G5368" s="592" t="s">
        <v>13195</v>
      </c>
      <c r="H5368" s="530" t="str">
        <f>B5368</f>
        <v>COND_30kVAR/380V_p7_CLZ-FP-HD</v>
      </c>
      <c r="I5368" s="520"/>
      <c r="J5368" s="589" t="s">
        <v>6177</v>
      </c>
      <c r="K5368" s="520" t="s">
        <v>741</v>
      </c>
    </row>
    <row r="5369" spans="1:12" s="194" customFormat="1">
      <c r="A5369" s="589"/>
      <c r="B5369" s="427"/>
      <c r="C5369" s="408"/>
      <c r="D5369" s="408"/>
      <c r="E5369" s="228"/>
      <c r="F5369" s="585"/>
      <c r="G5369" s="592"/>
      <c r="H5369" s="530"/>
      <c r="I5369" s="520"/>
      <c r="J5369" s="589"/>
      <c r="K5369" s="520"/>
    </row>
    <row r="5370" spans="1:12" s="194" customFormat="1">
      <c r="A5370" s="1692"/>
      <c r="B5370" s="427" t="s">
        <v>3542</v>
      </c>
      <c r="C5370" s="408">
        <v>330</v>
      </c>
      <c r="D5370" s="408">
        <f>C5370*(1-0)*fcl</f>
        <v>551.1</v>
      </c>
      <c r="E5370" s="228">
        <v>20</v>
      </c>
      <c r="F5370" s="585">
        <f>ROUNDUP(D5370+E5370,1)</f>
        <v>571.1</v>
      </c>
      <c r="G5370" s="592" t="s">
        <v>8710</v>
      </c>
      <c r="H5370" s="530" t="str">
        <f>B5370</f>
        <v>REACT_40kVAR/380V_p7</v>
      </c>
      <c r="I5370" s="520"/>
      <c r="J5370" s="589" t="s">
        <v>6177</v>
      </c>
      <c r="K5370" s="520" t="s">
        <v>741</v>
      </c>
    </row>
    <row r="5371" spans="1:12" s="194" customFormat="1">
      <c r="A5371" s="1692"/>
      <c r="B5371" s="427" t="s">
        <v>12421</v>
      </c>
      <c r="C5371" s="408">
        <v>280</v>
      </c>
      <c r="D5371" s="408">
        <f>C5371*(1-0)*fcl</f>
        <v>467.59999999999997</v>
      </c>
      <c r="E5371" s="228">
        <v>20</v>
      </c>
      <c r="F5371" s="585">
        <f>ROUNDUP(D5371+E5371,1)</f>
        <v>487.6</v>
      </c>
      <c r="G5371" s="592" t="s">
        <v>11682</v>
      </c>
      <c r="H5371" s="530" t="str">
        <f>B5371</f>
        <v>COND_40kVAR/380V_p7_CLZ</v>
      </c>
      <c r="I5371" s="520"/>
      <c r="J5371" s="589" t="s">
        <v>6177</v>
      </c>
      <c r="K5371" s="520" t="s">
        <v>741</v>
      </c>
    </row>
    <row r="5372" spans="1:12" s="196" customFormat="1">
      <c r="A5372" s="589"/>
      <c r="B5372" s="427"/>
      <c r="C5372" s="408"/>
      <c r="D5372" s="408"/>
      <c r="E5372" s="228"/>
      <c r="F5372" s="585"/>
      <c r="G5372" s="592"/>
      <c r="H5372" s="530"/>
      <c r="I5372" s="520"/>
      <c r="J5372" s="589"/>
      <c r="K5372" s="520"/>
      <c r="L5372" s="194"/>
    </row>
    <row r="5373" spans="1:12" s="194" customFormat="1">
      <c r="A5373" s="1824"/>
      <c r="B5373" s="427" t="s">
        <v>8711</v>
      </c>
      <c r="C5373" s="408">
        <v>440</v>
      </c>
      <c r="D5373" s="408">
        <f>C5373*(1-0)*fcl</f>
        <v>734.8</v>
      </c>
      <c r="E5373" s="228">
        <v>20</v>
      </c>
      <c r="F5373" s="585">
        <f>ROUNDUP(D5373+E5373,1)</f>
        <v>754.8</v>
      </c>
      <c r="G5373" s="592" t="s">
        <v>8712</v>
      </c>
      <c r="H5373" s="530" t="str">
        <f>B5373</f>
        <v>REACT_50kVAR/380V_p7</v>
      </c>
      <c r="I5373" s="520"/>
      <c r="J5373" s="589" t="s">
        <v>6177</v>
      </c>
      <c r="K5373" s="520" t="s">
        <v>741</v>
      </c>
    </row>
    <row r="5374" spans="1:12" s="194" customFormat="1">
      <c r="A5374" s="1824"/>
      <c r="B5374" s="427" t="s">
        <v>8713</v>
      </c>
      <c r="C5374" s="408"/>
      <c r="D5374" s="408">
        <f>C5374*(1-0)*fcl</f>
        <v>0</v>
      </c>
      <c r="E5374" s="228">
        <v>20</v>
      </c>
      <c r="F5374" s="585">
        <f>ROUNDUP(D5374+E5374,1)</f>
        <v>20</v>
      </c>
      <c r="G5374" s="592" t="s">
        <v>8714</v>
      </c>
      <c r="H5374" s="530" t="str">
        <f>B5374</f>
        <v>COND_50kVAR/380V_p7</v>
      </c>
      <c r="I5374" s="520"/>
      <c r="J5374" s="589" t="s">
        <v>6177</v>
      </c>
      <c r="K5374" s="520" t="s">
        <v>741</v>
      </c>
    </row>
    <row r="5375" spans="1:12" s="196" customFormat="1">
      <c r="A5375" s="589"/>
      <c r="B5375" s="427"/>
      <c r="C5375" s="408"/>
      <c r="D5375" s="408"/>
      <c r="E5375" s="228"/>
      <c r="F5375" s="585"/>
      <c r="G5375" s="592"/>
      <c r="H5375" s="530"/>
      <c r="I5375" s="520"/>
      <c r="J5375" s="589"/>
      <c r="K5375" s="520"/>
      <c r="L5375" s="194"/>
    </row>
    <row r="5376" spans="1:12" s="196" customFormat="1">
      <c r="A5376" s="589"/>
      <c r="B5376" s="427" t="s">
        <v>3544</v>
      </c>
      <c r="C5376" s="408">
        <v>490</v>
      </c>
      <c r="D5376" s="408">
        <f>C5376*(1-0)*fcl</f>
        <v>818.3</v>
      </c>
      <c r="E5376" s="228">
        <v>20</v>
      </c>
      <c r="F5376" s="585">
        <f>ROUNDUP(D5376+E5376,1)</f>
        <v>838.3</v>
      </c>
      <c r="G5376" s="592" t="s">
        <v>8715</v>
      </c>
      <c r="H5376" s="530" t="str">
        <f>B5376</f>
        <v>REACT_60kVAR/380V_p7</v>
      </c>
      <c r="I5376" s="520"/>
      <c r="J5376" s="589" t="s">
        <v>6177</v>
      </c>
      <c r="K5376" s="520" t="s">
        <v>741</v>
      </c>
      <c r="L5376" s="194"/>
    </row>
    <row r="5377" spans="1:12" s="196" customFormat="1">
      <c r="A5377" s="589"/>
      <c r="B5377" s="427" t="s">
        <v>6186</v>
      </c>
      <c r="C5377" s="408">
        <v>140</v>
      </c>
      <c r="D5377" s="408">
        <f>C5377*(1-0)*fcl</f>
        <v>233.79999999999998</v>
      </c>
      <c r="E5377" s="228">
        <v>20</v>
      </c>
      <c r="F5377" s="585">
        <f>ROUNDUP(D5377+E5377,1)</f>
        <v>253.8</v>
      </c>
      <c r="G5377" s="592" t="s">
        <v>8716</v>
      </c>
      <c r="H5377" s="530" t="str">
        <f>B5377</f>
        <v>COND_60kVAR/380V_p7</v>
      </c>
      <c r="I5377" s="520"/>
      <c r="J5377" s="589" t="s">
        <v>6177</v>
      </c>
      <c r="K5377" s="520" t="s">
        <v>741</v>
      </c>
      <c r="L5377" s="194"/>
    </row>
    <row r="5378" spans="1:12" s="196" customFormat="1">
      <c r="A5378" s="589"/>
      <c r="B5378" s="453"/>
      <c r="C5378" s="408"/>
      <c r="D5378" s="408"/>
      <c r="E5378" s="228"/>
      <c r="F5378" s="585"/>
      <c r="G5378" s="592"/>
      <c r="H5378" s="530"/>
      <c r="I5378" s="520"/>
      <c r="J5378" s="589"/>
      <c r="K5378" s="520"/>
      <c r="L5378" s="194"/>
    </row>
    <row r="5379" spans="1:12" s="196" customFormat="1">
      <c r="A5379" s="589"/>
      <c r="B5379" s="902"/>
      <c r="C5379" s="408"/>
      <c r="D5379" s="408"/>
      <c r="E5379" s="228"/>
      <c r="F5379" s="585"/>
      <c r="G5379" s="592"/>
      <c r="H5379" s="530"/>
      <c r="I5379" s="520"/>
      <c r="J5379" s="589"/>
      <c r="K5379" s="520"/>
      <c r="L5379" s="194"/>
    </row>
    <row r="5380" spans="1:12" s="196" customFormat="1" ht="15.75">
      <c r="A5380" s="589"/>
      <c r="B5380" s="1691" t="s">
        <v>6187</v>
      </c>
      <c r="C5380" s="408"/>
      <c r="D5380" s="408"/>
      <c r="E5380" s="228"/>
      <c r="F5380" s="585"/>
      <c r="G5380" s="592"/>
      <c r="H5380" s="530"/>
      <c r="I5380" s="520"/>
      <c r="J5380" s="589"/>
      <c r="K5380" s="520"/>
      <c r="L5380" s="194"/>
    </row>
    <row r="5381" spans="1:12" s="117" customFormat="1">
      <c r="A5381" s="589"/>
      <c r="B5381" s="452"/>
      <c r="C5381" s="408"/>
      <c r="D5381" s="408"/>
      <c r="E5381" s="228"/>
      <c r="F5381" s="585"/>
      <c r="G5381" s="592"/>
      <c r="H5381" s="530"/>
      <c r="I5381" s="520"/>
      <c r="J5381" s="589"/>
      <c r="K5381" s="520"/>
    </row>
    <row r="5382" spans="1:12" s="117" customFormat="1">
      <c r="A5382" s="1680"/>
      <c r="B5382" s="427" t="s">
        <v>6188</v>
      </c>
      <c r="C5382" s="408">
        <v>250</v>
      </c>
      <c r="D5382" s="408">
        <f>C5382*(1-0)*fcl</f>
        <v>417.5</v>
      </c>
      <c r="E5382" s="228">
        <v>10</v>
      </c>
      <c r="F5382" s="585">
        <f>ROUNDUP(D5382+E5382,1)</f>
        <v>427.5</v>
      </c>
      <c r="G5382" s="592" t="s">
        <v>8718</v>
      </c>
      <c r="H5382" s="530" t="str">
        <f>B5382</f>
        <v>REACT_10kVAR/400V_p7</v>
      </c>
      <c r="I5382" s="520"/>
      <c r="J5382" s="589" t="s">
        <v>6177</v>
      </c>
      <c r="K5382" s="520" t="s">
        <v>741</v>
      </c>
    </row>
    <row r="5383" spans="1:12" s="117" customFormat="1">
      <c r="A5383" s="1680"/>
      <c r="B5383" s="427" t="s">
        <v>12365</v>
      </c>
      <c r="C5383" s="408">
        <v>80</v>
      </c>
      <c r="D5383" s="408">
        <f>C5383*(1-0)*fcl</f>
        <v>133.6</v>
      </c>
      <c r="E5383" s="228">
        <v>10</v>
      </c>
      <c r="F5383" s="585">
        <f>ROUNDUP(D5383+E5383,1)</f>
        <v>143.6</v>
      </c>
      <c r="G5383" s="592" t="s">
        <v>12366</v>
      </c>
      <c r="H5383" s="530" t="str">
        <f>B5383</f>
        <v>COND_10kVAR/400V_p7_CLZ</v>
      </c>
      <c r="I5383" s="520"/>
      <c r="J5383" s="589" t="s">
        <v>6177</v>
      </c>
      <c r="K5383" s="520" t="s">
        <v>741</v>
      </c>
    </row>
    <row r="5384" spans="1:12" s="117" customFormat="1">
      <c r="A5384" s="589"/>
      <c r="B5384" s="427"/>
      <c r="C5384" s="408"/>
      <c r="D5384" s="408"/>
      <c r="E5384" s="228"/>
      <c r="F5384" s="585"/>
      <c r="G5384" s="592"/>
      <c r="H5384" s="530"/>
      <c r="I5384" s="520"/>
      <c r="J5384" s="589"/>
      <c r="K5384" s="520"/>
    </row>
    <row r="5385" spans="1:12" s="117" customFormat="1">
      <c r="A5385" s="1680"/>
      <c r="B5385" s="427" t="s">
        <v>6189</v>
      </c>
      <c r="C5385" s="408">
        <v>320</v>
      </c>
      <c r="D5385" s="408">
        <f>C5385*(1-0)*fcl</f>
        <v>534.4</v>
      </c>
      <c r="E5385" s="228">
        <v>10</v>
      </c>
      <c r="F5385" s="585">
        <f>ROUNDUP(D5385+E5385,1)</f>
        <v>544.4</v>
      </c>
      <c r="G5385" s="592" t="s">
        <v>8719</v>
      </c>
      <c r="H5385" s="530" t="str">
        <f>B5385</f>
        <v>REACT_15kVAR/400V_p7</v>
      </c>
      <c r="I5385" s="520"/>
      <c r="J5385" s="589" t="s">
        <v>6177</v>
      </c>
      <c r="K5385" s="520" t="s">
        <v>741</v>
      </c>
    </row>
    <row r="5386" spans="1:12" s="117" customFormat="1">
      <c r="A5386" s="1680"/>
      <c r="B5386" s="427" t="s">
        <v>6190</v>
      </c>
      <c r="C5386" s="408"/>
      <c r="D5386" s="408">
        <f>C5386*(1-0)*fcl</f>
        <v>0</v>
      </c>
      <c r="E5386" s="228">
        <v>10</v>
      </c>
      <c r="F5386" s="585">
        <f>ROUNDUP(D5386+E5386,1)</f>
        <v>10</v>
      </c>
      <c r="G5386" s="592" t="s">
        <v>8720</v>
      </c>
      <c r="H5386" s="530" t="str">
        <f>B5386</f>
        <v>COND_15kVAR/400V_p7</v>
      </c>
      <c r="I5386" s="520"/>
      <c r="J5386" s="589" t="s">
        <v>6177</v>
      </c>
      <c r="K5386" s="520" t="s">
        <v>741</v>
      </c>
    </row>
    <row r="5387" spans="1:12" s="117" customFormat="1">
      <c r="A5387" s="1680"/>
      <c r="B5387" s="427" t="s">
        <v>12675</v>
      </c>
      <c r="C5387" s="408">
        <v>90</v>
      </c>
      <c r="D5387" s="228">
        <f>C5387*(1-0)*fcl</f>
        <v>150.29999999999998</v>
      </c>
      <c r="E5387" s="228">
        <v>10</v>
      </c>
      <c r="F5387" s="585">
        <f>ROUNDUP(D5387+E5387,1)</f>
        <v>160.30000000000001</v>
      </c>
      <c r="G5387" s="592" t="s">
        <v>11760</v>
      </c>
      <c r="H5387" s="530" t="str">
        <f>B5387</f>
        <v>COND_15kVAR/400V_p7-CLZ</v>
      </c>
      <c r="I5387" s="520"/>
      <c r="J5387" s="589" t="s">
        <v>6177</v>
      </c>
      <c r="K5387" s="520" t="s">
        <v>741</v>
      </c>
    </row>
    <row r="5388" spans="1:12" s="117" customFormat="1">
      <c r="A5388" s="589"/>
      <c r="B5388" s="427"/>
      <c r="C5388" s="408"/>
      <c r="D5388" s="408"/>
      <c r="E5388" s="228"/>
      <c r="F5388" s="585"/>
      <c r="G5388" s="592"/>
      <c r="H5388" s="530"/>
      <c r="I5388" s="520"/>
      <c r="J5388" s="589"/>
      <c r="K5388" s="520"/>
    </row>
    <row r="5389" spans="1:12" s="117" customFormat="1">
      <c r="A5389" s="1680"/>
      <c r="B5389" s="427" t="s">
        <v>6191</v>
      </c>
      <c r="C5389" s="408">
        <v>320</v>
      </c>
      <c r="D5389" s="408">
        <f>C5389*(1-0)*fcl</f>
        <v>534.4</v>
      </c>
      <c r="E5389" s="228">
        <v>10</v>
      </c>
      <c r="F5389" s="585">
        <f>ROUNDUP(D5389+E5389,1)</f>
        <v>544.4</v>
      </c>
      <c r="G5389" s="592" t="s">
        <v>11761</v>
      </c>
      <c r="H5389" s="530" t="str">
        <f>B5389</f>
        <v>REACT_20kVAR/400V_p7</v>
      </c>
      <c r="I5389" s="520"/>
      <c r="J5389" s="589" t="s">
        <v>6177</v>
      </c>
      <c r="K5389" s="520" t="s">
        <v>741</v>
      </c>
    </row>
    <row r="5390" spans="1:12" s="117" customFormat="1">
      <c r="A5390" s="1680"/>
      <c r="B5390" s="427" t="s">
        <v>12367</v>
      </c>
      <c r="C5390" s="408">
        <v>140</v>
      </c>
      <c r="D5390" s="408">
        <f>C5390*(1-0)*fcl</f>
        <v>233.79999999999998</v>
      </c>
      <c r="E5390" s="228">
        <v>10</v>
      </c>
      <c r="F5390" s="585">
        <f>ROUNDUP(D5390+E5390,1)</f>
        <v>243.8</v>
      </c>
      <c r="G5390" s="592" t="s">
        <v>11762</v>
      </c>
      <c r="H5390" s="530" t="str">
        <f>B5390</f>
        <v>COND_20kVAR/400V_p7_CLZ</v>
      </c>
      <c r="I5390" s="520"/>
      <c r="J5390" s="589" t="s">
        <v>6177</v>
      </c>
      <c r="K5390" s="520" t="s">
        <v>741</v>
      </c>
    </row>
    <row r="5391" spans="1:12" s="117" customFormat="1" ht="12" customHeight="1">
      <c r="A5391" s="1680"/>
      <c r="B5391" s="427" t="s">
        <v>11255</v>
      </c>
      <c r="D5391" s="408">
        <f>C5391*(1-0)*fcl</f>
        <v>0</v>
      </c>
      <c r="E5391" s="228">
        <v>10</v>
      </c>
      <c r="F5391" s="585">
        <f>ROUNDUP(D5391+E5391,1)</f>
        <v>10</v>
      </c>
      <c r="G5391" s="592" t="s">
        <v>11256</v>
      </c>
      <c r="H5391" s="2064" t="str">
        <f>B5391</f>
        <v>COND_20kVAR/400V_p7_CSB</v>
      </c>
      <c r="I5391" s="520"/>
      <c r="J5391" s="589" t="s">
        <v>6177</v>
      </c>
      <c r="K5391" s="520" t="s">
        <v>741</v>
      </c>
    </row>
    <row r="5392" spans="1:12" s="117" customFormat="1">
      <c r="A5392" s="589"/>
      <c r="B5392" s="427"/>
      <c r="C5392" s="408"/>
      <c r="D5392" s="408"/>
      <c r="E5392" s="228"/>
      <c r="F5392" s="585"/>
      <c r="G5392" s="592"/>
      <c r="H5392" s="530"/>
      <c r="I5392" s="520"/>
      <c r="J5392" s="589"/>
      <c r="K5392" s="520"/>
    </row>
    <row r="5393" spans="1:12" s="194" customFormat="1">
      <c r="A5393" s="589"/>
      <c r="B5393" s="2269" t="s">
        <v>13569</v>
      </c>
      <c r="C5393" s="408">
        <v>280</v>
      </c>
      <c r="D5393" s="228">
        <f>C5393*(1-0)*fcl</f>
        <v>467.59999999999997</v>
      </c>
      <c r="E5393" s="228">
        <v>20</v>
      </c>
      <c r="F5393" s="585">
        <f>ROUNDUP(D5393+E5393,1)</f>
        <v>487.6</v>
      </c>
      <c r="G5393" s="592" t="s">
        <v>13570</v>
      </c>
      <c r="H5393" s="530" t="str">
        <f>B5393</f>
        <v>REACT_25kVAR/400V_p7</v>
      </c>
      <c r="I5393" s="520"/>
      <c r="J5393" s="589" t="s">
        <v>6177</v>
      </c>
      <c r="K5393" s="520" t="s">
        <v>741</v>
      </c>
    </row>
    <row r="5394" spans="1:12" s="194" customFormat="1">
      <c r="A5394" s="589"/>
      <c r="B5394" s="427"/>
      <c r="C5394" s="408"/>
      <c r="D5394" s="228"/>
      <c r="E5394" s="228"/>
      <c r="F5394" s="585"/>
      <c r="G5394" s="592"/>
      <c r="H5394" s="530"/>
      <c r="I5394" s="520"/>
      <c r="J5394" s="589"/>
      <c r="K5394" s="520"/>
    </row>
    <row r="5395" spans="1:12" s="117" customFormat="1">
      <c r="A5395" s="589"/>
      <c r="B5395" s="427"/>
      <c r="C5395" s="408"/>
      <c r="D5395" s="408"/>
      <c r="E5395" s="228"/>
      <c r="F5395" s="585"/>
      <c r="G5395" s="592"/>
      <c r="H5395" s="530"/>
      <c r="I5395" s="520"/>
      <c r="J5395" s="589"/>
      <c r="K5395" s="520"/>
    </row>
    <row r="5396" spans="1:12" s="194" customFormat="1">
      <c r="A5396" s="1680"/>
      <c r="B5396" s="427" t="s">
        <v>6192</v>
      </c>
      <c r="C5396" s="408">
        <v>340</v>
      </c>
      <c r="D5396" s="228">
        <f>C5396*(1-0)*fcl</f>
        <v>567.79999999999995</v>
      </c>
      <c r="E5396" s="228">
        <v>20</v>
      </c>
      <c r="F5396" s="585">
        <f>ROUNDUP(D5396+E5396,1)</f>
        <v>587.79999999999995</v>
      </c>
      <c r="G5396" s="592" t="s">
        <v>11763</v>
      </c>
      <c r="H5396" s="530" t="str">
        <f>B5396</f>
        <v>REACT_30kVAR/400V_p7</v>
      </c>
      <c r="I5396" s="520"/>
      <c r="J5396" s="589" t="s">
        <v>6177</v>
      </c>
      <c r="K5396" s="520" t="s">
        <v>741</v>
      </c>
    </row>
    <row r="5397" spans="1:12" s="117" customFormat="1">
      <c r="A5397" s="1822"/>
      <c r="B5397" s="427" t="s">
        <v>12676</v>
      </c>
      <c r="C5397" s="408"/>
      <c r="D5397" s="408">
        <f>C5397*(1-0)*fcl</f>
        <v>0</v>
      </c>
      <c r="E5397" s="228">
        <v>20</v>
      </c>
      <c r="F5397" s="585">
        <f>ROUNDUP(D5397+E5397,1)</f>
        <v>20</v>
      </c>
      <c r="G5397" s="592" t="s">
        <v>8721</v>
      </c>
      <c r="H5397" s="530" t="str">
        <f>B5397</f>
        <v>COND_30kVAR/400V_p7_CLZ</v>
      </c>
      <c r="I5397" s="520"/>
      <c r="J5397" s="589" t="s">
        <v>6177</v>
      </c>
      <c r="K5397" s="520" t="s">
        <v>741</v>
      </c>
    </row>
    <row r="5398" spans="1:12" s="117" customFormat="1">
      <c r="A5398" s="589"/>
      <c r="B5398" s="427"/>
      <c r="C5398" s="408"/>
      <c r="D5398" s="408" t="s">
        <v>11764</v>
      </c>
      <c r="E5398" s="228"/>
      <c r="F5398" s="585"/>
      <c r="G5398" s="592"/>
      <c r="H5398" s="530"/>
      <c r="I5398" s="520"/>
      <c r="J5398" s="589"/>
      <c r="K5398" s="520"/>
    </row>
    <row r="5399" spans="1:12" s="194" customFormat="1">
      <c r="A5399" s="589"/>
      <c r="B5399" s="427" t="s">
        <v>6193</v>
      </c>
      <c r="C5399" s="408">
        <v>370</v>
      </c>
      <c r="D5399" s="228">
        <f>C5399*(1-0)*fcl</f>
        <v>617.9</v>
      </c>
      <c r="E5399" s="228">
        <v>20</v>
      </c>
      <c r="F5399" s="585">
        <f>ROUNDUP(D5399+E5399,1)</f>
        <v>637.9</v>
      </c>
      <c r="G5399" s="592" t="s">
        <v>11765</v>
      </c>
      <c r="H5399" s="530" t="str">
        <f>B5399</f>
        <v>REACT_40kVAR/400V_p7</v>
      </c>
      <c r="I5399" s="520"/>
      <c r="J5399" s="589" t="s">
        <v>6177</v>
      </c>
      <c r="K5399" s="520" t="s">
        <v>741</v>
      </c>
    </row>
    <row r="5400" spans="1:12" s="194" customFormat="1">
      <c r="A5400" s="589"/>
      <c r="B5400" s="427" t="s">
        <v>6194</v>
      </c>
      <c r="C5400" s="408"/>
      <c r="D5400" s="228">
        <f>C5400*(1-0)*fcl</f>
        <v>0</v>
      </c>
      <c r="E5400" s="228">
        <v>20</v>
      </c>
      <c r="F5400" s="585">
        <f>ROUNDUP(D5400+E5400,1)</f>
        <v>20</v>
      </c>
      <c r="G5400" s="592" t="s">
        <v>11766</v>
      </c>
      <c r="H5400" s="530" t="str">
        <f>B5400</f>
        <v>COND_40kVAR/400V_p7</v>
      </c>
      <c r="I5400" s="520"/>
      <c r="J5400" s="589" t="s">
        <v>6177</v>
      </c>
      <c r="K5400" s="520" t="s">
        <v>741</v>
      </c>
    </row>
    <row r="5401" spans="1:12" s="117" customFormat="1">
      <c r="A5401" s="1680"/>
      <c r="B5401" s="427" t="s">
        <v>11257</v>
      </c>
      <c r="D5401" s="408">
        <f>C5401*(1-0)*fcl</f>
        <v>0</v>
      </c>
      <c r="E5401" s="228">
        <v>10</v>
      </c>
      <c r="F5401" s="585">
        <f>ROUNDUP(D5401+E5401,1)</f>
        <v>10</v>
      </c>
      <c r="G5401" s="592" t="s">
        <v>11258</v>
      </c>
      <c r="H5401" s="2064" t="str">
        <f>B5401</f>
        <v>COND_40kVAR/400V_p7_CSB</v>
      </c>
      <c r="I5401" s="520"/>
      <c r="J5401" s="589" t="s">
        <v>6177</v>
      </c>
      <c r="K5401" s="520" t="s">
        <v>741</v>
      </c>
    </row>
    <row r="5402" spans="1:12" s="194" customFormat="1">
      <c r="A5402" s="589"/>
      <c r="B5402" s="427"/>
      <c r="C5402" s="408"/>
      <c r="D5402" s="408"/>
      <c r="E5402" s="228"/>
      <c r="F5402" s="585"/>
      <c r="G5402" s="592"/>
      <c r="H5402" s="530"/>
      <c r="I5402" s="520"/>
      <c r="J5402" s="589"/>
      <c r="K5402" s="520"/>
    </row>
    <row r="5403" spans="1:12" s="194" customFormat="1">
      <c r="A5403" s="589"/>
      <c r="B5403" s="2269" t="s">
        <v>13571</v>
      </c>
      <c r="C5403" s="408">
        <v>380</v>
      </c>
      <c r="D5403" s="228">
        <f>C5403*(1-0)*fcl</f>
        <v>634.6</v>
      </c>
      <c r="E5403" s="228">
        <v>20</v>
      </c>
      <c r="F5403" s="585">
        <f>ROUNDUP(D5403+E5403,1)</f>
        <v>654.6</v>
      </c>
      <c r="G5403" s="592" t="s">
        <v>13572</v>
      </c>
      <c r="H5403" s="530" t="str">
        <f>B5403</f>
        <v>REACT_50kVAR/400V_p7</v>
      </c>
      <c r="I5403" s="520"/>
      <c r="J5403" s="589" t="s">
        <v>6177</v>
      </c>
      <c r="K5403" s="520" t="s">
        <v>741</v>
      </c>
    </row>
    <row r="5404" spans="1:12" s="194" customFormat="1">
      <c r="A5404" s="589"/>
      <c r="B5404" s="427"/>
      <c r="C5404" s="408"/>
      <c r="D5404" s="228"/>
      <c r="E5404" s="228"/>
      <c r="F5404" s="585"/>
      <c r="G5404" s="592"/>
      <c r="H5404" s="530"/>
      <c r="I5404" s="520"/>
      <c r="J5404" s="589"/>
      <c r="K5404" s="520"/>
    </row>
    <row r="5405" spans="1:12" s="194" customFormat="1">
      <c r="A5405" s="589"/>
      <c r="B5405" s="427"/>
      <c r="C5405" s="408"/>
      <c r="D5405" s="408"/>
      <c r="E5405" s="228"/>
      <c r="F5405" s="585"/>
      <c r="G5405" s="592"/>
      <c r="H5405" s="530"/>
      <c r="I5405" s="520"/>
      <c r="J5405" s="589"/>
      <c r="K5405" s="520"/>
    </row>
    <row r="5406" spans="1:12" s="194" customFormat="1">
      <c r="A5406" s="589"/>
      <c r="B5406" s="427" t="s">
        <v>6195</v>
      </c>
      <c r="C5406" s="408"/>
      <c r="D5406" s="408">
        <f>C5406*(1-0)*fcl</f>
        <v>0</v>
      </c>
      <c r="E5406" s="228">
        <v>20</v>
      </c>
      <c r="F5406" s="585">
        <f>ROUNDUP(D5406+E5406,1)</f>
        <v>20</v>
      </c>
      <c r="G5406" s="592" t="s">
        <v>8715</v>
      </c>
      <c r="H5406" s="530" t="str">
        <f>B5406</f>
        <v>REACT_60kVAR/400V_p7</v>
      </c>
      <c r="I5406" s="520"/>
      <c r="J5406" s="589" t="s">
        <v>6177</v>
      </c>
      <c r="K5406" s="520" t="s">
        <v>741</v>
      </c>
    </row>
    <row r="5407" spans="1:12" s="196" customFormat="1">
      <c r="A5407" s="589"/>
      <c r="B5407" s="427" t="s">
        <v>8722</v>
      </c>
      <c r="C5407" s="408"/>
      <c r="D5407" s="408">
        <f>C5407*(1-0)*fcl</f>
        <v>0</v>
      </c>
      <c r="E5407" s="228">
        <v>20</v>
      </c>
      <c r="F5407" s="585">
        <f>ROUNDUP(D5407+E5407,1)</f>
        <v>20</v>
      </c>
      <c r="G5407" s="592" t="s">
        <v>11222</v>
      </c>
      <c r="H5407" s="530" t="str">
        <f>B5407</f>
        <v>COND_60kVAR/400V_p7</v>
      </c>
      <c r="I5407" s="520"/>
      <c r="J5407" s="589" t="s">
        <v>6177</v>
      </c>
      <c r="K5407" s="520" t="s">
        <v>741</v>
      </c>
      <c r="L5407" s="194"/>
    </row>
    <row r="5408" spans="1:12" s="117" customFormat="1">
      <c r="A5408" s="589"/>
      <c r="B5408" s="427"/>
      <c r="C5408" s="408"/>
      <c r="D5408" s="408"/>
      <c r="E5408" s="228"/>
      <c r="F5408" s="585"/>
      <c r="G5408" s="592"/>
      <c r="H5408" s="530"/>
      <c r="I5408" s="520"/>
      <c r="J5408" s="589"/>
      <c r="K5408" s="520"/>
    </row>
    <row r="5409" spans="1:12" s="194" customFormat="1">
      <c r="A5409" s="589"/>
      <c r="B5409" s="427" t="s">
        <v>6196</v>
      </c>
      <c r="C5409" s="408">
        <v>470</v>
      </c>
      <c r="D5409" s="408">
        <f>C5409*(1-0)*fcl</f>
        <v>784.9</v>
      </c>
      <c r="E5409" s="228">
        <v>20</v>
      </c>
      <c r="F5409" s="585">
        <f>ROUNDUP(D5409+E5409,1)</f>
        <v>804.9</v>
      </c>
      <c r="G5409" s="592" t="s">
        <v>8717</v>
      </c>
      <c r="H5409" s="530" t="str">
        <f>B5409</f>
        <v>REACT_80kVAR/400V_p7</v>
      </c>
      <c r="I5409" s="520"/>
      <c r="J5409" s="589" t="s">
        <v>6177</v>
      </c>
      <c r="K5409" s="520" t="s">
        <v>741</v>
      </c>
    </row>
    <row r="5410" spans="1:12" s="117" customFormat="1">
      <c r="A5410" s="589"/>
      <c r="B5410" s="427" t="s">
        <v>9841</v>
      </c>
      <c r="C5410" s="408"/>
      <c r="D5410" s="408">
        <f>C5410*(1-0)*fcl</f>
        <v>0</v>
      </c>
      <c r="E5410" s="228">
        <v>20</v>
      </c>
      <c r="F5410" s="585">
        <f>ROUNDUP(D5410+E5410,1)</f>
        <v>20</v>
      </c>
      <c r="G5410" s="592" t="s">
        <v>11223</v>
      </c>
      <c r="H5410" s="530"/>
      <c r="I5410" s="520"/>
      <c r="J5410" s="589"/>
      <c r="K5410" s="520"/>
    </row>
    <row r="5411" spans="1:12" s="117" customFormat="1">
      <c r="A5411" s="589"/>
      <c r="B5411" s="453" t="s">
        <v>11224</v>
      </c>
      <c r="C5411" s="408">
        <v>990</v>
      </c>
      <c r="D5411" s="408">
        <f>C5411*(1-0)*fcl</f>
        <v>1653.3</v>
      </c>
      <c r="E5411" s="228">
        <v>20</v>
      </c>
      <c r="F5411" s="585">
        <f>ROUNDUP(D5411+E5411,1)</f>
        <v>1673.3</v>
      </c>
      <c r="G5411" s="592" t="s">
        <v>11225</v>
      </c>
      <c r="H5411" s="530"/>
      <c r="I5411" s="520"/>
      <c r="J5411" s="589"/>
      <c r="K5411" s="520"/>
    </row>
    <row r="5412" spans="1:12" s="117" customFormat="1">
      <c r="A5412" s="589"/>
      <c r="B5412" s="902"/>
      <c r="C5412" s="408"/>
      <c r="D5412" s="408"/>
      <c r="E5412" s="228"/>
      <c r="F5412" s="585"/>
      <c r="G5412" s="592"/>
      <c r="H5412" s="530"/>
      <c r="I5412" s="520"/>
      <c r="J5412" s="589"/>
      <c r="K5412" s="520"/>
    </row>
    <row r="5413" spans="1:12" s="117" customFormat="1">
      <c r="A5413" s="589"/>
      <c r="B5413" s="902"/>
      <c r="C5413" s="408"/>
      <c r="D5413" s="408"/>
      <c r="E5413" s="228"/>
      <c r="F5413" s="585"/>
      <c r="G5413" s="592"/>
      <c r="H5413" s="530"/>
      <c r="I5413" s="520"/>
      <c r="J5413" s="589"/>
      <c r="K5413" s="520"/>
    </row>
    <row r="5414" spans="1:12" s="117" customFormat="1" ht="15.75">
      <c r="A5414" s="589"/>
      <c r="B5414" s="1691"/>
      <c r="C5414" s="408"/>
      <c r="D5414" s="408"/>
      <c r="E5414" s="228"/>
      <c r="F5414" s="585"/>
      <c r="G5414" s="592"/>
      <c r="H5414" s="530"/>
      <c r="I5414" s="520"/>
      <c r="J5414" s="589"/>
      <c r="K5414" s="520"/>
    </row>
    <row r="5415" spans="1:12" s="194" customFormat="1">
      <c r="A5415" s="589"/>
      <c r="B5415" s="902"/>
      <c r="C5415" s="408"/>
      <c r="D5415" s="408"/>
      <c r="E5415" s="228"/>
      <c r="F5415" s="585"/>
      <c r="G5415" s="592"/>
      <c r="H5415" s="530"/>
      <c r="I5415" s="520"/>
      <c r="J5415" s="589"/>
      <c r="K5415" s="520"/>
    </row>
    <row r="5416" spans="1:12" s="117" customFormat="1">
      <c r="A5416" s="589"/>
      <c r="B5416" s="902"/>
      <c r="C5416" s="408"/>
      <c r="D5416" s="408"/>
      <c r="E5416" s="228"/>
      <c r="F5416" s="585"/>
      <c r="G5416" s="592"/>
      <c r="H5416" s="530"/>
      <c r="I5416" s="520"/>
      <c r="J5416" s="589"/>
      <c r="K5416" s="520"/>
    </row>
    <row r="5417" spans="1:12" s="117" customFormat="1" ht="15.75">
      <c r="A5417" s="589"/>
      <c r="B5417" s="1691" t="s">
        <v>6197</v>
      </c>
      <c r="C5417" s="408"/>
      <c r="D5417" s="408"/>
      <c r="E5417" s="228"/>
      <c r="F5417" s="585"/>
      <c r="H5417" s="530"/>
      <c r="I5417" s="520"/>
      <c r="J5417" s="589"/>
      <c r="K5417" s="520"/>
    </row>
    <row r="5418" spans="1:12" s="194" customFormat="1">
      <c r="A5418" s="589"/>
      <c r="B5418" s="452"/>
      <c r="C5418" s="408"/>
      <c r="D5418" s="408"/>
      <c r="E5418" s="228"/>
      <c r="F5418" s="585"/>
      <c r="H5418" s="530"/>
      <c r="I5418" s="520"/>
      <c r="J5418" s="589"/>
      <c r="K5418" s="520"/>
    </row>
    <row r="5419" spans="1:12" s="196" customFormat="1">
      <c r="A5419" s="1645"/>
      <c r="B5419" s="427" t="s">
        <v>6198</v>
      </c>
      <c r="C5419" s="408"/>
      <c r="D5419" s="408">
        <f>C5419*(1-0)*fcl</f>
        <v>0</v>
      </c>
      <c r="E5419" s="228">
        <v>20</v>
      </c>
      <c r="F5419" s="585">
        <f>ROUNDUP(D5419+E5419,1)</f>
        <v>20</v>
      </c>
      <c r="G5419" s="592" t="s">
        <v>8723</v>
      </c>
      <c r="H5419" s="530" t="str">
        <f>B5419</f>
        <v>REACT_60kVAR/440V_p7</v>
      </c>
      <c r="I5419" s="520"/>
      <c r="J5419" s="589" t="s">
        <v>6177</v>
      </c>
      <c r="K5419" s="520" t="s">
        <v>741</v>
      </c>
      <c r="L5419" s="194"/>
    </row>
    <row r="5420" spans="1:12" s="196" customFormat="1">
      <c r="A5420" s="1645"/>
      <c r="B5420" s="427" t="s">
        <v>6199</v>
      </c>
      <c r="C5420" s="408"/>
      <c r="D5420" s="408">
        <f>C5420*(1-0)*fcl</f>
        <v>0</v>
      </c>
      <c r="E5420" s="228">
        <v>20</v>
      </c>
      <c r="F5420" s="585">
        <f>ROUNDUP(D5420+E5420,1)</f>
        <v>20</v>
      </c>
      <c r="G5420" s="592" t="s">
        <v>8724</v>
      </c>
      <c r="H5420" s="530" t="str">
        <f>B5420</f>
        <v>COND_60kVAR/440V_p7</v>
      </c>
      <c r="I5420" s="520"/>
      <c r="J5420" s="589" t="s">
        <v>6177</v>
      </c>
      <c r="K5420" s="520" t="s">
        <v>741</v>
      </c>
      <c r="L5420" s="194"/>
    </row>
    <row r="5421" spans="1:12" s="196" customFormat="1">
      <c r="A5421" s="589"/>
      <c r="B5421" s="453"/>
      <c r="C5421" s="408"/>
      <c r="D5421" s="408"/>
      <c r="E5421" s="228"/>
      <c r="F5421" s="585"/>
      <c r="G5421" s="592"/>
      <c r="H5421" s="530"/>
      <c r="I5421" s="520"/>
      <c r="J5421" s="589"/>
      <c r="K5421" s="520"/>
      <c r="L5421" s="194"/>
    </row>
    <row r="5422" spans="1:12" s="1678" customFormat="1">
      <c r="A5422" s="1680"/>
      <c r="B5422" s="2174" t="s">
        <v>13573</v>
      </c>
      <c r="C5422" s="2130">
        <v>85</v>
      </c>
      <c r="D5422" s="2130">
        <f>C5422*(1-0)*fcl</f>
        <v>141.94999999999999</v>
      </c>
      <c r="E5422" s="1668">
        <v>20</v>
      </c>
      <c r="F5422" s="591">
        <f>ROUNDUP(D5422+E5422,1)</f>
        <v>162</v>
      </c>
      <c r="G5422" s="2013" t="s">
        <v>13574</v>
      </c>
      <c r="H5422" s="2187" t="str">
        <f>B5422</f>
        <v>COND_25kVAR/440V_p7</v>
      </c>
      <c r="I5422" s="620"/>
      <c r="J5422" s="1680" t="s">
        <v>6177</v>
      </c>
      <c r="K5422" s="620" t="s">
        <v>741</v>
      </c>
    </row>
    <row r="5423" spans="1:12" s="1678" customFormat="1">
      <c r="A5423" s="1680"/>
      <c r="B5423" s="2174" t="s">
        <v>13575</v>
      </c>
      <c r="C5423" s="2130">
        <v>100</v>
      </c>
      <c r="D5423" s="2130">
        <f>C5423*(1-0)*fcl</f>
        <v>167</v>
      </c>
      <c r="E5423" s="1668">
        <v>20</v>
      </c>
      <c r="F5423" s="591">
        <f>ROUNDUP(D5423+E5423,1)</f>
        <v>187</v>
      </c>
      <c r="G5423" s="2013" t="s">
        <v>13576</v>
      </c>
      <c r="H5423" s="2187" t="str">
        <f>B5423</f>
        <v>COND_30kVAR/440V_p7</v>
      </c>
      <c r="I5423" s="620"/>
      <c r="J5423" s="1680" t="s">
        <v>6177</v>
      </c>
      <c r="K5423" s="620" t="s">
        <v>741</v>
      </c>
    </row>
    <row r="5424" spans="1:12" s="1678" customFormat="1">
      <c r="A5424" s="1680"/>
      <c r="B5424" s="2174" t="s">
        <v>13577</v>
      </c>
      <c r="C5424" s="2130">
        <v>135</v>
      </c>
      <c r="D5424" s="2130">
        <f>C5424*(1-0)*fcl</f>
        <v>225.45</v>
      </c>
      <c r="E5424" s="1668">
        <v>20</v>
      </c>
      <c r="F5424" s="591">
        <f>ROUNDUP(D5424+E5424,1)</f>
        <v>245.5</v>
      </c>
      <c r="G5424" s="2013" t="s">
        <v>13578</v>
      </c>
      <c r="H5424" s="2187" t="str">
        <f>B5424</f>
        <v>COND_40kVAR/440V_p7</v>
      </c>
      <c r="I5424" s="620"/>
      <c r="J5424" s="1680" t="s">
        <v>6177</v>
      </c>
      <c r="K5424" s="620" t="s">
        <v>741</v>
      </c>
    </row>
    <row r="5425" spans="1:12" s="196" customFormat="1">
      <c r="A5425" s="589"/>
      <c r="B5425" s="453"/>
      <c r="C5425" s="408"/>
      <c r="D5425" s="408"/>
      <c r="E5425" s="228"/>
      <c r="F5425" s="585"/>
      <c r="G5425" s="592"/>
      <c r="H5425" s="530"/>
      <c r="I5425" s="520"/>
      <c r="J5425" s="589"/>
      <c r="K5425" s="520"/>
      <c r="L5425" s="194"/>
    </row>
    <row r="5426" spans="1:12" s="194" customFormat="1">
      <c r="A5426" s="589"/>
      <c r="B5426" s="452"/>
      <c r="C5426" s="408"/>
      <c r="D5426" s="408"/>
      <c r="E5426" s="228"/>
      <c r="F5426" s="585"/>
      <c r="H5426" s="530"/>
      <c r="I5426" s="520"/>
      <c r="J5426" s="589"/>
      <c r="K5426" s="520"/>
    </row>
    <row r="5427" spans="1:12" s="196" customFormat="1">
      <c r="A5427" s="1645"/>
      <c r="B5427" s="427" t="s">
        <v>12368</v>
      </c>
      <c r="C5427" s="408">
        <v>60</v>
      </c>
      <c r="D5427" s="408">
        <f>C5427*(1-0)*fcl</f>
        <v>100.19999999999999</v>
      </c>
      <c r="E5427" s="228">
        <v>20</v>
      </c>
      <c r="F5427" s="585">
        <f>ROUNDUP(D5427+E5427,1)</f>
        <v>120.2</v>
      </c>
      <c r="G5427" s="592" t="s">
        <v>12369</v>
      </c>
      <c r="H5427" s="530" t="str">
        <f>B5427</f>
        <v>COND_4.0kVAR/440V_p7</v>
      </c>
      <c r="I5427" s="520"/>
      <c r="J5427" s="589" t="s">
        <v>6177</v>
      </c>
      <c r="K5427" s="520" t="s">
        <v>741</v>
      </c>
      <c r="L5427" s="194"/>
    </row>
    <row r="5428" spans="1:12" s="196" customFormat="1">
      <c r="A5428" s="1645"/>
      <c r="B5428" s="427" t="s">
        <v>12370</v>
      </c>
      <c r="C5428" s="408">
        <v>95</v>
      </c>
      <c r="D5428" s="408">
        <f>C5428*(1-0)*fcl</f>
        <v>158.65</v>
      </c>
      <c r="E5428" s="228">
        <v>20</v>
      </c>
      <c r="F5428" s="585">
        <f>ROUNDUP(D5428+E5428,1)</f>
        <v>178.7</v>
      </c>
      <c r="G5428" s="592" t="s">
        <v>12371</v>
      </c>
      <c r="H5428" s="530" t="str">
        <f>B5428</f>
        <v>COND_9.4kVAR/440V_p7</v>
      </c>
      <c r="I5428" s="520"/>
      <c r="J5428" s="589" t="s">
        <v>6177</v>
      </c>
      <c r="K5428" s="520" t="s">
        <v>741</v>
      </c>
      <c r="L5428" s="194"/>
    </row>
    <row r="5429" spans="1:12" s="196" customFormat="1">
      <c r="A5429" s="1645"/>
      <c r="B5429" s="427" t="s">
        <v>12372</v>
      </c>
      <c r="C5429" s="408">
        <v>232</v>
      </c>
      <c r="D5429" s="408">
        <f>C5429*(1-0)*fcl</f>
        <v>387.44</v>
      </c>
      <c r="E5429" s="228">
        <v>20</v>
      </c>
      <c r="F5429" s="585">
        <f>ROUNDUP(D5429+E5429,1)</f>
        <v>407.5</v>
      </c>
      <c r="G5429" s="592" t="s">
        <v>12373</v>
      </c>
      <c r="H5429" s="530" t="str">
        <f>B5429</f>
        <v>COND_10.75kVAR/440V_p7</v>
      </c>
      <c r="I5429" s="520"/>
      <c r="J5429" s="589" t="s">
        <v>6177</v>
      </c>
      <c r="K5429" s="520" t="s">
        <v>741</v>
      </c>
      <c r="L5429" s="194"/>
    </row>
    <row r="5430" spans="1:12" s="196" customFormat="1">
      <c r="A5430" s="589"/>
      <c r="B5430" s="453"/>
      <c r="C5430" s="408"/>
      <c r="D5430" s="408"/>
      <c r="E5430" s="228"/>
      <c r="F5430" s="585"/>
      <c r="G5430" s="592"/>
      <c r="H5430" s="530"/>
      <c r="I5430" s="520"/>
      <c r="J5430" s="589"/>
      <c r="K5430" s="520"/>
      <c r="L5430" s="194"/>
    </row>
    <row r="5431" spans="1:12" s="196" customFormat="1">
      <c r="A5431" s="589"/>
      <c r="B5431" s="902"/>
      <c r="C5431" s="408"/>
      <c r="D5431" s="408"/>
      <c r="E5431" s="228"/>
      <c r="F5431" s="585"/>
      <c r="G5431" s="592"/>
      <c r="H5431" s="530"/>
      <c r="I5431" s="520"/>
      <c r="J5431" s="589"/>
      <c r="K5431" s="520"/>
      <c r="L5431" s="194"/>
    </row>
    <row r="5432" spans="1:12" s="196" customFormat="1" ht="15.75">
      <c r="A5432" s="589"/>
      <c r="B5432" s="1691" t="s">
        <v>6200</v>
      </c>
      <c r="C5432" s="408"/>
      <c r="D5432" s="408"/>
      <c r="E5432" s="228"/>
      <c r="F5432" s="585"/>
      <c r="G5432" s="592"/>
      <c r="H5432" s="530"/>
      <c r="I5432" s="520"/>
      <c r="J5432" s="589"/>
      <c r="K5432" s="520"/>
      <c r="L5432" s="194"/>
    </row>
    <row r="5433" spans="1:12" s="196" customFormat="1">
      <c r="A5433" s="589"/>
      <c r="B5433" s="452"/>
      <c r="C5433" s="408"/>
      <c r="D5433" s="408"/>
      <c r="E5433" s="228"/>
      <c r="F5433" s="585"/>
      <c r="G5433" s="592"/>
      <c r="H5433" s="592"/>
      <c r="I5433" s="520"/>
      <c r="J5433" s="589"/>
      <c r="K5433" s="520"/>
    </row>
    <row r="5434" spans="1:12" s="117" customFormat="1">
      <c r="A5434" s="589"/>
      <c r="B5434" s="427" t="s">
        <v>5369</v>
      </c>
      <c r="C5434" s="408"/>
      <c r="D5434" s="408">
        <f>C5434*(1-0)*fcl</f>
        <v>0</v>
      </c>
      <c r="E5434" s="228">
        <v>20</v>
      </c>
      <c r="F5434" s="585">
        <f>ROUNDUP(D5434+E5434,1)</f>
        <v>20</v>
      </c>
      <c r="G5434" s="592" t="s">
        <v>8725</v>
      </c>
      <c r="H5434" s="530" t="str">
        <f>B5434</f>
        <v>COND_30kVAR/460V</v>
      </c>
      <c r="I5434" s="520"/>
      <c r="J5434" s="589" t="s">
        <v>6177</v>
      </c>
      <c r="K5434" s="520" t="s">
        <v>741</v>
      </c>
    </row>
    <row r="5435" spans="1:12" s="117" customFormat="1">
      <c r="A5435" s="589"/>
      <c r="B5435" s="453"/>
      <c r="C5435" s="408"/>
      <c r="D5435" s="408"/>
      <c r="E5435" s="228"/>
      <c r="F5435" s="585"/>
      <c r="G5435" s="592"/>
      <c r="H5435" s="530"/>
      <c r="I5435" s="520"/>
      <c r="J5435" s="589"/>
      <c r="K5435" s="520"/>
    </row>
    <row r="5436" spans="1:12" s="117" customFormat="1">
      <c r="A5436" s="589"/>
      <c r="B5436" s="902"/>
      <c r="C5436" s="408"/>
      <c r="D5436" s="408"/>
      <c r="E5436" s="228"/>
      <c r="F5436" s="585"/>
      <c r="G5436" s="592"/>
      <c r="H5436" s="530"/>
      <c r="I5436" s="520"/>
      <c r="J5436" s="589"/>
      <c r="K5436" s="520"/>
    </row>
    <row r="5437" spans="1:12" s="117" customFormat="1" ht="15.75">
      <c r="A5437" s="589"/>
      <c r="B5437" s="1691" t="s">
        <v>6200</v>
      </c>
      <c r="C5437" s="408"/>
      <c r="D5437" s="408"/>
      <c r="E5437" s="228"/>
      <c r="F5437" s="585"/>
      <c r="H5437" s="530"/>
      <c r="I5437" s="520"/>
      <c r="J5437" s="589"/>
      <c r="K5437" s="520"/>
    </row>
    <row r="5438" spans="1:12" s="196" customFormat="1">
      <c r="A5438" s="1645"/>
      <c r="B5438" s="452" t="s">
        <v>8726</v>
      </c>
      <c r="C5438" s="408"/>
      <c r="D5438" s="408">
        <f>C5438*(1-0)*fcl</f>
        <v>0</v>
      </c>
      <c r="E5438" s="228">
        <v>10</v>
      </c>
      <c r="F5438" s="585">
        <f>ROUNDUP(D5438+E5438,1)</f>
        <v>10</v>
      </c>
      <c r="G5438" s="171" t="s">
        <v>8727</v>
      </c>
      <c r="H5438" s="530" t="str">
        <f>B5438</f>
        <v>REACT_15kVAR/460V</v>
      </c>
      <c r="I5438" s="520"/>
      <c r="J5438" s="589" t="s">
        <v>6177</v>
      </c>
      <c r="K5438" s="520" t="s">
        <v>741</v>
      </c>
      <c r="L5438" s="194"/>
    </row>
    <row r="5439" spans="1:12" s="196" customFormat="1">
      <c r="A5439" s="1645"/>
      <c r="B5439" s="427" t="s">
        <v>8728</v>
      </c>
      <c r="C5439" s="408"/>
      <c r="D5439" s="408">
        <f>C5439*(1-0)*fcl</f>
        <v>0</v>
      </c>
      <c r="E5439" s="228">
        <v>10</v>
      </c>
      <c r="F5439" s="585">
        <f>ROUNDUP(D5439+E5439,1)</f>
        <v>10</v>
      </c>
      <c r="G5439" s="20" t="s">
        <v>8729</v>
      </c>
      <c r="H5439" s="530" t="str">
        <f>B5439</f>
        <v>COND_15kVAR/460V</v>
      </c>
      <c r="I5439" s="520"/>
      <c r="J5439" s="589" t="s">
        <v>6177</v>
      </c>
      <c r="K5439" s="520" t="s">
        <v>741</v>
      </c>
      <c r="L5439" s="194"/>
    </row>
    <row r="5440" spans="1:12" s="196" customFormat="1">
      <c r="A5440" s="1645"/>
      <c r="B5440" s="427"/>
      <c r="C5440" s="408"/>
      <c r="D5440" s="408"/>
      <c r="E5440" s="228"/>
      <c r="F5440" s="585"/>
      <c r="G5440" s="20"/>
      <c r="H5440" s="530"/>
      <c r="I5440" s="520"/>
      <c r="J5440" s="589"/>
      <c r="K5440" s="520"/>
      <c r="L5440" s="194"/>
    </row>
    <row r="5441" spans="1:12" s="196" customFormat="1">
      <c r="A5441" s="1645"/>
      <c r="B5441" s="427" t="s">
        <v>8730</v>
      </c>
      <c r="C5441" s="408"/>
      <c r="D5441" s="408">
        <f>C5441*(1-0)*fcl</f>
        <v>0</v>
      </c>
      <c r="E5441" s="228">
        <v>10</v>
      </c>
      <c r="F5441" s="585">
        <f>ROUNDUP(D5441+E5441,1)</f>
        <v>10</v>
      </c>
      <c r="G5441" s="171" t="s">
        <v>8731</v>
      </c>
      <c r="H5441" s="530" t="str">
        <f>B5441</f>
        <v>REACT_30kVAR/460V</v>
      </c>
      <c r="I5441" s="520"/>
      <c r="J5441" s="589" t="s">
        <v>6177</v>
      </c>
      <c r="K5441" s="520" t="s">
        <v>741</v>
      </c>
      <c r="L5441" s="194"/>
    </row>
    <row r="5442" spans="1:12" s="196" customFormat="1">
      <c r="A5442" s="1645"/>
      <c r="B5442" s="427" t="s">
        <v>5369</v>
      </c>
      <c r="C5442" s="408"/>
      <c r="D5442" s="408">
        <f>C5442*(1-0)*fcl</f>
        <v>0</v>
      </c>
      <c r="E5442" s="228">
        <v>10</v>
      </c>
      <c r="F5442" s="585">
        <f>ROUNDUP(D5442+E5442,1)</f>
        <v>10</v>
      </c>
      <c r="G5442" s="20" t="s">
        <v>8732</v>
      </c>
      <c r="H5442" s="530" t="str">
        <f>B5442</f>
        <v>COND_30kVAR/460V</v>
      </c>
      <c r="I5442" s="520"/>
      <c r="J5442" s="589" t="s">
        <v>6177</v>
      </c>
      <c r="K5442" s="520" t="s">
        <v>741</v>
      </c>
      <c r="L5442" s="194"/>
    </row>
    <row r="5443" spans="1:12" s="194" customFormat="1">
      <c r="A5443" s="589"/>
      <c r="B5443" s="427"/>
      <c r="C5443" s="408"/>
      <c r="D5443" s="408"/>
      <c r="E5443" s="228"/>
      <c r="F5443" s="585"/>
      <c r="H5443" s="530"/>
      <c r="I5443" s="520"/>
      <c r="J5443" s="589"/>
      <c r="K5443" s="520"/>
    </row>
    <row r="5444" spans="1:12" s="196" customFormat="1">
      <c r="A5444" s="1645"/>
      <c r="B5444" s="427" t="s">
        <v>14022</v>
      </c>
      <c r="C5444" s="408">
        <v>300</v>
      </c>
      <c r="D5444" s="408">
        <f>C5444*(1-0)*fcl</f>
        <v>501</v>
      </c>
      <c r="E5444" s="228">
        <v>10</v>
      </c>
      <c r="F5444" s="585">
        <f>ROUNDUP(D5444+E5444,1)</f>
        <v>511</v>
      </c>
      <c r="G5444" s="592" t="s">
        <v>14023</v>
      </c>
      <c r="H5444" s="530" t="str">
        <f>B5444</f>
        <v>REACT_20kVAR/460V</v>
      </c>
      <c r="I5444" s="520"/>
      <c r="J5444" s="589" t="s">
        <v>6177</v>
      </c>
      <c r="K5444" s="520" t="s">
        <v>741</v>
      </c>
      <c r="L5444" s="194"/>
    </row>
    <row r="5445" spans="1:12" s="196" customFormat="1">
      <c r="A5445" s="1645"/>
      <c r="B5445" s="427" t="s">
        <v>8733</v>
      </c>
      <c r="C5445" s="408">
        <v>360</v>
      </c>
      <c r="D5445" s="408">
        <f>C5445*(1-0)*fcl</f>
        <v>601.19999999999993</v>
      </c>
      <c r="E5445" s="228">
        <v>10</v>
      </c>
      <c r="F5445" s="585">
        <f>ROUNDUP(D5445+E5445,1)</f>
        <v>611.20000000000005</v>
      </c>
      <c r="G5445" s="592" t="s">
        <v>14024</v>
      </c>
      <c r="H5445" s="530" t="str">
        <f>B5445</f>
        <v>REACT_40kVAR/460V</v>
      </c>
      <c r="I5445" s="520"/>
      <c r="J5445" s="589" t="s">
        <v>6177</v>
      </c>
      <c r="K5445" s="520" t="s">
        <v>741</v>
      </c>
      <c r="L5445" s="194"/>
    </row>
    <row r="5446" spans="1:12" s="196" customFormat="1">
      <c r="A5446" s="1645"/>
      <c r="B5446" s="427" t="s">
        <v>8734</v>
      </c>
      <c r="C5446" s="408"/>
      <c r="D5446" s="408">
        <f>C5446*(1-0)*fcl</f>
        <v>0</v>
      </c>
      <c r="E5446" s="228">
        <v>10</v>
      </c>
      <c r="F5446" s="585">
        <f>ROUNDUP(D5446+E5446,1)</f>
        <v>10</v>
      </c>
      <c r="G5446" s="20" t="s">
        <v>8735</v>
      </c>
      <c r="H5446" s="530" t="str">
        <f>B5446</f>
        <v>COND_40kVAR/460V</v>
      </c>
      <c r="I5446" s="520"/>
      <c r="J5446" s="589" t="s">
        <v>6177</v>
      </c>
      <c r="K5446" s="520" t="s">
        <v>741</v>
      </c>
      <c r="L5446" s="194"/>
    </row>
    <row r="5447" spans="1:12" s="196" customFormat="1">
      <c r="A5447" s="589"/>
      <c r="B5447" s="453"/>
      <c r="C5447" s="408"/>
      <c r="D5447" s="408"/>
      <c r="E5447" s="228"/>
      <c r="F5447" s="585"/>
      <c r="G5447" s="592"/>
      <c r="H5447" s="530"/>
      <c r="I5447" s="520"/>
      <c r="J5447" s="589"/>
      <c r="K5447" s="520"/>
      <c r="L5447" s="194"/>
    </row>
    <row r="5448" spans="1:12" s="194" customFormat="1">
      <c r="A5448" s="589"/>
      <c r="B5448" s="902"/>
      <c r="C5448" s="408"/>
      <c r="D5448" s="408"/>
      <c r="E5448" s="228"/>
      <c r="F5448" s="585"/>
      <c r="G5448" s="592"/>
      <c r="H5448" s="530"/>
      <c r="I5448" s="520"/>
      <c r="J5448" s="589"/>
      <c r="K5448" s="520"/>
    </row>
    <row r="5449" spans="1:12" s="117" customFormat="1" ht="15.75">
      <c r="A5449" s="589"/>
      <c r="B5449" s="1691" t="s">
        <v>8736</v>
      </c>
      <c r="C5449" s="408"/>
      <c r="D5449" s="408"/>
      <c r="E5449" s="228"/>
      <c r="F5449" s="585"/>
      <c r="H5449" s="530"/>
      <c r="I5449" s="520"/>
      <c r="J5449" s="589"/>
      <c r="K5449" s="520"/>
    </row>
    <row r="5450" spans="1:12" s="196" customFormat="1">
      <c r="A5450" s="1645"/>
      <c r="B5450" s="427" t="s">
        <v>13503</v>
      </c>
      <c r="C5450" s="408">
        <v>60</v>
      </c>
      <c r="D5450" s="408">
        <f t="shared" ref="D5450:D5456" si="695">C5450*(1-0)*fcl</f>
        <v>100.19999999999999</v>
      </c>
      <c r="E5450" s="228">
        <v>10</v>
      </c>
      <c r="F5450" s="585">
        <f t="shared" ref="F5450:F5456" si="696">ROUNDUP(D5450+E5450,1)</f>
        <v>110.2</v>
      </c>
      <c r="G5450" s="592" t="s">
        <v>13504</v>
      </c>
      <c r="H5450" s="530" t="str">
        <f t="shared" ref="H5450:H5456" si="697">B5450</f>
        <v>COND_7.5kVAR/480V_p7</v>
      </c>
      <c r="I5450" s="520"/>
      <c r="J5450" s="589" t="s">
        <v>6177</v>
      </c>
      <c r="K5450" s="520" t="s">
        <v>741</v>
      </c>
      <c r="L5450" s="194"/>
    </row>
    <row r="5451" spans="1:12" s="196" customFormat="1">
      <c r="A5451" s="1645"/>
      <c r="B5451" s="427" t="s">
        <v>13505</v>
      </c>
      <c r="C5451" s="408">
        <v>70</v>
      </c>
      <c r="D5451" s="408">
        <f t="shared" si="695"/>
        <v>116.89999999999999</v>
      </c>
      <c r="E5451" s="228">
        <v>10</v>
      </c>
      <c r="F5451" s="585">
        <f t="shared" si="696"/>
        <v>126.9</v>
      </c>
      <c r="G5451" s="592" t="s">
        <v>13506</v>
      </c>
      <c r="H5451" s="530" t="str">
        <f t="shared" si="697"/>
        <v>COND_15kVAR/480V_p7</v>
      </c>
      <c r="I5451" s="520"/>
      <c r="J5451" s="589" t="s">
        <v>6177</v>
      </c>
      <c r="K5451" s="520" t="s">
        <v>741</v>
      </c>
      <c r="L5451" s="194"/>
    </row>
    <row r="5452" spans="1:12" s="196" customFormat="1">
      <c r="A5452" s="1645"/>
      <c r="B5452" s="2269" t="s">
        <v>13579</v>
      </c>
      <c r="C5452" s="408">
        <v>80</v>
      </c>
      <c r="D5452" s="408">
        <f t="shared" si="695"/>
        <v>133.6</v>
      </c>
      <c r="E5452" s="228">
        <v>10</v>
      </c>
      <c r="F5452" s="585">
        <f t="shared" si="696"/>
        <v>143.6</v>
      </c>
      <c r="H5452" s="530" t="str">
        <f t="shared" si="697"/>
        <v>COND_20kVAR/480V_p7</v>
      </c>
      <c r="I5452" s="520"/>
      <c r="J5452" s="589" t="s">
        <v>6177</v>
      </c>
      <c r="K5452" s="520" t="s">
        <v>741</v>
      </c>
      <c r="L5452" s="194"/>
    </row>
    <row r="5453" spans="1:12" s="196" customFormat="1">
      <c r="A5453" s="1645"/>
      <c r="B5453" s="2269" t="s">
        <v>13765</v>
      </c>
      <c r="C5453" s="408">
        <v>120</v>
      </c>
      <c r="D5453" s="408">
        <f t="shared" ref="D5453" si="698">C5453*(1-0)*fcl</f>
        <v>200.39999999999998</v>
      </c>
      <c r="E5453" s="228">
        <v>10</v>
      </c>
      <c r="F5453" s="585">
        <f t="shared" si="696"/>
        <v>210.4</v>
      </c>
      <c r="G5453" s="592" t="s">
        <v>13766</v>
      </c>
      <c r="H5453" s="530" t="str">
        <f t="shared" si="697"/>
        <v>COND_25kVAR/480V_p7</v>
      </c>
      <c r="I5453" s="520"/>
      <c r="J5453" s="589" t="s">
        <v>6177</v>
      </c>
      <c r="K5453" s="520" t="s">
        <v>741</v>
      </c>
      <c r="L5453" s="194"/>
    </row>
    <row r="5454" spans="1:12" s="196" customFormat="1">
      <c r="A5454" s="1645"/>
      <c r="B5454" s="427" t="s">
        <v>13322</v>
      </c>
      <c r="C5454" s="408">
        <v>140</v>
      </c>
      <c r="D5454" s="408">
        <f t="shared" si="695"/>
        <v>233.79999999999998</v>
      </c>
      <c r="E5454" s="228">
        <v>10</v>
      </c>
      <c r="F5454" s="585">
        <f t="shared" si="696"/>
        <v>243.8</v>
      </c>
      <c r="G5454" s="592" t="s">
        <v>13323</v>
      </c>
      <c r="H5454" s="530" t="str">
        <f t="shared" si="697"/>
        <v>COND_30kVAR/480V_p7</v>
      </c>
      <c r="I5454" s="520"/>
      <c r="J5454" s="589" t="s">
        <v>6177</v>
      </c>
      <c r="K5454" s="520" t="s">
        <v>741</v>
      </c>
      <c r="L5454" s="194"/>
    </row>
    <row r="5455" spans="1:12" s="196" customFormat="1">
      <c r="A5455" s="1645"/>
      <c r="B5455" s="427" t="s">
        <v>13324</v>
      </c>
      <c r="C5455" s="408">
        <v>180</v>
      </c>
      <c r="D5455" s="408">
        <f t="shared" si="695"/>
        <v>300.59999999999997</v>
      </c>
      <c r="E5455" s="228">
        <v>10</v>
      </c>
      <c r="F5455" s="585">
        <f t="shared" si="696"/>
        <v>310.60000000000002</v>
      </c>
      <c r="G5455" s="592" t="s">
        <v>13325</v>
      </c>
      <c r="H5455" s="530" t="str">
        <f t="shared" si="697"/>
        <v>COND_40kVAR/480V_p7</v>
      </c>
      <c r="I5455" s="520"/>
      <c r="J5455" s="589" t="s">
        <v>6177</v>
      </c>
      <c r="K5455" s="520" t="s">
        <v>741</v>
      </c>
      <c r="L5455" s="194"/>
    </row>
    <row r="5456" spans="1:12" s="196" customFormat="1">
      <c r="A5456" s="1645"/>
      <c r="B5456" s="427" t="s">
        <v>13767</v>
      </c>
      <c r="C5456" s="408">
        <v>250</v>
      </c>
      <c r="D5456" s="408">
        <f t="shared" si="695"/>
        <v>417.5</v>
      </c>
      <c r="E5456" s="228">
        <v>10</v>
      </c>
      <c r="F5456" s="585">
        <f t="shared" si="696"/>
        <v>427.5</v>
      </c>
      <c r="G5456" s="592" t="s">
        <v>13768</v>
      </c>
      <c r="H5456" s="530" t="str">
        <f t="shared" si="697"/>
        <v>COND_50kVAR/480V_p7</v>
      </c>
      <c r="I5456" s="520"/>
      <c r="J5456" s="589" t="s">
        <v>6177</v>
      </c>
      <c r="K5456" s="520" t="s">
        <v>741</v>
      </c>
      <c r="L5456" s="194"/>
    </row>
    <row r="5457" spans="1:12" s="194" customFormat="1">
      <c r="A5457" s="589"/>
      <c r="B5457" s="452"/>
      <c r="C5457" s="408"/>
      <c r="D5457" s="408"/>
      <c r="E5457" s="228"/>
      <c r="F5457" s="585"/>
      <c r="H5457" s="530"/>
      <c r="I5457" s="520"/>
      <c r="J5457" s="589"/>
      <c r="K5457" s="520"/>
    </row>
    <row r="5458" spans="1:12" s="196" customFormat="1">
      <c r="A5458" s="1645"/>
      <c r="B5458" s="427" t="s">
        <v>8737</v>
      </c>
      <c r="C5458" s="408"/>
      <c r="D5458" s="408">
        <f>C5458*(1-0)*fcl</f>
        <v>0</v>
      </c>
      <c r="E5458" s="228">
        <v>10</v>
      </c>
      <c r="F5458" s="585">
        <f>ROUNDUP(D5458+E5458,1)</f>
        <v>10</v>
      </c>
      <c r="G5458" s="592" t="s">
        <v>8738</v>
      </c>
      <c r="H5458" s="530" t="str">
        <f>B5458</f>
        <v>REACT_50kVAR/480V_p14</v>
      </c>
      <c r="I5458" s="520"/>
      <c r="J5458" s="589" t="s">
        <v>6177</v>
      </c>
      <c r="K5458" s="520" t="s">
        <v>741</v>
      </c>
      <c r="L5458" s="194"/>
    </row>
    <row r="5459" spans="1:12" s="196" customFormat="1">
      <c r="A5459" s="1645"/>
      <c r="B5459" s="427" t="s">
        <v>8739</v>
      </c>
      <c r="C5459" s="408"/>
      <c r="D5459" s="408">
        <f>C5459*(1-0)*fcl</f>
        <v>0</v>
      </c>
      <c r="E5459" s="228">
        <v>10</v>
      </c>
      <c r="F5459" s="585">
        <f>ROUNDUP(D5459+E5459,1)</f>
        <v>10</v>
      </c>
      <c r="G5459" s="592" t="s">
        <v>8740</v>
      </c>
      <c r="H5459" s="530" t="str">
        <f>B5459</f>
        <v>COND_50kVAR/480V_p14</v>
      </c>
      <c r="I5459" s="520"/>
      <c r="J5459" s="589" t="s">
        <v>6177</v>
      </c>
      <c r="K5459" s="520" t="s">
        <v>741</v>
      </c>
      <c r="L5459" s="194"/>
    </row>
    <row r="5460" spans="1:12" s="196" customFormat="1">
      <c r="A5460" s="589"/>
      <c r="B5460" s="453"/>
      <c r="C5460" s="408"/>
      <c r="D5460" s="408"/>
      <c r="E5460" s="228"/>
      <c r="F5460" s="585"/>
      <c r="G5460" s="592"/>
      <c r="H5460" s="530"/>
      <c r="I5460" s="520"/>
      <c r="J5460" s="589"/>
      <c r="K5460" s="520"/>
      <c r="L5460" s="194"/>
    </row>
    <row r="5461" spans="1:12" s="196" customFormat="1">
      <c r="A5461" s="589"/>
      <c r="B5461" s="902"/>
      <c r="C5461" s="408"/>
      <c r="D5461" s="408"/>
      <c r="E5461" s="228"/>
      <c r="F5461" s="585"/>
      <c r="G5461" s="592"/>
      <c r="H5461" s="530"/>
      <c r="I5461" s="520"/>
      <c r="J5461" s="589"/>
      <c r="K5461" s="520"/>
      <c r="L5461" s="194"/>
    </row>
    <row r="5462" spans="1:12" s="117" customFormat="1" ht="15.75">
      <c r="A5462" s="589"/>
      <c r="B5462" s="1691" t="s">
        <v>13061</v>
      </c>
      <c r="C5462" s="408"/>
      <c r="D5462" s="408"/>
      <c r="E5462" s="228"/>
      <c r="F5462" s="585"/>
      <c r="H5462" s="530"/>
      <c r="I5462" s="520"/>
      <c r="J5462" s="589"/>
      <c r="K5462" s="520"/>
    </row>
    <row r="5463" spans="1:12" s="194" customFormat="1">
      <c r="A5463" s="589"/>
      <c r="B5463" s="452"/>
      <c r="C5463" s="408"/>
      <c r="D5463" s="408"/>
      <c r="E5463" s="228"/>
      <c r="F5463" s="585"/>
      <c r="H5463" s="530"/>
      <c r="I5463" s="520"/>
      <c r="J5463" s="589"/>
      <c r="K5463" s="520"/>
    </row>
    <row r="5464" spans="1:12" s="196" customFormat="1">
      <c r="A5464" s="589"/>
      <c r="B5464" s="427" t="s">
        <v>14268</v>
      </c>
      <c r="C5464" s="408">
        <v>90</v>
      </c>
      <c r="D5464" s="408">
        <f t="shared" ref="D5464" si="699">C5464*(1-0)*fcl</f>
        <v>150.29999999999998</v>
      </c>
      <c r="E5464" s="228">
        <v>20</v>
      </c>
      <c r="F5464" s="585">
        <f t="shared" ref="F5464" si="700">ROUNDUP(D5464+E5464,1)</f>
        <v>170.3</v>
      </c>
      <c r="G5464" s="592" t="s">
        <v>14269</v>
      </c>
      <c r="H5464" s="530" t="str">
        <f t="shared" ref="H5464" si="701">B5464</f>
        <v>COND_25kVAR/525V_p7</v>
      </c>
      <c r="I5464" s="520"/>
      <c r="J5464" s="589" t="s">
        <v>6177</v>
      </c>
      <c r="K5464" s="520" t="s">
        <v>741</v>
      </c>
      <c r="L5464" s="194"/>
    </row>
    <row r="5465" spans="1:12" s="196" customFormat="1">
      <c r="A5465" s="589"/>
      <c r="B5465" s="427"/>
      <c r="C5465" s="408"/>
      <c r="D5465" s="408"/>
      <c r="E5465" s="228"/>
      <c r="F5465" s="585"/>
      <c r="G5465" s="592"/>
      <c r="H5465" s="530"/>
      <c r="I5465" s="520"/>
      <c r="J5465" s="589"/>
      <c r="K5465" s="520"/>
      <c r="L5465" s="194"/>
    </row>
    <row r="5466" spans="1:12" s="194" customFormat="1">
      <c r="A5466" s="589"/>
      <c r="B5466" s="452"/>
      <c r="C5466" s="408"/>
      <c r="D5466" s="408"/>
      <c r="E5466" s="228"/>
      <c r="F5466" s="585"/>
      <c r="H5466" s="530"/>
      <c r="I5466" s="520"/>
      <c r="J5466" s="589"/>
      <c r="K5466" s="520"/>
    </row>
    <row r="5467" spans="1:12" s="196" customFormat="1">
      <c r="A5467" s="589"/>
      <c r="B5467" s="427" t="s">
        <v>13326</v>
      </c>
      <c r="C5467" s="408">
        <v>80</v>
      </c>
      <c r="D5467" s="408">
        <f t="shared" ref="D5467:D5473" si="702">C5467*(1-0)*fcl</f>
        <v>133.6</v>
      </c>
      <c r="E5467" s="228">
        <v>20</v>
      </c>
      <c r="F5467" s="585">
        <f t="shared" ref="F5467:F5473" si="703">ROUNDUP(D5467+E5467,1)</f>
        <v>153.6</v>
      </c>
      <c r="G5467" s="592" t="s">
        <v>13327</v>
      </c>
      <c r="H5467" s="530" t="str">
        <f t="shared" ref="H5467:H5473" si="704">B5467</f>
        <v>COND_22.5kVAR/525V_p14</v>
      </c>
      <c r="I5467" s="520"/>
      <c r="J5467" s="589" t="s">
        <v>6177</v>
      </c>
      <c r="K5467" s="520" t="s">
        <v>741</v>
      </c>
      <c r="L5467" s="194"/>
    </row>
    <row r="5468" spans="1:12" s="196" customFormat="1">
      <c r="A5468" s="589"/>
      <c r="B5468" s="427" t="s">
        <v>13062</v>
      </c>
      <c r="C5468" s="408">
        <v>90</v>
      </c>
      <c r="D5468" s="408">
        <f t="shared" si="702"/>
        <v>150.29999999999998</v>
      </c>
      <c r="E5468" s="228">
        <v>20</v>
      </c>
      <c r="F5468" s="585">
        <f t="shared" si="703"/>
        <v>170.3</v>
      </c>
      <c r="G5468" s="592" t="s">
        <v>13063</v>
      </c>
      <c r="H5468" s="530" t="str">
        <f t="shared" si="704"/>
        <v>COND_25kVAR/525V_p14</v>
      </c>
      <c r="I5468" s="520"/>
      <c r="J5468" s="589" t="s">
        <v>6177</v>
      </c>
      <c r="K5468" s="520" t="s">
        <v>741</v>
      </c>
      <c r="L5468" s="194"/>
    </row>
    <row r="5469" spans="1:12" s="196" customFormat="1">
      <c r="A5469" s="589"/>
      <c r="B5469" s="427" t="s">
        <v>13064</v>
      </c>
      <c r="C5469" s="408">
        <v>120</v>
      </c>
      <c r="D5469" s="408">
        <f t="shared" si="702"/>
        <v>200.39999999999998</v>
      </c>
      <c r="E5469" s="228">
        <v>20</v>
      </c>
      <c r="F5469" s="585">
        <f t="shared" si="703"/>
        <v>220.4</v>
      </c>
      <c r="G5469" s="592" t="s">
        <v>13065</v>
      </c>
      <c r="H5469" s="530" t="str">
        <f t="shared" si="704"/>
        <v>COND_30kVAR/525V_p14</v>
      </c>
      <c r="I5469" s="520"/>
      <c r="J5469" s="589" t="s">
        <v>6177</v>
      </c>
      <c r="K5469" s="520" t="s">
        <v>741</v>
      </c>
      <c r="L5469" s="194"/>
    </row>
    <row r="5470" spans="1:12" s="196" customFormat="1">
      <c r="A5470" s="589"/>
      <c r="B5470" s="427" t="s">
        <v>14025</v>
      </c>
      <c r="C5470" s="408">
        <v>80</v>
      </c>
      <c r="D5470" s="408">
        <f t="shared" si="702"/>
        <v>133.6</v>
      </c>
      <c r="E5470" s="228">
        <v>20</v>
      </c>
      <c r="F5470" s="585">
        <f t="shared" si="703"/>
        <v>153.6</v>
      </c>
      <c r="G5470" s="592" t="s">
        <v>14026</v>
      </c>
      <c r="H5470" s="530" t="str">
        <f t="shared" si="704"/>
        <v>COND_20kVAR/525V</v>
      </c>
      <c r="I5470" s="520"/>
      <c r="J5470" s="589" t="s">
        <v>6177</v>
      </c>
      <c r="K5470" s="520" t="s">
        <v>741</v>
      </c>
      <c r="L5470" s="194"/>
    </row>
    <row r="5471" spans="1:12" s="196" customFormat="1">
      <c r="A5471" s="589"/>
      <c r="B5471" s="427" t="s">
        <v>14027</v>
      </c>
      <c r="C5471" s="408">
        <v>130</v>
      </c>
      <c r="D5471" s="408">
        <f t="shared" si="702"/>
        <v>217.1</v>
      </c>
      <c r="E5471" s="228">
        <v>20</v>
      </c>
      <c r="F5471" s="585">
        <f t="shared" si="703"/>
        <v>237.1</v>
      </c>
      <c r="G5471" s="592" t="s">
        <v>13065</v>
      </c>
      <c r="H5471" s="530" t="str">
        <f t="shared" si="704"/>
        <v>COND_30kVAR/525V</v>
      </c>
      <c r="I5471" s="520"/>
      <c r="J5471" s="589" t="s">
        <v>6177</v>
      </c>
      <c r="K5471" s="520" t="s">
        <v>741</v>
      </c>
      <c r="L5471" s="194"/>
    </row>
    <row r="5472" spans="1:12" s="196" customFormat="1">
      <c r="A5472" s="589"/>
      <c r="B5472" s="427" t="s">
        <v>14028</v>
      </c>
      <c r="C5472" s="408">
        <v>180</v>
      </c>
      <c r="D5472" s="408">
        <f t="shared" si="702"/>
        <v>300.59999999999997</v>
      </c>
      <c r="E5472" s="228">
        <v>20</v>
      </c>
      <c r="F5472" s="585">
        <f t="shared" si="703"/>
        <v>320.60000000000002</v>
      </c>
      <c r="G5472" s="592" t="s">
        <v>14029</v>
      </c>
      <c r="H5472" s="530" t="str">
        <f t="shared" si="704"/>
        <v>COND_40kVAR/525V</v>
      </c>
      <c r="I5472" s="520"/>
      <c r="J5472" s="589" t="s">
        <v>6177</v>
      </c>
      <c r="K5472" s="520" t="s">
        <v>741</v>
      </c>
      <c r="L5472" s="194"/>
    </row>
    <row r="5473" spans="1:12" s="196" customFormat="1">
      <c r="A5473" s="589"/>
      <c r="B5473" s="427" t="s">
        <v>13328</v>
      </c>
      <c r="C5473" s="408">
        <v>180</v>
      </c>
      <c r="D5473" s="408">
        <f t="shared" si="702"/>
        <v>300.59999999999997</v>
      </c>
      <c r="E5473" s="228">
        <v>20</v>
      </c>
      <c r="F5473" s="585">
        <f t="shared" si="703"/>
        <v>320.60000000000002</v>
      </c>
      <c r="G5473" s="592" t="s">
        <v>13329</v>
      </c>
      <c r="H5473" s="530" t="str">
        <f t="shared" si="704"/>
        <v>COND_34kVAR/525V_p14</v>
      </c>
      <c r="I5473" s="520"/>
      <c r="J5473" s="589" t="s">
        <v>6177</v>
      </c>
      <c r="K5473" s="520" t="s">
        <v>741</v>
      </c>
      <c r="L5473" s="194"/>
    </row>
    <row r="5474" spans="1:12" s="196" customFormat="1">
      <c r="A5474" s="589"/>
      <c r="B5474" s="453"/>
      <c r="C5474" s="408"/>
      <c r="D5474" s="408"/>
      <c r="E5474" s="228"/>
      <c r="F5474" s="585"/>
      <c r="G5474" s="592"/>
      <c r="H5474" s="530"/>
      <c r="I5474" s="520"/>
      <c r="J5474" s="589"/>
      <c r="K5474" s="520"/>
      <c r="L5474" s="194"/>
    </row>
    <row r="5475" spans="1:12" s="196" customFormat="1">
      <c r="A5475" s="589"/>
      <c r="B5475" s="902"/>
      <c r="C5475" s="408"/>
      <c r="D5475" s="408"/>
      <c r="E5475" s="228"/>
      <c r="F5475" s="585"/>
      <c r="G5475" s="592"/>
      <c r="H5475" s="530"/>
      <c r="I5475" s="520"/>
      <c r="J5475" s="589"/>
      <c r="K5475" s="520"/>
      <c r="L5475" s="194"/>
    </row>
    <row r="5476" spans="1:12" s="117" customFormat="1" ht="15.75">
      <c r="A5476" s="589"/>
      <c r="B5476" s="1691" t="s">
        <v>14030</v>
      </c>
      <c r="C5476" s="408"/>
      <c r="D5476" s="408"/>
      <c r="E5476" s="228"/>
      <c r="F5476" s="585"/>
      <c r="H5476" s="530"/>
      <c r="I5476" s="520"/>
      <c r="J5476" s="589"/>
      <c r="K5476" s="520"/>
    </row>
    <row r="5477" spans="1:12" s="196" customFormat="1">
      <c r="A5477" s="1645"/>
      <c r="B5477" s="427" t="s">
        <v>14031</v>
      </c>
      <c r="C5477" s="408">
        <v>170</v>
      </c>
      <c r="D5477" s="408">
        <f>C5477*(1-0)*fcl</f>
        <v>283.89999999999998</v>
      </c>
      <c r="E5477" s="228">
        <v>10</v>
      </c>
      <c r="F5477" s="585">
        <f>ROUNDUP(D5477+E5477,1)</f>
        <v>293.89999999999998</v>
      </c>
      <c r="G5477" s="592" t="s">
        <v>14032</v>
      </c>
      <c r="H5477" s="530" t="str">
        <f>B5477</f>
        <v>COND_34.5kVAR/460V</v>
      </c>
      <c r="I5477" s="520"/>
      <c r="J5477" s="589" t="s">
        <v>6177</v>
      </c>
      <c r="K5477" s="520" t="s">
        <v>741</v>
      </c>
      <c r="L5477" s="194"/>
    </row>
    <row r="5478" spans="1:12" s="196" customFormat="1">
      <c r="A5478" s="1645"/>
      <c r="B5478" s="427"/>
      <c r="C5478" s="408"/>
      <c r="D5478" s="408"/>
      <c r="E5478" s="228"/>
      <c r="F5478" s="585"/>
      <c r="G5478" s="20"/>
      <c r="H5478" s="530"/>
      <c r="I5478" s="520"/>
      <c r="J5478" s="589"/>
      <c r="K5478" s="520"/>
      <c r="L5478" s="194"/>
    </row>
    <row r="5479" spans="1:12" s="196" customFormat="1">
      <c r="A5479" s="589"/>
      <c r="B5479" s="151"/>
      <c r="C5479" s="408"/>
      <c r="D5479" s="408"/>
      <c r="E5479" s="228"/>
      <c r="F5479" s="585"/>
      <c r="G5479" s="592"/>
      <c r="H5479" s="530"/>
      <c r="I5479" s="520"/>
      <c r="J5479" s="589"/>
      <c r="K5479" s="520"/>
      <c r="L5479" s="194"/>
    </row>
    <row r="5480" spans="1:12" s="196" customFormat="1" ht="15.75">
      <c r="A5480" s="589"/>
      <c r="B5480" s="1691" t="s">
        <v>8741</v>
      </c>
      <c r="C5480" s="408"/>
      <c r="D5480" s="408"/>
      <c r="E5480" s="228"/>
      <c r="F5480" s="585"/>
      <c r="G5480" s="552"/>
      <c r="H5480" s="530"/>
      <c r="I5480" s="520"/>
      <c r="J5480" s="589"/>
      <c r="K5480" s="520"/>
      <c r="L5480" s="194"/>
    </row>
    <row r="5481" spans="1:12" s="196" customFormat="1">
      <c r="A5481" s="589"/>
      <c r="B5481" s="151"/>
      <c r="C5481" s="408"/>
      <c r="D5481" s="408"/>
      <c r="E5481" s="228"/>
      <c r="F5481" s="585"/>
      <c r="G5481" s="592"/>
      <c r="H5481" s="530"/>
      <c r="I5481" s="520"/>
      <c r="J5481" s="589"/>
      <c r="K5481" s="520"/>
      <c r="L5481" s="194"/>
    </row>
    <row r="5482" spans="1:12" s="196" customFormat="1">
      <c r="A5482" s="1680"/>
      <c r="B5482" s="151" t="s">
        <v>8742</v>
      </c>
      <c r="C5482" s="408"/>
      <c r="D5482" s="408">
        <f t="shared" ref="D5482:D5494" si="705">C5482*(1-0)*fcl</f>
        <v>0</v>
      </c>
      <c r="E5482" s="228">
        <v>10</v>
      </c>
      <c r="F5482" s="585">
        <f t="shared" ref="F5482:F5494" si="706">ROUNDUP(D5482+E5482,1)</f>
        <v>10</v>
      </c>
      <c r="G5482" s="338" t="s">
        <v>8743</v>
      </c>
      <c r="H5482" s="530" t="str">
        <f t="shared" ref="H5482:H5494" si="707">B5482</f>
        <v>CMC_2.5kVAR/220V</v>
      </c>
      <c r="I5482" s="520"/>
      <c r="J5482" s="589" t="s">
        <v>6177</v>
      </c>
      <c r="K5482" s="520" t="s">
        <v>741</v>
      </c>
      <c r="L5482" s="194"/>
    </row>
    <row r="5483" spans="1:12" s="196" customFormat="1">
      <c r="A5483" s="1680"/>
      <c r="B5483" s="151" t="s">
        <v>8744</v>
      </c>
      <c r="C5483" s="408"/>
      <c r="D5483" s="408">
        <f t="shared" si="705"/>
        <v>0</v>
      </c>
      <c r="E5483" s="228">
        <v>10</v>
      </c>
      <c r="F5483" s="585">
        <f t="shared" si="706"/>
        <v>10</v>
      </c>
      <c r="G5483" s="338" t="s">
        <v>8745</v>
      </c>
      <c r="H5483" s="530" t="str">
        <f t="shared" si="707"/>
        <v>CMC_5kVAR/220V</v>
      </c>
      <c r="I5483" s="520"/>
      <c r="J5483" s="589" t="s">
        <v>6177</v>
      </c>
      <c r="K5483" s="520" t="s">
        <v>741</v>
      </c>
      <c r="L5483" s="194"/>
    </row>
    <row r="5484" spans="1:12" s="196" customFormat="1">
      <c r="A5484" s="1680"/>
      <c r="B5484" s="151" t="s">
        <v>8746</v>
      </c>
      <c r="C5484" s="408">
        <v>50</v>
      </c>
      <c r="D5484" s="408">
        <f t="shared" si="705"/>
        <v>83.5</v>
      </c>
      <c r="E5484" s="228">
        <v>10</v>
      </c>
      <c r="F5484" s="585">
        <f t="shared" si="706"/>
        <v>93.5</v>
      </c>
      <c r="G5484" s="338" t="s">
        <v>8747</v>
      </c>
      <c r="H5484" s="530" t="str">
        <f t="shared" si="707"/>
        <v>CMC_7.5kVAR/220V</v>
      </c>
      <c r="I5484" s="520"/>
      <c r="J5484" s="589" t="s">
        <v>6177</v>
      </c>
      <c r="K5484" s="520" t="s">
        <v>741</v>
      </c>
      <c r="L5484" s="194"/>
    </row>
    <row r="5485" spans="1:12" s="196" customFormat="1">
      <c r="A5485" s="1651"/>
      <c r="B5485" s="151" t="s">
        <v>4980</v>
      </c>
      <c r="C5485" s="408"/>
      <c r="D5485" s="408">
        <f t="shared" si="705"/>
        <v>0</v>
      </c>
      <c r="E5485" s="228">
        <v>10</v>
      </c>
      <c r="F5485" s="585">
        <f t="shared" si="706"/>
        <v>10</v>
      </c>
      <c r="G5485" s="338" t="s">
        <v>8748</v>
      </c>
      <c r="H5485" s="530" t="str">
        <f t="shared" si="707"/>
        <v>CMC_10kVAR/230V</v>
      </c>
      <c r="I5485" s="520"/>
      <c r="J5485" s="589" t="s">
        <v>6177</v>
      </c>
      <c r="K5485" s="520" t="s">
        <v>741</v>
      </c>
      <c r="L5485" s="194"/>
    </row>
    <row r="5486" spans="1:12" s="196" customFormat="1">
      <c r="A5486" s="589"/>
      <c r="B5486" s="151" t="s">
        <v>5289</v>
      </c>
      <c r="C5486" s="408"/>
      <c r="D5486" s="408">
        <f t="shared" si="705"/>
        <v>0</v>
      </c>
      <c r="E5486" s="228">
        <v>10</v>
      </c>
      <c r="F5486" s="585">
        <f t="shared" si="706"/>
        <v>10</v>
      </c>
      <c r="G5486" s="338" t="s">
        <v>8749</v>
      </c>
      <c r="H5486" s="530" t="str">
        <f t="shared" si="707"/>
        <v>CMC_12.5kVAR/230V</v>
      </c>
      <c r="I5486" s="520"/>
      <c r="J5486" s="589" t="s">
        <v>6177</v>
      </c>
      <c r="K5486" s="520" t="s">
        <v>741</v>
      </c>
      <c r="L5486" s="194"/>
    </row>
    <row r="5487" spans="1:12" s="196" customFormat="1">
      <c r="A5487" s="1651"/>
      <c r="B5487" s="151" t="s">
        <v>12439</v>
      </c>
      <c r="C5487" s="408">
        <v>110</v>
      </c>
      <c r="D5487" s="408">
        <f t="shared" ref="D5487" si="708">C5487*(1-0)*fcl</f>
        <v>183.7</v>
      </c>
      <c r="E5487" s="228">
        <v>10</v>
      </c>
      <c r="F5487" s="585">
        <f t="shared" si="706"/>
        <v>193.7</v>
      </c>
      <c r="G5487" s="338" t="s">
        <v>12440</v>
      </c>
      <c r="H5487" s="530" t="str">
        <f t="shared" si="707"/>
        <v>CMC_15kVAR/220V</v>
      </c>
      <c r="I5487" s="520"/>
      <c r="J5487" s="589" t="s">
        <v>6177</v>
      </c>
      <c r="K5487" s="520" t="s">
        <v>741</v>
      </c>
      <c r="L5487" s="194"/>
    </row>
    <row r="5488" spans="1:12" s="196" customFormat="1">
      <c r="A5488" s="589"/>
      <c r="B5488" s="151" t="s">
        <v>13590</v>
      </c>
      <c r="C5488" s="408">
        <v>110</v>
      </c>
      <c r="D5488" s="408">
        <f t="shared" si="705"/>
        <v>183.7</v>
      </c>
      <c r="E5488" s="228">
        <v>10</v>
      </c>
      <c r="F5488" s="585">
        <f t="shared" si="706"/>
        <v>193.7</v>
      </c>
      <c r="G5488" s="338" t="s">
        <v>8750</v>
      </c>
      <c r="H5488" s="530" t="str">
        <f t="shared" si="707"/>
        <v>CMC_20kVAR/220V</v>
      </c>
      <c r="I5488" s="520"/>
      <c r="J5488" s="589" t="s">
        <v>6177</v>
      </c>
      <c r="K5488" s="520" t="s">
        <v>741</v>
      </c>
      <c r="L5488" s="194"/>
    </row>
    <row r="5489" spans="1:12" s="1678" customFormat="1">
      <c r="A5489" s="1680"/>
      <c r="B5489" s="1676" t="s">
        <v>13580</v>
      </c>
      <c r="C5489" s="2130">
        <v>110</v>
      </c>
      <c r="D5489" s="2130">
        <f t="shared" ref="D5489" si="709">C5489*(1-0)*fcl</f>
        <v>183.7</v>
      </c>
      <c r="E5489" s="1668">
        <v>10</v>
      </c>
      <c r="F5489" s="591">
        <f t="shared" si="706"/>
        <v>193.7</v>
      </c>
      <c r="G5489" s="342" t="s">
        <v>13581</v>
      </c>
      <c r="H5489" s="2187" t="str">
        <f t="shared" si="707"/>
        <v>CMC_25kVAR/230V</v>
      </c>
      <c r="I5489" s="620"/>
      <c r="J5489" s="1680" t="s">
        <v>6177</v>
      </c>
      <c r="K5489" s="620" t="s">
        <v>741</v>
      </c>
    </row>
    <row r="5490" spans="1:12" s="196" customFormat="1">
      <c r="A5490" s="589"/>
      <c r="B5490" s="151" t="s">
        <v>3512</v>
      </c>
      <c r="C5490" s="408"/>
      <c r="D5490" s="408">
        <f t="shared" si="705"/>
        <v>0</v>
      </c>
      <c r="E5490" s="228">
        <v>10</v>
      </c>
      <c r="F5490" s="585">
        <f t="shared" si="706"/>
        <v>10</v>
      </c>
      <c r="G5490" s="338" t="s">
        <v>8751</v>
      </c>
      <c r="H5490" s="530" t="str">
        <f t="shared" si="707"/>
        <v>CMC_29kVAR/230V</v>
      </c>
      <c r="I5490" s="520"/>
      <c r="J5490" s="589" t="s">
        <v>6177</v>
      </c>
      <c r="K5490" s="520" t="s">
        <v>741</v>
      </c>
      <c r="L5490" s="194"/>
    </row>
    <row r="5491" spans="1:12" s="196" customFormat="1">
      <c r="A5491" s="589"/>
      <c r="B5491" s="151" t="s">
        <v>8752</v>
      </c>
      <c r="C5491" s="408"/>
      <c r="D5491" s="408">
        <f t="shared" si="705"/>
        <v>0</v>
      </c>
      <c r="E5491" s="228">
        <v>10</v>
      </c>
      <c r="F5491" s="585">
        <f t="shared" si="706"/>
        <v>10</v>
      </c>
      <c r="G5491" s="338" t="s">
        <v>8753</v>
      </c>
      <c r="H5491" s="530" t="str">
        <f t="shared" si="707"/>
        <v>CMC_30kVAR/230V</v>
      </c>
      <c r="I5491" s="520"/>
      <c r="J5491" s="589" t="s">
        <v>6177</v>
      </c>
      <c r="K5491" s="520" t="s">
        <v>741</v>
      </c>
      <c r="L5491" s="194"/>
    </row>
    <row r="5492" spans="1:12" s="196" customFormat="1">
      <c r="A5492" s="589"/>
      <c r="B5492" s="151" t="s">
        <v>3514</v>
      </c>
      <c r="C5492" s="408"/>
      <c r="D5492" s="408">
        <f t="shared" si="705"/>
        <v>0</v>
      </c>
      <c r="E5492" s="228">
        <v>10</v>
      </c>
      <c r="F5492" s="585">
        <f t="shared" si="706"/>
        <v>10</v>
      </c>
      <c r="G5492" s="338" t="s">
        <v>8754</v>
      </c>
      <c r="H5492" s="530" t="str">
        <f t="shared" si="707"/>
        <v>CMC_32kVAR/230V</v>
      </c>
      <c r="I5492" s="520"/>
      <c r="J5492" s="589" t="s">
        <v>6177</v>
      </c>
      <c r="K5492" s="520" t="s">
        <v>741</v>
      </c>
      <c r="L5492" s="194"/>
    </row>
    <row r="5493" spans="1:12" s="196" customFormat="1">
      <c r="A5493" s="589"/>
      <c r="B5493" s="151" t="s">
        <v>10959</v>
      </c>
      <c r="C5493" s="408">
        <v>285</v>
      </c>
      <c r="D5493" s="408">
        <f t="shared" si="705"/>
        <v>475.95</v>
      </c>
      <c r="E5493" s="228">
        <v>10</v>
      </c>
      <c r="F5493" s="585">
        <f t="shared" si="706"/>
        <v>486</v>
      </c>
      <c r="G5493" s="338" t="s">
        <v>10960</v>
      </c>
      <c r="H5493" s="530" t="str">
        <f t="shared" si="707"/>
        <v>CMC_40kVAR/230V</v>
      </c>
      <c r="I5493" s="520"/>
      <c r="J5493" s="589" t="s">
        <v>6177</v>
      </c>
      <c r="K5493" s="520" t="s">
        <v>741</v>
      </c>
      <c r="L5493" s="194"/>
    </row>
    <row r="5494" spans="1:12" s="196" customFormat="1">
      <c r="A5494" s="589"/>
      <c r="B5494" s="151" t="s">
        <v>3513</v>
      </c>
      <c r="C5494" s="408"/>
      <c r="D5494" s="408">
        <f t="shared" si="705"/>
        <v>0</v>
      </c>
      <c r="E5494" s="228">
        <v>10</v>
      </c>
      <c r="F5494" s="585">
        <f t="shared" si="706"/>
        <v>10</v>
      </c>
      <c r="G5494" s="338" t="s">
        <v>8755</v>
      </c>
      <c r="H5494" s="530" t="str">
        <f t="shared" si="707"/>
        <v>CMC_42kVAR/230V</v>
      </c>
      <c r="I5494" s="520"/>
      <c r="J5494" s="589" t="s">
        <v>6177</v>
      </c>
      <c r="K5494" s="520" t="s">
        <v>741</v>
      </c>
      <c r="L5494" s="194"/>
    </row>
    <row r="5495" spans="1:12" s="196" customFormat="1">
      <c r="A5495" s="589"/>
      <c r="B5495" s="151"/>
      <c r="C5495" s="408"/>
      <c r="D5495" s="408"/>
      <c r="E5495" s="228"/>
      <c r="F5495" s="585"/>
      <c r="G5495" s="338"/>
      <c r="H5495" s="530"/>
      <c r="I5495" s="520"/>
      <c r="J5495" s="589"/>
      <c r="K5495" s="520"/>
      <c r="L5495" s="194"/>
    </row>
    <row r="5496" spans="1:12" s="196" customFormat="1">
      <c r="A5496" s="589"/>
      <c r="B5496" s="151"/>
      <c r="C5496" s="408"/>
      <c r="D5496" s="408"/>
      <c r="E5496" s="228"/>
      <c r="F5496" s="585"/>
      <c r="G5496" s="338"/>
      <c r="H5496" s="530"/>
      <c r="I5496" s="520"/>
      <c r="J5496" s="589"/>
      <c r="K5496" s="520"/>
      <c r="L5496" s="194"/>
    </row>
    <row r="5497" spans="1:12" s="196" customFormat="1">
      <c r="A5497" s="2114"/>
      <c r="B5497" s="151" t="s">
        <v>13507</v>
      </c>
      <c r="C5497" s="408">
        <v>32</v>
      </c>
      <c r="D5497" s="408">
        <f t="shared" ref="D5497" si="710">C5497*(1-0)*fcl</f>
        <v>53.44</v>
      </c>
      <c r="E5497" s="228">
        <v>10</v>
      </c>
      <c r="F5497" s="585">
        <f t="shared" ref="F5497:F5510" si="711">ROUNDUP(D5497+E5497,1)</f>
        <v>63.5</v>
      </c>
      <c r="G5497" s="338" t="s">
        <v>13508</v>
      </c>
      <c r="H5497" s="530" t="str">
        <f t="shared" ref="H5497:H5510" si="712">B5497</f>
        <v>CMC_5kVAR/380V</v>
      </c>
      <c r="I5497" s="520"/>
      <c r="J5497" s="589" t="s">
        <v>6177</v>
      </c>
      <c r="K5497" s="520" t="s">
        <v>741</v>
      </c>
      <c r="L5497" s="194"/>
    </row>
    <row r="5498" spans="1:12" s="196" customFormat="1">
      <c r="A5498" s="2114"/>
      <c r="B5498" s="151" t="s">
        <v>11844</v>
      </c>
      <c r="C5498" s="408">
        <v>32</v>
      </c>
      <c r="D5498" s="408">
        <f t="shared" ref="D5498" si="713">C5498*(1-0)*fcl</f>
        <v>53.44</v>
      </c>
      <c r="E5498" s="228">
        <v>10</v>
      </c>
      <c r="F5498" s="585">
        <f t="shared" si="711"/>
        <v>63.5</v>
      </c>
      <c r="G5498" s="338" t="s">
        <v>11845</v>
      </c>
      <c r="H5498" s="530" t="str">
        <f t="shared" si="712"/>
        <v>CMC_6kVAR/380V</v>
      </c>
      <c r="I5498" s="520"/>
      <c r="J5498" s="589" t="s">
        <v>6177</v>
      </c>
      <c r="K5498" s="520" t="s">
        <v>741</v>
      </c>
      <c r="L5498" s="194"/>
    </row>
    <row r="5499" spans="1:12" s="196" customFormat="1">
      <c r="A5499" s="1651"/>
      <c r="B5499" s="151" t="s">
        <v>8762</v>
      </c>
      <c r="C5499" s="408">
        <v>40</v>
      </c>
      <c r="D5499" s="408">
        <v>80</v>
      </c>
      <c r="E5499" s="228">
        <v>10</v>
      </c>
      <c r="F5499" s="585">
        <f t="shared" si="711"/>
        <v>90</v>
      </c>
      <c r="G5499" s="338" t="s">
        <v>8763</v>
      </c>
      <c r="H5499" s="530" t="str">
        <f t="shared" si="712"/>
        <v>CMC_10kVAR/380V</v>
      </c>
      <c r="I5499" s="520"/>
      <c r="J5499" s="589" t="s">
        <v>6177</v>
      </c>
      <c r="K5499" s="520" t="s">
        <v>741</v>
      </c>
      <c r="L5499" s="194"/>
    </row>
    <row r="5500" spans="1:12" s="196" customFormat="1">
      <c r="A5500" s="1680"/>
      <c r="B5500" s="151" t="s">
        <v>8764</v>
      </c>
      <c r="C5500" s="408">
        <v>50</v>
      </c>
      <c r="D5500" s="408">
        <f t="shared" ref="D5500:D5510" si="714">C5500*(1-0)*fcl</f>
        <v>83.5</v>
      </c>
      <c r="E5500" s="228">
        <v>10</v>
      </c>
      <c r="F5500" s="585">
        <f t="shared" si="711"/>
        <v>93.5</v>
      </c>
      <c r="G5500" s="338" t="s">
        <v>8765</v>
      </c>
      <c r="H5500" s="530" t="str">
        <f t="shared" si="712"/>
        <v>CMC_15kVAR/380V</v>
      </c>
      <c r="I5500" s="520"/>
      <c r="J5500" s="589" t="s">
        <v>6177</v>
      </c>
      <c r="K5500" s="520" t="s">
        <v>741</v>
      </c>
      <c r="L5500" s="194"/>
    </row>
    <row r="5501" spans="1:12" s="196" customFormat="1">
      <c r="A5501" s="2132"/>
      <c r="B5501" s="151" t="s">
        <v>8766</v>
      </c>
      <c r="C5501" s="408">
        <v>50</v>
      </c>
      <c r="D5501" s="408">
        <f t="shared" si="714"/>
        <v>83.5</v>
      </c>
      <c r="E5501" s="228">
        <v>10</v>
      </c>
      <c r="F5501" s="585">
        <f t="shared" si="711"/>
        <v>93.5</v>
      </c>
      <c r="G5501" s="338" t="s">
        <v>8767</v>
      </c>
      <c r="H5501" s="530" t="str">
        <f t="shared" si="712"/>
        <v>CMC_20kVAR/380V</v>
      </c>
      <c r="I5501" s="520"/>
      <c r="J5501" s="589" t="s">
        <v>6177</v>
      </c>
      <c r="K5501" s="520" t="s">
        <v>741</v>
      </c>
      <c r="L5501" s="194"/>
    </row>
    <row r="5502" spans="1:12" s="1678" customFormat="1">
      <c r="A5502" s="1680"/>
      <c r="B5502" s="1676" t="s">
        <v>12750</v>
      </c>
      <c r="C5502" s="2130">
        <v>70</v>
      </c>
      <c r="D5502" s="2130">
        <f t="shared" ref="D5502" si="715">C5502*(1-0)*fcl</f>
        <v>116.89999999999999</v>
      </c>
      <c r="E5502" s="1668">
        <v>10</v>
      </c>
      <c r="F5502" s="591">
        <f t="shared" si="711"/>
        <v>126.9</v>
      </c>
      <c r="G5502" s="342" t="s">
        <v>8767</v>
      </c>
      <c r="H5502" s="2187" t="str">
        <f t="shared" si="712"/>
        <v>CMC_22kVAR/380V</v>
      </c>
      <c r="I5502" s="620"/>
      <c r="J5502" s="1680" t="s">
        <v>6177</v>
      </c>
      <c r="K5502" s="620" t="s">
        <v>741</v>
      </c>
    </row>
    <row r="5503" spans="1:12" s="196" customFormat="1">
      <c r="A5503" s="1692"/>
      <c r="B5503" s="1676" t="s">
        <v>8768</v>
      </c>
      <c r="C5503" s="408">
        <v>70</v>
      </c>
      <c r="D5503" s="408">
        <f t="shared" si="714"/>
        <v>116.89999999999999</v>
      </c>
      <c r="E5503" s="228">
        <v>10</v>
      </c>
      <c r="F5503" s="585">
        <f t="shared" si="711"/>
        <v>126.9</v>
      </c>
      <c r="G5503" s="338" t="s">
        <v>8769</v>
      </c>
      <c r="H5503" s="530" t="str">
        <f t="shared" si="712"/>
        <v>CMC_25kVAR/380V</v>
      </c>
      <c r="I5503" s="520"/>
      <c r="J5503" s="589" t="s">
        <v>6177</v>
      </c>
      <c r="K5503" s="520" t="s">
        <v>741</v>
      </c>
      <c r="L5503" s="194"/>
    </row>
    <row r="5504" spans="1:12" s="196" customFormat="1">
      <c r="A5504" s="1692"/>
      <c r="B5504" s="151" t="s">
        <v>8770</v>
      </c>
      <c r="C5504" s="408"/>
      <c r="D5504" s="408">
        <f t="shared" si="714"/>
        <v>0</v>
      </c>
      <c r="E5504" s="228">
        <v>10</v>
      </c>
      <c r="F5504" s="585">
        <f t="shared" si="711"/>
        <v>10</v>
      </c>
      <c r="G5504" s="338" t="s">
        <v>8771</v>
      </c>
      <c r="H5504" s="530" t="str">
        <f t="shared" si="712"/>
        <v>CMC_26kVAR/380V</v>
      </c>
      <c r="I5504" s="520"/>
      <c r="J5504" s="589" t="s">
        <v>6177</v>
      </c>
      <c r="K5504" s="520" t="s">
        <v>741</v>
      </c>
      <c r="L5504" s="194"/>
    </row>
    <row r="5505" spans="1:12" s="196" customFormat="1">
      <c r="A5505" s="1680"/>
      <c r="B5505" s="151" t="s">
        <v>8772</v>
      </c>
      <c r="C5505" s="408">
        <v>120</v>
      </c>
      <c r="D5505" s="408">
        <f t="shared" si="714"/>
        <v>200.39999999999998</v>
      </c>
      <c r="E5505" s="228">
        <v>10</v>
      </c>
      <c r="F5505" s="585">
        <f t="shared" si="711"/>
        <v>210.4</v>
      </c>
      <c r="G5505" s="338" t="s">
        <v>8773</v>
      </c>
      <c r="H5505" s="530" t="str">
        <f t="shared" si="712"/>
        <v>CMC_30kVAR/380V</v>
      </c>
      <c r="I5505" s="520"/>
      <c r="J5505" s="589" t="s">
        <v>6177</v>
      </c>
      <c r="K5505" s="520" t="s">
        <v>741</v>
      </c>
      <c r="L5505" s="194"/>
    </row>
    <row r="5506" spans="1:12" s="196" customFormat="1">
      <c r="A5506" s="2132"/>
      <c r="B5506" s="151" t="s">
        <v>6207</v>
      </c>
      <c r="C5506" s="408">
        <v>110</v>
      </c>
      <c r="D5506" s="408">
        <f t="shared" ref="D5506" si="716">C5506*(1-0)*fcl</f>
        <v>183.7</v>
      </c>
      <c r="E5506" s="228">
        <v>10</v>
      </c>
      <c r="F5506" s="585">
        <f t="shared" si="711"/>
        <v>193.7</v>
      </c>
      <c r="G5506" s="338" t="s">
        <v>8774</v>
      </c>
      <c r="H5506" s="530" t="str">
        <f t="shared" si="712"/>
        <v>CMC_40kVAR/380V</v>
      </c>
      <c r="I5506" s="520"/>
      <c r="J5506" s="589" t="s">
        <v>6177</v>
      </c>
      <c r="K5506" s="520" t="s">
        <v>741</v>
      </c>
      <c r="L5506" s="194"/>
    </row>
    <row r="5507" spans="1:12" s="196" customFormat="1">
      <c r="A5507" s="2132"/>
      <c r="B5507" s="151" t="s">
        <v>13196</v>
      </c>
      <c r="C5507" s="408">
        <v>120</v>
      </c>
      <c r="D5507" s="408">
        <f t="shared" si="714"/>
        <v>200.39999999999998</v>
      </c>
      <c r="E5507" s="228">
        <v>10</v>
      </c>
      <c r="F5507" s="585">
        <f t="shared" si="711"/>
        <v>210.4</v>
      </c>
      <c r="G5507" s="338" t="s">
        <v>13197</v>
      </c>
      <c r="H5507" s="530" t="str">
        <f t="shared" si="712"/>
        <v>CMC_45kVAR/380V</v>
      </c>
      <c r="I5507" s="520"/>
      <c r="J5507" s="589" t="s">
        <v>6177</v>
      </c>
      <c r="K5507" s="520" t="s">
        <v>741</v>
      </c>
      <c r="L5507" s="194"/>
    </row>
    <row r="5508" spans="1:12" s="196" customFormat="1" ht="13.5" customHeight="1">
      <c r="A5508" s="1680"/>
      <c r="B5508" s="151" t="s">
        <v>8775</v>
      </c>
      <c r="C5508" s="408">
        <v>120</v>
      </c>
      <c r="D5508" s="408">
        <f t="shared" si="714"/>
        <v>200.39999999999998</v>
      </c>
      <c r="E5508" s="228">
        <v>10</v>
      </c>
      <c r="F5508" s="585">
        <f t="shared" si="711"/>
        <v>210.4</v>
      </c>
      <c r="G5508" s="338" t="s">
        <v>8776</v>
      </c>
      <c r="H5508" s="530" t="str">
        <f t="shared" si="712"/>
        <v>CMC_50kVAR/380V</v>
      </c>
      <c r="I5508" s="520"/>
      <c r="J5508" s="589" t="s">
        <v>6177</v>
      </c>
      <c r="K5508" s="520" t="s">
        <v>741</v>
      </c>
      <c r="L5508" s="194"/>
    </row>
    <row r="5509" spans="1:12" s="196" customFormat="1">
      <c r="A5509" s="1692"/>
      <c r="B5509" s="151" t="s">
        <v>8777</v>
      </c>
      <c r="C5509" s="408">
        <v>230</v>
      </c>
      <c r="D5509" s="408">
        <f t="shared" si="714"/>
        <v>384.09999999999997</v>
      </c>
      <c r="E5509" s="228">
        <v>10</v>
      </c>
      <c r="F5509" s="585">
        <f t="shared" si="711"/>
        <v>394.1</v>
      </c>
      <c r="G5509" s="338" t="s">
        <v>8778</v>
      </c>
      <c r="H5509" s="530" t="str">
        <f t="shared" si="712"/>
        <v>CMC_60kVAR/380V</v>
      </c>
      <c r="I5509" s="520"/>
      <c r="J5509" s="589" t="s">
        <v>6177</v>
      </c>
      <c r="K5509" s="520" t="s">
        <v>741</v>
      </c>
      <c r="L5509" s="194"/>
    </row>
    <row r="5510" spans="1:12" s="196" customFormat="1">
      <c r="A5510" s="1692"/>
      <c r="B5510" s="151" t="s">
        <v>8779</v>
      </c>
      <c r="C5510" s="408"/>
      <c r="D5510" s="408">
        <f t="shared" si="714"/>
        <v>0</v>
      </c>
      <c r="E5510" s="228">
        <v>10</v>
      </c>
      <c r="F5510" s="585">
        <f t="shared" si="711"/>
        <v>10</v>
      </c>
      <c r="G5510" s="338" t="s">
        <v>8780</v>
      </c>
      <c r="H5510" s="530" t="str">
        <f t="shared" si="712"/>
        <v>CMC_70kVAR/380V</v>
      </c>
      <c r="I5510" s="520"/>
      <c r="J5510" s="589" t="s">
        <v>6177</v>
      </c>
      <c r="K5510" s="520" t="s">
        <v>741</v>
      </c>
      <c r="L5510" s="194"/>
    </row>
    <row r="5511" spans="1:12" s="194" customFormat="1">
      <c r="A5511" s="589"/>
      <c r="B5511" s="151"/>
      <c r="C5511" s="408"/>
      <c r="D5511" s="408"/>
      <c r="E5511" s="228"/>
      <c r="F5511" s="585"/>
      <c r="G5511" s="338"/>
      <c r="H5511" s="146"/>
      <c r="I5511" s="520"/>
      <c r="J5511" s="589"/>
      <c r="K5511" s="520"/>
    </row>
    <row r="5512" spans="1:12" s="196" customFormat="1">
      <c r="A5512" s="589"/>
      <c r="B5512" s="151"/>
      <c r="C5512" s="408"/>
      <c r="D5512" s="408"/>
      <c r="E5512" s="228"/>
      <c r="F5512" s="585"/>
      <c r="G5512" s="338"/>
      <c r="H5512" s="530"/>
      <c r="I5512" s="520"/>
      <c r="J5512" s="589"/>
      <c r="K5512" s="520"/>
      <c r="L5512" s="194"/>
    </row>
    <row r="5513" spans="1:12" s="196" customFormat="1">
      <c r="A5513" s="1645"/>
      <c r="B5513" s="151" t="s">
        <v>9950</v>
      </c>
      <c r="C5513" s="408"/>
      <c r="D5513" s="408">
        <f t="shared" ref="D5513:D5524" si="717">C5513*(1-0)*fcl</f>
        <v>0</v>
      </c>
      <c r="E5513" s="228">
        <v>10</v>
      </c>
      <c r="F5513" s="585">
        <f>ROUNDUP(D5513+E5513,1)</f>
        <v>10</v>
      </c>
      <c r="G5513" s="338" t="s">
        <v>9951</v>
      </c>
      <c r="H5513" s="530" t="str">
        <f t="shared" ref="H5513:H5524" si="718">B5513</f>
        <v>CMC_7.25kVAR/400V</v>
      </c>
      <c r="I5513" s="520"/>
      <c r="J5513" s="589" t="s">
        <v>6177</v>
      </c>
      <c r="K5513" s="520" t="s">
        <v>741</v>
      </c>
      <c r="L5513" s="194"/>
    </row>
    <row r="5514" spans="1:12" s="196" customFormat="1">
      <c r="A5514" s="1645"/>
      <c r="B5514" s="151" t="s">
        <v>9952</v>
      </c>
      <c r="C5514" s="408"/>
      <c r="D5514" s="408">
        <f t="shared" si="717"/>
        <v>0</v>
      </c>
      <c r="E5514" s="228">
        <v>10</v>
      </c>
      <c r="F5514" s="585">
        <f>ROUNDUP(D5514+E5514,1)</f>
        <v>10</v>
      </c>
      <c r="G5514" s="338" t="s">
        <v>9953</v>
      </c>
      <c r="H5514" s="530" t="str">
        <f t="shared" si="718"/>
        <v>CMC_13.8kVAR/400V</v>
      </c>
      <c r="I5514" s="520"/>
      <c r="J5514" s="589" t="s">
        <v>6177</v>
      </c>
      <c r="K5514" s="520" t="s">
        <v>741</v>
      </c>
      <c r="L5514" s="194"/>
    </row>
    <row r="5515" spans="1:12" s="196" customFormat="1">
      <c r="A5515" s="1680"/>
      <c r="B5515" s="151" t="s">
        <v>6204</v>
      </c>
      <c r="C5515" s="408">
        <v>40</v>
      </c>
      <c r="D5515" s="408">
        <f t="shared" si="717"/>
        <v>66.8</v>
      </c>
      <c r="E5515" s="228">
        <v>10</v>
      </c>
      <c r="F5515" s="585">
        <f>ROUNDUP(D5515+E5515,1)</f>
        <v>76.8</v>
      </c>
      <c r="G5515" s="338" t="s">
        <v>8756</v>
      </c>
      <c r="H5515" s="530" t="str">
        <f t="shared" si="718"/>
        <v>CMC_10kVAR/400V</v>
      </c>
      <c r="I5515" s="520"/>
      <c r="J5515" s="589" t="s">
        <v>6177</v>
      </c>
      <c r="K5515" s="520" t="s">
        <v>741</v>
      </c>
      <c r="L5515" s="194"/>
    </row>
    <row r="5516" spans="1:12" s="196" customFormat="1">
      <c r="A5516" s="1680"/>
      <c r="B5516" s="2119" t="s">
        <v>6205</v>
      </c>
      <c r="C5516" s="408">
        <v>65</v>
      </c>
      <c r="D5516" s="408">
        <f t="shared" ref="D5516" si="719">C5516*(1-0)*fcl</f>
        <v>108.55</v>
      </c>
      <c r="E5516" s="228">
        <v>10</v>
      </c>
      <c r="F5516" s="585">
        <f t="shared" ref="F5516:F5524" si="720">ROUNDUP(D5516+E5516,1)</f>
        <v>118.6</v>
      </c>
      <c r="G5516" s="338" t="s">
        <v>8757</v>
      </c>
      <c r="H5516" s="530" t="str">
        <f t="shared" si="718"/>
        <v>CMC_15kVAR/400V</v>
      </c>
      <c r="I5516" s="520"/>
      <c r="J5516" s="589" t="s">
        <v>6177</v>
      </c>
      <c r="K5516" s="520" t="s">
        <v>741</v>
      </c>
      <c r="L5516" s="194"/>
    </row>
    <row r="5517" spans="1:12" s="2098" customFormat="1">
      <c r="A5517" s="2095"/>
      <c r="B5517" s="151" t="s">
        <v>6206</v>
      </c>
      <c r="C5517" s="408">
        <v>50</v>
      </c>
      <c r="D5517" s="408">
        <f t="shared" si="717"/>
        <v>83.5</v>
      </c>
      <c r="E5517" s="228">
        <v>10</v>
      </c>
      <c r="F5517" s="585">
        <f t="shared" si="720"/>
        <v>93.5</v>
      </c>
      <c r="G5517" s="338" t="s">
        <v>11767</v>
      </c>
      <c r="H5517" s="2096" t="str">
        <f t="shared" si="718"/>
        <v>CMC_20kVAR/400V</v>
      </c>
      <c r="I5517" s="2097"/>
      <c r="J5517" s="2095" t="s">
        <v>6177</v>
      </c>
      <c r="K5517" s="2097" t="s">
        <v>741</v>
      </c>
    </row>
    <row r="5518" spans="1:12" s="196" customFormat="1">
      <c r="A5518" s="1645"/>
      <c r="B5518" s="151" t="s">
        <v>9954</v>
      </c>
      <c r="C5518" s="408"/>
      <c r="D5518" s="408">
        <f t="shared" si="717"/>
        <v>0</v>
      </c>
      <c r="E5518" s="228">
        <v>10</v>
      </c>
      <c r="F5518" s="585">
        <f>ROUNDUP(D5518+E5518,1)</f>
        <v>10</v>
      </c>
      <c r="G5518" s="338" t="s">
        <v>9955</v>
      </c>
      <c r="H5518" s="530" t="str">
        <f t="shared" si="718"/>
        <v>CMC_27.7kVAR/400V</v>
      </c>
      <c r="I5518" s="520"/>
      <c r="J5518" s="589" t="s">
        <v>6177</v>
      </c>
      <c r="K5518" s="520" t="s">
        <v>741</v>
      </c>
      <c r="L5518" s="194"/>
    </row>
    <row r="5519" spans="1:12" s="2102" customFormat="1">
      <c r="A5519" s="2099"/>
      <c r="B5519" s="151" t="s">
        <v>3552</v>
      </c>
      <c r="C5519" s="408">
        <v>110</v>
      </c>
      <c r="D5519" s="408">
        <f t="shared" si="717"/>
        <v>183.7</v>
      </c>
      <c r="E5519" s="228">
        <v>10</v>
      </c>
      <c r="F5519" s="585">
        <f t="shared" si="720"/>
        <v>193.7</v>
      </c>
      <c r="G5519" s="338" t="s">
        <v>11768</v>
      </c>
      <c r="H5519" s="2100" t="str">
        <f t="shared" si="718"/>
        <v>CMC_30kVAR/400V</v>
      </c>
      <c r="I5519" s="2101"/>
      <c r="J5519" s="2099" t="s">
        <v>6177</v>
      </c>
      <c r="K5519" s="2101" t="s">
        <v>741</v>
      </c>
    </row>
    <row r="5520" spans="1:12" s="2105" customFormat="1">
      <c r="A5520" s="1824"/>
      <c r="B5520" s="151" t="s">
        <v>3543</v>
      </c>
      <c r="C5520" s="408"/>
      <c r="D5520" s="408">
        <v>220</v>
      </c>
      <c r="E5520" s="228">
        <v>10</v>
      </c>
      <c r="F5520" s="585">
        <f t="shared" si="720"/>
        <v>230</v>
      </c>
      <c r="G5520" s="338" t="s">
        <v>8758</v>
      </c>
      <c r="H5520" s="2103" t="str">
        <f t="shared" si="718"/>
        <v>CMC_40kVAR/400V</v>
      </c>
      <c r="I5520" s="2104"/>
      <c r="J5520" s="1824" t="s">
        <v>6177</v>
      </c>
      <c r="K5520" s="2104" t="s">
        <v>741</v>
      </c>
    </row>
    <row r="5521" spans="1:12" s="196" customFormat="1">
      <c r="A5521" s="1680"/>
      <c r="B5521" s="2119" t="s">
        <v>13582</v>
      </c>
      <c r="C5521" s="408">
        <v>110</v>
      </c>
      <c r="D5521" s="408">
        <f t="shared" ref="D5521" si="721">C5521*(1-0)*fcl</f>
        <v>183.7</v>
      </c>
      <c r="E5521" s="228">
        <v>10</v>
      </c>
      <c r="F5521" s="585">
        <f t="shared" si="720"/>
        <v>193.7</v>
      </c>
      <c r="G5521" s="338" t="s">
        <v>13583</v>
      </c>
      <c r="H5521" s="530" t="str">
        <f t="shared" si="718"/>
        <v>CMC_50kVAR/400V</v>
      </c>
      <c r="I5521" s="520"/>
      <c r="J5521" s="589" t="s">
        <v>6177</v>
      </c>
      <c r="K5521" s="520" t="s">
        <v>741</v>
      </c>
      <c r="L5521" s="194"/>
    </row>
    <row r="5522" spans="1:12" s="196" customFormat="1">
      <c r="A5522" s="589"/>
      <c r="B5522" s="151" t="s">
        <v>3545</v>
      </c>
      <c r="C5522" s="408"/>
      <c r="D5522" s="408">
        <f t="shared" si="717"/>
        <v>0</v>
      </c>
      <c r="E5522" s="228">
        <v>10</v>
      </c>
      <c r="F5522" s="585">
        <f t="shared" si="720"/>
        <v>10</v>
      </c>
      <c r="G5522" s="338" t="s">
        <v>8759</v>
      </c>
      <c r="H5522" s="530" t="str">
        <f t="shared" si="718"/>
        <v>CMC_60kVAR/400V</v>
      </c>
      <c r="I5522" s="520"/>
      <c r="J5522" s="589" t="s">
        <v>6177</v>
      </c>
      <c r="K5522" s="520" t="s">
        <v>741</v>
      </c>
      <c r="L5522" s="194"/>
    </row>
    <row r="5523" spans="1:12" s="196" customFormat="1">
      <c r="A5523" s="589"/>
      <c r="B5523" s="151" t="s">
        <v>3546</v>
      </c>
      <c r="C5523" s="408">
        <v>230</v>
      </c>
      <c r="D5523" s="408">
        <f t="shared" si="717"/>
        <v>384.09999999999997</v>
      </c>
      <c r="E5523" s="228">
        <v>10</v>
      </c>
      <c r="F5523" s="585">
        <f>ROUNDUP(D5523+E5523,1)</f>
        <v>394.1</v>
      </c>
      <c r="G5523" s="338" t="s">
        <v>8760</v>
      </c>
      <c r="H5523" s="530" t="str">
        <f t="shared" si="718"/>
        <v>CMC_80kVAR/400V</v>
      </c>
      <c r="I5523" s="520"/>
      <c r="J5523" s="589" t="s">
        <v>6177</v>
      </c>
      <c r="K5523" s="520" t="s">
        <v>741</v>
      </c>
      <c r="L5523" s="194"/>
    </row>
    <row r="5524" spans="1:12" s="196" customFormat="1">
      <c r="A5524" s="589"/>
      <c r="B5524" s="151" t="s">
        <v>8761</v>
      </c>
      <c r="C5524" s="408"/>
      <c r="D5524" s="408">
        <f t="shared" si="717"/>
        <v>0</v>
      </c>
      <c r="E5524" s="228">
        <v>10</v>
      </c>
      <c r="F5524" s="585">
        <f t="shared" si="720"/>
        <v>10</v>
      </c>
      <c r="G5524" s="338" t="s">
        <v>9842</v>
      </c>
      <c r="H5524" s="530" t="str">
        <f t="shared" si="718"/>
        <v>CMC_90kVAR/400V</v>
      </c>
      <c r="I5524" s="520"/>
      <c r="J5524" s="589" t="s">
        <v>6177</v>
      </c>
      <c r="K5524" s="520" t="s">
        <v>741</v>
      </c>
      <c r="L5524" s="194"/>
    </row>
    <row r="5525" spans="1:12" s="196" customFormat="1" ht="15.75">
      <c r="A5525" s="589"/>
      <c r="B5525" s="1691"/>
      <c r="C5525" s="408"/>
      <c r="D5525" s="408"/>
      <c r="E5525" s="228"/>
      <c r="F5525" s="585"/>
      <c r="G5525" s="592"/>
      <c r="H5525" s="592"/>
      <c r="I5525" s="520"/>
      <c r="J5525" s="589"/>
      <c r="K5525" s="520"/>
    </row>
    <row r="5526" spans="1:12" s="196" customFormat="1">
      <c r="A5526" s="589"/>
      <c r="B5526" s="151" t="s">
        <v>12374</v>
      </c>
      <c r="C5526" s="408">
        <v>32</v>
      </c>
      <c r="D5526" s="408">
        <f>C5526*(1-0)*fcl</f>
        <v>53.44</v>
      </c>
      <c r="E5526" s="228">
        <v>10</v>
      </c>
      <c r="F5526" s="585">
        <f>ROUNDUP(D5526+E5526,1)</f>
        <v>63.5</v>
      </c>
      <c r="G5526" s="338" t="s">
        <v>12375</v>
      </c>
      <c r="H5526" s="530" t="str">
        <f>B5526</f>
        <v>CMC_12.5kVAR/440V</v>
      </c>
      <c r="I5526" s="520"/>
      <c r="J5526" s="589" t="s">
        <v>6177</v>
      </c>
      <c r="K5526" s="520" t="s">
        <v>741</v>
      </c>
      <c r="L5526" s="194"/>
    </row>
    <row r="5527" spans="1:12" s="196" customFormat="1">
      <c r="A5527" s="589"/>
      <c r="B5527" s="151" t="s">
        <v>12376</v>
      </c>
      <c r="C5527" s="408"/>
      <c r="D5527" s="408">
        <f>C5527*(1-0)*fcl</f>
        <v>0</v>
      </c>
      <c r="E5527" s="228">
        <v>10</v>
      </c>
      <c r="F5527" s="585">
        <f>ROUNDUP(D5527+E5527,1)</f>
        <v>10</v>
      </c>
      <c r="G5527" s="338" t="s">
        <v>12377</v>
      </c>
      <c r="H5527" s="530" t="str">
        <f>B5527</f>
        <v>CMC_25kVAR/440V</v>
      </c>
      <c r="I5527" s="520"/>
      <c r="J5527" s="589" t="s">
        <v>6177</v>
      </c>
      <c r="K5527" s="520" t="s">
        <v>741</v>
      </c>
      <c r="L5527" s="194"/>
    </row>
    <row r="5528" spans="1:12" s="196" customFormat="1" ht="15.75">
      <c r="A5528" s="589"/>
      <c r="B5528" s="1691"/>
      <c r="C5528" s="408"/>
      <c r="D5528" s="408"/>
      <c r="E5528" s="228"/>
      <c r="F5528" s="585"/>
      <c r="G5528" s="592"/>
      <c r="H5528" s="592"/>
      <c r="I5528" s="520"/>
      <c r="J5528" s="589"/>
      <c r="K5528" s="520"/>
    </row>
    <row r="5529" spans="1:12" s="196" customFormat="1">
      <c r="A5529" s="1692"/>
      <c r="B5529" s="151" t="s">
        <v>8781</v>
      </c>
      <c r="C5529" s="408"/>
      <c r="D5529" s="408">
        <f>C5529*(1-0)*fcl</f>
        <v>0</v>
      </c>
      <c r="E5529" s="228">
        <v>10</v>
      </c>
      <c r="F5529" s="585">
        <f>ROUNDUP(D5529+E5529,1)</f>
        <v>10</v>
      </c>
      <c r="G5529" s="338" t="s">
        <v>8782</v>
      </c>
      <c r="H5529" s="530" t="str">
        <f>B5529</f>
        <v>CMC_15kVAR/460V</v>
      </c>
      <c r="I5529" s="520"/>
      <c r="J5529" s="589" t="s">
        <v>6177</v>
      </c>
      <c r="K5529" s="520" t="s">
        <v>741</v>
      </c>
      <c r="L5529" s="194"/>
    </row>
    <row r="5530" spans="1:12" s="196" customFormat="1">
      <c r="A5530" s="1692"/>
      <c r="B5530" s="151" t="s">
        <v>14033</v>
      </c>
      <c r="C5530" s="408">
        <v>50</v>
      </c>
      <c r="D5530" s="408">
        <f>C5530*(1-0)*fcl</f>
        <v>83.5</v>
      </c>
      <c r="E5530" s="228">
        <v>10</v>
      </c>
      <c r="F5530" s="585">
        <f>ROUNDUP(D5530+E5530,1)</f>
        <v>93.5</v>
      </c>
      <c r="G5530" s="338" t="s">
        <v>14034</v>
      </c>
      <c r="H5530" s="530" t="str">
        <f>B5530</f>
        <v>CMC_20kVAR/460V</v>
      </c>
      <c r="I5530" s="520"/>
      <c r="J5530" s="589" t="s">
        <v>6177</v>
      </c>
      <c r="K5530" s="520" t="s">
        <v>741</v>
      </c>
      <c r="L5530" s="194"/>
    </row>
    <row r="5531" spans="1:12" s="196" customFormat="1">
      <c r="A5531" s="1692"/>
      <c r="B5531" s="151" t="s">
        <v>14035</v>
      </c>
      <c r="C5531" s="408">
        <v>50</v>
      </c>
      <c r="D5531" s="408">
        <f>C5531*(1-0)*fcl</f>
        <v>83.5</v>
      </c>
      <c r="E5531" s="228">
        <v>10</v>
      </c>
      <c r="F5531" s="585">
        <f>ROUNDUP(D5531+E5531,1)</f>
        <v>93.5</v>
      </c>
      <c r="G5531" s="338" t="s">
        <v>14036</v>
      </c>
      <c r="H5531" s="530" t="str">
        <f>B5531</f>
        <v>CMC_25kVAR/460V</v>
      </c>
      <c r="I5531" s="520"/>
      <c r="J5531" s="589" t="s">
        <v>6177</v>
      </c>
      <c r="K5531" s="520" t="s">
        <v>741</v>
      </c>
      <c r="L5531" s="194"/>
    </row>
    <row r="5532" spans="1:12" s="196" customFormat="1">
      <c r="A5532" s="1692"/>
      <c r="B5532" s="151" t="s">
        <v>14037</v>
      </c>
      <c r="C5532" s="408">
        <v>110</v>
      </c>
      <c r="D5532" s="408">
        <f>C5532*(1-0)*fcl</f>
        <v>183.7</v>
      </c>
      <c r="E5532" s="228">
        <v>10</v>
      </c>
      <c r="F5532" s="585">
        <f>ROUNDUP(D5532+E5532,1)</f>
        <v>193.7</v>
      </c>
      <c r="G5532" s="338" t="s">
        <v>14038</v>
      </c>
      <c r="H5532" s="530" t="str">
        <f>B5532</f>
        <v>CMC_40kVAR/460V</v>
      </c>
      <c r="I5532" s="520"/>
      <c r="J5532" s="589" t="s">
        <v>6177</v>
      </c>
      <c r="K5532" s="520" t="s">
        <v>741</v>
      </c>
      <c r="L5532" s="194"/>
    </row>
    <row r="5533" spans="1:12" s="196" customFormat="1">
      <c r="A5533" s="589"/>
      <c r="B5533" s="151"/>
      <c r="C5533" s="408"/>
      <c r="D5533" s="408"/>
      <c r="E5533" s="228"/>
      <c r="F5533" s="585"/>
      <c r="G5533" s="592"/>
      <c r="H5533" s="530"/>
      <c r="I5533" s="520"/>
      <c r="J5533" s="589"/>
      <c r="K5533" s="520"/>
      <c r="L5533" s="194"/>
    </row>
    <row r="5534" spans="1:12" s="196" customFormat="1">
      <c r="A5534" s="589"/>
      <c r="B5534" s="151"/>
      <c r="C5534" s="408"/>
      <c r="D5534" s="408"/>
      <c r="E5534" s="228"/>
      <c r="F5534" s="585"/>
      <c r="G5534" s="592"/>
      <c r="H5534" s="530"/>
      <c r="I5534" s="520"/>
      <c r="J5534" s="589"/>
      <c r="K5534" s="520"/>
      <c r="L5534" s="194"/>
    </row>
    <row r="5535" spans="1:12" s="196" customFormat="1">
      <c r="A5535" s="1692"/>
      <c r="B5535" s="151" t="s">
        <v>6201</v>
      </c>
      <c r="C5535" s="408">
        <v>350</v>
      </c>
      <c r="D5535" s="408">
        <f>C5535*(1-0)*fcl</f>
        <v>584.5</v>
      </c>
      <c r="E5535" s="228">
        <v>30</v>
      </c>
      <c r="F5535" s="585">
        <f>ROUNDUP(D5535+E5535,1)</f>
        <v>614.5</v>
      </c>
      <c r="G5535" s="592" t="s">
        <v>6202</v>
      </c>
      <c r="H5535" s="530" t="str">
        <f>B5535</f>
        <v>REG_SMART_III_14p</v>
      </c>
      <c r="I5535" s="520"/>
      <c r="J5535" s="589" t="s">
        <v>6177</v>
      </c>
      <c r="K5535" s="520"/>
      <c r="L5535" s="194"/>
    </row>
    <row r="5536" spans="1:12" s="196" customFormat="1">
      <c r="A5536" s="1680"/>
      <c r="B5536" s="151" t="s">
        <v>6203</v>
      </c>
      <c r="C5536" s="408">
        <v>340</v>
      </c>
      <c r="D5536" s="408">
        <f>C5536*(1-0)*fcl</f>
        <v>567.79999999999995</v>
      </c>
      <c r="E5536" s="228">
        <v>30</v>
      </c>
      <c r="F5536" s="585">
        <f>ROUNDUP(D5536+E5536,1)</f>
        <v>597.79999999999995</v>
      </c>
      <c r="G5536" s="592" t="s">
        <v>1985</v>
      </c>
      <c r="H5536" s="530" t="str">
        <f>B5536</f>
        <v>REG_SMART_III_12p</v>
      </c>
      <c r="I5536" s="520"/>
      <c r="J5536" s="589" t="s">
        <v>6177</v>
      </c>
      <c r="K5536" s="520"/>
      <c r="L5536" s="194"/>
    </row>
    <row r="5537" spans="1:12" s="196" customFormat="1">
      <c r="A5537" s="1680"/>
      <c r="B5537" s="151" t="s">
        <v>4983</v>
      </c>
      <c r="C5537" s="408">
        <v>310</v>
      </c>
      <c r="D5537" s="408">
        <f>C5537*(1-0)*fcl</f>
        <v>517.69999999999993</v>
      </c>
      <c r="E5537" s="228">
        <v>30</v>
      </c>
      <c r="F5537" s="585">
        <f>ROUNDUP(D5537+E5537,1)</f>
        <v>547.70000000000005</v>
      </c>
      <c r="G5537" s="592" t="s">
        <v>5288</v>
      </c>
      <c r="H5537" s="530" t="str">
        <f>B5537</f>
        <v>REG_SMART_III_6p</v>
      </c>
      <c r="I5537" s="520"/>
      <c r="J5537" s="589" t="s">
        <v>6177</v>
      </c>
      <c r="K5537" s="520"/>
      <c r="L5537" s="194"/>
    </row>
    <row r="5538" spans="1:12" s="196" customFormat="1">
      <c r="A5538" s="589"/>
      <c r="B5538" s="151"/>
      <c r="C5538" s="194"/>
      <c r="D5538" s="228"/>
      <c r="E5538" s="228"/>
      <c r="F5538" s="585"/>
      <c r="G5538" s="592"/>
      <c r="H5538" s="530"/>
      <c r="I5538" s="520"/>
      <c r="J5538" s="589"/>
      <c r="K5538" s="520"/>
      <c r="L5538" s="194"/>
    </row>
    <row r="5539" spans="1:12" s="196" customFormat="1">
      <c r="A5539" s="589"/>
      <c r="B5539" s="151"/>
      <c r="C5539" s="194"/>
      <c r="D5539" s="228"/>
      <c r="E5539" s="228"/>
      <c r="F5539" s="585"/>
      <c r="G5539" s="592"/>
      <c r="H5539" s="530"/>
      <c r="I5539" s="520"/>
      <c r="J5539" s="589"/>
      <c r="K5539" s="520"/>
      <c r="L5539" s="194"/>
    </row>
    <row r="5540" spans="1:12" s="196" customFormat="1">
      <c r="A5540" s="589"/>
      <c r="B5540" s="902"/>
      <c r="C5540" s="194"/>
      <c r="D5540" s="209"/>
      <c r="E5540" s="228"/>
      <c r="F5540" s="585"/>
      <c r="G5540" s="592"/>
      <c r="H5540" s="146"/>
      <c r="I5540" s="520"/>
      <c r="J5540" s="589"/>
      <c r="K5540" s="520"/>
      <c r="L5540" s="194"/>
    </row>
    <row r="5541" spans="1:12" s="194" customFormat="1">
      <c r="A5541" s="589"/>
      <c r="B5541" s="900" t="s">
        <v>8783</v>
      </c>
      <c r="C5541" s="162"/>
      <c r="D5541" s="162"/>
      <c r="E5541" s="228"/>
      <c r="F5541" s="585"/>
      <c r="G5541" s="592"/>
      <c r="H5541" s="146"/>
      <c r="I5541" s="520"/>
      <c r="J5541" s="589"/>
      <c r="K5541" s="520"/>
    </row>
    <row r="5542" spans="1:12" s="194" customFormat="1">
      <c r="A5542" s="589"/>
      <c r="B5542" s="900"/>
      <c r="C5542" s="162"/>
      <c r="D5542" s="162"/>
      <c r="E5542" s="228"/>
      <c r="F5542" s="585"/>
      <c r="H5542" s="146"/>
      <c r="I5542" s="520"/>
      <c r="J5542" s="589"/>
      <c r="K5542" s="520"/>
    </row>
    <row r="5543" spans="1:12" s="196" customFormat="1">
      <c r="A5543" s="1692"/>
      <c r="B5543" s="151" t="s">
        <v>13423</v>
      </c>
      <c r="C5543" s="228">
        <v>420</v>
      </c>
      <c r="D5543" s="162">
        <f>C5543*fcl</f>
        <v>701.4</v>
      </c>
      <c r="E5543" s="228">
        <v>20</v>
      </c>
      <c r="F5543" s="585">
        <f>ROUNDUP(D5543+E5543,1)</f>
        <v>721.4</v>
      </c>
      <c r="G5543" s="338" t="s">
        <v>13424</v>
      </c>
      <c r="H5543" s="530" t="str">
        <f>B5543</f>
        <v>LM25-M</v>
      </c>
      <c r="I5543" s="520"/>
      <c r="J5543" s="589" t="s">
        <v>6177</v>
      </c>
      <c r="K5543" s="520" t="s">
        <v>741</v>
      </c>
      <c r="L5543" s="194"/>
    </row>
    <row r="5544" spans="1:12" s="194" customFormat="1">
      <c r="A5544" s="589"/>
      <c r="B5544" s="900"/>
      <c r="C5544" s="162"/>
      <c r="D5544" s="162"/>
      <c r="E5544" s="228"/>
      <c r="F5544" s="585"/>
      <c r="H5544" s="146"/>
      <c r="I5544" s="520"/>
      <c r="J5544" s="589"/>
      <c r="K5544" s="520"/>
    </row>
    <row r="5545" spans="1:12" s="196" customFormat="1">
      <c r="A5545" s="1692"/>
      <c r="B5545" s="151" t="s">
        <v>12677</v>
      </c>
      <c r="C5545" s="228">
        <v>678.03</v>
      </c>
      <c r="D5545" s="162">
        <f>C5545*(1-0.2)*fcl</f>
        <v>905.84807999999998</v>
      </c>
      <c r="E5545" s="228">
        <v>10</v>
      </c>
      <c r="F5545" s="585">
        <f>ROUNDUP(D5545+E5545,1)</f>
        <v>915.9</v>
      </c>
      <c r="G5545" s="338" t="s">
        <v>12678</v>
      </c>
      <c r="H5545" s="530" t="str">
        <f>B5545</f>
        <v>CBS-4C</v>
      </c>
      <c r="I5545" s="520"/>
      <c r="J5545" s="589" t="s">
        <v>6177</v>
      </c>
      <c r="K5545" s="520" t="s">
        <v>741</v>
      </c>
      <c r="L5545" s="194"/>
    </row>
    <row r="5546" spans="1:12" s="196" customFormat="1">
      <c r="A5546" s="1692"/>
      <c r="B5546" s="151"/>
      <c r="C5546" s="162"/>
      <c r="D5546" s="162"/>
      <c r="E5546" s="228"/>
      <c r="F5546" s="585"/>
      <c r="G5546" s="338"/>
      <c r="H5546" s="530"/>
      <c r="I5546" s="520"/>
      <c r="J5546" s="589"/>
      <c r="K5546" s="520"/>
      <c r="L5546" s="194"/>
    </row>
    <row r="5547" spans="1:12" s="196" customFormat="1">
      <c r="A5547" s="1692"/>
      <c r="B5547" s="151" t="s">
        <v>9453</v>
      </c>
      <c r="C5547" s="228">
        <v>9.3800000000000008</v>
      </c>
      <c r="D5547" s="162">
        <f>C5547*(1-0.2)*fcl</f>
        <v>12.531680000000001</v>
      </c>
      <c r="E5547" s="228">
        <v>10</v>
      </c>
      <c r="F5547" s="585">
        <f>ROUNDUP(D5547+E5547,1)</f>
        <v>22.6</v>
      </c>
      <c r="G5547" s="338" t="s">
        <v>11683</v>
      </c>
      <c r="H5547" s="530"/>
      <c r="I5547" s="520"/>
      <c r="J5547" s="589"/>
      <c r="K5547" s="520"/>
      <c r="L5547" s="194"/>
    </row>
    <row r="5548" spans="1:12" s="194" customFormat="1">
      <c r="A5548" s="589"/>
      <c r="B5548" s="151"/>
      <c r="C5548" s="162"/>
      <c r="D5548" s="162"/>
      <c r="E5548" s="228"/>
      <c r="F5548" s="585"/>
      <c r="G5548" s="592"/>
      <c r="H5548" s="146"/>
      <c r="I5548" s="520"/>
      <c r="J5548" s="589"/>
      <c r="K5548" s="520"/>
    </row>
    <row r="5549" spans="1:12" s="196" customFormat="1">
      <c r="A5549" s="1692"/>
      <c r="B5549" s="151" t="s">
        <v>13769</v>
      </c>
      <c r="C5549" s="228">
        <v>260</v>
      </c>
      <c r="D5549" s="162">
        <v>260</v>
      </c>
      <c r="E5549" s="228">
        <v>10</v>
      </c>
      <c r="F5549" s="585">
        <f>ROUNDUP(D5549+E5549,1)</f>
        <v>270</v>
      </c>
      <c r="G5549" s="338" t="s">
        <v>13770</v>
      </c>
      <c r="H5549" s="530" t="str">
        <f>B5549</f>
        <v>RGU-2</v>
      </c>
      <c r="I5549" s="520"/>
      <c r="J5549" s="589" t="s">
        <v>6177</v>
      </c>
      <c r="K5549" s="520" t="s">
        <v>741</v>
      </c>
      <c r="L5549" s="194"/>
    </row>
    <row r="5550" spans="1:12" s="196" customFormat="1">
      <c r="A5550" s="1692"/>
      <c r="B5550" s="151" t="s">
        <v>6208</v>
      </c>
      <c r="C5550" s="228">
        <v>254</v>
      </c>
      <c r="D5550" s="162">
        <f>C5550*(1-0.2)*fcl</f>
        <v>339.34399999999999</v>
      </c>
      <c r="E5550" s="228">
        <v>10</v>
      </c>
      <c r="F5550" s="585">
        <f>ROUNDUP(D5550+E5550,1)</f>
        <v>349.40000000000003</v>
      </c>
      <c r="G5550" s="338" t="s">
        <v>6209</v>
      </c>
      <c r="H5550" s="530" t="str">
        <f>B5550</f>
        <v>RGU-10</v>
      </c>
      <c r="I5550" s="520"/>
      <c r="J5550" s="589" t="s">
        <v>6177</v>
      </c>
      <c r="K5550" s="520" t="s">
        <v>741</v>
      </c>
      <c r="L5550" s="194"/>
    </row>
    <row r="5551" spans="1:12" s="196" customFormat="1">
      <c r="A5551" s="1692"/>
      <c r="B5551" s="151" t="s">
        <v>8785</v>
      </c>
      <c r="C5551" s="228">
        <f>1.67*168*0.8</f>
        <v>224.44800000000001</v>
      </c>
      <c r="D5551" s="162">
        <f>C5551*(1-0.2)*fcl</f>
        <v>299.862528</v>
      </c>
      <c r="E5551" s="228">
        <v>10</v>
      </c>
      <c r="F5551" s="585">
        <f>ROUNDUP(D5551+E5551,1)</f>
        <v>309.90000000000003</v>
      </c>
      <c r="G5551" s="338" t="s">
        <v>8786</v>
      </c>
      <c r="H5551" s="530" t="str">
        <f>B5551</f>
        <v>RGU-10C</v>
      </c>
      <c r="I5551" s="520"/>
      <c r="J5551" s="589" t="s">
        <v>6177</v>
      </c>
      <c r="K5551" s="520" t="s">
        <v>741</v>
      </c>
      <c r="L5551" s="194"/>
    </row>
    <row r="5552" spans="1:12" s="194" customFormat="1">
      <c r="A5552" s="589"/>
      <c r="B5552" s="151"/>
      <c r="C5552" s="228"/>
      <c r="D5552" s="162"/>
      <c r="E5552" s="228"/>
      <c r="F5552" s="585"/>
      <c r="G5552" s="338"/>
      <c r="H5552" s="146"/>
      <c r="I5552" s="520"/>
      <c r="J5552" s="589"/>
      <c r="K5552" s="520"/>
    </row>
    <row r="5553" spans="1:12" s="196" customFormat="1">
      <c r="A5553" s="1692"/>
      <c r="B5553" s="151" t="s">
        <v>9454</v>
      </c>
      <c r="C5553" s="228">
        <v>51.51</v>
      </c>
      <c r="D5553" s="162">
        <f t="shared" ref="D5553:D5564" si="722">C5553*(1-0.2)*fcl</f>
        <v>68.817359999999994</v>
      </c>
      <c r="E5553" s="228">
        <v>10</v>
      </c>
      <c r="F5553" s="585">
        <f>ROUNDUP(D5553+E5553,1)</f>
        <v>78.899999999999991</v>
      </c>
      <c r="G5553" s="338" t="s">
        <v>9455</v>
      </c>
      <c r="H5553" s="530" t="str">
        <f>B5553</f>
        <v>WGC-20</v>
      </c>
      <c r="I5553" s="520"/>
      <c r="J5553" s="589" t="s">
        <v>6177</v>
      </c>
      <c r="K5553" s="520" t="s">
        <v>741</v>
      </c>
      <c r="L5553" s="194"/>
    </row>
    <row r="5554" spans="1:12" s="196" customFormat="1">
      <c r="A5554" s="1692"/>
      <c r="B5554" s="151" t="s">
        <v>9456</v>
      </c>
      <c r="C5554" s="228">
        <v>51.51</v>
      </c>
      <c r="D5554" s="162">
        <f t="shared" si="722"/>
        <v>68.817359999999994</v>
      </c>
      <c r="E5554" s="228">
        <v>10</v>
      </c>
      <c r="F5554" s="585">
        <f t="shared" ref="F5554:F5559" si="723">ROUNDUP(D5554+E5554,1)</f>
        <v>78.899999999999991</v>
      </c>
      <c r="G5554" s="338" t="s">
        <v>9457</v>
      </c>
      <c r="H5554" s="530" t="str">
        <f t="shared" ref="H5554:H5559" si="724">B5554</f>
        <v>WGC-25</v>
      </c>
      <c r="I5554" s="520"/>
      <c r="J5554" s="589" t="s">
        <v>6177</v>
      </c>
      <c r="K5554" s="520" t="s">
        <v>741</v>
      </c>
      <c r="L5554" s="194"/>
    </row>
    <row r="5555" spans="1:12" s="196" customFormat="1">
      <c r="A5555" s="1692"/>
      <c r="B5555" s="151" t="s">
        <v>9458</v>
      </c>
      <c r="C5555" s="228">
        <v>51.51</v>
      </c>
      <c r="D5555" s="162">
        <f t="shared" si="722"/>
        <v>68.817359999999994</v>
      </c>
      <c r="E5555" s="228">
        <v>10</v>
      </c>
      <c r="F5555" s="585">
        <f t="shared" si="723"/>
        <v>78.899999999999991</v>
      </c>
      <c r="G5555" s="338" t="s">
        <v>9459</v>
      </c>
      <c r="H5555" s="530" t="str">
        <f t="shared" si="724"/>
        <v>WGC-30</v>
      </c>
      <c r="I5555" s="520"/>
      <c r="J5555" s="589" t="s">
        <v>6177</v>
      </c>
      <c r="K5555" s="520" t="s">
        <v>741</v>
      </c>
      <c r="L5555" s="194"/>
    </row>
    <row r="5556" spans="1:12" s="196" customFormat="1">
      <c r="A5556" s="1692"/>
      <c r="B5556" s="151" t="s">
        <v>9460</v>
      </c>
      <c r="C5556" s="228">
        <v>57.05</v>
      </c>
      <c r="D5556" s="162">
        <f t="shared" si="722"/>
        <v>76.218800000000002</v>
      </c>
      <c r="E5556" s="228">
        <v>10</v>
      </c>
      <c r="F5556" s="585">
        <f t="shared" si="723"/>
        <v>86.3</v>
      </c>
      <c r="G5556" s="338" t="s">
        <v>9461</v>
      </c>
      <c r="H5556" s="530" t="str">
        <f t="shared" si="724"/>
        <v>WGC-35</v>
      </c>
      <c r="I5556" s="520"/>
      <c r="J5556" s="589" t="s">
        <v>6177</v>
      </c>
      <c r="K5556" s="520" t="s">
        <v>741</v>
      </c>
      <c r="L5556" s="194"/>
    </row>
    <row r="5557" spans="1:12" s="196" customFormat="1">
      <c r="A5557" s="1692"/>
      <c r="B5557" s="151" t="s">
        <v>9462</v>
      </c>
      <c r="C5557" s="228">
        <v>74.55</v>
      </c>
      <c r="D5557" s="162">
        <f t="shared" si="722"/>
        <v>99.598799999999997</v>
      </c>
      <c r="E5557" s="228">
        <v>10</v>
      </c>
      <c r="F5557" s="585">
        <f t="shared" si="723"/>
        <v>109.6</v>
      </c>
      <c r="G5557" s="338" t="s">
        <v>9463</v>
      </c>
      <c r="H5557" s="530" t="str">
        <f t="shared" si="724"/>
        <v>WGC-55</v>
      </c>
      <c r="I5557" s="520"/>
      <c r="J5557" s="589" t="s">
        <v>6177</v>
      </c>
      <c r="K5557" s="520" t="s">
        <v>741</v>
      </c>
      <c r="L5557" s="194"/>
    </row>
    <row r="5558" spans="1:12" s="196" customFormat="1">
      <c r="A5558" s="1692"/>
      <c r="B5558" s="151" t="s">
        <v>9464</v>
      </c>
      <c r="C5558" s="228">
        <v>81.03</v>
      </c>
      <c r="D5558" s="162">
        <f t="shared" si="722"/>
        <v>108.25608</v>
      </c>
      <c r="E5558" s="228">
        <v>10</v>
      </c>
      <c r="F5558" s="585">
        <f t="shared" si="723"/>
        <v>118.3</v>
      </c>
      <c r="G5558" s="338" t="s">
        <v>9465</v>
      </c>
      <c r="H5558" s="530" t="str">
        <f t="shared" si="724"/>
        <v>WGC-80</v>
      </c>
      <c r="I5558" s="520"/>
      <c r="J5558" s="589" t="s">
        <v>6177</v>
      </c>
      <c r="K5558" s="520" t="s">
        <v>741</v>
      </c>
      <c r="L5558" s="194"/>
    </row>
    <row r="5559" spans="1:12" s="196" customFormat="1">
      <c r="A5559" s="1692"/>
      <c r="B5559" s="151" t="s">
        <v>9466</v>
      </c>
      <c r="C5559" s="228">
        <v>161.93</v>
      </c>
      <c r="D5559" s="162">
        <f t="shared" si="722"/>
        <v>216.33848</v>
      </c>
      <c r="E5559" s="228">
        <v>10</v>
      </c>
      <c r="F5559" s="585">
        <f t="shared" si="723"/>
        <v>226.4</v>
      </c>
      <c r="G5559" s="338" t="s">
        <v>9467</v>
      </c>
      <c r="H5559" s="530" t="str">
        <f t="shared" si="724"/>
        <v>WGC-110</v>
      </c>
      <c r="I5559" s="520"/>
      <c r="J5559" s="589" t="s">
        <v>6177</v>
      </c>
      <c r="K5559" s="520" t="s">
        <v>741</v>
      </c>
      <c r="L5559" s="194"/>
    </row>
    <row r="5560" spans="1:12" s="196" customFormat="1">
      <c r="A5560" s="1692"/>
      <c r="B5560" s="151" t="s">
        <v>9468</v>
      </c>
      <c r="C5560" s="228">
        <v>370.56</v>
      </c>
      <c r="D5560" s="162">
        <f t="shared" si="722"/>
        <v>495.06816000000003</v>
      </c>
      <c r="E5560" s="228">
        <v>10</v>
      </c>
      <c r="F5560" s="585">
        <f>ROUNDUP(D5560+E5560,1)</f>
        <v>505.1</v>
      </c>
      <c r="G5560" s="338" t="s">
        <v>9469</v>
      </c>
      <c r="H5560" s="530" t="str">
        <f>B5560</f>
        <v>WGC-140</v>
      </c>
      <c r="I5560" s="520"/>
      <c r="J5560" s="589" t="s">
        <v>6177</v>
      </c>
      <c r="K5560" s="520" t="s">
        <v>741</v>
      </c>
      <c r="L5560" s="194"/>
    </row>
    <row r="5561" spans="1:12" s="196" customFormat="1">
      <c r="A5561" s="1692"/>
      <c r="B5561" s="151" t="s">
        <v>9470</v>
      </c>
      <c r="C5561" s="228">
        <v>560.11</v>
      </c>
      <c r="D5561" s="162">
        <f t="shared" si="722"/>
        <v>748.30696</v>
      </c>
      <c r="E5561" s="228">
        <v>10</v>
      </c>
      <c r="F5561" s="585">
        <f>ROUNDUP(D5561+E5561,1)</f>
        <v>758.4</v>
      </c>
      <c r="G5561" s="338" t="s">
        <v>9471</v>
      </c>
      <c r="H5561" s="530" t="str">
        <f>B5561</f>
        <v>WGC-180</v>
      </c>
      <c r="I5561" s="520"/>
      <c r="J5561" s="589" t="s">
        <v>6177</v>
      </c>
      <c r="K5561" s="520" t="s">
        <v>741</v>
      </c>
      <c r="L5561" s="194"/>
    </row>
    <row r="5562" spans="1:12" s="196" customFormat="1">
      <c r="A5562" s="1692"/>
      <c r="B5562" s="151" t="s">
        <v>9472</v>
      </c>
      <c r="C5562" s="228">
        <v>1060.3</v>
      </c>
      <c r="D5562" s="162">
        <f t="shared" si="722"/>
        <v>1416.5608</v>
      </c>
      <c r="E5562" s="228">
        <v>10</v>
      </c>
      <c r="F5562" s="585">
        <f>ROUNDUP(D5562+E5562,1)</f>
        <v>1426.6</v>
      </c>
      <c r="G5562" s="338" t="s">
        <v>9473</v>
      </c>
      <c r="H5562" s="530" t="str">
        <f>B5562</f>
        <v>WGC-220x105</v>
      </c>
      <c r="I5562" s="520"/>
      <c r="J5562" s="589" t="s">
        <v>6177</v>
      </c>
      <c r="K5562" s="520" t="s">
        <v>741</v>
      </c>
      <c r="L5562" s="194"/>
    </row>
    <row r="5563" spans="1:12" s="196" customFormat="1">
      <c r="A5563" s="1692"/>
      <c r="B5563" s="151" t="s">
        <v>6210</v>
      </c>
      <c r="C5563" s="228">
        <v>2929.43</v>
      </c>
      <c r="D5563" s="162">
        <f t="shared" si="722"/>
        <v>3913.7184799999995</v>
      </c>
      <c r="E5563" s="228">
        <v>10</v>
      </c>
      <c r="F5563" s="585">
        <f>ROUNDUP(D5563+E5563,1)</f>
        <v>3923.7999999999997</v>
      </c>
      <c r="G5563" s="338" t="s">
        <v>9474</v>
      </c>
      <c r="H5563" s="530" t="str">
        <f>B5563</f>
        <v>WGC-350x150</v>
      </c>
      <c r="I5563" s="520"/>
      <c r="J5563" s="589" t="s">
        <v>6177</v>
      </c>
      <c r="K5563" s="520" t="s">
        <v>741</v>
      </c>
      <c r="L5563" s="194"/>
    </row>
    <row r="5564" spans="1:12" s="196" customFormat="1">
      <c r="A5564" s="1692"/>
      <c r="B5564" s="151" t="s">
        <v>8784</v>
      </c>
      <c r="C5564" s="228">
        <v>4008.69</v>
      </c>
      <c r="D5564" s="162">
        <f t="shared" si="722"/>
        <v>5355.6098400000001</v>
      </c>
      <c r="E5564" s="228">
        <v>10</v>
      </c>
      <c r="F5564" s="585">
        <f>ROUNDUP(D5564+E5564,1)</f>
        <v>5365.7000000000007</v>
      </c>
      <c r="G5564" s="338" t="s">
        <v>9475</v>
      </c>
      <c r="H5564" s="530" t="str">
        <f>B5564</f>
        <v>WGC-500x200</v>
      </c>
      <c r="I5564" s="520"/>
      <c r="J5564" s="589" t="s">
        <v>6177</v>
      </c>
      <c r="K5564" s="520" t="s">
        <v>741</v>
      </c>
      <c r="L5564" s="194"/>
    </row>
    <row r="5565" spans="1:12" s="194" customFormat="1">
      <c r="A5565" s="589"/>
      <c r="B5565" s="151"/>
      <c r="C5565" s="228"/>
      <c r="D5565" s="162"/>
      <c r="E5565" s="228"/>
      <c r="F5565" s="585"/>
      <c r="G5565" s="338"/>
      <c r="H5565" s="146"/>
      <c r="I5565" s="520"/>
      <c r="J5565" s="589"/>
      <c r="K5565" s="520"/>
    </row>
    <row r="5566" spans="1:12" s="194" customFormat="1">
      <c r="A5566" s="589"/>
      <c r="B5566" s="151"/>
      <c r="C5566" s="228"/>
      <c r="D5566" s="162"/>
      <c r="E5566" s="228"/>
      <c r="F5566" s="585"/>
      <c r="G5566" s="338"/>
      <c r="H5566" s="146"/>
      <c r="I5566" s="520"/>
      <c r="J5566" s="589"/>
      <c r="K5566" s="520"/>
    </row>
    <row r="5567" spans="1:12" s="196" customFormat="1">
      <c r="A5567" s="1692"/>
      <c r="B5567" s="151" t="s">
        <v>13771</v>
      </c>
      <c r="C5567" s="228">
        <v>110</v>
      </c>
      <c r="D5567" s="162">
        <f>+C5567</f>
        <v>110</v>
      </c>
      <c r="E5567" s="228">
        <v>10</v>
      </c>
      <c r="F5567" s="585">
        <f t="shared" ref="F5567:F5570" si="725">ROUNDUP(D5567+E5567,1)</f>
        <v>120</v>
      </c>
      <c r="G5567" s="338" t="s">
        <v>13772</v>
      </c>
      <c r="H5567" s="530" t="str">
        <f t="shared" ref="H5567:H5570" si="726">B5567</f>
        <v>WGC-35_A</v>
      </c>
      <c r="I5567" s="520"/>
      <c r="J5567" s="589" t="s">
        <v>6177</v>
      </c>
      <c r="K5567" s="520" t="s">
        <v>741</v>
      </c>
      <c r="L5567" s="194"/>
    </row>
    <row r="5568" spans="1:12" s="196" customFormat="1">
      <c r="A5568" s="1692"/>
      <c r="B5568" s="151" t="s">
        <v>13773</v>
      </c>
      <c r="C5568" s="228">
        <v>140</v>
      </c>
      <c r="D5568" s="162">
        <f>+C5568</f>
        <v>140</v>
      </c>
      <c r="E5568" s="228">
        <v>10</v>
      </c>
      <c r="F5568" s="585">
        <f t="shared" si="725"/>
        <v>150</v>
      </c>
      <c r="G5568" s="338" t="s">
        <v>13774</v>
      </c>
      <c r="H5568" s="530" t="str">
        <f t="shared" si="726"/>
        <v>WGC-55_A</v>
      </c>
      <c r="I5568" s="520"/>
      <c r="J5568" s="589" t="s">
        <v>6177</v>
      </c>
      <c r="K5568" s="520" t="s">
        <v>741</v>
      </c>
      <c r="L5568" s="194"/>
    </row>
    <row r="5569" spans="1:12" s="196" customFormat="1">
      <c r="A5569" s="1692"/>
      <c r="B5569" s="151" t="s">
        <v>13775</v>
      </c>
      <c r="C5569" s="228">
        <v>190</v>
      </c>
      <c r="D5569" s="162">
        <f>+C5569</f>
        <v>190</v>
      </c>
      <c r="E5569" s="228">
        <v>10</v>
      </c>
      <c r="F5569" s="585">
        <f t="shared" si="725"/>
        <v>200</v>
      </c>
      <c r="G5569" s="338" t="s">
        <v>13776</v>
      </c>
      <c r="H5569" s="530" t="str">
        <f t="shared" si="726"/>
        <v>WGC-80_A</v>
      </c>
      <c r="I5569" s="520"/>
      <c r="J5569" s="589" t="s">
        <v>6177</v>
      </c>
      <c r="K5569" s="520" t="s">
        <v>741</v>
      </c>
      <c r="L5569" s="194"/>
    </row>
    <row r="5570" spans="1:12" s="196" customFormat="1">
      <c r="A5570" s="1692"/>
      <c r="B5570" s="151" t="s">
        <v>13777</v>
      </c>
      <c r="C5570" s="228">
        <v>300</v>
      </c>
      <c r="D5570" s="162">
        <f>+C5570</f>
        <v>300</v>
      </c>
      <c r="E5570" s="228">
        <v>10</v>
      </c>
      <c r="F5570" s="585">
        <f t="shared" si="725"/>
        <v>310</v>
      </c>
      <c r="G5570" s="338" t="s">
        <v>13778</v>
      </c>
      <c r="H5570" s="530" t="str">
        <f t="shared" si="726"/>
        <v>WGC-110_A</v>
      </c>
      <c r="I5570" s="520"/>
      <c r="J5570" s="589" t="s">
        <v>6177</v>
      </c>
      <c r="K5570" s="520" t="s">
        <v>741</v>
      </c>
      <c r="L5570" s="194"/>
    </row>
    <row r="5571" spans="1:12" s="196" customFormat="1">
      <c r="A5571" s="1692"/>
      <c r="B5571" s="151" t="s">
        <v>13779</v>
      </c>
      <c r="C5571" s="228">
        <v>690</v>
      </c>
      <c r="D5571" s="162">
        <f>+C5571</f>
        <v>690</v>
      </c>
      <c r="E5571" s="228">
        <v>10</v>
      </c>
      <c r="F5571" s="585">
        <f>ROUNDUP(D5571+E5571,1)</f>
        <v>700</v>
      </c>
      <c r="G5571" s="338" t="s">
        <v>13780</v>
      </c>
      <c r="H5571" s="530" t="str">
        <f>B5571</f>
        <v>WGC-140_A</v>
      </c>
      <c r="I5571" s="520"/>
      <c r="J5571" s="589" t="s">
        <v>6177</v>
      </c>
      <c r="K5571" s="520" t="s">
        <v>741</v>
      </c>
      <c r="L5571" s="194"/>
    </row>
    <row r="5572" spans="1:12" s="194" customFormat="1">
      <c r="A5572" s="589"/>
      <c r="B5572" s="151"/>
      <c r="C5572" s="228"/>
      <c r="D5572" s="162"/>
      <c r="E5572" s="228"/>
      <c r="F5572" s="585"/>
      <c r="G5572" s="338"/>
      <c r="H5572" s="146"/>
      <c r="I5572" s="520"/>
      <c r="J5572" s="589"/>
      <c r="K5572" s="520"/>
    </row>
    <row r="5573" spans="1:12" s="196" customFormat="1">
      <c r="A5573" s="1692"/>
      <c r="B5573" s="151" t="s">
        <v>9476</v>
      </c>
      <c r="C5573" s="228">
        <v>3.34</v>
      </c>
      <c r="D5573" s="162">
        <f>C5573*(1-0.2)*fcl</f>
        <v>4.4622400000000004</v>
      </c>
      <c r="E5573" s="228">
        <v>10</v>
      </c>
      <c r="F5573" s="585">
        <f>ROUNDUP(D5573+E5573,1)</f>
        <v>14.5</v>
      </c>
      <c r="G5573" s="338" t="s">
        <v>9843</v>
      </c>
      <c r="H5573" s="530"/>
      <c r="I5573" s="520"/>
      <c r="J5573" s="589"/>
      <c r="K5573" s="520"/>
      <c r="L5573" s="194"/>
    </row>
    <row r="5574" spans="1:12" s="194" customFormat="1">
      <c r="A5574" s="589"/>
      <c r="B5574" s="151"/>
      <c r="D5574" s="228"/>
      <c r="E5574" s="228"/>
      <c r="F5574" s="585"/>
      <c r="G5574" s="338"/>
      <c r="H5574" s="146"/>
      <c r="I5574" s="520"/>
      <c r="J5574" s="589"/>
      <c r="K5574" s="520"/>
    </row>
    <row r="5575" spans="1:12" s="194" customFormat="1">
      <c r="A5575" s="589"/>
      <c r="B5575" s="151"/>
      <c r="D5575" s="228"/>
      <c r="E5575" s="228"/>
      <c r="F5575" s="585"/>
      <c r="G5575" s="338"/>
      <c r="H5575" s="146"/>
      <c r="I5575" s="520"/>
      <c r="J5575" s="589"/>
      <c r="K5575" s="520"/>
    </row>
    <row r="5576" spans="1:12" s="194" customFormat="1">
      <c r="A5576" s="589"/>
      <c r="B5576" s="151"/>
      <c r="D5576" s="228"/>
      <c r="E5576" s="228"/>
      <c r="F5576" s="585"/>
      <c r="G5576" s="338"/>
      <c r="H5576" s="146"/>
      <c r="I5576" s="520"/>
      <c r="J5576" s="589"/>
      <c r="K5576" s="520"/>
    </row>
    <row r="5577" spans="1:12" s="196" customFormat="1">
      <c r="A5577" s="415"/>
      <c r="B5577" s="49"/>
      <c r="C5577" s="210"/>
      <c r="D5577" s="214"/>
      <c r="E5577" s="216"/>
      <c r="F5577" s="156"/>
      <c r="G5577" s="23"/>
      <c r="H5577" s="530"/>
      <c r="I5577" s="23"/>
      <c r="J5577" s="23"/>
      <c r="K5577" s="23"/>
      <c r="L5577" s="194"/>
    </row>
    <row r="5578" spans="1:12" s="196" customFormat="1">
      <c r="A5578" s="422"/>
      <c r="B5578" s="151" t="s">
        <v>1986</v>
      </c>
      <c r="C5578" s="228">
        <f>(12.5+2*0.6)</f>
        <v>13.7</v>
      </c>
      <c r="D5578" s="408">
        <f>C5578*fcl</f>
        <v>22.878999999999998</v>
      </c>
      <c r="E5578" s="228">
        <v>5</v>
      </c>
      <c r="F5578" s="585">
        <f t="shared" ref="F5578:F5588" si="727">ROUNDUP(D5578+E5578,1)</f>
        <v>27.900000000000002</v>
      </c>
      <c r="G5578" s="152" t="s">
        <v>1987</v>
      </c>
      <c r="H5578" s="530" t="str">
        <f t="shared" ref="H5578:H5585" si="728">B5578</f>
        <v>BASE_FUSIBLE_NH</v>
      </c>
      <c r="I5578" s="339"/>
      <c r="J5578" s="589" t="s">
        <v>1988</v>
      </c>
      <c r="K5578" s="520" t="s">
        <v>741</v>
      </c>
      <c r="L5578" s="194"/>
    </row>
    <row r="5579" spans="1:12" s="196" customFormat="1">
      <c r="A5579" s="422"/>
      <c r="B5579" s="151" t="s">
        <v>12378</v>
      </c>
      <c r="C5579" s="637">
        <v>18</v>
      </c>
      <c r="D5579" s="408">
        <f>C5579*fcl/TC</f>
        <v>8.9731343283582081</v>
      </c>
      <c r="E5579" s="228">
        <v>0</v>
      </c>
      <c r="F5579" s="585">
        <f t="shared" si="727"/>
        <v>9</v>
      </c>
      <c r="G5579" s="152" t="s">
        <v>12379</v>
      </c>
      <c r="H5579" s="530" t="str">
        <f t="shared" si="728"/>
        <v>FUSIBLE_NH-000_125A</v>
      </c>
      <c r="I5579" s="339"/>
      <c r="J5579" s="589" t="s">
        <v>1988</v>
      </c>
      <c r="K5579" s="520" t="s">
        <v>741</v>
      </c>
      <c r="L5579" s="194"/>
    </row>
    <row r="5580" spans="1:12" s="196" customFormat="1">
      <c r="A5580" s="422"/>
      <c r="B5580" s="151" t="s">
        <v>12380</v>
      </c>
      <c r="C5580" s="637">
        <v>16</v>
      </c>
      <c r="D5580" s="408">
        <f>C5580*fcl/TC</f>
        <v>7.9761194029850744</v>
      </c>
      <c r="E5580" s="228">
        <v>0</v>
      </c>
      <c r="F5580" s="585">
        <f t="shared" si="727"/>
        <v>8</v>
      </c>
      <c r="G5580" s="152" t="s">
        <v>12381</v>
      </c>
      <c r="H5580" s="530" t="str">
        <f t="shared" si="728"/>
        <v>FUSIBLE_NH-000_80A</v>
      </c>
      <c r="I5580" s="339"/>
      <c r="J5580" s="589" t="s">
        <v>1988</v>
      </c>
      <c r="K5580" s="520" t="s">
        <v>741</v>
      </c>
      <c r="L5580" s="194"/>
    </row>
    <row r="5581" spans="1:12" s="196" customFormat="1">
      <c r="A5581" s="422"/>
      <c r="B5581" s="151" t="s">
        <v>4872</v>
      </c>
      <c r="C5581" s="228">
        <v>2.6</v>
      </c>
      <c r="D5581" s="408">
        <f>C5581*fcl</f>
        <v>4.3419999999999996</v>
      </c>
      <c r="E5581" s="228">
        <v>0</v>
      </c>
      <c r="F5581" s="585">
        <f t="shared" si="727"/>
        <v>4.3999999999999995</v>
      </c>
      <c r="G5581" s="152" t="s">
        <v>5290</v>
      </c>
      <c r="H5581" s="530" t="str">
        <f t="shared" si="728"/>
        <v>FUSIBLE_NH-000_63A</v>
      </c>
      <c r="I5581" s="339"/>
      <c r="J5581" s="589" t="s">
        <v>1988</v>
      </c>
      <c r="K5581" s="520" t="s">
        <v>741</v>
      </c>
      <c r="L5581" s="194"/>
    </row>
    <row r="5582" spans="1:12" s="196" customFormat="1">
      <c r="A5582" s="422"/>
      <c r="B5582" s="151" t="s">
        <v>4873</v>
      </c>
      <c r="C5582" s="1666">
        <v>10.7</v>
      </c>
      <c r="D5582" s="2130">
        <f t="shared" ref="D5582:D5588" si="729">C5582*fcl/TC</f>
        <v>5.3340298507462682</v>
      </c>
      <c r="E5582" s="1668">
        <v>0</v>
      </c>
      <c r="F5582" s="591">
        <f t="shared" si="727"/>
        <v>5.3999999999999995</v>
      </c>
      <c r="G5582" s="152" t="s">
        <v>5291</v>
      </c>
      <c r="H5582" s="530" t="str">
        <f t="shared" si="728"/>
        <v>FUSIBLE_NH-000_50A</v>
      </c>
      <c r="I5582" s="339"/>
      <c r="J5582" s="589" t="s">
        <v>1988</v>
      </c>
      <c r="K5582" s="520" t="s">
        <v>741</v>
      </c>
      <c r="L5582" s="194"/>
    </row>
    <row r="5583" spans="1:12" s="194" customFormat="1">
      <c r="A5583" s="422"/>
      <c r="B5583" s="151" t="s">
        <v>12382</v>
      </c>
      <c r="C5583" s="637">
        <v>16</v>
      </c>
      <c r="D5583" s="408">
        <f t="shared" si="729"/>
        <v>7.9761194029850744</v>
      </c>
      <c r="E5583" s="228">
        <v>0</v>
      </c>
      <c r="F5583" s="585">
        <f t="shared" si="727"/>
        <v>8</v>
      </c>
      <c r="G5583" s="152" t="s">
        <v>12383</v>
      </c>
      <c r="H5583" s="146" t="str">
        <f t="shared" si="728"/>
        <v>FUSIBLE_NH-000_40A</v>
      </c>
      <c r="I5583" s="339"/>
      <c r="J5583" s="589" t="s">
        <v>1988</v>
      </c>
      <c r="K5583" s="520" t="s">
        <v>741</v>
      </c>
    </row>
    <row r="5584" spans="1:12" s="194" customFormat="1">
      <c r="A5584" s="422"/>
      <c r="B5584" s="151" t="s">
        <v>12384</v>
      </c>
      <c r="C5584" s="637">
        <v>10.7</v>
      </c>
      <c r="D5584" s="408">
        <f t="shared" si="729"/>
        <v>5.3340298507462682</v>
      </c>
      <c r="E5584" s="228">
        <v>0</v>
      </c>
      <c r="F5584" s="585">
        <f t="shared" si="727"/>
        <v>5.3999999999999995</v>
      </c>
      <c r="G5584" s="152" t="s">
        <v>12385</v>
      </c>
      <c r="H5584" s="146" t="str">
        <f t="shared" si="728"/>
        <v>FUSIBLE_NH-000_35A</v>
      </c>
      <c r="I5584" s="339"/>
      <c r="J5584" s="589" t="s">
        <v>1988</v>
      </c>
      <c r="K5584" s="520" t="s">
        <v>741</v>
      </c>
    </row>
    <row r="5585" spans="1:12" s="194" customFormat="1">
      <c r="A5585" s="422"/>
      <c r="B5585" s="151" t="s">
        <v>12386</v>
      </c>
      <c r="C5585" s="637">
        <v>10.7</v>
      </c>
      <c r="D5585" s="408">
        <f t="shared" si="729"/>
        <v>5.3340298507462682</v>
      </c>
      <c r="E5585" s="228">
        <v>0</v>
      </c>
      <c r="F5585" s="585">
        <f t="shared" si="727"/>
        <v>5.3999999999999995</v>
      </c>
      <c r="G5585" s="152" t="s">
        <v>12387</v>
      </c>
      <c r="H5585" s="146" t="str">
        <f t="shared" si="728"/>
        <v>FUSIBLE_NH-000_25A</v>
      </c>
      <c r="I5585" s="339"/>
      <c r="J5585" s="589" t="s">
        <v>1988</v>
      </c>
      <c r="K5585" s="520" t="s">
        <v>741</v>
      </c>
    </row>
    <row r="5586" spans="1:12" s="194" customFormat="1">
      <c r="A5586" s="422"/>
      <c r="B5586" s="151" t="s">
        <v>4874</v>
      </c>
      <c r="C5586" s="637">
        <v>7.35</v>
      </c>
      <c r="D5586" s="408">
        <f t="shared" si="729"/>
        <v>3.6640298507462683</v>
      </c>
      <c r="E5586" s="228">
        <v>0</v>
      </c>
      <c r="F5586" s="585">
        <f t="shared" si="727"/>
        <v>3.7</v>
      </c>
      <c r="G5586" s="152" t="s">
        <v>5292</v>
      </c>
      <c r="H5586" s="146" t="s">
        <v>4875</v>
      </c>
      <c r="I5586" s="339"/>
      <c r="J5586" s="589" t="s">
        <v>4876</v>
      </c>
      <c r="K5586" s="520" t="s">
        <v>741</v>
      </c>
    </row>
    <row r="5587" spans="1:12" s="196" customFormat="1">
      <c r="A5587" s="422"/>
      <c r="B5587" s="151" t="s">
        <v>5293</v>
      </c>
      <c r="C5587" s="637">
        <v>299</v>
      </c>
      <c r="D5587" s="408">
        <f t="shared" si="729"/>
        <v>149.05373134328357</v>
      </c>
      <c r="E5587" s="228">
        <v>0</v>
      </c>
      <c r="F5587" s="585">
        <f t="shared" si="727"/>
        <v>149.1</v>
      </c>
      <c r="G5587" s="152" t="s">
        <v>8787</v>
      </c>
      <c r="H5587" s="146" t="s">
        <v>5294</v>
      </c>
      <c r="I5587" s="339"/>
      <c r="J5587" s="589" t="s">
        <v>4876</v>
      </c>
      <c r="K5587" s="520" t="s">
        <v>741</v>
      </c>
      <c r="L5587" s="194"/>
    </row>
    <row r="5588" spans="1:12" s="196" customFormat="1">
      <c r="A5588" s="422"/>
      <c r="B5588" s="151" t="s">
        <v>5295</v>
      </c>
      <c r="C5588" s="637">
        <v>246.1</v>
      </c>
      <c r="D5588" s="408">
        <f t="shared" si="729"/>
        <v>122.68268656716417</v>
      </c>
      <c r="E5588" s="228">
        <v>0</v>
      </c>
      <c r="F5588" s="585">
        <f t="shared" si="727"/>
        <v>122.69999999999999</v>
      </c>
      <c r="G5588" s="152" t="s">
        <v>5296</v>
      </c>
      <c r="H5588" s="146" t="s">
        <v>5297</v>
      </c>
      <c r="I5588" s="339"/>
      <c r="J5588" s="589" t="s">
        <v>4876</v>
      </c>
      <c r="K5588" s="520" t="s">
        <v>741</v>
      </c>
      <c r="L5588" s="194"/>
    </row>
    <row r="5589" spans="1:12" s="194" customFormat="1">
      <c r="A5589" s="422"/>
      <c r="B5589" s="151"/>
      <c r="C5589" s="637"/>
      <c r="D5589" s="408"/>
      <c r="E5589" s="228"/>
      <c r="F5589" s="585"/>
      <c r="G5589" s="152"/>
      <c r="H5589" s="146"/>
      <c r="I5589" s="339"/>
      <c r="J5589" s="589"/>
      <c r="K5589" s="520"/>
    </row>
    <row r="5590" spans="1:12" s="196" customFormat="1">
      <c r="A5590" s="422"/>
      <c r="B5590" s="151" t="s">
        <v>4877</v>
      </c>
      <c r="C5590" s="637">
        <v>29</v>
      </c>
      <c r="D5590" s="408">
        <f>C5590*fcl/TC</f>
        <v>14.456716417910448</v>
      </c>
      <c r="E5590" s="228">
        <v>7.03</v>
      </c>
      <c r="F5590" s="585">
        <f>ROUNDUP(D5590+E5590,1)</f>
        <v>21.5</v>
      </c>
      <c r="G5590" s="152" t="s">
        <v>4878</v>
      </c>
      <c r="H5590" s="146">
        <v>6603009118</v>
      </c>
      <c r="I5590" s="339"/>
      <c r="J5590" s="589" t="s">
        <v>4879</v>
      </c>
      <c r="K5590" s="520" t="s">
        <v>741</v>
      </c>
      <c r="L5590" s="194"/>
    </row>
    <row r="5591" spans="1:12" s="196" customFormat="1">
      <c r="A5591" s="422"/>
      <c r="B5591" s="151" t="s">
        <v>4880</v>
      </c>
      <c r="C5591" s="637">
        <v>29</v>
      </c>
      <c r="D5591" s="408">
        <f>C5591*fcl/TC</f>
        <v>14.456716417910448</v>
      </c>
      <c r="E5591" s="228">
        <v>7.03</v>
      </c>
      <c r="F5591" s="585">
        <f>ROUNDUP(D5591+E5591,1)</f>
        <v>21.5</v>
      </c>
      <c r="G5591" s="152" t="s">
        <v>4881</v>
      </c>
      <c r="H5591" s="146">
        <v>6603009118</v>
      </c>
      <c r="I5591" s="339"/>
      <c r="J5591" s="589" t="s">
        <v>4879</v>
      </c>
      <c r="K5591" s="520" t="s">
        <v>741</v>
      </c>
      <c r="L5591" s="194"/>
    </row>
    <row r="5592" spans="1:12" s="196" customFormat="1">
      <c r="A5592" s="422"/>
      <c r="B5592" s="151" t="s">
        <v>4882</v>
      </c>
      <c r="C5592" s="637">
        <v>54</v>
      </c>
      <c r="D5592" s="408">
        <f>C5592*fcl/TC</f>
        <v>26.919402985074623</v>
      </c>
      <c r="E5592" s="228">
        <v>9.84</v>
      </c>
      <c r="F5592" s="585">
        <f>ROUNDUP(D5592+E5592,1)</f>
        <v>36.800000000000004</v>
      </c>
      <c r="G5592" s="152" t="s">
        <v>4883</v>
      </c>
      <c r="H5592" s="146">
        <v>6603010013</v>
      </c>
      <c r="I5592" s="339"/>
      <c r="J5592" s="589" t="s">
        <v>4879</v>
      </c>
      <c r="K5592" s="520" t="s">
        <v>741</v>
      </c>
      <c r="L5592" s="194"/>
    </row>
    <row r="5593" spans="1:12" s="196" customFormat="1">
      <c r="A5593" s="422"/>
      <c r="B5593" s="151" t="s">
        <v>4884</v>
      </c>
      <c r="C5593" s="637">
        <v>9.1</v>
      </c>
      <c r="D5593" s="408">
        <f>C5593*fcl/TC</f>
        <v>4.5364179104477609</v>
      </c>
      <c r="E5593" s="228">
        <v>2</v>
      </c>
      <c r="F5593" s="585">
        <f>ROUNDUP(D5593+E5593,1)</f>
        <v>6.6</v>
      </c>
      <c r="G5593" s="152" t="s">
        <v>4885</v>
      </c>
      <c r="H5593" s="146">
        <v>6601053001</v>
      </c>
      <c r="I5593" s="339"/>
      <c r="J5593" s="589" t="s">
        <v>4879</v>
      </c>
      <c r="K5593" s="520" t="s">
        <v>741</v>
      </c>
      <c r="L5593" s="194"/>
    </row>
    <row r="5594" spans="1:12" s="194" customFormat="1">
      <c r="A5594" s="422"/>
      <c r="B5594" s="151" t="s">
        <v>4886</v>
      </c>
      <c r="C5594" s="637">
        <v>1.4</v>
      </c>
      <c r="D5594" s="408">
        <f>C5594*fcl/TC</f>
        <v>0.69791044776119393</v>
      </c>
      <c r="E5594" s="228">
        <v>1</v>
      </c>
      <c r="F5594" s="585">
        <f>ROUNDUP(D5594+E5594,1)</f>
        <v>1.7000000000000002</v>
      </c>
      <c r="G5594" s="152" t="s">
        <v>4887</v>
      </c>
      <c r="H5594" s="146">
        <v>6601053001</v>
      </c>
      <c r="I5594" s="339"/>
      <c r="J5594" s="589" t="s">
        <v>4879</v>
      </c>
      <c r="K5594" s="520" t="s">
        <v>741</v>
      </c>
    </row>
    <row r="5595" spans="1:12" s="194" customFormat="1">
      <c r="A5595" s="422"/>
      <c r="B5595" s="151"/>
      <c r="C5595" s="637"/>
      <c r="D5595" s="408"/>
      <c r="E5595" s="228"/>
      <c r="F5595" s="585"/>
      <c r="G5595" s="152"/>
      <c r="H5595" s="146"/>
      <c r="I5595" s="339"/>
      <c r="J5595" s="589"/>
      <c r="K5595" s="520"/>
    </row>
    <row r="5596" spans="1:12" s="194" customFormat="1">
      <c r="A5596" s="422"/>
      <c r="B5596" s="151"/>
      <c r="C5596" s="637"/>
      <c r="D5596" s="408"/>
      <c r="E5596" s="228"/>
      <c r="F5596" s="585"/>
      <c r="G5596" s="152"/>
      <c r="H5596" s="146"/>
      <c r="I5596" s="339"/>
      <c r="J5596" s="589"/>
      <c r="K5596" s="520"/>
    </row>
    <row r="5597" spans="1:12" s="196" customFormat="1">
      <c r="A5597" s="422"/>
      <c r="B5597" s="151" t="s">
        <v>8788</v>
      </c>
      <c r="C5597" s="637">
        <v>135.72749999999999</v>
      </c>
      <c r="D5597" s="408">
        <f>C5597*fcl/TC</f>
        <v>67.661171641791043</v>
      </c>
      <c r="E5597" s="228">
        <v>5</v>
      </c>
      <c r="F5597" s="585">
        <f>ROUNDUP(D5597+E5597,1)</f>
        <v>72.699999999999989</v>
      </c>
      <c r="G5597" s="152" t="s">
        <v>8789</v>
      </c>
      <c r="H5597" s="146">
        <v>6602798844</v>
      </c>
      <c r="I5597" s="339"/>
      <c r="J5597" s="589" t="s">
        <v>4879</v>
      </c>
      <c r="K5597" s="520" t="s">
        <v>741</v>
      </c>
      <c r="L5597" s="194"/>
    </row>
    <row r="5598" spans="1:12" s="196" customFormat="1">
      <c r="A5598" s="422"/>
      <c r="B5598" s="151" t="s">
        <v>8790</v>
      </c>
      <c r="C5598" s="637">
        <v>170.45249999999999</v>
      </c>
      <c r="D5598" s="408">
        <f>C5598*fcl/TC</f>
        <v>84.971843283582075</v>
      </c>
      <c r="E5598" s="228">
        <v>5</v>
      </c>
      <c r="F5598" s="585">
        <f>ROUNDUP(D5598+E5598,1)</f>
        <v>90</v>
      </c>
      <c r="G5598" s="152" t="s">
        <v>8791</v>
      </c>
      <c r="H5598" s="146">
        <v>6602817990</v>
      </c>
      <c r="I5598" s="339"/>
      <c r="J5598" s="589" t="s">
        <v>4879</v>
      </c>
      <c r="K5598" s="520" t="s">
        <v>741</v>
      </c>
      <c r="L5598" s="194"/>
    </row>
    <row r="5599" spans="1:12" s="196" customFormat="1">
      <c r="A5599" s="422"/>
      <c r="B5599" s="151" t="s">
        <v>8792</v>
      </c>
      <c r="C5599" s="637">
        <v>65.491299999999995</v>
      </c>
      <c r="D5599" s="408">
        <f>C5599*fcl/TC</f>
        <v>32.647901791044767</v>
      </c>
      <c r="E5599" s="228">
        <v>0</v>
      </c>
      <c r="F5599" s="585">
        <f>ROUNDUP(D5599+E5599,1)</f>
        <v>32.700000000000003</v>
      </c>
      <c r="G5599" s="152" t="s">
        <v>8793</v>
      </c>
      <c r="H5599" s="146">
        <v>6602817738</v>
      </c>
      <c r="I5599" s="339"/>
      <c r="J5599" s="589" t="s">
        <v>4879</v>
      </c>
      <c r="K5599" s="520" t="s">
        <v>741</v>
      </c>
      <c r="L5599" s="194"/>
    </row>
    <row r="5600" spans="1:12" s="194" customFormat="1">
      <c r="A5600" s="422"/>
      <c r="B5600" s="151"/>
      <c r="C5600" s="637"/>
      <c r="D5600" s="408"/>
      <c r="E5600" s="228"/>
      <c r="F5600" s="585"/>
      <c r="G5600" s="152"/>
      <c r="H5600" s="146"/>
      <c r="I5600" s="339"/>
      <c r="J5600" s="589"/>
      <c r="K5600" s="520"/>
    </row>
    <row r="5601" spans="1:12" s="194" customFormat="1">
      <c r="A5601" s="422"/>
      <c r="B5601" s="151"/>
      <c r="C5601" s="637"/>
      <c r="D5601" s="408"/>
      <c r="E5601" s="228"/>
      <c r="F5601" s="585"/>
      <c r="G5601" s="152"/>
      <c r="H5601" s="146"/>
      <c r="I5601" s="339"/>
      <c r="J5601" s="589"/>
      <c r="K5601" s="520"/>
    </row>
    <row r="5602" spans="1:12" s="196" customFormat="1">
      <c r="A5602" s="2188" t="s">
        <v>12751</v>
      </c>
      <c r="B5602" s="764" t="s">
        <v>12752</v>
      </c>
      <c r="C5602" s="228">
        <v>2400</v>
      </c>
      <c r="D5602" s="244">
        <f>C5602*(1-0)*fcl</f>
        <v>4008</v>
      </c>
      <c r="E5602" s="232">
        <v>50</v>
      </c>
      <c r="F5602" s="585">
        <f>ROUNDUP(D5602+E5602,1)</f>
        <v>4058</v>
      </c>
      <c r="G5602" s="338" t="s">
        <v>12753</v>
      </c>
      <c r="H5602" s="1801" t="str">
        <f>B5602</f>
        <v>DI60S</v>
      </c>
      <c r="I5602" s="520"/>
      <c r="J5602" s="421"/>
      <c r="K5602" s="800"/>
    </row>
    <row r="5603" spans="1:12" s="196" customFormat="1">
      <c r="A5603" s="2189"/>
      <c r="B5603" s="764"/>
      <c r="C5603" s="228"/>
      <c r="D5603" s="244"/>
      <c r="E5603" s="232"/>
      <c r="F5603" s="585"/>
      <c r="G5603" s="338"/>
      <c r="H5603" s="1801"/>
      <c r="I5603" s="520"/>
      <c r="J5603" s="421"/>
      <c r="K5603" s="520"/>
    </row>
    <row r="5604" spans="1:12" s="196" customFormat="1">
      <c r="A5604" s="2188" t="s">
        <v>12751</v>
      </c>
      <c r="B5604" s="764" t="s">
        <v>12754</v>
      </c>
      <c r="C5604" s="228">
        <v>4260.21</v>
      </c>
      <c r="D5604" s="244">
        <f>C5604*(1-0)*fcl</f>
        <v>7114.5506999999998</v>
      </c>
      <c r="E5604" s="232">
        <v>50</v>
      </c>
      <c r="F5604" s="585">
        <f>ROUNDUP(D5604+E5604,1)</f>
        <v>7164.6</v>
      </c>
      <c r="G5604" s="338" t="s">
        <v>12755</v>
      </c>
      <c r="H5604" s="1801" t="str">
        <f>B5604</f>
        <v>GPP-24U1000-IP55</v>
      </c>
      <c r="I5604" s="520"/>
      <c r="J5604" s="421"/>
      <c r="K5604" s="800"/>
    </row>
    <row r="5605" spans="1:12" s="196" customFormat="1">
      <c r="A5605" s="2189"/>
      <c r="B5605" s="764"/>
      <c r="C5605" s="228"/>
      <c r="D5605" s="244"/>
      <c r="E5605" s="232"/>
      <c r="F5605" s="585"/>
      <c r="G5605" s="338"/>
      <c r="H5605" s="1801"/>
      <c r="I5605" s="520"/>
      <c r="J5605" s="421"/>
      <c r="K5605" s="520"/>
    </row>
    <row r="5606" spans="1:12" s="196" customFormat="1">
      <c r="A5606" s="2189"/>
      <c r="B5606" s="764"/>
      <c r="C5606" s="228"/>
      <c r="D5606" s="244"/>
      <c r="E5606" s="232"/>
      <c r="F5606" s="585"/>
      <c r="G5606" s="338"/>
      <c r="H5606" s="1801"/>
      <c r="I5606" s="520"/>
      <c r="J5606" s="421"/>
      <c r="K5606" s="520"/>
    </row>
    <row r="5607" spans="1:12" s="203" customFormat="1">
      <c r="A5607" s="1735"/>
      <c r="B5607" s="28" t="s">
        <v>13375</v>
      </c>
      <c r="C5607" s="602">
        <v>2560.98</v>
      </c>
      <c r="D5607" s="244">
        <f>C5607*(1-0)*fcl</f>
        <v>4276.8365999999996</v>
      </c>
      <c r="E5607" s="445">
        <v>300</v>
      </c>
      <c r="F5607" s="585">
        <f t="shared" ref="F5607" si="730">ROUNDUP(D5607+E5607,1)</f>
        <v>4576.9000000000005</v>
      </c>
      <c r="G5607" s="338" t="s">
        <v>13376</v>
      </c>
      <c r="H5607" s="203" t="s">
        <v>13377</v>
      </c>
      <c r="I5607" s="202"/>
      <c r="J5607" s="35" t="s">
        <v>13378</v>
      </c>
      <c r="K5607" s="800" t="s">
        <v>741</v>
      </c>
    </row>
    <row r="5608" spans="1:12" s="203" customFormat="1">
      <c r="A5608" s="106"/>
      <c r="B5608" s="524"/>
      <c r="C5608" s="602"/>
      <c r="D5608" s="244"/>
      <c r="E5608" s="445"/>
      <c r="F5608" s="585"/>
      <c r="G5608" s="338"/>
      <c r="I5608" s="202"/>
    </row>
    <row r="5609" spans="1:12" s="203" customFormat="1">
      <c r="A5609" s="106"/>
      <c r="B5609" s="524"/>
      <c r="C5609" s="602"/>
      <c r="D5609" s="244"/>
      <c r="E5609" s="445"/>
      <c r="F5609" s="585"/>
      <c r="I5609" s="202"/>
    </row>
    <row r="5610" spans="1:12" s="196" customFormat="1">
      <c r="A5610" s="422"/>
      <c r="B5610" s="151"/>
      <c r="C5610" s="228"/>
      <c r="D5610" s="408"/>
      <c r="E5610" s="228"/>
      <c r="F5610" s="585"/>
      <c r="G5610" s="152"/>
      <c r="H5610" s="152"/>
      <c r="I5610" s="339"/>
      <c r="J5610" s="589"/>
      <c r="K5610" s="520"/>
      <c r="L5610" s="194"/>
    </row>
    <row r="5611" spans="1:12" s="196" customFormat="1">
      <c r="A5611" s="422"/>
      <c r="B5611" s="789"/>
      <c r="C5611" s="790"/>
      <c r="D5611" s="791"/>
      <c r="E5611" s="792"/>
      <c r="F5611" s="793"/>
      <c r="G5611" s="794"/>
      <c r="H5611" s="794"/>
      <c r="I5611" s="795"/>
      <c r="J5611" s="795"/>
      <c r="K5611" s="796"/>
      <c r="L5611" s="194"/>
    </row>
    <row r="5612" spans="1:12" s="196" customFormat="1">
      <c r="A5612" s="421"/>
      <c r="B5612" s="797" t="s">
        <v>2646</v>
      </c>
      <c r="C5612" s="798">
        <v>994.52</v>
      </c>
      <c r="D5612" s="799">
        <f>C5612*(1-0)*fcl/TC</f>
        <v>495.77564179104473</v>
      </c>
      <c r="E5612" s="232">
        <v>80</v>
      </c>
      <c r="F5612" s="585">
        <f>ROUNDUP(D5612+E5612,1)</f>
        <v>575.80000000000007</v>
      </c>
      <c r="G5612" s="338" t="s">
        <v>2653</v>
      </c>
      <c r="H5612" s="764" t="s">
        <v>2646</v>
      </c>
      <c r="I5612" s="520"/>
      <c r="J5612" s="421" t="s">
        <v>2611</v>
      </c>
      <c r="K5612" s="800" t="s">
        <v>741</v>
      </c>
      <c r="L5612" s="194"/>
    </row>
    <row r="5613" spans="1:12" s="196" customFormat="1">
      <c r="A5613" s="421"/>
      <c r="B5613" s="797" t="s">
        <v>2645</v>
      </c>
      <c r="C5613" s="798">
        <v>1582.93</v>
      </c>
      <c r="D5613" s="799">
        <f>C5613*(1-0)*fcl/TC</f>
        <v>789.1024179104478</v>
      </c>
      <c r="E5613" s="232">
        <v>100</v>
      </c>
      <c r="F5613" s="585">
        <f>ROUNDUP(D5613+E5613,1)</f>
        <v>889.2</v>
      </c>
      <c r="G5613" s="338" t="s">
        <v>2654</v>
      </c>
      <c r="H5613" s="764" t="s">
        <v>2645</v>
      </c>
      <c r="I5613" s="520"/>
      <c r="J5613" s="421" t="s">
        <v>2611</v>
      </c>
      <c r="K5613" s="800" t="s">
        <v>741</v>
      </c>
      <c r="L5613" s="194"/>
    </row>
    <row r="5614" spans="1:12" s="196" customFormat="1">
      <c r="A5614" s="421"/>
      <c r="B5614" s="797"/>
      <c r="C5614" s="798"/>
      <c r="D5614" s="799"/>
      <c r="E5614" s="232"/>
      <c r="F5614" s="585"/>
      <c r="G5614" s="338"/>
      <c r="H5614" s="764"/>
      <c r="I5614" s="520"/>
      <c r="J5614" s="421"/>
      <c r="K5614" s="800"/>
      <c r="L5614" s="194"/>
    </row>
    <row r="5615" spans="1:12" s="196" customFormat="1">
      <c r="A5615" s="421"/>
      <c r="B5615" s="797" t="s">
        <v>2647</v>
      </c>
      <c r="C5615" s="798">
        <v>1813.25</v>
      </c>
      <c r="D5615" s="799">
        <f>C5615*(1-0)*fcl/TC</f>
        <v>903.9186567164179</v>
      </c>
      <c r="E5615" s="232">
        <v>50</v>
      </c>
      <c r="F5615" s="585">
        <f>ROUNDUP(D5615+E5615,1)</f>
        <v>954</v>
      </c>
      <c r="G5615" s="338" t="s">
        <v>2655</v>
      </c>
      <c r="H5615" s="764" t="s">
        <v>2647</v>
      </c>
      <c r="I5615" s="520"/>
      <c r="J5615" s="421" t="s">
        <v>2611</v>
      </c>
      <c r="K5615" s="800" t="s">
        <v>741</v>
      </c>
      <c r="L5615" s="194"/>
    </row>
    <row r="5616" spans="1:12" s="23" customFormat="1">
      <c r="A5616" s="421"/>
      <c r="B5616" s="797" t="s">
        <v>2649</v>
      </c>
      <c r="C5616" s="798">
        <v>3425.43</v>
      </c>
      <c r="D5616" s="799">
        <f>C5616*(1-0)*fcl/TC</f>
        <v>1707.6024179104475</v>
      </c>
      <c r="E5616" s="232">
        <v>50</v>
      </c>
      <c r="F5616" s="585">
        <f>ROUNDUP(D5616+E5616,1)</f>
        <v>1757.6999999999998</v>
      </c>
      <c r="G5616" s="338" t="s">
        <v>2656</v>
      </c>
      <c r="H5616" s="764" t="s">
        <v>2649</v>
      </c>
      <c r="I5616" s="520"/>
      <c r="J5616" s="421" t="s">
        <v>2611</v>
      </c>
      <c r="K5616" s="800" t="s">
        <v>741</v>
      </c>
    </row>
    <row r="5617" spans="1:11" s="117" customFormat="1">
      <c r="A5617" s="421"/>
      <c r="B5617" s="797"/>
      <c r="C5617" s="798"/>
      <c r="D5617" s="799"/>
      <c r="E5617" s="232"/>
      <c r="F5617" s="585"/>
      <c r="G5617" s="338"/>
      <c r="H5617" s="764"/>
      <c r="I5617" s="520"/>
      <c r="J5617" s="421"/>
      <c r="K5617" s="800"/>
    </row>
    <row r="5618" spans="1:11" s="117" customFormat="1">
      <c r="A5618" s="421"/>
      <c r="B5618" s="797" t="s">
        <v>2650</v>
      </c>
      <c r="C5618" s="798">
        <v>1250</v>
      </c>
      <c r="D5618" s="799">
        <f>C5618*(1-0)*fcl/TC</f>
        <v>623.1343283582089</v>
      </c>
      <c r="E5618" s="232">
        <v>20</v>
      </c>
      <c r="F5618" s="585">
        <f>ROUNDUP(D5618+E5618,1)</f>
        <v>643.20000000000005</v>
      </c>
      <c r="G5618" s="338" t="s">
        <v>2657</v>
      </c>
      <c r="H5618" s="764" t="s">
        <v>2648</v>
      </c>
      <c r="I5618" s="520"/>
      <c r="J5618" s="421" t="s">
        <v>2644</v>
      </c>
      <c r="K5618" s="800" t="s">
        <v>741</v>
      </c>
    </row>
    <row r="5619" spans="1:11" s="117" customFormat="1">
      <c r="A5619" s="415"/>
      <c r="B5619" s="801"/>
      <c r="C5619" s="802"/>
      <c r="D5619" s="803"/>
      <c r="E5619" s="804"/>
      <c r="F5619" s="805"/>
      <c r="G5619" s="806"/>
      <c r="H5619" s="764"/>
      <c r="I5619" s="806"/>
      <c r="J5619" s="806"/>
      <c r="K5619" s="807"/>
    </row>
    <row r="5620" spans="1:11" s="117" customFormat="1">
      <c r="A5620" s="422"/>
      <c r="B5620" s="808"/>
      <c r="C5620" s="233"/>
      <c r="D5620" s="809"/>
      <c r="E5620" s="233"/>
      <c r="F5620" s="810"/>
      <c r="G5620" s="811"/>
      <c r="H5620" s="811"/>
      <c r="I5620" s="812"/>
      <c r="J5620" s="813"/>
      <c r="K5620" s="814"/>
    </row>
    <row r="5621" spans="1:11" s="117" customFormat="1">
      <c r="A5621" s="422"/>
      <c r="B5621" s="902"/>
      <c r="C5621" s="232"/>
      <c r="D5621" s="903"/>
      <c r="E5621" s="232"/>
      <c r="F5621" s="585"/>
      <c r="G5621" s="152"/>
      <c r="H5621" s="152"/>
      <c r="I5621" s="339"/>
      <c r="J5621" s="589"/>
      <c r="K5621" s="520"/>
    </row>
    <row r="5622" spans="1:11" s="196" customFormat="1">
      <c r="A5622" s="422"/>
      <c r="B5622" s="789"/>
      <c r="C5622" s="790"/>
      <c r="D5622" s="791"/>
      <c r="E5622" s="792"/>
      <c r="F5622" s="793"/>
      <c r="G5622" s="794"/>
      <c r="H5622" s="794"/>
      <c r="I5622" s="795"/>
      <c r="J5622" s="795"/>
      <c r="K5622" s="796"/>
    </row>
    <row r="5623" spans="1:11" s="196" customFormat="1">
      <c r="A5623" s="421"/>
      <c r="B5623" s="797" t="s">
        <v>2830</v>
      </c>
      <c r="C5623" s="228">
        <v>1392.59</v>
      </c>
      <c r="D5623" s="244">
        <f>C5623*(1-0)*fcl</f>
        <v>2325.6252999999997</v>
      </c>
      <c r="E5623" s="232">
        <v>50</v>
      </c>
      <c r="F5623" s="585">
        <f>ROUNDUP(D5623+E5623,1)</f>
        <v>2375.6999999999998</v>
      </c>
      <c r="G5623" s="338" t="s">
        <v>8794</v>
      </c>
      <c r="H5623" s="532" t="str">
        <f>B5623</f>
        <v>PW9130i3000T-XL</v>
      </c>
      <c r="I5623" s="520"/>
      <c r="J5623" s="421" t="s">
        <v>1835</v>
      </c>
      <c r="K5623" s="800" t="s">
        <v>741</v>
      </c>
    </row>
    <row r="5624" spans="1:11" s="196" customFormat="1">
      <c r="A5624" s="421"/>
      <c r="B5624" s="797"/>
      <c r="C5624" s="798"/>
      <c r="D5624" s="799"/>
      <c r="E5624" s="232"/>
      <c r="F5624" s="585"/>
      <c r="G5624" s="338"/>
      <c r="H5624" s="764"/>
      <c r="I5624" s="520"/>
      <c r="J5624" s="421"/>
      <c r="K5624" s="800"/>
    </row>
    <row r="5625" spans="1:11" s="196" customFormat="1">
      <c r="A5625" s="421"/>
      <c r="B5625" s="797" t="s">
        <v>2831</v>
      </c>
      <c r="C5625" s="228">
        <v>300</v>
      </c>
      <c r="D5625" s="244">
        <f>C5625*(1-0)*fcl</f>
        <v>501</v>
      </c>
      <c r="E5625" s="232">
        <v>20</v>
      </c>
      <c r="F5625" s="585">
        <f>ROUNDUP(D5625+E5625,1)</f>
        <v>521</v>
      </c>
      <c r="G5625" s="338" t="s">
        <v>2832</v>
      </c>
      <c r="H5625" s="532" t="str">
        <f>B5625</f>
        <v>BBAT8GP09</v>
      </c>
      <c r="I5625" s="520"/>
      <c r="J5625" s="421" t="s">
        <v>2833</v>
      </c>
      <c r="K5625" s="800" t="s">
        <v>741</v>
      </c>
    </row>
    <row r="5626" spans="1:11" s="196" customFormat="1">
      <c r="A5626" s="422"/>
      <c r="B5626" s="808"/>
      <c r="C5626" s="233"/>
      <c r="D5626" s="809"/>
      <c r="E5626" s="233"/>
      <c r="F5626" s="810"/>
      <c r="G5626" s="811"/>
      <c r="H5626" s="811"/>
      <c r="I5626" s="812"/>
      <c r="J5626" s="813"/>
      <c r="K5626" s="814"/>
    </row>
    <row r="5627" spans="1:11" s="196" customFormat="1">
      <c r="A5627" s="422"/>
      <c r="B5627" s="902"/>
      <c r="C5627" s="232"/>
      <c r="D5627" s="903"/>
      <c r="E5627" s="232"/>
      <c r="F5627" s="585"/>
      <c r="G5627" s="152"/>
      <c r="H5627" s="152"/>
      <c r="I5627" s="339"/>
      <c r="J5627" s="589"/>
      <c r="K5627" s="520"/>
    </row>
    <row r="5628" spans="1:11" s="196" customFormat="1">
      <c r="A5628" s="422"/>
      <c r="B5628" s="902"/>
      <c r="C5628" s="232"/>
      <c r="D5628" s="903"/>
      <c r="E5628" s="232"/>
      <c r="F5628" s="585"/>
      <c r="G5628" s="152"/>
      <c r="H5628" s="152"/>
      <c r="I5628" s="339"/>
      <c r="J5628" s="589"/>
      <c r="K5628" s="520"/>
    </row>
    <row r="5629" spans="1:11" s="23" customFormat="1">
      <c r="A5629" s="422"/>
      <c r="B5629" s="789"/>
      <c r="C5629" s="790"/>
      <c r="D5629" s="791"/>
      <c r="E5629" s="792"/>
      <c r="F5629" s="793"/>
      <c r="G5629" s="794"/>
      <c r="H5629" s="794"/>
      <c r="I5629" s="795"/>
      <c r="J5629" s="795"/>
      <c r="K5629" s="796"/>
    </row>
    <row r="5630" spans="1:11" s="117" customFormat="1">
      <c r="A5630" s="421"/>
      <c r="B5630" s="797" t="s">
        <v>3330</v>
      </c>
      <c r="C5630" s="228">
        <v>25</v>
      </c>
      <c r="D5630" s="244">
        <f>C5630*(1-0)*fcl</f>
        <v>41.75</v>
      </c>
      <c r="E5630" s="232">
        <v>8</v>
      </c>
      <c r="F5630" s="585">
        <f>ROUNDUP(D5630+E5630,1)</f>
        <v>49.800000000000004</v>
      </c>
      <c r="G5630" s="338" t="s">
        <v>3334</v>
      </c>
      <c r="H5630" s="2009" t="s">
        <v>3331</v>
      </c>
      <c r="I5630" s="520" t="s">
        <v>11053</v>
      </c>
      <c r="J5630" s="421" t="s">
        <v>1970</v>
      </c>
      <c r="K5630" s="800" t="s">
        <v>741</v>
      </c>
    </row>
    <row r="5631" spans="1:11" s="117" customFormat="1">
      <c r="A5631" s="421"/>
      <c r="B5631" s="797" t="s">
        <v>3332</v>
      </c>
      <c r="C5631" s="228">
        <v>31.543299999999999</v>
      </c>
      <c r="D5631" s="244">
        <f>C5631*(1-0)*fcl</f>
        <v>52.677310999999996</v>
      </c>
      <c r="E5631" s="232">
        <v>10</v>
      </c>
      <c r="F5631" s="585">
        <f>ROUNDUP(D5631+E5631,1)</f>
        <v>62.7</v>
      </c>
      <c r="G5631" s="338" t="s">
        <v>3335</v>
      </c>
      <c r="H5631" s="2009" t="s">
        <v>3333</v>
      </c>
      <c r="I5631" s="520" t="s">
        <v>11053</v>
      </c>
      <c r="J5631" s="421" t="s">
        <v>1970</v>
      </c>
      <c r="K5631" s="800" t="s">
        <v>741</v>
      </c>
    </row>
    <row r="5632" spans="1:11" s="117" customFormat="1">
      <c r="A5632" s="421"/>
      <c r="B5632" s="797"/>
      <c r="C5632" s="798"/>
      <c r="D5632" s="799"/>
      <c r="E5632" s="232"/>
      <c r="F5632" s="585"/>
      <c r="G5632" s="338"/>
      <c r="H5632" s="764"/>
      <c r="I5632" s="520"/>
      <c r="J5632" s="421"/>
      <c r="K5632" s="800"/>
    </row>
    <row r="5633" spans="1:11" s="196" customFormat="1">
      <c r="A5633" s="422"/>
      <c r="B5633" s="808"/>
      <c r="C5633" s="233"/>
      <c r="D5633" s="809"/>
      <c r="E5633" s="233"/>
      <c r="F5633" s="810"/>
      <c r="G5633" s="811"/>
      <c r="H5633" s="811"/>
      <c r="I5633" s="812"/>
      <c r="J5633" s="813"/>
      <c r="K5633" s="814"/>
    </row>
    <row r="5634" spans="1:11" s="196" customFormat="1">
      <c r="A5634" s="422"/>
      <c r="B5634" s="151"/>
      <c r="C5634" s="228"/>
      <c r="D5634" s="408"/>
      <c r="E5634" s="228"/>
      <c r="F5634" s="585"/>
      <c r="G5634" s="152"/>
      <c r="H5634" s="152"/>
      <c r="I5634" s="339"/>
      <c r="J5634" s="589"/>
      <c r="K5634" s="520"/>
    </row>
    <row r="5635" spans="1:11" s="196" customFormat="1">
      <c r="A5635" s="421"/>
      <c r="B5635" s="764" t="s">
        <v>6211</v>
      </c>
      <c r="C5635" s="232">
        <v>526</v>
      </c>
      <c r="D5635" s="799">
        <f>C5635*(1-0)*fcl</f>
        <v>878.42</v>
      </c>
      <c r="E5635" s="232">
        <v>10</v>
      </c>
      <c r="F5635" s="585">
        <f>ROUNDUP(D5635+E5635,1)</f>
        <v>888.5</v>
      </c>
      <c r="G5635" s="338" t="s">
        <v>6212</v>
      </c>
      <c r="H5635" s="2049" t="s">
        <v>6213</v>
      </c>
      <c r="I5635" s="520"/>
      <c r="J5635" s="421" t="s">
        <v>6214</v>
      </c>
      <c r="K5635" s="520" t="s">
        <v>741</v>
      </c>
    </row>
    <row r="5636" spans="1:11" s="196" customFormat="1">
      <c r="A5636" s="421"/>
      <c r="B5636" s="150" t="s">
        <v>6215</v>
      </c>
      <c r="C5636" s="232">
        <v>80</v>
      </c>
      <c r="D5636" s="799">
        <f>C5636*(1-0)*fcl</f>
        <v>133.6</v>
      </c>
      <c r="E5636" s="228">
        <v>5</v>
      </c>
      <c r="F5636" s="585">
        <f>ROUNDUP(D5636+E5636,2)</f>
        <v>138.6</v>
      </c>
      <c r="G5636" s="338" t="s">
        <v>6216</v>
      </c>
      <c r="H5636" s="2049" t="s">
        <v>6217</v>
      </c>
      <c r="I5636" s="520"/>
      <c r="J5636" s="421" t="s">
        <v>6214</v>
      </c>
      <c r="K5636" s="520" t="s">
        <v>741</v>
      </c>
    </row>
    <row r="5637" spans="1:11" s="196" customFormat="1">
      <c r="A5637" s="421"/>
      <c r="B5637" s="764" t="s">
        <v>6218</v>
      </c>
      <c r="C5637" s="232">
        <v>488</v>
      </c>
      <c r="D5637" s="799">
        <f>C5637*(1-0)*fcl</f>
        <v>814.95999999999992</v>
      </c>
      <c r="E5637" s="232">
        <v>10</v>
      </c>
      <c r="F5637" s="585">
        <f>ROUNDUP(D5637+E5637,1)</f>
        <v>825</v>
      </c>
      <c r="G5637" s="338" t="s">
        <v>6219</v>
      </c>
      <c r="H5637" s="2049" t="s">
        <v>6220</v>
      </c>
      <c r="I5637" s="520"/>
      <c r="J5637" s="421" t="s">
        <v>6214</v>
      </c>
      <c r="K5637" s="520" t="s">
        <v>741</v>
      </c>
    </row>
    <row r="5638" spans="1:11" s="117" customFormat="1">
      <c r="A5638" s="422"/>
      <c r="B5638" s="151"/>
      <c r="C5638" s="228"/>
      <c r="D5638" s="408"/>
      <c r="E5638" s="228"/>
      <c r="F5638" s="585"/>
      <c r="G5638" s="152"/>
      <c r="H5638" s="152"/>
      <c r="I5638" s="339"/>
      <c r="J5638" s="589"/>
      <c r="K5638" s="520"/>
    </row>
    <row r="5639" spans="1:11" s="196" customFormat="1">
      <c r="A5639" s="421"/>
      <c r="B5639" s="764" t="s">
        <v>6221</v>
      </c>
      <c r="C5639" s="232">
        <v>198.8</v>
      </c>
      <c r="D5639" s="799">
        <f>C5639*(1-0)*fcl</f>
        <v>331.99599999999998</v>
      </c>
      <c r="E5639" s="232">
        <v>10</v>
      </c>
      <c r="F5639" s="585">
        <f>ROUNDUP(D5639+E5639,1)</f>
        <v>342</v>
      </c>
      <c r="G5639" s="338" t="s">
        <v>6222</v>
      </c>
      <c r="H5639" s="2049" t="s">
        <v>6223</v>
      </c>
      <c r="I5639" s="520"/>
      <c r="J5639" s="421" t="s">
        <v>6214</v>
      </c>
      <c r="K5639" s="520" t="s">
        <v>741</v>
      </c>
    </row>
    <row r="5640" spans="1:11" s="196" customFormat="1">
      <c r="A5640" s="421"/>
      <c r="B5640" s="1693" t="s">
        <v>6224</v>
      </c>
      <c r="C5640" s="232">
        <v>80</v>
      </c>
      <c r="D5640" s="799">
        <f>C5640*(1-0)*fcl</f>
        <v>133.6</v>
      </c>
      <c r="E5640" s="228">
        <v>5</v>
      </c>
      <c r="F5640" s="585">
        <f>ROUNDUP(D5640+E5640,2)</f>
        <v>138.6</v>
      </c>
      <c r="G5640" s="338" t="s">
        <v>6225</v>
      </c>
      <c r="H5640" s="2049" t="s">
        <v>6217</v>
      </c>
      <c r="I5640" s="520"/>
      <c r="J5640" s="421" t="s">
        <v>6214</v>
      </c>
      <c r="K5640" s="520" t="s">
        <v>741</v>
      </c>
    </row>
    <row r="5641" spans="1:11" s="196" customFormat="1">
      <c r="A5641" s="421"/>
      <c r="B5641" s="764" t="s">
        <v>6226</v>
      </c>
      <c r="C5641" s="232">
        <v>201.1</v>
      </c>
      <c r="D5641" s="799">
        <f>C5641*(1-0)*fcl</f>
        <v>335.83699999999999</v>
      </c>
      <c r="E5641" s="232">
        <v>10</v>
      </c>
      <c r="F5641" s="585">
        <f>ROUNDUP(D5641+E5641,1)</f>
        <v>345.90000000000003</v>
      </c>
      <c r="G5641" s="338" t="s">
        <v>6227</v>
      </c>
      <c r="H5641" s="2049" t="s">
        <v>6228</v>
      </c>
      <c r="I5641" s="520"/>
      <c r="J5641" s="421" t="s">
        <v>6214</v>
      </c>
      <c r="K5641" s="520" t="s">
        <v>741</v>
      </c>
    </row>
    <row r="5642" spans="1:11" s="196" customFormat="1">
      <c r="A5642" s="421"/>
      <c r="B5642" s="764"/>
      <c r="C5642" s="232"/>
      <c r="D5642" s="799"/>
      <c r="E5642" s="232"/>
      <c r="F5642" s="585"/>
      <c r="G5642" s="338"/>
      <c r="H5642" s="2049"/>
      <c r="I5642" s="520"/>
      <c r="J5642" s="421"/>
      <c r="K5642" s="520"/>
    </row>
    <row r="5643" spans="1:11" s="196" customFormat="1">
      <c r="A5643" s="421"/>
      <c r="B5643" s="764"/>
      <c r="C5643" s="232"/>
      <c r="D5643" s="799"/>
      <c r="E5643" s="232"/>
      <c r="F5643" s="585"/>
      <c r="G5643" s="338"/>
      <c r="H5643" s="2049"/>
      <c r="I5643" s="520"/>
      <c r="J5643" s="421"/>
      <c r="K5643" s="520"/>
    </row>
    <row r="5644" spans="1:11" s="117" customFormat="1">
      <c r="A5644" s="422"/>
      <c r="B5644" s="151"/>
      <c r="C5644" s="228"/>
      <c r="D5644" s="408"/>
      <c r="E5644" s="228"/>
      <c r="F5644" s="585"/>
      <c r="G5644" s="152"/>
      <c r="H5644" s="152"/>
      <c r="I5644" s="339"/>
      <c r="J5644" s="589"/>
      <c r="K5644" s="520"/>
    </row>
    <row r="5645" spans="1:11" s="341" customFormat="1">
      <c r="A5645" s="421"/>
      <c r="B5645" s="338"/>
      <c r="D5645" s="244"/>
      <c r="E5645" s="228"/>
      <c r="F5645" s="24"/>
      <c r="G5645" s="338"/>
      <c r="H5645" s="532"/>
      <c r="I5645" s="520"/>
      <c r="J5645" s="421"/>
      <c r="K5645" s="520"/>
    </row>
    <row r="5646" spans="1:11" s="196" customFormat="1">
      <c r="A5646" s="502"/>
      <c r="B5646" s="896" t="s">
        <v>444</v>
      </c>
      <c r="C5646" s="230"/>
      <c r="D5646" s="217"/>
      <c r="E5646" s="216"/>
      <c r="F5646" s="156"/>
      <c r="G5646" s="501"/>
      <c r="H5646" s="2003"/>
      <c r="I5646" s="501"/>
      <c r="J5646" s="502"/>
      <c r="K5646" s="501"/>
    </row>
    <row r="5647" spans="1:11" s="117" customFormat="1">
      <c r="A5647" s="502"/>
      <c r="B5647" s="612" t="s">
        <v>2810</v>
      </c>
      <c r="C5647" s="230">
        <v>545.22</v>
      </c>
      <c r="D5647" s="217">
        <f>C5647*fcl*(1-0.1)</f>
        <v>819.46565999999996</v>
      </c>
      <c r="E5647" s="216">
        <v>10</v>
      </c>
      <c r="F5647" s="156">
        <f>D5647+E5647</f>
        <v>829.46565999999996</v>
      </c>
      <c r="G5647" s="465" t="s">
        <v>4888</v>
      </c>
      <c r="H5647" s="532" t="str">
        <f>B5647</f>
        <v>ST SP240-P</v>
      </c>
      <c r="I5647" s="501"/>
      <c r="J5647" s="502" t="s">
        <v>2828</v>
      </c>
      <c r="K5647" s="501"/>
    </row>
    <row r="5648" spans="1:11" s="117" customFormat="1">
      <c r="A5648" s="502"/>
      <c r="B5648" s="612" t="s">
        <v>8795</v>
      </c>
      <c r="C5648" s="230">
        <v>545.22</v>
      </c>
      <c r="D5648" s="217">
        <f>C5648*fcl*(1-0.1)</f>
        <v>819.46565999999996</v>
      </c>
      <c r="E5648" s="216">
        <v>10</v>
      </c>
      <c r="F5648" s="156">
        <f>D5648+E5648</f>
        <v>829.46565999999996</v>
      </c>
      <c r="G5648" s="465" t="s">
        <v>8796</v>
      </c>
      <c r="H5648" s="532" t="str">
        <f t="shared" ref="H5648:H5667" si="731">B5648</f>
        <v>ST SP2N2-P</v>
      </c>
      <c r="I5648" s="501"/>
      <c r="J5648" s="502" t="s">
        <v>2828</v>
      </c>
      <c r="K5648" s="501"/>
    </row>
    <row r="5649" spans="1:11" s="117" customFormat="1">
      <c r="A5649" s="502"/>
      <c r="B5649" s="612" t="s">
        <v>2811</v>
      </c>
      <c r="C5649" s="230">
        <v>1125.6400000000001</v>
      </c>
      <c r="D5649" s="217">
        <f>C5649*fcl*(1-0.1)</f>
        <v>1691.83692</v>
      </c>
      <c r="E5649" s="216">
        <v>10</v>
      </c>
      <c r="F5649" s="156">
        <f>D5649+E5649</f>
        <v>1701.83692</v>
      </c>
      <c r="G5649" s="465" t="s">
        <v>4889</v>
      </c>
      <c r="H5649" s="532" t="str">
        <f t="shared" si="731"/>
        <v>RM OT210-1P2</v>
      </c>
      <c r="I5649" s="501"/>
      <c r="J5649" s="502" t="s">
        <v>2828</v>
      </c>
      <c r="K5649" s="501"/>
    </row>
    <row r="5650" spans="1:11" s="117" customFormat="1">
      <c r="A5650" s="502"/>
      <c r="B5650" s="612" t="s">
        <v>8797</v>
      </c>
      <c r="C5650" s="230">
        <v>1029.42</v>
      </c>
      <c r="D5650" s="217">
        <f>C5650*fcl*(1-0.1)</f>
        <v>1547.2182600000001</v>
      </c>
      <c r="E5650" s="216">
        <v>10</v>
      </c>
      <c r="F5650" s="156">
        <f>D5650+E5650</f>
        <v>1557.2182600000001</v>
      </c>
      <c r="G5650" s="465" t="s">
        <v>8798</v>
      </c>
      <c r="H5650" s="532" t="str">
        <f t="shared" si="731"/>
        <v>RM ST40 3N2</v>
      </c>
      <c r="I5650" s="501"/>
      <c r="J5650" s="502" t="s">
        <v>2828</v>
      </c>
      <c r="K5650" s="501"/>
    </row>
    <row r="5651" spans="1:11" s="117" customFormat="1">
      <c r="A5651" s="502"/>
      <c r="B5651" s="612" t="s">
        <v>9728</v>
      </c>
      <c r="C5651" s="230">
        <v>1029.42</v>
      </c>
      <c r="D5651" s="217">
        <f>C5651*fcl*(1-0.1)</f>
        <v>1547.2182600000001</v>
      </c>
      <c r="E5651" s="216">
        <v>10</v>
      </c>
      <c r="F5651" s="156">
        <f>D5651+E5651</f>
        <v>1557.2182600000001</v>
      </c>
      <c r="G5651" s="465" t="s">
        <v>9729</v>
      </c>
      <c r="H5651" s="532" t="str">
        <f>B5651</f>
        <v>RM ST40 3Y2</v>
      </c>
      <c r="I5651" s="501"/>
      <c r="J5651" s="502" t="s">
        <v>2828</v>
      </c>
      <c r="K5651" s="501"/>
    </row>
    <row r="5652" spans="1:11" s="117" customFormat="1">
      <c r="A5652" s="593"/>
      <c r="B5652" s="594"/>
      <c r="C5652" s="593"/>
      <c r="D5652" s="595"/>
      <c r="E5652" s="593"/>
      <c r="F5652" s="593"/>
      <c r="G5652" s="596"/>
      <c r="H5652" s="1801"/>
      <c r="I5652" s="593"/>
      <c r="J5652" s="593"/>
      <c r="K5652" s="593"/>
    </row>
    <row r="5653" spans="1:11" s="117" customFormat="1">
      <c r="A5653" s="502"/>
      <c r="B5653" s="612" t="s">
        <v>2812</v>
      </c>
      <c r="C5653" s="230">
        <v>1296.31</v>
      </c>
      <c r="D5653" s="217">
        <f t="shared" ref="D5653:D5663" si="732">C5653*fcl*(1-0.1)</f>
        <v>1948.35393</v>
      </c>
      <c r="E5653" s="216">
        <v>20</v>
      </c>
      <c r="F5653" s="156">
        <f t="shared" ref="F5653:F5667" si="733">D5653+E5653</f>
        <v>1968.35393</v>
      </c>
      <c r="G5653" s="465" t="s">
        <v>4890</v>
      </c>
      <c r="H5653" s="532" t="str">
        <f t="shared" si="731"/>
        <v>RM ST60 3N2</v>
      </c>
      <c r="I5653" s="501"/>
      <c r="J5653" s="502" t="s">
        <v>2828</v>
      </c>
      <c r="K5653" s="501"/>
    </row>
    <row r="5654" spans="1:11" s="196" customFormat="1">
      <c r="A5654" s="502"/>
      <c r="B5654" s="612" t="s">
        <v>2813</v>
      </c>
      <c r="C5654" s="230">
        <v>1296.31</v>
      </c>
      <c r="D5654" s="217">
        <f t="shared" si="732"/>
        <v>1948.35393</v>
      </c>
      <c r="E5654" s="216">
        <v>20</v>
      </c>
      <c r="F5654" s="156">
        <f t="shared" si="733"/>
        <v>1968.35393</v>
      </c>
      <c r="G5654" s="465" t="s">
        <v>4891</v>
      </c>
      <c r="H5654" s="532" t="str">
        <f t="shared" si="731"/>
        <v>RM ST60 3Y2</v>
      </c>
      <c r="I5654" s="501"/>
      <c r="J5654" s="502" t="s">
        <v>2828</v>
      </c>
      <c r="K5654" s="501"/>
    </row>
    <row r="5655" spans="1:11" s="196" customFormat="1">
      <c r="A5655" s="502"/>
      <c r="B5655" s="612" t="s">
        <v>2814</v>
      </c>
      <c r="C5655" s="230">
        <v>1460.26</v>
      </c>
      <c r="D5655" s="217">
        <f t="shared" si="732"/>
        <v>2194.7707799999998</v>
      </c>
      <c r="E5655" s="216">
        <v>20</v>
      </c>
      <c r="F5655" s="156">
        <f t="shared" si="733"/>
        <v>2214.7707799999998</v>
      </c>
      <c r="G5655" s="465" t="s">
        <v>4892</v>
      </c>
      <c r="H5655" s="532" t="str">
        <f t="shared" si="731"/>
        <v>RM ST120 3N2</v>
      </c>
      <c r="I5655" s="501"/>
      <c r="J5655" s="502" t="s">
        <v>2828</v>
      </c>
      <c r="K5655" s="501"/>
    </row>
    <row r="5656" spans="1:11" s="196" customFormat="1">
      <c r="A5656" s="502"/>
      <c r="B5656" s="612" t="s">
        <v>2815</v>
      </c>
      <c r="C5656" s="230">
        <v>1460.26</v>
      </c>
      <c r="D5656" s="217">
        <f t="shared" si="732"/>
        <v>2194.7707799999998</v>
      </c>
      <c r="E5656" s="216">
        <v>20</v>
      </c>
      <c r="F5656" s="156">
        <f t="shared" si="733"/>
        <v>2214.7707799999998</v>
      </c>
      <c r="G5656" s="465" t="s">
        <v>4893</v>
      </c>
      <c r="H5656" s="532" t="str">
        <f t="shared" si="731"/>
        <v>RM ST120 3Y2</v>
      </c>
      <c r="I5656" s="501"/>
      <c r="J5656" s="502" t="s">
        <v>2828</v>
      </c>
      <c r="K5656" s="501"/>
    </row>
    <row r="5657" spans="1:11" s="35" customFormat="1">
      <c r="A5657" s="502"/>
      <c r="B5657" s="612" t="s">
        <v>5298</v>
      </c>
      <c r="C5657" s="230">
        <v>1624.19</v>
      </c>
      <c r="D5657" s="217">
        <f>C5657*fcl*(1-0.1)</f>
        <v>2441.1575700000003</v>
      </c>
      <c r="E5657" s="216">
        <v>20</v>
      </c>
      <c r="F5657" s="156">
        <f t="shared" si="733"/>
        <v>2461.1575700000003</v>
      </c>
      <c r="G5657" s="465" t="s">
        <v>5299</v>
      </c>
      <c r="H5657" s="532" t="str">
        <f t="shared" si="731"/>
        <v>RM ST180 3N2</v>
      </c>
      <c r="I5657" s="501"/>
      <c r="J5657" s="502" t="s">
        <v>2828</v>
      </c>
      <c r="K5657" s="501"/>
    </row>
    <row r="5658" spans="1:11" s="35" customFormat="1">
      <c r="A5658" s="502"/>
      <c r="B5658" s="612" t="s">
        <v>5300</v>
      </c>
      <c r="C5658" s="230">
        <v>1624.19</v>
      </c>
      <c r="D5658" s="217">
        <f>C5658*fcl*(1-0.1)</f>
        <v>2441.1575700000003</v>
      </c>
      <c r="E5658" s="216">
        <v>20</v>
      </c>
      <c r="F5658" s="156">
        <f t="shared" si="733"/>
        <v>2461.1575700000003</v>
      </c>
      <c r="G5658" s="465" t="s">
        <v>5301</v>
      </c>
      <c r="H5658" s="532" t="str">
        <f t="shared" si="731"/>
        <v>RM ST180 3Y2</v>
      </c>
      <c r="I5658" s="501"/>
      <c r="J5658" s="502" t="s">
        <v>2828</v>
      </c>
      <c r="K5658" s="501"/>
    </row>
    <row r="5659" spans="1:11" s="117" customFormat="1">
      <c r="A5659" s="422"/>
      <c r="B5659" s="151"/>
      <c r="C5659" s="228"/>
      <c r="D5659" s="408"/>
      <c r="E5659" s="228"/>
      <c r="F5659" s="585"/>
      <c r="G5659" s="152"/>
      <c r="H5659" s="152"/>
      <c r="I5659" s="339"/>
      <c r="J5659" s="589"/>
      <c r="K5659" s="520"/>
    </row>
    <row r="5660" spans="1:11" s="117" customFormat="1">
      <c r="A5660" s="502"/>
      <c r="B5660" s="612" t="s">
        <v>8799</v>
      </c>
      <c r="C5660" s="230">
        <v>1490.75</v>
      </c>
      <c r="D5660" s="217">
        <f>C5660*fcl*(1-0.1)</f>
        <v>2240.5972499999998</v>
      </c>
      <c r="E5660" s="216">
        <v>40</v>
      </c>
      <c r="F5660" s="156">
        <f>D5660+E5660</f>
        <v>2280.5972499999998</v>
      </c>
      <c r="G5660" s="465" t="s">
        <v>8800</v>
      </c>
      <c r="H5660" s="532" t="str">
        <f>B5660</f>
        <v>LA ST60 3N2</v>
      </c>
      <c r="I5660" s="501"/>
      <c r="J5660" s="502" t="s">
        <v>2828</v>
      </c>
      <c r="K5660" s="501"/>
    </row>
    <row r="5661" spans="1:11" s="117" customFormat="1">
      <c r="A5661" s="502"/>
      <c r="B5661" s="612" t="s">
        <v>8801</v>
      </c>
      <c r="C5661" s="230">
        <v>1490.71</v>
      </c>
      <c r="D5661" s="217">
        <f>C5661*fcl*(1-0.1)</f>
        <v>2240.5371300000002</v>
      </c>
      <c r="E5661" s="216">
        <v>40</v>
      </c>
      <c r="F5661" s="156">
        <f>D5661+E5661</f>
        <v>2280.5371300000002</v>
      </c>
      <c r="G5661" s="465" t="s">
        <v>8802</v>
      </c>
      <c r="H5661" s="532" t="str">
        <f>B5661</f>
        <v>LA ST60 3Y1</v>
      </c>
      <c r="I5661" s="501"/>
      <c r="J5661" s="502" t="s">
        <v>2828</v>
      </c>
      <c r="K5661" s="501"/>
    </row>
    <row r="5662" spans="1:11" s="117" customFormat="1">
      <c r="A5662" s="502"/>
      <c r="B5662" s="612" t="s">
        <v>3554</v>
      </c>
      <c r="C5662" s="230">
        <v>1780.51</v>
      </c>
      <c r="D5662" s="217">
        <f t="shared" si="732"/>
        <v>2676.10653</v>
      </c>
      <c r="E5662" s="216">
        <v>40</v>
      </c>
      <c r="F5662" s="156">
        <f t="shared" si="733"/>
        <v>2716.10653</v>
      </c>
      <c r="G5662" s="465" t="s">
        <v>4894</v>
      </c>
      <c r="H5662" s="532" t="str">
        <f t="shared" si="731"/>
        <v>LA ST120 3N2</v>
      </c>
      <c r="I5662" s="501"/>
      <c r="J5662" s="502" t="s">
        <v>2828</v>
      </c>
      <c r="K5662" s="501"/>
    </row>
    <row r="5663" spans="1:11" s="35" customFormat="1">
      <c r="A5663" s="502"/>
      <c r="B5663" s="612" t="s">
        <v>3555</v>
      </c>
      <c r="C5663" s="230">
        <v>1780.51</v>
      </c>
      <c r="D5663" s="217">
        <f t="shared" si="732"/>
        <v>2676.10653</v>
      </c>
      <c r="E5663" s="216">
        <v>40</v>
      </c>
      <c r="F5663" s="156">
        <f t="shared" si="733"/>
        <v>2716.10653</v>
      </c>
      <c r="G5663" s="465" t="s">
        <v>4895</v>
      </c>
      <c r="H5663" s="532" t="str">
        <f t="shared" si="731"/>
        <v>LA ST120 3Y2</v>
      </c>
      <c r="I5663" s="501"/>
      <c r="J5663" s="502" t="s">
        <v>2828</v>
      </c>
      <c r="K5663" s="501"/>
    </row>
    <row r="5664" spans="1:11" s="35" customFormat="1">
      <c r="A5664" s="502"/>
      <c r="B5664" s="612" t="s">
        <v>2816</v>
      </c>
      <c r="C5664" s="230">
        <v>2161.7800000000002</v>
      </c>
      <c r="D5664" s="217">
        <f>C5664*fcl*(1-0.1)</f>
        <v>3249.1553400000003</v>
      </c>
      <c r="E5664" s="216">
        <v>40</v>
      </c>
      <c r="F5664" s="156">
        <f t="shared" si="733"/>
        <v>3289.1553400000003</v>
      </c>
      <c r="G5664" s="465" t="s">
        <v>4896</v>
      </c>
      <c r="H5664" s="532" t="str">
        <f t="shared" si="731"/>
        <v>LA ST180 3N2</v>
      </c>
      <c r="I5664" s="501"/>
      <c r="J5664" s="502" t="s">
        <v>2828</v>
      </c>
      <c r="K5664" s="501"/>
    </row>
    <row r="5665" spans="1:11" s="35" customFormat="1">
      <c r="A5665" s="502"/>
      <c r="B5665" s="612" t="s">
        <v>2817</v>
      </c>
      <c r="C5665" s="230">
        <v>2161.7800000000002</v>
      </c>
      <c r="D5665" s="217">
        <f>C5665*fcl*(1-0.1)</f>
        <v>3249.1553400000003</v>
      </c>
      <c r="E5665" s="216">
        <v>40</v>
      </c>
      <c r="F5665" s="156">
        <f t="shared" si="733"/>
        <v>3289.1553400000003</v>
      </c>
      <c r="G5665" s="465" t="s">
        <v>4897</v>
      </c>
      <c r="H5665" s="532" t="str">
        <f t="shared" si="731"/>
        <v>LA ST180 3Y2</v>
      </c>
      <c r="I5665" s="501"/>
      <c r="J5665" s="502" t="s">
        <v>2828</v>
      </c>
      <c r="K5665" s="501"/>
    </row>
    <row r="5666" spans="1:11" s="593" customFormat="1">
      <c r="A5666" s="502"/>
      <c r="B5666" s="612" t="s">
        <v>3556</v>
      </c>
      <c r="C5666" s="230">
        <v>2573.5500000000002</v>
      </c>
      <c r="D5666" s="217">
        <f>C5666*fcl*(1-0.1)</f>
        <v>3868.0456500000005</v>
      </c>
      <c r="E5666" s="216">
        <v>80</v>
      </c>
      <c r="F5666" s="156">
        <f t="shared" si="733"/>
        <v>3948.0456500000005</v>
      </c>
      <c r="G5666" s="465" t="s">
        <v>4898</v>
      </c>
      <c r="H5666" s="532" t="str">
        <f t="shared" si="731"/>
        <v>LA ST240 3N2</v>
      </c>
      <c r="I5666" s="501"/>
      <c r="J5666" s="502" t="s">
        <v>2828</v>
      </c>
      <c r="K5666" s="501"/>
    </row>
    <row r="5667" spans="1:11" s="35" customFormat="1">
      <c r="A5667" s="502"/>
      <c r="B5667" s="612" t="s">
        <v>3557</v>
      </c>
      <c r="C5667" s="230">
        <v>2573.5500000000002</v>
      </c>
      <c r="D5667" s="217">
        <f>C5667*fcl*(1-0.1)</f>
        <v>3868.0456500000005</v>
      </c>
      <c r="E5667" s="216">
        <v>80</v>
      </c>
      <c r="F5667" s="156">
        <f t="shared" si="733"/>
        <v>3948.0456500000005</v>
      </c>
      <c r="G5667" s="465" t="s">
        <v>4899</v>
      </c>
      <c r="H5667" s="532" t="str">
        <f t="shared" si="731"/>
        <v>LA ST240 3Y2</v>
      </c>
      <c r="I5667" s="501"/>
      <c r="J5667" s="502" t="s">
        <v>2828</v>
      </c>
      <c r="K5667" s="501"/>
    </row>
    <row r="5668" spans="1:11" s="35" customFormat="1">
      <c r="A5668" s="422"/>
      <c r="B5668" s="151"/>
      <c r="C5668" s="228"/>
      <c r="D5668" s="408"/>
      <c r="E5668" s="228"/>
      <c r="F5668" s="585"/>
      <c r="G5668" s="152"/>
      <c r="H5668" s="152"/>
      <c r="I5668" s="339"/>
      <c r="J5668" s="589"/>
      <c r="K5668" s="520"/>
    </row>
    <row r="5669" spans="1:11" s="35" customFormat="1">
      <c r="A5669" s="422"/>
      <c r="B5669" s="1825"/>
      <c r="C5669" s="232"/>
      <c r="D5669" s="903"/>
      <c r="E5669" s="232"/>
      <c r="F5669" s="585"/>
      <c r="G5669" s="152"/>
      <c r="H5669" s="152"/>
      <c r="I5669" s="339"/>
      <c r="J5669" s="589"/>
      <c r="K5669" s="520"/>
    </row>
    <row r="5670" spans="1:11" s="2063" customFormat="1" ht="19.5">
      <c r="A5670" s="2058"/>
      <c r="B5670" s="2059" t="s">
        <v>3908</v>
      </c>
      <c r="C5670" s="1677"/>
      <c r="D5670" s="2060"/>
      <c r="E5670" s="1677"/>
      <c r="F5670" s="591"/>
      <c r="G5670" s="2061"/>
      <c r="H5670" s="2061"/>
      <c r="I5670" s="2062"/>
      <c r="J5670" s="1680"/>
      <c r="K5670" s="620"/>
    </row>
    <row r="5671" spans="1:11" s="117" customFormat="1">
      <c r="A5671" s="422"/>
      <c r="B5671" s="1825"/>
      <c r="C5671" s="228"/>
      <c r="D5671" s="408"/>
      <c r="E5671" s="228"/>
      <c r="F5671" s="585"/>
      <c r="G5671" s="152"/>
      <c r="H5671" s="152"/>
      <c r="I5671" s="339"/>
      <c r="J5671" s="589"/>
      <c r="K5671" s="520"/>
    </row>
    <row r="5672" spans="1:11" s="117" customFormat="1">
      <c r="A5672" s="2247"/>
      <c r="B5672" s="1825"/>
      <c r="C5672" s="228"/>
      <c r="D5672" s="408"/>
      <c r="E5672" s="228"/>
      <c r="F5672" s="585"/>
      <c r="G5672" s="152"/>
      <c r="H5672" s="152"/>
      <c r="I5672" s="339"/>
      <c r="J5672" s="589"/>
      <c r="K5672" s="520"/>
    </row>
    <row r="5673" spans="1:11" s="341" customFormat="1">
      <c r="A5673" s="1730"/>
      <c r="B5673" s="338" t="s">
        <v>8803</v>
      </c>
      <c r="C5673" s="1173">
        <v>1520</v>
      </c>
      <c r="D5673" s="1174">
        <f>C5673*fcl</f>
        <v>2538.4</v>
      </c>
      <c r="E5673" s="1175">
        <v>30</v>
      </c>
      <c r="F5673" s="1176">
        <f>ROUNDUP(D5673+E5673,2)</f>
        <v>2568.4</v>
      </c>
      <c r="G5673" s="338" t="s">
        <v>8804</v>
      </c>
      <c r="H5673" s="2050" t="s">
        <v>8805</v>
      </c>
      <c r="I5673" s="1178"/>
      <c r="J5673" s="1172" t="s">
        <v>1960</v>
      </c>
      <c r="K5673" s="520" t="s">
        <v>741</v>
      </c>
    </row>
    <row r="5674" spans="1:11" s="339" customFormat="1">
      <c r="A5674" s="1730"/>
      <c r="B5674" s="338"/>
      <c r="C5674" s="1173"/>
      <c r="D5674" s="1174"/>
      <c r="E5674" s="1175"/>
      <c r="F5674" s="1176"/>
      <c r="G5674" s="338"/>
      <c r="H5674" s="592"/>
      <c r="I5674" s="1178"/>
      <c r="J5674" s="1172"/>
      <c r="K5674" s="520"/>
    </row>
    <row r="5675" spans="1:11" s="341" customFormat="1">
      <c r="A5675" s="1730"/>
      <c r="B5675" s="338" t="s">
        <v>8806</v>
      </c>
      <c r="C5675" s="1173">
        <v>60</v>
      </c>
      <c r="D5675" s="1174">
        <f t="shared" ref="D5675:D5680" si="734">C5675*fcl</f>
        <v>100.19999999999999</v>
      </c>
      <c r="E5675" s="1175">
        <v>30</v>
      </c>
      <c r="F5675" s="1176">
        <f t="shared" ref="F5675:F5680" si="735">ROUNDUP(D5675+E5675,2)</f>
        <v>130.19999999999999</v>
      </c>
      <c r="G5675" s="338" t="s">
        <v>8807</v>
      </c>
      <c r="H5675" s="2050" t="s">
        <v>8808</v>
      </c>
      <c r="I5675" s="1178"/>
      <c r="J5675" s="1172" t="s">
        <v>1960</v>
      </c>
      <c r="K5675" s="520" t="s">
        <v>741</v>
      </c>
    </row>
    <row r="5676" spans="1:11" s="341" customFormat="1">
      <c r="A5676" s="1730"/>
      <c r="B5676" s="338" t="s">
        <v>8809</v>
      </c>
      <c r="C5676" s="1173">
        <v>75</v>
      </c>
      <c r="D5676" s="1174">
        <f t="shared" si="734"/>
        <v>125.25</v>
      </c>
      <c r="E5676" s="1175">
        <v>30</v>
      </c>
      <c r="F5676" s="1176">
        <f t="shared" si="735"/>
        <v>155.25</v>
      </c>
      <c r="G5676" s="338" t="s">
        <v>8810</v>
      </c>
      <c r="H5676" s="2050" t="s">
        <v>8811</v>
      </c>
      <c r="I5676" s="1178"/>
      <c r="J5676" s="1172" t="s">
        <v>1960</v>
      </c>
      <c r="K5676" s="520" t="s">
        <v>741</v>
      </c>
    </row>
    <row r="5677" spans="1:11" s="341" customFormat="1">
      <c r="A5677" s="1730"/>
      <c r="B5677" s="338" t="s">
        <v>8812</v>
      </c>
      <c r="C5677" s="1173">
        <v>260</v>
      </c>
      <c r="D5677" s="1174">
        <f t="shared" si="734"/>
        <v>434.2</v>
      </c>
      <c r="E5677" s="1175">
        <v>30</v>
      </c>
      <c r="F5677" s="1176">
        <f t="shared" si="735"/>
        <v>464.2</v>
      </c>
      <c r="G5677" s="338" t="s">
        <v>8813</v>
      </c>
      <c r="H5677" s="2050" t="s">
        <v>8814</v>
      </c>
      <c r="I5677" s="1178"/>
      <c r="J5677" s="1172" t="s">
        <v>1960</v>
      </c>
      <c r="K5677" s="520" t="s">
        <v>741</v>
      </c>
    </row>
    <row r="5678" spans="1:11" s="341" customFormat="1">
      <c r="A5678" s="1730"/>
      <c r="B5678" s="338" t="s">
        <v>8815</v>
      </c>
      <c r="C5678" s="1173">
        <v>670</v>
      </c>
      <c r="D5678" s="1174">
        <f t="shared" si="734"/>
        <v>1118.8999999999999</v>
      </c>
      <c r="E5678" s="1175">
        <v>30</v>
      </c>
      <c r="F5678" s="1176">
        <f t="shared" si="735"/>
        <v>1148.9000000000001</v>
      </c>
      <c r="G5678" s="338" t="s">
        <v>8816</v>
      </c>
      <c r="H5678" s="2050" t="s">
        <v>8817</v>
      </c>
      <c r="I5678" s="1178"/>
      <c r="J5678" s="1172" t="s">
        <v>1960</v>
      </c>
      <c r="K5678" s="520" t="s">
        <v>741</v>
      </c>
    </row>
    <row r="5679" spans="1:11" s="341" customFormat="1">
      <c r="A5679" s="1730"/>
      <c r="B5679" s="338" t="s">
        <v>8818</v>
      </c>
      <c r="C5679" s="1173">
        <v>1110</v>
      </c>
      <c r="D5679" s="1174">
        <f t="shared" si="734"/>
        <v>1853.6999999999998</v>
      </c>
      <c r="E5679" s="1175">
        <v>30</v>
      </c>
      <c r="F5679" s="1176">
        <f t="shared" si="735"/>
        <v>1883.7</v>
      </c>
      <c r="G5679" s="338" t="s">
        <v>8819</v>
      </c>
      <c r="H5679" s="2050" t="s">
        <v>8820</v>
      </c>
      <c r="I5679" s="1178"/>
      <c r="J5679" s="1172" t="s">
        <v>1960</v>
      </c>
      <c r="K5679" s="520" t="s">
        <v>741</v>
      </c>
    </row>
    <row r="5680" spans="1:11" s="341" customFormat="1">
      <c r="A5680" s="1730"/>
      <c r="B5680" s="338" t="s">
        <v>8821</v>
      </c>
      <c r="C5680" s="1173">
        <v>2680</v>
      </c>
      <c r="D5680" s="1174">
        <f t="shared" si="734"/>
        <v>4475.5999999999995</v>
      </c>
      <c r="E5680" s="1175">
        <v>30</v>
      </c>
      <c r="F5680" s="1176">
        <f t="shared" si="735"/>
        <v>4505.6000000000004</v>
      </c>
      <c r="G5680" s="338" t="s">
        <v>8822</v>
      </c>
      <c r="H5680" s="2050" t="s">
        <v>8823</v>
      </c>
      <c r="I5680" s="1178"/>
      <c r="J5680" s="1172" t="s">
        <v>1960</v>
      </c>
      <c r="K5680" s="520" t="s">
        <v>741</v>
      </c>
    </row>
    <row r="5681" spans="1:11" s="339" customFormat="1">
      <c r="A5681" s="1730"/>
      <c r="B5681" s="338"/>
      <c r="C5681" s="1173"/>
      <c r="D5681" s="1174"/>
      <c r="E5681" s="1175"/>
      <c r="F5681" s="1176"/>
      <c r="G5681" s="338"/>
      <c r="H5681" s="2050"/>
      <c r="I5681" s="1178"/>
      <c r="J5681" s="1172"/>
      <c r="K5681" s="520"/>
    </row>
    <row r="5682" spans="1:11" s="341" customFormat="1">
      <c r="A5682" s="1730"/>
      <c r="B5682" s="338" t="s">
        <v>8824</v>
      </c>
      <c r="C5682" s="1173">
        <v>215</v>
      </c>
      <c r="D5682" s="1174">
        <f>C5682*fcl</f>
        <v>359.05</v>
      </c>
      <c r="E5682" s="1175">
        <v>30</v>
      </c>
      <c r="F5682" s="1176">
        <f>ROUNDUP(D5682+E5682,2)</f>
        <v>389.05</v>
      </c>
      <c r="G5682" s="338" t="s">
        <v>8825</v>
      </c>
      <c r="H5682" s="2050" t="s">
        <v>8826</v>
      </c>
      <c r="I5682" s="1178"/>
      <c r="J5682" s="1172" t="s">
        <v>1960</v>
      </c>
      <c r="K5682" s="520" t="s">
        <v>741</v>
      </c>
    </row>
    <row r="5683" spans="1:11" s="341" customFormat="1">
      <c r="A5683" s="1730"/>
      <c r="B5683" s="338" t="s">
        <v>8827</v>
      </c>
      <c r="C5683" s="1173">
        <v>245</v>
      </c>
      <c r="D5683" s="1174">
        <f>C5683*fcl</f>
        <v>409.15</v>
      </c>
      <c r="E5683" s="1175">
        <v>30</v>
      </c>
      <c r="F5683" s="1176">
        <f>ROUNDUP(D5683+E5683,2)</f>
        <v>439.15</v>
      </c>
      <c r="G5683" s="338" t="s">
        <v>8828</v>
      </c>
      <c r="H5683" s="2050" t="s">
        <v>8829</v>
      </c>
      <c r="I5683" s="1178"/>
      <c r="J5683" s="1172" t="s">
        <v>1960</v>
      </c>
      <c r="K5683" s="520" t="s">
        <v>741</v>
      </c>
    </row>
    <row r="5684" spans="1:11" s="341" customFormat="1">
      <c r="A5684" s="1730"/>
      <c r="B5684" s="338" t="s">
        <v>8830</v>
      </c>
      <c r="C5684" s="1173">
        <v>455</v>
      </c>
      <c r="D5684" s="1174">
        <f>C5684*fcl</f>
        <v>759.85</v>
      </c>
      <c r="E5684" s="1175">
        <v>30</v>
      </c>
      <c r="F5684" s="1176">
        <f>ROUNDUP(D5684+E5684,2)</f>
        <v>789.85</v>
      </c>
      <c r="G5684" s="338" t="s">
        <v>8831</v>
      </c>
      <c r="H5684" s="2050" t="s">
        <v>8832</v>
      </c>
      <c r="I5684" s="1178"/>
      <c r="J5684" s="1172" t="s">
        <v>1960</v>
      </c>
      <c r="K5684" s="520" t="s">
        <v>741</v>
      </c>
    </row>
    <row r="5685" spans="1:11" s="341" customFormat="1">
      <c r="A5685" s="1730"/>
      <c r="B5685" s="338" t="s">
        <v>8833</v>
      </c>
      <c r="C5685" s="1173">
        <v>760</v>
      </c>
      <c r="D5685" s="1174">
        <f>C5685*fcl</f>
        <v>1269.2</v>
      </c>
      <c r="E5685" s="1175">
        <v>30</v>
      </c>
      <c r="F5685" s="1176">
        <f>ROUNDUP(D5685+E5685,2)</f>
        <v>1299.2</v>
      </c>
      <c r="G5685" s="338" t="s">
        <v>8834</v>
      </c>
      <c r="H5685" s="2050" t="s">
        <v>8835</v>
      </c>
      <c r="I5685" s="1178"/>
      <c r="J5685" s="1172" t="s">
        <v>1960</v>
      </c>
      <c r="K5685" s="520" t="s">
        <v>741</v>
      </c>
    </row>
    <row r="5686" spans="1:11" s="341" customFormat="1">
      <c r="A5686" s="1730"/>
      <c r="B5686" s="338"/>
      <c r="C5686" s="1173"/>
      <c r="D5686" s="1174"/>
      <c r="E5686" s="1175"/>
      <c r="F5686" s="1176"/>
      <c r="G5686" s="338"/>
      <c r="H5686" s="2050"/>
      <c r="I5686" s="1178"/>
      <c r="J5686" s="1172"/>
      <c r="K5686" s="520"/>
    </row>
    <row r="5687" spans="1:11" s="194" customFormat="1" ht="12.75" customHeight="1">
      <c r="A5687" s="1730"/>
      <c r="B5687" s="902" t="s">
        <v>8836</v>
      </c>
      <c r="C5687" s="1181">
        <v>235</v>
      </c>
      <c r="D5687" s="244">
        <f>C5687*fcl</f>
        <v>392.45</v>
      </c>
      <c r="E5687" s="232">
        <v>10</v>
      </c>
      <c r="F5687" s="585">
        <f>ROUNDUP(D5687+E5687,2)</f>
        <v>402.45</v>
      </c>
      <c r="G5687" s="338" t="s">
        <v>8837</v>
      </c>
      <c r="H5687" s="1647" t="s">
        <v>8838</v>
      </c>
      <c r="I5687" s="520"/>
      <c r="J5687" s="421" t="s">
        <v>1960</v>
      </c>
      <c r="K5687" s="520" t="s">
        <v>741</v>
      </c>
    </row>
    <row r="5688" spans="1:11" s="194" customFormat="1" ht="12.75" customHeight="1">
      <c r="A5688" s="1730"/>
      <c r="B5688" s="902" t="s">
        <v>8839</v>
      </c>
      <c r="C5688" s="1181">
        <v>44</v>
      </c>
      <c r="D5688" s="244">
        <f>C5688*fcl</f>
        <v>73.47999999999999</v>
      </c>
      <c r="E5688" s="232">
        <v>10</v>
      </c>
      <c r="F5688" s="585">
        <f>ROUNDUP(D5688+E5688,2)</f>
        <v>83.48</v>
      </c>
      <c r="G5688" s="338" t="s">
        <v>8840</v>
      </c>
      <c r="H5688" s="1647" t="s">
        <v>8841</v>
      </c>
      <c r="I5688" s="520"/>
      <c r="J5688" s="421" t="s">
        <v>1960</v>
      </c>
      <c r="K5688" s="520" t="s">
        <v>741</v>
      </c>
    </row>
    <row r="5689" spans="1:11" s="194" customFormat="1" ht="12.75" customHeight="1">
      <c r="A5689" s="1730"/>
      <c r="B5689" s="902"/>
      <c r="C5689" s="1181"/>
      <c r="D5689" s="244"/>
      <c r="E5689" s="232"/>
      <c r="F5689" s="585"/>
      <c r="G5689" s="338"/>
      <c r="H5689" s="1647"/>
      <c r="I5689" s="520"/>
      <c r="J5689" s="421"/>
      <c r="K5689" s="520"/>
    </row>
    <row r="5690" spans="1:11" s="194" customFormat="1" ht="12.75" customHeight="1">
      <c r="A5690" s="1739"/>
      <c r="B5690" s="902" t="s">
        <v>14152</v>
      </c>
      <c r="C5690" s="1181">
        <v>622.4</v>
      </c>
      <c r="D5690" s="244">
        <f>C5690*fcl</f>
        <v>1039.4079999999999</v>
      </c>
      <c r="E5690" s="232">
        <v>10</v>
      </c>
      <c r="F5690" s="585">
        <f>ROUNDUP(D5690+E5690,2)</f>
        <v>1049.4100000000001</v>
      </c>
      <c r="G5690" s="338" t="s">
        <v>14153</v>
      </c>
      <c r="H5690" s="902" t="s">
        <v>14152</v>
      </c>
      <c r="I5690" s="520"/>
      <c r="J5690" s="421" t="s">
        <v>1960</v>
      </c>
      <c r="K5690" s="520" t="s">
        <v>741</v>
      </c>
    </row>
    <row r="5691" spans="1:11" s="194" customFormat="1" ht="12.75" customHeight="1">
      <c r="A5691" s="1730"/>
      <c r="B5691" s="902"/>
      <c r="C5691" s="1181"/>
      <c r="D5691" s="244"/>
      <c r="E5691" s="232"/>
      <c r="F5691" s="585"/>
      <c r="G5691" s="338"/>
      <c r="H5691" s="1647"/>
      <c r="I5691" s="520"/>
      <c r="J5691" s="421"/>
      <c r="K5691" s="520"/>
    </row>
    <row r="5692" spans="1:11" s="35" customFormat="1">
      <c r="A5692" s="2247"/>
      <c r="B5692" s="2248"/>
      <c r="C5692" s="1171"/>
      <c r="D5692" s="903"/>
      <c r="E5692" s="232"/>
      <c r="F5692" s="585"/>
      <c r="G5692"/>
      <c r="H5692" s="152"/>
      <c r="I5692" s="339"/>
      <c r="J5692" s="589"/>
      <c r="K5692" s="520"/>
    </row>
    <row r="5693" spans="1:11" s="2315" customFormat="1">
      <c r="A5693" s="2306"/>
      <c r="B5693" s="2307" t="s">
        <v>3909</v>
      </c>
      <c r="C5693" s="2308">
        <v>950.8</v>
      </c>
      <c r="D5693" s="2309">
        <f>C5693*fcl</f>
        <v>1587.8359999999998</v>
      </c>
      <c r="E5693" s="2310">
        <v>20</v>
      </c>
      <c r="F5693" s="2311">
        <f>ROUNDUP(D5693+E5693,2)</f>
        <v>1607.84</v>
      </c>
      <c r="G5693" s="2312" t="s">
        <v>4900</v>
      </c>
      <c r="H5693" s="2313" t="s">
        <v>4901</v>
      </c>
      <c r="I5693" s="2314"/>
      <c r="J5693" s="2306" t="s">
        <v>1960</v>
      </c>
      <c r="K5693" s="2314" t="s">
        <v>741</v>
      </c>
    </row>
    <row r="5694" spans="1:11" s="35" customFormat="1">
      <c r="A5694" s="2248" t="s">
        <v>4902</v>
      </c>
      <c r="B5694" s="1819" t="s">
        <v>3910</v>
      </c>
      <c r="C5694" s="1181">
        <v>594</v>
      </c>
      <c r="D5694" s="244">
        <f>C5694*fcl</f>
        <v>991.9799999999999</v>
      </c>
      <c r="E5694" s="232">
        <v>20</v>
      </c>
      <c r="F5694" s="585">
        <f>ROUNDUP(D5694+E5694,2)</f>
        <v>1011.98</v>
      </c>
      <c r="G5694" s="338" t="s">
        <v>4903</v>
      </c>
      <c r="H5694" s="1647" t="s">
        <v>4904</v>
      </c>
      <c r="I5694" s="520"/>
      <c r="J5694" s="421" t="s">
        <v>1960</v>
      </c>
      <c r="K5694" s="520" t="s">
        <v>741</v>
      </c>
    </row>
    <row r="5695" spans="1:11" s="35" customFormat="1">
      <c r="A5695" s="1730"/>
      <c r="B5695" s="1819"/>
      <c r="C5695" s="1181"/>
      <c r="D5695" s="244"/>
      <c r="E5695" s="232"/>
      <c r="F5695" s="585"/>
      <c r="G5695" s="338"/>
      <c r="H5695" s="1647"/>
      <c r="I5695" s="520"/>
      <c r="J5695" s="421"/>
      <c r="K5695" s="520"/>
    </row>
    <row r="5696" spans="1:11" s="35" customFormat="1">
      <c r="A5696" s="1739"/>
      <c r="B5696" s="2251" t="s">
        <v>3911</v>
      </c>
      <c r="C5696" s="1181">
        <v>73.8</v>
      </c>
      <c r="D5696" s="244">
        <f>C5696*fcl</f>
        <v>123.246</v>
      </c>
      <c r="E5696" s="232">
        <v>20</v>
      </c>
      <c r="F5696" s="585">
        <f>ROUNDUP(D5696+E5696,2)</f>
        <v>143.25</v>
      </c>
      <c r="G5696" s="338" t="s">
        <v>4905</v>
      </c>
      <c r="H5696" s="1647" t="s">
        <v>4906</v>
      </c>
      <c r="I5696" s="520"/>
      <c r="J5696" s="421" t="s">
        <v>1960</v>
      </c>
      <c r="K5696" s="520" t="s">
        <v>741</v>
      </c>
    </row>
    <row r="5697" spans="1:11" s="117" customFormat="1">
      <c r="A5697" s="1730"/>
      <c r="B5697" s="1731"/>
      <c r="C5697" s="1180"/>
      <c r="D5697" s="244"/>
      <c r="E5697" s="228"/>
      <c r="F5697" s="585"/>
      <c r="G5697" s="338"/>
      <c r="H5697" s="592"/>
      <c r="I5697" s="520"/>
      <c r="J5697" s="421"/>
      <c r="K5697" s="520"/>
    </row>
    <row r="5698" spans="1:11" s="117" customFormat="1">
      <c r="A5698" s="1730"/>
      <c r="B5698" s="2252" t="s">
        <v>3913</v>
      </c>
      <c r="C5698" s="1181">
        <v>854</v>
      </c>
      <c r="D5698" s="244">
        <f>C5698*fcl</f>
        <v>1426.1799999999998</v>
      </c>
      <c r="E5698" s="232">
        <v>0</v>
      </c>
      <c r="F5698" s="585">
        <f>ROUNDUP(D5698+E5698,2)</f>
        <v>1426.18</v>
      </c>
      <c r="G5698" s="338" t="s">
        <v>11226</v>
      </c>
      <c r="H5698" s="1647" t="s">
        <v>4907</v>
      </c>
      <c r="I5698" s="520"/>
      <c r="J5698" s="421" t="s">
        <v>1960</v>
      </c>
      <c r="K5698" s="520" t="s">
        <v>741</v>
      </c>
    </row>
    <row r="5699" spans="1:11" s="117" customFormat="1">
      <c r="A5699" s="2248" t="s">
        <v>4902</v>
      </c>
      <c r="B5699" s="1819" t="s">
        <v>3915</v>
      </c>
      <c r="C5699" s="1181">
        <f>1.1*420</f>
        <v>462.00000000000006</v>
      </c>
      <c r="D5699" s="244">
        <f>C5699*fcl</f>
        <v>771.54000000000008</v>
      </c>
      <c r="E5699" s="232">
        <v>0</v>
      </c>
      <c r="F5699" s="585">
        <f>ROUNDUP(D5699+E5699,2)</f>
        <v>771.54</v>
      </c>
      <c r="G5699" s="338" t="s">
        <v>4908</v>
      </c>
      <c r="H5699" s="1647" t="s">
        <v>4909</v>
      </c>
      <c r="I5699" s="520"/>
      <c r="J5699" s="421" t="s">
        <v>1960</v>
      </c>
      <c r="K5699" s="520" t="s">
        <v>741</v>
      </c>
    </row>
    <row r="5700" spans="1:11" s="117" customFormat="1">
      <c r="A5700" s="2248" t="s">
        <v>4902</v>
      </c>
      <c r="B5700" s="1819" t="s">
        <v>3916</v>
      </c>
      <c r="C5700" s="1181">
        <v>279</v>
      </c>
      <c r="D5700" s="244">
        <f>C5700*fcl</f>
        <v>465.93</v>
      </c>
      <c r="E5700" s="232">
        <v>0</v>
      </c>
      <c r="F5700" s="585">
        <f>ROUNDUP(D5700+E5700,2)</f>
        <v>465.93</v>
      </c>
      <c r="G5700" s="338" t="s">
        <v>4910</v>
      </c>
      <c r="H5700" s="1647" t="s">
        <v>4911</v>
      </c>
      <c r="I5700" s="520"/>
      <c r="J5700" s="421" t="s">
        <v>1960</v>
      </c>
      <c r="K5700" s="520" t="s">
        <v>741</v>
      </c>
    </row>
    <row r="5701" spans="1:11" s="117" customFormat="1">
      <c r="A5701" s="1730"/>
      <c r="B5701" s="1819"/>
      <c r="C5701" s="1180"/>
      <c r="D5701" s="244"/>
      <c r="E5701" s="228"/>
      <c r="F5701" s="585"/>
      <c r="G5701" s="338"/>
      <c r="H5701" s="592"/>
      <c r="I5701" s="520"/>
      <c r="J5701" s="421"/>
      <c r="K5701" s="520"/>
    </row>
    <row r="5702" spans="1:11" s="117" customFormat="1">
      <c r="A5702" s="1730"/>
      <c r="B5702" s="2251" t="s">
        <v>3917</v>
      </c>
      <c r="C5702" s="1181">
        <v>99.9</v>
      </c>
      <c r="D5702" s="244">
        <f>C5702*fcl</f>
        <v>166.833</v>
      </c>
      <c r="E5702" s="232">
        <v>10</v>
      </c>
      <c r="F5702" s="585">
        <f>ROUNDUP(D5702+E5702,2)</f>
        <v>176.84</v>
      </c>
      <c r="G5702" s="338" t="s">
        <v>4912</v>
      </c>
      <c r="H5702" s="1647" t="s">
        <v>4913</v>
      </c>
      <c r="I5702" s="520"/>
      <c r="J5702" s="421" t="s">
        <v>1960</v>
      </c>
      <c r="K5702" s="520" t="s">
        <v>741</v>
      </c>
    </row>
    <row r="5703" spans="1:11" s="117" customFormat="1" ht="12.75" customHeight="1">
      <c r="A5703" s="1730"/>
      <c r="B5703" s="1731"/>
      <c r="C5703" s="1180"/>
      <c r="D5703" s="244"/>
      <c r="E5703" s="228"/>
      <c r="F5703" s="585"/>
      <c r="G5703" s="338"/>
      <c r="H5703" s="592"/>
      <c r="I5703" s="520"/>
      <c r="J5703" s="421"/>
      <c r="K5703" s="520"/>
    </row>
    <row r="5704" spans="1:11" s="117" customFormat="1" ht="12.75" customHeight="1">
      <c r="A5704" s="1730"/>
      <c r="B5704" s="1731"/>
      <c r="C5704" s="1180"/>
      <c r="D5704" s="244"/>
      <c r="E5704" s="228"/>
      <c r="F5704" s="585"/>
      <c r="G5704" s="2253"/>
      <c r="H5704" s="592"/>
      <c r="I5704" s="520"/>
      <c r="J5704" s="421"/>
      <c r="K5704" s="520"/>
    </row>
    <row r="5705" spans="1:11" s="1179" customFormat="1">
      <c r="A5705" s="1826">
        <v>3</v>
      </c>
      <c r="B5705" s="1731" t="s">
        <v>13425</v>
      </c>
      <c r="C5705" s="1181">
        <v>3189.4</v>
      </c>
      <c r="D5705" s="244">
        <f t="shared" ref="D5705" si="736">C5705*fcl</f>
        <v>5326.2979999999998</v>
      </c>
      <c r="E5705" s="232">
        <v>30</v>
      </c>
      <c r="F5705" s="585">
        <f t="shared" ref="F5705" si="737">ROUNDUP(D5705+E5705,2)</f>
        <v>5356.3</v>
      </c>
      <c r="G5705" s="338" t="s">
        <v>13426</v>
      </c>
      <c r="H5705" s="1731" t="s">
        <v>13425</v>
      </c>
      <c r="I5705" s="520"/>
      <c r="J5705" s="421" t="s">
        <v>1960</v>
      </c>
      <c r="K5705" s="520" t="s">
        <v>741</v>
      </c>
    </row>
    <row r="5706" spans="1:11" s="1179" customFormat="1">
      <c r="A5706" s="1826"/>
      <c r="B5706" s="1731"/>
      <c r="C5706" s="1181"/>
      <c r="D5706" s="244"/>
      <c r="E5706" s="232"/>
      <c r="F5706" s="585"/>
      <c r="G5706" s="338"/>
      <c r="H5706" s="1731"/>
      <c r="I5706" s="520"/>
      <c r="J5706" s="421"/>
      <c r="K5706" s="520"/>
    </row>
    <row r="5707" spans="1:11" s="1179" customFormat="1">
      <c r="A5707" s="1826"/>
      <c r="B5707" s="1731"/>
      <c r="C5707" s="1181"/>
      <c r="D5707" s="244"/>
      <c r="E5707" s="232"/>
      <c r="F5707" s="585"/>
      <c r="G5707" s="338"/>
      <c r="H5707" s="1731"/>
      <c r="I5707" s="520"/>
      <c r="J5707" s="421"/>
      <c r="K5707" s="520"/>
    </row>
    <row r="5708" spans="1:11" s="1179" customFormat="1">
      <c r="A5708" s="2188"/>
      <c r="B5708" s="1731" t="s">
        <v>14154</v>
      </c>
      <c r="C5708" s="1181">
        <v>2089.9</v>
      </c>
      <c r="D5708" s="244">
        <f t="shared" ref="D5708" si="738">C5708*fcl</f>
        <v>3490.1329999999998</v>
      </c>
      <c r="E5708" s="232">
        <v>0</v>
      </c>
      <c r="F5708" s="585">
        <f t="shared" ref="F5708" si="739">ROUNDUP(D5708+E5708,2)</f>
        <v>3490.1400000000003</v>
      </c>
      <c r="G5708" s="338" t="s">
        <v>14155</v>
      </c>
      <c r="H5708" s="1647" t="s">
        <v>14154</v>
      </c>
      <c r="I5708" s="520"/>
      <c r="J5708" s="421" t="s">
        <v>1960</v>
      </c>
      <c r="K5708" s="520" t="s">
        <v>741</v>
      </c>
    </row>
    <row r="5709" spans="1:11" s="1179" customFormat="1">
      <c r="A5709" s="1730"/>
      <c r="B5709" s="1731"/>
      <c r="C5709" s="1181"/>
      <c r="D5709" s="244"/>
      <c r="E5709" s="232"/>
      <c r="F5709" s="585"/>
      <c r="G5709" s="338"/>
      <c r="H5709" s="1647"/>
      <c r="I5709" s="520"/>
      <c r="J5709" s="421"/>
      <c r="K5709" s="520"/>
    </row>
    <row r="5710" spans="1:11" s="1179" customFormat="1">
      <c r="A5710" s="1826">
        <v>14</v>
      </c>
      <c r="B5710" s="1731" t="s">
        <v>8842</v>
      </c>
      <c r="C5710" s="1181">
        <v>2850</v>
      </c>
      <c r="D5710" s="244">
        <f t="shared" ref="D5710:D5715" si="740">C5710*fcl</f>
        <v>4759.5</v>
      </c>
      <c r="E5710" s="232">
        <v>0</v>
      </c>
      <c r="F5710" s="585">
        <f t="shared" ref="F5710:F5715" si="741">ROUNDUP(D5710+E5710,2)</f>
        <v>4759.5</v>
      </c>
      <c r="G5710" s="338" t="s">
        <v>14156</v>
      </c>
      <c r="H5710" s="1647" t="s">
        <v>8842</v>
      </c>
      <c r="I5710" s="520"/>
      <c r="J5710" s="421" t="s">
        <v>1960</v>
      </c>
      <c r="K5710" s="520" t="s">
        <v>741</v>
      </c>
    </row>
    <row r="5711" spans="1:11" s="2326" customFormat="1">
      <c r="A5711" s="2316">
        <v>16</v>
      </c>
      <c r="B5711" s="2317" t="s">
        <v>4906</v>
      </c>
      <c r="C5711" s="2318">
        <v>73.8</v>
      </c>
      <c r="D5711" s="2319">
        <f t="shared" si="740"/>
        <v>123.246</v>
      </c>
      <c r="E5711" s="2320">
        <v>0</v>
      </c>
      <c r="F5711" s="2321">
        <f t="shared" si="741"/>
        <v>123.25</v>
      </c>
      <c r="G5711" s="2322" t="s">
        <v>8843</v>
      </c>
      <c r="H5711" s="2323" t="s">
        <v>4906</v>
      </c>
      <c r="I5711" s="2324"/>
      <c r="J5711" s="2325" t="s">
        <v>1960</v>
      </c>
      <c r="K5711" s="2324" t="s">
        <v>741</v>
      </c>
    </row>
    <row r="5712" spans="1:11" s="1179" customFormat="1">
      <c r="A5712" s="1826">
        <v>15</v>
      </c>
      <c r="B5712" s="1731" t="s">
        <v>4901</v>
      </c>
      <c r="C5712" s="1181">
        <v>950.8</v>
      </c>
      <c r="D5712" s="244">
        <f t="shared" si="740"/>
        <v>1587.8359999999998</v>
      </c>
      <c r="E5712" s="232">
        <v>0</v>
      </c>
      <c r="F5712" s="585">
        <f t="shared" si="741"/>
        <v>1587.84</v>
      </c>
      <c r="G5712" s="338" t="s">
        <v>8844</v>
      </c>
      <c r="H5712" s="1647" t="s">
        <v>4901</v>
      </c>
      <c r="I5712" s="520"/>
      <c r="J5712" s="421" t="s">
        <v>1960</v>
      </c>
      <c r="K5712" s="520" t="s">
        <v>741</v>
      </c>
    </row>
    <row r="5713" spans="1:11" s="2326" customFormat="1">
      <c r="A5713" s="2316">
        <v>18</v>
      </c>
      <c r="B5713" s="2317" t="s">
        <v>4913</v>
      </c>
      <c r="C5713" s="2318">
        <v>99</v>
      </c>
      <c r="D5713" s="2319">
        <f t="shared" si="740"/>
        <v>165.32999999999998</v>
      </c>
      <c r="E5713" s="2320">
        <v>0</v>
      </c>
      <c r="F5713" s="2321">
        <f t="shared" si="741"/>
        <v>165.33</v>
      </c>
      <c r="G5713" s="2322" t="s">
        <v>8845</v>
      </c>
      <c r="H5713" s="2323" t="s">
        <v>4913</v>
      </c>
      <c r="I5713" s="2324"/>
      <c r="J5713" s="2325" t="s">
        <v>1960</v>
      </c>
      <c r="K5713" s="2324" t="s">
        <v>741</v>
      </c>
    </row>
    <row r="5714" spans="1:11" s="2326" customFormat="1">
      <c r="A5714" s="2316">
        <v>17</v>
      </c>
      <c r="B5714" s="2317" t="s">
        <v>4907</v>
      </c>
      <c r="C5714" s="2318">
        <v>854</v>
      </c>
      <c r="D5714" s="2319">
        <f t="shared" si="740"/>
        <v>1426.1799999999998</v>
      </c>
      <c r="E5714" s="2320">
        <v>0</v>
      </c>
      <c r="F5714" s="2321">
        <f t="shared" si="741"/>
        <v>1426.18</v>
      </c>
      <c r="G5714" s="2322" t="s">
        <v>8846</v>
      </c>
      <c r="H5714" s="2323" t="s">
        <v>4907</v>
      </c>
      <c r="I5714" s="2324"/>
      <c r="J5714" s="2325" t="s">
        <v>1960</v>
      </c>
      <c r="K5714" s="2324" t="s">
        <v>741</v>
      </c>
    </row>
    <row r="5715" spans="1:11" s="2326" customFormat="1">
      <c r="A5715" s="2316">
        <v>21</v>
      </c>
      <c r="B5715" s="2317" t="s">
        <v>4920</v>
      </c>
      <c r="C5715" s="2318">
        <v>1055</v>
      </c>
      <c r="D5715" s="2319">
        <f t="shared" si="740"/>
        <v>1761.85</v>
      </c>
      <c r="E5715" s="2320">
        <v>0</v>
      </c>
      <c r="F5715" s="2321">
        <f t="shared" si="741"/>
        <v>1761.85</v>
      </c>
      <c r="G5715" s="2322" t="s">
        <v>8847</v>
      </c>
      <c r="H5715" s="2323" t="s">
        <v>4920</v>
      </c>
      <c r="I5715" s="2324"/>
      <c r="J5715" s="2325" t="s">
        <v>1960</v>
      </c>
      <c r="K5715" s="2324" t="s">
        <v>741</v>
      </c>
    </row>
    <row r="5716" spans="1:11" s="1179" customFormat="1">
      <c r="A5716" s="1826"/>
      <c r="B5716" s="1731"/>
      <c r="C5716" s="1181"/>
      <c r="D5716" s="244"/>
      <c r="E5716" s="232"/>
      <c r="F5716" s="585"/>
      <c r="G5716" s="338"/>
      <c r="H5716" s="1647"/>
      <c r="I5716" s="520"/>
      <c r="J5716" s="421"/>
      <c r="K5716" s="520"/>
    </row>
    <row r="5717" spans="1:11" s="35" customFormat="1">
      <c r="A5717" s="2249"/>
      <c r="B5717" s="2250" t="s">
        <v>11227</v>
      </c>
      <c r="C5717" s="1173">
        <v>362</v>
      </c>
      <c r="D5717" s="1174">
        <f>C5717*fcl</f>
        <v>604.54</v>
      </c>
      <c r="E5717" s="1175">
        <v>0</v>
      </c>
      <c r="F5717" s="1176">
        <f>ROUNDUP(D5717+E5717,2)</f>
        <v>604.54</v>
      </c>
      <c r="G5717" s="1177" t="s">
        <v>11228</v>
      </c>
      <c r="H5717" s="2050" t="s">
        <v>11227</v>
      </c>
      <c r="I5717" s="1178"/>
      <c r="J5717" s="1172" t="s">
        <v>1960</v>
      </c>
      <c r="K5717" s="1178" t="s">
        <v>741</v>
      </c>
    </row>
    <row r="5718" spans="1:11" s="35" customFormat="1">
      <c r="A5718" s="1730"/>
      <c r="B5718" s="2251" t="s">
        <v>11229</v>
      </c>
      <c r="C5718" s="1181">
        <v>84</v>
      </c>
      <c r="D5718" s="244">
        <f>C5718*fcl</f>
        <v>140.28</v>
      </c>
      <c r="E5718" s="232">
        <v>0</v>
      </c>
      <c r="F5718" s="585">
        <f>ROUNDUP(D5718+E5718,2)</f>
        <v>140.28</v>
      </c>
      <c r="G5718" s="338" t="s">
        <v>11230</v>
      </c>
      <c r="H5718" s="1647" t="s">
        <v>11231</v>
      </c>
      <c r="I5718" s="520"/>
      <c r="J5718" s="421" t="s">
        <v>1960</v>
      </c>
      <c r="K5718" s="520" t="s">
        <v>741</v>
      </c>
    </row>
    <row r="5719" spans="1:11" s="1179" customFormat="1">
      <c r="A5719" s="1730"/>
      <c r="B5719" s="1731"/>
      <c r="C5719" s="1181"/>
      <c r="D5719" s="244"/>
      <c r="E5719" s="232"/>
      <c r="F5719" s="585"/>
      <c r="G5719" s="338"/>
      <c r="H5719" s="1647"/>
      <c r="I5719" s="520"/>
      <c r="J5719" s="421"/>
      <c r="K5719" s="520"/>
    </row>
    <row r="5720" spans="1:11" s="1179" customFormat="1">
      <c r="A5720" s="1730"/>
      <c r="B5720" s="1731" t="s">
        <v>4914</v>
      </c>
      <c r="C5720" s="1181">
        <v>635</v>
      </c>
      <c r="D5720" s="244">
        <f t="shared" ref="D5720" si="742">C5720*fcl</f>
        <v>1060.45</v>
      </c>
      <c r="E5720" s="232">
        <v>30</v>
      </c>
      <c r="F5720" s="585">
        <f>ROUNDUP(D5720+E5720,2)</f>
        <v>1090.45</v>
      </c>
      <c r="G5720" s="338" t="s">
        <v>4915</v>
      </c>
      <c r="H5720" s="1647" t="s">
        <v>4916</v>
      </c>
      <c r="I5720" s="520"/>
      <c r="J5720" s="421" t="s">
        <v>1960</v>
      </c>
      <c r="K5720" s="520" t="s">
        <v>741</v>
      </c>
    </row>
    <row r="5721" spans="1:11" s="1179" customFormat="1">
      <c r="A5721" s="1730"/>
      <c r="B5721" s="1731" t="s">
        <v>12388</v>
      </c>
      <c r="C5721" s="1181">
        <v>941.8</v>
      </c>
      <c r="D5721" s="244">
        <f>C5721*fcl</f>
        <v>1572.8059999999998</v>
      </c>
      <c r="E5721" s="232">
        <v>30</v>
      </c>
      <c r="F5721" s="585">
        <f>ROUNDUP(D5721+E5721,2)</f>
        <v>1602.81</v>
      </c>
      <c r="G5721" s="338" t="s">
        <v>12389</v>
      </c>
      <c r="H5721" s="1647" t="s">
        <v>12390</v>
      </c>
      <c r="I5721" s="520"/>
      <c r="J5721" s="421" t="s">
        <v>1960</v>
      </c>
      <c r="K5721" s="520" t="s">
        <v>741</v>
      </c>
    </row>
    <row r="5722" spans="1:11" s="194" customFormat="1" ht="12.75" customHeight="1">
      <c r="A5722" s="1730"/>
      <c r="B5722" s="1731" t="s">
        <v>4917</v>
      </c>
      <c r="C5722" s="1181">
        <v>1193</v>
      </c>
      <c r="D5722" s="244">
        <f>C5722*fcl</f>
        <v>1992.31</v>
      </c>
      <c r="E5722" s="232">
        <v>30</v>
      </c>
      <c r="F5722" s="585">
        <f>ROUNDUP(D5722+E5722,2)</f>
        <v>2022.31</v>
      </c>
      <c r="G5722" s="338" t="s">
        <v>11769</v>
      </c>
      <c r="H5722" s="1647" t="s">
        <v>4918</v>
      </c>
      <c r="I5722" s="520"/>
      <c r="J5722" s="421" t="s">
        <v>1960</v>
      </c>
      <c r="K5722" s="520" t="s">
        <v>741</v>
      </c>
    </row>
    <row r="5723" spans="1:11" s="2327" customFormat="1" ht="12.75" customHeight="1">
      <c r="A5723" s="2325"/>
      <c r="B5723" s="2317" t="s">
        <v>3919</v>
      </c>
      <c r="C5723" s="2318">
        <v>1312</v>
      </c>
      <c r="D5723" s="2319">
        <f>C5723*fcl</f>
        <v>2191.04</v>
      </c>
      <c r="E5723" s="2320">
        <v>30</v>
      </c>
      <c r="F5723" s="2321">
        <f>ROUNDUP(D5723+E5723,2)</f>
        <v>2221.04</v>
      </c>
      <c r="G5723" s="2322" t="s">
        <v>11770</v>
      </c>
      <c r="H5723" s="2323" t="s">
        <v>4919</v>
      </c>
      <c r="I5723" s="2324"/>
      <c r="J5723" s="2325" t="s">
        <v>1960</v>
      </c>
      <c r="K5723" s="2324" t="s">
        <v>741</v>
      </c>
    </row>
    <row r="5724" spans="1:11" s="194" customFormat="1" ht="12.75" customHeight="1">
      <c r="A5724" s="421"/>
      <c r="B5724" s="151"/>
      <c r="C5724" s="1180"/>
      <c r="D5724" s="244"/>
      <c r="E5724" s="228"/>
      <c r="F5724" s="585"/>
      <c r="G5724" s="338"/>
      <c r="H5724" s="592"/>
      <c r="I5724" s="520"/>
      <c r="J5724" s="421"/>
      <c r="K5724" s="520"/>
    </row>
    <row r="5725" spans="1:11" s="194" customFormat="1" ht="12.75" customHeight="1">
      <c r="A5725" s="421"/>
      <c r="B5725" s="151" t="s">
        <v>13427</v>
      </c>
      <c r="C5725" s="1181">
        <v>3257</v>
      </c>
      <c r="D5725" s="244">
        <f>C5725*fcl</f>
        <v>5439.19</v>
      </c>
      <c r="E5725" s="232">
        <v>30</v>
      </c>
      <c r="F5725" s="585">
        <f>ROUNDUP(D5725+E5725,2)</f>
        <v>5469.19</v>
      </c>
      <c r="G5725" s="338" t="s">
        <v>13428</v>
      </c>
      <c r="H5725" s="151" t="s">
        <v>13427</v>
      </c>
      <c r="I5725" s="520"/>
      <c r="J5725" s="421" t="s">
        <v>1960</v>
      </c>
      <c r="K5725" s="520" t="s">
        <v>741</v>
      </c>
    </row>
    <row r="5726" spans="1:11" s="194" customFormat="1" ht="12.75" customHeight="1">
      <c r="A5726" s="421"/>
      <c r="B5726" s="151"/>
      <c r="C5726" s="1180"/>
      <c r="D5726" s="244"/>
      <c r="E5726" s="228"/>
      <c r="F5726" s="585"/>
      <c r="G5726" s="338"/>
      <c r="H5726" s="592"/>
      <c r="I5726" s="520"/>
      <c r="J5726" s="421"/>
      <c r="K5726" s="520"/>
    </row>
    <row r="5727" spans="1:11" s="194" customFormat="1" ht="12.75" customHeight="1">
      <c r="A5727" s="421"/>
      <c r="B5727" s="151"/>
      <c r="C5727" s="1180"/>
      <c r="D5727" s="244"/>
      <c r="E5727" s="228"/>
      <c r="F5727" s="585"/>
      <c r="G5727" s="338"/>
      <c r="H5727" s="592"/>
      <c r="I5727" s="520"/>
      <c r="J5727" s="421"/>
      <c r="K5727" s="520"/>
    </row>
    <row r="5728" spans="1:11" s="194" customFormat="1" ht="12.75" customHeight="1">
      <c r="A5728" s="421"/>
      <c r="B5728" s="151"/>
      <c r="C5728" s="1180"/>
      <c r="D5728" s="244"/>
      <c r="E5728" s="228"/>
      <c r="F5728" s="585"/>
      <c r="G5728" s="338"/>
      <c r="H5728" s="592"/>
      <c r="I5728" s="520"/>
      <c r="J5728" s="421"/>
      <c r="K5728" s="520"/>
    </row>
    <row r="5729" spans="1:11" s="1678" customFormat="1" ht="12.75" customHeight="1">
      <c r="A5729" s="2058"/>
      <c r="B5729" s="1656"/>
      <c r="C5729" s="1677"/>
      <c r="D5729" s="2060"/>
      <c r="E5729" s="1677"/>
      <c r="F5729" s="591"/>
      <c r="G5729" s="2061"/>
      <c r="H5729" s="2061"/>
      <c r="I5729" s="2062"/>
      <c r="J5729" s="1680"/>
      <c r="K5729" s="620"/>
    </row>
    <row r="5730" spans="1:11" s="194" customFormat="1" ht="12.75" customHeight="1">
      <c r="A5730" s="422"/>
      <c r="B5730" s="902"/>
      <c r="C5730" s="232"/>
      <c r="D5730" s="903"/>
      <c r="E5730" s="232"/>
      <c r="F5730" s="585"/>
      <c r="G5730" s="152"/>
      <c r="H5730" s="152"/>
      <c r="I5730" s="339"/>
      <c r="J5730" s="589"/>
      <c r="K5730" s="520"/>
    </row>
    <row r="5731" spans="1:11" s="194" customFormat="1" ht="12.75" customHeight="1">
      <c r="A5731" s="422"/>
      <c r="B5731" s="900"/>
      <c r="C5731" s="228"/>
      <c r="D5731" s="408"/>
      <c r="E5731" s="228"/>
      <c r="F5731" s="585"/>
      <c r="G5731" s="152"/>
      <c r="H5731" s="152"/>
      <c r="I5731" s="339"/>
      <c r="J5731" s="589"/>
      <c r="K5731" s="520"/>
    </row>
    <row r="5732" spans="1:11" s="194" customFormat="1" ht="12.75" customHeight="1">
      <c r="A5732" s="422"/>
      <c r="B5732" s="900"/>
      <c r="C5732" s="228"/>
      <c r="D5732" s="408"/>
      <c r="E5732" s="228"/>
      <c r="F5732" s="585"/>
      <c r="G5732" s="152"/>
      <c r="H5732" s="152"/>
      <c r="I5732" s="339"/>
      <c r="J5732" s="589"/>
      <c r="K5732" s="520"/>
    </row>
    <row r="5733" spans="1:11" s="194" customFormat="1" ht="12.75" customHeight="1">
      <c r="A5733" s="422"/>
      <c r="B5733" s="545" t="s">
        <v>9477</v>
      </c>
      <c r="C5733" s="239">
        <v>141</v>
      </c>
      <c r="D5733" s="601">
        <f>C5733*(1-VLOOKUP(I5733,descuentos,6,FALSE))*fcl/IF(dol_sol="dólar", TC,1)</f>
        <v>34.25245025373134</v>
      </c>
      <c r="E5733" s="229">
        <v>10</v>
      </c>
      <c r="F5733" s="519">
        <f>ROUNDUP(D5733+E5733,2)</f>
        <v>44.26</v>
      </c>
      <c r="G5733" s="1845" t="s">
        <v>9478</v>
      </c>
      <c r="H5733" s="2051" t="str">
        <f>B5733</f>
        <v>1SLM004100A1207</v>
      </c>
      <c r="I5733" s="545" t="s">
        <v>11650</v>
      </c>
      <c r="J5733" s="1846" t="s">
        <v>753</v>
      </c>
      <c r="K5733" s="545" t="s">
        <v>741</v>
      </c>
    </row>
    <row r="5734" spans="1:11" s="194" customFormat="1" ht="12.75" customHeight="1">
      <c r="A5734" s="422"/>
      <c r="B5734" s="1847"/>
      <c r="C5734" s="229"/>
      <c r="D5734" s="601"/>
      <c r="E5734" s="229"/>
      <c r="F5734" s="519"/>
      <c r="G5734" s="1848"/>
      <c r="H5734" s="1848"/>
      <c r="I5734" s="1849"/>
      <c r="J5734" s="563"/>
      <c r="K5734" s="545"/>
    </row>
    <row r="5735" spans="1:11" s="203" customFormat="1">
      <c r="A5735" s="106"/>
      <c r="B5735" s="1850" t="s">
        <v>9479</v>
      </c>
      <c r="C5735" s="1851"/>
      <c r="D5735" s="1852">
        <v>10.5</v>
      </c>
      <c r="E5735" s="1852">
        <v>0</v>
      </c>
      <c r="F5735" s="1852">
        <f>D5735+E5735</f>
        <v>10.5</v>
      </c>
      <c r="G5735" s="1852" t="s">
        <v>9480</v>
      </c>
      <c r="H5735" s="2051" t="str">
        <f>B5735</f>
        <v>ER103C40</v>
      </c>
      <c r="I5735" s="1853"/>
      <c r="J5735" s="1854" t="s">
        <v>1835</v>
      </c>
      <c r="K5735" s="1855" t="s">
        <v>741</v>
      </c>
    </row>
    <row r="5736" spans="1:11" s="203" customFormat="1">
      <c r="A5736" s="106"/>
      <c r="B5736" s="1850" t="s">
        <v>9481</v>
      </c>
      <c r="C5736" s="1851"/>
      <c r="D5736" s="1852">
        <v>9.5</v>
      </c>
      <c r="E5736" s="1852">
        <v>0</v>
      </c>
      <c r="F5736" s="1852">
        <f>D5736+E5736</f>
        <v>9.5</v>
      </c>
      <c r="G5736" s="1852" t="s">
        <v>9482</v>
      </c>
      <c r="H5736" s="2051" t="str">
        <f>B5736</f>
        <v>ER103C20</v>
      </c>
      <c r="I5736" s="1853"/>
      <c r="J5736" s="1854" t="s">
        <v>1835</v>
      </c>
      <c r="K5736" s="1855" t="s">
        <v>741</v>
      </c>
    </row>
    <row r="5737" spans="1:11" s="203" customFormat="1">
      <c r="A5737" s="106"/>
      <c r="B5737" s="1850" t="s">
        <v>9483</v>
      </c>
      <c r="C5737" s="1851"/>
      <c r="D5737" s="1852">
        <v>7</v>
      </c>
      <c r="E5737" s="1852">
        <v>0</v>
      </c>
      <c r="F5737" s="1852">
        <f>D5737+E5737</f>
        <v>7</v>
      </c>
      <c r="G5737" s="1852" t="s">
        <v>9484</v>
      </c>
      <c r="H5737" s="2051" t="str">
        <f>B5737</f>
        <v>ER102C40</v>
      </c>
      <c r="I5737" s="1853"/>
      <c r="J5737" s="1854" t="s">
        <v>1835</v>
      </c>
      <c r="K5737" s="1855" t="s">
        <v>741</v>
      </c>
    </row>
    <row r="5738" spans="1:11" s="203" customFormat="1">
      <c r="A5738" s="106"/>
      <c r="B5738" s="1850" t="s">
        <v>9485</v>
      </c>
      <c r="C5738" s="1851"/>
      <c r="D5738" s="1852">
        <v>6.5</v>
      </c>
      <c r="E5738" s="1852">
        <v>0</v>
      </c>
      <c r="F5738" s="1852">
        <f>D5738+E5738</f>
        <v>6.5</v>
      </c>
      <c r="G5738" s="1852" t="s">
        <v>9486</v>
      </c>
      <c r="H5738" s="2051" t="str">
        <f>B5738</f>
        <v>ER102C20</v>
      </c>
      <c r="I5738" s="1853"/>
      <c r="J5738" s="1854" t="s">
        <v>1835</v>
      </c>
      <c r="K5738" s="1855" t="s">
        <v>741</v>
      </c>
    </row>
    <row r="5739" spans="1:11" s="203" customFormat="1">
      <c r="A5739" s="106"/>
      <c r="B5739" s="1850" t="s">
        <v>9487</v>
      </c>
      <c r="C5739" s="1851"/>
      <c r="D5739" s="1852">
        <v>6.5</v>
      </c>
      <c r="E5739" s="1852">
        <v>0</v>
      </c>
      <c r="F5739" s="1852">
        <f>D5739+E5739</f>
        <v>6.5</v>
      </c>
      <c r="G5739" s="1852" t="s">
        <v>9488</v>
      </c>
      <c r="H5739" s="2051" t="str">
        <f>B5739</f>
        <v>ER102C16</v>
      </c>
      <c r="I5739" s="1853"/>
      <c r="J5739" s="1854" t="s">
        <v>1835</v>
      </c>
      <c r="K5739" s="1855" t="s">
        <v>741</v>
      </c>
    </row>
    <row r="5740" spans="1:11" s="194" customFormat="1" ht="12.75" customHeight="1">
      <c r="A5740" s="422"/>
      <c r="B5740" s="151"/>
      <c r="C5740" s="228"/>
      <c r="D5740" s="408"/>
      <c r="E5740" s="228"/>
      <c r="F5740" s="585"/>
      <c r="G5740" s="152"/>
      <c r="H5740" s="152"/>
      <c r="I5740" s="339"/>
      <c r="J5740" s="589"/>
      <c r="K5740" s="520"/>
    </row>
    <row r="5741" spans="1:11" s="194" customFormat="1" ht="12.75" customHeight="1">
      <c r="A5741" s="422"/>
      <c r="B5741" s="900" t="s">
        <v>2829</v>
      </c>
      <c r="C5741" s="228"/>
      <c r="D5741" s="408"/>
      <c r="E5741" s="228"/>
      <c r="F5741" s="585"/>
      <c r="G5741" s="152"/>
      <c r="H5741" s="152"/>
      <c r="I5741" s="339"/>
      <c r="J5741" s="589"/>
      <c r="K5741" s="520"/>
    </row>
    <row r="5742" spans="1:11" s="194" customFormat="1" ht="12.75" customHeight="1">
      <c r="A5742" s="422"/>
      <c r="B5742" s="900"/>
      <c r="C5742" s="228"/>
      <c r="D5742" s="408"/>
      <c r="E5742" s="228"/>
      <c r="F5742" s="585"/>
      <c r="G5742" s="152"/>
      <c r="H5742" s="152"/>
      <c r="I5742" s="339"/>
      <c r="J5742" s="589"/>
      <c r="K5742" s="520"/>
    </row>
    <row r="5743" spans="1:11" s="194" customFormat="1" ht="12.75" customHeight="1">
      <c r="A5743" s="422"/>
      <c r="B5743" s="900"/>
      <c r="C5743" s="228"/>
      <c r="D5743" s="408"/>
      <c r="E5743" s="228"/>
      <c r="F5743" s="585"/>
      <c r="G5743" s="152"/>
      <c r="H5743" s="152"/>
      <c r="I5743" s="339"/>
      <c r="J5743" s="589"/>
      <c r="K5743" s="520"/>
    </row>
    <row r="5744" spans="1:11" s="194" customFormat="1" ht="12.75" customHeight="1">
      <c r="A5744" s="422"/>
      <c r="B5744" s="900"/>
      <c r="C5744" s="228"/>
      <c r="D5744" s="408"/>
      <c r="E5744" s="228"/>
      <c r="F5744" s="585"/>
      <c r="G5744" s="152"/>
      <c r="H5744" s="152"/>
      <c r="I5744" s="339"/>
      <c r="J5744" s="589"/>
      <c r="K5744" s="520"/>
    </row>
    <row r="5745" spans="1:11" s="194" customFormat="1" ht="12.75" customHeight="1">
      <c r="A5745" s="422"/>
      <c r="B5745" s="900"/>
      <c r="C5745" s="228"/>
      <c r="D5745" s="408"/>
      <c r="E5745" s="228"/>
      <c r="F5745" s="585"/>
      <c r="G5745" s="152"/>
      <c r="H5745" s="152"/>
      <c r="I5745" s="339"/>
      <c r="J5745" s="589"/>
      <c r="K5745" s="520"/>
    </row>
    <row r="5746" spans="1:11" s="194" customFormat="1" ht="12.75" customHeight="1">
      <c r="A5746" s="422"/>
      <c r="B5746" s="900"/>
      <c r="C5746" s="228"/>
      <c r="D5746" s="408"/>
      <c r="E5746" s="228"/>
      <c r="F5746" s="585"/>
      <c r="G5746" s="152"/>
      <c r="H5746" s="152"/>
      <c r="I5746" s="339"/>
      <c r="J5746" s="589"/>
      <c r="K5746" s="520"/>
    </row>
    <row r="5747" spans="1:11" s="194" customFormat="1" ht="12.75" customHeight="1">
      <c r="A5747" s="422"/>
      <c r="B5747" s="900"/>
      <c r="C5747" s="228"/>
      <c r="D5747" s="408"/>
      <c r="E5747" s="228"/>
      <c r="F5747" s="585"/>
      <c r="G5747" s="152"/>
      <c r="H5747" s="152"/>
      <c r="I5747" s="339"/>
      <c r="J5747" s="589"/>
      <c r="K5747" s="520"/>
    </row>
    <row r="5748" spans="1:11" s="194" customFormat="1" ht="12.75" customHeight="1">
      <c r="A5748" s="422"/>
      <c r="B5748" s="900"/>
      <c r="C5748" s="228"/>
      <c r="D5748" s="408"/>
      <c r="E5748" s="228"/>
      <c r="F5748" s="585"/>
      <c r="G5748" s="152"/>
      <c r="H5748" s="152"/>
      <c r="I5748" s="339"/>
      <c r="J5748" s="589"/>
      <c r="K5748" s="520"/>
    </row>
    <row r="5749" spans="1:11" s="194" customFormat="1" ht="12.75" customHeight="1">
      <c r="A5749" s="422"/>
      <c r="B5749" s="900"/>
      <c r="C5749" s="228"/>
      <c r="D5749" s="408"/>
      <c r="E5749" s="228"/>
      <c r="F5749" s="585"/>
      <c r="G5749" s="152"/>
      <c r="H5749" s="152"/>
      <c r="I5749" s="339"/>
      <c r="J5749" s="589"/>
      <c r="K5749" s="520"/>
    </row>
    <row r="5750" spans="1:11" s="194" customFormat="1" ht="12.75" customHeight="1">
      <c r="A5750" s="422"/>
      <c r="B5750" s="900"/>
      <c r="C5750" s="228"/>
      <c r="D5750" s="408"/>
      <c r="E5750" s="228"/>
      <c r="F5750" s="585"/>
      <c r="G5750" s="152"/>
      <c r="H5750" s="152"/>
      <c r="I5750" s="339"/>
      <c r="J5750" s="589"/>
      <c r="K5750" s="520"/>
    </row>
    <row r="5751" spans="1:11" s="194" customFormat="1" ht="12.75" customHeight="1">
      <c r="A5751" s="422"/>
      <c r="B5751" s="900"/>
      <c r="C5751" s="228"/>
      <c r="D5751" s="408"/>
      <c r="E5751" s="228"/>
      <c r="F5751" s="585"/>
      <c r="G5751" s="152"/>
      <c r="H5751" s="152"/>
      <c r="I5751" s="339"/>
      <c r="J5751" s="589"/>
      <c r="K5751" s="520"/>
    </row>
    <row r="5752" spans="1:11" s="194" customFormat="1" ht="12.75" customHeight="1">
      <c r="A5752" s="422"/>
      <c r="B5752" s="900"/>
      <c r="C5752" s="228"/>
      <c r="D5752" s="408"/>
      <c r="E5752" s="228"/>
      <c r="F5752" s="585"/>
      <c r="G5752" s="152"/>
      <c r="H5752" s="152"/>
      <c r="I5752" s="339"/>
      <c r="J5752" s="589"/>
      <c r="K5752" s="520"/>
    </row>
    <row r="5753" spans="1:11" s="194" customFormat="1" ht="27.75" customHeight="1">
      <c r="A5753" s="422"/>
      <c r="B5753" s="1827" t="s">
        <v>2752</v>
      </c>
      <c r="C5753" s="228"/>
      <c r="D5753" s="408"/>
      <c r="E5753" s="228"/>
      <c r="F5753" s="585"/>
      <c r="G5753" s="152"/>
      <c r="H5753" s="152"/>
      <c r="I5753" s="339"/>
      <c r="J5753" s="589"/>
      <c r="K5753" s="520"/>
    </row>
    <row r="5754" spans="1:11" s="203" customFormat="1">
      <c r="A5754" s="106"/>
      <c r="B5754" s="612"/>
      <c r="D5754" s="230"/>
      <c r="E5754" s="445"/>
      <c r="F5754" s="24"/>
      <c r="G5754" s="24"/>
      <c r="H5754" s="1801"/>
      <c r="I5754" s="30"/>
      <c r="J5754" s="416"/>
      <c r="K5754" s="35"/>
    </row>
    <row r="5755" spans="1:11" s="194" customFormat="1" ht="12.75" customHeight="1">
      <c r="A5755" s="422"/>
      <c r="B5755" s="1608"/>
      <c r="C5755" s="228"/>
      <c r="D5755" s="408"/>
      <c r="E5755" s="228"/>
      <c r="F5755" s="585"/>
      <c r="G5755" s="152"/>
      <c r="H5755" s="152"/>
      <c r="I5755" s="339"/>
      <c r="J5755" s="589"/>
      <c r="K5755" s="520"/>
    </row>
    <row r="5756" spans="1:11" s="194" customFormat="1">
      <c r="A5756" s="106"/>
      <c r="B5756" s="612" t="s">
        <v>2753</v>
      </c>
      <c r="D5756" s="230">
        <v>4</v>
      </c>
      <c r="E5756" s="445"/>
      <c r="F5756" s="24">
        <f t="shared" ref="F5756:F5763" si="743">D5756+E5756</f>
        <v>4</v>
      </c>
      <c r="G5756" s="24" t="s">
        <v>10269</v>
      </c>
      <c r="H5756" s="532" t="str">
        <f t="shared" ref="H5756:H5790" si="744">B5756</f>
        <v>EPC06101</v>
      </c>
      <c r="I5756" s="30"/>
      <c r="J5756" s="416" t="s">
        <v>2752</v>
      </c>
      <c r="K5756" s="35" t="s">
        <v>741</v>
      </c>
    </row>
    <row r="5757" spans="1:11" s="194" customFormat="1">
      <c r="A5757" s="106"/>
      <c r="B5757" s="612" t="s">
        <v>2754</v>
      </c>
      <c r="D5757" s="230">
        <v>4</v>
      </c>
      <c r="E5757" s="445"/>
      <c r="F5757" s="24">
        <f t="shared" si="743"/>
        <v>4</v>
      </c>
      <c r="G5757" s="24" t="s">
        <v>10270</v>
      </c>
      <c r="H5757" s="532" t="str">
        <f t="shared" si="744"/>
        <v>EPC06161</v>
      </c>
      <c r="I5757" s="30"/>
      <c r="J5757" s="416" t="s">
        <v>2752</v>
      </c>
      <c r="K5757" s="35" t="s">
        <v>741</v>
      </c>
    </row>
    <row r="5758" spans="1:11" s="117" customFormat="1">
      <c r="A5758" s="106"/>
      <c r="B5758" s="612" t="s">
        <v>2755</v>
      </c>
      <c r="D5758" s="230">
        <v>4</v>
      </c>
      <c r="E5758" s="445"/>
      <c r="F5758" s="24">
        <f t="shared" si="743"/>
        <v>4</v>
      </c>
      <c r="G5758" s="24" t="s">
        <v>10271</v>
      </c>
      <c r="H5758" s="532" t="str">
        <f t="shared" si="744"/>
        <v>EPC06201</v>
      </c>
      <c r="I5758" s="30"/>
      <c r="J5758" s="416" t="s">
        <v>2752</v>
      </c>
      <c r="K5758" s="35" t="s">
        <v>741</v>
      </c>
    </row>
    <row r="5759" spans="1:11" s="117" customFormat="1">
      <c r="A5759" s="106"/>
      <c r="B5759" s="612" t="s">
        <v>2756</v>
      </c>
      <c r="D5759" s="230">
        <v>4</v>
      </c>
      <c r="E5759" s="445"/>
      <c r="F5759" s="24">
        <f t="shared" si="743"/>
        <v>4</v>
      </c>
      <c r="G5759" s="24" t="s">
        <v>10272</v>
      </c>
      <c r="H5759" s="532" t="str">
        <f t="shared" si="744"/>
        <v>EPC06251</v>
      </c>
      <c r="I5759" s="30"/>
      <c r="J5759" s="416" t="s">
        <v>2752</v>
      </c>
      <c r="K5759" s="35" t="s">
        <v>741</v>
      </c>
    </row>
    <row r="5760" spans="1:11" s="117" customFormat="1">
      <c r="A5760" s="106"/>
      <c r="B5760" s="612" t="s">
        <v>2757</v>
      </c>
      <c r="D5760" s="230">
        <v>4</v>
      </c>
      <c r="E5760" s="445"/>
      <c r="F5760" s="24">
        <f t="shared" si="743"/>
        <v>4</v>
      </c>
      <c r="G5760" s="24" t="s">
        <v>10273</v>
      </c>
      <c r="H5760" s="532" t="str">
        <f t="shared" si="744"/>
        <v>EPC06321</v>
      </c>
      <c r="I5760" s="30"/>
      <c r="J5760" s="416" t="s">
        <v>2752</v>
      </c>
      <c r="K5760" s="35" t="s">
        <v>741</v>
      </c>
    </row>
    <row r="5761" spans="1:11" s="207" customFormat="1">
      <c r="A5761" s="106"/>
      <c r="B5761" s="612" t="s">
        <v>2758</v>
      </c>
      <c r="D5761" s="230">
        <v>4</v>
      </c>
      <c r="E5761" s="445"/>
      <c r="F5761" s="24">
        <f t="shared" si="743"/>
        <v>4</v>
      </c>
      <c r="G5761" s="24" t="s">
        <v>10274</v>
      </c>
      <c r="H5761" s="532" t="str">
        <f t="shared" si="744"/>
        <v>EPC06401</v>
      </c>
      <c r="I5761" s="30"/>
      <c r="J5761" s="416" t="s">
        <v>2752</v>
      </c>
      <c r="K5761" s="35" t="s">
        <v>741</v>
      </c>
    </row>
    <row r="5762" spans="1:11" s="203" customFormat="1">
      <c r="A5762" s="106"/>
      <c r="B5762" s="612" t="s">
        <v>2759</v>
      </c>
      <c r="D5762" s="230">
        <v>5</v>
      </c>
      <c r="E5762" s="445"/>
      <c r="F5762" s="24">
        <f t="shared" si="743"/>
        <v>5</v>
      </c>
      <c r="G5762" s="24" t="s">
        <v>10275</v>
      </c>
      <c r="H5762" s="532" t="str">
        <f t="shared" si="744"/>
        <v>EPC06501</v>
      </c>
      <c r="I5762" s="30"/>
      <c r="J5762" s="416" t="s">
        <v>2752</v>
      </c>
      <c r="K5762" s="35" t="s">
        <v>741</v>
      </c>
    </row>
    <row r="5763" spans="1:11" s="203" customFormat="1">
      <c r="A5763" s="106"/>
      <c r="B5763" s="612" t="s">
        <v>2760</v>
      </c>
      <c r="D5763" s="230">
        <v>5</v>
      </c>
      <c r="E5763" s="445"/>
      <c r="F5763" s="24">
        <f t="shared" si="743"/>
        <v>5</v>
      </c>
      <c r="G5763" s="24" t="s">
        <v>10276</v>
      </c>
      <c r="H5763" s="532" t="str">
        <f t="shared" si="744"/>
        <v>EPC06631</v>
      </c>
      <c r="I5763" s="30"/>
      <c r="J5763" s="416" t="s">
        <v>2752</v>
      </c>
      <c r="K5763" s="35" t="s">
        <v>741</v>
      </c>
    </row>
    <row r="5764" spans="1:11" s="203" customFormat="1">
      <c r="A5764" s="106"/>
      <c r="B5764" s="612"/>
      <c r="D5764" s="230"/>
      <c r="E5764" s="445"/>
      <c r="F5764" s="24"/>
      <c r="G5764" s="24"/>
      <c r="H5764" s="532"/>
      <c r="I5764" s="30"/>
      <c r="J5764" s="416"/>
      <c r="K5764" s="35"/>
    </row>
    <row r="5765" spans="1:11" s="203" customFormat="1">
      <c r="A5765" s="106"/>
      <c r="B5765" s="612" t="s">
        <v>2761</v>
      </c>
      <c r="D5765" s="230">
        <v>8</v>
      </c>
      <c r="E5765" s="445"/>
      <c r="F5765" s="24">
        <f t="shared" ref="F5765:F5772" si="745">D5765+E5765</f>
        <v>8</v>
      </c>
      <c r="G5765" s="24" t="s">
        <v>10277</v>
      </c>
      <c r="H5765" s="532" t="str">
        <f t="shared" si="744"/>
        <v>EPC06102</v>
      </c>
      <c r="I5765" s="30"/>
      <c r="J5765" s="416" t="s">
        <v>2752</v>
      </c>
      <c r="K5765" s="35" t="s">
        <v>741</v>
      </c>
    </row>
    <row r="5766" spans="1:11" s="203" customFormat="1">
      <c r="A5766" s="106"/>
      <c r="B5766" s="612" t="s">
        <v>2762</v>
      </c>
      <c r="D5766" s="230">
        <v>8</v>
      </c>
      <c r="E5766" s="445"/>
      <c r="F5766" s="24">
        <f t="shared" si="745"/>
        <v>8</v>
      </c>
      <c r="G5766" s="24" t="s">
        <v>10278</v>
      </c>
      <c r="H5766" s="532" t="str">
        <f t="shared" si="744"/>
        <v>EPC06162</v>
      </c>
      <c r="I5766" s="30"/>
      <c r="J5766" s="416" t="s">
        <v>2752</v>
      </c>
      <c r="K5766" s="35" t="s">
        <v>741</v>
      </c>
    </row>
    <row r="5767" spans="1:11" s="203" customFormat="1">
      <c r="A5767" s="106"/>
      <c r="B5767" s="612" t="s">
        <v>2763</v>
      </c>
      <c r="D5767" s="230">
        <v>8</v>
      </c>
      <c r="E5767" s="445"/>
      <c r="F5767" s="24">
        <f t="shared" si="745"/>
        <v>8</v>
      </c>
      <c r="G5767" s="24" t="s">
        <v>10279</v>
      </c>
      <c r="H5767" s="532" t="str">
        <f t="shared" si="744"/>
        <v>EPC06202</v>
      </c>
      <c r="I5767" s="30"/>
      <c r="J5767" s="416" t="s">
        <v>2752</v>
      </c>
      <c r="K5767" s="35" t="s">
        <v>741</v>
      </c>
    </row>
    <row r="5768" spans="1:11" s="203" customFormat="1">
      <c r="A5768" s="106"/>
      <c r="B5768" s="612" t="s">
        <v>2764</v>
      </c>
      <c r="D5768" s="230">
        <v>8</v>
      </c>
      <c r="E5768" s="445"/>
      <c r="F5768" s="24">
        <f t="shared" si="745"/>
        <v>8</v>
      </c>
      <c r="G5768" s="24" t="s">
        <v>10280</v>
      </c>
      <c r="H5768" s="532" t="str">
        <f t="shared" si="744"/>
        <v>EPC06252</v>
      </c>
      <c r="I5768" s="30"/>
      <c r="J5768" s="416" t="s">
        <v>2752</v>
      </c>
      <c r="K5768" s="35" t="s">
        <v>741</v>
      </c>
    </row>
    <row r="5769" spans="1:11" s="203" customFormat="1">
      <c r="A5769" s="106"/>
      <c r="B5769" s="612" t="s">
        <v>2765</v>
      </c>
      <c r="D5769" s="230">
        <v>8</v>
      </c>
      <c r="E5769" s="445"/>
      <c r="F5769" s="24">
        <f t="shared" si="745"/>
        <v>8</v>
      </c>
      <c r="G5769" s="24" t="s">
        <v>10281</v>
      </c>
      <c r="H5769" s="532" t="str">
        <f t="shared" si="744"/>
        <v>EPC06322</v>
      </c>
      <c r="I5769" s="30"/>
      <c r="J5769" s="416" t="s">
        <v>2752</v>
      </c>
      <c r="K5769" s="35" t="s">
        <v>741</v>
      </c>
    </row>
    <row r="5770" spans="1:11" s="203" customFormat="1">
      <c r="A5770" s="106"/>
      <c r="B5770" s="612" t="s">
        <v>2766</v>
      </c>
      <c r="D5770" s="230">
        <v>8</v>
      </c>
      <c r="E5770" s="445"/>
      <c r="F5770" s="24">
        <f t="shared" si="745"/>
        <v>8</v>
      </c>
      <c r="G5770" s="24" t="s">
        <v>10282</v>
      </c>
      <c r="H5770" s="532" t="str">
        <f t="shared" si="744"/>
        <v>EPC06402</v>
      </c>
      <c r="I5770" s="30"/>
      <c r="J5770" s="416" t="s">
        <v>2752</v>
      </c>
      <c r="K5770" s="35" t="s">
        <v>741</v>
      </c>
    </row>
    <row r="5771" spans="1:11" s="203" customFormat="1">
      <c r="A5771" s="106"/>
      <c r="B5771" s="612" t="s">
        <v>2767</v>
      </c>
      <c r="D5771" s="230">
        <v>10</v>
      </c>
      <c r="E5771" s="445"/>
      <c r="F5771" s="24">
        <f t="shared" si="745"/>
        <v>10</v>
      </c>
      <c r="G5771" s="24" t="s">
        <v>10283</v>
      </c>
      <c r="H5771" s="532" t="str">
        <f t="shared" si="744"/>
        <v>EPC06502</v>
      </c>
      <c r="I5771" s="30"/>
      <c r="J5771" s="416" t="s">
        <v>2752</v>
      </c>
      <c r="K5771" s="35" t="s">
        <v>741</v>
      </c>
    </row>
    <row r="5772" spans="1:11" s="203" customFormat="1">
      <c r="A5772" s="106"/>
      <c r="B5772" s="612" t="s">
        <v>2768</v>
      </c>
      <c r="D5772" s="230">
        <v>10</v>
      </c>
      <c r="E5772" s="445"/>
      <c r="F5772" s="24">
        <f t="shared" si="745"/>
        <v>10</v>
      </c>
      <c r="G5772" s="24" t="s">
        <v>10284</v>
      </c>
      <c r="H5772" s="532" t="str">
        <f t="shared" si="744"/>
        <v>EPC06632</v>
      </c>
      <c r="I5772" s="30"/>
      <c r="J5772" s="416" t="s">
        <v>2752</v>
      </c>
      <c r="K5772" s="35" t="s">
        <v>741</v>
      </c>
    </row>
    <row r="5773" spans="1:11" s="203" customFormat="1">
      <c r="A5773" s="106"/>
      <c r="B5773" s="612"/>
      <c r="D5773" s="230"/>
      <c r="E5773" s="445"/>
      <c r="F5773" s="24"/>
      <c r="G5773" s="24"/>
      <c r="H5773" s="532"/>
      <c r="I5773" s="30"/>
      <c r="J5773" s="416"/>
      <c r="K5773" s="35"/>
    </row>
    <row r="5774" spans="1:11" s="203" customFormat="1">
      <c r="A5774" s="106"/>
      <c r="B5774" s="612" t="s">
        <v>2769</v>
      </c>
      <c r="D5774" s="230">
        <v>12</v>
      </c>
      <c r="E5774" s="445"/>
      <c r="F5774" s="24">
        <f t="shared" ref="F5774:F5781" si="746">D5774+E5774</f>
        <v>12</v>
      </c>
      <c r="G5774" s="24" t="s">
        <v>10285</v>
      </c>
      <c r="H5774" s="532" t="str">
        <f t="shared" si="744"/>
        <v>EPC06103</v>
      </c>
      <c r="I5774" s="30"/>
      <c r="J5774" s="416" t="s">
        <v>2752</v>
      </c>
      <c r="K5774" s="35" t="s">
        <v>741</v>
      </c>
    </row>
    <row r="5775" spans="1:11" s="203" customFormat="1">
      <c r="A5775" s="106"/>
      <c r="B5775" s="612" t="s">
        <v>2770</v>
      </c>
      <c r="D5775" s="230">
        <v>12</v>
      </c>
      <c r="E5775" s="445"/>
      <c r="F5775" s="24">
        <f t="shared" si="746"/>
        <v>12</v>
      </c>
      <c r="G5775" s="24" t="s">
        <v>10286</v>
      </c>
      <c r="H5775" s="532" t="str">
        <f t="shared" si="744"/>
        <v>EPC06163</v>
      </c>
      <c r="I5775" s="30"/>
      <c r="J5775" s="416" t="s">
        <v>2752</v>
      </c>
      <c r="K5775" s="35" t="s">
        <v>741</v>
      </c>
    </row>
    <row r="5776" spans="1:11" s="203" customFormat="1">
      <c r="A5776" s="106"/>
      <c r="B5776" s="612" t="s">
        <v>2771</v>
      </c>
      <c r="D5776" s="230">
        <v>12</v>
      </c>
      <c r="E5776" s="445"/>
      <c r="F5776" s="24">
        <f t="shared" si="746"/>
        <v>12</v>
      </c>
      <c r="G5776" s="24" t="s">
        <v>10287</v>
      </c>
      <c r="H5776" s="532" t="str">
        <f t="shared" si="744"/>
        <v>EPC06203</v>
      </c>
      <c r="I5776" s="30"/>
      <c r="J5776" s="416" t="s">
        <v>2752</v>
      </c>
      <c r="K5776" s="35" t="s">
        <v>741</v>
      </c>
    </row>
    <row r="5777" spans="1:11" s="203" customFormat="1">
      <c r="A5777" s="106"/>
      <c r="B5777" s="612" t="s">
        <v>2772</v>
      </c>
      <c r="D5777" s="230">
        <v>12</v>
      </c>
      <c r="E5777" s="445"/>
      <c r="F5777" s="24">
        <f t="shared" si="746"/>
        <v>12</v>
      </c>
      <c r="G5777" s="24" t="s">
        <v>10288</v>
      </c>
      <c r="H5777" s="532" t="str">
        <f t="shared" si="744"/>
        <v>EPC06253</v>
      </c>
      <c r="I5777" s="30"/>
      <c r="J5777" s="416" t="s">
        <v>2752</v>
      </c>
      <c r="K5777" s="35" t="s">
        <v>741</v>
      </c>
    </row>
    <row r="5778" spans="1:11" s="203" customFormat="1">
      <c r="A5778" s="106"/>
      <c r="B5778" s="612" t="s">
        <v>2773</v>
      </c>
      <c r="D5778" s="230">
        <v>12</v>
      </c>
      <c r="E5778" s="445"/>
      <c r="F5778" s="24">
        <f t="shared" si="746"/>
        <v>12</v>
      </c>
      <c r="G5778" s="24" t="s">
        <v>10289</v>
      </c>
      <c r="H5778" s="532" t="str">
        <f t="shared" si="744"/>
        <v>EPC06323</v>
      </c>
      <c r="I5778" s="30"/>
      <c r="J5778" s="416" t="s">
        <v>2752</v>
      </c>
      <c r="K5778" s="35" t="s">
        <v>741</v>
      </c>
    </row>
    <row r="5779" spans="1:11" s="203" customFormat="1">
      <c r="A5779" s="106"/>
      <c r="B5779" s="612" t="s">
        <v>2774</v>
      </c>
      <c r="D5779" s="230">
        <v>12</v>
      </c>
      <c r="E5779" s="445"/>
      <c r="F5779" s="24">
        <f t="shared" si="746"/>
        <v>12</v>
      </c>
      <c r="G5779" s="24" t="s">
        <v>10290</v>
      </c>
      <c r="H5779" s="532" t="str">
        <f t="shared" si="744"/>
        <v>EPC06403</v>
      </c>
      <c r="I5779" s="30"/>
      <c r="J5779" s="416" t="s">
        <v>2752</v>
      </c>
      <c r="K5779" s="35" t="s">
        <v>741</v>
      </c>
    </row>
    <row r="5780" spans="1:11" s="203" customFormat="1">
      <c r="A5780" s="106"/>
      <c r="B5780" s="612" t="s">
        <v>2775</v>
      </c>
      <c r="D5780" s="230">
        <v>15</v>
      </c>
      <c r="E5780" s="445"/>
      <c r="F5780" s="24">
        <f t="shared" si="746"/>
        <v>15</v>
      </c>
      <c r="G5780" s="24" t="s">
        <v>10291</v>
      </c>
      <c r="H5780" s="532" t="str">
        <f t="shared" si="744"/>
        <v>EPC06503</v>
      </c>
      <c r="I5780" s="30"/>
      <c r="J5780" s="416" t="s">
        <v>2752</v>
      </c>
      <c r="K5780" s="35" t="s">
        <v>741</v>
      </c>
    </row>
    <row r="5781" spans="1:11" s="203" customFormat="1">
      <c r="A5781" s="106"/>
      <c r="B5781" s="612" t="s">
        <v>2776</v>
      </c>
      <c r="D5781" s="230">
        <v>15</v>
      </c>
      <c r="E5781" s="445"/>
      <c r="F5781" s="24">
        <f t="shared" si="746"/>
        <v>15</v>
      </c>
      <c r="G5781" s="24" t="s">
        <v>10292</v>
      </c>
      <c r="H5781" s="532" t="str">
        <f t="shared" si="744"/>
        <v>EPC06633</v>
      </c>
      <c r="I5781" s="30"/>
      <c r="J5781" s="416" t="s">
        <v>2752</v>
      </c>
      <c r="K5781" s="35" t="s">
        <v>741</v>
      </c>
    </row>
    <row r="5782" spans="1:11" s="203" customFormat="1">
      <c r="A5782" s="106"/>
      <c r="B5782" s="612"/>
      <c r="D5782" s="230"/>
      <c r="E5782" s="445"/>
      <c r="F5782" s="24"/>
      <c r="G5782" s="24"/>
      <c r="H5782" s="532"/>
      <c r="I5782" s="30"/>
      <c r="J5782" s="416"/>
      <c r="K5782" s="35"/>
    </row>
    <row r="5783" spans="1:11" s="203" customFormat="1">
      <c r="A5783" s="106"/>
      <c r="B5783" s="612" t="s">
        <v>2777</v>
      </c>
      <c r="D5783" s="230">
        <v>16</v>
      </c>
      <c r="E5783" s="445"/>
      <c r="F5783" s="24">
        <f t="shared" ref="F5783:F5790" si="747">D5783+E5783</f>
        <v>16</v>
      </c>
      <c r="G5783" s="24" t="s">
        <v>10293</v>
      </c>
      <c r="H5783" s="532" t="str">
        <f t="shared" si="744"/>
        <v>EPC06104</v>
      </c>
      <c r="I5783" s="30"/>
      <c r="J5783" s="416" t="s">
        <v>2752</v>
      </c>
      <c r="K5783" s="35" t="s">
        <v>741</v>
      </c>
    </row>
    <row r="5784" spans="1:11" s="203" customFormat="1">
      <c r="A5784" s="106"/>
      <c r="B5784" s="612" t="s">
        <v>2778</v>
      </c>
      <c r="D5784" s="230">
        <v>16</v>
      </c>
      <c r="E5784" s="445"/>
      <c r="F5784" s="24">
        <f t="shared" si="747"/>
        <v>16</v>
      </c>
      <c r="G5784" s="24" t="s">
        <v>10294</v>
      </c>
      <c r="H5784" s="532" t="str">
        <f t="shared" si="744"/>
        <v>EPC06164</v>
      </c>
      <c r="I5784" s="30"/>
      <c r="J5784" s="416" t="s">
        <v>2752</v>
      </c>
      <c r="K5784" s="35" t="s">
        <v>741</v>
      </c>
    </row>
    <row r="5785" spans="1:11" s="203" customFormat="1">
      <c r="A5785" s="106"/>
      <c r="B5785" s="612" t="s">
        <v>2779</v>
      </c>
      <c r="D5785" s="230">
        <v>16</v>
      </c>
      <c r="E5785" s="445"/>
      <c r="F5785" s="24">
        <f t="shared" si="747"/>
        <v>16</v>
      </c>
      <c r="G5785" s="24" t="s">
        <v>10295</v>
      </c>
      <c r="H5785" s="532" t="str">
        <f t="shared" si="744"/>
        <v>EPC06204</v>
      </c>
      <c r="I5785" s="30"/>
      <c r="J5785" s="416" t="s">
        <v>2752</v>
      </c>
      <c r="K5785" s="35" t="s">
        <v>741</v>
      </c>
    </row>
    <row r="5786" spans="1:11" s="203" customFormat="1">
      <c r="A5786" s="106"/>
      <c r="B5786" s="612" t="s">
        <v>2780</v>
      </c>
      <c r="D5786" s="230">
        <v>16</v>
      </c>
      <c r="E5786" s="445"/>
      <c r="F5786" s="24">
        <f t="shared" si="747"/>
        <v>16</v>
      </c>
      <c r="G5786" s="24" t="s">
        <v>10296</v>
      </c>
      <c r="H5786" s="532" t="str">
        <f t="shared" si="744"/>
        <v>EPC06254</v>
      </c>
      <c r="I5786" s="30"/>
      <c r="J5786" s="416" t="s">
        <v>2752</v>
      </c>
      <c r="K5786" s="35" t="s">
        <v>741</v>
      </c>
    </row>
    <row r="5787" spans="1:11" s="203" customFormat="1">
      <c r="A5787" s="106"/>
      <c r="B5787" s="612" t="s">
        <v>2781</v>
      </c>
      <c r="D5787" s="230">
        <v>16</v>
      </c>
      <c r="E5787" s="445"/>
      <c r="F5787" s="24">
        <f t="shared" si="747"/>
        <v>16</v>
      </c>
      <c r="G5787" s="24" t="s">
        <v>10297</v>
      </c>
      <c r="H5787" s="532" t="str">
        <f t="shared" si="744"/>
        <v>EPC06324</v>
      </c>
      <c r="I5787" s="30"/>
      <c r="J5787" s="416" t="s">
        <v>2752</v>
      </c>
      <c r="K5787" s="35" t="s">
        <v>741</v>
      </c>
    </row>
    <row r="5788" spans="1:11" s="203" customFormat="1">
      <c r="A5788" s="106"/>
      <c r="B5788" s="612" t="s">
        <v>2782</v>
      </c>
      <c r="D5788" s="230">
        <v>16</v>
      </c>
      <c r="E5788" s="445"/>
      <c r="F5788" s="24">
        <f t="shared" si="747"/>
        <v>16</v>
      </c>
      <c r="G5788" s="24" t="s">
        <v>10298</v>
      </c>
      <c r="H5788" s="532" t="str">
        <f t="shared" si="744"/>
        <v>EPC06404</v>
      </c>
      <c r="I5788" s="30"/>
      <c r="J5788" s="416" t="s">
        <v>2752</v>
      </c>
      <c r="K5788" s="35" t="s">
        <v>741</v>
      </c>
    </row>
    <row r="5789" spans="1:11" s="203" customFormat="1">
      <c r="A5789" s="106"/>
      <c r="B5789" s="612" t="s">
        <v>2783</v>
      </c>
      <c r="D5789" s="230">
        <v>20</v>
      </c>
      <c r="E5789" s="445"/>
      <c r="F5789" s="24">
        <f t="shared" si="747"/>
        <v>20</v>
      </c>
      <c r="G5789" s="24" t="s">
        <v>10299</v>
      </c>
      <c r="H5789" s="532" t="str">
        <f t="shared" si="744"/>
        <v>EPC06504</v>
      </c>
      <c r="I5789" s="30"/>
      <c r="J5789" s="416" t="s">
        <v>2752</v>
      </c>
      <c r="K5789" s="35" t="s">
        <v>741</v>
      </c>
    </row>
    <row r="5790" spans="1:11" s="203" customFormat="1">
      <c r="A5790" s="106"/>
      <c r="B5790" s="612" t="s">
        <v>2784</v>
      </c>
      <c r="D5790" s="230">
        <v>20</v>
      </c>
      <c r="E5790" s="445"/>
      <c r="F5790" s="24">
        <f t="shared" si="747"/>
        <v>20</v>
      </c>
      <c r="G5790" s="24" t="s">
        <v>10300</v>
      </c>
      <c r="H5790" s="532" t="str">
        <f t="shared" si="744"/>
        <v>EPC06634</v>
      </c>
      <c r="I5790" s="30"/>
      <c r="J5790" s="416" t="s">
        <v>2752</v>
      </c>
      <c r="K5790" s="35" t="s">
        <v>741</v>
      </c>
    </row>
    <row r="5791" spans="1:11" s="203" customFormat="1">
      <c r="A5791" s="106"/>
      <c r="B5791" s="612"/>
      <c r="D5791" s="230"/>
      <c r="E5791" s="445"/>
      <c r="F5791" s="24"/>
      <c r="G5791" s="24"/>
      <c r="H5791" s="1801"/>
      <c r="I5791" s="30"/>
      <c r="J5791" s="416"/>
      <c r="K5791" s="35"/>
    </row>
    <row r="5792" spans="1:11" s="194" customFormat="1" ht="12.75" customHeight="1">
      <c r="A5792" s="422"/>
      <c r="B5792" s="1608"/>
      <c r="C5792" s="228"/>
      <c r="D5792" s="408"/>
      <c r="E5792" s="228"/>
      <c r="F5792" s="585"/>
      <c r="G5792" s="152"/>
      <c r="H5792" s="152"/>
      <c r="I5792" s="339"/>
      <c r="J5792" s="589"/>
      <c r="K5792" s="520"/>
    </row>
    <row r="5793" spans="1:11" s="194" customFormat="1" ht="12.75" customHeight="1">
      <c r="A5793" s="422"/>
      <c r="B5793" s="1608" t="s">
        <v>8848</v>
      </c>
      <c r="C5793" s="228"/>
      <c r="D5793" s="408"/>
      <c r="E5793" s="228"/>
      <c r="F5793" s="585"/>
      <c r="G5793" s="152"/>
      <c r="H5793" s="152"/>
      <c r="I5793" s="339"/>
      <c r="J5793" s="589"/>
      <c r="K5793" s="520"/>
    </row>
    <row r="5794" spans="1:11" s="194" customFormat="1" ht="12.75" customHeight="1">
      <c r="A5794" s="422"/>
      <c r="B5794" s="900"/>
      <c r="C5794" s="228"/>
      <c r="D5794" s="408"/>
      <c r="E5794" s="228"/>
      <c r="F5794" s="585"/>
      <c r="G5794" s="152"/>
      <c r="H5794" s="152"/>
      <c r="I5794" s="339"/>
      <c r="J5794" s="589"/>
      <c r="K5794" s="520"/>
    </row>
    <row r="5795" spans="1:11" s="194" customFormat="1" ht="12.75" customHeight="1">
      <c r="A5795" s="207"/>
      <c r="B5795" s="206"/>
      <c r="C5795" s="207"/>
      <c r="D5795" s="901"/>
      <c r="E5795" s="207"/>
      <c r="F5795" s="207"/>
      <c r="G5795" s="208"/>
      <c r="H5795" s="206"/>
      <c r="I5795" s="207"/>
      <c r="J5795" s="207"/>
      <c r="K5795" s="207"/>
    </row>
    <row r="5796" spans="1:11" s="194" customFormat="1">
      <c r="A5796" s="106"/>
      <c r="B5796" s="1449" t="s">
        <v>8849</v>
      </c>
      <c r="D5796" s="230">
        <v>4.8999999999999995</v>
      </c>
      <c r="E5796" s="445"/>
      <c r="F5796" s="24">
        <f t="shared" ref="F5796:F5803" si="748">D5796+E5796</f>
        <v>4.8999999999999995</v>
      </c>
      <c r="G5796" s="24" t="s">
        <v>10301</v>
      </c>
      <c r="H5796" s="532" t="str">
        <f t="shared" ref="H5796:H5830" si="749">B5796</f>
        <v>EPC10101</v>
      </c>
      <c r="I5796" s="30"/>
      <c r="J5796" s="416" t="s">
        <v>2752</v>
      </c>
      <c r="K5796" s="35" t="s">
        <v>741</v>
      </c>
    </row>
    <row r="5797" spans="1:11" s="194" customFormat="1">
      <c r="A5797" s="106"/>
      <c r="B5797" s="1449" t="s">
        <v>8850</v>
      </c>
      <c r="D5797" s="230">
        <v>4.8999999999999995</v>
      </c>
      <c r="E5797" s="445"/>
      <c r="F5797" s="24">
        <f t="shared" si="748"/>
        <v>4.8999999999999995</v>
      </c>
      <c r="G5797" s="24" t="s">
        <v>10302</v>
      </c>
      <c r="H5797" s="532" t="str">
        <f t="shared" si="749"/>
        <v>EPC10161</v>
      </c>
      <c r="I5797" s="30"/>
      <c r="J5797" s="416" t="s">
        <v>2752</v>
      </c>
      <c r="K5797" s="35" t="s">
        <v>741</v>
      </c>
    </row>
    <row r="5798" spans="1:11" s="117" customFormat="1">
      <c r="A5798" s="106"/>
      <c r="B5798" s="1449" t="s">
        <v>8851</v>
      </c>
      <c r="D5798" s="230">
        <v>4.8999999999999995</v>
      </c>
      <c r="E5798" s="445"/>
      <c r="F5798" s="24">
        <f t="shared" si="748"/>
        <v>4.8999999999999995</v>
      </c>
      <c r="G5798" s="24" t="s">
        <v>10303</v>
      </c>
      <c r="H5798" s="532" t="str">
        <f t="shared" si="749"/>
        <v>EPC10201</v>
      </c>
      <c r="I5798" s="30"/>
      <c r="J5798" s="416" t="s">
        <v>2752</v>
      </c>
      <c r="K5798" s="35" t="s">
        <v>741</v>
      </c>
    </row>
    <row r="5799" spans="1:11" s="117" customFormat="1">
      <c r="A5799" s="106"/>
      <c r="B5799" s="1449" t="s">
        <v>8852</v>
      </c>
      <c r="D5799" s="230">
        <v>4.8999999999999995</v>
      </c>
      <c r="E5799" s="445"/>
      <c r="F5799" s="24">
        <f t="shared" si="748"/>
        <v>4.8999999999999995</v>
      </c>
      <c r="G5799" s="24" t="s">
        <v>10304</v>
      </c>
      <c r="H5799" s="532" t="str">
        <f t="shared" si="749"/>
        <v>EPC10251</v>
      </c>
      <c r="I5799" s="30"/>
      <c r="J5799" s="416" t="s">
        <v>2752</v>
      </c>
      <c r="K5799" s="35" t="s">
        <v>741</v>
      </c>
    </row>
    <row r="5800" spans="1:11" s="117" customFormat="1">
      <c r="A5800" s="106"/>
      <c r="B5800" s="1449" t="s">
        <v>8853</v>
      </c>
      <c r="D5800" s="230">
        <v>4.8999999999999995</v>
      </c>
      <c r="E5800" s="445"/>
      <c r="F5800" s="24">
        <f t="shared" si="748"/>
        <v>4.8999999999999995</v>
      </c>
      <c r="G5800" s="24" t="s">
        <v>10305</v>
      </c>
      <c r="H5800" s="532" t="str">
        <f t="shared" si="749"/>
        <v>EPC10321</v>
      </c>
      <c r="I5800" s="30"/>
      <c r="J5800" s="416" t="s">
        <v>2752</v>
      </c>
      <c r="K5800" s="35" t="s">
        <v>741</v>
      </c>
    </row>
    <row r="5801" spans="1:11" s="207" customFormat="1">
      <c r="A5801" s="106"/>
      <c r="B5801" s="1449" t="s">
        <v>8854</v>
      </c>
      <c r="D5801" s="230">
        <v>4.8999999999999995</v>
      </c>
      <c r="E5801" s="445"/>
      <c r="F5801" s="24">
        <f t="shared" si="748"/>
        <v>4.8999999999999995</v>
      </c>
      <c r="G5801" s="24" t="s">
        <v>10306</v>
      </c>
      <c r="H5801" s="532" t="str">
        <f t="shared" si="749"/>
        <v>EPC10401</v>
      </c>
      <c r="I5801" s="30"/>
      <c r="J5801" s="416" t="s">
        <v>2752</v>
      </c>
      <c r="K5801" s="35" t="s">
        <v>741</v>
      </c>
    </row>
    <row r="5802" spans="1:11" s="203" customFormat="1">
      <c r="A5802" s="106"/>
      <c r="B5802" s="1449" t="s">
        <v>8855</v>
      </c>
      <c r="D5802" s="230">
        <v>5.6999999999999993</v>
      </c>
      <c r="E5802" s="445"/>
      <c r="F5802" s="24">
        <f t="shared" si="748"/>
        <v>5.6999999999999993</v>
      </c>
      <c r="G5802" s="24" t="s">
        <v>10307</v>
      </c>
      <c r="H5802" s="532" t="str">
        <f t="shared" si="749"/>
        <v>EPC10501</v>
      </c>
      <c r="I5802" s="30"/>
      <c r="J5802" s="416" t="s">
        <v>2752</v>
      </c>
      <c r="K5802" s="35" t="s">
        <v>741</v>
      </c>
    </row>
    <row r="5803" spans="1:11" s="203" customFormat="1">
      <c r="A5803" s="106"/>
      <c r="B5803" s="1449" t="s">
        <v>8856</v>
      </c>
      <c r="D5803" s="230">
        <v>5.6999999999999993</v>
      </c>
      <c r="E5803" s="445"/>
      <c r="F5803" s="24">
        <f t="shared" si="748"/>
        <v>5.6999999999999993</v>
      </c>
      <c r="G5803" s="24" t="s">
        <v>10308</v>
      </c>
      <c r="H5803" s="532" t="str">
        <f t="shared" si="749"/>
        <v>EPC10631</v>
      </c>
      <c r="I5803" s="30"/>
      <c r="J5803" s="416" t="s">
        <v>2752</v>
      </c>
      <c r="K5803" s="35" t="s">
        <v>741</v>
      </c>
    </row>
    <row r="5804" spans="1:11" s="203" customFormat="1">
      <c r="A5804" s="106"/>
      <c r="B5804" s="612"/>
      <c r="D5804" s="230"/>
      <c r="E5804" s="445"/>
      <c r="F5804" s="24"/>
      <c r="G5804" s="24"/>
      <c r="H5804" s="532"/>
      <c r="I5804" s="30"/>
      <c r="J5804" s="416"/>
      <c r="K5804" s="35"/>
    </row>
    <row r="5805" spans="1:11" s="203" customFormat="1">
      <c r="A5805" s="106"/>
      <c r="B5805" s="1449" t="s">
        <v>8857</v>
      </c>
      <c r="D5805" s="230">
        <v>9.6999999999999993</v>
      </c>
      <c r="E5805" s="445"/>
      <c r="F5805" s="24">
        <f t="shared" ref="F5805:F5812" si="750">D5805+E5805</f>
        <v>9.6999999999999993</v>
      </c>
      <c r="G5805" s="24" t="s">
        <v>10309</v>
      </c>
      <c r="H5805" s="532" t="str">
        <f t="shared" si="749"/>
        <v>EPC10102</v>
      </c>
      <c r="I5805" s="30"/>
      <c r="J5805" s="416" t="s">
        <v>2752</v>
      </c>
      <c r="K5805" s="35" t="s">
        <v>741</v>
      </c>
    </row>
    <row r="5806" spans="1:11" s="203" customFormat="1">
      <c r="A5806" s="106"/>
      <c r="B5806" s="1449" t="s">
        <v>8858</v>
      </c>
      <c r="D5806" s="230">
        <v>9.6999999999999993</v>
      </c>
      <c r="E5806" s="445"/>
      <c r="F5806" s="24">
        <f t="shared" si="750"/>
        <v>9.6999999999999993</v>
      </c>
      <c r="G5806" s="24" t="s">
        <v>10310</v>
      </c>
      <c r="H5806" s="532" t="str">
        <f t="shared" si="749"/>
        <v>EPC10162</v>
      </c>
      <c r="I5806" s="30"/>
      <c r="J5806" s="416" t="s">
        <v>2752</v>
      </c>
      <c r="K5806" s="35" t="s">
        <v>741</v>
      </c>
    </row>
    <row r="5807" spans="1:11" s="203" customFormat="1">
      <c r="A5807" s="106"/>
      <c r="B5807" s="1449" t="s">
        <v>8859</v>
      </c>
      <c r="D5807" s="230">
        <v>9.6999999999999993</v>
      </c>
      <c r="E5807" s="445"/>
      <c r="F5807" s="24">
        <f t="shared" si="750"/>
        <v>9.6999999999999993</v>
      </c>
      <c r="G5807" s="24" t="s">
        <v>10311</v>
      </c>
      <c r="H5807" s="532" t="str">
        <f t="shared" si="749"/>
        <v>EPC10202</v>
      </c>
      <c r="I5807" s="30"/>
      <c r="J5807" s="416" t="s">
        <v>2752</v>
      </c>
      <c r="K5807" s="35" t="s">
        <v>741</v>
      </c>
    </row>
    <row r="5808" spans="1:11" s="203" customFormat="1">
      <c r="A5808" s="106"/>
      <c r="B5808" s="1449" t="s">
        <v>8860</v>
      </c>
      <c r="D5808" s="230">
        <v>9.6999999999999993</v>
      </c>
      <c r="E5808" s="445"/>
      <c r="F5808" s="24">
        <f t="shared" si="750"/>
        <v>9.6999999999999993</v>
      </c>
      <c r="G5808" s="24" t="s">
        <v>10312</v>
      </c>
      <c r="H5808" s="532" t="str">
        <f t="shared" si="749"/>
        <v>EPC10252</v>
      </c>
      <c r="I5808" s="30"/>
      <c r="J5808" s="416" t="s">
        <v>2752</v>
      </c>
      <c r="K5808" s="35" t="s">
        <v>741</v>
      </c>
    </row>
    <row r="5809" spans="1:11" s="203" customFormat="1">
      <c r="A5809" s="106"/>
      <c r="B5809" s="1449" t="s">
        <v>8861</v>
      </c>
      <c r="D5809" s="230">
        <v>9.6999999999999993</v>
      </c>
      <c r="E5809" s="445"/>
      <c r="F5809" s="24">
        <f t="shared" si="750"/>
        <v>9.6999999999999993</v>
      </c>
      <c r="G5809" s="24" t="s">
        <v>10313</v>
      </c>
      <c r="H5809" s="532" t="str">
        <f t="shared" si="749"/>
        <v>EPC10322</v>
      </c>
      <c r="I5809" s="30"/>
      <c r="J5809" s="416" t="s">
        <v>2752</v>
      </c>
      <c r="K5809" s="35" t="s">
        <v>741</v>
      </c>
    </row>
    <row r="5810" spans="1:11" s="203" customFormat="1">
      <c r="A5810" s="106"/>
      <c r="B5810" s="1449" t="s">
        <v>8862</v>
      </c>
      <c r="D5810" s="230">
        <v>9.6999999999999993</v>
      </c>
      <c r="E5810" s="445"/>
      <c r="F5810" s="24">
        <f t="shared" si="750"/>
        <v>9.6999999999999993</v>
      </c>
      <c r="G5810" s="24" t="s">
        <v>10314</v>
      </c>
      <c r="H5810" s="532" t="str">
        <f t="shared" si="749"/>
        <v>EPC10402</v>
      </c>
      <c r="I5810" s="30"/>
      <c r="J5810" s="416" t="s">
        <v>2752</v>
      </c>
      <c r="K5810" s="35" t="s">
        <v>741</v>
      </c>
    </row>
    <row r="5811" spans="1:11" s="203" customFormat="1">
      <c r="A5811" s="106"/>
      <c r="B5811" s="1449" t="s">
        <v>8863</v>
      </c>
      <c r="D5811" s="230">
        <v>11.299999999999999</v>
      </c>
      <c r="E5811" s="445"/>
      <c r="F5811" s="24">
        <f t="shared" si="750"/>
        <v>11.299999999999999</v>
      </c>
      <c r="G5811" s="24" t="s">
        <v>10315</v>
      </c>
      <c r="H5811" s="532" t="str">
        <f t="shared" si="749"/>
        <v>EPC10502</v>
      </c>
      <c r="I5811" s="30"/>
      <c r="J5811" s="416" t="s">
        <v>2752</v>
      </c>
      <c r="K5811" s="35" t="s">
        <v>741</v>
      </c>
    </row>
    <row r="5812" spans="1:11" s="203" customFormat="1">
      <c r="A5812" s="106"/>
      <c r="B5812" s="1449" t="s">
        <v>8864</v>
      </c>
      <c r="D5812" s="230">
        <v>11.299999999999999</v>
      </c>
      <c r="E5812" s="445"/>
      <c r="F5812" s="24">
        <f t="shared" si="750"/>
        <v>11.299999999999999</v>
      </c>
      <c r="G5812" s="24" t="s">
        <v>10316</v>
      </c>
      <c r="H5812" s="532" t="str">
        <f t="shared" si="749"/>
        <v>EPC10632</v>
      </c>
      <c r="I5812" s="30"/>
      <c r="J5812" s="416" t="s">
        <v>2752</v>
      </c>
      <c r="K5812" s="35" t="s">
        <v>741</v>
      </c>
    </row>
    <row r="5813" spans="1:11" s="203" customFormat="1">
      <c r="A5813" s="106"/>
      <c r="B5813" s="612"/>
      <c r="D5813" s="230"/>
      <c r="E5813" s="445"/>
      <c r="F5813" s="24"/>
      <c r="G5813" s="24"/>
      <c r="H5813" s="532"/>
      <c r="I5813" s="30"/>
      <c r="J5813" s="416"/>
      <c r="K5813" s="35"/>
    </row>
    <row r="5814" spans="1:11" s="203" customFormat="1">
      <c r="A5814" s="106"/>
      <c r="B5814" s="1449" t="s">
        <v>8865</v>
      </c>
      <c r="D5814" s="230">
        <v>14.6</v>
      </c>
      <c r="E5814" s="445"/>
      <c r="F5814" s="24">
        <f t="shared" ref="F5814:F5821" si="751">D5814+E5814</f>
        <v>14.6</v>
      </c>
      <c r="G5814" s="24" t="s">
        <v>10317</v>
      </c>
      <c r="H5814" s="532" t="str">
        <f t="shared" si="749"/>
        <v>EPC10103</v>
      </c>
      <c r="I5814" s="30"/>
      <c r="J5814" s="416" t="s">
        <v>2752</v>
      </c>
      <c r="K5814" s="35" t="s">
        <v>741</v>
      </c>
    </row>
    <row r="5815" spans="1:11" s="203" customFormat="1">
      <c r="A5815" s="106"/>
      <c r="B5815" s="1449" t="s">
        <v>8866</v>
      </c>
      <c r="D5815" s="230">
        <v>14.6</v>
      </c>
      <c r="E5815" s="445"/>
      <c r="F5815" s="24">
        <f t="shared" si="751"/>
        <v>14.6</v>
      </c>
      <c r="G5815" s="24" t="s">
        <v>10318</v>
      </c>
      <c r="H5815" s="532" t="str">
        <f t="shared" si="749"/>
        <v>EPC10163</v>
      </c>
      <c r="I5815" s="30"/>
      <c r="J5815" s="416" t="s">
        <v>2752</v>
      </c>
      <c r="K5815" s="35" t="s">
        <v>741</v>
      </c>
    </row>
    <row r="5816" spans="1:11" s="203" customFormat="1">
      <c r="A5816" s="106"/>
      <c r="B5816" s="1449" t="s">
        <v>8867</v>
      </c>
      <c r="D5816" s="230">
        <v>14.6</v>
      </c>
      <c r="E5816" s="445"/>
      <c r="F5816" s="24">
        <f t="shared" si="751"/>
        <v>14.6</v>
      </c>
      <c r="G5816" s="24" t="s">
        <v>10319</v>
      </c>
      <c r="H5816" s="532" t="str">
        <f t="shared" si="749"/>
        <v>EPC10203</v>
      </c>
      <c r="I5816" s="30"/>
      <c r="J5816" s="416" t="s">
        <v>2752</v>
      </c>
      <c r="K5816" s="35" t="s">
        <v>741</v>
      </c>
    </row>
    <row r="5817" spans="1:11" s="203" customFormat="1">
      <c r="A5817" s="106"/>
      <c r="B5817" s="1449" t="s">
        <v>8868</v>
      </c>
      <c r="D5817" s="230">
        <v>14.6</v>
      </c>
      <c r="E5817" s="445"/>
      <c r="F5817" s="24">
        <f t="shared" si="751"/>
        <v>14.6</v>
      </c>
      <c r="G5817" s="24" t="s">
        <v>10320</v>
      </c>
      <c r="H5817" s="532" t="str">
        <f t="shared" si="749"/>
        <v>EPC10253</v>
      </c>
      <c r="I5817" s="30"/>
      <c r="J5817" s="416" t="s">
        <v>2752</v>
      </c>
      <c r="K5817" s="35" t="s">
        <v>741</v>
      </c>
    </row>
    <row r="5818" spans="1:11" s="203" customFormat="1">
      <c r="A5818" s="106"/>
      <c r="B5818" s="1449" t="s">
        <v>8869</v>
      </c>
      <c r="D5818" s="230">
        <v>14.6</v>
      </c>
      <c r="E5818" s="445"/>
      <c r="F5818" s="24">
        <f t="shared" si="751"/>
        <v>14.6</v>
      </c>
      <c r="G5818" s="24" t="s">
        <v>10321</v>
      </c>
      <c r="H5818" s="532" t="str">
        <f t="shared" si="749"/>
        <v>EPC10323</v>
      </c>
      <c r="I5818" s="30"/>
      <c r="J5818" s="416" t="s">
        <v>2752</v>
      </c>
      <c r="K5818" s="35" t="s">
        <v>741</v>
      </c>
    </row>
    <row r="5819" spans="1:11" s="203" customFormat="1">
      <c r="A5819" s="106"/>
      <c r="B5819" s="1449" t="s">
        <v>8870</v>
      </c>
      <c r="D5819" s="230">
        <v>14.6</v>
      </c>
      <c r="E5819" s="445"/>
      <c r="F5819" s="24">
        <f t="shared" si="751"/>
        <v>14.6</v>
      </c>
      <c r="G5819" s="24" t="s">
        <v>10322</v>
      </c>
      <c r="H5819" s="532" t="str">
        <f t="shared" si="749"/>
        <v>EPC10403</v>
      </c>
      <c r="I5819" s="30"/>
      <c r="J5819" s="416" t="s">
        <v>2752</v>
      </c>
      <c r="K5819" s="35" t="s">
        <v>741</v>
      </c>
    </row>
    <row r="5820" spans="1:11" s="203" customFormat="1">
      <c r="A5820" s="106"/>
      <c r="B5820" s="1449" t="s">
        <v>8871</v>
      </c>
      <c r="D5820" s="230">
        <v>16.900000000000002</v>
      </c>
      <c r="E5820" s="445"/>
      <c r="F5820" s="24">
        <f t="shared" si="751"/>
        <v>16.900000000000002</v>
      </c>
      <c r="G5820" s="24" t="s">
        <v>10323</v>
      </c>
      <c r="H5820" s="532" t="str">
        <f t="shared" si="749"/>
        <v>EPC10503</v>
      </c>
      <c r="I5820" s="30"/>
      <c r="J5820" s="416" t="s">
        <v>2752</v>
      </c>
      <c r="K5820" s="35" t="s">
        <v>741</v>
      </c>
    </row>
    <row r="5821" spans="1:11" s="203" customFormat="1">
      <c r="A5821" s="106"/>
      <c r="B5821" s="1449" t="s">
        <v>8872</v>
      </c>
      <c r="D5821" s="230">
        <v>16.900000000000002</v>
      </c>
      <c r="E5821" s="445"/>
      <c r="F5821" s="24">
        <f t="shared" si="751"/>
        <v>16.900000000000002</v>
      </c>
      <c r="G5821" s="24" t="s">
        <v>10324</v>
      </c>
      <c r="H5821" s="532" t="str">
        <f t="shared" si="749"/>
        <v>EPC10633</v>
      </c>
      <c r="I5821" s="30"/>
      <c r="J5821" s="416" t="s">
        <v>2752</v>
      </c>
      <c r="K5821" s="35" t="s">
        <v>741</v>
      </c>
    </row>
    <row r="5822" spans="1:11" s="203" customFormat="1">
      <c r="A5822" s="106"/>
      <c r="B5822" s="612"/>
      <c r="D5822" s="230"/>
      <c r="E5822" s="445"/>
      <c r="F5822" s="24"/>
      <c r="G5822" s="24"/>
      <c r="H5822" s="532"/>
      <c r="I5822" s="30"/>
      <c r="J5822" s="416"/>
      <c r="K5822" s="35"/>
    </row>
    <row r="5823" spans="1:11" s="203" customFormat="1">
      <c r="A5823" s="106"/>
      <c r="B5823" s="1449" t="s">
        <v>8873</v>
      </c>
      <c r="D5823" s="230">
        <v>19.400000000000002</v>
      </c>
      <c r="E5823" s="445"/>
      <c r="F5823" s="24">
        <f t="shared" ref="F5823:F5830" si="752">D5823+E5823</f>
        <v>19.400000000000002</v>
      </c>
      <c r="G5823" s="24" t="s">
        <v>10325</v>
      </c>
      <c r="H5823" s="532" t="str">
        <f t="shared" si="749"/>
        <v>EPC10104</v>
      </c>
      <c r="I5823" s="30"/>
      <c r="J5823" s="416" t="s">
        <v>2752</v>
      </c>
      <c r="K5823" s="35" t="s">
        <v>741</v>
      </c>
    </row>
    <row r="5824" spans="1:11" s="203" customFormat="1">
      <c r="A5824" s="106"/>
      <c r="B5824" s="1449" t="s">
        <v>8874</v>
      </c>
      <c r="D5824" s="230">
        <v>19.400000000000002</v>
      </c>
      <c r="E5824" s="445"/>
      <c r="F5824" s="24">
        <f t="shared" si="752"/>
        <v>19.400000000000002</v>
      </c>
      <c r="G5824" s="24" t="s">
        <v>10326</v>
      </c>
      <c r="H5824" s="532" t="str">
        <f t="shared" si="749"/>
        <v>EPC10164</v>
      </c>
      <c r="I5824" s="30"/>
      <c r="J5824" s="416" t="s">
        <v>2752</v>
      </c>
      <c r="K5824" s="35" t="s">
        <v>741</v>
      </c>
    </row>
    <row r="5825" spans="1:11" s="203" customFormat="1">
      <c r="A5825" s="106"/>
      <c r="B5825" s="1449" t="s">
        <v>8875</v>
      </c>
      <c r="D5825" s="230">
        <v>19.400000000000002</v>
      </c>
      <c r="E5825" s="445"/>
      <c r="F5825" s="24">
        <f t="shared" si="752"/>
        <v>19.400000000000002</v>
      </c>
      <c r="G5825" s="24" t="s">
        <v>10327</v>
      </c>
      <c r="H5825" s="532" t="str">
        <f t="shared" si="749"/>
        <v>EPC10204</v>
      </c>
      <c r="I5825" s="30"/>
      <c r="J5825" s="416" t="s">
        <v>2752</v>
      </c>
      <c r="K5825" s="35" t="s">
        <v>741</v>
      </c>
    </row>
    <row r="5826" spans="1:11" s="203" customFormat="1">
      <c r="A5826" s="106"/>
      <c r="B5826" s="1449" t="s">
        <v>8876</v>
      </c>
      <c r="D5826" s="230">
        <v>19.400000000000002</v>
      </c>
      <c r="E5826" s="445"/>
      <c r="F5826" s="24">
        <f t="shared" si="752"/>
        <v>19.400000000000002</v>
      </c>
      <c r="G5826" s="24" t="s">
        <v>10328</v>
      </c>
      <c r="H5826" s="532" t="str">
        <f t="shared" si="749"/>
        <v>EPC10254</v>
      </c>
      <c r="I5826" s="30"/>
      <c r="J5826" s="416" t="s">
        <v>2752</v>
      </c>
      <c r="K5826" s="35" t="s">
        <v>741</v>
      </c>
    </row>
    <row r="5827" spans="1:11" s="203" customFormat="1">
      <c r="A5827" s="106"/>
      <c r="B5827" s="1449" t="s">
        <v>8877</v>
      </c>
      <c r="D5827" s="230">
        <v>19.400000000000002</v>
      </c>
      <c r="E5827" s="445"/>
      <c r="F5827" s="24">
        <f t="shared" si="752"/>
        <v>19.400000000000002</v>
      </c>
      <c r="G5827" s="24" t="s">
        <v>10329</v>
      </c>
      <c r="H5827" s="532" t="str">
        <f t="shared" si="749"/>
        <v>EPC10324</v>
      </c>
      <c r="I5827" s="30"/>
      <c r="J5827" s="416" t="s">
        <v>2752</v>
      </c>
      <c r="K5827" s="35" t="s">
        <v>741</v>
      </c>
    </row>
    <row r="5828" spans="1:11" s="203" customFormat="1">
      <c r="A5828" s="106"/>
      <c r="B5828" s="1449" t="s">
        <v>8878</v>
      </c>
      <c r="D5828" s="230">
        <v>19.400000000000002</v>
      </c>
      <c r="E5828" s="445"/>
      <c r="F5828" s="24">
        <f t="shared" si="752"/>
        <v>19.400000000000002</v>
      </c>
      <c r="G5828" s="24" t="s">
        <v>10330</v>
      </c>
      <c r="H5828" s="532" t="str">
        <f t="shared" si="749"/>
        <v>EPC10404</v>
      </c>
      <c r="I5828" s="30"/>
      <c r="J5828" s="416" t="s">
        <v>2752</v>
      </c>
      <c r="K5828" s="35" t="s">
        <v>741</v>
      </c>
    </row>
    <row r="5829" spans="1:11" s="203" customFormat="1">
      <c r="A5829" s="106"/>
      <c r="B5829" s="1449" t="s">
        <v>8879</v>
      </c>
      <c r="D5829" s="230">
        <v>22.5</v>
      </c>
      <c r="E5829" s="445"/>
      <c r="F5829" s="24">
        <f t="shared" si="752"/>
        <v>22.5</v>
      </c>
      <c r="G5829" s="24" t="s">
        <v>10331</v>
      </c>
      <c r="H5829" s="532" t="str">
        <f t="shared" si="749"/>
        <v>EPC10504</v>
      </c>
      <c r="I5829" s="30"/>
      <c r="J5829" s="416" t="s">
        <v>2752</v>
      </c>
      <c r="K5829" s="35" t="s">
        <v>741</v>
      </c>
    </row>
    <row r="5830" spans="1:11" s="203" customFormat="1">
      <c r="A5830" s="106"/>
      <c r="B5830" s="1449" t="s">
        <v>8880</v>
      </c>
      <c r="D5830" s="230">
        <v>22.5</v>
      </c>
      <c r="E5830" s="445"/>
      <c r="F5830" s="24">
        <f t="shared" si="752"/>
        <v>22.5</v>
      </c>
      <c r="G5830" s="24" t="s">
        <v>10332</v>
      </c>
      <c r="H5830" s="532" t="str">
        <f t="shared" si="749"/>
        <v>EPC10634</v>
      </c>
      <c r="I5830" s="30"/>
      <c r="J5830" s="416" t="s">
        <v>2752</v>
      </c>
      <c r="K5830" s="35" t="s">
        <v>741</v>
      </c>
    </row>
    <row r="5831" spans="1:11" s="203" customFormat="1">
      <c r="A5831" s="106"/>
      <c r="B5831" s="1449"/>
      <c r="D5831" s="230"/>
      <c r="E5831" s="445"/>
      <c r="F5831" s="24"/>
      <c r="G5831" s="24"/>
      <c r="H5831" s="532"/>
      <c r="I5831" s="30"/>
      <c r="J5831" s="416"/>
      <c r="K5831" s="35"/>
    </row>
    <row r="5832" spans="1:11" s="203" customFormat="1">
      <c r="A5832" s="106"/>
      <c r="B5832" s="1449"/>
      <c r="D5832" s="230"/>
      <c r="E5832" s="445"/>
      <c r="F5832" s="24"/>
      <c r="G5832" s="24"/>
      <c r="H5832" s="532"/>
      <c r="I5832" s="30"/>
      <c r="J5832" s="416"/>
      <c r="K5832" s="35"/>
    </row>
    <row r="5833" spans="1:11" s="194" customFormat="1" ht="12.75" customHeight="1">
      <c r="A5833" s="422"/>
      <c r="B5833" s="1608" t="s">
        <v>8881</v>
      </c>
      <c r="C5833" s="228"/>
      <c r="D5833" s="408"/>
      <c r="E5833" s="228"/>
      <c r="F5833" s="585"/>
      <c r="G5833" s="152"/>
      <c r="H5833" s="152"/>
      <c r="I5833" s="339"/>
      <c r="J5833" s="589"/>
      <c r="K5833" s="520"/>
    </row>
    <row r="5834" spans="1:11" s="203" customFormat="1">
      <c r="A5834" s="106"/>
      <c r="B5834" s="612"/>
      <c r="D5834" s="230"/>
      <c r="E5834" s="445"/>
      <c r="F5834" s="24"/>
      <c r="G5834" s="24"/>
      <c r="H5834" s="1801"/>
      <c r="I5834" s="30"/>
      <c r="J5834" s="416"/>
      <c r="K5834" s="35"/>
    </row>
    <row r="5835" spans="1:11" s="203" customFormat="1">
      <c r="A5835" s="106"/>
      <c r="B5835" s="612"/>
      <c r="D5835" s="230"/>
      <c r="E5835" s="445"/>
      <c r="F5835" s="24"/>
      <c r="G5835" s="24"/>
      <c r="H5835" s="1801"/>
      <c r="I5835" s="30"/>
      <c r="J5835" s="416"/>
      <c r="K5835" s="35"/>
    </row>
    <row r="5836" spans="1:11" s="194" customFormat="1">
      <c r="A5836" s="106"/>
      <c r="B5836" s="1449" t="s">
        <v>8882</v>
      </c>
      <c r="D5836" s="230">
        <v>10.7</v>
      </c>
      <c r="E5836" s="445"/>
      <c r="F5836" s="24">
        <f t="shared" ref="F5836:F5843" si="753">D5836+E5836</f>
        <v>10.7</v>
      </c>
      <c r="G5836" s="24" t="s">
        <v>10333</v>
      </c>
      <c r="H5836" s="532" t="str">
        <f t="shared" ref="H5836:H5843" si="754">B5836</f>
        <v>EPD10101</v>
      </c>
      <c r="I5836" s="30"/>
      <c r="J5836" s="416" t="s">
        <v>2752</v>
      </c>
      <c r="K5836" s="35" t="s">
        <v>741</v>
      </c>
    </row>
    <row r="5837" spans="1:11" s="194" customFormat="1">
      <c r="A5837" s="106"/>
      <c r="B5837" s="1449" t="s">
        <v>8883</v>
      </c>
      <c r="D5837" s="230">
        <v>10.7</v>
      </c>
      <c r="E5837" s="445"/>
      <c r="F5837" s="24">
        <f t="shared" si="753"/>
        <v>10.7</v>
      </c>
      <c r="G5837" s="24" t="s">
        <v>10334</v>
      </c>
      <c r="H5837" s="532" t="str">
        <f t="shared" si="754"/>
        <v>EPD10161</v>
      </c>
      <c r="I5837" s="30"/>
      <c r="J5837" s="416" t="s">
        <v>2752</v>
      </c>
      <c r="K5837" s="35" t="s">
        <v>741</v>
      </c>
    </row>
    <row r="5838" spans="1:11" s="117" customFormat="1">
      <c r="A5838" s="106"/>
      <c r="B5838" s="1449" t="s">
        <v>8884</v>
      </c>
      <c r="D5838" s="230">
        <v>10.7</v>
      </c>
      <c r="E5838" s="445"/>
      <c r="F5838" s="24">
        <f t="shared" si="753"/>
        <v>10.7</v>
      </c>
      <c r="G5838" s="24" t="s">
        <v>10335</v>
      </c>
      <c r="H5838" s="532" t="str">
        <f t="shared" si="754"/>
        <v>EPD10201</v>
      </c>
      <c r="I5838" s="30"/>
      <c r="J5838" s="416" t="s">
        <v>2752</v>
      </c>
      <c r="K5838" s="35" t="s">
        <v>741</v>
      </c>
    </row>
    <row r="5839" spans="1:11" s="117" customFormat="1">
      <c r="A5839" s="106"/>
      <c r="B5839" s="1449" t="s">
        <v>8885</v>
      </c>
      <c r="D5839" s="230">
        <v>10.7</v>
      </c>
      <c r="E5839" s="445"/>
      <c r="F5839" s="24">
        <f t="shared" si="753"/>
        <v>10.7</v>
      </c>
      <c r="G5839" s="24" t="s">
        <v>10336</v>
      </c>
      <c r="H5839" s="532" t="str">
        <f t="shared" si="754"/>
        <v>EPD10251</v>
      </c>
      <c r="I5839" s="30"/>
      <c r="J5839" s="416" t="s">
        <v>2752</v>
      </c>
      <c r="K5839" s="35" t="s">
        <v>741</v>
      </c>
    </row>
    <row r="5840" spans="1:11" s="117" customFormat="1">
      <c r="A5840" s="106"/>
      <c r="B5840" s="1449" t="s">
        <v>8886</v>
      </c>
      <c r="D5840" s="230">
        <v>10.7</v>
      </c>
      <c r="E5840" s="445"/>
      <c r="F5840" s="24">
        <f t="shared" si="753"/>
        <v>10.7</v>
      </c>
      <c r="G5840" s="24" t="s">
        <v>10337</v>
      </c>
      <c r="H5840" s="532" t="str">
        <f t="shared" si="754"/>
        <v>EPD10321</v>
      </c>
      <c r="I5840" s="30"/>
      <c r="J5840" s="416" t="s">
        <v>2752</v>
      </c>
      <c r="K5840" s="35" t="s">
        <v>741</v>
      </c>
    </row>
    <row r="5841" spans="1:11" s="207" customFormat="1">
      <c r="A5841" s="106"/>
      <c r="B5841" s="1449" t="s">
        <v>8887</v>
      </c>
      <c r="D5841" s="230">
        <v>10.7</v>
      </c>
      <c r="E5841" s="445"/>
      <c r="F5841" s="24">
        <f t="shared" si="753"/>
        <v>10.7</v>
      </c>
      <c r="G5841" s="24" t="s">
        <v>10338</v>
      </c>
      <c r="H5841" s="532" t="str">
        <f t="shared" si="754"/>
        <v>EPD10401</v>
      </c>
      <c r="I5841" s="30"/>
      <c r="J5841" s="416" t="s">
        <v>2752</v>
      </c>
      <c r="K5841" s="35" t="s">
        <v>741</v>
      </c>
    </row>
    <row r="5842" spans="1:11" s="203" customFormat="1">
      <c r="A5842" s="106"/>
      <c r="B5842" s="1449" t="s">
        <v>8888</v>
      </c>
      <c r="D5842" s="230">
        <v>11.9</v>
      </c>
      <c r="E5842" s="445"/>
      <c r="F5842" s="24">
        <f t="shared" si="753"/>
        <v>11.9</v>
      </c>
      <c r="G5842" s="24" t="s">
        <v>10339</v>
      </c>
      <c r="H5842" s="532" t="str">
        <f t="shared" si="754"/>
        <v>EPD10501</v>
      </c>
      <c r="I5842" s="30"/>
      <c r="J5842" s="416" t="s">
        <v>2752</v>
      </c>
      <c r="K5842" s="35" t="s">
        <v>741</v>
      </c>
    </row>
    <row r="5843" spans="1:11" s="203" customFormat="1">
      <c r="A5843" s="106"/>
      <c r="B5843" s="1449" t="s">
        <v>8889</v>
      </c>
      <c r="D5843" s="230">
        <v>11.9</v>
      </c>
      <c r="E5843" s="445"/>
      <c r="F5843" s="24">
        <f t="shared" si="753"/>
        <v>11.9</v>
      </c>
      <c r="G5843" s="24" t="s">
        <v>10340</v>
      </c>
      <c r="H5843" s="532" t="str">
        <f t="shared" si="754"/>
        <v>EPD10631</v>
      </c>
      <c r="I5843" s="30"/>
      <c r="J5843" s="416" t="s">
        <v>2752</v>
      </c>
      <c r="K5843" s="35" t="s">
        <v>741</v>
      </c>
    </row>
    <row r="5844" spans="1:11" s="203" customFormat="1">
      <c r="A5844" s="106"/>
      <c r="B5844" s="612"/>
      <c r="D5844" s="230"/>
      <c r="E5844" s="445"/>
      <c r="F5844" s="24"/>
      <c r="G5844" s="24"/>
      <c r="H5844" s="532"/>
      <c r="I5844" s="30"/>
      <c r="J5844" s="416"/>
      <c r="K5844" s="35"/>
    </row>
    <row r="5845" spans="1:11" s="203" customFormat="1">
      <c r="A5845" s="106"/>
      <c r="B5845" s="1449" t="s">
        <v>8890</v>
      </c>
      <c r="D5845" s="230">
        <v>21.3</v>
      </c>
      <c r="E5845" s="445"/>
      <c r="F5845" s="24">
        <f t="shared" ref="F5845:F5852" si="755">D5845+E5845</f>
        <v>21.3</v>
      </c>
      <c r="G5845" s="24" t="s">
        <v>10341</v>
      </c>
      <c r="H5845" s="532" t="str">
        <f t="shared" ref="H5845:H5852" si="756">B5845</f>
        <v>EPD10102</v>
      </c>
      <c r="I5845" s="30"/>
      <c r="J5845" s="416" t="s">
        <v>2752</v>
      </c>
      <c r="K5845" s="35" t="s">
        <v>741</v>
      </c>
    </row>
    <row r="5846" spans="1:11" s="203" customFormat="1">
      <c r="A5846" s="106"/>
      <c r="B5846" s="1449" t="s">
        <v>8891</v>
      </c>
      <c r="D5846" s="230">
        <v>21.3</v>
      </c>
      <c r="E5846" s="445"/>
      <c r="F5846" s="24">
        <f t="shared" si="755"/>
        <v>21.3</v>
      </c>
      <c r="G5846" s="24" t="s">
        <v>10342</v>
      </c>
      <c r="H5846" s="532" t="str">
        <f t="shared" si="756"/>
        <v>EPD10162</v>
      </c>
      <c r="I5846" s="30"/>
      <c r="J5846" s="416" t="s">
        <v>2752</v>
      </c>
      <c r="K5846" s="35" t="s">
        <v>741</v>
      </c>
    </row>
    <row r="5847" spans="1:11" s="203" customFormat="1">
      <c r="A5847" s="106"/>
      <c r="B5847" s="1449" t="s">
        <v>8892</v>
      </c>
      <c r="D5847" s="230">
        <v>21.3</v>
      </c>
      <c r="E5847" s="445"/>
      <c r="F5847" s="24">
        <f t="shared" si="755"/>
        <v>21.3</v>
      </c>
      <c r="G5847" s="24" t="s">
        <v>10343</v>
      </c>
      <c r="H5847" s="532" t="str">
        <f t="shared" si="756"/>
        <v>EPD10202</v>
      </c>
      <c r="I5847" s="30"/>
      <c r="J5847" s="416" t="s">
        <v>2752</v>
      </c>
      <c r="K5847" s="35" t="s">
        <v>741</v>
      </c>
    </row>
    <row r="5848" spans="1:11" s="203" customFormat="1">
      <c r="A5848" s="106"/>
      <c r="B5848" s="1449" t="s">
        <v>8893</v>
      </c>
      <c r="D5848" s="230">
        <v>21.3</v>
      </c>
      <c r="E5848" s="445"/>
      <c r="F5848" s="24">
        <f t="shared" si="755"/>
        <v>21.3</v>
      </c>
      <c r="G5848" s="24" t="s">
        <v>10344</v>
      </c>
      <c r="H5848" s="532" t="str">
        <f t="shared" si="756"/>
        <v>EPD10252</v>
      </c>
      <c r="I5848" s="30"/>
      <c r="J5848" s="416" t="s">
        <v>2752</v>
      </c>
      <c r="K5848" s="35" t="s">
        <v>741</v>
      </c>
    </row>
    <row r="5849" spans="1:11" s="203" customFormat="1">
      <c r="A5849" s="106"/>
      <c r="B5849" s="1449" t="s">
        <v>8894</v>
      </c>
      <c r="D5849" s="230">
        <v>21.3</v>
      </c>
      <c r="E5849" s="445"/>
      <c r="F5849" s="24">
        <f t="shared" si="755"/>
        <v>21.3</v>
      </c>
      <c r="G5849" s="24" t="s">
        <v>10345</v>
      </c>
      <c r="H5849" s="532" t="str">
        <f t="shared" si="756"/>
        <v>EPD10322</v>
      </c>
      <c r="I5849" s="30"/>
      <c r="J5849" s="416" t="s">
        <v>2752</v>
      </c>
      <c r="K5849" s="35" t="s">
        <v>741</v>
      </c>
    </row>
    <row r="5850" spans="1:11" s="203" customFormat="1">
      <c r="A5850" s="106"/>
      <c r="B5850" s="1449" t="s">
        <v>8895</v>
      </c>
      <c r="D5850" s="230">
        <v>21.3</v>
      </c>
      <c r="E5850" s="445"/>
      <c r="F5850" s="24">
        <f t="shared" si="755"/>
        <v>21.3</v>
      </c>
      <c r="G5850" s="24" t="s">
        <v>10346</v>
      </c>
      <c r="H5850" s="532" t="str">
        <f t="shared" si="756"/>
        <v>EPD10402</v>
      </c>
      <c r="I5850" s="30"/>
      <c r="J5850" s="416" t="s">
        <v>2752</v>
      </c>
      <c r="K5850" s="35" t="s">
        <v>741</v>
      </c>
    </row>
    <row r="5851" spans="1:11" s="203" customFormat="1">
      <c r="A5851" s="106"/>
      <c r="B5851" s="1449" t="s">
        <v>8896</v>
      </c>
      <c r="D5851" s="230">
        <v>23.8</v>
      </c>
      <c r="E5851" s="445"/>
      <c r="F5851" s="24">
        <f t="shared" si="755"/>
        <v>23.8</v>
      </c>
      <c r="G5851" s="24" t="s">
        <v>10347</v>
      </c>
      <c r="H5851" s="532" t="str">
        <f t="shared" si="756"/>
        <v>EPD10502</v>
      </c>
      <c r="I5851" s="30"/>
      <c r="J5851" s="416" t="s">
        <v>2752</v>
      </c>
      <c r="K5851" s="35" t="s">
        <v>741</v>
      </c>
    </row>
    <row r="5852" spans="1:11" s="203" customFormat="1">
      <c r="A5852" s="106"/>
      <c r="B5852" s="1449" t="s">
        <v>8897</v>
      </c>
      <c r="D5852" s="230">
        <v>23.8</v>
      </c>
      <c r="E5852" s="445"/>
      <c r="F5852" s="24">
        <f t="shared" si="755"/>
        <v>23.8</v>
      </c>
      <c r="G5852" s="24" t="s">
        <v>10348</v>
      </c>
      <c r="H5852" s="532" t="str">
        <f t="shared" si="756"/>
        <v>EPD10632</v>
      </c>
      <c r="I5852" s="30"/>
      <c r="J5852" s="416" t="s">
        <v>2752</v>
      </c>
      <c r="K5852" s="35" t="s">
        <v>741</v>
      </c>
    </row>
    <row r="5853" spans="1:11" s="203" customFormat="1">
      <c r="A5853" s="106"/>
      <c r="B5853" s="612"/>
      <c r="D5853" s="230"/>
      <c r="E5853" s="445"/>
      <c r="F5853" s="24"/>
      <c r="G5853" s="24"/>
      <c r="H5853" s="532"/>
      <c r="I5853" s="30"/>
      <c r="J5853" s="416"/>
      <c r="K5853" s="35"/>
    </row>
    <row r="5854" spans="1:11" s="203" customFormat="1">
      <c r="A5854" s="106"/>
      <c r="B5854" s="1449" t="s">
        <v>8898</v>
      </c>
      <c r="D5854" s="230">
        <v>31.900000000000002</v>
      </c>
      <c r="E5854" s="445"/>
      <c r="F5854" s="24">
        <f t="shared" ref="F5854:F5861" si="757">D5854+E5854</f>
        <v>31.900000000000002</v>
      </c>
      <c r="G5854" s="24" t="s">
        <v>10349</v>
      </c>
      <c r="H5854" s="532" t="str">
        <f t="shared" ref="H5854:H5861" si="758">B5854</f>
        <v>EPD10103</v>
      </c>
      <c r="I5854" s="30"/>
      <c r="J5854" s="416" t="s">
        <v>2752</v>
      </c>
      <c r="K5854" s="35" t="s">
        <v>741</v>
      </c>
    </row>
    <row r="5855" spans="1:11" s="203" customFormat="1">
      <c r="A5855" s="106"/>
      <c r="B5855" s="1449" t="s">
        <v>8899</v>
      </c>
      <c r="D5855" s="230">
        <v>31.900000000000002</v>
      </c>
      <c r="E5855" s="445"/>
      <c r="F5855" s="24">
        <f t="shared" si="757"/>
        <v>31.900000000000002</v>
      </c>
      <c r="G5855" s="24" t="s">
        <v>10350</v>
      </c>
      <c r="H5855" s="532" t="str">
        <f t="shared" si="758"/>
        <v>EPD10163</v>
      </c>
      <c r="I5855" s="30"/>
      <c r="J5855" s="416" t="s">
        <v>2752</v>
      </c>
      <c r="K5855" s="35" t="s">
        <v>741</v>
      </c>
    </row>
    <row r="5856" spans="1:11" s="203" customFormat="1">
      <c r="A5856" s="106"/>
      <c r="B5856" s="1449" t="s">
        <v>8900</v>
      </c>
      <c r="D5856" s="230">
        <v>31.900000000000002</v>
      </c>
      <c r="E5856" s="445"/>
      <c r="F5856" s="24">
        <f t="shared" si="757"/>
        <v>31.900000000000002</v>
      </c>
      <c r="G5856" s="24" t="s">
        <v>10351</v>
      </c>
      <c r="H5856" s="532" t="str">
        <f t="shared" si="758"/>
        <v>EPD10203</v>
      </c>
      <c r="I5856" s="30"/>
      <c r="J5856" s="416" t="s">
        <v>2752</v>
      </c>
      <c r="K5856" s="35" t="s">
        <v>741</v>
      </c>
    </row>
    <row r="5857" spans="1:11" s="203" customFormat="1">
      <c r="A5857" s="106"/>
      <c r="B5857" s="1449" t="s">
        <v>8901</v>
      </c>
      <c r="D5857" s="230">
        <v>31.900000000000002</v>
      </c>
      <c r="E5857" s="445"/>
      <c r="F5857" s="24">
        <f t="shared" si="757"/>
        <v>31.900000000000002</v>
      </c>
      <c r="G5857" s="24" t="s">
        <v>10352</v>
      </c>
      <c r="H5857" s="532" t="str">
        <f t="shared" si="758"/>
        <v>EPD10253</v>
      </c>
      <c r="I5857" s="30"/>
      <c r="J5857" s="416" t="s">
        <v>2752</v>
      </c>
      <c r="K5857" s="35" t="s">
        <v>741</v>
      </c>
    </row>
    <row r="5858" spans="1:11" s="203" customFormat="1">
      <c r="A5858" s="106"/>
      <c r="B5858" s="1449" t="s">
        <v>8902</v>
      </c>
      <c r="D5858" s="230">
        <v>31.900000000000002</v>
      </c>
      <c r="E5858" s="445"/>
      <c r="F5858" s="24">
        <f t="shared" si="757"/>
        <v>31.900000000000002</v>
      </c>
      <c r="G5858" s="24" t="s">
        <v>10353</v>
      </c>
      <c r="H5858" s="532" t="str">
        <f t="shared" si="758"/>
        <v>EPD10323</v>
      </c>
      <c r="I5858" s="30"/>
      <c r="J5858" s="416" t="s">
        <v>2752</v>
      </c>
      <c r="K5858" s="35" t="s">
        <v>741</v>
      </c>
    </row>
    <row r="5859" spans="1:11" s="203" customFormat="1">
      <c r="A5859" s="106"/>
      <c r="B5859" s="1449" t="s">
        <v>8903</v>
      </c>
      <c r="D5859" s="230">
        <v>31.900000000000002</v>
      </c>
      <c r="E5859" s="445"/>
      <c r="F5859" s="24">
        <f t="shared" si="757"/>
        <v>31.900000000000002</v>
      </c>
      <c r="G5859" s="24" t="s">
        <v>10354</v>
      </c>
      <c r="H5859" s="532" t="str">
        <f t="shared" si="758"/>
        <v>EPD10403</v>
      </c>
      <c r="I5859" s="30"/>
      <c r="J5859" s="416" t="s">
        <v>2752</v>
      </c>
      <c r="K5859" s="35" t="s">
        <v>741</v>
      </c>
    </row>
    <row r="5860" spans="1:11" s="203" customFormat="1">
      <c r="A5860" s="106"/>
      <c r="B5860" s="1449" t="s">
        <v>8904</v>
      </c>
      <c r="D5860" s="230">
        <v>35.700000000000003</v>
      </c>
      <c r="E5860" s="445"/>
      <c r="F5860" s="24">
        <f t="shared" si="757"/>
        <v>35.700000000000003</v>
      </c>
      <c r="G5860" s="24" t="s">
        <v>10355</v>
      </c>
      <c r="H5860" s="532" t="str">
        <f t="shared" si="758"/>
        <v>EPD10503</v>
      </c>
      <c r="I5860" s="30"/>
      <c r="J5860" s="416" t="s">
        <v>2752</v>
      </c>
      <c r="K5860" s="35" t="s">
        <v>741</v>
      </c>
    </row>
    <row r="5861" spans="1:11" s="203" customFormat="1">
      <c r="A5861" s="106"/>
      <c r="B5861" s="1449" t="s">
        <v>8905</v>
      </c>
      <c r="D5861" s="230">
        <v>35.700000000000003</v>
      </c>
      <c r="E5861" s="445"/>
      <c r="F5861" s="24">
        <f t="shared" si="757"/>
        <v>35.700000000000003</v>
      </c>
      <c r="G5861" s="24" t="s">
        <v>10356</v>
      </c>
      <c r="H5861" s="532" t="str">
        <f t="shared" si="758"/>
        <v>EPD10633</v>
      </c>
      <c r="I5861" s="30"/>
      <c r="J5861" s="416" t="s">
        <v>2752</v>
      </c>
      <c r="K5861" s="35" t="s">
        <v>741</v>
      </c>
    </row>
    <row r="5862" spans="1:11" s="203" customFormat="1">
      <c r="A5862" s="106"/>
      <c r="B5862" s="612"/>
      <c r="D5862" s="230"/>
      <c r="E5862" s="445"/>
      <c r="F5862" s="24"/>
      <c r="G5862" s="24"/>
      <c r="H5862" s="532"/>
      <c r="I5862" s="30"/>
      <c r="J5862" s="416"/>
      <c r="K5862" s="35"/>
    </row>
    <row r="5863" spans="1:11" s="203" customFormat="1">
      <c r="A5863" s="106"/>
      <c r="B5863" s="1449" t="s">
        <v>8906</v>
      </c>
      <c r="D5863" s="230">
        <v>42.5</v>
      </c>
      <c r="E5863" s="445"/>
      <c r="F5863" s="24">
        <f t="shared" ref="F5863:F5870" si="759">D5863+E5863</f>
        <v>42.5</v>
      </c>
      <c r="G5863" s="24" t="s">
        <v>10357</v>
      </c>
      <c r="H5863" s="532" t="str">
        <f t="shared" ref="H5863:H5870" si="760">B5863</f>
        <v>EPD10104</v>
      </c>
      <c r="I5863" s="30"/>
      <c r="J5863" s="416" t="s">
        <v>2752</v>
      </c>
      <c r="K5863" s="35" t="s">
        <v>741</v>
      </c>
    </row>
    <row r="5864" spans="1:11" s="203" customFormat="1">
      <c r="A5864" s="106"/>
      <c r="B5864" s="1449" t="s">
        <v>8907</v>
      </c>
      <c r="D5864" s="230">
        <v>42.5</v>
      </c>
      <c r="E5864" s="445"/>
      <c r="F5864" s="24">
        <f t="shared" si="759"/>
        <v>42.5</v>
      </c>
      <c r="G5864" s="24" t="s">
        <v>10358</v>
      </c>
      <c r="H5864" s="532" t="str">
        <f t="shared" si="760"/>
        <v>EPD10164</v>
      </c>
      <c r="I5864" s="30"/>
      <c r="J5864" s="416" t="s">
        <v>2752</v>
      </c>
      <c r="K5864" s="35" t="s">
        <v>741</v>
      </c>
    </row>
    <row r="5865" spans="1:11" s="203" customFormat="1">
      <c r="A5865" s="106"/>
      <c r="B5865" s="1449" t="s">
        <v>8908</v>
      </c>
      <c r="D5865" s="230">
        <v>42.5</v>
      </c>
      <c r="E5865" s="445"/>
      <c r="F5865" s="24">
        <f t="shared" si="759"/>
        <v>42.5</v>
      </c>
      <c r="G5865" s="24" t="s">
        <v>10359</v>
      </c>
      <c r="H5865" s="532" t="str">
        <f t="shared" si="760"/>
        <v>EPD10204</v>
      </c>
      <c r="I5865" s="30"/>
      <c r="J5865" s="416" t="s">
        <v>2752</v>
      </c>
      <c r="K5865" s="35" t="s">
        <v>741</v>
      </c>
    </row>
    <row r="5866" spans="1:11" s="203" customFormat="1">
      <c r="A5866" s="106"/>
      <c r="B5866" s="1449" t="s">
        <v>8909</v>
      </c>
      <c r="D5866" s="230">
        <v>42.5</v>
      </c>
      <c r="E5866" s="445"/>
      <c r="F5866" s="24">
        <f t="shared" si="759"/>
        <v>42.5</v>
      </c>
      <c r="G5866" s="24" t="s">
        <v>10360</v>
      </c>
      <c r="H5866" s="532" t="str">
        <f t="shared" si="760"/>
        <v>EPD10254</v>
      </c>
      <c r="I5866" s="30"/>
      <c r="J5866" s="416" t="s">
        <v>2752</v>
      </c>
      <c r="K5866" s="35" t="s">
        <v>741</v>
      </c>
    </row>
    <row r="5867" spans="1:11" s="203" customFormat="1">
      <c r="A5867" s="106"/>
      <c r="B5867" s="1449" t="s">
        <v>8910</v>
      </c>
      <c r="D5867" s="230">
        <v>42.5</v>
      </c>
      <c r="E5867" s="445"/>
      <c r="F5867" s="24">
        <f t="shared" si="759"/>
        <v>42.5</v>
      </c>
      <c r="G5867" s="24" t="s">
        <v>10361</v>
      </c>
      <c r="H5867" s="532" t="str">
        <f t="shared" si="760"/>
        <v>EPD10324</v>
      </c>
      <c r="I5867" s="30"/>
      <c r="J5867" s="416" t="s">
        <v>2752</v>
      </c>
      <c r="K5867" s="35" t="s">
        <v>741</v>
      </c>
    </row>
    <row r="5868" spans="1:11" s="203" customFormat="1">
      <c r="A5868" s="106"/>
      <c r="B5868" s="1449" t="s">
        <v>8911</v>
      </c>
      <c r="D5868" s="230">
        <v>42.5</v>
      </c>
      <c r="E5868" s="445"/>
      <c r="F5868" s="24">
        <f t="shared" si="759"/>
        <v>42.5</v>
      </c>
      <c r="G5868" s="24" t="s">
        <v>10362</v>
      </c>
      <c r="H5868" s="532" t="str">
        <f t="shared" si="760"/>
        <v>EPD10404</v>
      </c>
      <c r="I5868" s="30"/>
      <c r="J5868" s="416" t="s">
        <v>2752</v>
      </c>
      <c r="K5868" s="35" t="s">
        <v>741</v>
      </c>
    </row>
    <row r="5869" spans="1:11" s="203" customFormat="1">
      <c r="A5869" s="106"/>
      <c r="B5869" s="1449" t="s">
        <v>8912</v>
      </c>
      <c r="D5869" s="230">
        <v>47.5</v>
      </c>
      <c r="E5869" s="445"/>
      <c r="F5869" s="24">
        <f t="shared" si="759"/>
        <v>47.5</v>
      </c>
      <c r="G5869" s="24" t="s">
        <v>10363</v>
      </c>
      <c r="H5869" s="532" t="str">
        <f t="shared" si="760"/>
        <v>EPD10504</v>
      </c>
      <c r="I5869" s="30"/>
      <c r="J5869" s="416" t="s">
        <v>2752</v>
      </c>
      <c r="K5869" s="35" t="s">
        <v>741</v>
      </c>
    </row>
    <row r="5870" spans="1:11" s="203" customFormat="1">
      <c r="A5870" s="106"/>
      <c r="B5870" s="1449" t="s">
        <v>8913</v>
      </c>
      <c r="D5870" s="230">
        <v>47.5</v>
      </c>
      <c r="E5870" s="445"/>
      <c r="F5870" s="24">
        <f t="shared" si="759"/>
        <v>47.5</v>
      </c>
      <c r="G5870" s="24" t="s">
        <v>10364</v>
      </c>
      <c r="H5870" s="532" t="str">
        <f t="shared" si="760"/>
        <v>EPD10634</v>
      </c>
      <c r="I5870" s="30"/>
      <c r="J5870" s="416" t="s">
        <v>2752</v>
      </c>
      <c r="K5870" s="35" t="s">
        <v>741</v>
      </c>
    </row>
    <row r="5871" spans="1:11" s="203" customFormat="1">
      <c r="A5871" s="106"/>
      <c r="B5871" s="612"/>
      <c r="D5871" s="230"/>
      <c r="E5871" s="445"/>
      <c r="F5871" s="24"/>
      <c r="G5871" s="24"/>
      <c r="H5871" s="1801"/>
      <c r="I5871" s="30"/>
      <c r="J5871" s="416"/>
      <c r="K5871" s="35"/>
    </row>
    <row r="5872" spans="1:11" s="203" customFormat="1">
      <c r="A5872" s="106"/>
      <c r="B5872" s="612"/>
      <c r="D5872" s="230"/>
      <c r="E5872" s="445"/>
      <c r="F5872" s="24"/>
      <c r="G5872" s="24"/>
      <c r="H5872" s="1801"/>
      <c r="I5872" s="30"/>
      <c r="J5872" s="416"/>
      <c r="K5872" s="35"/>
    </row>
    <row r="5873" spans="1:11" s="203" customFormat="1" ht="20.25">
      <c r="A5873" s="106"/>
      <c r="B5873" s="1608" t="s">
        <v>8914</v>
      </c>
      <c r="D5873" s="230"/>
      <c r="E5873" s="445"/>
      <c r="F5873" s="24"/>
      <c r="G5873" s="24"/>
      <c r="H5873" s="1801"/>
      <c r="I5873" s="30"/>
      <c r="J5873" s="416"/>
      <c r="K5873" s="35"/>
    </row>
    <row r="5874" spans="1:11" s="203" customFormat="1">
      <c r="A5874" s="106"/>
      <c r="B5874" s="612"/>
      <c r="D5874" s="230"/>
      <c r="E5874" s="445"/>
      <c r="F5874" s="24"/>
      <c r="G5874" s="24"/>
      <c r="H5874" s="1801"/>
      <c r="I5874" s="30"/>
      <c r="J5874" s="416"/>
      <c r="K5874" s="35"/>
    </row>
    <row r="5875" spans="1:11" s="203" customFormat="1">
      <c r="A5875" s="593"/>
      <c r="B5875" s="1828" t="s">
        <v>2785</v>
      </c>
      <c r="C5875" s="593"/>
      <c r="D5875" s="1829">
        <v>29.3</v>
      </c>
      <c r="E5875" s="445">
        <v>3</v>
      </c>
      <c r="F5875" s="24">
        <f>D5875+E5875</f>
        <v>32.299999999999997</v>
      </c>
      <c r="G5875" s="24" t="s">
        <v>10365</v>
      </c>
      <c r="H5875" s="532" t="str">
        <f>B5875</f>
        <v>SGR2025030AC</v>
      </c>
      <c r="I5875" s="593"/>
      <c r="J5875" s="416" t="s">
        <v>2752</v>
      </c>
      <c r="K5875" s="35" t="s">
        <v>741</v>
      </c>
    </row>
    <row r="5876" spans="1:11" s="203" customFormat="1">
      <c r="A5876" s="593"/>
      <c r="B5876" s="1828" t="s">
        <v>2786</v>
      </c>
      <c r="C5876" s="593"/>
      <c r="D5876" s="1829">
        <v>29.3</v>
      </c>
      <c r="E5876" s="445">
        <v>3</v>
      </c>
      <c r="F5876" s="24">
        <f>D5876+E5876</f>
        <v>32.299999999999997</v>
      </c>
      <c r="G5876" s="24" t="s">
        <v>10366</v>
      </c>
      <c r="H5876" s="532" t="str">
        <f>B5876</f>
        <v>SGR2040030AC</v>
      </c>
      <c r="I5876" s="593"/>
      <c r="J5876" s="416" t="s">
        <v>2752</v>
      </c>
      <c r="K5876" s="35" t="s">
        <v>741</v>
      </c>
    </row>
    <row r="5877" spans="1:11" s="203" customFormat="1">
      <c r="A5877" s="593"/>
      <c r="B5877" s="1828" t="s">
        <v>2787</v>
      </c>
      <c r="C5877" s="593"/>
      <c r="D5877" s="1829">
        <v>29.3</v>
      </c>
      <c r="E5877" s="445">
        <v>5</v>
      </c>
      <c r="F5877" s="24">
        <f>D5877+E5877</f>
        <v>34.299999999999997</v>
      </c>
      <c r="G5877" s="24" t="s">
        <v>10367</v>
      </c>
      <c r="H5877" s="532" t="str">
        <f>B5877</f>
        <v>SGR2063030AC</v>
      </c>
      <c r="I5877" s="593"/>
      <c r="J5877" s="416" t="s">
        <v>2752</v>
      </c>
      <c r="K5877" s="35" t="s">
        <v>741</v>
      </c>
    </row>
    <row r="5878" spans="1:11" s="203" customFormat="1">
      <c r="A5878" s="593"/>
      <c r="B5878" s="1828"/>
      <c r="C5878" s="593"/>
      <c r="D5878" s="1829"/>
      <c r="E5878" s="445"/>
      <c r="F5878" s="24"/>
      <c r="G5878" s="24"/>
      <c r="H5878" s="532"/>
      <c r="I5878" s="593"/>
      <c r="J5878" s="416"/>
      <c r="K5878" s="35"/>
    </row>
    <row r="5879" spans="1:11" s="203" customFormat="1">
      <c r="A5879" s="593"/>
      <c r="B5879" s="1828" t="s">
        <v>2788</v>
      </c>
      <c r="C5879" s="593"/>
      <c r="D5879" s="1829">
        <v>43.9</v>
      </c>
      <c r="E5879" s="445">
        <v>9</v>
      </c>
      <c r="F5879" s="24">
        <f>D5879+E5879</f>
        <v>52.9</v>
      </c>
      <c r="G5879" s="24" t="s">
        <v>10368</v>
      </c>
      <c r="H5879" s="532" t="str">
        <f>B5879</f>
        <v>SGR4025030AC</v>
      </c>
      <c r="I5879" s="593"/>
      <c r="J5879" s="416" t="s">
        <v>2752</v>
      </c>
      <c r="K5879" s="35" t="s">
        <v>741</v>
      </c>
    </row>
    <row r="5880" spans="1:11" s="203" customFormat="1">
      <c r="A5880" s="593"/>
      <c r="B5880" s="1828" t="s">
        <v>2789</v>
      </c>
      <c r="C5880" s="593"/>
      <c r="D5880" s="1829">
        <v>43.9</v>
      </c>
      <c r="E5880" s="445">
        <v>9</v>
      </c>
      <c r="F5880" s="24">
        <f>D5880+E5880</f>
        <v>52.9</v>
      </c>
      <c r="G5880" s="24" t="s">
        <v>10369</v>
      </c>
      <c r="H5880" s="532" t="str">
        <f>B5880</f>
        <v>SGR4040030AC</v>
      </c>
      <c r="I5880" s="593"/>
      <c r="J5880" s="416" t="s">
        <v>2752</v>
      </c>
      <c r="K5880" s="35" t="s">
        <v>741</v>
      </c>
    </row>
    <row r="5881" spans="1:11" s="203" customFormat="1">
      <c r="A5881" s="593"/>
      <c r="B5881" s="1828" t="s">
        <v>2790</v>
      </c>
      <c r="C5881" s="593"/>
      <c r="D5881" s="1829">
        <v>43.9</v>
      </c>
      <c r="E5881" s="445">
        <v>12</v>
      </c>
      <c r="F5881" s="24">
        <f>D5881+E5881</f>
        <v>55.9</v>
      </c>
      <c r="G5881" s="24" t="s">
        <v>10370</v>
      </c>
      <c r="H5881" s="532" t="str">
        <f>B5881</f>
        <v>SGR4063030AC</v>
      </c>
      <c r="I5881" s="593"/>
      <c r="J5881" s="416" t="s">
        <v>2752</v>
      </c>
      <c r="K5881" s="35" t="s">
        <v>741</v>
      </c>
    </row>
    <row r="5882" spans="1:11" s="203" customFormat="1">
      <c r="A5882" s="593"/>
      <c r="B5882" s="1828"/>
      <c r="C5882" s="593"/>
      <c r="D5882" s="1829"/>
      <c r="E5882" s="445"/>
      <c r="F5882" s="24"/>
      <c r="G5882" s="140"/>
      <c r="H5882" s="532"/>
      <c r="I5882" s="593"/>
      <c r="J5882" s="416"/>
      <c r="K5882" s="35"/>
    </row>
    <row r="5883" spans="1:11" s="203" customFormat="1">
      <c r="A5883" s="593"/>
      <c r="B5883" s="1828"/>
      <c r="C5883" s="593"/>
      <c r="D5883" s="1829"/>
      <c r="E5883" s="445"/>
      <c r="F5883" s="24"/>
      <c r="G5883" s="140"/>
      <c r="H5883" s="532"/>
      <c r="I5883" s="593"/>
      <c r="J5883" s="416"/>
      <c r="K5883" s="35"/>
    </row>
    <row r="5884" spans="1:11" s="203" customFormat="1" ht="20.25">
      <c r="A5884" s="106"/>
      <c r="B5884" s="1608" t="s">
        <v>8915</v>
      </c>
      <c r="D5884" s="230"/>
      <c r="E5884" s="445"/>
      <c r="F5884" s="24"/>
      <c r="G5884" s="24"/>
      <c r="H5884" s="1801"/>
      <c r="I5884" s="30"/>
      <c r="J5884" s="416"/>
      <c r="K5884" s="35"/>
    </row>
    <row r="5885" spans="1:11" s="203" customFormat="1">
      <c r="A5885" s="106"/>
      <c r="B5885" s="612"/>
      <c r="D5885" s="230"/>
      <c r="E5885" s="445"/>
      <c r="F5885" s="24"/>
      <c r="G5885" s="24"/>
      <c r="H5885" s="1801"/>
      <c r="I5885" s="30"/>
      <c r="J5885" s="416"/>
      <c r="K5885" s="35"/>
    </row>
    <row r="5886" spans="1:11" s="203" customFormat="1">
      <c r="A5886" s="593"/>
      <c r="B5886" s="1828" t="s">
        <v>2791</v>
      </c>
      <c r="C5886" s="593"/>
      <c r="D5886" s="1829">
        <v>36</v>
      </c>
      <c r="E5886" s="445">
        <v>3</v>
      </c>
      <c r="F5886" s="24">
        <f>D5886+E5886</f>
        <v>39</v>
      </c>
      <c r="G5886" s="24" t="s">
        <v>10371</v>
      </c>
      <c r="H5886" s="532" t="str">
        <f>B5886</f>
        <v>SGR2025030A</v>
      </c>
      <c r="I5886" s="593"/>
      <c r="J5886" s="416" t="s">
        <v>2752</v>
      </c>
      <c r="K5886" s="35" t="s">
        <v>741</v>
      </c>
    </row>
    <row r="5887" spans="1:11" s="203" customFormat="1">
      <c r="A5887" s="593"/>
      <c r="B5887" s="1828" t="s">
        <v>2792</v>
      </c>
      <c r="C5887" s="593"/>
      <c r="D5887" s="1829">
        <v>36</v>
      </c>
      <c r="E5887" s="445">
        <v>3</v>
      </c>
      <c r="F5887" s="24">
        <f>D5887+E5887</f>
        <v>39</v>
      </c>
      <c r="G5887" s="24" t="s">
        <v>10372</v>
      </c>
      <c r="H5887" s="532" t="str">
        <f>B5887</f>
        <v>SGR2040030A</v>
      </c>
      <c r="I5887" s="593"/>
      <c r="J5887" s="416" t="s">
        <v>2752</v>
      </c>
      <c r="K5887" s="35" t="s">
        <v>741</v>
      </c>
    </row>
    <row r="5888" spans="1:11" s="203" customFormat="1">
      <c r="A5888" s="593"/>
      <c r="B5888" s="1828" t="s">
        <v>2793</v>
      </c>
      <c r="C5888" s="593"/>
      <c r="D5888" s="1829">
        <v>40.5</v>
      </c>
      <c r="E5888" s="445">
        <v>5</v>
      </c>
      <c r="F5888" s="24">
        <f>D5888+E5888</f>
        <v>45.5</v>
      </c>
      <c r="G5888" s="24" t="s">
        <v>10373</v>
      </c>
      <c r="H5888" s="532" t="str">
        <f>B5888</f>
        <v>SGR2063030A</v>
      </c>
      <c r="I5888" s="593"/>
      <c r="J5888" s="416" t="s">
        <v>2752</v>
      </c>
      <c r="K5888" s="35" t="s">
        <v>741</v>
      </c>
    </row>
    <row r="5889" spans="1:11" s="203" customFormat="1">
      <c r="A5889" s="593"/>
      <c r="B5889" s="1828"/>
      <c r="C5889" s="593"/>
      <c r="D5889" s="1829"/>
      <c r="E5889" s="445"/>
      <c r="F5889" s="24"/>
      <c r="G5889" s="24"/>
      <c r="H5889" s="532"/>
      <c r="I5889" s="593"/>
      <c r="J5889" s="416"/>
      <c r="K5889" s="35"/>
    </row>
    <row r="5890" spans="1:11" s="203" customFormat="1">
      <c r="A5890" s="593"/>
      <c r="B5890" s="1828" t="s">
        <v>2794</v>
      </c>
      <c r="C5890" s="593"/>
      <c r="D5890" s="1829">
        <v>49.5</v>
      </c>
      <c r="E5890" s="445">
        <v>9</v>
      </c>
      <c r="F5890" s="24">
        <f>D5890+E5890</f>
        <v>58.5</v>
      </c>
      <c r="G5890" s="24" t="s">
        <v>10374</v>
      </c>
      <c r="H5890" s="532" t="str">
        <f>B5890</f>
        <v>SGR4025030A</v>
      </c>
      <c r="I5890" s="593"/>
      <c r="J5890" s="416" t="s">
        <v>2752</v>
      </c>
      <c r="K5890" s="35" t="s">
        <v>741</v>
      </c>
    </row>
    <row r="5891" spans="1:11" s="203" customFormat="1">
      <c r="A5891" s="593"/>
      <c r="B5891" s="1828" t="s">
        <v>2795</v>
      </c>
      <c r="C5891" s="593"/>
      <c r="D5891" s="1829">
        <v>49.5</v>
      </c>
      <c r="E5891" s="445">
        <v>9</v>
      </c>
      <c r="F5891" s="24">
        <f>D5891+E5891</f>
        <v>58.5</v>
      </c>
      <c r="G5891" s="24" t="s">
        <v>10375</v>
      </c>
      <c r="H5891" s="532" t="str">
        <f>B5891</f>
        <v>SGR4040030A</v>
      </c>
      <c r="I5891" s="593"/>
      <c r="J5891" s="416" t="s">
        <v>2752</v>
      </c>
      <c r="K5891" s="35" t="s">
        <v>741</v>
      </c>
    </row>
    <row r="5892" spans="1:11" s="203" customFormat="1">
      <c r="A5892" s="593"/>
      <c r="B5892" s="1828" t="s">
        <v>2796</v>
      </c>
      <c r="C5892" s="593"/>
      <c r="D5892" s="1829">
        <v>56.300000000000004</v>
      </c>
      <c r="E5892" s="445">
        <v>12</v>
      </c>
      <c r="F5892" s="24">
        <f>D5892+E5892</f>
        <v>68.300000000000011</v>
      </c>
      <c r="G5892" s="24" t="s">
        <v>10376</v>
      </c>
      <c r="H5892" s="532" t="str">
        <f>B5892</f>
        <v>SGR4063030A</v>
      </c>
      <c r="I5892" s="593"/>
      <c r="J5892" s="416" t="s">
        <v>2752</v>
      </c>
      <c r="K5892" s="35" t="s">
        <v>741</v>
      </c>
    </row>
    <row r="5893" spans="1:11" s="203" customFormat="1">
      <c r="A5893" s="106"/>
      <c r="B5893" s="612"/>
      <c r="D5893" s="230"/>
      <c r="E5893" s="445"/>
      <c r="F5893" s="24"/>
      <c r="G5893" s="24"/>
      <c r="H5893" s="1801"/>
      <c r="I5893" s="30"/>
      <c r="J5893" s="416"/>
      <c r="K5893" s="35"/>
    </row>
    <row r="5894" spans="1:11" s="203" customFormat="1">
      <c r="A5894" s="106"/>
      <c r="B5894" s="612"/>
      <c r="D5894" s="230"/>
      <c r="E5894" s="445"/>
      <c r="F5894" s="24"/>
      <c r="G5894" s="24"/>
      <c r="H5894" s="1801"/>
      <c r="I5894" s="30"/>
      <c r="J5894" s="416"/>
      <c r="K5894" s="35"/>
    </row>
    <row r="5895" spans="1:11" s="203" customFormat="1" ht="20.25">
      <c r="A5895" s="106"/>
      <c r="B5895" s="1608" t="s">
        <v>8916</v>
      </c>
      <c r="D5895" s="230"/>
      <c r="E5895" s="445"/>
      <c r="F5895" s="24"/>
      <c r="G5895" s="24"/>
      <c r="H5895" s="1801"/>
      <c r="I5895" s="30"/>
      <c r="J5895" s="416"/>
      <c r="K5895" s="35"/>
    </row>
    <row r="5896" spans="1:11" s="203" customFormat="1">
      <c r="A5896" s="106"/>
      <c r="B5896" s="612"/>
      <c r="D5896" s="597"/>
      <c r="E5896" s="445"/>
      <c r="F5896" s="24"/>
      <c r="G5896" s="24"/>
      <c r="H5896" s="532"/>
      <c r="I5896" s="30"/>
      <c r="J5896" s="416"/>
      <c r="K5896" s="35"/>
    </row>
    <row r="5897" spans="1:11" s="203" customFormat="1" ht="20.25">
      <c r="A5897" s="106"/>
      <c r="B5897" s="1608" t="s">
        <v>8917</v>
      </c>
      <c r="D5897" s="230"/>
      <c r="E5897" s="445"/>
      <c r="F5897" s="24"/>
      <c r="G5897" s="24"/>
      <c r="H5897" s="1801"/>
      <c r="I5897" s="30"/>
      <c r="J5897" s="416"/>
      <c r="K5897" s="35"/>
    </row>
    <row r="5898" spans="1:11" s="203" customFormat="1">
      <c r="A5898" s="106"/>
      <c r="B5898" s="612"/>
      <c r="D5898" s="597"/>
      <c r="E5898" s="445"/>
      <c r="F5898" s="24"/>
      <c r="G5898" s="24"/>
      <c r="H5898" s="532"/>
      <c r="I5898" s="30"/>
      <c r="J5898" s="416"/>
      <c r="K5898" s="35"/>
    </row>
    <row r="5899" spans="1:11" s="203" customFormat="1">
      <c r="A5899" s="106"/>
      <c r="B5899" s="612" t="s">
        <v>8918</v>
      </c>
      <c r="D5899" s="230">
        <v>103.5</v>
      </c>
      <c r="E5899" s="445">
        <v>15</v>
      </c>
      <c r="F5899" s="24">
        <f>D5899+E5899</f>
        <v>118.5</v>
      </c>
      <c r="G5899" s="24" t="s">
        <v>8919</v>
      </c>
      <c r="H5899" s="532"/>
      <c r="I5899" s="30"/>
      <c r="J5899" s="416"/>
      <c r="K5899" s="35"/>
    </row>
    <row r="5900" spans="1:11" s="203" customFormat="1">
      <c r="A5900" s="106"/>
      <c r="B5900" s="612" t="s">
        <v>8920</v>
      </c>
      <c r="D5900" s="230">
        <v>103.5</v>
      </c>
      <c r="E5900" s="445">
        <v>15</v>
      </c>
      <c r="F5900" s="24">
        <f t="shared" ref="F5900:F5909" si="761">D5900+E5900</f>
        <v>118.5</v>
      </c>
      <c r="G5900" s="24" t="s">
        <v>8921</v>
      </c>
      <c r="H5900" s="532"/>
      <c r="I5900" s="30"/>
      <c r="J5900" s="416"/>
      <c r="K5900" s="35"/>
    </row>
    <row r="5901" spans="1:11" s="203" customFormat="1">
      <c r="A5901" s="106"/>
      <c r="B5901" s="612" t="s">
        <v>8922</v>
      </c>
      <c r="D5901" s="230">
        <v>103.5</v>
      </c>
      <c r="E5901" s="445">
        <v>15</v>
      </c>
      <c r="F5901" s="24">
        <f>D5901+E5901</f>
        <v>118.5</v>
      </c>
      <c r="G5901" s="24" t="s">
        <v>8923</v>
      </c>
      <c r="H5901" s="532" t="str">
        <f>B5901</f>
        <v>S160-SCJ 3P 32A</v>
      </c>
      <c r="I5901" s="30"/>
      <c r="J5901" s="416" t="s">
        <v>2752</v>
      </c>
      <c r="K5901" s="35" t="s">
        <v>741</v>
      </c>
    </row>
    <row r="5902" spans="1:11" s="203" customFormat="1">
      <c r="A5902" s="106"/>
      <c r="B5902" s="612" t="s">
        <v>8924</v>
      </c>
      <c r="D5902" s="230">
        <v>103.5</v>
      </c>
      <c r="E5902" s="445">
        <v>15</v>
      </c>
      <c r="F5902" s="24">
        <f t="shared" si="761"/>
        <v>118.5</v>
      </c>
      <c r="G5902" s="24" t="s">
        <v>8925</v>
      </c>
      <c r="H5902" s="532" t="str">
        <f t="shared" ref="H5902:H5909" si="762">B5902</f>
        <v>S160-SCJ 3P 40A</v>
      </c>
      <c r="I5902" s="30"/>
      <c r="J5902" s="416" t="s">
        <v>2752</v>
      </c>
      <c r="K5902" s="35" t="s">
        <v>741</v>
      </c>
    </row>
    <row r="5903" spans="1:11" s="203" customFormat="1">
      <c r="A5903" s="106"/>
      <c r="B5903" s="612" t="s">
        <v>8926</v>
      </c>
      <c r="D5903" s="230">
        <v>103.5</v>
      </c>
      <c r="E5903" s="445">
        <v>15</v>
      </c>
      <c r="F5903" s="24">
        <f t="shared" si="761"/>
        <v>118.5</v>
      </c>
      <c r="G5903" s="24" t="s">
        <v>8927</v>
      </c>
      <c r="H5903" s="532" t="str">
        <f t="shared" si="762"/>
        <v>S160-SCJ 3P 50A</v>
      </c>
      <c r="I5903" s="30"/>
      <c r="J5903" s="416" t="s">
        <v>2752</v>
      </c>
      <c r="K5903" s="35" t="s">
        <v>741</v>
      </c>
    </row>
    <row r="5904" spans="1:11" s="203" customFormat="1">
      <c r="A5904" s="106"/>
      <c r="B5904" s="612" t="s">
        <v>8928</v>
      </c>
      <c r="D5904" s="230">
        <v>103.5</v>
      </c>
      <c r="E5904" s="445">
        <v>15</v>
      </c>
      <c r="F5904" s="24">
        <f>D5904+E5904</f>
        <v>118.5</v>
      </c>
      <c r="G5904" s="24" t="s">
        <v>8929</v>
      </c>
      <c r="H5904" s="532" t="str">
        <f>B5904</f>
        <v>S160-SCJ 3P 63A</v>
      </c>
      <c r="I5904" s="30"/>
      <c r="J5904" s="416" t="s">
        <v>2752</v>
      </c>
      <c r="K5904" s="35" t="s">
        <v>741</v>
      </c>
    </row>
    <row r="5905" spans="1:11" s="203" customFormat="1">
      <c r="A5905" s="106"/>
      <c r="B5905" s="612" t="s">
        <v>8930</v>
      </c>
      <c r="D5905" s="230">
        <v>103.5</v>
      </c>
      <c r="E5905" s="445">
        <v>15</v>
      </c>
      <c r="F5905" s="24">
        <f t="shared" si="761"/>
        <v>118.5</v>
      </c>
      <c r="G5905" s="24" t="s">
        <v>8931</v>
      </c>
      <c r="H5905" s="532" t="str">
        <f t="shared" si="762"/>
        <v>S160-SCJ 3P 80A</v>
      </c>
      <c r="I5905" s="30"/>
      <c r="J5905" s="416" t="s">
        <v>2752</v>
      </c>
      <c r="K5905" s="35" t="s">
        <v>741</v>
      </c>
    </row>
    <row r="5906" spans="1:11" s="203" customFormat="1">
      <c r="A5906" s="106"/>
      <c r="B5906" s="612" t="s">
        <v>8932</v>
      </c>
      <c r="D5906" s="230">
        <v>103.5</v>
      </c>
      <c r="E5906" s="445">
        <v>15</v>
      </c>
      <c r="F5906" s="24">
        <f t="shared" si="761"/>
        <v>118.5</v>
      </c>
      <c r="G5906" s="24" t="s">
        <v>8933</v>
      </c>
      <c r="H5906" s="532" t="str">
        <f t="shared" si="762"/>
        <v>S160-SCJ 3P 100A</v>
      </c>
      <c r="I5906" s="30"/>
      <c r="J5906" s="416" t="s">
        <v>2752</v>
      </c>
      <c r="K5906" s="35" t="s">
        <v>741</v>
      </c>
    </row>
    <row r="5907" spans="1:11" s="203" customFormat="1">
      <c r="A5907" s="106"/>
      <c r="B5907" s="612" t="s">
        <v>8934</v>
      </c>
      <c r="D5907" s="230">
        <v>103.5</v>
      </c>
      <c r="E5907" s="445">
        <v>15</v>
      </c>
      <c r="F5907" s="24">
        <f t="shared" si="761"/>
        <v>118.5</v>
      </c>
      <c r="G5907" s="24" t="s">
        <v>8935</v>
      </c>
      <c r="H5907" s="532" t="str">
        <f t="shared" si="762"/>
        <v>S160-SCJ 3P 125A</v>
      </c>
      <c r="I5907" s="30"/>
      <c r="J5907" s="416" t="s">
        <v>2752</v>
      </c>
      <c r="K5907" s="35" t="s">
        <v>741</v>
      </c>
    </row>
    <row r="5908" spans="1:11" s="203" customFormat="1">
      <c r="A5908" s="106"/>
      <c r="B5908" s="612"/>
      <c r="D5908" s="230"/>
      <c r="E5908" s="445"/>
      <c r="F5908" s="24"/>
      <c r="G5908" s="24"/>
      <c r="H5908" s="532"/>
      <c r="I5908" s="30"/>
      <c r="J5908" s="416"/>
      <c r="K5908" s="35"/>
    </row>
    <row r="5909" spans="1:11" s="203" customFormat="1">
      <c r="A5909" s="106"/>
      <c r="B5909" s="612" t="s">
        <v>8936</v>
      </c>
      <c r="D5909" s="230">
        <v>132.75</v>
      </c>
      <c r="E5909" s="445">
        <v>15</v>
      </c>
      <c r="F5909" s="24">
        <f t="shared" si="761"/>
        <v>147.75</v>
      </c>
      <c r="G5909" s="24" t="s">
        <v>8937</v>
      </c>
      <c r="H5909" s="532" t="str">
        <f t="shared" si="762"/>
        <v>S160-SCJ 3P 160A</v>
      </c>
      <c r="I5909" s="30"/>
      <c r="J5909" s="416" t="s">
        <v>2752</v>
      </c>
      <c r="K5909" s="35" t="s">
        <v>741</v>
      </c>
    </row>
    <row r="5910" spans="1:11" s="203" customFormat="1">
      <c r="A5910" s="106"/>
      <c r="B5910" s="612"/>
      <c r="D5910" s="230"/>
      <c r="E5910" s="445"/>
      <c r="F5910" s="24"/>
      <c r="G5910" s="24"/>
      <c r="H5910" s="532"/>
      <c r="I5910" s="30"/>
      <c r="J5910" s="416"/>
      <c r="K5910" s="35"/>
    </row>
    <row r="5911" spans="1:11" s="203" customFormat="1">
      <c r="A5911" s="106"/>
      <c r="B5911" s="612" t="s">
        <v>8938</v>
      </c>
      <c r="D5911" s="230">
        <v>178.88</v>
      </c>
      <c r="E5911" s="445">
        <v>30</v>
      </c>
      <c r="F5911" s="24">
        <f>D5911+E5911</f>
        <v>208.88</v>
      </c>
      <c r="G5911" s="24" t="s">
        <v>8939</v>
      </c>
      <c r="H5911" s="532" t="str">
        <f>B5911</f>
        <v>E250-SJ 3P 200A</v>
      </c>
      <c r="I5911" s="30"/>
      <c r="J5911" s="416" t="s">
        <v>2752</v>
      </c>
      <c r="K5911" s="35" t="s">
        <v>741</v>
      </c>
    </row>
    <row r="5912" spans="1:11" s="203" customFormat="1">
      <c r="A5912" s="106"/>
      <c r="B5912" s="612" t="s">
        <v>8940</v>
      </c>
      <c r="D5912" s="230">
        <v>178.88</v>
      </c>
      <c r="E5912" s="445">
        <v>30</v>
      </c>
      <c r="F5912" s="24">
        <f>D5912+E5912</f>
        <v>208.88</v>
      </c>
      <c r="G5912" s="24" t="s">
        <v>8941</v>
      </c>
      <c r="H5912" s="532" t="str">
        <f>B5912</f>
        <v>E250-SJ 3P 250A</v>
      </c>
      <c r="I5912" s="30"/>
      <c r="J5912" s="416" t="s">
        <v>2752</v>
      </c>
      <c r="K5912" s="35" t="s">
        <v>741</v>
      </c>
    </row>
    <row r="5913" spans="1:11" s="203" customFormat="1">
      <c r="A5913" s="106"/>
      <c r="B5913" s="612"/>
      <c r="D5913" s="230"/>
      <c r="E5913" s="445"/>
      <c r="F5913" s="24"/>
      <c r="G5913" s="24"/>
      <c r="H5913" s="532"/>
      <c r="I5913" s="30"/>
      <c r="J5913" s="416"/>
      <c r="K5913" s="35"/>
    </row>
    <row r="5914" spans="1:11" s="203" customFormat="1" ht="20.25">
      <c r="A5914" s="106"/>
      <c r="B5914" s="1608" t="s">
        <v>8942</v>
      </c>
      <c r="D5914" s="230"/>
      <c r="E5914" s="445"/>
      <c r="F5914" s="24"/>
      <c r="G5914" s="24"/>
      <c r="H5914" s="1801"/>
      <c r="I5914" s="30"/>
      <c r="J5914" s="416"/>
      <c r="K5914" s="35"/>
    </row>
    <row r="5915" spans="1:11" s="203" customFormat="1">
      <c r="A5915" s="106"/>
      <c r="B5915" s="612"/>
      <c r="D5915" s="230"/>
      <c r="E5915" s="445"/>
      <c r="F5915" s="24"/>
      <c r="G5915" s="24"/>
      <c r="H5915" s="532"/>
      <c r="I5915" s="30"/>
      <c r="J5915" s="416"/>
      <c r="K5915" s="35"/>
    </row>
    <row r="5916" spans="1:11" s="203" customFormat="1">
      <c r="A5916" s="106"/>
      <c r="B5916" s="612" t="s">
        <v>8943</v>
      </c>
      <c r="D5916" s="230">
        <v>123.75</v>
      </c>
      <c r="E5916" s="445">
        <v>15</v>
      </c>
      <c r="F5916" s="24">
        <f t="shared" ref="F5916:F5924" si="763">D5916+E5916</f>
        <v>138.75</v>
      </c>
      <c r="G5916" s="24" t="s">
        <v>8944</v>
      </c>
      <c r="H5916" s="532"/>
      <c r="I5916" s="30"/>
      <c r="J5916" s="416"/>
      <c r="K5916" s="35"/>
    </row>
    <row r="5917" spans="1:11" s="203" customFormat="1">
      <c r="A5917" s="106"/>
      <c r="B5917" s="612" t="s">
        <v>8945</v>
      </c>
      <c r="D5917" s="230">
        <v>123.75</v>
      </c>
      <c r="E5917" s="445">
        <v>15</v>
      </c>
      <c r="F5917" s="24">
        <f t="shared" si="763"/>
        <v>138.75</v>
      </c>
      <c r="G5917" s="24" t="s">
        <v>8946</v>
      </c>
      <c r="H5917" s="532"/>
      <c r="I5917" s="30"/>
      <c r="J5917" s="416"/>
      <c r="K5917" s="35"/>
    </row>
    <row r="5918" spans="1:11" s="203" customFormat="1">
      <c r="A5918" s="106"/>
      <c r="B5918" s="612" t="s">
        <v>8947</v>
      </c>
      <c r="D5918" s="230">
        <v>123.75</v>
      </c>
      <c r="E5918" s="445">
        <v>15</v>
      </c>
      <c r="F5918" s="24">
        <f t="shared" si="763"/>
        <v>138.75</v>
      </c>
      <c r="G5918" s="24" t="s">
        <v>8948</v>
      </c>
      <c r="H5918" s="532" t="str">
        <f t="shared" ref="H5918:H5924" si="764">B5918</f>
        <v>S160-SJ 3P 32A</v>
      </c>
      <c r="I5918" s="30"/>
      <c r="J5918" s="416" t="s">
        <v>2752</v>
      </c>
      <c r="K5918" s="35" t="s">
        <v>741</v>
      </c>
    </row>
    <row r="5919" spans="1:11" s="203" customFormat="1">
      <c r="A5919" s="106"/>
      <c r="B5919" s="612" t="s">
        <v>8949</v>
      </c>
      <c r="D5919" s="230">
        <v>123.75</v>
      </c>
      <c r="E5919" s="445">
        <v>15</v>
      </c>
      <c r="F5919" s="24">
        <f t="shared" si="763"/>
        <v>138.75</v>
      </c>
      <c r="G5919" s="24" t="s">
        <v>8950</v>
      </c>
      <c r="H5919" s="532" t="str">
        <f t="shared" si="764"/>
        <v>S160-SJ 3P 40A</v>
      </c>
      <c r="I5919" s="30"/>
      <c r="J5919" s="416" t="s">
        <v>2752</v>
      </c>
      <c r="K5919" s="35" t="s">
        <v>741</v>
      </c>
    </row>
    <row r="5920" spans="1:11" s="203" customFormat="1">
      <c r="A5920" s="106"/>
      <c r="B5920" s="612" t="s">
        <v>8951</v>
      </c>
      <c r="D5920" s="230">
        <v>123.75</v>
      </c>
      <c r="E5920" s="445">
        <v>15</v>
      </c>
      <c r="F5920" s="24">
        <f t="shared" si="763"/>
        <v>138.75</v>
      </c>
      <c r="G5920" s="24" t="s">
        <v>8952</v>
      </c>
      <c r="H5920" s="532" t="str">
        <f t="shared" si="764"/>
        <v>S160-SJ 3P 50A</v>
      </c>
      <c r="I5920" s="30"/>
      <c r="J5920" s="416" t="s">
        <v>2752</v>
      </c>
      <c r="K5920" s="35" t="s">
        <v>741</v>
      </c>
    </row>
    <row r="5921" spans="1:11" s="203" customFormat="1">
      <c r="A5921" s="106"/>
      <c r="B5921" s="612" t="s">
        <v>8953</v>
      </c>
      <c r="D5921" s="230">
        <v>123.75</v>
      </c>
      <c r="E5921" s="445">
        <v>15</v>
      </c>
      <c r="F5921" s="24">
        <f t="shared" si="763"/>
        <v>138.75</v>
      </c>
      <c r="G5921" s="24" t="s">
        <v>8954</v>
      </c>
      <c r="H5921" s="532" t="str">
        <f t="shared" si="764"/>
        <v>S160-SJ 3P 63A</v>
      </c>
      <c r="I5921" s="30"/>
      <c r="J5921" s="416" t="s">
        <v>2752</v>
      </c>
      <c r="K5921" s="35" t="s">
        <v>741</v>
      </c>
    </row>
    <row r="5922" spans="1:11" s="203" customFormat="1">
      <c r="A5922" s="106"/>
      <c r="B5922" s="612" t="s">
        <v>8955</v>
      </c>
      <c r="D5922" s="230">
        <v>123.75</v>
      </c>
      <c r="E5922" s="445">
        <v>15</v>
      </c>
      <c r="F5922" s="24">
        <f t="shared" si="763"/>
        <v>138.75</v>
      </c>
      <c r="G5922" s="24" t="s">
        <v>8956</v>
      </c>
      <c r="H5922" s="532" t="str">
        <f t="shared" si="764"/>
        <v>S160-SJ 3P 80A</v>
      </c>
      <c r="I5922" s="30"/>
      <c r="J5922" s="416" t="s">
        <v>2752</v>
      </c>
      <c r="K5922" s="35" t="s">
        <v>741</v>
      </c>
    </row>
    <row r="5923" spans="1:11" s="203" customFormat="1">
      <c r="A5923" s="106"/>
      <c r="B5923" s="612" t="s">
        <v>8957</v>
      </c>
      <c r="D5923" s="230">
        <v>123.75</v>
      </c>
      <c r="E5923" s="445">
        <v>15</v>
      </c>
      <c r="F5923" s="24">
        <f t="shared" si="763"/>
        <v>138.75</v>
      </c>
      <c r="G5923" s="24" t="s">
        <v>8958</v>
      </c>
      <c r="H5923" s="532" t="str">
        <f t="shared" si="764"/>
        <v>S160-SJ 3P 100A</v>
      </c>
      <c r="I5923" s="30"/>
      <c r="J5923" s="416" t="s">
        <v>2752</v>
      </c>
      <c r="K5923" s="35" t="s">
        <v>741</v>
      </c>
    </row>
    <row r="5924" spans="1:11" s="203" customFormat="1">
      <c r="A5924" s="106"/>
      <c r="B5924" s="612" t="s">
        <v>8959</v>
      </c>
      <c r="D5924" s="230">
        <v>123.75</v>
      </c>
      <c r="E5924" s="445">
        <v>15</v>
      </c>
      <c r="F5924" s="24">
        <f t="shared" si="763"/>
        <v>138.75</v>
      </c>
      <c r="G5924" s="24" t="s">
        <v>8960</v>
      </c>
      <c r="H5924" s="532" t="str">
        <f t="shared" si="764"/>
        <v>S160-SJ 3P 125A</v>
      </c>
      <c r="I5924" s="30"/>
      <c r="J5924" s="416" t="s">
        <v>2752</v>
      </c>
      <c r="K5924" s="35" t="s">
        <v>741</v>
      </c>
    </row>
    <row r="5925" spans="1:11" s="203" customFormat="1">
      <c r="A5925" s="106"/>
      <c r="B5925" s="612"/>
      <c r="D5925" s="230"/>
      <c r="E5925" s="445"/>
      <c r="F5925" s="24"/>
      <c r="G5925" s="24"/>
      <c r="H5925" s="532"/>
      <c r="I5925" s="30"/>
      <c r="J5925" s="416"/>
      <c r="K5925" s="35"/>
    </row>
    <row r="5926" spans="1:11" s="203" customFormat="1">
      <c r="A5926" s="106"/>
      <c r="B5926" s="612" t="s">
        <v>8961</v>
      </c>
      <c r="D5926" s="230">
        <v>157.5</v>
      </c>
      <c r="E5926" s="445">
        <v>15</v>
      </c>
      <c r="F5926" s="24">
        <f>D5926+E5926</f>
        <v>172.5</v>
      </c>
      <c r="G5926" s="24" t="s">
        <v>8962</v>
      </c>
      <c r="H5926" s="532" t="str">
        <f>B5926</f>
        <v>S160-SJ 3P 160A</v>
      </c>
      <c r="I5926" s="30"/>
      <c r="J5926" s="416" t="s">
        <v>2752</v>
      </c>
      <c r="K5926" s="35" t="s">
        <v>741</v>
      </c>
    </row>
    <row r="5927" spans="1:11" s="203" customFormat="1">
      <c r="A5927" s="106"/>
      <c r="B5927" s="612"/>
      <c r="D5927" s="230"/>
      <c r="E5927" s="445"/>
      <c r="F5927" s="24"/>
      <c r="G5927" s="24"/>
      <c r="H5927" s="532"/>
      <c r="I5927" s="30"/>
      <c r="J5927" s="416"/>
      <c r="K5927" s="35"/>
    </row>
    <row r="5928" spans="1:11" s="203" customFormat="1">
      <c r="A5928" s="106"/>
      <c r="B5928" s="612" t="s">
        <v>8963</v>
      </c>
      <c r="D5928" s="230">
        <v>178.88</v>
      </c>
      <c r="E5928" s="445">
        <v>30</v>
      </c>
      <c r="F5928" s="24">
        <f>D5928+E5928</f>
        <v>208.88</v>
      </c>
      <c r="G5928" s="24" t="s">
        <v>8964</v>
      </c>
      <c r="H5928" s="532" t="str">
        <f>B5928</f>
        <v>S250-SJ 3P 200A</v>
      </c>
      <c r="I5928" s="30"/>
      <c r="J5928" s="416" t="s">
        <v>2752</v>
      </c>
      <c r="K5928" s="35" t="s">
        <v>741</v>
      </c>
    </row>
    <row r="5929" spans="1:11" s="203" customFormat="1">
      <c r="A5929" s="106"/>
      <c r="B5929" s="612" t="s">
        <v>8965</v>
      </c>
      <c r="D5929" s="230">
        <v>178.88</v>
      </c>
      <c r="E5929" s="445">
        <v>30</v>
      </c>
      <c r="F5929" s="24">
        <f>D5929+E5929</f>
        <v>208.88</v>
      </c>
      <c r="G5929" s="24" t="s">
        <v>8966</v>
      </c>
      <c r="H5929" s="532" t="str">
        <f>B5929</f>
        <v>S250-SJ 3P 250A</v>
      </c>
      <c r="I5929" s="30"/>
      <c r="J5929" s="416" t="s">
        <v>2752</v>
      </c>
      <c r="K5929" s="35" t="s">
        <v>741</v>
      </c>
    </row>
    <row r="5930" spans="1:11" s="203" customFormat="1">
      <c r="A5930" s="106"/>
      <c r="B5930" s="612"/>
      <c r="D5930" s="230"/>
      <c r="E5930" s="445"/>
      <c r="F5930" s="24"/>
      <c r="G5930" s="24"/>
      <c r="H5930" s="532"/>
      <c r="I5930" s="30"/>
      <c r="J5930" s="416"/>
      <c r="K5930" s="35"/>
    </row>
    <row r="5931" spans="1:11" s="203" customFormat="1">
      <c r="A5931" s="106"/>
      <c r="B5931" s="612"/>
      <c r="D5931" s="230"/>
      <c r="E5931" s="445"/>
      <c r="F5931" s="24"/>
      <c r="G5931" s="24"/>
      <c r="H5931" s="532"/>
      <c r="I5931" s="30"/>
      <c r="J5931" s="416"/>
      <c r="K5931" s="35"/>
    </row>
    <row r="5932" spans="1:11" s="203" customFormat="1" ht="20.25">
      <c r="A5932" s="106"/>
      <c r="B5932" s="1608" t="s">
        <v>8967</v>
      </c>
      <c r="D5932" s="230"/>
      <c r="E5932" s="445"/>
      <c r="F5932" s="24"/>
      <c r="G5932" s="24"/>
      <c r="H5932" s="1801"/>
      <c r="I5932" s="30"/>
      <c r="J5932" s="416"/>
      <c r="K5932" s="35"/>
    </row>
    <row r="5933" spans="1:11" s="203" customFormat="1">
      <c r="A5933" s="106"/>
      <c r="B5933" s="612" t="s">
        <v>8968</v>
      </c>
      <c r="D5933" s="230">
        <v>162</v>
      </c>
      <c r="E5933" s="445">
        <v>15</v>
      </c>
      <c r="F5933" s="24">
        <f t="shared" ref="F5933:F5941" si="765">D5933+E5933</f>
        <v>177</v>
      </c>
      <c r="G5933" s="24" t="s">
        <v>8969</v>
      </c>
      <c r="H5933" s="532"/>
      <c r="I5933" s="30"/>
      <c r="J5933" s="416"/>
      <c r="K5933" s="35"/>
    </row>
    <row r="5934" spans="1:11" s="203" customFormat="1">
      <c r="A5934" s="106"/>
      <c r="B5934" s="612" t="s">
        <v>8970</v>
      </c>
      <c r="D5934" s="230">
        <v>162</v>
      </c>
      <c r="E5934" s="445">
        <v>15</v>
      </c>
      <c r="F5934" s="24">
        <f t="shared" si="765"/>
        <v>177</v>
      </c>
      <c r="G5934" s="24" t="s">
        <v>8971</v>
      </c>
      <c r="H5934" s="532"/>
      <c r="I5934" s="30"/>
      <c r="J5934" s="416"/>
      <c r="K5934" s="35"/>
    </row>
    <row r="5935" spans="1:11" s="203" customFormat="1">
      <c r="A5935" s="106"/>
      <c r="B5935" s="612" t="s">
        <v>8972</v>
      </c>
      <c r="D5935" s="230">
        <v>162</v>
      </c>
      <c r="E5935" s="445">
        <v>15</v>
      </c>
      <c r="F5935" s="24">
        <f t="shared" si="765"/>
        <v>177</v>
      </c>
      <c r="G5935" s="24" t="s">
        <v>8973</v>
      </c>
      <c r="H5935" s="532" t="str">
        <f t="shared" ref="H5935:H5941" si="766">B5935</f>
        <v>S125-GJ 3P 32A</v>
      </c>
      <c r="I5935" s="30"/>
      <c r="J5935" s="416" t="s">
        <v>2752</v>
      </c>
      <c r="K5935" s="35" t="s">
        <v>741</v>
      </c>
    </row>
    <row r="5936" spans="1:11" s="203" customFormat="1">
      <c r="A5936" s="106"/>
      <c r="B5936" s="612" t="s">
        <v>8974</v>
      </c>
      <c r="D5936" s="230">
        <v>162</v>
      </c>
      <c r="E5936" s="445">
        <v>15</v>
      </c>
      <c r="F5936" s="24">
        <f t="shared" si="765"/>
        <v>177</v>
      </c>
      <c r="G5936" s="24" t="s">
        <v>8975</v>
      </c>
      <c r="H5936" s="532" t="str">
        <f t="shared" si="766"/>
        <v>S125-GJ 3P 40A</v>
      </c>
      <c r="I5936" s="30"/>
      <c r="J5936" s="416" t="s">
        <v>2752</v>
      </c>
      <c r="K5936" s="35" t="s">
        <v>741</v>
      </c>
    </row>
    <row r="5937" spans="1:11" s="203" customFormat="1">
      <c r="A5937" s="106"/>
      <c r="B5937" s="612" t="s">
        <v>8976</v>
      </c>
      <c r="D5937" s="230">
        <v>162</v>
      </c>
      <c r="E5937" s="445">
        <v>15</v>
      </c>
      <c r="F5937" s="24">
        <f t="shared" si="765"/>
        <v>177</v>
      </c>
      <c r="G5937" s="24" t="s">
        <v>8977</v>
      </c>
      <c r="H5937" s="532" t="str">
        <f t="shared" si="766"/>
        <v>S125-GJ 3P 50A</v>
      </c>
      <c r="I5937" s="30"/>
      <c r="J5937" s="416" t="s">
        <v>2752</v>
      </c>
      <c r="K5937" s="35" t="s">
        <v>741</v>
      </c>
    </row>
    <row r="5938" spans="1:11" s="203" customFormat="1">
      <c r="A5938" s="106"/>
      <c r="B5938" s="612" t="s">
        <v>8978</v>
      </c>
      <c r="D5938" s="230">
        <v>162</v>
      </c>
      <c r="E5938" s="445">
        <v>15</v>
      </c>
      <c r="F5938" s="24">
        <f t="shared" si="765"/>
        <v>177</v>
      </c>
      <c r="G5938" s="24" t="s">
        <v>8979</v>
      </c>
      <c r="H5938" s="532" t="str">
        <f t="shared" si="766"/>
        <v>S125-GJ 3P 63A</v>
      </c>
      <c r="I5938" s="30"/>
      <c r="J5938" s="416" t="s">
        <v>2752</v>
      </c>
      <c r="K5938" s="35" t="s">
        <v>741</v>
      </c>
    </row>
    <row r="5939" spans="1:11" s="203" customFormat="1">
      <c r="A5939" s="106"/>
      <c r="B5939" s="612" t="s">
        <v>8980</v>
      </c>
      <c r="D5939" s="230">
        <v>162</v>
      </c>
      <c r="E5939" s="445">
        <v>15</v>
      </c>
      <c r="F5939" s="24">
        <f t="shared" si="765"/>
        <v>177</v>
      </c>
      <c r="G5939" s="24" t="s">
        <v>8981</v>
      </c>
      <c r="H5939" s="532" t="str">
        <f t="shared" si="766"/>
        <v>S125-GJ 3P 80A</v>
      </c>
      <c r="I5939" s="30"/>
      <c r="J5939" s="416" t="s">
        <v>2752</v>
      </c>
      <c r="K5939" s="35" t="s">
        <v>741</v>
      </c>
    </row>
    <row r="5940" spans="1:11" s="203" customFormat="1">
      <c r="A5940" s="106"/>
      <c r="B5940" s="612" t="s">
        <v>8982</v>
      </c>
      <c r="D5940" s="230">
        <v>162</v>
      </c>
      <c r="E5940" s="445">
        <v>15</v>
      </c>
      <c r="F5940" s="24">
        <f t="shared" si="765"/>
        <v>177</v>
      </c>
      <c r="G5940" s="24" t="s">
        <v>8983</v>
      </c>
      <c r="H5940" s="532" t="str">
        <f t="shared" si="766"/>
        <v>S125-GJ 3P 100A</v>
      </c>
      <c r="I5940" s="30"/>
      <c r="J5940" s="416" t="s">
        <v>2752</v>
      </c>
      <c r="K5940" s="35" t="s">
        <v>741</v>
      </c>
    </row>
    <row r="5941" spans="1:11" s="203" customFormat="1">
      <c r="A5941" s="106"/>
      <c r="B5941" s="612" t="s">
        <v>8984</v>
      </c>
      <c r="D5941" s="230">
        <v>162</v>
      </c>
      <c r="E5941" s="445">
        <v>15</v>
      </c>
      <c r="F5941" s="24">
        <f t="shared" si="765"/>
        <v>177</v>
      </c>
      <c r="G5941" s="24" t="s">
        <v>8985</v>
      </c>
      <c r="H5941" s="532" t="str">
        <f t="shared" si="766"/>
        <v>S125-GJ 3P 125A</v>
      </c>
      <c r="I5941" s="30"/>
      <c r="J5941" s="416" t="s">
        <v>2752</v>
      </c>
      <c r="K5941" s="35" t="s">
        <v>741</v>
      </c>
    </row>
    <row r="5942" spans="1:11" s="203" customFormat="1">
      <c r="A5942" s="106"/>
      <c r="B5942" s="612"/>
      <c r="D5942" s="230"/>
      <c r="E5942" s="445"/>
      <c r="F5942" s="24"/>
      <c r="G5942" s="24"/>
      <c r="H5942" s="532"/>
      <c r="I5942" s="30"/>
      <c r="J5942" s="416"/>
      <c r="K5942" s="35"/>
    </row>
    <row r="5943" spans="1:11" s="203" customFormat="1">
      <c r="A5943" s="106"/>
      <c r="B5943" s="612" t="s">
        <v>8986</v>
      </c>
      <c r="D5943" s="230">
        <v>207</v>
      </c>
      <c r="E5943" s="445">
        <v>15</v>
      </c>
      <c r="F5943" s="24">
        <f>D5943+E5943</f>
        <v>222</v>
      </c>
      <c r="G5943" s="24" t="s">
        <v>8987</v>
      </c>
      <c r="H5943" s="532" t="str">
        <f>B5943</f>
        <v>S160-GJ 3P 160A</v>
      </c>
      <c r="I5943" s="30"/>
      <c r="J5943" s="416" t="s">
        <v>2752</v>
      </c>
      <c r="K5943" s="35" t="s">
        <v>741</v>
      </c>
    </row>
    <row r="5944" spans="1:11" s="203" customFormat="1">
      <c r="A5944" s="106"/>
      <c r="B5944" s="612"/>
      <c r="D5944" s="230"/>
      <c r="E5944" s="445"/>
      <c r="F5944" s="24"/>
      <c r="G5944" s="24"/>
      <c r="H5944" s="532"/>
      <c r="I5944" s="30"/>
      <c r="J5944" s="416"/>
      <c r="K5944" s="35"/>
    </row>
    <row r="5945" spans="1:11" s="203" customFormat="1">
      <c r="A5945" s="106"/>
      <c r="B5945" s="612" t="s">
        <v>8988</v>
      </c>
      <c r="D5945" s="230">
        <v>178.88</v>
      </c>
      <c r="E5945" s="445">
        <v>30</v>
      </c>
      <c r="F5945" s="24">
        <f>D5945+E5945</f>
        <v>208.88</v>
      </c>
      <c r="G5945" s="24" t="s">
        <v>8989</v>
      </c>
      <c r="H5945" s="532" t="str">
        <f>B5945</f>
        <v>S250-GJ 3P 200A</v>
      </c>
      <c r="I5945" s="30"/>
      <c r="J5945" s="416" t="s">
        <v>2752</v>
      </c>
      <c r="K5945" s="35" t="s">
        <v>741</v>
      </c>
    </row>
    <row r="5946" spans="1:11" s="203" customFormat="1">
      <c r="A5946" s="106"/>
      <c r="B5946" s="612" t="s">
        <v>8990</v>
      </c>
      <c r="D5946" s="230">
        <v>178.88</v>
      </c>
      <c r="E5946" s="445">
        <v>30</v>
      </c>
      <c r="F5946" s="24">
        <f>D5946+E5946</f>
        <v>208.88</v>
      </c>
      <c r="G5946" s="24" t="s">
        <v>8991</v>
      </c>
      <c r="H5946" s="532" t="str">
        <f>B5946</f>
        <v>S250-GJ 3P 250A</v>
      </c>
      <c r="I5946" s="30"/>
      <c r="J5946" s="416" t="s">
        <v>2752</v>
      </c>
      <c r="K5946" s="35" t="s">
        <v>741</v>
      </c>
    </row>
    <row r="5947" spans="1:11" s="203" customFormat="1">
      <c r="A5947" s="106"/>
      <c r="B5947" s="612"/>
      <c r="D5947" s="230"/>
      <c r="E5947" s="445"/>
      <c r="F5947" s="24"/>
      <c r="G5947" s="24"/>
      <c r="H5947" s="532"/>
      <c r="I5947" s="30"/>
      <c r="J5947" s="416"/>
      <c r="K5947" s="35"/>
    </row>
    <row r="5948" spans="1:11" s="203" customFormat="1">
      <c r="A5948" s="106"/>
      <c r="B5948" s="612" t="s">
        <v>8992</v>
      </c>
      <c r="D5948" s="230">
        <v>461.25</v>
      </c>
      <c r="E5948" s="445">
        <v>50</v>
      </c>
      <c r="F5948" s="24">
        <f t="shared" ref="F5948:F5953" si="767">D5948+E5948</f>
        <v>511.25</v>
      </c>
      <c r="G5948" s="24" t="s">
        <v>8993</v>
      </c>
      <c r="H5948" s="532" t="str">
        <f t="shared" ref="H5948:H5953" si="768">B5948</f>
        <v>S400-NJ 3P 400A</v>
      </c>
      <c r="I5948" s="30"/>
      <c r="J5948" s="416" t="s">
        <v>2752</v>
      </c>
      <c r="K5948" s="35" t="s">
        <v>741</v>
      </c>
    </row>
    <row r="5949" spans="1:11" s="203" customFormat="1">
      <c r="A5949" s="106"/>
      <c r="B5949" s="612" t="s">
        <v>8994</v>
      </c>
      <c r="D5949" s="230">
        <v>897.75</v>
      </c>
      <c r="E5949" s="445">
        <v>50</v>
      </c>
      <c r="F5949" s="24">
        <f t="shared" si="767"/>
        <v>947.75</v>
      </c>
      <c r="G5949" s="24" t="s">
        <v>8995</v>
      </c>
      <c r="H5949" s="532" t="str">
        <f t="shared" si="768"/>
        <v>S630-CE 3P 630A</v>
      </c>
      <c r="I5949" s="30"/>
      <c r="J5949" s="416" t="s">
        <v>2752</v>
      </c>
      <c r="K5949" s="35" t="s">
        <v>741</v>
      </c>
    </row>
    <row r="5950" spans="1:11" s="203" customFormat="1">
      <c r="A5950" s="106"/>
      <c r="B5950" s="612" t="s">
        <v>8996</v>
      </c>
      <c r="D5950" s="230">
        <v>1023.75</v>
      </c>
      <c r="E5950" s="445">
        <v>80</v>
      </c>
      <c r="F5950" s="24">
        <f t="shared" si="767"/>
        <v>1103.75</v>
      </c>
      <c r="G5950" s="24" t="s">
        <v>8997</v>
      </c>
      <c r="H5950" s="532" t="str">
        <f t="shared" si="768"/>
        <v>S800-NJ 3P 800A</v>
      </c>
      <c r="I5950" s="30"/>
      <c r="J5950" s="416" t="s">
        <v>2752</v>
      </c>
      <c r="K5950" s="35" t="s">
        <v>741</v>
      </c>
    </row>
    <row r="5951" spans="1:11" s="203" customFormat="1">
      <c r="A5951" s="106"/>
      <c r="B5951" s="612" t="s">
        <v>8998</v>
      </c>
      <c r="D5951" s="230">
        <v>1694.25</v>
      </c>
      <c r="E5951" s="445">
        <v>150</v>
      </c>
      <c r="F5951" s="24">
        <f t="shared" si="767"/>
        <v>1844.25</v>
      </c>
      <c r="G5951" s="24" t="s">
        <v>8999</v>
      </c>
      <c r="H5951" s="532" t="str">
        <f t="shared" si="768"/>
        <v>S1000-SE 3P 1000A</v>
      </c>
      <c r="I5951" s="30"/>
      <c r="J5951" s="416" t="s">
        <v>2752</v>
      </c>
      <c r="K5951" s="35" t="s">
        <v>741</v>
      </c>
    </row>
    <row r="5952" spans="1:11" s="203" customFormat="1">
      <c r="A5952" s="106"/>
      <c r="B5952" s="612" t="s">
        <v>9000</v>
      </c>
      <c r="D5952" s="230">
        <v>1912.5</v>
      </c>
      <c r="E5952" s="445">
        <v>150</v>
      </c>
      <c r="F5952" s="24">
        <f t="shared" si="767"/>
        <v>2062.5</v>
      </c>
      <c r="G5952" s="24" t="s">
        <v>9001</v>
      </c>
      <c r="H5952" s="532" t="str">
        <f t="shared" si="768"/>
        <v>S1250-SE 3P 1250A</v>
      </c>
      <c r="I5952" s="30"/>
      <c r="J5952" s="416" t="s">
        <v>2752</v>
      </c>
      <c r="K5952" s="35" t="s">
        <v>741</v>
      </c>
    </row>
    <row r="5953" spans="1:11" s="203" customFormat="1">
      <c r="A5953" s="106"/>
      <c r="B5953" s="612" t="s">
        <v>9002</v>
      </c>
      <c r="D5953" s="230">
        <v>2767.5</v>
      </c>
      <c r="E5953" s="445">
        <v>150</v>
      </c>
      <c r="F5953" s="24">
        <f t="shared" si="767"/>
        <v>2917.5</v>
      </c>
      <c r="G5953" s="24" t="s">
        <v>9003</v>
      </c>
      <c r="H5953" s="532" t="str">
        <f t="shared" si="768"/>
        <v>S1600-SE 3P 1600A</v>
      </c>
      <c r="I5953" s="30"/>
      <c r="J5953" s="416" t="s">
        <v>2752</v>
      </c>
      <c r="K5953" s="35" t="s">
        <v>741</v>
      </c>
    </row>
    <row r="5954" spans="1:11" s="203" customFormat="1">
      <c r="A5954" s="106"/>
      <c r="B5954" s="612"/>
      <c r="D5954" s="230"/>
      <c r="E5954" s="445"/>
      <c r="F5954" s="24"/>
      <c r="G5954" s="24"/>
      <c r="H5954" s="532"/>
      <c r="I5954" s="30"/>
      <c r="J5954" s="416"/>
      <c r="K5954" s="35"/>
    </row>
    <row r="5955" spans="1:11" s="203" customFormat="1">
      <c r="A5955" s="106"/>
      <c r="B5955" s="612"/>
      <c r="D5955" s="230"/>
      <c r="E5955" s="445"/>
      <c r="F5955" s="24"/>
      <c r="G5955" s="24"/>
      <c r="H5955" s="532"/>
      <c r="I5955" s="30"/>
      <c r="J5955" s="416"/>
      <c r="K5955" s="35"/>
    </row>
    <row r="5956" spans="1:11" s="203" customFormat="1" ht="20.25">
      <c r="A5956" s="106"/>
      <c r="B5956" s="1608" t="s">
        <v>9004</v>
      </c>
      <c r="D5956" s="230"/>
      <c r="E5956" s="445"/>
      <c r="F5956" s="24"/>
      <c r="G5956" s="24"/>
      <c r="H5956" s="532"/>
      <c r="I5956" s="30"/>
      <c r="J5956" s="416"/>
      <c r="K5956" s="35"/>
    </row>
    <row r="5957" spans="1:11" s="203" customFormat="1">
      <c r="A5957" s="106"/>
      <c r="B5957" s="612" t="s">
        <v>9005</v>
      </c>
      <c r="D5957" s="230">
        <v>528.75</v>
      </c>
      <c r="E5957" s="445">
        <v>50</v>
      </c>
      <c r="F5957" s="24">
        <f t="shared" ref="F5957:F5962" si="769">D5957+E5957</f>
        <v>578.75</v>
      </c>
      <c r="G5957" s="24" t="s">
        <v>9006</v>
      </c>
      <c r="H5957" s="532" t="str">
        <f t="shared" ref="H5957:H5962" si="770">B5957</f>
        <v>S400-GJ 3P 400A</v>
      </c>
      <c r="I5957" s="30"/>
      <c r="J5957" s="416" t="s">
        <v>2752</v>
      </c>
      <c r="K5957" s="35" t="s">
        <v>741</v>
      </c>
    </row>
    <row r="5958" spans="1:11" s="203" customFormat="1">
      <c r="A5958" s="106"/>
      <c r="B5958" s="612" t="s">
        <v>9007</v>
      </c>
      <c r="D5958" s="230">
        <v>1073.25</v>
      </c>
      <c r="E5958" s="445">
        <v>50</v>
      </c>
      <c r="F5958" s="24">
        <f t="shared" si="769"/>
        <v>1123.25</v>
      </c>
      <c r="G5958" s="24" t="s">
        <v>9008</v>
      </c>
      <c r="H5958" s="532" t="str">
        <f t="shared" si="770"/>
        <v>S630-GE 3P 630A</v>
      </c>
      <c r="I5958" s="30"/>
      <c r="J5958" s="416" t="s">
        <v>2752</v>
      </c>
      <c r="K5958" s="35" t="s">
        <v>741</v>
      </c>
    </row>
    <row r="5959" spans="1:11" s="203" customFormat="1">
      <c r="A5959" s="106"/>
      <c r="B5959" s="612" t="s">
        <v>9009</v>
      </c>
      <c r="D5959" s="230">
        <v>1696.5</v>
      </c>
      <c r="E5959" s="445">
        <v>80</v>
      </c>
      <c r="F5959" s="24">
        <f t="shared" si="769"/>
        <v>1776.5</v>
      </c>
      <c r="G5959" s="24" t="s">
        <v>9010</v>
      </c>
      <c r="H5959" s="532" t="str">
        <f t="shared" si="770"/>
        <v>S800-RJ 3P 800A</v>
      </c>
      <c r="I5959" s="30"/>
      <c r="J5959" s="416" t="s">
        <v>2752</v>
      </c>
      <c r="K5959" s="35" t="s">
        <v>741</v>
      </c>
    </row>
    <row r="5960" spans="1:11" s="203" customFormat="1">
      <c r="A5960" s="106"/>
      <c r="B5960" s="612" t="s">
        <v>9011</v>
      </c>
      <c r="D5960" s="230">
        <v>1764</v>
      </c>
      <c r="E5960" s="445">
        <v>150</v>
      </c>
      <c r="F5960" s="24">
        <f t="shared" si="769"/>
        <v>1914</v>
      </c>
      <c r="G5960" s="24" t="s">
        <v>9012</v>
      </c>
      <c r="H5960" s="532" t="str">
        <f t="shared" si="770"/>
        <v>S1000-NE 3P 1000A</v>
      </c>
      <c r="I5960" s="30"/>
      <c r="J5960" s="416" t="s">
        <v>2752</v>
      </c>
      <c r="K5960" s="35" t="s">
        <v>741</v>
      </c>
    </row>
    <row r="5961" spans="1:11" s="203" customFormat="1">
      <c r="A5961" s="106"/>
      <c r="B5961" s="612" t="s">
        <v>9013</v>
      </c>
      <c r="D5961" s="230">
        <v>2002.5</v>
      </c>
      <c r="E5961" s="445">
        <v>150</v>
      </c>
      <c r="F5961" s="24">
        <f t="shared" si="769"/>
        <v>2152.5</v>
      </c>
      <c r="G5961" s="24" t="s">
        <v>9014</v>
      </c>
      <c r="H5961" s="532" t="str">
        <f t="shared" si="770"/>
        <v>S1250-NE 3P 1250A</v>
      </c>
      <c r="I5961" s="30"/>
      <c r="J5961" s="416" t="s">
        <v>2752</v>
      </c>
      <c r="K5961" s="35" t="s">
        <v>741</v>
      </c>
    </row>
    <row r="5962" spans="1:11" s="203" customFormat="1">
      <c r="A5962" s="106"/>
      <c r="B5962" s="612" t="s">
        <v>9015</v>
      </c>
      <c r="D5962" s="230">
        <v>2981.25</v>
      </c>
      <c r="E5962" s="445">
        <v>150</v>
      </c>
      <c r="F5962" s="24">
        <f t="shared" si="769"/>
        <v>3131.25</v>
      </c>
      <c r="G5962" s="24" t="s">
        <v>9016</v>
      </c>
      <c r="H5962" s="532" t="str">
        <f t="shared" si="770"/>
        <v>S1600-NE 3P 1600A</v>
      </c>
      <c r="I5962" s="30"/>
      <c r="J5962" s="416" t="s">
        <v>2752</v>
      </c>
      <c r="K5962" s="35" t="s">
        <v>741</v>
      </c>
    </row>
    <row r="5963" spans="1:11" s="203" customFormat="1">
      <c r="A5963" s="106"/>
      <c r="B5963" s="612"/>
      <c r="D5963" s="230"/>
      <c r="E5963" s="445"/>
      <c r="F5963" s="24"/>
      <c r="G5963" s="24"/>
      <c r="H5963" s="532"/>
      <c r="I5963" s="30"/>
      <c r="J5963" s="416"/>
      <c r="K5963" s="35"/>
    </row>
    <row r="5964" spans="1:11" s="203" customFormat="1">
      <c r="A5964" s="106"/>
      <c r="B5964" s="612"/>
      <c r="D5964" s="230"/>
      <c r="E5964" s="445"/>
      <c r="F5964" s="24"/>
      <c r="G5964" s="24"/>
      <c r="H5964" s="532"/>
      <c r="I5964" s="30"/>
      <c r="J5964" s="416"/>
      <c r="K5964" s="35"/>
    </row>
    <row r="5965" spans="1:11" s="203" customFormat="1">
      <c r="A5965" s="106"/>
      <c r="B5965" s="612"/>
      <c r="D5965" s="230"/>
      <c r="E5965" s="445"/>
      <c r="F5965" s="24"/>
      <c r="G5965" s="24"/>
      <c r="H5965" s="532"/>
      <c r="I5965" s="30"/>
      <c r="J5965" s="416"/>
      <c r="K5965" s="35"/>
    </row>
    <row r="5966" spans="1:11" s="35" customFormat="1">
      <c r="A5966" s="106"/>
      <c r="B5966" s="612" t="s">
        <v>9017</v>
      </c>
      <c r="C5966" s="230"/>
      <c r="D5966" s="230">
        <v>36</v>
      </c>
      <c r="E5966" s="216">
        <v>4</v>
      </c>
      <c r="F5966" s="156">
        <f>D5966+E5966</f>
        <v>40</v>
      </c>
      <c r="G5966" s="24" t="s">
        <v>9018</v>
      </c>
      <c r="H5966" s="530" t="str">
        <f>B5966</f>
        <v>CDI20620</v>
      </c>
      <c r="I5966" s="501"/>
      <c r="J5966" s="416" t="s">
        <v>2752</v>
      </c>
      <c r="K5966" s="35" t="s">
        <v>741</v>
      </c>
    </row>
    <row r="5967" spans="1:11" s="203" customFormat="1">
      <c r="A5967" s="106"/>
      <c r="B5967" s="612"/>
      <c r="D5967" s="230"/>
      <c r="E5967" s="445"/>
      <c r="F5967" s="24"/>
      <c r="G5967" s="24"/>
      <c r="H5967" s="532"/>
      <c r="I5967" s="30"/>
      <c r="J5967" s="416"/>
      <c r="K5967" s="35"/>
    </row>
    <row r="5968" spans="1:11" s="203" customFormat="1">
      <c r="A5968" s="106"/>
      <c r="B5968" s="612"/>
      <c r="D5968" s="230"/>
      <c r="E5968" s="445"/>
      <c r="F5968" s="24"/>
      <c r="G5968" s="24"/>
      <c r="H5968" s="532"/>
      <c r="I5968" s="30"/>
      <c r="J5968" s="416"/>
      <c r="K5968" s="35"/>
    </row>
    <row r="5969" spans="1:11" s="203" customFormat="1">
      <c r="A5969" s="106"/>
      <c r="B5969" s="612"/>
      <c r="D5969" s="230"/>
      <c r="E5969" s="445"/>
      <c r="F5969" s="24"/>
      <c r="G5969" s="24"/>
      <c r="H5969" s="532"/>
      <c r="I5969" s="30"/>
      <c r="J5969" s="416"/>
      <c r="K5969" s="35"/>
    </row>
    <row r="5970" spans="1:11" s="203" customFormat="1">
      <c r="A5970" s="106"/>
      <c r="B5970" s="612"/>
      <c r="D5970" s="230"/>
      <c r="E5970" s="445"/>
      <c r="F5970" s="24"/>
      <c r="G5970" s="24"/>
      <c r="H5970" s="532"/>
      <c r="I5970" s="30"/>
      <c r="J5970" s="416"/>
      <c r="K5970" s="35"/>
    </row>
    <row r="5971" spans="1:11" s="203" customFormat="1">
      <c r="A5971" s="106"/>
      <c r="B5971" s="612"/>
      <c r="D5971" s="230"/>
      <c r="E5971" s="445"/>
      <c r="F5971" s="24"/>
      <c r="G5971" s="24"/>
      <c r="H5971" s="532"/>
      <c r="I5971" s="30"/>
      <c r="J5971" s="416"/>
      <c r="K5971" s="35"/>
    </row>
    <row r="5972" spans="1:11" s="203" customFormat="1">
      <c r="A5972" s="106"/>
      <c r="B5972" s="612"/>
      <c r="D5972" s="230"/>
      <c r="E5972" s="445"/>
      <c r="F5972" s="24"/>
      <c r="G5972" s="24"/>
      <c r="H5972" s="532"/>
      <c r="I5972" s="30"/>
      <c r="J5972" s="416"/>
      <c r="K5972" s="35"/>
    </row>
    <row r="5973" spans="1:11" s="203" customFormat="1">
      <c r="A5973" s="106"/>
      <c r="B5973" s="612"/>
      <c r="C5973" s="597"/>
      <c r="D5973" s="601"/>
      <c r="E5973" s="445"/>
      <c r="F5973" s="24"/>
      <c r="G5973" s="24"/>
      <c r="H5973" s="1801"/>
      <c r="I5973" s="30"/>
      <c r="J5973" s="416"/>
      <c r="K5973" s="35"/>
    </row>
    <row r="5974" spans="1:11" s="203" customFormat="1">
      <c r="A5974" s="106"/>
      <c r="B5974" s="612"/>
      <c r="C5974" s="597"/>
      <c r="D5974" s="601"/>
      <c r="E5974" s="445"/>
      <c r="F5974" s="24"/>
      <c r="G5974" s="24"/>
      <c r="H5974" s="532"/>
      <c r="I5974" s="30"/>
      <c r="J5974" s="416"/>
      <c r="K5974" s="35"/>
    </row>
    <row r="5975" spans="1:11" s="203" customFormat="1">
      <c r="A5975" s="106"/>
      <c r="B5975" s="612"/>
      <c r="C5975" s="597"/>
      <c r="D5975" s="601"/>
      <c r="E5975" s="445"/>
      <c r="F5975" s="24"/>
      <c r="G5975" s="24"/>
      <c r="H5975" s="532"/>
      <c r="I5975" s="30"/>
      <c r="J5975" s="416"/>
      <c r="K5975" s="35"/>
    </row>
    <row r="5976" spans="1:11" s="203" customFormat="1">
      <c r="A5976" s="106"/>
      <c r="B5976" s="612"/>
      <c r="C5976" s="597"/>
      <c r="D5976" s="601"/>
      <c r="E5976" s="445"/>
      <c r="F5976" s="24"/>
      <c r="G5976" s="24"/>
      <c r="H5976" s="532"/>
      <c r="I5976" s="30"/>
      <c r="J5976" s="416"/>
      <c r="K5976" s="35"/>
    </row>
    <row r="5977" spans="1:11" s="203" customFormat="1" ht="27.75">
      <c r="A5977" s="106"/>
      <c r="B5977" s="1609" t="s">
        <v>4185</v>
      </c>
      <c r="C5977" s="597"/>
      <c r="D5977" s="601"/>
      <c r="E5977" s="445"/>
      <c r="F5977" s="24"/>
      <c r="G5977" s="24"/>
      <c r="H5977" s="532"/>
      <c r="I5977" s="30"/>
      <c r="J5977" s="416"/>
      <c r="K5977" s="35"/>
    </row>
    <row r="5978" spans="1:11" s="203" customFormat="1">
      <c r="B5978" s="56" t="s">
        <v>11165</v>
      </c>
      <c r="C5978" s="602"/>
      <c r="D5978" s="2056"/>
      <c r="E5978" s="445"/>
      <c r="F5978" s="24"/>
      <c r="I5978" s="202"/>
    </row>
    <row r="5979" spans="1:11" s="203" customFormat="1">
      <c r="A5979" s="106"/>
      <c r="B5979" s="1828" t="s">
        <v>9019</v>
      </c>
      <c r="C5979" s="597"/>
      <c r="D5979" s="1829">
        <v>3.5</v>
      </c>
      <c r="E5979" s="445">
        <v>0</v>
      </c>
      <c r="F5979" s="24">
        <f t="shared" ref="F5979:F5986" si="771">D5979+E5979</f>
        <v>3.5</v>
      </c>
      <c r="G5979" s="140" t="s">
        <v>9020</v>
      </c>
      <c r="H5979" s="532" t="str">
        <f>B5979</f>
        <v>DAB7-63-C10-1</v>
      </c>
      <c r="I5979" s="30"/>
      <c r="J5979" s="416" t="s">
        <v>4185</v>
      </c>
      <c r="K5979" s="35" t="s">
        <v>741</v>
      </c>
    </row>
    <row r="5980" spans="1:11" s="203" customFormat="1">
      <c r="A5980" s="106"/>
      <c r="B5980" s="1828" t="s">
        <v>9021</v>
      </c>
      <c r="C5980" s="597"/>
      <c r="D5980" s="1829">
        <v>3.5</v>
      </c>
      <c r="E5980" s="445">
        <v>0</v>
      </c>
      <c r="F5980" s="24">
        <f t="shared" si="771"/>
        <v>3.5</v>
      </c>
      <c r="G5980" s="140" t="s">
        <v>9022</v>
      </c>
      <c r="H5980" s="532" t="str">
        <f t="shared" ref="H5980:H6014" si="772">B5980</f>
        <v>DAB7-63-C16-1</v>
      </c>
      <c r="I5980" s="30"/>
      <c r="J5980" s="416" t="s">
        <v>4185</v>
      </c>
      <c r="K5980" s="35" t="s">
        <v>741</v>
      </c>
    </row>
    <row r="5981" spans="1:11" s="203" customFormat="1">
      <c r="A5981" s="106"/>
      <c r="B5981" s="1828" t="s">
        <v>9023</v>
      </c>
      <c r="C5981" s="597"/>
      <c r="D5981" s="1829">
        <v>3.5</v>
      </c>
      <c r="E5981" s="445">
        <v>0</v>
      </c>
      <c r="F5981" s="24">
        <f t="shared" si="771"/>
        <v>3.5</v>
      </c>
      <c r="G5981" s="140" t="s">
        <v>9024</v>
      </c>
      <c r="H5981" s="532" t="str">
        <f t="shared" si="772"/>
        <v>DAB7-63-C20-1</v>
      </c>
      <c r="I5981" s="30"/>
      <c r="J5981" s="416" t="s">
        <v>4185</v>
      </c>
      <c r="K5981" s="35" t="s">
        <v>741</v>
      </c>
    </row>
    <row r="5982" spans="1:11" s="203" customFormat="1">
      <c r="A5982" s="106"/>
      <c r="B5982" s="1828" t="s">
        <v>9025</v>
      </c>
      <c r="C5982" s="597"/>
      <c r="D5982" s="1829">
        <v>3.5</v>
      </c>
      <c r="E5982" s="445">
        <v>0</v>
      </c>
      <c r="F5982" s="24">
        <f t="shared" si="771"/>
        <v>3.5</v>
      </c>
      <c r="G5982" s="140" t="s">
        <v>9026</v>
      </c>
      <c r="H5982" s="532" t="str">
        <f t="shared" si="772"/>
        <v>DAB7-63-C25-1</v>
      </c>
      <c r="I5982" s="30"/>
      <c r="J5982" s="416" t="s">
        <v>4185</v>
      </c>
      <c r="K5982" s="35" t="s">
        <v>741</v>
      </c>
    </row>
    <row r="5983" spans="1:11" s="203" customFormat="1">
      <c r="A5983" s="106"/>
      <c r="B5983" s="1828" t="s">
        <v>9027</v>
      </c>
      <c r="C5983" s="597"/>
      <c r="D5983" s="1829">
        <v>3.5</v>
      </c>
      <c r="E5983" s="445">
        <v>0</v>
      </c>
      <c r="F5983" s="24">
        <f t="shared" si="771"/>
        <v>3.5</v>
      </c>
      <c r="G5983" s="140" t="s">
        <v>9028</v>
      </c>
      <c r="H5983" s="532" t="str">
        <f t="shared" si="772"/>
        <v>DAB7-63-C32-1</v>
      </c>
      <c r="I5983" s="30"/>
      <c r="J5983" s="416" t="s">
        <v>4185</v>
      </c>
      <c r="K5983" s="35" t="s">
        <v>741</v>
      </c>
    </row>
    <row r="5984" spans="1:11" s="203" customFormat="1">
      <c r="A5984" s="106"/>
      <c r="B5984" s="1828" t="s">
        <v>9029</v>
      </c>
      <c r="C5984" s="597"/>
      <c r="D5984" s="1829">
        <v>3.5</v>
      </c>
      <c r="E5984" s="445">
        <v>0</v>
      </c>
      <c r="F5984" s="24">
        <f t="shared" si="771"/>
        <v>3.5</v>
      </c>
      <c r="G5984" s="140" t="s">
        <v>9030</v>
      </c>
      <c r="H5984" s="532" t="str">
        <f t="shared" si="772"/>
        <v>DAB7-63-C40-1</v>
      </c>
      <c r="I5984" s="30"/>
      <c r="J5984" s="416" t="s">
        <v>4185</v>
      </c>
      <c r="K5984" s="35" t="s">
        <v>741</v>
      </c>
    </row>
    <row r="5985" spans="1:11" s="203" customFormat="1">
      <c r="A5985" s="106"/>
      <c r="B5985" s="1828" t="s">
        <v>9031</v>
      </c>
      <c r="C5985" s="597"/>
      <c r="D5985" s="1829">
        <v>3.5</v>
      </c>
      <c r="E5985" s="445">
        <v>0</v>
      </c>
      <c r="F5985" s="24">
        <f t="shared" si="771"/>
        <v>3.5</v>
      </c>
      <c r="G5985" s="140" t="s">
        <v>9032</v>
      </c>
      <c r="H5985" s="532" t="str">
        <f t="shared" si="772"/>
        <v>DAB7-63-C50-1</v>
      </c>
      <c r="I5985" s="30"/>
      <c r="J5985" s="416" t="s">
        <v>4185</v>
      </c>
      <c r="K5985" s="35" t="s">
        <v>741</v>
      </c>
    </row>
    <row r="5986" spans="1:11" s="203" customFormat="1">
      <c r="A5986" s="106"/>
      <c r="B5986" s="1828" t="s">
        <v>9033</v>
      </c>
      <c r="C5986" s="597"/>
      <c r="D5986" s="1829">
        <v>3.5</v>
      </c>
      <c r="E5986" s="445">
        <v>0</v>
      </c>
      <c r="F5986" s="24">
        <f t="shared" si="771"/>
        <v>3.5</v>
      </c>
      <c r="G5986" s="140" t="s">
        <v>9034</v>
      </c>
      <c r="H5986" s="532" t="str">
        <f t="shared" si="772"/>
        <v>DAB7-63-C63-1</v>
      </c>
      <c r="I5986" s="30"/>
      <c r="J5986" s="416" t="s">
        <v>4185</v>
      </c>
      <c r="K5986" s="35" t="s">
        <v>741</v>
      </c>
    </row>
    <row r="5987" spans="1:11" s="203" customFormat="1">
      <c r="A5987" s="106"/>
      <c r="B5987" s="612"/>
      <c r="C5987" s="597"/>
      <c r="D5987" s="601"/>
      <c r="E5987" s="445"/>
      <c r="F5987" s="24"/>
      <c r="G5987" s="24"/>
      <c r="H5987" s="532">
        <f t="shared" si="772"/>
        <v>0</v>
      </c>
      <c r="I5987" s="30"/>
      <c r="J5987" s="416"/>
      <c r="K5987" s="35"/>
    </row>
    <row r="5988" spans="1:11" s="203" customFormat="1">
      <c r="A5988" s="106"/>
      <c r="B5988" s="612"/>
      <c r="C5988" s="597"/>
      <c r="D5988" s="601"/>
      <c r="E5988" s="445"/>
      <c r="F5988" s="24"/>
      <c r="G5988" s="24"/>
      <c r="H5988" s="532">
        <f t="shared" si="772"/>
        <v>0</v>
      </c>
      <c r="I5988" s="30"/>
      <c r="J5988" s="416"/>
      <c r="K5988" s="35"/>
    </row>
    <row r="5989" spans="1:11" s="203" customFormat="1">
      <c r="A5989" s="106"/>
      <c r="B5989" s="1828" t="s">
        <v>9035</v>
      </c>
      <c r="C5989" s="597"/>
      <c r="D5989" s="1829">
        <v>6.5</v>
      </c>
      <c r="E5989" s="445">
        <v>0</v>
      </c>
      <c r="F5989" s="24">
        <f t="shared" ref="F5989:F5996" si="773">D5989+E5989</f>
        <v>6.5</v>
      </c>
      <c r="G5989" s="140" t="s">
        <v>9036</v>
      </c>
      <c r="H5989" s="532" t="str">
        <f t="shared" si="772"/>
        <v>DAB7-63-C10-2</v>
      </c>
      <c r="I5989" s="30"/>
      <c r="J5989" s="416" t="s">
        <v>4185</v>
      </c>
      <c r="K5989" s="35" t="s">
        <v>741</v>
      </c>
    </row>
    <row r="5990" spans="1:11" s="203" customFormat="1">
      <c r="A5990" s="106"/>
      <c r="B5990" s="1828" t="s">
        <v>9037</v>
      </c>
      <c r="C5990" s="597"/>
      <c r="D5990" s="1829">
        <v>6.5</v>
      </c>
      <c r="E5990" s="445">
        <v>0</v>
      </c>
      <c r="F5990" s="24">
        <f t="shared" si="773"/>
        <v>6.5</v>
      </c>
      <c r="G5990" s="140" t="s">
        <v>9038</v>
      </c>
      <c r="H5990" s="532" t="str">
        <f t="shared" si="772"/>
        <v>DAB7-63-C16-2</v>
      </c>
      <c r="I5990" s="30"/>
      <c r="J5990" s="416" t="s">
        <v>4185</v>
      </c>
      <c r="K5990" s="35" t="s">
        <v>741</v>
      </c>
    </row>
    <row r="5991" spans="1:11" s="203" customFormat="1">
      <c r="A5991" s="106"/>
      <c r="B5991" s="1828" t="s">
        <v>9039</v>
      </c>
      <c r="C5991" s="597"/>
      <c r="D5991" s="1829">
        <v>6.5</v>
      </c>
      <c r="E5991" s="445">
        <v>0</v>
      </c>
      <c r="F5991" s="24">
        <f t="shared" si="773"/>
        <v>6.5</v>
      </c>
      <c r="G5991" s="140" t="s">
        <v>9040</v>
      </c>
      <c r="H5991" s="532" t="str">
        <f t="shared" si="772"/>
        <v>DAB7-63-C20-2</v>
      </c>
      <c r="I5991" s="30"/>
      <c r="J5991" s="416" t="s">
        <v>4185</v>
      </c>
      <c r="K5991" s="35" t="s">
        <v>741</v>
      </c>
    </row>
    <row r="5992" spans="1:11" s="203" customFormat="1">
      <c r="A5992" s="106"/>
      <c r="B5992" s="1828" t="s">
        <v>9041</v>
      </c>
      <c r="C5992" s="597"/>
      <c r="D5992" s="1829">
        <v>6.5</v>
      </c>
      <c r="E5992" s="445">
        <v>0</v>
      </c>
      <c r="F5992" s="24">
        <f t="shared" si="773"/>
        <v>6.5</v>
      </c>
      <c r="G5992" s="140" t="s">
        <v>9042</v>
      </c>
      <c r="H5992" s="532" t="str">
        <f t="shared" si="772"/>
        <v>DAB7-63-C25-2</v>
      </c>
      <c r="I5992" s="30"/>
      <c r="J5992" s="416" t="s">
        <v>4185</v>
      </c>
      <c r="K5992" s="35" t="s">
        <v>741</v>
      </c>
    </row>
    <row r="5993" spans="1:11" s="203" customFormat="1">
      <c r="A5993" s="106"/>
      <c r="B5993" s="1828" t="s">
        <v>9043</v>
      </c>
      <c r="C5993" s="597"/>
      <c r="D5993" s="1829">
        <v>6.5</v>
      </c>
      <c r="E5993" s="445">
        <v>0</v>
      </c>
      <c r="F5993" s="24">
        <f t="shared" si="773"/>
        <v>6.5</v>
      </c>
      <c r="G5993" s="140" t="s">
        <v>9044</v>
      </c>
      <c r="H5993" s="532" t="str">
        <f t="shared" si="772"/>
        <v>DAB7-63-C32-2</v>
      </c>
      <c r="I5993" s="30"/>
      <c r="J5993" s="416" t="s">
        <v>4185</v>
      </c>
      <c r="K5993" s="35" t="s">
        <v>741</v>
      </c>
    </row>
    <row r="5994" spans="1:11" s="203" customFormat="1">
      <c r="A5994" s="106"/>
      <c r="B5994" s="1828" t="s">
        <v>9045</v>
      </c>
      <c r="C5994" s="597"/>
      <c r="D5994" s="1829">
        <v>7</v>
      </c>
      <c r="E5994" s="445">
        <v>0</v>
      </c>
      <c r="F5994" s="24">
        <f t="shared" si="773"/>
        <v>7</v>
      </c>
      <c r="G5994" s="140" t="s">
        <v>9046</v>
      </c>
      <c r="H5994" s="532" t="str">
        <f t="shared" si="772"/>
        <v>DAB7-63-C40-2</v>
      </c>
      <c r="I5994" s="30"/>
      <c r="J5994" s="416" t="s">
        <v>4185</v>
      </c>
      <c r="K5994" s="35" t="s">
        <v>741</v>
      </c>
    </row>
    <row r="5995" spans="1:11" s="203" customFormat="1">
      <c r="A5995" s="106"/>
      <c r="B5995" s="1828" t="s">
        <v>9047</v>
      </c>
      <c r="C5995" s="597"/>
      <c r="D5995" s="1829">
        <v>7</v>
      </c>
      <c r="E5995" s="445">
        <v>0</v>
      </c>
      <c r="F5995" s="24">
        <f t="shared" si="773"/>
        <v>7</v>
      </c>
      <c r="G5995" s="140" t="s">
        <v>9048</v>
      </c>
      <c r="H5995" s="532" t="str">
        <f t="shared" si="772"/>
        <v>DAB7-63-C50-2</v>
      </c>
      <c r="I5995" s="30"/>
      <c r="J5995" s="416" t="s">
        <v>4185</v>
      </c>
      <c r="K5995" s="35" t="s">
        <v>741</v>
      </c>
    </row>
    <row r="5996" spans="1:11" s="203" customFormat="1">
      <c r="A5996" s="106"/>
      <c r="B5996" s="1828" t="s">
        <v>9049</v>
      </c>
      <c r="C5996" s="597"/>
      <c r="D5996" s="1829">
        <v>7</v>
      </c>
      <c r="E5996" s="445">
        <v>0</v>
      </c>
      <c r="F5996" s="24">
        <f t="shared" si="773"/>
        <v>7</v>
      </c>
      <c r="G5996" s="140" t="s">
        <v>9050</v>
      </c>
      <c r="H5996" s="532" t="str">
        <f t="shared" si="772"/>
        <v>DAB7-63-C63-2</v>
      </c>
      <c r="I5996" s="30"/>
      <c r="J5996" s="416" t="s">
        <v>4185</v>
      </c>
      <c r="K5996" s="35" t="s">
        <v>741</v>
      </c>
    </row>
    <row r="5997" spans="1:11" s="203" customFormat="1">
      <c r="A5997" s="106"/>
      <c r="B5997" s="612"/>
      <c r="C5997" s="597"/>
      <c r="D5997" s="601"/>
      <c r="E5997" s="445"/>
      <c r="F5997" s="24"/>
      <c r="G5997" s="24"/>
      <c r="H5997" s="532">
        <f t="shared" si="772"/>
        <v>0</v>
      </c>
      <c r="I5997" s="30"/>
      <c r="J5997" s="416"/>
      <c r="K5997" s="35"/>
    </row>
    <row r="5998" spans="1:11" s="203" customFormat="1">
      <c r="A5998" s="106"/>
      <c r="B5998" s="612"/>
      <c r="C5998" s="597"/>
      <c r="D5998" s="601"/>
      <c r="E5998" s="445"/>
      <c r="F5998" s="24"/>
      <c r="G5998" s="24"/>
      <c r="H5998" s="532">
        <f t="shared" si="772"/>
        <v>0</v>
      </c>
      <c r="I5998" s="30"/>
      <c r="J5998" s="416"/>
      <c r="K5998" s="35"/>
    </row>
    <row r="5999" spans="1:11" s="203" customFormat="1">
      <c r="A5999" s="106"/>
      <c r="B5999" s="1828" t="s">
        <v>9051</v>
      </c>
      <c r="C5999" s="597"/>
      <c r="D5999" s="1829">
        <v>9.5</v>
      </c>
      <c r="E5999" s="445">
        <v>0</v>
      </c>
      <c r="F5999" s="24">
        <f t="shared" ref="F5999:F6006" si="774">D5999+E5999</f>
        <v>9.5</v>
      </c>
      <c r="G5999" s="140" t="s">
        <v>9052</v>
      </c>
      <c r="H5999" s="532" t="str">
        <f t="shared" si="772"/>
        <v>DAB7-63-C10-3</v>
      </c>
      <c r="I5999" s="30"/>
      <c r="J5999" s="416" t="s">
        <v>4185</v>
      </c>
      <c r="K5999" s="35" t="s">
        <v>741</v>
      </c>
    </row>
    <row r="6000" spans="1:11" s="203" customFormat="1">
      <c r="A6000" s="106"/>
      <c r="B6000" s="1828" t="s">
        <v>9053</v>
      </c>
      <c r="C6000" s="597"/>
      <c r="D6000" s="1829">
        <v>9.5</v>
      </c>
      <c r="E6000" s="445">
        <v>0</v>
      </c>
      <c r="F6000" s="24">
        <f t="shared" si="774"/>
        <v>9.5</v>
      </c>
      <c r="G6000" s="140" t="s">
        <v>9054</v>
      </c>
      <c r="H6000" s="532" t="str">
        <f t="shared" si="772"/>
        <v>DAB7-63-C16-3</v>
      </c>
      <c r="I6000" s="30"/>
      <c r="J6000" s="416" t="s">
        <v>4185</v>
      </c>
      <c r="K6000" s="35" t="s">
        <v>741</v>
      </c>
    </row>
    <row r="6001" spans="1:11" s="203" customFormat="1">
      <c r="A6001" s="106"/>
      <c r="B6001" s="1828" t="s">
        <v>9055</v>
      </c>
      <c r="C6001" s="597"/>
      <c r="D6001" s="1829">
        <v>9.5</v>
      </c>
      <c r="E6001" s="445">
        <v>0</v>
      </c>
      <c r="F6001" s="24">
        <f t="shared" si="774"/>
        <v>9.5</v>
      </c>
      <c r="G6001" s="140" t="s">
        <v>9056</v>
      </c>
      <c r="H6001" s="532" t="str">
        <f t="shared" si="772"/>
        <v>DAB7-63-C20-3</v>
      </c>
      <c r="I6001" s="30"/>
      <c r="J6001" s="416" t="s">
        <v>4185</v>
      </c>
      <c r="K6001" s="35" t="s">
        <v>741</v>
      </c>
    </row>
    <row r="6002" spans="1:11" s="203" customFormat="1">
      <c r="A6002" s="106"/>
      <c r="B6002" s="1828" t="s">
        <v>9057</v>
      </c>
      <c r="C6002" s="597"/>
      <c r="D6002" s="1829">
        <v>9.5</v>
      </c>
      <c r="E6002" s="445">
        <v>0</v>
      </c>
      <c r="F6002" s="24">
        <f t="shared" si="774"/>
        <v>9.5</v>
      </c>
      <c r="G6002" s="140" t="s">
        <v>9058</v>
      </c>
      <c r="H6002" s="532" t="str">
        <f t="shared" si="772"/>
        <v>DAB7-63-C25-3</v>
      </c>
      <c r="I6002" s="30"/>
      <c r="J6002" s="416" t="s">
        <v>4185</v>
      </c>
      <c r="K6002" s="35" t="s">
        <v>741</v>
      </c>
    </row>
    <row r="6003" spans="1:11" s="203" customFormat="1">
      <c r="A6003" s="106"/>
      <c r="B6003" s="1828" t="s">
        <v>9059</v>
      </c>
      <c r="C6003" s="597"/>
      <c r="D6003" s="1829">
        <v>9.5</v>
      </c>
      <c r="E6003" s="445">
        <v>0</v>
      </c>
      <c r="F6003" s="24">
        <f t="shared" si="774"/>
        <v>9.5</v>
      </c>
      <c r="G6003" s="140" t="s">
        <v>9060</v>
      </c>
      <c r="H6003" s="532" t="str">
        <f t="shared" si="772"/>
        <v>DAB7-63-C32-3</v>
      </c>
      <c r="I6003" s="30"/>
      <c r="J6003" s="416" t="s">
        <v>4185</v>
      </c>
      <c r="K6003" s="35" t="s">
        <v>741</v>
      </c>
    </row>
    <row r="6004" spans="1:11" s="203" customFormat="1">
      <c r="A6004" s="106"/>
      <c r="B6004" s="1828" t="s">
        <v>9061</v>
      </c>
      <c r="C6004" s="597"/>
      <c r="D6004" s="1829">
        <v>10.5</v>
      </c>
      <c r="E6004" s="445">
        <v>0</v>
      </c>
      <c r="F6004" s="24">
        <f t="shared" si="774"/>
        <v>10.5</v>
      </c>
      <c r="G6004" s="140" t="s">
        <v>9062</v>
      </c>
      <c r="H6004" s="532" t="str">
        <f t="shared" si="772"/>
        <v>DAB7-63-C40-3</v>
      </c>
      <c r="I6004" s="30"/>
      <c r="J6004" s="416" t="s">
        <v>4185</v>
      </c>
      <c r="K6004" s="35" t="s">
        <v>741</v>
      </c>
    </row>
    <row r="6005" spans="1:11" s="203" customFormat="1">
      <c r="A6005" s="106"/>
      <c r="B6005" s="1828" t="s">
        <v>9063</v>
      </c>
      <c r="C6005" s="597"/>
      <c r="D6005" s="1829">
        <v>10.5</v>
      </c>
      <c r="E6005" s="445">
        <v>0</v>
      </c>
      <c r="F6005" s="24">
        <f t="shared" si="774"/>
        <v>10.5</v>
      </c>
      <c r="G6005" s="140" t="s">
        <v>9064</v>
      </c>
      <c r="H6005" s="532" t="str">
        <f t="shared" si="772"/>
        <v>DAB7-63-C50-3</v>
      </c>
      <c r="I6005" s="30"/>
      <c r="J6005" s="416" t="s">
        <v>4185</v>
      </c>
      <c r="K6005" s="35" t="s">
        <v>741</v>
      </c>
    </row>
    <row r="6006" spans="1:11" s="203" customFormat="1">
      <c r="A6006" s="106"/>
      <c r="B6006" s="1828" t="s">
        <v>9065</v>
      </c>
      <c r="C6006" s="597"/>
      <c r="D6006" s="1829">
        <v>10.5</v>
      </c>
      <c r="E6006" s="445">
        <v>0</v>
      </c>
      <c r="F6006" s="24">
        <f t="shared" si="774"/>
        <v>10.5</v>
      </c>
      <c r="G6006" s="140" t="s">
        <v>9066</v>
      </c>
      <c r="H6006" s="532" t="str">
        <f t="shared" si="772"/>
        <v>DAB7-63-C63-3</v>
      </c>
      <c r="I6006" s="30"/>
      <c r="J6006" s="416" t="s">
        <v>4185</v>
      </c>
      <c r="K6006" s="35" t="s">
        <v>741</v>
      </c>
    </row>
    <row r="6007" spans="1:11" s="203" customFormat="1">
      <c r="A6007" s="106"/>
      <c r="B6007" s="612"/>
      <c r="C6007" s="597"/>
      <c r="D6007" s="601"/>
      <c r="E6007" s="445"/>
      <c r="F6007" s="24"/>
      <c r="G6007" s="24"/>
      <c r="H6007" s="532">
        <f t="shared" si="772"/>
        <v>0</v>
      </c>
      <c r="I6007" s="30"/>
      <c r="J6007" s="416"/>
      <c r="K6007" s="35"/>
    </row>
    <row r="6008" spans="1:11" s="203" customFormat="1">
      <c r="A6008" s="106"/>
      <c r="B6008" s="612"/>
      <c r="C6008" s="597"/>
      <c r="D6008" s="601"/>
      <c r="E6008" s="445"/>
      <c r="F6008" s="24"/>
      <c r="G6008" s="24"/>
      <c r="H6008" s="532">
        <f t="shared" si="772"/>
        <v>0</v>
      </c>
      <c r="I6008" s="30"/>
      <c r="J6008" s="416"/>
      <c r="K6008" s="35"/>
    </row>
    <row r="6009" spans="1:11" s="203" customFormat="1">
      <c r="A6009" s="106"/>
      <c r="B6009" s="612"/>
      <c r="C6009" s="597"/>
      <c r="D6009" s="601"/>
      <c r="E6009" s="445"/>
      <c r="F6009" s="24"/>
      <c r="G6009" s="24"/>
      <c r="H6009" s="532">
        <f t="shared" si="772"/>
        <v>0</v>
      </c>
      <c r="I6009" s="30"/>
      <c r="J6009" s="416"/>
      <c r="K6009" s="35"/>
    </row>
    <row r="6010" spans="1:11" s="203" customFormat="1">
      <c r="A6010" s="593"/>
      <c r="B6010" s="594"/>
      <c r="C6010" s="593"/>
      <c r="D6010" s="595"/>
      <c r="E6010" s="593"/>
      <c r="F6010" s="593"/>
      <c r="G6010" s="596"/>
      <c r="H6010" s="532">
        <f t="shared" si="772"/>
        <v>0</v>
      </c>
      <c r="I6010" s="593"/>
      <c r="J6010" s="593"/>
      <c r="K6010" s="593"/>
    </row>
    <row r="6011" spans="1:11" s="203" customFormat="1">
      <c r="A6011" s="593"/>
      <c r="B6011" s="1828" t="s">
        <v>9067</v>
      </c>
      <c r="C6011" s="593"/>
      <c r="D6011" s="1829">
        <v>15</v>
      </c>
      <c r="E6011" s="445">
        <v>3</v>
      </c>
      <c r="F6011" s="24">
        <f>D6011+E6011</f>
        <v>18</v>
      </c>
      <c r="G6011" s="140" t="s">
        <v>9068</v>
      </c>
      <c r="H6011" s="532" t="str">
        <f t="shared" si="772"/>
        <v>DAF362-25</v>
      </c>
      <c r="I6011" s="593"/>
      <c r="J6011" s="416" t="s">
        <v>4185</v>
      </c>
      <c r="K6011" s="35" t="s">
        <v>741</v>
      </c>
    </row>
    <row r="6012" spans="1:11" s="203" customFormat="1">
      <c r="A6012" s="593"/>
      <c r="B6012" s="1828" t="s">
        <v>9069</v>
      </c>
      <c r="C6012" s="593"/>
      <c r="D6012" s="1829">
        <v>15</v>
      </c>
      <c r="E6012" s="445">
        <v>3</v>
      </c>
      <c r="F6012" s="24">
        <f>D6012+E6012</f>
        <v>18</v>
      </c>
      <c r="G6012" s="140" t="s">
        <v>9070</v>
      </c>
      <c r="H6012" s="532" t="str">
        <f t="shared" si="772"/>
        <v>DAF362-40</v>
      </c>
      <c r="I6012" s="593"/>
      <c r="J6012" s="416" t="s">
        <v>4185</v>
      </c>
      <c r="K6012" s="35" t="s">
        <v>741</v>
      </c>
    </row>
    <row r="6013" spans="1:11" s="203" customFormat="1">
      <c r="A6013" s="593"/>
      <c r="B6013" s="1828" t="s">
        <v>9071</v>
      </c>
      <c r="C6013" s="593"/>
      <c r="D6013" s="1829">
        <v>20</v>
      </c>
      <c r="E6013" s="445">
        <v>5</v>
      </c>
      <c r="F6013" s="24">
        <f>D6013+E6013</f>
        <v>25</v>
      </c>
      <c r="G6013" s="140" t="s">
        <v>9072</v>
      </c>
      <c r="H6013" s="532" t="str">
        <f t="shared" si="772"/>
        <v>DAF364-25</v>
      </c>
      <c r="I6013" s="593"/>
      <c r="J6013" s="416" t="s">
        <v>4185</v>
      </c>
      <c r="K6013" s="35" t="s">
        <v>741</v>
      </c>
    </row>
    <row r="6014" spans="1:11" s="203" customFormat="1">
      <c r="A6014" s="593"/>
      <c r="B6014" s="1828" t="s">
        <v>9073</v>
      </c>
      <c r="C6014" s="593"/>
      <c r="D6014" s="1829">
        <v>20</v>
      </c>
      <c r="E6014" s="445">
        <v>5</v>
      </c>
      <c r="F6014" s="24">
        <f>D6014+E6014</f>
        <v>25</v>
      </c>
      <c r="G6014" s="140" t="s">
        <v>9074</v>
      </c>
      <c r="H6014" s="532" t="str">
        <f t="shared" si="772"/>
        <v>DAF364-40</v>
      </c>
      <c r="I6014" s="593"/>
      <c r="J6014" s="416" t="s">
        <v>4185</v>
      </c>
      <c r="K6014" s="35" t="s">
        <v>741</v>
      </c>
    </row>
    <row r="6015" spans="1:11" s="203" customFormat="1">
      <c r="A6015" s="593"/>
      <c r="B6015" s="594"/>
      <c r="C6015" s="593"/>
      <c r="D6015" s="595"/>
      <c r="E6015" s="593"/>
      <c r="F6015" s="593"/>
      <c r="G6015" s="596"/>
      <c r="H6015" s="594"/>
      <c r="I6015" s="593"/>
      <c r="J6015" s="593"/>
      <c r="K6015" s="593"/>
    </row>
    <row r="6016" spans="1:11" s="203" customFormat="1">
      <c r="B6016" s="56" t="s">
        <v>11166</v>
      </c>
      <c r="C6016" s="602"/>
      <c r="D6016" s="2057"/>
      <c r="E6016" s="445"/>
      <c r="F6016" s="24"/>
      <c r="I6016" s="202"/>
    </row>
    <row r="6017" spans="1:11" s="203" customFormat="1">
      <c r="A6017" s="1735"/>
      <c r="B6017" s="57" t="s">
        <v>11167</v>
      </c>
      <c r="C6017" s="602">
        <v>10</v>
      </c>
      <c r="D6017" s="2057"/>
      <c r="E6017" s="445">
        <v>3</v>
      </c>
      <c r="F6017" s="24">
        <f>C6017+E6017</f>
        <v>13</v>
      </c>
      <c r="G6017" s="24" t="s">
        <v>11168</v>
      </c>
      <c r="I6017" s="202"/>
    </row>
    <row r="6018" spans="1:11" s="203" customFormat="1">
      <c r="A6018" s="1735"/>
      <c r="B6018" s="57" t="s">
        <v>11169</v>
      </c>
      <c r="C6018" s="602">
        <v>10</v>
      </c>
      <c r="D6018" s="2057"/>
      <c r="E6018" s="445">
        <v>3</v>
      </c>
      <c r="F6018" s="24">
        <f>C6018+E6018</f>
        <v>13</v>
      </c>
      <c r="G6018" s="24" t="s">
        <v>11170</v>
      </c>
      <c r="I6018" s="202"/>
    </row>
    <row r="6019" spans="1:11" s="203" customFormat="1">
      <c r="A6019" s="1735"/>
      <c r="B6019" s="57" t="s">
        <v>11171</v>
      </c>
      <c r="C6019" s="602">
        <v>10</v>
      </c>
      <c r="D6019" s="2057"/>
      <c r="E6019" s="445">
        <v>6</v>
      </c>
      <c r="F6019" s="24">
        <f>C6019+E6019</f>
        <v>16</v>
      </c>
      <c r="G6019" s="24" t="s">
        <v>11172</v>
      </c>
      <c r="I6019" s="202"/>
    </row>
    <row r="6020" spans="1:11" s="203" customFormat="1">
      <c r="B6020" s="57"/>
      <c r="C6020" s="602"/>
      <c r="D6020" s="2057"/>
      <c r="E6020" s="445"/>
      <c r="F6020" s="24"/>
      <c r="G6020" s="24"/>
      <c r="I6020" s="202"/>
    </row>
    <row r="6021" spans="1:11" s="203" customFormat="1">
      <c r="A6021" s="1735"/>
      <c r="B6021" s="57" t="s">
        <v>11173</v>
      </c>
      <c r="C6021" s="602">
        <v>15</v>
      </c>
      <c r="D6021" s="2057"/>
      <c r="E6021" s="445">
        <v>9</v>
      </c>
      <c r="F6021" s="24">
        <f>C6021+E6021</f>
        <v>24</v>
      </c>
      <c r="G6021" s="24" t="s">
        <v>11174</v>
      </c>
      <c r="I6021" s="202"/>
    </row>
    <row r="6022" spans="1:11" s="203" customFormat="1">
      <c r="A6022" s="1735"/>
      <c r="B6022" s="57" t="s">
        <v>11175</v>
      </c>
      <c r="C6022" s="602">
        <v>15</v>
      </c>
      <c r="D6022" s="2057"/>
      <c r="E6022" s="445">
        <v>9</v>
      </c>
      <c r="F6022" s="24">
        <f>C6022+E6022</f>
        <v>24</v>
      </c>
      <c r="G6022" s="24" t="s">
        <v>11176</v>
      </c>
      <c r="I6022" s="202"/>
    </row>
    <row r="6023" spans="1:11" s="203" customFormat="1">
      <c r="A6023" s="1735"/>
      <c r="B6023" s="57" t="s">
        <v>11177</v>
      </c>
      <c r="C6023" s="602">
        <v>15</v>
      </c>
      <c r="D6023" s="2057"/>
      <c r="E6023" s="445">
        <v>12</v>
      </c>
      <c r="F6023" s="24">
        <f>C6023+E6023</f>
        <v>27</v>
      </c>
      <c r="G6023" s="24" t="s">
        <v>11178</v>
      </c>
      <c r="I6023" s="202"/>
    </row>
    <row r="6024" spans="1:11" customFormat="1"/>
    <row r="6025" spans="1:11" s="203" customFormat="1">
      <c r="B6025" s="36"/>
      <c r="C6025" s="602"/>
      <c r="D6025" s="24"/>
      <c r="E6025" s="445"/>
      <c r="F6025" s="24"/>
      <c r="G6025" s="24"/>
      <c r="I6025" s="202"/>
    </row>
    <row r="6026" spans="1:11" s="593" customFormat="1">
      <c r="B6026" s="594"/>
      <c r="D6026" s="595"/>
      <c r="G6026" s="596"/>
    </row>
    <row r="6027" spans="1:11" s="203" customFormat="1">
      <c r="A6027" s="1735"/>
      <c r="B6027" s="28" t="s">
        <v>11179</v>
      </c>
      <c r="C6027" s="602">
        <v>300</v>
      </c>
      <c r="D6027" s="24"/>
      <c r="E6027" s="445">
        <v>15</v>
      </c>
      <c r="F6027" s="24">
        <f t="shared" ref="F6027:F6034" si="775">C6027+E6027</f>
        <v>315</v>
      </c>
      <c r="G6027" s="24" t="s">
        <v>11180</v>
      </c>
      <c r="H6027" s="28" t="s">
        <v>11179</v>
      </c>
      <c r="I6027" s="202"/>
      <c r="J6027" s="416" t="s">
        <v>4185</v>
      </c>
      <c r="K6027" s="35" t="s">
        <v>741</v>
      </c>
    </row>
    <row r="6028" spans="1:11" s="203" customFormat="1">
      <c r="A6028" s="1735"/>
      <c r="B6028" s="28" t="s">
        <v>11181</v>
      </c>
      <c r="C6028" s="602">
        <v>120</v>
      </c>
      <c r="D6028" s="24"/>
      <c r="E6028" s="445">
        <v>15</v>
      </c>
      <c r="F6028" s="24">
        <f t="shared" si="775"/>
        <v>135</v>
      </c>
      <c r="G6028" s="24" t="s">
        <v>11182</v>
      </c>
      <c r="H6028" s="28" t="s">
        <v>11181</v>
      </c>
      <c r="I6028" s="202"/>
      <c r="J6028" s="416" t="s">
        <v>4185</v>
      </c>
      <c r="K6028" s="35" t="s">
        <v>741</v>
      </c>
    </row>
    <row r="6029" spans="1:11" s="203" customFormat="1">
      <c r="A6029" s="1735"/>
      <c r="B6029" s="28" t="s">
        <v>11183</v>
      </c>
      <c r="C6029" s="602">
        <v>120</v>
      </c>
      <c r="D6029" s="24"/>
      <c r="E6029" s="445">
        <v>15</v>
      </c>
      <c r="F6029" s="24">
        <f t="shared" si="775"/>
        <v>135</v>
      </c>
      <c r="G6029" s="24" t="s">
        <v>11184</v>
      </c>
      <c r="H6029" s="28" t="s">
        <v>11183</v>
      </c>
      <c r="I6029" s="202"/>
      <c r="J6029" s="416" t="s">
        <v>4185</v>
      </c>
      <c r="K6029" s="35" t="s">
        <v>741</v>
      </c>
    </row>
    <row r="6030" spans="1:11" s="203" customFormat="1">
      <c r="A6030" s="1735"/>
      <c r="B6030" s="28" t="s">
        <v>11185</v>
      </c>
      <c r="C6030" s="602">
        <v>120</v>
      </c>
      <c r="D6030" s="24"/>
      <c r="E6030" s="445">
        <v>15</v>
      </c>
      <c r="F6030" s="24">
        <f t="shared" si="775"/>
        <v>135</v>
      </c>
      <c r="G6030" s="24" t="s">
        <v>11186</v>
      </c>
      <c r="H6030" s="28" t="s">
        <v>11185</v>
      </c>
      <c r="I6030" s="202"/>
      <c r="J6030" s="416" t="s">
        <v>4185</v>
      </c>
      <c r="K6030" s="35" t="s">
        <v>741</v>
      </c>
    </row>
    <row r="6031" spans="1:11" s="203" customFormat="1">
      <c r="A6031" s="1735"/>
      <c r="B6031" s="28" t="s">
        <v>11187</v>
      </c>
      <c r="C6031" s="602">
        <v>100</v>
      </c>
      <c r="D6031" s="24"/>
      <c r="E6031" s="445">
        <v>15</v>
      </c>
      <c r="F6031" s="24">
        <f t="shared" si="775"/>
        <v>115</v>
      </c>
      <c r="G6031" s="24" t="s">
        <v>11188</v>
      </c>
      <c r="H6031" s="28" t="s">
        <v>11187</v>
      </c>
      <c r="I6031" s="202"/>
      <c r="J6031" s="416" t="s">
        <v>4185</v>
      </c>
      <c r="K6031" s="35" t="s">
        <v>741</v>
      </c>
    </row>
    <row r="6032" spans="1:11" s="203" customFormat="1">
      <c r="A6032" s="1735"/>
      <c r="B6032" s="28" t="s">
        <v>11189</v>
      </c>
      <c r="C6032" s="602">
        <v>100</v>
      </c>
      <c r="D6032" s="24"/>
      <c r="E6032" s="445">
        <v>15</v>
      </c>
      <c r="F6032" s="24">
        <f t="shared" si="775"/>
        <v>115</v>
      </c>
      <c r="G6032" s="24" t="s">
        <v>11190</v>
      </c>
      <c r="H6032" s="28" t="s">
        <v>11189</v>
      </c>
      <c r="I6032" s="202"/>
      <c r="J6032" s="416" t="s">
        <v>4185</v>
      </c>
      <c r="K6032" s="35" t="s">
        <v>741</v>
      </c>
    </row>
    <row r="6033" spans="1:11" s="203" customFormat="1">
      <c r="A6033" s="1735"/>
      <c r="B6033" s="28" t="s">
        <v>11191</v>
      </c>
      <c r="C6033" s="602">
        <v>100</v>
      </c>
      <c r="D6033" s="24"/>
      <c r="E6033" s="445">
        <v>15</v>
      </c>
      <c r="F6033" s="24">
        <f t="shared" si="775"/>
        <v>115</v>
      </c>
      <c r="G6033" s="24" t="s">
        <v>11192</v>
      </c>
      <c r="H6033" s="28" t="s">
        <v>11191</v>
      </c>
      <c r="I6033" s="202"/>
      <c r="J6033" s="416" t="s">
        <v>4185</v>
      </c>
      <c r="K6033" s="35" t="s">
        <v>741</v>
      </c>
    </row>
    <row r="6034" spans="1:11" s="203" customFormat="1">
      <c r="A6034" s="1735"/>
      <c r="B6034" s="28" t="s">
        <v>11193</v>
      </c>
      <c r="C6034" s="602">
        <v>100</v>
      </c>
      <c r="D6034" s="24"/>
      <c r="E6034" s="445">
        <v>15</v>
      </c>
      <c r="F6034" s="24">
        <f t="shared" si="775"/>
        <v>115</v>
      </c>
      <c r="G6034" s="24" t="s">
        <v>11194</v>
      </c>
      <c r="H6034" s="28" t="s">
        <v>11193</v>
      </c>
      <c r="I6034" s="202"/>
      <c r="J6034" s="416" t="s">
        <v>4185</v>
      </c>
      <c r="K6034" s="35" t="s">
        <v>741</v>
      </c>
    </row>
    <row r="6035" spans="1:11" s="593" customFormat="1">
      <c r="B6035" s="594"/>
      <c r="D6035" s="595"/>
      <c r="G6035" s="596"/>
      <c r="H6035" s="594"/>
    </row>
    <row r="6036" spans="1:11" s="203" customFormat="1">
      <c r="A6036" s="1735"/>
      <c r="B6036" s="28" t="s">
        <v>11195</v>
      </c>
      <c r="C6036" s="602">
        <v>160</v>
      </c>
      <c r="D6036" s="24"/>
      <c r="E6036" s="445">
        <v>15</v>
      </c>
      <c r="F6036" s="24">
        <f>C6036+E6036</f>
        <v>175</v>
      </c>
      <c r="G6036" s="24" t="s">
        <v>11196</v>
      </c>
      <c r="H6036" s="28" t="s">
        <v>11195</v>
      </c>
      <c r="I6036" s="202"/>
      <c r="J6036" s="416" t="s">
        <v>4185</v>
      </c>
      <c r="K6036" s="35" t="s">
        <v>741</v>
      </c>
    </row>
    <row r="6037" spans="1:11" s="203" customFormat="1">
      <c r="A6037" s="1735"/>
      <c r="B6037" s="28" t="s">
        <v>11197</v>
      </c>
      <c r="C6037" s="602">
        <v>160</v>
      </c>
      <c r="D6037" s="24"/>
      <c r="E6037" s="445">
        <v>15</v>
      </c>
      <c r="F6037" s="24">
        <f>C6037+E6037</f>
        <v>175</v>
      </c>
      <c r="G6037" s="24" t="s">
        <v>11198</v>
      </c>
      <c r="H6037" s="28" t="s">
        <v>11197</v>
      </c>
      <c r="I6037" s="202"/>
      <c r="J6037" s="416" t="s">
        <v>4185</v>
      </c>
      <c r="K6037" s="35" t="s">
        <v>741</v>
      </c>
    </row>
    <row r="6038" spans="1:11" s="593" customFormat="1">
      <c r="B6038" s="594"/>
      <c r="D6038" s="595"/>
      <c r="G6038" s="596"/>
      <c r="H6038" s="594"/>
    </row>
    <row r="6039" spans="1:11" s="593" customFormat="1">
      <c r="B6039" s="594"/>
      <c r="D6039" s="595"/>
      <c r="G6039" s="596"/>
      <c r="H6039" s="594"/>
    </row>
    <row r="6040" spans="1:11" s="593" customFormat="1" ht="27.75">
      <c r="B6040" s="1609" t="s">
        <v>1970</v>
      </c>
      <c r="D6040" s="595"/>
      <c r="G6040" s="596"/>
      <c r="H6040" s="594"/>
    </row>
    <row r="6041" spans="1:11" s="593" customFormat="1">
      <c r="B6041" s="594"/>
      <c r="D6041" s="595"/>
      <c r="G6041" s="596"/>
      <c r="H6041" s="594"/>
    </row>
    <row r="6042" spans="1:11" s="593" customFormat="1">
      <c r="B6042" s="594"/>
      <c r="C6042" s="597"/>
      <c r="D6042" s="601"/>
      <c r="G6042" s="596"/>
      <c r="H6042" s="594"/>
    </row>
    <row r="6043" spans="1:11" s="593" customFormat="1">
      <c r="A6043" s="203"/>
      <c r="B6043" s="56" t="s">
        <v>10146</v>
      </c>
      <c r="C6043" s="597"/>
      <c r="D6043" s="244"/>
      <c r="E6043" s="598"/>
      <c r="F6043" s="204"/>
      <c r="G6043" s="203"/>
      <c r="H6043" s="2037"/>
      <c r="I6043" s="202"/>
      <c r="J6043" s="203"/>
      <c r="K6043" s="203"/>
    </row>
    <row r="6044" spans="1:11" s="593" customFormat="1">
      <c r="A6044" s="599"/>
      <c r="B6044" s="600" t="s">
        <v>13687</v>
      </c>
      <c r="C6044" s="597">
        <v>17</v>
      </c>
      <c r="D6044" s="244">
        <f t="shared" ref="D6044:D6069" si="776">C6044*(1-VLOOKUP(I6044,descuentos,6,FALSE))*fcl/IF(dol_sol="dólar", TC,1)</f>
        <v>4.4847725373134324</v>
      </c>
      <c r="E6044" s="170"/>
      <c r="F6044" s="24">
        <f t="shared" ref="F6044" si="777">D6044+E6044</f>
        <v>4.4847725373134324</v>
      </c>
      <c r="G6044" s="24" t="s">
        <v>11058</v>
      </c>
      <c r="H6044" s="532" t="str">
        <f t="shared" ref="H6044:H6069" si="778">B6044</f>
        <v>5SL6110-7MB</v>
      </c>
      <c r="I6044" s="2055" t="s">
        <v>11053</v>
      </c>
      <c r="J6044" s="416" t="s">
        <v>1970</v>
      </c>
      <c r="K6044" s="35" t="s">
        <v>741</v>
      </c>
    </row>
    <row r="6045" spans="1:11" s="593" customFormat="1">
      <c r="A6045" s="599"/>
      <c r="B6045" s="600" t="s">
        <v>13688</v>
      </c>
      <c r="C6045" s="597">
        <v>17</v>
      </c>
      <c r="D6045" s="244">
        <f t="shared" si="776"/>
        <v>4.4847725373134324</v>
      </c>
      <c r="E6045" s="170"/>
      <c r="F6045" s="24">
        <f>D6045+E6045</f>
        <v>4.4847725373134324</v>
      </c>
      <c r="G6045" s="24" t="s">
        <v>11059</v>
      </c>
      <c r="H6045" s="532" t="str">
        <f t="shared" si="778"/>
        <v>5SL6116-7MB</v>
      </c>
      <c r="I6045" s="2055" t="s">
        <v>11053</v>
      </c>
      <c r="J6045" s="416" t="s">
        <v>1970</v>
      </c>
      <c r="K6045" s="35" t="s">
        <v>741</v>
      </c>
    </row>
    <row r="6046" spans="1:11" s="593" customFormat="1">
      <c r="A6046" s="599"/>
      <c r="B6046" s="600" t="s">
        <v>13689</v>
      </c>
      <c r="C6046" s="597">
        <v>17</v>
      </c>
      <c r="D6046" s="244">
        <f t="shared" si="776"/>
        <v>4.4847725373134324</v>
      </c>
      <c r="E6046" s="170"/>
      <c r="F6046" s="24">
        <f>D6046+E6046</f>
        <v>4.4847725373134324</v>
      </c>
      <c r="G6046" s="24" t="s">
        <v>11060</v>
      </c>
      <c r="H6046" s="532" t="str">
        <f t="shared" si="778"/>
        <v>5SL6120-7MB</v>
      </c>
      <c r="I6046" s="2055" t="s">
        <v>11053</v>
      </c>
      <c r="J6046" s="416" t="s">
        <v>1970</v>
      </c>
      <c r="K6046" s="35" t="s">
        <v>741</v>
      </c>
    </row>
    <row r="6047" spans="1:11" s="593" customFormat="1">
      <c r="A6047" s="599"/>
      <c r="B6047" s="600" t="s">
        <v>13690</v>
      </c>
      <c r="C6047" s="597">
        <v>17</v>
      </c>
      <c r="D6047" s="244">
        <f t="shared" si="776"/>
        <v>4.4847725373134324</v>
      </c>
      <c r="E6047" s="170"/>
      <c r="F6047" s="24">
        <f t="shared" ref="F6047" si="779">D6047+E6047</f>
        <v>4.4847725373134324</v>
      </c>
      <c r="G6047" s="24" t="s">
        <v>11061</v>
      </c>
      <c r="H6047" s="532" t="str">
        <f t="shared" si="778"/>
        <v>5SL6125-7MB</v>
      </c>
      <c r="I6047" s="2055" t="s">
        <v>11053</v>
      </c>
      <c r="J6047" s="416" t="s">
        <v>1970</v>
      </c>
      <c r="K6047" s="35" t="s">
        <v>741</v>
      </c>
    </row>
    <row r="6048" spans="1:11" s="593" customFormat="1">
      <c r="A6048" s="599"/>
      <c r="B6048" s="600" t="s">
        <v>13691</v>
      </c>
      <c r="C6048" s="597">
        <v>17</v>
      </c>
      <c r="D6048" s="244">
        <f t="shared" si="776"/>
        <v>4.4847725373134324</v>
      </c>
      <c r="E6048" s="170"/>
      <c r="F6048" s="24">
        <f>D6048+E6048</f>
        <v>4.4847725373134324</v>
      </c>
      <c r="G6048" s="24" t="s">
        <v>11062</v>
      </c>
      <c r="H6048" s="532" t="str">
        <f t="shared" si="778"/>
        <v>5SL6132-7MB</v>
      </c>
      <c r="I6048" s="2055" t="s">
        <v>11053</v>
      </c>
      <c r="J6048" s="416" t="s">
        <v>1970</v>
      </c>
      <c r="K6048" s="35" t="s">
        <v>741</v>
      </c>
    </row>
    <row r="6049" spans="1:11" s="203" customFormat="1">
      <c r="A6049" s="599"/>
      <c r="B6049" s="600" t="s">
        <v>13692</v>
      </c>
      <c r="C6049" s="597">
        <v>20</v>
      </c>
      <c r="D6049" s="244">
        <f t="shared" si="776"/>
        <v>5.2762029850746259</v>
      </c>
      <c r="E6049" s="170"/>
      <c r="F6049" s="24">
        <f t="shared" ref="F6049:F6051" si="780">D6049+E6049</f>
        <v>5.2762029850746259</v>
      </c>
      <c r="G6049" s="24" t="s">
        <v>11063</v>
      </c>
      <c r="H6049" s="532" t="str">
        <f t="shared" si="778"/>
        <v>5SL6140-7MB</v>
      </c>
      <c r="I6049" s="2055" t="s">
        <v>11053</v>
      </c>
      <c r="J6049" s="416" t="s">
        <v>1970</v>
      </c>
      <c r="K6049" s="35" t="s">
        <v>741</v>
      </c>
    </row>
    <row r="6050" spans="1:11" s="203" customFormat="1">
      <c r="A6050" s="599"/>
      <c r="B6050" s="600" t="s">
        <v>13693</v>
      </c>
      <c r="C6050" s="597">
        <v>19</v>
      </c>
      <c r="D6050" s="244">
        <f t="shared" si="776"/>
        <v>5.0123928358208945</v>
      </c>
      <c r="E6050" s="170"/>
      <c r="F6050" s="24">
        <f t="shared" si="780"/>
        <v>5.0123928358208945</v>
      </c>
      <c r="G6050" s="24" t="s">
        <v>11064</v>
      </c>
      <c r="H6050" s="532" t="str">
        <f t="shared" si="778"/>
        <v>5SL6150-7MB</v>
      </c>
      <c r="I6050" s="2055" t="s">
        <v>11053</v>
      </c>
      <c r="J6050" s="416" t="s">
        <v>1970</v>
      </c>
      <c r="K6050" s="35" t="s">
        <v>741</v>
      </c>
    </row>
    <row r="6051" spans="1:11" s="203" customFormat="1">
      <c r="A6051" s="599"/>
      <c r="B6051" s="600" t="s">
        <v>13694</v>
      </c>
      <c r="C6051" s="597">
        <v>19</v>
      </c>
      <c r="D6051" s="244">
        <f t="shared" si="776"/>
        <v>5.0123928358208945</v>
      </c>
      <c r="E6051" s="170"/>
      <c r="F6051" s="24">
        <f t="shared" si="780"/>
        <v>5.0123928358208945</v>
      </c>
      <c r="G6051" s="24" t="s">
        <v>11065</v>
      </c>
      <c r="H6051" s="532" t="str">
        <f t="shared" si="778"/>
        <v>5SL6163-7MB</v>
      </c>
      <c r="I6051" s="2055" t="s">
        <v>11053</v>
      </c>
      <c r="J6051" s="416" t="s">
        <v>1970</v>
      </c>
      <c r="K6051" s="35" t="s">
        <v>741</v>
      </c>
    </row>
    <row r="6052" spans="1:11" s="203" customFormat="1">
      <c r="A6052" s="599"/>
      <c r="B6052" s="600"/>
      <c r="C6052" s="597"/>
      <c r="D6052" s="601"/>
      <c r="E6052" s="170"/>
      <c r="F6052" s="24"/>
      <c r="G6052" s="24"/>
      <c r="H6052" s="532"/>
      <c r="I6052" s="2055"/>
      <c r="J6052" s="416"/>
      <c r="K6052" s="35"/>
    </row>
    <row r="6053" spans="1:11" s="203" customFormat="1">
      <c r="A6053" s="599"/>
      <c r="B6053" s="600" t="s">
        <v>13695</v>
      </c>
      <c r="C6053" s="597">
        <v>33</v>
      </c>
      <c r="D6053" s="244">
        <f t="shared" si="776"/>
        <v>8.7057349253731342</v>
      </c>
      <c r="E6053" s="170"/>
      <c r="F6053" s="24">
        <f t="shared" ref="F6053:F6060" si="781">D6053+E6053</f>
        <v>8.7057349253731342</v>
      </c>
      <c r="G6053" s="24" t="s">
        <v>11066</v>
      </c>
      <c r="H6053" s="532" t="str">
        <f t="shared" si="778"/>
        <v>5SL6210-7MB</v>
      </c>
      <c r="I6053" s="2055" t="s">
        <v>11053</v>
      </c>
      <c r="J6053" s="416" t="s">
        <v>1970</v>
      </c>
      <c r="K6053" s="35" t="s">
        <v>741</v>
      </c>
    </row>
    <row r="6054" spans="1:11" s="203" customFormat="1">
      <c r="A6054" s="599"/>
      <c r="B6054" s="600" t="s">
        <v>13696</v>
      </c>
      <c r="C6054" s="597">
        <v>29</v>
      </c>
      <c r="D6054" s="244">
        <f t="shared" si="776"/>
        <v>7.6504943283582083</v>
      </c>
      <c r="E6054" s="170"/>
      <c r="F6054" s="24">
        <f t="shared" si="781"/>
        <v>7.6504943283582083</v>
      </c>
      <c r="G6054" s="24" t="s">
        <v>11067</v>
      </c>
      <c r="H6054" s="532" t="str">
        <f t="shared" si="778"/>
        <v>5SL6216-7MB</v>
      </c>
      <c r="I6054" s="2055" t="s">
        <v>11053</v>
      </c>
      <c r="J6054" s="416" t="s">
        <v>1970</v>
      </c>
      <c r="K6054" s="35" t="s">
        <v>741</v>
      </c>
    </row>
    <row r="6055" spans="1:11" s="203" customFormat="1">
      <c r="A6055" s="599"/>
      <c r="B6055" s="600" t="s">
        <v>13697</v>
      </c>
      <c r="C6055" s="597">
        <v>29</v>
      </c>
      <c r="D6055" s="244">
        <f t="shared" si="776"/>
        <v>7.6504943283582083</v>
      </c>
      <c r="E6055" s="170"/>
      <c r="F6055" s="24">
        <f t="shared" si="781"/>
        <v>7.6504943283582083</v>
      </c>
      <c r="G6055" s="24" t="s">
        <v>11068</v>
      </c>
      <c r="H6055" s="532" t="str">
        <f t="shared" si="778"/>
        <v>5SL6220-7MB</v>
      </c>
      <c r="I6055" s="2055" t="s">
        <v>11053</v>
      </c>
      <c r="J6055" s="416" t="s">
        <v>1970</v>
      </c>
      <c r="K6055" s="35" t="s">
        <v>741</v>
      </c>
    </row>
    <row r="6056" spans="1:11" s="203" customFormat="1">
      <c r="A6056" s="599"/>
      <c r="B6056" s="600" t="s">
        <v>13698</v>
      </c>
      <c r="C6056" s="597">
        <v>32</v>
      </c>
      <c r="D6056" s="244">
        <f t="shared" si="776"/>
        <v>8.4419247761194018</v>
      </c>
      <c r="E6056" s="170"/>
      <c r="F6056" s="24">
        <f t="shared" si="781"/>
        <v>8.4419247761194018</v>
      </c>
      <c r="G6056" s="24" t="s">
        <v>11069</v>
      </c>
      <c r="H6056" s="532" t="str">
        <f t="shared" si="778"/>
        <v>5SL6225-7MB</v>
      </c>
      <c r="I6056" s="2055" t="s">
        <v>11053</v>
      </c>
      <c r="J6056" s="416" t="s">
        <v>1970</v>
      </c>
      <c r="K6056" s="35" t="s">
        <v>741</v>
      </c>
    </row>
    <row r="6057" spans="1:11" s="203" customFormat="1">
      <c r="A6057" s="599"/>
      <c r="B6057" s="600" t="s">
        <v>13699</v>
      </c>
      <c r="C6057" s="597">
        <v>32</v>
      </c>
      <c r="D6057" s="244">
        <f t="shared" si="776"/>
        <v>8.4419247761194018</v>
      </c>
      <c r="E6057" s="170"/>
      <c r="F6057" s="24">
        <f t="shared" si="781"/>
        <v>8.4419247761194018</v>
      </c>
      <c r="G6057" s="24" t="s">
        <v>11070</v>
      </c>
      <c r="H6057" s="532" t="str">
        <f t="shared" si="778"/>
        <v>5SL6232-7MB</v>
      </c>
      <c r="I6057" s="2055" t="s">
        <v>11053</v>
      </c>
      <c r="J6057" s="416" t="s">
        <v>1970</v>
      </c>
      <c r="K6057" s="35" t="s">
        <v>741</v>
      </c>
    </row>
    <row r="6058" spans="1:11" s="203" customFormat="1">
      <c r="A6058" s="599"/>
      <c r="B6058" s="600" t="s">
        <v>13700</v>
      </c>
      <c r="C6058" s="597">
        <v>35</v>
      </c>
      <c r="D6058" s="244">
        <f t="shared" si="776"/>
        <v>9.2333552238805954</v>
      </c>
      <c r="E6058" s="170"/>
      <c r="F6058" s="24">
        <f t="shared" si="781"/>
        <v>9.2333552238805954</v>
      </c>
      <c r="G6058" s="24" t="s">
        <v>11071</v>
      </c>
      <c r="H6058" s="532" t="str">
        <f t="shared" si="778"/>
        <v>5SL6240-7MB</v>
      </c>
      <c r="I6058" s="2055" t="s">
        <v>11053</v>
      </c>
      <c r="J6058" s="416" t="s">
        <v>1970</v>
      </c>
      <c r="K6058" s="35" t="s">
        <v>741</v>
      </c>
    </row>
    <row r="6059" spans="1:11" s="203" customFormat="1">
      <c r="A6059" s="599"/>
      <c r="B6059" s="600" t="s">
        <v>13701</v>
      </c>
      <c r="C6059" s="597">
        <v>41</v>
      </c>
      <c r="D6059" s="244">
        <f t="shared" si="776"/>
        <v>10.816216119402982</v>
      </c>
      <c r="E6059" s="170"/>
      <c r="F6059" s="24">
        <f t="shared" si="781"/>
        <v>10.816216119402982</v>
      </c>
      <c r="G6059" s="24" t="s">
        <v>11072</v>
      </c>
      <c r="H6059" s="532" t="str">
        <f t="shared" si="778"/>
        <v>5SL6250-7MB</v>
      </c>
      <c r="I6059" s="2055" t="s">
        <v>11053</v>
      </c>
      <c r="J6059" s="416" t="s">
        <v>1970</v>
      </c>
      <c r="K6059" s="35" t="s">
        <v>741</v>
      </c>
    </row>
    <row r="6060" spans="1:11" s="203" customFormat="1">
      <c r="A6060" s="599"/>
      <c r="B6060" s="600" t="s">
        <v>13702</v>
      </c>
      <c r="C6060" s="597">
        <v>40</v>
      </c>
      <c r="D6060" s="244">
        <f t="shared" si="776"/>
        <v>10.552405970149252</v>
      </c>
      <c r="E6060" s="170"/>
      <c r="F6060" s="24">
        <f t="shared" si="781"/>
        <v>10.552405970149252</v>
      </c>
      <c r="G6060" s="24" t="s">
        <v>11073</v>
      </c>
      <c r="H6060" s="532" t="str">
        <f t="shared" si="778"/>
        <v>5SL6263-7MB</v>
      </c>
      <c r="I6060" s="2055" t="s">
        <v>11053</v>
      </c>
      <c r="J6060" s="416" t="s">
        <v>1970</v>
      </c>
      <c r="K6060" s="35" t="s">
        <v>741</v>
      </c>
    </row>
    <row r="6061" spans="1:11" s="203" customFormat="1">
      <c r="A6061" s="599"/>
      <c r="B6061" s="600"/>
      <c r="C6061" s="597"/>
      <c r="D6061" s="601"/>
      <c r="E6061" s="445"/>
      <c r="F6061" s="24"/>
      <c r="G6061" s="24"/>
      <c r="H6061" s="532"/>
      <c r="I6061" s="2055"/>
      <c r="J6061" s="416"/>
      <c r="K6061" s="35"/>
    </row>
    <row r="6062" spans="1:11" s="203" customFormat="1">
      <c r="A6062" s="599"/>
      <c r="B6062" s="600" t="s">
        <v>13703</v>
      </c>
      <c r="C6062" s="597">
        <v>63</v>
      </c>
      <c r="D6062" s="244">
        <f t="shared" si="776"/>
        <v>16.620039402985071</v>
      </c>
      <c r="E6062" s="170"/>
      <c r="F6062" s="24">
        <f>D6062+E6062</f>
        <v>16.620039402985071</v>
      </c>
      <c r="G6062" s="24" t="s">
        <v>11074</v>
      </c>
      <c r="H6062" s="532" t="str">
        <f t="shared" si="778"/>
        <v>5SL6310-7MB</v>
      </c>
      <c r="I6062" s="2055" t="s">
        <v>11053</v>
      </c>
      <c r="J6062" s="416" t="s">
        <v>1970</v>
      </c>
      <c r="K6062" s="35" t="s">
        <v>741</v>
      </c>
    </row>
    <row r="6063" spans="1:11" s="203" customFormat="1">
      <c r="A6063" s="599"/>
      <c r="B6063" s="600" t="s">
        <v>13704</v>
      </c>
      <c r="C6063" s="597">
        <v>63</v>
      </c>
      <c r="D6063" s="244">
        <f t="shared" si="776"/>
        <v>16.620039402985071</v>
      </c>
      <c r="E6063" s="170"/>
      <c r="F6063" s="24">
        <f t="shared" ref="F6063" si="782">D6063+E6063</f>
        <v>16.620039402985071</v>
      </c>
      <c r="G6063" s="24" t="s">
        <v>11075</v>
      </c>
      <c r="H6063" s="532" t="str">
        <f t="shared" si="778"/>
        <v>5SL6316-7MB</v>
      </c>
      <c r="I6063" s="2055" t="s">
        <v>11053</v>
      </c>
      <c r="J6063" s="416" t="s">
        <v>1970</v>
      </c>
      <c r="K6063" s="35" t="s">
        <v>741</v>
      </c>
    </row>
    <row r="6064" spans="1:11" s="203" customFormat="1">
      <c r="A6064" s="599"/>
      <c r="B6064" s="600" t="s">
        <v>13705</v>
      </c>
      <c r="C6064" s="597">
        <v>63</v>
      </c>
      <c r="D6064" s="244">
        <f t="shared" si="776"/>
        <v>16.620039402985071</v>
      </c>
      <c r="E6064" s="170"/>
      <c r="F6064" s="24">
        <f>D6064+E6064</f>
        <v>16.620039402985071</v>
      </c>
      <c r="G6064" s="24" t="s">
        <v>11076</v>
      </c>
      <c r="H6064" s="532" t="str">
        <f t="shared" si="778"/>
        <v>5SL6320-7MB</v>
      </c>
      <c r="I6064" s="2055" t="s">
        <v>11053</v>
      </c>
      <c r="J6064" s="416" t="s">
        <v>1970</v>
      </c>
      <c r="K6064" s="35" t="s">
        <v>741</v>
      </c>
    </row>
    <row r="6065" spans="1:11" s="203" customFormat="1">
      <c r="A6065" s="599"/>
      <c r="B6065" s="600" t="s">
        <v>13706</v>
      </c>
      <c r="C6065" s="597">
        <v>63</v>
      </c>
      <c r="D6065" s="244">
        <f t="shared" si="776"/>
        <v>16.620039402985071</v>
      </c>
      <c r="E6065" s="170"/>
      <c r="F6065" s="24">
        <f t="shared" ref="F6065" si="783">D6065+E6065</f>
        <v>16.620039402985071</v>
      </c>
      <c r="G6065" s="24" t="s">
        <v>11077</v>
      </c>
      <c r="H6065" s="532" t="str">
        <f t="shared" si="778"/>
        <v>5SL6325-7MB</v>
      </c>
      <c r="I6065" s="2055" t="s">
        <v>11053</v>
      </c>
      <c r="J6065" s="416" t="s">
        <v>1970</v>
      </c>
      <c r="K6065" s="35" t="s">
        <v>741</v>
      </c>
    </row>
    <row r="6066" spans="1:11" s="203" customFormat="1">
      <c r="A6066" s="599"/>
      <c r="B6066" s="600" t="s">
        <v>13707</v>
      </c>
      <c r="C6066" s="597">
        <v>66</v>
      </c>
      <c r="D6066" s="244">
        <f t="shared" si="776"/>
        <v>17.411469850746268</v>
      </c>
      <c r="E6066" s="170"/>
      <c r="F6066" s="24">
        <f>D6066+E6066</f>
        <v>17.411469850746268</v>
      </c>
      <c r="G6066" s="24" t="s">
        <v>11078</v>
      </c>
      <c r="H6066" s="532" t="str">
        <f t="shared" si="778"/>
        <v>5SL6332-7MB</v>
      </c>
      <c r="I6066" s="2055" t="s">
        <v>11053</v>
      </c>
      <c r="J6066" s="416" t="s">
        <v>1970</v>
      </c>
      <c r="K6066" s="35" t="s">
        <v>741</v>
      </c>
    </row>
    <row r="6067" spans="1:11" s="203" customFormat="1">
      <c r="A6067" s="599"/>
      <c r="B6067" s="600" t="s">
        <v>13708</v>
      </c>
      <c r="C6067" s="597">
        <v>70</v>
      </c>
      <c r="D6067" s="244">
        <f t="shared" si="776"/>
        <v>18.466710447761191</v>
      </c>
      <c r="E6067" s="170"/>
      <c r="F6067" s="24">
        <f t="shared" ref="F6067" si="784">D6067+E6067</f>
        <v>18.466710447761191</v>
      </c>
      <c r="G6067" s="24" t="s">
        <v>11079</v>
      </c>
      <c r="H6067" s="532" t="str">
        <f t="shared" si="778"/>
        <v>5SL6340-7MB</v>
      </c>
      <c r="I6067" s="2055" t="s">
        <v>11053</v>
      </c>
      <c r="J6067" s="416" t="s">
        <v>1970</v>
      </c>
      <c r="K6067" s="35" t="s">
        <v>741</v>
      </c>
    </row>
    <row r="6068" spans="1:11" s="203" customFormat="1">
      <c r="A6068" s="599"/>
      <c r="B6068" s="600" t="s">
        <v>13709</v>
      </c>
      <c r="C6068" s="597">
        <v>70</v>
      </c>
      <c r="D6068" s="244">
        <f t="shared" si="776"/>
        <v>18.466710447761191</v>
      </c>
      <c r="E6068" s="170"/>
      <c r="F6068" s="24">
        <f>D6068+E6068</f>
        <v>18.466710447761191</v>
      </c>
      <c r="G6068" s="24" t="s">
        <v>11080</v>
      </c>
      <c r="H6068" s="532" t="str">
        <f t="shared" si="778"/>
        <v>5SL6350-7MB</v>
      </c>
      <c r="I6068" s="2055" t="s">
        <v>11053</v>
      </c>
      <c r="J6068" s="416" t="s">
        <v>1970</v>
      </c>
      <c r="K6068" s="35" t="s">
        <v>741</v>
      </c>
    </row>
    <row r="6069" spans="1:11" s="203" customFormat="1">
      <c r="A6069" s="599"/>
      <c r="B6069" s="600" t="s">
        <v>13710</v>
      </c>
      <c r="C6069" s="597">
        <v>70</v>
      </c>
      <c r="D6069" s="244">
        <f t="shared" si="776"/>
        <v>18.466710447761191</v>
      </c>
      <c r="E6069" s="170"/>
      <c r="F6069" s="24">
        <f>D6069+E6069</f>
        <v>18.466710447761191</v>
      </c>
      <c r="G6069" s="24" t="s">
        <v>11081</v>
      </c>
      <c r="H6069" s="532" t="str">
        <f t="shared" si="778"/>
        <v>5SL6363-7MB</v>
      </c>
      <c r="I6069" s="2055" t="s">
        <v>11053</v>
      </c>
      <c r="J6069" s="416" t="s">
        <v>1970</v>
      </c>
      <c r="K6069" s="35" t="s">
        <v>741</v>
      </c>
    </row>
    <row r="6070" spans="1:11" s="203" customFormat="1">
      <c r="A6070" s="196"/>
      <c r="B6070" s="142"/>
      <c r="C6070" s="597"/>
      <c r="D6070" s="601"/>
      <c r="E6070" s="445"/>
      <c r="F6070" s="24"/>
      <c r="G6070" s="143"/>
      <c r="H6070" s="532"/>
      <c r="I6070" s="2055"/>
      <c r="J6070" s="416"/>
      <c r="K6070" s="35"/>
    </row>
    <row r="6071" spans="1:11" s="203" customFormat="1">
      <c r="A6071" s="20"/>
      <c r="B6071" s="20"/>
      <c r="C6071" s="597"/>
      <c r="D6071" s="601"/>
      <c r="E6071" s="445"/>
      <c r="F6071" s="24"/>
      <c r="G6071" s="20"/>
      <c r="H6071" s="532"/>
      <c r="I6071" s="2055"/>
      <c r="J6071" s="416"/>
      <c r="K6071" s="35"/>
    </row>
    <row r="6072" spans="1:11" s="203" customFormat="1">
      <c r="A6072"/>
      <c r="B6072"/>
      <c r="C6072" s="597"/>
      <c r="D6072" s="601"/>
      <c r="E6072" s="611"/>
      <c r="F6072" s="611"/>
      <c r="G6072"/>
      <c r="H6072" s="532"/>
      <c r="I6072" s="2055"/>
      <c r="J6072" s="416"/>
      <c r="K6072" s="35"/>
    </row>
    <row r="6073" spans="1:11" s="593" customFormat="1">
      <c r="A6073" s="203"/>
      <c r="B6073" s="56" t="s">
        <v>1989</v>
      </c>
      <c r="C6073" s="597"/>
      <c r="D6073" s="601"/>
      <c r="E6073" s="598"/>
      <c r="F6073" s="204"/>
      <c r="G6073" s="203"/>
      <c r="H6073" s="2037"/>
      <c r="I6073" s="2055" t="s">
        <v>11053</v>
      </c>
      <c r="J6073" s="203"/>
      <c r="K6073" s="203"/>
    </row>
    <row r="6074" spans="1:11" s="593" customFormat="1">
      <c r="A6074" s="599"/>
      <c r="B6074" s="600" t="s">
        <v>13711</v>
      </c>
      <c r="C6074" s="597">
        <v>22</v>
      </c>
      <c r="D6074" s="244">
        <f t="shared" ref="D6074:D6099" si="785">C6074*(1-VLOOKUP(I6074,descuentos,6,FALSE))*fcl/IF(dol_sol="dólar", TC,1)</f>
        <v>5.8038232835820889</v>
      </c>
      <c r="E6074" s="170"/>
      <c r="F6074" s="24">
        <f t="shared" ref="F6074" si="786">D6074+E6074</f>
        <v>5.8038232835820889</v>
      </c>
      <c r="G6074" s="24" t="s">
        <v>10147</v>
      </c>
      <c r="H6074" s="532" t="str">
        <f t="shared" ref="H6074:H6152" si="787">B6074</f>
        <v>5SL4110-7RC</v>
      </c>
      <c r="I6074" s="2055" t="s">
        <v>11053</v>
      </c>
      <c r="J6074" s="416" t="s">
        <v>1970</v>
      </c>
      <c r="K6074" s="35" t="s">
        <v>741</v>
      </c>
    </row>
    <row r="6075" spans="1:11" s="593" customFormat="1">
      <c r="A6075" s="599"/>
      <c r="B6075" s="600" t="s">
        <v>13712</v>
      </c>
      <c r="C6075" s="597">
        <v>22</v>
      </c>
      <c r="D6075" s="244">
        <f t="shared" si="785"/>
        <v>5.8038232835820889</v>
      </c>
      <c r="E6075" s="170"/>
      <c r="F6075" s="24">
        <f>D6075+E6075</f>
        <v>5.8038232835820889</v>
      </c>
      <c r="G6075" s="24" t="s">
        <v>10148</v>
      </c>
      <c r="H6075" s="532" t="str">
        <f t="shared" si="787"/>
        <v>5SL4116-7RC</v>
      </c>
      <c r="I6075" s="2055" t="s">
        <v>11053</v>
      </c>
      <c r="J6075" s="416" t="s">
        <v>1970</v>
      </c>
      <c r="K6075" s="35" t="s">
        <v>741</v>
      </c>
    </row>
    <row r="6076" spans="1:11" s="593" customFormat="1">
      <c r="A6076" s="599"/>
      <c r="B6076" s="600" t="s">
        <v>13713</v>
      </c>
      <c r="C6076" s="597">
        <v>22</v>
      </c>
      <c r="D6076" s="244">
        <f t="shared" si="785"/>
        <v>5.8038232835820889</v>
      </c>
      <c r="F6076" s="24">
        <f>D6076+E6076</f>
        <v>5.8038232835820889</v>
      </c>
      <c r="G6076" s="24" t="s">
        <v>10149</v>
      </c>
      <c r="H6076" s="532" t="str">
        <f t="shared" si="787"/>
        <v>5SL4120-7RC</v>
      </c>
      <c r="I6076" s="2055" t="s">
        <v>11053</v>
      </c>
      <c r="J6076" s="416" t="s">
        <v>1970</v>
      </c>
      <c r="K6076" s="35" t="s">
        <v>741</v>
      </c>
    </row>
    <row r="6077" spans="1:11" s="593" customFormat="1">
      <c r="A6077" s="599"/>
      <c r="B6077" s="600" t="s">
        <v>13714</v>
      </c>
      <c r="C6077" s="597">
        <v>22</v>
      </c>
      <c r="D6077" s="244">
        <f t="shared" si="785"/>
        <v>5.8038232835820889</v>
      </c>
      <c r="F6077" s="24">
        <f t="shared" ref="F6077" si="788">D6077+E6077</f>
        <v>5.8038232835820889</v>
      </c>
      <c r="G6077" s="24" t="s">
        <v>10150</v>
      </c>
      <c r="H6077" s="532" t="str">
        <f t="shared" si="787"/>
        <v>5SL4125-7RC</v>
      </c>
      <c r="I6077" s="2055" t="s">
        <v>11053</v>
      </c>
      <c r="J6077" s="416" t="s">
        <v>1970</v>
      </c>
      <c r="K6077" s="35" t="s">
        <v>741</v>
      </c>
    </row>
    <row r="6078" spans="1:11" s="593" customFormat="1">
      <c r="A6078" s="599"/>
      <c r="B6078" s="600" t="s">
        <v>13715</v>
      </c>
      <c r="C6078" s="597">
        <v>22</v>
      </c>
      <c r="D6078" s="244">
        <f t="shared" si="785"/>
        <v>5.8038232835820889</v>
      </c>
      <c r="E6078" s="598"/>
      <c r="F6078" s="24">
        <f>D6078+E6078</f>
        <v>5.8038232835820889</v>
      </c>
      <c r="G6078" s="24" t="s">
        <v>10151</v>
      </c>
      <c r="H6078" s="532" t="str">
        <f t="shared" si="787"/>
        <v>5SL4132-7RC</v>
      </c>
      <c r="I6078" s="2055" t="s">
        <v>11053</v>
      </c>
      <c r="J6078" s="416" t="s">
        <v>1970</v>
      </c>
      <c r="K6078" s="35" t="s">
        <v>741</v>
      </c>
    </row>
    <row r="6079" spans="1:11" s="203" customFormat="1">
      <c r="A6079" s="599"/>
      <c r="B6079" s="600" t="s">
        <v>13716</v>
      </c>
      <c r="C6079" s="597">
        <v>22</v>
      </c>
      <c r="D6079" s="244">
        <f t="shared" si="785"/>
        <v>5.8038232835820889</v>
      </c>
      <c r="E6079" s="170"/>
      <c r="F6079" s="24">
        <f t="shared" ref="F6079:F6081" si="789">D6079+E6079</f>
        <v>5.8038232835820889</v>
      </c>
      <c r="G6079" s="24" t="s">
        <v>10152</v>
      </c>
      <c r="H6079" s="532" t="str">
        <f t="shared" si="787"/>
        <v>5SL4140-7RC</v>
      </c>
      <c r="I6079" s="2055" t="s">
        <v>11053</v>
      </c>
      <c r="J6079" s="416" t="s">
        <v>1970</v>
      </c>
      <c r="K6079" s="35" t="s">
        <v>741</v>
      </c>
    </row>
    <row r="6080" spans="1:11" s="203" customFormat="1">
      <c r="A6080" s="599"/>
      <c r="B6080" s="600" t="s">
        <v>13717</v>
      </c>
      <c r="C6080" s="597">
        <v>22</v>
      </c>
      <c r="D6080" s="244">
        <f t="shared" si="785"/>
        <v>5.8038232835820889</v>
      </c>
      <c r="E6080" s="170"/>
      <c r="F6080" s="24">
        <f t="shared" si="789"/>
        <v>5.8038232835820889</v>
      </c>
      <c r="G6080" s="24" t="s">
        <v>10153</v>
      </c>
      <c r="H6080" s="532" t="str">
        <f t="shared" si="787"/>
        <v>5SL4150-7RC</v>
      </c>
      <c r="I6080" s="2055" t="s">
        <v>11053</v>
      </c>
      <c r="J6080" s="416" t="s">
        <v>1970</v>
      </c>
      <c r="K6080" s="35" t="s">
        <v>741</v>
      </c>
    </row>
    <row r="6081" spans="1:11" s="203" customFormat="1">
      <c r="A6081" s="599"/>
      <c r="B6081" s="600" t="s">
        <v>13718</v>
      </c>
      <c r="C6081" s="597">
        <v>22</v>
      </c>
      <c r="D6081" s="244">
        <f t="shared" si="785"/>
        <v>5.8038232835820889</v>
      </c>
      <c r="E6081" s="170"/>
      <c r="F6081" s="24">
        <f t="shared" si="789"/>
        <v>5.8038232835820889</v>
      </c>
      <c r="G6081" s="24" t="s">
        <v>10154</v>
      </c>
      <c r="H6081" s="532" t="str">
        <f t="shared" si="787"/>
        <v>5SL4163-7RC</v>
      </c>
      <c r="I6081" s="2055" t="s">
        <v>11053</v>
      </c>
      <c r="J6081" s="416" t="s">
        <v>1970</v>
      </c>
      <c r="K6081" s="35" t="s">
        <v>741</v>
      </c>
    </row>
    <row r="6082" spans="1:11" s="203" customFormat="1">
      <c r="A6082" s="599"/>
      <c r="B6082" s="600"/>
      <c r="C6082" s="597"/>
      <c r="D6082" s="601"/>
      <c r="E6082" s="170"/>
      <c r="F6082" s="24"/>
      <c r="G6082" s="24"/>
      <c r="H6082" s="532"/>
      <c r="I6082" s="2055"/>
      <c r="J6082" s="416"/>
      <c r="K6082" s="35"/>
    </row>
    <row r="6083" spans="1:11" s="203" customFormat="1">
      <c r="A6083" s="599"/>
      <c r="B6083" s="600" t="s">
        <v>13719</v>
      </c>
      <c r="C6083" s="597">
        <v>43</v>
      </c>
      <c r="D6083" s="244">
        <f t="shared" si="785"/>
        <v>11.343836417910447</v>
      </c>
      <c r="E6083" s="170"/>
      <c r="F6083" s="24">
        <f t="shared" ref="F6083:F6090" si="790">D6083+E6083</f>
        <v>11.343836417910447</v>
      </c>
      <c r="G6083" s="24" t="s">
        <v>10155</v>
      </c>
      <c r="H6083" s="532" t="str">
        <f t="shared" si="787"/>
        <v>5SL4210-7RC</v>
      </c>
      <c r="I6083" s="2055" t="s">
        <v>11053</v>
      </c>
      <c r="J6083" s="416" t="s">
        <v>1970</v>
      </c>
      <c r="K6083" s="35" t="s">
        <v>741</v>
      </c>
    </row>
    <row r="6084" spans="1:11" s="203" customFormat="1">
      <c r="A6084" s="599"/>
      <c r="B6084" s="600" t="s">
        <v>13720</v>
      </c>
      <c r="C6084" s="597">
        <v>43</v>
      </c>
      <c r="D6084" s="244">
        <f t="shared" si="785"/>
        <v>11.343836417910447</v>
      </c>
      <c r="E6084" s="170"/>
      <c r="F6084" s="24">
        <f t="shared" si="790"/>
        <v>11.343836417910447</v>
      </c>
      <c r="G6084" s="24" t="s">
        <v>10156</v>
      </c>
      <c r="H6084" s="532" t="str">
        <f t="shared" si="787"/>
        <v>5SL4216-7RC</v>
      </c>
      <c r="I6084" s="2055" t="s">
        <v>11053</v>
      </c>
      <c r="J6084" s="416" t="s">
        <v>1970</v>
      </c>
      <c r="K6084" s="35" t="s">
        <v>741</v>
      </c>
    </row>
    <row r="6085" spans="1:11" s="203" customFormat="1">
      <c r="A6085" s="599"/>
      <c r="B6085" s="600" t="s">
        <v>13721</v>
      </c>
      <c r="C6085" s="597">
        <v>43</v>
      </c>
      <c r="D6085" s="244">
        <f t="shared" si="785"/>
        <v>11.343836417910447</v>
      </c>
      <c r="E6085" s="170"/>
      <c r="F6085" s="24">
        <f t="shared" si="790"/>
        <v>11.343836417910447</v>
      </c>
      <c r="G6085" s="24" t="s">
        <v>10157</v>
      </c>
      <c r="H6085" s="532" t="str">
        <f t="shared" si="787"/>
        <v>5SL4220-7RC</v>
      </c>
      <c r="I6085" s="2055" t="s">
        <v>11053</v>
      </c>
      <c r="J6085" s="416" t="s">
        <v>1970</v>
      </c>
      <c r="K6085" s="35" t="s">
        <v>741</v>
      </c>
    </row>
    <row r="6086" spans="1:11" s="203" customFormat="1">
      <c r="A6086" s="599"/>
      <c r="B6086" s="600" t="s">
        <v>13722</v>
      </c>
      <c r="C6086" s="597">
        <v>43</v>
      </c>
      <c r="D6086" s="244">
        <f t="shared" si="785"/>
        <v>11.343836417910447</v>
      </c>
      <c r="E6086" s="170"/>
      <c r="F6086" s="24">
        <f t="shared" si="790"/>
        <v>11.343836417910447</v>
      </c>
      <c r="G6086" s="24" t="s">
        <v>10158</v>
      </c>
      <c r="H6086" s="532" t="str">
        <f t="shared" si="787"/>
        <v>5SL4225-7RC</v>
      </c>
      <c r="I6086" s="2055" t="s">
        <v>11053</v>
      </c>
      <c r="J6086" s="416" t="s">
        <v>1970</v>
      </c>
      <c r="K6086" s="35" t="s">
        <v>741</v>
      </c>
    </row>
    <row r="6087" spans="1:11" s="203" customFormat="1">
      <c r="A6087" s="599"/>
      <c r="B6087" s="600" t="s">
        <v>13723</v>
      </c>
      <c r="C6087" s="597">
        <v>43</v>
      </c>
      <c r="D6087" s="244">
        <f t="shared" si="785"/>
        <v>11.343836417910447</v>
      </c>
      <c r="E6087" s="170"/>
      <c r="F6087" s="24">
        <f t="shared" si="790"/>
        <v>11.343836417910447</v>
      </c>
      <c r="G6087" s="24" t="s">
        <v>10159</v>
      </c>
      <c r="H6087" s="532" t="str">
        <f t="shared" si="787"/>
        <v>5SL4232-7RC</v>
      </c>
      <c r="I6087" s="2055" t="s">
        <v>11053</v>
      </c>
      <c r="J6087" s="416" t="s">
        <v>1970</v>
      </c>
      <c r="K6087" s="35" t="s">
        <v>741</v>
      </c>
    </row>
    <row r="6088" spans="1:11" s="203" customFormat="1">
      <c r="A6088" s="599"/>
      <c r="B6088" s="600" t="s">
        <v>13724</v>
      </c>
      <c r="C6088" s="597">
        <v>50</v>
      </c>
      <c r="D6088" s="244">
        <f t="shared" si="785"/>
        <v>13.190507462686567</v>
      </c>
      <c r="E6088" s="170"/>
      <c r="F6088" s="24">
        <f t="shared" si="790"/>
        <v>13.190507462686567</v>
      </c>
      <c r="G6088" s="24" t="s">
        <v>10160</v>
      </c>
      <c r="H6088" s="532" t="str">
        <f t="shared" si="787"/>
        <v>5SL4240-7RC</v>
      </c>
      <c r="I6088" s="2055" t="s">
        <v>11053</v>
      </c>
      <c r="J6088" s="416" t="s">
        <v>1970</v>
      </c>
      <c r="K6088" s="35" t="s">
        <v>741</v>
      </c>
    </row>
    <row r="6089" spans="1:11" s="203" customFormat="1">
      <c r="A6089" s="599"/>
      <c r="B6089" s="600" t="s">
        <v>13725</v>
      </c>
      <c r="C6089" s="597">
        <v>49</v>
      </c>
      <c r="D6089" s="244">
        <f t="shared" si="785"/>
        <v>12.926697313432836</v>
      </c>
      <c r="E6089" s="170"/>
      <c r="F6089" s="24">
        <f t="shared" si="790"/>
        <v>12.926697313432836</v>
      </c>
      <c r="G6089" s="24" t="s">
        <v>10161</v>
      </c>
      <c r="H6089" s="532" t="str">
        <f t="shared" si="787"/>
        <v>5SL4250-7RC</v>
      </c>
      <c r="I6089" s="2055" t="s">
        <v>11053</v>
      </c>
      <c r="J6089" s="416" t="s">
        <v>1970</v>
      </c>
      <c r="K6089" s="35" t="s">
        <v>741</v>
      </c>
    </row>
    <row r="6090" spans="1:11" s="203" customFormat="1">
      <c r="A6090" s="599"/>
      <c r="B6090" s="600" t="s">
        <v>13726</v>
      </c>
      <c r="C6090" s="597">
        <v>50</v>
      </c>
      <c r="D6090" s="244">
        <f t="shared" si="785"/>
        <v>13.190507462686567</v>
      </c>
      <c r="E6090" s="170"/>
      <c r="F6090" s="24">
        <f t="shared" si="790"/>
        <v>13.190507462686567</v>
      </c>
      <c r="G6090" s="24" t="s">
        <v>10162</v>
      </c>
      <c r="H6090" s="532" t="str">
        <f t="shared" si="787"/>
        <v>5SL4263-7RC</v>
      </c>
      <c r="I6090" s="2055" t="s">
        <v>11053</v>
      </c>
      <c r="J6090" s="416" t="s">
        <v>1970</v>
      </c>
      <c r="K6090" s="35" t="s">
        <v>741</v>
      </c>
    </row>
    <row r="6091" spans="1:11" s="203" customFormat="1">
      <c r="A6091" s="599"/>
      <c r="B6091" s="600"/>
      <c r="C6091" s="597"/>
      <c r="D6091" s="601"/>
      <c r="E6091" s="170"/>
      <c r="F6091" s="24"/>
      <c r="G6091" s="24"/>
      <c r="H6091" s="532"/>
      <c r="I6091" s="2055"/>
      <c r="J6091" s="416"/>
      <c r="K6091" s="35"/>
    </row>
    <row r="6092" spans="1:11" s="203" customFormat="1">
      <c r="A6092" s="599"/>
      <c r="B6092" s="600" t="s">
        <v>13727</v>
      </c>
      <c r="C6092" s="597">
        <v>78</v>
      </c>
      <c r="D6092" s="244">
        <f t="shared" si="785"/>
        <v>20.577191641791043</v>
      </c>
      <c r="E6092" s="170"/>
      <c r="F6092" s="24">
        <f>D6092+E6092</f>
        <v>20.577191641791043</v>
      </c>
      <c r="G6092" s="24" t="s">
        <v>10163</v>
      </c>
      <c r="H6092" s="532" t="str">
        <f t="shared" si="787"/>
        <v>5SL4310-7RC</v>
      </c>
      <c r="I6092" s="2055" t="s">
        <v>11053</v>
      </c>
      <c r="J6092" s="416" t="s">
        <v>1970</v>
      </c>
      <c r="K6092" s="35" t="s">
        <v>741</v>
      </c>
    </row>
    <row r="6093" spans="1:11" s="203" customFormat="1">
      <c r="A6093" s="599"/>
      <c r="B6093" s="600" t="s">
        <v>13728</v>
      </c>
      <c r="C6093" s="597">
        <v>78</v>
      </c>
      <c r="D6093" s="244">
        <f t="shared" si="785"/>
        <v>20.577191641791043</v>
      </c>
      <c r="E6093" s="170"/>
      <c r="F6093" s="24">
        <f t="shared" ref="F6093" si="791">D6093+E6093</f>
        <v>20.577191641791043</v>
      </c>
      <c r="G6093" s="24" t="s">
        <v>10164</v>
      </c>
      <c r="H6093" s="532" t="str">
        <f t="shared" si="787"/>
        <v>5SL4316-7RC</v>
      </c>
      <c r="I6093" s="2055" t="s">
        <v>11053</v>
      </c>
      <c r="J6093" s="416" t="s">
        <v>1970</v>
      </c>
      <c r="K6093" s="35" t="s">
        <v>741</v>
      </c>
    </row>
    <row r="6094" spans="1:11" s="203" customFormat="1">
      <c r="A6094" s="599"/>
      <c r="B6094" s="600" t="s">
        <v>13729</v>
      </c>
      <c r="C6094" s="597">
        <v>78</v>
      </c>
      <c r="D6094" s="244">
        <f t="shared" si="785"/>
        <v>20.577191641791043</v>
      </c>
      <c r="E6094" s="170"/>
      <c r="F6094" s="24">
        <f>D6094+E6094</f>
        <v>20.577191641791043</v>
      </c>
      <c r="G6094" s="24" t="s">
        <v>10165</v>
      </c>
      <c r="H6094" s="532" t="str">
        <f t="shared" si="787"/>
        <v>5SL4320-7RC</v>
      </c>
      <c r="I6094" s="2055" t="s">
        <v>11053</v>
      </c>
      <c r="J6094" s="416" t="s">
        <v>1970</v>
      </c>
      <c r="K6094" s="35" t="s">
        <v>741</v>
      </c>
    </row>
    <row r="6095" spans="1:11" s="203" customFormat="1">
      <c r="A6095" s="599"/>
      <c r="B6095" s="600" t="s">
        <v>13730</v>
      </c>
      <c r="C6095" s="597">
        <v>78</v>
      </c>
      <c r="D6095" s="244">
        <f t="shared" si="785"/>
        <v>20.577191641791043</v>
      </c>
      <c r="E6095" s="170"/>
      <c r="F6095" s="24">
        <f t="shared" ref="F6095" si="792">D6095+E6095</f>
        <v>20.577191641791043</v>
      </c>
      <c r="G6095" s="24" t="s">
        <v>10166</v>
      </c>
      <c r="H6095" s="532" t="str">
        <f t="shared" si="787"/>
        <v>5SL4325-7RC</v>
      </c>
      <c r="I6095" s="2055" t="s">
        <v>11053</v>
      </c>
      <c r="J6095" s="416" t="s">
        <v>1970</v>
      </c>
      <c r="K6095" s="35" t="s">
        <v>741</v>
      </c>
    </row>
    <row r="6096" spans="1:11" s="203" customFormat="1">
      <c r="A6096" s="599"/>
      <c r="B6096" s="600" t="s">
        <v>13731</v>
      </c>
      <c r="C6096" s="597">
        <v>85</v>
      </c>
      <c r="D6096" s="244">
        <f t="shared" si="785"/>
        <v>22.423862686567162</v>
      </c>
      <c r="E6096" s="445"/>
      <c r="F6096" s="24">
        <f>D6096+E6096</f>
        <v>22.423862686567162</v>
      </c>
      <c r="G6096" s="24" t="s">
        <v>10167</v>
      </c>
      <c r="H6096" s="532" t="str">
        <f t="shared" si="787"/>
        <v>5SL4332-7RC</v>
      </c>
      <c r="I6096" s="2055" t="s">
        <v>11053</v>
      </c>
      <c r="J6096" s="416" t="s">
        <v>1970</v>
      </c>
      <c r="K6096" s="35" t="s">
        <v>741</v>
      </c>
    </row>
    <row r="6097" spans="1:11" s="203" customFormat="1">
      <c r="A6097" s="599"/>
      <c r="B6097" s="600" t="s">
        <v>13732</v>
      </c>
      <c r="C6097" s="597">
        <v>85</v>
      </c>
      <c r="D6097" s="244">
        <f t="shared" si="785"/>
        <v>22.423862686567162</v>
      </c>
      <c r="E6097" s="170"/>
      <c r="F6097" s="24">
        <f t="shared" ref="F6097" si="793">D6097+E6097</f>
        <v>22.423862686567162</v>
      </c>
      <c r="G6097" s="24" t="s">
        <v>10168</v>
      </c>
      <c r="H6097" s="532" t="str">
        <f t="shared" si="787"/>
        <v>5SL4340-7RC</v>
      </c>
      <c r="I6097" s="2055" t="s">
        <v>11053</v>
      </c>
      <c r="J6097" s="416" t="s">
        <v>1970</v>
      </c>
      <c r="K6097" s="35" t="s">
        <v>741</v>
      </c>
    </row>
    <row r="6098" spans="1:11" s="203" customFormat="1">
      <c r="A6098" s="599"/>
      <c r="B6098" s="600" t="s">
        <v>13733</v>
      </c>
      <c r="C6098" s="597">
        <v>85</v>
      </c>
      <c r="D6098" s="244">
        <f t="shared" si="785"/>
        <v>22.423862686567162</v>
      </c>
      <c r="E6098" s="170"/>
      <c r="F6098" s="24">
        <f>D6098+E6098</f>
        <v>22.423862686567162</v>
      </c>
      <c r="G6098" s="24" t="s">
        <v>10169</v>
      </c>
      <c r="H6098" s="532" t="str">
        <f t="shared" si="787"/>
        <v>5SL4350-7RC</v>
      </c>
      <c r="I6098" s="2055" t="s">
        <v>11053</v>
      </c>
      <c r="J6098" s="416" t="s">
        <v>1970</v>
      </c>
      <c r="K6098" s="35" t="s">
        <v>741</v>
      </c>
    </row>
    <row r="6099" spans="1:11" s="203" customFormat="1">
      <c r="A6099" s="599"/>
      <c r="B6099" s="600" t="s">
        <v>13734</v>
      </c>
      <c r="C6099" s="597">
        <v>85</v>
      </c>
      <c r="D6099" s="244">
        <f t="shared" si="785"/>
        <v>22.423862686567162</v>
      </c>
      <c r="E6099" s="170"/>
      <c r="F6099" s="24">
        <f>D6099+E6099</f>
        <v>22.423862686567162</v>
      </c>
      <c r="G6099" s="24" t="s">
        <v>10170</v>
      </c>
      <c r="H6099" s="532" t="str">
        <f t="shared" si="787"/>
        <v>5SL4363-7RC</v>
      </c>
      <c r="I6099" s="2055" t="s">
        <v>11053</v>
      </c>
      <c r="J6099" s="416" t="s">
        <v>1970</v>
      </c>
      <c r="K6099" s="35" t="s">
        <v>741</v>
      </c>
    </row>
    <row r="6100" spans="1:11" s="203" customFormat="1" ht="21.75" customHeight="1">
      <c r="A6100" s="196"/>
      <c r="B6100" s="142"/>
      <c r="C6100" s="597"/>
      <c r="D6100" s="601"/>
      <c r="E6100" s="170"/>
      <c r="F6100" s="24"/>
      <c r="G6100" s="143"/>
      <c r="H6100" s="532"/>
      <c r="I6100" s="2055"/>
      <c r="J6100" s="416"/>
      <c r="K6100" s="35"/>
    </row>
    <row r="6101" spans="1:11" s="203" customFormat="1">
      <c r="A6101" s="196"/>
      <c r="B6101" s="142"/>
      <c r="C6101" s="597"/>
      <c r="D6101" s="244"/>
      <c r="E6101" s="170"/>
      <c r="F6101" s="24"/>
      <c r="G6101" s="143"/>
      <c r="H6101" s="532"/>
      <c r="I6101" s="2055"/>
      <c r="J6101" s="416"/>
      <c r="K6101" s="35"/>
    </row>
    <row r="6102" spans="1:11" s="203" customFormat="1">
      <c r="B6102" s="34" t="s">
        <v>1990</v>
      </c>
      <c r="C6102" s="597"/>
      <c r="D6102" s="244"/>
      <c r="E6102" s="170"/>
      <c r="F6102" s="24"/>
      <c r="H6102" s="532"/>
      <c r="I6102" s="2055" t="s">
        <v>11053</v>
      </c>
      <c r="J6102" s="416" t="s">
        <v>1970</v>
      </c>
      <c r="K6102" s="35" t="s">
        <v>741</v>
      </c>
    </row>
    <row r="6103" spans="1:11" s="203" customFormat="1">
      <c r="A6103" s="954"/>
      <c r="B6103" s="600" t="s">
        <v>10171</v>
      </c>
      <c r="C6103" s="597">
        <v>109</v>
      </c>
      <c r="D6103" s="244">
        <f t="shared" ref="D6103:D6148" si="794">C6103*(1-VLOOKUP(I6103,descuentos,6,FALSE))*fcl/IF(dol_sol="dólar", TC,1)</f>
        <v>28.755306268656714</v>
      </c>
      <c r="E6103" s="170">
        <v>3</v>
      </c>
      <c r="F6103" s="24">
        <f t="shared" ref="F6103:F6109" si="795">D6103+E6103</f>
        <v>31.755306268656714</v>
      </c>
      <c r="G6103" s="24" t="s">
        <v>10172</v>
      </c>
      <c r="H6103" s="532" t="str">
        <f t="shared" si="787"/>
        <v>5SV5312-0</v>
      </c>
      <c r="I6103" s="2055" t="s">
        <v>11053</v>
      </c>
      <c r="J6103" s="416" t="s">
        <v>1970</v>
      </c>
      <c r="K6103" s="35" t="s">
        <v>741</v>
      </c>
    </row>
    <row r="6104" spans="1:11" s="203" customFormat="1">
      <c r="A6104" s="954"/>
      <c r="B6104" s="600" t="s">
        <v>10173</v>
      </c>
      <c r="C6104" s="597">
        <v>146</v>
      </c>
      <c r="D6104" s="244">
        <f t="shared" si="794"/>
        <v>38.516281791044769</v>
      </c>
      <c r="E6104" s="170">
        <v>3</v>
      </c>
      <c r="F6104" s="24">
        <f t="shared" si="795"/>
        <v>41.516281791044769</v>
      </c>
      <c r="G6104" s="24" t="s">
        <v>10174</v>
      </c>
      <c r="H6104" s="532" t="str">
        <f t="shared" si="787"/>
        <v>5SV5314-0</v>
      </c>
      <c r="I6104" s="2055" t="s">
        <v>11053</v>
      </c>
      <c r="J6104" s="416" t="s">
        <v>1970</v>
      </c>
      <c r="K6104" s="35" t="s">
        <v>741</v>
      </c>
    </row>
    <row r="6105" spans="1:11" s="203" customFormat="1">
      <c r="A6105" s="954"/>
      <c r="B6105" s="600" t="s">
        <v>10175</v>
      </c>
      <c r="C6105" s="597">
        <v>389</v>
      </c>
      <c r="D6105" s="244">
        <f t="shared" si="794"/>
        <v>102.62214805970149</v>
      </c>
      <c r="E6105" s="170">
        <v>3</v>
      </c>
      <c r="F6105" s="24">
        <f t="shared" si="795"/>
        <v>105.62214805970149</v>
      </c>
      <c r="G6105" s="24" t="s">
        <v>10176</v>
      </c>
      <c r="H6105" s="532" t="str">
        <f t="shared" si="787"/>
        <v>5SV5316-0</v>
      </c>
      <c r="I6105" s="2055" t="s">
        <v>11053</v>
      </c>
      <c r="J6105" s="416" t="s">
        <v>1970</v>
      </c>
      <c r="K6105" s="35" t="s">
        <v>741</v>
      </c>
    </row>
    <row r="6106" spans="1:11" s="203" customFormat="1">
      <c r="A6106" s="954"/>
      <c r="B6106" s="600"/>
      <c r="C6106" s="597"/>
      <c r="D6106" s="244"/>
      <c r="E6106" s="170"/>
      <c r="F6106" s="24"/>
      <c r="G6106" s="24"/>
      <c r="H6106" s="532"/>
      <c r="I6106" s="2055"/>
      <c r="J6106" s="416"/>
      <c r="K6106" s="35"/>
    </row>
    <row r="6107" spans="1:11" s="203" customFormat="1">
      <c r="A6107" s="954"/>
      <c r="B6107" s="600" t="s">
        <v>10177</v>
      </c>
      <c r="C6107" s="597">
        <v>156</v>
      </c>
      <c r="D6107" s="244">
        <f t="shared" si="794"/>
        <v>41.154383283582085</v>
      </c>
      <c r="E6107" s="170">
        <v>6</v>
      </c>
      <c r="F6107" s="24">
        <f t="shared" si="795"/>
        <v>47.154383283582085</v>
      </c>
      <c r="G6107" s="24" t="s">
        <v>10178</v>
      </c>
      <c r="H6107" s="532" t="str">
        <f t="shared" si="787"/>
        <v>5SV5342-0</v>
      </c>
      <c r="I6107" s="2055" t="s">
        <v>11053</v>
      </c>
      <c r="J6107" s="416" t="s">
        <v>1970</v>
      </c>
      <c r="K6107" s="35" t="s">
        <v>741</v>
      </c>
    </row>
    <row r="6108" spans="1:11" s="203" customFormat="1">
      <c r="A6108" s="954"/>
      <c r="B6108" s="600" t="s">
        <v>10179</v>
      </c>
      <c r="C6108" s="597">
        <v>160</v>
      </c>
      <c r="D6108" s="244">
        <f t="shared" si="794"/>
        <v>42.209623880597007</v>
      </c>
      <c r="E6108" s="170">
        <v>6</v>
      </c>
      <c r="F6108" s="24">
        <f t="shared" si="795"/>
        <v>48.209623880597007</v>
      </c>
      <c r="G6108" s="24" t="s">
        <v>10180</v>
      </c>
      <c r="H6108" s="532" t="str">
        <f t="shared" si="787"/>
        <v>5SV5344-0</v>
      </c>
      <c r="I6108" s="2055" t="s">
        <v>11053</v>
      </c>
      <c r="J6108" s="416" t="s">
        <v>1970</v>
      </c>
      <c r="K6108" s="35" t="s">
        <v>741</v>
      </c>
    </row>
    <row r="6109" spans="1:11" s="203" customFormat="1">
      <c r="A6109" s="954"/>
      <c r="B6109" s="600" t="s">
        <v>10181</v>
      </c>
      <c r="C6109" s="597">
        <v>466</v>
      </c>
      <c r="D6109" s="244">
        <f t="shared" si="794"/>
        <v>122.9355295522388</v>
      </c>
      <c r="E6109" s="170">
        <v>6</v>
      </c>
      <c r="F6109" s="24">
        <f t="shared" si="795"/>
        <v>128.93552955223879</v>
      </c>
      <c r="G6109" s="24" t="s">
        <v>10182</v>
      </c>
      <c r="H6109" s="532" t="str">
        <f t="shared" si="787"/>
        <v>5SV5346-0</v>
      </c>
      <c r="I6109" s="2055" t="s">
        <v>11053</v>
      </c>
      <c r="J6109" s="416" t="s">
        <v>1970</v>
      </c>
      <c r="K6109" s="35" t="s">
        <v>741</v>
      </c>
    </row>
    <row r="6110" spans="1:11" s="203" customFormat="1">
      <c r="A6110" s="954"/>
      <c r="B6110"/>
      <c r="C6110" s="597"/>
      <c r="D6110" s="244"/>
      <c r="E6110" s="611"/>
      <c r="F6110" s="611"/>
      <c r="G6110"/>
      <c r="H6110" s="532"/>
      <c r="I6110" s="2055"/>
      <c r="J6110" s="416"/>
      <c r="K6110" s="35"/>
    </row>
    <row r="6111" spans="1:11" customFormat="1">
      <c r="A6111" s="954"/>
      <c r="B6111" s="34" t="s">
        <v>1991</v>
      </c>
      <c r="C6111" s="597"/>
      <c r="D6111" s="244">
        <f t="shared" si="794"/>
        <v>0</v>
      </c>
      <c r="E6111" s="598"/>
      <c r="F6111" s="204"/>
      <c r="G6111" s="203"/>
      <c r="H6111" s="532"/>
      <c r="I6111" s="2055" t="s">
        <v>11053</v>
      </c>
      <c r="J6111" s="416" t="s">
        <v>1970</v>
      </c>
      <c r="K6111" s="35" t="s">
        <v>741</v>
      </c>
    </row>
    <row r="6112" spans="1:11" s="203" customFormat="1">
      <c r="A6112" s="954"/>
      <c r="B6112" s="600" t="s">
        <v>1992</v>
      </c>
      <c r="C6112" s="597">
        <v>232</v>
      </c>
      <c r="D6112" s="244">
        <f t="shared" si="794"/>
        <v>61.203954626865666</v>
      </c>
      <c r="E6112" s="170">
        <v>3</v>
      </c>
      <c r="F6112" s="24">
        <f t="shared" ref="F6112:F6114" si="796">D6112+E6112</f>
        <v>64.203954626865666</v>
      </c>
      <c r="G6112" s="24" t="s">
        <v>11684</v>
      </c>
      <c r="H6112" s="532" t="str">
        <f t="shared" si="787"/>
        <v>5SV3312-6</v>
      </c>
      <c r="I6112" s="2055" t="s">
        <v>11053</v>
      </c>
      <c r="J6112" s="416" t="s">
        <v>1970</v>
      </c>
      <c r="K6112" s="35" t="s">
        <v>741</v>
      </c>
    </row>
    <row r="6113" spans="1:11" s="203" customFormat="1">
      <c r="A6113" s="954"/>
      <c r="B6113" s="600" t="s">
        <v>10183</v>
      </c>
      <c r="C6113" s="597">
        <v>234</v>
      </c>
      <c r="D6113" s="244">
        <f t="shared" si="794"/>
        <v>61.731574925373138</v>
      </c>
      <c r="E6113" s="170">
        <v>3</v>
      </c>
      <c r="F6113" s="24">
        <f t="shared" si="796"/>
        <v>64.731574925373138</v>
      </c>
      <c r="G6113" s="24" t="s">
        <v>11685</v>
      </c>
      <c r="H6113" s="532" t="str">
        <f t="shared" si="787"/>
        <v>5SV3314-6</v>
      </c>
      <c r="I6113" s="2055" t="s">
        <v>11053</v>
      </c>
      <c r="J6113" s="416" t="s">
        <v>1970</v>
      </c>
      <c r="K6113" s="35" t="s">
        <v>741</v>
      </c>
    </row>
    <row r="6114" spans="1:11" s="203" customFormat="1">
      <c r="A6114" s="954"/>
      <c r="B6114" s="600" t="s">
        <v>10184</v>
      </c>
      <c r="C6114" s="597">
        <v>530</v>
      </c>
      <c r="D6114" s="244">
        <f t="shared" si="794"/>
        <v>139.8193791044776</v>
      </c>
      <c r="E6114" s="170">
        <v>3</v>
      </c>
      <c r="F6114" s="24">
        <f t="shared" si="796"/>
        <v>142.8193791044776</v>
      </c>
      <c r="G6114" s="24" t="s">
        <v>11686</v>
      </c>
      <c r="H6114" s="532" t="str">
        <f t="shared" si="787"/>
        <v>5SV3316-6</v>
      </c>
      <c r="I6114" s="2055" t="s">
        <v>11053</v>
      </c>
      <c r="J6114" s="416" t="s">
        <v>1970</v>
      </c>
      <c r="K6114" s="35" t="s">
        <v>741</v>
      </c>
    </row>
    <row r="6115" spans="1:11" s="203" customFormat="1">
      <c r="A6115" s="954"/>
      <c r="B6115" s="600"/>
      <c r="C6115" s="597"/>
      <c r="D6115" s="244"/>
      <c r="E6115" s="170"/>
      <c r="F6115" s="24"/>
      <c r="G6115" s="24"/>
      <c r="H6115" s="532"/>
      <c r="I6115" s="2055"/>
      <c r="J6115" s="416"/>
      <c r="K6115" s="35"/>
    </row>
    <row r="6116" spans="1:11" s="203" customFormat="1">
      <c r="A6116" s="954"/>
      <c r="B6116" s="600" t="s">
        <v>10185</v>
      </c>
      <c r="C6116" s="597">
        <v>243</v>
      </c>
      <c r="D6116" s="244">
        <f t="shared" si="794"/>
        <v>64.105866268656698</v>
      </c>
      <c r="E6116" s="170">
        <v>6</v>
      </c>
      <c r="F6116" s="24">
        <f t="shared" ref="F6116:F6118" si="797">D6116+E6116</f>
        <v>70.105866268656698</v>
      </c>
      <c r="G6116" s="24" t="s">
        <v>11687</v>
      </c>
      <c r="H6116" s="532" t="str">
        <f t="shared" ref="H6116:H6118" si="798">B6116</f>
        <v>5SV3342-6</v>
      </c>
      <c r="I6116" s="2055" t="s">
        <v>11053</v>
      </c>
      <c r="J6116" s="416" t="s">
        <v>1970</v>
      </c>
      <c r="K6116" s="35" t="s">
        <v>741</v>
      </c>
    </row>
    <row r="6117" spans="1:11" s="203" customFormat="1">
      <c r="A6117" s="954"/>
      <c r="B6117" s="600" t="s">
        <v>10186</v>
      </c>
      <c r="C6117" s="597">
        <v>256</v>
      </c>
      <c r="D6117" s="244">
        <f t="shared" si="794"/>
        <v>67.535398208955215</v>
      </c>
      <c r="E6117" s="170">
        <v>6</v>
      </c>
      <c r="F6117" s="24">
        <f t="shared" si="797"/>
        <v>73.535398208955215</v>
      </c>
      <c r="G6117" s="24" t="s">
        <v>11688</v>
      </c>
      <c r="H6117" s="532" t="str">
        <f t="shared" si="798"/>
        <v>5SV3344-6</v>
      </c>
      <c r="I6117" s="2055" t="s">
        <v>11053</v>
      </c>
      <c r="J6117" s="416" t="s">
        <v>1970</v>
      </c>
      <c r="K6117" s="35" t="s">
        <v>741</v>
      </c>
    </row>
    <row r="6118" spans="1:11" s="203" customFormat="1">
      <c r="A6118" s="954"/>
      <c r="B6118" s="600" t="s">
        <v>10187</v>
      </c>
      <c r="C6118" s="597">
        <v>690</v>
      </c>
      <c r="D6118" s="244">
        <f t="shared" si="794"/>
        <v>182.02900298507461</v>
      </c>
      <c r="E6118" s="170">
        <v>6</v>
      </c>
      <c r="F6118" s="24">
        <f t="shared" si="797"/>
        <v>188.02900298507461</v>
      </c>
      <c r="G6118" s="24" t="s">
        <v>11689</v>
      </c>
      <c r="H6118" s="532" t="str">
        <f t="shared" si="798"/>
        <v>5SV3346-6</v>
      </c>
      <c r="I6118" s="2055" t="s">
        <v>11053</v>
      </c>
      <c r="J6118" s="416" t="s">
        <v>1970</v>
      </c>
      <c r="K6118" s="35" t="s">
        <v>741</v>
      </c>
    </row>
    <row r="6119" spans="1:11" s="203" customFormat="1">
      <c r="A6119" s="21"/>
      <c r="B6119"/>
      <c r="C6119" s="597"/>
      <c r="D6119" s="244"/>
      <c r="E6119" s="611"/>
      <c r="F6119" s="611"/>
      <c r="G6119"/>
      <c r="H6119" s="532"/>
      <c r="I6119" s="2055"/>
      <c r="J6119" s="416"/>
      <c r="K6119" s="35"/>
    </row>
    <row r="6120" spans="1:11" customFormat="1">
      <c r="A6120" s="954"/>
      <c r="B6120" s="34" t="s">
        <v>10188</v>
      </c>
      <c r="C6120" s="597"/>
      <c r="D6120" s="244"/>
      <c r="E6120" s="598"/>
      <c r="F6120" s="204"/>
      <c r="G6120" s="2376"/>
      <c r="H6120" s="532"/>
      <c r="I6120" s="2055" t="s">
        <v>11053</v>
      </c>
      <c r="J6120" s="416" t="s">
        <v>1970</v>
      </c>
      <c r="K6120" s="35" t="s">
        <v>741</v>
      </c>
    </row>
    <row r="6121" spans="1:11" s="203" customFormat="1">
      <c r="A6121" s="954"/>
      <c r="B6121" s="600" t="s">
        <v>14039</v>
      </c>
      <c r="C6121" s="597">
        <v>144</v>
      </c>
      <c r="D6121" s="244">
        <f t="shared" ref="D6121:D6123" si="799">C6121*(1-VLOOKUP(I6121,descuentos,6,FALSE))*fcl/IF(dol_sol="dólar", TC,1)</f>
        <v>37.988661492537311</v>
      </c>
      <c r="E6121" s="170">
        <v>6</v>
      </c>
      <c r="F6121" s="24">
        <f t="shared" ref="F6121:F6123" si="800">D6121+E6121</f>
        <v>43.988661492537311</v>
      </c>
      <c r="G6121" s="24" t="s">
        <v>14040</v>
      </c>
      <c r="H6121" s="532" t="str">
        <f t="shared" si="787"/>
        <v>5SV5612-0</v>
      </c>
      <c r="I6121" s="2055" t="s">
        <v>11053</v>
      </c>
      <c r="J6121" s="416" t="s">
        <v>1970</v>
      </c>
      <c r="K6121" s="35" t="s">
        <v>741</v>
      </c>
    </row>
    <row r="6122" spans="1:11" s="203" customFormat="1">
      <c r="A6122" s="954"/>
      <c r="B6122" s="600" t="s">
        <v>14041</v>
      </c>
      <c r="C6122" s="597">
        <v>146</v>
      </c>
      <c r="D6122" s="244">
        <f t="shared" si="799"/>
        <v>38.516281791044769</v>
      </c>
      <c r="E6122" s="170">
        <v>6</v>
      </c>
      <c r="F6122" s="24">
        <f t="shared" si="800"/>
        <v>44.516281791044769</v>
      </c>
      <c r="G6122" s="24" t="s">
        <v>14042</v>
      </c>
      <c r="H6122" s="532" t="str">
        <f t="shared" si="787"/>
        <v>5SV5614-0</v>
      </c>
      <c r="I6122" s="2055" t="s">
        <v>11053</v>
      </c>
      <c r="J6122" s="416" t="s">
        <v>1970</v>
      </c>
      <c r="K6122" s="35" t="s">
        <v>741</v>
      </c>
    </row>
    <row r="6123" spans="1:11" s="203" customFormat="1">
      <c r="A6123" s="954"/>
      <c r="B6123" s="600" t="s">
        <v>14043</v>
      </c>
      <c r="C6123" s="597">
        <v>220</v>
      </c>
      <c r="D6123" s="244">
        <f t="shared" si="799"/>
        <v>58.038232835820892</v>
      </c>
      <c r="E6123" s="170">
        <v>6</v>
      </c>
      <c r="F6123" s="24">
        <f t="shared" si="800"/>
        <v>64.038232835820892</v>
      </c>
      <c r="G6123" s="24" t="s">
        <v>14044</v>
      </c>
      <c r="H6123" s="532" t="str">
        <f t="shared" si="787"/>
        <v>5SV5616-0</v>
      </c>
      <c r="I6123" s="2055" t="s">
        <v>11053</v>
      </c>
      <c r="J6123" s="416" t="s">
        <v>1970</v>
      </c>
      <c r="K6123" s="35" t="s">
        <v>741</v>
      </c>
    </row>
    <row r="6124" spans="1:11" s="203" customFormat="1">
      <c r="A6124" s="954"/>
      <c r="B6124" s="600"/>
      <c r="C6124" s="597"/>
      <c r="D6124" s="244"/>
      <c r="E6124" s="170"/>
      <c r="F6124" s="24"/>
      <c r="G6124" s="24"/>
      <c r="H6124" s="532"/>
      <c r="I6124" s="2055"/>
      <c r="J6124" s="416"/>
      <c r="K6124" s="35"/>
    </row>
    <row r="6125" spans="1:11" s="203" customFormat="1">
      <c r="A6125" s="954"/>
      <c r="B6125" s="600" t="s">
        <v>10189</v>
      </c>
      <c r="C6125" s="597">
        <v>149</v>
      </c>
      <c r="D6125" s="244">
        <f t="shared" si="794"/>
        <v>39.307712238805969</v>
      </c>
      <c r="E6125" s="170">
        <v>6</v>
      </c>
      <c r="F6125" s="24">
        <f t="shared" ref="F6125:F6127" si="801">D6125+E6125</f>
        <v>45.307712238805969</v>
      </c>
      <c r="G6125" s="24" t="s">
        <v>10190</v>
      </c>
      <c r="H6125" s="532" t="str">
        <f t="shared" ref="H6125:H6127" si="802">B6125</f>
        <v>5SV4642-0</v>
      </c>
      <c r="I6125" s="2055" t="s">
        <v>11053</v>
      </c>
      <c r="J6125" s="416" t="s">
        <v>1970</v>
      </c>
      <c r="K6125" s="35" t="s">
        <v>741</v>
      </c>
    </row>
    <row r="6126" spans="1:11" s="203" customFormat="1">
      <c r="A6126" s="954"/>
      <c r="B6126" s="600" t="s">
        <v>10191</v>
      </c>
      <c r="C6126" s="597">
        <v>150</v>
      </c>
      <c r="D6126" s="244">
        <f t="shared" si="794"/>
        <v>39.571522388059698</v>
      </c>
      <c r="E6126" s="170">
        <v>6</v>
      </c>
      <c r="F6126" s="24">
        <f t="shared" si="801"/>
        <v>45.571522388059698</v>
      </c>
      <c r="G6126" s="24" t="s">
        <v>10192</v>
      </c>
      <c r="H6126" s="532" t="str">
        <f t="shared" si="802"/>
        <v>5SV4644-0</v>
      </c>
      <c r="I6126" s="2055" t="s">
        <v>11053</v>
      </c>
      <c r="J6126" s="416" t="s">
        <v>1970</v>
      </c>
      <c r="K6126" s="35" t="s">
        <v>741</v>
      </c>
    </row>
    <row r="6127" spans="1:11" s="203" customFormat="1">
      <c r="A6127" s="954"/>
      <c r="B6127" s="600" t="s">
        <v>10193</v>
      </c>
      <c r="C6127" s="597">
        <v>228</v>
      </c>
      <c r="D6127" s="244">
        <f t="shared" si="794"/>
        <v>60.148714029850744</v>
      </c>
      <c r="E6127" s="170">
        <v>6</v>
      </c>
      <c r="F6127" s="24">
        <f t="shared" si="801"/>
        <v>66.148714029850737</v>
      </c>
      <c r="G6127" s="24" t="s">
        <v>10194</v>
      </c>
      <c r="H6127" s="532" t="str">
        <f t="shared" si="802"/>
        <v>5SV4646-0</v>
      </c>
      <c r="I6127" s="2055" t="s">
        <v>11053</v>
      </c>
      <c r="J6127" s="416" t="s">
        <v>1970</v>
      </c>
      <c r="K6127" s="35" t="s">
        <v>741</v>
      </c>
    </row>
    <row r="6128" spans="1:11" s="203" customFormat="1">
      <c r="A6128" s="954"/>
      <c r="B6128" s="600"/>
      <c r="C6128" s="597"/>
      <c r="D6128" s="244"/>
      <c r="E6128" s="170"/>
      <c r="F6128" s="24"/>
      <c r="G6128" s="24"/>
      <c r="H6128" s="532"/>
      <c r="I6128" s="2055"/>
      <c r="J6128" s="416"/>
      <c r="K6128" s="35"/>
    </row>
    <row r="6129" spans="1:13" customFormat="1">
      <c r="A6129" s="954"/>
      <c r="B6129" s="34" t="s">
        <v>14045</v>
      </c>
      <c r="C6129" s="597"/>
      <c r="D6129" s="244"/>
      <c r="E6129" s="598"/>
      <c r="F6129" s="204"/>
      <c r="G6129" s="2376"/>
      <c r="H6129" s="532"/>
      <c r="I6129" s="2055" t="s">
        <v>11053</v>
      </c>
      <c r="J6129" s="416" t="s">
        <v>1970</v>
      </c>
      <c r="K6129" s="35" t="s">
        <v>741</v>
      </c>
    </row>
    <row r="6130" spans="1:13" s="203" customFormat="1">
      <c r="A6130" s="954"/>
      <c r="B6130" s="600" t="s">
        <v>14046</v>
      </c>
      <c r="C6130" s="597">
        <v>446</v>
      </c>
      <c r="D6130" s="244">
        <f t="shared" ref="D6130:D6132" si="803">C6130*(1-VLOOKUP(I6130,descuentos,6,FALSE))*fcl/IF(dol_sol="dólar", TC,1)</f>
        <v>117.65932656716419</v>
      </c>
      <c r="E6130" s="170">
        <v>6</v>
      </c>
      <c r="F6130" s="24">
        <f t="shared" ref="F6130:F6133" si="804">D6130+E6130</f>
        <v>123.65932656716419</v>
      </c>
      <c r="G6130" s="24" t="s">
        <v>14047</v>
      </c>
      <c r="H6130" s="532" t="str">
        <f t="shared" ref="H6130:H6133" si="805">B6130</f>
        <v>5SV3612-6KK01</v>
      </c>
      <c r="I6130" s="2055" t="s">
        <v>11053</v>
      </c>
      <c r="J6130" s="416" t="s">
        <v>1970</v>
      </c>
      <c r="K6130" s="35" t="s">
        <v>741</v>
      </c>
    </row>
    <row r="6131" spans="1:13" s="203" customFormat="1">
      <c r="A6131" s="954"/>
      <c r="B6131" s="600" t="s">
        <v>14048</v>
      </c>
      <c r="C6131" s="597">
        <v>2534</v>
      </c>
      <c r="D6131" s="244">
        <f t="shared" si="803"/>
        <v>668.49491820895514</v>
      </c>
      <c r="E6131" s="170">
        <v>6</v>
      </c>
      <c r="F6131" s="24">
        <f t="shared" si="804"/>
        <v>674.49491820895514</v>
      </c>
      <c r="G6131" s="24" t="s">
        <v>14049</v>
      </c>
      <c r="H6131" s="532" t="str">
        <f t="shared" si="805"/>
        <v>5SV3642-4</v>
      </c>
      <c r="I6131" s="2055" t="s">
        <v>11053</v>
      </c>
      <c r="J6131" s="416" t="s">
        <v>1970</v>
      </c>
      <c r="K6131" s="35" t="s">
        <v>741</v>
      </c>
      <c r="M6131" s="2376"/>
    </row>
    <row r="6132" spans="1:13" s="203" customFormat="1">
      <c r="A6132" s="954"/>
      <c r="B6132" s="600" t="s">
        <v>14050</v>
      </c>
      <c r="C6132" s="597">
        <v>2635</v>
      </c>
      <c r="D6132" s="244">
        <f t="shared" si="803"/>
        <v>695.13974328358211</v>
      </c>
      <c r="E6132" s="170">
        <v>6</v>
      </c>
      <c r="F6132" s="24">
        <f t="shared" si="804"/>
        <v>701.13974328358211</v>
      </c>
      <c r="G6132" s="24" t="s">
        <v>14051</v>
      </c>
      <c r="H6132" s="532" t="str">
        <f t="shared" si="805"/>
        <v>5SV3644-4</v>
      </c>
      <c r="I6132" s="2055" t="s">
        <v>11053</v>
      </c>
      <c r="J6132" s="416" t="s">
        <v>1970</v>
      </c>
      <c r="K6132" s="35" t="s">
        <v>741</v>
      </c>
      <c r="M6132" s="2376"/>
    </row>
    <row r="6133" spans="1:13" s="203" customFormat="1">
      <c r="A6133" s="954"/>
      <c r="B6133" s="600" t="s">
        <v>14052</v>
      </c>
      <c r="C6133" s="597">
        <v>4283</v>
      </c>
      <c r="D6133" s="244">
        <f t="shared" ref="D6133" si="806">C6133*(1-VLOOKUP(I6133,descuentos,6,FALSE))*fcl/IF(dol_sol="dólar", TC,1)</f>
        <v>1129.8988692537314</v>
      </c>
      <c r="E6133" s="170">
        <v>6</v>
      </c>
      <c r="F6133" s="24">
        <f t="shared" si="804"/>
        <v>1135.8988692537314</v>
      </c>
      <c r="G6133" s="24" t="s">
        <v>14053</v>
      </c>
      <c r="H6133" s="532" t="str">
        <f t="shared" si="805"/>
        <v>5SV3646-5</v>
      </c>
      <c r="I6133" s="2055" t="s">
        <v>11053</v>
      </c>
      <c r="J6133" s="416" t="s">
        <v>1970</v>
      </c>
      <c r="K6133" s="35" t="s">
        <v>741</v>
      </c>
      <c r="M6133" s="2376"/>
    </row>
    <row r="6134" spans="1:13" customFormat="1">
      <c r="A6134" s="35"/>
      <c r="B6134" s="600"/>
      <c r="C6134" s="597"/>
      <c r="D6134" s="244"/>
      <c r="E6134" s="445"/>
      <c r="F6134" s="24"/>
      <c r="G6134" s="24"/>
      <c r="H6134" s="532"/>
      <c r="I6134" s="2055"/>
      <c r="J6134" s="416"/>
      <c r="K6134" s="35"/>
    </row>
    <row r="6135" spans="1:13" customFormat="1">
      <c r="A6135" s="599"/>
      <c r="B6135" s="34" t="s">
        <v>11259</v>
      </c>
      <c r="C6135" s="597"/>
      <c r="D6135" s="244"/>
      <c r="E6135" s="598"/>
      <c r="F6135" s="204"/>
      <c r="G6135" s="203"/>
      <c r="H6135" s="532"/>
      <c r="I6135" s="2055" t="s">
        <v>11053</v>
      </c>
      <c r="J6135" s="416" t="s">
        <v>1970</v>
      </c>
      <c r="K6135" s="35" t="s">
        <v>741</v>
      </c>
    </row>
    <row r="6136" spans="1:13" s="203" customFormat="1" ht="15">
      <c r="A6136"/>
      <c r="B6136" s="1998" t="s">
        <v>10195</v>
      </c>
      <c r="C6136" s="597">
        <v>775</v>
      </c>
      <c r="D6136" s="244">
        <f t="shared" si="794"/>
        <v>204.45286567164177</v>
      </c>
      <c r="E6136" s="170">
        <v>15</v>
      </c>
      <c r="F6136" s="24">
        <f t="shared" ref="F6136:F6144" si="807">D6136+E6136</f>
        <v>219.45286567164177</v>
      </c>
      <c r="G6136" s="24" t="s">
        <v>11260</v>
      </c>
      <c r="H6136" s="532" t="str">
        <f t="shared" si="787"/>
        <v>5SV8000-6KK</v>
      </c>
      <c r="I6136" s="2055" t="s">
        <v>11053</v>
      </c>
      <c r="J6136" s="416" t="s">
        <v>1970</v>
      </c>
      <c r="K6136" s="35" t="s">
        <v>741</v>
      </c>
    </row>
    <row r="6137" spans="1:13" s="203" customFormat="1" ht="15">
      <c r="A6137"/>
      <c r="B6137" s="1998" t="s">
        <v>11261</v>
      </c>
      <c r="C6137" s="597">
        <v>995</v>
      </c>
      <c r="D6137" s="244">
        <f t="shared" ref="D6137:D6140" si="808">C6137*(1-VLOOKUP(I6137,descuentos,6,FALSE))*fcl/IF(dol_sol="dólar", TC,1)</f>
        <v>262.49109850746265</v>
      </c>
      <c r="E6137" s="170">
        <v>15</v>
      </c>
      <c r="F6137" s="24">
        <f t="shared" si="807"/>
        <v>277.49109850746265</v>
      </c>
      <c r="G6137" s="24" t="s">
        <v>11262</v>
      </c>
      <c r="H6137" s="532" t="str">
        <f t="shared" si="787"/>
        <v>5SV8001-6KK</v>
      </c>
      <c r="I6137" s="2055" t="s">
        <v>11053</v>
      </c>
      <c r="J6137" s="416" t="s">
        <v>1970</v>
      </c>
      <c r="K6137" s="35" t="s">
        <v>741</v>
      </c>
    </row>
    <row r="6138" spans="1:13" s="203" customFormat="1" ht="15">
      <c r="A6138"/>
      <c r="B6138" s="1998"/>
      <c r="C6138" s="597"/>
      <c r="D6138" s="244"/>
      <c r="E6138" s="170"/>
      <c r="F6138" s="24"/>
      <c r="G6138" s="24"/>
      <c r="H6138" s="532"/>
      <c r="I6138" s="2055"/>
      <c r="J6138" s="416"/>
      <c r="K6138" s="35"/>
    </row>
    <row r="6139" spans="1:13" s="203" customFormat="1" ht="15">
      <c r="A6139"/>
      <c r="B6139" s="1998" t="s">
        <v>11263</v>
      </c>
      <c r="C6139" s="597">
        <v>280</v>
      </c>
      <c r="D6139" s="244">
        <f t="shared" ref="D6139" si="809">C6139*(1-VLOOKUP(I6139,descuentos,6,FALSE))*fcl/IF(dol_sol="dólar", TC,1)</f>
        <v>73.866841791044763</v>
      </c>
      <c r="E6139" s="170">
        <v>10</v>
      </c>
      <c r="F6139" s="24">
        <f t="shared" ref="F6139" si="810">D6139+E6139</f>
        <v>83.866841791044763</v>
      </c>
      <c r="G6139" s="24" t="s">
        <v>11264</v>
      </c>
      <c r="H6139" s="532" t="str">
        <f t="shared" ref="H6139" si="811">B6139</f>
        <v>5SV8701-0KK</v>
      </c>
      <c r="I6139" s="2055" t="s">
        <v>11053</v>
      </c>
      <c r="J6139" s="416" t="s">
        <v>1970</v>
      </c>
      <c r="K6139" s="35" t="s">
        <v>741</v>
      </c>
    </row>
    <row r="6140" spans="1:13" s="203" customFormat="1" ht="15">
      <c r="A6140"/>
      <c r="B6140" s="1998" t="s">
        <v>11265</v>
      </c>
      <c r="C6140" s="597">
        <v>280</v>
      </c>
      <c r="D6140" s="244">
        <f t="shared" si="808"/>
        <v>73.866841791044763</v>
      </c>
      <c r="E6140" s="170">
        <v>10</v>
      </c>
      <c r="F6140" s="24">
        <f t="shared" si="807"/>
        <v>83.866841791044763</v>
      </c>
      <c r="G6140" s="24" t="s">
        <v>11266</v>
      </c>
      <c r="H6140" s="532" t="str">
        <f t="shared" si="787"/>
        <v>5SV8702-0KK</v>
      </c>
      <c r="I6140" s="2055" t="s">
        <v>11053</v>
      </c>
      <c r="J6140" s="416" t="s">
        <v>1970</v>
      </c>
      <c r="K6140" s="35" t="s">
        <v>741</v>
      </c>
    </row>
    <row r="6141" spans="1:13" s="203" customFormat="1" ht="15">
      <c r="A6141"/>
      <c r="B6141" s="1998" t="s">
        <v>10196</v>
      </c>
      <c r="C6141" s="597">
        <v>320</v>
      </c>
      <c r="D6141" s="244">
        <f t="shared" si="794"/>
        <v>84.419247761194015</v>
      </c>
      <c r="E6141" s="170">
        <v>10</v>
      </c>
      <c r="F6141" s="24">
        <f t="shared" si="807"/>
        <v>94.419247761194015</v>
      </c>
      <c r="G6141" s="24" t="s">
        <v>11267</v>
      </c>
      <c r="H6141" s="532" t="str">
        <f t="shared" si="787"/>
        <v>5SV8703-0KK</v>
      </c>
      <c r="I6141" s="2055" t="s">
        <v>11053</v>
      </c>
      <c r="J6141" s="416" t="s">
        <v>1970</v>
      </c>
      <c r="K6141" s="35" t="s">
        <v>741</v>
      </c>
    </row>
    <row r="6142" spans="1:13" s="203" customFormat="1" ht="15">
      <c r="A6142"/>
      <c r="B6142" s="1998" t="s">
        <v>10197</v>
      </c>
      <c r="C6142" s="597">
        <v>544</v>
      </c>
      <c r="D6142" s="244">
        <f t="shared" ref="D6142" si="812">C6142*(1-VLOOKUP(I6142,descuentos,6,FALSE))*fcl/IF(dol_sol="dólar", TC,1)</f>
        <v>143.51272119402984</v>
      </c>
      <c r="E6142" s="170">
        <v>10</v>
      </c>
      <c r="F6142" s="24">
        <f t="shared" si="807"/>
        <v>153.51272119402984</v>
      </c>
      <c r="G6142" s="24" t="s">
        <v>11268</v>
      </c>
      <c r="H6142" s="532" t="str">
        <f t="shared" si="787"/>
        <v>5SV8704-0KK</v>
      </c>
      <c r="I6142" s="2055" t="s">
        <v>11053</v>
      </c>
      <c r="J6142" s="416" t="s">
        <v>1970</v>
      </c>
      <c r="K6142" s="35" t="s">
        <v>741</v>
      </c>
    </row>
    <row r="6143" spans="1:13" s="203" customFormat="1" ht="15">
      <c r="A6143"/>
      <c r="B6143" s="1998" t="s">
        <v>11269</v>
      </c>
      <c r="C6143" s="597">
        <v>1193</v>
      </c>
      <c r="D6143" s="244">
        <f t="shared" ref="D6143" si="813">C6143*(1-VLOOKUP(I6143,descuentos,6,FALSE))*fcl/IF(dol_sol="dólar", TC,1)</f>
        <v>314.72550805970144</v>
      </c>
      <c r="E6143" s="170">
        <v>10</v>
      </c>
      <c r="F6143" s="24">
        <f t="shared" si="807"/>
        <v>324.72550805970144</v>
      </c>
      <c r="G6143" s="24" t="s">
        <v>11270</v>
      </c>
      <c r="H6143" s="532" t="str">
        <f t="shared" si="787"/>
        <v>5SV8705-0KK</v>
      </c>
      <c r="I6143" s="2055" t="s">
        <v>11053</v>
      </c>
      <c r="J6143" s="416" t="s">
        <v>1970</v>
      </c>
      <c r="K6143" s="35" t="s">
        <v>741</v>
      </c>
    </row>
    <row r="6144" spans="1:13" s="203" customFormat="1" ht="15">
      <c r="A6144"/>
      <c r="B6144" s="1998" t="s">
        <v>11271</v>
      </c>
      <c r="C6144" s="597">
        <v>1446</v>
      </c>
      <c r="D6144" s="244">
        <f t="shared" ref="D6144" si="814">C6144*(1-VLOOKUP(I6144,descuentos,6,FALSE))*fcl/IF(dol_sol="dólar", TC,1)</f>
        <v>381.46947582089552</v>
      </c>
      <c r="E6144" s="170">
        <v>10</v>
      </c>
      <c r="F6144" s="24">
        <f t="shared" si="807"/>
        <v>391.46947582089552</v>
      </c>
      <c r="G6144" s="24" t="s">
        <v>11272</v>
      </c>
      <c r="H6144" s="532" t="str">
        <f t="shared" si="787"/>
        <v>5SV8706-0KK</v>
      </c>
      <c r="I6144" s="2055" t="s">
        <v>11053</v>
      </c>
      <c r="J6144" s="416" t="s">
        <v>1970</v>
      </c>
      <c r="K6144" s="35" t="s">
        <v>741</v>
      </c>
    </row>
    <row r="6145" spans="1:30" customFormat="1">
      <c r="A6145" s="35"/>
      <c r="B6145" s="600"/>
      <c r="C6145" s="597"/>
      <c r="D6145" s="244"/>
      <c r="E6145" s="445"/>
      <c r="F6145" s="24"/>
      <c r="G6145" s="24"/>
      <c r="H6145" s="532"/>
      <c r="I6145" s="2055"/>
      <c r="J6145" s="416"/>
      <c r="K6145" s="35"/>
    </row>
    <row r="6146" spans="1:30" s="203" customFormat="1">
      <c r="A6146" s="35"/>
      <c r="B6146" s="600"/>
      <c r="C6146" s="597"/>
      <c r="D6146" s="244"/>
      <c r="E6146" s="445"/>
      <c r="F6146" s="24"/>
      <c r="G6146" s="24"/>
      <c r="H6146" s="532"/>
      <c r="I6146" s="2055"/>
      <c r="J6146" s="416"/>
      <c r="K6146" s="35"/>
      <c r="L6146" s="202"/>
      <c r="M6146" s="202"/>
      <c r="N6146" s="202"/>
      <c r="O6146" s="202"/>
      <c r="P6146" s="202"/>
      <c r="Q6146" s="202"/>
      <c r="R6146" s="202"/>
      <c r="S6146" s="202"/>
      <c r="T6146" s="202"/>
      <c r="U6146" s="202"/>
      <c r="V6146" s="202"/>
      <c r="W6146" s="202"/>
      <c r="X6146" s="202"/>
      <c r="Y6146" s="202"/>
      <c r="Z6146" s="202"/>
      <c r="AA6146" s="202"/>
      <c r="AB6146" s="202"/>
      <c r="AC6146" s="202"/>
      <c r="AD6146" s="202"/>
    </row>
    <row r="6147" spans="1:30" s="203" customFormat="1">
      <c r="A6147" s="35"/>
      <c r="B6147" s="34" t="s">
        <v>1993</v>
      </c>
      <c r="C6147" s="597"/>
      <c r="D6147" s="244"/>
      <c r="E6147" s="445"/>
      <c r="F6147" s="24"/>
      <c r="G6147" s="35"/>
      <c r="H6147" s="532"/>
      <c r="I6147" s="2055"/>
      <c r="J6147" s="416"/>
      <c r="K6147" s="35"/>
      <c r="L6147" s="202"/>
      <c r="M6147" s="202"/>
      <c r="N6147" s="202"/>
      <c r="O6147" s="202"/>
      <c r="P6147" s="202"/>
      <c r="Q6147" s="202"/>
      <c r="R6147" s="202"/>
      <c r="S6147" s="202"/>
      <c r="T6147" s="202"/>
      <c r="U6147" s="202"/>
      <c r="V6147" s="202"/>
      <c r="W6147" s="202"/>
      <c r="X6147" s="202"/>
      <c r="Y6147" s="202"/>
      <c r="Z6147" s="202"/>
      <c r="AA6147" s="202"/>
      <c r="AB6147" s="202"/>
      <c r="AC6147" s="202"/>
      <c r="AD6147" s="202"/>
    </row>
    <row r="6148" spans="1:30" s="203" customFormat="1">
      <c r="A6148" s="604"/>
      <c r="B6148" s="612" t="s">
        <v>13915</v>
      </c>
      <c r="C6148" s="597">
        <v>15393</v>
      </c>
      <c r="D6148" s="244">
        <f t="shared" si="794"/>
        <v>4060.8296274626859</v>
      </c>
      <c r="E6148" s="170">
        <v>400</v>
      </c>
      <c r="F6148" s="24">
        <f t="shared" ref="F6148:F6152" si="815">D6148+E6148</f>
        <v>4460.8296274626864</v>
      </c>
      <c r="G6148" s="24" t="s">
        <v>11273</v>
      </c>
      <c r="H6148" s="532" t="str">
        <f t="shared" si="787"/>
        <v>3WL1116-2CB62-1AA4</v>
      </c>
      <c r="I6148" s="2055" t="s">
        <v>11053</v>
      </c>
      <c r="J6148" s="416" t="s">
        <v>1970</v>
      </c>
      <c r="K6148" s="35" t="s">
        <v>741</v>
      </c>
      <c r="L6148" s="202"/>
      <c r="M6148" s="202"/>
      <c r="N6148" s="202"/>
      <c r="O6148" s="202"/>
      <c r="P6148" s="202"/>
      <c r="Q6148" s="202"/>
      <c r="R6148" s="202"/>
      <c r="S6148" s="202"/>
      <c r="T6148" s="202"/>
      <c r="U6148" s="202"/>
      <c r="V6148" s="202"/>
      <c r="W6148" s="202"/>
      <c r="X6148" s="202"/>
      <c r="Y6148" s="202"/>
      <c r="Z6148" s="202"/>
      <c r="AA6148" s="202"/>
      <c r="AB6148" s="202"/>
      <c r="AC6148" s="202"/>
      <c r="AD6148" s="202"/>
    </row>
    <row r="6149" spans="1:30" s="203" customFormat="1">
      <c r="A6149" s="604"/>
      <c r="B6149" s="612" t="s">
        <v>13916</v>
      </c>
      <c r="C6149" s="597">
        <v>17912</v>
      </c>
      <c r="D6149" s="244">
        <f t="shared" ref="D6149" si="816">C6149*(1-VLOOKUP(I6149,descuentos,6,FALSE))*fcl/IF(dol_sol="dólar", TC,1)</f>
        <v>4725.3673934328353</v>
      </c>
      <c r="E6149" s="170">
        <v>400</v>
      </c>
      <c r="F6149" s="24">
        <f t="shared" si="815"/>
        <v>5125.3673934328353</v>
      </c>
      <c r="G6149" s="24" t="s">
        <v>11274</v>
      </c>
      <c r="H6149" s="532" t="str">
        <f t="shared" si="787"/>
        <v>3WL1220-2CB62-1AA4</v>
      </c>
      <c r="I6149" s="2055" t="s">
        <v>11053</v>
      </c>
      <c r="J6149" s="416" t="s">
        <v>1970</v>
      </c>
      <c r="K6149" s="35" t="s">
        <v>741</v>
      </c>
      <c r="L6149" s="202"/>
      <c r="M6149" s="202"/>
      <c r="N6149" s="202"/>
      <c r="O6149" s="202"/>
      <c r="P6149" s="202"/>
      <c r="Q6149" s="202"/>
      <c r="R6149" s="202"/>
      <c r="S6149" s="202"/>
      <c r="T6149" s="202"/>
      <c r="U6149" s="202"/>
      <c r="V6149" s="202"/>
      <c r="W6149" s="202"/>
      <c r="X6149" s="202"/>
      <c r="Y6149" s="202"/>
      <c r="Z6149" s="202"/>
      <c r="AA6149" s="202"/>
      <c r="AB6149" s="202"/>
      <c r="AC6149" s="202"/>
      <c r="AD6149" s="202"/>
    </row>
    <row r="6150" spans="1:30" s="609" customFormat="1" ht="12" customHeight="1">
      <c r="A6150" s="604"/>
      <c r="B6150" s="612" t="s">
        <v>13917</v>
      </c>
      <c r="C6150" s="597">
        <v>22856</v>
      </c>
      <c r="D6150" s="244">
        <f t="shared" ref="D6150" si="817">C6150*(1-VLOOKUP(I6150,descuentos,6,FALSE))*fcl/IF(dol_sol="dólar", TC,1)</f>
        <v>6029.6447713432835</v>
      </c>
      <c r="E6150" s="170">
        <v>400</v>
      </c>
      <c r="F6150" s="24">
        <f t="shared" si="815"/>
        <v>6429.6447713432835</v>
      </c>
      <c r="G6150" s="24" t="s">
        <v>11275</v>
      </c>
      <c r="H6150" s="532" t="str">
        <f t="shared" si="787"/>
        <v>3WL1225-2CB62-1AA4</v>
      </c>
      <c r="I6150" s="2055" t="s">
        <v>11053</v>
      </c>
      <c r="J6150" s="416" t="s">
        <v>1970</v>
      </c>
      <c r="K6150" s="35" t="s">
        <v>741</v>
      </c>
      <c r="L6150" s="202"/>
      <c r="M6150" s="202"/>
      <c r="N6150" s="202"/>
      <c r="O6150" s="202"/>
      <c r="P6150" s="202"/>
      <c r="Q6150" s="202"/>
      <c r="R6150" s="202"/>
      <c r="S6150" s="202"/>
      <c r="T6150" s="202"/>
      <c r="U6150" s="202"/>
      <c r="V6150" s="202"/>
      <c r="W6150" s="202"/>
      <c r="X6150" s="202"/>
      <c r="Y6150" s="202"/>
      <c r="Z6150" s="202"/>
      <c r="AA6150" s="202"/>
      <c r="AB6150" s="202"/>
      <c r="AC6150" s="202"/>
      <c r="AD6150" s="202"/>
    </row>
    <row r="6151" spans="1:30" s="609" customFormat="1" ht="12" customHeight="1">
      <c r="A6151" s="604"/>
      <c r="B6151" s="612" t="s">
        <v>13918</v>
      </c>
      <c r="C6151" s="597">
        <v>26588</v>
      </c>
      <c r="D6151" s="244">
        <f t="shared" ref="D6151" si="818">C6151*(1-VLOOKUP(I6151,descuentos,6,FALSE))*fcl/IF(dol_sol="dólar", TC,1)</f>
        <v>7014.1842483582086</v>
      </c>
      <c r="E6151" s="170">
        <v>500</v>
      </c>
      <c r="F6151" s="24">
        <f t="shared" si="815"/>
        <v>7514.1842483582086</v>
      </c>
      <c r="G6151" s="24" t="s">
        <v>11276</v>
      </c>
      <c r="H6151" s="532" t="str">
        <f t="shared" si="787"/>
        <v>3WL1232-2CB62-1AA4</v>
      </c>
      <c r="I6151" s="2055" t="s">
        <v>11053</v>
      </c>
      <c r="J6151" s="416" t="s">
        <v>1970</v>
      </c>
      <c r="K6151" s="35" t="s">
        <v>741</v>
      </c>
      <c r="L6151" s="202"/>
      <c r="M6151" s="202"/>
      <c r="N6151" s="202"/>
      <c r="O6151" s="202"/>
      <c r="P6151" s="202"/>
      <c r="Q6151" s="202"/>
      <c r="R6151" s="202"/>
      <c r="S6151" s="202"/>
      <c r="T6151" s="202"/>
      <c r="U6151" s="202"/>
      <c r="V6151" s="202"/>
      <c r="W6151" s="202"/>
      <c r="X6151" s="202"/>
      <c r="Y6151" s="202"/>
      <c r="Z6151" s="202"/>
      <c r="AA6151" s="202"/>
      <c r="AB6151" s="202"/>
      <c r="AC6151" s="202"/>
      <c r="AD6151" s="202"/>
    </row>
    <row r="6152" spans="1:30" s="609" customFormat="1" ht="12" customHeight="1">
      <c r="A6152" s="604"/>
      <c r="B6152" s="612" t="s">
        <v>13919</v>
      </c>
      <c r="C6152" s="597">
        <v>38944</v>
      </c>
      <c r="D6152" s="244">
        <f t="shared" ref="D6152" si="819">C6152*(1-VLOOKUP(I6152,descuentos,6,FALSE))*fcl/IF(dol_sol="dólar", TC,1)</f>
        <v>10273.822452537312</v>
      </c>
      <c r="E6152" s="170">
        <v>500</v>
      </c>
      <c r="F6152" s="24">
        <f t="shared" si="815"/>
        <v>10773.822452537312</v>
      </c>
      <c r="G6152" s="24" t="s">
        <v>11277</v>
      </c>
      <c r="H6152" s="532" t="str">
        <f t="shared" si="787"/>
        <v>3WL1240-3CB61-1AA4</v>
      </c>
      <c r="I6152" s="2055" t="s">
        <v>11053</v>
      </c>
      <c r="J6152" s="416" t="s">
        <v>1970</v>
      </c>
      <c r="K6152" s="35" t="s">
        <v>741</v>
      </c>
      <c r="L6152" s="202"/>
      <c r="M6152" s="202"/>
      <c r="N6152" s="202"/>
      <c r="O6152" s="202"/>
      <c r="P6152" s="202"/>
      <c r="Q6152" s="202"/>
      <c r="R6152" s="202"/>
      <c r="S6152" s="202"/>
      <c r="T6152" s="202"/>
      <c r="U6152" s="202"/>
      <c r="V6152" s="202"/>
      <c r="W6152" s="202"/>
      <c r="X6152" s="202"/>
      <c r="Y6152" s="202"/>
      <c r="Z6152" s="202"/>
      <c r="AA6152" s="202"/>
      <c r="AB6152" s="202"/>
      <c r="AC6152" s="202"/>
      <c r="AD6152" s="202"/>
    </row>
    <row r="6153" spans="1:30" s="203" customFormat="1" ht="15.75">
      <c r="A6153" s="35"/>
      <c r="B6153" s="1999"/>
      <c r="C6153" s="597"/>
      <c r="D6153" s="244"/>
      <c r="E6153" s="445"/>
      <c r="F6153" s="24"/>
      <c r="G6153" s="24"/>
      <c r="H6153" s="532"/>
      <c r="I6153" s="2055"/>
      <c r="J6153" s="416"/>
      <c r="K6153" s="35"/>
    </row>
    <row r="6154" spans="1:30" s="203" customFormat="1">
      <c r="A6154" s="35"/>
      <c r="B6154" s="612" t="s">
        <v>11278</v>
      </c>
      <c r="C6154" s="597">
        <v>678</v>
      </c>
      <c r="D6154" s="244">
        <f t="shared" ref="D6154" si="820">C6154*(1-VLOOKUP(I6154,descuentos,6,FALSE))*fcl/IF(dol_sol="dólar", TC,1)</f>
        <v>178.86328119402981</v>
      </c>
      <c r="E6154" s="170">
        <v>10</v>
      </c>
      <c r="F6154" s="24">
        <f t="shared" ref="F6154:F6158" si="821">D6154+E6154</f>
        <v>188.86328119402981</v>
      </c>
      <c r="G6154" s="24" t="s">
        <v>11279</v>
      </c>
      <c r="H6154" s="532" t="str">
        <f t="shared" ref="H6154:H6158" si="822">B6154</f>
        <v>3WL9111-0AD06-0AA0</v>
      </c>
      <c r="I6154" s="2055" t="s">
        <v>11053</v>
      </c>
      <c r="J6154" s="416" t="s">
        <v>1970</v>
      </c>
      <c r="K6154" s="35" t="s">
        <v>741</v>
      </c>
    </row>
    <row r="6155" spans="1:30" s="203" customFormat="1">
      <c r="A6155" s="35"/>
      <c r="B6155" s="612" t="s">
        <v>11280</v>
      </c>
      <c r="C6155" s="597">
        <v>757</v>
      </c>
      <c r="D6155" s="244">
        <f t="shared" ref="D6155" si="823">C6155*(1-VLOOKUP(I6155,descuentos,6,FALSE))*fcl/IF(dol_sol="dólar", TC,1)</f>
        <v>199.7042829850746</v>
      </c>
      <c r="E6155" s="170">
        <v>10</v>
      </c>
      <c r="F6155" s="24">
        <f t="shared" si="821"/>
        <v>209.7042829850746</v>
      </c>
      <c r="G6155" s="24" t="s">
        <v>11281</v>
      </c>
      <c r="H6155" s="532" t="str">
        <f t="shared" si="822"/>
        <v>3WL9111-0AE05-0AA0</v>
      </c>
      <c r="I6155" s="2055" t="s">
        <v>11053</v>
      </c>
      <c r="J6155" s="416" t="s">
        <v>1970</v>
      </c>
      <c r="K6155" s="35" t="s">
        <v>741</v>
      </c>
    </row>
    <row r="6156" spans="1:30" s="203" customFormat="1">
      <c r="A6156" s="35"/>
      <c r="B6156" s="612" t="s">
        <v>11282</v>
      </c>
      <c r="C6156" s="597">
        <v>2927</v>
      </c>
      <c r="D6156" s="244">
        <f t="shared" ref="D6156" si="824">C6156*(1-VLOOKUP(I6156,descuentos,6,FALSE))*fcl/IF(dol_sol="dólar", TC,1)</f>
        <v>772.17230686567154</v>
      </c>
      <c r="E6156" s="170">
        <v>15</v>
      </c>
      <c r="F6156" s="24">
        <f t="shared" si="821"/>
        <v>787.17230686567154</v>
      </c>
      <c r="G6156" s="24" t="s">
        <v>11283</v>
      </c>
      <c r="H6156" s="532" t="str">
        <f t="shared" si="822"/>
        <v>3WL9111-0AF04-0AA0</v>
      </c>
      <c r="I6156" s="2055" t="s">
        <v>11053</v>
      </c>
      <c r="J6156" s="416" t="s">
        <v>1970</v>
      </c>
      <c r="K6156" s="35" t="s">
        <v>741</v>
      </c>
    </row>
    <row r="6157" spans="1:30" s="203" customFormat="1">
      <c r="A6157" s="35"/>
      <c r="B6157" s="612" t="s">
        <v>11284</v>
      </c>
      <c r="C6157" s="597">
        <v>1763</v>
      </c>
      <c r="D6157" s="244">
        <f t="shared" ref="D6157" si="825">C6157*(1-VLOOKUP(I6157,descuentos,6,FALSE))*fcl/IF(dol_sol="dólar", TC,1)</f>
        <v>465.09729313432831</v>
      </c>
      <c r="E6157" s="170">
        <v>10</v>
      </c>
      <c r="F6157" s="24">
        <f t="shared" si="821"/>
        <v>475.09729313432831</v>
      </c>
      <c r="G6157" s="24" t="s">
        <v>11285</v>
      </c>
      <c r="H6157" s="532" t="str">
        <f t="shared" si="822"/>
        <v>3WL9111-0BB21-0AA0</v>
      </c>
      <c r="I6157" s="2055" t="s">
        <v>11053</v>
      </c>
      <c r="J6157" s="416" t="s">
        <v>1970</v>
      </c>
      <c r="K6157" s="35" t="s">
        <v>741</v>
      </c>
    </row>
    <row r="6158" spans="1:30" s="203" customFormat="1">
      <c r="A6158" s="35"/>
      <c r="B6158" s="612" t="s">
        <v>11286</v>
      </c>
      <c r="C6158" s="597">
        <v>219</v>
      </c>
      <c r="D6158" s="244">
        <f t="shared" ref="D6158" si="826">C6158*(1-VLOOKUP(I6158,descuentos,6,FALSE))*fcl/IF(dol_sol="dólar", TC,1)</f>
        <v>57.774422686567164</v>
      </c>
      <c r="E6158" s="170">
        <v>10</v>
      </c>
      <c r="F6158" s="24">
        <f t="shared" si="821"/>
        <v>67.774422686567164</v>
      </c>
      <c r="G6158" s="24" t="s">
        <v>11287</v>
      </c>
      <c r="H6158" s="532" t="str">
        <f t="shared" si="822"/>
        <v>3WL9111-0AH14-0AA0</v>
      </c>
      <c r="I6158" s="2055" t="s">
        <v>11053</v>
      </c>
      <c r="J6158" s="416" t="s">
        <v>1970</v>
      </c>
      <c r="K6158" s="35" t="s">
        <v>741</v>
      </c>
    </row>
    <row r="6159" spans="1:30" s="203" customFormat="1">
      <c r="A6159" s="35"/>
      <c r="B6159" s="612"/>
      <c r="C6159" s="597"/>
      <c r="D6159" s="244"/>
      <c r="E6159" s="445"/>
      <c r="F6159" s="24"/>
      <c r="G6159" s="24"/>
      <c r="H6159" s="532"/>
      <c r="I6159" s="2055"/>
      <c r="J6159" s="416"/>
      <c r="K6159" s="35"/>
    </row>
    <row r="6160" spans="1:30" s="203" customFormat="1">
      <c r="A6160" s="35"/>
      <c r="B6160" s="2194" t="s">
        <v>13066</v>
      </c>
      <c r="C6160" s="2195">
        <v>7299</v>
      </c>
      <c r="D6160" s="2196">
        <f t="shared" ref="D6160" si="827">C6160*(1-VLOOKUP(I6160,descuentos,6,FALSE))*fcl/IF(dol_sol="dólar", TC,1)</f>
        <v>1925.5502794029849</v>
      </c>
      <c r="E6160" s="2197">
        <v>400</v>
      </c>
      <c r="F6160" s="2198">
        <f t="shared" ref="F6160" si="828">D6160+E6160</f>
        <v>2325.5502794029849</v>
      </c>
      <c r="G6160" s="2198" t="s">
        <v>13330</v>
      </c>
      <c r="H6160" s="532" t="str">
        <f t="shared" ref="H6160" si="829">B6160</f>
        <v>3WT8080-5AA00-0AA2</v>
      </c>
      <c r="I6160" s="2055" t="s">
        <v>11053</v>
      </c>
      <c r="J6160" s="416" t="s">
        <v>1970</v>
      </c>
      <c r="K6160" s="35" t="s">
        <v>741</v>
      </c>
      <c r="L6160" s="202"/>
      <c r="M6160" s="202"/>
      <c r="N6160" s="202"/>
      <c r="O6160" s="202"/>
      <c r="P6160" s="202"/>
      <c r="Q6160" s="202"/>
      <c r="R6160" s="202"/>
      <c r="S6160" s="202"/>
      <c r="T6160" s="202"/>
      <c r="U6160" s="202"/>
      <c r="V6160" s="202"/>
      <c r="W6160" s="202"/>
      <c r="X6160" s="202"/>
      <c r="Y6160" s="202"/>
      <c r="Z6160" s="202"/>
      <c r="AA6160" s="202"/>
      <c r="AB6160" s="202"/>
      <c r="AC6160" s="202"/>
      <c r="AD6160" s="202"/>
    </row>
    <row r="6161" spans="1:30" s="203" customFormat="1">
      <c r="A6161" s="35"/>
      <c r="B6161" s="612"/>
      <c r="C6161" s="597"/>
      <c r="D6161" s="244"/>
      <c r="E6161" s="445"/>
      <c r="F6161" s="24"/>
      <c r="G6161" s="24"/>
      <c r="H6161" s="532"/>
      <c r="I6161" s="2055"/>
      <c r="J6161" s="416"/>
      <c r="K6161" s="35"/>
    </row>
    <row r="6162" spans="1:30" s="2211" customFormat="1" ht="20.100000000000001" customHeight="1">
      <c r="A6162" s="2511"/>
      <c r="B6162" s="2224" t="s">
        <v>12391</v>
      </c>
      <c r="C6162" s="2225">
        <v>8914</v>
      </c>
      <c r="D6162" s="243">
        <f t="shared" ref="D6162" si="830">C6162*(1-VLOOKUP(I6162,descuentos,6,FALSE))*fcl/IF(dol_sol="dólar", TC,1)</f>
        <v>2351.6036704477615</v>
      </c>
      <c r="E6162" s="2226">
        <v>400</v>
      </c>
      <c r="F6162" s="2227">
        <f t="shared" ref="F6162:F6167" si="831">D6162+E6162</f>
        <v>2751.6036704477615</v>
      </c>
      <c r="G6162" s="2227" t="s">
        <v>13331</v>
      </c>
      <c r="H6162" s="2138" t="str">
        <f t="shared" ref="H6162:H6167" si="832">B6162</f>
        <v>3WT8120-5AA00-0AA2</v>
      </c>
      <c r="I6162" s="2139" t="s">
        <v>11053</v>
      </c>
      <c r="J6162" s="2140" t="s">
        <v>1970</v>
      </c>
      <c r="K6162" s="2129" t="s">
        <v>741</v>
      </c>
      <c r="L6162" s="2228"/>
      <c r="M6162" s="2228"/>
      <c r="N6162" s="2228"/>
      <c r="O6162" s="2228"/>
      <c r="P6162" s="2228"/>
      <c r="Q6162" s="2228"/>
      <c r="R6162" s="2228"/>
      <c r="S6162" s="2228"/>
      <c r="T6162" s="2228"/>
      <c r="U6162" s="2228"/>
      <c r="V6162" s="2228"/>
      <c r="W6162" s="2228"/>
      <c r="X6162" s="2228"/>
      <c r="Y6162" s="2228"/>
      <c r="Z6162" s="2228"/>
      <c r="AA6162" s="2228"/>
      <c r="AB6162" s="2228"/>
      <c r="AC6162" s="2228"/>
      <c r="AD6162" s="2228"/>
    </row>
    <row r="6163" spans="1:30" s="2211" customFormat="1" ht="20.100000000000001" customHeight="1">
      <c r="A6163" s="2511"/>
      <c r="B6163" s="679" t="s">
        <v>12392</v>
      </c>
      <c r="C6163" s="2225">
        <v>9841</v>
      </c>
      <c r="D6163" s="243">
        <f t="shared" ref="D6163" si="833">C6163*(1-VLOOKUP(I6163,descuentos,6,FALSE))*fcl/IF(dol_sol="dólar", TC,1)</f>
        <v>2596.1556788059702</v>
      </c>
      <c r="E6163" s="2226">
        <v>400</v>
      </c>
      <c r="F6163" s="2227">
        <f t="shared" si="831"/>
        <v>2996.1556788059702</v>
      </c>
      <c r="G6163" s="2227" t="s">
        <v>13332</v>
      </c>
      <c r="H6163" s="2138" t="str">
        <f t="shared" si="832"/>
        <v>3WT8161-5AA00-0AA2</v>
      </c>
      <c r="I6163" s="2139" t="s">
        <v>11053</v>
      </c>
      <c r="J6163" s="2140" t="s">
        <v>1970</v>
      </c>
      <c r="K6163" s="2129" t="s">
        <v>741</v>
      </c>
      <c r="L6163" s="2228"/>
      <c r="M6163" s="2228"/>
      <c r="N6163" s="2228"/>
      <c r="O6163" s="2228"/>
      <c r="P6163" s="2228"/>
      <c r="Q6163" s="2228"/>
      <c r="R6163" s="2228"/>
      <c r="S6163" s="2228"/>
      <c r="T6163" s="2228"/>
      <c r="U6163" s="2228"/>
      <c r="V6163" s="2228"/>
      <c r="W6163" s="2228"/>
      <c r="X6163" s="2228"/>
      <c r="Y6163" s="2228"/>
      <c r="Z6163" s="2228"/>
      <c r="AA6163" s="2228"/>
      <c r="AB6163" s="2228"/>
      <c r="AC6163" s="2228"/>
      <c r="AD6163" s="2228"/>
    </row>
    <row r="6164" spans="1:30" s="2211" customFormat="1" ht="20.100000000000001" customHeight="1">
      <c r="A6164" s="2511"/>
      <c r="B6164" s="679" t="s">
        <v>11288</v>
      </c>
      <c r="C6164" s="2225">
        <v>13629</v>
      </c>
      <c r="D6164" s="243">
        <f t="shared" ref="D6164:D6167" si="834">C6164*(1-VLOOKUP(I6164,descuentos,6,FALSE))*fcl/IF(dol_sol="dólar", TC,1)</f>
        <v>3595.4685241791044</v>
      </c>
      <c r="E6164" s="2226">
        <v>400</v>
      </c>
      <c r="F6164" s="2227">
        <f t="shared" si="831"/>
        <v>3995.4685241791044</v>
      </c>
      <c r="G6164" s="2227" t="s">
        <v>13333</v>
      </c>
      <c r="H6164" s="2138" t="str">
        <f t="shared" si="832"/>
        <v>3WT8202-5AA00-0AA2</v>
      </c>
      <c r="I6164" s="2139" t="s">
        <v>11053</v>
      </c>
      <c r="J6164" s="2140" t="s">
        <v>1970</v>
      </c>
      <c r="K6164" s="2129" t="s">
        <v>741</v>
      </c>
      <c r="L6164" s="2228"/>
      <c r="M6164" s="2228"/>
      <c r="N6164" s="2228"/>
      <c r="O6164" s="2228"/>
      <c r="P6164" s="2228"/>
      <c r="Q6164" s="2228"/>
      <c r="R6164" s="2228"/>
      <c r="S6164" s="2228"/>
      <c r="T6164" s="2228"/>
      <c r="U6164" s="2228"/>
      <c r="V6164" s="2228"/>
      <c r="W6164" s="2228"/>
      <c r="X6164" s="2228"/>
      <c r="Y6164" s="2228"/>
      <c r="Z6164" s="2228"/>
      <c r="AA6164" s="2228"/>
      <c r="AB6164" s="2228"/>
      <c r="AC6164" s="2228"/>
      <c r="AD6164" s="2228"/>
    </row>
    <row r="6165" spans="1:30" s="2229" customFormat="1" ht="20.100000000000001" customHeight="1">
      <c r="A6165" s="2511"/>
      <c r="B6165" s="2224" t="s">
        <v>11289</v>
      </c>
      <c r="C6165" s="2225">
        <v>17115</v>
      </c>
      <c r="D6165" s="243">
        <f t="shared" si="834"/>
        <v>4515.1107044776118</v>
      </c>
      <c r="E6165" s="2226">
        <v>400</v>
      </c>
      <c r="F6165" s="2227">
        <f t="shared" si="831"/>
        <v>4915.1107044776118</v>
      </c>
      <c r="G6165" s="2227" t="s">
        <v>13334</v>
      </c>
      <c r="H6165" s="2138" t="str">
        <f t="shared" si="832"/>
        <v>3WT8252-5AA00-0AA2</v>
      </c>
      <c r="I6165" s="2139" t="s">
        <v>11053</v>
      </c>
      <c r="J6165" s="2140" t="s">
        <v>1970</v>
      </c>
      <c r="K6165" s="2129" t="s">
        <v>741</v>
      </c>
      <c r="L6165" s="2228"/>
      <c r="M6165" s="2228"/>
      <c r="N6165" s="2228"/>
      <c r="O6165" s="2228"/>
      <c r="P6165" s="2228"/>
      <c r="Q6165" s="2228"/>
      <c r="R6165" s="2228"/>
      <c r="S6165" s="2228"/>
      <c r="T6165" s="2228"/>
      <c r="U6165" s="2228"/>
      <c r="V6165" s="2228"/>
      <c r="W6165" s="2228"/>
      <c r="X6165" s="2228"/>
      <c r="Y6165" s="2228"/>
      <c r="Z6165" s="2228"/>
      <c r="AA6165" s="2228"/>
      <c r="AB6165" s="2228"/>
      <c r="AC6165" s="2228"/>
      <c r="AD6165" s="2228"/>
    </row>
    <row r="6166" spans="1:30" s="2229" customFormat="1" ht="20.100000000000001" customHeight="1">
      <c r="A6166" s="2511"/>
      <c r="B6166" s="2224" t="s">
        <v>11290</v>
      </c>
      <c r="C6166" s="2225">
        <v>20230</v>
      </c>
      <c r="D6166" s="243">
        <f t="shared" si="834"/>
        <v>5336.879319402984</v>
      </c>
      <c r="E6166" s="2226">
        <v>500</v>
      </c>
      <c r="F6166" s="2227">
        <f t="shared" si="831"/>
        <v>5836.879319402984</v>
      </c>
      <c r="G6166" s="2227" t="s">
        <v>13335</v>
      </c>
      <c r="H6166" s="2138" t="str">
        <f t="shared" si="832"/>
        <v>3WT8322-5AA00-0AA2</v>
      </c>
      <c r="I6166" s="2139" t="s">
        <v>11053</v>
      </c>
      <c r="J6166" s="2140" t="s">
        <v>1970</v>
      </c>
      <c r="K6166" s="2129" t="s">
        <v>741</v>
      </c>
      <c r="L6166" s="2228"/>
      <c r="M6166" s="2228"/>
      <c r="N6166" s="2228"/>
      <c r="O6166" s="2228"/>
      <c r="P6166" s="2228"/>
      <c r="Q6166" s="2228"/>
      <c r="R6166" s="2228"/>
      <c r="S6166" s="2228"/>
      <c r="T6166" s="2228"/>
      <c r="U6166" s="2228"/>
      <c r="V6166" s="2228"/>
      <c r="W6166" s="2228"/>
      <c r="X6166" s="2228"/>
      <c r="Y6166" s="2228"/>
      <c r="Z6166" s="2228"/>
      <c r="AA6166" s="2228"/>
      <c r="AB6166" s="2228"/>
      <c r="AC6166" s="2228"/>
      <c r="AD6166" s="2228"/>
    </row>
    <row r="6167" spans="1:30" s="2229" customFormat="1" ht="20.100000000000001" customHeight="1">
      <c r="A6167" s="2511"/>
      <c r="B6167" s="2224" t="s">
        <v>11291</v>
      </c>
      <c r="C6167" s="2225">
        <v>29631</v>
      </c>
      <c r="D6167" s="243">
        <f t="shared" si="834"/>
        <v>7816.9585325373137</v>
      </c>
      <c r="E6167" s="2226">
        <v>500</v>
      </c>
      <c r="F6167" s="2227">
        <f t="shared" si="831"/>
        <v>8316.9585325373137</v>
      </c>
      <c r="G6167" s="2227" t="s">
        <v>13336</v>
      </c>
      <c r="H6167" s="2138" t="str">
        <f t="shared" si="832"/>
        <v>3WT8402-5AA02-0AA2</v>
      </c>
      <c r="I6167" s="2139" t="s">
        <v>11053</v>
      </c>
      <c r="J6167" s="2140" t="s">
        <v>1970</v>
      </c>
      <c r="K6167" s="2129" t="s">
        <v>741</v>
      </c>
      <c r="L6167" s="2228"/>
      <c r="M6167" s="2228"/>
      <c r="N6167" s="2228"/>
      <c r="O6167" s="2228"/>
      <c r="P6167" s="2228"/>
      <c r="Q6167" s="2228"/>
      <c r="R6167" s="2228"/>
      <c r="S6167" s="2228"/>
      <c r="T6167" s="2228"/>
      <c r="U6167" s="2228"/>
      <c r="V6167" s="2228"/>
      <c r="W6167" s="2228"/>
      <c r="X6167" s="2228"/>
      <c r="Y6167" s="2228"/>
      <c r="Z6167" s="2228"/>
      <c r="AA6167" s="2228"/>
      <c r="AB6167" s="2228"/>
      <c r="AC6167" s="2228"/>
      <c r="AD6167" s="2228"/>
    </row>
    <row r="6168" spans="1:30" s="2229" customFormat="1" ht="20.100000000000001" customHeight="1">
      <c r="A6168" s="2129"/>
      <c r="B6168" s="2224"/>
      <c r="C6168" s="2225"/>
      <c r="D6168" s="243"/>
      <c r="E6168" s="2226"/>
      <c r="F6168" s="2227"/>
      <c r="G6168" s="2227"/>
      <c r="H6168" s="2138"/>
      <c r="I6168" s="2139"/>
      <c r="J6168" s="2140"/>
      <c r="K6168" s="2129"/>
      <c r="L6168" s="2228"/>
      <c r="M6168" s="2228"/>
      <c r="N6168" s="2228"/>
      <c r="O6168" s="2228"/>
      <c r="P6168" s="2228"/>
      <c r="Q6168" s="2228"/>
      <c r="R6168" s="2228"/>
      <c r="S6168" s="2228"/>
      <c r="T6168" s="2228"/>
      <c r="U6168" s="2228"/>
      <c r="V6168" s="2228"/>
      <c r="W6168" s="2228"/>
      <c r="X6168" s="2228"/>
      <c r="Y6168" s="2228"/>
      <c r="Z6168" s="2228"/>
      <c r="AA6168" s="2228"/>
      <c r="AB6168" s="2228"/>
      <c r="AC6168" s="2228"/>
      <c r="AD6168" s="2228"/>
    </row>
    <row r="6169" spans="1:30" s="2211" customFormat="1" ht="20.100000000000001" customHeight="1">
      <c r="A6169" s="2129"/>
      <c r="B6169" s="679" t="s">
        <v>13337</v>
      </c>
      <c r="C6169" s="2225">
        <v>10452</v>
      </c>
      <c r="D6169" s="243">
        <f t="shared" ref="D6169:D6172" si="835">C6169*(1-VLOOKUP(I6169,descuentos,6,FALSE))*fcl/IF(dol_sol="dólar", TC,1)</f>
        <v>2757.3436799999999</v>
      </c>
      <c r="E6169" s="2226">
        <v>400</v>
      </c>
      <c r="F6169" s="2227">
        <f t="shared" ref="F6169:F6173" si="836">D6169+E6169</f>
        <v>3157.3436799999999</v>
      </c>
      <c r="G6169" s="2227" t="s">
        <v>13338</v>
      </c>
      <c r="H6169" s="2138" t="str">
        <f t="shared" ref="H6169:H6173" si="837">B6169</f>
        <v>3WT8161-7AA00-0AA2</v>
      </c>
      <c r="I6169" s="2139" t="s">
        <v>11053</v>
      </c>
      <c r="J6169" s="2140" t="s">
        <v>1970</v>
      </c>
      <c r="K6169" s="2129" t="s">
        <v>741</v>
      </c>
      <c r="L6169" s="2228"/>
      <c r="M6169" s="2228"/>
      <c r="N6169" s="2228"/>
      <c r="O6169" s="2228"/>
      <c r="P6169" s="2228"/>
      <c r="Q6169" s="2228"/>
      <c r="R6169" s="2228"/>
      <c r="S6169" s="2228"/>
      <c r="T6169" s="2228"/>
      <c r="U6169" s="2228"/>
      <c r="V6169" s="2228"/>
      <c r="W6169" s="2228"/>
      <c r="X6169" s="2228"/>
      <c r="Y6169" s="2228"/>
      <c r="Z6169" s="2228"/>
      <c r="AA6169" s="2228"/>
      <c r="AB6169" s="2228"/>
      <c r="AC6169" s="2228"/>
      <c r="AD6169" s="2228"/>
    </row>
    <row r="6170" spans="1:30" s="2211" customFormat="1" ht="20.100000000000001" customHeight="1">
      <c r="A6170" s="2129"/>
      <c r="B6170" s="679" t="s">
        <v>13339</v>
      </c>
      <c r="C6170" s="2225">
        <v>13809</v>
      </c>
      <c r="D6170" s="243">
        <f t="shared" ref="D6170" si="838">C6170*(1-VLOOKUP(I6170,descuentos,6,FALSE))*fcl/IF(dol_sol="dólar", TC,1)</f>
        <v>3642.9543510447766</v>
      </c>
      <c r="E6170" s="2226">
        <v>400</v>
      </c>
      <c r="F6170" s="2227">
        <f t="shared" si="836"/>
        <v>4042.9543510447766</v>
      </c>
      <c r="G6170" s="2227" t="s">
        <v>13340</v>
      </c>
      <c r="H6170" s="2138" t="str">
        <f t="shared" si="837"/>
        <v>3WT8165-7AA00-0AA2</v>
      </c>
      <c r="I6170" s="2139" t="s">
        <v>11053</v>
      </c>
      <c r="J6170" s="2140" t="s">
        <v>1970</v>
      </c>
      <c r="K6170" s="2129" t="s">
        <v>741</v>
      </c>
      <c r="L6170" s="2228"/>
      <c r="M6170" s="2228"/>
      <c r="N6170" s="2228"/>
      <c r="O6170" s="2228"/>
      <c r="P6170" s="2228"/>
      <c r="Q6170" s="2228"/>
      <c r="R6170" s="2228"/>
      <c r="S6170" s="2228"/>
      <c r="T6170" s="2228"/>
      <c r="U6170" s="2228"/>
      <c r="V6170" s="2228"/>
      <c r="W6170" s="2228"/>
      <c r="X6170" s="2228"/>
      <c r="Y6170" s="2228"/>
      <c r="Z6170" s="2228"/>
      <c r="AA6170" s="2228"/>
      <c r="AB6170" s="2228"/>
      <c r="AC6170" s="2228"/>
      <c r="AD6170" s="2228"/>
    </row>
    <row r="6171" spans="1:30" s="2211" customFormat="1" ht="20.100000000000001" customHeight="1">
      <c r="A6171" s="2129"/>
      <c r="B6171" s="679"/>
      <c r="C6171" s="2225"/>
      <c r="D6171" s="243"/>
      <c r="E6171" s="2226"/>
      <c r="F6171" s="2227"/>
      <c r="G6171" s="2227"/>
      <c r="H6171" s="2138"/>
      <c r="I6171" s="2139"/>
      <c r="J6171" s="2140"/>
      <c r="K6171" s="2129"/>
      <c r="L6171" s="2228"/>
      <c r="M6171" s="2228"/>
      <c r="N6171" s="2228"/>
      <c r="O6171" s="2228"/>
      <c r="P6171" s="2228"/>
      <c r="Q6171" s="2228"/>
      <c r="R6171" s="2228"/>
      <c r="S6171" s="2228"/>
      <c r="T6171" s="2228"/>
      <c r="U6171" s="2228"/>
      <c r="V6171" s="2228"/>
      <c r="W6171" s="2228"/>
      <c r="X6171" s="2228"/>
      <c r="Y6171" s="2228"/>
      <c r="Z6171" s="2228"/>
      <c r="AA6171" s="2228"/>
      <c r="AB6171" s="2228"/>
      <c r="AC6171" s="2228"/>
      <c r="AD6171" s="2228"/>
    </row>
    <row r="6172" spans="1:30" s="2211" customFormat="1" ht="20.100000000000001" customHeight="1">
      <c r="A6172" s="2129"/>
      <c r="B6172" s="679" t="s">
        <v>13341</v>
      </c>
      <c r="C6172" s="2225">
        <v>14177</v>
      </c>
      <c r="D6172" s="243">
        <f t="shared" si="835"/>
        <v>3740.0364859701485</v>
      </c>
      <c r="E6172" s="2226">
        <v>400</v>
      </c>
      <c r="F6172" s="2227">
        <f t="shared" si="836"/>
        <v>4140.0364859701485</v>
      </c>
      <c r="G6172" s="2227" t="s">
        <v>13342</v>
      </c>
      <c r="H6172" s="2138" t="str">
        <f t="shared" si="837"/>
        <v>3WT8202-7AA00-0AA2</v>
      </c>
      <c r="I6172" s="2139" t="s">
        <v>11053</v>
      </c>
      <c r="J6172" s="2140" t="s">
        <v>1970</v>
      </c>
      <c r="K6172" s="2129" t="s">
        <v>741</v>
      </c>
      <c r="L6172" s="2228"/>
      <c r="M6172" s="2228"/>
      <c r="N6172" s="2228"/>
      <c r="O6172" s="2228"/>
      <c r="P6172" s="2228"/>
      <c r="Q6172" s="2228"/>
      <c r="R6172" s="2228"/>
      <c r="S6172" s="2228"/>
      <c r="T6172" s="2228"/>
      <c r="U6172" s="2228"/>
      <c r="V6172" s="2228"/>
      <c r="W6172" s="2228"/>
      <c r="X6172" s="2228"/>
      <c r="Y6172" s="2228"/>
      <c r="Z6172" s="2228"/>
      <c r="AA6172" s="2228"/>
      <c r="AB6172" s="2228"/>
      <c r="AC6172" s="2228"/>
      <c r="AD6172" s="2228"/>
    </row>
    <row r="6173" spans="1:30" s="2211" customFormat="1" ht="20.100000000000001" customHeight="1">
      <c r="A6173" s="2129"/>
      <c r="B6173" s="679" t="s">
        <v>13343</v>
      </c>
      <c r="C6173" s="2225">
        <v>18622</v>
      </c>
      <c r="D6173" s="243">
        <f t="shared" ref="D6173" si="839">C6173*(1-VLOOKUP(I6173,descuentos,6,FALSE))*fcl/IF(dol_sol="dólar", TC,1)</f>
        <v>4912.6725994029848</v>
      </c>
      <c r="E6173" s="2226">
        <v>400</v>
      </c>
      <c r="F6173" s="2227">
        <f t="shared" si="836"/>
        <v>5312.6725994029848</v>
      </c>
      <c r="G6173" s="2227" t="s">
        <v>13344</v>
      </c>
      <c r="H6173" s="2138" t="str">
        <f t="shared" si="837"/>
        <v>3WT8206-7AA00-0AA2</v>
      </c>
      <c r="I6173" s="2139" t="s">
        <v>11053</v>
      </c>
      <c r="J6173" s="2140" t="s">
        <v>1970</v>
      </c>
      <c r="K6173" s="2129" t="s">
        <v>741</v>
      </c>
      <c r="L6173" s="2228"/>
      <c r="M6173" s="2228"/>
      <c r="N6173" s="2228"/>
      <c r="O6173" s="2228"/>
      <c r="P6173" s="2228"/>
      <c r="Q6173" s="2228"/>
      <c r="R6173" s="2228"/>
      <c r="S6173" s="2228"/>
      <c r="T6173" s="2228"/>
      <c r="U6173" s="2228"/>
      <c r="V6173" s="2228"/>
      <c r="W6173" s="2228"/>
      <c r="X6173" s="2228"/>
      <c r="Y6173" s="2228"/>
      <c r="Z6173" s="2228"/>
      <c r="AA6173" s="2228"/>
      <c r="AB6173" s="2228"/>
      <c r="AC6173" s="2228"/>
      <c r="AD6173" s="2228"/>
    </row>
    <row r="6174" spans="1:30" s="2229" customFormat="1" ht="20.100000000000001" customHeight="1">
      <c r="A6174" s="2129"/>
      <c r="B6174" s="2224"/>
      <c r="C6174" s="2225"/>
      <c r="D6174" s="243"/>
      <c r="E6174" s="2226"/>
      <c r="F6174" s="2227"/>
      <c r="G6174" s="2227"/>
      <c r="H6174" s="2138"/>
      <c r="I6174" s="2139"/>
      <c r="J6174" s="2140"/>
      <c r="K6174" s="2129"/>
      <c r="L6174" s="2228"/>
      <c r="M6174" s="2228"/>
      <c r="N6174" s="2228"/>
      <c r="O6174" s="2228"/>
      <c r="P6174" s="2228"/>
      <c r="Q6174" s="2228"/>
      <c r="R6174" s="2228"/>
      <c r="S6174" s="2228"/>
      <c r="T6174" s="2228"/>
      <c r="U6174" s="2228"/>
      <c r="V6174" s="2228"/>
      <c r="W6174" s="2228"/>
      <c r="X6174" s="2228"/>
      <c r="Y6174" s="2228"/>
      <c r="Z6174" s="2228"/>
      <c r="AA6174" s="2228"/>
      <c r="AB6174" s="2228"/>
      <c r="AC6174" s="2228"/>
      <c r="AD6174" s="2228"/>
    </row>
    <row r="6175" spans="1:30" s="203" customFormat="1">
      <c r="A6175" s="35"/>
      <c r="B6175" s="612" t="s">
        <v>11292</v>
      </c>
      <c r="C6175" s="597">
        <v>1596</v>
      </c>
      <c r="D6175" s="244">
        <f t="shared" ref="D6175:D6177" si="840">C6175*(1-VLOOKUP(I6175,descuentos,6,FALSE))*fcl/IF(dol_sol="dólar", TC,1)</f>
        <v>421.04099820895516</v>
      </c>
      <c r="E6175" s="170">
        <v>10</v>
      </c>
      <c r="F6175" s="24">
        <f t="shared" ref="F6175:F6179" si="841">D6175+E6175</f>
        <v>431.04099820895516</v>
      </c>
      <c r="G6175" s="24" t="s">
        <v>11293</v>
      </c>
      <c r="H6175" s="532" t="str">
        <f t="shared" ref="H6175:H6179" si="842">B6175</f>
        <v>3WT9831-1JK00</v>
      </c>
      <c r="I6175" s="2055" t="s">
        <v>11053</v>
      </c>
      <c r="J6175" s="416" t="s">
        <v>1970</v>
      </c>
      <c r="K6175" s="35" t="s">
        <v>741</v>
      </c>
    </row>
    <row r="6176" spans="1:30" s="203" customFormat="1">
      <c r="A6176" s="35"/>
      <c r="B6176" s="612" t="s">
        <v>11294</v>
      </c>
      <c r="C6176" s="597">
        <v>294</v>
      </c>
      <c r="D6176" s="244">
        <f t="shared" si="840"/>
        <v>77.560183880597009</v>
      </c>
      <c r="E6176" s="170">
        <v>10</v>
      </c>
      <c r="F6176" s="24">
        <f t="shared" si="841"/>
        <v>87.560183880597009</v>
      </c>
      <c r="G6176" s="24" t="s">
        <v>11295</v>
      </c>
      <c r="H6176" s="532" t="str">
        <f t="shared" si="842"/>
        <v>3WT9851-1JK00</v>
      </c>
      <c r="I6176" s="2055" t="s">
        <v>11053</v>
      </c>
      <c r="J6176" s="416" t="s">
        <v>1970</v>
      </c>
      <c r="K6176" s="35" t="s">
        <v>741</v>
      </c>
    </row>
    <row r="6177" spans="1:30" s="203" customFormat="1">
      <c r="A6177" s="35"/>
      <c r="B6177" s="612" t="s">
        <v>11296</v>
      </c>
      <c r="C6177" s="597">
        <v>294</v>
      </c>
      <c r="D6177" s="244">
        <f t="shared" si="840"/>
        <v>77.560183880597009</v>
      </c>
      <c r="E6177" s="170">
        <v>10</v>
      </c>
      <c r="F6177" s="24">
        <f t="shared" si="841"/>
        <v>87.560183880597009</v>
      </c>
      <c r="G6177" s="24" t="s">
        <v>11297</v>
      </c>
      <c r="H6177" s="532" t="str">
        <f t="shared" si="842"/>
        <v>3WT9853-1JK00</v>
      </c>
      <c r="I6177" s="2055" t="s">
        <v>11053</v>
      </c>
      <c r="J6177" s="416" t="s">
        <v>1970</v>
      </c>
      <c r="K6177" s="35" t="s">
        <v>741</v>
      </c>
    </row>
    <row r="6178" spans="1:30" s="203" customFormat="1" ht="17.25" customHeight="1">
      <c r="A6178" s="2133"/>
      <c r="B6178" s="2134" t="s">
        <v>12393</v>
      </c>
      <c r="C6178" s="2135">
        <v>75</v>
      </c>
      <c r="D6178" s="2128">
        <f t="shared" ref="D6178" si="843">C6178*(1-VLOOKUP(I6178,descuentos,6,FALSE))*fcl/IF(dol_sol="dólar", TC,1)</f>
        <v>19.785761194029849</v>
      </c>
      <c r="E6178" s="2136">
        <v>10</v>
      </c>
      <c r="F6178" s="2137">
        <f t="shared" si="841"/>
        <v>29.785761194029849</v>
      </c>
      <c r="G6178" s="2137" t="s">
        <v>12394</v>
      </c>
      <c r="H6178" s="2138" t="str">
        <f t="shared" si="842"/>
        <v>3WT9825-1JC00</v>
      </c>
      <c r="I6178" s="2139" t="s">
        <v>11053</v>
      </c>
      <c r="J6178" s="2140" t="s">
        <v>1970</v>
      </c>
      <c r="K6178" s="2129" t="s">
        <v>741</v>
      </c>
      <c r="L6178" s="202"/>
      <c r="M6178" s="202"/>
      <c r="N6178" s="202"/>
      <c r="O6178" s="202"/>
      <c r="P6178" s="202"/>
      <c r="Q6178" s="202"/>
      <c r="R6178" s="202"/>
      <c r="S6178" s="202"/>
      <c r="T6178" s="202"/>
      <c r="U6178" s="202"/>
      <c r="V6178" s="202"/>
      <c r="W6178" s="202"/>
      <c r="X6178" s="202"/>
      <c r="Y6178" s="202"/>
      <c r="Z6178" s="202"/>
      <c r="AA6178" s="202"/>
      <c r="AB6178" s="202"/>
      <c r="AC6178" s="202"/>
      <c r="AD6178" s="202"/>
    </row>
    <row r="6179" spans="1:30" s="203" customFormat="1" ht="17.25" customHeight="1">
      <c r="A6179" s="2133"/>
      <c r="B6179" s="2134" t="s">
        <v>12395</v>
      </c>
      <c r="C6179" s="2135">
        <v>1166</v>
      </c>
      <c r="D6179" s="2128">
        <f t="shared" ref="D6179" si="844">C6179*(1-VLOOKUP(I6179,descuentos,6,FALSE))*fcl/IF(dol_sol="dólar", TC,1)</f>
        <v>307.60263402985066</v>
      </c>
      <c r="E6179" s="2136">
        <v>10</v>
      </c>
      <c r="F6179" s="2137">
        <f t="shared" si="841"/>
        <v>317.60263402985066</v>
      </c>
      <c r="G6179" s="2137" t="s">
        <v>12396</v>
      </c>
      <c r="H6179" s="2138" t="str">
        <f t="shared" si="842"/>
        <v>3WT9866-3JA00</v>
      </c>
      <c r="I6179" s="2139" t="s">
        <v>11053</v>
      </c>
      <c r="J6179" s="2140" t="s">
        <v>1970</v>
      </c>
      <c r="K6179" s="2129" t="s">
        <v>741</v>
      </c>
      <c r="L6179" s="202"/>
      <c r="M6179" s="202"/>
      <c r="N6179" s="202"/>
      <c r="O6179" s="202"/>
      <c r="P6179" s="202"/>
      <c r="Q6179" s="202"/>
      <c r="R6179" s="202"/>
      <c r="S6179" s="202"/>
      <c r="T6179" s="202"/>
      <c r="U6179" s="202"/>
      <c r="V6179" s="202"/>
      <c r="W6179" s="202"/>
      <c r="X6179" s="202"/>
      <c r="Y6179" s="202"/>
      <c r="Z6179" s="202"/>
      <c r="AA6179" s="202"/>
      <c r="AB6179" s="202"/>
      <c r="AC6179" s="202"/>
      <c r="AD6179" s="202"/>
    </row>
    <row r="6180" spans="1:30" customFormat="1">
      <c r="A6180" s="35"/>
      <c r="B6180" s="600"/>
      <c r="C6180" s="597"/>
      <c r="D6180" s="244"/>
      <c r="E6180" s="445"/>
      <c r="F6180" s="24"/>
      <c r="G6180" s="24"/>
      <c r="H6180" s="532"/>
      <c r="I6180" s="2055"/>
      <c r="J6180" s="416"/>
      <c r="K6180" s="35"/>
    </row>
    <row r="6181" spans="1:30" s="203" customFormat="1">
      <c r="A6181" s="35"/>
      <c r="B6181" s="600"/>
      <c r="C6181" s="597"/>
      <c r="D6181" s="244"/>
      <c r="E6181" s="445"/>
      <c r="F6181" s="24"/>
      <c r="G6181" s="24"/>
      <c r="H6181" s="532"/>
      <c r="I6181" s="2055"/>
      <c r="J6181" s="416"/>
      <c r="K6181" s="35"/>
      <c r="L6181" s="202"/>
      <c r="M6181" s="202"/>
      <c r="N6181" s="202"/>
      <c r="O6181" s="202"/>
      <c r="P6181" s="202"/>
      <c r="Q6181" s="202"/>
      <c r="R6181" s="202"/>
      <c r="S6181" s="202"/>
      <c r="T6181" s="202"/>
      <c r="U6181" s="202"/>
      <c r="V6181" s="202"/>
      <c r="W6181" s="202"/>
      <c r="X6181" s="202"/>
      <c r="Y6181" s="202"/>
      <c r="Z6181" s="202"/>
      <c r="AA6181" s="202"/>
      <c r="AB6181" s="202"/>
      <c r="AC6181" s="202"/>
      <c r="AD6181" s="202"/>
    </row>
    <row r="6182" spans="1:30" s="203" customFormat="1">
      <c r="A6182" s="35"/>
      <c r="B6182" s="34" t="s">
        <v>11771</v>
      </c>
      <c r="C6182" s="597"/>
      <c r="D6182" s="244"/>
      <c r="E6182" s="445"/>
      <c r="F6182" s="24"/>
      <c r="G6182" s="35"/>
      <c r="H6182" s="532"/>
      <c r="I6182" s="2055"/>
      <c r="J6182" s="416"/>
      <c r="K6182" s="35"/>
      <c r="L6182" s="202"/>
      <c r="M6182" s="202"/>
      <c r="N6182" s="202"/>
      <c r="O6182" s="202"/>
      <c r="P6182" s="202"/>
      <c r="Q6182" s="202"/>
      <c r="R6182" s="202"/>
      <c r="S6182" s="202"/>
      <c r="T6182" s="202"/>
      <c r="U6182" s="202"/>
      <c r="V6182" s="202"/>
      <c r="W6182" s="202"/>
      <c r="X6182" s="202"/>
      <c r="Y6182" s="202"/>
      <c r="Z6182" s="202"/>
      <c r="AA6182" s="202"/>
      <c r="AB6182" s="202"/>
      <c r="AC6182" s="202"/>
      <c r="AD6182" s="202"/>
    </row>
    <row r="6183" spans="1:30" s="203" customFormat="1">
      <c r="A6183" s="604"/>
      <c r="B6183" s="612" t="s">
        <v>11772</v>
      </c>
      <c r="C6183" s="597">
        <v>3100</v>
      </c>
      <c r="D6183" s="244">
        <f t="shared" ref="D6183:D6184" si="845">C6183*(1-VLOOKUP(I6183,descuentos,6,FALSE))*fcl/IF(dol_sol="dólar", TC,1)</f>
        <v>817.8114626865671</v>
      </c>
      <c r="E6183" s="170">
        <v>210</v>
      </c>
      <c r="F6183" s="24">
        <f t="shared" ref="F6183:F6184" si="846">D6183+E6183</f>
        <v>1027.8114626865672</v>
      </c>
      <c r="G6183" s="24" t="s">
        <v>11773</v>
      </c>
      <c r="H6183" s="532" t="str">
        <f t="shared" ref="H6183:H6184" si="847">B6183</f>
        <v>3KC9000-8TL40</v>
      </c>
      <c r="I6183" s="2055" t="s">
        <v>11053</v>
      </c>
      <c r="J6183" s="416" t="s">
        <v>1970</v>
      </c>
      <c r="K6183" s="35" t="s">
        <v>741</v>
      </c>
      <c r="L6183" s="202"/>
      <c r="M6183" s="202"/>
      <c r="N6183" s="202"/>
      <c r="O6183" s="202"/>
      <c r="P6183" s="202"/>
      <c r="Q6183" s="202"/>
      <c r="R6183" s="202"/>
      <c r="S6183" s="202"/>
      <c r="T6183" s="202"/>
      <c r="U6183" s="202"/>
      <c r="V6183" s="202"/>
      <c r="W6183" s="202"/>
      <c r="X6183" s="202"/>
      <c r="Y6183" s="202"/>
      <c r="Z6183" s="202"/>
      <c r="AA6183" s="202"/>
      <c r="AB6183" s="202"/>
      <c r="AC6183" s="202"/>
      <c r="AD6183" s="202"/>
    </row>
    <row r="6184" spans="1:30" s="203" customFormat="1">
      <c r="A6184" s="604"/>
      <c r="B6184" s="612" t="s">
        <v>11774</v>
      </c>
      <c r="C6184" s="597">
        <v>1671</v>
      </c>
      <c r="D6184" s="244">
        <f t="shared" si="845"/>
        <v>440.82675940298503</v>
      </c>
      <c r="E6184" s="170">
        <v>50</v>
      </c>
      <c r="F6184" s="24">
        <f t="shared" si="846"/>
        <v>490.82675940298503</v>
      </c>
      <c r="G6184" s="24" t="s">
        <v>11775</v>
      </c>
      <c r="H6184" s="532" t="str">
        <f t="shared" si="847"/>
        <v>3KC9000-8TL73</v>
      </c>
      <c r="I6184" s="2055" t="s">
        <v>11053</v>
      </c>
      <c r="J6184" s="416" t="s">
        <v>1970</v>
      </c>
      <c r="K6184" s="35" t="s">
        <v>741</v>
      </c>
      <c r="L6184" s="202"/>
      <c r="M6184" s="202"/>
      <c r="N6184" s="202"/>
      <c r="O6184" s="202"/>
      <c r="P6184" s="202"/>
      <c r="Q6184" s="202"/>
      <c r="R6184" s="202"/>
      <c r="S6184" s="202"/>
      <c r="T6184" s="202"/>
      <c r="U6184" s="202"/>
      <c r="V6184" s="202"/>
      <c r="W6184" s="202"/>
      <c r="X6184" s="202"/>
      <c r="Y6184" s="202"/>
      <c r="Z6184" s="202"/>
      <c r="AA6184" s="202"/>
      <c r="AB6184" s="202"/>
      <c r="AC6184" s="202"/>
      <c r="AD6184" s="202"/>
    </row>
    <row r="6185" spans="1:30" s="203" customFormat="1">
      <c r="A6185" s="35"/>
      <c r="B6185" s="612"/>
      <c r="C6185" s="597"/>
      <c r="D6185" s="244"/>
      <c r="E6185" s="170"/>
      <c r="F6185" s="24"/>
      <c r="G6185" s="24"/>
      <c r="H6185" s="532"/>
      <c r="I6185" s="2055"/>
      <c r="J6185" s="416"/>
      <c r="K6185" s="35"/>
    </row>
    <row r="6186" spans="1:30" s="203" customFormat="1">
      <c r="A6186" s="35"/>
      <c r="B6186" s="612"/>
      <c r="C6186" s="597"/>
      <c r="D6186" s="244"/>
      <c r="E6186" s="170"/>
      <c r="F6186" s="24"/>
      <c r="G6186" s="24"/>
      <c r="H6186" s="532"/>
      <c r="I6186" s="2055"/>
      <c r="J6186" s="416"/>
      <c r="K6186" s="35"/>
    </row>
    <row r="6187" spans="1:30" s="203" customFormat="1" ht="16.5" customHeight="1">
      <c r="A6187" s="35"/>
      <c r="B6187" s="2204" t="s">
        <v>13137</v>
      </c>
      <c r="C6187" s="597"/>
      <c r="D6187" s="244"/>
      <c r="E6187" s="445"/>
      <c r="F6187" s="24"/>
      <c r="G6187" s="35"/>
      <c r="H6187" s="532"/>
      <c r="I6187" s="2055"/>
      <c r="J6187" s="416"/>
      <c r="K6187" s="35"/>
    </row>
    <row r="6188" spans="1:30" s="2211" customFormat="1" ht="24.75" customHeight="1">
      <c r="A6188" s="2205"/>
      <c r="B6188" s="2206" t="s">
        <v>13138</v>
      </c>
      <c r="C6188" s="2207">
        <v>4922</v>
      </c>
      <c r="D6188" s="2208">
        <f>C6188*0.5292*fcl/3.34</f>
        <v>1302.3612000000001</v>
      </c>
      <c r="E6188" s="2209">
        <v>5</v>
      </c>
      <c r="F6188" s="2210">
        <f t="shared" ref="F6188" si="848">D6188+E6188</f>
        <v>1307.3612000000001</v>
      </c>
      <c r="G6188" s="2210" t="s">
        <v>13139</v>
      </c>
      <c r="H6188" s="2138" t="s">
        <v>13138</v>
      </c>
      <c r="I6188" s="2139" t="s">
        <v>11053</v>
      </c>
      <c r="J6188" s="2140" t="s">
        <v>1970</v>
      </c>
      <c r="K6188" s="2129" t="s">
        <v>741</v>
      </c>
    </row>
    <row r="6189" spans="1:30" s="203" customFormat="1">
      <c r="A6189" s="194"/>
      <c r="B6189" s="146"/>
      <c r="C6189" s="597"/>
      <c r="D6189" s="244"/>
      <c r="E6189" s="194"/>
      <c r="F6189" s="194"/>
      <c r="G6189" s="147"/>
      <c r="H6189" s="532"/>
      <c r="I6189" s="2055"/>
      <c r="J6189" s="416"/>
      <c r="K6189" s="35"/>
    </row>
    <row r="6190" spans="1:30" s="203" customFormat="1">
      <c r="A6190" s="35"/>
      <c r="B6190" s="34" t="s">
        <v>13140</v>
      </c>
      <c r="C6190" s="597"/>
      <c r="D6190" s="244"/>
      <c r="E6190" s="445"/>
      <c r="F6190" s="24"/>
      <c r="G6190" s="35"/>
      <c r="H6190" s="532"/>
      <c r="I6190" s="2055"/>
      <c r="J6190" s="416"/>
      <c r="K6190" s="35"/>
    </row>
    <row r="6191" spans="1:30" s="203" customFormat="1" ht="15" customHeight="1">
      <c r="A6191" s="603"/>
      <c r="B6191" s="2212" t="s">
        <v>13141</v>
      </c>
      <c r="C6191" s="2213">
        <v>421</v>
      </c>
      <c r="D6191" s="2168">
        <f t="shared" ref="D6191:D6192" si="849">C6191*(1-VLOOKUP(I6191,descuentos,6,FALSE))*fcl/IF(dol_sol="dólar", TC,1)</f>
        <v>111.06407283582089</v>
      </c>
      <c r="E6191" s="2214">
        <v>5</v>
      </c>
      <c r="F6191" s="2170">
        <f t="shared" ref="F6191:F6192" si="850">D6191+E6191</f>
        <v>116.06407283582089</v>
      </c>
      <c r="G6191" s="2170" t="s">
        <v>13142</v>
      </c>
      <c r="H6191" s="532" t="s">
        <v>13141</v>
      </c>
      <c r="I6191" s="2055" t="s">
        <v>11053</v>
      </c>
      <c r="J6191" s="416" t="s">
        <v>1970</v>
      </c>
      <c r="K6191" s="35" t="s">
        <v>741</v>
      </c>
    </row>
    <row r="6192" spans="1:30" s="203" customFormat="1" ht="16.5" customHeight="1">
      <c r="A6192" s="603"/>
      <c r="B6192" s="2212" t="s">
        <v>13143</v>
      </c>
      <c r="C6192" s="2213">
        <v>544</v>
      </c>
      <c r="D6192" s="2168">
        <f t="shared" si="849"/>
        <v>143.51272119402984</v>
      </c>
      <c r="E6192" s="2214">
        <v>5</v>
      </c>
      <c r="F6192" s="2170">
        <f t="shared" si="850"/>
        <v>148.51272119402984</v>
      </c>
      <c r="G6192" s="2170" t="s">
        <v>13144</v>
      </c>
      <c r="H6192" s="532" t="s">
        <v>13143</v>
      </c>
      <c r="I6192" s="2055" t="s">
        <v>11053</v>
      </c>
      <c r="J6192" s="416" t="s">
        <v>1970</v>
      </c>
      <c r="K6192" s="35" t="s">
        <v>741</v>
      </c>
    </row>
    <row r="6193" spans="1:11" s="203" customFormat="1">
      <c r="A6193" s="194"/>
      <c r="B6193" s="146"/>
      <c r="C6193" s="597"/>
      <c r="D6193" s="244"/>
      <c r="E6193" s="194"/>
      <c r="F6193" s="194"/>
      <c r="G6193" s="147"/>
      <c r="H6193" s="532"/>
      <c r="I6193" s="2055"/>
      <c r="J6193" s="416"/>
      <c r="K6193" s="35"/>
    </row>
    <row r="6194" spans="1:11" s="203" customFormat="1">
      <c r="A6194" s="35"/>
      <c r="B6194" s="34" t="s">
        <v>10901</v>
      </c>
      <c r="C6194" s="597"/>
      <c r="D6194" s="244"/>
      <c r="E6194" s="445"/>
      <c r="F6194" s="24"/>
      <c r="G6194" s="35"/>
      <c r="H6194" s="532"/>
      <c r="I6194" s="2055"/>
      <c r="J6194" s="416"/>
      <c r="K6194" s="35"/>
    </row>
    <row r="6195" spans="1:11" s="203" customFormat="1" ht="16.5" customHeight="1">
      <c r="A6195" s="603"/>
      <c r="B6195" s="2212" t="s">
        <v>13145</v>
      </c>
      <c r="C6195" s="2213">
        <v>345</v>
      </c>
      <c r="D6195" s="2168">
        <f t="shared" ref="D6195" si="851">C6195*(1-VLOOKUP(I6195,descuentos,6,FALSE))*fcl/IF(dol_sol="dólar", TC,1)</f>
        <v>91.014501492537306</v>
      </c>
      <c r="E6195" s="2214">
        <v>5</v>
      </c>
      <c r="F6195" s="2170">
        <f t="shared" ref="F6195:F6196" si="852">D6195+E6195</f>
        <v>96.014501492537306</v>
      </c>
      <c r="G6195" s="2170" t="s">
        <v>14270</v>
      </c>
      <c r="H6195" s="532" t="s">
        <v>13145</v>
      </c>
      <c r="I6195" s="2055" t="s">
        <v>11053</v>
      </c>
      <c r="J6195" s="416" t="s">
        <v>1970</v>
      </c>
      <c r="K6195" s="35" t="s">
        <v>741</v>
      </c>
    </row>
    <row r="6196" spans="1:11" s="203" customFormat="1" ht="16.5" customHeight="1">
      <c r="A6196" s="603"/>
      <c r="B6196" s="2212" t="s">
        <v>13146</v>
      </c>
      <c r="C6196" s="2213">
        <v>438</v>
      </c>
      <c r="D6196" s="2168">
        <f t="shared" ref="D6196" si="853">C6196*(1-VLOOKUP(I6196,descuentos,6,FALSE))*fcl/IF(dol_sol="dólar", TC,1)</f>
        <v>115.54884537313433</v>
      </c>
      <c r="E6196" s="2214">
        <v>5</v>
      </c>
      <c r="F6196" s="2170">
        <f t="shared" si="852"/>
        <v>120.54884537313433</v>
      </c>
      <c r="G6196" s="2170" t="s">
        <v>14271</v>
      </c>
      <c r="H6196" s="532" t="s">
        <v>13146</v>
      </c>
      <c r="I6196" s="2055" t="s">
        <v>11053</v>
      </c>
      <c r="J6196" s="416" t="s">
        <v>1970</v>
      </c>
      <c r="K6196" s="35" t="s">
        <v>741</v>
      </c>
    </row>
    <row r="6197" spans="1:11" s="203" customFormat="1">
      <c r="A6197" s="35"/>
      <c r="B6197" s="612"/>
      <c r="C6197" s="597"/>
      <c r="D6197" s="244"/>
      <c r="E6197" s="170"/>
      <c r="F6197" s="24"/>
      <c r="G6197" s="24"/>
      <c r="H6197" s="532"/>
      <c r="I6197" s="2055"/>
      <c r="J6197" s="416"/>
      <c r="K6197" s="35"/>
    </row>
    <row r="6198" spans="1:11" s="203" customFormat="1">
      <c r="A6198" s="35"/>
      <c r="B6198" s="612"/>
      <c r="C6198" s="597"/>
      <c r="D6198" s="244"/>
      <c r="E6198" s="170"/>
      <c r="F6198" s="24"/>
      <c r="G6198" s="24"/>
      <c r="H6198" s="532"/>
      <c r="I6198" s="2055"/>
      <c r="J6198" s="416"/>
      <c r="K6198" s="35"/>
    </row>
    <row r="6199" spans="1:11" s="203" customFormat="1">
      <c r="A6199" s="35"/>
      <c r="B6199" s="612"/>
      <c r="C6199" s="597"/>
      <c r="D6199" s="244"/>
      <c r="E6199" s="170"/>
      <c r="F6199" s="24"/>
      <c r="G6199" s="24"/>
      <c r="H6199" s="532"/>
      <c r="I6199" s="2055"/>
      <c r="J6199" s="416"/>
      <c r="K6199" s="35"/>
    </row>
    <row r="6200" spans="1:11" s="203" customFormat="1" ht="16.5">
      <c r="A6200" s="605"/>
      <c r="B6200" s="2065" t="s">
        <v>11298</v>
      </c>
      <c r="C6200" s="597"/>
      <c r="D6200" s="244"/>
      <c r="E6200" s="607"/>
      <c r="F6200" s="608"/>
      <c r="G6200" s="608"/>
      <c r="H6200" s="532"/>
      <c r="I6200" s="2055" t="s">
        <v>11053</v>
      </c>
      <c r="J6200" s="416"/>
      <c r="K6200" s="35"/>
    </row>
    <row r="6201" spans="1:11" customFormat="1">
      <c r="A6201" s="2000"/>
      <c r="B6201" t="s">
        <v>11690</v>
      </c>
      <c r="C6201" s="597">
        <f>238*1.2</f>
        <v>285.59999999999997</v>
      </c>
      <c r="D6201" s="244">
        <f t="shared" ref="D6201:D6209" si="854">C6201*(1-VLOOKUP(I6201,descuentos,6,FALSE))*fcl/IF(dol_sol="dólar", TC,1)</f>
        <v>75.344178626865656</v>
      </c>
      <c r="E6201" s="170">
        <v>15</v>
      </c>
      <c r="F6201" s="24">
        <f t="shared" ref="F6201:F6209" si="855">D6201+E6201</f>
        <v>90.344178626865656</v>
      </c>
      <c r="G6201" s="465" t="s">
        <v>11691</v>
      </c>
      <c r="H6201" s="532" t="str">
        <f t="shared" ref="H6201:H6209" si="856">B6201</f>
        <v>3VM1196-3ED12-0AA0</v>
      </c>
      <c r="I6201" s="2055" t="s">
        <v>11053</v>
      </c>
      <c r="J6201" s="416" t="s">
        <v>1970</v>
      </c>
      <c r="K6201" s="35" t="s">
        <v>741</v>
      </c>
    </row>
    <row r="6202" spans="1:11" customFormat="1">
      <c r="A6202" s="2000"/>
      <c r="B6202" t="s">
        <v>11692</v>
      </c>
      <c r="C6202" s="597">
        <f t="shared" ref="C6202:C6207" si="857">238*1.2</f>
        <v>285.59999999999997</v>
      </c>
      <c r="D6202" s="244">
        <f t="shared" si="854"/>
        <v>75.344178626865656</v>
      </c>
      <c r="E6202" s="170">
        <v>15</v>
      </c>
      <c r="F6202" s="24">
        <f t="shared" si="855"/>
        <v>90.344178626865656</v>
      </c>
      <c r="G6202" s="465" t="s">
        <v>11693</v>
      </c>
      <c r="H6202" s="532" t="str">
        <f t="shared" si="856"/>
        <v>3VM1120-3ED12-0AA0</v>
      </c>
      <c r="I6202" s="2055" t="s">
        <v>11053</v>
      </c>
      <c r="J6202" s="416" t="s">
        <v>1970</v>
      </c>
      <c r="K6202" s="35" t="s">
        <v>741</v>
      </c>
    </row>
    <row r="6203" spans="1:11" customFormat="1">
      <c r="A6203" s="2000"/>
      <c r="B6203" t="s">
        <v>11694</v>
      </c>
      <c r="C6203" s="597">
        <f t="shared" si="857"/>
        <v>285.59999999999997</v>
      </c>
      <c r="D6203" s="244">
        <f t="shared" si="854"/>
        <v>75.344178626865656</v>
      </c>
      <c r="E6203" s="170">
        <v>15</v>
      </c>
      <c r="F6203" s="24">
        <f t="shared" si="855"/>
        <v>90.344178626865656</v>
      </c>
      <c r="G6203" s="465" t="s">
        <v>11695</v>
      </c>
      <c r="H6203" s="532" t="str">
        <f t="shared" si="856"/>
        <v>3VM1125-3ED12-0AA0</v>
      </c>
      <c r="I6203" s="2055" t="s">
        <v>11053</v>
      </c>
      <c r="J6203" s="416" t="s">
        <v>1970</v>
      </c>
      <c r="K6203" s="35" t="s">
        <v>741</v>
      </c>
    </row>
    <row r="6204" spans="1:11" customFormat="1" ht="14.25" customHeight="1">
      <c r="A6204" s="2000"/>
      <c r="B6204" t="s">
        <v>11696</v>
      </c>
      <c r="C6204" s="597">
        <f t="shared" si="857"/>
        <v>285.59999999999997</v>
      </c>
      <c r="D6204" s="244">
        <f t="shared" si="854"/>
        <v>75.344178626865656</v>
      </c>
      <c r="E6204" s="170">
        <v>15</v>
      </c>
      <c r="F6204" s="24">
        <f t="shared" si="855"/>
        <v>90.344178626865656</v>
      </c>
      <c r="G6204" s="465" t="s">
        <v>11697</v>
      </c>
      <c r="H6204" s="532" t="str">
        <f t="shared" si="856"/>
        <v>3VM1132-3ED12-0AA0</v>
      </c>
      <c r="I6204" s="2055" t="s">
        <v>11053</v>
      </c>
      <c r="J6204" s="416" t="s">
        <v>1970</v>
      </c>
      <c r="K6204" s="35" t="s">
        <v>741</v>
      </c>
    </row>
    <row r="6205" spans="1:11" customFormat="1" ht="14.25" customHeight="1">
      <c r="A6205" s="2000"/>
      <c r="B6205" t="s">
        <v>11698</v>
      </c>
      <c r="C6205" s="597">
        <f t="shared" si="857"/>
        <v>285.59999999999997</v>
      </c>
      <c r="D6205" s="244">
        <f t="shared" si="854"/>
        <v>75.344178626865656</v>
      </c>
      <c r="E6205" s="170">
        <v>15</v>
      </c>
      <c r="F6205" s="24">
        <f t="shared" si="855"/>
        <v>90.344178626865656</v>
      </c>
      <c r="G6205" s="465" t="s">
        <v>11699</v>
      </c>
      <c r="H6205" s="532" t="str">
        <f t="shared" si="856"/>
        <v>3VM1140-3ED12-0AA0</v>
      </c>
      <c r="I6205" s="2055" t="s">
        <v>11053</v>
      </c>
      <c r="J6205" s="416" t="s">
        <v>1970</v>
      </c>
      <c r="K6205" s="35" t="s">
        <v>741</v>
      </c>
    </row>
    <row r="6206" spans="1:11" customFormat="1" ht="14.25" customHeight="1">
      <c r="A6206" s="2000"/>
      <c r="B6206" t="s">
        <v>11700</v>
      </c>
      <c r="C6206" s="597">
        <f t="shared" si="857"/>
        <v>285.59999999999997</v>
      </c>
      <c r="D6206" s="244">
        <f t="shared" si="854"/>
        <v>75.344178626865656</v>
      </c>
      <c r="E6206" s="170">
        <v>15</v>
      </c>
      <c r="F6206" s="24">
        <f t="shared" si="855"/>
        <v>90.344178626865656</v>
      </c>
      <c r="G6206" s="465" t="s">
        <v>11701</v>
      </c>
      <c r="H6206" s="532" t="str">
        <f t="shared" si="856"/>
        <v>3VM1150-3ED12-0AA0</v>
      </c>
      <c r="I6206" s="2055" t="s">
        <v>11053</v>
      </c>
      <c r="J6206" s="416" t="s">
        <v>1970</v>
      </c>
      <c r="K6206" s="35" t="s">
        <v>741</v>
      </c>
    </row>
    <row r="6207" spans="1:11" customFormat="1">
      <c r="A6207" s="2000"/>
      <c r="B6207" t="s">
        <v>11702</v>
      </c>
      <c r="C6207" s="597">
        <f t="shared" si="857"/>
        <v>285.59999999999997</v>
      </c>
      <c r="D6207" s="244">
        <f t="shared" si="854"/>
        <v>75.344178626865656</v>
      </c>
      <c r="E6207" s="170">
        <v>15</v>
      </c>
      <c r="F6207" s="24">
        <f t="shared" si="855"/>
        <v>90.344178626865656</v>
      </c>
      <c r="G6207" s="465" t="s">
        <v>11703</v>
      </c>
      <c r="H6207" s="532" t="str">
        <f t="shared" si="856"/>
        <v>3VM1163-3ED12-0AA0</v>
      </c>
      <c r="I6207" s="2055" t="s">
        <v>11053</v>
      </c>
      <c r="J6207" s="416" t="s">
        <v>1970</v>
      </c>
      <c r="K6207" s="35" t="s">
        <v>741</v>
      </c>
    </row>
    <row r="6208" spans="1:11" customFormat="1">
      <c r="A6208" s="2000"/>
      <c r="B6208" t="s">
        <v>11704</v>
      </c>
      <c r="C6208" s="597">
        <f>266*1.2</f>
        <v>319.2</v>
      </c>
      <c r="D6208" s="244">
        <f t="shared" si="854"/>
        <v>84.20819964179104</v>
      </c>
      <c r="E6208" s="170">
        <v>15</v>
      </c>
      <c r="F6208" s="24">
        <f t="shared" si="855"/>
        <v>99.20819964179104</v>
      </c>
      <c r="G6208" s="465" t="s">
        <v>11705</v>
      </c>
      <c r="H6208" s="532" t="str">
        <f t="shared" si="856"/>
        <v>3VM1180-3ED12-0AA0</v>
      </c>
      <c r="I6208" s="2055" t="s">
        <v>11053</v>
      </c>
      <c r="J6208" s="416" t="s">
        <v>1970</v>
      </c>
      <c r="K6208" s="35" t="s">
        <v>741</v>
      </c>
    </row>
    <row r="6209" spans="1:11" customFormat="1">
      <c r="A6209" s="2000"/>
      <c r="B6209" t="s">
        <v>11706</v>
      </c>
      <c r="C6209" s="597">
        <f>303*1.2</f>
        <v>363.59999999999997</v>
      </c>
      <c r="D6209" s="244">
        <f t="shared" si="854"/>
        <v>95.921370268656702</v>
      </c>
      <c r="E6209" s="170">
        <v>15</v>
      </c>
      <c r="F6209" s="24">
        <f t="shared" si="855"/>
        <v>110.9213702686567</v>
      </c>
      <c r="G6209" s="465" t="s">
        <v>11707</v>
      </c>
      <c r="H6209" s="532" t="str">
        <f t="shared" si="856"/>
        <v>3VM1110-3ED12-0AA0</v>
      </c>
      <c r="I6209" s="2055" t="s">
        <v>11053</v>
      </c>
      <c r="J6209" s="416" t="s">
        <v>1970</v>
      </c>
      <c r="K6209" s="35" t="s">
        <v>741</v>
      </c>
    </row>
    <row r="6210" spans="1:11" customFormat="1">
      <c r="A6210" s="2000"/>
      <c r="C6210" s="597"/>
      <c r="D6210" s="244"/>
      <c r="E6210" s="170"/>
      <c r="F6210" s="24"/>
      <c r="G6210" s="465"/>
      <c r="H6210" s="532"/>
      <c r="I6210" s="2055"/>
      <c r="J6210" s="416"/>
      <c r="K6210" s="35"/>
    </row>
    <row r="6211" spans="1:11" customFormat="1">
      <c r="A6211" s="2000"/>
      <c r="B6211" t="s">
        <v>10198</v>
      </c>
      <c r="C6211" s="597">
        <v>238</v>
      </c>
      <c r="D6211" s="244">
        <f t="shared" ref="D6211:D6219" si="858">C6211*(1-VLOOKUP(I6211,descuentos,6,FALSE))*fcl/IF(dol_sol="dólar", TC,1)</f>
        <v>62.786815522388061</v>
      </c>
      <c r="E6211" s="170">
        <v>15</v>
      </c>
      <c r="F6211" s="24">
        <f t="shared" ref="F6211:F6219" si="859">D6211+E6211</f>
        <v>77.786815522388054</v>
      </c>
      <c r="G6211" s="465" t="s">
        <v>11708</v>
      </c>
      <c r="H6211" s="532" t="str">
        <f t="shared" ref="H6211:H6219" si="860">B6211</f>
        <v>3VM1196-3ED22-0AA0</v>
      </c>
      <c r="I6211" s="2055" t="s">
        <v>11053</v>
      </c>
      <c r="J6211" s="416" t="s">
        <v>1970</v>
      </c>
      <c r="K6211" s="35" t="s">
        <v>741</v>
      </c>
    </row>
    <row r="6212" spans="1:11" customFormat="1">
      <c r="A6212" s="2000"/>
      <c r="B6212" t="s">
        <v>10245</v>
      </c>
      <c r="C6212" s="597">
        <v>238</v>
      </c>
      <c r="D6212" s="244">
        <f t="shared" si="858"/>
        <v>62.786815522388061</v>
      </c>
      <c r="E6212" s="170">
        <v>15</v>
      </c>
      <c r="F6212" s="24">
        <f t="shared" si="859"/>
        <v>77.786815522388054</v>
      </c>
      <c r="G6212" s="465" t="s">
        <v>11709</v>
      </c>
      <c r="H6212" s="532" t="str">
        <f t="shared" si="860"/>
        <v>3VM1120-3ED22-0AA0</v>
      </c>
      <c r="I6212" s="2055" t="s">
        <v>11053</v>
      </c>
      <c r="J6212" s="416" t="s">
        <v>1970</v>
      </c>
      <c r="K6212" s="35" t="s">
        <v>741</v>
      </c>
    </row>
    <row r="6213" spans="1:11" customFormat="1">
      <c r="A6213" s="2000"/>
      <c r="B6213" t="s">
        <v>10246</v>
      </c>
      <c r="C6213" s="597">
        <v>238</v>
      </c>
      <c r="D6213" s="244">
        <f t="shared" si="858"/>
        <v>62.786815522388061</v>
      </c>
      <c r="E6213" s="170">
        <v>15</v>
      </c>
      <c r="F6213" s="24">
        <f t="shared" si="859"/>
        <v>77.786815522388054</v>
      </c>
      <c r="G6213" s="465" t="s">
        <v>11710</v>
      </c>
      <c r="H6213" s="532" t="str">
        <f t="shared" si="860"/>
        <v>3VM1125-3ED22-0AA0</v>
      </c>
      <c r="I6213" s="2055" t="s">
        <v>11053</v>
      </c>
      <c r="J6213" s="416" t="s">
        <v>1970</v>
      </c>
      <c r="K6213" s="35" t="s">
        <v>741</v>
      </c>
    </row>
    <row r="6214" spans="1:11" customFormat="1" ht="14.25" customHeight="1">
      <c r="A6214" s="2000"/>
      <c r="B6214" t="s">
        <v>10247</v>
      </c>
      <c r="C6214" s="597">
        <v>238</v>
      </c>
      <c r="D6214" s="244">
        <f t="shared" si="858"/>
        <v>62.786815522388061</v>
      </c>
      <c r="E6214" s="170">
        <v>15</v>
      </c>
      <c r="F6214" s="24">
        <f t="shared" si="859"/>
        <v>77.786815522388054</v>
      </c>
      <c r="G6214" s="465" t="s">
        <v>11711</v>
      </c>
      <c r="H6214" s="532" t="str">
        <f t="shared" si="860"/>
        <v>3VM1132-3ED22-0AA0</v>
      </c>
      <c r="I6214" s="2055" t="s">
        <v>11053</v>
      </c>
      <c r="J6214" s="416" t="s">
        <v>1970</v>
      </c>
      <c r="K6214" s="35" t="s">
        <v>741</v>
      </c>
    </row>
    <row r="6215" spans="1:11" customFormat="1" ht="14.25" customHeight="1">
      <c r="A6215" s="2000"/>
      <c r="B6215" t="s">
        <v>10248</v>
      </c>
      <c r="C6215" s="597">
        <v>238</v>
      </c>
      <c r="D6215" s="244">
        <f t="shared" si="858"/>
        <v>62.786815522388061</v>
      </c>
      <c r="E6215" s="170">
        <v>15</v>
      </c>
      <c r="F6215" s="24">
        <f t="shared" si="859"/>
        <v>77.786815522388054</v>
      </c>
      <c r="G6215" s="465" t="s">
        <v>11712</v>
      </c>
      <c r="H6215" s="532" t="str">
        <f t="shared" si="860"/>
        <v>3VM1140-3ED22-0AA0</v>
      </c>
      <c r="I6215" s="2055" t="s">
        <v>11053</v>
      </c>
      <c r="J6215" s="416" t="s">
        <v>1970</v>
      </c>
      <c r="K6215" s="35" t="s">
        <v>741</v>
      </c>
    </row>
    <row r="6216" spans="1:11" customFormat="1" ht="14.25" customHeight="1">
      <c r="A6216" s="2000"/>
      <c r="B6216" t="s">
        <v>10249</v>
      </c>
      <c r="C6216" s="597">
        <v>238</v>
      </c>
      <c r="D6216" s="244">
        <f t="shared" si="858"/>
        <v>62.786815522388061</v>
      </c>
      <c r="E6216" s="170">
        <v>15</v>
      </c>
      <c r="F6216" s="24">
        <f t="shared" si="859"/>
        <v>77.786815522388054</v>
      </c>
      <c r="G6216" s="465" t="s">
        <v>11713</v>
      </c>
      <c r="H6216" s="532" t="str">
        <f t="shared" si="860"/>
        <v>3VM1150-3ED22-0AA0</v>
      </c>
      <c r="I6216" s="2055" t="s">
        <v>11053</v>
      </c>
      <c r="J6216" s="416" t="s">
        <v>1970</v>
      </c>
      <c r="K6216" s="35" t="s">
        <v>741</v>
      </c>
    </row>
    <row r="6217" spans="1:11" customFormat="1">
      <c r="A6217" s="2000"/>
      <c r="B6217" t="s">
        <v>10250</v>
      </c>
      <c r="C6217" s="597">
        <v>238</v>
      </c>
      <c r="D6217" s="244">
        <f t="shared" si="858"/>
        <v>62.786815522388061</v>
      </c>
      <c r="E6217" s="170">
        <v>15</v>
      </c>
      <c r="F6217" s="24">
        <f t="shared" si="859"/>
        <v>77.786815522388054</v>
      </c>
      <c r="G6217" s="465" t="s">
        <v>11714</v>
      </c>
      <c r="H6217" s="532" t="str">
        <f t="shared" si="860"/>
        <v>3VM1163-3ED22-0AA0</v>
      </c>
      <c r="I6217" s="2055" t="s">
        <v>11053</v>
      </c>
      <c r="J6217" s="416" t="s">
        <v>1970</v>
      </c>
      <c r="K6217" s="35" t="s">
        <v>741</v>
      </c>
    </row>
    <row r="6218" spans="1:11" customFormat="1">
      <c r="A6218" s="2000"/>
      <c r="B6218" t="s">
        <v>10251</v>
      </c>
      <c r="C6218" s="597">
        <v>266</v>
      </c>
      <c r="D6218" s="244">
        <f t="shared" si="858"/>
        <v>70.173499701492531</v>
      </c>
      <c r="E6218" s="170">
        <v>15</v>
      </c>
      <c r="F6218" s="24">
        <f t="shared" si="859"/>
        <v>85.173499701492531</v>
      </c>
      <c r="G6218" s="465" t="s">
        <v>11715</v>
      </c>
      <c r="H6218" s="532" t="str">
        <f t="shared" si="860"/>
        <v>3VM1180-3ED22-0AA0</v>
      </c>
      <c r="I6218" s="2055" t="s">
        <v>11053</v>
      </c>
      <c r="J6218" s="416" t="s">
        <v>1970</v>
      </c>
      <c r="K6218" s="35" t="s">
        <v>741</v>
      </c>
    </row>
    <row r="6219" spans="1:11" customFormat="1">
      <c r="A6219" s="2000"/>
      <c r="B6219" t="s">
        <v>10252</v>
      </c>
      <c r="C6219" s="597">
        <v>303</v>
      </c>
      <c r="D6219" s="244">
        <f t="shared" si="858"/>
        <v>79.934475223880582</v>
      </c>
      <c r="E6219" s="170">
        <v>15</v>
      </c>
      <c r="F6219" s="24">
        <f t="shared" si="859"/>
        <v>94.934475223880582</v>
      </c>
      <c r="G6219" s="465" t="s">
        <v>11716</v>
      </c>
      <c r="H6219" s="532" t="str">
        <f t="shared" si="860"/>
        <v>3VM1110-3ED22-0AA0</v>
      </c>
      <c r="I6219" s="2055" t="s">
        <v>11053</v>
      </c>
      <c r="J6219" s="416" t="s">
        <v>1970</v>
      </c>
      <c r="K6219" s="35" t="s">
        <v>741</v>
      </c>
    </row>
    <row r="6220" spans="1:11" s="203" customFormat="1">
      <c r="A6220" s="195"/>
      <c r="B6220" s="614"/>
      <c r="C6220" s="597"/>
      <c r="D6220" s="244"/>
      <c r="E6220" s="616"/>
      <c r="F6220" s="465"/>
      <c r="G6220" s="465"/>
      <c r="H6220" s="532"/>
      <c r="I6220" s="2055"/>
      <c r="J6220" s="416"/>
      <c r="K6220" s="35"/>
    </row>
    <row r="6221" spans="1:11" customFormat="1">
      <c r="A6221" s="2000"/>
      <c r="B6221" t="s">
        <v>10199</v>
      </c>
      <c r="C6221" s="597">
        <v>256</v>
      </c>
      <c r="D6221" s="244">
        <f t="shared" ref="D6221:D6249" si="861">C6221*(1-VLOOKUP(I6221,descuentos,6,FALSE))*fcl/IF(dol_sol="dólar", TC,1)</f>
        <v>67.535398208955215</v>
      </c>
      <c r="E6221" s="170">
        <v>15</v>
      </c>
      <c r="F6221" s="24">
        <f t="shared" ref="F6221:F6232" si="862">D6221+E6221</f>
        <v>82.535398208955215</v>
      </c>
      <c r="G6221" s="465" t="s">
        <v>11299</v>
      </c>
      <c r="H6221" s="532" t="str">
        <f t="shared" ref="H6221:H6266" si="863">B6221</f>
        <v>3VM1020-2ED32-0AA0</v>
      </c>
      <c r="I6221" s="2055" t="s">
        <v>11053</v>
      </c>
      <c r="J6221" s="416" t="s">
        <v>1970</v>
      </c>
      <c r="K6221" s="35" t="s">
        <v>741</v>
      </c>
    </row>
    <row r="6222" spans="1:11" customFormat="1">
      <c r="A6222" s="2000"/>
      <c r="B6222" t="s">
        <v>10253</v>
      </c>
      <c r="C6222" s="597">
        <v>256</v>
      </c>
      <c r="D6222" s="244">
        <f t="shared" si="861"/>
        <v>67.535398208955215</v>
      </c>
      <c r="E6222" s="170">
        <v>15</v>
      </c>
      <c r="F6222" s="24">
        <f t="shared" si="862"/>
        <v>82.535398208955215</v>
      </c>
      <c r="G6222" s="465" t="s">
        <v>11300</v>
      </c>
      <c r="H6222" s="532" t="str">
        <f t="shared" si="863"/>
        <v>3VM1025-2ED32-0AA0</v>
      </c>
      <c r="I6222" s="2055" t="s">
        <v>11053</v>
      </c>
      <c r="J6222" s="416" t="s">
        <v>1970</v>
      </c>
      <c r="K6222" s="35" t="s">
        <v>741</v>
      </c>
    </row>
    <row r="6223" spans="1:11" customFormat="1" ht="14.25" customHeight="1">
      <c r="A6223" s="2000"/>
      <c r="B6223" t="s">
        <v>10254</v>
      </c>
      <c r="C6223" s="597">
        <v>256</v>
      </c>
      <c r="D6223" s="244">
        <f t="shared" si="861"/>
        <v>67.535398208955215</v>
      </c>
      <c r="E6223" s="170">
        <v>15</v>
      </c>
      <c r="F6223" s="24">
        <f t="shared" si="862"/>
        <v>82.535398208955215</v>
      </c>
      <c r="G6223" s="465" t="s">
        <v>11301</v>
      </c>
      <c r="H6223" s="532" t="str">
        <f t="shared" si="863"/>
        <v>3VM1032-2ED32-0AA0</v>
      </c>
      <c r="I6223" s="2055" t="s">
        <v>11053</v>
      </c>
      <c r="J6223" s="416" t="s">
        <v>1970</v>
      </c>
      <c r="K6223" s="35" t="s">
        <v>741</v>
      </c>
    </row>
    <row r="6224" spans="1:11" customFormat="1">
      <c r="A6224" s="2000"/>
      <c r="B6224" t="s">
        <v>10255</v>
      </c>
      <c r="C6224" s="597">
        <v>256</v>
      </c>
      <c r="D6224" s="244">
        <f t="shared" si="861"/>
        <v>67.535398208955215</v>
      </c>
      <c r="E6224" s="170">
        <v>15</v>
      </c>
      <c r="F6224" s="24">
        <f t="shared" si="862"/>
        <v>82.535398208955215</v>
      </c>
      <c r="G6224" s="465" t="s">
        <v>11302</v>
      </c>
      <c r="H6224" s="532" t="str">
        <f t="shared" si="863"/>
        <v>3VM1040-2ED32-0AA0</v>
      </c>
      <c r="I6224" s="2055" t="s">
        <v>11053</v>
      </c>
      <c r="J6224" s="416" t="s">
        <v>1970</v>
      </c>
      <c r="K6224" s="35" t="s">
        <v>741</v>
      </c>
    </row>
    <row r="6225" spans="1:30" customFormat="1">
      <c r="A6225" s="2000"/>
      <c r="B6225" t="s">
        <v>10256</v>
      </c>
      <c r="C6225" s="597">
        <v>256</v>
      </c>
      <c r="D6225" s="244">
        <f t="shared" si="861"/>
        <v>67.535398208955215</v>
      </c>
      <c r="E6225" s="170">
        <v>15</v>
      </c>
      <c r="F6225" s="24">
        <f t="shared" si="862"/>
        <v>82.535398208955215</v>
      </c>
      <c r="G6225" s="465" t="s">
        <v>11303</v>
      </c>
      <c r="H6225" s="532" t="str">
        <f t="shared" si="863"/>
        <v>3VM1050-2ED32-0AA0</v>
      </c>
      <c r="I6225" s="2055" t="s">
        <v>11053</v>
      </c>
      <c r="J6225" s="416" t="s">
        <v>1970</v>
      </c>
      <c r="K6225" s="35" t="s">
        <v>741</v>
      </c>
    </row>
    <row r="6226" spans="1:30" customFormat="1">
      <c r="A6226" s="2000"/>
      <c r="B6226" t="s">
        <v>10257</v>
      </c>
      <c r="C6226" s="597">
        <v>256</v>
      </c>
      <c r="D6226" s="244">
        <f t="shared" si="861"/>
        <v>67.535398208955215</v>
      </c>
      <c r="E6226" s="170">
        <v>15</v>
      </c>
      <c r="F6226" s="24">
        <f t="shared" si="862"/>
        <v>82.535398208955215</v>
      </c>
      <c r="G6226" s="465" t="s">
        <v>11304</v>
      </c>
      <c r="H6226" s="532" t="str">
        <f t="shared" si="863"/>
        <v>3VM1063-2ED32-0AA0</v>
      </c>
      <c r="I6226" s="2055" t="s">
        <v>11053</v>
      </c>
      <c r="J6226" s="416" t="s">
        <v>1970</v>
      </c>
      <c r="K6226" s="35" t="s">
        <v>741</v>
      </c>
    </row>
    <row r="6227" spans="1:30" customFormat="1">
      <c r="A6227" s="2000"/>
      <c r="B6227" t="s">
        <v>10258</v>
      </c>
      <c r="C6227" s="597">
        <v>279</v>
      </c>
      <c r="D6227" s="244">
        <f t="shared" si="861"/>
        <v>73.603031641791048</v>
      </c>
      <c r="E6227" s="170">
        <v>15</v>
      </c>
      <c r="F6227" s="24">
        <f t="shared" si="862"/>
        <v>88.603031641791048</v>
      </c>
      <c r="G6227" s="465" t="s">
        <v>11305</v>
      </c>
      <c r="H6227" s="532" t="str">
        <f t="shared" si="863"/>
        <v>3VM1080-2ED32-0AA0</v>
      </c>
      <c r="I6227" s="2055" t="s">
        <v>11053</v>
      </c>
      <c r="J6227" s="416" t="s">
        <v>1970</v>
      </c>
      <c r="K6227" s="35" t="s">
        <v>741</v>
      </c>
    </row>
    <row r="6228" spans="1:30" customFormat="1">
      <c r="A6228" s="2000"/>
      <c r="B6228" t="s">
        <v>10259</v>
      </c>
      <c r="C6228" s="597">
        <v>317</v>
      </c>
      <c r="D6228" s="244">
        <f t="shared" si="861"/>
        <v>83.627817313432828</v>
      </c>
      <c r="E6228" s="170">
        <v>15</v>
      </c>
      <c r="F6228" s="24">
        <f t="shared" si="862"/>
        <v>98.627817313432828</v>
      </c>
      <c r="G6228" s="465" t="s">
        <v>11306</v>
      </c>
      <c r="H6228" s="532" t="str">
        <f t="shared" si="863"/>
        <v>3VM1010-2ED32-0AA0</v>
      </c>
      <c r="I6228" s="2055" t="s">
        <v>11053</v>
      </c>
      <c r="J6228" s="416" t="s">
        <v>1970</v>
      </c>
      <c r="K6228" s="35" t="s">
        <v>741</v>
      </c>
    </row>
    <row r="6229" spans="1:30" customFormat="1">
      <c r="A6229" s="2000"/>
      <c r="C6229" s="597"/>
      <c r="D6229" s="244"/>
      <c r="E6229" s="170"/>
      <c r="F6229" s="24"/>
      <c r="G6229" s="465"/>
      <c r="H6229" s="532"/>
      <c r="I6229" s="2055"/>
      <c r="J6229" s="416"/>
      <c r="K6229" s="35"/>
    </row>
    <row r="6230" spans="1:30" customFormat="1">
      <c r="A6230" s="2000"/>
      <c r="C6230" s="597"/>
      <c r="D6230" s="244"/>
      <c r="E6230" s="170"/>
      <c r="F6230" s="24"/>
      <c r="G6230" s="465"/>
      <c r="H6230" s="532"/>
      <c r="I6230" s="2055"/>
      <c r="J6230" s="416"/>
      <c r="K6230" s="35"/>
    </row>
    <row r="6231" spans="1:30" customFormat="1">
      <c r="A6231" s="2000"/>
      <c r="B6231" s="20" t="s">
        <v>10260</v>
      </c>
      <c r="C6231" s="597">
        <v>541</v>
      </c>
      <c r="D6231" s="244">
        <f t="shared" si="861"/>
        <v>142.72129074626864</v>
      </c>
      <c r="E6231" s="170">
        <v>15</v>
      </c>
      <c r="F6231" s="24">
        <f t="shared" si="862"/>
        <v>157.72129074626864</v>
      </c>
      <c r="G6231" s="465" t="s">
        <v>11307</v>
      </c>
      <c r="H6231" s="532" t="str">
        <f t="shared" si="863"/>
        <v>3VM1112-3ED32-0AA0</v>
      </c>
      <c r="I6231" s="2055" t="s">
        <v>11053</v>
      </c>
      <c r="J6231" s="416" t="s">
        <v>1970</v>
      </c>
      <c r="K6231" s="35" t="s">
        <v>741</v>
      </c>
    </row>
    <row r="6232" spans="1:30" customFormat="1">
      <c r="A6232" s="2000"/>
      <c r="B6232" s="20" t="s">
        <v>11308</v>
      </c>
      <c r="C6232" s="597">
        <v>634</v>
      </c>
      <c r="D6232" s="244">
        <f t="shared" si="861"/>
        <v>167.25563462686566</v>
      </c>
      <c r="E6232" s="170">
        <v>15</v>
      </c>
      <c r="F6232" s="24">
        <f t="shared" si="862"/>
        <v>182.25563462686566</v>
      </c>
      <c r="G6232" s="465" t="s">
        <v>11309</v>
      </c>
      <c r="H6232" s="532" t="str">
        <f t="shared" si="863"/>
        <v>3VM1116-3ED32-0AA0</v>
      </c>
      <c r="I6232" s="2055" t="s">
        <v>11053</v>
      </c>
      <c r="J6232" s="416" t="s">
        <v>1970</v>
      </c>
      <c r="K6232" s="35" t="s">
        <v>741</v>
      </c>
    </row>
    <row r="6233" spans="1:30" customFormat="1">
      <c r="A6233" s="2000"/>
      <c r="C6233" s="597"/>
      <c r="D6233" s="244"/>
      <c r="E6233" s="170"/>
      <c r="F6233" s="24"/>
      <c r="G6233" s="465"/>
      <c r="H6233" s="532"/>
      <c r="I6233" s="2055"/>
      <c r="J6233" s="416"/>
      <c r="K6233" s="35"/>
    </row>
    <row r="6234" spans="1:30" customFormat="1">
      <c r="A6234" s="2000"/>
      <c r="B6234" s="20" t="s">
        <v>10200</v>
      </c>
      <c r="C6234" s="597">
        <v>854</v>
      </c>
      <c r="D6234" s="244">
        <f t="shared" ref="D6234:D6235" si="864">C6234*(1-VLOOKUP(I6234,descuentos,6,FALSE))*fcl/IF(dol_sol="dólar", TC,1)</f>
        <v>225.29386746268656</v>
      </c>
      <c r="E6234" s="170">
        <v>15</v>
      </c>
      <c r="F6234" s="24">
        <f t="shared" ref="F6234:F6235" si="865">D6234+E6234</f>
        <v>240.29386746268656</v>
      </c>
      <c r="G6234" s="465" t="s">
        <v>11310</v>
      </c>
      <c r="H6234" s="532" t="str">
        <f t="shared" ref="H6234:H6235" si="866">B6234</f>
        <v>3VM1220-4ED32-0AA0</v>
      </c>
      <c r="I6234" s="2055" t="s">
        <v>11053</v>
      </c>
      <c r="J6234" s="416" t="s">
        <v>1970</v>
      </c>
      <c r="K6234" s="35" t="s">
        <v>741</v>
      </c>
    </row>
    <row r="6235" spans="1:30" customFormat="1">
      <c r="A6235" s="2000"/>
      <c r="B6235" s="20" t="s">
        <v>10201</v>
      </c>
      <c r="C6235" s="597">
        <v>970</v>
      </c>
      <c r="D6235" s="244">
        <f t="shared" si="864"/>
        <v>255.89584477611936</v>
      </c>
      <c r="E6235" s="170">
        <v>15</v>
      </c>
      <c r="F6235" s="24">
        <f t="shared" si="865"/>
        <v>270.89584477611936</v>
      </c>
      <c r="G6235" s="465" t="s">
        <v>11311</v>
      </c>
      <c r="H6235" s="532" t="str">
        <f t="shared" si="866"/>
        <v>3VM1225-4ED32-0AA0</v>
      </c>
      <c r="I6235" s="2055" t="s">
        <v>11053</v>
      </c>
      <c r="J6235" s="416" t="s">
        <v>1970</v>
      </c>
      <c r="K6235" s="35" t="s">
        <v>741</v>
      </c>
    </row>
    <row r="6236" spans="1:30" customFormat="1">
      <c r="A6236" s="2000"/>
      <c r="C6236" s="597"/>
      <c r="D6236" s="244"/>
      <c r="E6236" s="170"/>
      <c r="F6236" s="24"/>
      <c r="G6236" s="465"/>
      <c r="H6236" s="532"/>
      <c r="I6236" s="2055"/>
      <c r="J6236" s="416"/>
      <c r="K6236" s="35"/>
    </row>
    <row r="6237" spans="1:30" s="203" customFormat="1">
      <c r="A6237" s="195"/>
      <c r="B6237" s="614"/>
      <c r="C6237" s="597"/>
      <c r="D6237" s="244"/>
      <c r="E6237" s="616"/>
      <c r="F6237" s="465"/>
      <c r="G6237" s="465"/>
      <c r="H6237" s="532"/>
      <c r="I6237" s="2055"/>
      <c r="J6237" s="416"/>
      <c r="K6237" s="35"/>
    </row>
    <row r="6238" spans="1:30" s="203" customFormat="1">
      <c r="A6238" s="35"/>
      <c r="B6238" s="600"/>
      <c r="C6238" s="597"/>
      <c r="D6238" s="244"/>
      <c r="E6238" s="445"/>
      <c r="F6238" s="24"/>
      <c r="G6238" s="24"/>
      <c r="H6238" s="532"/>
      <c r="I6238" s="2055"/>
      <c r="J6238" s="416"/>
      <c r="K6238" s="35"/>
      <c r="L6238" s="106"/>
      <c r="M6238" s="106"/>
      <c r="N6238" s="106"/>
      <c r="O6238" s="106"/>
      <c r="P6238" s="106"/>
      <c r="Q6238" s="106"/>
      <c r="R6238" s="106"/>
      <c r="S6238" s="106"/>
      <c r="T6238" s="106"/>
      <c r="U6238" s="106"/>
      <c r="V6238" s="106"/>
      <c r="W6238" s="106"/>
      <c r="X6238" s="106"/>
      <c r="Y6238" s="106"/>
      <c r="Z6238" s="106"/>
      <c r="AA6238" s="106"/>
      <c r="AB6238" s="106"/>
      <c r="AC6238" s="106"/>
      <c r="AD6238" s="106"/>
    </row>
    <row r="6239" spans="1:30" customFormat="1">
      <c r="A6239" s="2000"/>
      <c r="B6239" s="20" t="s">
        <v>10202</v>
      </c>
      <c r="C6239" s="597">
        <v>343</v>
      </c>
      <c r="D6239" s="244">
        <f t="shared" si="861"/>
        <v>90.486881194029849</v>
      </c>
      <c r="E6239" s="170">
        <v>15</v>
      </c>
      <c r="F6239" s="24">
        <f t="shared" ref="F6239:F6249" si="867">D6239+E6239</f>
        <v>105.48688119402985</v>
      </c>
      <c r="G6239" s="465" t="s">
        <v>11312</v>
      </c>
      <c r="H6239" s="532" t="str">
        <f t="shared" si="863"/>
        <v>3VM1196-3EE32-0AA0</v>
      </c>
      <c r="I6239" s="2055" t="s">
        <v>11053</v>
      </c>
      <c r="J6239" s="416" t="s">
        <v>1970</v>
      </c>
      <c r="K6239" s="35" t="s">
        <v>741</v>
      </c>
    </row>
    <row r="6240" spans="1:30" customFormat="1">
      <c r="A6240" s="2000"/>
      <c r="B6240" t="s">
        <v>10203</v>
      </c>
      <c r="C6240" s="597">
        <v>343</v>
      </c>
      <c r="D6240" s="244">
        <f t="shared" si="861"/>
        <v>90.486881194029849</v>
      </c>
      <c r="E6240" s="170">
        <v>15</v>
      </c>
      <c r="F6240" s="24">
        <f t="shared" si="867"/>
        <v>105.48688119402985</v>
      </c>
      <c r="G6240" s="465" t="s">
        <v>11313</v>
      </c>
      <c r="H6240" s="532" t="str">
        <f t="shared" si="863"/>
        <v>3VM1120-3EE32-0AA0</v>
      </c>
      <c r="I6240" s="2055" t="s">
        <v>11053</v>
      </c>
      <c r="J6240" s="416" t="s">
        <v>1970</v>
      </c>
      <c r="K6240" s="35" t="s">
        <v>741</v>
      </c>
    </row>
    <row r="6241" spans="1:30" customFormat="1" ht="14.25" customHeight="1">
      <c r="A6241" s="2000"/>
      <c r="B6241" t="s">
        <v>10204</v>
      </c>
      <c r="C6241" s="597">
        <v>343</v>
      </c>
      <c r="D6241" s="244">
        <f t="shared" si="861"/>
        <v>90.486881194029849</v>
      </c>
      <c r="E6241" s="170">
        <v>15</v>
      </c>
      <c r="F6241" s="24">
        <f t="shared" si="867"/>
        <v>105.48688119402985</v>
      </c>
      <c r="G6241" s="465" t="s">
        <v>11314</v>
      </c>
      <c r="H6241" s="532" t="str">
        <f t="shared" si="863"/>
        <v>3VM1125-3EE32-0AA0</v>
      </c>
      <c r="I6241" s="2055" t="s">
        <v>11053</v>
      </c>
      <c r="J6241" s="416" t="s">
        <v>1970</v>
      </c>
      <c r="K6241" s="35" t="s">
        <v>741</v>
      </c>
    </row>
    <row r="6242" spans="1:30" customFormat="1">
      <c r="A6242" s="2000"/>
      <c r="B6242" t="s">
        <v>10205</v>
      </c>
      <c r="C6242" s="597">
        <v>343</v>
      </c>
      <c r="D6242" s="244">
        <f t="shared" si="861"/>
        <v>90.486881194029849</v>
      </c>
      <c r="E6242" s="170">
        <v>15</v>
      </c>
      <c r="F6242" s="24">
        <f t="shared" si="867"/>
        <v>105.48688119402985</v>
      </c>
      <c r="G6242" s="465" t="s">
        <v>11315</v>
      </c>
      <c r="H6242" s="532" t="str">
        <f t="shared" si="863"/>
        <v>3VM1132-3EE32-0AA0</v>
      </c>
      <c r="I6242" s="2055" t="s">
        <v>11053</v>
      </c>
      <c r="J6242" s="416" t="s">
        <v>1970</v>
      </c>
      <c r="K6242" s="35" t="s">
        <v>741</v>
      </c>
    </row>
    <row r="6243" spans="1:30" customFormat="1">
      <c r="A6243" s="2000"/>
      <c r="B6243" t="s">
        <v>10206</v>
      </c>
      <c r="C6243" s="597">
        <v>343</v>
      </c>
      <c r="D6243" s="244">
        <f t="shared" si="861"/>
        <v>90.486881194029849</v>
      </c>
      <c r="E6243" s="170">
        <v>15</v>
      </c>
      <c r="F6243" s="24">
        <f t="shared" si="867"/>
        <v>105.48688119402985</v>
      </c>
      <c r="G6243" s="465" t="s">
        <v>11316</v>
      </c>
      <c r="H6243" s="532" t="str">
        <f t="shared" si="863"/>
        <v>3VM1140-3EE32-0AA0</v>
      </c>
      <c r="I6243" s="2055" t="s">
        <v>11053</v>
      </c>
      <c r="J6243" s="416" t="s">
        <v>1970</v>
      </c>
      <c r="K6243" s="35" t="s">
        <v>741</v>
      </c>
    </row>
    <row r="6244" spans="1:30" customFormat="1">
      <c r="A6244" s="2000"/>
      <c r="B6244" t="s">
        <v>10207</v>
      </c>
      <c r="C6244" s="597">
        <v>343</v>
      </c>
      <c r="D6244" s="244">
        <f t="shared" si="861"/>
        <v>90.486881194029849</v>
      </c>
      <c r="E6244" s="170">
        <v>15</v>
      </c>
      <c r="F6244" s="24">
        <f t="shared" si="867"/>
        <v>105.48688119402985</v>
      </c>
      <c r="G6244" s="465" t="s">
        <v>11317</v>
      </c>
      <c r="H6244" s="532" t="str">
        <f t="shared" si="863"/>
        <v>3VM1150-3EE32-0AA0</v>
      </c>
      <c r="I6244" s="2055" t="s">
        <v>11053</v>
      </c>
      <c r="J6244" s="416" t="s">
        <v>1970</v>
      </c>
      <c r="K6244" s="35" t="s">
        <v>741</v>
      </c>
    </row>
    <row r="6245" spans="1:30" customFormat="1">
      <c r="A6245" s="2000"/>
      <c r="B6245" s="20" t="s">
        <v>10208</v>
      </c>
      <c r="C6245" s="597">
        <v>343</v>
      </c>
      <c r="D6245" s="244">
        <f t="shared" si="861"/>
        <v>90.486881194029849</v>
      </c>
      <c r="E6245" s="170">
        <v>15</v>
      </c>
      <c r="F6245" s="24">
        <f t="shared" si="867"/>
        <v>105.48688119402985</v>
      </c>
      <c r="G6245" s="465" t="s">
        <v>11318</v>
      </c>
      <c r="H6245" s="532" t="str">
        <f t="shared" si="863"/>
        <v>3VM1163-3EE32-0AA0</v>
      </c>
      <c r="I6245" s="2055" t="s">
        <v>11053</v>
      </c>
      <c r="J6245" s="416" t="s">
        <v>1970</v>
      </c>
      <c r="K6245" s="35" t="s">
        <v>741</v>
      </c>
    </row>
    <row r="6246" spans="1:30" customFormat="1">
      <c r="A6246" s="2000"/>
      <c r="B6246" t="s">
        <v>10209</v>
      </c>
      <c r="C6246" s="597">
        <v>376</v>
      </c>
      <c r="D6246" s="244">
        <f t="shared" si="861"/>
        <v>99.19261611940297</v>
      </c>
      <c r="E6246" s="170">
        <v>15</v>
      </c>
      <c r="F6246" s="24">
        <f t="shared" si="867"/>
        <v>114.19261611940297</v>
      </c>
      <c r="G6246" s="465" t="s">
        <v>11319</v>
      </c>
      <c r="H6246" s="532" t="str">
        <f t="shared" si="863"/>
        <v>3VM1180-3EE32-0AA0</v>
      </c>
      <c r="I6246" s="2055" t="s">
        <v>11053</v>
      </c>
      <c r="J6246" s="416" t="s">
        <v>1970</v>
      </c>
      <c r="K6246" s="35" t="s">
        <v>741</v>
      </c>
    </row>
    <row r="6247" spans="1:30" customFormat="1">
      <c r="A6247" s="2000"/>
      <c r="B6247" t="s">
        <v>10210</v>
      </c>
      <c r="C6247" s="597">
        <v>374</v>
      </c>
      <c r="D6247" s="244">
        <f t="shared" si="861"/>
        <v>98.664995820895527</v>
      </c>
      <c r="E6247" s="170">
        <v>15</v>
      </c>
      <c r="F6247" s="24">
        <f t="shared" si="867"/>
        <v>113.66499582089553</v>
      </c>
      <c r="G6247" s="465" t="s">
        <v>11320</v>
      </c>
      <c r="H6247" s="532" t="str">
        <f t="shared" si="863"/>
        <v>3VM1110-3EE32-0AA0</v>
      </c>
      <c r="I6247" s="2055" t="s">
        <v>11053</v>
      </c>
      <c r="J6247" s="416" t="s">
        <v>1970</v>
      </c>
      <c r="K6247" s="35" t="s">
        <v>741</v>
      </c>
    </row>
    <row r="6248" spans="1:30" customFormat="1">
      <c r="A6248" s="2000"/>
      <c r="B6248" t="s">
        <v>10211</v>
      </c>
      <c r="C6248" s="597">
        <v>497</v>
      </c>
      <c r="D6248" s="244">
        <f t="shared" si="861"/>
        <v>131.11364417910448</v>
      </c>
      <c r="E6248" s="170">
        <v>15</v>
      </c>
      <c r="F6248" s="24">
        <f t="shared" si="867"/>
        <v>146.11364417910448</v>
      </c>
      <c r="G6248" s="465" t="s">
        <v>11321</v>
      </c>
      <c r="H6248" s="532" t="str">
        <f t="shared" si="863"/>
        <v>3VM1112-3EE32-0AA0</v>
      </c>
      <c r="I6248" s="2055" t="s">
        <v>11053</v>
      </c>
      <c r="J6248" s="416" t="s">
        <v>1970</v>
      </c>
      <c r="K6248" s="35" t="s">
        <v>741</v>
      </c>
    </row>
    <row r="6249" spans="1:30" customFormat="1">
      <c r="A6249" s="2000"/>
      <c r="B6249" t="s">
        <v>10212</v>
      </c>
      <c r="C6249" s="597">
        <v>577</v>
      </c>
      <c r="D6249" s="244">
        <f t="shared" si="861"/>
        <v>152.21845611940299</v>
      </c>
      <c r="E6249" s="170">
        <v>15</v>
      </c>
      <c r="F6249" s="24">
        <f t="shared" si="867"/>
        <v>167.21845611940299</v>
      </c>
      <c r="G6249" s="465" t="s">
        <v>11322</v>
      </c>
      <c r="H6249" s="532" t="str">
        <f t="shared" si="863"/>
        <v>3VM1116-3EE32-0AA0</v>
      </c>
      <c r="I6249" s="2055" t="s">
        <v>11053</v>
      </c>
      <c r="J6249" s="416" t="s">
        <v>1970</v>
      </c>
      <c r="K6249" s="35" t="s">
        <v>741</v>
      </c>
    </row>
    <row r="6250" spans="1:30" s="203" customFormat="1">
      <c r="A6250" s="194"/>
      <c r="B6250" s="146"/>
      <c r="C6250" s="597"/>
      <c r="D6250" s="244"/>
      <c r="E6250" s="194"/>
      <c r="F6250" s="194"/>
      <c r="G6250" s="147"/>
      <c r="H6250" s="532"/>
      <c r="I6250" s="2055"/>
      <c r="J6250" s="416"/>
      <c r="K6250" s="35"/>
    </row>
    <row r="6251" spans="1:30" s="203" customFormat="1">
      <c r="A6251" s="35"/>
      <c r="B6251" s="600"/>
      <c r="C6251" s="597"/>
      <c r="D6251" s="244"/>
      <c r="E6251" s="445"/>
      <c r="F6251" s="24"/>
      <c r="G6251" s="24"/>
      <c r="H6251" s="532"/>
      <c r="I6251" s="2055"/>
      <c r="J6251" s="416"/>
      <c r="K6251" s="35"/>
      <c r="L6251" s="106"/>
      <c r="M6251" s="106"/>
      <c r="N6251" s="106"/>
      <c r="O6251" s="106"/>
      <c r="P6251" s="106"/>
      <c r="Q6251" s="106"/>
      <c r="R6251" s="106"/>
      <c r="S6251" s="106"/>
      <c r="T6251" s="106"/>
      <c r="U6251" s="106"/>
      <c r="V6251" s="106"/>
      <c r="W6251" s="106"/>
      <c r="X6251" s="106"/>
      <c r="Y6251" s="106"/>
      <c r="Z6251" s="106"/>
      <c r="AA6251" s="106"/>
      <c r="AB6251" s="106"/>
      <c r="AC6251" s="106"/>
      <c r="AD6251" s="106"/>
    </row>
    <row r="6252" spans="1:30" customFormat="1">
      <c r="A6252" s="2000"/>
      <c r="B6252" s="20" t="s">
        <v>10213</v>
      </c>
      <c r="C6252" s="597">
        <v>390</v>
      </c>
      <c r="D6252" s="244">
        <f t="shared" ref="D6252:D6313" si="868">C6252*(1-VLOOKUP(I6252,descuentos,6,FALSE))*fcl/IF(dol_sol="dólar", TC,1)</f>
        <v>102.88595820895522</v>
      </c>
      <c r="E6252" s="170">
        <v>15</v>
      </c>
      <c r="F6252" s="24">
        <f t="shared" ref="F6252:F6266" si="869">D6252+E6252</f>
        <v>117.88595820895522</v>
      </c>
      <c r="G6252" s="465" t="s">
        <v>11323</v>
      </c>
      <c r="H6252" s="532" t="str">
        <f t="shared" si="863"/>
        <v>3VM1196-4EE32-0AA0</v>
      </c>
      <c r="I6252" s="2055" t="s">
        <v>11053</v>
      </c>
      <c r="J6252" s="416" t="s">
        <v>1970</v>
      </c>
      <c r="K6252" s="35" t="s">
        <v>741</v>
      </c>
    </row>
    <row r="6253" spans="1:30" customFormat="1">
      <c r="A6253" s="2000"/>
      <c r="B6253" t="s">
        <v>10214</v>
      </c>
      <c r="C6253" s="597">
        <v>390</v>
      </c>
      <c r="D6253" s="244">
        <f t="shared" si="868"/>
        <v>102.88595820895522</v>
      </c>
      <c r="E6253" s="170">
        <v>15</v>
      </c>
      <c r="F6253" s="24">
        <f t="shared" si="869"/>
        <v>117.88595820895522</v>
      </c>
      <c r="G6253" s="465" t="s">
        <v>11324</v>
      </c>
      <c r="H6253" s="532" t="str">
        <f t="shared" si="863"/>
        <v>3VM1120-4EE32-0AA0</v>
      </c>
      <c r="I6253" s="2055" t="s">
        <v>11053</v>
      </c>
      <c r="J6253" s="416" t="s">
        <v>1970</v>
      </c>
      <c r="K6253" s="35" t="s">
        <v>741</v>
      </c>
    </row>
    <row r="6254" spans="1:30" customFormat="1" ht="14.25" customHeight="1">
      <c r="A6254" s="2000"/>
      <c r="B6254" t="s">
        <v>10215</v>
      </c>
      <c r="C6254" s="597">
        <v>390</v>
      </c>
      <c r="D6254" s="244">
        <f t="shared" si="868"/>
        <v>102.88595820895522</v>
      </c>
      <c r="E6254" s="170">
        <v>15</v>
      </c>
      <c r="F6254" s="24">
        <f t="shared" si="869"/>
        <v>117.88595820895522</v>
      </c>
      <c r="G6254" s="465" t="s">
        <v>11325</v>
      </c>
      <c r="H6254" s="532" t="str">
        <f t="shared" si="863"/>
        <v>3VM1125-4EE32-0AA0</v>
      </c>
      <c r="I6254" s="2055" t="s">
        <v>11053</v>
      </c>
      <c r="J6254" s="416" t="s">
        <v>1970</v>
      </c>
      <c r="K6254" s="35" t="s">
        <v>741</v>
      </c>
    </row>
    <row r="6255" spans="1:30" customFormat="1">
      <c r="A6255" s="2000"/>
      <c r="B6255" t="s">
        <v>10216</v>
      </c>
      <c r="C6255" s="597">
        <v>390</v>
      </c>
      <c r="D6255" s="244">
        <f t="shared" si="868"/>
        <v>102.88595820895522</v>
      </c>
      <c r="E6255" s="170">
        <v>15</v>
      </c>
      <c r="F6255" s="24">
        <f t="shared" si="869"/>
        <v>117.88595820895522</v>
      </c>
      <c r="G6255" s="465" t="s">
        <v>11326</v>
      </c>
      <c r="H6255" s="532" t="str">
        <f t="shared" si="863"/>
        <v>3VM1132-4EE32-0AA0</v>
      </c>
      <c r="I6255" s="2055" t="s">
        <v>11053</v>
      </c>
      <c r="J6255" s="416" t="s">
        <v>1970</v>
      </c>
      <c r="K6255" s="35" t="s">
        <v>741</v>
      </c>
    </row>
    <row r="6256" spans="1:30" customFormat="1">
      <c r="A6256" s="2000"/>
      <c r="B6256" s="20" t="s">
        <v>10217</v>
      </c>
      <c r="C6256" s="597">
        <v>390</v>
      </c>
      <c r="D6256" s="244">
        <f t="shared" si="868"/>
        <v>102.88595820895522</v>
      </c>
      <c r="E6256" s="170">
        <v>15</v>
      </c>
      <c r="F6256" s="24">
        <f t="shared" si="869"/>
        <v>117.88595820895522</v>
      </c>
      <c r="G6256" s="465" t="s">
        <v>11327</v>
      </c>
      <c r="H6256" s="532" t="str">
        <f t="shared" si="863"/>
        <v>3VM1140-4EE32-0AA0</v>
      </c>
      <c r="I6256" s="2055" t="s">
        <v>11053</v>
      </c>
      <c r="J6256" s="416" t="s">
        <v>1970</v>
      </c>
      <c r="K6256" s="35" t="s">
        <v>741</v>
      </c>
    </row>
    <row r="6257" spans="1:11" customFormat="1">
      <c r="A6257" s="2000"/>
      <c r="B6257" t="s">
        <v>10218</v>
      </c>
      <c r="C6257" s="597">
        <v>390</v>
      </c>
      <c r="D6257" s="244">
        <f t="shared" si="868"/>
        <v>102.88595820895522</v>
      </c>
      <c r="E6257" s="170">
        <v>15</v>
      </c>
      <c r="F6257" s="24">
        <f t="shared" si="869"/>
        <v>117.88595820895522</v>
      </c>
      <c r="G6257" s="465" t="s">
        <v>11328</v>
      </c>
      <c r="H6257" s="532" t="str">
        <f t="shared" si="863"/>
        <v>3VM1150-4EE32-0AA0</v>
      </c>
      <c r="I6257" s="2055" t="s">
        <v>11053</v>
      </c>
      <c r="J6257" s="416" t="s">
        <v>1970</v>
      </c>
      <c r="K6257" s="35" t="s">
        <v>741</v>
      </c>
    </row>
    <row r="6258" spans="1:11" customFormat="1">
      <c r="A6258" s="2000"/>
      <c r="B6258" s="20" t="s">
        <v>10219</v>
      </c>
      <c r="C6258" s="597">
        <v>390</v>
      </c>
      <c r="D6258" s="244">
        <f t="shared" si="868"/>
        <v>102.88595820895522</v>
      </c>
      <c r="E6258" s="170">
        <v>15</v>
      </c>
      <c r="F6258" s="24">
        <f t="shared" si="869"/>
        <v>117.88595820895522</v>
      </c>
      <c r="G6258" s="465" t="s">
        <v>11329</v>
      </c>
      <c r="H6258" s="532" t="str">
        <f t="shared" si="863"/>
        <v>3VM1163-4EE32-0AA0</v>
      </c>
      <c r="I6258" s="2055" t="s">
        <v>11053</v>
      </c>
      <c r="J6258" s="416" t="s">
        <v>1970</v>
      </c>
      <c r="K6258" s="35" t="s">
        <v>741</v>
      </c>
    </row>
    <row r="6259" spans="1:11" customFormat="1">
      <c r="A6259" s="2000"/>
      <c r="B6259" t="s">
        <v>10220</v>
      </c>
      <c r="C6259" s="597">
        <v>427</v>
      </c>
      <c r="D6259" s="244">
        <f t="shared" si="868"/>
        <v>112.64693373134328</v>
      </c>
      <c r="E6259" s="170">
        <v>15</v>
      </c>
      <c r="F6259" s="24">
        <f t="shared" si="869"/>
        <v>127.64693373134328</v>
      </c>
      <c r="G6259" s="465" t="s">
        <v>11330</v>
      </c>
      <c r="H6259" s="532" t="str">
        <f t="shared" si="863"/>
        <v>3VM1180-4EE32-0AA0</v>
      </c>
      <c r="I6259" s="2055" t="s">
        <v>11053</v>
      </c>
      <c r="J6259" s="416" t="s">
        <v>1970</v>
      </c>
      <c r="K6259" s="35" t="s">
        <v>741</v>
      </c>
    </row>
    <row r="6260" spans="1:11" customFormat="1">
      <c r="A6260" s="2000"/>
      <c r="B6260" t="s">
        <v>10221</v>
      </c>
      <c r="C6260" s="597">
        <v>495</v>
      </c>
      <c r="D6260" s="244">
        <f t="shared" si="868"/>
        <v>130.58602388059703</v>
      </c>
      <c r="E6260" s="170">
        <v>15</v>
      </c>
      <c r="F6260" s="24">
        <f t="shared" si="869"/>
        <v>145.58602388059703</v>
      </c>
      <c r="G6260" s="465" t="s">
        <v>11331</v>
      </c>
      <c r="H6260" s="532" t="str">
        <f t="shared" si="863"/>
        <v>3VM1110-4EE32-0AA0</v>
      </c>
      <c r="I6260" s="2055" t="s">
        <v>11053</v>
      </c>
      <c r="J6260" s="416" t="s">
        <v>1970</v>
      </c>
      <c r="K6260" s="35" t="s">
        <v>741</v>
      </c>
    </row>
    <row r="6261" spans="1:11" customFormat="1">
      <c r="A6261" s="2000"/>
      <c r="B6261" t="s">
        <v>10222</v>
      </c>
      <c r="C6261" s="597">
        <v>659</v>
      </c>
      <c r="D6261" s="244">
        <f t="shared" si="868"/>
        <v>173.85088835820892</v>
      </c>
      <c r="E6261" s="170">
        <v>15</v>
      </c>
      <c r="F6261" s="24">
        <f t="shared" si="869"/>
        <v>188.85088835820892</v>
      </c>
      <c r="G6261" s="465" t="s">
        <v>11332</v>
      </c>
      <c r="H6261" s="532" t="str">
        <f t="shared" si="863"/>
        <v>3VM1112-4EE32-0AA0</v>
      </c>
      <c r="I6261" s="2055" t="s">
        <v>11053</v>
      </c>
      <c r="J6261" s="416" t="s">
        <v>1970</v>
      </c>
      <c r="K6261" s="35" t="s">
        <v>741</v>
      </c>
    </row>
    <row r="6262" spans="1:11" customFormat="1">
      <c r="A6262" s="2000"/>
      <c r="B6262" t="s">
        <v>10223</v>
      </c>
      <c r="C6262" s="597">
        <v>694</v>
      </c>
      <c r="D6262" s="244">
        <f t="shared" si="868"/>
        <v>183.08424358208953</v>
      </c>
      <c r="E6262" s="170">
        <v>15</v>
      </c>
      <c r="F6262" s="24">
        <f t="shared" si="869"/>
        <v>198.08424358208953</v>
      </c>
      <c r="G6262" s="465" t="s">
        <v>11333</v>
      </c>
      <c r="H6262" s="532" t="str">
        <f t="shared" si="863"/>
        <v>3VM1116-4EE32-0AA0</v>
      </c>
      <c r="I6262" s="2055" t="s">
        <v>11053</v>
      </c>
      <c r="J6262" s="416" t="s">
        <v>1970</v>
      </c>
      <c r="K6262" s="35" t="s">
        <v>741</v>
      </c>
    </row>
    <row r="6263" spans="1:11" customFormat="1">
      <c r="A6263" s="2000"/>
      <c r="B6263" t="s">
        <v>10224</v>
      </c>
      <c r="C6263" s="597">
        <v>935</v>
      </c>
      <c r="D6263" s="244">
        <f t="shared" si="868"/>
        <v>246.66248955223881</v>
      </c>
      <c r="E6263" s="170">
        <v>20</v>
      </c>
      <c r="F6263" s="24">
        <f t="shared" si="869"/>
        <v>266.66248955223881</v>
      </c>
      <c r="G6263" s="465" t="s">
        <v>11334</v>
      </c>
      <c r="H6263" s="532" t="str">
        <f t="shared" si="863"/>
        <v>3VM1220-4EE32-0AA0</v>
      </c>
      <c r="I6263" s="2055" t="s">
        <v>11053</v>
      </c>
      <c r="J6263" s="416" t="s">
        <v>1970</v>
      </c>
      <c r="K6263" s="35" t="s">
        <v>741</v>
      </c>
    </row>
    <row r="6264" spans="1:11" customFormat="1">
      <c r="A6264" s="2000"/>
      <c r="B6264" s="20" t="s">
        <v>10225</v>
      </c>
      <c r="C6264" s="597">
        <v>979</v>
      </c>
      <c r="D6264" s="244">
        <f t="shared" si="868"/>
        <v>258.27013611940299</v>
      </c>
      <c r="E6264" s="170">
        <v>20</v>
      </c>
      <c r="F6264" s="24">
        <f t="shared" si="869"/>
        <v>278.27013611940299</v>
      </c>
      <c r="G6264" s="465" t="s">
        <v>11335</v>
      </c>
      <c r="H6264" s="532" t="str">
        <f t="shared" si="863"/>
        <v>3VM1225-4EE32-0AA0</v>
      </c>
      <c r="I6264" s="2055" t="s">
        <v>11053</v>
      </c>
      <c r="J6264" s="416" t="s">
        <v>1970</v>
      </c>
      <c r="K6264" s="35" t="s">
        <v>741</v>
      </c>
    </row>
    <row r="6265" spans="1:11" customFormat="1">
      <c r="A6265" s="2000"/>
      <c r="B6265" t="s">
        <v>13920</v>
      </c>
      <c r="C6265" s="597">
        <v>1465</v>
      </c>
      <c r="D6265" s="244">
        <f t="shared" ref="D6265:D6266" si="870">C6265*(1-VLOOKUP(I6265,descuentos,6,FALSE))*fcl/IF(dol_sol="dólar", TC,1)</f>
        <v>386.48186865671641</v>
      </c>
      <c r="E6265" s="170">
        <v>30</v>
      </c>
      <c r="F6265" s="24">
        <f t="shared" si="869"/>
        <v>416.48186865671641</v>
      </c>
      <c r="G6265" s="465" t="s">
        <v>13921</v>
      </c>
      <c r="H6265" s="532" t="str">
        <f t="shared" si="863"/>
        <v>3VM1340-4EE32-0AA0</v>
      </c>
      <c r="I6265" s="2055" t="s">
        <v>11053</v>
      </c>
      <c r="J6265" s="416" t="s">
        <v>1970</v>
      </c>
      <c r="K6265" s="35" t="s">
        <v>741</v>
      </c>
    </row>
    <row r="6266" spans="1:11" customFormat="1">
      <c r="A6266" s="2000"/>
      <c r="B6266" s="20" t="s">
        <v>13922</v>
      </c>
      <c r="C6266" s="597">
        <v>1882</v>
      </c>
      <c r="D6266" s="244">
        <f t="shared" si="870"/>
        <v>496.49070089552231</v>
      </c>
      <c r="E6266" s="170">
        <v>30</v>
      </c>
      <c r="F6266" s="24">
        <f t="shared" si="869"/>
        <v>526.49070089552231</v>
      </c>
      <c r="G6266" s="465" t="s">
        <v>13923</v>
      </c>
      <c r="H6266" s="532" t="str">
        <f t="shared" si="863"/>
        <v>3VM1463-4EE32-0AA0</v>
      </c>
      <c r="I6266" s="2055" t="s">
        <v>11053</v>
      </c>
      <c r="J6266" s="416" t="s">
        <v>1970</v>
      </c>
      <c r="K6266" s="35" t="s">
        <v>741</v>
      </c>
    </row>
    <row r="6267" spans="1:11" s="203" customFormat="1">
      <c r="A6267" s="194"/>
      <c r="B6267" s="146"/>
      <c r="C6267" s="597"/>
      <c r="D6267" s="244"/>
      <c r="E6267" s="194"/>
      <c r="F6267" s="194"/>
      <c r="G6267" s="147"/>
      <c r="H6267" s="532"/>
      <c r="I6267" s="2055"/>
      <c r="J6267" s="416"/>
      <c r="K6267" s="35"/>
    </row>
    <row r="6268" spans="1:11" s="203" customFormat="1">
      <c r="A6268" s="194"/>
      <c r="B6268" s="146"/>
      <c r="C6268" s="597"/>
      <c r="D6268" s="244"/>
      <c r="E6268" s="194"/>
      <c r="F6268" s="194"/>
      <c r="G6268" s="147"/>
      <c r="H6268" s="532"/>
      <c r="I6268" s="2055"/>
      <c r="J6268" s="416"/>
      <c r="K6268" s="35"/>
    </row>
    <row r="6269" spans="1:11" customFormat="1">
      <c r="A6269" s="2000"/>
      <c r="B6269" s="20" t="s">
        <v>11336</v>
      </c>
      <c r="C6269" s="597">
        <v>422</v>
      </c>
      <c r="D6269" s="244">
        <f t="shared" ref="D6269:D6281" si="871">C6269*(1-VLOOKUP(I6269,descuentos,6,FALSE))*fcl/IF(dol_sol="dólar", TC,1)</f>
        <v>111.32788298507461</v>
      </c>
      <c r="E6269" s="170">
        <v>15</v>
      </c>
      <c r="F6269" s="24">
        <f t="shared" ref="F6269:F6281" si="872">D6269+E6269</f>
        <v>126.32788298507461</v>
      </c>
      <c r="G6269" s="465" t="s">
        <v>11337</v>
      </c>
      <c r="H6269" s="532" t="str">
        <f t="shared" ref="H6269:H6281" si="873">B6269</f>
        <v>3VM1196-3GE42-0AA0</v>
      </c>
      <c r="I6269" s="2055" t="s">
        <v>11053</v>
      </c>
      <c r="J6269" s="416" t="s">
        <v>1970</v>
      </c>
      <c r="K6269" s="35" t="s">
        <v>741</v>
      </c>
    </row>
    <row r="6270" spans="1:11" customFormat="1">
      <c r="A6270" s="2000"/>
      <c r="B6270" t="s">
        <v>11338</v>
      </c>
      <c r="C6270" s="597">
        <v>422</v>
      </c>
      <c r="D6270" s="244">
        <f t="shared" si="871"/>
        <v>111.32788298507461</v>
      </c>
      <c r="E6270" s="170">
        <v>15</v>
      </c>
      <c r="F6270" s="24">
        <f t="shared" si="872"/>
        <v>126.32788298507461</v>
      </c>
      <c r="G6270" s="465" t="s">
        <v>11339</v>
      </c>
      <c r="H6270" s="532" t="str">
        <f t="shared" si="873"/>
        <v>3VM1120-3GE42-0AA0</v>
      </c>
      <c r="I6270" s="2055" t="s">
        <v>11053</v>
      </c>
      <c r="J6270" s="416" t="s">
        <v>1970</v>
      </c>
      <c r="K6270" s="35" t="s">
        <v>741</v>
      </c>
    </row>
    <row r="6271" spans="1:11" customFormat="1" ht="14.25" customHeight="1">
      <c r="A6271" s="2000"/>
      <c r="B6271" t="s">
        <v>11340</v>
      </c>
      <c r="C6271" s="597">
        <v>422</v>
      </c>
      <c r="D6271" s="244">
        <f t="shared" si="871"/>
        <v>111.32788298507461</v>
      </c>
      <c r="E6271" s="170">
        <v>15</v>
      </c>
      <c r="F6271" s="24">
        <f t="shared" si="872"/>
        <v>126.32788298507461</v>
      </c>
      <c r="G6271" s="465" t="s">
        <v>11341</v>
      </c>
      <c r="H6271" s="532" t="str">
        <f t="shared" si="873"/>
        <v>3VM1125-3GE42-0AA0</v>
      </c>
      <c r="I6271" s="2055" t="s">
        <v>11053</v>
      </c>
      <c r="J6271" s="416" t="s">
        <v>1970</v>
      </c>
      <c r="K6271" s="35" t="s">
        <v>741</v>
      </c>
    </row>
    <row r="6272" spans="1:11" customFormat="1">
      <c r="A6272" s="2000"/>
      <c r="B6272" t="s">
        <v>11342</v>
      </c>
      <c r="C6272" s="597">
        <v>422</v>
      </c>
      <c r="D6272" s="244">
        <f t="shared" si="871"/>
        <v>111.32788298507461</v>
      </c>
      <c r="E6272" s="170">
        <v>15</v>
      </c>
      <c r="F6272" s="24">
        <f t="shared" si="872"/>
        <v>126.32788298507461</v>
      </c>
      <c r="G6272" s="465" t="s">
        <v>11343</v>
      </c>
      <c r="H6272" s="532" t="str">
        <f t="shared" si="873"/>
        <v>3VM1132-3GE42-0AA0</v>
      </c>
      <c r="I6272" s="2055" t="s">
        <v>11053</v>
      </c>
      <c r="J6272" s="416" t="s">
        <v>1970</v>
      </c>
      <c r="K6272" s="35" t="s">
        <v>741</v>
      </c>
    </row>
    <row r="6273" spans="1:11" customFormat="1">
      <c r="A6273" s="2000"/>
      <c r="B6273" s="20" t="s">
        <v>11344</v>
      </c>
      <c r="C6273" s="597">
        <v>422</v>
      </c>
      <c r="D6273" s="244">
        <f t="shared" si="871"/>
        <v>111.32788298507461</v>
      </c>
      <c r="E6273" s="170">
        <v>15</v>
      </c>
      <c r="F6273" s="24">
        <f t="shared" si="872"/>
        <v>126.32788298507461</v>
      </c>
      <c r="G6273" s="465" t="s">
        <v>11345</v>
      </c>
      <c r="H6273" s="532" t="str">
        <f t="shared" si="873"/>
        <v>3VM1140-3GE42-0AA0</v>
      </c>
      <c r="I6273" s="2055" t="s">
        <v>11053</v>
      </c>
      <c r="J6273" s="416" t="s">
        <v>1970</v>
      </c>
      <c r="K6273" s="35" t="s">
        <v>741</v>
      </c>
    </row>
    <row r="6274" spans="1:11" customFormat="1">
      <c r="A6274" s="2000"/>
      <c r="B6274" t="s">
        <v>11346</v>
      </c>
      <c r="C6274" s="597">
        <v>422</v>
      </c>
      <c r="D6274" s="244">
        <f t="shared" si="871"/>
        <v>111.32788298507461</v>
      </c>
      <c r="E6274" s="170">
        <v>15</v>
      </c>
      <c r="F6274" s="24">
        <f t="shared" si="872"/>
        <v>126.32788298507461</v>
      </c>
      <c r="G6274" s="465" t="s">
        <v>11347</v>
      </c>
      <c r="H6274" s="532" t="str">
        <f t="shared" si="873"/>
        <v>3VM1150-3GE42-0AA0</v>
      </c>
      <c r="I6274" s="2055" t="s">
        <v>11053</v>
      </c>
      <c r="J6274" s="416" t="s">
        <v>1970</v>
      </c>
      <c r="K6274" s="35" t="s">
        <v>741</v>
      </c>
    </row>
    <row r="6275" spans="1:11" customFormat="1">
      <c r="A6275" s="2000"/>
      <c r="B6275" s="20" t="s">
        <v>11348</v>
      </c>
      <c r="C6275" s="597">
        <v>422</v>
      </c>
      <c r="D6275" s="244">
        <f t="shared" si="871"/>
        <v>111.32788298507461</v>
      </c>
      <c r="E6275" s="170">
        <v>15</v>
      </c>
      <c r="F6275" s="24">
        <f t="shared" si="872"/>
        <v>126.32788298507461</v>
      </c>
      <c r="G6275" s="465" t="s">
        <v>11349</v>
      </c>
      <c r="H6275" s="532" t="str">
        <f t="shared" si="873"/>
        <v>3VM1163-3GE42-0AA0</v>
      </c>
      <c r="I6275" s="2055" t="s">
        <v>11053</v>
      </c>
      <c r="J6275" s="416" t="s">
        <v>1970</v>
      </c>
      <c r="K6275" s="35" t="s">
        <v>741</v>
      </c>
    </row>
    <row r="6276" spans="1:11" customFormat="1">
      <c r="A6276" s="2000"/>
      <c r="B6276" t="s">
        <v>11350</v>
      </c>
      <c r="C6276" s="597">
        <v>463</v>
      </c>
      <c r="D6276" s="244">
        <f t="shared" si="871"/>
        <v>122.1440991044776</v>
      </c>
      <c r="E6276" s="170">
        <v>15</v>
      </c>
      <c r="F6276" s="24">
        <f t="shared" si="872"/>
        <v>137.14409910447762</v>
      </c>
      <c r="G6276" s="465" t="s">
        <v>11351</v>
      </c>
      <c r="H6276" s="532" t="str">
        <f t="shared" si="873"/>
        <v>3VM1180-3GE42-0AA0</v>
      </c>
      <c r="I6276" s="2055" t="s">
        <v>11053</v>
      </c>
      <c r="J6276" s="416" t="s">
        <v>1970</v>
      </c>
      <c r="K6276" s="35" t="s">
        <v>741</v>
      </c>
    </row>
    <row r="6277" spans="1:11" customFormat="1">
      <c r="A6277" s="2000"/>
      <c r="B6277" t="s">
        <v>11352</v>
      </c>
      <c r="C6277" s="597">
        <v>535</v>
      </c>
      <c r="D6277" s="244">
        <f t="shared" si="871"/>
        <v>141.13842985074626</v>
      </c>
      <c r="E6277" s="170">
        <v>15</v>
      </c>
      <c r="F6277" s="24">
        <f t="shared" si="872"/>
        <v>156.13842985074626</v>
      </c>
      <c r="G6277" s="465" t="s">
        <v>11353</v>
      </c>
      <c r="H6277" s="532" t="str">
        <f t="shared" si="873"/>
        <v>3VM1110-3GE42-0AA0</v>
      </c>
      <c r="I6277" s="2055" t="s">
        <v>11053</v>
      </c>
      <c r="J6277" s="416" t="s">
        <v>1970</v>
      </c>
      <c r="K6277" s="35" t="s">
        <v>741</v>
      </c>
    </row>
    <row r="6278" spans="1:11" customFormat="1">
      <c r="A6278" s="2000"/>
      <c r="B6278" t="s">
        <v>11354</v>
      </c>
      <c r="C6278" s="597">
        <v>866</v>
      </c>
      <c r="D6278" s="244">
        <f t="shared" si="871"/>
        <v>228.45958925373134</v>
      </c>
      <c r="E6278" s="170">
        <v>15</v>
      </c>
      <c r="F6278" s="24">
        <f t="shared" si="872"/>
        <v>243.45958925373134</v>
      </c>
      <c r="G6278" s="465" t="s">
        <v>11355</v>
      </c>
      <c r="H6278" s="532" t="str">
        <f t="shared" si="873"/>
        <v>3VM1112-3GE42-0AA0</v>
      </c>
      <c r="I6278" s="2055" t="s">
        <v>11053</v>
      </c>
      <c r="J6278" s="416" t="s">
        <v>1970</v>
      </c>
      <c r="K6278" s="35" t="s">
        <v>741</v>
      </c>
    </row>
    <row r="6279" spans="1:11" customFormat="1">
      <c r="A6279" s="2000"/>
      <c r="B6279" t="s">
        <v>11356</v>
      </c>
      <c r="C6279" s="597">
        <v>886</v>
      </c>
      <c r="D6279" s="244">
        <f t="shared" si="871"/>
        <v>233.73579223880597</v>
      </c>
      <c r="E6279" s="170">
        <v>15</v>
      </c>
      <c r="F6279" s="24">
        <f t="shared" si="872"/>
        <v>248.73579223880597</v>
      </c>
      <c r="G6279" s="465" t="s">
        <v>11357</v>
      </c>
      <c r="H6279" s="532" t="str">
        <f t="shared" si="873"/>
        <v>3VM1116-3GE42-0AA0</v>
      </c>
      <c r="I6279" s="2055" t="s">
        <v>11053</v>
      </c>
      <c r="J6279" s="416" t="s">
        <v>1970</v>
      </c>
      <c r="K6279" s="35" t="s">
        <v>741</v>
      </c>
    </row>
    <row r="6280" spans="1:11" customFormat="1">
      <c r="A6280" s="2000"/>
      <c r="B6280" t="s">
        <v>11358</v>
      </c>
      <c r="C6280" s="597">
        <v>1137</v>
      </c>
      <c r="D6280" s="244">
        <f t="shared" si="871"/>
        <v>299.95213970149257</v>
      </c>
      <c r="E6280" s="170">
        <v>20</v>
      </c>
      <c r="F6280" s="24">
        <f t="shared" si="872"/>
        <v>319.95213970149257</v>
      </c>
      <c r="G6280" s="465" t="s">
        <v>11359</v>
      </c>
      <c r="H6280" s="532" t="str">
        <f t="shared" si="873"/>
        <v>3VM1220-4GE42-0AA0</v>
      </c>
      <c r="I6280" s="2055" t="s">
        <v>11053</v>
      </c>
      <c r="J6280" s="416" t="s">
        <v>1970</v>
      </c>
      <c r="K6280" s="35" t="s">
        <v>741</v>
      </c>
    </row>
    <row r="6281" spans="1:11" customFormat="1">
      <c r="A6281" s="2000"/>
      <c r="B6281" s="20" t="s">
        <v>11360</v>
      </c>
      <c r="C6281" s="597">
        <v>1269</v>
      </c>
      <c r="D6281" s="244">
        <f t="shared" si="871"/>
        <v>334.77507940298506</v>
      </c>
      <c r="E6281" s="170">
        <v>20</v>
      </c>
      <c r="F6281" s="24">
        <f t="shared" si="872"/>
        <v>354.77507940298506</v>
      </c>
      <c r="G6281" s="465" t="s">
        <v>11361</v>
      </c>
      <c r="H6281" s="532" t="str">
        <f t="shared" si="873"/>
        <v>3VM1225-4GE42-0AA0</v>
      </c>
      <c r="I6281" s="2055" t="s">
        <v>11053</v>
      </c>
      <c r="J6281" s="416" t="s">
        <v>1970</v>
      </c>
      <c r="K6281" s="35" t="s">
        <v>741</v>
      </c>
    </row>
    <row r="6282" spans="1:11" s="203" customFormat="1">
      <c r="A6282" s="195"/>
      <c r="B6282" s="195"/>
      <c r="C6282" s="597"/>
      <c r="D6282" s="244"/>
      <c r="E6282" s="815"/>
      <c r="F6282" s="815"/>
      <c r="G6282" s="195"/>
      <c r="H6282" s="532"/>
      <c r="I6282" s="2055"/>
      <c r="J6282" s="416"/>
      <c r="K6282" s="35"/>
    </row>
    <row r="6283" spans="1:11" customFormat="1">
      <c r="A6283" s="2000"/>
      <c r="B6283" s="20" t="s">
        <v>11362</v>
      </c>
      <c r="C6283" s="597">
        <v>89</v>
      </c>
      <c r="D6283" s="244">
        <f t="shared" ref="D6283:D6284" si="874">C6283*(1-VLOOKUP(I6283,descuentos,6,FALSE))*fcl/IF(dol_sol="dólar", TC,1)</f>
        <v>23.479103283582088</v>
      </c>
      <c r="E6283" s="170">
        <v>5</v>
      </c>
      <c r="F6283" s="24">
        <f t="shared" ref="F6283:F6284" si="875">D6283+E6283</f>
        <v>28.479103283582088</v>
      </c>
      <c r="G6283" s="465" t="s">
        <v>11363</v>
      </c>
      <c r="H6283" s="532" t="str">
        <f t="shared" ref="H6283:H6284" si="876">B6283</f>
        <v>3VM9988-0AA13</v>
      </c>
      <c r="I6283" s="2055" t="s">
        <v>11053</v>
      </c>
      <c r="J6283" s="416" t="s">
        <v>1970</v>
      </c>
      <c r="K6283" s="35" t="s">
        <v>741</v>
      </c>
    </row>
    <row r="6284" spans="1:11" customFormat="1">
      <c r="A6284" s="2000"/>
      <c r="B6284" t="s">
        <v>11364</v>
      </c>
      <c r="C6284" s="597">
        <v>212</v>
      </c>
      <c r="D6284" s="244">
        <f t="shared" si="874"/>
        <v>55.927751641791041</v>
      </c>
      <c r="E6284" s="170">
        <v>10</v>
      </c>
      <c r="F6284" s="24">
        <f t="shared" si="875"/>
        <v>65.927751641791048</v>
      </c>
      <c r="G6284" s="465" t="s">
        <v>11365</v>
      </c>
      <c r="H6284" s="532" t="str">
        <f t="shared" si="876"/>
        <v>3VM9908-0BL33</v>
      </c>
      <c r="I6284" s="2055" t="s">
        <v>11053</v>
      </c>
      <c r="J6284" s="416" t="s">
        <v>1970</v>
      </c>
      <c r="K6284" s="35" t="s">
        <v>741</v>
      </c>
    </row>
    <row r="6285" spans="1:11" s="203" customFormat="1">
      <c r="A6285" s="195"/>
      <c r="B6285" s="195"/>
      <c r="C6285" s="597"/>
      <c r="D6285" s="244"/>
      <c r="E6285" s="815"/>
      <c r="F6285" s="815"/>
      <c r="G6285" s="195"/>
      <c r="H6285" s="532"/>
      <c r="I6285" s="2055"/>
      <c r="J6285" s="416"/>
      <c r="K6285" s="35"/>
    </row>
    <row r="6286" spans="1:11" s="203" customFormat="1" ht="16.5">
      <c r="A6286" s="605"/>
      <c r="B6286" s="2065" t="s">
        <v>11366</v>
      </c>
      <c r="C6286" s="597"/>
      <c r="D6286" s="244"/>
      <c r="E6286" s="607"/>
      <c r="F6286" s="608"/>
      <c r="G6286" s="608"/>
      <c r="H6286" s="532"/>
      <c r="I6286" s="2055"/>
      <c r="J6286" s="416"/>
      <c r="K6286" s="35"/>
    </row>
    <row r="6287" spans="1:11" s="954" customFormat="1">
      <c r="A6287" s="21"/>
      <c r="C6287" s="2066"/>
      <c r="D6287" s="1756"/>
      <c r="E6287" s="1829"/>
      <c r="F6287" s="140"/>
      <c r="G6287" s="140"/>
      <c r="H6287" s="2067"/>
      <c r="I6287" s="2068"/>
      <c r="J6287" s="2069"/>
      <c r="K6287" s="21"/>
    </row>
    <row r="6288" spans="1:11" s="203" customFormat="1">
      <c r="A6288" s="604"/>
      <c r="B6288" t="s">
        <v>13147</v>
      </c>
      <c r="C6288" s="597">
        <v>216</v>
      </c>
      <c r="D6288" s="244">
        <f t="shared" ref="D6288" si="877">C6288*(1-VLOOKUP(I6288,descuentos,6,FALSE))*fcl/IF(dol_sol="dólar", TC,1)</f>
        <v>56.98299223880597</v>
      </c>
      <c r="E6288" s="170">
        <v>20</v>
      </c>
      <c r="F6288" s="24">
        <f t="shared" ref="F6288:F6289" si="878">D6288+E6288</f>
        <v>76.982992238805963</v>
      </c>
      <c r="G6288" s="465" t="s">
        <v>13148</v>
      </c>
      <c r="H6288" s="532" t="str">
        <f t="shared" ref="H6288:H6289" si="879">B6288</f>
        <v>3VA1132-3ED12-0AA0</v>
      </c>
      <c r="I6288" s="2055" t="s">
        <v>11053</v>
      </c>
      <c r="J6288" s="416" t="s">
        <v>1970</v>
      </c>
      <c r="K6288" s="35" t="s">
        <v>741</v>
      </c>
    </row>
    <row r="6289" spans="1:11" s="203" customFormat="1">
      <c r="A6289" s="604"/>
      <c r="B6289" t="s">
        <v>13067</v>
      </c>
      <c r="C6289" s="597">
        <v>256</v>
      </c>
      <c r="D6289" s="244">
        <f t="shared" ref="D6289" si="880">C6289*(1-VLOOKUP(I6289,descuentos,6,FALSE))*fcl/IF(dol_sol="dólar", TC,1)</f>
        <v>67.535398208955215</v>
      </c>
      <c r="E6289" s="170">
        <v>20</v>
      </c>
      <c r="F6289" s="24">
        <f t="shared" si="878"/>
        <v>87.535398208955215</v>
      </c>
      <c r="G6289" s="465" t="s">
        <v>13068</v>
      </c>
      <c r="H6289" s="532" t="str">
        <f t="shared" si="879"/>
        <v>3VA1132-5ED12-0AA0</v>
      </c>
      <c r="I6289" s="2055" t="s">
        <v>11053</v>
      </c>
      <c r="J6289" s="416" t="s">
        <v>1970</v>
      </c>
      <c r="K6289" s="35" t="s">
        <v>741</v>
      </c>
    </row>
    <row r="6290" spans="1:11" s="954" customFormat="1">
      <c r="A6290" s="21"/>
      <c r="C6290" s="2066"/>
      <c r="D6290" s="1756"/>
      <c r="E6290" s="1829"/>
      <c r="F6290" s="140"/>
      <c r="G6290" s="140"/>
      <c r="H6290" s="2067"/>
      <c r="I6290" s="2068"/>
      <c r="J6290" s="2069"/>
      <c r="K6290" s="21"/>
    </row>
    <row r="6291" spans="1:11" s="203" customFormat="1">
      <c r="A6291" s="604"/>
      <c r="B6291" t="s">
        <v>13089</v>
      </c>
      <c r="C6291" s="597">
        <v>430</v>
      </c>
      <c r="D6291" s="244">
        <f t="shared" ref="D6291:D6300" si="881">C6291*(1-VLOOKUP(I6291,descuentos,6,FALSE))*fcl/IF(dol_sol="dólar", TC,1)</f>
        <v>113.43836417910448</v>
      </c>
      <c r="E6291" s="170">
        <v>20</v>
      </c>
      <c r="F6291" s="24">
        <f t="shared" ref="F6291:F6300" si="882">D6291+E6291</f>
        <v>133.4383641791045</v>
      </c>
      <c r="G6291" s="465" t="s">
        <v>13090</v>
      </c>
      <c r="H6291" s="532" t="str">
        <f t="shared" ref="H6291:H6300" si="883">B6291</f>
        <v>3VA1120-3ED32-0AA0</v>
      </c>
      <c r="I6291" s="2055" t="s">
        <v>11053</v>
      </c>
      <c r="J6291" s="416" t="s">
        <v>1970</v>
      </c>
      <c r="K6291" s="35" t="s">
        <v>741</v>
      </c>
    </row>
    <row r="6292" spans="1:11" s="203" customFormat="1">
      <c r="A6292" s="604"/>
      <c r="B6292" t="s">
        <v>13149</v>
      </c>
      <c r="C6292" s="597">
        <v>430</v>
      </c>
      <c r="D6292" s="244">
        <f t="shared" si="881"/>
        <v>113.43836417910448</v>
      </c>
      <c r="E6292" s="170">
        <v>20</v>
      </c>
      <c r="F6292" s="24">
        <f t="shared" si="882"/>
        <v>133.4383641791045</v>
      </c>
      <c r="G6292" s="465" t="s">
        <v>13091</v>
      </c>
      <c r="H6292" s="532" t="str">
        <f t="shared" si="883"/>
        <v>3VA1125-3ED32-0AA0</v>
      </c>
      <c r="I6292" s="2055" t="s">
        <v>11053</v>
      </c>
      <c r="J6292" s="416" t="s">
        <v>1970</v>
      </c>
      <c r="K6292" s="35" t="s">
        <v>741</v>
      </c>
    </row>
    <row r="6293" spans="1:11" s="203" customFormat="1">
      <c r="A6293" s="604"/>
      <c r="B6293" t="s">
        <v>13150</v>
      </c>
      <c r="C6293" s="597">
        <v>430</v>
      </c>
      <c r="D6293" s="244">
        <f t="shared" si="881"/>
        <v>113.43836417910448</v>
      </c>
      <c r="E6293" s="170">
        <v>20</v>
      </c>
      <c r="F6293" s="24">
        <f t="shared" si="882"/>
        <v>133.4383641791045</v>
      </c>
      <c r="G6293" s="465" t="s">
        <v>13092</v>
      </c>
      <c r="H6293" s="532" t="str">
        <f t="shared" si="883"/>
        <v>3VA1132-3ED32-0AA0</v>
      </c>
      <c r="I6293" s="2055" t="s">
        <v>11053</v>
      </c>
      <c r="J6293" s="416" t="s">
        <v>1970</v>
      </c>
      <c r="K6293" s="35" t="s">
        <v>741</v>
      </c>
    </row>
    <row r="6294" spans="1:11" s="207" customFormat="1">
      <c r="A6294" s="604"/>
      <c r="B6294" t="s">
        <v>13151</v>
      </c>
      <c r="C6294" s="597">
        <v>430</v>
      </c>
      <c r="D6294" s="244">
        <f t="shared" si="881"/>
        <v>113.43836417910448</v>
      </c>
      <c r="E6294" s="170">
        <v>20</v>
      </c>
      <c r="F6294" s="24">
        <f t="shared" si="882"/>
        <v>133.4383641791045</v>
      </c>
      <c r="G6294" s="465" t="s">
        <v>13093</v>
      </c>
      <c r="H6294" s="532" t="str">
        <f t="shared" si="883"/>
        <v>3VA1140-3ED32-0AA0</v>
      </c>
      <c r="I6294" s="2055" t="s">
        <v>11053</v>
      </c>
      <c r="J6294" s="416" t="s">
        <v>1970</v>
      </c>
      <c r="K6294" s="35" t="s">
        <v>741</v>
      </c>
    </row>
    <row r="6295" spans="1:11" s="207" customFormat="1">
      <c r="A6295" s="604"/>
      <c r="B6295" t="s">
        <v>13152</v>
      </c>
      <c r="C6295" s="597">
        <v>430</v>
      </c>
      <c r="D6295" s="244">
        <f t="shared" si="881"/>
        <v>113.43836417910448</v>
      </c>
      <c r="E6295" s="170">
        <v>20</v>
      </c>
      <c r="F6295" s="24">
        <f t="shared" si="882"/>
        <v>133.4383641791045</v>
      </c>
      <c r="G6295" s="465" t="s">
        <v>13094</v>
      </c>
      <c r="H6295" s="532" t="str">
        <f t="shared" si="883"/>
        <v>3VA1150-3ED32-0AA0</v>
      </c>
      <c r="I6295" s="2055" t="s">
        <v>11053</v>
      </c>
      <c r="J6295" s="416" t="s">
        <v>1970</v>
      </c>
      <c r="K6295" s="35" t="s">
        <v>741</v>
      </c>
    </row>
    <row r="6296" spans="1:11" s="106" customFormat="1">
      <c r="A6296" s="604"/>
      <c r="B6296" t="s">
        <v>13153</v>
      </c>
      <c r="C6296" s="597">
        <v>430</v>
      </c>
      <c r="D6296" s="244">
        <f t="shared" si="881"/>
        <v>113.43836417910448</v>
      </c>
      <c r="E6296" s="170">
        <v>20</v>
      </c>
      <c r="F6296" s="24">
        <f t="shared" si="882"/>
        <v>133.4383641791045</v>
      </c>
      <c r="G6296" s="465" t="s">
        <v>13095</v>
      </c>
      <c r="H6296" s="532" t="str">
        <f t="shared" si="883"/>
        <v>3VA1163-3ED32-0AA0</v>
      </c>
      <c r="I6296" s="2055" t="s">
        <v>11053</v>
      </c>
      <c r="J6296" s="416" t="s">
        <v>1970</v>
      </c>
      <c r="K6296" s="35" t="s">
        <v>741</v>
      </c>
    </row>
    <row r="6297" spans="1:11" s="203" customFormat="1">
      <c r="A6297" s="604"/>
      <c r="B6297" t="s">
        <v>13154</v>
      </c>
      <c r="C6297" s="597">
        <v>470</v>
      </c>
      <c r="D6297" s="244">
        <f t="shared" si="881"/>
        <v>123.99077014925371</v>
      </c>
      <c r="E6297" s="170">
        <v>20</v>
      </c>
      <c r="F6297" s="24">
        <f t="shared" si="882"/>
        <v>143.99077014925371</v>
      </c>
      <c r="G6297" s="465" t="s">
        <v>13096</v>
      </c>
      <c r="H6297" s="532" t="str">
        <f t="shared" si="883"/>
        <v>3VA1180-3ED32-0AA0</v>
      </c>
      <c r="I6297" s="2055" t="s">
        <v>11053</v>
      </c>
      <c r="J6297" s="416" t="s">
        <v>1970</v>
      </c>
      <c r="K6297" s="35" t="s">
        <v>741</v>
      </c>
    </row>
    <row r="6298" spans="1:11" s="203" customFormat="1">
      <c r="A6298" s="604"/>
      <c r="B6298" t="s">
        <v>13155</v>
      </c>
      <c r="C6298" s="597">
        <v>543</v>
      </c>
      <c r="D6298" s="244">
        <f t="shared" si="881"/>
        <v>143.24891104477609</v>
      </c>
      <c r="E6298" s="170">
        <v>20</v>
      </c>
      <c r="F6298" s="24">
        <f t="shared" si="882"/>
        <v>163.24891104477609</v>
      </c>
      <c r="G6298" s="465" t="s">
        <v>13097</v>
      </c>
      <c r="H6298" s="532" t="str">
        <f t="shared" si="883"/>
        <v>3VA1110-3ED32-0AA0</v>
      </c>
      <c r="I6298" s="2055" t="s">
        <v>11053</v>
      </c>
      <c r="J6298" s="416" t="s">
        <v>1970</v>
      </c>
      <c r="K6298" s="35" t="s">
        <v>741</v>
      </c>
    </row>
    <row r="6299" spans="1:11" s="203" customFormat="1" ht="12" customHeight="1">
      <c r="A6299" s="604"/>
      <c r="B6299" t="s">
        <v>13156</v>
      </c>
      <c r="C6299" s="597">
        <v>883</v>
      </c>
      <c r="D6299" s="244">
        <f t="shared" si="881"/>
        <v>232.94436179104474</v>
      </c>
      <c r="E6299" s="170">
        <v>20</v>
      </c>
      <c r="F6299" s="24">
        <f t="shared" si="882"/>
        <v>252.94436179104474</v>
      </c>
      <c r="G6299" s="465" t="s">
        <v>13098</v>
      </c>
      <c r="H6299" s="532" t="str">
        <f t="shared" si="883"/>
        <v>3VA1112-3ED32-0AA0</v>
      </c>
      <c r="I6299" s="2055" t="s">
        <v>11053</v>
      </c>
      <c r="J6299" s="416" t="s">
        <v>1970</v>
      </c>
      <c r="K6299" s="35" t="s">
        <v>741</v>
      </c>
    </row>
    <row r="6300" spans="1:11" s="203" customFormat="1">
      <c r="A6300" s="604"/>
      <c r="B6300" t="s">
        <v>13157</v>
      </c>
      <c r="C6300" s="597">
        <v>1027</v>
      </c>
      <c r="D6300" s="244">
        <f t="shared" si="881"/>
        <v>270.93302328358203</v>
      </c>
      <c r="E6300" s="170">
        <v>20</v>
      </c>
      <c r="F6300" s="24">
        <f t="shared" si="882"/>
        <v>290.93302328358203</v>
      </c>
      <c r="G6300" s="465" t="s">
        <v>13099</v>
      </c>
      <c r="H6300" s="532" t="str">
        <f t="shared" si="883"/>
        <v>3VA1116-3ED32-0AA0</v>
      </c>
      <c r="I6300" s="2055" t="s">
        <v>11053</v>
      </c>
      <c r="J6300" s="416" t="s">
        <v>1970</v>
      </c>
      <c r="K6300" s="35" t="s">
        <v>741</v>
      </c>
    </row>
    <row r="6301" spans="1:11" s="954" customFormat="1">
      <c r="A6301" s="21"/>
      <c r="C6301" s="2066"/>
      <c r="D6301" s="1756"/>
      <c r="E6301" s="1829"/>
      <c r="F6301" s="140"/>
      <c r="G6301" s="140"/>
      <c r="H6301" s="2067"/>
      <c r="I6301" s="2068"/>
      <c r="J6301" s="2069"/>
      <c r="K6301" s="21"/>
    </row>
    <row r="6302" spans="1:11" s="954" customFormat="1">
      <c r="A6302" s="21"/>
      <c r="C6302" s="2066"/>
      <c r="D6302" s="1756"/>
      <c r="E6302" s="1829"/>
      <c r="F6302" s="140"/>
      <c r="G6302" s="140"/>
      <c r="H6302" s="2067"/>
      <c r="I6302" s="2068"/>
      <c r="J6302" s="2069"/>
      <c r="K6302" s="21"/>
    </row>
    <row r="6303" spans="1:11" s="203" customFormat="1">
      <c r="A6303" s="604"/>
      <c r="B6303" t="s">
        <v>10226</v>
      </c>
      <c r="C6303" s="597">
        <v>579</v>
      </c>
      <c r="D6303" s="244">
        <f t="shared" si="868"/>
        <v>152.74607641791042</v>
      </c>
      <c r="E6303" s="170">
        <v>20</v>
      </c>
      <c r="F6303" s="24">
        <f t="shared" ref="F6303:F6314" si="884">D6303+E6303</f>
        <v>172.74607641791042</v>
      </c>
      <c r="G6303" s="465" t="s">
        <v>11367</v>
      </c>
      <c r="H6303" s="532" t="str">
        <f t="shared" ref="H6303:H6349" si="885">B6303</f>
        <v>3VA1120-5EE32-0AA0</v>
      </c>
      <c r="I6303" s="2055" t="s">
        <v>11053</v>
      </c>
      <c r="J6303" s="416" t="s">
        <v>1970</v>
      </c>
      <c r="K6303" s="35" t="s">
        <v>741</v>
      </c>
    </row>
    <row r="6304" spans="1:11" s="203" customFormat="1">
      <c r="A6304" s="604"/>
      <c r="B6304" t="s">
        <v>1994</v>
      </c>
      <c r="C6304" s="597">
        <v>579</v>
      </c>
      <c r="D6304" s="244">
        <f t="shared" si="868"/>
        <v>152.74607641791042</v>
      </c>
      <c r="E6304" s="170">
        <v>20</v>
      </c>
      <c r="F6304" s="24">
        <f t="shared" si="884"/>
        <v>172.74607641791042</v>
      </c>
      <c r="G6304" s="465" t="s">
        <v>11368</v>
      </c>
      <c r="H6304" s="532" t="str">
        <f t="shared" si="885"/>
        <v>3VA1125-5EE32-0AA0</v>
      </c>
      <c r="I6304" s="2055" t="s">
        <v>11053</v>
      </c>
      <c r="J6304" s="416" t="s">
        <v>1970</v>
      </c>
      <c r="K6304" s="35" t="s">
        <v>741</v>
      </c>
    </row>
    <row r="6305" spans="1:11" s="203" customFormat="1">
      <c r="A6305" s="604"/>
      <c r="B6305" t="s">
        <v>1995</v>
      </c>
      <c r="C6305" s="597">
        <v>579</v>
      </c>
      <c r="D6305" s="244">
        <f t="shared" si="868"/>
        <v>152.74607641791042</v>
      </c>
      <c r="E6305" s="170">
        <v>20</v>
      </c>
      <c r="F6305" s="24">
        <f t="shared" si="884"/>
        <v>172.74607641791042</v>
      </c>
      <c r="G6305" s="465" t="s">
        <v>11369</v>
      </c>
      <c r="H6305" s="532" t="str">
        <f t="shared" si="885"/>
        <v>3VA1132-5EE32-0AA0</v>
      </c>
      <c r="I6305" s="2055" t="s">
        <v>11053</v>
      </c>
      <c r="J6305" s="416" t="s">
        <v>1970</v>
      </c>
      <c r="K6305" s="35" t="s">
        <v>741</v>
      </c>
    </row>
    <row r="6306" spans="1:11" s="207" customFormat="1">
      <c r="A6306" s="604"/>
      <c r="B6306" t="s">
        <v>10227</v>
      </c>
      <c r="C6306" s="597">
        <v>579</v>
      </c>
      <c r="D6306" s="244">
        <f t="shared" si="868"/>
        <v>152.74607641791042</v>
      </c>
      <c r="E6306" s="170">
        <v>20</v>
      </c>
      <c r="F6306" s="24">
        <f t="shared" si="884"/>
        <v>172.74607641791042</v>
      </c>
      <c r="G6306" s="465" t="s">
        <v>11370</v>
      </c>
      <c r="H6306" s="532" t="str">
        <f t="shared" si="885"/>
        <v>3VA1140-5EE32-0AA0</v>
      </c>
      <c r="I6306" s="2055" t="s">
        <v>11053</v>
      </c>
      <c r="J6306" s="416" t="s">
        <v>1970</v>
      </c>
      <c r="K6306" s="35" t="s">
        <v>741</v>
      </c>
    </row>
    <row r="6307" spans="1:11" s="207" customFormat="1">
      <c r="A6307" s="604"/>
      <c r="B6307" t="s">
        <v>10228</v>
      </c>
      <c r="C6307" s="597">
        <v>579</v>
      </c>
      <c r="D6307" s="244">
        <f t="shared" si="868"/>
        <v>152.74607641791042</v>
      </c>
      <c r="E6307" s="170">
        <v>20</v>
      </c>
      <c r="F6307" s="24">
        <f t="shared" si="884"/>
        <v>172.74607641791042</v>
      </c>
      <c r="G6307" s="465" t="s">
        <v>11371</v>
      </c>
      <c r="H6307" s="532" t="str">
        <f t="shared" si="885"/>
        <v>3VA1150-5EE32-0AA0</v>
      </c>
      <c r="I6307" s="2055" t="s">
        <v>11053</v>
      </c>
      <c r="J6307" s="416" t="s">
        <v>1970</v>
      </c>
      <c r="K6307" s="35" t="s">
        <v>741</v>
      </c>
    </row>
    <row r="6308" spans="1:11" s="106" customFormat="1">
      <c r="A6308" s="604"/>
      <c r="B6308" t="s">
        <v>10229</v>
      </c>
      <c r="C6308" s="597">
        <v>579</v>
      </c>
      <c r="D6308" s="244">
        <f t="shared" si="868"/>
        <v>152.74607641791042</v>
      </c>
      <c r="E6308" s="170">
        <v>20</v>
      </c>
      <c r="F6308" s="24">
        <f t="shared" si="884"/>
        <v>172.74607641791042</v>
      </c>
      <c r="G6308" s="465" t="s">
        <v>11372</v>
      </c>
      <c r="H6308" s="532" t="str">
        <f t="shared" si="885"/>
        <v>3VA1163-5EE32-0AA0</v>
      </c>
      <c r="I6308" s="2055" t="s">
        <v>11053</v>
      </c>
      <c r="J6308" s="416" t="s">
        <v>1970</v>
      </c>
      <c r="K6308" s="35" t="s">
        <v>741</v>
      </c>
    </row>
    <row r="6309" spans="1:11" s="203" customFormat="1">
      <c r="A6309" s="604"/>
      <c r="B6309" t="s">
        <v>10230</v>
      </c>
      <c r="C6309" s="597">
        <v>608</v>
      </c>
      <c r="D6309" s="244">
        <f t="shared" si="868"/>
        <v>160.39657074626862</v>
      </c>
      <c r="E6309" s="170">
        <v>20</v>
      </c>
      <c r="F6309" s="24">
        <f t="shared" si="884"/>
        <v>180.39657074626862</v>
      </c>
      <c r="G6309" s="465" t="s">
        <v>11373</v>
      </c>
      <c r="H6309" s="532" t="str">
        <f t="shared" si="885"/>
        <v>3VA1180-5EE32-0AA0</v>
      </c>
      <c r="I6309" s="2055" t="s">
        <v>11053</v>
      </c>
      <c r="J6309" s="416" t="s">
        <v>1970</v>
      </c>
      <c r="K6309" s="35" t="s">
        <v>741</v>
      </c>
    </row>
    <row r="6310" spans="1:11" s="203" customFormat="1">
      <c r="A6310" s="604"/>
      <c r="B6310" t="s">
        <v>10231</v>
      </c>
      <c r="C6310" s="597">
        <v>669</v>
      </c>
      <c r="D6310" s="244">
        <f t="shared" si="868"/>
        <v>176.48898985074626</v>
      </c>
      <c r="E6310" s="170">
        <v>20</v>
      </c>
      <c r="F6310" s="24">
        <f t="shared" si="884"/>
        <v>196.48898985074626</v>
      </c>
      <c r="G6310" s="465" t="s">
        <v>11374</v>
      </c>
      <c r="H6310" s="532" t="str">
        <f t="shared" si="885"/>
        <v>3VA1110-5EE32-0AA0</v>
      </c>
      <c r="I6310" s="2055" t="s">
        <v>11053</v>
      </c>
      <c r="J6310" s="416" t="s">
        <v>1970</v>
      </c>
      <c r="K6310" s="35" t="s">
        <v>741</v>
      </c>
    </row>
    <row r="6311" spans="1:11" s="203" customFormat="1" ht="12" customHeight="1">
      <c r="A6311" s="604"/>
      <c r="B6311" t="s">
        <v>10232</v>
      </c>
      <c r="C6311" s="597">
        <v>846</v>
      </c>
      <c r="D6311" s="244">
        <f t="shared" si="868"/>
        <v>223.18338626865668</v>
      </c>
      <c r="E6311" s="170">
        <v>20</v>
      </c>
      <c r="F6311" s="24">
        <f t="shared" si="884"/>
        <v>243.18338626865668</v>
      </c>
      <c r="G6311" s="465" t="s">
        <v>11375</v>
      </c>
      <c r="H6311" s="532" t="str">
        <f t="shared" si="885"/>
        <v>3VA1112-5EE32-0AA0</v>
      </c>
      <c r="I6311" s="2055" t="s">
        <v>11053</v>
      </c>
      <c r="J6311" s="416" t="s">
        <v>1970</v>
      </c>
      <c r="K6311" s="35" t="s">
        <v>741</v>
      </c>
    </row>
    <row r="6312" spans="1:11" s="203" customFormat="1">
      <c r="A6312" s="604"/>
      <c r="B6312" t="s">
        <v>10233</v>
      </c>
      <c r="C6312" s="597">
        <v>979</v>
      </c>
      <c r="D6312" s="244">
        <f t="shared" si="868"/>
        <v>258.27013611940299</v>
      </c>
      <c r="E6312" s="170">
        <v>20</v>
      </c>
      <c r="F6312" s="24">
        <f t="shared" si="884"/>
        <v>278.27013611940299</v>
      </c>
      <c r="G6312" s="465" t="s">
        <v>11376</v>
      </c>
      <c r="H6312" s="532" t="str">
        <f t="shared" si="885"/>
        <v>3VA1116-5EE32-0AA0</v>
      </c>
      <c r="I6312" s="2055" t="s">
        <v>11053</v>
      </c>
      <c r="J6312" s="416" t="s">
        <v>1970</v>
      </c>
      <c r="K6312" s="35" t="s">
        <v>741</v>
      </c>
    </row>
    <row r="6313" spans="1:11" s="203" customFormat="1">
      <c r="A6313" s="604"/>
      <c r="B6313" t="s">
        <v>10234</v>
      </c>
      <c r="C6313" s="597">
        <v>1292</v>
      </c>
      <c r="D6313" s="244">
        <f t="shared" si="868"/>
        <v>340.84271283582086</v>
      </c>
      <c r="E6313" s="170">
        <v>30</v>
      </c>
      <c r="F6313" s="24">
        <f t="shared" si="884"/>
        <v>370.84271283582086</v>
      </c>
      <c r="G6313" s="465" t="s">
        <v>11377</v>
      </c>
      <c r="H6313" s="532" t="str">
        <f t="shared" si="885"/>
        <v>3VA1220-5EF32-0AA0</v>
      </c>
      <c r="I6313" s="2055" t="s">
        <v>11053</v>
      </c>
      <c r="J6313" s="416" t="s">
        <v>1970</v>
      </c>
      <c r="K6313" s="35" t="s">
        <v>741</v>
      </c>
    </row>
    <row r="6314" spans="1:11" s="203" customFormat="1">
      <c r="A6314" s="604"/>
      <c r="B6314" t="s">
        <v>1996</v>
      </c>
      <c r="C6314" s="597">
        <v>1452</v>
      </c>
      <c r="D6314" s="244">
        <f t="shared" ref="D6314:D6419" si="886">C6314*(1-VLOOKUP(I6314,descuentos,6,FALSE))*fcl/IF(dol_sol="dólar", TC,1)</f>
        <v>383.05233671641787</v>
      </c>
      <c r="E6314" s="170">
        <v>30</v>
      </c>
      <c r="F6314" s="24">
        <f t="shared" si="884"/>
        <v>413.05233671641787</v>
      </c>
      <c r="G6314" s="465" t="s">
        <v>11378</v>
      </c>
      <c r="H6314" s="532" t="str">
        <f t="shared" si="885"/>
        <v>3VA1225-5EF32-0AA0</v>
      </c>
      <c r="I6314" s="2055" t="s">
        <v>11053</v>
      </c>
      <c r="J6314" s="416" t="s">
        <v>1970</v>
      </c>
      <c r="K6314" s="35" t="s">
        <v>741</v>
      </c>
    </row>
    <row r="6315" spans="1:11" s="203" customFormat="1">
      <c r="A6315" s="194"/>
      <c r="B6315" s="146"/>
      <c r="C6315" s="597"/>
      <c r="D6315" s="244"/>
      <c r="E6315" s="194"/>
      <c r="F6315" s="194"/>
      <c r="G6315" s="147"/>
      <c r="H6315" s="532"/>
      <c r="I6315" s="2055"/>
      <c r="J6315" s="416"/>
      <c r="K6315" s="35"/>
    </row>
    <row r="6316" spans="1:11" s="203" customFormat="1">
      <c r="A6316" s="604"/>
      <c r="B6316" t="s">
        <v>11379</v>
      </c>
      <c r="C6316" s="597">
        <v>665</v>
      </c>
      <c r="D6316" s="244">
        <f t="shared" ref="D6316:D6327" si="887">C6316*(1-VLOOKUP(I6316,descuentos,6,FALSE))*fcl/IF(dol_sol="dólar", TC,1)</f>
        <v>175.43374925373132</v>
      </c>
      <c r="E6316" s="170">
        <v>20</v>
      </c>
      <c r="F6316" s="24">
        <f t="shared" ref="F6316:F6327" si="888">D6316+E6316</f>
        <v>195.43374925373132</v>
      </c>
      <c r="G6316" s="465" t="s">
        <v>11380</v>
      </c>
      <c r="H6316" s="532" t="str">
        <f t="shared" ref="H6316:H6327" si="889">B6316</f>
        <v>3VA1120-6EF32-0AA0</v>
      </c>
      <c r="I6316" s="2055" t="s">
        <v>11053</v>
      </c>
      <c r="J6316" s="416" t="s">
        <v>1970</v>
      </c>
      <c r="K6316" s="35" t="s">
        <v>741</v>
      </c>
    </row>
    <row r="6317" spans="1:11" s="203" customFormat="1">
      <c r="A6317" s="604"/>
      <c r="B6317" t="s">
        <v>11381</v>
      </c>
      <c r="C6317" s="597">
        <v>665</v>
      </c>
      <c r="D6317" s="244">
        <f t="shared" si="887"/>
        <v>175.43374925373132</v>
      </c>
      <c r="E6317" s="170">
        <v>20</v>
      </c>
      <c r="F6317" s="24">
        <f t="shared" si="888"/>
        <v>195.43374925373132</v>
      </c>
      <c r="G6317" s="465" t="s">
        <v>11382</v>
      </c>
      <c r="H6317" s="532" t="str">
        <f t="shared" si="889"/>
        <v>3VA1125-6EF32-0AA0</v>
      </c>
      <c r="I6317" s="2055" t="s">
        <v>11053</v>
      </c>
      <c r="J6317" s="416" t="s">
        <v>1970</v>
      </c>
      <c r="K6317" s="35" t="s">
        <v>741</v>
      </c>
    </row>
    <row r="6318" spans="1:11" s="203" customFormat="1">
      <c r="A6318" s="604"/>
      <c r="B6318" t="s">
        <v>11383</v>
      </c>
      <c r="C6318" s="597">
        <v>665</v>
      </c>
      <c r="D6318" s="244">
        <f t="shared" si="887"/>
        <v>175.43374925373132</v>
      </c>
      <c r="E6318" s="170">
        <v>20</v>
      </c>
      <c r="F6318" s="24">
        <f t="shared" si="888"/>
        <v>195.43374925373132</v>
      </c>
      <c r="G6318" s="465" t="s">
        <v>11384</v>
      </c>
      <c r="H6318" s="532" t="str">
        <f t="shared" si="889"/>
        <v>3VA1132-6EF32-0AA0</v>
      </c>
      <c r="I6318" s="2055" t="s">
        <v>11053</v>
      </c>
      <c r="J6318" s="416" t="s">
        <v>1970</v>
      </c>
      <c r="K6318" s="35" t="s">
        <v>741</v>
      </c>
    </row>
    <row r="6319" spans="1:11" s="207" customFormat="1">
      <c r="A6319" s="604"/>
      <c r="B6319" t="s">
        <v>11385</v>
      </c>
      <c r="C6319" s="597">
        <v>665</v>
      </c>
      <c r="D6319" s="244">
        <f t="shared" si="887"/>
        <v>175.43374925373132</v>
      </c>
      <c r="E6319" s="170">
        <v>20</v>
      </c>
      <c r="F6319" s="24">
        <f t="shared" si="888"/>
        <v>195.43374925373132</v>
      </c>
      <c r="G6319" s="465" t="s">
        <v>11386</v>
      </c>
      <c r="H6319" s="532" t="str">
        <f t="shared" si="889"/>
        <v>3VA1140-6EF32-0AA0</v>
      </c>
      <c r="I6319" s="2055" t="s">
        <v>11053</v>
      </c>
      <c r="J6319" s="416" t="s">
        <v>1970</v>
      </c>
      <c r="K6319" s="35" t="s">
        <v>741</v>
      </c>
    </row>
    <row r="6320" spans="1:11" s="207" customFormat="1">
      <c r="A6320" s="604"/>
      <c r="B6320" t="s">
        <v>11387</v>
      </c>
      <c r="C6320" s="597">
        <v>665</v>
      </c>
      <c r="D6320" s="244">
        <f t="shared" si="887"/>
        <v>175.43374925373132</v>
      </c>
      <c r="E6320" s="170">
        <v>20</v>
      </c>
      <c r="F6320" s="24">
        <f t="shared" si="888"/>
        <v>195.43374925373132</v>
      </c>
      <c r="G6320" s="465" t="s">
        <v>11388</v>
      </c>
      <c r="H6320" s="532" t="str">
        <f t="shared" si="889"/>
        <v>3VA1150-6EF32-0AA0</v>
      </c>
      <c r="I6320" s="2055" t="s">
        <v>11053</v>
      </c>
      <c r="J6320" s="416" t="s">
        <v>1970</v>
      </c>
      <c r="K6320" s="35" t="s">
        <v>741</v>
      </c>
    </row>
    <row r="6321" spans="1:11" s="106" customFormat="1">
      <c r="A6321" s="604"/>
      <c r="B6321" t="s">
        <v>11389</v>
      </c>
      <c r="C6321" s="597">
        <v>665</v>
      </c>
      <c r="D6321" s="244">
        <f t="shared" si="887"/>
        <v>175.43374925373132</v>
      </c>
      <c r="E6321" s="170">
        <v>20</v>
      </c>
      <c r="F6321" s="24">
        <f t="shared" si="888"/>
        <v>195.43374925373132</v>
      </c>
      <c r="G6321" s="465" t="s">
        <v>11390</v>
      </c>
      <c r="H6321" s="532" t="str">
        <f t="shared" si="889"/>
        <v>3VA1163-6EF32-0AA0</v>
      </c>
      <c r="I6321" s="2055" t="s">
        <v>11053</v>
      </c>
      <c r="J6321" s="416" t="s">
        <v>1970</v>
      </c>
      <c r="K6321" s="35" t="s">
        <v>741</v>
      </c>
    </row>
    <row r="6322" spans="1:11" s="203" customFormat="1">
      <c r="A6322" s="604"/>
      <c r="B6322" t="s">
        <v>11391</v>
      </c>
      <c r="C6322" s="597">
        <v>730</v>
      </c>
      <c r="D6322" s="244">
        <f t="shared" si="887"/>
        <v>192.58140895522388</v>
      </c>
      <c r="E6322" s="170">
        <v>20</v>
      </c>
      <c r="F6322" s="24">
        <f t="shared" si="888"/>
        <v>212.58140895522388</v>
      </c>
      <c r="G6322" s="465" t="s">
        <v>11392</v>
      </c>
      <c r="H6322" s="532" t="str">
        <f t="shared" si="889"/>
        <v>3VA1180-6EF32-0AA0</v>
      </c>
      <c r="I6322" s="2055" t="s">
        <v>11053</v>
      </c>
      <c r="J6322" s="416" t="s">
        <v>1970</v>
      </c>
      <c r="K6322" s="35" t="s">
        <v>741</v>
      </c>
    </row>
    <row r="6323" spans="1:11" s="203" customFormat="1">
      <c r="A6323" s="604"/>
      <c r="B6323" t="s">
        <v>11393</v>
      </c>
      <c r="C6323" s="597">
        <v>842</v>
      </c>
      <c r="D6323" s="244">
        <f t="shared" si="887"/>
        <v>222.12814567164179</v>
      </c>
      <c r="E6323" s="170">
        <v>20</v>
      </c>
      <c r="F6323" s="24">
        <f t="shared" si="888"/>
        <v>242.12814567164179</v>
      </c>
      <c r="G6323" s="465" t="s">
        <v>11394</v>
      </c>
      <c r="H6323" s="532" t="str">
        <f t="shared" si="889"/>
        <v>3VA1110-6EF32-0AA0</v>
      </c>
      <c r="I6323" s="2055" t="s">
        <v>11053</v>
      </c>
      <c r="J6323" s="416" t="s">
        <v>1970</v>
      </c>
      <c r="K6323" s="35" t="s">
        <v>741</v>
      </c>
    </row>
    <row r="6324" spans="1:11" s="203" customFormat="1" ht="12" customHeight="1">
      <c r="A6324" s="604"/>
      <c r="B6324" t="s">
        <v>11395</v>
      </c>
      <c r="C6324" s="597">
        <v>1364</v>
      </c>
      <c r="D6324" s="244">
        <f t="shared" si="887"/>
        <v>359.83704358208951</v>
      </c>
      <c r="E6324" s="170">
        <v>20</v>
      </c>
      <c r="F6324" s="24">
        <f t="shared" si="888"/>
        <v>379.83704358208951</v>
      </c>
      <c r="G6324" s="465" t="s">
        <v>11396</v>
      </c>
      <c r="H6324" s="532" t="str">
        <f t="shared" si="889"/>
        <v>3VA1112-6EF32-0AA0</v>
      </c>
      <c r="I6324" s="2055" t="s">
        <v>11053</v>
      </c>
      <c r="J6324" s="416" t="s">
        <v>1970</v>
      </c>
      <c r="K6324" s="35" t="s">
        <v>741</v>
      </c>
    </row>
    <row r="6325" spans="1:11" s="203" customFormat="1">
      <c r="A6325" s="604"/>
      <c r="B6325" t="s">
        <v>11397</v>
      </c>
      <c r="C6325" s="597">
        <v>1516</v>
      </c>
      <c r="D6325" s="244">
        <f t="shared" si="887"/>
        <v>399.93618626865668</v>
      </c>
      <c r="E6325" s="170">
        <v>20</v>
      </c>
      <c r="F6325" s="24">
        <f t="shared" si="888"/>
        <v>419.93618626865668</v>
      </c>
      <c r="G6325" s="465" t="s">
        <v>11398</v>
      </c>
      <c r="H6325" s="532" t="str">
        <f t="shared" si="889"/>
        <v>3VA1116-6EF32-0AA0</v>
      </c>
      <c r="I6325" s="2055" t="s">
        <v>11053</v>
      </c>
      <c r="J6325" s="416" t="s">
        <v>1970</v>
      </c>
      <c r="K6325" s="35" t="s">
        <v>741</v>
      </c>
    </row>
    <row r="6326" spans="1:11" s="203" customFormat="1">
      <c r="A6326" s="604"/>
      <c r="B6326" t="s">
        <v>11399</v>
      </c>
      <c r="C6326" s="597">
        <v>1645</v>
      </c>
      <c r="D6326" s="244">
        <f t="shared" si="887"/>
        <v>433.96769552238806</v>
      </c>
      <c r="E6326" s="170">
        <v>30</v>
      </c>
      <c r="F6326" s="24">
        <f t="shared" si="888"/>
        <v>463.96769552238806</v>
      </c>
      <c r="G6326" s="465" t="s">
        <v>11400</v>
      </c>
      <c r="H6326" s="532" t="str">
        <f t="shared" si="889"/>
        <v>3VA1220-6EF32-0AA0</v>
      </c>
      <c r="I6326" s="2055" t="s">
        <v>11053</v>
      </c>
      <c r="J6326" s="416" t="s">
        <v>1970</v>
      </c>
      <c r="K6326" s="35" t="s">
        <v>741</v>
      </c>
    </row>
    <row r="6327" spans="1:11" s="203" customFormat="1">
      <c r="A6327" s="604"/>
      <c r="B6327" t="s">
        <v>11401</v>
      </c>
      <c r="C6327" s="597">
        <v>1662</v>
      </c>
      <c r="D6327" s="244">
        <f t="shared" si="887"/>
        <v>438.45246805970146</v>
      </c>
      <c r="E6327" s="170">
        <v>30</v>
      </c>
      <c r="F6327" s="24">
        <f t="shared" si="888"/>
        <v>468.45246805970146</v>
      </c>
      <c r="G6327" s="465" t="s">
        <v>11402</v>
      </c>
      <c r="H6327" s="532" t="str">
        <f t="shared" si="889"/>
        <v>3VA1225-6EF32-0AA0</v>
      </c>
      <c r="I6327" s="2055" t="s">
        <v>11053</v>
      </c>
      <c r="J6327" s="416" t="s">
        <v>1970</v>
      </c>
      <c r="K6327" s="35" t="s">
        <v>741</v>
      </c>
    </row>
    <row r="6328" spans="1:11" s="203" customFormat="1">
      <c r="A6328" s="195"/>
      <c r="B6328" s="195"/>
      <c r="C6328" s="597"/>
      <c r="D6328" s="244"/>
      <c r="E6328" s="815"/>
      <c r="F6328" s="815"/>
      <c r="G6328" s="195"/>
      <c r="H6328" s="532"/>
      <c r="I6328" s="2055"/>
      <c r="J6328" s="416"/>
      <c r="K6328" s="35"/>
    </row>
    <row r="6329" spans="1:11" s="203" customFormat="1" ht="12" customHeight="1">
      <c r="A6329" s="604"/>
      <c r="B6329" t="s">
        <v>11082</v>
      </c>
      <c r="C6329" s="597">
        <v>1793</v>
      </c>
      <c r="D6329" s="244">
        <f t="shared" ref="D6329:D6332" si="890">C6329*(1-VLOOKUP(I6329,descuentos,6,FALSE))*fcl/IF(dol_sol="dólar", TC,1)</f>
        <v>473.01159761194026</v>
      </c>
      <c r="E6329" s="170">
        <f>D6329/8</f>
        <v>59.126449701492533</v>
      </c>
      <c r="F6329" s="24">
        <f t="shared" ref="F6329:F6332" si="891">D6329+E6329</f>
        <v>532.13804731343282</v>
      </c>
      <c r="G6329" s="465" t="s">
        <v>11403</v>
      </c>
      <c r="H6329" s="532" t="str">
        <f t="shared" ref="H6329:H6332" si="892">B6329</f>
        <v>3VA1340-4EF32-0AA0</v>
      </c>
      <c r="I6329" s="2055" t="s">
        <v>11053</v>
      </c>
      <c r="J6329" s="416" t="s">
        <v>1970</v>
      </c>
      <c r="K6329" s="35" t="s">
        <v>741</v>
      </c>
    </row>
    <row r="6330" spans="1:11" s="203" customFormat="1">
      <c r="A6330" s="604"/>
      <c r="B6330" t="s">
        <v>11083</v>
      </c>
      <c r="C6330" s="597">
        <v>2303</v>
      </c>
      <c r="D6330" s="244">
        <f t="shared" si="890"/>
        <v>607.55477373134329</v>
      </c>
      <c r="E6330" s="170">
        <f t="shared" ref="E6330:E6332" si="893">D6330/8</f>
        <v>75.944346716417911</v>
      </c>
      <c r="F6330" s="24">
        <f t="shared" si="891"/>
        <v>683.49912044776124</v>
      </c>
      <c r="G6330" s="465" t="s">
        <v>11404</v>
      </c>
      <c r="H6330" s="532" t="str">
        <f t="shared" si="892"/>
        <v>3VA1463-4EF32-0AA0</v>
      </c>
      <c r="I6330" s="2055" t="s">
        <v>11053</v>
      </c>
      <c r="J6330" s="416" t="s">
        <v>1970</v>
      </c>
      <c r="K6330" s="35" t="s">
        <v>741</v>
      </c>
    </row>
    <row r="6331" spans="1:11" s="203" customFormat="1">
      <c r="A6331" s="604"/>
      <c r="B6331" t="s">
        <v>13924</v>
      </c>
      <c r="C6331" s="597">
        <v>4535</v>
      </c>
      <c r="D6331" s="244">
        <f t="shared" si="890"/>
        <v>1196.3790268656717</v>
      </c>
      <c r="E6331" s="170">
        <f t="shared" si="893"/>
        <v>149.54737835820896</v>
      </c>
      <c r="F6331" s="24">
        <f t="shared" si="891"/>
        <v>1345.9264052238807</v>
      </c>
      <c r="G6331" s="465" t="s">
        <v>13925</v>
      </c>
      <c r="H6331" s="532" t="str">
        <f t="shared" si="892"/>
        <v>3VA1580-5EF32-0AA0</v>
      </c>
      <c r="I6331" s="2055" t="s">
        <v>11053</v>
      </c>
      <c r="J6331" s="416" t="s">
        <v>1970</v>
      </c>
      <c r="K6331" s="35" t="s">
        <v>741</v>
      </c>
    </row>
    <row r="6332" spans="1:11" s="203" customFormat="1">
      <c r="A6332" s="604"/>
      <c r="B6332" t="s">
        <v>13926</v>
      </c>
      <c r="C6332" s="597">
        <v>5614</v>
      </c>
      <c r="D6332" s="244">
        <f t="shared" si="890"/>
        <v>1481.0301779104477</v>
      </c>
      <c r="E6332" s="170">
        <f t="shared" si="893"/>
        <v>185.12877223880596</v>
      </c>
      <c r="F6332" s="24">
        <f t="shared" si="891"/>
        <v>1666.1589501492538</v>
      </c>
      <c r="G6332" s="465" t="s">
        <v>13927</v>
      </c>
      <c r="H6332" s="532" t="str">
        <f t="shared" si="892"/>
        <v>3VA1510-5EF32-0AA0</v>
      </c>
      <c r="I6332" s="2055" t="s">
        <v>11053</v>
      </c>
      <c r="J6332" s="416" t="s">
        <v>1970</v>
      </c>
      <c r="K6332" s="35" t="s">
        <v>741</v>
      </c>
    </row>
    <row r="6333" spans="1:11" s="203" customFormat="1">
      <c r="A6333" s="195"/>
      <c r="B6333" s="195"/>
      <c r="C6333" s="597"/>
      <c r="D6333" s="244"/>
      <c r="E6333" s="815"/>
      <c r="F6333" s="815"/>
      <c r="G6333" s="195"/>
      <c r="H6333" s="532"/>
      <c r="I6333" s="2055"/>
      <c r="J6333" s="416"/>
      <c r="K6333" s="35"/>
    </row>
    <row r="6334" spans="1:11" s="203" customFormat="1" ht="12" customHeight="1">
      <c r="A6334" s="604"/>
      <c r="B6334" t="s">
        <v>11405</v>
      </c>
      <c r="C6334" s="597">
        <v>1934</v>
      </c>
      <c r="D6334" s="244">
        <f t="shared" ref="D6334:D6337" si="894">C6334*(1-VLOOKUP(I6334,descuentos,6,FALSE))*fcl/IF(dol_sol="dólar", TC,1)</f>
        <v>510.20882865671638</v>
      </c>
      <c r="E6334" s="170">
        <f>D6334/8</f>
        <v>63.776103582089547</v>
      </c>
      <c r="F6334" s="24">
        <f t="shared" ref="F6334:F6337" si="895">D6334+E6334</f>
        <v>573.98493223880587</v>
      </c>
      <c r="G6334" s="465" t="s">
        <v>13928</v>
      </c>
      <c r="H6334" s="532" t="str">
        <f t="shared" ref="H6334:H6337" si="896">B6334</f>
        <v>3VA1340-5EF32-0AA0</v>
      </c>
      <c r="I6334" s="2055" t="s">
        <v>11053</v>
      </c>
      <c r="J6334" s="416" t="s">
        <v>1970</v>
      </c>
      <c r="K6334" s="35" t="s">
        <v>741</v>
      </c>
    </row>
    <row r="6335" spans="1:11" s="203" customFormat="1">
      <c r="A6335" s="604"/>
      <c r="B6335" t="s">
        <v>11406</v>
      </c>
      <c r="C6335" s="597">
        <v>2575</v>
      </c>
      <c r="D6335" s="244">
        <f t="shared" si="894"/>
        <v>679.31113432835821</v>
      </c>
      <c r="E6335" s="170">
        <f t="shared" ref="E6335:E6337" si="897">D6335/8</f>
        <v>84.913891791044776</v>
      </c>
      <c r="F6335" s="24">
        <f t="shared" si="895"/>
        <v>764.22502611940297</v>
      </c>
      <c r="G6335" s="465" t="s">
        <v>13929</v>
      </c>
      <c r="H6335" s="532" t="str">
        <f t="shared" si="896"/>
        <v>3VA1463-5EF32-0AA0</v>
      </c>
      <c r="I6335" s="2055" t="s">
        <v>11053</v>
      </c>
      <c r="J6335" s="416" t="s">
        <v>1970</v>
      </c>
      <c r="K6335" s="35" t="s">
        <v>741</v>
      </c>
    </row>
    <row r="6336" spans="1:11" s="203" customFormat="1">
      <c r="A6336" s="604"/>
      <c r="B6336" t="s">
        <v>13930</v>
      </c>
      <c r="C6336" s="597">
        <v>4989</v>
      </c>
      <c r="D6336" s="244">
        <f t="shared" si="894"/>
        <v>1316.1488346268657</v>
      </c>
      <c r="E6336" s="170">
        <f t="shared" si="897"/>
        <v>164.51860432835821</v>
      </c>
      <c r="F6336" s="24">
        <f t="shared" si="895"/>
        <v>1480.6674389552238</v>
      </c>
      <c r="G6336" s="465" t="s">
        <v>13931</v>
      </c>
      <c r="H6336" s="532" t="str">
        <f t="shared" si="896"/>
        <v>3VA1580-6EF32-0AA0</v>
      </c>
      <c r="I6336" s="2055" t="s">
        <v>11053</v>
      </c>
      <c r="J6336" s="416" t="s">
        <v>1970</v>
      </c>
      <c r="K6336" s="35" t="s">
        <v>741</v>
      </c>
    </row>
    <row r="6337" spans="1:11" s="203" customFormat="1">
      <c r="A6337" s="604"/>
      <c r="B6337" t="s">
        <v>13932</v>
      </c>
      <c r="C6337" s="597">
        <v>5938</v>
      </c>
      <c r="D6337" s="244">
        <f t="shared" si="894"/>
        <v>1566.5046662686564</v>
      </c>
      <c r="E6337" s="170">
        <f t="shared" si="897"/>
        <v>195.81308328358205</v>
      </c>
      <c r="F6337" s="24">
        <f t="shared" si="895"/>
        <v>1762.3177495522384</v>
      </c>
      <c r="G6337" s="465" t="s">
        <v>13933</v>
      </c>
      <c r="H6337" s="532" t="str">
        <f t="shared" si="896"/>
        <v>3VA1510-6EF32-0AA0</v>
      </c>
      <c r="I6337" s="2055" t="s">
        <v>11053</v>
      </c>
      <c r="J6337" s="416" t="s">
        <v>1970</v>
      </c>
      <c r="K6337" s="35" t="s">
        <v>741</v>
      </c>
    </row>
    <row r="6338" spans="1:11" s="203" customFormat="1">
      <c r="A6338" s="195"/>
      <c r="B6338" s="195"/>
      <c r="C6338" s="597"/>
      <c r="D6338" s="244"/>
      <c r="E6338" s="815"/>
      <c r="F6338" s="815"/>
      <c r="G6338" s="195"/>
      <c r="H6338" s="532"/>
      <c r="I6338" s="2055"/>
      <c r="J6338" s="416"/>
      <c r="K6338" s="35"/>
    </row>
    <row r="6339" spans="1:11" s="203" customFormat="1" ht="16.5">
      <c r="A6339" s="605"/>
      <c r="B6339" s="2065" t="s">
        <v>11407</v>
      </c>
      <c r="C6339" s="597"/>
      <c r="D6339" s="244"/>
      <c r="E6339" s="607"/>
      <c r="F6339" s="608"/>
      <c r="G6339" s="608"/>
      <c r="H6339" s="532"/>
      <c r="I6339" s="2055"/>
      <c r="J6339" s="416"/>
      <c r="K6339" s="35"/>
    </row>
    <row r="6340" spans="1:11" s="203" customFormat="1">
      <c r="A6340" s="195"/>
      <c r="B6340" s="195"/>
      <c r="C6340" s="597"/>
      <c r="D6340" s="244"/>
      <c r="E6340" s="815"/>
      <c r="F6340" s="815"/>
      <c r="G6340" s="195"/>
      <c r="H6340" s="532"/>
      <c r="I6340" s="2055"/>
      <c r="J6340" s="416"/>
      <c r="K6340" s="35"/>
    </row>
    <row r="6341" spans="1:11" s="203" customFormat="1">
      <c r="A6341" s="195"/>
      <c r="B6341" s="195"/>
      <c r="C6341" s="597"/>
      <c r="D6341" s="244"/>
      <c r="E6341" s="815"/>
      <c r="F6341" s="815"/>
      <c r="G6341" s="195"/>
      <c r="H6341" s="532"/>
      <c r="I6341" s="2055"/>
      <c r="J6341" s="416"/>
      <c r="K6341" s="35"/>
    </row>
    <row r="6342" spans="1:11" customFormat="1">
      <c r="A6342" s="1831"/>
      <c r="B6342" s="20" t="s">
        <v>10235</v>
      </c>
      <c r="C6342" s="597">
        <v>954</v>
      </c>
      <c r="D6342" s="244">
        <f t="shared" si="886"/>
        <v>251.6748823880597</v>
      </c>
      <c r="E6342" s="170">
        <f>D6342/8</f>
        <v>31.459360298507463</v>
      </c>
      <c r="F6342" s="24">
        <f t="shared" ref="F6342:F6349" si="898">D6342+E6342</f>
        <v>283.13424268656718</v>
      </c>
      <c r="G6342" s="24" t="s">
        <v>11408</v>
      </c>
      <c r="H6342" s="532" t="str">
        <f t="shared" si="885"/>
        <v>3VA2040-5HL32-0AA0</v>
      </c>
      <c r="I6342" s="2055" t="s">
        <v>11053</v>
      </c>
      <c r="J6342" s="416" t="s">
        <v>1970</v>
      </c>
      <c r="K6342" s="35" t="s">
        <v>741</v>
      </c>
    </row>
    <row r="6343" spans="1:11" customFormat="1">
      <c r="A6343" s="1831"/>
      <c r="B6343" s="20" t="s">
        <v>10236</v>
      </c>
      <c r="C6343" s="597">
        <v>1030</v>
      </c>
      <c r="D6343" s="244">
        <f t="shared" si="886"/>
        <v>271.72445373134326</v>
      </c>
      <c r="E6343" s="170">
        <f t="shared" ref="E6343:E6359" si="899">D6343/8</f>
        <v>33.965556716417908</v>
      </c>
      <c r="F6343" s="24">
        <f t="shared" si="898"/>
        <v>305.69001044776115</v>
      </c>
      <c r="G6343" s="24" t="s">
        <v>11409</v>
      </c>
      <c r="H6343" s="532" t="str">
        <f t="shared" si="885"/>
        <v>3VA2010-5HL32-0AA0</v>
      </c>
      <c r="I6343" s="2055" t="s">
        <v>11053</v>
      </c>
      <c r="J6343" s="416" t="s">
        <v>1970</v>
      </c>
      <c r="K6343" s="35" t="s">
        <v>741</v>
      </c>
    </row>
    <row r="6344" spans="1:11" customFormat="1">
      <c r="A6344" s="1831"/>
      <c r="B6344" s="20" t="s">
        <v>10237</v>
      </c>
      <c r="C6344" s="597">
        <v>1377</v>
      </c>
      <c r="D6344" s="244">
        <f t="shared" si="886"/>
        <v>363.26657552238805</v>
      </c>
      <c r="E6344" s="170">
        <f t="shared" si="899"/>
        <v>45.408321940298507</v>
      </c>
      <c r="F6344" s="24">
        <f t="shared" si="898"/>
        <v>408.67489746268654</v>
      </c>
      <c r="G6344" s="24" t="s">
        <v>11410</v>
      </c>
      <c r="H6344" s="532" t="str">
        <f t="shared" si="885"/>
        <v>3VA2116-5HL32-0AA0</v>
      </c>
      <c r="I6344" s="2055" t="s">
        <v>11053</v>
      </c>
      <c r="J6344" s="416" t="s">
        <v>1970</v>
      </c>
      <c r="K6344" s="35" t="s">
        <v>741</v>
      </c>
    </row>
    <row r="6345" spans="1:11" customFormat="1">
      <c r="A6345" s="1831"/>
      <c r="B6345" s="20" t="s">
        <v>2659</v>
      </c>
      <c r="C6345" s="597">
        <v>1809</v>
      </c>
      <c r="D6345" s="244">
        <f t="shared" si="886"/>
        <v>477.23256000000003</v>
      </c>
      <c r="E6345" s="170">
        <f t="shared" si="899"/>
        <v>59.654070000000004</v>
      </c>
      <c r="F6345" s="24">
        <f t="shared" si="898"/>
        <v>536.88663000000008</v>
      </c>
      <c r="G6345" s="24" t="s">
        <v>11411</v>
      </c>
      <c r="H6345" s="532" t="str">
        <f t="shared" si="885"/>
        <v>3VA2225-5HL32-0AA0</v>
      </c>
      <c r="I6345" s="2055" t="s">
        <v>11053</v>
      </c>
      <c r="J6345" s="416" t="s">
        <v>1970</v>
      </c>
      <c r="K6345" s="35" t="s">
        <v>741</v>
      </c>
    </row>
    <row r="6346" spans="1:11" customFormat="1">
      <c r="A6346" s="1831"/>
      <c r="B6346" s="20" t="s">
        <v>11412</v>
      </c>
      <c r="C6346" s="597">
        <v>2109</v>
      </c>
      <c r="D6346" s="244">
        <f t="shared" si="886"/>
        <v>556.3756047761193</v>
      </c>
      <c r="E6346" s="170">
        <f t="shared" si="899"/>
        <v>69.546950597014913</v>
      </c>
      <c r="F6346" s="24">
        <f t="shared" si="898"/>
        <v>625.92255537313417</v>
      </c>
      <c r="G6346" s="24" t="s">
        <v>11413</v>
      </c>
      <c r="H6346" s="532" t="str">
        <f t="shared" si="885"/>
        <v>3VA2340-5HL32-0AA0</v>
      </c>
      <c r="I6346" s="2055" t="s">
        <v>11053</v>
      </c>
      <c r="J6346" s="416" t="s">
        <v>1970</v>
      </c>
      <c r="K6346" s="35" t="s">
        <v>741</v>
      </c>
    </row>
    <row r="6347" spans="1:11" customFormat="1">
      <c r="A6347" s="1831"/>
      <c r="B6347" s="20" t="s">
        <v>11414</v>
      </c>
      <c r="C6347" s="597">
        <v>2709</v>
      </c>
      <c r="D6347" s="244">
        <f t="shared" si="886"/>
        <v>714.66169432835818</v>
      </c>
      <c r="E6347" s="170">
        <f t="shared" si="899"/>
        <v>89.332711791044773</v>
      </c>
      <c r="F6347" s="24">
        <f t="shared" si="898"/>
        <v>803.99440611940292</v>
      </c>
      <c r="G6347" s="24" t="s">
        <v>11415</v>
      </c>
      <c r="H6347" s="532" t="str">
        <f t="shared" si="885"/>
        <v>3VA2463-5HL32-0AA0</v>
      </c>
      <c r="I6347" s="2055" t="s">
        <v>11053</v>
      </c>
      <c r="J6347" s="416" t="s">
        <v>1970</v>
      </c>
      <c r="K6347" s="35" t="s">
        <v>741</v>
      </c>
    </row>
    <row r="6348" spans="1:11" customFormat="1">
      <c r="A6348" s="1831"/>
      <c r="B6348" s="20" t="s">
        <v>10238</v>
      </c>
      <c r="C6348" s="597">
        <v>5396</v>
      </c>
      <c r="D6348" s="244">
        <f t="shared" si="886"/>
        <v>1423.5195653731341</v>
      </c>
      <c r="E6348" s="170">
        <f t="shared" si="899"/>
        <v>177.93994567164177</v>
      </c>
      <c r="F6348" s="24">
        <f t="shared" si="898"/>
        <v>1601.4595110447758</v>
      </c>
      <c r="G6348" s="24" t="s">
        <v>11416</v>
      </c>
      <c r="H6348" s="532" t="str">
        <f t="shared" si="885"/>
        <v>3VA2580-5HL32-0AA0</v>
      </c>
      <c r="I6348" s="2055" t="s">
        <v>11053</v>
      </c>
      <c r="J6348" s="416" t="s">
        <v>1970</v>
      </c>
      <c r="K6348" s="35" t="s">
        <v>741</v>
      </c>
    </row>
    <row r="6349" spans="1:11" customFormat="1">
      <c r="A6349" s="1831"/>
      <c r="B6349" s="20" t="s">
        <v>10239</v>
      </c>
      <c r="C6349" s="597">
        <v>6812</v>
      </c>
      <c r="D6349" s="244">
        <f t="shared" si="886"/>
        <v>1797.0747367164179</v>
      </c>
      <c r="E6349" s="170">
        <f t="shared" si="899"/>
        <v>224.63434208955223</v>
      </c>
      <c r="F6349" s="24">
        <f t="shared" si="898"/>
        <v>2021.7090788059702</v>
      </c>
      <c r="G6349" s="24" t="s">
        <v>11417</v>
      </c>
      <c r="H6349" s="532" t="str">
        <f t="shared" si="885"/>
        <v>3VA2510-5HL32-0AA0</v>
      </c>
      <c r="I6349" s="2055" t="s">
        <v>11053</v>
      </c>
      <c r="J6349" s="416" t="s">
        <v>1970</v>
      </c>
      <c r="K6349" s="35" t="s">
        <v>741</v>
      </c>
    </row>
    <row r="6350" spans="1:11" s="954" customFormat="1">
      <c r="A6350" s="48"/>
      <c r="B6350" s="21"/>
      <c r="C6350" s="2066"/>
      <c r="D6350" s="1756"/>
      <c r="E6350" s="1829"/>
      <c r="F6350" s="140"/>
      <c r="G6350" s="140"/>
      <c r="H6350" s="2067"/>
      <c r="I6350" s="2068"/>
      <c r="J6350" s="2069"/>
      <c r="K6350" s="21"/>
    </row>
    <row r="6351" spans="1:11" customFormat="1">
      <c r="A6351" s="1831"/>
      <c r="B6351" s="20" t="s">
        <v>11418</v>
      </c>
      <c r="C6351" s="597">
        <v>2953</v>
      </c>
      <c r="D6351" s="244">
        <f t="shared" ref="D6351:D6354" si="900">C6351*(1-VLOOKUP(I6351,descuentos,6,FALSE))*fcl/IF(dol_sol="dólar", TC,1)</f>
        <v>779.03137074626864</v>
      </c>
      <c r="E6351" s="170">
        <f t="shared" si="899"/>
        <v>97.378921343283579</v>
      </c>
      <c r="F6351" s="24">
        <f t="shared" ref="F6351:F6354" si="901">D6351+E6351</f>
        <v>876.41029208955217</v>
      </c>
      <c r="G6351" s="24" t="s">
        <v>11419</v>
      </c>
      <c r="H6351" s="532" t="str">
        <f t="shared" ref="H6351:H6354" si="902">B6351</f>
        <v>3VA2340-6HL32-0AA0</v>
      </c>
      <c r="I6351" s="2055" t="s">
        <v>11053</v>
      </c>
      <c r="J6351" s="416" t="s">
        <v>1970</v>
      </c>
      <c r="K6351" s="35" t="s">
        <v>741</v>
      </c>
    </row>
    <row r="6352" spans="1:11" customFormat="1">
      <c r="A6352" s="1831"/>
      <c r="B6352" s="20" t="s">
        <v>11420</v>
      </c>
      <c r="C6352" s="597">
        <v>4031</v>
      </c>
      <c r="D6352" s="244">
        <f t="shared" si="900"/>
        <v>1063.4187116417909</v>
      </c>
      <c r="E6352" s="170">
        <f t="shared" si="899"/>
        <v>132.92733895522386</v>
      </c>
      <c r="F6352" s="24">
        <f t="shared" si="901"/>
        <v>1196.3460505970147</v>
      </c>
      <c r="G6352" s="24" t="s">
        <v>11421</v>
      </c>
      <c r="H6352" s="532" t="str">
        <f t="shared" si="902"/>
        <v>3VA2463-6HL32-0AA0</v>
      </c>
      <c r="I6352" s="2055" t="s">
        <v>11053</v>
      </c>
      <c r="J6352" s="416" t="s">
        <v>1970</v>
      </c>
      <c r="K6352" s="35" t="s">
        <v>741</v>
      </c>
    </row>
    <row r="6353" spans="1:11" customFormat="1">
      <c r="A6353" s="1831"/>
      <c r="B6353" s="20" t="s">
        <v>11422</v>
      </c>
      <c r="C6353" s="597">
        <v>6154</v>
      </c>
      <c r="D6353" s="244">
        <f t="shared" si="900"/>
        <v>1623.4876585074626</v>
      </c>
      <c r="E6353" s="170">
        <f t="shared" si="899"/>
        <v>202.93595731343282</v>
      </c>
      <c r="F6353" s="24">
        <f t="shared" si="901"/>
        <v>1826.4236158208955</v>
      </c>
      <c r="G6353" s="24" t="s">
        <v>11423</v>
      </c>
      <c r="H6353" s="532" t="str">
        <f t="shared" si="902"/>
        <v>3VA2580-6HL32-0AA0</v>
      </c>
      <c r="I6353" s="2055" t="s">
        <v>11053</v>
      </c>
      <c r="J6353" s="416" t="s">
        <v>1970</v>
      </c>
      <c r="K6353" s="35" t="s">
        <v>741</v>
      </c>
    </row>
    <row r="6354" spans="1:11" customFormat="1">
      <c r="A6354" s="1831"/>
      <c r="B6354" s="20" t="s">
        <v>11424</v>
      </c>
      <c r="C6354" s="597">
        <v>7788</v>
      </c>
      <c r="D6354" s="244">
        <f t="shared" si="900"/>
        <v>2054.5534423880595</v>
      </c>
      <c r="E6354" s="170">
        <f t="shared" si="899"/>
        <v>256.81918029850743</v>
      </c>
      <c r="F6354" s="24">
        <f t="shared" si="901"/>
        <v>2311.372622686567</v>
      </c>
      <c r="G6354" s="24" t="s">
        <v>11425</v>
      </c>
      <c r="H6354" s="532" t="str">
        <f t="shared" si="902"/>
        <v>3VA2510-6HL32-0AA0</v>
      </c>
      <c r="I6354" s="2055" t="s">
        <v>11053</v>
      </c>
      <c r="J6354" s="416" t="s">
        <v>1970</v>
      </c>
      <c r="K6354" s="35" t="s">
        <v>741</v>
      </c>
    </row>
    <row r="6355" spans="1:11" s="203" customFormat="1">
      <c r="A6355" s="195"/>
      <c r="B6355" s="816"/>
      <c r="C6355" s="597"/>
      <c r="D6355" s="244"/>
      <c r="E6355" s="817"/>
      <c r="F6355" s="464"/>
      <c r="G6355" s="195"/>
      <c r="H6355" s="532"/>
      <c r="I6355" s="2055"/>
      <c r="J6355" s="416"/>
      <c r="K6355" s="35"/>
    </row>
    <row r="6356" spans="1:11" customFormat="1">
      <c r="A6356" s="1831"/>
      <c r="B6356" s="20" t="s">
        <v>11426</v>
      </c>
      <c r="C6356" s="597">
        <v>3517</v>
      </c>
      <c r="D6356" s="244">
        <f t="shared" ref="D6356:D6359" si="903">C6356*(1-VLOOKUP(I6356,descuentos,6,FALSE))*fcl/IF(dol_sol="dólar", TC,1)</f>
        <v>927.8202949253731</v>
      </c>
      <c r="E6356" s="170">
        <f t="shared" si="899"/>
        <v>115.97753686567164</v>
      </c>
      <c r="F6356" s="24">
        <f t="shared" ref="F6356:F6359" si="904">D6356+E6356</f>
        <v>1043.7978317910447</v>
      </c>
      <c r="G6356" s="24" t="s">
        <v>11427</v>
      </c>
      <c r="H6356" s="532" t="str">
        <f t="shared" ref="H6356:H6359" si="905">B6356</f>
        <v>3VA2340-5HL42-0AA0</v>
      </c>
      <c r="I6356" s="2055" t="s">
        <v>11053</v>
      </c>
      <c r="J6356" s="416" t="s">
        <v>1970</v>
      </c>
      <c r="K6356" s="35" t="s">
        <v>741</v>
      </c>
    </row>
    <row r="6357" spans="1:11" customFormat="1">
      <c r="A6357" s="1831"/>
      <c r="B6357" s="20" t="s">
        <v>11428</v>
      </c>
      <c r="C6357" s="597">
        <v>4845</v>
      </c>
      <c r="D6357" s="244">
        <f t="shared" si="903"/>
        <v>1278.1601731343283</v>
      </c>
      <c r="E6357" s="170">
        <f t="shared" si="899"/>
        <v>159.77002164179103</v>
      </c>
      <c r="F6357" s="24">
        <f t="shared" si="904"/>
        <v>1437.9301947761194</v>
      </c>
      <c r="G6357" s="24" t="s">
        <v>11429</v>
      </c>
      <c r="H6357" s="532" t="str">
        <f t="shared" si="905"/>
        <v>3VA2463-5HL42-0AA0</v>
      </c>
      <c r="I6357" s="2055" t="s">
        <v>11053</v>
      </c>
      <c r="J6357" s="416" t="s">
        <v>1970</v>
      </c>
      <c r="K6357" s="35" t="s">
        <v>741</v>
      </c>
    </row>
    <row r="6358" spans="1:11" customFormat="1">
      <c r="A6358" s="1831"/>
      <c r="B6358" s="20" t="s">
        <v>11430</v>
      </c>
      <c r="C6358" s="597">
        <v>6791</v>
      </c>
      <c r="D6358" s="244">
        <f t="shared" si="903"/>
        <v>1791.5347235820893</v>
      </c>
      <c r="E6358" s="170">
        <f t="shared" si="899"/>
        <v>223.94184044776117</v>
      </c>
      <c r="F6358" s="24">
        <f t="shared" si="904"/>
        <v>2015.4765640298506</v>
      </c>
      <c r="G6358" s="24" t="s">
        <v>11431</v>
      </c>
      <c r="H6358" s="532" t="str">
        <f t="shared" si="905"/>
        <v>3VA2580-5HL42-0AA0</v>
      </c>
      <c r="I6358" s="2055" t="s">
        <v>11053</v>
      </c>
      <c r="J6358" s="416" t="s">
        <v>1970</v>
      </c>
      <c r="K6358" s="35" t="s">
        <v>741</v>
      </c>
    </row>
    <row r="6359" spans="1:11" customFormat="1">
      <c r="A6359" s="1831"/>
      <c r="B6359" s="20" t="s">
        <v>11432</v>
      </c>
      <c r="C6359" s="597">
        <v>9391</v>
      </c>
      <c r="D6359" s="244">
        <f t="shared" si="903"/>
        <v>2477.4411116417909</v>
      </c>
      <c r="E6359" s="170">
        <f t="shared" si="899"/>
        <v>309.68013895522387</v>
      </c>
      <c r="F6359" s="24">
        <f t="shared" si="904"/>
        <v>2787.1212505970148</v>
      </c>
      <c r="G6359" s="24" t="s">
        <v>11433</v>
      </c>
      <c r="H6359" s="532" t="str">
        <f t="shared" si="905"/>
        <v>3VA2510-5HL42-0AA0</v>
      </c>
      <c r="I6359" s="2055" t="s">
        <v>11053</v>
      </c>
      <c r="J6359" s="416" t="s">
        <v>1970</v>
      </c>
      <c r="K6359" s="35" t="s">
        <v>741</v>
      </c>
    </row>
    <row r="6360" spans="1:11" customFormat="1">
      <c r="C6360" s="597"/>
      <c r="D6360" s="244"/>
      <c r="E6360" s="226"/>
      <c r="H6360" s="532"/>
      <c r="I6360" s="2055"/>
      <c r="J6360" s="416"/>
      <c r="K6360" s="35"/>
    </row>
    <row r="6361" spans="1:11" customFormat="1">
      <c r="C6361" s="597"/>
      <c r="D6361" s="244"/>
      <c r="E6361" s="226"/>
      <c r="H6361" s="532"/>
      <c r="I6361" s="2055"/>
      <c r="J6361" s="416"/>
      <c r="K6361" s="35"/>
    </row>
    <row r="6362" spans="1:11" customFormat="1">
      <c r="A6362" s="1831"/>
      <c r="B6362" s="20" t="s">
        <v>11434</v>
      </c>
      <c r="C6362" s="597">
        <v>73</v>
      </c>
      <c r="D6362" s="244">
        <f t="shared" ref="D6362:D6363" si="906">C6362*(1-VLOOKUP(I6362,descuentos,6,FALSE))*fcl/IF(dol_sol="dólar", TC,1)</f>
        <v>19.258140895522384</v>
      </c>
      <c r="E6362" s="170">
        <v>5</v>
      </c>
      <c r="F6362" s="24">
        <f t="shared" ref="F6362:F6384" si="907">D6362+E6362</f>
        <v>24.258140895522384</v>
      </c>
      <c r="G6362" s="24" t="s">
        <v>11435</v>
      </c>
      <c r="H6362" s="532" t="str">
        <f t="shared" ref="H6362:H6384" si="908">B6362</f>
        <v>3VA9988-0AA13</v>
      </c>
      <c r="I6362" s="2055" t="s">
        <v>11053</v>
      </c>
      <c r="J6362" s="416" t="s">
        <v>1970</v>
      </c>
      <c r="K6362" s="35" t="s">
        <v>741</v>
      </c>
    </row>
    <row r="6363" spans="1:11" customFormat="1">
      <c r="A6363" s="1831"/>
      <c r="B6363" s="20" t="s">
        <v>11436</v>
      </c>
      <c r="C6363" s="597">
        <v>73</v>
      </c>
      <c r="D6363" s="244">
        <f t="shared" si="906"/>
        <v>19.258140895522384</v>
      </c>
      <c r="E6363" s="170">
        <v>5</v>
      </c>
      <c r="F6363" s="24">
        <f t="shared" si="907"/>
        <v>24.258140895522384</v>
      </c>
      <c r="G6363" s="24" t="s">
        <v>11437</v>
      </c>
      <c r="H6363" s="532" t="str">
        <f t="shared" si="908"/>
        <v>3VA9988-0AB13</v>
      </c>
      <c r="I6363" s="2055" t="s">
        <v>11053</v>
      </c>
      <c r="J6363" s="416" t="s">
        <v>1970</v>
      </c>
      <c r="K6363" s="35" t="s">
        <v>741</v>
      </c>
    </row>
    <row r="6364" spans="1:11" customFormat="1">
      <c r="A6364" s="1831"/>
      <c r="B6364" s="20" t="s">
        <v>11438</v>
      </c>
      <c r="C6364" s="597">
        <v>174</v>
      </c>
      <c r="D6364" s="244">
        <f t="shared" ref="D6364:D6365" si="909">C6364*(1-VLOOKUP(I6364,descuentos,6,FALSE))*fcl/IF(dol_sol="dólar", TC,1)</f>
        <v>45.902965970149253</v>
      </c>
      <c r="E6364" s="170">
        <v>10</v>
      </c>
      <c r="F6364" s="24">
        <f t="shared" si="907"/>
        <v>55.902965970149253</v>
      </c>
      <c r="G6364" s="24" t="s">
        <v>11439</v>
      </c>
      <c r="H6364" s="532" t="str">
        <f t="shared" si="908"/>
        <v>3VA9988-0BL33</v>
      </c>
      <c r="I6364" s="2055" t="s">
        <v>11053</v>
      </c>
      <c r="J6364" s="416" t="s">
        <v>1970</v>
      </c>
      <c r="K6364" s="35" t="s">
        <v>741</v>
      </c>
    </row>
    <row r="6365" spans="1:11" customFormat="1">
      <c r="A6365" s="1831"/>
      <c r="B6365" s="20" t="s">
        <v>11440</v>
      </c>
      <c r="C6365" s="597">
        <v>225</v>
      </c>
      <c r="D6365" s="244">
        <f t="shared" si="909"/>
        <v>59.357283582089551</v>
      </c>
      <c r="E6365" s="170">
        <v>10</v>
      </c>
      <c r="F6365" s="24">
        <f t="shared" si="907"/>
        <v>69.357283582089551</v>
      </c>
      <c r="G6365" s="24" t="s">
        <v>11441</v>
      </c>
      <c r="H6365" s="532" t="str">
        <f t="shared" si="908"/>
        <v>3VA9908-0BB25</v>
      </c>
      <c r="I6365" s="2055" t="s">
        <v>11053</v>
      </c>
      <c r="J6365" s="416" t="s">
        <v>1970</v>
      </c>
      <c r="K6365" s="35" t="s">
        <v>741</v>
      </c>
    </row>
    <row r="6366" spans="1:11" customFormat="1">
      <c r="A6366" s="1831"/>
      <c r="B6366" s="20" t="s">
        <v>11442</v>
      </c>
      <c r="C6366" s="597">
        <v>86</v>
      </c>
      <c r="D6366" s="244">
        <f t="shared" ref="D6366:D6367" si="910">C6366*(1-VLOOKUP(I6366,descuentos,6,FALSE))*fcl/IF(dol_sol="dólar", TC,1)</f>
        <v>22.687672835820894</v>
      </c>
      <c r="E6366" s="170">
        <v>10</v>
      </c>
      <c r="F6366" s="24">
        <f t="shared" si="907"/>
        <v>32.687672835820891</v>
      </c>
      <c r="G6366" s="24" t="s">
        <v>11443</v>
      </c>
      <c r="H6366" s="532" t="str">
        <f t="shared" si="908"/>
        <v>3VA9088-0LB10</v>
      </c>
      <c r="I6366" s="2055" t="s">
        <v>11053</v>
      </c>
      <c r="J6366" s="416" t="s">
        <v>1970</v>
      </c>
      <c r="K6366" s="35" t="s">
        <v>741</v>
      </c>
    </row>
    <row r="6367" spans="1:11" customFormat="1">
      <c r="A6367" s="1831"/>
      <c r="B6367" s="20" t="s">
        <v>11444</v>
      </c>
      <c r="C6367" s="597">
        <v>114</v>
      </c>
      <c r="D6367" s="244">
        <f t="shared" si="910"/>
        <v>30.074357014925372</v>
      </c>
      <c r="E6367" s="170">
        <v>10</v>
      </c>
      <c r="F6367" s="24">
        <f t="shared" si="907"/>
        <v>40.074357014925369</v>
      </c>
      <c r="G6367" s="24" t="s">
        <v>11445</v>
      </c>
      <c r="H6367" s="532" t="str">
        <f t="shared" si="908"/>
        <v>3VA9388-0LB10</v>
      </c>
      <c r="I6367" s="2055" t="s">
        <v>11053</v>
      </c>
      <c r="J6367" s="416" t="s">
        <v>1970</v>
      </c>
      <c r="K6367" s="35" t="s">
        <v>741</v>
      </c>
    </row>
    <row r="6368" spans="1:11" customFormat="1">
      <c r="A6368" s="1831"/>
      <c r="B6368" s="20" t="s">
        <v>11446</v>
      </c>
      <c r="C6368" s="597">
        <v>534</v>
      </c>
      <c r="D6368" s="244">
        <f t="shared" ref="D6368:D6373" si="911">C6368*(1-VLOOKUP(I6368,descuentos,6,FALSE))*fcl/IF(dol_sol="dólar", TC,1)</f>
        <v>140.87461970149255</v>
      </c>
      <c r="E6368" s="170">
        <v>10</v>
      </c>
      <c r="F6368" s="24">
        <f t="shared" si="907"/>
        <v>150.87461970149255</v>
      </c>
      <c r="G6368" s="24" t="s">
        <v>11447</v>
      </c>
      <c r="H6368" s="532" t="str">
        <f t="shared" si="908"/>
        <v>3VA9088-0VM10</v>
      </c>
      <c r="I6368" s="2055" t="s">
        <v>11053</v>
      </c>
      <c r="J6368" s="416" t="s">
        <v>1970</v>
      </c>
      <c r="K6368" s="35" t="s">
        <v>741</v>
      </c>
    </row>
    <row r="6369" spans="1:11" s="106" customFormat="1">
      <c r="A6369" s="1831"/>
      <c r="B6369" s="195" t="s">
        <v>13735</v>
      </c>
      <c r="C6369" s="618">
        <v>205</v>
      </c>
      <c r="D6369" s="244">
        <f t="shared" si="911"/>
        <v>54.081080597014918</v>
      </c>
      <c r="E6369" s="1800">
        <v>10</v>
      </c>
      <c r="F6369" s="465">
        <f t="shared" si="907"/>
        <v>64.081080597014918</v>
      </c>
      <c r="G6369" s="465" t="s">
        <v>13736</v>
      </c>
      <c r="H6369" s="532" t="str">
        <f t="shared" si="908"/>
        <v>3VA9088-0VK10</v>
      </c>
      <c r="I6369" s="2179" t="s">
        <v>11053</v>
      </c>
      <c r="J6369" s="347" t="s">
        <v>1970</v>
      </c>
      <c r="K6369" s="195" t="s">
        <v>741</v>
      </c>
    </row>
    <row r="6370" spans="1:11" s="106" customFormat="1">
      <c r="A6370" s="1831"/>
      <c r="B6370" s="195" t="s">
        <v>13737</v>
      </c>
      <c r="C6370" s="618">
        <v>37</v>
      </c>
      <c r="D6370" s="244">
        <f t="shared" ref="D6370" si="912">C6370*(1-VLOOKUP(I6370,descuentos,6,FALSE))*fcl/IF(dol_sol="dólar", TC,1)</f>
        <v>9.7609755223880601</v>
      </c>
      <c r="E6370" s="1800">
        <v>10</v>
      </c>
      <c r="F6370" s="465">
        <f t="shared" si="907"/>
        <v>19.760975522388058</v>
      </c>
      <c r="G6370" s="465" t="s">
        <v>13738</v>
      </c>
      <c r="H6370" s="532" t="str">
        <f t="shared" si="908"/>
        <v>3VA9468-0VK20</v>
      </c>
      <c r="I6370" s="2179" t="s">
        <v>11053</v>
      </c>
      <c r="J6370" s="347" t="s">
        <v>1970</v>
      </c>
      <c r="K6370" s="195" t="s">
        <v>741</v>
      </c>
    </row>
    <row r="6371" spans="1:11" customFormat="1">
      <c r="A6371" s="1831"/>
      <c r="B6371" s="20" t="s">
        <v>11448</v>
      </c>
      <c r="C6371" s="597">
        <v>941</v>
      </c>
      <c r="D6371" s="244">
        <f t="shared" ref="D6371:D6372" si="913">C6371*(1-VLOOKUP(I6371,descuentos,6,FALSE))*fcl/IF(dol_sol="dólar", TC,1)</f>
        <v>248.24535044776115</v>
      </c>
      <c r="E6371" s="170">
        <v>10</v>
      </c>
      <c r="F6371" s="24">
        <f t="shared" si="907"/>
        <v>258.24535044776115</v>
      </c>
      <c r="G6371" s="24" t="s">
        <v>11449</v>
      </c>
      <c r="H6371" s="532" t="str">
        <f t="shared" si="908"/>
        <v>3VA9157-0HA20</v>
      </c>
      <c r="I6371" s="2055" t="s">
        <v>11053</v>
      </c>
      <c r="J6371" s="416" t="s">
        <v>1970</v>
      </c>
      <c r="K6371" s="35" t="s">
        <v>741</v>
      </c>
    </row>
    <row r="6372" spans="1:11" customFormat="1">
      <c r="A6372" s="1831"/>
      <c r="B6372" s="20" t="s">
        <v>11450</v>
      </c>
      <c r="C6372" s="597">
        <v>1225</v>
      </c>
      <c r="D6372" s="244">
        <f t="shared" si="913"/>
        <v>323.16743283582088</v>
      </c>
      <c r="E6372" s="170">
        <v>10</v>
      </c>
      <c r="F6372" s="24">
        <f t="shared" si="907"/>
        <v>333.16743283582088</v>
      </c>
      <c r="G6372" s="24" t="s">
        <v>11451</v>
      </c>
      <c r="H6372" s="532" t="str">
        <f t="shared" si="908"/>
        <v>3VA9257-0HA20</v>
      </c>
      <c r="I6372" s="2055" t="s">
        <v>11053</v>
      </c>
      <c r="J6372" s="416" t="s">
        <v>1970</v>
      </c>
      <c r="K6372" s="35" t="s">
        <v>741</v>
      </c>
    </row>
    <row r="6373" spans="1:11" customFormat="1">
      <c r="A6373" s="1831"/>
      <c r="B6373" s="20" t="s">
        <v>2660</v>
      </c>
      <c r="C6373" s="597">
        <v>1225</v>
      </c>
      <c r="D6373" s="244">
        <f t="shared" si="911"/>
        <v>323.16743283582088</v>
      </c>
      <c r="E6373" s="170">
        <v>10</v>
      </c>
      <c r="F6373" s="24">
        <f t="shared" si="907"/>
        <v>333.16743283582088</v>
      </c>
      <c r="G6373" s="24" t="s">
        <v>11452</v>
      </c>
      <c r="H6373" s="532" t="str">
        <f t="shared" si="908"/>
        <v>3VA9267-0HA20</v>
      </c>
      <c r="I6373" s="2055" t="s">
        <v>11053</v>
      </c>
      <c r="J6373" s="416" t="s">
        <v>1970</v>
      </c>
      <c r="K6373" s="35" t="s">
        <v>741</v>
      </c>
    </row>
    <row r="6374" spans="1:11" customFormat="1">
      <c r="A6374" s="1831"/>
      <c r="B6374" s="20" t="s">
        <v>11453</v>
      </c>
      <c r="C6374" s="597">
        <v>1527</v>
      </c>
      <c r="D6374" s="244">
        <f t="shared" ref="D6374:D6376" si="914">C6374*(1-VLOOKUP(I6374,descuentos,6,FALSE))*fcl/IF(dol_sol="dólar", TC,1)</f>
        <v>402.83809791044769</v>
      </c>
      <c r="E6374" s="170">
        <v>10</v>
      </c>
      <c r="F6374" s="24">
        <f t="shared" si="907"/>
        <v>412.83809791044769</v>
      </c>
      <c r="G6374" s="24" t="s">
        <v>11454</v>
      </c>
      <c r="H6374" s="532" t="str">
        <f t="shared" si="908"/>
        <v>3VA9467-0HA20</v>
      </c>
      <c r="I6374" s="2055" t="s">
        <v>11053</v>
      </c>
      <c r="J6374" s="416" t="s">
        <v>1970</v>
      </c>
      <c r="K6374" s="35" t="s">
        <v>741</v>
      </c>
    </row>
    <row r="6375" spans="1:11" customFormat="1">
      <c r="A6375" s="1831"/>
      <c r="B6375" s="20" t="s">
        <v>11455</v>
      </c>
      <c r="C6375" s="597">
        <v>1942</v>
      </c>
      <c r="D6375" s="244">
        <f t="shared" si="914"/>
        <v>512.31930985074632</v>
      </c>
      <c r="E6375" s="170">
        <v>10</v>
      </c>
      <c r="F6375" s="24">
        <f t="shared" si="907"/>
        <v>522.31930985074632</v>
      </c>
      <c r="G6375" s="24" t="s">
        <v>11456</v>
      </c>
      <c r="H6375" s="532" t="str">
        <f t="shared" si="908"/>
        <v>3VA9113-0RL20</v>
      </c>
      <c r="I6375" s="2055" t="s">
        <v>11053</v>
      </c>
      <c r="J6375" s="416" t="s">
        <v>1970</v>
      </c>
      <c r="K6375" s="35" t="s">
        <v>741</v>
      </c>
    </row>
    <row r="6376" spans="1:11" customFormat="1">
      <c r="A6376" s="1831"/>
      <c r="B6376" s="20" t="s">
        <v>11457</v>
      </c>
      <c r="C6376" s="597">
        <v>2115</v>
      </c>
      <c r="D6376" s="244">
        <f t="shared" si="914"/>
        <v>557.95846567164176</v>
      </c>
      <c r="E6376" s="170">
        <v>10</v>
      </c>
      <c r="F6376" s="24">
        <f t="shared" si="907"/>
        <v>567.95846567164176</v>
      </c>
      <c r="G6376" s="24" t="s">
        <v>11458</v>
      </c>
      <c r="H6376" s="532" t="str">
        <f t="shared" si="908"/>
        <v>3VA9213-0RL20</v>
      </c>
      <c r="I6376" s="2055" t="s">
        <v>11053</v>
      </c>
      <c r="J6376" s="416" t="s">
        <v>1970</v>
      </c>
      <c r="K6376" s="35" t="s">
        <v>741</v>
      </c>
    </row>
    <row r="6377" spans="1:11" customFormat="1">
      <c r="A6377" s="1831"/>
      <c r="B6377" s="20" t="s">
        <v>11459</v>
      </c>
      <c r="C6377" s="597">
        <v>2680</v>
      </c>
      <c r="D6377" s="244">
        <f t="shared" ref="D6377:D6383" si="915">C6377*(1-VLOOKUP(I6377,descuentos,6,FALSE))*fcl/IF(dol_sol="dólar", TC,1)</f>
        <v>707.01120000000003</v>
      </c>
      <c r="E6377" s="170">
        <v>10</v>
      </c>
      <c r="F6377" s="24">
        <f t="shared" si="907"/>
        <v>717.01120000000003</v>
      </c>
      <c r="G6377" s="24" t="s">
        <v>11460</v>
      </c>
      <c r="H6377" s="532" t="str">
        <f t="shared" si="908"/>
        <v>3VA9323-0RL30</v>
      </c>
      <c r="I6377" s="2055" t="s">
        <v>11053</v>
      </c>
      <c r="J6377" s="416" t="s">
        <v>1970</v>
      </c>
      <c r="K6377" s="35" t="s">
        <v>741</v>
      </c>
    </row>
    <row r="6378" spans="1:11" customFormat="1">
      <c r="A6378" s="1831"/>
      <c r="B6378" s="20" t="s">
        <v>12756</v>
      </c>
      <c r="C6378" s="597">
        <v>178</v>
      </c>
      <c r="D6378" s="244">
        <f t="shared" si="915"/>
        <v>46.958206567164176</v>
      </c>
      <c r="E6378" s="170">
        <v>5</v>
      </c>
      <c r="F6378" s="24">
        <f t="shared" si="907"/>
        <v>51.958206567164176</v>
      </c>
      <c r="G6378" s="24" t="s">
        <v>12757</v>
      </c>
      <c r="H6378" s="532" t="str">
        <f t="shared" si="908"/>
        <v>3VA9157-0FK21</v>
      </c>
      <c r="I6378" s="2055" t="s">
        <v>11053</v>
      </c>
      <c r="J6378" s="416" t="s">
        <v>1970</v>
      </c>
      <c r="K6378" s="35" t="s">
        <v>741</v>
      </c>
    </row>
    <row r="6379" spans="1:11" customFormat="1">
      <c r="A6379" s="1831"/>
      <c r="B6379" s="20" t="s">
        <v>12758</v>
      </c>
      <c r="C6379" s="597">
        <v>201</v>
      </c>
      <c r="D6379" s="244">
        <f t="shared" si="915"/>
        <v>53.025839999999995</v>
      </c>
      <c r="E6379" s="170">
        <v>5</v>
      </c>
      <c r="F6379" s="24">
        <f t="shared" si="907"/>
        <v>58.025839999999995</v>
      </c>
      <c r="G6379" s="24" t="s">
        <v>12759</v>
      </c>
      <c r="H6379" s="532" t="str">
        <f t="shared" si="908"/>
        <v>3VA9257-0FK21</v>
      </c>
      <c r="I6379" s="2055" t="s">
        <v>11053</v>
      </c>
      <c r="J6379" s="416" t="s">
        <v>1970</v>
      </c>
      <c r="K6379" s="35" t="s">
        <v>741</v>
      </c>
    </row>
    <row r="6380" spans="1:11" customFormat="1">
      <c r="A6380" s="1831"/>
      <c r="B6380" s="20" t="s">
        <v>12760</v>
      </c>
      <c r="C6380" s="597">
        <v>291</v>
      </c>
      <c r="D6380" s="244">
        <f t="shared" si="915"/>
        <v>76.768753432835823</v>
      </c>
      <c r="E6380" s="170">
        <v>5</v>
      </c>
      <c r="F6380" s="24">
        <f t="shared" si="907"/>
        <v>81.768753432835823</v>
      </c>
      <c r="G6380" s="24" t="s">
        <v>12761</v>
      </c>
      <c r="H6380" s="532" t="str">
        <f t="shared" si="908"/>
        <v>3VA9467-0FK21</v>
      </c>
      <c r="I6380" s="2055" t="s">
        <v>11053</v>
      </c>
      <c r="J6380" s="416" t="s">
        <v>1970</v>
      </c>
      <c r="K6380" s="35" t="s">
        <v>741</v>
      </c>
    </row>
    <row r="6381" spans="1:11" customFormat="1">
      <c r="A6381" s="1831"/>
      <c r="B6381" s="20" t="s">
        <v>12762</v>
      </c>
      <c r="C6381" s="597">
        <v>475</v>
      </c>
      <c r="D6381" s="244">
        <f t="shared" si="915"/>
        <v>125.30982089552238</v>
      </c>
      <c r="E6381" s="170">
        <v>5</v>
      </c>
      <c r="F6381" s="24">
        <f t="shared" si="907"/>
        <v>130.30982089552236</v>
      </c>
      <c r="G6381" s="24" t="s">
        <v>12763</v>
      </c>
      <c r="H6381" s="532" t="str">
        <f t="shared" si="908"/>
        <v>3VA9687-0FK21</v>
      </c>
      <c r="I6381" s="2055" t="s">
        <v>11053</v>
      </c>
      <c r="J6381" s="416" t="s">
        <v>1970</v>
      </c>
      <c r="K6381" s="35" t="s">
        <v>741</v>
      </c>
    </row>
    <row r="6382" spans="1:11" customFormat="1">
      <c r="A6382" s="1831"/>
      <c r="B6382" s="20" t="s">
        <v>13739</v>
      </c>
      <c r="C6382" s="597">
        <v>37</v>
      </c>
      <c r="D6382" s="244">
        <f t="shared" si="915"/>
        <v>9.7609755223880601</v>
      </c>
      <c r="E6382" s="170">
        <v>5</v>
      </c>
      <c r="F6382" s="24">
        <f t="shared" si="907"/>
        <v>14.76097552238806</v>
      </c>
      <c r="G6382" s="24" t="s">
        <v>13934</v>
      </c>
      <c r="H6382" s="532" t="str">
        <f t="shared" si="908"/>
        <v>3VA9158-0VK20</v>
      </c>
      <c r="I6382" s="2055" t="s">
        <v>11053</v>
      </c>
      <c r="J6382" s="416" t="s">
        <v>1970</v>
      </c>
      <c r="K6382" s="35" t="s">
        <v>741</v>
      </c>
    </row>
    <row r="6383" spans="1:11" customFormat="1">
      <c r="A6383" s="1831"/>
      <c r="B6383" s="20" t="s">
        <v>13739</v>
      </c>
      <c r="C6383" s="597">
        <v>38</v>
      </c>
      <c r="D6383" s="244">
        <f t="shared" si="915"/>
        <v>10.024785671641789</v>
      </c>
      <c r="E6383" s="170">
        <v>5</v>
      </c>
      <c r="F6383" s="24">
        <f t="shared" si="907"/>
        <v>15.024785671641789</v>
      </c>
      <c r="G6383" s="24" t="s">
        <v>13935</v>
      </c>
      <c r="H6383" s="532" t="str">
        <f t="shared" si="908"/>
        <v>3VA9158-0VK20</v>
      </c>
      <c r="I6383" s="2055" t="s">
        <v>11053</v>
      </c>
      <c r="J6383" s="416" t="s">
        <v>1970</v>
      </c>
      <c r="K6383" s="35" t="s">
        <v>741</v>
      </c>
    </row>
    <row r="6384" spans="1:11" customFormat="1">
      <c r="A6384" s="1831"/>
      <c r="B6384" s="20" t="s">
        <v>13737</v>
      </c>
      <c r="C6384" s="597">
        <v>37</v>
      </c>
      <c r="D6384" s="244">
        <f t="shared" ref="D6384" si="916">C6384*(1-VLOOKUP(I6384,descuentos,6,FALSE))*fcl/IF(dol_sol="dólar", TC,1)</f>
        <v>9.7609755223880601</v>
      </c>
      <c r="E6384" s="170">
        <v>5</v>
      </c>
      <c r="F6384" s="24">
        <f t="shared" si="907"/>
        <v>14.76097552238806</v>
      </c>
      <c r="G6384" s="24" t="s">
        <v>13936</v>
      </c>
      <c r="H6384" s="532" t="str">
        <f t="shared" si="908"/>
        <v>3VA9468-0VK20</v>
      </c>
      <c r="I6384" s="2055" t="s">
        <v>11053</v>
      </c>
      <c r="J6384" s="416" t="s">
        <v>1970</v>
      </c>
      <c r="K6384" s="35" t="s">
        <v>741</v>
      </c>
    </row>
    <row r="6385" spans="1:11" customFormat="1">
      <c r="C6385" s="597"/>
      <c r="D6385" s="244"/>
      <c r="E6385" s="226"/>
      <c r="H6385" s="532"/>
      <c r="I6385" s="2055"/>
      <c r="J6385" s="416"/>
      <c r="K6385" s="35"/>
    </row>
    <row r="6386" spans="1:11" s="203" customFormat="1" ht="16.5">
      <c r="A6386" s="605"/>
      <c r="B6386" s="2065" t="s">
        <v>11717</v>
      </c>
      <c r="C6386" s="597"/>
      <c r="D6386" s="244"/>
      <c r="E6386" s="607"/>
      <c r="F6386" s="608"/>
      <c r="G6386" s="608"/>
      <c r="H6386" s="532"/>
      <c r="I6386" s="2055"/>
      <c r="J6386" s="416"/>
      <c r="K6386" s="35"/>
    </row>
    <row r="6387" spans="1:11" s="203" customFormat="1">
      <c r="A6387" s="195"/>
      <c r="B6387" s="195"/>
      <c r="C6387" s="597"/>
      <c r="D6387" s="244"/>
      <c r="E6387" s="815"/>
      <c r="F6387" s="815"/>
      <c r="G6387" s="195"/>
      <c r="H6387" s="532"/>
      <c r="I6387" s="2055"/>
      <c r="J6387" s="416"/>
      <c r="K6387" s="35"/>
    </row>
    <row r="6388" spans="1:11" s="203" customFormat="1">
      <c r="A6388" s="195"/>
      <c r="B6388" s="195"/>
      <c r="C6388" s="597"/>
      <c r="D6388" s="244"/>
      <c r="E6388" s="815"/>
      <c r="F6388" s="815"/>
      <c r="G6388" s="195"/>
      <c r="H6388" s="532"/>
      <c r="I6388" s="2055"/>
      <c r="J6388" s="416"/>
      <c r="K6388" s="35"/>
    </row>
    <row r="6389" spans="1:11" customFormat="1">
      <c r="A6389" s="1831"/>
      <c r="B6389" s="20" t="s">
        <v>11718</v>
      </c>
      <c r="C6389" s="597">
        <f>3193+1581</f>
        <v>4774</v>
      </c>
      <c r="D6389" s="244">
        <f>C6389*(1-VLOOKUP(I6389,descuentos,6,FALSE))*fcl/IF(dol_sol="dólar", TC,1)</f>
        <v>1259.4296525373134</v>
      </c>
      <c r="E6389" s="170">
        <f>D6389/8</f>
        <v>157.42870656716417</v>
      </c>
      <c r="F6389" s="24">
        <f>D6389+E6389</f>
        <v>1416.8583591044776</v>
      </c>
      <c r="G6389" s="24" t="s">
        <v>11719</v>
      </c>
      <c r="H6389" s="532" t="s">
        <v>11720</v>
      </c>
      <c r="I6389" s="2055" t="s">
        <v>11053</v>
      </c>
      <c r="J6389" s="416" t="s">
        <v>1970</v>
      </c>
      <c r="K6389" s="35" t="s">
        <v>741</v>
      </c>
    </row>
    <row r="6390" spans="1:11" customFormat="1">
      <c r="A6390" s="1831"/>
      <c r="B6390" s="20" t="s">
        <v>11721</v>
      </c>
      <c r="C6390" s="597">
        <f>3193+2716</f>
        <v>5909</v>
      </c>
      <c r="D6390" s="244">
        <f>C6390*(1-VLOOKUP(I6390,descuentos,6,FALSE))*fcl/IF(dol_sol="dólar", TC,1)</f>
        <v>1558.8541719402986</v>
      </c>
      <c r="E6390" s="170">
        <f>D6390/8</f>
        <v>194.85677149253732</v>
      </c>
      <c r="F6390" s="24">
        <f>D6390+E6390</f>
        <v>1753.7109434328358</v>
      </c>
      <c r="G6390" s="24" t="s">
        <v>11722</v>
      </c>
      <c r="H6390" s="532" t="s">
        <v>11723</v>
      </c>
      <c r="I6390" s="2055" t="s">
        <v>11053</v>
      </c>
      <c r="J6390" s="416" t="s">
        <v>1970</v>
      </c>
      <c r="K6390" s="35" t="s">
        <v>741</v>
      </c>
    </row>
    <row r="6391" spans="1:11" customFormat="1">
      <c r="A6391" s="1831"/>
      <c r="B6391" s="20" t="s">
        <v>11724</v>
      </c>
      <c r="C6391" s="597">
        <f>4077+3348</f>
        <v>7425</v>
      </c>
      <c r="D6391" s="244">
        <f>C6391*(1-VLOOKUP(I6391,descuentos,6,FALSE))*fcl/IF(dol_sol="dólar", TC,1)</f>
        <v>1958.790358208955</v>
      </c>
      <c r="E6391" s="170">
        <f>D6391/8</f>
        <v>244.84879477611938</v>
      </c>
      <c r="F6391" s="24">
        <f>D6391+E6391</f>
        <v>2203.6391529850744</v>
      </c>
      <c r="G6391" s="24" t="s">
        <v>11725</v>
      </c>
      <c r="H6391" s="532" t="s">
        <v>11726</v>
      </c>
      <c r="I6391" s="2055" t="s">
        <v>11053</v>
      </c>
      <c r="J6391" s="416" t="s">
        <v>1970</v>
      </c>
      <c r="K6391" s="35" t="s">
        <v>741</v>
      </c>
    </row>
    <row r="6392" spans="1:11" customFormat="1">
      <c r="A6392" s="1831"/>
      <c r="B6392" s="20" t="s">
        <v>11727</v>
      </c>
      <c r="C6392" s="597">
        <f>4077+4803</f>
        <v>8880</v>
      </c>
      <c r="D6392" s="244">
        <f t="shared" ref="D6392" si="917">C6392*(1-VLOOKUP(I6392,descuentos,6,FALSE))*fcl/IF(dol_sol="dólar", TC,1)</f>
        <v>2342.6341253731343</v>
      </c>
      <c r="E6392" s="170">
        <f t="shared" ref="E6392" si="918">D6392/8</f>
        <v>292.82926567164179</v>
      </c>
      <c r="F6392" s="24">
        <f t="shared" ref="F6392" si="919">D6392+E6392</f>
        <v>2635.463391044776</v>
      </c>
      <c r="G6392" s="24" t="s">
        <v>11728</v>
      </c>
      <c r="H6392" s="532" t="s">
        <v>11729</v>
      </c>
      <c r="I6392" s="2055" t="s">
        <v>11053</v>
      </c>
      <c r="J6392" s="416" t="s">
        <v>1970</v>
      </c>
      <c r="K6392" s="35" t="s">
        <v>741</v>
      </c>
    </row>
    <row r="6393" spans="1:11" s="203" customFormat="1">
      <c r="A6393" s="195"/>
      <c r="B6393" s="816"/>
      <c r="C6393" s="597"/>
      <c r="D6393" s="244"/>
      <c r="E6393" s="817"/>
      <c r="F6393" s="464"/>
      <c r="G6393" s="195"/>
      <c r="H6393" s="532"/>
      <c r="I6393" s="2055"/>
      <c r="J6393" s="416"/>
      <c r="K6393" s="35"/>
    </row>
    <row r="6394" spans="1:11" s="203" customFormat="1" ht="16.5">
      <c r="A6394" s="605"/>
      <c r="B6394" s="2065" t="s">
        <v>13740</v>
      </c>
      <c r="C6394" s="2273"/>
      <c r="D6394" s="400"/>
      <c r="E6394" s="2274"/>
      <c r="F6394" s="608"/>
      <c r="G6394" s="608"/>
      <c r="H6394" s="532"/>
      <c r="I6394" s="2055"/>
      <c r="J6394" s="416"/>
      <c r="K6394" s="35"/>
    </row>
    <row r="6395" spans="1:11" s="203" customFormat="1">
      <c r="A6395" s="195"/>
      <c r="B6395" s="195"/>
      <c r="C6395" s="597"/>
      <c r="D6395" s="244"/>
      <c r="E6395" s="815"/>
      <c r="F6395" s="815"/>
      <c r="G6395" s="195"/>
      <c r="H6395" s="532"/>
      <c r="I6395" s="2055"/>
      <c r="J6395" s="416"/>
      <c r="K6395" s="35"/>
    </row>
    <row r="6396" spans="1:11" s="203" customFormat="1">
      <c r="A6396" s="195"/>
      <c r="B6396" s="195"/>
      <c r="C6396" s="597"/>
      <c r="D6396" s="244"/>
      <c r="E6396" s="815"/>
      <c r="F6396" s="815"/>
      <c r="G6396" s="195"/>
      <c r="H6396" s="532"/>
      <c r="I6396" s="2055"/>
      <c r="J6396" s="416"/>
      <c r="K6396" s="35"/>
    </row>
    <row r="6397" spans="1:11" customFormat="1">
      <c r="A6397" s="1831"/>
      <c r="B6397" s="20" t="s">
        <v>13741</v>
      </c>
      <c r="C6397" s="597">
        <v>2648</v>
      </c>
      <c r="D6397" s="244">
        <f t="shared" ref="D6397" si="920">C6397*(1-VLOOKUP(I6397,descuentos,6,FALSE))*fcl/IF(dol_sol="dólar", TC,1)</f>
        <v>698.56927522388048</v>
      </c>
      <c r="E6397" s="170">
        <v>10</v>
      </c>
      <c r="F6397" s="24">
        <f>D6397+E6397</f>
        <v>708.56927522388048</v>
      </c>
      <c r="G6397" s="24" t="s">
        <v>13742</v>
      </c>
      <c r="H6397" s="532" t="str">
        <f t="shared" ref="H6397:H6399" si="921">B6397</f>
        <v>3VT9500-3MQ00</v>
      </c>
      <c r="I6397" s="2055" t="s">
        <v>11053</v>
      </c>
      <c r="J6397" s="416" t="s">
        <v>1970</v>
      </c>
      <c r="K6397" s="35" t="s">
        <v>741</v>
      </c>
    </row>
    <row r="6398" spans="1:11" customFormat="1">
      <c r="A6398" s="1831"/>
      <c r="B6398" s="20" t="s">
        <v>13743</v>
      </c>
      <c r="C6398" s="597">
        <v>68</v>
      </c>
      <c r="D6398" s="244">
        <f>C6398*(1-VLOOKUP(I6398,descuentos,6,FALSE))*fcl/IF(dol_sol="dólar", TC,1)</f>
        <v>17.93909014925373</v>
      </c>
      <c r="E6398" s="170">
        <v>5</v>
      </c>
      <c r="F6398" s="24">
        <f>D6398+E6398</f>
        <v>22.93909014925373</v>
      </c>
      <c r="G6398" s="24" t="s">
        <v>13744</v>
      </c>
      <c r="H6398" s="532" t="str">
        <f t="shared" si="921"/>
        <v>3VT9500-2AF10</v>
      </c>
      <c r="I6398" s="2055" t="s">
        <v>11053</v>
      </c>
      <c r="J6398" s="416" t="s">
        <v>1970</v>
      </c>
      <c r="K6398" s="35" t="s">
        <v>741</v>
      </c>
    </row>
    <row r="6399" spans="1:11" customFormat="1">
      <c r="A6399" s="1831"/>
      <c r="B6399" s="20" t="s">
        <v>13745</v>
      </c>
      <c r="C6399" s="597">
        <v>406</v>
      </c>
      <c r="D6399" s="244">
        <f>C6399*(1-VLOOKUP(I6399,descuentos,6,FALSE))*fcl/IF(dol_sol="dólar", TC,1)</f>
        <v>107.10692059701492</v>
      </c>
      <c r="E6399" s="170">
        <f>D6399/8</f>
        <v>13.388365074626865</v>
      </c>
      <c r="F6399" s="24">
        <f>D6399+E6399</f>
        <v>120.49528567164178</v>
      </c>
      <c r="G6399" s="24" t="s">
        <v>13746</v>
      </c>
      <c r="H6399" s="532" t="str">
        <f t="shared" si="921"/>
        <v>3VT9500-8LC10</v>
      </c>
      <c r="I6399" s="2055" t="s">
        <v>11053</v>
      </c>
      <c r="J6399" s="416" t="s">
        <v>1970</v>
      </c>
      <c r="K6399" s="35" t="s">
        <v>741</v>
      </c>
    </row>
    <row r="6400" spans="1:11" s="203" customFormat="1">
      <c r="A6400" s="195"/>
      <c r="B6400" s="195"/>
      <c r="C6400" s="597"/>
      <c r="D6400" s="244"/>
      <c r="E6400" s="195"/>
      <c r="F6400" s="195"/>
      <c r="G6400" s="195"/>
      <c r="H6400" s="532"/>
      <c r="I6400" s="2055"/>
      <c r="J6400" s="416"/>
      <c r="K6400" s="35"/>
    </row>
    <row r="6401" spans="1:12" s="203" customFormat="1">
      <c r="A6401" s="605"/>
      <c r="B6401" s="606"/>
      <c r="C6401" s="597"/>
      <c r="D6401" s="244"/>
      <c r="E6401" s="607"/>
      <c r="F6401" s="608"/>
      <c r="G6401" s="608"/>
      <c r="H6401" s="532"/>
      <c r="I6401" s="2055"/>
      <c r="J6401" s="416"/>
      <c r="K6401" s="35"/>
    </row>
    <row r="6402" spans="1:12" s="203" customFormat="1">
      <c r="A6402" s="35"/>
      <c r="B6402" s="34" t="s">
        <v>11461</v>
      </c>
      <c r="C6402" s="597"/>
      <c r="D6402" s="244"/>
      <c r="E6402" s="445"/>
      <c r="F6402" s="24"/>
      <c r="G6402" s="35"/>
      <c r="H6402" s="532"/>
      <c r="I6402" s="2055"/>
      <c r="J6402" s="416"/>
      <c r="K6402" s="35"/>
    </row>
    <row r="6403" spans="1:12" s="196" customFormat="1">
      <c r="B6403" s="142"/>
      <c r="C6403" s="597"/>
      <c r="D6403" s="244"/>
      <c r="E6403" s="226"/>
      <c r="F6403" s="155"/>
      <c r="G6403" s="143"/>
      <c r="H6403" s="142"/>
      <c r="I6403" s="2055"/>
    </row>
    <row r="6404" spans="1:12" s="196" customFormat="1">
      <c r="A6404" s="603"/>
      <c r="B6404" s="142" t="s">
        <v>11462</v>
      </c>
      <c r="C6404" s="597">
        <v>250</v>
      </c>
      <c r="D6404" s="244">
        <f t="shared" si="886"/>
        <v>65.952537313432842</v>
      </c>
      <c r="E6404" s="170">
        <v>15</v>
      </c>
      <c r="F6404" s="24">
        <f>D6404+E6404</f>
        <v>80.952537313432842</v>
      </c>
      <c r="G6404" s="338" t="s">
        <v>11463</v>
      </c>
      <c r="H6404" s="532" t="s">
        <v>11464</v>
      </c>
      <c r="I6404" s="2055" t="s">
        <v>11053</v>
      </c>
      <c r="J6404" s="416" t="s">
        <v>1970</v>
      </c>
      <c r="K6404" s="35" t="s">
        <v>741</v>
      </c>
      <c r="L6404"/>
    </row>
    <row r="6405" spans="1:12" s="196" customFormat="1">
      <c r="A6405" s="603"/>
      <c r="B6405" s="142" t="s">
        <v>11465</v>
      </c>
      <c r="C6405" s="597">
        <v>523</v>
      </c>
      <c r="D6405" s="244">
        <f t="shared" si="886"/>
        <v>137.97270805970146</v>
      </c>
      <c r="E6405" s="170">
        <v>15</v>
      </c>
      <c r="F6405" s="24">
        <f>D6405+E6405</f>
        <v>152.97270805970146</v>
      </c>
      <c r="G6405" s="338" t="s">
        <v>11466</v>
      </c>
      <c r="H6405" s="532" t="s">
        <v>11467</v>
      </c>
      <c r="I6405" s="2055" t="s">
        <v>11053</v>
      </c>
      <c r="J6405" s="416" t="s">
        <v>1970</v>
      </c>
      <c r="K6405" s="35" t="s">
        <v>741</v>
      </c>
      <c r="L6405"/>
    </row>
    <row r="6406" spans="1:12" s="196" customFormat="1">
      <c r="A6406" s="603"/>
      <c r="B6406" s="142" t="s">
        <v>11468</v>
      </c>
      <c r="C6406" s="597">
        <v>1037</v>
      </c>
      <c r="D6406" s="244">
        <f t="shared" si="886"/>
        <v>273.5711247761194</v>
      </c>
      <c r="E6406" s="170">
        <v>15</v>
      </c>
      <c r="F6406" s="24">
        <f>D6406+E6406</f>
        <v>288.5711247761194</v>
      </c>
      <c r="G6406" s="338" t="s">
        <v>11469</v>
      </c>
      <c r="H6406" s="532" t="s">
        <v>10241</v>
      </c>
      <c r="I6406" s="2055" t="s">
        <v>11053</v>
      </c>
      <c r="J6406" s="416" t="s">
        <v>1970</v>
      </c>
      <c r="K6406" s="35" t="s">
        <v>741</v>
      </c>
      <c r="L6406"/>
    </row>
    <row r="6407" spans="1:12" s="196" customFormat="1">
      <c r="B6407" s="142"/>
      <c r="C6407" s="597"/>
      <c r="D6407" s="244"/>
      <c r="E6407" s="226"/>
      <c r="F6407" s="155"/>
      <c r="G6407" s="143"/>
      <c r="H6407" s="532"/>
      <c r="I6407" s="2055"/>
      <c r="J6407" s="416"/>
      <c r="K6407" s="35"/>
      <c r="L6407"/>
    </row>
    <row r="6408" spans="1:12" s="203" customFormat="1">
      <c r="A6408" s="35"/>
      <c r="B6408" s="34" t="s">
        <v>11470</v>
      </c>
      <c r="C6408" s="597"/>
      <c r="D6408" s="244"/>
      <c r="E6408" s="445"/>
      <c r="F6408" s="24"/>
      <c r="G6408" s="35"/>
      <c r="H6408" s="532"/>
      <c r="I6408" s="2055"/>
      <c r="J6408" s="416"/>
      <c r="K6408" s="35"/>
    </row>
    <row r="6409" spans="1:12" s="196" customFormat="1">
      <c r="B6409" s="142"/>
      <c r="C6409" s="597"/>
      <c r="D6409" s="244"/>
      <c r="E6409" s="226"/>
      <c r="F6409" s="155"/>
      <c r="G6409" s="143"/>
      <c r="H6409" s="532"/>
      <c r="I6409" s="2055"/>
      <c r="J6409" s="416"/>
      <c r="K6409" s="35"/>
      <c r="L6409"/>
    </row>
    <row r="6410" spans="1:12" s="196" customFormat="1">
      <c r="A6410" s="603"/>
      <c r="B6410" s="142" t="s">
        <v>14272</v>
      </c>
      <c r="C6410" s="597">
        <v>991</v>
      </c>
      <c r="D6410" s="244">
        <f t="shared" ref="D6410" si="922">C6410*(1-VLOOKUP(I6410,descuentos,6,FALSE))*fcl/IF(dol_sol="dólar", TC,1)</f>
        <v>261.43585791044774</v>
      </c>
      <c r="E6410" s="170">
        <v>15</v>
      </c>
      <c r="F6410" s="24">
        <f>D6410+E6410</f>
        <v>276.43585791044774</v>
      </c>
      <c r="G6410" s="338" t="s">
        <v>14273</v>
      </c>
      <c r="H6410" s="532" t="str">
        <f>B6410</f>
        <v>TPS3K030500</v>
      </c>
      <c r="I6410" s="2055" t="s">
        <v>11053</v>
      </c>
      <c r="J6410" s="416" t="s">
        <v>1970</v>
      </c>
      <c r="K6410" s="35" t="s">
        <v>741</v>
      </c>
      <c r="L6410"/>
    </row>
    <row r="6411" spans="1:12" s="196" customFormat="1">
      <c r="A6411" s="603"/>
      <c r="B6411" s="142" t="s">
        <v>10240</v>
      </c>
      <c r="C6411" s="597">
        <v>3100</v>
      </c>
      <c r="D6411" s="244">
        <f t="shared" ref="D6411" si="923">C6411*(1-VLOOKUP(I6411,descuentos,6,FALSE))*fcl/IF(dol_sol="dólar", TC,1)</f>
        <v>817.8114626865671</v>
      </c>
      <c r="E6411" s="170">
        <v>15</v>
      </c>
      <c r="F6411" s="24">
        <f>D6411+E6411</f>
        <v>832.8114626865671</v>
      </c>
      <c r="G6411" s="338" t="s">
        <v>11471</v>
      </c>
      <c r="H6411" s="532" t="str">
        <f>B6411</f>
        <v>TPS3K09100</v>
      </c>
      <c r="I6411" s="2055" t="s">
        <v>11053</v>
      </c>
      <c r="J6411" s="416" t="s">
        <v>1970</v>
      </c>
      <c r="K6411" s="35" t="s">
        <v>741</v>
      </c>
      <c r="L6411"/>
    </row>
    <row r="6412" spans="1:12" s="196" customFormat="1">
      <c r="B6412" s="142"/>
      <c r="C6412" s="597"/>
      <c r="D6412" s="244"/>
      <c r="E6412" s="226"/>
      <c r="F6412" s="155"/>
      <c r="G6412" s="143"/>
      <c r="H6412" s="532"/>
      <c r="I6412" s="2055"/>
      <c r="J6412" s="416"/>
      <c r="K6412" s="35"/>
      <c r="L6412"/>
    </row>
    <row r="6413" spans="1:12" s="203" customFormat="1">
      <c r="A6413" s="605"/>
      <c r="B6413" s="606"/>
      <c r="C6413" s="597"/>
      <c r="D6413" s="244"/>
      <c r="E6413" s="607"/>
      <c r="F6413" s="608"/>
      <c r="G6413" s="608"/>
      <c r="H6413" s="532"/>
      <c r="I6413" s="2055"/>
      <c r="J6413" s="416"/>
      <c r="K6413" s="35"/>
    </row>
    <row r="6414" spans="1:12" s="203" customFormat="1">
      <c r="A6414" s="194"/>
      <c r="B6414" s="146"/>
      <c r="C6414" s="597"/>
      <c r="D6414" s="244"/>
      <c r="E6414" s="194"/>
      <c r="F6414" s="194"/>
      <c r="G6414" s="147"/>
      <c r="H6414" s="532"/>
      <c r="I6414" s="2055"/>
      <c r="J6414" s="416"/>
      <c r="K6414" s="35"/>
    </row>
    <row r="6415" spans="1:12" s="203" customFormat="1">
      <c r="A6415" s="194"/>
      <c r="B6415" s="146"/>
      <c r="C6415" s="597"/>
      <c r="D6415" s="244"/>
      <c r="E6415" s="194"/>
      <c r="F6415" s="194"/>
      <c r="G6415" s="147"/>
      <c r="H6415" s="532"/>
      <c r="I6415" s="2055"/>
      <c r="J6415" s="416"/>
      <c r="K6415" s="35"/>
    </row>
    <row r="6416" spans="1:12" s="203" customFormat="1">
      <c r="A6416" s="35"/>
      <c r="B6416" s="34" t="s">
        <v>10242</v>
      </c>
      <c r="C6416" s="597"/>
      <c r="D6416" s="244"/>
      <c r="E6416" s="445"/>
      <c r="F6416" s="24"/>
      <c r="G6416" s="35"/>
      <c r="H6416" s="532"/>
      <c r="I6416" s="2055"/>
      <c r="J6416" s="416"/>
      <c r="K6416" s="35"/>
    </row>
    <row r="6417" spans="1:11" s="203" customFormat="1">
      <c r="A6417" s="603"/>
      <c r="B6417" s="619" t="s">
        <v>11472</v>
      </c>
      <c r="C6417" s="597">
        <v>91</v>
      </c>
      <c r="D6417" s="244">
        <f t="shared" ref="D6417" si="924">C6417*(1-VLOOKUP(I6417,descuentos,6,FALSE))*fcl/IF(dol_sol="dólar", TC,1)</f>
        <v>24.006723582089549</v>
      </c>
      <c r="E6417" s="170">
        <v>5</v>
      </c>
      <c r="F6417" s="24">
        <f t="shared" ref="F6417:F6430" si="925">D6417+E6417</f>
        <v>29.006723582089549</v>
      </c>
      <c r="G6417" s="465" t="s">
        <v>11473</v>
      </c>
      <c r="H6417" s="532" t="s">
        <v>11474</v>
      </c>
      <c r="I6417" s="2055" t="s">
        <v>11053</v>
      </c>
      <c r="J6417" s="416" t="s">
        <v>1970</v>
      </c>
      <c r="K6417" s="35" t="s">
        <v>741</v>
      </c>
    </row>
    <row r="6418" spans="1:11" s="203" customFormat="1">
      <c r="A6418" s="603"/>
      <c r="B6418" s="619" t="s">
        <v>11475</v>
      </c>
      <c r="C6418" s="597">
        <v>98</v>
      </c>
      <c r="D6418" s="244">
        <f t="shared" si="886"/>
        <v>25.853394626865672</v>
      </c>
      <c r="E6418" s="170">
        <v>5</v>
      </c>
      <c r="F6418" s="24">
        <f t="shared" si="925"/>
        <v>30.853394626865672</v>
      </c>
      <c r="G6418" s="465" t="s">
        <v>11476</v>
      </c>
      <c r="H6418" s="532" t="s">
        <v>10243</v>
      </c>
      <c r="I6418" s="2055" t="s">
        <v>11053</v>
      </c>
      <c r="J6418" s="416" t="s">
        <v>1970</v>
      </c>
      <c r="K6418" s="35" t="s">
        <v>741</v>
      </c>
    </row>
    <row r="6419" spans="1:11" s="203" customFormat="1">
      <c r="A6419" s="603"/>
      <c r="B6419" s="619" t="s">
        <v>11477</v>
      </c>
      <c r="C6419" s="597">
        <v>117</v>
      </c>
      <c r="D6419" s="244">
        <f t="shared" si="886"/>
        <v>30.865787462686569</v>
      </c>
      <c r="E6419" s="170">
        <v>5</v>
      </c>
      <c r="F6419" s="24">
        <f t="shared" si="925"/>
        <v>35.865787462686569</v>
      </c>
      <c r="G6419" s="465" t="s">
        <v>11478</v>
      </c>
      <c r="H6419" s="532" t="s">
        <v>11479</v>
      </c>
      <c r="I6419" s="2055" t="s">
        <v>11053</v>
      </c>
      <c r="J6419" s="416" t="s">
        <v>1970</v>
      </c>
      <c r="K6419" s="35" t="s">
        <v>741</v>
      </c>
    </row>
    <row r="6420" spans="1:11" s="203" customFormat="1">
      <c r="A6420" s="603"/>
      <c r="B6420" s="619" t="s">
        <v>11480</v>
      </c>
      <c r="C6420" s="597">
        <v>152</v>
      </c>
      <c r="D6420" s="244">
        <f t="shared" ref="D6420" si="926">C6420*(1-VLOOKUP(I6420,descuentos,6,FALSE))*fcl/IF(dol_sol="dólar", TC,1)</f>
        <v>40.099142686567156</v>
      </c>
      <c r="E6420" s="170">
        <v>5</v>
      </c>
      <c r="F6420" s="24">
        <f t="shared" si="925"/>
        <v>45.099142686567156</v>
      </c>
      <c r="G6420" s="465" t="s">
        <v>11481</v>
      </c>
      <c r="H6420" s="532" t="s">
        <v>11482</v>
      </c>
      <c r="I6420" s="2055" t="s">
        <v>11053</v>
      </c>
      <c r="J6420" s="416" t="s">
        <v>1970</v>
      </c>
      <c r="K6420" s="35" t="s">
        <v>741</v>
      </c>
    </row>
    <row r="6421" spans="1:11" s="203" customFormat="1">
      <c r="A6421" s="603"/>
      <c r="B6421" s="619" t="s">
        <v>11483</v>
      </c>
      <c r="C6421" s="597">
        <v>176</v>
      </c>
      <c r="D6421" s="244">
        <f t="shared" ref="D6421" si="927">C6421*(1-VLOOKUP(I6421,descuentos,6,FALSE))*fcl/IF(dol_sol="dólar", TC,1)</f>
        <v>46.430586268656711</v>
      </c>
      <c r="E6421" s="170">
        <v>5</v>
      </c>
      <c r="F6421" s="24">
        <f t="shared" si="925"/>
        <v>51.430586268656711</v>
      </c>
      <c r="G6421" s="465" t="s">
        <v>11484</v>
      </c>
      <c r="H6421" s="532" t="s">
        <v>11485</v>
      </c>
      <c r="I6421" s="2055" t="s">
        <v>11053</v>
      </c>
      <c r="J6421" s="416" t="s">
        <v>1970</v>
      </c>
      <c r="K6421" s="35" t="s">
        <v>741</v>
      </c>
    </row>
    <row r="6422" spans="1:11" s="203" customFormat="1">
      <c r="A6422" s="603"/>
      <c r="B6422" s="619" t="s">
        <v>11486</v>
      </c>
      <c r="C6422" s="597">
        <v>248</v>
      </c>
      <c r="D6422" s="244">
        <f t="shared" ref="D6422" si="928">C6422*(1-VLOOKUP(I6422,descuentos,6,FALSE))*fcl/IF(dol_sol="dólar", TC,1)</f>
        <v>65.42491701492537</v>
      </c>
      <c r="E6422" s="170">
        <v>5</v>
      </c>
      <c r="F6422" s="24">
        <f t="shared" si="925"/>
        <v>70.42491701492537</v>
      </c>
      <c r="G6422" s="465" t="s">
        <v>11487</v>
      </c>
      <c r="H6422" s="532" t="s">
        <v>11488</v>
      </c>
      <c r="I6422" s="2055" t="s">
        <v>11053</v>
      </c>
      <c r="J6422" s="416" t="s">
        <v>1970</v>
      </c>
      <c r="K6422" s="35" t="s">
        <v>741</v>
      </c>
    </row>
    <row r="6423" spans="1:11" s="203" customFormat="1">
      <c r="A6423" s="603"/>
      <c r="B6423" s="619" t="s">
        <v>11489</v>
      </c>
      <c r="C6423" s="597">
        <v>377</v>
      </c>
      <c r="D6423" s="244">
        <f t="shared" ref="D6423" si="929">C6423*(1-VLOOKUP(I6423,descuentos,6,FALSE))*fcl/IF(dol_sol="dólar", TC,1)</f>
        <v>99.456426268656699</v>
      </c>
      <c r="E6423" s="170">
        <v>10</v>
      </c>
      <c r="F6423" s="24">
        <f t="shared" si="925"/>
        <v>109.4564262686567</v>
      </c>
      <c r="G6423" s="465" t="s">
        <v>11490</v>
      </c>
      <c r="H6423" s="532" t="s">
        <v>11491</v>
      </c>
      <c r="I6423" s="2055" t="s">
        <v>11053</v>
      </c>
      <c r="J6423" s="416" t="s">
        <v>1970</v>
      </c>
      <c r="K6423" s="35" t="s">
        <v>741</v>
      </c>
    </row>
    <row r="6424" spans="1:11" s="203" customFormat="1">
      <c r="A6424" s="603"/>
      <c r="B6424" s="619" t="s">
        <v>11492</v>
      </c>
      <c r="C6424" s="597">
        <v>423</v>
      </c>
      <c r="D6424" s="244">
        <f t="shared" ref="D6424" si="930">C6424*(1-VLOOKUP(I6424,descuentos,6,FALSE))*fcl/IF(dol_sol="dólar", TC,1)</f>
        <v>111.59169313432834</v>
      </c>
      <c r="E6424" s="170">
        <v>10</v>
      </c>
      <c r="F6424" s="24">
        <f t="shared" si="925"/>
        <v>121.59169313432834</v>
      </c>
      <c r="G6424" s="465" t="s">
        <v>11493</v>
      </c>
      <c r="H6424" s="532" t="s">
        <v>11494</v>
      </c>
      <c r="I6424" s="2055" t="s">
        <v>11053</v>
      </c>
      <c r="J6424" s="416" t="s">
        <v>1970</v>
      </c>
      <c r="K6424" s="35" t="s">
        <v>741</v>
      </c>
    </row>
    <row r="6425" spans="1:11" s="203" customFormat="1">
      <c r="A6425" s="603"/>
      <c r="B6425" s="619" t="s">
        <v>11495</v>
      </c>
      <c r="C6425" s="597">
        <v>438</v>
      </c>
      <c r="D6425" s="244">
        <f t="shared" ref="D6425" si="931">C6425*(1-VLOOKUP(I6425,descuentos,6,FALSE))*fcl/IF(dol_sol="dólar", TC,1)</f>
        <v>115.54884537313433</v>
      </c>
      <c r="E6425" s="170">
        <v>10</v>
      </c>
      <c r="F6425" s="24">
        <f t="shared" si="925"/>
        <v>125.54884537313433</v>
      </c>
      <c r="G6425" s="465" t="s">
        <v>11496</v>
      </c>
      <c r="H6425" s="532" t="s">
        <v>11497</v>
      </c>
      <c r="I6425" s="2055" t="s">
        <v>11053</v>
      </c>
      <c r="J6425" s="416" t="s">
        <v>1970</v>
      </c>
      <c r="K6425" s="35" t="s">
        <v>741</v>
      </c>
    </row>
    <row r="6426" spans="1:11" s="203" customFormat="1">
      <c r="A6426" s="603"/>
      <c r="B6426" s="619" t="s">
        <v>11498</v>
      </c>
      <c r="C6426" s="597">
        <v>550</v>
      </c>
      <c r="D6426" s="244">
        <f t="shared" ref="D6426" si="932">C6426*(1-VLOOKUP(I6426,descuentos,6,FALSE))*fcl/IF(dol_sol="dólar", TC,1)</f>
        <v>145.09558208955224</v>
      </c>
      <c r="E6426" s="170">
        <v>10</v>
      </c>
      <c r="F6426" s="24">
        <f t="shared" si="925"/>
        <v>155.09558208955224</v>
      </c>
      <c r="G6426" s="465" t="s">
        <v>11499</v>
      </c>
      <c r="H6426" s="532" t="s">
        <v>11500</v>
      </c>
      <c r="I6426" s="2055" t="s">
        <v>11053</v>
      </c>
      <c r="J6426" s="416" t="s">
        <v>1970</v>
      </c>
      <c r="K6426" s="35" t="s">
        <v>741</v>
      </c>
    </row>
    <row r="6427" spans="1:11" s="203" customFormat="1">
      <c r="A6427" s="603"/>
      <c r="B6427" s="619" t="s">
        <v>11501</v>
      </c>
      <c r="C6427" s="597">
        <v>686</v>
      </c>
      <c r="D6427" s="244">
        <f t="shared" ref="D6427" si="933">C6427*(1-VLOOKUP(I6427,descuentos,6,FALSE))*fcl/IF(dol_sol="dólar", TC,1)</f>
        <v>180.9737623880597</v>
      </c>
      <c r="E6427" s="170">
        <v>15</v>
      </c>
      <c r="F6427" s="24">
        <f t="shared" si="925"/>
        <v>195.9737623880597</v>
      </c>
      <c r="G6427" s="465" t="s">
        <v>11502</v>
      </c>
      <c r="H6427" s="532" t="s">
        <v>11503</v>
      </c>
      <c r="I6427" s="2055" t="s">
        <v>11053</v>
      </c>
      <c r="J6427" s="416" t="s">
        <v>1970</v>
      </c>
      <c r="K6427" s="35" t="s">
        <v>741</v>
      </c>
    </row>
    <row r="6428" spans="1:11" s="203" customFormat="1">
      <c r="A6428" s="603"/>
      <c r="B6428" s="619" t="s">
        <v>11504</v>
      </c>
      <c r="C6428" s="597">
        <v>845</v>
      </c>
      <c r="D6428" s="244">
        <f t="shared" ref="D6428" si="934">C6428*(1-VLOOKUP(I6428,descuentos,6,FALSE))*fcl/IF(dol_sol="dólar", TC,1)</f>
        <v>222.91957611940296</v>
      </c>
      <c r="E6428" s="170">
        <v>15</v>
      </c>
      <c r="F6428" s="24">
        <f t="shared" si="925"/>
        <v>237.91957611940296</v>
      </c>
      <c r="G6428" s="465" t="s">
        <v>11505</v>
      </c>
      <c r="H6428" s="532" t="s">
        <v>11506</v>
      </c>
      <c r="I6428" s="2055" t="s">
        <v>11053</v>
      </c>
      <c r="J6428" s="416" t="s">
        <v>1970</v>
      </c>
      <c r="K6428" s="35" t="s">
        <v>741</v>
      </c>
    </row>
    <row r="6429" spans="1:11" s="203" customFormat="1">
      <c r="A6429" s="603"/>
      <c r="B6429" s="619" t="s">
        <v>11507</v>
      </c>
      <c r="C6429" s="597">
        <v>1114</v>
      </c>
      <c r="D6429" s="244">
        <f t="shared" ref="D6429" si="935">C6429*(1-VLOOKUP(I6429,descuentos,6,FALSE))*fcl/IF(dol_sol="dólar", TC,1)</f>
        <v>293.88450626865671</v>
      </c>
      <c r="E6429" s="170">
        <v>20</v>
      </c>
      <c r="F6429" s="24">
        <f t="shared" si="925"/>
        <v>313.88450626865671</v>
      </c>
      <c r="G6429" s="465" t="s">
        <v>11508</v>
      </c>
      <c r="H6429" s="532" t="s">
        <v>11509</v>
      </c>
      <c r="I6429" s="2055" t="s">
        <v>11053</v>
      </c>
      <c r="J6429" s="416" t="s">
        <v>1970</v>
      </c>
      <c r="K6429" s="35" t="s">
        <v>741</v>
      </c>
    </row>
    <row r="6430" spans="1:11" s="203" customFormat="1">
      <c r="A6430" s="603"/>
      <c r="B6430" s="619" t="s">
        <v>11510</v>
      </c>
      <c r="C6430" s="597">
        <v>1697</v>
      </c>
      <c r="D6430" s="244">
        <f t="shared" ref="D6430" si="936">C6430*(1-VLOOKUP(I6430,descuentos,6,FALSE))*fcl/IF(dol_sol="dólar", TC,1)</f>
        <v>447.68582328358207</v>
      </c>
      <c r="E6430" s="170">
        <v>20</v>
      </c>
      <c r="F6430" s="24">
        <f t="shared" si="925"/>
        <v>467.68582328358207</v>
      </c>
      <c r="G6430" s="465" t="s">
        <v>11511</v>
      </c>
      <c r="H6430" s="532" t="s">
        <v>11512</v>
      </c>
      <c r="I6430" s="2055" t="s">
        <v>11053</v>
      </c>
      <c r="J6430" s="416" t="s">
        <v>1970</v>
      </c>
      <c r="K6430" s="35" t="s">
        <v>741</v>
      </c>
    </row>
    <row r="6431" spans="1:11" s="207" customFormat="1">
      <c r="A6431" s="194"/>
      <c r="B6431" s="146"/>
      <c r="C6431" s="597"/>
      <c r="D6431" s="244"/>
      <c r="E6431" s="194"/>
      <c r="F6431" s="194"/>
      <c r="G6431" s="147"/>
      <c r="H6431" s="532"/>
      <c r="I6431" s="2055"/>
      <c r="J6431" s="416"/>
      <c r="K6431" s="35"/>
    </row>
    <row r="6432" spans="1:11" s="203" customFormat="1">
      <c r="A6432" s="35"/>
      <c r="B6432" s="34" t="s">
        <v>11730</v>
      </c>
      <c r="C6432" s="34"/>
      <c r="D6432" s="244"/>
      <c r="E6432" s="445"/>
      <c r="F6432" s="24"/>
      <c r="G6432" s="35"/>
      <c r="H6432" s="532"/>
      <c r="I6432" s="2055"/>
      <c r="J6432" s="416"/>
      <c r="K6432" s="35"/>
    </row>
    <row r="6433" spans="1:11" s="203" customFormat="1">
      <c r="A6433" s="603"/>
      <c r="B6433" s="619" t="s">
        <v>11513</v>
      </c>
      <c r="C6433" s="597">
        <v>47</v>
      </c>
      <c r="D6433" s="244">
        <f t="shared" ref="D6433:D6437" si="937">C6433*(1-VLOOKUP(I6433,descuentos,6,FALSE))*fcl/IF(dol_sol="dólar", TC,1)</f>
        <v>12.399077014925371</v>
      </c>
      <c r="E6433" s="170">
        <v>3</v>
      </c>
      <c r="F6433" s="24">
        <f t="shared" ref="F6433:F6438" si="938">D6433+E6433</f>
        <v>15.399077014925371</v>
      </c>
      <c r="G6433" s="338" t="s">
        <v>11514</v>
      </c>
      <c r="H6433" s="532" t="str">
        <f>B6433</f>
        <v>3RH2911-1HA31</v>
      </c>
      <c r="I6433" s="2055" t="s">
        <v>11053</v>
      </c>
      <c r="J6433" s="416" t="s">
        <v>1970</v>
      </c>
      <c r="K6433" s="35" t="s">
        <v>741</v>
      </c>
    </row>
    <row r="6434" spans="1:11" s="203" customFormat="1">
      <c r="A6434" s="603"/>
      <c r="B6434" s="619" t="s">
        <v>11515</v>
      </c>
      <c r="C6434" s="597">
        <v>47</v>
      </c>
      <c r="D6434" s="244">
        <f t="shared" si="937"/>
        <v>12.399077014925371</v>
      </c>
      <c r="E6434" s="170">
        <v>3</v>
      </c>
      <c r="F6434" s="24">
        <f t="shared" si="938"/>
        <v>15.399077014925371</v>
      </c>
      <c r="G6434" s="338" t="s">
        <v>11516</v>
      </c>
      <c r="H6434" s="532" t="str">
        <f t="shared" ref="H6434:H6438" si="939">B6434</f>
        <v>3RH2911-1HA22</v>
      </c>
      <c r="I6434" s="2055" t="s">
        <v>11053</v>
      </c>
      <c r="J6434" s="416" t="s">
        <v>1970</v>
      </c>
      <c r="K6434" s="35" t="s">
        <v>741</v>
      </c>
    </row>
    <row r="6435" spans="1:11" s="203" customFormat="1">
      <c r="A6435" s="603"/>
      <c r="B6435" s="619" t="s">
        <v>11517</v>
      </c>
      <c r="C6435" s="597">
        <v>29</v>
      </c>
      <c r="D6435" s="244">
        <f t="shared" si="937"/>
        <v>7.6504943283582083</v>
      </c>
      <c r="E6435" s="170">
        <v>3</v>
      </c>
      <c r="F6435" s="24">
        <f t="shared" si="938"/>
        <v>10.650494328358208</v>
      </c>
      <c r="G6435" s="338" t="s">
        <v>11518</v>
      </c>
      <c r="H6435" s="532" t="str">
        <f t="shared" si="939"/>
        <v>3RH2911-1HA11</v>
      </c>
      <c r="I6435" s="2055" t="s">
        <v>11053</v>
      </c>
      <c r="J6435" s="416" t="s">
        <v>1970</v>
      </c>
      <c r="K6435" s="35" t="s">
        <v>741</v>
      </c>
    </row>
    <row r="6436" spans="1:11" s="203" customFormat="1">
      <c r="A6436" s="603"/>
      <c r="B6436" s="619" t="s">
        <v>11519</v>
      </c>
      <c r="C6436" s="597">
        <v>19</v>
      </c>
      <c r="D6436" s="244">
        <f t="shared" si="937"/>
        <v>5.0123928358208945</v>
      </c>
      <c r="E6436" s="170">
        <v>3</v>
      </c>
      <c r="F6436" s="24">
        <f t="shared" si="938"/>
        <v>8.0123928358208936</v>
      </c>
      <c r="G6436" s="338" t="s">
        <v>11520</v>
      </c>
      <c r="H6436" s="532" t="str">
        <f t="shared" si="939"/>
        <v>3RH2911-1HA01</v>
      </c>
      <c r="I6436" s="2055" t="s">
        <v>11053</v>
      </c>
      <c r="J6436" s="416" t="s">
        <v>1970</v>
      </c>
      <c r="K6436" s="35" t="s">
        <v>741</v>
      </c>
    </row>
    <row r="6437" spans="1:11" s="203" customFormat="1">
      <c r="A6437" s="603"/>
      <c r="B6437" s="619" t="s">
        <v>11521</v>
      </c>
      <c r="C6437" s="597">
        <v>19</v>
      </c>
      <c r="D6437" s="244">
        <f t="shared" si="937"/>
        <v>5.0123928358208945</v>
      </c>
      <c r="E6437" s="170">
        <v>3</v>
      </c>
      <c r="F6437" s="24">
        <f t="shared" si="938"/>
        <v>8.0123928358208936</v>
      </c>
      <c r="G6437" s="338" t="s">
        <v>11522</v>
      </c>
      <c r="H6437" s="532" t="str">
        <f t="shared" si="939"/>
        <v>3RH2911-1HA10</v>
      </c>
      <c r="I6437" s="2055" t="s">
        <v>11053</v>
      </c>
      <c r="J6437" s="416" t="s">
        <v>1970</v>
      </c>
      <c r="K6437" s="35" t="s">
        <v>741</v>
      </c>
    </row>
    <row r="6438" spans="1:11" s="203" customFormat="1">
      <c r="A6438" s="603"/>
      <c r="B6438" s="619" t="s">
        <v>11521</v>
      </c>
      <c r="C6438" s="597">
        <v>40</v>
      </c>
      <c r="D6438" s="244">
        <f t="shared" ref="D6438:D6444" si="940">C6438*(1-VLOOKUP(I6438,descuentos,6,FALSE))*fcl/IF(dol_sol="dólar", TC,1)</f>
        <v>10.552405970149252</v>
      </c>
      <c r="E6438" s="170">
        <v>3</v>
      </c>
      <c r="F6438" s="24">
        <f t="shared" si="938"/>
        <v>13.552405970149252</v>
      </c>
      <c r="G6438" s="338" t="s">
        <v>11523</v>
      </c>
      <c r="H6438" s="532" t="str">
        <f t="shared" si="939"/>
        <v>3RH2911-1HA10</v>
      </c>
      <c r="I6438" s="2055" t="s">
        <v>11053</v>
      </c>
      <c r="J6438" s="416" t="s">
        <v>1970</v>
      </c>
      <c r="K6438" s="35" t="s">
        <v>741</v>
      </c>
    </row>
    <row r="6439" spans="1:11" s="954" customFormat="1">
      <c r="A6439" s="21"/>
      <c r="B6439" s="2093"/>
      <c r="C6439" s="2093"/>
      <c r="D6439" s="1756"/>
      <c r="E6439" s="2094"/>
      <c r="F6439" s="140"/>
      <c r="G6439" s="21"/>
      <c r="H6439" s="2067"/>
      <c r="I6439" s="2068"/>
      <c r="J6439" s="2069"/>
      <c r="K6439" s="21"/>
    </row>
    <row r="6440" spans="1:11" s="203" customFormat="1">
      <c r="A6440" s="35"/>
      <c r="B6440" s="34" t="s">
        <v>11731</v>
      </c>
      <c r="C6440" s="34"/>
      <c r="D6440" s="244"/>
      <c r="E6440" s="445"/>
      <c r="F6440" s="24"/>
      <c r="G6440" s="35"/>
      <c r="H6440" s="532"/>
      <c r="I6440" s="2055"/>
      <c r="J6440" s="416"/>
      <c r="K6440" s="35"/>
    </row>
    <row r="6441" spans="1:11" s="203" customFormat="1">
      <c r="A6441" s="603"/>
      <c r="B6441" s="619"/>
      <c r="C6441" s="597"/>
      <c r="D6441" s="244"/>
      <c r="E6441" s="170"/>
      <c r="F6441" s="24"/>
      <c r="G6441" s="338"/>
      <c r="H6441" s="532"/>
      <c r="I6441" s="2055"/>
      <c r="J6441" s="416"/>
      <c r="K6441" s="35"/>
    </row>
    <row r="6442" spans="1:11" s="203" customFormat="1">
      <c r="A6442" s="603"/>
      <c r="B6442" s="619" t="s">
        <v>11732</v>
      </c>
      <c r="C6442" s="597">
        <v>10</v>
      </c>
      <c r="D6442" s="244">
        <f t="shared" si="940"/>
        <v>2.638101492537313</v>
      </c>
      <c r="E6442" s="170">
        <v>3</v>
      </c>
      <c r="F6442" s="24">
        <f t="shared" ref="F6442:F6445" si="941">D6442+E6442</f>
        <v>5.638101492537313</v>
      </c>
      <c r="G6442" s="167" t="s">
        <v>11733</v>
      </c>
      <c r="H6442" s="532" t="str">
        <f t="shared" ref="H6442:H6445" si="942">B6442</f>
        <v>3RA2912-2H</v>
      </c>
      <c r="I6442" s="2055" t="s">
        <v>11053</v>
      </c>
      <c r="J6442" s="416" t="s">
        <v>1970</v>
      </c>
      <c r="K6442" s="35" t="s">
        <v>741</v>
      </c>
    </row>
    <row r="6443" spans="1:11" s="203" customFormat="1">
      <c r="A6443" s="603"/>
      <c r="B6443" s="619" t="s">
        <v>11734</v>
      </c>
      <c r="C6443" s="597">
        <v>10</v>
      </c>
      <c r="D6443" s="244">
        <f t="shared" si="940"/>
        <v>2.638101492537313</v>
      </c>
      <c r="E6443" s="170">
        <v>3</v>
      </c>
      <c r="F6443" s="24">
        <f t="shared" si="941"/>
        <v>5.638101492537313</v>
      </c>
      <c r="G6443" s="167" t="s">
        <v>11735</v>
      </c>
      <c r="H6443" s="532" t="str">
        <f t="shared" si="942"/>
        <v>3RA2922-2H</v>
      </c>
      <c r="I6443" s="2055" t="s">
        <v>11053</v>
      </c>
      <c r="J6443" s="416" t="s">
        <v>1970</v>
      </c>
      <c r="K6443" s="35" t="s">
        <v>741</v>
      </c>
    </row>
    <row r="6444" spans="1:11" s="203" customFormat="1">
      <c r="A6444" s="603"/>
      <c r="B6444" s="619" t="s">
        <v>11736</v>
      </c>
      <c r="C6444" s="597">
        <v>62</v>
      </c>
      <c r="D6444" s="244">
        <f t="shared" si="940"/>
        <v>16.356229253731343</v>
      </c>
      <c r="E6444" s="170">
        <v>3</v>
      </c>
      <c r="F6444" s="24">
        <f t="shared" si="941"/>
        <v>19.356229253731343</v>
      </c>
      <c r="G6444" s="167" t="s">
        <v>11737</v>
      </c>
      <c r="H6444" s="532" t="str">
        <f t="shared" si="942"/>
        <v>3RA2934-2B</v>
      </c>
      <c r="I6444" s="2055" t="s">
        <v>11053</v>
      </c>
      <c r="J6444" s="416" t="s">
        <v>1970</v>
      </c>
      <c r="K6444" s="35" t="s">
        <v>741</v>
      </c>
    </row>
    <row r="6445" spans="1:11" s="203" customFormat="1">
      <c r="A6445" s="603"/>
      <c r="B6445" s="619" t="s">
        <v>11738</v>
      </c>
      <c r="C6445" s="597">
        <v>97</v>
      </c>
      <c r="D6445" s="244">
        <f t="shared" ref="D6445" si="943">C6445*(1-VLOOKUP(I6445,descuentos,6,FALSE))*fcl/IF(dol_sol="dólar", TC,1)</f>
        <v>25.589584477611936</v>
      </c>
      <c r="E6445" s="170">
        <v>3</v>
      </c>
      <c r="F6445" s="24">
        <f t="shared" si="941"/>
        <v>28.589584477611936</v>
      </c>
      <c r="G6445" s="167" t="s">
        <v>11739</v>
      </c>
      <c r="H6445" s="532" t="str">
        <f t="shared" si="942"/>
        <v>3RA1954-2A</v>
      </c>
      <c r="I6445" s="2055" t="s">
        <v>11053</v>
      </c>
      <c r="J6445" s="416" t="s">
        <v>1970</v>
      </c>
      <c r="K6445" s="35" t="s">
        <v>741</v>
      </c>
    </row>
    <row r="6446" spans="1:11" s="196" customFormat="1" ht="15">
      <c r="B6446" s="142"/>
      <c r="C6446" s="597"/>
      <c r="D6446" s="244"/>
      <c r="E6446" s="226"/>
      <c r="F6446" s="155"/>
      <c r="G6446" s="1998"/>
      <c r="H6446" s="142"/>
      <c r="I6446" s="2055"/>
    </row>
    <row r="6447" spans="1:11" s="203" customFormat="1" ht="15">
      <c r="A6447" s="605"/>
      <c r="B6447" s="606"/>
      <c r="C6447" s="597"/>
      <c r="D6447" s="244"/>
      <c r="E6447" s="607"/>
      <c r="F6447" s="608"/>
      <c r="G6447" s="1998"/>
      <c r="H6447" s="532"/>
      <c r="I6447" s="2055"/>
      <c r="J6447" s="416"/>
      <c r="K6447" s="35"/>
    </row>
    <row r="6448" spans="1:11" s="203" customFormat="1">
      <c r="A6448" s="194"/>
      <c r="B6448" s="146"/>
      <c r="C6448" s="597"/>
      <c r="D6448" s="244"/>
      <c r="E6448" s="194"/>
      <c r="F6448" s="194"/>
      <c r="G6448" s="147"/>
      <c r="H6448" s="532"/>
      <c r="I6448" s="2055"/>
      <c r="J6448" s="416"/>
      <c r="K6448" s="35"/>
    </row>
    <row r="6449" spans="1:11" s="203" customFormat="1">
      <c r="A6449" s="194"/>
      <c r="B6449" s="34" t="s">
        <v>11524</v>
      </c>
      <c r="C6449" s="34"/>
      <c r="D6449" s="244"/>
      <c r="E6449" s="194"/>
      <c r="F6449" s="194"/>
      <c r="G6449" s="147"/>
      <c r="H6449" s="532"/>
      <c r="I6449" s="2055"/>
      <c r="J6449" s="416"/>
      <c r="K6449" s="35"/>
    </row>
    <row r="6450" spans="1:11" s="203" customFormat="1">
      <c r="A6450" s="194"/>
      <c r="B6450" s="146"/>
      <c r="C6450" s="597"/>
      <c r="D6450" s="244"/>
      <c r="E6450" s="194"/>
      <c r="F6450" s="194"/>
      <c r="G6450" s="147"/>
      <c r="H6450" s="532"/>
      <c r="I6450" s="2055"/>
      <c r="J6450" s="416"/>
      <c r="K6450" s="35"/>
    </row>
    <row r="6451" spans="1:11" s="203" customFormat="1">
      <c r="A6451" s="603"/>
      <c r="B6451" s="619" t="s">
        <v>11525</v>
      </c>
      <c r="C6451" s="597">
        <v>183</v>
      </c>
      <c r="D6451" s="244">
        <f t="shared" ref="D6451:D6466" si="944">C6451*(1-VLOOKUP(I6451,descuentos,6,FALSE))*fcl/IF(dol_sol="dólar", TC,1)</f>
        <v>48.277257313432827</v>
      </c>
      <c r="E6451" s="170">
        <v>3</v>
      </c>
      <c r="F6451" s="24">
        <f t="shared" ref="F6451:F6469" si="945">D6451+E6451</f>
        <v>51.277257313432827</v>
      </c>
      <c r="G6451" s="338" t="s">
        <v>11526</v>
      </c>
      <c r="H6451" s="532" t="str">
        <f>B6451</f>
        <v>3RU2116-0CB0</v>
      </c>
      <c r="I6451" s="2055" t="s">
        <v>11053</v>
      </c>
      <c r="J6451" s="416" t="s">
        <v>1970</v>
      </c>
      <c r="K6451" s="35" t="s">
        <v>741</v>
      </c>
    </row>
    <row r="6452" spans="1:11" s="203" customFormat="1">
      <c r="A6452" s="603"/>
      <c r="B6452" s="619" t="s">
        <v>11527</v>
      </c>
      <c r="C6452" s="597">
        <v>183</v>
      </c>
      <c r="D6452" s="244">
        <f t="shared" si="944"/>
        <v>48.277257313432827</v>
      </c>
      <c r="E6452" s="170">
        <v>3</v>
      </c>
      <c r="F6452" s="24">
        <f t="shared" si="945"/>
        <v>51.277257313432827</v>
      </c>
      <c r="G6452" s="338" t="s">
        <v>11528</v>
      </c>
      <c r="H6452" s="532" t="str">
        <f t="shared" ref="H6452:H6469" si="946">B6452</f>
        <v>3RU2116-0DB0</v>
      </c>
      <c r="I6452" s="2055" t="s">
        <v>11053</v>
      </c>
      <c r="J6452" s="416" t="s">
        <v>1970</v>
      </c>
      <c r="K6452" s="35" t="s">
        <v>741</v>
      </c>
    </row>
    <row r="6453" spans="1:11" s="203" customFormat="1">
      <c r="A6453" s="603"/>
      <c r="B6453" s="619" t="s">
        <v>11529</v>
      </c>
      <c r="C6453" s="597">
        <v>183</v>
      </c>
      <c r="D6453" s="244">
        <f t="shared" ref="D6453:D6462" si="947">C6453*(1-VLOOKUP(I6453,descuentos,6,FALSE))*fcl/IF(dol_sol="dólar", TC,1)</f>
        <v>48.277257313432827</v>
      </c>
      <c r="E6453" s="170">
        <v>3</v>
      </c>
      <c r="F6453" s="24">
        <f t="shared" si="945"/>
        <v>51.277257313432827</v>
      </c>
      <c r="G6453" s="338" t="s">
        <v>11530</v>
      </c>
      <c r="H6453" s="532" t="str">
        <f t="shared" si="946"/>
        <v>3RU2116-0EB0</v>
      </c>
      <c r="I6453" s="2055" t="s">
        <v>11053</v>
      </c>
      <c r="J6453" s="416" t="s">
        <v>1970</v>
      </c>
      <c r="K6453" s="35" t="s">
        <v>741</v>
      </c>
    </row>
    <row r="6454" spans="1:11" s="203" customFormat="1">
      <c r="A6454" s="603"/>
      <c r="B6454" s="619" t="s">
        <v>11531</v>
      </c>
      <c r="C6454" s="597">
        <v>183</v>
      </c>
      <c r="D6454" s="244">
        <f t="shared" ref="D6454:D6459" si="948">C6454*(1-VLOOKUP(I6454,descuentos,6,FALSE))*fcl/IF(dol_sol="dólar", TC,1)</f>
        <v>48.277257313432827</v>
      </c>
      <c r="E6454" s="170">
        <v>3</v>
      </c>
      <c r="F6454" s="24">
        <f t="shared" si="945"/>
        <v>51.277257313432827</v>
      </c>
      <c r="G6454" s="338" t="s">
        <v>11532</v>
      </c>
      <c r="H6454" s="532" t="str">
        <f t="shared" si="946"/>
        <v>3RU2116-0FB0</v>
      </c>
      <c r="I6454" s="2055" t="s">
        <v>11053</v>
      </c>
      <c r="J6454" s="416" t="s">
        <v>1970</v>
      </c>
      <c r="K6454" s="35" t="s">
        <v>741</v>
      </c>
    </row>
    <row r="6455" spans="1:11" s="203" customFormat="1">
      <c r="A6455" s="603"/>
      <c r="B6455" s="619" t="s">
        <v>11533</v>
      </c>
      <c r="C6455" s="597">
        <v>183</v>
      </c>
      <c r="D6455" s="244">
        <f t="shared" si="948"/>
        <v>48.277257313432827</v>
      </c>
      <c r="E6455" s="170">
        <v>3</v>
      </c>
      <c r="F6455" s="24">
        <f t="shared" si="945"/>
        <v>51.277257313432827</v>
      </c>
      <c r="G6455" s="338" t="s">
        <v>11534</v>
      </c>
      <c r="H6455" s="532" t="str">
        <f t="shared" si="946"/>
        <v>3RU2116-0GB0</v>
      </c>
      <c r="I6455" s="2055" t="s">
        <v>11053</v>
      </c>
      <c r="J6455" s="416" t="s">
        <v>1970</v>
      </c>
      <c r="K6455" s="35" t="s">
        <v>741</v>
      </c>
    </row>
    <row r="6456" spans="1:11" s="203" customFormat="1">
      <c r="A6456" s="603"/>
      <c r="B6456" s="619" t="s">
        <v>11535</v>
      </c>
      <c r="C6456" s="597">
        <v>183</v>
      </c>
      <c r="D6456" s="244">
        <f t="shared" si="948"/>
        <v>48.277257313432827</v>
      </c>
      <c r="E6456" s="170">
        <v>3</v>
      </c>
      <c r="F6456" s="24">
        <f t="shared" si="945"/>
        <v>51.277257313432827</v>
      </c>
      <c r="G6456" s="338" t="s">
        <v>11536</v>
      </c>
      <c r="H6456" s="532" t="str">
        <f t="shared" si="946"/>
        <v>3RU2116-0HB0</v>
      </c>
      <c r="I6456" s="2055" t="s">
        <v>11053</v>
      </c>
      <c r="J6456" s="416" t="s">
        <v>1970</v>
      </c>
      <c r="K6456" s="35" t="s">
        <v>741</v>
      </c>
    </row>
    <row r="6457" spans="1:11" s="203" customFormat="1">
      <c r="A6457" s="603"/>
      <c r="B6457" s="619" t="s">
        <v>11537</v>
      </c>
      <c r="C6457" s="597">
        <v>183</v>
      </c>
      <c r="D6457" s="244">
        <f t="shared" si="948"/>
        <v>48.277257313432827</v>
      </c>
      <c r="E6457" s="170">
        <v>3</v>
      </c>
      <c r="F6457" s="24">
        <f t="shared" si="945"/>
        <v>51.277257313432827</v>
      </c>
      <c r="G6457" s="338" t="s">
        <v>11538</v>
      </c>
      <c r="H6457" s="532" t="str">
        <f t="shared" si="946"/>
        <v>3RU2116-0JB0</v>
      </c>
      <c r="I6457" s="2055" t="s">
        <v>11053</v>
      </c>
      <c r="J6457" s="416" t="s">
        <v>1970</v>
      </c>
      <c r="K6457" s="35" t="s">
        <v>741</v>
      </c>
    </row>
    <row r="6458" spans="1:11" s="203" customFormat="1">
      <c r="A6458" s="603"/>
      <c r="B6458" s="619" t="s">
        <v>11539</v>
      </c>
      <c r="C6458" s="597">
        <v>183</v>
      </c>
      <c r="D6458" s="244">
        <f t="shared" si="948"/>
        <v>48.277257313432827</v>
      </c>
      <c r="E6458" s="170">
        <v>3</v>
      </c>
      <c r="F6458" s="24">
        <f t="shared" si="945"/>
        <v>51.277257313432827</v>
      </c>
      <c r="G6458" s="338" t="s">
        <v>11540</v>
      </c>
      <c r="H6458" s="532" t="str">
        <f t="shared" si="946"/>
        <v>3RU2116-0KB0</v>
      </c>
      <c r="I6458" s="2055" t="s">
        <v>11053</v>
      </c>
      <c r="J6458" s="416" t="s">
        <v>1970</v>
      </c>
      <c r="K6458" s="35" t="s">
        <v>741</v>
      </c>
    </row>
    <row r="6459" spans="1:11" s="203" customFormat="1">
      <c r="A6459" s="603"/>
      <c r="B6459" s="619" t="s">
        <v>11541</v>
      </c>
      <c r="C6459" s="597">
        <v>183</v>
      </c>
      <c r="D6459" s="244">
        <f t="shared" si="948"/>
        <v>48.277257313432827</v>
      </c>
      <c r="E6459" s="170">
        <v>3</v>
      </c>
      <c r="F6459" s="24">
        <f t="shared" si="945"/>
        <v>51.277257313432827</v>
      </c>
      <c r="G6459" s="338" t="s">
        <v>11542</v>
      </c>
      <c r="H6459" s="532" t="str">
        <f t="shared" si="946"/>
        <v>3RU2116-1AB0</v>
      </c>
      <c r="I6459" s="2055" t="s">
        <v>11053</v>
      </c>
      <c r="J6459" s="416" t="s">
        <v>1970</v>
      </c>
      <c r="K6459" s="35" t="s">
        <v>741</v>
      </c>
    </row>
    <row r="6460" spans="1:11" s="203" customFormat="1">
      <c r="A6460" s="603"/>
      <c r="B6460" s="619" t="s">
        <v>11543</v>
      </c>
      <c r="C6460" s="597">
        <v>183</v>
      </c>
      <c r="D6460" s="244">
        <f t="shared" si="947"/>
        <v>48.277257313432827</v>
      </c>
      <c r="E6460" s="170">
        <v>3</v>
      </c>
      <c r="F6460" s="24">
        <f t="shared" si="945"/>
        <v>51.277257313432827</v>
      </c>
      <c r="G6460" s="338" t="s">
        <v>11544</v>
      </c>
      <c r="H6460" s="532" t="str">
        <f t="shared" si="946"/>
        <v>3RU2116-1BB0</v>
      </c>
      <c r="I6460" s="2055" t="s">
        <v>11053</v>
      </c>
      <c r="J6460" s="416" t="s">
        <v>1970</v>
      </c>
      <c r="K6460" s="35" t="s">
        <v>741</v>
      </c>
    </row>
    <row r="6461" spans="1:11" s="203" customFormat="1">
      <c r="A6461" s="603"/>
      <c r="B6461" s="619" t="s">
        <v>11545</v>
      </c>
      <c r="C6461" s="597">
        <v>183</v>
      </c>
      <c r="D6461" s="244">
        <f t="shared" si="947"/>
        <v>48.277257313432827</v>
      </c>
      <c r="E6461" s="170">
        <v>3</v>
      </c>
      <c r="F6461" s="24">
        <f t="shared" si="945"/>
        <v>51.277257313432827</v>
      </c>
      <c r="G6461" s="338" t="s">
        <v>11546</v>
      </c>
      <c r="H6461" s="532" t="str">
        <f t="shared" si="946"/>
        <v>3RU2116-1CB0</v>
      </c>
      <c r="I6461" s="2055" t="s">
        <v>11053</v>
      </c>
      <c r="J6461" s="416" t="s">
        <v>1970</v>
      </c>
      <c r="K6461" s="35" t="s">
        <v>741</v>
      </c>
    </row>
    <row r="6462" spans="1:11" s="203" customFormat="1">
      <c r="A6462" s="603"/>
      <c r="B6462" s="619" t="s">
        <v>11547</v>
      </c>
      <c r="C6462" s="597">
        <v>183</v>
      </c>
      <c r="D6462" s="244">
        <f t="shared" si="947"/>
        <v>48.277257313432827</v>
      </c>
      <c r="E6462" s="170">
        <v>3</v>
      </c>
      <c r="F6462" s="24">
        <f t="shared" si="945"/>
        <v>51.277257313432827</v>
      </c>
      <c r="G6462" s="338" t="s">
        <v>11548</v>
      </c>
      <c r="H6462" s="532" t="str">
        <f t="shared" si="946"/>
        <v>3RU2116-1DB0</v>
      </c>
      <c r="I6462" s="2055" t="s">
        <v>11053</v>
      </c>
      <c r="J6462" s="416" t="s">
        <v>1970</v>
      </c>
      <c r="K6462" s="35" t="s">
        <v>741</v>
      </c>
    </row>
    <row r="6463" spans="1:11" s="203" customFormat="1">
      <c r="A6463" s="603"/>
      <c r="B6463" s="619" t="s">
        <v>11549</v>
      </c>
      <c r="C6463" s="597">
        <v>183</v>
      </c>
      <c r="D6463" s="244">
        <f t="shared" si="944"/>
        <v>48.277257313432827</v>
      </c>
      <c r="E6463" s="170">
        <v>3</v>
      </c>
      <c r="F6463" s="24">
        <f t="shared" si="945"/>
        <v>51.277257313432827</v>
      </c>
      <c r="G6463" s="338" t="s">
        <v>11550</v>
      </c>
      <c r="H6463" s="532" t="str">
        <f t="shared" si="946"/>
        <v>3RU2116-1EB0</v>
      </c>
      <c r="I6463" s="2055" t="s">
        <v>11053</v>
      </c>
      <c r="J6463" s="416" t="s">
        <v>1970</v>
      </c>
      <c r="K6463" s="35" t="s">
        <v>741</v>
      </c>
    </row>
    <row r="6464" spans="1:11" s="203" customFormat="1">
      <c r="A6464" s="603"/>
      <c r="B6464" s="619" t="s">
        <v>11551</v>
      </c>
      <c r="C6464" s="597">
        <v>183</v>
      </c>
      <c r="D6464" s="244">
        <f t="shared" si="944"/>
        <v>48.277257313432827</v>
      </c>
      <c r="E6464" s="170">
        <v>3</v>
      </c>
      <c r="F6464" s="24">
        <f t="shared" si="945"/>
        <v>51.277257313432827</v>
      </c>
      <c r="G6464" s="338" t="s">
        <v>11552</v>
      </c>
      <c r="H6464" s="532" t="str">
        <f t="shared" si="946"/>
        <v>3RU2116-1FB0</v>
      </c>
      <c r="I6464" s="2055" t="s">
        <v>11053</v>
      </c>
      <c r="J6464" s="416" t="s">
        <v>1970</v>
      </c>
      <c r="K6464" s="35" t="s">
        <v>741</v>
      </c>
    </row>
    <row r="6465" spans="1:11" s="203" customFormat="1">
      <c r="A6465" s="603"/>
      <c r="B6465" s="619" t="s">
        <v>11553</v>
      </c>
      <c r="C6465" s="597">
        <v>183</v>
      </c>
      <c r="D6465" s="244">
        <f t="shared" si="944"/>
        <v>48.277257313432827</v>
      </c>
      <c r="E6465" s="170">
        <v>3</v>
      </c>
      <c r="F6465" s="24">
        <f t="shared" si="945"/>
        <v>51.277257313432827</v>
      </c>
      <c r="G6465" s="338" t="s">
        <v>11554</v>
      </c>
      <c r="H6465" s="532" t="str">
        <f t="shared" si="946"/>
        <v>3RU2116-1GB0</v>
      </c>
      <c r="I6465" s="2055" t="s">
        <v>11053</v>
      </c>
      <c r="J6465" s="416" t="s">
        <v>1970</v>
      </c>
      <c r="K6465" s="35" t="s">
        <v>741</v>
      </c>
    </row>
    <row r="6466" spans="1:11" s="203" customFormat="1">
      <c r="A6466" s="603"/>
      <c r="B6466" s="619" t="s">
        <v>11555</v>
      </c>
      <c r="C6466" s="597">
        <v>183</v>
      </c>
      <c r="D6466" s="244">
        <f t="shared" si="944"/>
        <v>48.277257313432827</v>
      </c>
      <c r="E6466" s="170">
        <v>3</v>
      </c>
      <c r="F6466" s="24">
        <f t="shared" si="945"/>
        <v>51.277257313432827</v>
      </c>
      <c r="G6466" s="338" t="s">
        <v>11556</v>
      </c>
      <c r="H6466" s="532" t="str">
        <f t="shared" si="946"/>
        <v>3RU2116-1HB0</v>
      </c>
      <c r="I6466" s="2055" t="s">
        <v>11053</v>
      </c>
      <c r="J6466" s="416" t="s">
        <v>1970</v>
      </c>
      <c r="K6466" s="35" t="s">
        <v>741</v>
      </c>
    </row>
    <row r="6467" spans="1:11" s="203" customFormat="1">
      <c r="A6467" s="603"/>
      <c r="B6467" s="619" t="s">
        <v>11557</v>
      </c>
      <c r="C6467" s="597">
        <v>183</v>
      </c>
      <c r="D6467" s="244">
        <f t="shared" ref="D6467:D6469" si="949">C6467*(1-VLOOKUP(I6467,descuentos,6,FALSE))*fcl/IF(dol_sol="dólar", TC,1)</f>
        <v>48.277257313432827</v>
      </c>
      <c r="E6467" s="170">
        <v>3</v>
      </c>
      <c r="F6467" s="24">
        <f t="shared" si="945"/>
        <v>51.277257313432827</v>
      </c>
      <c r="G6467" s="338" t="s">
        <v>11558</v>
      </c>
      <c r="H6467" s="532" t="str">
        <f t="shared" si="946"/>
        <v>3RU2116-1JB0</v>
      </c>
      <c r="I6467" s="2055" t="s">
        <v>11053</v>
      </c>
      <c r="J6467" s="416" t="s">
        <v>1970</v>
      </c>
      <c r="K6467" s="35" t="s">
        <v>741</v>
      </c>
    </row>
    <row r="6468" spans="1:11" s="203" customFormat="1">
      <c r="A6468" s="603"/>
      <c r="B6468" s="619" t="s">
        <v>11559</v>
      </c>
      <c r="C6468" s="597">
        <v>183</v>
      </c>
      <c r="D6468" s="244">
        <f t="shared" si="949"/>
        <v>48.277257313432827</v>
      </c>
      <c r="E6468" s="170">
        <v>3</v>
      </c>
      <c r="F6468" s="24">
        <f t="shared" si="945"/>
        <v>51.277257313432827</v>
      </c>
      <c r="G6468" s="338" t="s">
        <v>11560</v>
      </c>
      <c r="H6468" s="532" t="str">
        <f t="shared" si="946"/>
        <v>3RU2116-1KB0</v>
      </c>
      <c r="I6468" s="2055" t="s">
        <v>11053</v>
      </c>
      <c r="J6468" s="416" t="s">
        <v>1970</v>
      </c>
      <c r="K6468" s="35" t="s">
        <v>741</v>
      </c>
    </row>
    <row r="6469" spans="1:11" s="203" customFormat="1">
      <c r="A6469" s="603"/>
      <c r="B6469" s="619" t="s">
        <v>11561</v>
      </c>
      <c r="C6469" s="597">
        <v>183</v>
      </c>
      <c r="D6469" s="244">
        <f t="shared" si="949"/>
        <v>48.277257313432827</v>
      </c>
      <c r="E6469" s="170">
        <v>3</v>
      </c>
      <c r="F6469" s="24">
        <f t="shared" si="945"/>
        <v>51.277257313432827</v>
      </c>
      <c r="G6469" s="338" t="s">
        <v>11562</v>
      </c>
      <c r="H6469" s="532" t="str">
        <f t="shared" si="946"/>
        <v>3RU2116-4AB0</v>
      </c>
      <c r="I6469" s="2055" t="s">
        <v>11053</v>
      </c>
      <c r="J6469" s="416" t="s">
        <v>1970</v>
      </c>
      <c r="K6469" s="35" t="s">
        <v>741</v>
      </c>
    </row>
    <row r="6470" spans="1:11" s="203" customFormat="1">
      <c r="A6470" s="194"/>
      <c r="B6470" s="146"/>
      <c r="C6470" s="597"/>
      <c r="D6470" s="244"/>
      <c r="E6470" s="194"/>
      <c r="F6470" s="194"/>
      <c r="G6470" s="147"/>
      <c r="H6470" s="532"/>
      <c r="I6470" s="2055"/>
      <c r="J6470" s="416"/>
      <c r="K6470" s="35"/>
    </row>
    <row r="6471" spans="1:11" s="203" customFormat="1">
      <c r="A6471" s="194"/>
      <c r="B6471" s="146"/>
      <c r="C6471" s="597"/>
      <c r="D6471" s="244"/>
      <c r="E6471" s="194"/>
      <c r="F6471" s="194"/>
      <c r="G6471" s="147"/>
      <c r="H6471" s="532"/>
      <c r="I6471" s="2055"/>
      <c r="J6471" s="416"/>
      <c r="K6471" s="35"/>
    </row>
    <row r="6472" spans="1:11" s="203" customFormat="1">
      <c r="A6472" s="603"/>
      <c r="B6472" s="619" t="s">
        <v>11563</v>
      </c>
      <c r="C6472" s="597">
        <v>195</v>
      </c>
      <c r="D6472" s="244">
        <f t="shared" ref="D6472:D6487" si="950">C6472*(1-VLOOKUP(I6472,descuentos,6,FALSE))*fcl/IF(dol_sol="dólar", TC,1)</f>
        <v>51.442979104477608</v>
      </c>
      <c r="E6472" s="170">
        <v>5</v>
      </c>
      <c r="F6472" s="24">
        <f t="shared" ref="F6472:F6487" si="951">D6472+E6472</f>
        <v>56.442979104477608</v>
      </c>
      <c r="G6472" s="338" t="s">
        <v>11564</v>
      </c>
      <c r="H6472" s="532" t="str">
        <f t="shared" ref="H6472:H6487" si="952">B6472</f>
        <v>3RU2126-1CB0</v>
      </c>
      <c r="I6472" s="2055" t="s">
        <v>11053</v>
      </c>
      <c r="J6472" s="416" t="s">
        <v>1970</v>
      </c>
      <c r="K6472" s="35" t="s">
        <v>741</v>
      </c>
    </row>
    <row r="6473" spans="1:11" s="203" customFormat="1">
      <c r="A6473" s="603"/>
      <c r="B6473" s="619" t="s">
        <v>11565</v>
      </c>
      <c r="C6473" s="597">
        <v>195</v>
      </c>
      <c r="D6473" s="244">
        <f t="shared" si="950"/>
        <v>51.442979104477608</v>
      </c>
      <c r="E6473" s="170">
        <v>5</v>
      </c>
      <c r="F6473" s="24">
        <f t="shared" si="951"/>
        <v>56.442979104477608</v>
      </c>
      <c r="G6473" s="338" t="s">
        <v>11566</v>
      </c>
      <c r="H6473" s="532" t="str">
        <f t="shared" si="952"/>
        <v>3RU2126-1DB0</v>
      </c>
      <c r="I6473" s="2055" t="s">
        <v>11053</v>
      </c>
      <c r="J6473" s="416" t="s">
        <v>1970</v>
      </c>
      <c r="K6473" s="35" t="s">
        <v>741</v>
      </c>
    </row>
    <row r="6474" spans="1:11" s="203" customFormat="1">
      <c r="A6474" s="603"/>
      <c r="B6474" s="619" t="s">
        <v>11567</v>
      </c>
      <c r="C6474" s="597">
        <v>195</v>
      </c>
      <c r="D6474" s="244">
        <f t="shared" ref="D6474:D6478" si="953">C6474*(1-VLOOKUP(I6474,descuentos,6,FALSE))*fcl/IF(dol_sol="dólar", TC,1)</f>
        <v>51.442979104477608</v>
      </c>
      <c r="E6474" s="170">
        <v>5</v>
      </c>
      <c r="F6474" s="24">
        <f t="shared" si="951"/>
        <v>56.442979104477608</v>
      </c>
      <c r="G6474" s="338" t="s">
        <v>11568</v>
      </c>
      <c r="H6474" s="532" t="str">
        <f t="shared" si="952"/>
        <v>3RU2126-1EB0</v>
      </c>
      <c r="I6474" s="2055" t="s">
        <v>11053</v>
      </c>
      <c r="J6474" s="416" t="s">
        <v>1970</v>
      </c>
      <c r="K6474" s="35" t="s">
        <v>741</v>
      </c>
    </row>
    <row r="6475" spans="1:11" s="203" customFormat="1">
      <c r="A6475" s="603"/>
      <c r="B6475" s="619" t="s">
        <v>11569</v>
      </c>
      <c r="C6475" s="597">
        <v>195</v>
      </c>
      <c r="D6475" s="244">
        <f t="shared" si="953"/>
        <v>51.442979104477608</v>
      </c>
      <c r="E6475" s="170">
        <v>5</v>
      </c>
      <c r="F6475" s="24">
        <f t="shared" si="951"/>
        <v>56.442979104477608</v>
      </c>
      <c r="G6475" s="338" t="s">
        <v>11570</v>
      </c>
      <c r="H6475" s="532" t="str">
        <f t="shared" si="952"/>
        <v>3RU2126-1FB0</v>
      </c>
      <c r="I6475" s="2055" t="s">
        <v>11053</v>
      </c>
      <c r="J6475" s="416" t="s">
        <v>1970</v>
      </c>
      <c r="K6475" s="35" t="s">
        <v>741</v>
      </c>
    </row>
    <row r="6476" spans="1:11" s="203" customFormat="1">
      <c r="A6476" s="603"/>
      <c r="B6476" s="619" t="s">
        <v>11571</v>
      </c>
      <c r="C6476" s="597">
        <v>195</v>
      </c>
      <c r="D6476" s="244">
        <f t="shared" si="953"/>
        <v>51.442979104477608</v>
      </c>
      <c r="E6476" s="170">
        <v>5</v>
      </c>
      <c r="F6476" s="24">
        <f t="shared" si="951"/>
        <v>56.442979104477608</v>
      </c>
      <c r="G6476" s="338" t="s">
        <v>11572</v>
      </c>
      <c r="H6476" s="532" t="str">
        <f t="shared" si="952"/>
        <v>3RU2126-1GB0</v>
      </c>
      <c r="I6476" s="2055" t="s">
        <v>11053</v>
      </c>
      <c r="J6476" s="416" t="s">
        <v>1970</v>
      </c>
      <c r="K6476" s="35" t="s">
        <v>741</v>
      </c>
    </row>
    <row r="6477" spans="1:11" s="203" customFormat="1">
      <c r="A6477" s="603"/>
      <c r="B6477" s="619" t="s">
        <v>11573</v>
      </c>
      <c r="C6477" s="597">
        <v>195</v>
      </c>
      <c r="D6477" s="244">
        <f t="shared" si="953"/>
        <v>51.442979104477608</v>
      </c>
      <c r="E6477" s="170">
        <v>5</v>
      </c>
      <c r="F6477" s="24">
        <f t="shared" si="951"/>
        <v>56.442979104477608</v>
      </c>
      <c r="G6477" s="338" t="s">
        <v>11574</v>
      </c>
      <c r="H6477" s="532" t="str">
        <f t="shared" si="952"/>
        <v>3RU2126-1HB0</v>
      </c>
      <c r="I6477" s="2055" t="s">
        <v>11053</v>
      </c>
      <c r="J6477" s="416" t="s">
        <v>1970</v>
      </c>
      <c r="K6477" s="35" t="s">
        <v>741</v>
      </c>
    </row>
    <row r="6478" spans="1:11" s="203" customFormat="1">
      <c r="A6478" s="603"/>
      <c r="B6478" s="619" t="s">
        <v>11575</v>
      </c>
      <c r="C6478" s="597">
        <v>195</v>
      </c>
      <c r="D6478" s="244">
        <f t="shared" si="953"/>
        <v>51.442979104477608</v>
      </c>
      <c r="E6478" s="170">
        <v>5</v>
      </c>
      <c r="F6478" s="24">
        <f t="shared" si="951"/>
        <v>56.442979104477608</v>
      </c>
      <c r="G6478" s="338" t="s">
        <v>11576</v>
      </c>
      <c r="H6478" s="532" t="str">
        <f t="shared" si="952"/>
        <v>3RU2126-1JB0</v>
      </c>
      <c r="I6478" s="2055" t="s">
        <v>11053</v>
      </c>
      <c r="J6478" s="416" t="s">
        <v>1970</v>
      </c>
      <c r="K6478" s="35" t="s">
        <v>741</v>
      </c>
    </row>
    <row r="6479" spans="1:11" s="203" customFormat="1">
      <c r="A6479" s="603"/>
      <c r="B6479" s="619" t="s">
        <v>11577</v>
      </c>
      <c r="C6479" s="597">
        <v>195</v>
      </c>
      <c r="D6479" s="244">
        <f t="shared" si="950"/>
        <v>51.442979104477608</v>
      </c>
      <c r="E6479" s="170">
        <v>5</v>
      </c>
      <c r="F6479" s="24">
        <f t="shared" si="951"/>
        <v>56.442979104477608</v>
      </c>
      <c r="G6479" s="338" t="s">
        <v>11578</v>
      </c>
      <c r="H6479" s="532" t="str">
        <f t="shared" si="952"/>
        <v>3RU2126-1KB0</v>
      </c>
      <c r="I6479" s="2055" t="s">
        <v>11053</v>
      </c>
      <c r="J6479" s="416" t="s">
        <v>1970</v>
      </c>
      <c r="K6479" s="35" t="s">
        <v>741</v>
      </c>
    </row>
    <row r="6480" spans="1:11" s="203" customFormat="1">
      <c r="A6480" s="603"/>
      <c r="B6480" s="619" t="s">
        <v>11579</v>
      </c>
      <c r="C6480" s="597">
        <v>195</v>
      </c>
      <c r="D6480" s="244">
        <f t="shared" si="950"/>
        <v>51.442979104477608</v>
      </c>
      <c r="E6480" s="170">
        <v>5</v>
      </c>
      <c r="F6480" s="24">
        <f t="shared" si="951"/>
        <v>56.442979104477608</v>
      </c>
      <c r="G6480" s="338" t="s">
        <v>11580</v>
      </c>
      <c r="H6480" s="532" t="str">
        <f t="shared" si="952"/>
        <v>3RU2126-4AB0</v>
      </c>
      <c r="I6480" s="2055" t="s">
        <v>11053</v>
      </c>
      <c r="J6480" s="416" t="s">
        <v>1970</v>
      </c>
      <c r="K6480" s="35" t="s">
        <v>741</v>
      </c>
    </row>
    <row r="6481" spans="1:11" s="203" customFormat="1">
      <c r="A6481" s="603"/>
      <c r="B6481" s="619" t="s">
        <v>11581</v>
      </c>
      <c r="C6481" s="597">
        <v>195</v>
      </c>
      <c r="D6481" s="244">
        <f t="shared" si="950"/>
        <v>51.442979104477608</v>
      </c>
      <c r="E6481" s="170">
        <v>5</v>
      </c>
      <c r="F6481" s="24">
        <f t="shared" si="951"/>
        <v>56.442979104477608</v>
      </c>
      <c r="G6481" s="338" t="s">
        <v>11582</v>
      </c>
      <c r="H6481" s="532" t="str">
        <f t="shared" si="952"/>
        <v>3RU2126-4BB0</v>
      </c>
      <c r="I6481" s="2055" t="s">
        <v>11053</v>
      </c>
      <c r="J6481" s="416" t="s">
        <v>1970</v>
      </c>
      <c r="K6481" s="35" t="s">
        <v>741</v>
      </c>
    </row>
    <row r="6482" spans="1:11" s="203" customFormat="1">
      <c r="A6482" s="603"/>
      <c r="B6482" s="619" t="s">
        <v>11583</v>
      </c>
      <c r="C6482" s="597">
        <v>195</v>
      </c>
      <c r="D6482" s="244">
        <f t="shared" si="950"/>
        <v>51.442979104477608</v>
      </c>
      <c r="E6482" s="170">
        <v>5</v>
      </c>
      <c r="F6482" s="24">
        <f t="shared" si="951"/>
        <v>56.442979104477608</v>
      </c>
      <c r="G6482" s="338" t="s">
        <v>11584</v>
      </c>
      <c r="H6482" s="532" t="str">
        <f t="shared" si="952"/>
        <v>3RU2126-4CB0</v>
      </c>
      <c r="I6482" s="2055" t="s">
        <v>11053</v>
      </c>
      <c r="J6482" s="416" t="s">
        <v>1970</v>
      </c>
      <c r="K6482" s="35" t="s">
        <v>741</v>
      </c>
    </row>
    <row r="6483" spans="1:11" s="203" customFormat="1">
      <c r="A6483" s="603"/>
      <c r="B6483" s="619" t="s">
        <v>11585</v>
      </c>
      <c r="C6483" s="597">
        <v>195</v>
      </c>
      <c r="D6483" s="244">
        <f t="shared" si="950"/>
        <v>51.442979104477608</v>
      </c>
      <c r="E6483" s="170">
        <v>5</v>
      </c>
      <c r="F6483" s="24">
        <f t="shared" si="951"/>
        <v>56.442979104477608</v>
      </c>
      <c r="G6483" s="338" t="s">
        <v>11586</v>
      </c>
      <c r="H6483" s="532" t="str">
        <f t="shared" si="952"/>
        <v>3RU2126-4DB0</v>
      </c>
      <c r="I6483" s="2055" t="s">
        <v>11053</v>
      </c>
      <c r="J6483" s="416" t="s">
        <v>1970</v>
      </c>
      <c r="K6483" s="35" t="s">
        <v>741</v>
      </c>
    </row>
    <row r="6484" spans="1:11" s="203" customFormat="1">
      <c r="A6484" s="603"/>
      <c r="B6484" s="619" t="s">
        <v>11587</v>
      </c>
      <c r="C6484" s="597">
        <v>298</v>
      </c>
      <c r="D6484" s="244">
        <f t="shared" si="950"/>
        <v>78.615424477611938</v>
      </c>
      <c r="E6484" s="170">
        <v>5</v>
      </c>
      <c r="F6484" s="24">
        <f t="shared" si="951"/>
        <v>83.615424477611938</v>
      </c>
      <c r="G6484" s="338" t="s">
        <v>11588</v>
      </c>
      <c r="H6484" s="532" t="str">
        <f t="shared" si="952"/>
        <v>3RU2126-4NB0</v>
      </c>
      <c r="I6484" s="2055" t="s">
        <v>11053</v>
      </c>
      <c r="J6484" s="416" t="s">
        <v>1970</v>
      </c>
      <c r="K6484" s="35" t="s">
        <v>741</v>
      </c>
    </row>
    <row r="6485" spans="1:11" s="203" customFormat="1">
      <c r="A6485" s="603"/>
      <c r="B6485" s="619" t="s">
        <v>11589</v>
      </c>
      <c r="C6485" s="597">
        <v>298</v>
      </c>
      <c r="D6485" s="244">
        <f t="shared" si="950"/>
        <v>78.615424477611938</v>
      </c>
      <c r="E6485" s="170">
        <v>5</v>
      </c>
      <c r="F6485" s="24">
        <f t="shared" si="951"/>
        <v>83.615424477611938</v>
      </c>
      <c r="G6485" s="338" t="s">
        <v>11590</v>
      </c>
      <c r="H6485" s="532" t="str">
        <f t="shared" si="952"/>
        <v>3RU2126-4EB0</v>
      </c>
      <c r="I6485" s="2055" t="s">
        <v>11053</v>
      </c>
      <c r="J6485" s="416" t="s">
        <v>1970</v>
      </c>
      <c r="K6485" s="35" t="s">
        <v>741</v>
      </c>
    </row>
    <row r="6486" spans="1:11" s="203" customFormat="1">
      <c r="A6486" s="603"/>
      <c r="B6486" s="619" t="s">
        <v>11591</v>
      </c>
      <c r="C6486" s="597">
        <v>298</v>
      </c>
      <c r="D6486" s="244">
        <f t="shared" si="950"/>
        <v>78.615424477611938</v>
      </c>
      <c r="E6486" s="170">
        <v>5</v>
      </c>
      <c r="F6486" s="24">
        <f t="shared" si="951"/>
        <v>83.615424477611938</v>
      </c>
      <c r="G6486" s="338" t="s">
        <v>11592</v>
      </c>
      <c r="H6486" s="532" t="str">
        <f t="shared" si="952"/>
        <v>3RU2126-4PB0</v>
      </c>
      <c r="I6486" s="2055" t="s">
        <v>11053</v>
      </c>
      <c r="J6486" s="416" t="s">
        <v>1970</v>
      </c>
      <c r="K6486" s="35" t="s">
        <v>741</v>
      </c>
    </row>
    <row r="6487" spans="1:11" s="203" customFormat="1">
      <c r="A6487" s="603"/>
      <c r="B6487" s="619" t="s">
        <v>11593</v>
      </c>
      <c r="C6487" s="597">
        <v>298</v>
      </c>
      <c r="D6487" s="244">
        <f t="shared" si="950"/>
        <v>78.615424477611938</v>
      </c>
      <c r="E6487" s="170">
        <v>5</v>
      </c>
      <c r="F6487" s="24">
        <f t="shared" si="951"/>
        <v>83.615424477611938</v>
      </c>
      <c r="G6487" s="338" t="s">
        <v>11594</v>
      </c>
      <c r="H6487" s="532" t="str">
        <f t="shared" si="952"/>
        <v>3RU2126-4FB0</v>
      </c>
      <c r="I6487" s="2055" t="s">
        <v>11053</v>
      </c>
      <c r="J6487" s="416" t="s">
        <v>1970</v>
      </c>
      <c r="K6487" s="35" t="s">
        <v>741</v>
      </c>
    </row>
    <row r="6488" spans="1:11" s="203" customFormat="1">
      <c r="A6488" s="194"/>
      <c r="B6488" s="146"/>
      <c r="C6488" s="597"/>
      <c r="D6488" s="244"/>
      <c r="E6488" s="194"/>
      <c r="F6488" s="194"/>
      <c r="G6488" s="147"/>
      <c r="H6488" s="532"/>
      <c r="I6488" s="2055"/>
      <c r="J6488" s="416"/>
      <c r="K6488" s="35"/>
    </row>
    <row r="6489" spans="1:11" s="203" customFormat="1">
      <c r="A6489" s="194"/>
      <c r="B6489" s="146"/>
      <c r="C6489" s="597"/>
      <c r="D6489" s="244"/>
      <c r="E6489" s="194"/>
      <c r="F6489" s="194"/>
      <c r="G6489" s="147"/>
      <c r="H6489" s="532"/>
      <c r="I6489" s="2055"/>
      <c r="J6489" s="416"/>
      <c r="K6489" s="35"/>
    </row>
    <row r="6490" spans="1:11" s="203" customFormat="1">
      <c r="A6490" s="603"/>
      <c r="B6490" s="619" t="s">
        <v>11595</v>
      </c>
      <c r="C6490" s="597">
        <v>216</v>
      </c>
      <c r="D6490" s="244">
        <f t="shared" ref="D6490:D6499" si="954">C6490*(1-VLOOKUP(I6490,descuentos,6,FALSE))*fcl/IF(dol_sol="dólar", TC,1)</f>
        <v>56.98299223880597</v>
      </c>
      <c r="E6490" s="170">
        <v>10</v>
      </c>
      <c r="F6490" s="24">
        <f t="shared" ref="F6490:F6500" si="955">D6490+E6490</f>
        <v>66.982992238805963</v>
      </c>
      <c r="G6490" s="338" t="s">
        <v>11596</v>
      </c>
      <c r="H6490" s="532" t="str">
        <f t="shared" ref="H6490:H6500" si="956">B6490</f>
        <v>3RU2136-4AB0</v>
      </c>
      <c r="I6490" s="2055" t="s">
        <v>11053</v>
      </c>
      <c r="J6490" s="416" t="s">
        <v>1970</v>
      </c>
      <c r="K6490" s="35" t="s">
        <v>741</v>
      </c>
    </row>
    <row r="6491" spans="1:11" s="203" customFormat="1">
      <c r="A6491" s="603"/>
      <c r="B6491" s="619" t="s">
        <v>11597</v>
      </c>
      <c r="C6491" s="597">
        <v>216</v>
      </c>
      <c r="D6491" s="244">
        <f t="shared" si="954"/>
        <v>56.98299223880597</v>
      </c>
      <c r="E6491" s="170">
        <v>10</v>
      </c>
      <c r="F6491" s="24">
        <f t="shared" si="955"/>
        <v>66.982992238805963</v>
      </c>
      <c r="G6491" s="338" t="s">
        <v>11598</v>
      </c>
      <c r="H6491" s="532" t="str">
        <f t="shared" si="956"/>
        <v>3RU2136-4BB0</v>
      </c>
      <c r="I6491" s="2055" t="s">
        <v>11053</v>
      </c>
      <c r="J6491" s="416" t="s">
        <v>1970</v>
      </c>
      <c r="K6491" s="35" t="s">
        <v>741</v>
      </c>
    </row>
    <row r="6492" spans="1:11" s="203" customFormat="1">
      <c r="A6492" s="603"/>
      <c r="B6492" s="619" t="s">
        <v>11599</v>
      </c>
      <c r="C6492" s="597">
        <v>216</v>
      </c>
      <c r="D6492" s="244">
        <f t="shared" si="954"/>
        <v>56.98299223880597</v>
      </c>
      <c r="E6492" s="170">
        <v>10</v>
      </c>
      <c r="F6492" s="24">
        <f t="shared" si="955"/>
        <v>66.982992238805963</v>
      </c>
      <c r="G6492" s="338" t="s">
        <v>11600</v>
      </c>
      <c r="H6492" s="532" t="str">
        <f t="shared" si="956"/>
        <v>3RU2136-4DB0</v>
      </c>
      <c r="I6492" s="2055" t="s">
        <v>11053</v>
      </c>
      <c r="J6492" s="416" t="s">
        <v>1970</v>
      </c>
      <c r="K6492" s="35" t="s">
        <v>741</v>
      </c>
    </row>
    <row r="6493" spans="1:11" s="203" customFormat="1">
      <c r="A6493" s="603"/>
      <c r="B6493" s="619" t="s">
        <v>11601</v>
      </c>
      <c r="C6493" s="597">
        <v>326</v>
      </c>
      <c r="D6493" s="244">
        <f t="shared" si="954"/>
        <v>86.002108656716416</v>
      </c>
      <c r="E6493" s="170">
        <v>10</v>
      </c>
      <c r="F6493" s="24">
        <f t="shared" si="955"/>
        <v>96.002108656716416</v>
      </c>
      <c r="G6493" s="338" t="s">
        <v>11602</v>
      </c>
      <c r="H6493" s="532" t="str">
        <f t="shared" si="956"/>
        <v>3RU2136-4EB0</v>
      </c>
      <c r="I6493" s="2055" t="s">
        <v>11053</v>
      </c>
      <c r="J6493" s="416" t="s">
        <v>1970</v>
      </c>
      <c r="K6493" s="35" t="s">
        <v>741</v>
      </c>
    </row>
    <row r="6494" spans="1:11" s="203" customFormat="1">
      <c r="A6494" s="603"/>
      <c r="B6494" s="619" t="s">
        <v>11603</v>
      </c>
      <c r="C6494" s="597">
        <v>326</v>
      </c>
      <c r="D6494" s="244">
        <f t="shared" si="954"/>
        <v>86.002108656716416</v>
      </c>
      <c r="E6494" s="170">
        <v>10</v>
      </c>
      <c r="F6494" s="24">
        <f t="shared" si="955"/>
        <v>96.002108656716416</v>
      </c>
      <c r="G6494" s="338" t="s">
        <v>11604</v>
      </c>
      <c r="H6494" s="532" t="str">
        <f t="shared" si="956"/>
        <v>3RU2136-4FB0</v>
      </c>
      <c r="I6494" s="2055" t="s">
        <v>11053</v>
      </c>
      <c r="J6494" s="416" t="s">
        <v>1970</v>
      </c>
      <c r="K6494" s="35" t="s">
        <v>741</v>
      </c>
    </row>
    <row r="6495" spans="1:11" s="203" customFormat="1">
      <c r="A6495" s="603"/>
      <c r="B6495" s="619" t="s">
        <v>11605</v>
      </c>
      <c r="C6495" s="597">
        <v>343</v>
      </c>
      <c r="D6495" s="244">
        <f t="shared" si="954"/>
        <v>90.486881194029849</v>
      </c>
      <c r="E6495" s="170">
        <v>10</v>
      </c>
      <c r="F6495" s="24">
        <f t="shared" si="955"/>
        <v>100.48688119402985</v>
      </c>
      <c r="G6495" s="338" t="s">
        <v>11606</v>
      </c>
      <c r="H6495" s="532" t="str">
        <f t="shared" si="956"/>
        <v>3RU2136-4GB0</v>
      </c>
      <c r="I6495" s="2055" t="s">
        <v>11053</v>
      </c>
      <c r="J6495" s="416" t="s">
        <v>1970</v>
      </c>
      <c r="K6495" s="35" t="s">
        <v>741</v>
      </c>
    </row>
    <row r="6496" spans="1:11" s="203" customFormat="1">
      <c r="A6496" s="603"/>
      <c r="B6496" s="619" t="s">
        <v>11607</v>
      </c>
      <c r="C6496" s="597">
        <v>378</v>
      </c>
      <c r="D6496" s="244">
        <f t="shared" si="954"/>
        <v>99.720236417910442</v>
      </c>
      <c r="E6496" s="170">
        <v>10</v>
      </c>
      <c r="F6496" s="24">
        <f t="shared" si="955"/>
        <v>109.72023641791044</v>
      </c>
      <c r="G6496" s="338" t="s">
        <v>11608</v>
      </c>
      <c r="H6496" s="532" t="str">
        <f t="shared" si="956"/>
        <v>3RU2136-4HB0</v>
      </c>
      <c r="I6496" s="2055" t="s">
        <v>11053</v>
      </c>
      <c r="J6496" s="416" t="s">
        <v>1970</v>
      </c>
      <c r="K6496" s="35" t="s">
        <v>741</v>
      </c>
    </row>
    <row r="6497" spans="1:11" s="203" customFormat="1">
      <c r="A6497" s="603"/>
      <c r="B6497" s="619" t="s">
        <v>11609</v>
      </c>
      <c r="C6497" s="597">
        <v>378</v>
      </c>
      <c r="D6497" s="244">
        <f t="shared" si="954"/>
        <v>99.720236417910442</v>
      </c>
      <c r="E6497" s="170">
        <v>10</v>
      </c>
      <c r="F6497" s="24">
        <f t="shared" si="955"/>
        <v>109.72023641791044</v>
      </c>
      <c r="G6497" s="338" t="s">
        <v>11610</v>
      </c>
      <c r="H6497" s="532" t="str">
        <f t="shared" si="956"/>
        <v>3RU2136-4QB0</v>
      </c>
      <c r="I6497" s="2055" t="s">
        <v>11053</v>
      </c>
      <c r="J6497" s="416" t="s">
        <v>1970</v>
      </c>
      <c r="K6497" s="35" t="s">
        <v>741</v>
      </c>
    </row>
    <row r="6498" spans="1:11" s="203" customFormat="1">
      <c r="A6498" s="603"/>
      <c r="B6498" s="619" t="s">
        <v>11611</v>
      </c>
      <c r="C6498" s="597">
        <v>378</v>
      </c>
      <c r="D6498" s="244">
        <f t="shared" si="954"/>
        <v>99.720236417910442</v>
      </c>
      <c r="E6498" s="170">
        <v>10</v>
      </c>
      <c r="F6498" s="24">
        <f t="shared" si="955"/>
        <v>109.72023641791044</v>
      </c>
      <c r="G6498" s="338" t="s">
        <v>11612</v>
      </c>
      <c r="H6498" s="532" t="str">
        <f t="shared" si="956"/>
        <v>3RU2136-4JB0</v>
      </c>
      <c r="I6498" s="2055" t="s">
        <v>11053</v>
      </c>
      <c r="J6498" s="416" t="s">
        <v>1970</v>
      </c>
      <c r="K6498" s="35" t="s">
        <v>741</v>
      </c>
    </row>
    <row r="6499" spans="1:11" s="203" customFormat="1">
      <c r="A6499" s="603"/>
      <c r="B6499" s="619" t="s">
        <v>11613</v>
      </c>
      <c r="C6499" s="597">
        <v>378</v>
      </c>
      <c r="D6499" s="244">
        <f t="shared" si="954"/>
        <v>99.720236417910442</v>
      </c>
      <c r="E6499" s="170">
        <v>10</v>
      </c>
      <c r="F6499" s="24">
        <f t="shared" si="955"/>
        <v>109.72023641791044</v>
      </c>
      <c r="G6499" s="338" t="s">
        <v>11614</v>
      </c>
      <c r="H6499" s="532" t="str">
        <f t="shared" si="956"/>
        <v>3RU2136-4KB0</v>
      </c>
      <c r="I6499" s="2055" t="s">
        <v>11053</v>
      </c>
      <c r="J6499" s="416" t="s">
        <v>1970</v>
      </c>
      <c r="K6499" s="35" t="s">
        <v>741</v>
      </c>
    </row>
    <row r="6500" spans="1:11" s="203" customFormat="1">
      <c r="A6500" s="603"/>
      <c r="B6500" s="619" t="s">
        <v>11615</v>
      </c>
      <c r="C6500" s="597">
        <v>438</v>
      </c>
      <c r="D6500" s="244">
        <f t="shared" ref="D6500" si="957">C6500*(1-VLOOKUP(I6500,descuentos,6,FALSE))*fcl/IF(dol_sol="dólar", TC,1)</f>
        <v>115.54884537313433</v>
      </c>
      <c r="E6500" s="170">
        <v>10</v>
      </c>
      <c r="F6500" s="24">
        <f t="shared" si="955"/>
        <v>125.54884537313433</v>
      </c>
      <c r="G6500" s="338" t="s">
        <v>11616</v>
      </c>
      <c r="H6500" s="532" t="str">
        <f t="shared" si="956"/>
        <v>3RU2136-4RB0</v>
      </c>
      <c r="I6500" s="2055" t="s">
        <v>11053</v>
      </c>
      <c r="J6500" s="416" t="s">
        <v>1970</v>
      </c>
      <c r="K6500" s="35" t="s">
        <v>741</v>
      </c>
    </row>
    <row r="6501" spans="1:11" s="203" customFormat="1">
      <c r="A6501" s="194"/>
      <c r="B6501" s="146"/>
      <c r="C6501" s="597"/>
      <c r="D6501" s="244"/>
      <c r="E6501" s="194"/>
      <c r="F6501" s="194"/>
      <c r="G6501" s="147"/>
      <c r="H6501" s="532"/>
      <c r="I6501" s="2055"/>
      <c r="J6501" s="416"/>
      <c r="K6501" s="35"/>
    </row>
    <row r="6502" spans="1:11" s="203" customFormat="1">
      <c r="A6502" s="194"/>
      <c r="B6502" s="146"/>
      <c r="C6502" s="597"/>
      <c r="D6502" s="244"/>
      <c r="E6502" s="194"/>
      <c r="F6502" s="194"/>
      <c r="G6502" s="147"/>
      <c r="H6502" s="532"/>
      <c r="I6502" s="2055"/>
      <c r="J6502" s="416"/>
      <c r="K6502" s="35"/>
    </row>
    <row r="6503" spans="1:11" s="203" customFormat="1">
      <c r="A6503" s="603"/>
      <c r="B6503" s="619" t="s">
        <v>11617</v>
      </c>
      <c r="C6503" s="597">
        <v>338</v>
      </c>
      <c r="D6503" s="244">
        <f t="shared" ref="D6503:D6508" si="958">C6503*(1-VLOOKUP(I6503,descuentos,6,FALSE))*fcl/IF(dol_sol="dólar", TC,1)</f>
        <v>89.16783044776119</v>
      </c>
      <c r="E6503" s="170">
        <v>15</v>
      </c>
      <c r="F6503" s="24">
        <f t="shared" ref="F6503:F6508" si="959">D6503+E6503</f>
        <v>104.16783044776119</v>
      </c>
      <c r="G6503" s="338" t="s">
        <v>11618</v>
      </c>
      <c r="H6503" s="532" t="str">
        <f t="shared" ref="H6503:H6508" si="960">B6503</f>
        <v>3RU2146-4FB0</v>
      </c>
      <c r="I6503" s="2055" t="s">
        <v>11053</v>
      </c>
      <c r="J6503" s="416" t="s">
        <v>1970</v>
      </c>
      <c r="K6503" s="35" t="s">
        <v>741</v>
      </c>
    </row>
    <row r="6504" spans="1:11" s="203" customFormat="1">
      <c r="A6504" s="603"/>
      <c r="B6504" s="619" t="s">
        <v>11619</v>
      </c>
      <c r="C6504" s="597">
        <v>400</v>
      </c>
      <c r="D6504" s="244">
        <f t="shared" si="958"/>
        <v>105.52405970149253</v>
      </c>
      <c r="E6504" s="170">
        <v>15</v>
      </c>
      <c r="F6504" s="24">
        <f t="shared" si="959"/>
        <v>120.52405970149253</v>
      </c>
      <c r="G6504" s="338" t="s">
        <v>11620</v>
      </c>
      <c r="H6504" s="532" t="str">
        <f t="shared" si="960"/>
        <v>3RU2146-4HB0</v>
      </c>
      <c r="I6504" s="2055" t="s">
        <v>11053</v>
      </c>
      <c r="J6504" s="416" t="s">
        <v>1970</v>
      </c>
      <c r="K6504" s="35" t="s">
        <v>741</v>
      </c>
    </row>
    <row r="6505" spans="1:11" s="203" customFormat="1">
      <c r="A6505" s="603"/>
      <c r="B6505" s="619" t="s">
        <v>11621</v>
      </c>
      <c r="C6505" s="597">
        <v>415</v>
      </c>
      <c r="D6505" s="244">
        <f t="shared" si="958"/>
        <v>109.48121194029849</v>
      </c>
      <c r="E6505" s="170">
        <v>15</v>
      </c>
      <c r="F6505" s="24">
        <f t="shared" si="959"/>
        <v>124.48121194029849</v>
      </c>
      <c r="G6505" s="338" t="s">
        <v>11622</v>
      </c>
      <c r="H6505" s="532" t="str">
        <f t="shared" si="960"/>
        <v>3RU2146-4JB0</v>
      </c>
      <c r="I6505" s="2055" t="s">
        <v>11053</v>
      </c>
      <c r="J6505" s="416" t="s">
        <v>1970</v>
      </c>
      <c r="K6505" s="35" t="s">
        <v>741</v>
      </c>
    </row>
    <row r="6506" spans="1:11" s="203" customFormat="1">
      <c r="A6506" s="603"/>
      <c r="B6506" s="619" t="s">
        <v>11623</v>
      </c>
      <c r="C6506" s="597">
        <v>408</v>
      </c>
      <c r="D6506" s="244">
        <f t="shared" si="958"/>
        <v>107.63454089552239</v>
      </c>
      <c r="E6506" s="170">
        <v>15</v>
      </c>
      <c r="F6506" s="24">
        <f t="shared" si="959"/>
        <v>122.63454089552239</v>
      </c>
      <c r="G6506" s="338" t="s">
        <v>11624</v>
      </c>
      <c r="H6506" s="532" t="str">
        <f t="shared" si="960"/>
        <v>3RU2146-4KB0</v>
      </c>
      <c r="I6506" s="2055" t="s">
        <v>11053</v>
      </c>
      <c r="J6506" s="416" t="s">
        <v>1970</v>
      </c>
      <c r="K6506" s="35" t="s">
        <v>741</v>
      </c>
    </row>
    <row r="6507" spans="1:11" s="203" customFormat="1">
      <c r="A6507" s="603"/>
      <c r="B6507" s="619" t="s">
        <v>11625</v>
      </c>
      <c r="C6507" s="597">
        <v>480</v>
      </c>
      <c r="D6507" s="244">
        <f t="shared" si="958"/>
        <v>126.62887164179104</v>
      </c>
      <c r="E6507" s="170">
        <v>15</v>
      </c>
      <c r="F6507" s="24">
        <f t="shared" si="959"/>
        <v>141.62887164179102</v>
      </c>
      <c r="G6507" s="338" t="s">
        <v>11626</v>
      </c>
      <c r="H6507" s="532" t="str">
        <f t="shared" si="960"/>
        <v>3RU2146-4LB0</v>
      </c>
      <c r="I6507" s="2055" t="s">
        <v>11053</v>
      </c>
      <c r="J6507" s="416" t="s">
        <v>1970</v>
      </c>
      <c r="K6507" s="35" t="s">
        <v>741</v>
      </c>
    </row>
    <row r="6508" spans="1:11" s="203" customFormat="1">
      <c r="A6508" s="603"/>
      <c r="B6508" s="619" t="s">
        <v>11627</v>
      </c>
      <c r="C6508" s="597">
        <v>604</v>
      </c>
      <c r="D6508" s="244">
        <f t="shared" si="958"/>
        <v>159.34133014925374</v>
      </c>
      <c r="E6508" s="170">
        <v>15</v>
      </c>
      <c r="F6508" s="24">
        <f t="shared" si="959"/>
        <v>174.34133014925374</v>
      </c>
      <c r="G6508" s="338" t="s">
        <v>11628</v>
      </c>
      <c r="H6508" s="532" t="str">
        <f t="shared" si="960"/>
        <v>3RU2146-4MB0</v>
      </c>
      <c r="I6508" s="2055" t="s">
        <v>11053</v>
      </c>
      <c r="J6508" s="416" t="s">
        <v>1970</v>
      </c>
      <c r="K6508" s="35" t="s">
        <v>741</v>
      </c>
    </row>
    <row r="6509" spans="1:11" s="203" customFormat="1">
      <c r="A6509" s="194"/>
      <c r="B6509" s="146"/>
      <c r="C6509" s="597"/>
      <c r="D6509" s="244"/>
      <c r="E6509" s="194"/>
      <c r="F6509" s="194"/>
      <c r="G6509" s="147"/>
      <c r="H6509" s="532"/>
      <c r="I6509" s="2055"/>
      <c r="J6509" s="416"/>
      <c r="K6509" s="35"/>
    </row>
    <row r="6510" spans="1:11" s="203" customFormat="1" ht="15">
      <c r="A6510" s="605"/>
      <c r="B6510" s="606"/>
      <c r="C6510" s="597"/>
      <c r="D6510" s="244"/>
      <c r="E6510" s="607"/>
      <c r="F6510" s="608"/>
      <c r="G6510" s="1998"/>
      <c r="H6510" s="532"/>
      <c r="I6510" s="2055"/>
      <c r="J6510" s="416"/>
      <c r="K6510" s="35"/>
    </row>
    <row r="6511" spans="1:11" s="203" customFormat="1">
      <c r="A6511" s="194"/>
      <c r="B6511" s="2175" t="s">
        <v>12764</v>
      </c>
      <c r="C6511" s="34"/>
      <c r="D6511" s="244"/>
      <c r="E6511" s="194"/>
      <c r="F6511" s="194"/>
      <c r="G6511" s="147"/>
      <c r="H6511" s="532"/>
      <c r="I6511" s="2055"/>
      <c r="J6511" s="416"/>
      <c r="K6511" s="35"/>
    </row>
    <row r="6512" spans="1:11" s="203" customFormat="1">
      <c r="A6512" s="194"/>
      <c r="B6512" s="146"/>
      <c r="C6512" s="597"/>
      <c r="D6512" s="244"/>
      <c r="E6512" s="194"/>
      <c r="F6512" s="194"/>
      <c r="G6512" s="147"/>
      <c r="H6512" s="532"/>
      <c r="I6512" s="2055"/>
      <c r="J6512" s="416"/>
      <c r="K6512" s="35"/>
    </row>
    <row r="6513" spans="1:11" s="203" customFormat="1">
      <c r="A6513" s="603"/>
      <c r="B6513" s="619" t="s">
        <v>12765</v>
      </c>
      <c r="C6513" s="597">
        <v>556</v>
      </c>
      <c r="D6513" s="244">
        <f t="shared" ref="D6513:D6525" si="961">C6513*(1-VLOOKUP(I6513,descuentos,6,FALSE))*fcl/IF(dol_sol="dólar", TC,1)</f>
        <v>146.67844298507464</v>
      </c>
      <c r="E6513" s="232">
        <v>15</v>
      </c>
      <c r="F6513" s="24">
        <f t="shared" ref="F6513:F6525" si="962">D6513+E6513</f>
        <v>161.67844298507464</v>
      </c>
      <c r="G6513" s="338" t="s">
        <v>12766</v>
      </c>
      <c r="H6513" s="532" t="str">
        <f>B6513</f>
        <v>3RW3013-1BB14</v>
      </c>
      <c r="I6513" s="2055" t="s">
        <v>11053</v>
      </c>
      <c r="J6513" s="416" t="s">
        <v>1970</v>
      </c>
      <c r="K6513" s="35" t="s">
        <v>741</v>
      </c>
    </row>
    <row r="6514" spans="1:11" s="203" customFormat="1">
      <c r="A6514" s="603"/>
      <c r="B6514" s="619" t="s">
        <v>12767</v>
      </c>
      <c r="C6514" s="597">
        <v>656</v>
      </c>
      <c r="D6514" s="244">
        <f t="shared" si="961"/>
        <v>173.05945791044772</v>
      </c>
      <c r="E6514" s="232">
        <v>15</v>
      </c>
      <c r="F6514" s="24">
        <f t="shared" si="962"/>
        <v>188.05945791044772</v>
      </c>
      <c r="G6514" s="338" t="s">
        <v>12768</v>
      </c>
      <c r="H6514" s="532" t="str">
        <f t="shared" ref="H6514:H6525" si="963">B6514</f>
        <v>3RW3014-1BB14</v>
      </c>
      <c r="I6514" s="2055" t="s">
        <v>11053</v>
      </c>
      <c r="J6514" s="416" t="s">
        <v>1970</v>
      </c>
      <c r="K6514" s="35" t="s">
        <v>741</v>
      </c>
    </row>
    <row r="6515" spans="1:11" s="203" customFormat="1">
      <c r="A6515" s="603"/>
      <c r="B6515" s="619" t="s">
        <v>12769</v>
      </c>
      <c r="C6515" s="597">
        <v>754</v>
      </c>
      <c r="D6515" s="244">
        <f t="shared" si="961"/>
        <v>198.9128525373134</v>
      </c>
      <c r="E6515" s="232">
        <v>15</v>
      </c>
      <c r="F6515" s="24">
        <f t="shared" si="962"/>
        <v>213.9128525373134</v>
      </c>
      <c r="G6515" s="338" t="s">
        <v>12770</v>
      </c>
      <c r="H6515" s="532" t="str">
        <f t="shared" si="963"/>
        <v>3RW3016-1BB14</v>
      </c>
      <c r="I6515" s="2055" t="s">
        <v>11053</v>
      </c>
      <c r="J6515" s="416" t="s">
        <v>1970</v>
      </c>
      <c r="K6515" s="35" t="s">
        <v>741</v>
      </c>
    </row>
    <row r="6516" spans="1:11" s="203" customFormat="1">
      <c r="A6516" s="603"/>
      <c r="B6516" s="619" t="s">
        <v>12771</v>
      </c>
      <c r="C6516" s="597">
        <v>845</v>
      </c>
      <c r="D6516" s="244">
        <f t="shared" si="961"/>
        <v>222.91957611940296</v>
      </c>
      <c r="E6516" s="232">
        <v>15</v>
      </c>
      <c r="F6516" s="24">
        <f t="shared" si="962"/>
        <v>237.91957611940296</v>
      </c>
      <c r="G6516" s="338" t="s">
        <v>12772</v>
      </c>
      <c r="H6516" s="532" t="str">
        <f t="shared" si="963"/>
        <v>3RW3017-1BB14</v>
      </c>
      <c r="I6516" s="2055" t="s">
        <v>11053</v>
      </c>
      <c r="J6516" s="416" t="s">
        <v>1970</v>
      </c>
      <c r="K6516" s="35" t="s">
        <v>741</v>
      </c>
    </row>
    <row r="6517" spans="1:11" s="203" customFormat="1">
      <c r="A6517" s="603"/>
      <c r="B6517" s="619" t="s">
        <v>12773</v>
      </c>
      <c r="C6517" s="597">
        <v>976</v>
      </c>
      <c r="D6517" s="244">
        <f t="shared" si="961"/>
        <v>257.47870567164176</v>
      </c>
      <c r="E6517" s="232">
        <v>15</v>
      </c>
      <c r="F6517" s="24">
        <f t="shared" si="962"/>
        <v>272.47870567164176</v>
      </c>
      <c r="G6517" s="338" t="s">
        <v>12774</v>
      </c>
      <c r="H6517" s="532" t="str">
        <f t="shared" si="963"/>
        <v>3RW3018-1BB14</v>
      </c>
      <c r="I6517" s="2055" t="s">
        <v>11053</v>
      </c>
      <c r="J6517" s="416" t="s">
        <v>1970</v>
      </c>
      <c r="K6517" s="35" t="s">
        <v>741</v>
      </c>
    </row>
    <row r="6518" spans="1:11" s="203" customFormat="1">
      <c r="A6518" s="603"/>
      <c r="B6518" s="619" t="s">
        <v>12775</v>
      </c>
      <c r="C6518" s="597">
        <v>1132</v>
      </c>
      <c r="D6518" s="244">
        <f t="shared" si="961"/>
        <v>298.63308895522385</v>
      </c>
      <c r="E6518" s="232">
        <v>15</v>
      </c>
      <c r="F6518" s="24">
        <f t="shared" si="962"/>
        <v>313.63308895522385</v>
      </c>
      <c r="G6518" s="338" t="s">
        <v>12776</v>
      </c>
      <c r="H6518" s="532" t="str">
        <f t="shared" si="963"/>
        <v>3RW3026-1BB14</v>
      </c>
      <c r="I6518" s="2055" t="s">
        <v>11053</v>
      </c>
      <c r="J6518" s="416" t="s">
        <v>1970</v>
      </c>
      <c r="K6518" s="35" t="s">
        <v>741</v>
      </c>
    </row>
    <row r="6519" spans="1:11" s="203" customFormat="1">
      <c r="A6519" s="603"/>
      <c r="B6519" s="619" t="s">
        <v>12777</v>
      </c>
      <c r="C6519" s="597">
        <v>1321</v>
      </c>
      <c r="D6519" s="244">
        <f t="shared" si="961"/>
        <v>348.49320716417913</v>
      </c>
      <c r="E6519" s="232">
        <v>30</v>
      </c>
      <c r="F6519" s="24">
        <f t="shared" si="962"/>
        <v>378.49320716417913</v>
      </c>
      <c r="G6519" s="338" t="s">
        <v>12778</v>
      </c>
      <c r="H6519" s="532" t="str">
        <f t="shared" si="963"/>
        <v>3RW3027-1BB14</v>
      </c>
      <c r="I6519" s="2055" t="s">
        <v>11053</v>
      </c>
      <c r="J6519" s="416" t="s">
        <v>1970</v>
      </c>
      <c r="K6519" s="35" t="s">
        <v>741</v>
      </c>
    </row>
    <row r="6520" spans="1:11" s="203" customFormat="1">
      <c r="A6520" s="603"/>
      <c r="B6520" s="619" t="s">
        <v>12779</v>
      </c>
      <c r="C6520" s="597">
        <v>1631</v>
      </c>
      <c r="D6520" s="244">
        <f t="shared" si="961"/>
        <v>430.27435343283577</v>
      </c>
      <c r="E6520" s="232">
        <v>30</v>
      </c>
      <c r="F6520" s="24">
        <f t="shared" si="962"/>
        <v>460.27435343283577</v>
      </c>
      <c r="G6520" s="338" t="s">
        <v>12780</v>
      </c>
      <c r="H6520" s="532" t="str">
        <f t="shared" si="963"/>
        <v>3RW3028-1BB14</v>
      </c>
      <c r="I6520" s="2055" t="s">
        <v>11053</v>
      </c>
      <c r="J6520" s="416" t="s">
        <v>1970</v>
      </c>
      <c r="K6520" s="35" t="s">
        <v>741</v>
      </c>
    </row>
    <row r="6521" spans="1:11" s="203" customFormat="1">
      <c r="A6521" s="603"/>
      <c r="B6521" s="619" t="s">
        <v>12781</v>
      </c>
      <c r="C6521" s="597">
        <v>2209</v>
      </c>
      <c r="D6521" s="244">
        <f t="shared" si="961"/>
        <v>582.75661970149247</v>
      </c>
      <c r="E6521" s="232">
        <v>40</v>
      </c>
      <c r="F6521" s="24">
        <f t="shared" si="962"/>
        <v>622.75661970149247</v>
      </c>
      <c r="G6521" s="338" t="s">
        <v>12782</v>
      </c>
      <c r="H6521" s="532" t="str">
        <f t="shared" si="963"/>
        <v>3RW3036-1BB14</v>
      </c>
      <c r="I6521" s="2055" t="s">
        <v>11053</v>
      </c>
      <c r="J6521" s="416" t="s">
        <v>1970</v>
      </c>
      <c r="K6521" s="35" t="s">
        <v>741</v>
      </c>
    </row>
    <row r="6522" spans="1:11" s="203" customFormat="1">
      <c r="A6522" s="603"/>
      <c r="B6522" s="619" t="s">
        <v>12783</v>
      </c>
      <c r="C6522" s="597">
        <v>2449</v>
      </c>
      <c r="D6522" s="244">
        <f t="shared" si="961"/>
        <v>646.07105552238806</v>
      </c>
      <c r="E6522" s="232">
        <v>40</v>
      </c>
      <c r="F6522" s="24">
        <f t="shared" si="962"/>
        <v>686.07105552238806</v>
      </c>
      <c r="G6522" s="338" t="s">
        <v>12784</v>
      </c>
      <c r="H6522" s="532" t="str">
        <f t="shared" si="963"/>
        <v>3RW3037-1BB14</v>
      </c>
      <c r="I6522" s="2055" t="s">
        <v>11053</v>
      </c>
      <c r="J6522" s="416" t="s">
        <v>1970</v>
      </c>
      <c r="K6522" s="35" t="s">
        <v>741</v>
      </c>
    </row>
    <row r="6523" spans="1:11" s="203" customFormat="1">
      <c r="A6523" s="603"/>
      <c r="B6523" s="619" t="s">
        <v>12785</v>
      </c>
      <c r="C6523" s="597">
        <v>2891</v>
      </c>
      <c r="D6523" s="244">
        <f t="shared" si="961"/>
        <v>762.67514149253736</v>
      </c>
      <c r="E6523" s="232">
        <v>40</v>
      </c>
      <c r="F6523" s="24">
        <f t="shared" si="962"/>
        <v>802.67514149253736</v>
      </c>
      <c r="G6523" s="338" t="s">
        <v>12786</v>
      </c>
      <c r="H6523" s="532" t="str">
        <f t="shared" si="963"/>
        <v>3RW3038-1BB14</v>
      </c>
      <c r="I6523" s="2055" t="s">
        <v>11053</v>
      </c>
      <c r="J6523" s="416" t="s">
        <v>1970</v>
      </c>
      <c r="K6523" s="35" t="s">
        <v>741</v>
      </c>
    </row>
    <row r="6524" spans="1:11" s="203" customFormat="1">
      <c r="A6524" s="603"/>
      <c r="B6524" s="619" t="s">
        <v>12787</v>
      </c>
      <c r="C6524" s="597">
        <v>3330</v>
      </c>
      <c r="D6524" s="244">
        <f t="shared" si="961"/>
        <v>878.48779701492526</v>
      </c>
      <c r="E6524" s="232">
        <v>40</v>
      </c>
      <c r="F6524" s="24">
        <f t="shared" si="962"/>
        <v>918.48779701492526</v>
      </c>
      <c r="G6524" s="338" t="s">
        <v>12788</v>
      </c>
      <c r="H6524" s="532" t="str">
        <f t="shared" si="963"/>
        <v>3RW3046-1BB14</v>
      </c>
      <c r="I6524" s="2055" t="s">
        <v>11053</v>
      </c>
      <c r="J6524" s="416" t="s">
        <v>1970</v>
      </c>
      <c r="K6524" s="35" t="s">
        <v>741</v>
      </c>
    </row>
    <row r="6525" spans="1:11" s="203" customFormat="1">
      <c r="A6525" s="603"/>
      <c r="B6525" s="619" t="s">
        <v>12789</v>
      </c>
      <c r="C6525" s="597">
        <v>3683</v>
      </c>
      <c r="D6525" s="244">
        <f t="shared" si="961"/>
        <v>971.6127797014924</v>
      </c>
      <c r="E6525" s="232">
        <v>40</v>
      </c>
      <c r="F6525" s="24">
        <f t="shared" si="962"/>
        <v>1011.6127797014924</v>
      </c>
      <c r="G6525" s="338" t="s">
        <v>12790</v>
      </c>
      <c r="H6525" s="532" t="str">
        <f t="shared" si="963"/>
        <v>3RW3047-1BB14</v>
      </c>
      <c r="I6525" s="2055" t="s">
        <v>11053</v>
      </c>
      <c r="J6525" s="416" t="s">
        <v>1970</v>
      </c>
      <c r="K6525" s="35" t="s">
        <v>741</v>
      </c>
    </row>
    <row r="6526" spans="1:11" s="203" customFormat="1">
      <c r="A6526" s="194"/>
      <c r="B6526" s="146"/>
      <c r="C6526" s="597"/>
      <c r="D6526" s="244"/>
      <c r="E6526" s="194"/>
      <c r="F6526" s="194"/>
      <c r="G6526" s="147"/>
      <c r="H6526" s="532"/>
      <c r="I6526" s="2055"/>
      <c r="J6526" s="416"/>
      <c r="K6526" s="35"/>
    </row>
    <row r="6527" spans="1:11" s="203" customFormat="1">
      <c r="A6527" s="194"/>
      <c r="B6527" s="2175" t="s">
        <v>12791</v>
      </c>
      <c r="C6527" s="597"/>
      <c r="D6527" s="244"/>
      <c r="E6527" s="194"/>
      <c r="F6527" s="194"/>
      <c r="G6527" s="147"/>
      <c r="H6527" s="532"/>
      <c r="I6527" s="2055"/>
      <c r="J6527" s="416"/>
      <c r="K6527" s="35"/>
    </row>
    <row r="6528" spans="1:11" s="203" customFormat="1">
      <c r="A6528" s="194"/>
      <c r="B6528" s="146"/>
      <c r="C6528" s="597"/>
      <c r="D6528" s="244"/>
      <c r="E6528" s="194"/>
      <c r="F6528" s="194"/>
      <c r="G6528" s="147"/>
      <c r="H6528" s="532"/>
      <c r="I6528" s="2055"/>
      <c r="J6528" s="416"/>
      <c r="K6528" s="35"/>
    </row>
    <row r="6529" spans="1:11" s="203" customFormat="1">
      <c r="A6529" s="603"/>
      <c r="B6529" s="619" t="s">
        <v>12792</v>
      </c>
      <c r="C6529" s="597">
        <v>1562</v>
      </c>
      <c r="D6529" s="244">
        <f t="shared" ref="D6529:D6543" si="964">C6529*(1-VLOOKUP(I6529,descuentos,6,FALSE))*fcl/IF(dol_sol="dólar", TC,1)</f>
        <v>412.07145313432835</v>
      </c>
      <c r="E6529" s="232">
        <v>15</v>
      </c>
      <c r="F6529" s="24">
        <f t="shared" ref="F6529:F6543" si="965">D6529+E6529</f>
        <v>427.07145313432835</v>
      </c>
      <c r="G6529" s="338" t="s">
        <v>12793</v>
      </c>
      <c r="H6529" s="532" t="str">
        <f t="shared" ref="H6529:H6543" si="966">B6529</f>
        <v>3RW4024-1BB14</v>
      </c>
      <c r="I6529" s="2055" t="s">
        <v>11053</v>
      </c>
      <c r="J6529" s="416" t="s">
        <v>1970</v>
      </c>
      <c r="K6529" s="35" t="s">
        <v>741</v>
      </c>
    </row>
    <row r="6530" spans="1:11" s="203" customFormat="1">
      <c r="A6530" s="603"/>
      <c r="B6530" s="619" t="s">
        <v>12794</v>
      </c>
      <c r="C6530" s="597">
        <v>1843</v>
      </c>
      <c r="D6530" s="244">
        <f t="shared" si="964"/>
        <v>486.20210507462684</v>
      </c>
      <c r="E6530" s="232">
        <v>15</v>
      </c>
      <c r="F6530" s="24">
        <f t="shared" si="965"/>
        <v>501.20210507462684</v>
      </c>
      <c r="G6530" s="338" t="s">
        <v>12795</v>
      </c>
      <c r="H6530" s="532" t="str">
        <f t="shared" si="966"/>
        <v>3RW4026-1BB14</v>
      </c>
      <c r="I6530" s="2055" t="s">
        <v>11053</v>
      </c>
      <c r="J6530" s="416" t="s">
        <v>1970</v>
      </c>
      <c r="K6530" s="35" t="s">
        <v>741</v>
      </c>
    </row>
    <row r="6531" spans="1:11" s="203" customFormat="1">
      <c r="A6531" s="603"/>
      <c r="B6531" s="619" t="s">
        <v>12796</v>
      </c>
      <c r="C6531" s="597">
        <v>2192</v>
      </c>
      <c r="D6531" s="244">
        <f t="shared" si="964"/>
        <v>578.27184716417901</v>
      </c>
      <c r="E6531" s="232">
        <v>15</v>
      </c>
      <c r="F6531" s="24">
        <f t="shared" si="965"/>
        <v>593.27184716417901</v>
      </c>
      <c r="G6531" s="338" t="s">
        <v>12797</v>
      </c>
      <c r="H6531" s="532" t="str">
        <f t="shared" si="966"/>
        <v>3RW4027-1BB14</v>
      </c>
      <c r="I6531" s="2055" t="s">
        <v>11053</v>
      </c>
      <c r="J6531" s="416" t="s">
        <v>1970</v>
      </c>
      <c r="K6531" s="35" t="s">
        <v>741</v>
      </c>
    </row>
    <row r="6532" spans="1:11" s="203" customFormat="1">
      <c r="A6532" s="603"/>
      <c r="B6532" s="619" t="s">
        <v>12798</v>
      </c>
      <c r="C6532" s="597">
        <v>2624</v>
      </c>
      <c r="D6532" s="244">
        <f t="shared" si="964"/>
        <v>692.23783164179088</v>
      </c>
      <c r="E6532" s="232">
        <v>15</v>
      </c>
      <c r="F6532" s="24">
        <f t="shared" si="965"/>
        <v>707.23783164179088</v>
      </c>
      <c r="G6532" s="338" t="s">
        <v>12799</v>
      </c>
      <c r="H6532" s="532" t="str">
        <f t="shared" si="966"/>
        <v>3RW4028-1BB14</v>
      </c>
      <c r="I6532" s="2055" t="s">
        <v>11053</v>
      </c>
      <c r="J6532" s="416" t="s">
        <v>1970</v>
      </c>
      <c r="K6532" s="35" t="s">
        <v>741</v>
      </c>
    </row>
    <row r="6533" spans="1:11" s="203" customFormat="1">
      <c r="A6533" s="603"/>
      <c r="B6533" s="619" t="s">
        <v>12800</v>
      </c>
      <c r="C6533" s="597">
        <v>3132</v>
      </c>
      <c r="D6533" s="244">
        <f t="shared" si="964"/>
        <v>826.25338746268653</v>
      </c>
      <c r="E6533" s="232">
        <v>15</v>
      </c>
      <c r="F6533" s="24">
        <f t="shared" si="965"/>
        <v>841.25338746268653</v>
      </c>
      <c r="G6533" s="338" t="s">
        <v>12801</v>
      </c>
      <c r="H6533" s="532" t="str">
        <f t="shared" si="966"/>
        <v>3RW4036-1BB14</v>
      </c>
      <c r="I6533" s="2055" t="s">
        <v>11053</v>
      </c>
      <c r="J6533" s="416" t="s">
        <v>1970</v>
      </c>
      <c r="K6533" s="35" t="s">
        <v>741</v>
      </c>
    </row>
    <row r="6534" spans="1:11" s="203" customFormat="1">
      <c r="A6534" s="603"/>
      <c r="B6534" s="619" t="s">
        <v>12802</v>
      </c>
      <c r="C6534" s="597">
        <v>3717</v>
      </c>
      <c r="D6534" s="244">
        <f t="shared" si="964"/>
        <v>980.58232477611932</v>
      </c>
      <c r="E6534" s="232">
        <v>15</v>
      </c>
      <c r="F6534" s="24">
        <f t="shared" si="965"/>
        <v>995.58232477611932</v>
      </c>
      <c r="G6534" s="338" t="s">
        <v>12803</v>
      </c>
      <c r="H6534" s="532" t="str">
        <f t="shared" si="966"/>
        <v>3RW4037-1BB14</v>
      </c>
      <c r="I6534" s="2055" t="s">
        <v>11053</v>
      </c>
      <c r="J6534" s="416" t="s">
        <v>1970</v>
      </c>
      <c r="K6534" s="35" t="s">
        <v>741</v>
      </c>
    </row>
    <row r="6535" spans="1:11" s="203" customFormat="1">
      <c r="A6535" s="603"/>
      <c r="B6535" s="619" t="s">
        <v>12804</v>
      </c>
      <c r="C6535" s="597">
        <v>4308</v>
      </c>
      <c r="D6535" s="244">
        <f t="shared" si="964"/>
        <v>1136.4941229850745</v>
      </c>
      <c r="E6535" s="232">
        <v>30</v>
      </c>
      <c r="F6535" s="24">
        <f t="shared" si="965"/>
        <v>1166.4941229850745</v>
      </c>
      <c r="G6535" s="338" t="s">
        <v>12805</v>
      </c>
      <c r="H6535" s="532" t="str">
        <f t="shared" si="966"/>
        <v>3RW4038-1BB14</v>
      </c>
      <c r="I6535" s="2055" t="s">
        <v>11053</v>
      </c>
      <c r="J6535" s="416" t="s">
        <v>1970</v>
      </c>
      <c r="K6535" s="35" t="s">
        <v>741</v>
      </c>
    </row>
    <row r="6536" spans="1:11" s="203" customFormat="1">
      <c r="A6536" s="603"/>
      <c r="B6536" s="619" t="s">
        <v>12806</v>
      </c>
      <c r="C6536" s="597">
        <v>4856</v>
      </c>
      <c r="D6536" s="244">
        <f t="shared" si="964"/>
        <v>1281.0620847761195</v>
      </c>
      <c r="E6536" s="232">
        <v>30</v>
      </c>
      <c r="F6536" s="24">
        <f t="shared" si="965"/>
        <v>1311.0620847761195</v>
      </c>
      <c r="G6536" s="338" t="s">
        <v>12807</v>
      </c>
      <c r="H6536" s="532" t="str">
        <f t="shared" si="966"/>
        <v>3RW4046-1BB14</v>
      </c>
      <c r="I6536" s="2055" t="s">
        <v>11053</v>
      </c>
      <c r="J6536" s="416" t="s">
        <v>1970</v>
      </c>
      <c r="K6536" s="35" t="s">
        <v>741</v>
      </c>
    </row>
    <row r="6537" spans="1:11" s="203" customFormat="1">
      <c r="A6537" s="603"/>
      <c r="B6537" s="619" t="s">
        <v>12808</v>
      </c>
      <c r="C6537" s="597">
        <v>5288</v>
      </c>
      <c r="D6537" s="244">
        <f t="shared" si="964"/>
        <v>1395.0280692537312</v>
      </c>
      <c r="E6537" s="232">
        <v>40</v>
      </c>
      <c r="F6537" s="24">
        <f t="shared" si="965"/>
        <v>1435.0280692537312</v>
      </c>
      <c r="G6537" s="338" t="s">
        <v>12809</v>
      </c>
      <c r="H6537" s="532" t="str">
        <f t="shared" si="966"/>
        <v>3RW4047-1BB14</v>
      </c>
      <c r="I6537" s="2055" t="s">
        <v>11053</v>
      </c>
      <c r="J6537" s="416" t="s">
        <v>1970</v>
      </c>
      <c r="K6537" s="35" t="s">
        <v>741</v>
      </c>
    </row>
    <row r="6538" spans="1:11" s="203" customFormat="1">
      <c r="A6538" s="603"/>
      <c r="B6538" s="619" t="s">
        <v>12810</v>
      </c>
      <c r="C6538" s="597">
        <v>6008</v>
      </c>
      <c r="D6538" s="244">
        <f t="shared" si="964"/>
        <v>1584.9713767164176</v>
      </c>
      <c r="E6538" s="232">
        <v>40</v>
      </c>
      <c r="F6538" s="24">
        <f t="shared" si="965"/>
        <v>1624.9713767164176</v>
      </c>
      <c r="G6538" s="338" t="s">
        <v>12811</v>
      </c>
      <c r="H6538" s="532" t="str">
        <f t="shared" si="966"/>
        <v>3RW4055-6BB44</v>
      </c>
      <c r="I6538" s="2055" t="s">
        <v>11053</v>
      </c>
      <c r="J6538" s="416" t="s">
        <v>1970</v>
      </c>
      <c r="K6538" s="35" t="s">
        <v>741</v>
      </c>
    </row>
    <row r="6539" spans="1:11" s="203" customFormat="1">
      <c r="A6539" s="603"/>
      <c r="B6539" s="619" t="s">
        <v>12812</v>
      </c>
      <c r="C6539" s="597">
        <v>7463</v>
      </c>
      <c r="D6539" s="244">
        <f t="shared" si="964"/>
        <v>1968.8151438805969</v>
      </c>
      <c r="E6539" s="232">
        <v>40</v>
      </c>
      <c r="F6539" s="24">
        <f t="shared" si="965"/>
        <v>2008.8151438805969</v>
      </c>
      <c r="G6539" s="338" t="s">
        <v>12813</v>
      </c>
      <c r="H6539" s="532" t="str">
        <f t="shared" si="966"/>
        <v>3RW4056-6BB44</v>
      </c>
      <c r="I6539" s="2055" t="s">
        <v>11053</v>
      </c>
      <c r="J6539" s="416" t="s">
        <v>1970</v>
      </c>
      <c r="K6539" s="35" t="s">
        <v>741</v>
      </c>
    </row>
    <row r="6540" spans="1:11" s="203" customFormat="1">
      <c r="A6540" s="603"/>
      <c r="B6540" s="619" t="s">
        <v>12814</v>
      </c>
      <c r="C6540" s="597">
        <v>8367</v>
      </c>
      <c r="D6540" s="244">
        <f t="shared" si="964"/>
        <v>2207.2995188059699</v>
      </c>
      <c r="E6540" s="232">
        <v>40</v>
      </c>
      <c r="F6540" s="24">
        <f t="shared" si="965"/>
        <v>2247.2995188059699</v>
      </c>
      <c r="G6540" s="338" t="s">
        <v>12815</v>
      </c>
      <c r="H6540" s="532" t="str">
        <f t="shared" si="966"/>
        <v>3RW4073-6BB44</v>
      </c>
      <c r="I6540" s="2055" t="s">
        <v>11053</v>
      </c>
      <c r="J6540" s="416" t="s">
        <v>1970</v>
      </c>
      <c r="K6540" s="35" t="s">
        <v>741</v>
      </c>
    </row>
    <row r="6541" spans="1:11" s="203" customFormat="1">
      <c r="A6541" s="603"/>
      <c r="B6541" s="619" t="s">
        <v>12816</v>
      </c>
      <c r="C6541" s="597">
        <v>9406</v>
      </c>
      <c r="D6541" s="244">
        <f t="shared" si="964"/>
        <v>2481.3982638805969</v>
      </c>
      <c r="E6541" s="232">
        <v>40</v>
      </c>
      <c r="F6541" s="24">
        <f t="shared" si="965"/>
        <v>2521.3982638805969</v>
      </c>
      <c r="G6541" s="338" t="s">
        <v>12817</v>
      </c>
      <c r="H6541" s="532" t="str">
        <f t="shared" si="966"/>
        <v>3RW4074-6BB44</v>
      </c>
      <c r="I6541" s="2055" t="s">
        <v>11053</v>
      </c>
      <c r="J6541" s="416" t="s">
        <v>1970</v>
      </c>
      <c r="K6541" s="35" t="s">
        <v>741</v>
      </c>
    </row>
    <row r="6542" spans="1:11" s="203" customFormat="1">
      <c r="A6542" s="603"/>
      <c r="B6542" s="619" t="s">
        <v>12818</v>
      </c>
      <c r="C6542" s="597">
        <v>11004</v>
      </c>
      <c r="D6542" s="244">
        <f t="shared" si="964"/>
        <v>2902.9668823880593</v>
      </c>
      <c r="E6542" s="170">
        <v>50</v>
      </c>
      <c r="F6542" s="24">
        <f t="shared" si="965"/>
        <v>2952.9668823880593</v>
      </c>
      <c r="G6542" s="338" t="s">
        <v>12819</v>
      </c>
      <c r="H6542" s="532" t="str">
        <f t="shared" si="966"/>
        <v>3RW4075-6BB44</v>
      </c>
      <c r="I6542" s="2055" t="s">
        <v>11053</v>
      </c>
      <c r="J6542" s="416" t="s">
        <v>1970</v>
      </c>
      <c r="K6542" s="35" t="s">
        <v>741</v>
      </c>
    </row>
    <row r="6543" spans="1:11" s="203" customFormat="1">
      <c r="A6543" s="603"/>
      <c r="B6543" s="619" t="s">
        <v>12820</v>
      </c>
      <c r="C6543" s="597">
        <v>14375</v>
      </c>
      <c r="D6543" s="244">
        <f t="shared" si="964"/>
        <v>3792.2708955223879</v>
      </c>
      <c r="E6543" s="170">
        <v>50</v>
      </c>
      <c r="F6543" s="24">
        <f t="shared" si="965"/>
        <v>3842.2708955223879</v>
      </c>
      <c r="G6543" s="338" t="s">
        <v>12821</v>
      </c>
      <c r="H6543" s="532" t="str">
        <f t="shared" si="966"/>
        <v>3RW4076-6BB44</v>
      </c>
      <c r="I6543" s="2055" t="s">
        <v>11053</v>
      </c>
      <c r="J6543" s="416" t="s">
        <v>1970</v>
      </c>
      <c r="K6543" s="35" t="s">
        <v>741</v>
      </c>
    </row>
    <row r="6544" spans="1:11" s="203" customFormat="1" ht="12" customHeight="1">
      <c r="A6544" s="603"/>
      <c r="B6544" s="619"/>
      <c r="C6544" s="597"/>
      <c r="D6544" s="244"/>
      <c r="E6544" s="170"/>
      <c r="F6544" s="24"/>
      <c r="G6544" s="338"/>
      <c r="H6544" s="532"/>
      <c r="I6544" s="2055"/>
      <c r="J6544" s="416"/>
      <c r="K6544" s="35"/>
    </row>
    <row r="6545" spans="1:11" s="203" customFormat="1" ht="15">
      <c r="A6545" s="605"/>
      <c r="B6545" s="606"/>
      <c r="C6545" s="597"/>
      <c r="D6545" s="244"/>
      <c r="E6545" s="607"/>
      <c r="F6545" s="608"/>
      <c r="G6545" s="1998"/>
      <c r="H6545" s="532"/>
      <c r="I6545" s="2055"/>
      <c r="J6545" s="416"/>
      <c r="K6545" s="35"/>
    </row>
    <row r="6546" spans="1:11" s="203" customFormat="1">
      <c r="A6546" s="194"/>
      <c r="B6546" s="34" t="s">
        <v>11776</v>
      </c>
      <c r="C6546" s="34"/>
      <c r="D6546" s="244"/>
      <c r="E6546" s="194"/>
      <c r="F6546" s="194"/>
      <c r="G6546" s="147"/>
      <c r="H6546" s="532"/>
      <c r="I6546" s="2055"/>
      <c r="J6546" s="416"/>
      <c r="K6546" s="35"/>
    </row>
    <row r="6547" spans="1:11" s="203" customFormat="1">
      <c r="A6547" s="194"/>
      <c r="B6547" s="146"/>
      <c r="C6547" s="597"/>
      <c r="D6547" s="244"/>
      <c r="E6547" s="194"/>
      <c r="F6547" s="194"/>
      <c r="G6547" s="147"/>
      <c r="H6547" s="532"/>
      <c r="I6547" s="2055"/>
      <c r="J6547" s="416"/>
      <c r="K6547" s="35"/>
    </row>
    <row r="6548" spans="1:11" s="203" customFormat="1">
      <c r="A6548" s="603"/>
      <c r="B6548" t="s">
        <v>11777</v>
      </c>
      <c r="C6548" s="597">
        <v>130</v>
      </c>
      <c r="D6548" s="244">
        <f t="shared" ref="D6548" si="967">C6548*(1-VLOOKUP(I6548,descuentos,6,FALSE))*fcl/IF(dol_sol="dólar", TC,1)</f>
        <v>34.295319402985079</v>
      </c>
      <c r="E6548" s="170">
        <v>3</v>
      </c>
      <c r="F6548" s="24">
        <f t="shared" ref="F6548:F6549" si="968">D6548+E6548</f>
        <v>37.295319402985079</v>
      </c>
      <c r="G6548" s="338" t="s">
        <v>11778</v>
      </c>
      <c r="H6548" t="s">
        <v>11777</v>
      </c>
      <c r="I6548" s="2055" t="s">
        <v>11053</v>
      </c>
      <c r="J6548" s="416" t="s">
        <v>1970</v>
      </c>
      <c r="K6548" s="35" t="s">
        <v>741</v>
      </c>
    </row>
    <row r="6549" spans="1:11" s="203" customFormat="1">
      <c r="A6549" s="603"/>
      <c r="B6549" t="s">
        <v>12397</v>
      </c>
      <c r="C6549" s="597">
        <v>169</v>
      </c>
      <c r="D6549" s="244">
        <f t="shared" ref="D6549" si="969">C6549*(1-VLOOKUP(I6549,descuentos,6,FALSE))*fcl/IF(dol_sol="dólar", TC,1)</f>
        <v>44.583915223880595</v>
      </c>
      <c r="E6549" s="170">
        <v>3</v>
      </c>
      <c r="F6549" s="24">
        <f t="shared" si="968"/>
        <v>47.583915223880595</v>
      </c>
      <c r="G6549" s="338" t="s">
        <v>12398</v>
      </c>
      <c r="H6549" t="s">
        <v>12397</v>
      </c>
      <c r="I6549" s="2055" t="s">
        <v>11053</v>
      </c>
      <c r="J6549" s="416" t="s">
        <v>1970</v>
      </c>
      <c r="K6549" s="35" t="s">
        <v>741</v>
      </c>
    </row>
    <row r="6550" spans="1:11" s="106" customFormat="1">
      <c r="A6550" s="195"/>
      <c r="C6550" s="618"/>
      <c r="D6550" s="244"/>
      <c r="E6550" s="1800"/>
      <c r="F6550" s="465"/>
      <c r="G6550" s="338"/>
      <c r="I6550" s="2179"/>
      <c r="J6550" s="347"/>
      <c r="K6550" s="195"/>
    </row>
    <row r="6551" spans="1:11" s="203" customFormat="1">
      <c r="A6551" s="2377"/>
      <c r="B6551" s="20" t="s">
        <v>14054</v>
      </c>
      <c r="C6551" s="597">
        <v>102</v>
      </c>
      <c r="D6551" s="244">
        <f t="shared" ref="D6551:D6552" si="970">C6551*(1-VLOOKUP(I6551,descuentos,6,FALSE))*fcl/IF(dol_sol="dólar", TC,1)</f>
        <v>26.908635223880598</v>
      </c>
      <c r="E6551" s="170">
        <v>3</v>
      </c>
      <c r="F6551" s="24">
        <f t="shared" ref="F6551:F6553" si="971">D6551+E6551</f>
        <v>29.908635223880598</v>
      </c>
      <c r="G6551" s="338" t="s">
        <v>14055</v>
      </c>
      <c r="H6551" s="20" t="s">
        <v>14054</v>
      </c>
      <c r="I6551" s="2055" t="s">
        <v>11053</v>
      </c>
      <c r="J6551" s="416" t="s">
        <v>1970</v>
      </c>
      <c r="K6551" s="35" t="s">
        <v>741</v>
      </c>
    </row>
    <row r="6552" spans="1:11" s="203" customFormat="1">
      <c r="A6552" s="2377"/>
      <c r="B6552" s="20" t="s">
        <v>14056</v>
      </c>
      <c r="C6552" s="597">
        <v>66</v>
      </c>
      <c r="D6552" s="244">
        <f t="shared" si="970"/>
        <v>17.411469850746268</v>
      </c>
      <c r="E6552" s="170">
        <v>3</v>
      </c>
      <c r="F6552" s="24">
        <f t="shared" si="971"/>
        <v>20.411469850746268</v>
      </c>
      <c r="G6552" s="338" t="s">
        <v>14057</v>
      </c>
      <c r="H6552" s="20" t="s">
        <v>14056</v>
      </c>
      <c r="I6552" s="2055" t="s">
        <v>11053</v>
      </c>
      <c r="J6552" s="416" t="s">
        <v>1970</v>
      </c>
      <c r="K6552" s="35" t="s">
        <v>741</v>
      </c>
    </row>
    <row r="6553" spans="1:11" s="203" customFormat="1">
      <c r="A6553" s="2377"/>
      <c r="B6553" s="20" t="s">
        <v>14058</v>
      </c>
      <c r="C6553" s="597">
        <v>31</v>
      </c>
      <c r="D6553" s="244">
        <f t="shared" ref="D6553" si="972">C6553*(1-VLOOKUP(I6553,descuentos,6,FALSE))*fcl/IF(dol_sol="dólar", TC,1)</f>
        <v>8.1781146268656713</v>
      </c>
      <c r="E6553" s="170">
        <v>3</v>
      </c>
      <c r="F6553" s="24">
        <f t="shared" si="971"/>
        <v>11.178114626865671</v>
      </c>
      <c r="G6553" s="338" t="s">
        <v>14059</v>
      </c>
      <c r="H6553" s="20" t="s">
        <v>14058</v>
      </c>
      <c r="I6553" s="2055" t="s">
        <v>11053</v>
      </c>
      <c r="J6553" s="416" t="s">
        <v>1970</v>
      </c>
      <c r="K6553" s="35" t="s">
        <v>741</v>
      </c>
    </row>
    <row r="6554" spans="1:11" s="106" customFormat="1">
      <c r="A6554" s="195"/>
      <c r="C6554" s="618"/>
      <c r="D6554" s="244"/>
      <c r="E6554" s="1800"/>
      <c r="F6554" s="465"/>
      <c r="G6554" s="529"/>
      <c r="I6554" s="2179"/>
      <c r="J6554" s="347"/>
      <c r="K6554" s="195"/>
    </row>
    <row r="6555" spans="1:11" s="203" customFormat="1">
      <c r="A6555" s="194"/>
      <c r="B6555" s="146"/>
      <c r="C6555" s="597"/>
      <c r="D6555" s="244"/>
      <c r="E6555" s="194"/>
      <c r="F6555" s="194"/>
      <c r="G6555" s="338"/>
      <c r="H6555" s="532"/>
      <c r="I6555" s="2055"/>
      <c r="J6555" s="416"/>
      <c r="K6555" s="35"/>
    </row>
    <row r="6556" spans="1:11" s="203" customFormat="1">
      <c r="A6556" s="194"/>
      <c r="B6556" s="34" t="s">
        <v>11629</v>
      </c>
      <c r="C6556" s="34"/>
      <c r="D6556" s="244"/>
      <c r="E6556" s="194"/>
      <c r="F6556" s="194"/>
      <c r="G6556" s="147"/>
      <c r="H6556" s="532"/>
      <c r="I6556" s="2055"/>
      <c r="J6556" s="416"/>
      <c r="K6556" s="35"/>
    </row>
    <row r="6557" spans="1:11" s="203" customFormat="1">
      <c r="A6557" s="194"/>
      <c r="B6557" s="146"/>
      <c r="C6557" s="597"/>
      <c r="D6557" s="244"/>
      <c r="E6557" s="194"/>
      <c r="F6557" s="194"/>
      <c r="G6557" s="147"/>
      <c r="H6557" s="532"/>
      <c r="I6557" s="2055"/>
      <c r="J6557" s="416"/>
      <c r="K6557" s="35"/>
    </row>
    <row r="6558" spans="1:11" s="194" customFormat="1">
      <c r="A6558" s="421"/>
      <c r="B6558" s="150" t="s">
        <v>11630</v>
      </c>
      <c r="C6558" s="209">
        <v>740</v>
      </c>
      <c r="D6558" s="244">
        <f t="shared" ref="D6558:D6570" si="973">C6558*(1-VLOOKUP(I6558,descuentos,6,FALSE))*fcl/IF(dol_sol="dólar", TC,1)</f>
        <v>195.21951044776119</v>
      </c>
      <c r="E6558" s="228">
        <v>30</v>
      </c>
      <c r="F6558" s="585">
        <f>ROUNDUP(D6558+E6558,1)</f>
        <v>225.29999999999998</v>
      </c>
      <c r="G6558" s="338" t="s">
        <v>11631</v>
      </c>
      <c r="H6558" s="592" t="s">
        <v>11632</v>
      </c>
      <c r="I6558" s="520" t="s">
        <v>11053</v>
      </c>
      <c r="J6558" s="421" t="s">
        <v>1970</v>
      </c>
      <c r="K6558" s="520" t="s">
        <v>741</v>
      </c>
    </row>
    <row r="6559" spans="1:11" s="194" customFormat="1">
      <c r="A6559" s="421"/>
      <c r="B6559" s="150" t="s">
        <v>11633</v>
      </c>
      <c r="C6559" s="209">
        <v>758</v>
      </c>
      <c r="D6559" s="244">
        <f t="shared" si="973"/>
        <v>199.96809313432834</v>
      </c>
      <c r="E6559" s="228">
        <v>30</v>
      </c>
      <c r="F6559" s="585">
        <f>ROUNDUP(D6559+E6559,1)</f>
        <v>230</v>
      </c>
      <c r="G6559" s="338" t="s">
        <v>11634</v>
      </c>
      <c r="H6559" s="592" t="s">
        <v>11635</v>
      </c>
      <c r="I6559" s="520" t="s">
        <v>11053</v>
      </c>
      <c r="J6559" s="421" t="s">
        <v>1970</v>
      </c>
      <c r="K6559" s="520" t="s">
        <v>741</v>
      </c>
    </row>
    <row r="6560" spans="1:11" s="194" customFormat="1">
      <c r="A6560" s="421"/>
      <c r="B6560" s="150"/>
      <c r="C6560" s="209"/>
      <c r="D6560" s="244"/>
      <c r="E6560" s="228"/>
      <c r="F6560" s="585"/>
      <c r="G6560" s="338"/>
      <c r="H6560" s="592"/>
      <c r="I6560" s="520"/>
      <c r="J6560" s="421"/>
      <c r="K6560" s="520"/>
    </row>
    <row r="6561" spans="1:11" s="194" customFormat="1">
      <c r="A6561" s="421"/>
      <c r="B6561" s="150" t="s">
        <v>1971</v>
      </c>
      <c r="C6561" s="209">
        <v>399</v>
      </c>
      <c r="D6561" s="244">
        <f t="shared" si="973"/>
        <v>105.26024955223879</v>
      </c>
      <c r="E6561" s="228">
        <v>20</v>
      </c>
      <c r="F6561" s="585">
        <f>ROUNDUP(D6561+E6561,1)</f>
        <v>125.3</v>
      </c>
      <c r="G6561" s="338" t="s">
        <v>11636</v>
      </c>
      <c r="H6561" s="592" t="s">
        <v>11637</v>
      </c>
      <c r="I6561" s="520" t="s">
        <v>11053</v>
      </c>
      <c r="J6561" s="421" t="s">
        <v>1970</v>
      </c>
      <c r="K6561" s="520" t="s">
        <v>741</v>
      </c>
    </row>
    <row r="6562" spans="1:11" s="194" customFormat="1">
      <c r="A6562" s="421"/>
      <c r="B6562" s="150" t="s">
        <v>1972</v>
      </c>
      <c r="C6562" s="209">
        <v>399</v>
      </c>
      <c r="D6562" s="244">
        <f t="shared" si="973"/>
        <v>105.26024955223879</v>
      </c>
      <c r="E6562" s="228">
        <v>20</v>
      </c>
      <c r="F6562" s="585">
        <f>ROUNDUP(D6562+E6562,1)</f>
        <v>125.3</v>
      </c>
      <c r="G6562" s="338" t="s">
        <v>11638</v>
      </c>
      <c r="H6562" s="592" t="s">
        <v>11639</v>
      </c>
      <c r="I6562" s="520" t="s">
        <v>11053</v>
      </c>
      <c r="J6562" s="421" t="s">
        <v>1970</v>
      </c>
      <c r="K6562" s="520" t="s">
        <v>741</v>
      </c>
    </row>
    <row r="6563" spans="1:11" s="194" customFormat="1">
      <c r="A6563" s="421"/>
      <c r="B6563" s="150"/>
      <c r="C6563" s="552"/>
      <c r="D6563" s="244"/>
      <c r="E6563" s="228"/>
      <c r="F6563" s="585"/>
      <c r="G6563" s="338"/>
      <c r="H6563" s="592"/>
      <c r="I6563" s="520"/>
      <c r="J6563" s="421"/>
      <c r="K6563" s="520"/>
    </row>
    <row r="6564" spans="1:11" s="194" customFormat="1">
      <c r="A6564" s="421"/>
      <c r="B6564" s="150" t="s">
        <v>1973</v>
      </c>
      <c r="C6564" s="209">
        <v>651</v>
      </c>
      <c r="D6564" s="244">
        <f t="shared" si="973"/>
        <v>171.74040716417912</v>
      </c>
      <c r="E6564" s="228">
        <v>20</v>
      </c>
      <c r="F6564" s="585">
        <f>ROUNDUP(D6564+E6564,1)</f>
        <v>191.79999999999998</v>
      </c>
      <c r="G6564" s="338" t="s">
        <v>1974</v>
      </c>
      <c r="H6564" s="592" t="s">
        <v>11640</v>
      </c>
      <c r="I6564" s="520" t="s">
        <v>11053</v>
      </c>
      <c r="J6564" s="421" t="s">
        <v>1970</v>
      </c>
      <c r="K6564" s="520" t="s">
        <v>741</v>
      </c>
    </row>
    <row r="6565" spans="1:11" s="194" customFormat="1">
      <c r="A6565" s="421"/>
      <c r="B6565" s="150" t="s">
        <v>1975</v>
      </c>
      <c r="C6565" s="209">
        <v>651</v>
      </c>
      <c r="D6565" s="244">
        <f t="shared" si="973"/>
        <v>171.74040716417912</v>
      </c>
      <c r="E6565" s="228">
        <v>20</v>
      </c>
      <c r="F6565" s="585">
        <f>ROUNDUP(D6565+E6565,1)</f>
        <v>191.79999999999998</v>
      </c>
      <c r="G6565" s="338" t="s">
        <v>11641</v>
      </c>
      <c r="H6565" s="592" t="s">
        <v>11642</v>
      </c>
      <c r="I6565" s="520" t="s">
        <v>11053</v>
      </c>
      <c r="J6565" s="421" t="s">
        <v>1970</v>
      </c>
      <c r="K6565" s="520" t="s">
        <v>741</v>
      </c>
    </row>
    <row r="6566" spans="1:11" s="194" customFormat="1">
      <c r="A6566" s="421"/>
      <c r="B6566" s="150"/>
      <c r="C6566" s="552"/>
      <c r="D6566" s="244"/>
      <c r="E6566" s="228"/>
      <c r="F6566" s="585"/>
      <c r="G6566" s="338"/>
      <c r="H6566" s="592"/>
      <c r="I6566" s="520"/>
      <c r="J6566" s="421"/>
      <c r="K6566" s="520"/>
    </row>
    <row r="6567" spans="1:11" s="194" customFormat="1">
      <c r="A6567" s="421"/>
      <c r="B6567" s="150" t="s">
        <v>14274</v>
      </c>
      <c r="C6567" s="209">
        <v>297</v>
      </c>
      <c r="D6567" s="244">
        <f t="shared" ref="D6567" si="974">C6567*(1-VLOOKUP(I6567,descuentos,6,FALSE))*fcl/IF(dol_sol="dólar", TC,1)</f>
        <v>78.35161432835821</v>
      </c>
      <c r="E6567" s="228">
        <v>20</v>
      </c>
      <c r="F6567" s="585">
        <f>ROUNDUP(D6567+E6567,1)</f>
        <v>98.399999999999991</v>
      </c>
      <c r="G6567" s="338" t="s">
        <v>14275</v>
      </c>
      <c r="H6567" s="592" t="s">
        <v>14276</v>
      </c>
      <c r="I6567" s="520" t="s">
        <v>11053</v>
      </c>
      <c r="J6567" s="421" t="s">
        <v>1970</v>
      </c>
      <c r="K6567" s="520" t="s">
        <v>741</v>
      </c>
    </row>
    <row r="6568" spans="1:11" s="194" customFormat="1">
      <c r="A6568" s="421"/>
      <c r="B6568" s="150" t="s">
        <v>14277</v>
      </c>
      <c r="C6568" s="209">
        <v>393</v>
      </c>
      <c r="D6568" s="244">
        <f t="shared" si="973"/>
        <v>103.67738865671642</v>
      </c>
      <c r="E6568" s="228">
        <v>20</v>
      </c>
      <c r="F6568" s="585">
        <f>ROUNDUP(D6568+E6568,1)</f>
        <v>123.69999999999999</v>
      </c>
      <c r="G6568" s="338" t="s">
        <v>11643</v>
      </c>
      <c r="H6568" s="592" t="s">
        <v>11644</v>
      </c>
      <c r="I6568" s="520" t="s">
        <v>11053</v>
      </c>
      <c r="J6568" s="421" t="s">
        <v>1970</v>
      </c>
      <c r="K6568" s="520" t="s">
        <v>741</v>
      </c>
    </row>
    <row r="6569" spans="1:11" s="196" customFormat="1">
      <c r="A6569" s="421"/>
      <c r="B6569" s="150" t="s">
        <v>11645</v>
      </c>
      <c r="C6569" s="209">
        <v>725</v>
      </c>
      <c r="D6569" s="244">
        <f t="shared" si="973"/>
        <v>191.26235820895519</v>
      </c>
      <c r="E6569" s="228">
        <v>20</v>
      </c>
      <c r="F6569" s="585">
        <f>ROUNDUP(D6569+E6569,1)</f>
        <v>211.29999999999998</v>
      </c>
      <c r="G6569" s="338" t="s">
        <v>11646</v>
      </c>
      <c r="H6569" s="592" t="s">
        <v>11647</v>
      </c>
      <c r="I6569" s="520" t="s">
        <v>11053</v>
      </c>
      <c r="J6569" s="421" t="s">
        <v>1970</v>
      </c>
      <c r="K6569" s="520" t="s">
        <v>741</v>
      </c>
    </row>
    <row r="6570" spans="1:11" s="196" customFormat="1">
      <c r="A6570" s="421"/>
      <c r="B6570" s="150" t="s">
        <v>1976</v>
      </c>
      <c r="C6570" s="209">
        <v>160</v>
      </c>
      <c r="D6570" s="244">
        <f t="shared" si="973"/>
        <v>42.209623880597007</v>
      </c>
      <c r="E6570" s="228">
        <v>20</v>
      </c>
      <c r="F6570" s="585">
        <f>ROUNDUP(D6570+E6570,1)</f>
        <v>62.300000000000004</v>
      </c>
      <c r="G6570" s="338" t="s">
        <v>11648</v>
      </c>
      <c r="H6570" s="592" t="str">
        <f t="shared" ref="H6570" si="975">B6570</f>
        <v>BAT_7Ah</v>
      </c>
      <c r="I6570" s="520" t="s">
        <v>11053</v>
      </c>
      <c r="J6570" s="421" t="s">
        <v>1970</v>
      </c>
      <c r="K6570" s="520" t="s">
        <v>741</v>
      </c>
    </row>
    <row r="6571" spans="1:11" s="106" customFormat="1">
      <c r="A6571" s="194"/>
      <c r="B6571" s="146"/>
      <c r="C6571" s="618"/>
      <c r="D6571" s="244"/>
      <c r="E6571" s="194"/>
      <c r="F6571" s="194"/>
      <c r="G6571" s="147"/>
      <c r="H6571" s="1801"/>
      <c r="I6571" s="2179"/>
      <c r="J6571" s="347"/>
      <c r="K6571" s="195"/>
    </row>
    <row r="6572" spans="1:11" s="194" customFormat="1">
      <c r="A6572" s="1739"/>
      <c r="B6572" s="150" t="s">
        <v>12679</v>
      </c>
      <c r="C6572" s="209">
        <v>2578</v>
      </c>
      <c r="D6572" s="244">
        <f t="shared" ref="D6572" si="976">C6572*(1-VLOOKUP(I6572,descuentos,6,FALSE))*fcl/IF(dol_sol="dólar", TC,1)</f>
        <v>680.10256477611938</v>
      </c>
      <c r="E6572" s="228">
        <v>20</v>
      </c>
      <c r="F6572" s="585">
        <f>ROUNDUP(D6572+E6572,1)</f>
        <v>700.2</v>
      </c>
      <c r="G6572" s="338" t="s">
        <v>12680</v>
      </c>
      <c r="H6572" s="592" t="s">
        <v>12681</v>
      </c>
      <c r="I6572" s="520" t="s">
        <v>11053</v>
      </c>
      <c r="J6572" s="421" t="s">
        <v>1970</v>
      </c>
      <c r="K6572" s="520" t="s">
        <v>741</v>
      </c>
    </row>
    <row r="6573" spans="1:11" s="194" customFormat="1">
      <c r="A6573" s="1739"/>
      <c r="B6573" s="150" t="s">
        <v>12682</v>
      </c>
      <c r="C6573" s="209">
        <v>2879</v>
      </c>
      <c r="D6573" s="244">
        <f t="shared" ref="D6573" si="977">C6573*(1-VLOOKUP(I6573,descuentos,6,FALSE))*fcl/IF(dol_sol="dólar", TC,1)</f>
        <v>759.50941970149256</v>
      </c>
      <c r="E6573" s="228">
        <v>20</v>
      </c>
      <c r="F6573" s="585">
        <f>ROUNDUP(D6573+E6573,1)</f>
        <v>779.6</v>
      </c>
      <c r="G6573" s="338" t="s">
        <v>12683</v>
      </c>
      <c r="H6573" s="592" t="s">
        <v>12684</v>
      </c>
      <c r="I6573" s="520" t="s">
        <v>11053</v>
      </c>
      <c r="J6573" s="421" t="s">
        <v>1970</v>
      </c>
      <c r="K6573" s="520" t="s">
        <v>741</v>
      </c>
    </row>
    <row r="6574" spans="1:11" s="194" customFormat="1">
      <c r="A6574" s="421"/>
      <c r="B6574" s="150"/>
      <c r="C6574" s="209"/>
      <c r="D6574" s="244"/>
      <c r="E6574" s="228"/>
      <c r="F6574" s="585"/>
      <c r="G6574" s="338"/>
      <c r="H6574" s="592"/>
      <c r="I6574" s="520"/>
      <c r="J6574" s="421"/>
      <c r="K6574" s="520"/>
    </row>
    <row r="6575" spans="1:11" s="194" customFormat="1">
      <c r="A6575" s="1739"/>
      <c r="B6575" s="150" t="s">
        <v>12685</v>
      </c>
      <c r="C6575" s="209">
        <v>872</v>
      </c>
      <c r="D6575" s="244">
        <f t="shared" ref="D6575" si="978">C6575*(1-VLOOKUP(I6575,descuentos,6,FALSE))*fcl/IF(dol_sol="dólar", TC,1)</f>
        <v>230.04245014925371</v>
      </c>
      <c r="E6575" s="228">
        <v>20</v>
      </c>
      <c r="F6575" s="585">
        <f>ROUNDUP(D6575+E6575,1)</f>
        <v>250.1</v>
      </c>
      <c r="G6575" s="338" t="s">
        <v>12686</v>
      </c>
      <c r="H6575" s="592" t="s">
        <v>12687</v>
      </c>
      <c r="I6575" s="520" t="s">
        <v>11053</v>
      </c>
      <c r="J6575" s="421" t="s">
        <v>1970</v>
      </c>
      <c r="K6575" s="520" t="s">
        <v>741</v>
      </c>
    </row>
    <row r="6576" spans="1:11" s="194" customFormat="1">
      <c r="A6576" s="421"/>
      <c r="B6576" s="150"/>
      <c r="C6576" s="209"/>
      <c r="D6576" s="244"/>
      <c r="E6576" s="228"/>
      <c r="F6576" s="585"/>
      <c r="G6576" s="338"/>
      <c r="H6576" s="592"/>
      <c r="I6576" s="520"/>
      <c r="J6576" s="421"/>
      <c r="K6576" s="520"/>
    </row>
    <row r="6577" spans="1:14" s="194" customFormat="1">
      <c r="A6577" s="421"/>
      <c r="B6577" s="150"/>
      <c r="C6577" s="209"/>
      <c r="D6577" s="244"/>
      <c r="E6577" s="228"/>
      <c r="F6577" s="585"/>
      <c r="G6577" s="338"/>
      <c r="H6577" s="592"/>
      <c r="I6577" s="520"/>
      <c r="J6577" s="421"/>
      <c r="K6577" s="520"/>
    </row>
    <row r="6578" spans="1:14" s="196" customFormat="1">
      <c r="A6578" s="194"/>
      <c r="B6578" s="206"/>
      <c r="C6578" s="242"/>
      <c r="D6578" s="225"/>
      <c r="E6578" s="234"/>
      <c r="F6578" s="207"/>
      <c r="G6578" s="208"/>
      <c r="H6578" s="206"/>
      <c r="I6578" s="207"/>
      <c r="J6578" s="207"/>
      <c r="K6578" s="207"/>
      <c r="L6578" s="207"/>
      <c r="M6578" s="207"/>
      <c r="N6578" s="207"/>
    </row>
    <row r="6579" spans="1:14" s="196" customFormat="1" ht="27.75">
      <c r="A6579" s="194"/>
      <c r="B6579" s="2180" t="s">
        <v>1603</v>
      </c>
      <c r="C6579" s="242"/>
      <c r="D6579" s="225"/>
      <c r="E6579" s="234"/>
      <c r="F6579" s="207"/>
      <c r="G6579" s="208"/>
      <c r="H6579" s="206"/>
      <c r="I6579" s="207"/>
      <c r="J6579" s="207"/>
      <c r="K6579" s="207"/>
      <c r="L6579" s="207"/>
      <c r="M6579" s="207"/>
      <c r="N6579" s="207"/>
    </row>
    <row r="6580" spans="1:14" s="196" customFormat="1">
      <c r="A6580" s="421"/>
      <c r="B6580" s="150" t="s">
        <v>1967</v>
      </c>
      <c r="C6580" s="2254">
        <v>221.62</v>
      </c>
      <c r="D6580" s="2255">
        <f>C6580*fcl*(1-0.28)/TC</f>
        <v>79.545041194029849</v>
      </c>
      <c r="E6580" s="228">
        <v>3</v>
      </c>
      <c r="F6580" s="585">
        <f>ROUNDUP(D6580+E6580,1)</f>
        <v>82.6</v>
      </c>
      <c r="G6580" s="338" t="s">
        <v>1968</v>
      </c>
      <c r="H6580" s="764" t="s">
        <v>8622</v>
      </c>
      <c r="I6580" s="520"/>
      <c r="J6580" s="421" t="s">
        <v>1603</v>
      </c>
      <c r="K6580" s="520" t="s">
        <v>741</v>
      </c>
    </row>
    <row r="6581" spans="1:14" s="196" customFormat="1">
      <c r="A6581" s="421"/>
      <c r="B6581" s="150" t="s">
        <v>1969</v>
      </c>
      <c r="C6581" s="2254">
        <v>2076.88</v>
      </c>
      <c r="D6581" s="2255">
        <f>C6581*fcl*(1-0.28)/TC</f>
        <v>745.44492895522387</v>
      </c>
      <c r="E6581" s="228">
        <v>6</v>
      </c>
      <c r="F6581" s="585">
        <f>ROUNDUP(D6581+E6581,1)</f>
        <v>751.5</v>
      </c>
      <c r="G6581" s="338" t="s">
        <v>11790</v>
      </c>
      <c r="H6581" s="764" t="s">
        <v>11791</v>
      </c>
      <c r="I6581" s="520"/>
      <c r="J6581" s="421" t="s">
        <v>1603</v>
      </c>
      <c r="K6581" s="520" t="s">
        <v>741</v>
      </c>
    </row>
    <row r="6582" spans="1:14" s="196" customFormat="1">
      <c r="A6582" s="421"/>
      <c r="B6582" s="150" t="s">
        <v>8623</v>
      </c>
      <c r="C6582" s="2254">
        <v>2726.8330000000001</v>
      </c>
      <c r="D6582" s="2255">
        <f>C6582*fcl*(1-0.28)/TC</f>
        <v>978.72955199999979</v>
      </c>
      <c r="E6582" s="228">
        <v>6</v>
      </c>
      <c r="F6582" s="585">
        <f>ROUNDUP(D6582+E6582,1)</f>
        <v>984.80000000000007</v>
      </c>
      <c r="G6582" s="338" t="s">
        <v>8624</v>
      </c>
      <c r="H6582" s="764" t="s">
        <v>12859</v>
      </c>
      <c r="I6582" s="520"/>
      <c r="J6582" s="421" t="s">
        <v>1603</v>
      </c>
      <c r="K6582" s="520" t="s">
        <v>741</v>
      </c>
    </row>
    <row r="6583" spans="1:14" s="196" customFormat="1">
      <c r="A6583" s="421"/>
      <c r="B6583" s="150" t="s">
        <v>8625</v>
      </c>
      <c r="C6583" s="2254">
        <v>2914.88</v>
      </c>
      <c r="D6583" s="2255">
        <f t="shared" ref="D6583" si="979">C6583*fcl*(1-0.28)/TC</f>
        <v>1046.2243916417908</v>
      </c>
      <c r="E6583" s="228">
        <v>6</v>
      </c>
      <c r="F6583" s="585">
        <f t="shared" ref="F6583:F6586" si="980">ROUNDUP(D6583+E6583,1)</f>
        <v>1052.3</v>
      </c>
      <c r="G6583" s="338" t="s">
        <v>8626</v>
      </c>
      <c r="H6583" s="764" t="s">
        <v>12860</v>
      </c>
      <c r="I6583" s="520"/>
      <c r="J6583" s="421" t="s">
        <v>1603</v>
      </c>
      <c r="K6583" s="520" t="s">
        <v>741</v>
      </c>
    </row>
    <row r="6584" spans="1:14" s="196" customFormat="1">
      <c r="A6584" s="421"/>
      <c r="B6584" s="150" t="s">
        <v>11788</v>
      </c>
      <c r="C6584" s="2254">
        <v>5992.57</v>
      </c>
      <c r="D6584" s="2255">
        <f>C6584*fcl*(1-0)/TC</f>
        <v>2987.3408656716415</v>
      </c>
      <c r="E6584" s="228">
        <v>6</v>
      </c>
      <c r="F6584" s="585">
        <f t="shared" si="980"/>
        <v>2993.4</v>
      </c>
      <c r="G6584" s="338" t="s">
        <v>11789</v>
      </c>
      <c r="H6584" s="764" t="s">
        <v>12861</v>
      </c>
      <c r="I6584" s="520"/>
      <c r="J6584" s="421" t="s">
        <v>1603</v>
      </c>
      <c r="K6584" s="520" t="s">
        <v>741</v>
      </c>
    </row>
    <row r="6585" spans="1:14" s="194" customFormat="1">
      <c r="A6585" s="421"/>
      <c r="B6585" s="150" t="s">
        <v>13509</v>
      </c>
      <c r="C6585" s="436">
        <v>174</v>
      </c>
      <c r="D6585" s="587">
        <f t="shared" ref="D6585" si="981">C6585*fcl*(1-0.28)/TC</f>
        <v>62.453014925373125</v>
      </c>
      <c r="E6585" s="228">
        <v>2</v>
      </c>
      <c r="F6585" s="585">
        <f t="shared" si="980"/>
        <v>64.5</v>
      </c>
      <c r="G6585" s="338" t="s">
        <v>13510</v>
      </c>
      <c r="H6585" s="764" t="s">
        <v>13511</v>
      </c>
      <c r="I6585" s="520"/>
      <c r="J6585" s="421" t="s">
        <v>1603</v>
      </c>
      <c r="K6585" s="520" t="s">
        <v>741</v>
      </c>
    </row>
    <row r="6586" spans="1:14" s="194" customFormat="1">
      <c r="A6586" s="421"/>
      <c r="B6586" s="150" t="s">
        <v>13512</v>
      </c>
      <c r="C6586" s="436">
        <f>174/10</f>
        <v>17.399999999999999</v>
      </c>
      <c r="D6586" s="587">
        <f t="shared" ref="D6586" si="982">C6586*fcl*(1-0.28)/TC</f>
        <v>6.2453014925373118</v>
      </c>
      <c r="E6586" s="228">
        <v>1</v>
      </c>
      <c r="F6586" s="585">
        <f t="shared" si="980"/>
        <v>7.3</v>
      </c>
      <c r="G6586" s="338" t="s">
        <v>13513</v>
      </c>
      <c r="H6586" s="764" t="s">
        <v>13511</v>
      </c>
      <c r="I6586" s="520"/>
      <c r="J6586" s="421" t="s">
        <v>1603</v>
      </c>
      <c r="K6586" s="520" t="s">
        <v>741</v>
      </c>
    </row>
    <row r="6587" spans="1:14" s="196" customFormat="1">
      <c r="A6587" s="421"/>
      <c r="B6587" s="150"/>
      <c r="C6587" s="241"/>
      <c r="D6587" s="221"/>
      <c r="E6587" s="221"/>
      <c r="F6587" s="162"/>
      <c r="G6587" s="338"/>
      <c r="H6587" s="592"/>
      <c r="I6587" s="520"/>
      <c r="J6587" s="421"/>
      <c r="K6587" s="520"/>
    </row>
    <row r="6588" spans="1:14" s="196" customFormat="1">
      <c r="A6588" s="589"/>
      <c r="B6588" s="151"/>
      <c r="C6588" s="209"/>
      <c r="D6588" s="243"/>
      <c r="E6588" s="228"/>
      <c r="F6588" s="585"/>
      <c r="G6588" s="590"/>
      <c r="H6588" s="592"/>
      <c r="I6588" s="520"/>
      <c r="J6588" s="589"/>
      <c r="K6588" s="520"/>
    </row>
    <row r="6589" spans="1:14" s="196" customFormat="1">
      <c r="A6589" s="421"/>
      <c r="B6589" s="151" t="s">
        <v>1257</v>
      </c>
      <c r="C6589" s="436">
        <v>368</v>
      </c>
      <c r="D6589" s="587">
        <f>C6589*fcl*(1-0.28)/TC</f>
        <v>132.08453731343283</v>
      </c>
      <c r="E6589" s="228">
        <v>10</v>
      </c>
      <c r="F6589" s="585">
        <f>ROUNDUP(D6589+E6589,1)</f>
        <v>142.1</v>
      </c>
      <c r="G6589" s="590" t="s">
        <v>1260</v>
      </c>
      <c r="H6589" s="530" t="str">
        <f>B6589</f>
        <v>LAMP_FLUOR</v>
      </c>
      <c r="I6589" s="520"/>
      <c r="J6589" s="421" t="s">
        <v>1603</v>
      </c>
      <c r="K6589" s="520" t="s">
        <v>741</v>
      </c>
    </row>
    <row r="6590" spans="1:14" s="196" customFormat="1">
      <c r="A6590" s="421"/>
      <c r="B6590" s="151" t="s">
        <v>1258</v>
      </c>
      <c r="C6590" s="436">
        <v>126</v>
      </c>
      <c r="D6590" s="587">
        <f>C6590*fcl*(1-0.28)/TC</f>
        <v>45.224597014925372</v>
      </c>
      <c r="E6590" s="228">
        <v>10</v>
      </c>
      <c r="F6590" s="585">
        <f>ROUNDUP(D6590+E6590,1)</f>
        <v>55.300000000000004</v>
      </c>
      <c r="G6590" s="590" t="s">
        <v>1259</v>
      </c>
      <c r="H6590" s="530" t="str">
        <f>B6590</f>
        <v>LIMIT_SWITCH</v>
      </c>
      <c r="I6590" s="520"/>
      <c r="J6590" s="421" t="s">
        <v>1603</v>
      </c>
      <c r="K6590" s="520" t="s">
        <v>741</v>
      </c>
    </row>
    <row r="6591" spans="1:14" s="196" customFormat="1" ht="27.75">
      <c r="B6591" s="1830"/>
      <c r="C6591" s="242"/>
      <c r="D6591" s="225"/>
      <c r="E6591" s="234"/>
      <c r="F6591" s="207"/>
      <c r="G6591" s="208"/>
      <c r="H6591" s="206"/>
      <c r="I6591" s="207"/>
      <c r="J6591" s="207"/>
      <c r="K6591" s="207"/>
      <c r="L6591" s="207"/>
      <c r="M6591" s="207"/>
      <c r="N6591" s="207"/>
    </row>
    <row r="6592" spans="1:14" s="196" customFormat="1">
      <c r="A6592" s="421"/>
      <c r="B6592" s="150" t="s">
        <v>8315</v>
      </c>
      <c r="C6592" s="209">
        <v>2388.89</v>
      </c>
      <c r="D6592" s="228">
        <f>C6592*fcl*(1-0)/TC</f>
        <v>1190.8794925373134</v>
      </c>
      <c r="E6592" s="228">
        <v>20</v>
      </c>
      <c r="F6592" s="585">
        <f>ROUNDUP(D6592+E6592,1)</f>
        <v>1210.8999999999999</v>
      </c>
      <c r="G6592" s="338" t="s">
        <v>8316</v>
      </c>
      <c r="H6592" s="530" t="str">
        <f>B6592</f>
        <v>ION-CABLE</v>
      </c>
      <c r="I6592" s="520"/>
      <c r="J6592" s="421" t="s">
        <v>1603</v>
      </c>
      <c r="K6592" s="520" t="s">
        <v>741</v>
      </c>
    </row>
    <row r="6593" spans="1:11" s="196" customFormat="1">
      <c r="A6593" s="421"/>
      <c r="B6593" s="150" t="s">
        <v>8317</v>
      </c>
      <c r="C6593" s="209">
        <v>11393.33</v>
      </c>
      <c r="D6593" s="228">
        <f>C6593*fcl*(1-0)/TC</f>
        <v>5679.6600298507456</v>
      </c>
      <c r="E6593" s="228">
        <v>0</v>
      </c>
      <c r="F6593" s="585">
        <f>ROUNDUP(D6593+E6593,1)</f>
        <v>5679.7000000000007</v>
      </c>
      <c r="G6593" s="338" t="s">
        <v>8318</v>
      </c>
      <c r="H6593" s="530" t="str">
        <f>B6593</f>
        <v>LICENCIA - ION</v>
      </c>
      <c r="I6593" s="520"/>
      <c r="J6593" s="421" t="s">
        <v>1603</v>
      </c>
      <c r="K6593" s="520" t="s">
        <v>741</v>
      </c>
    </row>
    <row r="6594" spans="1:11" s="196" customFormat="1">
      <c r="A6594" s="421"/>
      <c r="B6594" s="150" t="s">
        <v>8313</v>
      </c>
      <c r="C6594" s="209">
        <v>19577.78</v>
      </c>
      <c r="D6594" s="228">
        <f>C6594*fcl*(1-0)/TC</f>
        <v>9759.669432835819</v>
      </c>
      <c r="E6594" s="228">
        <v>40</v>
      </c>
      <c r="F6594" s="585">
        <f>ROUNDUP(D6594+E6594,1)</f>
        <v>9799.7000000000007</v>
      </c>
      <c r="G6594" s="338" t="s">
        <v>8314</v>
      </c>
      <c r="H6594" s="530" t="str">
        <f>B6594</f>
        <v>ION-7550</v>
      </c>
      <c r="I6594" s="520"/>
      <c r="J6594" s="421" t="s">
        <v>1603</v>
      </c>
      <c r="K6594" s="520" t="s">
        <v>741</v>
      </c>
    </row>
    <row r="6595" spans="1:11" s="196" customFormat="1">
      <c r="A6595" s="421"/>
      <c r="B6595" s="150" t="s">
        <v>8311</v>
      </c>
      <c r="C6595" s="209">
        <f>10919*1.1</f>
        <v>12010.900000000001</v>
      </c>
      <c r="D6595" s="228">
        <f>C6595*fcl*(1-0)/TC</f>
        <v>5987.5232835820898</v>
      </c>
      <c r="E6595" s="228">
        <v>40</v>
      </c>
      <c r="F6595" s="585">
        <f>ROUNDUP(D6595+E6595,1)</f>
        <v>6027.6</v>
      </c>
      <c r="G6595" s="338" t="s">
        <v>8312</v>
      </c>
      <c r="H6595" s="530" t="str">
        <f>B6595</f>
        <v>ION-7400</v>
      </c>
      <c r="I6595" s="520"/>
      <c r="J6595" s="421" t="s">
        <v>1603</v>
      </c>
      <c r="K6595" s="520" t="s">
        <v>741</v>
      </c>
    </row>
    <row r="6596" spans="1:11" s="196" customFormat="1">
      <c r="A6596" s="421"/>
      <c r="B6596" s="150"/>
      <c r="C6596" s="209"/>
      <c r="D6596" s="228"/>
      <c r="E6596" s="228"/>
      <c r="F6596" s="585"/>
      <c r="G6596" s="338"/>
      <c r="H6596" s="530"/>
      <c r="I6596" s="520"/>
      <c r="J6596" s="421"/>
      <c r="K6596" s="520"/>
    </row>
    <row r="6597" spans="1:11" s="196" customFormat="1">
      <c r="A6597" s="1642"/>
      <c r="B6597" s="150" t="s">
        <v>13100</v>
      </c>
      <c r="C6597" s="2199">
        <v>1611.43</v>
      </c>
      <c r="D6597" s="2200">
        <f t="shared" ref="D6597:D6602" si="983">C6597*fcl*(1-0.28)/TC</f>
        <v>578.38311402985073</v>
      </c>
      <c r="E6597" s="2200">
        <v>30</v>
      </c>
      <c r="F6597" s="2201">
        <f t="shared" ref="F6597:F6602" si="984">ROUNDUP(D6597+E6597,1)</f>
        <v>608.4</v>
      </c>
      <c r="G6597" s="2202" t="s">
        <v>13101</v>
      </c>
      <c r="H6597" s="530" t="s">
        <v>13102</v>
      </c>
      <c r="I6597" s="520"/>
      <c r="J6597" s="421" t="s">
        <v>1603</v>
      </c>
      <c r="K6597" s="520" t="s">
        <v>741</v>
      </c>
    </row>
    <row r="6598" spans="1:11" s="196" customFormat="1">
      <c r="A6598" s="1642"/>
      <c r="B6598" s="150" t="s">
        <v>13158</v>
      </c>
      <c r="C6598" s="2199">
        <v>2250</v>
      </c>
      <c r="D6598" s="2200">
        <f t="shared" si="983"/>
        <v>807.58208955223881</v>
      </c>
      <c r="E6598" s="2200">
        <v>30</v>
      </c>
      <c r="F6598" s="2201">
        <f t="shared" si="984"/>
        <v>837.6</v>
      </c>
      <c r="G6598" s="2202" t="s">
        <v>13159</v>
      </c>
      <c r="H6598" s="530" t="s">
        <v>13160</v>
      </c>
      <c r="I6598" s="520"/>
      <c r="J6598" s="421" t="s">
        <v>1603</v>
      </c>
      <c r="K6598" s="520" t="s">
        <v>741</v>
      </c>
    </row>
    <row r="6599" spans="1:11" s="196" customFormat="1">
      <c r="A6599" s="1642"/>
      <c r="B6599" s="150" t="s">
        <v>9688</v>
      </c>
      <c r="C6599" s="2199">
        <v>3148.57</v>
      </c>
      <c r="D6599" s="2200">
        <f t="shared" si="983"/>
        <v>1130.1016620895521</v>
      </c>
      <c r="E6599" s="2200">
        <v>30</v>
      </c>
      <c r="F6599" s="2201">
        <f t="shared" si="984"/>
        <v>1160.1999999999998</v>
      </c>
      <c r="G6599" s="2202" t="s">
        <v>13103</v>
      </c>
      <c r="H6599" s="530" t="s">
        <v>9096</v>
      </c>
      <c r="I6599" s="520"/>
      <c r="J6599" s="421" t="s">
        <v>1603</v>
      </c>
      <c r="K6599" s="520" t="s">
        <v>741</v>
      </c>
    </row>
    <row r="6600" spans="1:11" s="196" customFormat="1">
      <c r="A6600" s="1642"/>
      <c r="B6600" s="150" t="s">
        <v>1604</v>
      </c>
      <c r="C6600" s="2199">
        <v>3818.11</v>
      </c>
      <c r="D6600" s="2200">
        <f t="shared" si="983"/>
        <v>1370.4165564179104</v>
      </c>
      <c r="E6600" s="2200">
        <v>30</v>
      </c>
      <c r="F6600" s="2201">
        <f t="shared" si="984"/>
        <v>1400.5</v>
      </c>
      <c r="G6600" s="2202" t="s">
        <v>13104</v>
      </c>
      <c r="H6600" s="530" t="s">
        <v>12400</v>
      </c>
      <c r="I6600" s="520"/>
      <c r="J6600" s="421" t="s">
        <v>1603</v>
      </c>
      <c r="K6600" s="520" t="s">
        <v>741</v>
      </c>
    </row>
    <row r="6601" spans="1:11" s="196" customFormat="1">
      <c r="A6601" s="1642"/>
      <c r="B6601" s="150" t="s">
        <v>1605</v>
      </c>
      <c r="C6601" s="2199">
        <v>3694.76</v>
      </c>
      <c r="D6601" s="2200">
        <f>C6601*fcl*(1-0)/TC</f>
        <v>1841.8654328358209</v>
      </c>
      <c r="E6601" s="2200">
        <v>30</v>
      </c>
      <c r="F6601" s="2201">
        <f t="shared" si="984"/>
        <v>1871.8999999999999</v>
      </c>
      <c r="G6601" s="2202" t="s">
        <v>13747</v>
      </c>
      <c r="H6601" s="530" t="s">
        <v>12399</v>
      </c>
      <c r="I6601" s="520"/>
      <c r="J6601" s="421" t="s">
        <v>1603</v>
      </c>
      <c r="K6601" s="520" t="s">
        <v>741</v>
      </c>
    </row>
    <row r="6602" spans="1:11" s="196" customFormat="1">
      <c r="A6602" s="1642"/>
      <c r="B6602" s="150" t="s">
        <v>13105</v>
      </c>
      <c r="C6602" s="2199">
        <v>17077.5</v>
      </c>
      <c r="D6602" s="2200">
        <f t="shared" si="983"/>
        <v>6129.5480597014912</v>
      </c>
      <c r="E6602" s="2200">
        <v>30</v>
      </c>
      <c r="F6602" s="2201">
        <f t="shared" si="984"/>
        <v>6159.6</v>
      </c>
      <c r="G6602" s="2202" t="s">
        <v>13106</v>
      </c>
      <c r="H6602" s="530" t="s">
        <v>13107</v>
      </c>
      <c r="I6602" s="520"/>
      <c r="J6602" s="421" t="s">
        <v>1603</v>
      </c>
      <c r="K6602" s="520" t="s">
        <v>741</v>
      </c>
    </row>
    <row r="6603" spans="1:11" s="194" customFormat="1">
      <c r="A6603" s="421"/>
      <c r="B6603" s="150"/>
      <c r="C6603" s="209"/>
      <c r="D6603" s="228"/>
      <c r="E6603" s="228"/>
      <c r="F6603" s="585"/>
      <c r="G6603" s="338"/>
      <c r="H6603" s="146"/>
      <c r="I6603" s="520"/>
      <c r="J6603" s="421"/>
      <c r="K6603" s="520"/>
    </row>
    <row r="6604" spans="1:11" s="196" customFormat="1">
      <c r="A6604" s="1642"/>
      <c r="B6604" s="150" t="s">
        <v>13108</v>
      </c>
      <c r="C6604" s="209">
        <v>355.04</v>
      </c>
      <c r="D6604" s="228">
        <f t="shared" ref="D6604:D6609" si="985">C6604*fcl*(1-0.28)/TC</f>
        <v>127.43286447761193</v>
      </c>
      <c r="E6604" s="228">
        <v>20</v>
      </c>
      <c r="F6604" s="585">
        <f t="shared" ref="F6604:F6609" si="986">ROUNDUP(D6604+E6604,1)</f>
        <v>147.5</v>
      </c>
      <c r="G6604" s="2202" t="s">
        <v>13109</v>
      </c>
      <c r="H6604" s="530" t="str">
        <f>B6604</f>
        <v>A9MEM2010</v>
      </c>
      <c r="I6604" s="520"/>
      <c r="J6604" s="421" t="s">
        <v>1603</v>
      </c>
      <c r="K6604" s="520" t="s">
        <v>741</v>
      </c>
    </row>
    <row r="6605" spans="1:11" s="196" customFormat="1">
      <c r="A6605" s="1642"/>
      <c r="B6605" s="150" t="s">
        <v>13110</v>
      </c>
      <c r="C6605" s="209">
        <v>1125.5999999999999</v>
      </c>
      <c r="D6605" s="228">
        <f t="shared" si="985"/>
        <v>404.00639999999993</v>
      </c>
      <c r="E6605" s="228">
        <v>20</v>
      </c>
      <c r="F6605" s="585">
        <f t="shared" si="986"/>
        <v>424.1</v>
      </c>
      <c r="G6605" s="2202" t="s">
        <v>13111</v>
      </c>
      <c r="H6605" s="530" t="s">
        <v>11794</v>
      </c>
      <c r="I6605" s="520"/>
      <c r="J6605" s="421" t="s">
        <v>1603</v>
      </c>
      <c r="K6605" s="520" t="s">
        <v>741</v>
      </c>
    </row>
    <row r="6606" spans="1:11" s="196" customFormat="1">
      <c r="A6606" s="1642"/>
      <c r="B6606" s="150" t="s">
        <v>11794</v>
      </c>
      <c r="C6606" s="209">
        <v>1479.36</v>
      </c>
      <c r="D6606" s="228">
        <f t="shared" si="985"/>
        <v>530.97983999999997</v>
      </c>
      <c r="E6606" s="228">
        <v>20</v>
      </c>
      <c r="F6606" s="585">
        <f t="shared" si="986"/>
        <v>551</v>
      </c>
      <c r="G6606" s="2202" t="s">
        <v>13112</v>
      </c>
      <c r="H6606" s="530" t="str">
        <f>B6606</f>
        <v>A9MEM3155</v>
      </c>
      <c r="I6606" s="520"/>
      <c r="J6606" s="421" t="s">
        <v>1603</v>
      </c>
      <c r="K6606" s="520" t="s">
        <v>741</v>
      </c>
    </row>
    <row r="6607" spans="1:11" s="196" customFormat="1">
      <c r="A6607" s="1642"/>
      <c r="B6607" s="150" t="s">
        <v>13113</v>
      </c>
      <c r="C6607" s="209">
        <v>1194.92</v>
      </c>
      <c r="D6607" s="228">
        <f t="shared" si="985"/>
        <v>428.88710686567163</v>
      </c>
      <c r="E6607" s="228">
        <v>20</v>
      </c>
      <c r="F6607" s="585">
        <f t="shared" si="986"/>
        <v>448.90000000000003</v>
      </c>
      <c r="G6607" s="2202" t="s">
        <v>13114</v>
      </c>
      <c r="H6607" s="530" t="s">
        <v>11794</v>
      </c>
      <c r="I6607" s="520"/>
      <c r="J6607" s="421" t="s">
        <v>1603</v>
      </c>
      <c r="K6607" s="520" t="s">
        <v>741</v>
      </c>
    </row>
    <row r="6608" spans="1:11" s="196" customFormat="1">
      <c r="A6608" s="1642"/>
      <c r="B6608" s="150" t="s">
        <v>13115</v>
      </c>
      <c r="C6608" s="209">
        <v>1331.42</v>
      </c>
      <c r="D6608" s="228">
        <f t="shared" si="985"/>
        <v>477.88042029850737</v>
      </c>
      <c r="E6608" s="228">
        <v>20</v>
      </c>
      <c r="F6608" s="585">
        <f t="shared" si="986"/>
        <v>497.90000000000003</v>
      </c>
      <c r="G6608" s="2202" t="s">
        <v>13116</v>
      </c>
      <c r="H6608" s="530" t="str">
        <f>B6608</f>
        <v>A9MEM3265</v>
      </c>
      <c r="I6608" s="520"/>
      <c r="J6608" s="421" t="s">
        <v>1603</v>
      </c>
      <c r="K6608" s="520" t="s">
        <v>741</v>
      </c>
    </row>
    <row r="6609" spans="1:14" s="196" customFormat="1">
      <c r="A6609" s="1642"/>
      <c r="B6609" s="150" t="s">
        <v>13117</v>
      </c>
      <c r="C6609" s="209">
        <v>1548.98</v>
      </c>
      <c r="D6609" s="228">
        <f t="shared" si="985"/>
        <v>555.9682244776119</v>
      </c>
      <c r="E6609" s="228">
        <v>20</v>
      </c>
      <c r="F6609" s="585">
        <f t="shared" si="986"/>
        <v>576</v>
      </c>
      <c r="G6609" s="2202" t="s">
        <v>13118</v>
      </c>
      <c r="H6609" s="530" t="s">
        <v>11794</v>
      </c>
      <c r="I6609" s="520"/>
      <c r="J6609" s="421" t="s">
        <v>1603</v>
      </c>
      <c r="K6609" s="520" t="s">
        <v>741</v>
      </c>
    </row>
    <row r="6610" spans="1:14" s="196" customFormat="1">
      <c r="A6610" s="421"/>
      <c r="B6610" s="150"/>
      <c r="C6610" s="209"/>
      <c r="D6610" s="228"/>
      <c r="E6610" s="228"/>
      <c r="F6610" s="585"/>
      <c r="G6610" s="338"/>
      <c r="H6610" s="530"/>
      <c r="I6610" s="520"/>
      <c r="J6610" s="421"/>
      <c r="K6610" s="520"/>
    </row>
    <row r="6611" spans="1:14" s="196" customFormat="1">
      <c r="A6611" s="421"/>
      <c r="B6611" s="150" t="s">
        <v>14278</v>
      </c>
      <c r="C6611" s="209">
        <v>481.53</v>
      </c>
      <c r="D6611" s="228">
        <f>C6611*fcl*(1-0.28)/TC</f>
        <v>172.83333492537312</v>
      </c>
      <c r="E6611" s="228">
        <v>20</v>
      </c>
      <c r="F6611" s="585">
        <f>ROUNDUP(D6611+E6611,1)</f>
        <v>192.9</v>
      </c>
      <c r="G6611" s="338" t="s">
        <v>14279</v>
      </c>
      <c r="H6611" s="530" t="s">
        <v>14278</v>
      </c>
      <c r="I6611" s="520"/>
      <c r="J6611" s="421" t="s">
        <v>1603</v>
      </c>
      <c r="K6611" s="520" t="s">
        <v>741</v>
      </c>
    </row>
    <row r="6612" spans="1:14" s="196" customFormat="1">
      <c r="A6612" s="421"/>
      <c r="B6612" s="150"/>
      <c r="C6612" s="209"/>
      <c r="D6612" s="228"/>
      <c r="E6612" s="228"/>
      <c r="F6612" s="585"/>
      <c r="G6612" s="338"/>
      <c r="H6612" s="530"/>
      <c r="I6612" s="520"/>
      <c r="J6612" s="421"/>
      <c r="K6612" s="520"/>
    </row>
    <row r="6613" spans="1:14" s="196" customFormat="1" ht="14.25">
      <c r="A6613" s="1170"/>
      <c r="B6613" s="1949" t="s">
        <v>9689</v>
      </c>
      <c r="C6613" s="649"/>
      <c r="D6613" s="1690"/>
      <c r="E6613" s="1690"/>
      <c r="F6613" s="585"/>
      <c r="G6613" s="338"/>
      <c r="H6613" s="530"/>
      <c r="I6613" s="520"/>
      <c r="J6613" s="421"/>
      <c r="K6613" s="520"/>
    </row>
    <row r="6614" spans="1:14" s="196" customFormat="1" ht="14.25">
      <c r="A6614" s="1170"/>
      <c r="B6614" s="1950" t="s">
        <v>9690</v>
      </c>
      <c r="C6614" s="1951"/>
      <c r="D6614" s="1952"/>
      <c r="E6614" s="1952"/>
      <c r="F6614" s="585"/>
      <c r="G6614" s="338"/>
      <c r="H6614" s="530"/>
      <c r="I6614" s="520"/>
      <c r="J6614" s="421"/>
      <c r="K6614" s="520"/>
    </row>
    <row r="6615" spans="1:14" s="196" customFormat="1" ht="14.25">
      <c r="A6615" s="1170"/>
      <c r="B6615" s="1950" t="s">
        <v>9691</v>
      </c>
      <c r="C6615" s="1951"/>
      <c r="D6615" s="1952"/>
      <c r="E6615" s="1952"/>
      <c r="F6615" s="585"/>
      <c r="G6615" s="338"/>
      <c r="H6615" s="530"/>
      <c r="I6615" s="520"/>
      <c r="J6615" s="421"/>
      <c r="K6615" s="520"/>
    </row>
    <row r="6616" spans="1:14" s="196" customFormat="1" ht="14.25">
      <c r="A6616" s="1170"/>
      <c r="B6616" s="1950" t="s">
        <v>11740</v>
      </c>
      <c r="C6616" s="1951"/>
      <c r="D6616" s="1952"/>
      <c r="E6616" s="1952"/>
      <c r="F6616" s="585"/>
      <c r="G6616" s="338"/>
      <c r="H6616" s="530"/>
      <c r="I6616" s="520"/>
      <c r="J6616" s="421"/>
      <c r="K6616" s="520"/>
    </row>
    <row r="6617" spans="1:14" s="196" customFormat="1" ht="14.25">
      <c r="A6617" s="1170"/>
      <c r="B6617" s="1950" t="s">
        <v>9692</v>
      </c>
      <c r="C6617" s="1951"/>
      <c r="D6617" s="1952"/>
      <c r="E6617" s="1952"/>
      <c r="F6617" s="585"/>
      <c r="G6617" s="338"/>
      <c r="H6617" s="530"/>
      <c r="I6617" s="520"/>
      <c r="J6617" s="421"/>
      <c r="K6617" s="520"/>
    </row>
    <row r="6618" spans="1:14" s="196" customFormat="1">
      <c r="B6618" s="206"/>
      <c r="C6618" s="242"/>
      <c r="D6618" s="225"/>
      <c r="E6618" s="234"/>
      <c r="F6618" s="207"/>
      <c r="G6618" s="208"/>
      <c r="H6618" s="206"/>
      <c r="I6618" s="207"/>
      <c r="J6618" s="207"/>
      <c r="K6618" s="207"/>
      <c r="L6618" s="207"/>
      <c r="M6618" s="207"/>
      <c r="N6618" s="207"/>
    </row>
    <row r="6619" spans="1:14" s="196" customFormat="1">
      <c r="A6619" s="423" t="s">
        <v>9075</v>
      </c>
      <c r="B6619" s="206"/>
      <c r="C6619" s="242"/>
      <c r="D6619" s="225"/>
      <c r="E6619" s="234"/>
      <c r="F6619" s="207"/>
      <c r="G6619" s="208"/>
      <c r="H6619" s="206"/>
      <c r="I6619" s="207"/>
      <c r="J6619" s="207"/>
    </row>
    <row r="6620" spans="1:14" s="196" customFormat="1">
      <c r="B6620" s="206"/>
      <c r="C6620" s="242"/>
      <c r="D6620" s="225"/>
      <c r="E6620" s="234"/>
      <c r="F6620" s="207"/>
      <c r="G6620" s="208"/>
      <c r="H6620" s="206"/>
      <c r="I6620" s="207"/>
      <c r="J6620" s="207"/>
    </row>
    <row r="6621" spans="1:14" s="196" customFormat="1" ht="18" customHeight="1">
      <c r="A6621" s="421" t="s">
        <v>9076</v>
      </c>
      <c r="B6621" s="150" t="s">
        <v>9077</v>
      </c>
      <c r="C6621" s="588">
        <v>163.61099999999999</v>
      </c>
      <c r="D6621" s="228">
        <f>C6621*fcl*(1-0)/TC</f>
        <v>81.561304477611941</v>
      </c>
      <c r="E6621" s="228">
        <v>3</v>
      </c>
      <c r="F6621" s="585">
        <f>ROUNDUP(D6621+E6621,1)</f>
        <v>84.6</v>
      </c>
      <c r="G6621" s="338" t="s">
        <v>9078</v>
      </c>
      <c r="H6621" s="2052" t="str">
        <f>B6621</f>
        <v>A9R71240</v>
      </c>
      <c r="I6621" s="520"/>
      <c r="J6621" s="421" t="s">
        <v>1603</v>
      </c>
      <c r="K6621" s="520" t="s">
        <v>741</v>
      </c>
    </row>
    <row r="6622" spans="1:14" s="196" customFormat="1" ht="18" customHeight="1">
      <c r="A6622" s="421" t="s">
        <v>9076</v>
      </c>
      <c r="B6622" s="150" t="s">
        <v>9079</v>
      </c>
      <c r="C6622" s="588">
        <v>163.13399999999999</v>
      </c>
      <c r="D6622" s="228">
        <f>C6622*fcl*(1-0)/TC</f>
        <v>81.323516417910426</v>
      </c>
      <c r="E6622" s="228">
        <v>3</v>
      </c>
      <c r="F6622" s="585">
        <f>ROUNDUP(D6622+E6622,1)</f>
        <v>84.399999999999991</v>
      </c>
      <c r="G6622" s="338" t="s">
        <v>9078</v>
      </c>
      <c r="H6622" s="2052" t="str">
        <f>B6622</f>
        <v>A9R71225</v>
      </c>
      <c r="I6622" s="520"/>
      <c r="J6622" s="421" t="s">
        <v>1603</v>
      </c>
      <c r="K6622" s="520" t="s">
        <v>741</v>
      </c>
    </row>
    <row r="6623" spans="1:14" s="196" customFormat="1" ht="18" customHeight="1">
      <c r="A6623" s="421" t="s">
        <v>9076</v>
      </c>
      <c r="B6623" s="150" t="s">
        <v>9080</v>
      </c>
      <c r="C6623" s="588">
        <v>261.11</v>
      </c>
      <c r="D6623" s="228">
        <f>C6623*fcl*(1-0)/TC</f>
        <v>130.16528358208956</v>
      </c>
      <c r="E6623" s="228">
        <v>9</v>
      </c>
      <c r="F6623" s="585">
        <f>ROUNDUP(D6623+E6623,1)</f>
        <v>139.19999999999999</v>
      </c>
      <c r="G6623" s="338" t="s">
        <v>9081</v>
      </c>
      <c r="H6623" s="2052" t="str">
        <f>B6623</f>
        <v>A9R71440</v>
      </c>
      <c r="I6623" s="520"/>
      <c r="J6623" s="421" t="s">
        <v>1603</v>
      </c>
      <c r="K6623" s="520" t="s">
        <v>741</v>
      </c>
    </row>
    <row r="6624" spans="1:14" s="196" customFormat="1" ht="18" customHeight="1">
      <c r="A6624" s="421" t="s">
        <v>9076</v>
      </c>
      <c r="B6624" s="150" t="s">
        <v>9082</v>
      </c>
      <c r="C6624" s="588">
        <v>235.733</v>
      </c>
      <c r="D6624" s="228">
        <f>C6624*fcl*(1-0)/TC</f>
        <v>117.51465970149253</v>
      </c>
      <c r="E6624" s="228">
        <v>9</v>
      </c>
      <c r="F6624" s="585">
        <f>ROUNDUP(D6624+E6624,1)</f>
        <v>126.6</v>
      </c>
      <c r="G6624" s="338" t="s">
        <v>9083</v>
      </c>
      <c r="H6624" s="2052" t="str">
        <f>B6624</f>
        <v>A9R71425</v>
      </c>
      <c r="I6624" s="520"/>
      <c r="J6624" s="421" t="s">
        <v>1603</v>
      </c>
      <c r="K6624" s="520" t="s">
        <v>741</v>
      </c>
    </row>
    <row r="6625" spans="1:11" s="196" customFormat="1" ht="18" customHeight="1">
      <c r="B6625" s="206"/>
      <c r="C6625" s="242"/>
      <c r="D6625" s="225"/>
      <c r="E6625" s="234"/>
      <c r="F6625" s="207"/>
      <c r="G6625" s="208"/>
      <c r="H6625" s="206"/>
      <c r="I6625" s="207"/>
      <c r="J6625" s="207"/>
    </row>
    <row r="6626" spans="1:11" s="196" customFormat="1" ht="18" customHeight="1">
      <c r="A6626" s="421" t="s">
        <v>9076</v>
      </c>
      <c r="B6626" s="150" t="s">
        <v>9084</v>
      </c>
      <c r="C6626" s="588">
        <v>220.41200000000001</v>
      </c>
      <c r="D6626" s="228">
        <f>C6626*fcl*(1-0)/TC</f>
        <v>109.87702686567164</v>
      </c>
      <c r="E6626" s="228">
        <v>3</v>
      </c>
      <c r="F6626" s="585">
        <f>ROUNDUP(D6626+E6626,1)</f>
        <v>112.89999999999999</v>
      </c>
      <c r="G6626" s="338" t="s">
        <v>9085</v>
      </c>
      <c r="H6626" s="2052" t="str">
        <f>B6626</f>
        <v>A9R91240</v>
      </c>
      <c r="I6626" s="520"/>
      <c r="J6626" s="421" t="s">
        <v>1603</v>
      </c>
      <c r="K6626" s="520" t="s">
        <v>741</v>
      </c>
    </row>
    <row r="6627" spans="1:11" s="196" customFormat="1" ht="18" customHeight="1">
      <c r="A6627" s="421" t="s">
        <v>9076</v>
      </c>
      <c r="B6627" s="150" t="s">
        <v>9086</v>
      </c>
      <c r="C6627" s="588">
        <v>178.303</v>
      </c>
      <c r="D6627" s="228">
        <f>C6627*fcl*(1-0)/TC</f>
        <v>88.885376119402977</v>
      </c>
      <c r="E6627" s="228">
        <v>3</v>
      </c>
      <c r="F6627" s="585">
        <f>ROUNDUP(D6627+E6627,1)</f>
        <v>91.899999999999991</v>
      </c>
      <c r="G6627" s="338" t="s">
        <v>9087</v>
      </c>
      <c r="H6627" s="2052" t="str">
        <f>B6627</f>
        <v>A9R91225</v>
      </c>
      <c r="I6627" s="520"/>
      <c r="J6627" s="421" t="s">
        <v>1603</v>
      </c>
      <c r="K6627" s="520" t="s">
        <v>741</v>
      </c>
    </row>
    <row r="6628" spans="1:11" s="196" customFormat="1" ht="18" customHeight="1">
      <c r="B6628" s="206"/>
      <c r="C6628" s="242"/>
      <c r="D6628" s="225"/>
      <c r="E6628" s="234"/>
      <c r="F6628" s="207"/>
      <c r="G6628" s="208"/>
      <c r="H6628" s="206"/>
      <c r="I6628" s="207"/>
      <c r="J6628" s="207"/>
    </row>
    <row r="6629" spans="1:11" s="196" customFormat="1" ht="18" customHeight="1">
      <c r="B6629" s="206"/>
      <c r="C6629" s="242"/>
      <c r="D6629" s="225"/>
      <c r="E6629" s="234"/>
      <c r="F6629" s="207"/>
      <c r="G6629" s="208"/>
      <c r="H6629" s="206"/>
      <c r="I6629" s="207"/>
      <c r="J6629" s="207"/>
    </row>
    <row r="6630" spans="1:11" s="196" customFormat="1" ht="18" customHeight="1">
      <c r="B6630" s="206"/>
      <c r="C6630" s="242"/>
      <c r="D6630" s="225"/>
      <c r="E6630" s="234"/>
      <c r="F6630" s="207"/>
      <c r="G6630" s="208"/>
      <c r="H6630" s="206"/>
      <c r="I6630" s="207"/>
      <c r="J6630" s="207"/>
    </row>
    <row r="6631" spans="1:11" s="196" customFormat="1" ht="18" customHeight="1">
      <c r="A6631" s="421" t="s">
        <v>9076</v>
      </c>
      <c r="B6631" s="150" t="s">
        <v>9088</v>
      </c>
      <c r="C6631" s="588">
        <v>1147.923</v>
      </c>
      <c r="D6631" s="228">
        <f>C6631*fcl*(1-0)/TC</f>
        <v>572.24818208955219</v>
      </c>
      <c r="E6631" s="228">
        <v>15</v>
      </c>
      <c r="F6631" s="585">
        <f>ROUNDUP(D6631+E6631,1)</f>
        <v>587.30000000000007</v>
      </c>
      <c r="G6631" s="338" t="s">
        <v>9089</v>
      </c>
      <c r="H6631" s="2052" t="str">
        <f>B6631</f>
        <v>LV430670</v>
      </c>
      <c r="I6631" s="520"/>
      <c r="J6631" s="421" t="s">
        <v>1603</v>
      </c>
      <c r="K6631" s="520" t="s">
        <v>741</v>
      </c>
    </row>
    <row r="6632" spans="1:11" s="196" customFormat="1" ht="18" customHeight="1">
      <c r="B6632" s="206"/>
      <c r="C6632" s="242"/>
      <c r="D6632" s="225"/>
      <c r="E6632" s="234"/>
      <c r="F6632" s="207"/>
      <c r="G6632" s="208"/>
      <c r="H6632" s="206"/>
      <c r="I6632" s="207"/>
      <c r="J6632" s="207"/>
    </row>
    <row r="6633" spans="1:11" s="196" customFormat="1" ht="18" customHeight="1">
      <c r="A6633" s="421" t="s">
        <v>9076</v>
      </c>
      <c r="B6633" s="150" t="s">
        <v>9090</v>
      </c>
      <c r="C6633" s="588">
        <v>166.69800000000001</v>
      </c>
      <c r="D6633" s="228">
        <f>C6633*fcl*(1-0)/TC</f>
        <v>83.100197014925357</v>
      </c>
      <c r="E6633" s="228">
        <v>15</v>
      </c>
      <c r="F6633" s="585">
        <f>ROUNDUP(D6633+E6633,1)</f>
        <v>98.199999999999989</v>
      </c>
      <c r="G6633" s="1832" t="s">
        <v>9091</v>
      </c>
      <c r="H6633" s="2052" t="str">
        <f>B6633</f>
        <v>EZC100N3080</v>
      </c>
      <c r="I6633" s="520"/>
      <c r="J6633" s="421" t="s">
        <v>1603</v>
      </c>
      <c r="K6633" s="520" t="s">
        <v>741</v>
      </c>
    </row>
    <row r="6634" spans="1:11" s="196" customFormat="1" ht="18" customHeight="1">
      <c r="A6634" s="421" t="s">
        <v>9076</v>
      </c>
      <c r="B6634" s="150" t="s">
        <v>9092</v>
      </c>
      <c r="C6634" s="588">
        <v>166.69800000000001</v>
      </c>
      <c r="D6634" s="228">
        <f>C6634*fcl*(1-0)/TC</f>
        <v>83.100197014925357</v>
      </c>
      <c r="E6634" s="228">
        <v>15</v>
      </c>
      <c r="F6634" s="585">
        <f>ROUNDUP(D6634+E6634,1)</f>
        <v>98.199999999999989</v>
      </c>
      <c r="G6634" s="1832" t="s">
        <v>9093</v>
      </c>
      <c r="H6634" s="2052" t="str">
        <f>B6634</f>
        <v>EZC100N3040</v>
      </c>
      <c r="I6634" s="520"/>
      <c r="J6634" s="421" t="s">
        <v>1603</v>
      </c>
      <c r="K6634" s="520" t="s">
        <v>741</v>
      </c>
    </row>
    <row r="6635" spans="1:11" s="196" customFormat="1" ht="18" customHeight="1">
      <c r="A6635" s="421" t="s">
        <v>9076</v>
      </c>
      <c r="B6635" s="150" t="s">
        <v>9094</v>
      </c>
      <c r="C6635" s="588">
        <v>166.69800000000001</v>
      </c>
      <c r="D6635" s="228">
        <f>C6635*fcl*(1-0)/TC</f>
        <v>83.100197014925357</v>
      </c>
      <c r="E6635" s="228">
        <v>15</v>
      </c>
      <c r="F6635" s="585">
        <f>ROUNDUP(D6635+E6635,1)</f>
        <v>98.199999999999989</v>
      </c>
      <c r="G6635" s="1832" t="s">
        <v>9095</v>
      </c>
      <c r="H6635" s="2052" t="str">
        <f>B6635</f>
        <v>EZC100N3030</v>
      </c>
      <c r="I6635" s="520"/>
      <c r="J6635" s="421" t="s">
        <v>1603</v>
      </c>
      <c r="K6635" s="520" t="s">
        <v>741</v>
      </c>
    </row>
    <row r="6636" spans="1:11" s="196" customFormat="1" ht="18" customHeight="1">
      <c r="B6636" s="206"/>
      <c r="C6636" s="242"/>
      <c r="D6636" s="225"/>
      <c r="E6636" s="234"/>
      <c r="F6636" s="207"/>
      <c r="G6636" s="208"/>
      <c r="H6636" s="206"/>
      <c r="I6636" s="207"/>
      <c r="J6636" s="207"/>
    </row>
    <row r="6637" spans="1:11" s="196" customFormat="1" ht="18" customHeight="1">
      <c r="B6637" s="206"/>
      <c r="C6637" s="242"/>
      <c r="D6637" s="225"/>
      <c r="E6637" s="234"/>
      <c r="F6637" s="207"/>
      <c r="G6637" s="208"/>
      <c r="H6637" s="206"/>
      <c r="I6637" s="207"/>
      <c r="J6637" s="207"/>
    </row>
    <row r="6638" spans="1:11" s="196" customFormat="1" ht="18" customHeight="1">
      <c r="A6638" s="421" t="s">
        <v>9076</v>
      </c>
      <c r="B6638" s="150" t="s">
        <v>9096</v>
      </c>
      <c r="C6638" s="588">
        <v>1897.69</v>
      </c>
      <c r="D6638" s="228">
        <f>C6638*fcl*(1-0)/TC</f>
        <v>946.01262686567156</v>
      </c>
      <c r="E6638" s="228">
        <v>30</v>
      </c>
      <c r="F6638" s="585">
        <f>ROUNDUP(D6638+E6638,1)</f>
        <v>976.1</v>
      </c>
      <c r="G6638" s="1832" t="s">
        <v>9097</v>
      </c>
      <c r="H6638" s="2052" t="str">
        <f>B6638</f>
        <v>METSEPM5330</v>
      </c>
      <c r="I6638" s="520"/>
      <c r="J6638" s="421" t="s">
        <v>1603</v>
      </c>
      <c r="K6638" s="520" t="s">
        <v>741</v>
      </c>
    </row>
    <row r="6639" spans="1:11" s="196" customFormat="1" ht="18" customHeight="1">
      <c r="A6639" s="421" t="s">
        <v>9076</v>
      </c>
      <c r="B6639" s="150" t="s">
        <v>9098</v>
      </c>
      <c r="C6639" s="588">
        <v>346.18799999999999</v>
      </c>
      <c r="D6639" s="228">
        <f>C6639*fcl*(1-0)/TC</f>
        <v>172.57730149253732</v>
      </c>
      <c r="E6639" s="228">
        <v>30</v>
      </c>
      <c r="F6639" s="585">
        <f>ROUNDUP(D6639+E6639,1)</f>
        <v>202.6</v>
      </c>
      <c r="G6639" s="1832" t="s">
        <v>9099</v>
      </c>
      <c r="H6639" s="2052" t="str">
        <f>B6639</f>
        <v>METSEDM6200</v>
      </c>
      <c r="I6639" s="520"/>
      <c r="J6639" s="421" t="s">
        <v>1603</v>
      </c>
      <c r="K6639" s="520" t="s">
        <v>741</v>
      </c>
    </row>
    <row r="6640" spans="1:11" s="196" customFormat="1" ht="18" customHeight="1">
      <c r="A6640" s="421" t="s">
        <v>9076</v>
      </c>
      <c r="B6640" s="150" t="s">
        <v>9100</v>
      </c>
      <c r="C6640" s="588">
        <v>9642.35</v>
      </c>
      <c r="D6640" s="228">
        <f>C6640*fcl*(1-0)/TC</f>
        <v>4806.7834328358213</v>
      </c>
      <c r="E6640" s="228">
        <v>30</v>
      </c>
      <c r="F6640" s="585">
        <f>ROUNDUP(D6640+E6640,1)</f>
        <v>4836.8</v>
      </c>
      <c r="G6640" s="1832" t="s">
        <v>9101</v>
      </c>
      <c r="H6640" s="2052" t="str">
        <f>B6640</f>
        <v>METSEDM8240</v>
      </c>
      <c r="I6640" s="520"/>
      <c r="J6640" s="421" t="s">
        <v>1603</v>
      </c>
      <c r="K6640" s="520" t="s">
        <v>741</v>
      </c>
    </row>
    <row r="6641" spans="1:14" s="196" customFormat="1" ht="18" customHeight="1">
      <c r="B6641" s="150"/>
      <c r="C6641" s="242"/>
      <c r="D6641" s="225"/>
      <c r="E6641" s="234"/>
      <c r="F6641" s="207"/>
      <c r="G6641" s="208"/>
      <c r="H6641" s="206"/>
      <c r="I6641" s="207"/>
      <c r="J6641" s="207"/>
    </row>
    <row r="6642" spans="1:14" s="196" customFormat="1" ht="18" customHeight="1">
      <c r="A6642" s="1732"/>
      <c r="B6642" s="150" t="s">
        <v>9102</v>
      </c>
      <c r="C6642" s="588">
        <v>3</v>
      </c>
      <c r="D6642" s="228">
        <f>C6642*fcl*(1-0)/TC</f>
        <v>1.4955223880597013</v>
      </c>
      <c r="E6642" s="228">
        <v>3</v>
      </c>
      <c r="F6642" s="585">
        <f>ROUNDUP(D6642+E6642,1)</f>
        <v>4.5</v>
      </c>
      <c r="G6642" s="1832" t="s">
        <v>9103</v>
      </c>
      <c r="H6642" s="2052" t="str">
        <f>B6642</f>
        <v>NSYTRV42</v>
      </c>
      <c r="I6642" s="520"/>
      <c r="J6642" s="421" t="s">
        <v>1603</v>
      </c>
      <c r="K6642" s="520" t="s">
        <v>741</v>
      </c>
    </row>
    <row r="6643" spans="1:14" s="196" customFormat="1" ht="18" customHeight="1">
      <c r="A6643" s="1732"/>
      <c r="B6643" s="150" t="s">
        <v>9104</v>
      </c>
      <c r="C6643" s="588">
        <v>18</v>
      </c>
      <c r="D6643" s="228">
        <f>C6643*fcl*(1-0)/TC</f>
        <v>8.9731343283582081</v>
      </c>
      <c r="E6643" s="228">
        <v>3</v>
      </c>
      <c r="F6643" s="585">
        <f>ROUNDUP(D6643+E6643,1)</f>
        <v>12</v>
      </c>
      <c r="G6643" s="1832" t="s">
        <v>13900</v>
      </c>
      <c r="H6643" s="2052" t="str">
        <f>B6643</f>
        <v>NSYTRAL410</v>
      </c>
      <c r="I6643" s="520"/>
      <c r="J6643" s="421" t="s">
        <v>1603</v>
      </c>
      <c r="K6643" s="520" t="s">
        <v>741</v>
      </c>
    </row>
    <row r="6644" spans="1:14" s="194" customFormat="1" ht="18" customHeight="1">
      <c r="A6644" s="421"/>
      <c r="B6644" s="150"/>
      <c r="C6644" s="209"/>
      <c r="D6644" s="228"/>
      <c r="E6644" s="228"/>
      <c r="F6644" s="585"/>
      <c r="G6644" s="1832"/>
      <c r="H6644" s="146"/>
      <c r="I6644" s="520"/>
      <c r="J6644" s="421"/>
      <c r="K6644" s="520"/>
    </row>
    <row r="6645" spans="1:14" s="194" customFormat="1" ht="18" customHeight="1">
      <c r="A6645" s="421"/>
      <c r="B6645" s="150"/>
      <c r="C6645" s="209"/>
      <c r="D6645" s="228"/>
      <c r="E6645" s="228"/>
      <c r="F6645" s="585"/>
      <c r="G6645" s="1832"/>
      <c r="H6645" s="146"/>
      <c r="I6645" s="520"/>
      <c r="J6645" s="421"/>
      <c r="K6645" s="520"/>
    </row>
    <row r="6646" spans="1:14" s="196" customFormat="1" ht="18" customHeight="1">
      <c r="B6646" s="206"/>
      <c r="C6646" s="242"/>
      <c r="D6646" s="225"/>
      <c r="E6646" s="234"/>
      <c r="F6646" s="207"/>
      <c r="G6646" s="208"/>
      <c r="H6646" s="206"/>
      <c r="I6646" s="207"/>
      <c r="J6646" s="207"/>
    </row>
    <row r="6647" spans="1:14" s="196" customFormat="1" ht="18" customHeight="1">
      <c r="A6647" s="1732"/>
      <c r="B6647" s="150" t="s">
        <v>12498</v>
      </c>
      <c r="C6647" s="588">
        <v>54.06</v>
      </c>
      <c r="D6647" s="228">
        <f>C6647*fcl*(1-0)/TC</f>
        <v>26.949313432835819</v>
      </c>
      <c r="E6647" s="228">
        <v>3</v>
      </c>
      <c r="F6647" s="585">
        <f>ROUNDUP(D6647+E6647,1)</f>
        <v>30</v>
      </c>
      <c r="G6647" s="1832" t="s">
        <v>12499</v>
      </c>
      <c r="H6647" s="2052" t="str">
        <f>B6647</f>
        <v>NSYTRV702</v>
      </c>
      <c r="I6647" s="520"/>
      <c r="J6647" s="421" t="s">
        <v>1603</v>
      </c>
      <c r="K6647" s="520" t="s">
        <v>741</v>
      </c>
    </row>
    <row r="6648" spans="1:14" s="196" customFormat="1" ht="18" customHeight="1">
      <c r="B6648" s="206"/>
      <c r="C6648" s="242"/>
      <c r="D6648" s="225"/>
      <c r="E6648" s="234"/>
      <c r="F6648" s="207"/>
      <c r="G6648" s="208"/>
      <c r="H6648" s="206"/>
      <c r="I6648" s="207"/>
      <c r="J6648" s="207"/>
    </row>
    <row r="6649" spans="1:14" s="196" customFormat="1" ht="18" customHeight="1">
      <c r="A6649" s="421"/>
      <c r="B6649" s="150" t="s">
        <v>9105</v>
      </c>
      <c r="C6649" s="588">
        <v>1158</v>
      </c>
      <c r="D6649" s="228">
        <f>C6649*fcl*0.8/3.24</f>
        <v>477.49629629629624</v>
      </c>
      <c r="E6649" s="228">
        <v>10</v>
      </c>
      <c r="F6649" s="585">
        <f>ROUNDUP(D6649+E6649,1)</f>
        <v>487.5</v>
      </c>
      <c r="G6649" s="1832" t="s">
        <v>9106</v>
      </c>
      <c r="H6649" s="2052" t="str">
        <f>B6649</f>
        <v>A9XMSB11</v>
      </c>
      <c r="I6649" s="520"/>
      <c r="J6649" s="421" t="s">
        <v>1603</v>
      </c>
      <c r="K6649" s="520" t="s">
        <v>741</v>
      </c>
    </row>
    <row r="6650" spans="1:14" s="196" customFormat="1" ht="18" customHeight="1">
      <c r="A6650" s="421"/>
      <c r="B6650" s="150" t="s">
        <v>9107</v>
      </c>
      <c r="C6650" s="588">
        <v>66.3</v>
      </c>
      <c r="D6650" s="228">
        <f>C6650*fcl*0.8/3.24</f>
        <v>27.338518518518516</v>
      </c>
      <c r="E6650" s="228">
        <v>5</v>
      </c>
      <c r="F6650" s="585">
        <f>ROUNDUP(D6650+E6650,1)</f>
        <v>32.4</v>
      </c>
      <c r="G6650" s="1832" t="s">
        <v>9108</v>
      </c>
      <c r="H6650" s="2052" t="str">
        <f>B6650</f>
        <v>A9XCAU06</v>
      </c>
      <c r="I6650" s="520"/>
      <c r="J6650" s="421" t="s">
        <v>1603</v>
      </c>
      <c r="K6650" s="520" t="s">
        <v>741</v>
      </c>
    </row>
    <row r="6651" spans="1:14" s="196" customFormat="1" ht="18" customHeight="1">
      <c r="B6651" s="206"/>
      <c r="C6651" s="242"/>
      <c r="D6651" s="225"/>
      <c r="E6651" s="234"/>
      <c r="F6651" s="207"/>
      <c r="G6651" s="208"/>
      <c r="H6651" s="206"/>
      <c r="I6651" s="207"/>
      <c r="J6651" s="207"/>
    </row>
    <row r="6652" spans="1:14" s="194" customFormat="1" ht="15" customHeight="1">
      <c r="B6652" s="206"/>
      <c r="C6652" s="242"/>
      <c r="D6652" s="225"/>
      <c r="E6652" s="234"/>
      <c r="F6652" s="207"/>
      <c r="G6652" s="208"/>
      <c r="H6652" s="206"/>
      <c r="I6652" s="207"/>
      <c r="J6652" s="207"/>
    </row>
    <row r="6653" spans="1:14" s="194" customFormat="1">
      <c r="B6653" s="206"/>
      <c r="C6653" s="242"/>
      <c r="D6653" s="225"/>
      <c r="E6653" s="234"/>
      <c r="F6653" s="207"/>
      <c r="G6653" s="208"/>
      <c r="H6653" s="206"/>
      <c r="I6653" s="207"/>
      <c r="J6653" s="207"/>
      <c r="K6653" s="207"/>
      <c r="L6653" s="207"/>
      <c r="M6653" s="207"/>
      <c r="N6653" s="207"/>
    </row>
    <row r="6654" spans="1:14" s="194" customFormat="1" ht="27.75">
      <c r="B6654" s="1830" t="s">
        <v>10678</v>
      </c>
      <c r="C6654" s="242"/>
      <c r="D6654" s="225"/>
      <c r="E6654" s="234"/>
      <c r="F6654" s="207"/>
      <c r="G6654" s="208"/>
      <c r="H6654" s="206"/>
      <c r="I6654" s="207"/>
      <c r="J6654" s="207"/>
      <c r="K6654" s="207"/>
      <c r="L6654" s="207"/>
      <c r="M6654" s="207"/>
      <c r="N6654" s="207"/>
    </row>
    <row r="6655" spans="1:14" s="194" customFormat="1">
      <c r="B6655" s="206"/>
      <c r="C6655" s="242"/>
      <c r="D6655" s="225"/>
      <c r="E6655" s="234"/>
      <c r="F6655" s="207"/>
      <c r="G6655" s="208"/>
      <c r="H6655" s="206"/>
      <c r="I6655" s="207"/>
      <c r="J6655" s="207"/>
      <c r="K6655" s="207"/>
      <c r="L6655" s="207"/>
      <c r="M6655" s="207"/>
      <c r="N6655" s="207"/>
    </row>
    <row r="6656" spans="1:14" s="196" customFormat="1">
      <c r="B6656" s="28" t="s">
        <v>10400</v>
      </c>
      <c r="C6656" s="2510">
        <v>102.02222222222221</v>
      </c>
      <c r="D6656" s="244">
        <f t="shared" ref="D6656:D6664" si="987">C6656*(1-VLOOKUP(I6656,descuentos,6,FALSE))*fcl/IF(dol_sol="dólar", TC,1)</f>
        <v>45.772955223880594</v>
      </c>
      <c r="E6656" s="216">
        <v>15</v>
      </c>
      <c r="F6656" s="2001">
        <f t="shared" ref="F6656:F6664" si="988">D6656+E6656</f>
        <v>60.772955223880594</v>
      </c>
      <c r="G6656" s="338" t="s">
        <v>11846</v>
      </c>
      <c r="H6656" s="2003">
        <v>27050</v>
      </c>
      <c r="I6656" s="501" t="s">
        <v>10379</v>
      </c>
      <c r="J6656" s="502" t="s">
        <v>10678</v>
      </c>
    </row>
    <row r="6657" spans="2:10" s="196" customFormat="1">
      <c r="B6657" s="28" t="s">
        <v>10401</v>
      </c>
      <c r="C6657" s="2510">
        <v>102.02222222222221</v>
      </c>
      <c r="D6657" s="244">
        <f t="shared" si="987"/>
        <v>45.772955223880594</v>
      </c>
      <c r="E6657" s="216">
        <v>15</v>
      </c>
      <c r="F6657" s="2001">
        <f t="shared" si="988"/>
        <v>60.772955223880594</v>
      </c>
      <c r="G6657" s="338" t="s">
        <v>11847</v>
      </c>
      <c r="H6657" s="2003" t="s">
        <v>10402</v>
      </c>
      <c r="I6657" s="501" t="s">
        <v>10379</v>
      </c>
      <c r="J6657" s="502" t="s">
        <v>10678</v>
      </c>
    </row>
    <row r="6658" spans="2:10" s="196" customFormat="1">
      <c r="B6658" s="28" t="s">
        <v>10403</v>
      </c>
      <c r="C6658" s="2510">
        <v>102.02222222222221</v>
      </c>
      <c r="D6658" s="244">
        <f t="shared" si="987"/>
        <v>45.772955223880594</v>
      </c>
      <c r="E6658" s="216">
        <v>15</v>
      </c>
      <c r="F6658" s="2001">
        <f t="shared" si="988"/>
        <v>60.772955223880594</v>
      </c>
      <c r="G6658" s="338" t="s">
        <v>11848</v>
      </c>
      <c r="H6658" s="2003" t="s">
        <v>10404</v>
      </c>
      <c r="I6658" s="501" t="s">
        <v>10379</v>
      </c>
      <c r="J6658" s="502" t="s">
        <v>10678</v>
      </c>
    </row>
    <row r="6659" spans="2:10" s="196" customFormat="1">
      <c r="B6659" s="28" t="s">
        <v>10405</v>
      </c>
      <c r="C6659" s="2510">
        <v>102.02222222222221</v>
      </c>
      <c r="D6659" s="244">
        <f t="shared" si="987"/>
        <v>45.772955223880594</v>
      </c>
      <c r="E6659" s="216">
        <v>15</v>
      </c>
      <c r="F6659" s="2001">
        <f t="shared" si="988"/>
        <v>60.772955223880594</v>
      </c>
      <c r="G6659" s="338" t="s">
        <v>11849</v>
      </c>
      <c r="H6659" s="2003" t="s">
        <v>10406</v>
      </c>
      <c r="I6659" s="501" t="s">
        <v>10379</v>
      </c>
      <c r="J6659" s="502" t="s">
        <v>10678</v>
      </c>
    </row>
    <row r="6660" spans="2:10" s="196" customFormat="1">
      <c r="B6660" s="28" t="s">
        <v>10407</v>
      </c>
      <c r="C6660" s="2510">
        <v>102.02222222222221</v>
      </c>
      <c r="D6660" s="244">
        <f t="shared" si="987"/>
        <v>45.772955223880594</v>
      </c>
      <c r="E6660" s="216">
        <v>15</v>
      </c>
      <c r="F6660" s="2001">
        <f t="shared" si="988"/>
        <v>60.772955223880594</v>
      </c>
      <c r="G6660" s="338" t="s">
        <v>11850</v>
      </c>
      <c r="H6660" s="2003" t="s">
        <v>10408</v>
      </c>
      <c r="I6660" s="501" t="s">
        <v>10379</v>
      </c>
      <c r="J6660" s="502" t="s">
        <v>10678</v>
      </c>
    </row>
    <row r="6661" spans="2:10" s="196" customFormat="1">
      <c r="B6661" s="28" t="s">
        <v>10409</v>
      </c>
      <c r="C6661" s="2510">
        <v>108.95555555555555</v>
      </c>
      <c r="D6661" s="244">
        <f t="shared" si="987"/>
        <v>48.883641791044774</v>
      </c>
      <c r="E6661" s="216">
        <v>15</v>
      </c>
      <c r="F6661" s="2001">
        <f t="shared" si="988"/>
        <v>63.883641791044774</v>
      </c>
      <c r="G6661" s="338" t="s">
        <v>11851</v>
      </c>
      <c r="H6661" s="2003" t="s">
        <v>10410</v>
      </c>
      <c r="I6661" s="501" t="s">
        <v>10379</v>
      </c>
      <c r="J6661" s="502" t="s">
        <v>10678</v>
      </c>
    </row>
    <row r="6662" spans="2:10" s="196" customFormat="1">
      <c r="B6662" s="28" t="s">
        <v>10411</v>
      </c>
      <c r="C6662" s="2510">
        <v>108.95555555555555</v>
      </c>
      <c r="D6662" s="244">
        <f t="shared" si="987"/>
        <v>48.883641791044774</v>
      </c>
      <c r="E6662" s="216">
        <v>15</v>
      </c>
      <c r="F6662" s="2001">
        <f t="shared" si="988"/>
        <v>63.883641791044774</v>
      </c>
      <c r="G6662" s="338" t="s">
        <v>11852</v>
      </c>
      <c r="H6662" s="2003" t="s">
        <v>10412</v>
      </c>
      <c r="I6662" s="501" t="s">
        <v>10379</v>
      </c>
      <c r="J6662" s="502" t="s">
        <v>10678</v>
      </c>
    </row>
    <row r="6663" spans="2:10" s="196" customFormat="1">
      <c r="B6663" s="28" t="s">
        <v>10413</v>
      </c>
      <c r="C6663" s="2510">
        <v>120.3</v>
      </c>
      <c r="D6663" s="244">
        <f t="shared" si="987"/>
        <v>53.973402985074621</v>
      </c>
      <c r="E6663" s="216">
        <v>15</v>
      </c>
      <c r="F6663" s="2001">
        <f t="shared" si="988"/>
        <v>68.973402985074614</v>
      </c>
      <c r="G6663" s="338" t="s">
        <v>11853</v>
      </c>
      <c r="H6663" s="2003" t="s">
        <v>10414</v>
      </c>
      <c r="I6663" s="501" t="s">
        <v>10379</v>
      </c>
      <c r="J6663" s="502" t="s">
        <v>10678</v>
      </c>
    </row>
    <row r="6664" spans="2:10" s="196" customFormat="1">
      <c r="B6664" s="28" t="s">
        <v>10415</v>
      </c>
      <c r="C6664" s="2510">
        <v>120.3</v>
      </c>
      <c r="D6664" s="244">
        <f t="shared" si="987"/>
        <v>53.973402985074621</v>
      </c>
      <c r="E6664" s="216">
        <v>15</v>
      </c>
      <c r="F6664" s="2001">
        <f t="shared" si="988"/>
        <v>68.973402985074614</v>
      </c>
      <c r="G6664" s="338" t="s">
        <v>11854</v>
      </c>
      <c r="H6664" s="2003" t="s">
        <v>10416</v>
      </c>
      <c r="I6664" s="501" t="s">
        <v>10379</v>
      </c>
      <c r="J6664" s="502" t="s">
        <v>10678</v>
      </c>
    </row>
    <row r="6665" spans="2:10" s="196" customFormat="1">
      <c r="B6665" s="28"/>
      <c r="C6665" s="2510"/>
      <c r="D6665" s="2004"/>
      <c r="E6665" s="216"/>
      <c r="F6665" s="2001"/>
      <c r="G6665" s="208"/>
      <c r="H6665" s="2003"/>
      <c r="I6665" s="501"/>
      <c r="J6665" s="502"/>
    </row>
    <row r="6666" spans="2:10" s="196" customFormat="1">
      <c r="B6666" s="28" t="s">
        <v>10417</v>
      </c>
      <c r="C6666" s="2510">
        <v>128.47777777777776</v>
      </c>
      <c r="D6666" s="244">
        <f t="shared" ref="D6666:D6674" si="989">C6666*(1-VLOOKUP(I6666,descuentos,6,FALSE))*fcl/IF(dol_sol="dólar", TC,1)</f>
        <v>57.642417910447747</v>
      </c>
      <c r="E6666" s="216">
        <v>15</v>
      </c>
      <c r="F6666" s="2001">
        <f t="shared" ref="F6666:F6674" si="990">D6666+E6666</f>
        <v>72.642417910447747</v>
      </c>
      <c r="G6666" s="338" t="s">
        <v>11855</v>
      </c>
      <c r="H6666" s="2003">
        <v>27000</v>
      </c>
      <c r="I6666" s="501" t="s">
        <v>10379</v>
      </c>
      <c r="J6666" s="502" t="s">
        <v>10678</v>
      </c>
    </row>
    <row r="6667" spans="2:10" s="196" customFormat="1">
      <c r="B6667" s="28" t="s">
        <v>10418</v>
      </c>
      <c r="C6667" s="2510">
        <v>128.47777777777776</v>
      </c>
      <c r="D6667" s="244">
        <f t="shared" si="989"/>
        <v>57.642417910447747</v>
      </c>
      <c r="E6667" s="216">
        <v>15</v>
      </c>
      <c r="F6667" s="2001">
        <f t="shared" si="990"/>
        <v>72.642417910447747</v>
      </c>
      <c r="G6667" s="338" t="s">
        <v>11856</v>
      </c>
      <c r="H6667" s="2003" t="s">
        <v>10419</v>
      </c>
      <c r="I6667" s="501" t="s">
        <v>10379</v>
      </c>
      <c r="J6667" s="502" t="s">
        <v>10678</v>
      </c>
    </row>
    <row r="6668" spans="2:10" s="196" customFormat="1">
      <c r="B6668" s="28" t="s">
        <v>10420</v>
      </c>
      <c r="C6668" s="2510">
        <v>128.47777777777776</v>
      </c>
      <c r="D6668" s="244">
        <f t="shared" si="989"/>
        <v>57.642417910447747</v>
      </c>
      <c r="E6668" s="216">
        <v>15</v>
      </c>
      <c r="F6668" s="2001">
        <f t="shared" si="990"/>
        <v>72.642417910447747</v>
      </c>
      <c r="G6668" s="338" t="s">
        <v>11857</v>
      </c>
      <c r="H6668" s="2003" t="s">
        <v>10421</v>
      </c>
      <c r="I6668" s="501" t="s">
        <v>10379</v>
      </c>
      <c r="J6668" s="502" t="s">
        <v>10678</v>
      </c>
    </row>
    <row r="6669" spans="2:10" s="196" customFormat="1">
      <c r="B6669" s="28" t="s">
        <v>10422</v>
      </c>
      <c r="C6669" s="2510">
        <v>128.47777777777776</v>
      </c>
      <c r="D6669" s="244">
        <f t="shared" si="989"/>
        <v>57.642417910447747</v>
      </c>
      <c r="E6669" s="216">
        <v>15</v>
      </c>
      <c r="F6669" s="2001">
        <f t="shared" si="990"/>
        <v>72.642417910447747</v>
      </c>
      <c r="G6669" s="338" t="s">
        <v>11858</v>
      </c>
      <c r="H6669" s="2003" t="s">
        <v>10423</v>
      </c>
      <c r="I6669" s="501" t="s">
        <v>10379</v>
      </c>
      <c r="J6669" s="502" t="s">
        <v>10678</v>
      </c>
    </row>
    <row r="6670" spans="2:10" s="196" customFormat="1">
      <c r="B6670" s="28" t="s">
        <v>10424</v>
      </c>
      <c r="C6670" s="2510">
        <v>128.47777777777776</v>
      </c>
      <c r="D6670" s="244">
        <f t="shared" si="989"/>
        <v>57.642417910447747</v>
      </c>
      <c r="E6670" s="216">
        <v>15</v>
      </c>
      <c r="F6670" s="2001">
        <f t="shared" si="990"/>
        <v>72.642417910447747</v>
      </c>
      <c r="G6670" s="338" t="s">
        <v>11859</v>
      </c>
      <c r="H6670" s="2003" t="s">
        <v>10425</v>
      </c>
      <c r="I6670" s="501" t="s">
        <v>10379</v>
      </c>
      <c r="J6670" s="502" t="s">
        <v>10678</v>
      </c>
    </row>
    <row r="6671" spans="2:10" s="196" customFormat="1">
      <c r="B6671" s="28" t="s">
        <v>10426</v>
      </c>
      <c r="C6671" s="2510">
        <v>128.47777777777776</v>
      </c>
      <c r="D6671" s="244">
        <f t="shared" si="989"/>
        <v>57.642417910447747</v>
      </c>
      <c r="E6671" s="216">
        <v>15</v>
      </c>
      <c r="F6671" s="2001">
        <f t="shared" si="990"/>
        <v>72.642417910447747</v>
      </c>
      <c r="G6671" s="338" t="s">
        <v>11860</v>
      </c>
      <c r="H6671" s="2003" t="s">
        <v>10427</v>
      </c>
      <c r="I6671" s="501" t="s">
        <v>10379</v>
      </c>
      <c r="J6671" s="502" t="s">
        <v>10678</v>
      </c>
    </row>
    <row r="6672" spans="2:10" s="196" customFormat="1">
      <c r="B6672" s="28" t="s">
        <v>10428</v>
      </c>
      <c r="C6672" s="2510">
        <v>128.47777777777776</v>
      </c>
      <c r="D6672" s="244">
        <f t="shared" si="989"/>
        <v>57.642417910447747</v>
      </c>
      <c r="E6672" s="216">
        <v>15</v>
      </c>
      <c r="F6672" s="2001">
        <f t="shared" si="990"/>
        <v>72.642417910447747</v>
      </c>
      <c r="G6672" s="338" t="s">
        <v>11861</v>
      </c>
      <c r="H6672" s="2003" t="s">
        <v>10429</v>
      </c>
      <c r="I6672" s="501" t="s">
        <v>10379</v>
      </c>
      <c r="J6672" s="502" t="s">
        <v>10678</v>
      </c>
    </row>
    <row r="6673" spans="2:10" s="196" customFormat="1">
      <c r="B6673" s="28" t="s">
        <v>10430</v>
      </c>
      <c r="C6673" s="2510">
        <v>128.47777777777776</v>
      </c>
      <c r="D6673" s="244">
        <f t="shared" si="989"/>
        <v>57.642417910447747</v>
      </c>
      <c r="E6673" s="216">
        <v>15</v>
      </c>
      <c r="F6673" s="2001">
        <f t="shared" si="990"/>
        <v>72.642417910447747</v>
      </c>
      <c r="G6673" s="338" t="s">
        <v>11862</v>
      </c>
      <c r="H6673" s="2003" t="s">
        <v>10431</v>
      </c>
      <c r="I6673" s="501" t="s">
        <v>10379</v>
      </c>
      <c r="J6673" s="502" t="s">
        <v>10678</v>
      </c>
    </row>
    <row r="6674" spans="2:10" s="196" customFormat="1">
      <c r="B6674" s="28" t="s">
        <v>10432</v>
      </c>
      <c r="C6674" s="2510">
        <v>135.41111111111113</v>
      </c>
      <c r="D6674" s="244">
        <f t="shared" si="989"/>
        <v>60.753104477611942</v>
      </c>
      <c r="E6674" s="216">
        <v>15</v>
      </c>
      <c r="F6674" s="2001">
        <f t="shared" si="990"/>
        <v>75.753104477611942</v>
      </c>
      <c r="G6674" s="338" t="s">
        <v>11863</v>
      </c>
      <c r="H6674" s="2003" t="s">
        <v>10433</v>
      </c>
      <c r="I6674" s="501" t="s">
        <v>10379</v>
      </c>
      <c r="J6674" s="502" t="s">
        <v>10678</v>
      </c>
    </row>
    <row r="6675" spans="2:10" s="196" customFormat="1">
      <c r="B6675" s="28"/>
      <c r="C6675" s="2510"/>
      <c r="D6675" s="2004"/>
      <c r="E6675" s="216"/>
      <c r="F6675" s="2001"/>
      <c r="G6675" s="208"/>
      <c r="H6675" s="2003"/>
      <c r="I6675" s="501"/>
      <c r="J6675" s="502"/>
    </row>
    <row r="6676" spans="2:10" s="196" customFormat="1">
      <c r="B6676" s="28" t="s">
        <v>10434</v>
      </c>
      <c r="C6676" s="2510">
        <v>141.0888888888889</v>
      </c>
      <c r="D6676" s="244">
        <f t="shared" ref="D6676:D6684" si="991">C6676*(1-VLOOKUP(I6676,descuentos,6,FALSE))*fcl/IF(dol_sol="dólar", TC,1)</f>
        <v>63.300477611940309</v>
      </c>
      <c r="E6676" s="216">
        <v>15</v>
      </c>
      <c r="F6676" s="2001">
        <f t="shared" ref="F6676:F6684" si="992">D6676+E6676</f>
        <v>78.300477611940309</v>
      </c>
      <c r="G6676" s="338" t="s">
        <v>11864</v>
      </c>
      <c r="H6676" s="2003">
        <v>27060</v>
      </c>
      <c r="I6676" s="501" t="s">
        <v>10379</v>
      </c>
      <c r="J6676" s="502" t="s">
        <v>10678</v>
      </c>
    </row>
    <row r="6677" spans="2:10" s="196" customFormat="1">
      <c r="B6677" s="28" t="s">
        <v>10435</v>
      </c>
      <c r="C6677" s="2510">
        <v>141.0888888888889</v>
      </c>
      <c r="D6677" s="244">
        <f t="shared" si="991"/>
        <v>63.300477611940309</v>
      </c>
      <c r="E6677" s="216">
        <v>15</v>
      </c>
      <c r="F6677" s="2001">
        <f t="shared" si="992"/>
        <v>78.300477611940309</v>
      </c>
      <c r="G6677" s="338" t="s">
        <v>11865</v>
      </c>
      <c r="H6677" s="2003" t="s">
        <v>10436</v>
      </c>
      <c r="I6677" s="501" t="s">
        <v>10379</v>
      </c>
      <c r="J6677" s="502" t="s">
        <v>10678</v>
      </c>
    </row>
    <row r="6678" spans="2:10" s="196" customFormat="1">
      <c r="B6678" s="28" t="s">
        <v>10437</v>
      </c>
      <c r="C6678" s="2510">
        <v>141.0888888888889</v>
      </c>
      <c r="D6678" s="244">
        <f t="shared" si="991"/>
        <v>63.300477611940309</v>
      </c>
      <c r="E6678" s="216">
        <v>15</v>
      </c>
      <c r="F6678" s="2001">
        <f t="shared" si="992"/>
        <v>78.300477611940309</v>
      </c>
      <c r="G6678" s="338" t="s">
        <v>11866</v>
      </c>
      <c r="H6678" s="2003" t="s">
        <v>10438</v>
      </c>
      <c r="I6678" s="501" t="s">
        <v>10379</v>
      </c>
      <c r="J6678" s="502" t="s">
        <v>10678</v>
      </c>
    </row>
    <row r="6679" spans="2:10" s="196" customFormat="1">
      <c r="B6679" s="28" t="s">
        <v>10439</v>
      </c>
      <c r="C6679" s="2510">
        <v>141.0888888888889</v>
      </c>
      <c r="D6679" s="244">
        <f t="shared" si="991"/>
        <v>63.300477611940309</v>
      </c>
      <c r="E6679" s="216">
        <v>15</v>
      </c>
      <c r="F6679" s="2001">
        <f t="shared" si="992"/>
        <v>78.300477611940309</v>
      </c>
      <c r="G6679" s="338" t="s">
        <v>11867</v>
      </c>
      <c r="H6679" s="2003" t="s">
        <v>10440</v>
      </c>
      <c r="I6679" s="501" t="s">
        <v>10379</v>
      </c>
      <c r="J6679" s="502" t="s">
        <v>10678</v>
      </c>
    </row>
    <row r="6680" spans="2:10" s="196" customFormat="1">
      <c r="B6680" s="28" t="s">
        <v>10441</v>
      </c>
      <c r="C6680" s="2510">
        <v>141.0888888888889</v>
      </c>
      <c r="D6680" s="244">
        <f t="shared" si="991"/>
        <v>63.300477611940309</v>
      </c>
      <c r="E6680" s="216">
        <v>15</v>
      </c>
      <c r="F6680" s="2001">
        <f t="shared" si="992"/>
        <v>78.300477611940309</v>
      </c>
      <c r="G6680" s="338" t="s">
        <v>11868</v>
      </c>
      <c r="H6680" s="2003" t="s">
        <v>10442</v>
      </c>
      <c r="I6680" s="501" t="s">
        <v>10379</v>
      </c>
      <c r="J6680" s="502" t="s">
        <v>10678</v>
      </c>
    </row>
    <row r="6681" spans="2:10" s="196" customFormat="1">
      <c r="B6681" s="28" t="s">
        <v>10443</v>
      </c>
      <c r="C6681" s="2510">
        <v>141.0888888888889</v>
      </c>
      <c r="D6681" s="244">
        <f t="shared" si="991"/>
        <v>63.300477611940309</v>
      </c>
      <c r="E6681" s="216">
        <v>15</v>
      </c>
      <c r="F6681" s="2001">
        <f t="shared" si="992"/>
        <v>78.300477611940309</v>
      </c>
      <c r="G6681" s="338" t="s">
        <v>11869</v>
      </c>
      <c r="H6681" s="2003" t="s">
        <v>10444</v>
      </c>
      <c r="I6681" s="501" t="s">
        <v>10379</v>
      </c>
      <c r="J6681" s="502" t="s">
        <v>10678</v>
      </c>
    </row>
    <row r="6682" spans="2:10" s="196" customFormat="1">
      <c r="B6682" s="28" t="s">
        <v>10445</v>
      </c>
      <c r="C6682" s="2510">
        <v>141.0888888888889</v>
      </c>
      <c r="D6682" s="244">
        <f t="shared" si="991"/>
        <v>63.300477611940309</v>
      </c>
      <c r="E6682" s="216">
        <v>15</v>
      </c>
      <c r="F6682" s="2001">
        <f t="shared" si="992"/>
        <v>78.300477611940309</v>
      </c>
      <c r="G6682" s="338" t="s">
        <v>11870</v>
      </c>
      <c r="H6682" s="2003" t="s">
        <v>10446</v>
      </c>
      <c r="I6682" s="501" t="s">
        <v>10379</v>
      </c>
      <c r="J6682" s="502" t="s">
        <v>10678</v>
      </c>
    </row>
    <row r="6683" spans="2:10" s="196" customFormat="1">
      <c r="B6683" s="28" t="s">
        <v>10447</v>
      </c>
      <c r="C6683" s="2510">
        <v>141.0888888888889</v>
      </c>
      <c r="D6683" s="244">
        <f t="shared" si="991"/>
        <v>63.300477611940309</v>
      </c>
      <c r="E6683" s="216">
        <v>15</v>
      </c>
      <c r="F6683" s="2001">
        <f t="shared" si="992"/>
        <v>78.300477611940309</v>
      </c>
      <c r="G6683" s="338" t="s">
        <v>11871</v>
      </c>
      <c r="H6683" s="2003" t="s">
        <v>10448</v>
      </c>
      <c r="I6683" s="501" t="s">
        <v>10379</v>
      </c>
      <c r="J6683" s="502" t="s">
        <v>10678</v>
      </c>
    </row>
    <row r="6684" spans="2:10" s="196" customFormat="1">
      <c r="B6684" s="28" t="s">
        <v>10449</v>
      </c>
      <c r="C6684" s="2510">
        <v>153.67777777777778</v>
      </c>
      <c r="D6684" s="244">
        <f t="shared" si="991"/>
        <v>68.948567164179096</v>
      </c>
      <c r="E6684" s="216">
        <v>15</v>
      </c>
      <c r="F6684" s="2001">
        <f t="shared" si="992"/>
        <v>83.948567164179096</v>
      </c>
      <c r="G6684" s="338" t="s">
        <v>11872</v>
      </c>
      <c r="H6684" s="2003" t="s">
        <v>10450</v>
      </c>
      <c r="I6684" s="501" t="s">
        <v>10379</v>
      </c>
      <c r="J6684" s="502" t="s">
        <v>10678</v>
      </c>
    </row>
    <row r="6685" spans="2:10" s="196" customFormat="1">
      <c r="B6685" s="28"/>
      <c r="C6685" s="2510"/>
      <c r="D6685" s="2004"/>
      <c r="E6685" s="216"/>
      <c r="F6685" s="2001"/>
      <c r="G6685" s="338"/>
      <c r="H6685" s="2003"/>
      <c r="I6685" s="501"/>
      <c r="J6685" s="502"/>
    </row>
    <row r="6686" spans="2:10" s="196" customFormat="1">
      <c r="B6686" s="28" t="s">
        <v>10451</v>
      </c>
      <c r="C6686" s="2510">
        <v>230.52222222222221</v>
      </c>
      <c r="D6686" s="244">
        <f t="shared" ref="D6686:D6691" si="993">C6686*(1-VLOOKUP(I6686,descuentos,6,FALSE))*fcl/IF(dol_sol="dólar", TC,1)</f>
        <v>103.42534328358208</v>
      </c>
      <c r="E6686" s="216">
        <v>15</v>
      </c>
      <c r="F6686" s="2001">
        <f t="shared" ref="F6686:F6691" si="994">D6686+E6686</f>
        <v>118.42534328358208</v>
      </c>
      <c r="G6686" s="338" t="s">
        <v>11873</v>
      </c>
      <c r="H6686" s="2003">
        <v>27112</v>
      </c>
      <c r="I6686" s="501" t="s">
        <v>10379</v>
      </c>
      <c r="J6686" s="502" t="s">
        <v>10678</v>
      </c>
    </row>
    <row r="6687" spans="2:10" s="196" customFormat="1">
      <c r="B6687" s="28" t="s">
        <v>10452</v>
      </c>
      <c r="C6687" s="2510">
        <v>230.52222222222221</v>
      </c>
      <c r="D6687" s="244">
        <f t="shared" si="993"/>
        <v>103.42534328358208</v>
      </c>
      <c r="E6687" s="216">
        <v>15</v>
      </c>
      <c r="F6687" s="2001">
        <f t="shared" si="994"/>
        <v>118.42534328358208</v>
      </c>
      <c r="G6687" s="338" t="s">
        <v>11874</v>
      </c>
      <c r="H6687" s="2003" t="s">
        <v>10453</v>
      </c>
      <c r="I6687" s="501" t="s">
        <v>10379</v>
      </c>
      <c r="J6687" s="502" t="s">
        <v>10678</v>
      </c>
    </row>
    <row r="6688" spans="2:10" s="196" customFormat="1">
      <c r="B6688" s="28" t="s">
        <v>10454</v>
      </c>
      <c r="C6688" s="2510">
        <v>275.23333333333335</v>
      </c>
      <c r="D6688" s="244">
        <f t="shared" si="993"/>
        <v>123.48528358208955</v>
      </c>
      <c r="E6688" s="216">
        <v>15</v>
      </c>
      <c r="F6688" s="2001">
        <f t="shared" si="994"/>
        <v>138.48528358208955</v>
      </c>
      <c r="G6688" s="338" t="s">
        <v>12422</v>
      </c>
      <c r="H6688" s="2003" t="s">
        <v>10455</v>
      </c>
      <c r="I6688" s="501" t="s">
        <v>10379</v>
      </c>
      <c r="J6688" s="502" t="s">
        <v>10678</v>
      </c>
    </row>
    <row r="6689" spans="1:11" s="196" customFormat="1">
      <c r="B6689" s="28" t="s">
        <v>10456</v>
      </c>
      <c r="C6689" s="2510">
        <v>279.01111111111112</v>
      </c>
      <c r="D6689" s="244">
        <f t="shared" si="993"/>
        <v>125.18020895522388</v>
      </c>
      <c r="E6689" s="216">
        <v>15</v>
      </c>
      <c r="F6689" s="2001">
        <f t="shared" si="994"/>
        <v>140.18020895522386</v>
      </c>
      <c r="G6689" s="338" t="s">
        <v>11875</v>
      </c>
      <c r="H6689" s="2003" t="s">
        <v>10457</v>
      </c>
      <c r="I6689" s="501" t="s">
        <v>10379</v>
      </c>
      <c r="J6689" s="502" t="s">
        <v>10678</v>
      </c>
    </row>
    <row r="6690" spans="1:11" s="196" customFormat="1">
      <c r="B6690" s="28" t="s">
        <v>10458</v>
      </c>
      <c r="C6690" s="2510">
        <v>287.83333333333331</v>
      </c>
      <c r="D6690" s="244">
        <f t="shared" si="993"/>
        <v>129.13835820895522</v>
      </c>
      <c r="E6690" s="216">
        <v>15</v>
      </c>
      <c r="F6690" s="2001">
        <f t="shared" si="994"/>
        <v>144.13835820895522</v>
      </c>
      <c r="G6690" s="338" t="s">
        <v>11876</v>
      </c>
      <c r="H6690" s="2003" t="s">
        <v>10459</v>
      </c>
      <c r="I6690" s="501" t="s">
        <v>10379</v>
      </c>
      <c r="J6690" s="502" t="s">
        <v>10678</v>
      </c>
    </row>
    <row r="6691" spans="1:11" s="196" customFormat="1">
      <c r="B6691" s="28" t="s">
        <v>10460</v>
      </c>
      <c r="C6691" s="2510">
        <v>294.13333333333338</v>
      </c>
      <c r="D6691" s="244">
        <f t="shared" si="993"/>
        <v>131.96489552238805</v>
      </c>
      <c r="E6691" s="216">
        <v>15</v>
      </c>
      <c r="F6691" s="2001">
        <f t="shared" si="994"/>
        <v>146.96489552238805</v>
      </c>
      <c r="G6691" s="338" t="s">
        <v>11877</v>
      </c>
      <c r="H6691" s="2003" t="s">
        <v>10461</v>
      </c>
      <c r="I6691" s="501" t="s">
        <v>10379</v>
      </c>
      <c r="J6691" s="502" t="s">
        <v>10678</v>
      </c>
    </row>
    <row r="6692" spans="1:11" s="196" customFormat="1">
      <c r="B6692" s="28"/>
      <c r="C6692" s="2510"/>
      <c r="D6692" s="244"/>
      <c r="E6692" s="216"/>
      <c r="F6692" s="2001"/>
      <c r="G6692" s="338"/>
      <c r="H6692" s="2003"/>
      <c r="I6692" s="501"/>
      <c r="J6692" s="502"/>
    </row>
    <row r="6693" spans="1:11" s="196" customFormat="1">
      <c r="B6693" s="28" t="s">
        <v>14060</v>
      </c>
      <c r="C6693" s="2510">
        <v>793.57777777777778</v>
      </c>
      <c r="D6693" s="244">
        <f t="shared" ref="D6693:D6696" si="995">C6693*(1-VLOOKUP(I6693,descuentos,6,FALSE))*fcl/IF(dol_sol="dólar", TC,1)</f>
        <v>356.04399999999998</v>
      </c>
      <c r="E6693" s="216">
        <v>15</v>
      </c>
      <c r="F6693" s="2001">
        <f t="shared" ref="F6693:F6696" si="996">D6693+E6693</f>
        <v>371.04399999999998</v>
      </c>
      <c r="G6693" s="338" t="s">
        <v>14061</v>
      </c>
      <c r="H6693" s="2003" t="s">
        <v>14062</v>
      </c>
      <c r="I6693" s="501" t="s">
        <v>10379</v>
      </c>
      <c r="J6693" s="502" t="s">
        <v>10678</v>
      </c>
    </row>
    <row r="6694" spans="1:11" s="196" customFormat="1">
      <c r="B6694" s="28" t="s">
        <v>14063</v>
      </c>
      <c r="C6694" s="2510">
        <v>793.57777777777778</v>
      </c>
      <c r="D6694" s="244">
        <f t="shared" si="995"/>
        <v>356.04399999999998</v>
      </c>
      <c r="E6694" s="216">
        <v>15</v>
      </c>
      <c r="F6694" s="2001">
        <f t="shared" si="996"/>
        <v>371.04399999999998</v>
      </c>
      <c r="G6694" s="338" t="s">
        <v>14064</v>
      </c>
      <c r="H6694" s="2003" t="s">
        <v>14065</v>
      </c>
      <c r="I6694" s="501" t="s">
        <v>10379</v>
      </c>
      <c r="J6694" s="502" t="s">
        <v>10678</v>
      </c>
    </row>
    <row r="6695" spans="1:11" s="196" customFormat="1">
      <c r="B6695" s="28" t="s">
        <v>14066</v>
      </c>
      <c r="C6695" s="2510">
        <v>915.12222222222226</v>
      </c>
      <c r="D6695" s="244">
        <f t="shared" si="995"/>
        <v>410.57573134328356</v>
      </c>
      <c r="E6695" s="216">
        <v>15</v>
      </c>
      <c r="F6695" s="2001">
        <f t="shared" si="996"/>
        <v>425.57573134328356</v>
      </c>
      <c r="G6695" s="338" t="s">
        <v>14067</v>
      </c>
      <c r="H6695" s="2003" t="s">
        <v>14068</v>
      </c>
      <c r="I6695" s="501" t="s">
        <v>10379</v>
      </c>
      <c r="J6695" s="502" t="s">
        <v>10678</v>
      </c>
    </row>
    <row r="6696" spans="1:11" s="196" customFormat="1">
      <c r="B6696" s="28" t="s">
        <v>14069</v>
      </c>
      <c r="C6696" s="2510">
        <v>941.57777777777767</v>
      </c>
      <c r="D6696" s="244">
        <f t="shared" si="995"/>
        <v>422.44519402985071</v>
      </c>
      <c r="E6696" s="216">
        <v>15</v>
      </c>
      <c r="F6696" s="2001">
        <f t="shared" si="996"/>
        <v>437.44519402985071</v>
      </c>
      <c r="G6696" s="338" t="s">
        <v>14070</v>
      </c>
      <c r="H6696" s="2003" t="s">
        <v>14071</v>
      </c>
      <c r="I6696" s="501" t="s">
        <v>10379</v>
      </c>
      <c r="J6696" s="502" t="s">
        <v>10678</v>
      </c>
    </row>
    <row r="6697" spans="1:11" s="196" customFormat="1" ht="12" customHeight="1">
      <c r="B6697" s="28"/>
      <c r="C6697" s="2510"/>
      <c r="D6697" s="2004"/>
      <c r="E6697" s="216"/>
      <c r="F6697" s="2001"/>
      <c r="G6697" s="208"/>
      <c r="H6697" s="2003"/>
      <c r="I6697" s="501"/>
      <c r="J6697" s="502"/>
    </row>
    <row r="6698" spans="1:11" s="196" customFormat="1">
      <c r="B6698" s="28"/>
      <c r="C6698" s="2510"/>
      <c r="D6698" s="2004"/>
      <c r="E6698" s="216"/>
      <c r="F6698" s="2001"/>
      <c r="G6698" s="208"/>
      <c r="H6698" s="2003"/>
      <c r="I6698" s="501"/>
      <c r="J6698" s="502"/>
    </row>
    <row r="6699" spans="1:11" s="35" customFormat="1">
      <c r="A6699" s="502"/>
      <c r="B6699" s="28" t="s">
        <v>10462</v>
      </c>
      <c r="C6699" s="2510">
        <v>236.17777777777778</v>
      </c>
      <c r="D6699" s="244">
        <f t="shared" ref="D6699:D6705" si="997">C6699*(1-VLOOKUP(I6699,descuentos,6,FALSE))*fcl/IF(dol_sol="dólar", TC,1)</f>
        <v>105.9627462686567</v>
      </c>
      <c r="E6699" s="2005">
        <v>15</v>
      </c>
      <c r="F6699" s="2001">
        <f t="shared" ref="F6699:F6705" si="998">D6699+E6699</f>
        <v>120.9627462686567</v>
      </c>
      <c r="G6699" s="147" t="s">
        <v>11878</v>
      </c>
      <c r="H6699" s="2003">
        <v>420041</v>
      </c>
      <c r="I6699" s="501" t="s">
        <v>10379</v>
      </c>
      <c r="J6699" s="502" t="s">
        <v>10678</v>
      </c>
      <c r="K6699" s="501"/>
    </row>
    <row r="6700" spans="1:11" s="35" customFormat="1">
      <c r="A6700" s="502"/>
      <c r="B6700" s="28" t="s">
        <v>10463</v>
      </c>
      <c r="C6700" s="2510">
        <v>236.17777777777778</v>
      </c>
      <c r="D6700" s="244">
        <f t="shared" si="997"/>
        <v>105.9627462686567</v>
      </c>
      <c r="E6700" s="2005">
        <v>15</v>
      </c>
      <c r="F6700" s="2001">
        <f t="shared" si="998"/>
        <v>120.9627462686567</v>
      </c>
      <c r="G6700" s="147" t="s">
        <v>11879</v>
      </c>
      <c r="H6700" s="2003" t="s">
        <v>10464</v>
      </c>
      <c r="I6700" s="501" t="s">
        <v>10379</v>
      </c>
      <c r="J6700" s="502" t="s">
        <v>10678</v>
      </c>
      <c r="K6700" s="501"/>
    </row>
    <row r="6701" spans="1:11" s="35" customFormat="1">
      <c r="A6701" s="502"/>
      <c r="B6701" s="28" t="s">
        <v>10465</v>
      </c>
      <c r="C6701" s="2510">
        <v>236.17777777777778</v>
      </c>
      <c r="D6701" s="244">
        <f t="shared" si="997"/>
        <v>105.9627462686567</v>
      </c>
      <c r="E6701" s="2005">
        <v>15</v>
      </c>
      <c r="F6701" s="2001">
        <f t="shared" si="998"/>
        <v>120.9627462686567</v>
      </c>
      <c r="G6701" s="147" t="s">
        <v>11880</v>
      </c>
      <c r="H6701" s="2003" t="s">
        <v>10466</v>
      </c>
      <c r="I6701" s="501" t="s">
        <v>10379</v>
      </c>
      <c r="J6701" s="502" t="s">
        <v>10678</v>
      </c>
      <c r="K6701" s="501"/>
    </row>
    <row r="6702" spans="1:11" s="35" customFormat="1">
      <c r="A6702" s="502"/>
      <c r="B6702" s="28" t="s">
        <v>10467</v>
      </c>
      <c r="C6702" s="2510">
        <v>251.92222222222222</v>
      </c>
      <c r="D6702" s="244">
        <f t="shared" si="997"/>
        <v>113.02659701492537</v>
      </c>
      <c r="E6702" s="2005">
        <v>15</v>
      </c>
      <c r="F6702" s="2001">
        <f t="shared" si="998"/>
        <v>128.02659701492536</v>
      </c>
      <c r="G6702" s="147" t="s">
        <v>11881</v>
      </c>
      <c r="H6702" s="2003" t="s">
        <v>10468</v>
      </c>
      <c r="I6702" s="501" t="s">
        <v>10379</v>
      </c>
      <c r="J6702" s="502" t="s">
        <v>10678</v>
      </c>
      <c r="K6702" s="501"/>
    </row>
    <row r="6703" spans="1:11" s="35" customFormat="1">
      <c r="A6703" s="502"/>
      <c r="B6703" s="28" t="s">
        <v>10469</v>
      </c>
      <c r="C6703" s="2510">
        <v>251.92222222222222</v>
      </c>
      <c r="D6703" s="244">
        <f t="shared" si="997"/>
        <v>113.02659701492537</v>
      </c>
      <c r="E6703" s="2005">
        <v>15</v>
      </c>
      <c r="F6703" s="2001">
        <f t="shared" si="998"/>
        <v>128.02659701492536</v>
      </c>
      <c r="G6703" s="147" t="s">
        <v>11882</v>
      </c>
      <c r="H6703" s="2003" t="s">
        <v>10470</v>
      </c>
      <c r="I6703" s="501" t="s">
        <v>10379</v>
      </c>
      <c r="J6703" s="502" t="s">
        <v>10678</v>
      </c>
      <c r="K6703" s="501"/>
    </row>
    <row r="6704" spans="1:11" s="35" customFormat="1">
      <c r="A6704" s="502"/>
      <c r="B6704" s="28" t="s">
        <v>10471</v>
      </c>
      <c r="C6704" s="2510">
        <v>270.82222222222225</v>
      </c>
      <c r="D6704" s="244">
        <f t="shared" si="997"/>
        <v>121.50620895522388</v>
      </c>
      <c r="E6704" s="2005">
        <v>15</v>
      </c>
      <c r="F6704" s="2001">
        <f t="shared" si="998"/>
        <v>136.50620895522388</v>
      </c>
      <c r="G6704" s="147" t="s">
        <v>11883</v>
      </c>
      <c r="H6704" s="2003" t="s">
        <v>10472</v>
      </c>
      <c r="I6704" s="501" t="s">
        <v>10379</v>
      </c>
      <c r="J6704" s="502" t="s">
        <v>10678</v>
      </c>
      <c r="K6704" s="501"/>
    </row>
    <row r="6705" spans="1:11" s="35" customFormat="1">
      <c r="A6705" s="502"/>
      <c r="B6705" s="28" t="s">
        <v>10473</v>
      </c>
      <c r="C6705" s="2510">
        <v>291.59999999999997</v>
      </c>
      <c r="D6705" s="244">
        <f t="shared" si="997"/>
        <v>130.82829850746268</v>
      </c>
      <c r="E6705" s="2005">
        <v>15</v>
      </c>
      <c r="F6705" s="2001">
        <f t="shared" si="998"/>
        <v>145.82829850746268</v>
      </c>
      <c r="G6705" s="147" t="s">
        <v>11884</v>
      </c>
      <c r="H6705" s="2003" t="s">
        <v>10474</v>
      </c>
      <c r="I6705" s="501" t="s">
        <v>10379</v>
      </c>
      <c r="J6705" s="502" t="s">
        <v>10678</v>
      </c>
      <c r="K6705" s="501"/>
    </row>
    <row r="6706" spans="1:11" s="35" customFormat="1">
      <c r="A6706" s="502"/>
      <c r="B6706" s="28"/>
      <c r="C6706" s="2510"/>
      <c r="D6706" s="2004"/>
      <c r="E6706" s="2005"/>
      <c r="F6706" s="2001"/>
      <c r="G6706" s="147"/>
      <c r="H6706" s="2003"/>
      <c r="I6706" s="501"/>
      <c r="J6706" s="502"/>
      <c r="K6706" s="501"/>
    </row>
    <row r="6707" spans="1:11" s="35" customFormat="1">
      <c r="A6707" s="502"/>
      <c r="B6707" s="28" t="s">
        <v>10475</v>
      </c>
      <c r="C6707" s="2510">
        <v>311.13333333333333</v>
      </c>
      <c r="D6707" s="244">
        <f t="shared" ref="D6707:D6713" si="999">C6707*(1-VLOOKUP(I6707,descuentos,6,FALSE))*fcl/IF(dol_sol="dólar", TC,1)</f>
        <v>139.5920597014925</v>
      </c>
      <c r="E6707" s="2005">
        <v>15</v>
      </c>
      <c r="F6707" s="2001">
        <f t="shared" ref="F6707:F6713" si="1000">D6707+E6707</f>
        <v>154.5920597014925</v>
      </c>
      <c r="G6707" s="147" t="s">
        <v>11885</v>
      </c>
      <c r="H6707" s="2003">
        <v>420081</v>
      </c>
      <c r="I6707" s="501" t="s">
        <v>10379</v>
      </c>
      <c r="J6707" s="502" t="s">
        <v>10678</v>
      </c>
      <c r="K6707" s="501"/>
    </row>
    <row r="6708" spans="1:11" s="35" customFormat="1">
      <c r="A6708" s="502"/>
      <c r="B6708" s="28" t="s">
        <v>10476</v>
      </c>
      <c r="C6708" s="2510">
        <v>311.13333333333333</v>
      </c>
      <c r="D6708" s="244">
        <f t="shared" si="999"/>
        <v>139.5920597014925</v>
      </c>
      <c r="E6708" s="2005">
        <v>15</v>
      </c>
      <c r="F6708" s="2001">
        <f t="shared" si="1000"/>
        <v>154.5920597014925</v>
      </c>
      <c r="G6708" s="147" t="s">
        <v>11886</v>
      </c>
      <c r="H6708" s="2003" t="s">
        <v>10477</v>
      </c>
      <c r="I6708" s="501" t="s">
        <v>10379</v>
      </c>
      <c r="J6708" s="502" t="s">
        <v>10678</v>
      </c>
      <c r="K6708" s="501"/>
    </row>
    <row r="6709" spans="1:11" s="35" customFormat="1">
      <c r="A6709" s="502"/>
      <c r="B6709" s="28" t="s">
        <v>10478</v>
      </c>
      <c r="C6709" s="2510">
        <v>311.13333333333333</v>
      </c>
      <c r="D6709" s="244">
        <f t="shared" si="999"/>
        <v>139.5920597014925</v>
      </c>
      <c r="E6709" s="2005">
        <v>15</v>
      </c>
      <c r="F6709" s="2001">
        <f t="shared" si="1000"/>
        <v>154.5920597014925</v>
      </c>
      <c r="G6709" s="147" t="s">
        <v>11887</v>
      </c>
      <c r="H6709" s="2003" t="s">
        <v>10479</v>
      </c>
      <c r="I6709" s="501" t="s">
        <v>10379</v>
      </c>
      <c r="J6709" s="502" t="s">
        <v>10678</v>
      </c>
      <c r="K6709" s="501"/>
    </row>
    <row r="6710" spans="1:11" s="35" customFormat="1">
      <c r="A6710" s="502"/>
      <c r="B6710" s="28" t="s">
        <v>10480</v>
      </c>
      <c r="C6710" s="2510">
        <v>322.4666666666667</v>
      </c>
      <c r="D6710" s="244">
        <f t="shared" si="999"/>
        <v>144.67683582089552</v>
      </c>
      <c r="E6710" s="2005">
        <v>15</v>
      </c>
      <c r="F6710" s="2001">
        <f t="shared" si="1000"/>
        <v>159.67683582089552</v>
      </c>
      <c r="G6710" s="147" t="s">
        <v>11888</v>
      </c>
      <c r="H6710" s="2003">
        <v>420084</v>
      </c>
      <c r="I6710" s="501" t="s">
        <v>10379</v>
      </c>
      <c r="J6710" s="502" t="s">
        <v>10678</v>
      </c>
      <c r="K6710" s="501"/>
    </row>
    <row r="6711" spans="1:11" s="35" customFormat="1">
      <c r="A6711" s="502"/>
      <c r="B6711" s="28" t="s">
        <v>10481</v>
      </c>
      <c r="C6711" s="2510">
        <v>322.4666666666667</v>
      </c>
      <c r="D6711" s="244">
        <f t="shared" si="999"/>
        <v>144.67683582089552</v>
      </c>
      <c r="E6711" s="2005">
        <v>15</v>
      </c>
      <c r="F6711" s="2001">
        <f t="shared" si="1000"/>
        <v>159.67683582089552</v>
      </c>
      <c r="G6711" s="147" t="s">
        <v>11889</v>
      </c>
      <c r="H6711" s="2003" t="s">
        <v>10482</v>
      </c>
      <c r="I6711" s="501" t="s">
        <v>10379</v>
      </c>
      <c r="J6711" s="502" t="s">
        <v>10678</v>
      </c>
      <c r="K6711" s="501"/>
    </row>
    <row r="6712" spans="1:11" s="35" customFormat="1">
      <c r="A6712" s="502"/>
      <c r="B6712" s="28" t="s">
        <v>10483</v>
      </c>
      <c r="C6712" s="2510">
        <v>334.44444444444446</v>
      </c>
      <c r="D6712" s="244">
        <f t="shared" si="999"/>
        <v>150.0507462686567</v>
      </c>
      <c r="E6712" s="2005">
        <v>15</v>
      </c>
      <c r="F6712" s="2001">
        <f t="shared" si="1000"/>
        <v>165.0507462686567</v>
      </c>
      <c r="G6712" s="147" t="s">
        <v>11890</v>
      </c>
      <c r="H6712" s="2003" t="s">
        <v>10484</v>
      </c>
      <c r="I6712" s="501" t="s">
        <v>10379</v>
      </c>
      <c r="J6712" s="502" t="s">
        <v>10678</v>
      </c>
      <c r="K6712" s="501"/>
    </row>
    <row r="6713" spans="1:11" s="35" customFormat="1">
      <c r="A6713" s="502"/>
      <c r="B6713" s="28" t="s">
        <v>10485</v>
      </c>
      <c r="C6713" s="2510">
        <v>350.81111111111113</v>
      </c>
      <c r="D6713" s="244">
        <f t="shared" si="999"/>
        <v>157.39376119402985</v>
      </c>
      <c r="E6713" s="2005">
        <v>15</v>
      </c>
      <c r="F6713" s="2001">
        <f t="shared" si="1000"/>
        <v>172.39376119402985</v>
      </c>
      <c r="G6713" s="147" t="s">
        <v>11891</v>
      </c>
      <c r="H6713" s="2003" t="s">
        <v>10486</v>
      </c>
      <c r="I6713" s="501" t="s">
        <v>10379</v>
      </c>
      <c r="J6713" s="502" t="s">
        <v>10678</v>
      </c>
      <c r="K6713" s="501"/>
    </row>
    <row r="6714" spans="1:11" s="35" customFormat="1">
      <c r="A6714" s="502"/>
      <c r="B6714" s="28"/>
      <c r="C6714" s="2510"/>
      <c r="D6714" s="2004"/>
      <c r="E6714" s="2005"/>
      <c r="F6714" s="2001"/>
      <c r="G6714" s="208"/>
      <c r="H6714" s="2003"/>
      <c r="I6714" s="501"/>
      <c r="J6714" s="502"/>
      <c r="K6714" s="501"/>
    </row>
    <row r="6715" spans="1:11" s="35" customFormat="1">
      <c r="A6715" s="502"/>
      <c r="B6715" s="28" t="s">
        <v>10487</v>
      </c>
      <c r="C6715" s="2510">
        <v>410.64444444444439</v>
      </c>
      <c r="D6715" s="244">
        <f t="shared" ref="D6715:D6721" si="1001">C6715*(1-VLOOKUP(I6715,descuentos,6,FALSE))*fcl/IF(dol_sol="dólar", TC,1)</f>
        <v>184.23838805970146</v>
      </c>
      <c r="E6715" s="2005">
        <v>15</v>
      </c>
      <c r="F6715" s="2001">
        <f t="shared" ref="F6715:F6721" si="1002">D6715+E6715</f>
        <v>199.23838805970146</v>
      </c>
      <c r="G6715" s="147" t="s">
        <v>11892</v>
      </c>
      <c r="H6715" s="2003">
        <v>420051</v>
      </c>
      <c r="I6715" s="501" t="s">
        <v>10379</v>
      </c>
      <c r="J6715" s="502" t="s">
        <v>10678</v>
      </c>
      <c r="K6715" s="501"/>
    </row>
    <row r="6716" spans="1:11" s="35" customFormat="1">
      <c r="A6716" s="502"/>
      <c r="B6716" s="28" t="s">
        <v>10488</v>
      </c>
      <c r="C6716" s="2510">
        <v>410.64444444444439</v>
      </c>
      <c r="D6716" s="244">
        <f t="shared" si="1001"/>
        <v>184.23838805970146</v>
      </c>
      <c r="E6716" s="2005">
        <v>15</v>
      </c>
      <c r="F6716" s="2001">
        <f t="shared" si="1002"/>
        <v>199.23838805970146</v>
      </c>
      <c r="G6716" s="147" t="s">
        <v>11893</v>
      </c>
      <c r="H6716" s="2003" t="s">
        <v>10489</v>
      </c>
      <c r="I6716" s="501" t="s">
        <v>10379</v>
      </c>
      <c r="J6716" s="502" t="s">
        <v>10678</v>
      </c>
      <c r="K6716" s="501"/>
    </row>
    <row r="6717" spans="1:11" s="35" customFormat="1">
      <c r="A6717" s="502"/>
      <c r="B6717" s="28" t="s">
        <v>10490</v>
      </c>
      <c r="C6717" s="2510">
        <v>410.64444444444439</v>
      </c>
      <c r="D6717" s="244">
        <f t="shared" si="1001"/>
        <v>184.23838805970146</v>
      </c>
      <c r="E6717" s="2005">
        <v>15</v>
      </c>
      <c r="F6717" s="2001">
        <f t="shared" si="1002"/>
        <v>199.23838805970146</v>
      </c>
      <c r="G6717" s="147" t="s">
        <v>11894</v>
      </c>
      <c r="H6717" s="2003" t="s">
        <v>10491</v>
      </c>
      <c r="I6717" s="501" t="s">
        <v>10379</v>
      </c>
      <c r="J6717" s="502" t="s">
        <v>10678</v>
      </c>
      <c r="K6717" s="501"/>
    </row>
    <row r="6718" spans="1:11" s="35" customFormat="1">
      <c r="A6718" s="502"/>
      <c r="B6718" s="28" t="s">
        <v>10492</v>
      </c>
      <c r="C6718" s="2510">
        <v>410.64444444444439</v>
      </c>
      <c r="D6718" s="244">
        <f t="shared" si="1001"/>
        <v>184.23838805970146</v>
      </c>
      <c r="E6718" s="2005">
        <v>15</v>
      </c>
      <c r="F6718" s="2001">
        <f t="shared" si="1002"/>
        <v>199.23838805970146</v>
      </c>
      <c r="G6718" s="147" t="s">
        <v>11895</v>
      </c>
      <c r="H6718" s="2003">
        <v>420054</v>
      </c>
      <c r="I6718" s="501" t="s">
        <v>10379</v>
      </c>
      <c r="J6718" s="502" t="s">
        <v>10678</v>
      </c>
      <c r="K6718" s="501"/>
    </row>
    <row r="6719" spans="1:11" s="35" customFormat="1">
      <c r="A6719" s="502"/>
      <c r="B6719" s="28" t="s">
        <v>10493</v>
      </c>
      <c r="C6719" s="2510">
        <v>440.87777777777779</v>
      </c>
      <c r="D6719" s="244">
        <f t="shared" si="1001"/>
        <v>197.80277611940301</v>
      </c>
      <c r="E6719" s="2005">
        <v>15</v>
      </c>
      <c r="F6719" s="2001">
        <f t="shared" si="1002"/>
        <v>212.80277611940301</v>
      </c>
      <c r="G6719" s="147" t="s">
        <v>11896</v>
      </c>
      <c r="H6719" s="2003" t="s">
        <v>10494</v>
      </c>
      <c r="I6719" s="501" t="s">
        <v>10379</v>
      </c>
      <c r="J6719" s="502" t="s">
        <v>10678</v>
      </c>
      <c r="K6719" s="501"/>
    </row>
    <row r="6720" spans="1:11" s="35" customFormat="1">
      <c r="A6720" s="502"/>
      <c r="B6720" s="28" t="s">
        <v>10495</v>
      </c>
      <c r="C6720" s="2510">
        <v>466.06666666666661</v>
      </c>
      <c r="D6720" s="244">
        <f t="shared" si="1001"/>
        <v>209.10394029850741</v>
      </c>
      <c r="E6720" s="2005">
        <v>15</v>
      </c>
      <c r="F6720" s="2001">
        <f t="shared" si="1002"/>
        <v>224.10394029850741</v>
      </c>
      <c r="G6720" s="147" t="s">
        <v>11897</v>
      </c>
      <c r="H6720" s="2003" t="s">
        <v>10496</v>
      </c>
      <c r="I6720" s="501" t="s">
        <v>10379</v>
      </c>
      <c r="J6720" s="502" t="s">
        <v>10678</v>
      </c>
      <c r="K6720" s="501"/>
    </row>
    <row r="6721" spans="1:11" s="35" customFormat="1">
      <c r="A6721" s="502"/>
      <c r="B6721" s="28" t="s">
        <v>10497</v>
      </c>
      <c r="C6721" s="2510">
        <v>476.77777777777777</v>
      </c>
      <c r="D6721" s="244">
        <f t="shared" si="1001"/>
        <v>213.90955223880596</v>
      </c>
      <c r="E6721" s="2005">
        <v>15</v>
      </c>
      <c r="F6721" s="2001">
        <f t="shared" si="1002"/>
        <v>228.90955223880596</v>
      </c>
      <c r="G6721" s="147" t="s">
        <v>11898</v>
      </c>
      <c r="H6721" s="2003">
        <v>420057</v>
      </c>
      <c r="I6721" s="501" t="s">
        <v>10379</v>
      </c>
      <c r="J6721" s="502" t="s">
        <v>10678</v>
      </c>
      <c r="K6721" s="501"/>
    </row>
    <row r="6722" spans="1:11" s="35" customFormat="1">
      <c r="A6722" s="502"/>
      <c r="B6722" s="28"/>
      <c r="C6722" s="2510"/>
      <c r="D6722" s="2004"/>
      <c r="E6722" s="2005"/>
      <c r="F6722" s="2001"/>
      <c r="G6722" s="208"/>
      <c r="H6722" s="2003"/>
      <c r="I6722" s="501"/>
      <c r="J6722" s="502"/>
      <c r="K6722" s="501"/>
    </row>
    <row r="6723" spans="1:11" s="35" customFormat="1">
      <c r="A6723" s="502"/>
      <c r="B6723" s="28" t="s">
        <v>10498</v>
      </c>
      <c r="C6723" s="2510">
        <v>431.42222222222216</v>
      </c>
      <c r="D6723" s="244">
        <f t="shared" ref="D6723:D6729" si="1003">C6723*(1-VLOOKUP(I6723,descuentos,6,FALSE))*fcl/IF(dol_sol="dólar", TC,1)</f>
        <v>193.56047761194026</v>
      </c>
      <c r="E6723" s="2005">
        <v>15</v>
      </c>
      <c r="F6723" s="2001">
        <f t="shared" ref="F6723:F7052" si="1004">D6723+E6723</f>
        <v>208.56047761194026</v>
      </c>
      <c r="G6723" s="147" t="s">
        <v>11899</v>
      </c>
      <c r="H6723" s="2003">
        <v>420091</v>
      </c>
      <c r="I6723" s="501" t="s">
        <v>10379</v>
      </c>
      <c r="J6723" s="502" t="s">
        <v>10678</v>
      </c>
      <c r="K6723" s="501"/>
    </row>
    <row r="6724" spans="1:11" s="35" customFormat="1">
      <c r="A6724" s="502"/>
      <c r="B6724" s="28" t="s">
        <v>10499</v>
      </c>
      <c r="C6724" s="2510">
        <v>431.42222222222216</v>
      </c>
      <c r="D6724" s="244">
        <f t="shared" si="1003"/>
        <v>193.56047761194026</v>
      </c>
      <c r="E6724" s="2005">
        <v>15</v>
      </c>
      <c r="F6724" s="2001">
        <f t="shared" si="1004"/>
        <v>208.56047761194026</v>
      </c>
      <c r="G6724" s="147" t="s">
        <v>11900</v>
      </c>
      <c r="H6724" s="2003" t="s">
        <v>10500</v>
      </c>
      <c r="I6724" s="501" t="s">
        <v>10379</v>
      </c>
      <c r="J6724" s="502" t="s">
        <v>10678</v>
      </c>
      <c r="K6724" s="501"/>
    </row>
    <row r="6725" spans="1:11" s="35" customFormat="1">
      <c r="A6725" s="502"/>
      <c r="B6725" s="28" t="s">
        <v>10501</v>
      </c>
      <c r="C6725" s="2510">
        <v>431.42222222222216</v>
      </c>
      <c r="D6725" s="244">
        <f t="shared" si="1003"/>
        <v>193.56047761194026</v>
      </c>
      <c r="E6725" s="2005">
        <v>15</v>
      </c>
      <c r="F6725" s="2001">
        <f t="shared" si="1004"/>
        <v>208.56047761194026</v>
      </c>
      <c r="G6725" s="147" t="s">
        <v>11901</v>
      </c>
      <c r="H6725" s="2003" t="s">
        <v>10502</v>
      </c>
      <c r="I6725" s="501" t="s">
        <v>10379</v>
      </c>
      <c r="J6725" s="502" t="s">
        <v>10678</v>
      </c>
      <c r="K6725" s="501"/>
    </row>
    <row r="6726" spans="1:11" s="35" customFormat="1">
      <c r="A6726" s="502"/>
      <c r="B6726" s="28" t="s">
        <v>10503</v>
      </c>
      <c r="C6726" s="2510">
        <v>431.42222222222216</v>
      </c>
      <c r="D6726" s="244">
        <f t="shared" si="1003"/>
        <v>193.56047761194026</v>
      </c>
      <c r="E6726" s="2005">
        <v>15</v>
      </c>
      <c r="F6726" s="2001">
        <f t="shared" si="1004"/>
        <v>208.56047761194026</v>
      </c>
      <c r="G6726" s="147" t="s">
        <v>11902</v>
      </c>
      <c r="H6726" s="2003" t="s">
        <v>10504</v>
      </c>
      <c r="I6726" s="501" t="s">
        <v>10379</v>
      </c>
      <c r="J6726" s="502" t="s">
        <v>10678</v>
      </c>
      <c r="K6726" s="501"/>
    </row>
    <row r="6727" spans="1:11" s="35" customFormat="1">
      <c r="A6727" s="502"/>
      <c r="B6727" s="28" t="s">
        <v>10505</v>
      </c>
      <c r="C6727" s="2510">
        <v>462.92222222222222</v>
      </c>
      <c r="D6727" s="244">
        <f t="shared" si="1003"/>
        <v>207.69316417910446</v>
      </c>
      <c r="E6727" s="2005">
        <v>15</v>
      </c>
      <c r="F6727" s="2001">
        <f t="shared" si="1004"/>
        <v>222.69316417910446</v>
      </c>
      <c r="G6727" s="147" t="s">
        <v>11903</v>
      </c>
      <c r="H6727" s="2003" t="s">
        <v>10506</v>
      </c>
      <c r="I6727" s="501" t="s">
        <v>10379</v>
      </c>
      <c r="J6727" s="502" t="s">
        <v>10678</v>
      </c>
      <c r="K6727" s="501"/>
    </row>
    <row r="6728" spans="1:11" s="35" customFormat="1">
      <c r="A6728" s="502"/>
      <c r="B6728" s="28" t="s">
        <v>10507</v>
      </c>
      <c r="C6728" s="2510">
        <v>489.36666666666667</v>
      </c>
      <c r="D6728" s="244">
        <f t="shared" si="1003"/>
        <v>219.55764179104477</v>
      </c>
      <c r="E6728" s="2005">
        <v>15</v>
      </c>
      <c r="F6728" s="2001">
        <f t="shared" si="1004"/>
        <v>234.55764179104477</v>
      </c>
      <c r="G6728" s="147" t="s">
        <v>11904</v>
      </c>
      <c r="H6728" s="2003" t="s">
        <v>10508</v>
      </c>
      <c r="I6728" s="501" t="s">
        <v>10379</v>
      </c>
      <c r="J6728" s="502" t="s">
        <v>10678</v>
      </c>
      <c r="K6728" s="501"/>
    </row>
    <row r="6729" spans="1:11" s="35" customFormat="1">
      <c r="A6729" s="502"/>
      <c r="B6729" s="28" t="s">
        <v>10509</v>
      </c>
      <c r="C6729" s="2510">
        <v>500.71111111111111</v>
      </c>
      <c r="D6729" s="244">
        <f t="shared" si="1003"/>
        <v>224.64740298507459</v>
      </c>
      <c r="E6729" s="2005">
        <v>15</v>
      </c>
      <c r="F6729" s="2001">
        <f t="shared" si="1004"/>
        <v>239.64740298507459</v>
      </c>
      <c r="G6729" s="147" t="s">
        <v>11905</v>
      </c>
      <c r="H6729" s="2003" t="s">
        <v>10510</v>
      </c>
      <c r="I6729" s="501" t="s">
        <v>10379</v>
      </c>
      <c r="J6729" s="502" t="s">
        <v>10678</v>
      </c>
      <c r="K6729" s="501"/>
    </row>
    <row r="6730" spans="1:11" s="35" customFormat="1">
      <c r="A6730" s="502"/>
      <c r="B6730" s="28"/>
      <c r="C6730" s="2510"/>
      <c r="D6730" s="2004"/>
      <c r="E6730" s="2005"/>
      <c r="F6730" s="2001"/>
      <c r="G6730" s="208"/>
      <c r="H6730" s="2003"/>
      <c r="I6730" s="501"/>
      <c r="J6730" s="502"/>
      <c r="K6730" s="501"/>
    </row>
    <row r="6731" spans="1:11" s="35" customFormat="1">
      <c r="A6731" s="502"/>
      <c r="B6731" s="28"/>
      <c r="C6731" s="2510"/>
      <c r="D6731" s="2004"/>
      <c r="E6731" s="2005"/>
      <c r="F6731" s="2001"/>
      <c r="G6731" s="208"/>
      <c r="H6731" s="2003"/>
      <c r="I6731" s="501"/>
      <c r="J6731" s="502"/>
      <c r="K6731" s="501"/>
    </row>
    <row r="6732" spans="1:11" s="35" customFormat="1">
      <c r="A6732" s="502"/>
      <c r="B6732" s="28" t="s">
        <v>12688</v>
      </c>
      <c r="C6732" s="2510">
        <v>321.37777777777779</v>
      </c>
      <c r="D6732" s="244">
        <f t="shared" ref="D6732" si="1005">C6732*(1-VLOOKUP(I6732,descuentos,6,FALSE))*fcl/IF(dol_sol="dólar", TC,1)</f>
        <v>144.18829850746269</v>
      </c>
      <c r="E6732" s="2005">
        <v>15</v>
      </c>
      <c r="F6732" s="2006">
        <f t="shared" ref="F6732:F6739" si="1006">D6732+E6732</f>
        <v>159.18829850746269</v>
      </c>
      <c r="G6732" s="147" t="s">
        <v>12689</v>
      </c>
      <c r="H6732" s="2003">
        <v>420122</v>
      </c>
      <c r="I6732" s="501" t="s">
        <v>10379</v>
      </c>
      <c r="J6732" s="502" t="s">
        <v>10678</v>
      </c>
      <c r="K6732" s="501"/>
    </row>
    <row r="6733" spans="1:11" s="35" customFormat="1">
      <c r="A6733" s="502"/>
      <c r="B6733" s="28" t="s">
        <v>12690</v>
      </c>
      <c r="C6733" s="2510">
        <v>321.37777777777779</v>
      </c>
      <c r="D6733" s="244">
        <f t="shared" ref="D6733" si="1007">C6733*(1-VLOOKUP(I6733,descuentos,6,FALSE))*fcl/IF(dol_sol="dólar", TC,1)</f>
        <v>144.18829850746269</v>
      </c>
      <c r="E6733" s="2005">
        <v>15</v>
      </c>
      <c r="F6733" s="2006">
        <f t="shared" si="1006"/>
        <v>159.18829850746269</v>
      </c>
      <c r="G6733" s="147" t="s">
        <v>12691</v>
      </c>
      <c r="H6733" s="2003">
        <v>420122</v>
      </c>
      <c r="I6733" s="501" t="s">
        <v>10379</v>
      </c>
      <c r="J6733" s="502" t="s">
        <v>10678</v>
      </c>
      <c r="K6733" s="501"/>
    </row>
    <row r="6734" spans="1:11" s="35" customFormat="1">
      <c r="A6734" s="502"/>
      <c r="B6734" s="28" t="s">
        <v>11232</v>
      </c>
      <c r="C6734" s="2510">
        <v>321.37777777777779</v>
      </c>
      <c r="D6734" s="244">
        <f t="shared" ref="D6734:D6739" si="1008">C6734*(1-VLOOKUP(I6734,descuentos,6,FALSE))*fcl/IF(dol_sol="dólar", TC,1)</f>
        <v>144.18829850746269</v>
      </c>
      <c r="E6734" s="2005">
        <v>15</v>
      </c>
      <c r="F6734" s="2006">
        <f t="shared" si="1006"/>
        <v>159.18829850746269</v>
      </c>
      <c r="G6734" s="147" t="s">
        <v>11906</v>
      </c>
      <c r="H6734" s="2003">
        <v>420122</v>
      </c>
      <c r="I6734" s="501" t="s">
        <v>10379</v>
      </c>
      <c r="J6734" s="502" t="s">
        <v>10678</v>
      </c>
      <c r="K6734" s="501"/>
    </row>
    <row r="6735" spans="1:11" s="35" customFormat="1">
      <c r="A6735" s="502"/>
      <c r="B6735" s="28" t="s">
        <v>11233</v>
      </c>
      <c r="C6735" s="2510">
        <v>321.37777777777779</v>
      </c>
      <c r="D6735" s="244">
        <f t="shared" si="1008"/>
        <v>144.18829850746269</v>
      </c>
      <c r="E6735" s="2005">
        <v>15</v>
      </c>
      <c r="F6735" s="2006">
        <f t="shared" si="1006"/>
        <v>159.18829850746269</v>
      </c>
      <c r="G6735" s="147" t="s">
        <v>11907</v>
      </c>
      <c r="H6735" s="2003">
        <v>420123</v>
      </c>
      <c r="I6735" s="501" t="s">
        <v>10379</v>
      </c>
      <c r="J6735" s="502" t="s">
        <v>10678</v>
      </c>
      <c r="K6735" s="501"/>
    </row>
    <row r="6736" spans="1:11" s="35" customFormat="1">
      <c r="A6736" s="502"/>
      <c r="B6736" s="28" t="s">
        <v>10511</v>
      </c>
      <c r="C6736" s="2510">
        <v>335.68888888888887</v>
      </c>
      <c r="D6736" s="244">
        <f t="shared" si="1008"/>
        <v>150.60907462686566</v>
      </c>
      <c r="E6736" s="2005">
        <v>15</v>
      </c>
      <c r="F6736" s="2006">
        <f t="shared" si="1006"/>
        <v>165.60907462686566</v>
      </c>
      <c r="G6736" s="147" t="s">
        <v>11908</v>
      </c>
      <c r="H6736" s="2003">
        <v>420124</v>
      </c>
      <c r="I6736" s="501" t="s">
        <v>10379</v>
      </c>
      <c r="J6736" s="502" t="s">
        <v>10678</v>
      </c>
      <c r="K6736" s="501"/>
    </row>
    <row r="6737" spans="1:11" s="35" customFormat="1">
      <c r="A6737" s="502"/>
      <c r="B6737" s="28" t="s">
        <v>10512</v>
      </c>
      <c r="C6737" s="2510">
        <v>335.68888888888887</v>
      </c>
      <c r="D6737" s="244">
        <f t="shared" si="1008"/>
        <v>150.60907462686566</v>
      </c>
      <c r="E6737" s="2005">
        <v>15</v>
      </c>
      <c r="F6737" s="2001">
        <f t="shared" si="1006"/>
        <v>165.60907462686566</v>
      </c>
      <c r="G6737" s="147" t="s">
        <v>11909</v>
      </c>
      <c r="H6737" s="2003" t="s">
        <v>10513</v>
      </c>
      <c r="I6737" s="501" t="s">
        <v>10379</v>
      </c>
      <c r="J6737" s="502" t="s">
        <v>10678</v>
      </c>
      <c r="K6737" s="501"/>
    </row>
    <row r="6738" spans="1:11" s="35" customFormat="1">
      <c r="A6738" s="502"/>
      <c r="B6738" s="28" t="s">
        <v>10514</v>
      </c>
      <c r="C6738" s="2510">
        <v>343.88888888888886</v>
      </c>
      <c r="D6738" s="244">
        <f t="shared" si="1008"/>
        <v>154.28805970149253</v>
      </c>
      <c r="E6738" s="2005">
        <v>15</v>
      </c>
      <c r="F6738" s="2001">
        <f t="shared" si="1006"/>
        <v>169.28805970149253</v>
      </c>
      <c r="G6738" s="147" t="s">
        <v>11910</v>
      </c>
      <c r="H6738" s="2003" t="s">
        <v>10515</v>
      </c>
      <c r="I6738" s="501" t="s">
        <v>10379</v>
      </c>
      <c r="J6738" s="502" t="s">
        <v>10678</v>
      </c>
      <c r="K6738" s="501"/>
    </row>
    <row r="6739" spans="1:11" s="35" customFormat="1">
      <c r="A6739" s="502"/>
      <c r="B6739" s="28" t="s">
        <v>10516</v>
      </c>
      <c r="C6739" s="2510">
        <v>359.62222222222226</v>
      </c>
      <c r="D6739" s="244">
        <f t="shared" si="1008"/>
        <v>161.34692537313433</v>
      </c>
      <c r="E6739" s="2005">
        <v>15</v>
      </c>
      <c r="F6739" s="2001">
        <f t="shared" si="1006"/>
        <v>176.34692537313433</v>
      </c>
      <c r="G6739" s="147" t="s">
        <v>11911</v>
      </c>
      <c r="H6739" s="2003" t="s">
        <v>10517</v>
      </c>
      <c r="I6739" s="501" t="s">
        <v>10379</v>
      </c>
      <c r="J6739" s="502" t="s">
        <v>10678</v>
      </c>
      <c r="K6739" s="501"/>
    </row>
    <row r="6740" spans="1:11" s="35" customFormat="1">
      <c r="A6740" s="502"/>
      <c r="B6740" s="28"/>
      <c r="C6740" s="2510"/>
      <c r="D6740" s="2004"/>
      <c r="E6740" s="2005"/>
      <c r="F6740" s="2001"/>
      <c r="G6740" s="147"/>
      <c r="H6740" s="2003"/>
      <c r="I6740" s="501"/>
      <c r="J6740" s="502"/>
      <c r="K6740" s="501"/>
    </row>
    <row r="6741" spans="1:11" s="35" customFormat="1">
      <c r="A6741" s="502"/>
      <c r="B6741" s="28" t="s">
        <v>11912</v>
      </c>
      <c r="C6741" s="2510">
        <v>422.22222222222223</v>
      </c>
      <c r="D6741" s="244">
        <f>C6741*(1-VLOOKUP(I6741,descuentos,6,FALSE))*fcl/IF(dol_sol="dólar", TC,1)</f>
        <v>189.43283582089552</v>
      </c>
      <c r="E6741" s="2005">
        <v>15</v>
      </c>
      <c r="F6741" s="2001">
        <f t="shared" si="1004"/>
        <v>204.43283582089552</v>
      </c>
      <c r="G6741" s="147" t="s">
        <v>11913</v>
      </c>
      <c r="H6741" s="2003" t="s">
        <v>11914</v>
      </c>
      <c r="I6741" s="501" t="s">
        <v>10379</v>
      </c>
      <c r="J6741" s="502" t="s">
        <v>10678</v>
      </c>
      <c r="K6741" s="501"/>
    </row>
    <row r="6742" spans="1:11" s="35" customFormat="1">
      <c r="A6742" s="502"/>
      <c r="B6742" s="28" t="s">
        <v>10518</v>
      </c>
      <c r="C6742" s="2510">
        <v>503.23333333333335</v>
      </c>
      <c r="D6742" s="244">
        <f>C6742*(1-VLOOKUP(I6742,descuentos,6,FALSE))*fcl/IF(dol_sol="dólar", TC,1)</f>
        <v>225.77901492537313</v>
      </c>
      <c r="E6742" s="2005">
        <v>15</v>
      </c>
      <c r="F6742" s="2001">
        <f t="shared" si="1004"/>
        <v>240.77901492537313</v>
      </c>
      <c r="G6742" s="147" t="s">
        <v>11915</v>
      </c>
      <c r="H6742" s="2003" t="s">
        <v>10519</v>
      </c>
      <c r="I6742" s="501" t="s">
        <v>10379</v>
      </c>
      <c r="J6742" s="502" t="s">
        <v>10678</v>
      </c>
      <c r="K6742" s="501"/>
    </row>
    <row r="6743" spans="1:11" s="35" customFormat="1">
      <c r="A6743" s="502"/>
      <c r="B6743" s="28" t="s">
        <v>10520</v>
      </c>
      <c r="C6743" s="2510">
        <v>511.4111111111111</v>
      </c>
      <c r="D6743" s="244">
        <f>C6743*(1-VLOOKUP(I6743,descuentos,6,FALSE))*fcl/IF(dol_sol="dólar", TC,1)</f>
        <v>229.44802985074625</v>
      </c>
      <c r="E6743" s="2005">
        <v>15</v>
      </c>
      <c r="F6743" s="2001">
        <f t="shared" si="1004"/>
        <v>244.44802985074625</v>
      </c>
      <c r="G6743" s="147" t="s">
        <v>11916</v>
      </c>
      <c r="H6743" s="2003" t="s">
        <v>10521</v>
      </c>
      <c r="I6743" s="501" t="s">
        <v>10379</v>
      </c>
      <c r="J6743" s="502" t="s">
        <v>10678</v>
      </c>
      <c r="K6743" s="501"/>
    </row>
    <row r="6744" spans="1:11" s="35" customFormat="1">
      <c r="A6744" s="502"/>
      <c r="B6744" s="28"/>
      <c r="C6744" s="2510"/>
      <c r="D6744" s="2004"/>
      <c r="E6744" s="2005"/>
      <c r="F6744" s="2001"/>
      <c r="G6744" s="147"/>
      <c r="H6744" s="2003"/>
      <c r="I6744" s="501"/>
      <c r="J6744" s="502"/>
      <c r="K6744" s="501"/>
    </row>
    <row r="6745" spans="1:11" s="35" customFormat="1">
      <c r="A6745" s="502"/>
      <c r="B6745" s="28"/>
      <c r="C6745" s="2510"/>
      <c r="D6745" s="2004"/>
      <c r="E6745" s="2005"/>
      <c r="F6745" s="2001"/>
      <c r="G6745" s="147"/>
      <c r="H6745" s="2003"/>
      <c r="I6745" s="501"/>
      <c r="J6745" s="502"/>
      <c r="K6745" s="501"/>
    </row>
    <row r="6746" spans="1:11" s="35" customFormat="1">
      <c r="A6746" s="502"/>
      <c r="B6746" s="28" t="s">
        <v>13198</v>
      </c>
      <c r="C6746" s="2510">
        <v>1492.2222222222222</v>
      </c>
      <c r="D6746" s="244">
        <f t="shared" ref="D6746:D6754" si="1009">C6746*(1-VLOOKUP(I6746,descuentos,6,FALSE))*fcl/IF(dol_sol="dólar", TC,1)</f>
        <v>669.49552238805961</v>
      </c>
      <c r="E6746" s="2005">
        <v>15</v>
      </c>
      <c r="F6746" s="2001">
        <f t="shared" ref="F6746:F6749" si="1010">D6746+E6746</f>
        <v>684.49552238805961</v>
      </c>
      <c r="G6746" s="147" t="s">
        <v>13199</v>
      </c>
      <c r="H6746" s="2003" t="s">
        <v>13200</v>
      </c>
      <c r="I6746" s="501" t="s">
        <v>10379</v>
      </c>
      <c r="J6746" s="502" t="s">
        <v>10678</v>
      </c>
      <c r="K6746" s="501"/>
    </row>
    <row r="6747" spans="1:11" s="35" customFormat="1">
      <c r="A6747" s="502"/>
      <c r="B6747" s="28" t="s">
        <v>13201</v>
      </c>
      <c r="C6747" s="2510">
        <v>1728.8888888888889</v>
      </c>
      <c r="D6747" s="244">
        <f t="shared" si="1009"/>
        <v>775.67761194029845</v>
      </c>
      <c r="E6747" s="2005">
        <v>15</v>
      </c>
      <c r="F6747" s="2001">
        <f t="shared" si="1010"/>
        <v>790.67761194029845</v>
      </c>
      <c r="G6747" s="147" t="s">
        <v>13202</v>
      </c>
      <c r="H6747" s="2003" t="s">
        <v>13203</v>
      </c>
      <c r="I6747" s="501" t="s">
        <v>10379</v>
      </c>
      <c r="J6747" s="502" t="s">
        <v>10678</v>
      </c>
      <c r="K6747" s="501"/>
    </row>
    <row r="6748" spans="1:11" s="35" customFormat="1">
      <c r="A6748" s="502"/>
      <c r="B6748" s="28" t="s">
        <v>13204</v>
      </c>
      <c r="C6748" s="2510">
        <v>1738.8888888888889</v>
      </c>
      <c r="D6748" s="244">
        <f t="shared" si="1009"/>
        <v>780.16417910447751</v>
      </c>
      <c r="E6748" s="2005">
        <v>15</v>
      </c>
      <c r="F6748" s="2001">
        <f t="shared" si="1010"/>
        <v>795.16417910447751</v>
      </c>
      <c r="G6748" s="147" t="s">
        <v>13205</v>
      </c>
      <c r="H6748" s="2003" t="s">
        <v>13206</v>
      </c>
      <c r="I6748" s="501" t="s">
        <v>10379</v>
      </c>
      <c r="J6748" s="502" t="s">
        <v>10678</v>
      </c>
      <c r="K6748" s="501"/>
    </row>
    <row r="6749" spans="1:11" s="35" customFormat="1">
      <c r="A6749" s="502"/>
      <c r="B6749" s="28" t="s">
        <v>13207</v>
      </c>
      <c r="C6749" s="2510">
        <v>1472.2222222222222</v>
      </c>
      <c r="D6749" s="244">
        <f t="shared" si="1009"/>
        <v>660.52238805970148</v>
      </c>
      <c r="E6749" s="2005">
        <v>15</v>
      </c>
      <c r="F6749" s="2001">
        <f t="shared" si="1010"/>
        <v>675.52238805970148</v>
      </c>
      <c r="G6749" s="147" t="s">
        <v>13208</v>
      </c>
      <c r="H6749" s="2003" t="s">
        <v>13209</v>
      </c>
      <c r="I6749" s="501" t="s">
        <v>10379</v>
      </c>
      <c r="J6749" s="502" t="s">
        <v>10678</v>
      </c>
      <c r="K6749" s="501"/>
    </row>
    <row r="6750" spans="1:11" s="35" customFormat="1">
      <c r="A6750" s="502"/>
      <c r="B6750" s="28"/>
      <c r="C6750" s="2510"/>
      <c r="D6750" s="244"/>
      <c r="E6750" s="2005"/>
      <c r="F6750" s="2001"/>
      <c r="G6750" s="147"/>
      <c r="H6750" s="2003"/>
      <c r="I6750" s="501"/>
      <c r="J6750" s="502"/>
      <c r="K6750" s="501"/>
    </row>
    <row r="6751" spans="1:11" s="35" customFormat="1">
      <c r="A6751" s="502"/>
      <c r="B6751" s="28"/>
      <c r="C6751" s="2510"/>
      <c r="D6751" s="244"/>
      <c r="E6751" s="2005"/>
      <c r="F6751" s="2001"/>
      <c r="G6751" s="147"/>
      <c r="H6751" s="2003"/>
      <c r="I6751" s="501"/>
      <c r="J6751" s="502"/>
      <c r="K6751" s="501"/>
    </row>
    <row r="6752" spans="1:11" s="35" customFormat="1" ht="18" customHeight="1">
      <c r="A6752" s="502"/>
      <c r="B6752" s="2127" t="s">
        <v>13210</v>
      </c>
      <c r="C6752" s="2512">
        <v>1541.11</v>
      </c>
      <c r="D6752" s="2196">
        <f>C6752*(1-VLOOKUP(I6752,descuentos,6,FALSE))*fcl/IF(dol_sol="dólar", TC,1)</f>
        <v>691.4293522388059</v>
      </c>
      <c r="E6752" s="2216">
        <v>15</v>
      </c>
      <c r="F6752" s="2198">
        <f t="shared" ref="F6752:F6754" si="1011">D6752+E6752</f>
        <v>706.4293522388059</v>
      </c>
      <c r="G6752" s="2217" t="s">
        <v>13211</v>
      </c>
      <c r="H6752" s="2218">
        <v>420362</v>
      </c>
      <c r="I6752" s="501" t="s">
        <v>10379</v>
      </c>
      <c r="J6752" s="502" t="s">
        <v>10678</v>
      </c>
      <c r="K6752" s="501"/>
    </row>
    <row r="6753" spans="1:11" s="35" customFormat="1" ht="20.25" customHeight="1">
      <c r="A6753" s="502"/>
      <c r="B6753" s="2127" t="s">
        <v>13212</v>
      </c>
      <c r="C6753" s="2512">
        <v>1633.33</v>
      </c>
      <c r="D6753" s="2196">
        <f>C6753*(1-VLOOKUP(I6753,descuentos,6,FALSE))*fcl/IF(dol_sol="dólar", TC,1)</f>
        <v>732.80447462686573</v>
      </c>
      <c r="E6753" s="2216">
        <v>15</v>
      </c>
      <c r="F6753" s="2198">
        <f t="shared" si="1011"/>
        <v>747.80447462686573</v>
      </c>
      <c r="G6753" s="2217" t="s">
        <v>13213</v>
      </c>
      <c r="H6753" s="2218">
        <v>420365</v>
      </c>
      <c r="I6753" s="501" t="s">
        <v>10379</v>
      </c>
      <c r="J6753" s="502" t="s">
        <v>10678</v>
      </c>
      <c r="K6753" s="501"/>
    </row>
    <row r="6754" spans="1:11" s="35" customFormat="1" ht="14.25" customHeight="1">
      <c r="A6754" s="502"/>
      <c r="B6754" s="2127" t="s">
        <v>13214</v>
      </c>
      <c r="C6754" s="2512">
        <v>1738.89</v>
      </c>
      <c r="D6754" s="2196">
        <f t="shared" si="1009"/>
        <v>780.16467761194042</v>
      </c>
      <c r="E6754" s="2216">
        <v>15</v>
      </c>
      <c r="F6754" s="2198">
        <f t="shared" si="1011"/>
        <v>795.16467761194042</v>
      </c>
      <c r="G6754" s="2217" t="s">
        <v>13215</v>
      </c>
      <c r="H6754" s="2218">
        <v>420369</v>
      </c>
      <c r="I6754" s="501" t="s">
        <v>10379</v>
      </c>
      <c r="J6754" s="502" t="s">
        <v>10678</v>
      </c>
      <c r="K6754" s="501"/>
    </row>
    <row r="6755" spans="1:11" s="35" customFormat="1">
      <c r="A6755" s="502"/>
      <c r="B6755" s="28"/>
      <c r="C6755" s="2510"/>
      <c r="D6755" s="244"/>
      <c r="E6755" s="2005"/>
      <c r="F6755" s="2001"/>
      <c r="G6755" s="147"/>
      <c r="H6755" s="2003"/>
      <c r="I6755" s="501"/>
      <c r="J6755" s="502"/>
      <c r="K6755" s="501"/>
    </row>
    <row r="6756" spans="1:11" s="35" customFormat="1">
      <c r="A6756" s="502"/>
      <c r="B6756" s="28"/>
      <c r="C6756" s="2510"/>
      <c r="D6756" s="2004"/>
      <c r="E6756" s="2005"/>
      <c r="F6756" s="2001"/>
      <c r="G6756" s="147"/>
      <c r="H6756" s="2003"/>
      <c r="I6756" s="501"/>
      <c r="J6756" s="502"/>
      <c r="K6756" s="501"/>
    </row>
    <row r="6757" spans="1:11" s="35" customFormat="1">
      <c r="A6757" s="502"/>
      <c r="B6757" s="28"/>
      <c r="C6757" s="2510"/>
      <c r="D6757" s="244"/>
      <c r="E6757" s="2005"/>
      <c r="F6757" s="2001"/>
      <c r="G6757" s="147"/>
      <c r="H6757" s="2003"/>
      <c r="I6757" s="501"/>
      <c r="J6757" s="502"/>
      <c r="K6757" s="501"/>
    </row>
    <row r="6758" spans="1:11" s="35" customFormat="1" ht="18" customHeight="1">
      <c r="A6758" s="502"/>
      <c r="B6758" s="2127" t="s">
        <v>13216</v>
      </c>
      <c r="C6758" s="2512">
        <v>1698</v>
      </c>
      <c r="D6758" s="2196">
        <f>C6758*(1-VLOOKUP(I6758,descuentos,6,FALSE))*fcl/IF(dol_sol="dólar", TC,1)</f>
        <v>761.81910447761197</v>
      </c>
      <c r="E6758" s="2216">
        <v>15</v>
      </c>
      <c r="F6758" s="2198">
        <f t="shared" ref="F6758:F6760" si="1012">D6758+E6758</f>
        <v>776.81910447761197</v>
      </c>
      <c r="G6758" s="2217" t="s">
        <v>13217</v>
      </c>
      <c r="H6758" s="2218">
        <v>420362</v>
      </c>
      <c r="I6758" s="501" t="s">
        <v>10379</v>
      </c>
      <c r="J6758" s="502" t="s">
        <v>10678</v>
      </c>
      <c r="K6758" s="501"/>
    </row>
    <row r="6759" spans="1:11" s="35" customFormat="1" ht="20.25" customHeight="1">
      <c r="A6759" s="502"/>
      <c r="B6759" s="2127" t="s">
        <v>13218</v>
      </c>
      <c r="C6759" s="2512">
        <v>1723</v>
      </c>
      <c r="D6759" s="2196">
        <f>C6759*(1-VLOOKUP(I6759,descuentos,6,FALSE))*fcl/IF(dol_sol="dólar", TC,1)</f>
        <v>773.03552238805969</v>
      </c>
      <c r="E6759" s="2216">
        <v>15</v>
      </c>
      <c r="F6759" s="2198">
        <f t="shared" si="1012"/>
        <v>788.03552238805969</v>
      </c>
      <c r="G6759" s="2217" t="s">
        <v>13219</v>
      </c>
      <c r="H6759" s="2218">
        <v>420365</v>
      </c>
      <c r="I6759" s="501" t="s">
        <v>10379</v>
      </c>
      <c r="J6759" s="502" t="s">
        <v>10678</v>
      </c>
      <c r="K6759" s="501"/>
    </row>
    <row r="6760" spans="1:11" s="35" customFormat="1" ht="14.25" customHeight="1">
      <c r="A6760" s="502"/>
      <c r="B6760" s="2127" t="s">
        <v>13220</v>
      </c>
      <c r="C6760" s="2512">
        <v>1789</v>
      </c>
      <c r="D6760" s="2196">
        <f t="shared" ref="D6760" si="1013">C6760*(1-VLOOKUP(I6760,descuentos,6,FALSE))*fcl/IF(dol_sol="dólar", TC,1)</f>
        <v>802.64686567164188</v>
      </c>
      <c r="E6760" s="2216">
        <v>15</v>
      </c>
      <c r="F6760" s="2198">
        <f t="shared" si="1012"/>
        <v>817.64686567164188</v>
      </c>
      <c r="G6760" s="2217" t="s">
        <v>13221</v>
      </c>
      <c r="H6760" s="2218">
        <v>420369</v>
      </c>
      <c r="I6760" s="501" t="s">
        <v>10379</v>
      </c>
      <c r="J6760" s="502" t="s">
        <v>10678</v>
      </c>
      <c r="K6760" s="501"/>
    </row>
    <row r="6761" spans="1:11" s="35" customFormat="1">
      <c r="A6761" s="502"/>
      <c r="B6761" s="28"/>
      <c r="C6761" s="2510"/>
      <c r="D6761" s="244"/>
      <c r="E6761" s="2005"/>
      <c r="F6761" s="2001"/>
      <c r="G6761" s="147"/>
      <c r="H6761" s="2003"/>
      <c r="I6761" s="501"/>
      <c r="J6761" s="502"/>
      <c r="K6761" s="501"/>
    </row>
    <row r="6762" spans="1:11" s="35" customFormat="1">
      <c r="A6762" s="502"/>
      <c r="B6762" s="28"/>
      <c r="C6762" s="2510"/>
      <c r="D6762" s="244"/>
      <c r="E6762" s="2005"/>
      <c r="F6762" s="2001"/>
      <c r="G6762" s="147"/>
      <c r="H6762" s="2003"/>
      <c r="I6762" s="501"/>
      <c r="J6762" s="502"/>
      <c r="K6762" s="501"/>
    </row>
    <row r="6763" spans="1:11" s="35" customFormat="1">
      <c r="A6763" s="502"/>
      <c r="B6763" s="394" t="s">
        <v>13222</v>
      </c>
      <c r="C6763" s="2510">
        <v>370</v>
      </c>
      <c r="D6763" s="244">
        <f>C6763*(1-VLOOKUP(I6763,descuentos,6,FALSE))*fcl/IF(dol_sol="dólar", TC,1)</f>
        <v>166.00298507462688</v>
      </c>
      <c r="E6763" s="2005">
        <f t="shared" ref="E6763:E6764" si="1014">D6763/8</f>
        <v>20.75037313432836</v>
      </c>
      <c r="F6763" s="2001">
        <f t="shared" ref="F6763:F6764" si="1015">D6763+E6763</f>
        <v>186.75335820895523</v>
      </c>
      <c r="G6763" s="147" t="s">
        <v>13223</v>
      </c>
      <c r="H6763" s="2003">
        <v>420199</v>
      </c>
      <c r="I6763" s="501" t="s">
        <v>10379</v>
      </c>
      <c r="J6763" s="502" t="s">
        <v>10678</v>
      </c>
      <c r="K6763" s="501"/>
    </row>
    <row r="6764" spans="1:11" s="35" customFormat="1">
      <c r="A6764" s="502"/>
      <c r="B6764" s="394" t="s">
        <v>13224</v>
      </c>
      <c r="C6764" s="2510">
        <v>712</v>
      </c>
      <c r="D6764" s="244">
        <f>C6764*(1-VLOOKUP(I6764,descuentos,6,FALSE))*fcl/IF(dol_sol="dólar", TC,1)</f>
        <v>319.44358208955219</v>
      </c>
      <c r="E6764" s="2005">
        <f t="shared" si="1014"/>
        <v>39.930447761194024</v>
      </c>
      <c r="F6764" s="2001">
        <f t="shared" si="1015"/>
        <v>359.37402985074624</v>
      </c>
      <c r="G6764" s="147" t="s">
        <v>13225</v>
      </c>
      <c r="H6764" s="2003">
        <v>420300</v>
      </c>
      <c r="I6764" s="501" t="s">
        <v>10379</v>
      </c>
      <c r="J6764" s="502" t="s">
        <v>10678</v>
      </c>
      <c r="K6764" s="501"/>
    </row>
    <row r="6765" spans="1:11" s="35" customFormat="1">
      <c r="A6765" s="502"/>
      <c r="B6765" s="28"/>
      <c r="C6765" s="2510"/>
      <c r="D6765" s="2004"/>
      <c r="E6765" s="2005"/>
      <c r="F6765" s="2001"/>
      <c r="G6765" s="147"/>
      <c r="H6765" s="2003"/>
      <c r="I6765" s="501"/>
      <c r="J6765" s="502"/>
      <c r="K6765" s="501"/>
    </row>
    <row r="6766" spans="1:11" s="35" customFormat="1">
      <c r="A6766" s="502"/>
      <c r="B6766" s="28"/>
      <c r="C6766" s="2510"/>
      <c r="D6766" s="2004"/>
      <c r="E6766" s="2005"/>
      <c r="F6766" s="2001"/>
      <c r="G6766" s="147"/>
      <c r="H6766" s="2003"/>
      <c r="I6766" s="501"/>
      <c r="J6766" s="502"/>
      <c r="K6766" s="501"/>
    </row>
    <row r="6767" spans="1:11" s="35" customFormat="1">
      <c r="A6767" s="502"/>
      <c r="B6767" s="28" t="s">
        <v>10522</v>
      </c>
      <c r="C6767" s="2510">
        <v>505.74444444444447</v>
      </c>
      <c r="D6767" s="244">
        <f>C6767*(1-VLOOKUP(I6767,descuentos,6,FALSE))*fcl/IF(dol_sol="dólar", TC,1)</f>
        <v>226.90564179104479</v>
      </c>
      <c r="E6767" s="2005">
        <f t="shared" ref="E6767:E6768" si="1016">D6767/8</f>
        <v>28.363205223880598</v>
      </c>
      <c r="F6767" s="2001">
        <f t="shared" ref="F6767:F6768" si="1017">D6767+E6767</f>
        <v>255.26884701492537</v>
      </c>
      <c r="G6767" s="147" t="s">
        <v>11917</v>
      </c>
      <c r="H6767" s="2003">
        <v>420238</v>
      </c>
      <c r="I6767" s="501" t="s">
        <v>10379</v>
      </c>
      <c r="J6767" s="502" t="s">
        <v>10678</v>
      </c>
      <c r="K6767" s="501"/>
    </row>
    <row r="6768" spans="1:11" s="35" customFormat="1">
      <c r="A6768" s="502"/>
      <c r="B6768" s="28" t="s">
        <v>10523</v>
      </c>
      <c r="C6768" s="2510">
        <v>515.82222222222219</v>
      </c>
      <c r="D6768" s="244">
        <f>C6768*(1-VLOOKUP(I6768,descuentos,6,FALSE))*fcl/IF(dol_sol="dólar", TC,1)</f>
        <v>231.42710447761195</v>
      </c>
      <c r="E6768" s="2005">
        <f t="shared" si="1016"/>
        <v>28.928388059701494</v>
      </c>
      <c r="F6768" s="2001">
        <f t="shared" si="1017"/>
        <v>260.35549253731347</v>
      </c>
      <c r="G6768" s="147" t="s">
        <v>11918</v>
      </c>
      <c r="H6768" s="2003" t="s">
        <v>10524</v>
      </c>
      <c r="I6768" s="501" t="s">
        <v>10379</v>
      </c>
      <c r="J6768" s="502" t="s">
        <v>10678</v>
      </c>
      <c r="K6768" s="501"/>
    </row>
    <row r="6769" spans="1:11" s="35" customFormat="1">
      <c r="A6769" s="502"/>
      <c r="B6769" s="28"/>
      <c r="C6769" s="2510"/>
      <c r="D6769" s="244"/>
      <c r="E6769" s="2005"/>
      <c r="F6769" s="2001"/>
      <c r="G6769" s="208"/>
      <c r="H6769" s="2003"/>
      <c r="I6769" s="501"/>
      <c r="J6769" s="502"/>
      <c r="K6769" s="501"/>
    </row>
    <row r="6770" spans="1:11" s="35" customFormat="1">
      <c r="A6770" s="502"/>
      <c r="B6770" s="28" t="s">
        <v>10525</v>
      </c>
      <c r="C6770" s="2510">
        <v>532.20000000000005</v>
      </c>
      <c r="D6770" s="244">
        <f>C6770*(1-VLOOKUP(I6770,descuentos,6,FALSE))*fcl/IF(dol_sol="dólar", TC,1)</f>
        <v>238.77510447761193</v>
      </c>
      <c r="E6770" s="2005">
        <f t="shared" ref="E6770:E6771" si="1018">D6770/8</f>
        <v>29.846888059701492</v>
      </c>
      <c r="F6770" s="2001">
        <f t="shared" ref="F6770:F6771" si="1019">D6770+E6770</f>
        <v>268.62199253731342</v>
      </c>
      <c r="G6770" s="147" t="s">
        <v>11919</v>
      </c>
      <c r="H6770" s="2003">
        <v>420268</v>
      </c>
      <c r="I6770" s="501" t="s">
        <v>10379</v>
      </c>
      <c r="J6770" s="502" t="s">
        <v>10678</v>
      </c>
      <c r="K6770" s="501"/>
    </row>
    <row r="6771" spans="1:11" s="35" customFormat="1">
      <c r="A6771" s="502"/>
      <c r="B6771" s="28" t="s">
        <v>10526</v>
      </c>
      <c r="C6771" s="2510">
        <v>544.78888888888889</v>
      </c>
      <c r="D6771" s="244">
        <f>C6771*(1-VLOOKUP(I6771,descuentos,6,FALSE))*fcl/IF(dol_sol="dólar", TC,1)</f>
        <v>244.42319402985072</v>
      </c>
      <c r="E6771" s="2005">
        <f t="shared" si="1018"/>
        <v>30.55289925373134</v>
      </c>
      <c r="F6771" s="2001">
        <f t="shared" si="1019"/>
        <v>274.97609328358203</v>
      </c>
      <c r="G6771" s="147" t="s">
        <v>11920</v>
      </c>
      <c r="H6771" s="2003" t="s">
        <v>10527</v>
      </c>
      <c r="I6771" s="501" t="s">
        <v>10379</v>
      </c>
      <c r="J6771" s="502" t="s">
        <v>10678</v>
      </c>
      <c r="K6771" s="501"/>
    </row>
    <row r="6772" spans="1:11" s="35" customFormat="1">
      <c r="A6772" s="502"/>
      <c r="B6772" s="28"/>
      <c r="C6772" s="2510"/>
      <c r="D6772" s="244"/>
      <c r="E6772" s="2005"/>
      <c r="F6772" s="2001"/>
      <c r="G6772" s="208"/>
      <c r="H6772" s="2003"/>
      <c r="I6772" s="501"/>
      <c r="J6772" s="502"/>
      <c r="K6772" s="501"/>
    </row>
    <row r="6773" spans="1:11" s="35" customFormat="1">
      <c r="A6773" s="502"/>
      <c r="B6773" s="28" t="s">
        <v>10528</v>
      </c>
      <c r="C6773" s="2510">
        <v>748.22222222222217</v>
      </c>
      <c r="D6773" s="244">
        <f>C6773*(1-VLOOKUP(I6773,descuentos,6,FALSE))*fcl/IF(dol_sol="dólar", TC,1)</f>
        <v>335.69492537313431</v>
      </c>
      <c r="E6773" s="2005">
        <f t="shared" ref="E6773:E6774" si="1020">D6773/8</f>
        <v>41.961865671641789</v>
      </c>
      <c r="F6773" s="2001">
        <f t="shared" ref="F6773:F6774" si="1021">D6773+E6773</f>
        <v>377.65679104477613</v>
      </c>
      <c r="G6773" s="147" t="s">
        <v>11921</v>
      </c>
      <c r="H6773" s="2003">
        <v>420608</v>
      </c>
      <c r="I6773" s="501" t="s">
        <v>10379</v>
      </c>
      <c r="J6773" s="502" t="s">
        <v>10678</v>
      </c>
      <c r="K6773" s="501"/>
    </row>
    <row r="6774" spans="1:11" s="35" customFormat="1">
      <c r="A6774" s="502"/>
      <c r="B6774" s="28" t="s">
        <v>10529</v>
      </c>
      <c r="C6774" s="2510">
        <v>765.86666666666667</v>
      </c>
      <c r="D6774" s="244">
        <f>C6774*(1-VLOOKUP(I6774,descuentos,6,FALSE))*fcl/IF(dol_sol="dólar", TC,1)</f>
        <v>343.61122388059698</v>
      </c>
      <c r="E6774" s="2005">
        <f t="shared" si="1020"/>
        <v>42.951402985074623</v>
      </c>
      <c r="F6774" s="2001">
        <f t="shared" si="1021"/>
        <v>386.56262686567163</v>
      </c>
      <c r="G6774" s="147" t="s">
        <v>11922</v>
      </c>
      <c r="H6774" s="2003" t="s">
        <v>10530</v>
      </c>
      <c r="I6774" s="501" t="s">
        <v>10379</v>
      </c>
      <c r="J6774" s="502" t="s">
        <v>10678</v>
      </c>
      <c r="K6774" s="501"/>
    </row>
    <row r="6775" spans="1:11" s="35" customFormat="1">
      <c r="A6775" s="502"/>
      <c r="B6775" s="28"/>
      <c r="C6775" s="2510"/>
      <c r="D6775" s="244"/>
      <c r="E6775" s="2005"/>
      <c r="F6775" s="2001"/>
      <c r="G6775" s="147"/>
      <c r="H6775" s="2003"/>
      <c r="I6775" s="501"/>
      <c r="J6775" s="502"/>
      <c r="K6775" s="501"/>
    </row>
    <row r="6776" spans="1:11" s="35" customFormat="1">
      <c r="A6776" s="502"/>
      <c r="B6776" s="28"/>
      <c r="C6776" s="2510"/>
      <c r="D6776" s="244"/>
      <c r="E6776" s="2005"/>
      <c r="F6776" s="2001"/>
      <c r="G6776" s="208"/>
      <c r="H6776" s="2003"/>
      <c r="I6776" s="501"/>
      <c r="J6776" s="502"/>
      <c r="K6776" s="501"/>
    </row>
    <row r="6777" spans="1:11" s="35" customFormat="1">
      <c r="A6777" s="502"/>
      <c r="B6777" s="28" t="s">
        <v>10531</v>
      </c>
      <c r="C6777" s="2510">
        <v>760.19999999999993</v>
      </c>
      <c r="D6777" s="244">
        <f>C6777*(1-VLOOKUP(I6777,descuentos,6,FALSE))*fcl/IF(dol_sol="dólar", TC,1)</f>
        <v>341.06883582089546</v>
      </c>
      <c r="E6777" s="2005">
        <f t="shared" ref="E6777:E6870" si="1022">D6777/8</f>
        <v>42.633604477611932</v>
      </c>
      <c r="F6777" s="2001">
        <f t="shared" si="1004"/>
        <v>383.70244029850738</v>
      </c>
      <c r="G6777" s="147" t="s">
        <v>11923</v>
      </c>
      <c r="H6777" s="2003">
        <v>420248</v>
      </c>
      <c r="I6777" s="501" t="s">
        <v>10379</v>
      </c>
      <c r="J6777" s="502" t="s">
        <v>10678</v>
      </c>
      <c r="K6777" s="501"/>
    </row>
    <row r="6778" spans="1:11" s="35" customFormat="1">
      <c r="A6778" s="502"/>
      <c r="B6778" s="28" t="s">
        <v>10532</v>
      </c>
      <c r="C6778" s="2510">
        <v>776.56666666666661</v>
      </c>
      <c r="D6778" s="244">
        <f>C6778*(1-VLOOKUP(I6778,descuentos,6,FALSE))*fcl/IF(dol_sol="dólar", TC,1)</f>
        <v>348.41185074626861</v>
      </c>
      <c r="E6778" s="2005">
        <f t="shared" si="1022"/>
        <v>43.551481343283577</v>
      </c>
      <c r="F6778" s="2001">
        <f t="shared" si="1004"/>
        <v>391.96333208955218</v>
      </c>
      <c r="G6778" s="147" t="s">
        <v>11924</v>
      </c>
      <c r="H6778" s="2003" t="s">
        <v>10533</v>
      </c>
      <c r="I6778" s="501" t="s">
        <v>10379</v>
      </c>
      <c r="J6778" s="502" t="s">
        <v>10678</v>
      </c>
      <c r="K6778" s="501"/>
    </row>
    <row r="6779" spans="1:11" s="35" customFormat="1">
      <c r="A6779" s="502"/>
      <c r="B6779" s="28"/>
      <c r="C6779" s="2510"/>
      <c r="D6779" s="244"/>
      <c r="E6779" s="2005"/>
      <c r="F6779" s="2001"/>
      <c r="G6779" s="208"/>
      <c r="H6779" s="2003"/>
      <c r="I6779" s="501"/>
      <c r="J6779" s="502"/>
      <c r="K6779" s="501"/>
    </row>
    <row r="6780" spans="1:11" s="35" customFormat="1">
      <c r="A6780" s="502"/>
      <c r="B6780" s="28" t="s">
        <v>10534</v>
      </c>
      <c r="C6780" s="2510">
        <v>797.97777777777765</v>
      </c>
      <c r="D6780" s="244">
        <f>C6780*(1-VLOOKUP(I6780,descuentos,6,FALSE))*fcl/IF(dol_sol="dólar", TC,1)</f>
        <v>358.01808955223879</v>
      </c>
      <c r="E6780" s="2005">
        <f t="shared" si="1022"/>
        <v>44.752261194029849</v>
      </c>
      <c r="F6780" s="2001">
        <f t="shared" si="1004"/>
        <v>402.77035074626866</v>
      </c>
      <c r="G6780" s="147" t="s">
        <v>11925</v>
      </c>
      <c r="H6780" s="2003">
        <v>420278</v>
      </c>
      <c r="I6780" s="501" t="s">
        <v>10379</v>
      </c>
      <c r="J6780" s="502" t="s">
        <v>10678</v>
      </c>
      <c r="K6780" s="501"/>
    </row>
    <row r="6781" spans="1:11" s="35" customFormat="1">
      <c r="A6781" s="502"/>
      <c r="B6781" s="28" t="s">
        <v>10535</v>
      </c>
      <c r="C6781" s="2510">
        <v>815.62222222222215</v>
      </c>
      <c r="D6781" s="244">
        <f>C6781*(1-VLOOKUP(I6781,descuentos,6,FALSE))*fcl/IF(dol_sol="dólar", TC,1)</f>
        <v>365.9343880597014</v>
      </c>
      <c r="E6781" s="2005">
        <f t="shared" si="1022"/>
        <v>45.741798507462676</v>
      </c>
      <c r="F6781" s="2001">
        <f t="shared" si="1004"/>
        <v>411.67618656716411</v>
      </c>
      <c r="G6781" s="147" t="s">
        <v>11926</v>
      </c>
      <c r="H6781" s="2003" t="s">
        <v>10536</v>
      </c>
      <c r="I6781" s="501" t="s">
        <v>10379</v>
      </c>
      <c r="J6781" s="502" t="s">
        <v>10678</v>
      </c>
      <c r="K6781" s="501"/>
    </row>
    <row r="6782" spans="1:11" s="35" customFormat="1">
      <c r="A6782" s="502"/>
      <c r="B6782" s="28"/>
      <c r="C6782" s="2510"/>
      <c r="D6782" s="244"/>
      <c r="E6782" s="2005"/>
      <c r="F6782" s="2001"/>
      <c r="G6782" s="208"/>
      <c r="H6782" s="2003"/>
      <c r="I6782" s="501"/>
      <c r="J6782" s="502"/>
      <c r="K6782" s="501"/>
    </row>
    <row r="6783" spans="1:11" s="35" customFormat="1">
      <c r="A6783" s="502"/>
      <c r="B6783" s="28" t="s">
        <v>10537</v>
      </c>
      <c r="C6783" s="2510">
        <v>874.82222222222219</v>
      </c>
      <c r="D6783" s="244">
        <f>C6783*(1-VLOOKUP(I6783,descuentos,6,FALSE))*fcl/IF(dol_sol="dólar", TC,1)</f>
        <v>392.49486567164178</v>
      </c>
      <c r="E6783" s="2005">
        <f t="shared" ref="E6783:E6784" si="1023">D6783/8</f>
        <v>49.061858208955222</v>
      </c>
      <c r="F6783" s="2001">
        <f t="shared" ref="F6783:F6784" si="1024">D6783+E6783</f>
        <v>441.55672388059702</v>
      </c>
      <c r="G6783" s="147" t="s">
        <v>11927</v>
      </c>
      <c r="H6783" s="2003">
        <v>420618</v>
      </c>
      <c r="I6783" s="501" t="s">
        <v>10379</v>
      </c>
      <c r="J6783" s="502" t="s">
        <v>10678</v>
      </c>
      <c r="K6783" s="501"/>
    </row>
    <row r="6784" spans="1:11" s="35" customFormat="1">
      <c r="A6784" s="502"/>
      <c r="B6784" s="28" t="s">
        <v>10538</v>
      </c>
      <c r="C6784" s="2510">
        <v>895.59999999999991</v>
      </c>
      <c r="D6784" s="244">
        <f>C6784*(1-VLOOKUP(I6784,descuentos,6,FALSE))*fcl/IF(dol_sol="dólar", TC,1)</f>
        <v>401.81695522388054</v>
      </c>
      <c r="E6784" s="2005">
        <f t="shared" si="1023"/>
        <v>50.227119402985068</v>
      </c>
      <c r="F6784" s="2001">
        <f t="shared" si="1024"/>
        <v>452.04407462686561</v>
      </c>
      <c r="G6784" s="147" t="s">
        <v>11928</v>
      </c>
      <c r="H6784" s="2003">
        <v>420619</v>
      </c>
      <c r="I6784" s="501" t="s">
        <v>10379</v>
      </c>
      <c r="J6784" s="502" t="s">
        <v>10678</v>
      </c>
      <c r="K6784" s="501"/>
    </row>
    <row r="6785" spans="1:11" s="35" customFormat="1">
      <c r="A6785" s="502"/>
      <c r="B6785" s="28"/>
      <c r="C6785" s="2510"/>
      <c r="D6785" s="244"/>
      <c r="E6785" s="2005"/>
      <c r="F6785" s="2001"/>
      <c r="G6785" s="147"/>
      <c r="H6785" s="2003"/>
      <c r="I6785" s="501"/>
      <c r="J6785" s="502"/>
      <c r="K6785" s="501"/>
    </row>
    <row r="6786" spans="1:11" s="35" customFormat="1">
      <c r="A6786" s="502"/>
      <c r="B6786" s="28"/>
      <c r="C6786" s="2510"/>
      <c r="D6786" s="244"/>
      <c r="E6786" s="2005"/>
      <c r="F6786" s="2001"/>
      <c r="G6786" s="147"/>
      <c r="H6786" s="2003"/>
      <c r="I6786" s="501"/>
      <c r="J6786" s="502"/>
      <c r="K6786" s="501"/>
    </row>
    <row r="6787" spans="1:11" s="35" customFormat="1">
      <c r="A6787" s="502"/>
      <c r="B6787" s="28"/>
      <c r="C6787" s="2510"/>
      <c r="D6787" s="244"/>
      <c r="E6787" s="2005"/>
      <c r="F6787" s="2001"/>
      <c r="G6787" s="208"/>
      <c r="H6787" s="2003"/>
      <c r="I6787" s="501"/>
      <c r="J6787" s="502"/>
      <c r="K6787" s="501"/>
    </row>
    <row r="6788" spans="1:11" s="35" customFormat="1">
      <c r="A6788" s="502"/>
      <c r="B6788" s="28"/>
      <c r="C6788" s="2510"/>
      <c r="D6788" s="244"/>
      <c r="E6788" s="2005"/>
      <c r="F6788" s="2001"/>
      <c r="G6788" s="208"/>
      <c r="H6788" s="2003"/>
      <c r="I6788" s="501"/>
      <c r="J6788" s="502"/>
      <c r="K6788" s="501"/>
    </row>
    <row r="6789" spans="1:11" s="35" customFormat="1">
      <c r="A6789" s="502"/>
      <c r="B6789" s="28" t="s">
        <v>10539</v>
      </c>
      <c r="C6789" s="2510">
        <v>1086.4444444444443</v>
      </c>
      <c r="D6789" s="244">
        <f>C6789*(1-VLOOKUP(I6789,descuentos,6,FALSE))*fcl/IF(dol_sol="dólar", TC,1)</f>
        <v>487.44059701492534</v>
      </c>
      <c r="E6789" s="2005">
        <f t="shared" ref="E6789:E6792" si="1025">D6789/8</f>
        <v>60.930074626865668</v>
      </c>
      <c r="F6789" s="2001">
        <f t="shared" ref="F6789:F6792" si="1026">D6789+E6789</f>
        <v>548.37067164179098</v>
      </c>
      <c r="G6789" s="147" t="s">
        <v>11929</v>
      </c>
      <c r="H6789" s="2003">
        <v>422001</v>
      </c>
      <c r="I6789" s="501" t="s">
        <v>10379</v>
      </c>
      <c r="J6789" s="502" t="s">
        <v>10678</v>
      </c>
      <c r="K6789" s="501"/>
    </row>
    <row r="6790" spans="1:11" s="35" customFormat="1">
      <c r="A6790" s="502"/>
      <c r="B6790" s="28" t="s">
        <v>10540</v>
      </c>
      <c r="C6790" s="2510">
        <v>1086.4444444444443</v>
      </c>
      <c r="D6790" s="244">
        <f>C6790*(1-VLOOKUP(I6790,descuentos,6,FALSE))*fcl/IF(dol_sol="dólar", TC,1)</f>
        <v>487.44059701492534</v>
      </c>
      <c r="E6790" s="2005">
        <f t="shared" si="1025"/>
        <v>60.930074626865668</v>
      </c>
      <c r="F6790" s="2001">
        <f t="shared" si="1026"/>
        <v>548.37067164179098</v>
      </c>
      <c r="G6790" s="147" t="s">
        <v>11930</v>
      </c>
      <c r="H6790" s="2003">
        <v>422002</v>
      </c>
      <c r="I6790" s="501" t="s">
        <v>10379</v>
      </c>
      <c r="J6790" s="502" t="s">
        <v>10678</v>
      </c>
      <c r="K6790" s="501"/>
    </row>
    <row r="6791" spans="1:11" s="35" customFormat="1">
      <c r="A6791" s="502"/>
      <c r="B6791" s="28" t="s">
        <v>10541</v>
      </c>
      <c r="C6791" s="2510">
        <v>1161.3888888888889</v>
      </c>
      <c r="D6791" s="244">
        <f>C6791*(1-VLOOKUP(I6791,descuentos,6,FALSE))*fcl/IF(dol_sol="dólar", TC,1)</f>
        <v>521.06492537313432</v>
      </c>
      <c r="E6791" s="2005">
        <f t="shared" si="1025"/>
        <v>65.133115671641789</v>
      </c>
      <c r="F6791" s="2001">
        <f t="shared" si="1026"/>
        <v>586.19804104477612</v>
      </c>
      <c r="G6791" s="147" t="s">
        <v>11931</v>
      </c>
      <c r="H6791" s="2003" t="s">
        <v>10542</v>
      </c>
      <c r="I6791" s="501" t="s">
        <v>10379</v>
      </c>
      <c r="J6791" s="502" t="s">
        <v>10678</v>
      </c>
      <c r="K6791" s="501"/>
    </row>
    <row r="6792" spans="1:11" s="35" customFormat="1" ht="15.75" customHeight="1">
      <c r="A6792" s="502"/>
      <c r="B6792" s="28" t="s">
        <v>10543</v>
      </c>
      <c r="C6792" s="2510">
        <v>1243.8888888888889</v>
      </c>
      <c r="D6792" s="244">
        <f>C6792*(1-VLOOKUP(I6792,descuentos,6,FALSE))*fcl/IF(dol_sol="dólar", TC,1)</f>
        <v>558.07910447761185</v>
      </c>
      <c r="E6792" s="2005">
        <f t="shared" si="1025"/>
        <v>69.759888059701481</v>
      </c>
      <c r="F6792" s="2001">
        <f t="shared" si="1026"/>
        <v>627.83899253731329</v>
      </c>
      <c r="G6792" s="147" t="s">
        <v>11932</v>
      </c>
      <c r="H6792" s="2003" t="s">
        <v>10544</v>
      </c>
      <c r="I6792" s="501" t="s">
        <v>10379</v>
      </c>
      <c r="J6792" s="502" t="s">
        <v>10678</v>
      </c>
      <c r="K6792" s="501"/>
    </row>
    <row r="6793" spans="1:11" s="35" customFormat="1">
      <c r="A6793" s="502"/>
      <c r="B6793" s="28"/>
      <c r="C6793" s="2510"/>
      <c r="D6793" s="244"/>
      <c r="E6793" s="2005"/>
      <c r="F6793" s="2001"/>
      <c r="G6793" s="208"/>
      <c r="H6793" s="2003"/>
      <c r="I6793" s="501"/>
      <c r="J6793" s="502"/>
      <c r="K6793" s="501"/>
    </row>
    <row r="6794" spans="1:11" s="35" customFormat="1">
      <c r="A6794" s="502"/>
      <c r="B6794" s="28" t="s">
        <v>10545</v>
      </c>
      <c r="C6794" s="2510">
        <v>1121.0777777777778</v>
      </c>
      <c r="D6794" s="244">
        <f>C6794*(1-VLOOKUP(I6794,descuentos,6,FALSE))*fcl/IF(dol_sol="dólar", TC,1)</f>
        <v>502.97907462686567</v>
      </c>
      <c r="E6794" s="2005">
        <f t="shared" ref="E6794:E6797" si="1027">D6794/8</f>
        <v>62.872384328358208</v>
      </c>
      <c r="F6794" s="2001">
        <f t="shared" ref="F6794:F6797" si="1028">D6794+E6794</f>
        <v>565.85145895522385</v>
      </c>
      <c r="G6794" s="147" t="s">
        <v>11933</v>
      </c>
      <c r="H6794" s="2003">
        <v>422015</v>
      </c>
      <c r="I6794" s="501" t="s">
        <v>10379</v>
      </c>
      <c r="J6794" s="502" t="s">
        <v>10678</v>
      </c>
      <c r="K6794" s="501"/>
    </row>
    <row r="6795" spans="1:11" s="35" customFormat="1">
      <c r="A6795" s="502"/>
      <c r="B6795" s="28" t="s">
        <v>10546</v>
      </c>
      <c r="C6795" s="2510">
        <v>1121.0777777777778</v>
      </c>
      <c r="D6795" s="244">
        <f>C6795*(1-VLOOKUP(I6795,descuentos,6,FALSE))*fcl/IF(dol_sol="dólar", TC,1)</f>
        <v>502.97907462686567</v>
      </c>
      <c r="E6795" s="2005">
        <f t="shared" si="1027"/>
        <v>62.872384328358208</v>
      </c>
      <c r="F6795" s="2001">
        <f t="shared" si="1028"/>
        <v>565.85145895522385</v>
      </c>
      <c r="G6795" s="147" t="s">
        <v>11934</v>
      </c>
      <c r="H6795" s="2003" t="s">
        <v>10547</v>
      </c>
      <c r="I6795" s="501" t="s">
        <v>10379</v>
      </c>
      <c r="J6795" s="502" t="s">
        <v>10678</v>
      </c>
      <c r="K6795" s="501"/>
    </row>
    <row r="6796" spans="1:11" s="35" customFormat="1">
      <c r="A6796" s="502"/>
      <c r="B6796" s="28" t="s">
        <v>10548</v>
      </c>
      <c r="C6796" s="2510">
        <v>1192.8777777777777</v>
      </c>
      <c r="D6796" s="244">
        <f>C6796*(1-VLOOKUP(I6796,descuentos,6,FALSE))*fcl/IF(dol_sol="dólar", TC,1)</f>
        <v>535.19262686567151</v>
      </c>
      <c r="E6796" s="2007">
        <f t="shared" si="1027"/>
        <v>66.899078358208939</v>
      </c>
      <c r="F6796" s="2006">
        <f t="shared" si="1028"/>
        <v>602.09170522388047</v>
      </c>
      <c r="G6796" s="147" t="s">
        <v>11935</v>
      </c>
      <c r="H6796" s="2003" t="s">
        <v>10549</v>
      </c>
      <c r="I6796" s="501" t="s">
        <v>10379</v>
      </c>
      <c r="J6796" s="502" t="s">
        <v>10678</v>
      </c>
      <c r="K6796" s="501"/>
    </row>
    <row r="6797" spans="1:11" s="35" customFormat="1">
      <c r="A6797" s="502"/>
      <c r="B6797" s="28" t="s">
        <v>10550</v>
      </c>
      <c r="C6797" s="2510">
        <v>1277.2666666666667</v>
      </c>
      <c r="D6797" s="244">
        <f>C6797*(1-VLOOKUP(I6797,descuentos,6,FALSE))*fcl/IF(dol_sol="dólar", TC,1)</f>
        <v>573.05426865671632</v>
      </c>
      <c r="E6797" s="2005">
        <f t="shared" si="1027"/>
        <v>71.63178358208954</v>
      </c>
      <c r="F6797" s="2001">
        <f t="shared" si="1028"/>
        <v>644.68605223880581</v>
      </c>
      <c r="G6797" s="147" t="s">
        <v>11936</v>
      </c>
      <c r="H6797" s="2003" t="s">
        <v>10551</v>
      </c>
      <c r="I6797" s="501" t="s">
        <v>10379</v>
      </c>
      <c r="J6797" s="502" t="s">
        <v>10678</v>
      </c>
      <c r="K6797" s="501"/>
    </row>
    <row r="6798" spans="1:11" s="35" customFormat="1">
      <c r="A6798" s="502"/>
      <c r="B6798" s="28"/>
      <c r="C6798" s="2510"/>
      <c r="D6798" s="2004"/>
      <c r="E6798" s="2005"/>
      <c r="F6798" s="2001"/>
      <c r="G6798" s="208"/>
      <c r="H6798" s="2003"/>
      <c r="I6798" s="501"/>
      <c r="J6798" s="502"/>
      <c r="K6798" s="501"/>
    </row>
    <row r="6799" spans="1:11" s="35" customFormat="1">
      <c r="A6799" s="502"/>
      <c r="B6799" s="28" t="s">
        <v>10552</v>
      </c>
      <c r="C6799" s="2510">
        <v>1248.3</v>
      </c>
      <c r="D6799" s="244">
        <f>C6799*(1-VLOOKUP(I6799,descuentos,6,FALSE))*fcl/IF(dol_sol="dólar", TC,1)</f>
        <v>560.05817910447763</v>
      </c>
      <c r="E6799" s="2005">
        <f t="shared" ref="E6799:E6802" si="1029">D6799/8</f>
        <v>70.007272388059704</v>
      </c>
      <c r="F6799" s="2001">
        <f t="shared" ref="F6799:F6802" si="1030">D6799+E6799</f>
        <v>630.06545149253736</v>
      </c>
      <c r="G6799" s="147" t="s">
        <v>11937</v>
      </c>
      <c r="H6799" s="2003">
        <v>422029</v>
      </c>
      <c r="I6799" s="501" t="s">
        <v>10379</v>
      </c>
      <c r="J6799" s="502" t="s">
        <v>10678</v>
      </c>
      <c r="K6799" s="501"/>
    </row>
    <row r="6800" spans="1:11" s="35" customFormat="1">
      <c r="A6800" s="502"/>
      <c r="B6800" s="28" t="s">
        <v>10553</v>
      </c>
      <c r="C6800" s="2510">
        <v>1260.8999999999999</v>
      </c>
      <c r="D6800" s="244">
        <f>C6800*(1-VLOOKUP(I6800,descuentos,6,FALSE))*fcl/IF(dol_sol="dólar", TC,1)</f>
        <v>565.71125373134328</v>
      </c>
      <c r="E6800" s="2005">
        <f t="shared" si="1029"/>
        <v>70.71390671641791</v>
      </c>
      <c r="F6800" s="2001">
        <f t="shared" si="1030"/>
        <v>636.42516044776119</v>
      </c>
      <c r="G6800" s="147" t="s">
        <v>11938</v>
      </c>
      <c r="H6800" s="2003" t="s">
        <v>10554</v>
      </c>
      <c r="I6800" s="501" t="s">
        <v>10379</v>
      </c>
      <c r="J6800" s="502" t="s">
        <v>10678</v>
      </c>
      <c r="K6800" s="501"/>
    </row>
    <row r="6801" spans="1:11" s="35" customFormat="1">
      <c r="A6801" s="502"/>
      <c r="B6801" s="28" t="s">
        <v>10555</v>
      </c>
      <c r="C6801" s="2510">
        <v>1368.6</v>
      </c>
      <c r="D6801" s="244">
        <f>C6801*(1-VLOOKUP(I6801,descuentos,6,FALSE))*fcl/IF(dol_sol="dólar", TC,1)</f>
        <v>614.03158208955222</v>
      </c>
      <c r="E6801" s="2007">
        <f t="shared" si="1029"/>
        <v>76.753947761194027</v>
      </c>
      <c r="F6801" s="2006">
        <f t="shared" si="1030"/>
        <v>690.78552985074623</v>
      </c>
      <c r="G6801" s="147" t="s">
        <v>11939</v>
      </c>
      <c r="H6801" s="2003" t="s">
        <v>10556</v>
      </c>
      <c r="I6801" s="501" t="s">
        <v>10379</v>
      </c>
      <c r="J6801" s="502" t="s">
        <v>10678</v>
      </c>
      <c r="K6801" s="501"/>
    </row>
    <row r="6802" spans="1:11" s="35" customFormat="1">
      <c r="A6802" s="502"/>
      <c r="B6802" s="28" t="s">
        <v>10557</v>
      </c>
      <c r="C6802" s="2510">
        <v>1401.9777777777776</v>
      </c>
      <c r="D6802" s="244">
        <f>C6802*(1-VLOOKUP(I6802,descuentos,6,FALSE))*fcl/IF(dol_sol="dólar", TC,1)</f>
        <v>629.00674626865668</v>
      </c>
      <c r="E6802" s="2005">
        <f t="shared" si="1029"/>
        <v>78.625843283582086</v>
      </c>
      <c r="F6802" s="2001">
        <f t="shared" si="1030"/>
        <v>707.63258955223876</v>
      </c>
      <c r="G6802" s="147" t="s">
        <v>11940</v>
      </c>
      <c r="H6802" s="2003" t="s">
        <v>10558</v>
      </c>
      <c r="I6802" s="501" t="s">
        <v>10379</v>
      </c>
      <c r="J6802" s="502" t="s">
        <v>10678</v>
      </c>
      <c r="K6802" s="501"/>
    </row>
    <row r="6803" spans="1:11" s="35" customFormat="1">
      <c r="A6803" s="502"/>
      <c r="B6803" s="28"/>
      <c r="C6803" s="2510"/>
      <c r="D6803" s="244"/>
      <c r="E6803" s="2005"/>
      <c r="F6803" s="2001"/>
      <c r="G6803" s="147"/>
      <c r="H6803" s="2003"/>
      <c r="I6803" s="501"/>
      <c r="J6803" s="502"/>
      <c r="K6803" s="501"/>
    </row>
    <row r="6804" spans="1:11" s="35" customFormat="1">
      <c r="A6804" s="502"/>
      <c r="B6804" s="28" t="s">
        <v>10559</v>
      </c>
      <c r="C6804" s="2510">
        <v>1267.8222222222221</v>
      </c>
      <c r="D6804" s="244">
        <f>C6804*(1-VLOOKUP(I6804,descuentos,6,FALSE))*fcl/IF(dol_sol="dólar", TC,1)</f>
        <v>568.81695522388054</v>
      </c>
      <c r="E6804" s="2005">
        <f t="shared" ref="E6804:E6807" si="1031">D6804/8</f>
        <v>71.102119402985068</v>
      </c>
      <c r="F6804" s="2001">
        <f t="shared" ref="F6804:F6807" si="1032">D6804+E6804</f>
        <v>639.91907462686561</v>
      </c>
      <c r="G6804" s="147" t="s">
        <v>11941</v>
      </c>
      <c r="H6804" s="2003">
        <v>422043</v>
      </c>
      <c r="I6804" s="501" t="s">
        <v>10379</v>
      </c>
      <c r="J6804" s="502" t="s">
        <v>10678</v>
      </c>
      <c r="K6804" s="501"/>
    </row>
    <row r="6805" spans="1:11" s="35" customFormat="1">
      <c r="A6805" s="502"/>
      <c r="B6805" s="28" t="s">
        <v>10560</v>
      </c>
      <c r="C6805" s="2510">
        <v>1280.4222222222222</v>
      </c>
      <c r="D6805" s="244">
        <f>C6805*(1-VLOOKUP(I6805,descuentos,6,FALSE))*fcl/IF(dol_sol="dólar", TC,1)</f>
        <v>574.4700298507463</v>
      </c>
      <c r="E6805" s="2005">
        <f t="shared" si="1031"/>
        <v>71.808753731343288</v>
      </c>
      <c r="F6805" s="2001">
        <f t="shared" si="1032"/>
        <v>646.27878358208955</v>
      </c>
      <c r="G6805" s="147" t="s">
        <v>11942</v>
      </c>
      <c r="H6805" s="2003" t="s">
        <v>10561</v>
      </c>
      <c r="I6805" s="501" t="s">
        <v>10379</v>
      </c>
      <c r="J6805" s="502" t="s">
        <v>10678</v>
      </c>
      <c r="K6805" s="501"/>
    </row>
    <row r="6806" spans="1:11" s="35" customFormat="1">
      <c r="A6806" s="502"/>
      <c r="B6806" s="28" t="s">
        <v>10562</v>
      </c>
      <c r="C6806" s="2510">
        <v>1390.6444444444444</v>
      </c>
      <c r="D6806" s="244">
        <f>C6806*(1-VLOOKUP(I6806,descuentos,6,FALSE))*fcl/IF(dol_sol="dólar", TC,1)</f>
        <v>623.92197014925364</v>
      </c>
      <c r="E6806" s="2007">
        <f t="shared" si="1031"/>
        <v>77.990246268656705</v>
      </c>
      <c r="F6806" s="2006">
        <f t="shared" si="1032"/>
        <v>701.91221641791037</v>
      </c>
      <c r="G6806" s="147" t="s">
        <v>11943</v>
      </c>
      <c r="H6806" s="2003" t="s">
        <v>10563</v>
      </c>
      <c r="I6806" s="501" t="s">
        <v>10379</v>
      </c>
      <c r="J6806" s="502" t="s">
        <v>10678</v>
      </c>
      <c r="K6806" s="501"/>
    </row>
    <row r="6807" spans="1:11" s="35" customFormat="1">
      <c r="A6807" s="502"/>
      <c r="B6807" s="28" t="s">
        <v>10564</v>
      </c>
      <c r="C6807" s="2510">
        <v>1420.8666666666666</v>
      </c>
      <c r="D6807" s="244">
        <f>C6807*(1-VLOOKUP(I6807,descuentos,6,FALSE))*fcl/IF(dol_sol="dólar", TC,1)</f>
        <v>637.48137313432824</v>
      </c>
      <c r="E6807" s="2005">
        <f t="shared" si="1031"/>
        <v>79.68517164179103</v>
      </c>
      <c r="F6807" s="2001">
        <f t="shared" si="1032"/>
        <v>717.16654477611928</v>
      </c>
      <c r="G6807" s="147" t="s">
        <v>11944</v>
      </c>
      <c r="H6807" s="2003" t="s">
        <v>10565</v>
      </c>
      <c r="I6807" s="501" t="s">
        <v>10379</v>
      </c>
      <c r="J6807" s="502" t="s">
        <v>10678</v>
      </c>
      <c r="K6807" s="501"/>
    </row>
    <row r="6808" spans="1:11" s="35" customFormat="1">
      <c r="A6808" s="502"/>
      <c r="B6808" s="28"/>
      <c r="C6808" s="2510"/>
      <c r="D6808" s="244"/>
      <c r="E6808" s="2005"/>
      <c r="F6808" s="2001"/>
      <c r="G6808" s="208"/>
      <c r="H6808" s="2003"/>
      <c r="I6808" s="501"/>
      <c r="J6808" s="502"/>
      <c r="K6808" s="501"/>
    </row>
    <row r="6809" spans="1:11" s="35" customFormat="1">
      <c r="A6809" s="502"/>
      <c r="B6809" s="28"/>
      <c r="C6809" s="2510"/>
      <c r="D6809" s="244"/>
      <c r="E6809" s="2005"/>
      <c r="F6809" s="2001"/>
      <c r="G6809" s="208"/>
      <c r="H6809" s="2003"/>
      <c r="I6809" s="501"/>
      <c r="J6809" s="502"/>
      <c r="K6809" s="501"/>
    </row>
    <row r="6810" spans="1:11" s="35" customFormat="1">
      <c r="A6810" s="502"/>
      <c r="B6810" s="28" t="s">
        <v>10566</v>
      </c>
      <c r="C6810" s="2510">
        <v>1714.3666666666668</v>
      </c>
      <c r="D6810" s="244">
        <f>C6810*(1-VLOOKUP(I6810,descuentos,6,FALSE))*fcl/IF(dol_sol="dólar", TC,1)</f>
        <v>769.16211940298501</v>
      </c>
      <c r="E6810" s="2005">
        <f t="shared" si="1022"/>
        <v>96.145264925373127</v>
      </c>
      <c r="F6810" s="2001">
        <f t="shared" si="1004"/>
        <v>865.30738432835813</v>
      </c>
      <c r="G6810" s="147" t="s">
        <v>11945</v>
      </c>
      <c r="H6810" s="2003">
        <v>422006</v>
      </c>
      <c r="I6810" s="501" t="s">
        <v>10379</v>
      </c>
      <c r="J6810" s="502" t="s">
        <v>10678</v>
      </c>
      <c r="K6810" s="501"/>
    </row>
    <row r="6811" spans="1:11" s="35" customFormat="1">
      <c r="A6811" s="502"/>
      <c r="B6811" s="28" t="s">
        <v>10567</v>
      </c>
      <c r="C6811" s="2510">
        <v>1845.3777777777777</v>
      </c>
      <c r="D6811" s="244">
        <f>C6811*(1-VLOOKUP(I6811,descuentos,6,FALSE))*fcl/IF(dol_sol="dólar", TC,1)</f>
        <v>827.94113432835809</v>
      </c>
      <c r="E6811" s="2005">
        <f t="shared" si="1022"/>
        <v>103.49264179104476</v>
      </c>
      <c r="F6811" s="2001">
        <f t="shared" si="1004"/>
        <v>931.43377611940286</v>
      </c>
      <c r="G6811" s="147" t="s">
        <v>11946</v>
      </c>
      <c r="H6811" s="2003" t="s">
        <v>10568</v>
      </c>
      <c r="I6811" s="501" t="s">
        <v>10379</v>
      </c>
      <c r="J6811" s="502" t="s">
        <v>10678</v>
      </c>
      <c r="K6811" s="501"/>
    </row>
    <row r="6812" spans="1:11" s="35" customFormat="1">
      <c r="A6812" s="502"/>
      <c r="B6812" s="28" t="s">
        <v>10569</v>
      </c>
      <c r="C6812" s="2510">
        <v>1937.9555555555555</v>
      </c>
      <c r="D6812" s="244">
        <f>C6812*(1-VLOOKUP(I6812,descuentos,6,FALSE))*fcl/IF(dol_sol="dólar", TC,1)</f>
        <v>869.47677611940287</v>
      </c>
      <c r="E6812" s="2005">
        <f t="shared" si="1022"/>
        <v>108.68459701492536</v>
      </c>
      <c r="F6812" s="2001">
        <f t="shared" si="1004"/>
        <v>978.16137313432819</v>
      </c>
      <c r="G6812" s="147" t="s">
        <v>11947</v>
      </c>
      <c r="H6812" s="2003" t="s">
        <v>10570</v>
      </c>
      <c r="I6812" s="501" t="s">
        <v>10379</v>
      </c>
      <c r="J6812" s="502" t="s">
        <v>10678</v>
      </c>
      <c r="K6812" s="501"/>
    </row>
    <row r="6813" spans="1:11" s="35" customFormat="1">
      <c r="A6813" s="502"/>
      <c r="B6813" s="28" t="s">
        <v>10571</v>
      </c>
      <c r="C6813" s="2510">
        <v>2034.9555555555555</v>
      </c>
      <c r="D6813" s="244">
        <f>C6813*(1-VLOOKUP(I6813,descuentos,6,FALSE))*fcl/IF(dol_sol="dólar", TC,1)</f>
        <v>912.99647761194024</v>
      </c>
      <c r="E6813" s="2005">
        <f t="shared" si="1022"/>
        <v>114.12455970149253</v>
      </c>
      <c r="F6813" s="2001">
        <f t="shared" si="1004"/>
        <v>1027.1210373134327</v>
      </c>
      <c r="G6813" s="147" t="s">
        <v>11948</v>
      </c>
      <c r="H6813" s="2003" t="s">
        <v>10572</v>
      </c>
      <c r="I6813" s="501" t="s">
        <v>10379</v>
      </c>
      <c r="J6813" s="502" t="s">
        <v>10678</v>
      </c>
      <c r="K6813" s="501"/>
    </row>
    <row r="6814" spans="1:11" s="35" customFormat="1">
      <c r="A6814" s="502"/>
      <c r="B6814" s="28"/>
      <c r="C6814" s="2510"/>
      <c r="D6814" s="244"/>
      <c r="E6814" s="2005"/>
      <c r="F6814" s="2001"/>
      <c r="G6814" s="208"/>
      <c r="H6814" s="2003"/>
      <c r="I6814" s="501"/>
      <c r="J6814" s="502"/>
      <c r="K6814" s="501"/>
    </row>
    <row r="6815" spans="1:11" s="35" customFormat="1">
      <c r="A6815" s="502"/>
      <c r="B6815" s="28" t="s">
        <v>10573</v>
      </c>
      <c r="C6815" s="2510">
        <v>1863.6333333333332</v>
      </c>
      <c r="D6815" s="244">
        <f>C6815*(1-VLOOKUP(I6815,descuentos,6,FALSE))*fcl/IF(dol_sol="dólar", TC,1)</f>
        <v>836.13161194029851</v>
      </c>
      <c r="E6815" s="2005">
        <f t="shared" si="1022"/>
        <v>104.51645149253731</v>
      </c>
      <c r="F6815" s="2001">
        <f t="shared" si="1004"/>
        <v>940.64806343283578</v>
      </c>
      <c r="G6815" s="147" t="s">
        <v>11949</v>
      </c>
      <c r="H6815" s="2003">
        <v>422020</v>
      </c>
      <c r="I6815" s="501" t="s">
        <v>10379</v>
      </c>
      <c r="J6815" s="502" t="s">
        <v>10678</v>
      </c>
      <c r="K6815" s="501"/>
    </row>
    <row r="6816" spans="1:11" s="35" customFormat="1">
      <c r="A6816" s="502"/>
      <c r="B6816" s="28" t="s">
        <v>10574</v>
      </c>
      <c r="C6816" s="2510">
        <v>1919.0666666666666</v>
      </c>
      <c r="D6816" s="244">
        <f>C6816*(1-VLOOKUP(I6816,descuentos,6,FALSE))*fcl/IF(dol_sol="dólar", TC,1)</f>
        <v>861.00214925373132</v>
      </c>
      <c r="E6816" s="2005">
        <f t="shared" si="1022"/>
        <v>107.62526865671641</v>
      </c>
      <c r="F6816" s="2001">
        <f t="shared" si="1004"/>
        <v>968.62741791044778</v>
      </c>
      <c r="G6816" s="147" t="s">
        <v>11950</v>
      </c>
      <c r="H6816" s="2003" t="s">
        <v>10575</v>
      </c>
      <c r="I6816" s="501" t="s">
        <v>10379</v>
      </c>
      <c r="J6816" s="502" t="s">
        <v>10678</v>
      </c>
      <c r="K6816" s="501"/>
    </row>
    <row r="6817" spans="1:11" s="35" customFormat="1">
      <c r="A6817" s="502"/>
      <c r="B6817" s="28" t="s">
        <v>10576</v>
      </c>
      <c r="C6817" s="2510">
        <v>2015.4333333333334</v>
      </c>
      <c r="D6817" s="244">
        <f>C6817*(1-VLOOKUP(I6817,descuentos,6,FALSE))*fcl/IF(dol_sol="dólar", TC,1)</f>
        <v>904.23770149253733</v>
      </c>
      <c r="E6817" s="2007">
        <f t="shared" si="1022"/>
        <v>113.02971268656717</v>
      </c>
      <c r="F6817" s="2006">
        <f t="shared" si="1004"/>
        <v>1017.2674141791044</v>
      </c>
      <c r="G6817" s="147" t="s">
        <v>11951</v>
      </c>
      <c r="H6817" s="2003" t="s">
        <v>10577</v>
      </c>
      <c r="I6817" s="501" t="s">
        <v>10379</v>
      </c>
      <c r="J6817" s="502" t="s">
        <v>10678</v>
      </c>
      <c r="K6817" s="501"/>
    </row>
    <row r="6818" spans="1:11" s="35" customFormat="1">
      <c r="A6818" s="502"/>
      <c r="B6818" s="28" t="s">
        <v>10578</v>
      </c>
      <c r="C6818" s="2510">
        <v>2076.5111111111109</v>
      </c>
      <c r="D6818" s="244">
        <f>C6818*(1-VLOOKUP(I6818,descuentos,6,FALSE))*fcl/IF(dol_sol="dólar", TC,1)</f>
        <v>931.64065671641777</v>
      </c>
      <c r="E6818" s="2005">
        <f t="shared" si="1022"/>
        <v>116.45508208955222</v>
      </c>
      <c r="F6818" s="2001">
        <f t="shared" si="1004"/>
        <v>1048.0957388059701</v>
      </c>
      <c r="G6818" s="147" t="s">
        <v>11952</v>
      </c>
      <c r="H6818" s="2003" t="s">
        <v>10579</v>
      </c>
      <c r="I6818" s="501" t="s">
        <v>10379</v>
      </c>
      <c r="J6818" s="502" t="s">
        <v>10678</v>
      </c>
      <c r="K6818" s="501"/>
    </row>
    <row r="6819" spans="1:11" s="35" customFormat="1">
      <c r="A6819" s="502"/>
      <c r="B6819" s="28"/>
      <c r="C6819" s="2510"/>
      <c r="D6819" s="244"/>
      <c r="E6819" s="2005"/>
      <c r="F6819" s="2001"/>
      <c r="G6819" s="208"/>
      <c r="H6819" s="2003"/>
      <c r="I6819" s="501"/>
      <c r="J6819" s="502"/>
      <c r="K6819" s="501"/>
    </row>
    <row r="6820" spans="1:11" s="35" customFormat="1">
      <c r="A6820" s="502"/>
      <c r="B6820" s="28" t="s">
        <v>10580</v>
      </c>
      <c r="C6820" s="2510">
        <v>1877.4888888888888</v>
      </c>
      <c r="D6820" s="244">
        <f>C6820*(1-VLOOKUP(I6820,descuentos,6,FALSE))*fcl/IF(dol_sol="dólar", TC,1)</f>
        <v>842.34799999999996</v>
      </c>
      <c r="E6820" s="2005">
        <f t="shared" ref="E6820:E6823" si="1033">D6820/8</f>
        <v>105.29349999999999</v>
      </c>
      <c r="F6820" s="2001">
        <f t="shared" ref="F6820:F6823" si="1034">D6820+E6820</f>
        <v>947.64149999999995</v>
      </c>
      <c r="G6820" s="147" t="s">
        <v>11953</v>
      </c>
      <c r="H6820" s="2003">
        <v>422034</v>
      </c>
      <c r="I6820" s="501" t="s">
        <v>10379</v>
      </c>
      <c r="J6820" s="502" t="s">
        <v>10678</v>
      </c>
      <c r="K6820" s="501"/>
    </row>
    <row r="6821" spans="1:11" s="35" customFormat="1">
      <c r="A6821" s="502"/>
      <c r="B6821" s="28" t="s">
        <v>10581</v>
      </c>
      <c r="C6821" s="2510">
        <v>1932.2888888888888</v>
      </c>
      <c r="D6821" s="244">
        <f>C6821*(1-VLOOKUP(I6821,descuentos,6,FALSE))*fcl/IF(dol_sol="dólar", TC,1)</f>
        <v>866.9343880597014</v>
      </c>
      <c r="E6821" s="2005">
        <f t="shared" si="1033"/>
        <v>108.36679850746268</v>
      </c>
      <c r="F6821" s="2001">
        <f t="shared" si="1034"/>
        <v>975.30118656716411</v>
      </c>
      <c r="G6821" s="147" t="s">
        <v>11954</v>
      </c>
      <c r="H6821" s="2003" t="s">
        <v>10582</v>
      </c>
      <c r="I6821" s="501" t="s">
        <v>10379</v>
      </c>
      <c r="J6821" s="502" t="s">
        <v>10678</v>
      </c>
      <c r="K6821" s="501"/>
    </row>
    <row r="6822" spans="1:11" s="35" customFormat="1">
      <c r="A6822" s="502"/>
      <c r="B6822" s="28" t="s">
        <v>10583</v>
      </c>
      <c r="C6822" s="2510">
        <v>2047.5444444444443</v>
      </c>
      <c r="D6822" s="244">
        <f>C6822*(1-VLOOKUP(I6822,descuentos,6,FALSE))*fcl/IF(dol_sol="dólar", TC,1)</f>
        <v>918.64456716417908</v>
      </c>
      <c r="E6822" s="2007">
        <f t="shared" si="1033"/>
        <v>114.83057089552238</v>
      </c>
      <c r="F6822" s="2006">
        <f t="shared" si="1034"/>
        <v>1033.4751380597015</v>
      </c>
      <c r="G6822" s="147" t="s">
        <v>11955</v>
      </c>
      <c r="H6822" s="2003" t="s">
        <v>10584</v>
      </c>
      <c r="I6822" s="501" t="s">
        <v>10379</v>
      </c>
      <c r="J6822" s="502" t="s">
        <v>10678</v>
      </c>
      <c r="K6822" s="501"/>
    </row>
    <row r="6823" spans="1:11" s="35" customFormat="1">
      <c r="A6823" s="502"/>
      <c r="B6823" s="28" t="s">
        <v>10585</v>
      </c>
      <c r="C6823" s="2510">
        <v>2096.0333333333333</v>
      </c>
      <c r="D6823" s="244">
        <f>C6823*(1-VLOOKUP(I6823,descuentos,6,FALSE))*fcl/IF(dol_sol="dólar", TC,1)</f>
        <v>940.3994328358209</v>
      </c>
      <c r="E6823" s="2005">
        <f t="shared" si="1033"/>
        <v>117.54992910447761</v>
      </c>
      <c r="F6823" s="2001">
        <f t="shared" si="1034"/>
        <v>1057.9493619402986</v>
      </c>
      <c r="G6823" s="147" t="s">
        <v>11956</v>
      </c>
      <c r="H6823" s="2003" t="s">
        <v>10586</v>
      </c>
      <c r="I6823" s="501" t="s">
        <v>10379</v>
      </c>
      <c r="J6823" s="502" t="s">
        <v>10678</v>
      </c>
      <c r="K6823" s="501"/>
    </row>
    <row r="6824" spans="1:11" s="35" customFormat="1">
      <c r="A6824" s="502"/>
      <c r="B6824" s="28"/>
      <c r="C6824" s="2510"/>
      <c r="D6824" s="244"/>
      <c r="E6824" s="2005"/>
      <c r="F6824" s="2001"/>
      <c r="G6824" s="147"/>
      <c r="H6824" s="2003"/>
      <c r="I6824" s="501"/>
      <c r="J6824" s="502"/>
      <c r="K6824" s="501"/>
    </row>
    <row r="6825" spans="1:11" s="35" customFormat="1">
      <c r="A6825" s="502"/>
      <c r="B6825" s="28" t="s">
        <v>10587</v>
      </c>
      <c r="C6825" s="2510">
        <v>1898.2777777777778</v>
      </c>
      <c r="D6825" s="244">
        <f>C6825*(1-VLOOKUP(I6825,descuentos,6,FALSE))*fcl/IF(dol_sol="dólar", TC,1)</f>
        <v>851.67507462686569</v>
      </c>
      <c r="E6825" s="2005">
        <f t="shared" ref="E6825:E6828" si="1035">D6825/8</f>
        <v>106.45938432835821</v>
      </c>
      <c r="F6825" s="2001">
        <f t="shared" ref="F6825:F6828" si="1036">D6825+E6825</f>
        <v>958.13445895522386</v>
      </c>
      <c r="G6825" s="147" t="s">
        <v>11957</v>
      </c>
      <c r="H6825" s="2003">
        <v>422048</v>
      </c>
      <c r="I6825" s="501" t="s">
        <v>10379</v>
      </c>
      <c r="J6825" s="502" t="s">
        <v>10678</v>
      </c>
      <c r="K6825" s="501"/>
    </row>
    <row r="6826" spans="1:11" s="35" customFormat="1">
      <c r="A6826" s="502"/>
      <c r="B6826" s="28" t="s">
        <v>10588</v>
      </c>
      <c r="C6826" s="2510">
        <v>1946.7666666666664</v>
      </c>
      <c r="D6826" s="244">
        <f>C6826*(1-VLOOKUP(I6826,descuentos,6,FALSE))*fcl/IF(dol_sol="dólar", TC,1)</f>
        <v>873.4299402985074</v>
      </c>
      <c r="E6826" s="2005">
        <f t="shared" si="1035"/>
        <v>109.17874253731343</v>
      </c>
      <c r="F6826" s="2001">
        <f t="shared" si="1036"/>
        <v>982.60868283582079</v>
      </c>
      <c r="G6826" s="147" t="s">
        <v>11958</v>
      </c>
      <c r="H6826" s="2003">
        <v>422049</v>
      </c>
      <c r="I6826" s="501" t="s">
        <v>10379</v>
      </c>
      <c r="J6826" s="502" t="s">
        <v>10678</v>
      </c>
      <c r="K6826" s="501"/>
    </row>
    <row r="6827" spans="1:11" s="35" customFormat="1">
      <c r="A6827" s="502"/>
      <c r="B6827" s="28" t="s">
        <v>10589</v>
      </c>
      <c r="C6827" s="2510">
        <v>2076.5111111111109</v>
      </c>
      <c r="D6827" s="244">
        <f>C6827*(1-VLOOKUP(I6827,descuentos,6,FALSE))*fcl/IF(dol_sol="dólar", TC,1)</f>
        <v>931.64065671641777</v>
      </c>
      <c r="E6827" s="2007">
        <f t="shared" si="1035"/>
        <v>116.45508208955222</v>
      </c>
      <c r="F6827" s="2006">
        <f t="shared" si="1036"/>
        <v>1048.0957388059701</v>
      </c>
      <c r="G6827" s="147" t="s">
        <v>11959</v>
      </c>
      <c r="H6827" s="2003" t="s">
        <v>10590</v>
      </c>
      <c r="I6827" s="501" t="s">
        <v>10379</v>
      </c>
      <c r="J6827" s="502" t="s">
        <v>10678</v>
      </c>
      <c r="K6827" s="501"/>
    </row>
    <row r="6828" spans="1:11" s="35" customFormat="1">
      <c r="A6828" s="502"/>
      <c r="B6828" s="28" t="s">
        <v>10591</v>
      </c>
      <c r="C6828" s="2510">
        <v>2128.8000000000002</v>
      </c>
      <c r="D6828" s="244">
        <f>C6828*(1-VLOOKUP(I6828,descuentos,6,FALSE))*fcl/IF(dol_sol="dólar", TC,1)</f>
        <v>955.10041791044773</v>
      </c>
      <c r="E6828" s="2005">
        <f t="shared" si="1035"/>
        <v>119.38755223880597</v>
      </c>
      <c r="F6828" s="2001">
        <f t="shared" si="1036"/>
        <v>1074.4879701492537</v>
      </c>
      <c r="G6828" s="147" t="s">
        <v>11960</v>
      </c>
      <c r="H6828" s="2003" t="s">
        <v>10592</v>
      </c>
      <c r="I6828" s="501" t="s">
        <v>10379</v>
      </c>
      <c r="J6828" s="502" t="s">
        <v>10678</v>
      </c>
      <c r="K6828" s="501"/>
    </row>
    <row r="6829" spans="1:11" s="35" customFormat="1">
      <c r="A6829" s="502"/>
      <c r="B6829" s="28"/>
      <c r="C6829" s="2510"/>
      <c r="D6829" s="244"/>
      <c r="E6829" s="2005"/>
      <c r="F6829" s="2001"/>
      <c r="G6829" s="147"/>
      <c r="H6829" s="2003"/>
      <c r="I6829" s="501"/>
      <c r="J6829" s="502"/>
      <c r="K6829" s="501"/>
    </row>
    <row r="6830" spans="1:11" s="35" customFormat="1">
      <c r="A6830" s="502"/>
      <c r="B6830" s="28" t="s">
        <v>10593</v>
      </c>
      <c r="C6830" s="2510">
        <v>1366.9444444444443</v>
      </c>
      <c r="D6830" s="244">
        <f>C6830*(1-VLOOKUP(I6830,descuentos,6,FALSE))*fcl/IF(dol_sol="dólar", TC,1)</f>
        <v>613.28880597014927</v>
      </c>
      <c r="E6830" s="2005">
        <f t="shared" ref="E6830:E6833" si="1037">D6830/8</f>
        <v>76.661100746268659</v>
      </c>
      <c r="F6830" s="2001">
        <f t="shared" ref="F6830:F6833" si="1038">D6830+E6830</f>
        <v>689.9499067164179</v>
      </c>
      <c r="G6830" s="147" t="s">
        <v>11961</v>
      </c>
      <c r="H6830" s="2003">
        <v>422499</v>
      </c>
      <c r="I6830" s="501" t="s">
        <v>10379</v>
      </c>
      <c r="J6830" s="502" t="s">
        <v>10678</v>
      </c>
      <c r="K6830" s="501"/>
    </row>
    <row r="6831" spans="1:11" s="35" customFormat="1">
      <c r="A6831" s="502"/>
      <c r="B6831" s="28" t="s">
        <v>10594</v>
      </c>
      <c r="C6831" s="2510">
        <v>1377.9222222222222</v>
      </c>
      <c r="D6831" s="244">
        <f>C6831*(1-VLOOKUP(I6831,descuentos,6,FALSE))*fcl/IF(dol_sol="dólar", TC,1)</f>
        <v>618.21405970149249</v>
      </c>
      <c r="E6831" s="2005">
        <f t="shared" si="1037"/>
        <v>77.276757462686561</v>
      </c>
      <c r="F6831" s="2001">
        <f t="shared" si="1038"/>
        <v>695.49081716417902</v>
      </c>
      <c r="G6831" s="147" t="s">
        <v>11962</v>
      </c>
      <c r="H6831" s="2003" t="s">
        <v>10595</v>
      </c>
      <c r="I6831" s="501" t="s">
        <v>10379</v>
      </c>
      <c r="J6831" s="502" t="s">
        <v>10678</v>
      </c>
      <c r="K6831" s="501"/>
    </row>
    <row r="6832" spans="1:11" s="35" customFormat="1">
      <c r="A6832" s="502"/>
      <c r="B6832" s="28" t="s">
        <v>10596</v>
      </c>
      <c r="C6832" s="2510">
        <v>1569.3666666666668</v>
      </c>
      <c r="D6832" s="244">
        <f>C6832*(1-VLOOKUP(I6832,descuentos,6,FALSE))*fcl/IF(dol_sol="dólar", TC,1)</f>
        <v>704.10689552238807</v>
      </c>
      <c r="E6832" s="2005">
        <f t="shared" si="1037"/>
        <v>88.013361940298509</v>
      </c>
      <c r="F6832" s="2001">
        <f t="shared" si="1038"/>
        <v>792.1202574626866</v>
      </c>
      <c r="G6832" s="147" t="s">
        <v>11963</v>
      </c>
      <c r="H6832" s="2003" t="s">
        <v>10597</v>
      </c>
      <c r="I6832" s="501" t="s">
        <v>10379</v>
      </c>
      <c r="J6832" s="502" t="s">
        <v>10678</v>
      </c>
      <c r="K6832" s="501"/>
    </row>
    <row r="6833" spans="1:11" s="35" customFormat="1">
      <c r="A6833" s="502"/>
      <c r="B6833" s="28" t="s">
        <v>10598</v>
      </c>
      <c r="C6833" s="2510">
        <v>1600.4666666666667</v>
      </c>
      <c r="D6833" s="244">
        <f>C6833*(1-VLOOKUP(I6833,descuentos,6,FALSE))*fcl/IF(dol_sol="dólar", TC,1)</f>
        <v>718.06011940298504</v>
      </c>
      <c r="E6833" s="2005">
        <f t="shared" si="1037"/>
        <v>89.75751492537313</v>
      </c>
      <c r="F6833" s="2001">
        <f t="shared" si="1038"/>
        <v>807.81763432835817</v>
      </c>
      <c r="G6833" s="147" t="s">
        <v>11964</v>
      </c>
      <c r="H6833" s="2003" t="s">
        <v>10599</v>
      </c>
      <c r="I6833" s="501" t="s">
        <v>10379</v>
      </c>
      <c r="J6833" s="502" t="s">
        <v>10678</v>
      </c>
      <c r="K6833" s="501"/>
    </row>
    <row r="6834" spans="1:11" s="35" customFormat="1">
      <c r="A6834" s="502"/>
      <c r="B6834" s="28"/>
      <c r="C6834" s="2510"/>
      <c r="D6834" s="244"/>
      <c r="E6834" s="2005"/>
      <c r="F6834" s="2001"/>
      <c r="G6834" s="208"/>
      <c r="H6834" s="2003"/>
      <c r="I6834" s="501"/>
      <c r="J6834" s="502"/>
      <c r="K6834" s="501"/>
    </row>
    <row r="6835" spans="1:11" s="35" customFormat="1">
      <c r="A6835" s="502"/>
      <c r="B6835" s="28" t="s">
        <v>10600</v>
      </c>
      <c r="C6835" s="2510">
        <v>1415.7222222222224</v>
      </c>
      <c r="D6835" s="244">
        <f>C6835*(1-VLOOKUP(I6835,descuentos,6,FALSE))*fcl/IF(dol_sol="dólar", TC,1)</f>
        <v>635.17328358208954</v>
      </c>
      <c r="E6835" s="2005">
        <f t="shared" ref="E6835:E6838" si="1039">D6835/8</f>
        <v>79.396660447761192</v>
      </c>
      <c r="F6835" s="2001">
        <f t="shared" ref="F6835:F6838" si="1040">D6835+E6835</f>
        <v>714.56994402985072</v>
      </c>
      <c r="G6835" s="147" t="s">
        <v>11965</v>
      </c>
      <c r="H6835" s="2003">
        <v>422509</v>
      </c>
      <c r="I6835" s="501" t="s">
        <v>10379</v>
      </c>
      <c r="J6835" s="502" t="s">
        <v>10678</v>
      </c>
      <c r="K6835" s="501"/>
    </row>
    <row r="6836" spans="1:11" s="35" customFormat="1">
      <c r="A6836" s="502"/>
      <c r="B6836" s="28" t="s">
        <v>10601</v>
      </c>
      <c r="C6836" s="2510">
        <v>1446.8222222222223</v>
      </c>
      <c r="D6836" s="244">
        <f>C6836*(1-VLOOKUP(I6836,descuentos,6,FALSE))*fcl/IF(dol_sol="dólar", TC,1)</f>
        <v>649.12650746268662</v>
      </c>
      <c r="E6836" s="2005">
        <f t="shared" si="1039"/>
        <v>81.140813432835827</v>
      </c>
      <c r="F6836" s="2001">
        <f t="shared" si="1040"/>
        <v>730.2673208955224</v>
      </c>
      <c r="G6836" s="147" t="s">
        <v>11966</v>
      </c>
      <c r="H6836" s="2003" t="s">
        <v>10602</v>
      </c>
      <c r="I6836" s="501" t="s">
        <v>10379</v>
      </c>
      <c r="J6836" s="502" t="s">
        <v>10678</v>
      </c>
      <c r="K6836" s="501"/>
    </row>
    <row r="6837" spans="1:11" s="35" customFormat="1">
      <c r="A6837" s="502"/>
      <c r="B6837" s="28" t="s">
        <v>10603</v>
      </c>
      <c r="C6837" s="2510">
        <v>1648.0222222222221</v>
      </c>
      <c r="D6837" s="244">
        <f>C6837*(1-VLOOKUP(I6837,descuentos,6,FALSE))*fcl/IF(dol_sol="dólar", TC,1)</f>
        <v>739.39623880597003</v>
      </c>
      <c r="E6837" s="2007">
        <f t="shared" si="1039"/>
        <v>92.424529850746254</v>
      </c>
      <c r="F6837" s="2006">
        <f t="shared" si="1040"/>
        <v>831.82076865671627</v>
      </c>
      <c r="G6837" s="147" t="s">
        <v>11967</v>
      </c>
      <c r="H6837" s="2003" t="s">
        <v>10604</v>
      </c>
      <c r="I6837" s="501" t="s">
        <v>10379</v>
      </c>
      <c r="J6837" s="502" t="s">
        <v>10678</v>
      </c>
      <c r="K6837" s="501"/>
    </row>
    <row r="6838" spans="1:11" s="35" customFormat="1">
      <c r="A6838" s="502"/>
      <c r="B6838" s="28" t="s">
        <v>10605</v>
      </c>
      <c r="C6838" s="2510">
        <v>1680.3333333333333</v>
      </c>
      <c r="D6838" s="244">
        <f>C6838*(1-VLOOKUP(I6838,descuentos,6,FALSE))*fcl/IF(dol_sol="dólar", TC,1)</f>
        <v>753.89283582089547</v>
      </c>
      <c r="E6838" s="2005">
        <f t="shared" si="1039"/>
        <v>94.236604477611934</v>
      </c>
      <c r="F6838" s="2001">
        <f t="shared" si="1040"/>
        <v>848.12944029850746</v>
      </c>
      <c r="G6838" s="147" t="s">
        <v>11968</v>
      </c>
      <c r="H6838" s="2003" t="s">
        <v>10606</v>
      </c>
      <c r="I6838" s="501" t="s">
        <v>10379</v>
      </c>
      <c r="J6838" s="502" t="s">
        <v>10678</v>
      </c>
      <c r="K6838" s="501"/>
    </row>
    <row r="6839" spans="1:11" s="35" customFormat="1">
      <c r="A6839" s="502"/>
      <c r="B6839" s="28"/>
      <c r="C6839" s="2510"/>
      <c r="D6839" s="244"/>
      <c r="E6839" s="2005"/>
      <c r="F6839" s="2001"/>
      <c r="G6839" s="208"/>
      <c r="H6839" s="2003"/>
      <c r="I6839" s="501"/>
      <c r="J6839" s="502"/>
      <c r="K6839" s="501"/>
    </row>
    <row r="6840" spans="1:11" s="35" customFormat="1">
      <c r="A6840" s="502"/>
      <c r="B6840" s="28" t="s">
        <v>10607</v>
      </c>
      <c r="C6840" s="2510">
        <v>1624.4444444444443</v>
      </c>
      <c r="D6840" s="244">
        <f>C6840*(1-VLOOKUP(I6840,descuentos,6,FALSE))*fcl/IF(dol_sol="dólar", TC,1)</f>
        <v>728.81791044776116</v>
      </c>
      <c r="E6840" s="2005">
        <f t="shared" ref="E6840:E6843" si="1041">D6840/8</f>
        <v>91.102238805970146</v>
      </c>
      <c r="F6840" s="2001">
        <f t="shared" ref="F6840:F6843" si="1042">D6840+E6840</f>
        <v>819.92014925373132</v>
      </c>
      <c r="G6840" s="147" t="s">
        <v>11969</v>
      </c>
      <c r="H6840" s="2003">
        <v>422519</v>
      </c>
      <c r="I6840" s="501" t="s">
        <v>10379</v>
      </c>
      <c r="J6840" s="502" t="s">
        <v>10678</v>
      </c>
      <c r="K6840" s="501"/>
    </row>
    <row r="6841" spans="1:11" s="35" customFormat="1">
      <c r="A6841" s="502"/>
      <c r="B6841" s="28" t="s">
        <v>10608</v>
      </c>
      <c r="C6841" s="2510">
        <v>1656.6666666666665</v>
      </c>
      <c r="D6841" s="244">
        <f>C6841*(1-VLOOKUP(I6841,descuentos,6,FALSE))*fcl/IF(dol_sol="dólar", TC,1)</f>
        <v>743.27462686567151</v>
      </c>
      <c r="E6841" s="2005">
        <f t="shared" si="1041"/>
        <v>92.909328358208938</v>
      </c>
      <c r="F6841" s="2001">
        <f t="shared" si="1042"/>
        <v>836.1839552238805</v>
      </c>
      <c r="G6841" s="147" t="s">
        <v>11970</v>
      </c>
      <c r="H6841" s="2003" t="s">
        <v>10609</v>
      </c>
      <c r="I6841" s="501" t="s">
        <v>10379</v>
      </c>
      <c r="J6841" s="502" t="s">
        <v>10678</v>
      </c>
      <c r="K6841" s="501"/>
    </row>
    <row r="6842" spans="1:11" s="35" customFormat="1">
      <c r="A6842" s="502"/>
      <c r="B6842" s="28" t="s">
        <v>10610</v>
      </c>
      <c r="C6842" s="2510">
        <v>1834.4444444444443</v>
      </c>
      <c r="D6842" s="244">
        <f>C6842*(1-VLOOKUP(I6842,descuentos,6,FALSE))*fcl/IF(dol_sol="dólar", TC,1)</f>
        <v>823.03582089552242</v>
      </c>
      <c r="E6842" s="2007">
        <f t="shared" si="1041"/>
        <v>102.8794776119403</v>
      </c>
      <c r="F6842" s="2006">
        <f t="shared" si="1042"/>
        <v>925.91529850746269</v>
      </c>
      <c r="G6842" s="147" t="s">
        <v>11971</v>
      </c>
      <c r="H6842" s="2003" t="s">
        <v>10611</v>
      </c>
      <c r="I6842" s="501" t="s">
        <v>10379</v>
      </c>
      <c r="J6842" s="502" t="s">
        <v>10678</v>
      </c>
      <c r="K6842" s="501"/>
    </row>
    <row r="6843" spans="1:11" s="35" customFormat="1">
      <c r="A6843" s="502"/>
      <c r="B6843" s="28" t="s">
        <v>10612</v>
      </c>
      <c r="C6843" s="2510">
        <v>1871.1111111111111</v>
      </c>
      <c r="D6843" s="244">
        <f>C6843*(1-VLOOKUP(I6843,descuentos,6,FALSE))*fcl/IF(dol_sol="dólar", TC,1)</f>
        <v>839.48656716417895</v>
      </c>
      <c r="E6843" s="2005">
        <f t="shared" si="1041"/>
        <v>104.93582089552237</v>
      </c>
      <c r="F6843" s="2001">
        <f t="shared" si="1042"/>
        <v>944.42238805970135</v>
      </c>
      <c r="G6843" s="147" t="s">
        <v>11972</v>
      </c>
      <c r="H6843" s="2003">
        <v>422522</v>
      </c>
      <c r="I6843" s="501" t="s">
        <v>10379</v>
      </c>
      <c r="J6843" s="502" t="s">
        <v>10678</v>
      </c>
      <c r="K6843" s="501"/>
    </row>
    <row r="6844" spans="1:11" s="35" customFormat="1">
      <c r="A6844" s="502"/>
      <c r="B6844" s="28"/>
      <c r="C6844" s="2510"/>
      <c r="D6844" s="244"/>
      <c r="E6844" s="2005"/>
      <c r="F6844" s="2001"/>
      <c r="G6844" s="147"/>
      <c r="H6844" s="2003"/>
      <c r="I6844" s="501"/>
      <c r="J6844" s="502"/>
      <c r="K6844" s="501"/>
    </row>
    <row r="6845" spans="1:11" s="35" customFormat="1">
      <c r="A6845" s="502"/>
      <c r="B6845" s="28" t="s">
        <v>10613</v>
      </c>
      <c r="C6845" s="2510">
        <v>1862.0222222222221</v>
      </c>
      <c r="D6845" s="244">
        <f>C6845*(1-VLOOKUP(I6845,descuentos,6,FALSE))*fcl/IF(dol_sol="dólar", TC,1)</f>
        <v>835.40877611940289</v>
      </c>
      <c r="E6845" s="2005">
        <f t="shared" ref="E6845:E6848" si="1043">D6845/8</f>
        <v>104.42609701492536</v>
      </c>
      <c r="F6845" s="2001">
        <f t="shared" ref="F6845:F6848" si="1044">D6845+E6845</f>
        <v>939.83487313432829</v>
      </c>
      <c r="G6845" s="147" t="s">
        <v>11973</v>
      </c>
      <c r="H6845" s="2003">
        <v>422057</v>
      </c>
      <c r="I6845" s="501" t="s">
        <v>10379</v>
      </c>
      <c r="J6845" s="502" t="s">
        <v>10678</v>
      </c>
      <c r="K6845" s="501"/>
    </row>
    <row r="6846" spans="1:11" s="35" customFormat="1">
      <c r="A6846" s="502"/>
      <c r="B6846" s="28" t="s">
        <v>10614</v>
      </c>
      <c r="C6846" s="2510">
        <v>1901.6555555555556</v>
      </c>
      <c r="D6846" s="244">
        <f>C6846*(1-VLOOKUP(I6846,descuentos,6,FALSE))*fcl/IF(dol_sol="dólar", TC,1)</f>
        <v>853.19053731343274</v>
      </c>
      <c r="E6846" s="2005">
        <f t="shared" si="1043"/>
        <v>106.64881716417909</v>
      </c>
      <c r="F6846" s="2001">
        <f t="shared" si="1044"/>
        <v>959.83935447761178</v>
      </c>
      <c r="G6846" s="147" t="s">
        <v>11974</v>
      </c>
      <c r="H6846" s="2003" t="s">
        <v>10615</v>
      </c>
      <c r="I6846" s="501" t="s">
        <v>10379</v>
      </c>
      <c r="J6846" s="502" t="s">
        <v>10678</v>
      </c>
      <c r="K6846" s="501"/>
    </row>
    <row r="6847" spans="1:11" s="35" customFormat="1">
      <c r="A6847" s="502"/>
      <c r="B6847" s="28" t="s">
        <v>10616</v>
      </c>
      <c r="C6847" s="2510">
        <v>2028.4666666666665</v>
      </c>
      <c r="D6847" s="244">
        <f>C6847*(1-VLOOKUP(I6847,descuentos,6,FALSE))*fcl/IF(dol_sol="dólar", TC,1)</f>
        <v>910.08519402985064</v>
      </c>
      <c r="E6847" s="2005">
        <f t="shared" si="1043"/>
        <v>113.76064925373133</v>
      </c>
      <c r="F6847" s="2001">
        <f t="shared" si="1044"/>
        <v>1023.845843283582</v>
      </c>
      <c r="G6847" s="147" t="s">
        <v>11975</v>
      </c>
      <c r="H6847" s="2003" t="s">
        <v>10617</v>
      </c>
      <c r="I6847" s="501" t="s">
        <v>10379</v>
      </c>
      <c r="J6847" s="502" t="s">
        <v>10678</v>
      </c>
      <c r="K6847" s="501"/>
    </row>
    <row r="6848" spans="1:11" s="35" customFormat="1">
      <c r="A6848" s="502"/>
      <c r="B6848" s="28" t="s">
        <v>10618</v>
      </c>
      <c r="C6848" s="2510">
        <v>2039.4444444444443</v>
      </c>
      <c r="D6848" s="244">
        <f>C6848*(1-VLOOKUP(I6848,descuentos,6,FALSE))*fcl/IF(dol_sol="dólar", TC,1)</f>
        <v>915.01044776119397</v>
      </c>
      <c r="E6848" s="2005">
        <f t="shared" si="1043"/>
        <v>114.37630597014925</v>
      </c>
      <c r="F6848" s="2001">
        <f t="shared" si="1044"/>
        <v>1029.3867537313431</v>
      </c>
      <c r="G6848" s="147" t="s">
        <v>11976</v>
      </c>
      <c r="H6848" s="2003" t="s">
        <v>10619</v>
      </c>
      <c r="I6848" s="501" t="s">
        <v>10379</v>
      </c>
      <c r="J6848" s="502" t="s">
        <v>10678</v>
      </c>
      <c r="K6848" s="501"/>
    </row>
    <row r="6849" spans="1:11" s="35" customFormat="1">
      <c r="A6849" s="502"/>
      <c r="B6849" s="28"/>
      <c r="C6849" s="2510"/>
      <c r="D6849" s="244"/>
      <c r="E6849" s="2005"/>
      <c r="F6849" s="2001"/>
      <c r="G6849" s="208"/>
      <c r="H6849" s="2003"/>
      <c r="I6849" s="501"/>
      <c r="J6849" s="502"/>
      <c r="K6849" s="501"/>
    </row>
    <row r="6850" spans="1:11" s="35" customFormat="1">
      <c r="A6850" s="502"/>
      <c r="B6850" s="28" t="s">
        <v>10620</v>
      </c>
      <c r="C6850" s="2510">
        <v>2066.2777777777778</v>
      </c>
      <c r="D6850" s="244">
        <f>C6850*(1-VLOOKUP(I6850,descuentos,6,FALSE))*fcl/IF(dol_sol="dólar", TC,1)</f>
        <v>927.04940298507461</v>
      </c>
      <c r="E6850" s="2005">
        <f t="shared" ref="E6850:E6853" si="1045">D6850/8</f>
        <v>115.88117537313433</v>
      </c>
      <c r="F6850" s="2001">
        <f t="shared" ref="F6850:F6853" si="1046">D6850+E6850</f>
        <v>1042.930578358209</v>
      </c>
      <c r="G6850" s="147" t="s">
        <v>11977</v>
      </c>
      <c r="H6850" s="2003">
        <v>422067</v>
      </c>
      <c r="I6850" s="501" t="s">
        <v>10379</v>
      </c>
      <c r="J6850" s="502" t="s">
        <v>10678</v>
      </c>
      <c r="K6850" s="501"/>
    </row>
    <row r="6851" spans="1:11" s="35" customFormat="1">
      <c r="A6851" s="502"/>
      <c r="B6851" s="28" t="s">
        <v>10621</v>
      </c>
      <c r="C6851" s="2510">
        <v>2086.3888888888887</v>
      </c>
      <c r="D6851" s="244">
        <f>C6851*(1-VLOOKUP(I6851,descuentos,6,FALSE))*fcl/IF(dol_sol="dólar", TC,1)</f>
        <v>936.07238805970121</v>
      </c>
      <c r="E6851" s="2005">
        <f t="shared" si="1045"/>
        <v>117.00904850746265</v>
      </c>
      <c r="F6851" s="2001">
        <f t="shared" si="1046"/>
        <v>1053.0814365671638</v>
      </c>
      <c r="G6851" s="147" t="s">
        <v>11978</v>
      </c>
      <c r="H6851" s="2003" t="s">
        <v>10622</v>
      </c>
      <c r="I6851" s="501" t="s">
        <v>10379</v>
      </c>
      <c r="J6851" s="502" t="s">
        <v>10678</v>
      </c>
      <c r="K6851" s="501"/>
    </row>
    <row r="6852" spans="1:11" s="35" customFormat="1">
      <c r="A6852" s="502"/>
      <c r="B6852" s="28" t="s">
        <v>10623</v>
      </c>
      <c r="C6852" s="2510">
        <v>2251.0111111111109</v>
      </c>
      <c r="D6852" s="244">
        <f>C6852*(1-VLOOKUP(I6852,descuentos,6,FALSE))*fcl/IF(dol_sol="dólar", TC,1)</f>
        <v>1009.9312537313432</v>
      </c>
      <c r="E6852" s="2007">
        <f t="shared" si="1045"/>
        <v>126.2414067164179</v>
      </c>
      <c r="F6852" s="2006">
        <f t="shared" si="1046"/>
        <v>1136.172660447761</v>
      </c>
      <c r="G6852" s="147" t="s">
        <v>11979</v>
      </c>
      <c r="H6852" s="2003" t="s">
        <v>10624</v>
      </c>
      <c r="I6852" s="501" t="s">
        <v>10379</v>
      </c>
      <c r="J6852" s="502" t="s">
        <v>10678</v>
      </c>
      <c r="K6852" s="501"/>
    </row>
    <row r="6853" spans="1:11" s="35" customFormat="1">
      <c r="A6853" s="502"/>
      <c r="B6853" s="28" t="s">
        <v>10625</v>
      </c>
      <c r="C6853" s="2510">
        <v>2261.9888888888886</v>
      </c>
      <c r="D6853" s="244">
        <f>C6853*(1-VLOOKUP(I6853,descuentos,6,FALSE))*fcl/IF(dol_sol="dólar", TC,1)</f>
        <v>1014.8565074626864</v>
      </c>
      <c r="E6853" s="2005">
        <f t="shared" si="1045"/>
        <v>126.8570634328358</v>
      </c>
      <c r="F6853" s="2001">
        <f t="shared" si="1046"/>
        <v>1141.7135708955223</v>
      </c>
      <c r="G6853" s="147" t="s">
        <v>11980</v>
      </c>
      <c r="H6853" s="2003" t="s">
        <v>10626</v>
      </c>
      <c r="I6853" s="501" t="s">
        <v>10379</v>
      </c>
      <c r="J6853" s="502" t="s">
        <v>10678</v>
      </c>
      <c r="K6853" s="501"/>
    </row>
    <row r="6854" spans="1:11" s="195" customFormat="1">
      <c r="A6854" s="523"/>
      <c r="B6854" s="524"/>
      <c r="C6854" s="2510"/>
      <c r="D6854" s="244"/>
      <c r="E6854" s="616"/>
      <c r="F6854" s="465"/>
      <c r="G6854" s="208"/>
      <c r="H6854" s="2036"/>
      <c r="I6854" s="525"/>
      <c r="J6854" s="523"/>
      <c r="K6854" s="525"/>
    </row>
    <row r="6855" spans="1:11" s="35" customFormat="1">
      <c r="A6855" s="502"/>
      <c r="B6855" s="28" t="s">
        <v>13781</v>
      </c>
      <c r="C6855" s="2510">
        <v>2963.1444444444442</v>
      </c>
      <c r="D6855" s="244">
        <f>C6855*(1-VLOOKUP(I6855,descuentos,6,FALSE))*fcl/IF(dol_sol="dólar", TC,1)</f>
        <v>1329.434656716418</v>
      </c>
      <c r="E6855" s="2005">
        <f t="shared" ref="E6855:E6858" si="1047">D6855/8</f>
        <v>166.17933208955225</v>
      </c>
      <c r="F6855" s="2001">
        <f t="shared" ref="F6855:F6858" si="1048">D6855+E6855</f>
        <v>1495.6139888059702</v>
      </c>
      <c r="G6855" s="147" t="s">
        <v>13782</v>
      </c>
      <c r="H6855" s="2003" t="s">
        <v>13783</v>
      </c>
      <c r="I6855" s="501" t="s">
        <v>10379</v>
      </c>
      <c r="J6855" s="502" t="s">
        <v>10678</v>
      </c>
      <c r="K6855" s="501"/>
    </row>
    <row r="6856" spans="1:11" s="35" customFormat="1">
      <c r="A6856" s="502"/>
      <c r="B6856" s="28" t="s">
        <v>13784</v>
      </c>
      <c r="C6856" s="2510">
        <v>3038.1333333333337</v>
      </c>
      <c r="D6856" s="244">
        <f>C6856*(1-VLOOKUP(I6856,descuentos,6,FALSE))*fcl/IF(dol_sol="dólar", TC,1)</f>
        <v>1363.0789253731343</v>
      </c>
      <c r="E6856" s="2005">
        <f t="shared" si="1047"/>
        <v>170.38486567164179</v>
      </c>
      <c r="F6856" s="2001">
        <f t="shared" si="1048"/>
        <v>1533.4637910447761</v>
      </c>
      <c r="G6856" s="147" t="s">
        <v>13785</v>
      </c>
      <c r="H6856" s="2003" t="s">
        <v>13786</v>
      </c>
      <c r="I6856" s="501" t="s">
        <v>10379</v>
      </c>
      <c r="J6856" s="502" t="s">
        <v>10678</v>
      </c>
      <c r="K6856" s="501"/>
    </row>
    <row r="6857" spans="1:11" s="35" customFormat="1">
      <c r="A6857" s="502"/>
      <c r="B6857" s="28" t="s">
        <v>13787</v>
      </c>
      <c r="C6857" s="2510">
        <v>3114.344444444444</v>
      </c>
      <c r="D6857" s="244">
        <f>C6857*(1-VLOOKUP(I6857,descuentos,6,FALSE))*fcl/IF(dol_sol="dólar", TC,1)</f>
        <v>1397.271552238806</v>
      </c>
      <c r="E6857" s="2007">
        <f t="shared" si="1047"/>
        <v>174.65894402985074</v>
      </c>
      <c r="F6857" s="2006">
        <f t="shared" si="1048"/>
        <v>1571.9304962686567</v>
      </c>
      <c r="G6857" s="147" t="s">
        <v>13788</v>
      </c>
      <c r="H6857" s="2003" t="s">
        <v>13789</v>
      </c>
      <c r="I6857" s="501" t="s">
        <v>10379</v>
      </c>
      <c r="J6857" s="502" t="s">
        <v>10678</v>
      </c>
      <c r="K6857" s="501"/>
    </row>
    <row r="6858" spans="1:11" s="35" customFormat="1">
      <c r="A6858" s="502"/>
      <c r="B6858" s="28" t="s">
        <v>13226</v>
      </c>
      <c r="C6858" s="2510">
        <v>3191.7777777777774</v>
      </c>
      <c r="D6858" s="244">
        <f>C6858*(1-VLOOKUP(I6858,descuentos,6,FALSE))*fcl/IF(dol_sol="dólar", TC,1)</f>
        <v>1432.0125373134326</v>
      </c>
      <c r="E6858" s="2005">
        <f t="shared" si="1047"/>
        <v>179.00156716417908</v>
      </c>
      <c r="F6858" s="2001">
        <f t="shared" si="1048"/>
        <v>1611.0141044776117</v>
      </c>
      <c r="G6858" s="147" t="s">
        <v>13227</v>
      </c>
      <c r="H6858" s="2003" t="s">
        <v>13790</v>
      </c>
      <c r="I6858" s="501" t="s">
        <v>10379</v>
      </c>
      <c r="J6858" s="502" t="s">
        <v>10678</v>
      </c>
      <c r="K6858" s="501"/>
    </row>
    <row r="6859" spans="1:11" s="195" customFormat="1">
      <c r="A6859" s="523"/>
      <c r="B6859" s="524"/>
      <c r="C6859" s="2510"/>
      <c r="D6859" s="244"/>
      <c r="E6859" s="616"/>
      <c r="F6859" s="465"/>
      <c r="G6859" s="208"/>
      <c r="H6859" s="2036"/>
      <c r="I6859" s="525"/>
      <c r="J6859" s="523"/>
      <c r="K6859" s="525"/>
    </row>
    <row r="6860" spans="1:11" s="35" customFormat="1">
      <c r="A6860" s="502"/>
      <c r="B6860" s="28" t="s">
        <v>10627</v>
      </c>
      <c r="C6860" s="2510">
        <v>2149.1888888888889</v>
      </c>
      <c r="D6860" s="244">
        <f>C6860*(1-VLOOKUP(I6860,descuentos,6,FALSE))*fcl/IF(dol_sol="dólar", TC,1)</f>
        <v>964.24802985074621</v>
      </c>
      <c r="E6860" s="2005">
        <f t="shared" ref="E6860:E6863" si="1049">D6860/8</f>
        <v>120.53100373134328</v>
      </c>
      <c r="F6860" s="2001">
        <f t="shared" ref="F6860:F6863" si="1050">D6860+E6860</f>
        <v>1084.7790335820896</v>
      </c>
      <c r="G6860" s="147" t="s">
        <v>11981</v>
      </c>
      <c r="H6860" s="2003">
        <v>422077</v>
      </c>
      <c r="I6860" s="501" t="s">
        <v>10379</v>
      </c>
      <c r="J6860" s="502" t="s">
        <v>10678</v>
      </c>
      <c r="K6860" s="501"/>
    </row>
    <row r="6861" spans="1:11" s="35" customFormat="1">
      <c r="A6861" s="502"/>
      <c r="B6861" s="28" t="s">
        <v>10628</v>
      </c>
      <c r="C6861" s="2510">
        <v>2169.9222222222224</v>
      </c>
      <c r="D6861" s="244">
        <f>C6861*(1-VLOOKUP(I6861,descuentos,6,FALSE))*fcl/IF(dol_sol="dólar", TC,1)</f>
        <v>973.55017910447771</v>
      </c>
      <c r="E6861" s="2005">
        <f t="shared" si="1049"/>
        <v>121.69377238805971</v>
      </c>
      <c r="F6861" s="2001">
        <f t="shared" si="1050"/>
        <v>1095.2439514925375</v>
      </c>
      <c r="G6861" s="147" t="s">
        <v>11982</v>
      </c>
      <c r="H6861" s="2003" t="s">
        <v>10629</v>
      </c>
      <c r="I6861" s="501" t="s">
        <v>10379</v>
      </c>
      <c r="J6861" s="502" t="s">
        <v>10678</v>
      </c>
      <c r="K6861" s="501"/>
    </row>
    <row r="6862" spans="1:11" s="35" customFormat="1">
      <c r="A6862" s="502"/>
      <c r="B6862" s="28" t="s">
        <v>10630</v>
      </c>
      <c r="C6862" s="2510">
        <v>2341.2444444444441</v>
      </c>
      <c r="D6862" s="244">
        <f>C6862*(1-VLOOKUP(I6862,descuentos,6,FALSE))*fcl/IF(dol_sol="dólar", TC,1)</f>
        <v>1050.4150447761192</v>
      </c>
      <c r="E6862" s="2007">
        <f t="shared" si="1049"/>
        <v>131.3018805970149</v>
      </c>
      <c r="F6862" s="2006">
        <f t="shared" si="1050"/>
        <v>1181.716925373134</v>
      </c>
      <c r="G6862" s="147" t="s">
        <v>11983</v>
      </c>
      <c r="H6862" s="2003" t="s">
        <v>10631</v>
      </c>
      <c r="I6862" s="501" t="s">
        <v>10379</v>
      </c>
      <c r="J6862" s="502" t="s">
        <v>10678</v>
      </c>
      <c r="K6862" s="501"/>
    </row>
    <row r="6863" spans="1:11" s="35" customFormat="1">
      <c r="A6863" s="502"/>
      <c r="B6863" s="28" t="s">
        <v>10632</v>
      </c>
      <c r="C6863" s="2510">
        <v>2352.2222222222222</v>
      </c>
      <c r="D6863" s="244">
        <f>C6863*(1-VLOOKUP(I6863,descuentos,6,FALSE))*fcl/IF(dol_sol="dólar", TC,1)</f>
        <v>1055.3402985074626</v>
      </c>
      <c r="E6863" s="2005">
        <f t="shared" si="1049"/>
        <v>131.91753731343283</v>
      </c>
      <c r="F6863" s="2001">
        <f t="shared" si="1050"/>
        <v>1187.2578358208955</v>
      </c>
      <c r="G6863" s="147" t="s">
        <v>11984</v>
      </c>
      <c r="H6863" s="2003" t="s">
        <v>10633</v>
      </c>
      <c r="I6863" s="501" t="s">
        <v>10379</v>
      </c>
      <c r="J6863" s="502" t="s">
        <v>10678</v>
      </c>
      <c r="K6863" s="501"/>
    </row>
    <row r="6864" spans="1:11" s="35" customFormat="1">
      <c r="A6864" s="502"/>
      <c r="B6864" s="28"/>
      <c r="C6864" s="2510"/>
      <c r="D6864" s="244"/>
      <c r="E6864" s="2005"/>
      <c r="F6864" s="2001"/>
      <c r="G6864" s="147"/>
      <c r="H6864" s="2003"/>
      <c r="I6864" s="501"/>
      <c r="J6864" s="502"/>
      <c r="K6864" s="501"/>
    </row>
    <row r="6865" spans="1:11" s="35" customFormat="1">
      <c r="A6865" s="502"/>
      <c r="B6865" s="28"/>
      <c r="C6865" s="2510"/>
      <c r="D6865" s="244"/>
      <c r="E6865" s="2005"/>
      <c r="F6865" s="2001"/>
      <c r="G6865" s="147"/>
      <c r="H6865" s="2003"/>
      <c r="I6865" s="501"/>
      <c r="J6865" s="502"/>
      <c r="K6865" s="501"/>
    </row>
    <row r="6866" spans="1:11" s="35" customFormat="1">
      <c r="A6866" s="502"/>
      <c r="B6866" s="28"/>
      <c r="C6866" s="2510"/>
      <c r="D6866" s="244"/>
      <c r="E6866" s="2005"/>
      <c r="F6866" s="2001"/>
      <c r="G6866" s="147"/>
      <c r="H6866" s="2003"/>
      <c r="I6866" s="501"/>
      <c r="J6866" s="502"/>
      <c r="K6866" s="501"/>
    </row>
    <row r="6867" spans="1:11" s="35" customFormat="1">
      <c r="A6867" s="502"/>
      <c r="B6867" s="28"/>
      <c r="C6867" s="2510"/>
      <c r="D6867" s="244"/>
      <c r="E6867" s="2005"/>
      <c r="F6867" s="2001"/>
      <c r="G6867" s="147"/>
      <c r="H6867" s="2003"/>
      <c r="I6867" s="501"/>
      <c r="J6867" s="502"/>
      <c r="K6867" s="501"/>
    </row>
    <row r="6868" spans="1:11" s="35" customFormat="1">
      <c r="A6868" s="502"/>
      <c r="B6868" s="28" t="s">
        <v>10634</v>
      </c>
      <c r="C6868" s="2510">
        <v>2979.0444444444443</v>
      </c>
      <c r="D6868" s="244">
        <f>C6868*(1-VLOOKUP(I6868,descuentos,6,FALSE))*fcl/IF(dol_sol="dólar", TC,1)</f>
        <v>1336.5682985074625</v>
      </c>
      <c r="E6868" s="2005">
        <f t="shared" si="1022"/>
        <v>167.07103731343281</v>
      </c>
      <c r="F6868" s="2001">
        <f t="shared" si="1004"/>
        <v>1503.6393358208952</v>
      </c>
      <c r="G6868" s="147" t="s">
        <v>11985</v>
      </c>
      <c r="H6868" s="2003">
        <v>422264</v>
      </c>
      <c r="I6868" s="501" t="s">
        <v>10379</v>
      </c>
      <c r="J6868" s="502" t="s">
        <v>10678</v>
      </c>
      <c r="K6868" s="501"/>
    </row>
    <row r="6869" spans="1:11" s="35" customFormat="1">
      <c r="A6869" s="502"/>
      <c r="B6869" s="28" t="s">
        <v>10635</v>
      </c>
      <c r="C6869" s="2510">
        <v>3457.7111111111112</v>
      </c>
      <c r="D6869" s="244">
        <f>C6869*(1-VLOOKUP(I6869,descuentos,6,FALSE))*fcl/IF(dol_sol="dólar", TC,1)</f>
        <v>1551.3253134328359</v>
      </c>
      <c r="E6869" s="2005">
        <f t="shared" si="1022"/>
        <v>193.91566417910448</v>
      </c>
      <c r="F6869" s="2001">
        <f t="shared" si="1004"/>
        <v>1745.2409776119403</v>
      </c>
      <c r="G6869" s="147" t="s">
        <v>11986</v>
      </c>
      <c r="H6869" s="2003" t="s">
        <v>10636</v>
      </c>
      <c r="I6869" s="501" t="s">
        <v>10379</v>
      </c>
      <c r="J6869" s="502" t="s">
        <v>10678</v>
      </c>
      <c r="K6869" s="501"/>
    </row>
    <row r="6870" spans="1:11" s="35" customFormat="1">
      <c r="A6870" s="502"/>
      <c r="B6870" s="28" t="s">
        <v>10637</v>
      </c>
      <c r="C6870" s="2510">
        <v>3544.6222222222218</v>
      </c>
      <c r="D6870" s="244">
        <f>C6870*(1-VLOOKUP(I6870,descuentos,6,FALSE))*fcl/IF(dol_sol="dólar", TC,1)</f>
        <v>1590.3185671641788</v>
      </c>
      <c r="E6870" s="2005">
        <f t="shared" si="1022"/>
        <v>198.78982089552235</v>
      </c>
      <c r="F6870" s="2001">
        <f t="shared" si="1004"/>
        <v>1789.1083880597012</v>
      </c>
      <c r="G6870" s="147" t="s">
        <v>11987</v>
      </c>
      <c r="H6870" s="2003" t="s">
        <v>10638</v>
      </c>
      <c r="I6870" s="501" t="s">
        <v>10379</v>
      </c>
      <c r="J6870" s="502" t="s">
        <v>10678</v>
      </c>
      <c r="K6870" s="501"/>
    </row>
    <row r="6871" spans="1:11" s="35" customFormat="1">
      <c r="A6871" s="502"/>
      <c r="B6871" s="28"/>
      <c r="C6871" s="2510"/>
      <c r="D6871" s="244"/>
      <c r="E6871" s="2005"/>
      <c r="F6871" s="2001"/>
      <c r="G6871" s="208"/>
      <c r="H6871" s="2003"/>
      <c r="I6871" s="501"/>
      <c r="J6871" s="502"/>
      <c r="K6871" s="501"/>
    </row>
    <row r="6872" spans="1:11" s="35" customFormat="1">
      <c r="A6872" s="502"/>
      <c r="B6872" s="28" t="s">
        <v>10639</v>
      </c>
      <c r="C6872" s="2510">
        <v>3128.3111111111111</v>
      </c>
      <c r="D6872" s="244">
        <f>C6872*(1-VLOOKUP(I6872,descuentos,6,FALSE))*fcl/IF(dol_sol="dólar", TC,1)</f>
        <v>1403.537791044776</v>
      </c>
      <c r="E6872" s="2005">
        <f t="shared" ref="E6872:E6874" si="1051">D6872/8</f>
        <v>175.442223880597</v>
      </c>
      <c r="F6872" s="2001">
        <f t="shared" ref="F6872:F6874" si="1052">D6872+E6872</f>
        <v>1578.9800149253729</v>
      </c>
      <c r="G6872" s="147" t="s">
        <v>11988</v>
      </c>
      <c r="H6872" s="2003">
        <v>422276</v>
      </c>
      <c r="I6872" s="501" t="s">
        <v>10379</v>
      </c>
      <c r="J6872" s="502" t="s">
        <v>10678</v>
      </c>
      <c r="K6872" s="501"/>
    </row>
    <row r="6873" spans="1:11" s="35" customFormat="1">
      <c r="A6873" s="502"/>
      <c r="B6873" s="28" t="s">
        <v>10640</v>
      </c>
      <c r="C6873" s="2510">
        <v>3630.2888888888892</v>
      </c>
      <c r="D6873" s="244">
        <f>C6873*(1-VLOOKUP(I6873,descuentos,6,FALSE))*fcl/IF(dol_sol="dólar", TC,1)</f>
        <v>1628.7534925373134</v>
      </c>
      <c r="E6873" s="2005">
        <f t="shared" si="1051"/>
        <v>203.59418656716417</v>
      </c>
      <c r="F6873" s="2001">
        <f t="shared" si="1052"/>
        <v>1832.3476791044775</v>
      </c>
      <c r="G6873" s="147" t="s">
        <v>11989</v>
      </c>
      <c r="H6873" s="2003" t="s">
        <v>10641</v>
      </c>
      <c r="I6873" s="501" t="s">
        <v>10379</v>
      </c>
      <c r="J6873" s="502" t="s">
        <v>10678</v>
      </c>
      <c r="K6873" s="501"/>
    </row>
    <row r="6874" spans="1:11" s="35" customFormat="1">
      <c r="A6874" s="502"/>
      <c r="B6874" s="28" t="s">
        <v>10642</v>
      </c>
      <c r="C6874" s="2510">
        <v>3721.6111111111109</v>
      </c>
      <c r="D6874" s="244">
        <f>C6874*(1-VLOOKUP(I6874,descuentos,6,FALSE))*fcl/IF(dol_sol="dólar", TC,1)</f>
        <v>1669.7258208955222</v>
      </c>
      <c r="E6874" s="2005">
        <f t="shared" si="1051"/>
        <v>208.71572761194028</v>
      </c>
      <c r="F6874" s="2001">
        <f t="shared" si="1052"/>
        <v>1878.4415485074626</v>
      </c>
      <c r="G6874" s="147" t="s">
        <v>11990</v>
      </c>
      <c r="H6874" s="2003" t="s">
        <v>10643</v>
      </c>
      <c r="I6874" s="501" t="s">
        <v>10379</v>
      </c>
      <c r="J6874" s="502" t="s">
        <v>10678</v>
      </c>
      <c r="K6874" s="501"/>
    </row>
    <row r="6875" spans="1:11" s="35" customFormat="1">
      <c r="A6875" s="502"/>
      <c r="B6875" s="28"/>
      <c r="C6875" s="2510"/>
      <c r="D6875" s="244"/>
      <c r="E6875" s="2005"/>
      <c r="F6875" s="2001"/>
      <c r="G6875" s="147"/>
      <c r="H6875" s="2003"/>
      <c r="I6875" s="501"/>
      <c r="J6875" s="502"/>
      <c r="K6875" s="501"/>
    </row>
    <row r="6876" spans="1:11" s="35" customFormat="1">
      <c r="A6876" s="502"/>
      <c r="B6876" s="28" t="s">
        <v>10644</v>
      </c>
      <c r="C6876" s="2510">
        <v>3783.333333333333</v>
      </c>
      <c r="D6876" s="244">
        <f>C6876*(1-VLOOKUP(I6876,descuentos,6,FALSE))*fcl/IF(dol_sol="dólar", TC,1)</f>
        <v>1697.417910447761</v>
      </c>
      <c r="E6876" s="2005">
        <f t="shared" ref="E6876:E6878" si="1053">D6876/8</f>
        <v>212.17723880597012</v>
      </c>
      <c r="F6876" s="2001">
        <f t="shared" ref="F6876:F6878" si="1054">D6876+E6876</f>
        <v>1909.5951492537311</v>
      </c>
      <c r="G6876" s="147" t="s">
        <v>11991</v>
      </c>
      <c r="H6876" s="2003">
        <v>422288</v>
      </c>
      <c r="I6876" s="501" t="s">
        <v>10379</v>
      </c>
      <c r="J6876" s="502" t="s">
        <v>10678</v>
      </c>
      <c r="K6876" s="501"/>
    </row>
    <row r="6877" spans="1:11" s="35" customFormat="1">
      <c r="A6877" s="502"/>
      <c r="B6877" s="28" t="s">
        <v>10645</v>
      </c>
      <c r="C6877" s="2510">
        <v>4314.2666666666664</v>
      </c>
      <c r="D6877" s="244">
        <f>C6877*(1-VLOOKUP(I6877,descuentos,6,FALSE))*fcl/IF(dol_sol="dólar", TC,1)</f>
        <v>1935.6247164179101</v>
      </c>
      <c r="E6877" s="2005">
        <f t="shared" si="1053"/>
        <v>241.95308955223877</v>
      </c>
      <c r="F6877" s="2001">
        <f t="shared" si="1054"/>
        <v>2177.5778059701488</v>
      </c>
      <c r="G6877" s="147" t="s">
        <v>11992</v>
      </c>
      <c r="H6877" s="2003" t="s">
        <v>10646</v>
      </c>
      <c r="I6877" s="501" t="s">
        <v>10379</v>
      </c>
      <c r="J6877" s="502" t="s">
        <v>10678</v>
      </c>
      <c r="K6877" s="501"/>
    </row>
    <row r="6878" spans="1:11" s="35" customFormat="1">
      <c r="A6878" s="502"/>
      <c r="B6878" s="28" t="s">
        <v>10647</v>
      </c>
      <c r="C6878" s="2510">
        <v>4491.8777777777777</v>
      </c>
      <c r="D6878" s="244">
        <f>C6878*(1-VLOOKUP(I6878,descuentos,6,FALSE))*fcl/IF(dol_sol="dólar", TC,1)</f>
        <v>2015.3111343283581</v>
      </c>
      <c r="E6878" s="2005">
        <f t="shared" si="1053"/>
        <v>251.91389179104476</v>
      </c>
      <c r="F6878" s="2001">
        <f t="shared" si="1054"/>
        <v>2267.2250261194031</v>
      </c>
      <c r="G6878" s="147" t="s">
        <v>11993</v>
      </c>
      <c r="H6878" s="2003" t="s">
        <v>10648</v>
      </c>
      <c r="I6878" s="501" t="s">
        <v>10379</v>
      </c>
      <c r="J6878" s="502" t="s">
        <v>10678</v>
      </c>
      <c r="K6878" s="501"/>
    </row>
    <row r="6879" spans="1:11" s="35" customFormat="1">
      <c r="A6879" s="502"/>
      <c r="B6879" s="28"/>
      <c r="C6879" s="2510"/>
      <c r="D6879" s="244"/>
      <c r="E6879" s="2005"/>
      <c r="F6879" s="2001"/>
      <c r="G6879" s="147"/>
      <c r="H6879" s="2003"/>
      <c r="I6879" s="501"/>
      <c r="J6879" s="502"/>
      <c r="K6879" s="501"/>
    </row>
    <row r="6880" spans="1:11" s="35" customFormat="1">
      <c r="A6880" s="502"/>
      <c r="B6880" s="28" t="s">
        <v>10649</v>
      </c>
      <c r="C6880" s="2510">
        <v>3998.1</v>
      </c>
      <c r="D6880" s="244">
        <f>C6880*(1-VLOOKUP(I6880,descuentos,6,FALSE))*fcl/IF(dol_sol="dólar", TC,1)</f>
        <v>1793.7744179104477</v>
      </c>
      <c r="E6880" s="2005">
        <f t="shared" ref="E6880:E6882" si="1055">D6880/8</f>
        <v>224.22180223880596</v>
      </c>
      <c r="F6880" s="2001">
        <f t="shared" ref="F6880:F6882" si="1056">D6880+E6880</f>
        <v>2017.9962201492538</v>
      </c>
      <c r="G6880" s="147" t="s">
        <v>11994</v>
      </c>
      <c r="H6880" s="2003">
        <v>422293</v>
      </c>
      <c r="I6880" s="501" t="s">
        <v>10379</v>
      </c>
      <c r="J6880" s="502" t="s">
        <v>10678</v>
      </c>
      <c r="K6880" s="501"/>
    </row>
    <row r="6881" spans="1:11" s="35" customFormat="1">
      <c r="A6881" s="502"/>
      <c r="B6881" s="28" t="s">
        <v>10650</v>
      </c>
      <c r="C6881" s="2510">
        <v>4559.2666666666664</v>
      </c>
      <c r="D6881" s="244">
        <f>C6881*(1-VLOOKUP(I6881,descuentos,6,FALSE))*fcl/IF(dol_sol="dólar", TC,1)</f>
        <v>2045.5456119402984</v>
      </c>
      <c r="E6881" s="2005">
        <f t="shared" si="1055"/>
        <v>255.6932014925373</v>
      </c>
      <c r="F6881" s="2001">
        <f t="shared" si="1056"/>
        <v>2301.2388134328357</v>
      </c>
      <c r="G6881" s="147" t="s">
        <v>11995</v>
      </c>
      <c r="H6881" s="2003" t="s">
        <v>10651</v>
      </c>
      <c r="I6881" s="501" t="s">
        <v>10379</v>
      </c>
      <c r="J6881" s="502" t="s">
        <v>10678</v>
      </c>
      <c r="K6881" s="501"/>
    </row>
    <row r="6882" spans="1:11" s="35" customFormat="1">
      <c r="A6882" s="502"/>
      <c r="B6882" s="28" t="s">
        <v>10652</v>
      </c>
      <c r="C6882" s="2510">
        <v>4746.9555555555553</v>
      </c>
      <c r="D6882" s="244">
        <f>C6882*(1-VLOOKUP(I6882,descuentos,6,FALSE))*fcl/IF(dol_sol="dólar", TC,1)</f>
        <v>2129.7534925373134</v>
      </c>
      <c r="E6882" s="2005">
        <f t="shared" si="1055"/>
        <v>266.21918656716417</v>
      </c>
      <c r="F6882" s="2001">
        <f t="shared" si="1056"/>
        <v>2395.9726791044777</v>
      </c>
      <c r="G6882" s="147" t="s">
        <v>11996</v>
      </c>
      <c r="H6882" s="2003" t="s">
        <v>10653</v>
      </c>
      <c r="I6882" s="501" t="s">
        <v>10379</v>
      </c>
      <c r="J6882" s="502" t="s">
        <v>10678</v>
      </c>
      <c r="K6882" s="501"/>
    </row>
    <row r="6883" spans="1:11" s="35" customFormat="1">
      <c r="A6883" s="502"/>
      <c r="B6883" s="28"/>
      <c r="C6883" s="2510"/>
      <c r="D6883" s="244"/>
      <c r="E6883" s="2005"/>
      <c r="F6883" s="2001"/>
      <c r="G6883" s="147"/>
      <c r="H6883" s="2003"/>
      <c r="I6883" s="501"/>
      <c r="J6883" s="502"/>
      <c r="K6883" s="501"/>
    </row>
    <row r="6884" spans="1:11" s="35" customFormat="1">
      <c r="A6884" s="502"/>
      <c r="B6884" s="28" t="s">
        <v>10654</v>
      </c>
      <c r="C6884" s="2510">
        <v>3142.3888888888887</v>
      </c>
      <c r="D6884" s="244">
        <f>C6884*(1-VLOOKUP(I6884,descuentos,6,FALSE))*fcl/IF(dol_sol="dólar", TC,1)</f>
        <v>1409.8538805970149</v>
      </c>
      <c r="E6884" s="2005">
        <f t="shared" ref="E6884:E6887" si="1057">D6884/8</f>
        <v>176.23173507462687</v>
      </c>
      <c r="F6884" s="2001">
        <f t="shared" ref="F6884:F6887" si="1058">D6884+E6884</f>
        <v>1586.0856156716418</v>
      </c>
      <c r="G6884" s="147" t="s">
        <v>11997</v>
      </c>
      <c r="H6884" s="2003">
        <v>422552</v>
      </c>
      <c r="I6884" s="501" t="s">
        <v>10379</v>
      </c>
      <c r="J6884" s="502" t="s">
        <v>10678</v>
      </c>
      <c r="K6884" s="501"/>
    </row>
    <row r="6885" spans="1:11" s="35" customFormat="1">
      <c r="A6885" s="502"/>
      <c r="B6885" s="28" t="s">
        <v>10655</v>
      </c>
      <c r="C6885" s="2510">
        <v>3907.5666666666666</v>
      </c>
      <c r="D6885" s="244">
        <f>C6885*(1-VLOOKUP(I6885,descuentos,6,FALSE))*fcl/IF(dol_sol="dólar", TC,1)</f>
        <v>1753.1560298507461</v>
      </c>
      <c r="E6885" s="2005">
        <f t="shared" si="1057"/>
        <v>219.14450373134326</v>
      </c>
      <c r="F6885" s="2001">
        <f t="shared" si="1058"/>
        <v>1972.3005335820894</v>
      </c>
      <c r="G6885" s="147" t="s">
        <v>11998</v>
      </c>
      <c r="H6885" s="2003" t="s">
        <v>10656</v>
      </c>
      <c r="I6885" s="501" t="s">
        <v>10379</v>
      </c>
      <c r="J6885" s="502" t="s">
        <v>10678</v>
      </c>
      <c r="K6885" s="501"/>
    </row>
    <row r="6886" spans="1:11" s="35" customFormat="1">
      <c r="A6886" s="502"/>
      <c r="B6886" s="28" t="s">
        <v>10657</v>
      </c>
      <c r="C6886" s="2510">
        <v>4208.7555555555555</v>
      </c>
      <c r="D6886" s="244">
        <f>C6886*(1-VLOOKUP(I6886,descuentos,6,FALSE))*fcl/IF(dol_sol="dólar", TC,1)</f>
        <v>1888.286447761194</v>
      </c>
      <c r="E6886" s="2005">
        <f t="shared" si="1057"/>
        <v>236.03580597014926</v>
      </c>
      <c r="F6886" s="2001">
        <f t="shared" si="1058"/>
        <v>2124.3222537313432</v>
      </c>
      <c r="G6886" s="147" t="s">
        <v>11999</v>
      </c>
      <c r="H6886" s="2003" t="s">
        <v>10658</v>
      </c>
      <c r="I6886" s="501" t="s">
        <v>10379</v>
      </c>
      <c r="J6886" s="502" t="s">
        <v>10678</v>
      </c>
      <c r="K6886" s="501"/>
    </row>
    <row r="6887" spans="1:11" s="35" customFormat="1">
      <c r="A6887" s="502"/>
      <c r="B6887" s="28" t="s">
        <v>10659</v>
      </c>
      <c r="C6887" s="2510">
        <v>5472.0555555555557</v>
      </c>
      <c r="D6887" s="244">
        <f>C6887*(1-VLOOKUP(I6887,descuentos,6,FALSE))*fcl/IF(dol_sol="dólar", TC,1)</f>
        <v>2455.07447761194</v>
      </c>
      <c r="E6887" s="2005">
        <f t="shared" si="1057"/>
        <v>306.8843097014925</v>
      </c>
      <c r="F6887" s="2001">
        <f t="shared" si="1058"/>
        <v>2761.9587873134324</v>
      </c>
      <c r="G6887" s="147" t="s">
        <v>12000</v>
      </c>
      <c r="H6887" s="2003" t="s">
        <v>10660</v>
      </c>
      <c r="I6887" s="501" t="s">
        <v>10379</v>
      </c>
      <c r="J6887" s="502" t="s">
        <v>10678</v>
      </c>
      <c r="K6887" s="501"/>
    </row>
    <row r="6888" spans="1:11" s="35" customFormat="1">
      <c r="A6888" s="502"/>
      <c r="B6888" s="28"/>
      <c r="C6888" s="2510"/>
      <c r="D6888" s="244"/>
      <c r="E6888" s="2005"/>
      <c r="F6888" s="2001"/>
      <c r="G6888" s="147"/>
      <c r="H6888" s="2003"/>
      <c r="I6888" s="501"/>
      <c r="J6888" s="502"/>
      <c r="K6888" s="501"/>
    </row>
    <row r="6889" spans="1:11" s="35" customFormat="1">
      <c r="A6889" s="502"/>
      <c r="B6889" s="28" t="s">
        <v>12441</v>
      </c>
      <c r="C6889" s="2510">
        <v>3481.1111111111109</v>
      </c>
      <c r="D6889" s="244">
        <f>C6889*(1-VLOOKUP(I6889,descuentos,6,FALSE))*fcl/IF(dol_sol="dólar", TC,1)</f>
        <v>1561.8238805970147</v>
      </c>
      <c r="E6889" s="2005">
        <f t="shared" ref="E6889:E6892" si="1059">D6889/8</f>
        <v>195.22798507462684</v>
      </c>
      <c r="F6889" s="2001">
        <f t="shared" ref="F6889:F6892" si="1060">D6889+E6889</f>
        <v>1757.0518656716415</v>
      </c>
      <c r="G6889" s="147" t="s">
        <v>12442</v>
      </c>
      <c r="H6889" s="2003" t="s">
        <v>12443</v>
      </c>
      <c r="I6889" s="501" t="s">
        <v>10379</v>
      </c>
      <c r="J6889" s="502" t="s">
        <v>10678</v>
      </c>
      <c r="K6889" s="501"/>
    </row>
    <row r="6890" spans="1:11" s="35" customFormat="1">
      <c r="A6890" s="502"/>
      <c r="B6890" s="28" t="s">
        <v>12444</v>
      </c>
      <c r="C6890" s="2510">
        <v>4112.2222222222217</v>
      </c>
      <c r="D6890" s="244">
        <f>C6890*(1-VLOOKUP(I6890,descuentos,6,FALSE))*fcl/IF(dol_sol="dólar", TC,1)</f>
        <v>1844.9761194029848</v>
      </c>
      <c r="E6890" s="2005">
        <f t="shared" si="1059"/>
        <v>230.62201492537309</v>
      </c>
      <c r="F6890" s="2001">
        <f t="shared" si="1060"/>
        <v>2075.5981343283579</v>
      </c>
      <c r="G6890" s="147" t="s">
        <v>12445</v>
      </c>
      <c r="H6890" s="2003" t="s">
        <v>12446</v>
      </c>
      <c r="I6890" s="501" t="s">
        <v>10379</v>
      </c>
      <c r="J6890" s="502" t="s">
        <v>10678</v>
      </c>
      <c r="K6890" s="501"/>
    </row>
    <row r="6891" spans="1:11" s="35" customFormat="1">
      <c r="A6891" s="502"/>
      <c r="B6891" s="28" t="s">
        <v>12447</v>
      </c>
      <c r="C6891" s="2510">
        <v>4431.1111111111113</v>
      </c>
      <c r="D6891" s="244">
        <f>C6891*(1-VLOOKUP(I6891,descuentos,6,FALSE))*fcl/IF(dol_sol="dólar", TC,1)</f>
        <v>1988.0477611940298</v>
      </c>
      <c r="E6891" s="2005">
        <f t="shared" si="1059"/>
        <v>248.50597014925373</v>
      </c>
      <c r="F6891" s="2001">
        <f t="shared" si="1060"/>
        <v>2236.5537313432837</v>
      </c>
      <c r="G6891" s="147" t="s">
        <v>12448</v>
      </c>
      <c r="H6891" s="2003" t="s">
        <v>12449</v>
      </c>
      <c r="I6891" s="501" t="s">
        <v>10379</v>
      </c>
      <c r="J6891" s="502" t="s">
        <v>10678</v>
      </c>
      <c r="K6891" s="501"/>
    </row>
    <row r="6892" spans="1:11" s="35" customFormat="1">
      <c r="A6892" s="502"/>
      <c r="B6892" s="28" t="s">
        <v>12450</v>
      </c>
      <c r="C6892" s="2510">
        <v>6496.6666666666661</v>
      </c>
      <c r="D6892" s="244">
        <f>C6892*(1-VLOOKUP(I6892,descuentos,6,FALSE))*fcl/IF(dol_sol="dólar", TC,1)</f>
        <v>2914.7731343283581</v>
      </c>
      <c r="E6892" s="2005">
        <f t="shared" si="1059"/>
        <v>364.34664179104476</v>
      </c>
      <c r="F6892" s="2001">
        <f t="shared" si="1060"/>
        <v>3279.119776119403</v>
      </c>
      <c r="G6892" s="147" t="s">
        <v>12451</v>
      </c>
      <c r="H6892" s="2003" t="s">
        <v>12452</v>
      </c>
      <c r="I6892" s="501" t="s">
        <v>10379</v>
      </c>
      <c r="J6892" s="502" t="s">
        <v>10678</v>
      </c>
      <c r="K6892" s="501"/>
    </row>
    <row r="6893" spans="1:11" s="35" customFormat="1">
      <c r="A6893" s="502"/>
      <c r="B6893" s="28"/>
      <c r="C6893" s="2510"/>
      <c r="D6893" s="244"/>
      <c r="E6893" s="2005"/>
      <c r="F6893" s="2001"/>
      <c r="G6893" s="147"/>
      <c r="H6893" s="2003"/>
      <c r="I6893" s="501"/>
      <c r="J6893" s="502"/>
      <c r="K6893" s="501"/>
    </row>
    <row r="6894" spans="1:11" s="35" customFormat="1">
      <c r="A6894" s="502"/>
      <c r="B6894" s="28" t="s">
        <v>10661</v>
      </c>
      <c r="C6894" s="2510">
        <v>3238.7222222222222</v>
      </c>
      <c r="D6894" s="244">
        <f>C6894*(1-VLOOKUP(I6894,descuentos,6,FALSE))*fcl/IF(dol_sol="dólar", TC,1)</f>
        <v>1453.0744776119402</v>
      </c>
      <c r="E6894" s="2005">
        <f t="shared" ref="E6894:E6897" si="1061">D6894/8</f>
        <v>181.63430970149253</v>
      </c>
      <c r="F6894" s="2001">
        <f t="shared" ref="F6894:F6897" si="1062">D6894+E6894</f>
        <v>1634.7087873134328</v>
      </c>
      <c r="G6894" s="147" t="s">
        <v>12001</v>
      </c>
      <c r="H6894" s="2003">
        <v>422564</v>
      </c>
      <c r="I6894" s="501" t="s">
        <v>10379</v>
      </c>
      <c r="J6894" s="502" t="s">
        <v>10678</v>
      </c>
      <c r="K6894" s="501"/>
    </row>
    <row r="6895" spans="1:11" s="35" customFormat="1">
      <c r="A6895" s="502"/>
      <c r="B6895" s="28" t="s">
        <v>10662</v>
      </c>
      <c r="C6895" s="2510">
        <v>4027.0666666666666</v>
      </c>
      <c r="D6895" s="244">
        <f>C6895*(1-VLOOKUP(I6895,descuentos,6,FALSE))*fcl/IF(dol_sol="dólar", TC,1)</f>
        <v>1806.7705074626865</v>
      </c>
      <c r="E6895" s="2005">
        <f t="shared" si="1061"/>
        <v>225.84631343283581</v>
      </c>
      <c r="F6895" s="2001">
        <f t="shared" si="1062"/>
        <v>2032.6168208955223</v>
      </c>
      <c r="G6895" s="147" t="s">
        <v>12002</v>
      </c>
      <c r="H6895" s="2003" t="s">
        <v>10663</v>
      </c>
      <c r="I6895" s="501" t="s">
        <v>10379</v>
      </c>
      <c r="J6895" s="502" t="s">
        <v>10678</v>
      </c>
      <c r="K6895" s="501"/>
    </row>
    <row r="6896" spans="1:11" s="35" customFormat="1">
      <c r="A6896" s="502"/>
      <c r="B6896" s="28" t="s">
        <v>10664</v>
      </c>
      <c r="C6896" s="2510">
        <v>4338.6222222222223</v>
      </c>
      <c r="D6896" s="244">
        <f>C6896*(1-VLOOKUP(I6896,descuentos,6,FALSE))*fcl/IF(dol_sol="dólar", TC,1)</f>
        <v>1946.5519999999999</v>
      </c>
      <c r="E6896" s="2005">
        <f t="shared" si="1061"/>
        <v>243.31899999999999</v>
      </c>
      <c r="F6896" s="2001">
        <f t="shared" si="1062"/>
        <v>2189.8710000000001</v>
      </c>
      <c r="G6896" s="147" t="s">
        <v>12003</v>
      </c>
      <c r="H6896" s="2003" t="s">
        <v>10665</v>
      </c>
      <c r="I6896" s="501" t="s">
        <v>10379</v>
      </c>
      <c r="J6896" s="502" t="s">
        <v>10678</v>
      </c>
      <c r="K6896" s="501"/>
    </row>
    <row r="6897" spans="1:11" s="35" customFormat="1">
      <c r="A6897" s="502"/>
      <c r="B6897" s="28" t="s">
        <v>10666</v>
      </c>
      <c r="C6897" s="2510">
        <v>5640.9444444444443</v>
      </c>
      <c r="D6897" s="244">
        <f>C6897*(1-VLOOKUP(I6897,descuentos,6,FALSE))*fcl/IF(dol_sol="dólar", TC,1)</f>
        <v>2530.8476119402985</v>
      </c>
      <c r="E6897" s="2005">
        <f t="shared" si="1061"/>
        <v>316.35595149253732</v>
      </c>
      <c r="F6897" s="2001">
        <f t="shared" si="1062"/>
        <v>2847.2035634328358</v>
      </c>
      <c r="G6897" s="147" t="s">
        <v>12004</v>
      </c>
      <c r="H6897" s="2003" t="s">
        <v>10667</v>
      </c>
      <c r="I6897" s="501" t="s">
        <v>10379</v>
      </c>
      <c r="J6897" s="502" t="s">
        <v>10678</v>
      </c>
      <c r="K6897" s="501"/>
    </row>
    <row r="6898" spans="1:11" s="35" customFormat="1">
      <c r="A6898" s="502"/>
      <c r="B6898" s="28"/>
      <c r="C6898" s="2510"/>
      <c r="D6898" s="244"/>
      <c r="E6898" s="2005"/>
      <c r="F6898" s="2001"/>
      <c r="G6898" s="147"/>
      <c r="H6898" s="2003"/>
      <c r="I6898" s="501"/>
      <c r="J6898" s="502"/>
      <c r="K6898" s="501"/>
    </row>
    <row r="6899" spans="1:11" s="35" customFormat="1">
      <c r="A6899" s="502"/>
      <c r="B6899" s="28" t="s">
        <v>10668</v>
      </c>
      <c r="C6899" s="2510">
        <v>3626.5</v>
      </c>
      <c r="D6899" s="244">
        <f t="shared" ref="D6899:D6905" si="1063">C6899*(1-VLOOKUP(I6899,descuentos,6,FALSE))*fcl/IF(dol_sol="dólar", TC,1)</f>
        <v>1627.0535820895523</v>
      </c>
      <c r="E6899" s="2005">
        <f t="shared" ref="E6899:E6905" si="1064">D6899/8</f>
        <v>203.38169776119403</v>
      </c>
      <c r="F6899" s="2001">
        <f t="shared" ref="F6899:F6905" si="1065">D6899+E6899</f>
        <v>1830.4352798507464</v>
      </c>
      <c r="G6899" s="147" t="s">
        <v>12005</v>
      </c>
      <c r="H6899" s="2003">
        <v>422324</v>
      </c>
      <c r="I6899" s="501" t="s">
        <v>10379</v>
      </c>
      <c r="J6899" s="502" t="s">
        <v>10678</v>
      </c>
      <c r="K6899" s="501"/>
    </row>
    <row r="6900" spans="1:11" s="35" customFormat="1">
      <c r="A6900" s="502"/>
      <c r="B6900" s="2127" t="s">
        <v>13228</v>
      </c>
      <c r="C6900" s="2512">
        <v>5905.56</v>
      </c>
      <c r="D6900" s="2196">
        <f t="shared" si="1063"/>
        <v>2649.5691582089557</v>
      </c>
      <c r="E6900" s="2216">
        <f t="shared" si="1064"/>
        <v>331.19614477611947</v>
      </c>
      <c r="F6900" s="2198">
        <f t="shared" si="1065"/>
        <v>2980.7653029850753</v>
      </c>
      <c r="G6900" s="2217" t="s">
        <v>13229</v>
      </c>
      <c r="H6900" s="2003">
        <v>422330</v>
      </c>
      <c r="I6900" s="501" t="s">
        <v>10379</v>
      </c>
      <c r="J6900" s="502" t="s">
        <v>10678</v>
      </c>
      <c r="K6900" s="501"/>
    </row>
    <row r="6901" spans="1:11" s="35" customFormat="1">
      <c r="A6901" s="502"/>
      <c r="B6901" s="28" t="s">
        <v>10669</v>
      </c>
      <c r="C6901" s="2510">
        <v>4283.7555555555555</v>
      </c>
      <c r="D6901" s="244">
        <f t="shared" si="1063"/>
        <v>1921.9357014925372</v>
      </c>
      <c r="E6901" s="2005">
        <f t="shared" si="1064"/>
        <v>240.24196268656715</v>
      </c>
      <c r="F6901" s="2001">
        <f t="shared" si="1065"/>
        <v>2162.1776641791043</v>
      </c>
      <c r="G6901" s="147" t="s">
        <v>12006</v>
      </c>
      <c r="H6901" s="2003" t="s">
        <v>10670</v>
      </c>
      <c r="I6901" s="501" t="s">
        <v>10379</v>
      </c>
      <c r="J6901" s="502" t="s">
        <v>10678</v>
      </c>
      <c r="K6901" s="501"/>
    </row>
    <row r="6902" spans="1:11" s="35" customFormat="1">
      <c r="A6902" s="502"/>
      <c r="B6902" s="28" t="s">
        <v>10671</v>
      </c>
      <c r="C6902" s="2510">
        <v>4615.4333333333334</v>
      </c>
      <c r="D6902" s="244">
        <f t="shared" si="1063"/>
        <v>2070.7451641791044</v>
      </c>
      <c r="E6902" s="2005">
        <f t="shared" si="1064"/>
        <v>258.84314552238806</v>
      </c>
      <c r="F6902" s="2001">
        <f t="shared" si="1065"/>
        <v>2329.5883097014926</v>
      </c>
      <c r="G6902" s="147" t="s">
        <v>12007</v>
      </c>
      <c r="H6902" s="2003" t="s">
        <v>10672</v>
      </c>
      <c r="I6902" s="501" t="s">
        <v>10379</v>
      </c>
      <c r="J6902" s="502" t="s">
        <v>10678</v>
      </c>
      <c r="K6902" s="501"/>
    </row>
    <row r="6903" spans="1:11" s="35" customFormat="1">
      <c r="A6903" s="502"/>
      <c r="B6903" s="2127" t="s">
        <v>14072</v>
      </c>
      <c r="C6903" s="2512">
        <v>6598.37</v>
      </c>
      <c r="D6903" s="2196">
        <f t="shared" ref="D6903" si="1066">C6903*(1-VLOOKUP(I6903,descuentos,6,FALSE))*fcl/IF(dol_sol="dólar", TC,1)</f>
        <v>2960.4030179104475</v>
      </c>
      <c r="E6903" s="2216">
        <f t="shared" si="1064"/>
        <v>370.05037723880594</v>
      </c>
      <c r="F6903" s="2198">
        <f t="shared" si="1065"/>
        <v>3330.4533951492535</v>
      </c>
      <c r="G6903" s="2217" t="s">
        <v>14073</v>
      </c>
      <c r="H6903" s="2003">
        <v>422331</v>
      </c>
      <c r="I6903" s="501" t="s">
        <v>10379</v>
      </c>
      <c r="J6903" s="502" t="s">
        <v>10678</v>
      </c>
      <c r="K6903" s="501"/>
    </row>
    <row r="6904" spans="1:11" s="35" customFormat="1">
      <c r="A6904" s="502"/>
      <c r="B6904" s="2127" t="s">
        <v>13230</v>
      </c>
      <c r="C6904" s="2512">
        <v>6585.37</v>
      </c>
      <c r="D6904" s="2196">
        <f t="shared" si="1063"/>
        <v>2954.5704805970145</v>
      </c>
      <c r="E6904" s="2216">
        <f t="shared" si="1064"/>
        <v>369.32131007462681</v>
      </c>
      <c r="F6904" s="2198">
        <f t="shared" si="1065"/>
        <v>3323.8917906716415</v>
      </c>
      <c r="G6904" s="2217" t="s">
        <v>13231</v>
      </c>
      <c r="H6904" s="2003">
        <v>422332</v>
      </c>
      <c r="I6904" s="501" t="s">
        <v>10379</v>
      </c>
      <c r="J6904" s="502" t="s">
        <v>10678</v>
      </c>
      <c r="K6904" s="501"/>
    </row>
    <row r="6905" spans="1:11" s="35" customFormat="1">
      <c r="A6905" s="502"/>
      <c r="B6905" s="28" t="s">
        <v>10673</v>
      </c>
      <c r="C6905" s="2510">
        <v>6767.6666666666661</v>
      </c>
      <c r="D6905" s="244">
        <f t="shared" si="1063"/>
        <v>3036.3591044776113</v>
      </c>
      <c r="E6905" s="2005">
        <f t="shared" si="1064"/>
        <v>379.54488805970141</v>
      </c>
      <c r="F6905" s="2001">
        <f t="shared" si="1065"/>
        <v>3415.9039925373127</v>
      </c>
      <c r="G6905" s="147" t="s">
        <v>12008</v>
      </c>
      <c r="H6905" s="2003" t="s">
        <v>10674</v>
      </c>
      <c r="I6905" s="501" t="s">
        <v>10379</v>
      </c>
      <c r="J6905" s="502" t="s">
        <v>10678</v>
      </c>
      <c r="K6905" s="501"/>
    </row>
    <row r="6906" spans="1:11" s="35" customFormat="1">
      <c r="A6906" s="502"/>
      <c r="B6906" s="28"/>
      <c r="C6906" s="2510"/>
      <c r="D6906" s="244"/>
      <c r="E6906" s="2005"/>
      <c r="F6906" s="2001"/>
      <c r="G6906" s="147"/>
      <c r="H6906" s="2003"/>
      <c r="I6906" s="501"/>
      <c r="J6906" s="502"/>
      <c r="K6906" s="501"/>
    </row>
    <row r="6907" spans="1:11" s="35" customFormat="1">
      <c r="A6907" s="502"/>
      <c r="B6907" s="28"/>
      <c r="C6907" s="2510"/>
      <c r="D6907" s="244"/>
      <c r="E6907" s="2005"/>
      <c r="F6907" s="2001"/>
      <c r="G6907" s="147"/>
      <c r="H6907" s="2003"/>
      <c r="I6907" s="501"/>
      <c r="J6907" s="502"/>
      <c r="K6907" s="501"/>
    </row>
    <row r="6908" spans="1:11" s="196" customFormat="1">
      <c r="B6908" s="150" t="s">
        <v>10675</v>
      </c>
      <c r="C6908" s="2008">
        <v>9751.8333333333303</v>
      </c>
      <c r="D6908" s="244">
        <f t="shared" ref="D6908:D6916" si="1067">C6908*(1-VLOOKUP(I6908,descuentos,6,FALSE))*fcl/IF(dol_sol="dólar", TC,1)</f>
        <v>4375.2255223880584</v>
      </c>
      <c r="E6908" s="2005">
        <f>D6908/8</f>
        <v>546.9031902985073</v>
      </c>
      <c r="F6908" s="2001">
        <f>D6908+E6908</f>
        <v>4922.1287126865654</v>
      </c>
      <c r="G6908" s="197" t="s">
        <v>10676</v>
      </c>
      <c r="H6908" s="2009" t="s">
        <v>10677</v>
      </c>
      <c r="I6908" s="30" t="s">
        <v>10379</v>
      </c>
      <c r="J6908" s="416" t="s">
        <v>10678</v>
      </c>
      <c r="K6908" s="35"/>
    </row>
    <row r="6909" spans="1:11" s="196" customFormat="1">
      <c r="B6909" s="150" t="s">
        <v>10679</v>
      </c>
      <c r="C6909" s="2008">
        <v>9806.5111111111109</v>
      </c>
      <c r="D6909" s="244">
        <f t="shared" si="1067"/>
        <v>4399.7570746268657</v>
      </c>
      <c r="E6909" s="2005">
        <f t="shared" ref="E6909:E6916" si="1068">D6909/8</f>
        <v>549.96963432835821</v>
      </c>
      <c r="F6909" s="2001">
        <f t="shared" ref="F6909:F6916" si="1069">D6909+E6909</f>
        <v>4949.7267089552242</v>
      </c>
      <c r="G6909" s="197" t="s">
        <v>11130</v>
      </c>
      <c r="H6909" s="2009" t="s">
        <v>10680</v>
      </c>
      <c r="I6909" s="30" t="s">
        <v>10379</v>
      </c>
      <c r="J6909" s="416" t="s">
        <v>10678</v>
      </c>
      <c r="K6909" s="35"/>
    </row>
    <row r="6910" spans="1:11" s="267" customFormat="1" ht="21.75" customHeight="1">
      <c r="B6910" s="2141" t="s">
        <v>12401</v>
      </c>
      <c r="C6910" s="2142">
        <v>13074</v>
      </c>
      <c r="D6910" s="2143">
        <f t="shared" ref="D6910" si="1070">C6910*(1-VLOOKUP(I6910,descuentos,6,FALSE))*fcl/IF(dol_sol="dólar", TC,1)</f>
        <v>5865.7379104477614</v>
      </c>
      <c r="E6910" s="2144">
        <f t="shared" si="1068"/>
        <v>733.21723880597017</v>
      </c>
      <c r="F6910" s="2145">
        <f t="shared" si="1069"/>
        <v>6598.9551492537312</v>
      </c>
      <c r="G6910" s="2146" t="s">
        <v>12402</v>
      </c>
      <c r="H6910" s="2147">
        <v>28654</v>
      </c>
      <c r="I6910" s="2148" t="s">
        <v>10379</v>
      </c>
      <c r="J6910" s="2140" t="s">
        <v>10678</v>
      </c>
      <c r="K6910" s="2129"/>
    </row>
    <row r="6911" spans="1:11" s="196" customFormat="1">
      <c r="B6911" s="150" t="s">
        <v>10681</v>
      </c>
      <c r="C6911" s="2008">
        <v>11113.21111111111</v>
      </c>
      <c r="D6911" s="244">
        <f t="shared" si="1067"/>
        <v>4986.0168059701491</v>
      </c>
      <c r="E6911" s="2005">
        <f t="shared" si="1068"/>
        <v>623.25210074626864</v>
      </c>
      <c r="F6911" s="2001">
        <f t="shared" si="1069"/>
        <v>5609.2689067164174</v>
      </c>
      <c r="G6911" s="197" t="s">
        <v>11131</v>
      </c>
      <c r="H6911" s="2009" t="s">
        <v>10682</v>
      </c>
      <c r="I6911" s="30" t="s">
        <v>10379</v>
      </c>
      <c r="J6911" s="416" t="s">
        <v>10678</v>
      </c>
      <c r="K6911" s="35"/>
    </row>
    <row r="6912" spans="1:11" s="267" customFormat="1" ht="21.75" customHeight="1">
      <c r="B6912" s="2141" t="s">
        <v>14280</v>
      </c>
      <c r="C6912" s="2142">
        <v>14817.61</v>
      </c>
      <c r="D6912" s="2143">
        <f t="shared" si="1067"/>
        <v>6648.0202477611938</v>
      </c>
      <c r="E6912" s="2144">
        <f t="shared" si="1068"/>
        <v>831.00253097014922</v>
      </c>
      <c r="F6912" s="2145">
        <f t="shared" si="1069"/>
        <v>7479.0227787313434</v>
      </c>
      <c r="G6912" s="2146" t="s">
        <v>14281</v>
      </c>
      <c r="H6912" s="2147" t="s">
        <v>10682</v>
      </c>
      <c r="I6912" s="2148" t="s">
        <v>10379</v>
      </c>
      <c r="J6912" s="2140" t="s">
        <v>10678</v>
      </c>
      <c r="K6912" s="2129"/>
    </row>
    <row r="6913" spans="2:11" s="196" customFormat="1">
      <c r="B6913" s="150" t="s">
        <v>10683</v>
      </c>
      <c r="C6913" s="2008">
        <v>13976.466666666665</v>
      </c>
      <c r="D6913" s="244">
        <f t="shared" si="1067"/>
        <v>6270.6356417910438</v>
      </c>
      <c r="E6913" s="2005">
        <f t="shared" si="1068"/>
        <v>783.82945522388047</v>
      </c>
      <c r="F6913" s="2001">
        <f t="shared" si="1069"/>
        <v>7054.4650970149241</v>
      </c>
      <c r="G6913" s="197" t="s">
        <v>11132</v>
      </c>
      <c r="H6913" s="2009" t="s">
        <v>10684</v>
      </c>
      <c r="I6913" s="30" t="s">
        <v>10379</v>
      </c>
      <c r="J6913" s="416" t="s">
        <v>10678</v>
      </c>
      <c r="K6913" s="35"/>
    </row>
    <row r="6914" spans="2:11" s="196" customFormat="1">
      <c r="B6914" s="150" t="s">
        <v>10685</v>
      </c>
      <c r="C6914" s="2008">
        <v>16269.433333333332</v>
      </c>
      <c r="D6914" s="244">
        <f t="shared" si="1067"/>
        <v>7299.3905373134321</v>
      </c>
      <c r="E6914" s="2005">
        <f t="shared" si="1068"/>
        <v>912.42381716417901</v>
      </c>
      <c r="F6914" s="2001">
        <f t="shared" si="1069"/>
        <v>8211.8143544776103</v>
      </c>
      <c r="G6914" s="197" t="s">
        <v>11133</v>
      </c>
      <c r="H6914" s="2009" t="s">
        <v>10686</v>
      </c>
      <c r="I6914" s="30" t="s">
        <v>10379</v>
      </c>
      <c r="J6914" s="416" t="s">
        <v>10678</v>
      </c>
      <c r="K6914" s="35"/>
    </row>
    <row r="6915" spans="2:11" s="196" customFormat="1">
      <c r="B6915" s="150" t="s">
        <v>10687</v>
      </c>
      <c r="C6915" s="2008">
        <v>24948.488888888889</v>
      </c>
      <c r="D6915" s="244">
        <f t="shared" si="1067"/>
        <v>11193.30710447761</v>
      </c>
      <c r="E6915" s="2005">
        <f t="shared" si="1068"/>
        <v>1399.1633880597012</v>
      </c>
      <c r="F6915" s="2001">
        <f t="shared" si="1069"/>
        <v>12592.470492537312</v>
      </c>
      <c r="G6915" s="197" t="s">
        <v>11134</v>
      </c>
      <c r="H6915" s="2009" t="s">
        <v>10688</v>
      </c>
      <c r="I6915" s="30" t="s">
        <v>10379</v>
      </c>
      <c r="J6915" s="416" t="s">
        <v>10678</v>
      </c>
      <c r="K6915" s="35"/>
    </row>
    <row r="6916" spans="2:11" s="196" customFormat="1">
      <c r="B6916" s="150" t="s">
        <v>10689</v>
      </c>
      <c r="C6916" s="2008">
        <v>46414.288888888892</v>
      </c>
      <c r="D6916" s="244">
        <f t="shared" si="1067"/>
        <v>20824.082447761193</v>
      </c>
      <c r="E6916" s="2005">
        <f t="shared" si="1068"/>
        <v>2603.0103059701491</v>
      </c>
      <c r="F6916" s="2001">
        <f t="shared" si="1069"/>
        <v>23427.092753731344</v>
      </c>
      <c r="G6916" s="197" t="s">
        <v>11135</v>
      </c>
      <c r="H6916" s="2009" t="s">
        <v>10690</v>
      </c>
      <c r="I6916" s="30" t="s">
        <v>10379</v>
      </c>
      <c r="J6916" s="416" t="s">
        <v>10678</v>
      </c>
      <c r="K6916" s="35"/>
    </row>
    <row r="6917" spans="2:11" s="196" customFormat="1">
      <c r="B6917" s="150"/>
      <c r="C6917" s="2008"/>
      <c r="D6917" s="244"/>
      <c r="E6917" s="2005"/>
      <c r="F6917" s="2001"/>
      <c r="G6917" s="197"/>
      <c r="H6917" s="2009"/>
      <c r="I6917" s="30"/>
      <c r="J6917" s="416"/>
      <c r="K6917" s="35"/>
    </row>
    <row r="6918" spans="2:11" s="196" customFormat="1">
      <c r="B6918" s="150" t="s">
        <v>10691</v>
      </c>
      <c r="C6918" s="2008">
        <v>804.23333333333323</v>
      </c>
      <c r="D6918" s="244">
        <f>C6918*(1-VLOOKUP(I6918,descuentos,6,FALSE))*fcl/IF(dol_sol="dólar", TC,1)</f>
        <v>360.82468656716412</v>
      </c>
      <c r="E6918" s="2005">
        <v>20</v>
      </c>
      <c r="F6918" s="2001">
        <f t="shared" ref="F6918:F6922" si="1071">D6918+E6918</f>
        <v>380.82468656716412</v>
      </c>
      <c r="G6918" s="197" t="s">
        <v>10692</v>
      </c>
      <c r="H6918" s="2009" t="s">
        <v>10693</v>
      </c>
      <c r="I6918" s="30" t="s">
        <v>10379</v>
      </c>
      <c r="J6918" s="416" t="s">
        <v>10678</v>
      </c>
      <c r="K6918" s="35" t="s">
        <v>741</v>
      </c>
    </row>
    <row r="6919" spans="2:11" s="196" customFormat="1">
      <c r="B6919" s="150" t="s">
        <v>10694</v>
      </c>
      <c r="C6919" s="2008">
        <v>417.34444444444443</v>
      </c>
      <c r="D6919" s="244">
        <f>C6919*(1-VLOOKUP(I6919,descuentos,6,FALSE))*fcl/IF(dol_sol="dólar", TC,1)</f>
        <v>187.24438805970146</v>
      </c>
      <c r="E6919" s="2005">
        <v>10</v>
      </c>
      <c r="F6919" s="2001">
        <f t="shared" si="1071"/>
        <v>197.24438805970146</v>
      </c>
      <c r="G6919" s="197" t="s">
        <v>10695</v>
      </c>
      <c r="H6919" s="2009" t="s">
        <v>10696</v>
      </c>
      <c r="I6919" s="30" t="s">
        <v>10379</v>
      </c>
      <c r="J6919" s="416" t="s">
        <v>10678</v>
      </c>
      <c r="K6919" s="35" t="s">
        <v>741</v>
      </c>
    </row>
    <row r="6920" spans="2:11" s="196" customFormat="1">
      <c r="B6920" s="150" t="s">
        <v>10697</v>
      </c>
      <c r="C6920" s="2008">
        <v>410.42222222222222</v>
      </c>
      <c r="D6920" s="244">
        <f>C6920*(1-VLOOKUP(I6920,descuentos,6,FALSE))*fcl/IF(dol_sol="dólar", TC,1)</f>
        <v>184.13868656716417</v>
      </c>
      <c r="E6920" s="2005">
        <v>10</v>
      </c>
      <c r="F6920" s="2001">
        <f t="shared" si="1071"/>
        <v>194.13868656716417</v>
      </c>
      <c r="G6920" s="197" t="s">
        <v>10698</v>
      </c>
      <c r="H6920" s="2009" t="s">
        <v>10699</v>
      </c>
      <c r="I6920" s="30" t="s">
        <v>10379</v>
      </c>
      <c r="J6920" s="416" t="s">
        <v>10678</v>
      </c>
      <c r="K6920" s="35" t="s">
        <v>741</v>
      </c>
    </row>
    <row r="6921" spans="2:11" s="196" customFormat="1">
      <c r="B6921" s="150" t="s">
        <v>10700</v>
      </c>
      <c r="C6921" s="2008">
        <v>417.34444444444443</v>
      </c>
      <c r="D6921" s="244">
        <f>C6921*(1-VLOOKUP(I6921,descuentos,6,FALSE))*fcl/IF(dol_sol="dólar", TC,1)</f>
        <v>187.24438805970146</v>
      </c>
      <c r="E6921" s="2005">
        <v>10</v>
      </c>
      <c r="F6921" s="2001">
        <f t="shared" si="1071"/>
        <v>197.24438805970146</v>
      </c>
      <c r="G6921" s="197" t="s">
        <v>10701</v>
      </c>
      <c r="H6921" s="2009" t="s">
        <v>10702</v>
      </c>
      <c r="I6921" s="30" t="s">
        <v>10379</v>
      </c>
      <c r="J6921" s="416" t="s">
        <v>10678</v>
      </c>
      <c r="K6921" s="35" t="s">
        <v>741</v>
      </c>
    </row>
    <row r="6922" spans="2:11" s="196" customFormat="1">
      <c r="B6922" s="150" t="s">
        <v>10703</v>
      </c>
      <c r="C6922" s="2008">
        <v>63.677777777777777</v>
      </c>
      <c r="D6922" s="244">
        <f>C6922*(1-VLOOKUP(I6922,descuentos,6,FALSE))*fcl/IF(dol_sol="dólar", TC,1)</f>
        <v>28.569462686567164</v>
      </c>
      <c r="E6922" s="2005">
        <v>5</v>
      </c>
      <c r="F6922" s="2001">
        <f t="shared" si="1071"/>
        <v>33.569462686567164</v>
      </c>
      <c r="G6922" s="197" t="s">
        <v>10704</v>
      </c>
      <c r="H6922" s="2009" t="s">
        <v>10705</v>
      </c>
      <c r="I6922" s="30" t="s">
        <v>10379</v>
      </c>
      <c r="J6922" s="416" t="s">
        <v>10678</v>
      </c>
      <c r="K6922" s="35" t="s">
        <v>741</v>
      </c>
    </row>
    <row r="6923" spans="2:11" s="196" customFormat="1">
      <c r="B6923" s="142"/>
      <c r="C6923" s="235"/>
      <c r="D6923" s="244"/>
      <c r="E6923" s="226"/>
      <c r="F6923" s="155"/>
      <c r="G6923" s="143"/>
      <c r="H6923" s="142"/>
    </row>
    <row r="6924" spans="2:11" s="196" customFormat="1">
      <c r="B6924" s="142"/>
      <c r="C6924" s="235"/>
      <c r="D6924" s="244"/>
      <c r="E6924" s="226"/>
      <c r="F6924" s="155"/>
      <c r="G6924" s="143"/>
      <c r="H6924" s="142"/>
    </row>
    <row r="6925" spans="2:11" s="196" customFormat="1">
      <c r="B6925" s="2115" t="s">
        <v>12009</v>
      </c>
      <c r="C6925" s="2008">
        <v>560.61</v>
      </c>
      <c r="D6925" s="244">
        <f>C6925*(1-VLOOKUP(I6925,descuentos,6,FALSE))*fcl/IF(dol_sol="dólar", TC,1)</f>
        <v>251.52144179104479</v>
      </c>
      <c r="E6925" s="2005">
        <v>10</v>
      </c>
      <c r="F6925" s="2001">
        <f t="shared" ref="F6925:F6932" si="1072">D6925+E6925</f>
        <v>261.52144179104482</v>
      </c>
      <c r="G6925" s="197" t="s">
        <v>11137</v>
      </c>
      <c r="H6925" s="2009" t="s">
        <v>11136</v>
      </c>
      <c r="I6925" s="30" t="s">
        <v>10379</v>
      </c>
      <c r="J6925" s="416" t="s">
        <v>10678</v>
      </c>
      <c r="K6925" s="35" t="s">
        <v>741</v>
      </c>
    </row>
    <row r="6926" spans="2:11" s="196" customFormat="1">
      <c r="B6926" s="2115" t="s">
        <v>12010</v>
      </c>
      <c r="C6926" s="2008">
        <v>314.20999999999998</v>
      </c>
      <c r="D6926" s="244">
        <f>C6926*(1-VLOOKUP(I6926,descuentos,6,FALSE))*fcl/IF(dol_sol="dólar", TC,1)</f>
        <v>140.97242686567162</v>
      </c>
      <c r="E6926" s="2005">
        <v>10</v>
      </c>
      <c r="F6926" s="2001">
        <f t="shared" si="1072"/>
        <v>150.97242686567162</v>
      </c>
      <c r="G6926" s="197" t="s">
        <v>11139</v>
      </c>
      <c r="H6926" s="2009" t="s">
        <v>11138</v>
      </c>
      <c r="I6926" s="30" t="s">
        <v>10379</v>
      </c>
      <c r="J6926" s="416" t="s">
        <v>10678</v>
      </c>
      <c r="K6926" s="35" t="s">
        <v>741</v>
      </c>
    </row>
    <row r="6927" spans="2:11" s="196" customFormat="1">
      <c r="B6927" s="2115" t="s">
        <v>12011</v>
      </c>
      <c r="C6927" s="2008">
        <v>3114.5</v>
      </c>
      <c r="D6927" s="244">
        <f>C6927*(1-VLOOKUP(I6927,descuentos,6,FALSE))*fcl/IF(dol_sol="dólar", TC,1)</f>
        <v>1397.3413432835821</v>
      </c>
      <c r="E6927" s="2005">
        <v>10</v>
      </c>
      <c r="F6927" s="2001">
        <f t="shared" si="1072"/>
        <v>1407.3413432835821</v>
      </c>
      <c r="G6927" s="197" t="s">
        <v>11141</v>
      </c>
      <c r="H6927" s="2009" t="s">
        <v>11140</v>
      </c>
      <c r="I6927" s="30" t="s">
        <v>10379</v>
      </c>
      <c r="J6927" s="416" t="s">
        <v>10678</v>
      </c>
      <c r="K6927" s="35" t="s">
        <v>741</v>
      </c>
    </row>
    <row r="6928" spans="2:11" s="196" customFormat="1">
      <c r="B6928" s="150" t="s">
        <v>12012</v>
      </c>
      <c r="C6928" s="2008">
        <v>63.61</v>
      </c>
      <c r="D6928" s="244">
        <f>C6928*(1-VLOOKUP(I6928,descuentos,6,FALSE))*fcl/IF(dol_sol="dólar", TC,1)</f>
        <v>28.539053731343284</v>
      </c>
      <c r="E6928" s="2005">
        <v>10</v>
      </c>
      <c r="F6928" s="2001">
        <f t="shared" si="1072"/>
        <v>38.539053731343287</v>
      </c>
      <c r="G6928" s="197" t="s">
        <v>11142</v>
      </c>
      <c r="H6928" s="2009">
        <v>421011</v>
      </c>
      <c r="I6928" s="30" t="s">
        <v>10379</v>
      </c>
      <c r="J6928" s="416" t="s">
        <v>10678</v>
      </c>
      <c r="K6928" s="35" t="s">
        <v>741</v>
      </c>
    </row>
    <row r="6929" spans="2:11" s="196" customFormat="1">
      <c r="B6929" s="150"/>
      <c r="C6929" s="2008"/>
      <c r="D6929" s="244"/>
      <c r="E6929" s="2005"/>
      <c r="F6929" s="2001"/>
      <c r="G6929" s="197"/>
      <c r="H6929" s="2009"/>
      <c r="I6929" s="30"/>
      <c r="J6929" s="416"/>
      <c r="K6929" s="35"/>
    </row>
    <row r="6930" spans="2:11" s="196" customFormat="1">
      <c r="B6930" s="150"/>
      <c r="C6930" s="2008"/>
      <c r="D6930" s="244"/>
      <c r="E6930" s="2005"/>
      <c r="F6930" s="2001"/>
      <c r="G6930" s="197"/>
      <c r="H6930" s="2009"/>
      <c r="I6930" s="30"/>
      <c r="J6930" s="416"/>
      <c r="K6930" s="35"/>
    </row>
    <row r="6931" spans="2:11" s="196" customFormat="1">
      <c r="B6931" s="2115" t="s">
        <v>12403</v>
      </c>
      <c r="C6931" s="2008">
        <v>1648.8666666666666</v>
      </c>
      <c r="D6931" s="244">
        <f>C6931*(1-VLOOKUP(I6931,descuentos,6,FALSE))*fcl/IF(dol_sol="dólar", TC,1)</f>
        <v>739.77510447761188</v>
      </c>
      <c r="E6931" s="2005">
        <v>10</v>
      </c>
      <c r="F6931" s="2001">
        <f t="shared" si="1072"/>
        <v>749.77510447761188</v>
      </c>
      <c r="G6931" s="197" t="s">
        <v>12404</v>
      </c>
      <c r="H6931" s="2009" t="s">
        <v>12405</v>
      </c>
      <c r="I6931" s="30" t="s">
        <v>10379</v>
      </c>
      <c r="J6931" s="416" t="s">
        <v>10678</v>
      </c>
      <c r="K6931" s="35" t="s">
        <v>741</v>
      </c>
    </row>
    <row r="6932" spans="2:11" s="196" customFormat="1">
      <c r="B6932" s="2115" t="s">
        <v>12406</v>
      </c>
      <c r="C6932" s="2008">
        <v>150.76</v>
      </c>
      <c r="D6932" s="244">
        <f>C6932*(1-VLOOKUP(I6932,descuentos,6,FALSE))*fcl/IF(dol_sol="dólar", TC,1)</f>
        <v>67.63948656716417</v>
      </c>
      <c r="E6932" s="2005">
        <v>10</v>
      </c>
      <c r="F6932" s="2001">
        <f t="shared" si="1072"/>
        <v>77.63948656716417</v>
      </c>
      <c r="G6932" s="197" t="s">
        <v>12407</v>
      </c>
      <c r="H6932" s="2009" t="s">
        <v>12406</v>
      </c>
      <c r="I6932" s="30" t="s">
        <v>10379</v>
      </c>
      <c r="J6932" s="416" t="s">
        <v>10678</v>
      </c>
      <c r="K6932" s="35" t="s">
        <v>741</v>
      </c>
    </row>
    <row r="6933" spans="2:11" s="196" customFormat="1">
      <c r="B6933" s="150"/>
      <c r="C6933" s="2008"/>
      <c r="D6933" s="244"/>
      <c r="E6933" s="2005"/>
      <c r="F6933" s="2001"/>
      <c r="G6933" s="197"/>
      <c r="H6933" s="2009"/>
      <c r="I6933" s="30"/>
      <c r="J6933" s="416"/>
      <c r="K6933" s="35"/>
    </row>
    <row r="6934" spans="2:11" s="196" customFormat="1">
      <c r="B6934" s="142"/>
      <c r="C6934" s="235"/>
      <c r="D6934" s="244"/>
      <c r="E6934" s="226"/>
      <c r="F6934" s="155"/>
      <c r="G6934" s="143"/>
      <c r="H6934" s="142"/>
    </row>
    <row r="6935" spans="2:11" s="196" customFormat="1">
      <c r="B6935" s="2115" t="s">
        <v>13791</v>
      </c>
      <c r="C6935" s="2008">
        <v>536.39</v>
      </c>
      <c r="D6935" s="244">
        <f>C6935*(1-VLOOKUP(I6935,descuentos,6,FALSE))*fcl/IF(dol_sol="dólar", TC,1)</f>
        <v>240.65497611940293</v>
      </c>
      <c r="E6935" s="2005">
        <v>10</v>
      </c>
      <c r="F6935" s="2001">
        <f t="shared" ref="F6935:F6936" si="1073">D6935+E6935</f>
        <v>250.65497611940293</v>
      </c>
      <c r="G6935" s="2149" t="s">
        <v>12409</v>
      </c>
      <c r="H6935" s="2009" t="s">
        <v>12408</v>
      </c>
      <c r="I6935" s="30" t="s">
        <v>10379</v>
      </c>
      <c r="J6935" s="416" t="s">
        <v>10678</v>
      </c>
      <c r="K6935" s="35" t="s">
        <v>741</v>
      </c>
    </row>
    <row r="6936" spans="2:11" s="196" customFormat="1">
      <c r="B6936" s="2115" t="s">
        <v>13792</v>
      </c>
      <c r="C6936" s="2008">
        <v>308.69</v>
      </c>
      <c r="D6936" s="244">
        <f>C6936*(1-VLOOKUP(I6936,descuentos,6,FALSE))*fcl/IF(dol_sol="dólar", TC,1)</f>
        <v>138.49584179104477</v>
      </c>
      <c r="E6936" s="2005">
        <v>10</v>
      </c>
      <c r="F6936" s="2001">
        <f t="shared" si="1073"/>
        <v>148.49584179104477</v>
      </c>
      <c r="G6936" s="2149" t="s">
        <v>12411</v>
      </c>
      <c r="H6936" s="2009" t="s">
        <v>12410</v>
      </c>
      <c r="I6936" s="30" t="s">
        <v>10379</v>
      </c>
      <c r="J6936" s="416" t="s">
        <v>10678</v>
      </c>
      <c r="K6936" s="35" t="s">
        <v>741</v>
      </c>
    </row>
    <row r="6937" spans="2:11" s="196" customFormat="1">
      <c r="B6937" s="150"/>
      <c r="C6937" s="2008"/>
      <c r="D6937" s="244"/>
      <c r="E6937" s="2005"/>
      <c r="F6937" s="2001"/>
      <c r="G6937" s="197"/>
      <c r="H6937" s="2009"/>
      <c r="I6937" s="30"/>
      <c r="J6937" s="416"/>
      <c r="K6937" s="35"/>
    </row>
    <row r="6938" spans="2:11" s="196" customFormat="1">
      <c r="B6938" s="142"/>
      <c r="C6938" s="235"/>
      <c r="D6938" s="244"/>
      <c r="E6938" s="226"/>
      <c r="F6938" s="155"/>
      <c r="G6938" s="143"/>
      <c r="H6938" s="142"/>
    </row>
    <row r="6939" spans="2:11" s="196" customFormat="1">
      <c r="B6939" s="150" t="s">
        <v>10706</v>
      </c>
      <c r="C6939" s="2008">
        <v>2478.9666666666667</v>
      </c>
      <c r="D6939" s="244">
        <f t="shared" ref="D6939:D6944" si="1074">C6939*(1-VLOOKUP(I6939,descuentos,6,FALSE))*fcl/IF(dol_sol="dólar", TC,1)</f>
        <v>1112.2050447761194</v>
      </c>
      <c r="E6939" s="2005">
        <v>20</v>
      </c>
      <c r="F6939" s="2001">
        <f>D6939+E6939</f>
        <v>1132.2050447761194</v>
      </c>
      <c r="G6939" s="197" t="s">
        <v>10707</v>
      </c>
      <c r="H6939" s="2009" t="s">
        <v>10708</v>
      </c>
      <c r="I6939" s="30" t="s">
        <v>10379</v>
      </c>
      <c r="J6939" s="416" t="s">
        <v>10678</v>
      </c>
      <c r="K6939" s="35" t="s">
        <v>741</v>
      </c>
    </row>
    <row r="6940" spans="2:11" s="196" customFormat="1">
      <c r="B6940" s="150" t="s">
        <v>10709</v>
      </c>
      <c r="C6940" s="2008">
        <v>2478.9666666666667</v>
      </c>
      <c r="D6940" s="244">
        <f t="shared" si="1074"/>
        <v>1112.2050447761194</v>
      </c>
      <c r="E6940" s="2005">
        <v>20</v>
      </c>
      <c r="F6940" s="2001">
        <f>D6940+E6940</f>
        <v>1132.2050447761194</v>
      </c>
      <c r="G6940" s="197" t="s">
        <v>10710</v>
      </c>
      <c r="H6940" s="2009" t="s">
        <v>10711</v>
      </c>
      <c r="I6940" s="30" t="s">
        <v>10379</v>
      </c>
      <c r="J6940" s="416" t="s">
        <v>10678</v>
      </c>
      <c r="K6940" s="35" t="s">
        <v>741</v>
      </c>
    </row>
    <row r="6941" spans="2:11" s="196" customFormat="1">
      <c r="B6941" s="150" t="s">
        <v>10712</v>
      </c>
      <c r="C6941" s="2008">
        <v>79.989999999999995</v>
      </c>
      <c r="D6941" s="244">
        <f t="shared" si="1074"/>
        <v>35.888050746268654</v>
      </c>
      <c r="E6941" s="2005">
        <v>10</v>
      </c>
      <c r="F6941" s="2001">
        <f t="shared" ref="F6941:F6944" si="1075">D6941+E6941</f>
        <v>45.888050746268654</v>
      </c>
      <c r="G6941" s="197" t="s">
        <v>10713</v>
      </c>
      <c r="H6941" s="2009" t="s">
        <v>10714</v>
      </c>
      <c r="I6941" s="30" t="s">
        <v>10379</v>
      </c>
      <c r="J6941" s="416" t="s">
        <v>10678</v>
      </c>
      <c r="K6941" s="35" t="s">
        <v>741</v>
      </c>
    </row>
    <row r="6942" spans="2:11" s="196" customFormat="1">
      <c r="B6942" s="150" t="s">
        <v>10715</v>
      </c>
      <c r="C6942" s="2008">
        <v>244.38</v>
      </c>
      <c r="D6942" s="244">
        <f t="shared" si="1074"/>
        <v>109.64272835820894</v>
      </c>
      <c r="E6942" s="2005">
        <v>10</v>
      </c>
      <c r="F6942" s="2001">
        <f t="shared" si="1075"/>
        <v>119.64272835820894</v>
      </c>
      <c r="G6942" s="197" t="s">
        <v>10716</v>
      </c>
      <c r="H6942" s="2009" t="s">
        <v>10717</v>
      </c>
      <c r="I6942" s="30" t="s">
        <v>10379</v>
      </c>
      <c r="J6942" s="416" t="s">
        <v>10678</v>
      </c>
      <c r="K6942" s="35" t="s">
        <v>741</v>
      </c>
    </row>
    <row r="6943" spans="2:11" s="196" customFormat="1">
      <c r="B6943" s="150" t="s">
        <v>10718</v>
      </c>
      <c r="C6943" s="2008">
        <v>248.78</v>
      </c>
      <c r="D6943" s="244">
        <f t="shared" si="1074"/>
        <v>111.61681791044775</v>
      </c>
      <c r="E6943" s="2005">
        <v>5</v>
      </c>
      <c r="F6943" s="2001">
        <f t="shared" si="1075"/>
        <v>116.61681791044775</v>
      </c>
      <c r="G6943" s="197" t="s">
        <v>10719</v>
      </c>
      <c r="H6943" s="2009" t="s">
        <v>10720</v>
      </c>
      <c r="I6943" s="30" t="s">
        <v>10379</v>
      </c>
      <c r="J6943" s="416" t="s">
        <v>10678</v>
      </c>
      <c r="K6943" s="35" t="s">
        <v>741</v>
      </c>
    </row>
    <row r="6944" spans="2:11" s="196" customFormat="1">
      <c r="B6944" s="2010" t="s">
        <v>10721</v>
      </c>
      <c r="C6944" s="2008">
        <v>833.26</v>
      </c>
      <c r="D6944" s="244">
        <f t="shared" si="1074"/>
        <v>373.84769552238805</v>
      </c>
      <c r="E6944" s="2005">
        <v>20</v>
      </c>
      <c r="F6944" s="2001">
        <f t="shared" si="1075"/>
        <v>393.84769552238805</v>
      </c>
      <c r="G6944" s="197" t="s">
        <v>10722</v>
      </c>
      <c r="H6944" s="2009" t="s">
        <v>10723</v>
      </c>
      <c r="I6944" s="30" t="s">
        <v>10379</v>
      </c>
      <c r="J6944" s="416" t="s">
        <v>10678</v>
      </c>
      <c r="K6944" s="35" t="s">
        <v>741</v>
      </c>
    </row>
    <row r="6945" spans="2:11" s="196" customFormat="1">
      <c r="B6945" s="142"/>
      <c r="C6945" s="235"/>
      <c r="D6945" s="244"/>
      <c r="E6945" s="226"/>
      <c r="F6945" s="155"/>
      <c r="G6945" s="143"/>
      <c r="H6945" s="142"/>
    </row>
    <row r="6946" spans="2:11" s="196" customFormat="1">
      <c r="B6946" s="142"/>
      <c r="C6946" s="235"/>
      <c r="D6946" s="244"/>
      <c r="E6946" s="226"/>
      <c r="F6946" s="155"/>
      <c r="G6946" s="143"/>
      <c r="H6946" s="142"/>
    </row>
    <row r="6947" spans="2:11" s="196" customFormat="1">
      <c r="B6947" s="150" t="s">
        <v>10724</v>
      </c>
      <c r="C6947" s="2008">
        <v>1364.1888888888889</v>
      </c>
      <c r="D6947" s="244">
        <f>C6947*(1-VLOOKUP(I6947,descuentos,6,FALSE))*fcl/IF(dol_sol="dólar", TC,1)</f>
        <v>612.05250746268655</v>
      </c>
      <c r="E6947" s="2005">
        <v>20</v>
      </c>
      <c r="F6947" s="2001">
        <f t="shared" ref="F6947:F6951" si="1076">D6947+E6947</f>
        <v>632.05250746268655</v>
      </c>
      <c r="G6947" s="197" t="s">
        <v>10725</v>
      </c>
      <c r="H6947" s="2009" t="s">
        <v>10726</v>
      </c>
      <c r="I6947" s="30" t="s">
        <v>10379</v>
      </c>
      <c r="J6947" s="416" t="s">
        <v>10678</v>
      </c>
      <c r="K6947" s="35" t="s">
        <v>741</v>
      </c>
    </row>
    <row r="6948" spans="2:11" s="196" customFormat="1">
      <c r="B6948" s="150" t="s">
        <v>10727</v>
      </c>
      <c r="C6948" s="2008">
        <v>79.989999999999995</v>
      </c>
      <c r="D6948" s="244">
        <f>C6948*(1-VLOOKUP(I6948,descuentos,6,FALSE))*fcl/IF(dol_sol="dólar", TC,1)</f>
        <v>35.888050746268654</v>
      </c>
      <c r="E6948" s="2005">
        <v>10</v>
      </c>
      <c r="F6948" s="2001">
        <f t="shared" si="1076"/>
        <v>45.888050746268654</v>
      </c>
      <c r="G6948" s="197" t="s">
        <v>10728</v>
      </c>
      <c r="H6948" s="2009" t="s">
        <v>10714</v>
      </c>
      <c r="I6948" s="30" t="s">
        <v>10379</v>
      </c>
      <c r="J6948" s="416" t="s">
        <v>10678</v>
      </c>
      <c r="K6948" s="35" t="s">
        <v>741</v>
      </c>
    </row>
    <row r="6949" spans="2:11" s="196" customFormat="1">
      <c r="B6949" s="150" t="s">
        <v>10729</v>
      </c>
      <c r="C6949" s="2008">
        <v>244.38</v>
      </c>
      <c r="D6949" s="244">
        <f>C6949*(1-VLOOKUP(I6949,descuentos,6,FALSE))*fcl/IF(dol_sol="dólar", TC,1)</f>
        <v>109.64272835820894</v>
      </c>
      <c r="E6949" s="2005">
        <v>10</v>
      </c>
      <c r="F6949" s="2001">
        <f t="shared" si="1076"/>
        <v>119.64272835820894</v>
      </c>
      <c r="G6949" s="197" t="s">
        <v>10730</v>
      </c>
      <c r="H6949" s="2009" t="s">
        <v>10717</v>
      </c>
      <c r="I6949" s="30" t="s">
        <v>10379</v>
      </c>
      <c r="J6949" s="416" t="s">
        <v>10678</v>
      </c>
      <c r="K6949" s="35" t="s">
        <v>741</v>
      </c>
    </row>
    <row r="6950" spans="2:11" s="196" customFormat="1">
      <c r="B6950" s="150" t="s">
        <v>10731</v>
      </c>
      <c r="C6950" s="2008">
        <v>248.78</v>
      </c>
      <c r="D6950" s="244">
        <f>C6950*(1-VLOOKUP(I6950,descuentos,6,FALSE))*fcl/IF(dol_sol="dólar", TC,1)</f>
        <v>111.61681791044775</v>
      </c>
      <c r="E6950" s="2005">
        <v>5</v>
      </c>
      <c r="F6950" s="2001">
        <f t="shared" si="1076"/>
        <v>116.61681791044775</v>
      </c>
      <c r="G6950" s="197" t="s">
        <v>10719</v>
      </c>
      <c r="H6950" s="2009" t="s">
        <v>10720</v>
      </c>
      <c r="I6950" s="30" t="s">
        <v>10379</v>
      </c>
      <c r="J6950" s="416" t="s">
        <v>10678</v>
      </c>
      <c r="K6950" s="35" t="s">
        <v>741</v>
      </c>
    </row>
    <row r="6951" spans="2:11" s="196" customFormat="1" ht="14.25">
      <c r="B6951" s="2010" t="s">
        <v>11779</v>
      </c>
      <c r="C6951" s="2008">
        <v>326.24</v>
      </c>
      <c r="D6951" s="244">
        <f t="shared" ref="D6951" si="1077">C6951*(1-VLOOKUP(I6951,descuentos,6,FALSE))*fcl/IF(dol_sol="dólar", TC,1)</f>
        <v>146.36976716417911</v>
      </c>
      <c r="E6951" s="2005">
        <v>20</v>
      </c>
      <c r="F6951" s="2001">
        <f t="shared" si="1076"/>
        <v>166.36976716417911</v>
      </c>
      <c r="G6951" s="197" t="s">
        <v>11780</v>
      </c>
      <c r="H6951" s="2106" t="s">
        <v>11781</v>
      </c>
      <c r="I6951" s="30" t="s">
        <v>10379</v>
      </c>
      <c r="J6951" s="416" t="s">
        <v>10678</v>
      </c>
      <c r="K6951" s="35" t="s">
        <v>741</v>
      </c>
    </row>
    <row r="6952" spans="2:11" s="196" customFormat="1">
      <c r="B6952" s="142"/>
      <c r="C6952" s="235"/>
      <c r="D6952" s="244"/>
      <c r="E6952" s="226"/>
      <c r="F6952" s="155"/>
      <c r="G6952" s="197"/>
      <c r="H6952" s="142"/>
    </row>
    <row r="6953" spans="2:11" s="196" customFormat="1">
      <c r="B6953" s="142"/>
      <c r="C6953" s="235"/>
      <c r="D6953" s="244"/>
      <c r="E6953" s="226"/>
      <c r="F6953" s="155"/>
      <c r="G6953" s="143"/>
      <c r="H6953" s="142"/>
    </row>
    <row r="6954" spans="2:11" s="196" customFormat="1">
      <c r="B6954" s="150" t="s">
        <v>10732</v>
      </c>
      <c r="C6954" s="2008">
        <v>520.87</v>
      </c>
      <c r="D6954" s="244">
        <f>C6954*(1-VLOOKUP(I6954,descuentos,6,FALSE))*fcl/IF(dol_sol="dólar", TC,1)</f>
        <v>233.69182388059701</v>
      </c>
      <c r="E6954" s="2005">
        <v>20</v>
      </c>
      <c r="F6954" s="2001">
        <f t="shared" ref="F6954:F6955" si="1078">D6954+E6954</f>
        <v>253.69182388059701</v>
      </c>
      <c r="G6954" s="197" t="s">
        <v>10733</v>
      </c>
      <c r="H6954" s="2009" t="s">
        <v>10734</v>
      </c>
      <c r="I6954" s="30" t="s">
        <v>10379</v>
      </c>
      <c r="J6954" s="416" t="s">
        <v>10678</v>
      </c>
      <c r="K6954" s="35" t="s">
        <v>741</v>
      </c>
    </row>
    <row r="6955" spans="2:11" s="196" customFormat="1">
      <c r="B6955" s="150" t="s">
        <v>10735</v>
      </c>
      <c r="C6955" s="2008">
        <v>70.540000000000006</v>
      </c>
      <c r="D6955" s="244">
        <f>C6955*(1-VLOOKUP(I6955,descuentos,6,FALSE))*fcl/IF(dol_sol="dólar", TC,1)</f>
        <v>31.648244776119402</v>
      </c>
      <c r="E6955" s="2005">
        <v>10</v>
      </c>
      <c r="F6955" s="2001">
        <f t="shared" si="1078"/>
        <v>41.648244776119398</v>
      </c>
      <c r="G6955" s="197" t="s">
        <v>10736</v>
      </c>
      <c r="H6955" s="2009" t="s">
        <v>10737</v>
      </c>
      <c r="I6955" s="30" t="s">
        <v>10379</v>
      </c>
      <c r="J6955" s="416" t="s">
        <v>10678</v>
      </c>
      <c r="K6955" s="35" t="s">
        <v>741</v>
      </c>
    </row>
    <row r="6956" spans="2:11" s="196" customFormat="1">
      <c r="B6956" s="150" t="s">
        <v>10738</v>
      </c>
      <c r="C6956" s="2008">
        <v>192.09</v>
      </c>
      <c r="D6956" s="244">
        <f>C6956*(1-VLOOKUP(I6956,descuentos,6,FALSE))*fcl/IF(dol_sol="dólar", TC,1)</f>
        <v>86.182468656716424</v>
      </c>
      <c r="E6956" s="2005">
        <v>10</v>
      </c>
      <c r="F6956" s="2001">
        <f>D6956+E6956</f>
        <v>96.182468656716424</v>
      </c>
      <c r="G6956" s="197" t="s">
        <v>10739</v>
      </c>
      <c r="H6956" s="2009" t="s">
        <v>10740</v>
      </c>
      <c r="I6956" s="30" t="s">
        <v>10379</v>
      </c>
      <c r="J6956" s="416" t="s">
        <v>10678</v>
      </c>
      <c r="K6956" s="35" t="s">
        <v>741</v>
      </c>
    </row>
    <row r="6957" spans="2:11" s="196" customFormat="1">
      <c r="B6957" s="150" t="s">
        <v>10741</v>
      </c>
      <c r="C6957" s="2008">
        <v>63.61</v>
      </c>
      <c r="D6957" s="244">
        <f>C6957*(1-VLOOKUP(I6957,descuentos,6,FALSE))*fcl/IF(dol_sol="dólar", TC,1)</f>
        <v>28.539053731343284</v>
      </c>
      <c r="E6957" s="2005">
        <v>5</v>
      </c>
      <c r="F6957" s="2001">
        <f>D6957+E6957</f>
        <v>33.539053731343287</v>
      </c>
      <c r="G6957" s="197" t="s">
        <v>13793</v>
      </c>
      <c r="H6957" s="2009" t="s">
        <v>10742</v>
      </c>
      <c r="I6957" s="30" t="s">
        <v>10379</v>
      </c>
      <c r="J6957" s="416" t="s">
        <v>10678</v>
      </c>
      <c r="K6957" s="35" t="s">
        <v>741</v>
      </c>
    </row>
    <row r="6958" spans="2:11" s="196" customFormat="1" ht="14.25">
      <c r="B6958" s="150" t="s">
        <v>11782</v>
      </c>
      <c r="C6958" s="2008">
        <v>128.47999999999999</v>
      </c>
      <c r="D6958" s="244">
        <f>C6958*(1-VLOOKUP(I6958,descuentos,6,FALSE))*fcl/IF(dol_sol="dólar", TC,1)</f>
        <v>57.643414925373129</v>
      </c>
      <c r="E6958" s="2005">
        <v>5</v>
      </c>
      <c r="F6958" s="2001">
        <f>D6958+E6958</f>
        <v>62.643414925373129</v>
      </c>
      <c r="G6958" s="2107" t="s">
        <v>11783</v>
      </c>
      <c r="H6958" s="2106" t="s">
        <v>11784</v>
      </c>
      <c r="I6958" s="30" t="s">
        <v>10379</v>
      </c>
      <c r="J6958" s="416" t="s">
        <v>10678</v>
      </c>
      <c r="K6958" s="35" t="s">
        <v>741</v>
      </c>
    </row>
    <row r="6959" spans="2:11" s="196" customFormat="1">
      <c r="B6959" s="150"/>
      <c r="C6959" s="2008"/>
      <c r="D6959" s="244"/>
      <c r="E6959" s="2005"/>
      <c r="F6959" s="2001"/>
      <c r="G6959" s="197"/>
      <c r="H6959" s="2009"/>
      <c r="I6959" s="30"/>
      <c r="J6959" s="416"/>
      <c r="K6959" s="35"/>
    </row>
    <row r="6960" spans="2:11" s="196" customFormat="1">
      <c r="B6960" s="150" t="s">
        <v>10927</v>
      </c>
      <c r="C6960" s="2008">
        <v>359.62222222222226</v>
      </c>
      <c r="D6960" s="244">
        <f>C6960*(1-VLOOKUP(I6960,descuentos,6,FALSE))*fcl/IF(dol_sol="dólar", TC,1)</f>
        <v>161.34692537313433</v>
      </c>
      <c r="E6960" s="2005">
        <v>10</v>
      </c>
      <c r="F6960" s="2001">
        <f t="shared" ref="F6960:F6962" si="1079">D6960+E6960</f>
        <v>171.34692537313433</v>
      </c>
      <c r="G6960" s="338" t="s">
        <v>12013</v>
      </c>
      <c r="H6960" s="2009" t="s">
        <v>10928</v>
      </c>
      <c r="I6960" s="30" t="s">
        <v>10379</v>
      </c>
      <c r="J6960" s="416" t="s">
        <v>10678</v>
      </c>
      <c r="K6960" s="35" t="s">
        <v>741</v>
      </c>
    </row>
    <row r="6961" spans="2:11" s="196" customFormat="1">
      <c r="B6961" s="150" t="s">
        <v>10929</v>
      </c>
      <c r="C6961" s="2008">
        <v>307.97777777777776</v>
      </c>
      <c r="D6961" s="244">
        <f>C6961*(1-VLOOKUP(I6961,descuentos,6,FALSE))*fcl/IF(dol_sol="dólar", TC,1)</f>
        <v>138.17629850746269</v>
      </c>
      <c r="E6961" s="2005">
        <v>20</v>
      </c>
      <c r="F6961" s="2001">
        <f t="shared" si="1079"/>
        <v>158.17629850746269</v>
      </c>
      <c r="G6961" s="338" t="s">
        <v>12014</v>
      </c>
      <c r="H6961" s="2009" t="s">
        <v>10930</v>
      </c>
      <c r="I6961" s="30" t="s">
        <v>10379</v>
      </c>
      <c r="J6961" s="416" t="s">
        <v>10678</v>
      </c>
      <c r="K6961" s="35" t="s">
        <v>741</v>
      </c>
    </row>
    <row r="6962" spans="2:11" s="196" customFormat="1">
      <c r="B6962" s="150" t="s">
        <v>10931</v>
      </c>
      <c r="C6962" s="2008">
        <v>167.53333333333333</v>
      </c>
      <c r="D6962" s="244">
        <f>C6962*(1-VLOOKUP(I6962,descuentos,6,FALSE))*fcl/IF(dol_sol="dólar", TC,1)</f>
        <v>75.164955223880597</v>
      </c>
      <c r="E6962" s="2005">
        <v>20</v>
      </c>
      <c r="F6962" s="2001">
        <f t="shared" si="1079"/>
        <v>95.164955223880597</v>
      </c>
      <c r="G6962" s="338" t="s">
        <v>12015</v>
      </c>
      <c r="H6962" s="2009" t="s">
        <v>10932</v>
      </c>
      <c r="I6962" s="30" t="s">
        <v>10379</v>
      </c>
      <c r="J6962" s="416" t="s">
        <v>10678</v>
      </c>
      <c r="K6962" s="35" t="s">
        <v>741</v>
      </c>
    </row>
    <row r="6963" spans="2:11" s="196" customFormat="1">
      <c r="B6963" s="150" t="s">
        <v>10933</v>
      </c>
      <c r="C6963" s="2008">
        <v>215.4</v>
      </c>
      <c r="D6963" s="244">
        <f>C6963*(1-VLOOKUP(I6963,descuentos,6,FALSE))*fcl/IF(dol_sol="dólar", TC,1)</f>
        <v>96.640656716417908</v>
      </c>
      <c r="E6963" s="2005">
        <v>20</v>
      </c>
      <c r="F6963" s="2001">
        <f>D6963+E6963</f>
        <v>116.64065671641791</v>
      </c>
      <c r="G6963" s="338" t="s">
        <v>12016</v>
      </c>
      <c r="H6963" s="2009" t="s">
        <v>10934</v>
      </c>
      <c r="I6963" s="30" t="s">
        <v>10379</v>
      </c>
      <c r="J6963" s="416" t="s">
        <v>10678</v>
      </c>
      <c r="K6963" s="35" t="s">
        <v>741</v>
      </c>
    </row>
    <row r="6964" spans="2:11" s="196" customFormat="1">
      <c r="B6964" s="150" t="s">
        <v>10935</v>
      </c>
      <c r="C6964" s="2008">
        <v>309.87777777777774</v>
      </c>
      <c r="D6964" s="244">
        <f>C6964*(1-VLOOKUP(I6964,descuentos,6,FALSE))*fcl/IF(dol_sol="dólar", TC,1)</f>
        <v>139.0287462686567</v>
      </c>
      <c r="E6964" s="2005">
        <v>20</v>
      </c>
      <c r="F6964" s="2001">
        <f>D6964+E6964</f>
        <v>159.0287462686567</v>
      </c>
      <c r="G6964" s="338" t="s">
        <v>12017</v>
      </c>
      <c r="H6964" s="2009" t="s">
        <v>10936</v>
      </c>
      <c r="I6964" s="30" t="s">
        <v>10379</v>
      </c>
      <c r="J6964" s="416" t="s">
        <v>10678</v>
      </c>
      <c r="K6964" s="35" t="s">
        <v>741</v>
      </c>
    </row>
    <row r="6965" spans="2:11" s="196" customFormat="1">
      <c r="B6965" s="150"/>
      <c r="C6965" s="2008"/>
      <c r="D6965" s="244"/>
      <c r="E6965" s="2005"/>
      <c r="F6965" s="2001"/>
      <c r="G6965" s="338"/>
      <c r="H6965" s="2009"/>
      <c r="I6965" s="30"/>
      <c r="J6965" s="416"/>
      <c r="K6965" s="35"/>
    </row>
    <row r="6966" spans="2:11" s="196" customFormat="1" ht="14.25">
      <c r="B6966" s="2116" t="s">
        <v>12018</v>
      </c>
      <c r="C6966" s="2008">
        <v>31.5</v>
      </c>
      <c r="D6966" s="244">
        <f>C6966*(1-VLOOKUP(I6966,descuentos,6,FALSE))*fcl/IF(dol_sol="dólar", TC,1)</f>
        <v>14.13268656716418</v>
      </c>
      <c r="E6966" s="2005">
        <v>20</v>
      </c>
      <c r="F6966" s="2001">
        <f>D6966+E6966</f>
        <v>34.132686567164178</v>
      </c>
      <c r="G6966" s="2107" t="s">
        <v>12019</v>
      </c>
      <c r="H6966" s="2106" t="s">
        <v>11785</v>
      </c>
      <c r="I6966" s="30" t="s">
        <v>10379</v>
      </c>
      <c r="J6966" s="416" t="s">
        <v>10678</v>
      </c>
      <c r="K6966" s="35" t="s">
        <v>741</v>
      </c>
    </row>
    <row r="6967" spans="2:11" s="196" customFormat="1" ht="14.25">
      <c r="B6967" s="2107" t="s">
        <v>11786</v>
      </c>
      <c r="C6967" s="2008">
        <v>53.29</v>
      </c>
      <c r="D6967" s="244">
        <f>C6967*(1-VLOOKUP(I6967,descuentos,6,FALSE))*fcl/IF(dol_sol="dólar", TC,1)</f>
        <v>23.908916417910447</v>
      </c>
      <c r="E6967" s="2005">
        <v>20</v>
      </c>
      <c r="F6967" s="2001">
        <f>D6967+E6967</f>
        <v>43.908916417910447</v>
      </c>
      <c r="G6967" s="338" t="s">
        <v>12020</v>
      </c>
      <c r="H6967" s="2106" t="s">
        <v>11787</v>
      </c>
      <c r="I6967" s="30" t="s">
        <v>10379</v>
      </c>
      <c r="J6967" s="416" t="s">
        <v>10678</v>
      </c>
      <c r="K6967" s="35" t="s">
        <v>741</v>
      </c>
    </row>
    <row r="6968" spans="2:11" s="196" customFormat="1">
      <c r="B6968" s="150"/>
      <c r="C6968" s="2008"/>
      <c r="D6968" s="244"/>
      <c r="E6968" s="2005"/>
      <c r="F6968" s="2001"/>
      <c r="G6968" s="338"/>
      <c r="H6968" s="2009"/>
      <c r="I6968" s="30"/>
      <c r="J6968" s="416"/>
      <c r="K6968" s="35"/>
    </row>
    <row r="6969" spans="2:11" s="196" customFormat="1">
      <c r="B6969" s="150" t="s">
        <v>12692</v>
      </c>
      <c r="C6969" s="2008">
        <v>43.47</v>
      </c>
      <c r="D6969" s="244">
        <f>C6969*(1-VLOOKUP(I6969,descuentos,6,FALSE))*fcl/IF(dol_sol="dólar", TC,1)</f>
        <v>19.503107462686565</v>
      </c>
      <c r="E6969" s="2005">
        <v>10</v>
      </c>
      <c r="F6969" s="2001">
        <f t="shared" ref="F6969:F6971" si="1080">D6969+E6969</f>
        <v>29.503107462686565</v>
      </c>
      <c r="G6969" s="338" t="s">
        <v>12693</v>
      </c>
      <c r="H6969" s="2009">
        <v>23791</v>
      </c>
      <c r="I6969" s="30" t="s">
        <v>10379</v>
      </c>
      <c r="J6969" s="416" t="s">
        <v>10678</v>
      </c>
      <c r="K6969" s="35" t="s">
        <v>741</v>
      </c>
    </row>
    <row r="6970" spans="2:11" s="196" customFormat="1">
      <c r="B6970" s="150" t="s">
        <v>12694</v>
      </c>
      <c r="C6970" s="2008">
        <v>43.47</v>
      </c>
      <c r="D6970" s="244">
        <f>C6970*(1-VLOOKUP(I6970,descuentos,6,FALSE))*fcl/IF(dol_sol="dólar", TC,1)</f>
        <v>19.503107462686565</v>
      </c>
      <c r="E6970" s="2005">
        <v>20</v>
      </c>
      <c r="F6970" s="2001">
        <f t="shared" si="1080"/>
        <v>39.503107462686565</v>
      </c>
      <c r="G6970" s="338" t="s">
        <v>12695</v>
      </c>
      <c r="H6970" s="2009">
        <v>23792</v>
      </c>
      <c r="I6970" s="30" t="s">
        <v>10379</v>
      </c>
      <c r="J6970" s="416" t="s">
        <v>10678</v>
      </c>
      <c r="K6970" s="35" t="s">
        <v>741</v>
      </c>
    </row>
    <row r="6971" spans="2:11" s="196" customFormat="1">
      <c r="B6971" s="150" t="s">
        <v>12696</v>
      </c>
      <c r="C6971" s="2008">
        <v>43.47</v>
      </c>
      <c r="D6971" s="244">
        <f>C6971*(1-VLOOKUP(I6971,descuentos,6,FALSE))*fcl/IF(dol_sol="dólar", TC,1)</f>
        <v>19.503107462686565</v>
      </c>
      <c r="E6971" s="2005">
        <v>20</v>
      </c>
      <c r="F6971" s="2001">
        <f t="shared" si="1080"/>
        <v>39.503107462686565</v>
      </c>
      <c r="G6971" s="338" t="s">
        <v>12697</v>
      </c>
      <c r="H6971" s="2009">
        <v>23794</v>
      </c>
      <c r="I6971" s="30" t="s">
        <v>10379</v>
      </c>
      <c r="J6971" s="416" t="s">
        <v>10678</v>
      </c>
      <c r="K6971" s="35" t="s">
        <v>741</v>
      </c>
    </row>
    <row r="6972" spans="2:11" s="196" customFormat="1">
      <c r="B6972" s="150"/>
      <c r="C6972" s="2008"/>
      <c r="D6972" s="244"/>
      <c r="E6972" s="2005"/>
      <c r="F6972" s="2001"/>
      <c r="G6972" s="338"/>
      <c r="H6972" s="2009"/>
      <c r="I6972" s="30"/>
      <c r="J6972" s="416"/>
      <c r="K6972" s="35"/>
    </row>
    <row r="6973" spans="2:11" s="194" customFormat="1" ht="14.25" customHeight="1">
      <c r="B6973" s="2116" t="s">
        <v>13232</v>
      </c>
      <c r="C6973" s="618">
        <v>1704</v>
      </c>
      <c r="D6973" s="244">
        <f>C6973*(1-VLOOKUP(I6973,descuentos,6,FALSE))*fcl/IF(dol_sol="dólar", TC,1)</f>
        <v>764.51104477611943</v>
      </c>
      <c r="E6973" s="616">
        <v>20</v>
      </c>
      <c r="F6973" s="465">
        <f>D6973+E6973</f>
        <v>784.51104477611943</v>
      </c>
      <c r="G6973" s="2107" t="s">
        <v>13233</v>
      </c>
      <c r="H6973" s="2106" t="s">
        <v>12405</v>
      </c>
      <c r="I6973" s="617" t="s">
        <v>10379</v>
      </c>
      <c r="J6973" s="347" t="s">
        <v>10678</v>
      </c>
      <c r="K6973" s="195" t="s">
        <v>741</v>
      </c>
    </row>
    <row r="6974" spans="2:11" s="194" customFormat="1" ht="14.25">
      <c r="B6974" s="2107" t="s">
        <v>12407</v>
      </c>
      <c r="C6974" s="618">
        <v>156</v>
      </c>
      <c r="D6974" s="244">
        <f>C6974*(1-VLOOKUP(I6974,descuentos,6,FALSE))*fcl/IF(dol_sol="dólar", TC,1)</f>
        <v>69.990447761194019</v>
      </c>
      <c r="E6974" s="616">
        <v>20</v>
      </c>
      <c r="F6974" s="465">
        <f>D6974+E6974</f>
        <v>89.990447761194019</v>
      </c>
      <c r="G6974" s="338" t="s">
        <v>12407</v>
      </c>
      <c r="H6974" s="2106" t="s">
        <v>12406</v>
      </c>
      <c r="I6974" s="617" t="s">
        <v>10379</v>
      </c>
      <c r="J6974" s="347" t="s">
        <v>10678</v>
      </c>
      <c r="K6974" s="195" t="s">
        <v>741</v>
      </c>
    </row>
    <row r="6975" spans="2:11" s="194" customFormat="1" ht="14.25">
      <c r="B6975" s="2286"/>
      <c r="C6975" s="618"/>
      <c r="D6975" s="244"/>
      <c r="E6975" s="616"/>
      <c r="F6975" s="465"/>
      <c r="G6975" s="338"/>
      <c r="H6975" s="2287"/>
      <c r="I6975" s="617"/>
      <c r="J6975" s="347"/>
      <c r="K6975" s="195"/>
    </row>
    <row r="6976" spans="2:11" s="194" customFormat="1" ht="14.25" customHeight="1">
      <c r="B6976" s="2288" t="s">
        <v>13794</v>
      </c>
      <c r="C6976" s="2289"/>
      <c r="D6976" s="2289"/>
      <c r="E6976" s="616"/>
      <c r="F6976" s="465"/>
      <c r="G6976" s="338"/>
      <c r="H6976" s="2287"/>
      <c r="I6976" s="617"/>
      <c r="J6976" s="347"/>
      <c r="K6976" s="195"/>
    </row>
    <row r="6977" spans="2:14" s="194" customFormat="1" ht="14.25" customHeight="1">
      <c r="B6977" s="2290" t="s">
        <v>13795</v>
      </c>
      <c r="C6977" s="2289"/>
      <c r="D6977" s="2289"/>
      <c r="E6977" s="616"/>
      <c r="F6977" s="465"/>
      <c r="G6977" s="338"/>
      <c r="H6977" s="2287"/>
      <c r="I6977" s="617"/>
      <c r="J6977" s="347"/>
      <c r="K6977" s="195"/>
    </row>
    <row r="6978" spans="2:14" s="194" customFormat="1" ht="12.75" customHeight="1">
      <c r="B6978" s="2289"/>
      <c r="C6978" s="2289"/>
      <c r="D6978" s="2289"/>
      <c r="E6978" s="234"/>
      <c r="F6978" s="207"/>
      <c r="G6978" s="208"/>
      <c r="H6978" s="206"/>
      <c r="I6978" s="207"/>
      <c r="J6978" s="207"/>
      <c r="K6978" s="207"/>
      <c r="L6978" s="207"/>
      <c r="M6978" s="207"/>
      <c r="N6978" s="207"/>
    </row>
    <row r="6979" spans="2:14" s="194" customFormat="1" ht="14.25">
      <c r="B6979" s="2286"/>
      <c r="C6979" s="618"/>
      <c r="D6979" s="244"/>
      <c r="E6979" s="616"/>
      <c r="F6979" s="465"/>
      <c r="G6979" s="338"/>
      <c r="H6979" s="2287"/>
      <c r="I6979" s="617"/>
      <c r="J6979" s="347"/>
      <c r="K6979" s="195"/>
    </row>
    <row r="6980" spans="2:14" s="194" customFormat="1">
      <c r="B6980" s="28" t="s">
        <v>13796</v>
      </c>
      <c r="C6980" s="618">
        <v>1623.0444444444445</v>
      </c>
      <c r="D6980" s="244">
        <f t="shared" ref="D6980:D6983" si="1081">C6980*(1-VLOOKUP(I6980,descuentos,6,FALSE))*fcl/IF(dol_sol="dólar", TC,1)</f>
        <v>728.18979104477603</v>
      </c>
      <c r="E6980" s="2005">
        <v>15</v>
      </c>
      <c r="F6980" s="2001">
        <f t="shared" ref="F6980:F6987" si="1082">D6980+E6980</f>
        <v>743.18979104477603</v>
      </c>
      <c r="G6980" s="2286" t="s">
        <v>13797</v>
      </c>
      <c r="H6980" s="2003" t="s">
        <v>13798</v>
      </c>
      <c r="I6980" s="617" t="s">
        <v>10379</v>
      </c>
      <c r="J6980" s="502" t="s">
        <v>10678</v>
      </c>
      <c r="K6980" s="195"/>
    </row>
    <row r="6981" spans="2:14" s="194" customFormat="1">
      <c r="B6981" s="28" t="s">
        <v>13799</v>
      </c>
      <c r="C6981" s="618">
        <v>1623.0444444444445</v>
      </c>
      <c r="D6981" s="244">
        <f t="shared" si="1081"/>
        <v>728.18979104477603</v>
      </c>
      <c r="E6981" s="2005">
        <v>15</v>
      </c>
      <c r="F6981" s="2001">
        <f t="shared" si="1082"/>
        <v>743.18979104477603</v>
      </c>
      <c r="G6981" s="2286" t="s">
        <v>13800</v>
      </c>
      <c r="H6981" s="2003" t="s">
        <v>13801</v>
      </c>
      <c r="I6981" s="617" t="s">
        <v>10379</v>
      </c>
      <c r="J6981" s="502" t="s">
        <v>10678</v>
      </c>
      <c r="K6981" s="195"/>
    </row>
    <row r="6982" spans="2:14" s="194" customFormat="1">
      <c r="B6982" s="28" t="s">
        <v>13802</v>
      </c>
      <c r="C6982" s="618">
        <v>1623.0444444444445</v>
      </c>
      <c r="D6982" s="244">
        <f t="shared" si="1081"/>
        <v>728.18979104477603</v>
      </c>
      <c r="E6982" s="2005">
        <v>15</v>
      </c>
      <c r="F6982" s="2001">
        <f t="shared" si="1082"/>
        <v>743.18979104477603</v>
      </c>
      <c r="G6982" s="2286" t="s">
        <v>13803</v>
      </c>
      <c r="H6982" s="2003" t="s">
        <v>13804</v>
      </c>
      <c r="I6982" s="617" t="s">
        <v>10379</v>
      </c>
      <c r="J6982" s="502" t="s">
        <v>10678</v>
      </c>
      <c r="K6982" s="195"/>
    </row>
    <row r="6983" spans="2:14" s="194" customFormat="1">
      <c r="B6983" s="28" t="s">
        <v>13805</v>
      </c>
      <c r="C6983" s="618">
        <v>1623.0444444444445</v>
      </c>
      <c r="D6983" s="244">
        <f t="shared" si="1081"/>
        <v>728.18979104477603</v>
      </c>
      <c r="E6983" s="2005">
        <v>15</v>
      </c>
      <c r="F6983" s="2001">
        <f t="shared" si="1082"/>
        <v>743.18979104477603</v>
      </c>
      <c r="G6983" s="2286" t="s">
        <v>13806</v>
      </c>
      <c r="H6983" s="2003" t="s">
        <v>13807</v>
      </c>
      <c r="I6983" s="617" t="s">
        <v>10379</v>
      </c>
      <c r="J6983" s="502" t="s">
        <v>10678</v>
      </c>
      <c r="K6983" s="195"/>
    </row>
    <row r="6984" spans="2:14" s="194" customFormat="1">
      <c r="B6984" s="28" t="s">
        <v>13808</v>
      </c>
      <c r="C6984" s="618">
        <v>1581.4777777777776</v>
      </c>
      <c r="D6984" s="244">
        <f t="shared" ref="D6984:D6987" si="1083">C6984*(1-VLOOKUP(I6984,descuentos,6,FALSE))*fcl/IF(dol_sol="dólar", TC,1)</f>
        <v>709.54062686567158</v>
      </c>
      <c r="E6984" s="2005">
        <v>15</v>
      </c>
      <c r="F6984" s="2001">
        <f t="shared" si="1082"/>
        <v>724.54062686567158</v>
      </c>
      <c r="G6984" s="2286" t="s">
        <v>13809</v>
      </c>
      <c r="H6984" s="2003" t="s">
        <v>13810</v>
      </c>
      <c r="I6984" s="617" t="s">
        <v>10379</v>
      </c>
      <c r="J6984" s="502" t="s">
        <v>10678</v>
      </c>
      <c r="K6984" s="195"/>
    </row>
    <row r="6985" spans="2:14" s="194" customFormat="1">
      <c r="B6985" s="28" t="s">
        <v>13811</v>
      </c>
      <c r="C6985" s="618">
        <v>1674.0555555555557</v>
      </c>
      <c r="D6985" s="244">
        <f t="shared" si="1083"/>
        <v>751.07626865671648</v>
      </c>
      <c r="E6985" s="2005">
        <v>15</v>
      </c>
      <c r="F6985" s="2001">
        <f t="shared" si="1082"/>
        <v>766.07626865671648</v>
      </c>
      <c r="G6985" s="2286" t="s">
        <v>13812</v>
      </c>
      <c r="H6985" s="2003" t="s">
        <v>13813</v>
      </c>
      <c r="I6985" s="617" t="s">
        <v>10379</v>
      </c>
      <c r="J6985" s="502" t="s">
        <v>10678</v>
      </c>
      <c r="K6985" s="195"/>
    </row>
    <row r="6986" spans="2:14" s="194" customFormat="1">
      <c r="B6986" s="28" t="s">
        <v>13814</v>
      </c>
      <c r="C6986" s="618">
        <v>1745.8666666666666</v>
      </c>
      <c r="D6986" s="244">
        <f t="shared" si="1083"/>
        <v>783.29480597014913</v>
      </c>
      <c r="E6986" s="2005">
        <v>15</v>
      </c>
      <c r="F6986" s="2001">
        <f t="shared" si="1082"/>
        <v>798.29480597014913</v>
      </c>
      <c r="G6986" s="2286" t="s">
        <v>13815</v>
      </c>
      <c r="H6986" s="2003" t="s">
        <v>13816</v>
      </c>
      <c r="I6986" s="617" t="s">
        <v>10379</v>
      </c>
      <c r="J6986" s="502" t="s">
        <v>10678</v>
      </c>
      <c r="K6986" s="195"/>
    </row>
    <row r="6987" spans="2:14" s="194" customFormat="1">
      <c r="B6987" s="28" t="s">
        <v>13817</v>
      </c>
      <c r="C6987" s="618">
        <v>1754.0444444444445</v>
      </c>
      <c r="D6987" s="244">
        <f t="shared" si="1083"/>
        <v>786.96382089552242</v>
      </c>
      <c r="E6987" s="2005">
        <v>15</v>
      </c>
      <c r="F6987" s="2001">
        <f t="shared" si="1082"/>
        <v>801.96382089552242</v>
      </c>
      <c r="G6987" s="2286" t="s">
        <v>13818</v>
      </c>
      <c r="H6987" s="2003" t="s">
        <v>13819</v>
      </c>
      <c r="I6987" s="617" t="s">
        <v>10379</v>
      </c>
      <c r="J6987" s="502" t="s">
        <v>10678</v>
      </c>
      <c r="K6987" s="195"/>
    </row>
    <row r="6988" spans="2:14" s="194" customFormat="1" ht="14.25">
      <c r="B6988" s="2286"/>
      <c r="C6988" s="618"/>
      <c r="D6988" s="244"/>
      <c r="E6988" s="616"/>
      <c r="F6988" s="465"/>
      <c r="G6988" s="338"/>
      <c r="H6988" s="2287"/>
      <c r="I6988" s="617"/>
      <c r="J6988" s="347"/>
      <c r="K6988" s="195"/>
    </row>
    <row r="6989" spans="2:14" s="194" customFormat="1">
      <c r="B6989" s="28" t="s">
        <v>13820</v>
      </c>
      <c r="C6989" s="618">
        <v>1628.72</v>
      </c>
      <c r="D6989" s="244">
        <f t="shared" ref="D6989" si="1084">C6989*(1-VLOOKUP(I6989,descuentos,6,FALSE))*fcl/IF(dol_sol="dólar", TC,1)</f>
        <v>730.73616716417905</v>
      </c>
      <c r="E6989" s="2005">
        <v>15</v>
      </c>
      <c r="F6989" s="2001">
        <f t="shared" ref="F6989:F6992" si="1085">D6989+E6989</f>
        <v>745.73616716417905</v>
      </c>
      <c r="G6989" s="2286" t="s">
        <v>13821</v>
      </c>
      <c r="H6989" s="2003">
        <v>420154</v>
      </c>
      <c r="I6989" s="617" t="s">
        <v>10379</v>
      </c>
      <c r="J6989" s="502" t="s">
        <v>10678</v>
      </c>
      <c r="K6989" s="195"/>
    </row>
    <row r="6990" spans="2:14" s="194" customFormat="1">
      <c r="B6990" s="28" t="s">
        <v>13822</v>
      </c>
      <c r="C6990" s="618">
        <v>1723.8111111111111</v>
      </c>
      <c r="D6990" s="244">
        <f t="shared" ref="D6990:D6991" si="1086">C6990*(1-VLOOKUP(I6990,descuentos,6,FALSE))*fcl/IF(dol_sol="dólar", TC,1)</f>
        <v>773.3994328358209</v>
      </c>
      <c r="E6990" s="2005">
        <v>15</v>
      </c>
      <c r="F6990" s="2001">
        <f t="shared" si="1085"/>
        <v>788.3994328358209</v>
      </c>
      <c r="G6990" s="2286" t="s">
        <v>13823</v>
      </c>
      <c r="H6990" s="2003">
        <v>420155</v>
      </c>
      <c r="I6990" s="617" t="s">
        <v>10379</v>
      </c>
      <c r="J6990" s="502" t="s">
        <v>10678</v>
      </c>
      <c r="K6990" s="195"/>
    </row>
    <row r="6991" spans="2:14" s="194" customFormat="1">
      <c r="B6991" s="28" t="s">
        <v>13824</v>
      </c>
      <c r="C6991" s="618">
        <v>1797.5111111111109</v>
      </c>
      <c r="D6991" s="244">
        <f t="shared" si="1086"/>
        <v>806.46543283582093</v>
      </c>
      <c r="E6991" s="2005">
        <v>15</v>
      </c>
      <c r="F6991" s="2001">
        <f t="shared" si="1085"/>
        <v>821.46543283582093</v>
      </c>
      <c r="G6991" s="2286" t="s">
        <v>13825</v>
      </c>
      <c r="H6991" s="2003">
        <v>420156</v>
      </c>
      <c r="I6991" s="617" t="s">
        <v>10379</v>
      </c>
      <c r="J6991" s="502" t="s">
        <v>10678</v>
      </c>
      <c r="K6991" s="195"/>
    </row>
    <row r="6992" spans="2:14" s="194" customFormat="1">
      <c r="B6992" s="28" t="s">
        <v>13826</v>
      </c>
      <c r="C6992" s="618">
        <v>1805.7</v>
      </c>
      <c r="D6992" s="244">
        <f t="shared" ref="D6992" si="1087">C6992*(1-VLOOKUP(I6992,descuentos,6,FALSE))*fcl/IF(dol_sol="dólar", TC,1)</f>
        <v>810.1394328358208</v>
      </c>
      <c r="E6992" s="2005">
        <v>15</v>
      </c>
      <c r="F6992" s="2001">
        <f t="shared" si="1085"/>
        <v>825.1394328358208</v>
      </c>
      <c r="G6992" s="2286" t="s">
        <v>13827</v>
      </c>
      <c r="H6992" s="2003">
        <v>420157</v>
      </c>
      <c r="I6992" s="617" t="s">
        <v>10379</v>
      </c>
      <c r="J6992" s="502" t="s">
        <v>10678</v>
      </c>
      <c r="K6992" s="195"/>
    </row>
    <row r="6993" spans="2:14" s="194" customFormat="1" ht="14.25">
      <c r="B6993" s="2286"/>
      <c r="C6993" s="618"/>
      <c r="D6993" s="244"/>
      <c r="E6993" s="616"/>
      <c r="F6993" s="465"/>
      <c r="G6993" s="338"/>
      <c r="H6993" s="2287"/>
      <c r="I6993" s="617"/>
      <c r="J6993" s="347"/>
      <c r="K6993" s="195"/>
    </row>
    <row r="6994" spans="2:14" s="194" customFormat="1">
      <c r="B6994" s="28" t="s">
        <v>13828</v>
      </c>
      <c r="C6994" s="618">
        <v>1894.1111111111111</v>
      </c>
      <c r="D6994" s="244">
        <f t="shared" ref="D6994:D6995" si="1088">C6994*(1-VLOOKUP(I6994,descuentos,6,FALSE))*fcl/IF(dol_sol="dólar", TC,1)</f>
        <v>849.80567164179104</v>
      </c>
      <c r="E6994" s="2005">
        <v>15</v>
      </c>
      <c r="F6994" s="2001">
        <f t="shared" ref="F6994:F6995" si="1089">D6994+E6994</f>
        <v>864.80567164179104</v>
      </c>
      <c r="G6994" s="2286" t="s">
        <v>13829</v>
      </c>
      <c r="H6994" s="2003" t="s">
        <v>13830</v>
      </c>
      <c r="I6994" s="617" t="s">
        <v>10379</v>
      </c>
      <c r="J6994" s="502" t="s">
        <v>10678</v>
      </c>
      <c r="K6994" s="195"/>
    </row>
    <row r="6995" spans="2:14" s="194" customFormat="1">
      <c r="B6995" s="28" t="s">
        <v>13831</v>
      </c>
      <c r="C6995" s="618">
        <v>1921.0777777777778</v>
      </c>
      <c r="D6995" s="244">
        <f t="shared" si="1088"/>
        <v>861.90444776119398</v>
      </c>
      <c r="E6995" s="2005">
        <v>15</v>
      </c>
      <c r="F6995" s="2001">
        <f t="shared" si="1089"/>
        <v>876.90444776119398</v>
      </c>
      <c r="G6995" s="2286" t="s">
        <v>13832</v>
      </c>
      <c r="H6995" s="2003" t="s">
        <v>13833</v>
      </c>
      <c r="I6995" s="617" t="s">
        <v>10379</v>
      </c>
      <c r="J6995" s="502" t="s">
        <v>10678</v>
      </c>
      <c r="K6995" s="195"/>
    </row>
    <row r="6996" spans="2:14" s="194" customFormat="1" ht="14.25">
      <c r="B6996" s="2286"/>
      <c r="C6996" s="618"/>
      <c r="D6996" s="244"/>
      <c r="E6996" s="2005"/>
      <c r="F6996" s="2001"/>
      <c r="G6996" s="338"/>
      <c r="H6996" s="2287"/>
      <c r="I6996" s="617"/>
      <c r="J6996" s="347"/>
      <c r="K6996" s="195"/>
    </row>
    <row r="6997" spans="2:14" s="194" customFormat="1">
      <c r="B6997" s="28" t="s">
        <v>13834</v>
      </c>
      <c r="C6997" s="618">
        <v>1974.1777777777777</v>
      </c>
      <c r="D6997" s="244">
        <f t="shared" ref="D6997:D7002" si="1090">C6997*(1-VLOOKUP(I6997,descuentos,6,FALSE))*fcl/IF(dol_sol="dólar", TC,1)</f>
        <v>885.72811940298504</v>
      </c>
      <c r="E6997" s="2005">
        <v>15</v>
      </c>
      <c r="F6997" s="2001">
        <f t="shared" ref="F6997:F6998" si="1091">D6997+E6997</f>
        <v>900.72811940298504</v>
      </c>
      <c r="G6997" s="2286" t="s">
        <v>13835</v>
      </c>
      <c r="H6997" s="2003">
        <v>420288</v>
      </c>
      <c r="I6997" s="617" t="s">
        <v>10379</v>
      </c>
      <c r="J6997" s="502" t="s">
        <v>10678</v>
      </c>
      <c r="K6997" s="195"/>
    </row>
    <row r="6998" spans="2:14" s="194" customFormat="1">
      <c r="B6998" s="28" t="s">
        <v>13836</v>
      </c>
      <c r="C6998" s="618">
        <v>2026.3888888888889</v>
      </c>
      <c r="D6998" s="244">
        <f t="shared" si="1090"/>
        <v>909.15298507462683</v>
      </c>
      <c r="E6998" s="2005">
        <v>15</v>
      </c>
      <c r="F6998" s="2001">
        <f t="shared" si="1091"/>
        <v>924.15298507462683</v>
      </c>
      <c r="G6998" s="2286" t="s">
        <v>13837</v>
      </c>
      <c r="H6998" s="2003">
        <v>420289</v>
      </c>
      <c r="I6998" s="617" t="s">
        <v>10379</v>
      </c>
      <c r="J6998" s="502" t="s">
        <v>10678</v>
      </c>
      <c r="K6998" s="195"/>
    </row>
    <row r="6999" spans="2:14" s="194" customFormat="1" ht="14.25">
      <c r="B6999" s="2286"/>
      <c r="C6999" s="618"/>
      <c r="D6999" s="244"/>
      <c r="E6999" s="2005"/>
      <c r="F6999" s="2001"/>
      <c r="G6999" s="338"/>
      <c r="H6999" s="2287"/>
      <c r="I6999" s="617"/>
      <c r="J6999" s="347"/>
      <c r="K6999" s="195"/>
    </row>
    <row r="7000" spans="2:14" s="194" customFormat="1" ht="14.25">
      <c r="B7000" s="28" t="s">
        <v>13838</v>
      </c>
      <c r="C7000" s="618">
        <v>1119.8222222222223</v>
      </c>
      <c r="D7000" s="244">
        <f t="shared" ref="D7000" si="1092">C7000*(1-VLOOKUP(I7000,descuentos,6,FALSE))*fcl/IF(dol_sol="dólar", TC,1)</f>
        <v>502.41576119402987</v>
      </c>
      <c r="E7000" s="2005">
        <v>15</v>
      </c>
      <c r="F7000" s="2001">
        <f t="shared" ref="F7000:F7003" si="1093">D7000+E7000</f>
        <v>517.41576119402987</v>
      </c>
      <c r="G7000" s="2286" t="s">
        <v>13839</v>
      </c>
      <c r="H7000" s="2287" t="s">
        <v>13840</v>
      </c>
      <c r="I7000" s="617" t="s">
        <v>10379</v>
      </c>
      <c r="J7000" s="502" t="s">
        <v>10678</v>
      </c>
      <c r="K7000" s="195"/>
    </row>
    <row r="7001" spans="2:14" s="194" customFormat="1" ht="14.25">
      <c r="B7001" s="28" t="s">
        <v>13841</v>
      </c>
      <c r="C7001" s="618">
        <v>1180.911111111111</v>
      </c>
      <c r="D7001" s="244">
        <f t="shared" ref="D7001" si="1094">C7001*(1-VLOOKUP(I7001,descuentos,6,FALSE))*fcl/IF(dol_sol="dólar", TC,1)</f>
        <v>529.82370149253723</v>
      </c>
      <c r="E7001" s="2005">
        <v>15</v>
      </c>
      <c r="F7001" s="2001">
        <f t="shared" si="1093"/>
        <v>544.82370149253723</v>
      </c>
      <c r="G7001" s="2286" t="s">
        <v>13842</v>
      </c>
      <c r="H7001" s="2287" t="s">
        <v>13843</v>
      </c>
      <c r="I7001" s="617" t="s">
        <v>10379</v>
      </c>
      <c r="J7001" s="502" t="s">
        <v>10678</v>
      </c>
      <c r="K7001" s="195"/>
    </row>
    <row r="7002" spans="2:14" s="194" customFormat="1" ht="14.25">
      <c r="B7002" s="28" t="s">
        <v>13844</v>
      </c>
      <c r="C7002" s="618">
        <v>1198.5444444444445</v>
      </c>
      <c r="D7002" s="244">
        <f t="shared" si="1090"/>
        <v>537.73501492537309</v>
      </c>
      <c r="E7002" s="2005">
        <v>15</v>
      </c>
      <c r="F7002" s="2001">
        <f t="shared" si="1093"/>
        <v>552.73501492537309</v>
      </c>
      <c r="G7002" s="2286" t="s">
        <v>13845</v>
      </c>
      <c r="H7002" s="2287" t="s">
        <v>13846</v>
      </c>
      <c r="I7002" s="617" t="s">
        <v>10379</v>
      </c>
      <c r="J7002" s="502" t="s">
        <v>10678</v>
      </c>
      <c r="K7002" s="195"/>
    </row>
    <row r="7003" spans="2:14" s="194" customFormat="1" ht="14.25">
      <c r="B7003" s="28" t="s">
        <v>13847</v>
      </c>
      <c r="C7003" s="618">
        <v>1227.5111111111112</v>
      </c>
      <c r="D7003" s="244">
        <f t="shared" ref="D7003" si="1095">C7003*(1-VLOOKUP(I7003,descuentos,6,FALSE))*fcl/IF(dol_sol="dólar", TC,1)</f>
        <v>550.73110447761189</v>
      </c>
      <c r="E7003" s="2005">
        <v>15</v>
      </c>
      <c r="F7003" s="2001">
        <f t="shared" si="1093"/>
        <v>565.73110447761189</v>
      </c>
      <c r="G7003" s="2286" t="s">
        <v>13848</v>
      </c>
      <c r="H7003" s="2287" t="s">
        <v>13849</v>
      </c>
      <c r="I7003" s="617" t="s">
        <v>10379</v>
      </c>
      <c r="J7003" s="502" t="s">
        <v>10678</v>
      </c>
      <c r="K7003" s="195"/>
    </row>
    <row r="7004" spans="2:14" s="194" customFormat="1" ht="27.75">
      <c r="B7004" s="1964"/>
      <c r="C7004" s="242"/>
      <c r="D7004" s="225"/>
      <c r="E7004" s="234"/>
      <c r="F7004" s="207"/>
      <c r="G7004" s="208"/>
      <c r="H7004" s="206"/>
      <c r="I7004" s="207"/>
      <c r="J7004" s="207"/>
      <c r="K7004" s="207"/>
      <c r="L7004" s="207"/>
      <c r="M7004" s="207"/>
      <c r="N7004" s="207"/>
    </row>
    <row r="7005" spans="2:14" s="196" customFormat="1">
      <c r="B7005" s="2614" t="s">
        <v>10743</v>
      </c>
      <c r="C7005" s="2614"/>
      <c r="D7005" s="2614"/>
      <c r="E7005" s="2005"/>
      <c r="F7005" s="2001"/>
      <c r="G7005" s="197"/>
      <c r="H7005" s="2009"/>
      <c r="I7005" s="30"/>
      <c r="J7005" s="416"/>
      <c r="K7005" s="35"/>
    </row>
    <row r="7006" spans="2:14" s="196" customFormat="1">
      <c r="B7006" s="2614"/>
      <c r="C7006" s="2614"/>
      <c r="D7006" s="2614"/>
      <c r="E7006" s="2005"/>
      <c r="F7006" s="2001"/>
      <c r="G7006" s="197"/>
      <c r="H7006" s="2009"/>
      <c r="I7006" s="30"/>
      <c r="J7006" s="416"/>
      <c r="K7006" s="35"/>
    </row>
    <row r="7007" spans="2:14" s="196" customFormat="1">
      <c r="B7007" s="2614"/>
      <c r="C7007" s="2614"/>
      <c r="D7007" s="2614"/>
      <c r="E7007" s="2005"/>
      <c r="F7007" s="2001"/>
      <c r="G7007" s="197"/>
      <c r="H7007" s="2009"/>
      <c r="I7007" s="30"/>
      <c r="J7007" s="416"/>
      <c r="K7007" s="35"/>
    </row>
    <row r="7008" spans="2:14" s="196" customFormat="1">
      <c r="B7008" s="150"/>
      <c r="C7008" s="2008"/>
      <c r="D7008" s="2004"/>
      <c r="E7008" s="2005"/>
      <c r="F7008" s="2001"/>
      <c r="G7008" s="197"/>
      <c r="H7008" s="2009"/>
      <c r="I7008" s="30"/>
      <c r="J7008" s="416"/>
      <c r="K7008" s="35"/>
    </row>
    <row r="7009" spans="1:11" s="35" customFormat="1">
      <c r="A7009" s="502"/>
      <c r="B7009" s="28"/>
      <c r="C7009" s="2510"/>
      <c r="D7009" s="2004"/>
      <c r="E7009" s="2005"/>
      <c r="F7009" s="2001"/>
      <c r="G7009" s="208"/>
      <c r="H7009" s="2003"/>
      <c r="I7009" s="501"/>
      <c r="J7009" s="502"/>
      <c r="K7009" s="501"/>
    </row>
    <row r="7010" spans="1:11" s="35" customFormat="1">
      <c r="A7010" s="502"/>
      <c r="B7010" s="28" t="s">
        <v>10744</v>
      </c>
      <c r="C7010" s="2510">
        <v>25.18888888888889</v>
      </c>
      <c r="D7010" s="244">
        <f t="shared" ref="D7010:D7018" si="1096">C7010*(1-VLOOKUP(I7010,descuentos,6,FALSE))*fcl/IF(dol_sol="dólar", TC,1)</f>
        <v>11.301164179104477</v>
      </c>
      <c r="E7010" s="2005">
        <v>0</v>
      </c>
      <c r="F7010" s="2001">
        <f t="shared" si="1004"/>
        <v>11.301164179104477</v>
      </c>
      <c r="G7010" s="338" t="s">
        <v>12021</v>
      </c>
      <c r="H7010" s="2003">
        <v>407666</v>
      </c>
      <c r="I7010" s="501" t="s">
        <v>10379</v>
      </c>
      <c r="J7010" s="502" t="s">
        <v>10678</v>
      </c>
      <c r="K7010" s="501"/>
    </row>
    <row r="7011" spans="1:11" s="35" customFormat="1">
      <c r="A7011" s="502"/>
      <c r="B7011" s="28" t="s">
        <v>10745</v>
      </c>
      <c r="C7011" s="2510">
        <v>22.044444444444444</v>
      </c>
      <c r="D7011" s="244">
        <f t="shared" si="1096"/>
        <v>9.8903880597014915</v>
      </c>
      <c r="E7011" s="2005">
        <v>0</v>
      </c>
      <c r="F7011" s="2001">
        <f t="shared" si="1004"/>
        <v>9.8903880597014915</v>
      </c>
      <c r="G7011" s="338" t="s">
        <v>12022</v>
      </c>
      <c r="H7011" s="2003" t="s">
        <v>10746</v>
      </c>
      <c r="I7011" s="501" t="s">
        <v>10379</v>
      </c>
      <c r="J7011" s="502" t="s">
        <v>10678</v>
      </c>
      <c r="K7011" s="501"/>
    </row>
    <row r="7012" spans="1:11" s="35" customFormat="1">
      <c r="A7012" s="502"/>
      <c r="B7012" s="28" t="s">
        <v>10747</v>
      </c>
      <c r="C7012" s="2510">
        <v>22.044444444444444</v>
      </c>
      <c r="D7012" s="244">
        <f t="shared" si="1096"/>
        <v>9.8903880597014915</v>
      </c>
      <c r="E7012" s="2005">
        <v>0</v>
      </c>
      <c r="F7012" s="2001">
        <f t="shared" si="1004"/>
        <v>9.8903880597014915</v>
      </c>
      <c r="G7012" s="338" t="s">
        <v>12023</v>
      </c>
      <c r="H7012" s="2003" t="s">
        <v>10748</v>
      </c>
      <c r="I7012" s="501" t="s">
        <v>10379</v>
      </c>
      <c r="J7012" s="502" t="s">
        <v>10678</v>
      </c>
      <c r="K7012" s="501"/>
    </row>
    <row r="7013" spans="1:11" s="35" customFormat="1">
      <c r="A7013" s="502"/>
      <c r="B7013" s="28" t="s">
        <v>10749</v>
      </c>
      <c r="C7013" s="2510">
        <v>22.044444444444444</v>
      </c>
      <c r="D7013" s="244">
        <f t="shared" si="1096"/>
        <v>9.8903880597014915</v>
      </c>
      <c r="E7013" s="2005">
        <v>0</v>
      </c>
      <c r="F7013" s="2001">
        <f t="shared" si="1004"/>
        <v>9.8903880597014915</v>
      </c>
      <c r="G7013" s="338" t="s">
        <v>12024</v>
      </c>
      <c r="H7013" s="2003" t="s">
        <v>10750</v>
      </c>
      <c r="I7013" s="501" t="s">
        <v>10379</v>
      </c>
      <c r="J7013" s="502" t="s">
        <v>10678</v>
      </c>
      <c r="K7013" s="501"/>
    </row>
    <row r="7014" spans="1:11" s="35" customFormat="1">
      <c r="A7014" s="502"/>
      <c r="B7014" s="28" t="s">
        <v>10751</v>
      </c>
      <c r="C7014" s="2510">
        <v>22.044444444444444</v>
      </c>
      <c r="D7014" s="244">
        <f t="shared" si="1096"/>
        <v>9.8903880597014915</v>
      </c>
      <c r="E7014" s="2005">
        <v>0</v>
      </c>
      <c r="F7014" s="2001">
        <f t="shared" si="1004"/>
        <v>9.8903880597014915</v>
      </c>
      <c r="G7014" s="338" t="s">
        <v>12025</v>
      </c>
      <c r="H7014" s="2003" t="s">
        <v>10752</v>
      </c>
      <c r="I7014" s="501" t="s">
        <v>10379</v>
      </c>
      <c r="J7014" s="502" t="s">
        <v>10678</v>
      </c>
      <c r="K7014" s="501"/>
    </row>
    <row r="7015" spans="1:11" s="35" customFormat="1">
      <c r="A7015" s="502"/>
      <c r="B7015" s="28" t="s">
        <v>10753</v>
      </c>
      <c r="C7015" s="2510">
        <v>22.044444444444444</v>
      </c>
      <c r="D7015" s="244">
        <f t="shared" si="1096"/>
        <v>9.8903880597014915</v>
      </c>
      <c r="E7015" s="2005">
        <v>0</v>
      </c>
      <c r="F7015" s="2001">
        <f t="shared" si="1004"/>
        <v>9.8903880597014915</v>
      </c>
      <c r="G7015" s="338" t="s">
        <v>12026</v>
      </c>
      <c r="H7015" s="2003" t="s">
        <v>10754</v>
      </c>
      <c r="I7015" s="501" t="s">
        <v>10379</v>
      </c>
      <c r="J7015" s="502" t="s">
        <v>10678</v>
      </c>
      <c r="K7015" s="501"/>
    </row>
    <row r="7016" spans="1:11" s="35" customFormat="1">
      <c r="A7016" s="502"/>
      <c r="B7016" s="28" t="s">
        <v>10755</v>
      </c>
      <c r="C7016" s="2510">
        <v>27.088888888888889</v>
      </c>
      <c r="D7016" s="244">
        <f t="shared" si="1096"/>
        <v>12.153611940298505</v>
      </c>
      <c r="E7016" s="2005">
        <v>0</v>
      </c>
      <c r="F7016" s="2001">
        <f t="shared" si="1004"/>
        <v>12.153611940298505</v>
      </c>
      <c r="G7016" s="338" t="s">
        <v>12027</v>
      </c>
      <c r="H7016" s="2003" t="s">
        <v>10756</v>
      </c>
      <c r="I7016" s="501" t="s">
        <v>10379</v>
      </c>
      <c r="J7016" s="502" t="s">
        <v>10678</v>
      </c>
      <c r="K7016" s="501"/>
    </row>
    <row r="7017" spans="1:11" s="35" customFormat="1">
      <c r="A7017" s="502"/>
      <c r="B7017" s="28" t="s">
        <v>10757</v>
      </c>
      <c r="C7017" s="2510">
        <v>27.088888888888889</v>
      </c>
      <c r="D7017" s="244">
        <f t="shared" si="1096"/>
        <v>12.153611940298505</v>
      </c>
      <c r="E7017" s="2005">
        <v>0</v>
      </c>
      <c r="F7017" s="2001">
        <f t="shared" si="1004"/>
        <v>12.153611940298505</v>
      </c>
      <c r="G7017" s="338" t="s">
        <v>12028</v>
      </c>
      <c r="H7017" s="2003" t="s">
        <v>10758</v>
      </c>
      <c r="I7017" s="501" t="s">
        <v>10379</v>
      </c>
      <c r="J7017" s="502" t="s">
        <v>10678</v>
      </c>
      <c r="K7017" s="501"/>
    </row>
    <row r="7018" spans="1:11" s="35" customFormat="1">
      <c r="A7018" s="502"/>
      <c r="B7018" s="28" t="s">
        <v>10759</v>
      </c>
      <c r="C7018" s="2510">
        <v>27.088888888888889</v>
      </c>
      <c r="D7018" s="244">
        <f t="shared" si="1096"/>
        <v>12.153611940298505</v>
      </c>
      <c r="E7018" s="2005">
        <v>0</v>
      </c>
      <c r="F7018" s="2001">
        <f t="shared" si="1004"/>
        <v>12.153611940298505</v>
      </c>
      <c r="G7018" s="338" t="s">
        <v>12029</v>
      </c>
      <c r="H7018" s="2003" t="s">
        <v>10760</v>
      </c>
      <c r="I7018" s="501" t="s">
        <v>10379</v>
      </c>
      <c r="J7018" s="502" t="s">
        <v>10678</v>
      </c>
      <c r="K7018" s="501"/>
    </row>
    <row r="7019" spans="1:11" s="35" customFormat="1">
      <c r="A7019" s="502"/>
      <c r="B7019" s="28"/>
      <c r="C7019" s="2510"/>
      <c r="D7019" s="244"/>
      <c r="E7019" s="2005"/>
      <c r="F7019" s="2001"/>
      <c r="G7019" s="338"/>
      <c r="H7019" s="2003"/>
      <c r="I7019" s="501"/>
      <c r="J7019" s="502"/>
      <c r="K7019" s="501"/>
    </row>
    <row r="7020" spans="1:11" s="35" customFormat="1">
      <c r="A7020" s="502"/>
      <c r="B7020" s="2167" t="s">
        <v>12453</v>
      </c>
      <c r="C7020" s="2513">
        <v>25.56</v>
      </c>
      <c r="D7020" s="2168">
        <f t="shared" ref="D7020:D7024" si="1097">C7020*(1-VLOOKUP(I7020,descuentos,6,FALSE))*fcl/IF(dol_sol="dólar", TC,1)</f>
        <v>11.467665671641788</v>
      </c>
      <c r="E7020" s="2169">
        <v>0</v>
      </c>
      <c r="F7020" s="2170">
        <f t="shared" ref="F7020:F7031" si="1098">D7020+E7020</f>
        <v>11.467665671641788</v>
      </c>
      <c r="G7020" s="1969" t="s">
        <v>12454</v>
      </c>
      <c r="H7020" s="2171">
        <v>407971</v>
      </c>
      <c r="I7020" s="2172" t="s">
        <v>10379</v>
      </c>
      <c r="J7020" s="2166" t="s">
        <v>10396</v>
      </c>
      <c r="K7020" s="501"/>
    </row>
    <row r="7021" spans="1:11" s="35" customFormat="1">
      <c r="A7021" s="502"/>
      <c r="B7021" s="2167" t="s">
        <v>12455</v>
      </c>
      <c r="C7021" s="2513">
        <v>27.78</v>
      </c>
      <c r="D7021" s="2168">
        <f t="shared" si="1097"/>
        <v>12.463683582089553</v>
      </c>
      <c r="E7021" s="2169">
        <v>0</v>
      </c>
      <c r="F7021" s="2170">
        <f t="shared" si="1098"/>
        <v>12.463683582089553</v>
      </c>
      <c r="G7021" s="1969" t="s">
        <v>12456</v>
      </c>
      <c r="H7021" s="2171">
        <v>407972</v>
      </c>
      <c r="I7021" s="2172" t="s">
        <v>10379</v>
      </c>
      <c r="J7021" s="2166" t="s">
        <v>10396</v>
      </c>
      <c r="K7021" s="501"/>
    </row>
    <row r="7022" spans="1:11" s="35" customFormat="1">
      <c r="A7022" s="502"/>
      <c r="B7022" s="2167" t="s">
        <v>12457</v>
      </c>
      <c r="C7022" s="2513">
        <v>31.11</v>
      </c>
      <c r="D7022" s="2168">
        <f t="shared" si="1097"/>
        <v>13.957710447761192</v>
      </c>
      <c r="E7022" s="2169">
        <v>0</v>
      </c>
      <c r="F7022" s="2170">
        <f t="shared" si="1098"/>
        <v>13.957710447761192</v>
      </c>
      <c r="G7022" s="1969" t="s">
        <v>12458</v>
      </c>
      <c r="H7022" s="2171">
        <v>407974</v>
      </c>
      <c r="I7022" s="2172" t="s">
        <v>10379</v>
      </c>
      <c r="J7022" s="2166" t="s">
        <v>10396</v>
      </c>
      <c r="K7022" s="501"/>
    </row>
    <row r="7023" spans="1:11" s="35" customFormat="1">
      <c r="A7023" s="502"/>
      <c r="B7023" s="2167" t="s">
        <v>12459</v>
      </c>
      <c r="C7023" s="2513">
        <v>36.67</v>
      </c>
      <c r="D7023" s="2168">
        <f t="shared" si="1097"/>
        <v>16.452241791044774</v>
      </c>
      <c r="E7023" s="2169">
        <v>0</v>
      </c>
      <c r="F7023" s="2170">
        <f t="shared" si="1098"/>
        <v>16.452241791044774</v>
      </c>
      <c r="G7023" s="1969" t="s">
        <v>12460</v>
      </c>
      <c r="H7023" s="2171">
        <v>407975</v>
      </c>
      <c r="I7023" s="2172" t="s">
        <v>10379</v>
      </c>
      <c r="J7023" s="2166" t="s">
        <v>10396</v>
      </c>
      <c r="K7023" s="501"/>
    </row>
    <row r="7024" spans="1:11" s="35" customFormat="1">
      <c r="A7024" s="502"/>
      <c r="B7024" s="2167" t="s">
        <v>12461</v>
      </c>
      <c r="C7024" s="2513">
        <v>44.44</v>
      </c>
      <c r="D7024" s="2168">
        <f t="shared" si="1097"/>
        <v>19.93830447761194</v>
      </c>
      <c r="E7024" s="2169">
        <v>0</v>
      </c>
      <c r="F7024" s="2170">
        <f t="shared" si="1098"/>
        <v>19.93830447761194</v>
      </c>
      <c r="G7024" s="1969" t="s">
        <v>12462</v>
      </c>
      <c r="H7024" s="2171">
        <v>407976</v>
      </c>
      <c r="I7024" s="2172" t="s">
        <v>10379</v>
      </c>
      <c r="J7024" s="2166" t="s">
        <v>10396</v>
      </c>
      <c r="K7024" s="501"/>
    </row>
    <row r="7025" spans="1:11" s="35" customFormat="1">
      <c r="A7025" s="502"/>
      <c r="B7025" s="2167" t="s">
        <v>12463</v>
      </c>
      <c r="C7025" s="2513">
        <v>57.78</v>
      </c>
      <c r="D7025" s="2168">
        <f t="shared" ref="D7025" si="1099">C7025*(1-VLOOKUP(I7025,descuentos,6,FALSE))*fcl/IF(dol_sol="dólar", TC,1)</f>
        <v>25.923385074626864</v>
      </c>
      <c r="E7025" s="2169">
        <v>0</v>
      </c>
      <c r="F7025" s="2170">
        <f t="shared" si="1098"/>
        <v>25.923385074626864</v>
      </c>
      <c r="G7025" s="1969" t="s">
        <v>12464</v>
      </c>
      <c r="H7025" s="2171">
        <v>408032</v>
      </c>
      <c r="I7025" s="2172" t="s">
        <v>10379</v>
      </c>
      <c r="J7025" s="2166" t="s">
        <v>10396</v>
      </c>
      <c r="K7025" s="501"/>
    </row>
    <row r="7026" spans="1:11" s="35" customFormat="1">
      <c r="A7026" s="502"/>
      <c r="B7026" s="2167" t="s">
        <v>13234</v>
      </c>
      <c r="C7026" s="2513">
        <v>57.78</v>
      </c>
      <c r="D7026" s="2168">
        <f t="shared" ref="D7026" si="1100">C7026*(1-VLOOKUP(I7026,descuentos,6,FALSE))*fcl/IF(dol_sol="dólar", TC,1)</f>
        <v>25.923385074626864</v>
      </c>
      <c r="E7026" s="2169">
        <v>0</v>
      </c>
      <c r="F7026" s="2170">
        <f t="shared" si="1098"/>
        <v>25.923385074626864</v>
      </c>
      <c r="G7026" s="1969" t="s">
        <v>13235</v>
      </c>
      <c r="H7026" s="2171">
        <v>408033</v>
      </c>
      <c r="I7026" s="2172" t="s">
        <v>10379</v>
      </c>
      <c r="J7026" s="2166" t="s">
        <v>10396</v>
      </c>
      <c r="K7026" s="501"/>
    </row>
    <row r="7027" spans="1:11" s="35" customFormat="1">
      <c r="A7027" s="502"/>
      <c r="B7027" s="2167" t="s">
        <v>12465</v>
      </c>
      <c r="C7027" s="2513">
        <v>85.63</v>
      </c>
      <c r="D7027" s="2168">
        <f t="shared" ref="D7027:D7031" si="1101">C7027*(1-VLOOKUP(I7027,descuentos,6,FALSE))*fcl/IF(dol_sol="dólar", TC,1)</f>
        <v>38.418474626865667</v>
      </c>
      <c r="E7027" s="2169">
        <v>0</v>
      </c>
      <c r="F7027" s="2170">
        <f t="shared" si="1098"/>
        <v>38.418474626865667</v>
      </c>
      <c r="G7027" s="1969" t="s">
        <v>12466</v>
      </c>
      <c r="H7027" s="2171">
        <v>408090</v>
      </c>
      <c r="I7027" s="2172" t="s">
        <v>10379</v>
      </c>
      <c r="J7027" s="2166" t="s">
        <v>10678</v>
      </c>
      <c r="K7027" s="501"/>
    </row>
    <row r="7028" spans="1:11" s="35" customFormat="1">
      <c r="A7028" s="502"/>
      <c r="B7028" s="2167" t="s">
        <v>13236</v>
      </c>
      <c r="C7028" s="2513">
        <v>85.63</v>
      </c>
      <c r="D7028" s="2168">
        <f t="shared" ref="D7028" si="1102">C7028*(1-VLOOKUP(I7028,descuentos,6,FALSE))*fcl/IF(dol_sol="dólar", TC,1)</f>
        <v>38.418474626865667</v>
      </c>
      <c r="E7028" s="2169">
        <v>0</v>
      </c>
      <c r="F7028" s="2170">
        <f t="shared" si="1098"/>
        <v>38.418474626865667</v>
      </c>
      <c r="G7028" s="1969" t="s">
        <v>13237</v>
      </c>
      <c r="H7028" s="2171">
        <v>408091</v>
      </c>
      <c r="I7028" s="2172" t="s">
        <v>10379</v>
      </c>
      <c r="J7028" s="2166" t="s">
        <v>10678</v>
      </c>
      <c r="K7028" s="501"/>
    </row>
    <row r="7029" spans="1:11" s="35" customFormat="1">
      <c r="A7029" s="502"/>
      <c r="B7029" s="2167" t="s">
        <v>12467</v>
      </c>
      <c r="C7029" s="2513">
        <v>85.63</v>
      </c>
      <c r="D7029" s="2168">
        <f t="shared" si="1101"/>
        <v>38.418474626865667</v>
      </c>
      <c r="E7029" s="2169">
        <v>0</v>
      </c>
      <c r="F7029" s="2170">
        <f t="shared" si="1098"/>
        <v>38.418474626865667</v>
      </c>
      <c r="G7029" s="1969" t="s">
        <v>12468</v>
      </c>
      <c r="H7029" s="2171">
        <v>408092</v>
      </c>
      <c r="I7029" s="2172" t="s">
        <v>10379</v>
      </c>
      <c r="J7029" s="2166" t="s">
        <v>10678</v>
      </c>
      <c r="K7029" s="501"/>
    </row>
    <row r="7030" spans="1:11" s="35" customFormat="1">
      <c r="A7030" s="502"/>
      <c r="B7030" s="2167" t="s">
        <v>12469</v>
      </c>
      <c r="C7030" s="2513">
        <v>98.88</v>
      </c>
      <c r="D7030" s="2168">
        <f t="shared" si="1101"/>
        <v>44.363176119402979</v>
      </c>
      <c r="E7030" s="2169">
        <v>0</v>
      </c>
      <c r="F7030" s="2170">
        <f t="shared" si="1098"/>
        <v>44.363176119402979</v>
      </c>
      <c r="G7030" s="1969" t="s">
        <v>12470</v>
      </c>
      <c r="H7030" s="2171">
        <v>408093</v>
      </c>
      <c r="I7030" s="2172" t="s">
        <v>10379</v>
      </c>
      <c r="J7030" s="2166" t="s">
        <v>10678</v>
      </c>
      <c r="K7030" s="501"/>
    </row>
    <row r="7031" spans="1:11" s="35" customFormat="1">
      <c r="A7031" s="502"/>
      <c r="B7031" s="2167" t="s">
        <v>12471</v>
      </c>
      <c r="C7031" s="2513">
        <v>100.78</v>
      </c>
      <c r="D7031" s="2168">
        <f t="shared" si="1101"/>
        <v>45.215623880597015</v>
      </c>
      <c r="E7031" s="2169">
        <v>0</v>
      </c>
      <c r="F7031" s="2170">
        <f t="shared" si="1098"/>
        <v>45.215623880597015</v>
      </c>
      <c r="G7031" s="1969" t="s">
        <v>12472</v>
      </c>
      <c r="H7031" s="2171">
        <v>408095</v>
      </c>
      <c r="I7031" s="2172" t="s">
        <v>10379</v>
      </c>
      <c r="J7031" s="2166" t="s">
        <v>10678</v>
      </c>
      <c r="K7031" s="501"/>
    </row>
    <row r="7032" spans="1:11" s="35" customFormat="1">
      <c r="A7032" s="502"/>
      <c r="B7032" s="28"/>
      <c r="C7032" s="2510"/>
      <c r="D7032" s="244"/>
      <c r="E7032" s="2005"/>
      <c r="F7032" s="2001"/>
      <c r="G7032" s="208"/>
      <c r="H7032" s="2003"/>
      <c r="I7032" s="501"/>
      <c r="J7032" s="502"/>
      <c r="K7032" s="501"/>
    </row>
    <row r="7033" spans="1:11" s="35" customFormat="1">
      <c r="A7033" s="502"/>
      <c r="B7033" s="28" t="s">
        <v>10761</v>
      </c>
      <c r="C7033" s="2510">
        <v>43.455555555555556</v>
      </c>
      <c r="D7033" s="244">
        <f t="shared" ref="D7033:D7041" si="1103">C7033*(1-VLOOKUP(I7033,descuentos,6,FALSE))*fcl/IF(dol_sol="dólar", TC,1)</f>
        <v>19.49662686567164</v>
      </c>
      <c r="E7033" s="2005">
        <v>0</v>
      </c>
      <c r="F7033" s="2001">
        <f t="shared" si="1004"/>
        <v>19.49662686567164</v>
      </c>
      <c r="G7033" s="338" t="s">
        <v>12030</v>
      </c>
      <c r="H7033" s="2003">
        <v>407796</v>
      </c>
      <c r="I7033" s="501" t="s">
        <v>10379</v>
      </c>
      <c r="J7033" s="502" t="s">
        <v>10678</v>
      </c>
      <c r="K7033" s="501"/>
    </row>
    <row r="7034" spans="1:11" s="35" customFormat="1">
      <c r="A7034" s="502"/>
      <c r="B7034" s="28" t="s">
        <v>10762</v>
      </c>
      <c r="C7034" s="2510">
        <v>37.788888888888884</v>
      </c>
      <c r="D7034" s="244">
        <f t="shared" si="1103"/>
        <v>16.954238805970146</v>
      </c>
      <c r="E7034" s="2005">
        <v>0</v>
      </c>
      <c r="F7034" s="2001">
        <f t="shared" si="1004"/>
        <v>16.954238805970146</v>
      </c>
      <c r="G7034" s="338" t="s">
        <v>12031</v>
      </c>
      <c r="H7034" s="2003" t="s">
        <v>10763</v>
      </c>
      <c r="I7034" s="501" t="s">
        <v>10379</v>
      </c>
      <c r="J7034" s="502" t="s">
        <v>10678</v>
      </c>
      <c r="K7034" s="501"/>
    </row>
    <row r="7035" spans="1:11" s="35" customFormat="1">
      <c r="A7035" s="502"/>
      <c r="B7035" s="28" t="s">
        <v>10764</v>
      </c>
      <c r="C7035" s="2510">
        <v>37.788888888888884</v>
      </c>
      <c r="D7035" s="244">
        <f t="shared" si="1103"/>
        <v>16.954238805970146</v>
      </c>
      <c r="E7035" s="2005">
        <v>0</v>
      </c>
      <c r="F7035" s="2001">
        <f t="shared" si="1004"/>
        <v>16.954238805970146</v>
      </c>
      <c r="G7035" s="338" t="s">
        <v>12032</v>
      </c>
      <c r="H7035" s="2003" t="s">
        <v>10765</v>
      </c>
      <c r="I7035" s="501" t="s">
        <v>10379</v>
      </c>
      <c r="J7035" s="502" t="s">
        <v>10678</v>
      </c>
      <c r="K7035" s="501"/>
    </row>
    <row r="7036" spans="1:11" s="35" customFormat="1">
      <c r="A7036" s="502"/>
      <c r="B7036" s="28" t="s">
        <v>10766</v>
      </c>
      <c r="C7036" s="2510">
        <v>37.788888888888884</v>
      </c>
      <c r="D7036" s="244">
        <f t="shared" si="1103"/>
        <v>16.954238805970146</v>
      </c>
      <c r="E7036" s="2005">
        <v>0</v>
      </c>
      <c r="F7036" s="2001">
        <f t="shared" si="1004"/>
        <v>16.954238805970146</v>
      </c>
      <c r="G7036" s="338" t="s">
        <v>12033</v>
      </c>
      <c r="H7036" s="2003" t="s">
        <v>10767</v>
      </c>
      <c r="I7036" s="501" t="s">
        <v>10379</v>
      </c>
      <c r="J7036" s="502" t="s">
        <v>10678</v>
      </c>
      <c r="K7036" s="501"/>
    </row>
    <row r="7037" spans="1:11" s="35" customFormat="1">
      <c r="A7037" s="502"/>
      <c r="B7037" s="28" t="s">
        <v>10768</v>
      </c>
      <c r="C7037" s="2510">
        <v>37.788888888888884</v>
      </c>
      <c r="D7037" s="244">
        <f t="shared" si="1103"/>
        <v>16.954238805970146</v>
      </c>
      <c r="E7037" s="2005">
        <v>0</v>
      </c>
      <c r="F7037" s="2001">
        <f t="shared" si="1004"/>
        <v>16.954238805970146</v>
      </c>
      <c r="G7037" s="338" t="s">
        <v>12034</v>
      </c>
      <c r="H7037" s="2003" t="s">
        <v>10769</v>
      </c>
      <c r="I7037" s="501" t="s">
        <v>10379</v>
      </c>
      <c r="J7037" s="502" t="s">
        <v>10678</v>
      </c>
      <c r="K7037" s="501"/>
    </row>
    <row r="7038" spans="1:11" s="35" customFormat="1">
      <c r="A7038" s="502"/>
      <c r="B7038" s="28" t="s">
        <v>10770</v>
      </c>
      <c r="C7038" s="2510">
        <v>37.788888888888884</v>
      </c>
      <c r="D7038" s="244">
        <f t="shared" si="1103"/>
        <v>16.954238805970146</v>
      </c>
      <c r="E7038" s="2005">
        <v>0</v>
      </c>
      <c r="F7038" s="2001">
        <f t="shared" si="1004"/>
        <v>16.954238805970146</v>
      </c>
      <c r="G7038" s="338" t="s">
        <v>12035</v>
      </c>
      <c r="H7038" s="2003" t="s">
        <v>10771</v>
      </c>
      <c r="I7038" s="501" t="s">
        <v>10379</v>
      </c>
      <c r="J7038" s="502" t="s">
        <v>10678</v>
      </c>
      <c r="K7038" s="501"/>
    </row>
    <row r="7039" spans="1:11" s="35" customFormat="1">
      <c r="A7039" s="502"/>
      <c r="B7039" s="28" t="s">
        <v>10772</v>
      </c>
      <c r="C7039" s="2510">
        <v>49.12222222222222</v>
      </c>
      <c r="D7039" s="244">
        <f t="shared" si="1103"/>
        <v>22.039014925373131</v>
      </c>
      <c r="E7039" s="2005">
        <v>0</v>
      </c>
      <c r="F7039" s="2001">
        <f t="shared" si="1004"/>
        <v>22.039014925373131</v>
      </c>
      <c r="G7039" s="338" t="s">
        <v>12036</v>
      </c>
      <c r="H7039" s="2003" t="s">
        <v>10773</v>
      </c>
      <c r="I7039" s="501" t="s">
        <v>10379</v>
      </c>
      <c r="J7039" s="502" t="s">
        <v>10678</v>
      </c>
      <c r="K7039" s="501"/>
    </row>
    <row r="7040" spans="1:11" s="35" customFormat="1">
      <c r="A7040" s="502"/>
      <c r="B7040" s="28" t="s">
        <v>10774</v>
      </c>
      <c r="C7040" s="2510">
        <v>52.266666666666666</v>
      </c>
      <c r="D7040" s="244">
        <f t="shared" si="1103"/>
        <v>23.449791044776116</v>
      </c>
      <c r="E7040" s="2005">
        <v>0</v>
      </c>
      <c r="F7040" s="2001">
        <f t="shared" si="1004"/>
        <v>23.449791044776116</v>
      </c>
      <c r="G7040" s="338" t="s">
        <v>12037</v>
      </c>
      <c r="H7040" s="2003" t="s">
        <v>10775</v>
      </c>
      <c r="I7040" s="501" t="s">
        <v>10379</v>
      </c>
      <c r="J7040" s="502" t="s">
        <v>10678</v>
      </c>
      <c r="K7040" s="501"/>
    </row>
    <row r="7041" spans="1:11" s="35" customFormat="1">
      <c r="A7041" s="502"/>
      <c r="B7041" s="28" t="s">
        <v>10776</v>
      </c>
      <c r="C7041" s="2510">
        <v>52.266666666666666</v>
      </c>
      <c r="D7041" s="244">
        <f t="shared" si="1103"/>
        <v>23.449791044776116</v>
      </c>
      <c r="E7041" s="2005">
        <v>0</v>
      </c>
      <c r="F7041" s="2001">
        <f t="shared" si="1004"/>
        <v>23.449791044776116</v>
      </c>
      <c r="G7041" s="338" t="s">
        <v>12038</v>
      </c>
      <c r="H7041" s="2003" t="s">
        <v>10777</v>
      </c>
      <c r="I7041" s="501" t="s">
        <v>10379</v>
      </c>
      <c r="J7041" s="502" t="s">
        <v>10678</v>
      </c>
      <c r="K7041" s="501"/>
    </row>
    <row r="7042" spans="1:11" s="35" customFormat="1">
      <c r="A7042" s="502"/>
      <c r="B7042" s="28"/>
      <c r="C7042" s="2510"/>
      <c r="D7042" s="244"/>
      <c r="E7042" s="2005"/>
      <c r="F7042" s="2001"/>
      <c r="G7042" s="208"/>
      <c r="H7042" s="2003"/>
      <c r="I7042" s="501"/>
      <c r="J7042" s="502"/>
      <c r="K7042" s="501"/>
    </row>
    <row r="7043" spans="1:11" s="2378" customFormat="1">
      <c r="A7043" s="2166"/>
      <c r="B7043" s="2167" t="s">
        <v>14074</v>
      </c>
      <c r="C7043" s="2513">
        <v>63.133333333333333</v>
      </c>
      <c r="D7043" s="2168">
        <f t="shared" ref="D7043" si="1104">C7043*(1-VLOOKUP(I7043,descuentos,6,FALSE))*fcl/IF(dol_sol="dólar", TC,1)</f>
        <v>28.325194029850746</v>
      </c>
      <c r="E7043" s="2169">
        <v>0</v>
      </c>
      <c r="F7043" s="2170">
        <f t="shared" ref="F7043:F7047" si="1105">D7043+E7043</f>
        <v>28.325194029850746</v>
      </c>
      <c r="G7043" s="1969" t="s">
        <v>14075</v>
      </c>
      <c r="H7043" s="2171" t="s">
        <v>14076</v>
      </c>
      <c r="I7043" s="2172" t="s">
        <v>10379</v>
      </c>
      <c r="J7043" s="2166" t="s">
        <v>10678</v>
      </c>
      <c r="K7043" s="2172"/>
    </row>
    <row r="7044" spans="1:11" s="2378" customFormat="1">
      <c r="A7044" s="2166"/>
      <c r="B7044" s="2167" t="s">
        <v>14077</v>
      </c>
      <c r="C7044" s="2513">
        <v>63.133333333333333</v>
      </c>
      <c r="D7044" s="2168">
        <f t="shared" ref="D7044" si="1106">C7044*(1-VLOOKUP(I7044,descuentos,6,FALSE))*fcl/IF(dol_sol="dólar", TC,1)</f>
        <v>28.325194029850746</v>
      </c>
      <c r="E7044" s="2169">
        <v>0</v>
      </c>
      <c r="F7044" s="2170">
        <f t="shared" si="1105"/>
        <v>28.325194029850746</v>
      </c>
      <c r="G7044" s="1969" t="s">
        <v>14078</v>
      </c>
      <c r="H7044" s="2171" t="s">
        <v>14079</v>
      </c>
      <c r="I7044" s="2172" t="s">
        <v>10379</v>
      </c>
      <c r="J7044" s="2166" t="s">
        <v>10678</v>
      </c>
      <c r="K7044" s="2172"/>
    </row>
    <row r="7045" spans="1:11" s="2378" customFormat="1">
      <c r="A7045" s="2166"/>
      <c r="B7045" s="2167" t="s">
        <v>14080</v>
      </c>
      <c r="C7045" s="2513">
        <v>63.133333333333333</v>
      </c>
      <c r="D7045" s="2168">
        <f t="shared" ref="D7045:D7046" si="1107">C7045*(1-VLOOKUP(I7045,descuentos,6,FALSE))*fcl/IF(dol_sol="dólar", TC,1)</f>
        <v>28.325194029850746</v>
      </c>
      <c r="E7045" s="2169">
        <v>0</v>
      </c>
      <c r="F7045" s="2170">
        <f t="shared" si="1105"/>
        <v>28.325194029850746</v>
      </c>
      <c r="G7045" s="1969" t="s">
        <v>14081</v>
      </c>
      <c r="H7045" s="2171" t="s">
        <v>14082</v>
      </c>
      <c r="I7045" s="2172" t="s">
        <v>10379</v>
      </c>
      <c r="J7045" s="2166" t="s">
        <v>10678</v>
      </c>
      <c r="K7045" s="2172"/>
    </row>
    <row r="7046" spans="1:11" s="2378" customFormat="1">
      <c r="A7046" s="2166"/>
      <c r="B7046" s="2167" t="s">
        <v>14083</v>
      </c>
      <c r="C7046" s="2513">
        <v>84.933333333333323</v>
      </c>
      <c r="D7046" s="2168">
        <f t="shared" si="1107"/>
        <v>38.10591044776119</v>
      </c>
      <c r="E7046" s="2169">
        <v>0</v>
      </c>
      <c r="F7046" s="2170">
        <f t="shared" si="1105"/>
        <v>38.10591044776119</v>
      </c>
      <c r="G7046" s="1969" t="s">
        <v>14084</v>
      </c>
      <c r="H7046" s="2171" t="s">
        <v>14085</v>
      </c>
      <c r="I7046" s="2172" t="s">
        <v>10379</v>
      </c>
      <c r="J7046" s="2166" t="s">
        <v>10678</v>
      </c>
      <c r="K7046" s="2172"/>
    </row>
    <row r="7047" spans="1:11" s="2378" customFormat="1">
      <c r="A7047" s="2166"/>
      <c r="B7047" s="2167" t="s">
        <v>14086</v>
      </c>
      <c r="C7047" s="2513">
        <v>84.933333333333323</v>
      </c>
      <c r="D7047" s="2168">
        <f t="shared" ref="D7047" si="1108">C7047*(1-VLOOKUP(I7047,descuentos,6,FALSE))*fcl/IF(dol_sol="dólar", TC,1)</f>
        <v>38.10591044776119</v>
      </c>
      <c r="E7047" s="2169">
        <v>0</v>
      </c>
      <c r="F7047" s="2170">
        <f t="shared" si="1105"/>
        <v>38.10591044776119</v>
      </c>
      <c r="G7047" s="1969" t="s">
        <v>14087</v>
      </c>
      <c r="H7047" s="2171" t="s">
        <v>14088</v>
      </c>
      <c r="I7047" s="2172" t="s">
        <v>10379</v>
      </c>
      <c r="J7047" s="2166" t="s">
        <v>10678</v>
      </c>
      <c r="K7047" s="2172"/>
    </row>
    <row r="7048" spans="1:11" s="35" customFormat="1" ht="21" customHeight="1">
      <c r="A7048" s="502"/>
      <c r="B7048" s="28"/>
      <c r="C7048" s="2510"/>
      <c r="D7048" s="244"/>
      <c r="E7048" s="2005"/>
      <c r="F7048" s="2001"/>
      <c r="G7048" s="208"/>
      <c r="H7048" s="2003"/>
      <c r="I7048" s="501"/>
      <c r="J7048" s="502"/>
      <c r="K7048" s="501"/>
    </row>
    <row r="7049" spans="1:11" s="35" customFormat="1">
      <c r="A7049" s="502"/>
      <c r="B7049" s="28" t="s">
        <v>10778</v>
      </c>
      <c r="C7049" s="2510">
        <v>78.722222222222214</v>
      </c>
      <c r="D7049" s="244">
        <f t="shared" ref="D7049:D7057" si="1109">C7049*(1-VLOOKUP(I7049,descuentos,6,FALSE))*fcl/IF(dol_sol="dólar", TC,1)</f>
        <v>35.319253731343281</v>
      </c>
      <c r="E7049" s="2005">
        <v>0</v>
      </c>
      <c r="F7049" s="2001">
        <f t="shared" si="1004"/>
        <v>35.319253731343281</v>
      </c>
      <c r="G7049" s="338" t="s">
        <v>12039</v>
      </c>
      <c r="H7049" s="2003">
        <v>407855</v>
      </c>
      <c r="I7049" s="501" t="s">
        <v>10379</v>
      </c>
      <c r="J7049" s="502" t="s">
        <v>10678</v>
      </c>
      <c r="K7049" s="501"/>
    </row>
    <row r="7050" spans="1:11" s="35" customFormat="1">
      <c r="A7050" s="502"/>
      <c r="B7050" s="28" t="s">
        <v>10779</v>
      </c>
      <c r="C7050" s="2510">
        <v>71.8</v>
      </c>
      <c r="D7050" s="244">
        <f t="shared" si="1109"/>
        <v>32.213552238805974</v>
      </c>
      <c r="E7050" s="2005">
        <v>0</v>
      </c>
      <c r="F7050" s="2001">
        <f t="shared" si="1004"/>
        <v>32.213552238805974</v>
      </c>
      <c r="G7050" s="338" t="s">
        <v>12040</v>
      </c>
      <c r="H7050" s="2003" t="s">
        <v>10780</v>
      </c>
      <c r="I7050" s="501" t="s">
        <v>10379</v>
      </c>
      <c r="J7050" s="502" t="s">
        <v>10678</v>
      </c>
      <c r="K7050" s="501"/>
    </row>
    <row r="7051" spans="1:11" s="35" customFormat="1">
      <c r="A7051" s="502"/>
      <c r="B7051" s="28" t="s">
        <v>10781</v>
      </c>
      <c r="C7051" s="2510">
        <v>71.8</v>
      </c>
      <c r="D7051" s="244">
        <f t="shared" si="1109"/>
        <v>32.213552238805974</v>
      </c>
      <c r="E7051" s="2005">
        <v>0</v>
      </c>
      <c r="F7051" s="2001">
        <f t="shared" si="1004"/>
        <v>32.213552238805974</v>
      </c>
      <c r="G7051" s="338" t="s">
        <v>12041</v>
      </c>
      <c r="H7051" s="2003" t="s">
        <v>10782</v>
      </c>
      <c r="I7051" s="501" t="s">
        <v>10379</v>
      </c>
      <c r="J7051" s="502" t="s">
        <v>10678</v>
      </c>
      <c r="K7051" s="501"/>
    </row>
    <row r="7052" spans="1:11" s="35" customFormat="1">
      <c r="A7052" s="502"/>
      <c r="B7052" s="28" t="s">
        <v>10783</v>
      </c>
      <c r="C7052" s="2510">
        <v>71.8</v>
      </c>
      <c r="D7052" s="244">
        <f t="shared" si="1109"/>
        <v>32.213552238805974</v>
      </c>
      <c r="E7052" s="2005">
        <v>0</v>
      </c>
      <c r="F7052" s="2001">
        <f t="shared" si="1004"/>
        <v>32.213552238805974</v>
      </c>
      <c r="G7052" s="338" t="s">
        <v>12042</v>
      </c>
      <c r="H7052" s="2003" t="s">
        <v>10784</v>
      </c>
      <c r="I7052" s="501" t="s">
        <v>10379</v>
      </c>
      <c r="J7052" s="502" t="s">
        <v>10678</v>
      </c>
      <c r="K7052" s="501"/>
    </row>
    <row r="7053" spans="1:11" s="35" customFormat="1">
      <c r="A7053" s="502"/>
      <c r="B7053" s="28" t="s">
        <v>10785</v>
      </c>
      <c r="C7053" s="2510">
        <v>71.8</v>
      </c>
      <c r="D7053" s="244">
        <f t="shared" si="1109"/>
        <v>32.213552238805974</v>
      </c>
      <c r="E7053" s="2005">
        <v>0</v>
      </c>
      <c r="F7053" s="2001">
        <f t="shared" ref="F7053:F7121" si="1110">D7053+E7053</f>
        <v>32.213552238805974</v>
      </c>
      <c r="G7053" s="338" t="s">
        <v>12043</v>
      </c>
      <c r="H7053" s="2003" t="s">
        <v>10786</v>
      </c>
      <c r="I7053" s="501" t="s">
        <v>10379</v>
      </c>
      <c r="J7053" s="502" t="s">
        <v>10678</v>
      </c>
      <c r="K7053" s="501"/>
    </row>
    <row r="7054" spans="1:11" s="35" customFormat="1">
      <c r="A7054" s="502"/>
      <c r="B7054" s="28" t="s">
        <v>10787</v>
      </c>
      <c r="C7054" s="2510">
        <v>71.8</v>
      </c>
      <c r="D7054" s="244">
        <f t="shared" si="1109"/>
        <v>32.213552238805974</v>
      </c>
      <c r="E7054" s="2005">
        <v>0</v>
      </c>
      <c r="F7054" s="2001">
        <f t="shared" si="1110"/>
        <v>32.213552238805974</v>
      </c>
      <c r="G7054" s="338" t="s">
        <v>12044</v>
      </c>
      <c r="H7054" s="2003" t="s">
        <v>10788</v>
      </c>
      <c r="I7054" s="501" t="s">
        <v>10379</v>
      </c>
      <c r="J7054" s="502" t="s">
        <v>10678</v>
      </c>
      <c r="K7054" s="501"/>
    </row>
    <row r="7055" spans="1:11" s="35" customFormat="1">
      <c r="A7055" s="502"/>
      <c r="B7055" s="28" t="s">
        <v>10789</v>
      </c>
      <c r="C7055" s="2510">
        <v>83.766666666666666</v>
      </c>
      <c r="D7055" s="244">
        <f t="shared" si="1109"/>
        <v>37.582477611940298</v>
      </c>
      <c r="E7055" s="2005">
        <v>0</v>
      </c>
      <c r="F7055" s="2001">
        <f t="shared" si="1110"/>
        <v>37.582477611940298</v>
      </c>
      <c r="G7055" s="338" t="s">
        <v>12045</v>
      </c>
      <c r="H7055" s="2003" t="s">
        <v>10790</v>
      </c>
      <c r="I7055" s="501" t="s">
        <v>10379</v>
      </c>
      <c r="J7055" s="502" t="s">
        <v>10678</v>
      </c>
      <c r="K7055" s="501"/>
    </row>
    <row r="7056" spans="1:11" s="35" customFormat="1">
      <c r="A7056" s="502"/>
      <c r="B7056" s="28" t="s">
        <v>10791</v>
      </c>
      <c r="C7056" s="2510">
        <v>83.766666666666666</v>
      </c>
      <c r="D7056" s="244">
        <f t="shared" si="1109"/>
        <v>37.582477611940298</v>
      </c>
      <c r="E7056" s="2005">
        <v>0</v>
      </c>
      <c r="F7056" s="2001">
        <f t="shared" si="1110"/>
        <v>37.582477611940298</v>
      </c>
      <c r="G7056" s="338" t="s">
        <v>12046</v>
      </c>
      <c r="H7056" s="2003" t="s">
        <v>10792</v>
      </c>
      <c r="I7056" s="501" t="s">
        <v>10379</v>
      </c>
      <c r="J7056" s="502" t="s">
        <v>10678</v>
      </c>
      <c r="K7056" s="501"/>
    </row>
    <row r="7057" spans="1:11" s="35" customFormat="1">
      <c r="A7057" s="502"/>
      <c r="B7057" s="28" t="s">
        <v>10793</v>
      </c>
      <c r="C7057" s="2510">
        <v>83.766666666666666</v>
      </c>
      <c r="D7057" s="244">
        <f t="shared" si="1109"/>
        <v>37.582477611940298</v>
      </c>
      <c r="E7057" s="2005">
        <v>0</v>
      </c>
      <c r="F7057" s="2001">
        <f t="shared" si="1110"/>
        <v>37.582477611940298</v>
      </c>
      <c r="G7057" s="338" t="s">
        <v>12047</v>
      </c>
      <c r="H7057" s="2003" t="s">
        <v>10794</v>
      </c>
      <c r="I7057" s="501" t="s">
        <v>10379</v>
      </c>
      <c r="J7057" s="502" t="s">
        <v>10678</v>
      </c>
      <c r="K7057" s="501"/>
    </row>
    <row r="7058" spans="1:11" s="195" customFormat="1" ht="21" customHeight="1">
      <c r="A7058" s="523"/>
      <c r="B7058" s="524"/>
      <c r="C7058" s="2510"/>
      <c r="D7058" s="244"/>
      <c r="E7058" s="616"/>
      <c r="F7058" s="465"/>
      <c r="G7058" s="208"/>
      <c r="H7058" s="2036"/>
      <c r="I7058" s="525"/>
      <c r="J7058" s="523"/>
      <c r="K7058" s="525"/>
    </row>
    <row r="7059" spans="1:11" s="2378" customFormat="1">
      <c r="A7059" s="2166"/>
      <c r="B7059" s="2167" t="s">
        <v>14089</v>
      </c>
      <c r="C7059" s="2513">
        <v>85.655555555555551</v>
      </c>
      <c r="D7059" s="2168">
        <f t="shared" ref="D7059:D7060" si="1111">C7059*(1-VLOOKUP(I7059,descuentos,6,FALSE))*fcl/IF(dol_sol="dólar", TC,1)</f>
        <v>38.429940298507461</v>
      </c>
      <c r="E7059" s="2169">
        <v>0</v>
      </c>
      <c r="F7059" s="2170">
        <f t="shared" ref="F7059:F7063" si="1112">D7059+E7059</f>
        <v>38.429940298507461</v>
      </c>
      <c r="G7059" s="1969" t="s">
        <v>14090</v>
      </c>
      <c r="H7059" s="2171" t="s">
        <v>14091</v>
      </c>
      <c r="I7059" s="2172" t="s">
        <v>10379</v>
      </c>
      <c r="J7059" s="2166" t="s">
        <v>10678</v>
      </c>
      <c r="K7059" s="2172"/>
    </row>
    <row r="7060" spans="1:11" s="2378" customFormat="1">
      <c r="A7060" s="2166"/>
      <c r="B7060" s="2167" t="s">
        <v>14092</v>
      </c>
      <c r="C7060" s="2513">
        <v>85.655555555555551</v>
      </c>
      <c r="D7060" s="2168">
        <f t="shared" si="1111"/>
        <v>38.429940298507461</v>
      </c>
      <c r="E7060" s="2169">
        <v>0</v>
      </c>
      <c r="F7060" s="2170">
        <f t="shared" si="1112"/>
        <v>38.429940298507461</v>
      </c>
      <c r="G7060" s="1969" t="s">
        <v>14093</v>
      </c>
      <c r="H7060" s="2171" t="s">
        <v>14094</v>
      </c>
      <c r="I7060" s="2172" t="s">
        <v>10379</v>
      </c>
      <c r="J7060" s="2166" t="s">
        <v>10678</v>
      </c>
      <c r="K7060" s="2172"/>
    </row>
    <row r="7061" spans="1:11" s="2378" customFormat="1">
      <c r="A7061" s="2166"/>
      <c r="B7061" s="2167" t="s">
        <v>14095</v>
      </c>
      <c r="C7061" s="2513">
        <v>98.877777777777766</v>
      </c>
      <c r="D7061" s="2168">
        <f t="shared" ref="D7061" si="1113">C7061*(1-VLOOKUP(I7061,descuentos,6,FALSE))*fcl/IF(dol_sol="dólar", TC,1)</f>
        <v>44.362179104477605</v>
      </c>
      <c r="E7061" s="2169">
        <v>0</v>
      </c>
      <c r="F7061" s="2170">
        <f t="shared" si="1112"/>
        <v>44.362179104477605</v>
      </c>
      <c r="G7061" s="1969" t="s">
        <v>14096</v>
      </c>
      <c r="H7061" s="2171" t="s">
        <v>14097</v>
      </c>
      <c r="I7061" s="2172" t="s">
        <v>10379</v>
      </c>
      <c r="J7061" s="2166" t="s">
        <v>10678</v>
      </c>
      <c r="K7061" s="2172"/>
    </row>
    <row r="7062" spans="1:11" s="2378" customFormat="1">
      <c r="A7062" s="2166"/>
      <c r="B7062" s="2167" t="s">
        <v>14098</v>
      </c>
      <c r="C7062" s="2513">
        <v>100.77777777777777</v>
      </c>
      <c r="D7062" s="2168">
        <f t="shared" ref="D7062:D7063" si="1114">C7062*(1-VLOOKUP(I7062,descuentos,6,FALSE))*fcl/IF(dol_sol="dólar", TC,1)</f>
        <v>45.21462686567164</v>
      </c>
      <c r="E7062" s="2169">
        <v>0</v>
      </c>
      <c r="F7062" s="2170">
        <f t="shared" si="1112"/>
        <v>45.21462686567164</v>
      </c>
      <c r="G7062" s="1969" t="s">
        <v>14099</v>
      </c>
      <c r="H7062" s="2171" t="s">
        <v>14100</v>
      </c>
      <c r="I7062" s="2172" t="s">
        <v>10379</v>
      </c>
      <c r="J7062" s="2166" t="s">
        <v>10678</v>
      </c>
      <c r="K7062" s="2172"/>
    </row>
    <row r="7063" spans="1:11" s="2378" customFormat="1">
      <c r="A7063" s="2166"/>
      <c r="B7063" s="2167" t="s">
        <v>14101</v>
      </c>
      <c r="C7063" s="2513">
        <v>100.77777777777777</v>
      </c>
      <c r="D7063" s="2168">
        <f t="shared" si="1114"/>
        <v>45.21462686567164</v>
      </c>
      <c r="E7063" s="2169">
        <v>0</v>
      </c>
      <c r="F7063" s="2170">
        <f t="shared" si="1112"/>
        <v>45.21462686567164</v>
      </c>
      <c r="G7063" s="1969" t="s">
        <v>14102</v>
      </c>
      <c r="H7063" s="2171" t="s">
        <v>14103</v>
      </c>
      <c r="I7063" s="2172" t="s">
        <v>10379</v>
      </c>
      <c r="J7063" s="2166" t="s">
        <v>10678</v>
      </c>
      <c r="K7063" s="2172"/>
    </row>
    <row r="7064" spans="1:11" s="35" customFormat="1">
      <c r="A7064" s="502"/>
      <c r="B7064" s="28"/>
      <c r="C7064" s="2510"/>
      <c r="D7064" s="244"/>
      <c r="E7064" s="2005"/>
      <c r="F7064" s="2001"/>
      <c r="G7064" s="208"/>
      <c r="H7064" s="2003"/>
      <c r="I7064" s="501"/>
      <c r="J7064" s="502"/>
      <c r="K7064" s="501"/>
    </row>
    <row r="7065" spans="1:11" s="35" customFormat="1">
      <c r="A7065" s="502"/>
      <c r="B7065" s="28" t="s">
        <v>10795</v>
      </c>
      <c r="C7065" s="2510">
        <v>100.77777777777777</v>
      </c>
      <c r="D7065" s="244">
        <f t="shared" ref="D7065:D7073" si="1115">C7065*(1-VLOOKUP(I7065,descuentos,6,FALSE))*fcl/IF(dol_sol="dólar", TC,1)</f>
        <v>45.21462686567164</v>
      </c>
      <c r="E7065" s="2005">
        <v>0</v>
      </c>
      <c r="F7065" s="2001">
        <f t="shared" si="1110"/>
        <v>45.21462686567164</v>
      </c>
      <c r="G7065" s="338" t="s">
        <v>12048</v>
      </c>
      <c r="H7065" s="2003">
        <v>407924</v>
      </c>
      <c r="I7065" s="501" t="s">
        <v>10379</v>
      </c>
      <c r="J7065" s="502" t="s">
        <v>10678</v>
      </c>
      <c r="K7065" s="501"/>
    </row>
    <row r="7066" spans="1:11" s="35" customFormat="1">
      <c r="A7066" s="502"/>
      <c r="B7066" s="28" t="s">
        <v>10796</v>
      </c>
      <c r="C7066" s="2510">
        <v>81.255555555555546</v>
      </c>
      <c r="D7066" s="244">
        <f t="shared" si="1115"/>
        <v>36.455850746268652</v>
      </c>
      <c r="E7066" s="2005">
        <v>0</v>
      </c>
      <c r="F7066" s="2001">
        <f t="shared" si="1110"/>
        <v>36.455850746268652</v>
      </c>
      <c r="G7066" s="338" t="s">
        <v>12049</v>
      </c>
      <c r="H7066" s="2003" t="s">
        <v>10797</v>
      </c>
      <c r="I7066" s="501" t="s">
        <v>10379</v>
      </c>
      <c r="J7066" s="502" t="s">
        <v>10678</v>
      </c>
      <c r="K7066" s="501"/>
    </row>
    <row r="7067" spans="1:11" s="35" customFormat="1">
      <c r="A7067" s="502"/>
      <c r="B7067" s="28" t="s">
        <v>10798</v>
      </c>
      <c r="C7067" s="2510">
        <v>74.944444444444443</v>
      </c>
      <c r="D7067" s="244">
        <f t="shared" si="1115"/>
        <v>33.624328358208949</v>
      </c>
      <c r="E7067" s="2005">
        <v>0</v>
      </c>
      <c r="F7067" s="2001">
        <f t="shared" si="1110"/>
        <v>33.624328358208949</v>
      </c>
      <c r="G7067" s="338" t="s">
        <v>12050</v>
      </c>
      <c r="H7067" s="2003" t="s">
        <v>10799</v>
      </c>
      <c r="I7067" s="501" t="s">
        <v>10379</v>
      </c>
      <c r="J7067" s="502" t="s">
        <v>10678</v>
      </c>
      <c r="K7067" s="501"/>
    </row>
    <row r="7068" spans="1:11" s="35" customFormat="1">
      <c r="A7068" s="502"/>
      <c r="B7068" s="28" t="s">
        <v>10800</v>
      </c>
      <c r="C7068" s="2510">
        <v>86.911111111111111</v>
      </c>
      <c r="D7068" s="244">
        <f t="shared" si="1115"/>
        <v>38.99325373134328</v>
      </c>
      <c r="E7068" s="2005">
        <v>0</v>
      </c>
      <c r="F7068" s="2001">
        <f t="shared" si="1110"/>
        <v>38.99325373134328</v>
      </c>
      <c r="G7068" s="338" t="s">
        <v>12051</v>
      </c>
      <c r="H7068" s="2003" t="s">
        <v>10801</v>
      </c>
      <c r="I7068" s="501" t="s">
        <v>10379</v>
      </c>
      <c r="J7068" s="502" t="s">
        <v>10678</v>
      </c>
      <c r="K7068" s="501"/>
    </row>
    <row r="7069" spans="1:11" s="35" customFormat="1">
      <c r="A7069" s="502"/>
      <c r="B7069" s="28" t="s">
        <v>10802</v>
      </c>
      <c r="C7069" s="2510">
        <v>93.844444444444434</v>
      </c>
      <c r="D7069" s="244">
        <f t="shared" si="1115"/>
        <v>42.103940298507453</v>
      </c>
      <c r="E7069" s="2005">
        <v>0</v>
      </c>
      <c r="F7069" s="2001">
        <f t="shared" si="1110"/>
        <v>42.103940298507453</v>
      </c>
      <c r="G7069" s="338" t="s">
        <v>12052</v>
      </c>
      <c r="H7069" s="2003" t="s">
        <v>10803</v>
      </c>
      <c r="I7069" s="501" t="s">
        <v>10379</v>
      </c>
      <c r="J7069" s="502" t="s">
        <v>10678</v>
      </c>
      <c r="K7069" s="501"/>
    </row>
    <row r="7070" spans="1:11" s="35" customFormat="1">
      <c r="A7070" s="502"/>
      <c r="B7070" s="28" t="s">
        <v>10804</v>
      </c>
      <c r="C7070" s="2510">
        <v>93.844444444444434</v>
      </c>
      <c r="D7070" s="244">
        <f t="shared" si="1115"/>
        <v>42.103940298507453</v>
      </c>
      <c r="E7070" s="2005">
        <v>0</v>
      </c>
      <c r="F7070" s="2001">
        <f t="shared" si="1110"/>
        <v>42.103940298507453</v>
      </c>
      <c r="G7070" s="338" t="s">
        <v>12053</v>
      </c>
      <c r="H7070" s="2003" t="s">
        <v>10805</v>
      </c>
      <c r="I7070" s="501" t="s">
        <v>10379</v>
      </c>
      <c r="J7070" s="502" t="s">
        <v>10678</v>
      </c>
      <c r="K7070" s="501"/>
    </row>
    <row r="7071" spans="1:11" s="35" customFormat="1">
      <c r="A7071" s="502"/>
      <c r="B7071" s="28" t="s">
        <v>10806</v>
      </c>
      <c r="C7071" s="2510">
        <v>119.03333333333333</v>
      </c>
      <c r="D7071" s="244">
        <f t="shared" si="1115"/>
        <v>53.405104477611935</v>
      </c>
      <c r="E7071" s="2005">
        <v>0</v>
      </c>
      <c r="F7071" s="2001">
        <f t="shared" si="1110"/>
        <v>53.405104477611935</v>
      </c>
      <c r="G7071" s="338" t="s">
        <v>12054</v>
      </c>
      <c r="H7071" s="2003" t="s">
        <v>10807</v>
      </c>
      <c r="I7071" s="501" t="s">
        <v>10379</v>
      </c>
      <c r="J7071" s="502" t="s">
        <v>10678</v>
      </c>
      <c r="K7071" s="501"/>
    </row>
    <row r="7072" spans="1:11" s="35" customFormat="1">
      <c r="A7072" s="502"/>
      <c r="B7072" s="28" t="s">
        <v>10808</v>
      </c>
      <c r="C7072" s="2510">
        <v>132.88888888888889</v>
      </c>
      <c r="D7072" s="244">
        <f t="shared" si="1115"/>
        <v>59.621492537313422</v>
      </c>
      <c r="E7072" s="2005">
        <v>0</v>
      </c>
      <c r="F7072" s="2001">
        <f t="shared" si="1110"/>
        <v>59.621492537313422</v>
      </c>
      <c r="G7072" s="338" t="s">
        <v>12055</v>
      </c>
      <c r="H7072" s="2003" t="s">
        <v>10809</v>
      </c>
      <c r="I7072" s="501" t="s">
        <v>10379</v>
      </c>
      <c r="J7072" s="502" t="s">
        <v>10678</v>
      </c>
      <c r="K7072" s="501"/>
    </row>
    <row r="7073" spans="1:11" s="35" customFormat="1">
      <c r="A7073" s="502"/>
      <c r="B7073" s="28" t="s">
        <v>10810</v>
      </c>
      <c r="C7073" s="2510">
        <v>138.55555555555554</v>
      </c>
      <c r="D7073" s="244">
        <f t="shared" si="1115"/>
        <v>62.163880597014916</v>
      </c>
      <c r="E7073" s="2005">
        <v>0</v>
      </c>
      <c r="F7073" s="2001">
        <f t="shared" si="1110"/>
        <v>62.163880597014916</v>
      </c>
      <c r="G7073" s="338" t="s">
        <v>12056</v>
      </c>
      <c r="H7073" s="2003" t="s">
        <v>10811</v>
      </c>
      <c r="I7073" s="501" t="s">
        <v>10379</v>
      </c>
      <c r="J7073" s="502" t="s">
        <v>10678</v>
      </c>
      <c r="K7073" s="501"/>
    </row>
    <row r="7074" spans="1:11" s="35" customFormat="1">
      <c r="A7074" s="502"/>
      <c r="B7074" s="28"/>
      <c r="C7074" s="2510"/>
      <c r="D7074" s="244"/>
      <c r="E7074" s="2005"/>
      <c r="F7074" s="2001"/>
      <c r="G7074" s="208"/>
      <c r="H7074" s="2003"/>
      <c r="I7074" s="501"/>
      <c r="J7074" s="502"/>
      <c r="K7074" s="501"/>
    </row>
    <row r="7075" spans="1:11" s="35" customFormat="1">
      <c r="A7075" s="502"/>
      <c r="B7075" s="28"/>
      <c r="C7075" s="2510"/>
      <c r="D7075" s="244"/>
      <c r="E7075" s="2005"/>
      <c r="F7075" s="2001"/>
      <c r="G7075" s="208"/>
      <c r="H7075" s="2003"/>
      <c r="I7075" s="501"/>
      <c r="J7075" s="502"/>
      <c r="K7075" s="501"/>
    </row>
    <row r="7076" spans="1:11" s="35" customFormat="1">
      <c r="A7076" s="502"/>
      <c r="B7076" s="28"/>
      <c r="C7076" s="2510"/>
      <c r="D7076" s="244"/>
      <c r="E7076" s="2005"/>
      <c r="F7076" s="2001"/>
      <c r="G7076" s="208"/>
      <c r="H7076" s="2003"/>
      <c r="I7076" s="501"/>
      <c r="J7076" s="502"/>
      <c r="K7076" s="501"/>
    </row>
    <row r="7077" spans="1:11" s="35" customFormat="1">
      <c r="A7077" s="502"/>
      <c r="B7077" s="28" t="s">
        <v>10812</v>
      </c>
      <c r="C7077" s="2510">
        <v>77.466666666666669</v>
      </c>
      <c r="D7077" s="244">
        <f>C7077*(1-VLOOKUP(I7077,descuentos,6,FALSE))*fcl/IF(dol_sol="dólar", TC,1)</f>
        <v>34.755940298507461</v>
      </c>
      <c r="E7077" s="2005">
        <v>3</v>
      </c>
      <c r="F7077" s="2001">
        <f t="shared" si="1110"/>
        <v>37.755940298507461</v>
      </c>
      <c r="G7077" s="338" t="s">
        <v>12057</v>
      </c>
      <c r="H7077" s="2003">
        <v>411504</v>
      </c>
      <c r="I7077" s="501" t="s">
        <v>10379</v>
      </c>
      <c r="J7077" s="502" t="s">
        <v>10678</v>
      </c>
      <c r="K7077" s="501"/>
    </row>
    <row r="7078" spans="1:11" s="35" customFormat="1">
      <c r="A7078" s="502"/>
      <c r="B7078" s="28" t="s">
        <v>10813</v>
      </c>
      <c r="C7078" s="2510">
        <v>85.655555555555551</v>
      </c>
      <c r="D7078" s="244">
        <f>C7078*(1-VLOOKUP(I7078,descuentos,6,FALSE))*fcl/IF(dol_sol="dólar", TC,1)</f>
        <v>38.429940298507461</v>
      </c>
      <c r="E7078" s="2005">
        <v>3</v>
      </c>
      <c r="F7078" s="2001">
        <f t="shared" si="1110"/>
        <v>41.429940298507461</v>
      </c>
      <c r="G7078" s="338" t="s">
        <v>12058</v>
      </c>
      <c r="H7078" s="2003" t="s">
        <v>10814</v>
      </c>
      <c r="I7078" s="501" t="s">
        <v>10379</v>
      </c>
      <c r="J7078" s="502" t="s">
        <v>10678</v>
      </c>
      <c r="K7078" s="501"/>
    </row>
    <row r="7079" spans="1:11" s="35" customFormat="1">
      <c r="A7079" s="502"/>
      <c r="B7079" s="28" t="s">
        <v>10815</v>
      </c>
      <c r="C7079" s="2510">
        <v>99.511111111111106</v>
      </c>
      <c r="D7079" s="244">
        <f>C7079*(1-VLOOKUP(I7079,descuentos,6,FALSE))*fcl/IF(dol_sol="dólar", TC,1)</f>
        <v>44.646328358208955</v>
      </c>
      <c r="E7079" s="2005">
        <v>3</v>
      </c>
      <c r="F7079" s="2001">
        <f t="shared" si="1110"/>
        <v>47.646328358208955</v>
      </c>
      <c r="G7079" s="338" t="s">
        <v>12059</v>
      </c>
      <c r="H7079" s="2003" t="s">
        <v>10816</v>
      </c>
      <c r="I7079" s="501" t="s">
        <v>10379</v>
      </c>
      <c r="J7079" s="502" t="s">
        <v>10678</v>
      </c>
      <c r="K7079" s="501"/>
    </row>
    <row r="7080" spans="1:11" s="35" customFormat="1">
      <c r="A7080" s="502"/>
      <c r="B7080" s="28" t="s">
        <v>10817</v>
      </c>
      <c r="C7080" s="2510">
        <v>108.95555555555555</v>
      </c>
      <c r="D7080" s="244">
        <f>C7080*(1-VLOOKUP(I7080,descuentos,6,FALSE))*fcl/IF(dol_sol="dólar", TC,1)</f>
        <v>48.883641791044774</v>
      </c>
      <c r="E7080" s="2005">
        <v>3</v>
      </c>
      <c r="F7080" s="2001">
        <f t="shared" si="1110"/>
        <v>51.883641791044774</v>
      </c>
      <c r="G7080" s="338" t="s">
        <v>12060</v>
      </c>
      <c r="H7080" s="2003" t="s">
        <v>10818</v>
      </c>
      <c r="I7080" s="501" t="s">
        <v>10379</v>
      </c>
      <c r="J7080" s="502" t="s">
        <v>10678</v>
      </c>
      <c r="K7080" s="501"/>
    </row>
    <row r="7081" spans="1:11" s="35" customFormat="1">
      <c r="A7081" s="502"/>
      <c r="B7081" s="28" t="s">
        <v>10819</v>
      </c>
      <c r="C7081" s="2510">
        <v>119.03333333333333</v>
      </c>
      <c r="D7081" s="244">
        <f>C7081*(1-VLOOKUP(I7081,descuentos,6,FALSE))*fcl/IF(dol_sol="dólar", TC,1)</f>
        <v>53.405104477611935</v>
      </c>
      <c r="E7081" s="2005">
        <v>3</v>
      </c>
      <c r="F7081" s="2001">
        <f t="shared" si="1110"/>
        <v>56.405104477611935</v>
      </c>
      <c r="G7081" s="338" t="s">
        <v>12061</v>
      </c>
      <c r="H7081" s="2003" t="s">
        <v>10820</v>
      </c>
      <c r="I7081" s="501" t="s">
        <v>10379</v>
      </c>
      <c r="J7081" s="502" t="s">
        <v>10678</v>
      </c>
      <c r="K7081" s="501"/>
    </row>
    <row r="7082" spans="1:11" s="35" customFormat="1">
      <c r="A7082" s="502"/>
      <c r="B7082" s="28"/>
      <c r="C7082" s="2510"/>
      <c r="D7082" s="244"/>
      <c r="E7082" s="2005"/>
      <c r="F7082" s="2001"/>
      <c r="G7082" s="208"/>
      <c r="H7082" s="2003"/>
      <c r="I7082" s="501"/>
      <c r="J7082" s="502"/>
      <c r="K7082" s="501"/>
    </row>
    <row r="7083" spans="1:11" s="35" customFormat="1">
      <c r="A7083" s="502"/>
      <c r="B7083" s="28" t="s">
        <v>10821</v>
      </c>
      <c r="C7083" s="2510">
        <v>81.866666666666674</v>
      </c>
      <c r="D7083" s="244">
        <f>C7083*(1-VLOOKUP(I7083,descuentos,6,FALSE))*fcl/IF(dol_sol="dólar", TC,1)</f>
        <v>36.73002985074627</v>
      </c>
      <c r="E7083" s="2005">
        <v>3</v>
      </c>
      <c r="F7083" s="2001">
        <f t="shared" si="1110"/>
        <v>39.73002985074627</v>
      </c>
      <c r="G7083" s="338" t="s">
        <v>12062</v>
      </c>
      <c r="H7083" s="2003" t="s">
        <v>10822</v>
      </c>
      <c r="I7083" s="501" t="s">
        <v>10379</v>
      </c>
      <c r="J7083" s="502" t="s">
        <v>10678</v>
      </c>
      <c r="K7083" s="501"/>
    </row>
    <row r="7084" spans="1:11" s="35" customFormat="1">
      <c r="A7084" s="502"/>
      <c r="B7084" s="28" t="s">
        <v>10823</v>
      </c>
      <c r="C7084" s="2510">
        <v>92.577777777777769</v>
      </c>
      <c r="D7084" s="244">
        <f>C7084*(1-VLOOKUP(I7084,descuentos,6,FALSE))*fcl/IF(dol_sol="dólar", TC,1)</f>
        <v>41.535641791044775</v>
      </c>
      <c r="E7084" s="2005">
        <v>3</v>
      </c>
      <c r="F7084" s="2001">
        <f t="shared" si="1110"/>
        <v>44.535641791044775</v>
      </c>
      <c r="G7084" s="338" t="s">
        <v>12063</v>
      </c>
      <c r="H7084" s="2003" t="s">
        <v>10824</v>
      </c>
      <c r="I7084" s="501" t="s">
        <v>10379</v>
      </c>
      <c r="J7084" s="502" t="s">
        <v>10678</v>
      </c>
      <c r="K7084" s="501"/>
    </row>
    <row r="7085" spans="1:11" s="35" customFormat="1">
      <c r="A7085" s="502"/>
      <c r="B7085" s="28" t="s">
        <v>10825</v>
      </c>
      <c r="C7085" s="2510">
        <v>102.65555555555555</v>
      </c>
      <c r="D7085" s="244">
        <f>C7085*(1-VLOOKUP(I7085,descuentos,6,FALSE))*fcl/IF(dol_sol="dólar", TC,1)</f>
        <v>46.057104477611944</v>
      </c>
      <c r="E7085" s="2005">
        <v>3</v>
      </c>
      <c r="F7085" s="2001">
        <f t="shared" si="1110"/>
        <v>49.057104477611944</v>
      </c>
      <c r="G7085" s="338" t="s">
        <v>12064</v>
      </c>
      <c r="H7085" s="2003" t="s">
        <v>10826</v>
      </c>
      <c r="I7085" s="501" t="s">
        <v>10379</v>
      </c>
      <c r="J7085" s="502" t="s">
        <v>10678</v>
      </c>
      <c r="K7085" s="501"/>
    </row>
    <row r="7086" spans="1:11" s="35" customFormat="1">
      <c r="A7086" s="502"/>
      <c r="B7086" s="28"/>
      <c r="C7086" s="2510"/>
      <c r="D7086" s="244"/>
      <c r="E7086" s="2005"/>
      <c r="F7086" s="2001"/>
      <c r="G7086" s="208"/>
      <c r="H7086" s="2003"/>
      <c r="I7086" s="501"/>
      <c r="J7086" s="502"/>
      <c r="K7086" s="501"/>
    </row>
    <row r="7087" spans="1:11" s="35" customFormat="1">
      <c r="A7087" s="502"/>
      <c r="B7087" s="28" t="s">
        <v>10827</v>
      </c>
      <c r="C7087" s="2510">
        <v>141.0888888888889</v>
      </c>
      <c r="D7087" s="244">
        <f>C7087*(1-VLOOKUP(I7087,descuentos,6,FALSE))*fcl/IF(dol_sol="dólar", TC,1)</f>
        <v>63.300477611940309</v>
      </c>
      <c r="E7087" s="2005">
        <v>6</v>
      </c>
      <c r="F7087" s="2001">
        <f t="shared" si="1110"/>
        <v>69.300477611940309</v>
      </c>
      <c r="G7087" s="338" t="s">
        <v>12065</v>
      </c>
      <c r="H7087" s="2003">
        <v>411702</v>
      </c>
      <c r="I7087" s="501" t="s">
        <v>10379</v>
      </c>
      <c r="J7087" s="502" t="s">
        <v>10678</v>
      </c>
      <c r="K7087" s="501"/>
    </row>
    <row r="7088" spans="1:11" s="35" customFormat="1">
      <c r="A7088" s="502"/>
      <c r="B7088" s="28" t="s">
        <v>10828</v>
      </c>
      <c r="C7088" s="2510">
        <v>152.4111111111111</v>
      </c>
      <c r="D7088" s="244">
        <f>C7088*(1-VLOOKUP(I7088,descuentos,6,FALSE))*fcl/IF(dol_sol="dólar", TC,1)</f>
        <v>68.38026865671641</v>
      </c>
      <c r="E7088" s="2005">
        <v>6</v>
      </c>
      <c r="F7088" s="2001">
        <f t="shared" si="1110"/>
        <v>74.38026865671641</v>
      </c>
      <c r="G7088" s="338" t="s">
        <v>12066</v>
      </c>
      <c r="H7088" s="2003" t="s">
        <v>10829</v>
      </c>
      <c r="I7088" s="501" t="s">
        <v>10379</v>
      </c>
      <c r="J7088" s="502" t="s">
        <v>10678</v>
      </c>
      <c r="K7088" s="501"/>
    </row>
    <row r="7089" spans="1:11" s="35" customFormat="1">
      <c r="A7089" s="502"/>
      <c r="B7089" s="28" t="s">
        <v>10830</v>
      </c>
      <c r="C7089" s="2510">
        <v>164.38888888888889</v>
      </c>
      <c r="D7089" s="244">
        <f>C7089*(1-VLOOKUP(I7089,descuentos,6,FALSE))*fcl/IF(dol_sol="dólar", TC,1)</f>
        <v>73.754179104477601</v>
      </c>
      <c r="E7089" s="2005">
        <v>6</v>
      </c>
      <c r="F7089" s="2001">
        <f t="shared" si="1110"/>
        <v>79.754179104477601</v>
      </c>
      <c r="G7089" s="338" t="s">
        <v>12067</v>
      </c>
      <c r="H7089" s="2003" t="s">
        <v>10831</v>
      </c>
      <c r="I7089" s="501" t="s">
        <v>10379</v>
      </c>
      <c r="J7089" s="502" t="s">
        <v>10678</v>
      </c>
      <c r="K7089" s="501"/>
    </row>
    <row r="7090" spans="1:11" s="35" customFormat="1">
      <c r="A7090" s="502"/>
      <c r="B7090" s="28" t="s">
        <v>10832</v>
      </c>
      <c r="C7090" s="2510">
        <v>193.35555555555555</v>
      </c>
      <c r="D7090" s="244">
        <f>C7090*(1-VLOOKUP(I7090,descuentos,6,FALSE))*fcl/IF(dol_sol="dólar", TC,1)</f>
        <v>86.750268656716415</v>
      </c>
      <c r="E7090" s="2005">
        <v>6</v>
      </c>
      <c r="F7090" s="2001">
        <f t="shared" si="1110"/>
        <v>92.750268656716415</v>
      </c>
      <c r="G7090" s="338" t="s">
        <v>12068</v>
      </c>
      <c r="H7090" s="2003" t="s">
        <v>10833</v>
      </c>
      <c r="I7090" s="501" t="s">
        <v>10379</v>
      </c>
      <c r="J7090" s="502" t="s">
        <v>10678</v>
      </c>
      <c r="K7090" s="501"/>
    </row>
    <row r="7091" spans="1:11" s="35" customFormat="1">
      <c r="A7091" s="502"/>
      <c r="B7091" s="28"/>
      <c r="C7091" s="2510"/>
      <c r="D7091" s="244"/>
      <c r="E7091" s="2005"/>
      <c r="F7091" s="2001"/>
      <c r="G7091" s="208"/>
      <c r="H7091" s="2003"/>
      <c r="I7091" s="501"/>
      <c r="J7091" s="502"/>
      <c r="K7091" s="501"/>
    </row>
    <row r="7092" spans="1:11" s="35" customFormat="1">
      <c r="A7092" s="502"/>
      <c r="B7092" s="28" t="s">
        <v>10834</v>
      </c>
      <c r="C7092" s="2510">
        <v>120.3</v>
      </c>
      <c r="D7092" s="244">
        <f>C7092*(1-VLOOKUP(I7092,descuentos,6,FALSE))*fcl/IF(dol_sol="dólar", TC,1)</f>
        <v>53.973402985074621</v>
      </c>
      <c r="E7092" s="2005">
        <v>6</v>
      </c>
      <c r="F7092" s="2001">
        <f t="shared" si="1110"/>
        <v>59.973402985074621</v>
      </c>
      <c r="G7092" s="338" t="s">
        <v>12069</v>
      </c>
      <c r="H7092" s="2003" t="s">
        <v>10835</v>
      </c>
      <c r="I7092" s="501" t="s">
        <v>10379</v>
      </c>
      <c r="J7092" s="502" t="s">
        <v>10678</v>
      </c>
      <c r="K7092" s="501"/>
    </row>
    <row r="7093" spans="1:11" s="35" customFormat="1">
      <c r="A7093" s="502"/>
      <c r="B7093" s="28" t="s">
        <v>10836</v>
      </c>
      <c r="C7093" s="2510">
        <v>127.22222222222221</v>
      </c>
      <c r="D7093" s="244">
        <f>C7093*(1-VLOOKUP(I7093,descuentos,6,FALSE))*fcl/IF(dol_sol="dólar", TC,1)</f>
        <v>57.079104477611942</v>
      </c>
      <c r="E7093" s="2005">
        <v>6</v>
      </c>
      <c r="F7093" s="2001">
        <f t="shared" si="1110"/>
        <v>63.079104477611942</v>
      </c>
      <c r="G7093" s="338" t="s">
        <v>12070</v>
      </c>
      <c r="H7093" s="2003" t="s">
        <v>10837</v>
      </c>
      <c r="I7093" s="501" t="s">
        <v>10379</v>
      </c>
      <c r="J7093" s="502" t="s">
        <v>10678</v>
      </c>
      <c r="K7093" s="501"/>
    </row>
    <row r="7094" spans="1:11" s="35" customFormat="1">
      <c r="A7094" s="502"/>
      <c r="B7094" s="28" t="s">
        <v>10838</v>
      </c>
      <c r="C7094" s="2510">
        <v>144.85555555555555</v>
      </c>
      <c r="D7094" s="244">
        <f>C7094*(1-VLOOKUP(I7094,descuentos,6,FALSE))*fcl/IF(dol_sol="dólar", TC,1)</f>
        <v>64.990417910447761</v>
      </c>
      <c r="E7094" s="2005">
        <v>6</v>
      </c>
      <c r="F7094" s="2001">
        <f t="shared" si="1110"/>
        <v>70.990417910447761</v>
      </c>
      <c r="G7094" s="338" t="s">
        <v>12071</v>
      </c>
      <c r="H7094" s="2003" t="s">
        <v>10839</v>
      </c>
      <c r="I7094" s="501" t="s">
        <v>10379</v>
      </c>
      <c r="J7094" s="502" t="s">
        <v>10678</v>
      </c>
      <c r="K7094" s="501"/>
    </row>
    <row r="7095" spans="1:11" s="35" customFormat="1">
      <c r="A7095" s="502"/>
      <c r="B7095" s="28" t="s">
        <v>10840</v>
      </c>
      <c r="C7095" s="2510">
        <v>151.77777777777777</v>
      </c>
      <c r="D7095" s="244">
        <f>C7095*(1-VLOOKUP(I7095,descuentos,6,FALSE))*fcl/IF(dol_sol="dólar", TC,1)</f>
        <v>68.096119402985067</v>
      </c>
      <c r="E7095" s="2005">
        <v>6</v>
      </c>
      <c r="F7095" s="2001">
        <f t="shared" si="1110"/>
        <v>74.096119402985067</v>
      </c>
      <c r="G7095" s="338" t="s">
        <v>12072</v>
      </c>
      <c r="H7095" s="2003" t="s">
        <v>10841</v>
      </c>
      <c r="I7095" s="501" t="s">
        <v>10379</v>
      </c>
      <c r="J7095" s="502" t="s">
        <v>10678</v>
      </c>
      <c r="K7095" s="501"/>
    </row>
    <row r="7096" spans="1:11" s="35" customFormat="1">
      <c r="A7096" s="502"/>
      <c r="B7096" s="28"/>
      <c r="C7096" s="2510"/>
      <c r="D7096" s="244"/>
      <c r="E7096" s="2005"/>
      <c r="F7096" s="2001"/>
      <c r="G7096" s="208"/>
      <c r="H7096" s="2003"/>
      <c r="I7096" s="501"/>
      <c r="J7096" s="502"/>
      <c r="K7096" s="501"/>
    </row>
    <row r="7097" spans="1:11" s="35" customFormat="1">
      <c r="A7097" s="502"/>
      <c r="B7097" s="28" t="s">
        <v>12073</v>
      </c>
      <c r="C7097" s="2510">
        <v>102.44444444444444</v>
      </c>
      <c r="D7097" s="244">
        <f>C7097*(1-VLOOKUP(I7097,descuentos,6,FALSE))*fcl/IF(dol_sol="dólar", TC,1)</f>
        <v>45.962388059701489</v>
      </c>
      <c r="E7097" s="2005">
        <v>6</v>
      </c>
      <c r="F7097" s="2001">
        <f t="shared" ref="F7097:F7099" si="1116">D7097+E7097</f>
        <v>51.962388059701489</v>
      </c>
      <c r="G7097" s="338" t="s">
        <v>12074</v>
      </c>
      <c r="H7097" s="2003" t="s">
        <v>12075</v>
      </c>
      <c r="I7097" s="501" t="s">
        <v>10379</v>
      </c>
      <c r="J7097" s="502" t="s">
        <v>10678</v>
      </c>
      <c r="K7097" s="501"/>
    </row>
    <row r="7098" spans="1:11" s="35" customFormat="1">
      <c r="A7098" s="502"/>
      <c r="B7098" s="28" t="s">
        <v>12076</v>
      </c>
      <c r="C7098" s="2510">
        <v>117.68888888888888</v>
      </c>
      <c r="D7098" s="244">
        <f>C7098*(1-VLOOKUP(I7098,descuentos,6,FALSE))*fcl/IF(dol_sol="dólar", TC,1)</f>
        <v>52.801910447761195</v>
      </c>
      <c r="E7098" s="2005">
        <v>6</v>
      </c>
      <c r="F7098" s="2001">
        <f t="shared" si="1116"/>
        <v>58.801910447761195</v>
      </c>
      <c r="G7098" s="338" t="s">
        <v>12077</v>
      </c>
      <c r="H7098" s="2003" t="s">
        <v>12078</v>
      </c>
      <c r="I7098" s="501" t="s">
        <v>10379</v>
      </c>
      <c r="J7098" s="502" t="s">
        <v>10678</v>
      </c>
      <c r="K7098" s="501"/>
    </row>
    <row r="7099" spans="1:11" s="35" customFormat="1">
      <c r="A7099" s="502"/>
      <c r="B7099" s="28" t="s">
        <v>12079</v>
      </c>
      <c r="C7099" s="2510">
        <v>126.83333333333334</v>
      </c>
      <c r="D7099" s="244">
        <f>C7099*(1-VLOOKUP(I7099,descuentos,6,FALSE))*fcl/IF(dol_sol="dólar", TC,1)</f>
        <v>56.904626865671645</v>
      </c>
      <c r="E7099" s="2005">
        <v>6</v>
      </c>
      <c r="F7099" s="2001">
        <f t="shared" si="1116"/>
        <v>62.904626865671645</v>
      </c>
      <c r="G7099" s="338" t="s">
        <v>12080</v>
      </c>
      <c r="H7099" s="2003" t="s">
        <v>12081</v>
      </c>
      <c r="I7099" s="501" t="s">
        <v>10379</v>
      </c>
      <c r="J7099" s="502" t="s">
        <v>10678</v>
      </c>
      <c r="K7099" s="501"/>
    </row>
    <row r="7100" spans="1:11" s="35" customFormat="1">
      <c r="A7100" s="502"/>
      <c r="B7100" s="28"/>
      <c r="C7100" s="2510"/>
      <c r="D7100" s="244"/>
      <c r="E7100" s="2005"/>
      <c r="F7100" s="2001"/>
      <c r="G7100" s="208"/>
      <c r="H7100" s="2003"/>
      <c r="I7100" s="501"/>
      <c r="J7100" s="502"/>
      <c r="K7100" s="501"/>
    </row>
    <row r="7101" spans="1:11" s="35" customFormat="1">
      <c r="A7101" s="502"/>
      <c r="B7101" s="28" t="s">
        <v>12082</v>
      </c>
      <c r="C7101" s="2510">
        <v>152.44444444444443</v>
      </c>
      <c r="D7101" s="244">
        <f>C7101*(1-VLOOKUP(I7101,descuentos,6,FALSE))*fcl/IF(dol_sol="dólar", TC,1)</f>
        <v>68.395223880597001</v>
      </c>
      <c r="E7101" s="2005">
        <v>6</v>
      </c>
      <c r="F7101" s="2001">
        <f t="shared" ref="F7101:F7104" si="1117">D7101+E7101</f>
        <v>74.395223880597001</v>
      </c>
      <c r="G7101" s="338" t="s">
        <v>12083</v>
      </c>
      <c r="H7101" s="2003" t="s">
        <v>12084</v>
      </c>
      <c r="I7101" s="501" t="s">
        <v>10379</v>
      </c>
      <c r="J7101" s="502" t="s">
        <v>10678</v>
      </c>
      <c r="K7101" s="501"/>
    </row>
    <row r="7102" spans="1:11" s="35" customFormat="1">
      <c r="A7102" s="502"/>
      <c r="B7102" s="28" t="s">
        <v>12085</v>
      </c>
      <c r="C7102" s="2510">
        <v>164.64444444444445</v>
      </c>
      <c r="D7102" s="244">
        <f>C7102*(1-VLOOKUP(I7102,descuentos,6,FALSE))*fcl/IF(dol_sol="dólar", TC,1)</f>
        <v>73.868835820895526</v>
      </c>
      <c r="E7102" s="2005">
        <v>6</v>
      </c>
      <c r="F7102" s="2001">
        <f t="shared" si="1117"/>
        <v>79.868835820895526</v>
      </c>
      <c r="G7102" s="338" t="s">
        <v>12086</v>
      </c>
      <c r="H7102" s="2003" t="s">
        <v>12087</v>
      </c>
      <c r="I7102" s="501" t="s">
        <v>10379</v>
      </c>
      <c r="J7102" s="502" t="s">
        <v>10678</v>
      </c>
      <c r="K7102" s="501"/>
    </row>
    <row r="7103" spans="1:11" s="35" customFormat="1">
      <c r="A7103" s="502"/>
      <c r="B7103" s="28" t="s">
        <v>12088</v>
      </c>
      <c r="C7103" s="2510">
        <v>174.4</v>
      </c>
      <c r="D7103" s="244">
        <f>C7103*(1-VLOOKUP(I7103,descuentos,6,FALSE))*fcl/IF(dol_sol="dólar", TC,1)</f>
        <v>78.24573134328358</v>
      </c>
      <c r="E7103" s="2005">
        <v>6</v>
      </c>
      <c r="F7103" s="2001">
        <f t="shared" si="1117"/>
        <v>84.24573134328358</v>
      </c>
      <c r="G7103" s="338" t="s">
        <v>12089</v>
      </c>
      <c r="H7103" s="2003" t="s">
        <v>12090</v>
      </c>
      <c r="I7103" s="501" t="s">
        <v>10379</v>
      </c>
      <c r="J7103" s="502" t="s">
        <v>10678</v>
      </c>
      <c r="K7103" s="501"/>
    </row>
    <row r="7104" spans="1:11" s="35" customFormat="1">
      <c r="A7104" s="502"/>
      <c r="B7104" s="28" t="s">
        <v>12091</v>
      </c>
      <c r="C7104" s="2510">
        <v>228.05555555555554</v>
      </c>
      <c r="D7104" s="244">
        <f>C7104*(1-VLOOKUP(I7104,descuentos,6,FALSE))*fcl/IF(dol_sol="dólar", TC,1)</f>
        <v>102.31865671641791</v>
      </c>
      <c r="E7104" s="2005">
        <v>6</v>
      </c>
      <c r="F7104" s="2001">
        <f t="shared" si="1117"/>
        <v>108.31865671641791</v>
      </c>
      <c r="G7104" s="338" t="s">
        <v>12092</v>
      </c>
      <c r="H7104" s="2003" t="s">
        <v>12093</v>
      </c>
      <c r="I7104" s="501" t="s">
        <v>10379</v>
      </c>
      <c r="J7104" s="502" t="s">
        <v>10678</v>
      </c>
      <c r="K7104" s="501"/>
    </row>
    <row r="7105" spans="1:11" s="35" customFormat="1">
      <c r="A7105" s="502"/>
      <c r="B7105" s="28"/>
      <c r="C7105" s="2510"/>
      <c r="D7105" s="244"/>
      <c r="E7105" s="2005"/>
      <c r="F7105" s="2001"/>
      <c r="G7105" s="338"/>
      <c r="H7105" s="2003"/>
      <c r="I7105" s="501"/>
      <c r="J7105" s="502"/>
      <c r="K7105" s="501"/>
    </row>
    <row r="7106" spans="1:11" s="35" customFormat="1">
      <c r="A7106" s="502"/>
      <c r="B7106" s="28" t="s">
        <v>10961</v>
      </c>
      <c r="C7106" s="2510">
        <v>111.33333333333333</v>
      </c>
      <c r="D7106" s="244">
        <f>C7106*(1-VLOOKUP(I7106,descuentos,6,FALSE))*fcl/IF(dol_sol="dólar", TC,1)</f>
        <v>49.950447761194027</v>
      </c>
      <c r="E7106" s="2005">
        <v>3</v>
      </c>
      <c r="F7106" s="2001">
        <f t="shared" ref="F7106:F7108" si="1118">D7106+E7106</f>
        <v>52.950447761194027</v>
      </c>
      <c r="G7106" s="338" t="s">
        <v>12094</v>
      </c>
      <c r="H7106" s="2003">
        <v>411569</v>
      </c>
      <c r="I7106" s="501" t="s">
        <v>10379</v>
      </c>
      <c r="J7106" s="502" t="s">
        <v>10678</v>
      </c>
      <c r="K7106" s="501"/>
    </row>
    <row r="7107" spans="1:11" s="35" customFormat="1">
      <c r="A7107" s="502"/>
      <c r="B7107" s="28" t="s">
        <v>10962</v>
      </c>
      <c r="C7107" s="2510">
        <v>123.33333333333333</v>
      </c>
      <c r="D7107" s="244">
        <f>C7107*(1-VLOOKUP(I7107,descuentos,6,FALSE))*fcl/IF(dol_sol="dólar", TC,1)</f>
        <v>55.334328358208957</v>
      </c>
      <c r="E7107" s="2005">
        <v>3</v>
      </c>
      <c r="F7107" s="2001">
        <f t="shared" si="1118"/>
        <v>58.334328358208957</v>
      </c>
      <c r="G7107" s="338" t="s">
        <v>12095</v>
      </c>
      <c r="H7107" s="2003">
        <v>411570</v>
      </c>
      <c r="I7107" s="501" t="s">
        <v>10379</v>
      </c>
      <c r="J7107" s="502" t="s">
        <v>10678</v>
      </c>
      <c r="K7107" s="501"/>
    </row>
    <row r="7108" spans="1:11" s="35" customFormat="1">
      <c r="A7108" s="502"/>
      <c r="B7108" s="28" t="s">
        <v>10963</v>
      </c>
      <c r="C7108" s="2510">
        <v>133.33333333333334</v>
      </c>
      <c r="D7108" s="244">
        <f>C7108*(1-VLOOKUP(I7108,descuentos,6,FALSE))*fcl/IF(dol_sol="dólar", TC,1)</f>
        <v>59.820895522388057</v>
      </c>
      <c r="E7108" s="2005">
        <v>3</v>
      </c>
      <c r="F7108" s="2001">
        <f t="shared" si="1118"/>
        <v>62.820895522388057</v>
      </c>
      <c r="G7108" s="338" t="s">
        <v>12096</v>
      </c>
      <c r="H7108" s="2003">
        <v>411571</v>
      </c>
      <c r="I7108" s="501" t="s">
        <v>10379</v>
      </c>
      <c r="J7108" s="502" t="s">
        <v>10678</v>
      </c>
      <c r="K7108" s="501"/>
    </row>
    <row r="7109" spans="1:11" s="35" customFormat="1">
      <c r="A7109" s="502"/>
      <c r="B7109" s="28"/>
      <c r="C7109" s="2510"/>
      <c r="D7109" s="244"/>
      <c r="E7109" s="2005"/>
      <c r="F7109" s="2001"/>
      <c r="G7109" s="208"/>
      <c r="H7109" s="2003"/>
      <c r="I7109" s="501"/>
      <c r="J7109" s="502"/>
      <c r="K7109" s="501"/>
    </row>
    <row r="7110" spans="1:11" s="35" customFormat="1">
      <c r="A7110" s="502"/>
      <c r="B7110" s="28" t="s">
        <v>10964</v>
      </c>
      <c r="C7110" s="2510">
        <v>160</v>
      </c>
      <c r="D7110" s="244">
        <f>C7110*(1-VLOOKUP(I7110,descuentos,6,FALSE))*fcl/IF(dol_sol="dólar", TC,1)</f>
        <v>71.785074626865665</v>
      </c>
      <c r="E7110" s="2005">
        <v>6</v>
      </c>
      <c r="F7110" s="2001">
        <f t="shared" ref="F7110:F7113" si="1119">D7110+E7110</f>
        <v>77.785074626865665</v>
      </c>
      <c r="G7110" s="338" t="s">
        <v>12097</v>
      </c>
      <c r="H7110" s="2003">
        <v>411779</v>
      </c>
      <c r="I7110" s="501" t="s">
        <v>10379</v>
      </c>
      <c r="J7110" s="502" t="s">
        <v>10678</v>
      </c>
      <c r="K7110" s="501"/>
    </row>
    <row r="7111" spans="1:11" s="35" customFormat="1">
      <c r="A7111" s="502"/>
      <c r="B7111" s="28" t="s">
        <v>10965</v>
      </c>
      <c r="C7111" s="2510">
        <v>172.22222222222223</v>
      </c>
      <c r="D7111" s="244">
        <f>C7111*(1-VLOOKUP(I7111,descuentos,6,FALSE))*fcl/IF(dol_sol="dólar", TC,1)</f>
        <v>77.268656716417894</v>
      </c>
      <c r="E7111" s="2005">
        <v>6</v>
      </c>
      <c r="F7111" s="2001">
        <f t="shared" si="1119"/>
        <v>83.268656716417894</v>
      </c>
      <c r="G7111" s="338" t="s">
        <v>12098</v>
      </c>
      <c r="H7111" s="2003">
        <v>411780</v>
      </c>
      <c r="I7111" s="501" t="s">
        <v>10379</v>
      </c>
      <c r="J7111" s="502" t="s">
        <v>10678</v>
      </c>
      <c r="K7111" s="501"/>
    </row>
    <row r="7112" spans="1:11" s="35" customFormat="1">
      <c r="A7112" s="502"/>
      <c r="B7112" s="28" t="s">
        <v>10966</v>
      </c>
      <c r="C7112" s="2510">
        <v>183.33333333333334</v>
      </c>
      <c r="D7112" s="244">
        <f>C7112*(1-VLOOKUP(I7112,descuentos,6,FALSE))*fcl/IF(dol_sol="dólar", TC,1)</f>
        <v>82.25373134328359</v>
      </c>
      <c r="E7112" s="2005">
        <v>6</v>
      </c>
      <c r="F7112" s="2001">
        <f t="shared" si="1119"/>
        <v>88.25373134328359</v>
      </c>
      <c r="G7112" s="338" t="s">
        <v>12099</v>
      </c>
      <c r="H7112" s="2003">
        <v>411781</v>
      </c>
      <c r="I7112" s="501" t="s">
        <v>10379</v>
      </c>
      <c r="J7112" s="502" t="s">
        <v>10678</v>
      </c>
      <c r="K7112" s="501"/>
    </row>
    <row r="7113" spans="1:11" s="35" customFormat="1">
      <c r="A7113" s="502"/>
      <c r="B7113" s="28" t="s">
        <v>10967</v>
      </c>
      <c r="C7113" s="2510">
        <v>207.77777777777777</v>
      </c>
      <c r="D7113" s="244">
        <f>C7113*(1-VLOOKUP(I7113,descuentos,6,FALSE))*fcl/IF(dol_sol="dólar", TC,1)</f>
        <v>93.220895522388048</v>
      </c>
      <c r="E7113" s="2005">
        <v>6</v>
      </c>
      <c r="F7113" s="2001">
        <f t="shared" si="1119"/>
        <v>99.220895522388048</v>
      </c>
      <c r="G7113" s="338" t="s">
        <v>12100</v>
      </c>
      <c r="H7113" s="2003">
        <v>411782</v>
      </c>
      <c r="I7113" s="501" t="s">
        <v>10379</v>
      </c>
      <c r="J7113" s="502" t="s">
        <v>10678</v>
      </c>
      <c r="K7113" s="501"/>
    </row>
    <row r="7114" spans="1:11" s="35" customFormat="1">
      <c r="A7114" s="502"/>
      <c r="B7114" s="28"/>
      <c r="C7114" s="2510"/>
      <c r="D7114" s="244"/>
      <c r="E7114" s="2005"/>
      <c r="F7114" s="2001"/>
      <c r="G7114" s="338"/>
      <c r="H7114" s="2003"/>
      <c r="I7114" s="501"/>
      <c r="J7114" s="502"/>
      <c r="K7114" s="501"/>
    </row>
    <row r="7115" spans="1:11" s="35" customFormat="1">
      <c r="A7115" s="502"/>
      <c r="B7115" s="28" t="s">
        <v>10842</v>
      </c>
      <c r="C7115" s="2510">
        <v>139.82222222222222</v>
      </c>
      <c r="D7115" s="244">
        <f>C7115*(1-VLOOKUP(I7115,descuentos,6,FALSE))*fcl/IF(dol_sol="dólar", TC,1)</f>
        <v>62.732179104477609</v>
      </c>
      <c r="E7115" s="2005">
        <v>3</v>
      </c>
      <c r="F7115" s="2001">
        <f t="shared" si="1110"/>
        <v>65.732179104477609</v>
      </c>
      <c r="G7115" s="338" t="s">
        <v>12101</v>
      </c>
      <c r="H7115" s="2003">
        <v>411590</v>
      </c>
      <c r="I7115" s="501" t="s">
        <v>10379</v>
      </c>
      <c r="J7115" s="502" t="s">
        <v>10678</v>
      </c>
      <c r="K7115" s="501"/>
    </row>
    <row r="7116" spans="1:11" s="35" customFormat="1">
      <c r="A7116" s="502"/>
      <c r="B7116" s="28" t="s">
        <v>10843</v>
      </c>
      <c r="C7116" s="2510">
        <v>146.74444444444444</v>
      </c>
      <c r="D7116" s="244">
        <f>C7116*(1-VLOOKUP(I7116,descuentos,6,FALSE))*fcl/IF(dol_sol="dólar", TC,1)</f>
        <v>65.837880597014916</v>
      </c>
      <c r="E7116" s="2005">
        <v>3</v>
      </c>
      <c r="F7116" s="2001">
        <f t="shared" si="1110"/>
        <v>68.837880597014916</v>
      </c>
      <c r="G7116" s="338" t="s">
        <v>12102</v>
      </c>
      <c r="H7116" s="2003" t="s">
        <v>10844</v>
      </c>
      <c r="I7116" s="501" t="s">
        <v>10379</v>
      </c>
      <c r="J7116" s="502" t="s">
        <v>10678</v>
      </c>
      <c r="K7116" s="501"/>
    </row>
    <row r="7117" spans="1:11" s="35" customFormat="1">
      <c r="A7117" s="502"/>
      <c r="B7117" s="28" t="s">
        <v>10845</v>
      </c>
      <c r="C7117" s="2510">
        <v>179.5</v>
      </c>
      <c r="D7117" s="244">
        <f>C7117*(1-VLOOKUP(I7117,descuentos,6,FALSE))*fcl/IF(dol_sol="dólar", TC,1)</f>
        <v>80.533880597014928</v>
      </c>
      <c r="E7117" s="2005">
        <v>3</v>
      </c>
      <c r="F7117" s="2001">
        <f t="shared" si="1110"/>
        <v>83.533880597014928</v>
      </c>
      <c r="G7117" s="338" t="s">
        <v>12103</v>
      </c>
      <c r="H7117" s="2003" t="s">
        <v>10846</v>
      </c>
      <c r="I7117" s="501" t="s">
        <v>10379</v>
      </c>
      <c r="J7117" s="502" t="s">
        <v>10678</v>
      </c>
      <c r="K7117" s="501"/>
    </row>
    <row r="7118" spans="1:11" s="35" customFormat="1">
      <c r="A7118" s="502"/>
      <c r="B7118" s="28"/>
      <c r="C7118" s="2510"/>
      <c r="D7118" s="244"/>
      <c r="E7118" s="2005"/>
      <c r="F7118" s="2001"/>
      <c r="G7118" s="208"/>
      <c r="H7118" s="2003"/>
      <c r="I7118" s="501"/>
      <c r="J7118" s="502"/>
      <c r="K7118" s="501"/>
    </row>
    <row r="7119" spans="1:11" s="35" customFormat="1">
      <c r="A7119" s="502"/>
      <c r="B7119" s="28" t="s">
        <v>10847</v>
      </c>
      <c r="C7119" s="2510">
        <v>211.61111111111109</v>
      </c>
      <c r="D7119" s="244">
        <f>C7119*(1-VLOOKUP(I7119,descuentos,6,FALSE))*fcl/IF(dol_sol="dólar", TC,1)</f>
        <v>94.94074626865671</v>
      </c>
      <c r="E7119" s="2005">
        <v>6</v>
      </c>
      <c r="F7119" s="2001">
        <f t="shared" si="1110"/>
        <v>100.94074626865671</v>
      </c>
      <c r="G7119" s="338" t="s">
        <v>12104</v>
      </c>
      <c r="H7119" s="2003" t="s">
        <v>10848</v>
      </c>
      <c r="I7119" s="501" t="s">
        <v>10379</v>
      </c>
      <c r="J7119" s="502" t="s">
        <v>10678</v>
      </c>
      <c r="K7119" s="501"/>
    </row>
    <row r="7120" spans="1:11" s="35" customFormat="1">
      <c r="A7120" s="502"/>
      <c r="B7120" s="28" t="s">
        <v>10849</v>
      </c>
      <c r="C7120" s="2510">
        <v>211.61111111111109</v>
      </c>
      <c r="D7120" s="244">
        <f>C7120*(1-VLOOKUP(I7120,descuentos,6,FALSE))*fcl/IF(dol_sol="dólar", TC,1)</f>
        <v>94.94074626865671</v>
      </c>
      <c r="E7120" s="2005">
        <v>6</v>
      </c>
      <c r="F7120" s="2001">
        <f t="shared" si="1110"/>
        <v>100.94074626865671</v>
      </c>
      <c r="G7120" s="338" t="s">
        <v>12105</v>
      </c>
      <c r="H7120" s="2003" t="s">
        <v>10850</v>
      </c>
      <c r="I7120" s="501" t="s">
        <v>10379</v>
      </c>
      <c r="J7120" s="502" t="s">
        <v>10678</v>
      </c>
      <c r="K7120" s="501"/>
    </row>
    <row r="7121" spans="1:11" s="35" customFormat="1">
      <c r="A7121" s="502"/>
      <c r="B7121" s="28" t="s">
        <v>10851</v>
      </c>
      <c r="C7121" s="2510">
        <v>287.2</v>
      </c>
      <c r="D7121" s="244">
        <f>C7121*(1-VLOOKUP(I7121,descuentos,6,FALSE))*fcl/IF(dol_sol="dólar", TC,1)</f>
        <v>128.8542089552239</v>
      </c>
      <c r="E7121" s="2005">
        <v>6</v>
      </c>
      <c r="F7121" s="2001">
        <f t="shared" si="1110"/>
        <v>134.8542089552239</v>
      </c>
      <c r="G7121" s="338" t="s">
        <v>12106</v>
      </c>
      <c r="H7121" s="2003" t="s">
        <v>10852</v>
      </c>
      <c r="I7121" s="501" t="s">
        <v>10379</v>
      </c>
      <c r="J7121" s="502" t="s">
        <v>10678</v>
      </c>
      <c r="K7121" s="501"/>
    </row>
    <row r="7122" spans="1:11" s="35" customFormat="1">
      <c r="A7122" s="502"/>
      <c r="B7122" s="28"/>
      <c r="C7122" s="2510"/>
      <c r="D7122" s="244"/>
      <c r="E7122" s="2005"/>
      <c r="F7122" s="2001"/>
      <c r="G7122" s="208"/>
      <c r="H7122" s="2003"/>
      <c r="I7122" s="501"/>
      <c r="J7122" s="502"/>
      <c r="K7122" s="501"/>
    </row>
    <row r="7123" spans="1:11" s="35" customFormat="1">
      <c r="A7123" s="502"/>
      <c r="B7123" s="28"/>
      <c r="C7123" s="2510"/>
      <c r="D7123" s="244"/>
      <c r="E7123" s="2005"/>
      <c r="F7123" s="2001"/>
      <c r="G7123" s="208"/>
      <c r="H7123" s="2003"/>
      <c r="I7123" s="501"/>
      <c r="J7123" s="502"/>
      <c r="K7123" s="501"/>
    </row>
    <row r="7124" spans="1:11" s="35" customFormat="1">
      <c r="A7124" s="502"/>
      <c r="B7124" s="28"/>
      <c r="C7124" s="2510"/>
      <c r="D7124" s="244"/>
      <c r="E7124" s="2005"/>
      <c r="F7124" s="2001"/>
      <c r="G7124" s="208"/>
      <c r="H7124" s="2003"/>
      <c r="I7124" s="501"/>
      <c r="J7124" s="502"/>
      <c r="K7124" s="501"/>
    </row>
    <row r="7125" spans="1:11" s="35" customFormat="1">
      <c r="A7125" s="510"/>
      <c r="B7125" s="28" t="s">
        <v>13238</v>
      </c>
      <c r="C7125" s="2510">
        <v>2357.7777777777778</v>
      </c>
      <c r="D7125" s="244">
        <f>C7125*(1-VLOOKUP(I7125,descuentos,6,FALSE))*fcl/IF(dol_sol="dólar", TC,1)</f>
        <v>1057.8328358208955</v>
      </c>
      <c r="E7125" s="2005">
        <v>6</v>
      </c>
      <c r="F7125" s="2001">
        <f t="shared" ref="F7125:F7129" si="1120">D7125+E7125</f>
        <v>1063.8328358208955</v>
      </c>
      <c r="G7125" s="338" t="s">
        <v>13239</v>
      </c>
      <c r="H7125" s="2003" t="s">
        <v>13240</v>
      </c>
      <c r="I7125" s="501" t="s">
        <v>10379</v>
      </c>
      <c r="J7125" s="502" t="s">
        <v>10678</v>
      </c>
      <c r="K7125" s="501"/>
    </row>
    <row r="7126" spans="1:11" s="35" customFormat="1">
      <c r="A7126" s="510"/>
      <c r="B7126" s="28" t="s">
        <v>13241</v>
      </c>
      <c r="C7126" s="2510">
        <v>3421.1111111111109</v>
      </c>
      <c r="D7126" s="244">
        <f>C7126*(1-VLOOKUP(I7126,descuentos,6,FALSE))*fcl/IF(dol_sol="dólar", TC,1)</f>
        <v>1534.9044776119401</v>
      </c>
      <c r="E7126" s="2005">
        <v>6</v>
      </c>
      <c r="F7126" s="2001">
        <f t="shared" si="1120"/>
        <v>1540.9044776119401</v>
      </c>
      <c r="G7126" s="338" t="s">
        <v>13242</v>
      </c>
      <c r="H7126" s="2003" t="s">
        <v>13243</v>
      </c>
      <c r="I7126" s="501" t="s">
        <v>10379</v>
      </c>
      <c r="J7126" s="502" t="s">
        <v>10678</v>
      </c>
      <c r="K7126" s="501"/>
    </row>
    <row r="7127" spans="1:11" s="35" customFormat="1">
      <c r="A7127" s="510"/>
      <c r="B7127" s="28"/>
      <c r="C7127" s="2510"/>
      <c r="D7127" s="244"/>
      <c r="E7127" s="2005"/>
      <c r="F7127" s="2001"/>
      <c r="G7127" s="338"/>
      <c r="H7127" s="2003"/>
      <c r="I7127" s="501"/>
      <c r="J7127" s="502"/>
      <c r="K7127" s="501"/>
    </row>
    <row r="7128" spans="1:11" s="35" customFormat="1">
      <c r="A7128" s="510"/>
      <c r="B7128" s="28" t="s">
        <v>13244</v>
      </c>
      <c r="C7128" s="2510">
        <v>2177.7777777777778</v>
      </c>
      <c r="D7128" s="244">
        <f>C7128*(1-VLOOKUP(I7128,descuentos,6,FALSE))*fcl/IF(dol_sol="dólar", TC,1)</f>
        <v>977.07462686567158</v>
      </c>
      <c r="E7128" s="2005">
        <v>6</v>
      </c>
      <c r="F7128" s="2001">
        <f t="shared" si="1120"/>
        <v>983.07462686567158</v>
      </c>
      <c r="G7128" s="338" t="s">
        <v>13245</v>
      </c>
      <c r="H7128" s="2003" t="s">
        <v>13246</v>
      </c>
      <c r="I7128" s="501" t="s">
        <v>10379</v>
      </c>
      <c r="J7128" s="502" t="s">
        <v>10678</v>
      </c>
      <c r="K7128" s="501"/>
    </row>
    <row r="7129" spans="1:11" s="35" customFormat="1">
      <c r="A7129" s="510"/>
      <c r="B7129" s="28" t="s">
        <v>13247</v>
      </c>
      <c r="C7129" s="2510">
        <v>2444.4444444444443</v>
      </c>
      <c r="D7129" s="244">
        <f>C7129*(1-VLOOKUP(I7129,descuentos,6,FALSE))*fcl/IF(dol_sol="dólar", TC,1)</f>
        <v>1096.7164179104477</v>
      </c>
      <c r="E7129" s="2005">
        <v>6</v>
      </c>
      <c r="F7129" s="2001">
        <f t="shared" si="1120"/>
        <v>1102.7164179104477</v>
      </c>
      <c r="G7129" s="338" t="s">
        <v>13248</v>
      </c>
      <c r="H7129" s="2003" t="s">
        <v>13249</v>
      </c>
      <c r="I7129" s="501" t="s">
        <v>10379</v>
      </c>
      <c r="J7129" s="502" t="s">
        <v>10678</v>
      </c>
      <c r="K7129" s="501"/>
    </row>
    <row r="7130" spans="1:11" s="35" customFormat="1">
      <c r="A7130" s="510"/>
      <c r="B7130" s="28"/>
      <c r="C7130" s="2510"/>
      <c r="D7130" s="244"/>
      <c r="E7130" s="2005"/>
      <c r="F7130" s="2001"/>
      <c r="G7130" s="208"/>
      <c r="H7130" s="2003"/>
      <c r="I7130" s="501"/>
      <c r="J7130" s="502"/>
      <c r="K7130" s="501"/>
    </row>
    <row r="7131" spans="1:11" s="35" customFormat="1">
      <c r="A7131" s="510"/>
      <c r="B7131" s="28" t="s">
        <v>13250</v>
      </c>
      <c r="C7131" s="2510">
        <v>2735.5555555555557</v>
      </c>
      <c r="D7131" s="244">
        <f>C7131*(1-VLOOKUP(I7131,descuentos,6,FALSE))*fcl/IF(dol_sol="dólar", TC,1)</f>
        <v>1227.3253731343284</v>
      </c>
      <c r="E7131" s="2005">
        <v>6</v>
      </c>
      <c r="F7131" s="2001">
        <f t="shared" ref="F7131:F7135" si="1121">D7131+E7131</f>
        <v>1233.3253731343284</v>
      </c>
      <c r="G7131" s="338" t="s">
        <v>13251</v>
      </c>
      <c r="H7131" s="2003" t="s">
        <v>13252</v>
      </c>
      <c r="I7131" s="501" t="s">
        <v>10379</v>
      </c>
      <c r="J7131" s="502" t="s">
        <v>10678</v>
      </c>
      <c r="K7131" s="501"/>
    </row>
    <row r="7132" spans="1:11" s="35" customFormat="1">
      <c r="A7132" s="510"/>
      <c r="B7132" s="28" t="s">
        <v>13253</v>
      </c>
      <c r="C7132" s="2510">
        <v>3645.5555555555557</v>
      </c>
      <c r="D7132" s="244">
        <f>C7132*(1-VLOOKUP(I7132,descuentos,6,FALSE))*fcl/IF(dol_sol="dólar", TC,1)</f>
        <v>1635.6029850746268</v>
      </c>
      <c r="E7132" s="2005">
        <v>6</v>
      </c>
      <c r="F7132" s="2001">
        <f t="shared" si="1121"/>
        <v>1641.6029850746268</v>
      </c>
      <c r="G7132" s="338" t="s">
        <v>13254</v>
      </c>
      <c r="H7132" s="2003" t="s">
        <v>13255</v>
      </c>
      <c r="I7132" s="501" t="s">
        <v>10379</v>
      </c>
      <c r="J7132" s="502" t="s">
        <v>10678</v>
      </c>
      <c r="K7132" s="501"/>
    </row>
    <row r="7133" spans="1:11" s="35" customFormat="1">
      <c r="A7133" s="510"/>
      <c r="B7133" s="28"/>
      <c r="C7133" s="2510"/>
      <c r="D7133" s="244"/>
      <c r="E7133" s="2005"/>
      <c r="F7133" s="2001"/>
      <c r="G7133" s="338"/>
      <c r="H7133" s="2003"/>
      <c r="I7133" s="501"/>
      <c r="J7133" s="502"/>
      <c r="K7133" s="501"/>
    </row>
    <row r="7134" spans="1:11" s="35" customFormat="1">
      <c r="A7134" s="510"/>
      <c r="B7134" s="28" t="s">
        <v>13256</v>
      </c>
      <c r="C7134" s="2510">
        <v>2604.1888888888889</v>
      </c>
      <c r="D7134" s="244">
        <f>C7134*(1-VLOOKUP(I7134,descuentos,6,FALSE))*fcl/IF(dol_sol="dólar", TC,1)</f>
        <v>1168.3868358208954</v>
      </c>
      <c r="E7134" s="2005">
        <v>6</v>
      </c>
      <c r="F7134" s="2001">
        <f t="shared" si="1121"/>
        <v>1174.3868358208954</v>
      </c>
      <c r="G7134" s="338" t="s">
        <v>13257</v>
      </c>
      <c r="H7134" s="2003" t="s">
        <v>13258</v>
      </c>
      <c r="I7134" s="501" t="s">
        <v>10379</v>
      </c>
      <c r="J7134" s="502" t="s">
        <v>10678</v>
      </c>
      <c r="K7134" s="501"/>
    </row>
    <row r="7135" spans="1:11" s="35" customFormat="1">
      <c r="A7135" s="510"/>
      <c r="B7135" s="28" t="s">
        <v>13259</v>
      </c>
      <c r="C7135" s="2510">
        <v>3303.2999999999997</v>
      </c>
      <c r="D7135" s="244">
        <f>C7135*(1-VLOOKUP(I7135,descuentos,6,FALSE))*fcl/IF(dol_sol="dólar", TC,1)</f>
        <v>1482.0477313432834</v>
      </c>
      <c r="E7135" s="2005">
        <v>6</v>
      </c>
      <c r="F7135" s="2001">
        <f t="shared" si="1121"/>
        <v>1488.0477313432834</v>
      </c>
      <c r="G7135" s="338" t="s">
        <v>13260</v>
      </c>
      <c r="H7135" s="2003" t="s">
        <v>13261</v>
      </c>
      <c r="I7135" s="501" t="s">
        <v>10379</v>
      </c>
      <c r="J7135" s="502" t="s">
        <v>10678</v>
      </c>
      <c r="K7135" s="501"/>
    </row>
    <row r="7136" spans="1:11" s="35" customFormat="1">
      <c r="A7136" s="510"/>
      <c r="B7136" s="28"/>
      <c r="C7136" s="2510"/>
      <c r="D7136" s="244"/>
      <c r="E7136" s="2005"/>
      <c r="F7136" s="2001"/>
      <c r="G7136" s="208"/>
      <c r="H7136" s="2003"/>
      <c r="I7136" s="501"/>
      <c r="J7136" s="502"/>
      <c r="K7136" s="501"/>
    </row>
    <row r="7137" spans="1:12" s="35" customFormat="1">
      <c r="A7137" s="502"/>
      <c r="B7137" s="28"/>
      <c r="C7137" s="2510"/>
      <c r="D7137" s="244"/>
      <c r="E7137" s="2005"/>
      <c r="F7137" s="2001"/>
      <c r="G7137" s="208"/>
      <c r="H7137" s="2003"/>
      <c r="I7137" s="501"/>
      <c r="J7137" s="502"/>
      <c r="K7137" s="501"/>
    </row>
    <row r="7138" spans="1:12" s="35" customFormat="1">
      <c r="A7138" s="502"/>
      <c r="B7138" s="28"/>
      <c r="C7138" s="2510"/>
      <c r="D7138" s="244"/>
      <c r="E7138" s="2005"/>
      <c r="F7138" s="2001"/>
      <c r="G7138" s="208"/>
      <c r="H7138" s="2003"/>
      <c r="I7138" s="501"/>
      <c r="J7138" s="502"/>
      <c r="K7138" s="501"/>
    </row>
    <row r="7139" spans="1:12" s="196" customFormat="1">
      <c r="B7139" s="142"/>
      <c r="C7139" s="2514"/>
      <c r="D7139" s="213"/>
      <c r="E7139" s="226"/>
      <c r="F7139" s="155"/>
      <c r="G7139" s="143"/>
      <c r="H7139" s="142"/>
    </row>
    <row r="7140" spans="1:12" s="196" customFormat="1">
      <c r="B7140" s="142"/>
      <c r="C7140" s="235"/>
      <c r="D7140" s="213"/>
      <c r="E7140" s="226"/>
      <c r="F7140" s="155"/>
      <c r="G7140" s="143"/>
      <c r="H7140" s="142"/>
    </row>
    <row r="7141" spans="1:12" s="196" customFormat="1">
      <c r="B7141" s="2615" t="s">
        <v>10853</v>
      </c>
      <c r="C7141" s="2615"/>
      <c r="D7141" s="2615"/>
      <c r="E7141" s="226"/>
      <c r="F7141" s="155"/>
      <c r="G7141" s="143"/>
      <c r="H7141" s="142"/>
    </row>
    <row r="7142" spans="1:12" s="196" customFormat="1">
      <c r="B7142" s="2615"/>
      <c r="C7142" s="2615"/>
      <c r="D7142" s="2615"/>
      <c r="E7142" s="226"/>
      <c r="F7142" s="155"/>
      <c r="G7142" s="143"/>
      <c r="H7142" s="142"/>
    </row>
    <row r="7143" spans="1:12" s="196" customFormat="1">
      <c r="B7143" s="2615"/>
      <c r="C7143" s="2615"/>
      <c r="D7143" s="2615"/>
      <c r="E7143" s="226"/>
      <c r="F7143" s="155"/>
      <c r="G7143" s="143"/>
      <c r="H7143" s="142"/>
    </row>
    <row r="7144" spans="1:12" s="196" customFormat="1">
      <c r="B7144" s="142"/>
      <c r="C7144" s="235"/>
      <c r="D7144" s="213"/>
      <c r="E7144" s="226"/>
      <c r="F7144" s="155"/>
      <c r="G7144" s="143"/>
      <c r="H7144" s="142"/>
    </row>
    <row r="7145" spans="1:12" s="196" customFormat="1">
      <c r="B7145" s="28" t="s">
        <v>10854</v>
      </c>
      <c r="C7145" s="2510">
        <v>25.022222222222222</v>
      </c>
      <c r="D7145" s="244">
        <f t="shared" ref="D7145:D7153" si="1122">C7145*(1-VLOOKUP(I7145,descuentos,6,FALSE))*fcl/IF(dol_sol="dólar", TC,1)</f>
        <v>11.226388059701492</v>
      </c>
      <c r="E7145" s="2005">
        <v>0</v>
      </c>
      <c r="F7145" s="2001">
        <f t="shared" ref="F7145:F7153" si="1123">D7145+E7145</f>
        <v>11.226388059701492</v>
      </c>
      <c r="G7145" s="338" t="s">
        <v>12107</v>
      </c>
      <c r="H7145" s="2003">
        <v>419870</v>
      </c>
      <c r="I7145" s="501" t="s">
        <v>10379</v>
      </c>
      <c r="J7145" s="502" t="s">
        <v>10678</v>
      </c>
      <c r="K7145" s="501"/>
      <c r="L7145" s="35"/>
    </row>
    <row r="7146" spans="1:12" s="196" customFormat="1">
      <c r="B7146" s="28" t="s">
        <v>10855</v>
      </c>
      <c r="C7146" s="2510">
        <v>19.388888888888889</v>
      </c>
      <c r="D7146" s="244">
        <f t="shared" si="1122"/>
        <v>8.6989552238805956</v>
      </c>
      <c r="E7146" s="2005">
        <v>0</v>
      </c>
      <c r="F7146" s="2001">
        <f t="shared" si="1123"/>
        <v>8.6989552238805956</v>
      </c>
      <c r="G7146" s="338" t="s">
        <v>12108</v>
      </c>
      <c r="H7146" s="2003" t="s">
        <v>10856</v>
      </c>
      <c r="I7146" s="501" t="s">
        <v>10379</v>
      </c>
      <c r="J7146" s="502" t="s">
        <v>10678</v>
      </c>
      <c r="K7146" s="501"/>
      <c r="L7146" s="35"/>
    </row>
    <row r="7147" spans="1:12" s="196" customFormat="1">
      <c r="B7147" s="28" t="s">
        <v>10857</v>
      </c>
      <c r="C7147" s="2510">
        <v>18.7</v>
      </c>
      <c r="D7147" s="244">
        <f t="shared" si="1122"/>
        <v>8.3898805970149226</v>
      </c>
      <c r="E7147" s="2005">
        <v>0</v>
      </c>
      <c r="F7147" s="2001">
        <f t="shared" si="1123"/>
        <v>8.3898805970149226</v>
      </c>
      <c r="G7147" s="338" t="s">
        <v>12109</v>
      </c>
      <c r="H7147" s="2003" t="s">
        <v>10858</v>
      </c>
      <c r="I7147" s="501" t="s">
        <v>10379</v>
      </c>
      <c r="J7147" s="502" t="s">
        <v>10678</v>
      </c>
      <c r="K7147" s="501"/>
      <c r="L7147" s="35"/>
    </row>
    <row r="7148" spans="1:12" s="196" customFormat="1">
      <c r="B7148" s="28" t="s">
        <v>10859</v>
      </c>
      <c r="C7148" s="2510">
        <v>18.7</v>
      </c>
      <c r="D7148" s="244">
        <f t="shared" si="1122"/>
        <v>8.3898805970149226</v>
      </c>
      <c r="E7148" s="2005">
        <v>0</v>
      </c>
      <c r="F7148" s="2001">
        <f t="shared" si="1123"/>
        <v>8.3898805970149226</v>
      </c>
      <c r="G7148" s="338" t="s">
        <v>12110</v>
      </c>
      <c r="H7148" s="2003" t="s">
        <v>10860</v>
      </c>
      <c r="I7148" s="501" t="s">
        <v>10379</v>
      </c>
      <c r="J7148" s="502" t="s">
        <v>10678</v>
      </c>
      <c r="K7148" s="501"/>
      <c r="L7148" s="35"/>
    </row>
    <row r="7149" spans="1:12" s="196" customFormat="1">
      <c r="B7149" s="28" t="s">
        <v>10861</v>
      </c>
      <c r="C7149" s="2510">
        <v>18.7</v>
      </c>
      <c r="D7149" s="244">
        <f t="shared" si="1122"/>
        <v>8.3898805970149226</v>
      </c>
      <c r="E7149" s="2005">
        <v>0</v>
      </c>
      <c r="F7149" s="2001">
        <f t="shared" si="1123"/>
        <v>8.3898805970149226</v>
      </c>
      <c r="G7149" s="338" t="s">
        <v>12111</v>
      </c>
      <c r="H7149" s="2003" t="s">
        <v>10862</v>
      </c>
      <c r="I7149" s="501" t="s">
        <v>10379</v>
      </c>
      <c r="J7149" s="502" t="s">
        <v>10678</v>
      </c>
      <c r="K7149" s="501"/>
      <c r="L7149" s="35"/>
    </row>
    <row r="7150" spans="1:12" s="196" customFormat="1">
      <c r="B7150" s="28" t="s">
        <v>10863</v>
      </c>
      <c r="C7150" s="2510">
        <v>18.7</v>
      </c>
      <c r="D7150" s="244">
        <f t="shared" si="1122"/>
        <v>8.3898805970149226</v>
      </c>
      <c r="E7150" s="2005">
        <v>0</v>
      </c>
      <c r="F7150" s="2001">
        <f t="shared" si="1123"/>
        <v>8.3898805970149226</v>
      </c>
      <c r="G7150" s="338" t="s">
        <v>12112</v>
      </c>
      <c r="H7150" s="2003" t="s">
        <v>10864</v>
      </c>
      <c r="I7150" s="501" t="s">
        <v>10379</v>
      </c>
      <c r="J7150" s="502" t="s">
        <v>10678</v>
      </c>
      <c r="K7150" s="501"/>
      <c r="L7150" s="35"/>
    </row>
    <row r="7151" spans="1:12" s="196" customFormat="1">
      <c r="B7151" s="28" t="s">
        <v>10865</v>
      </c>
      <c r="C7151" s="2510">
        <v>24.555555555555557</v>
      </c>
      <c r="D7151" s="244">
        <f t="shared" si="1122"/>
        <v>11.017014925373136</v>
      </c>
      <c r="E7151" s="2005">
        <v>0</v>
      </c>
      <c r="F7151" s="2001">
        <f t="shared" si="1123"/>
        <v>11.017014925373136</v>
      </c>
      <c r="G7151" s="338" t="s">
        <v>12113</v>
      </c>
      <c r="H7151" s="2003" t="s">
        <v>10866</v>
      </c>
      <c r="I7151" s="501" t="s">
        <v>10379</v>
      </c>
      <c r="J7151" s="502" t="s">
        <v>10678</v>
      </c>
      <c r="K7151" s="501"/>
      <c r="L7151" s="35"/>
    </row>
    <row r="7152" spans="1:12" s="196" customFormat="1">
      <c r="B7152" s="28" t="s">
        <v>10867</v>
      </c>
      <c r="C7152" s="2510">
        <v>25.566666666666666</v>
      </c>
      <c r="D7152" s="244">
        <f t="shared" si="1122"/>
        <v>11.470656716417912</v>
      </c>
      <c r="E7152" s="2005">
        <v>0</v>
      </c>
      <c r="F7152" s="2001">
        <f t="shared" si="1123"/>
        <v>11.470656716417912</v>
      </c>
      <c r="G7152" s="338" t="s">
        <v>12114</v>
      </c>
      <c r="H7152" s="2003" t="s">
        <v>10868</v>
      </c>
      <c r="I7152" s="501" t="s">
        <v>10379</v>
      </c>
      <c r="J7152" s="502" t="s">
        <v>10678</v>
      </c>
      <c r="K7152" s="501"/>
      <c r="L7152" s="35"/>
    </row>
    <row r="7153" spans="1:12" s="196" customFormat="1">
      <c r="B7153" s="28" t="s">
        <v>10869</v>
      </c>
      <c r="C7153" s="2510">
        <v>25.566666666666666</v>
      </c>
      <c r="D7153" s="244">
        <f t="shared" si="1122"/>
        <v>11.470656716417912</v>
      </c>
      <c r="E7153" s="2005">
        <v>0</v>
      </c>
      <c r="F7153" s="2001">
        <f t="shared" si="1123"/>
        <v>11.470656716417912</v>
      </c>
      <c r="G7153" s="338" t="s">
        <v>12115</v>
      </c>
      <c r="H7153" s="2003" t="s">
        <v>10870</v>
      </c>
      <c r="I7153" s="501" t="s">
        <v>10379</v>
      </c>
      <c r="J7153" s="502" t="s">
        <v>10678</v>
      </c>
      <c r="K7153" s="501"/>
      <c r="L7153" s="35"/>
    </row>
    <row r="7154" spans="1:12" s="196" customFormat="1">
      <c r="B7154" s="28"/>
      <c r="C7154" s="2510"/>
      <c r="D7154" s="244"/>
      <c r="E7154" s="2005"/>
      <c r="F7154" s="2001"/>
      <c r="G7154" s="208"/>
      <c r="H7154" s="2003"/>
      <c r="I7154" s="501"/>
      <c r="J7154" s="502"/>
      <c r="K7154" s="501"/>
      <c r="L7154" s="35"/>
    </row>
    <row r="7155" spans="1:12" s="196" customFormat="1">
      <c r="B7155" s="28" t="s">
        <v>10871</v>
      </c>
      <c r="C7155" s="2510">
        <v>53.522222222222226</v>
      </c>
      <c r="D7155" s="244">
        <f t="shared" ref="D7155:D7163" si="1124">C7155*(1-VLOOKUP(I7155,descuentos,6,FALSE))*fcl/IF(dol_sol="dólar", TC,1)</f>
        <v>24.01310447761194</v>
      </c>
      <c r="E7155" s="2005">
        <v>0</v>
      </c>
      <c r="F7155" s="2001">
        <f t="shared" ref="F7155:F7163" si="1125">D7155+E7155</f>
        <v>24.01310447761194</v>
      </c>
      <c r="G7155" s="338" t="s">
        <v>12116</v>
      </c>
      <c r="H7155" s="2003" t="s">
        <v>10872</v>
      </c>
      <c r="I7155" s="501" t="s">
        <v>10379</v>
      </c>
      <c r="J7155" s="502" t="s">
        <v>10678</v>
      </c>
      <c r="K7155" s="501"/>
      <c r="L7155" s="35"/>
    </row>
    <row r="7156" spans="1:12" s="196" customFormat="1">
      <c r="B7156" s="28" t="s">
        <v>10873</v>
      </c>
      <c r="C7156" s="2510">
        <v>46.922222222222217</v>
      </c>
      <c r="D7156" s="244">
        <f t="shared" si="1124"/>
        <v>21.051970149253727</v>
      </c>
      <c r="E7156" s="2005">
        <v>0</v>
      </c>
      <c r="F7156" s="2001">
        <f t="shared" si="1125"/>
        <v>21.051970149253727</v>
      </c>
      <c r="G7156" s="338" t="s">
        <v>12117</v>
      </c>
      <c r="H7156" s="2003" t="s">
        <v>10874</v>
      </c>
      <c r="I7156" s="501" t="s">
        <v>10379</v>
      </c>
      <c r="J7156" s="502" t="s">
        <v>10678</v>
      </c>
      <c r="K7156" s="501"/>
      <c r="L7156" s="35"/>
    </row>
    <row r="7157" spans="1:12" s="196" customFormat="1">
      <c r="B7157" s="28" t="s">
        <v>10875</v>
      </c>
      <c r="C7157" s="2510">
        <v>46.922222222222217</v>
      </c>
      <c r="D7157" s="244">
        <f t="shared" si="1124"/>
        <v>21.051970149253727</v>
      </c>
      <c r="E7157" s="2005">
        <v>0</v>
      </c>
      <c r="F7157" s="2001">
        <f t="shared" si="1125"/>
        <v>21.051970149253727</v>
      </c>
      <c r="G7157" s="338" t="s">
        <v>12118</v>
      </c>
      <c r="H7157" s="2003" t="s">
        <v>10876</v>
      </c>
      <c r="I7157" s="501" t="s">
        <v>10379</v>
      </c>
      <c r="J7157" s="502" t="s">
        <v>10678</v>
      </c>
      <c r="K7157" s="501"/>
      <c r="L7157" s="35"/>
    </row>
    <row r="7158" spans="1:12" s="196" customFormat="1">
      <c r="B7158" s="28" t="s">
        <v>10877</v>
      </c>
      <c r="C7158" s="2510">
        <v>46.922222222222217</v>
      </c>
      <c r="D7158" s="244">
        <f t="shared" si="1124"/>
        <v>21.051970149253727</v>
      </c>
      <c r="E7158" s="2005">
        <v>0</v>
      </c>
      <c r="F7158" s="2001">
        <f t="shared" si="1125"/>
        <v>21.051970149253727</v>
      </c>
      <c r="G7158" s="338" t="s">
        <v>12119</v>
      </c>
      <c r="H7158" s="2003" t="s">
        <v>10878</v>
      </c>
      <c r="I7158" s="501" t="s">
        <v>10379</v>
      </c>
      <c r="J7158" s="502" t="s">
        <v>10678</v>
      </c>
      <c r="K7158" s="501"/>
      <c r="L7158" s="35"/>
    </row>
    <row r="7159" spans="1:12" s="196" customFormat="1">
      <c r="B7159" s="28" t="s">
        <v>10879</v>
      </c>
      <c r="C7159" s="2510">
        <v>46.922222222222217</v>
      </c>
      <c r="D7159" s="244">
        <f t="shared" si="1124"/>
        <v>21.051970149253727</v>
      </c>
      <c r="E7159" s="2005">
        <v>0</v>
      </c>
      <c r="F7159" s="2001">
        <f t="shared" si="1125"/>
        <v>21.051970149253727</v>
      </c>
      <c r="G7159" s="338" t="s">
        <v>12120</v>
      </c>
      <c r="H7159" s="2003" t="s">
        <v>10880</v>
      </c>
      <c r="I7159" s="501" t="s">
        <v>10379</v>
      </c>
      <c r="J7159" s="502" t="s">
        <v>10678</v>
      </c>
      <c r="K7159" s="501"/>
      <c r="L7159" s="35"/>
    </row>
    <row r="7160" spans="1:12" s="196" customFormat="1">
      <c r="B7160" s="28" t="s">
        <v>10881</v>
      </c>
      <c r="C7160" s="2510">
        <v>46.922222222222217</v>
      </c>
      <c r="D7160" s="244">
        <f t="shared" si="1124"/>
        <v>21.051970149253727</v>
      </c>
      <c r="E7160" s="2005">
        <v>0</v>
      </c>
      <c r="F7160" s="2001">
        <f t="shared" si="1125"/>
        <v>21.051970149253727</v>
      </c>
      <c r="G7160" s="338" t="s">
        <v>12121</v>
      </c>
      <c r="H7160" s="2003" t="s">
        <v>10882</v>
      </c>
      <c r="I7160" s="501" t="s">
        <v>10379</v>
      </c>
      <c r="J7160" s="502" t="s">
        <v>10678</v>
      </c>
      <c r="K7160" s="501"/>
      <c r="L7160" s="35"/>
    </row>
    <row r="7161" spans="1:12" s="196" customFormat="1">
      <c r="B7161" s="28" t="s">
        <v>10883</v>
      </c>
      <c r="C7161" s="2510">
        <v>53.522222222222226</v>
      </c>
      <c r="D7161" s="244">
        <f t="shared" si="1124"/>
        <v>24.01310447761194</v>
      </c>
      <c r="E7161" s="2005">
        <v>0</v>
      </c>
      <c r="F7161" s="2001">
        <f t="shared" si="1125"/>
        <v>24.01310447761194</v>
      </c>
      <c r="G7161" s="338" t="s">
        <v>12122</v>
      </c>
      <c r="H7161" s="2003" t="s">
        <v>10884</v>
      </c>
      <c r="I7161" s="501" t="s">
        <v>10379</v>
      </c>
      <c r="J7161" s="502" t="s">
        <v>10678</v>
      </c>
      <c r="K7161" s="501"/>
      <c r="L7161" s="35"/>
    </row>
    <row r="7162" spans="1:12" s="196" customFormat="1">
      <c r="B7162" s="28" t="s">
        <v>10885</v>
      </c>
      <c r="C7162" s="2510">
        <v>53.522222222222226</v>
      </c>
      <c r="D7162" s="244">
        <f t="shared" si="1124"/>
        <v>24.01310447761194</v>
      </c>
      <c r="E7162" s="2005">
        <v>0</v>
      </c>
      <c r="F7162" s="2001">
        <f t="shared" si="1125"/>
        <v>24.01310447761194</v>
      </c>
      <c r="G7162" s="338" t="s">
        <v>12123</v>
      </c>
      <c r="H7162" s="2003" t="s">
        <v>10886</v>
      </c>
      <c r="I7162" s="501" t="s">
        <v>10379</v>
      </c>
      <c r="J7162" s="502" t="s">
        <v>10678</v>
      </c>
      <c r="K7162" s="501"/>
      <c r="L7162" s="35"/>
    </row>
    <row r="7163" spans="1:12" s="196" customFormat="1">
      <c r="B7163" s="28" t="s">
        <v>10887</v>
      </c>
      <c r="C7163" s="2510">
        <v>53.522222222222226</v>
      </c>
      <c r="D7163" s="244">
        <f t="shared" si="1124"/>
        <v>24.01310447761194</v>
      </c>
      <c r="E7163" s="2005">
        <v>0</v>
      </c>
      <c r="F7163" s="2001">
        <f t="shared" si="1125"/>
        <v>24.01310447761194</v>
      </c>
      <c r="G7163" s="338" t="s">
        <v>12124</v>
      </c>
      <c r="H7163" s="2003" t="s">
        <v>10888</v>
      </c>
      <c r="I7163" s="501" t="s">
        <v>10379</v>
      </c>
      <c r="J7163" s="502" t="s">
        <v>10678</v>
      </c>
      <c r="K7163" s="501"/>
      <c r="L7163" s="35"/>
    </row>
    <row r="7164" spans="1:12" s="196" customFormat="1">
      <c r="B7164" s="142"/>
      <c r="C7164" s="235"/>
      <c r="D7164" s="244"/>
      <c r="E7164" s="226"/>
      <c r="F7164" s="155"/>
      <c r="G7164" s="143"/>
      <c r="H7164" s="142"/>
    </row>
    <row r="7165" spans="1:12" s="196" customFormat="1">
      <c r="B7165" s="150"/>
      <c r="C7165" s="2008"/>
      <c r="D7165" s="244"/>
      <c r="E7165" s="2005"/>
      <c r="F7165" s="2001"/>
      <c r="G7165" s="197"/>
      <c r="H7165" s="2009"/>
      <c r="I7165" s="30"/>
      <c r="J7165" s="416"/>
      <c r="K7165" s="35"/>
    </row>
    <row r="7166" spans="1:12" s="35" customFormat="1">
      <c r="A7166" s="502"/>
      <c r="B7166" s="28" t="s">
        <v>10889</v>
      </c>
      <c r="C7166" s="2510">
        <v>65.900000000000006</v>
      </c>
      <c r="D7166" s="244">
        <f>C7166*(1-VLOOKUP(I7166,descuentos,6,FALSE))*fcl/IF(dol_sol="dólar", TC,1)</f>
        <v>29.5664776119403</v>
      </c>
      <c r="E7166" s="2005">
        <v>0</v>
      </c>
      <c r="F7166" s="2001">
        <f t="shared" ref="F7166:F7168" si="1126">D7166+E7166</f>
        <v>29.5664776119403</v>
      </c>
      <c r="G7166" s="338" t="s">
        <v>12125</v>
      </c>
      <c r="H7166" s="2003" t="s">
        <v>10890</v>
      </c>
      <c r="I7166" s="501" t="s">
        <v>10379</v>
      </c>
      <c r="J7166" s="502" t="s">
        <v>10678</v>
      </c>
      <c r="K7166" s="501"/>
    </row>
    <row r="7167" spans="1:12" s="35" customFormat="1">
      <c r="A7167" s="502"/>
      <c r="B7167" s="28" t="s">
        <v>10891</v>
      </c>
      <c r="C7167" s="2510">
        <v>72.766666666666666</v>
      </c>
      <c r="D7167" s="244">
        <f>C7167*(1-VLOOKUP(I7167,descuentos,6,FALSE))*fcl/IF(dol_sol="dólar", TC,1)</f>
        <v>32.647253731343277</v>
      </c>
      <c r="E7167" s="2005">
        <v>0</v>
      </c>
      <c r="F7167" s="2001">
        <f t="shared" si="1126"/>
        <v>32.647253731343277</v>
      </c>
      <c r="G7167" s="338" t="s">
        <v>12126</v>
      </c>
      <c r="H7167" s="2003" t="s">
        <v>10892</v>
      </c>
      <c r="I7167" s="501" t="s">
        <v>10379</v>
      </c>
      <c r="J7167" s="502" t="s">
        <v>10678</v>
      </c>
      <c r="K7167" s="501"/>
    </row>
    <row r="7168" spans="1:12" s="35" customFormat="1">
      <c r="A7168" s="502"/>
      <c r="B7168" s="28" t="s">
        <v>10893</v>
      </c>
      <c r="C7168" s="2510">
        <v>95.888888888888886</v>
      </c>
      <c r="D7168" s="244">
        <f>C7168*(1-VLOOKUP(I7168,descuentos,6,FALSE))*fcl/IF(dol_sol="dólar", TC,1)</f>
        <v>43.02119402985074</v>
      </c>
      <c r="E7168" s="2005">
        <v>0</v>
      </c>
      <c r="F7168" s="2001">
        <f t="shared" si="1126"/>
        <v>43.02119402985074</v>
      </c>
      <c r="G7168" s="338" t="s">
        <v>12127</v>
      </c>
      <c r="H7168" s="2003" t="s">
        <v>10894</v>
      </c>
      <c r="I7168" s="501" t="s">
        <v>10379</v>
      </c>
      <c r="J7168" s="502" t="s">
        <v>10678</v>
      </c>
      <c r="K7168" s="501"/>
    </row>
    <row r="7169" spans="1:11" s="196" customFormat="1">
      <c r="B7169" s="142"/>
      <c r="C7169" s="235"/>
      <c r="D7169" s="244"/>
      <c r="E7169" s="226"/>
      <c r="F7169" s="155"/>
      <c r="G7169" s="2011"/>
      <c r="H7169" s="142"/>
    </row>
    <row r="7170" spans="1:11" s="35" customFormat="1">
      <c r="A7170" s="502"/>
      <c r="B7170" s="28" t="s">
        <v>10895</v>
      </c>
      <c r="C7170" s="2510">
        <v>137.37777777777777</v>
      </c>
      <c r="D7170" s="244">
        <f>C7170*(1-VLOOKUP(I7170,descuentos,6,FALSE))*fcl/IF(dol_sol="dólar", TC,1)</f>
        <v>61.635462686567159</v>
      </c>
      <c r="E7170" s="2005">
        <v>0</v>
      </c>
      <c r="F7170" s="2001">
        <f t="shared" ref="F7170:F7172" si="1127">D7170+E7170</f>
        <v>61.635462686567159</v>
      </c>
      <c r="G7170" s="338" t="s">
        <v>12128</v>
      </c>
      <c r="H7170" s="2003" t="s">
        <v>10896</v>
      </c>
      <c r="I7170" s="501" t="s">
        <v>10379</v>
      </c>
      <c r="J7170" s="502" t="s">
        <v>10678</v>
      </c>
      <c r="K7170" s="501"/>
    </row>
    <row r="7171" spans="1:11" s="35" customFormat="1">
      <c r="A7171" s="502"/>
      <c r="B7171" s="28" t="s">
        <v>10897</v>
      </c>
      <c r="C7171" s="2510">
        <v>151.65555555555557</v>
      </c>
      <c r="D7171" s="244">
        <f>C7171*(1-VLOOKUP(I7171,descuentos,6,FALSE))*fcl/IF(dol_sol="dólar", TC,1)</f>
        <v>68.041283582089548</v>
      </c>
      <c r="E7171" s="2005">
        <v>0</v>
      </c>
      <c r="F7171" s="2001">
        <f t="shared" si="1127"/>
        <v>68.041283582089548</v>
      </c>
      <c r="G7171" s="338" t="s">
        <v>12129</v>
      </c>
      <c r="H7171" s="2003" t="s">
        <v>10898</v>
      </c>
      <c r="I7171" s="501" t="s">
        <v>10379</v>
      </c>
      <c r="J7171" s="502" t="s">
        <v>10678</v>
      </c>
      <c r="K7171" s="501"/>
    </row>
    <row r="7172" spans="1:11" s="35" customFormat="1">
      <c r="A7172" s="502"/>
      <c r="B7172" s="28" t="s">
        <v>10899</v>
      </c>
      <c r="C7172" s="2510">
        <v>167.96666666666664</v>
      </c>
      <c r="D7172" s="244">
        <f>C7172*(1-VLOOKUP(I7172,descuentos,6,FALSE))*fcl/IF(dol_sol="dólar", TC,1)</f>
        <v>75.359373134328351</v>
      </c>
      <c r="E7172" s="2005">
        <v>0</v>
      </c>
      <c r="F7172" s="2001">
        <f t="shared" si="1127"/>
        <v>75.359373134328351</v>
      </c>
      <c r="G7172" s="338" t="s">
        <v>12130</v>
      </c>
      <c r="H7172" s="2003" t="s">
        <v>10900</v>
      </c>
      <c r="I7172" s="501" t="s">
        <v>10379</v>
      </c>
      <c r="J7172" s="502" t="s">
        <v>10678</v>
      </c>
      <c r="K7172" s="501"/>
    </row>
    <row r="7173" spans="1:11" s="196" customFormat="1">
      <c r="B7173" s="150"/>
      <c r="C7173" s="2008"/>
      <c r="D7173" s="244"/>
      <c r="E7173" s="2005"/>
      <c r="F7173" s="2001"/>
      <c r="G7173" s="197"/>
      <c r="H7173" s="2009"/>
      <c r="I7173" s="30"/>
      <c r="J7173" s="416"/>
      <c r="K7173" s="35"/>
    </row>
    <row r="7174" spans="1:11" s="196" customFormat="1">
      <c r="B7174" s="2181" t="s">
        <v>12698</v>
      </c>
      <c r="C7174" s="2008"/>
      <c r="D7174" s="244"/>
      <c r="E7174" s="2005"/>
      <c r="F7174" s="2001"/>
      <c r="G7174" s="197"/>
      <c r="H7174" s="2009"/>
      <c r="I7174" s="30"/>
      <c r="J7174" s="416"/>
      <c r="K7174" s="35"/>
    </row>
    <row r="7175" spans="1:11" s="196" customFormat="1">
      <c r="B7175" s="150"/>
      <c r="C7175" s="2008"/>
      <c r="D7175" s="244"/>
      <c r="E7175" s="2005"/>
      <c r="F7175" s="2001"/>
      <c r="G7175" s="197"/>
      <c r="H7175" s="2009"/>
      <c r="I7175" s="30"/>
      <c r="J7175" s="416"/>
      <c r="K7175" s="35"/>
    </row>
    <row r="7176" spans="1:11" s="35" customFormat="1">
      <c r="A7176" s="502"/>
      <c r="B7176" s="902" t="s">
        <v>12699</v>
      </c>
      <c r="C7176" s="2510">
        <v>30</v>
      </c>
      <c r="D7176" s="244">
        <f>C7176*(1-VLOOKUP(I7176,descuentos,6,FALSE))*fcl/IF(dol_sol="dólar", TC,1)</f>
        <v>13.459701492537311</v>
      </c>
      <c r="E7176" s="2005">
        <v>3</v>
      </c>
      <c r="F7176" s="2001">
        <f t="shared" ref="F7176:F7180" si="1128">D7176+E7176</f>
        <v>16.459701492537313</v>
      </c>
      <c r="G7176" s="592" t="s">
        <v>12700</v>
      </c>
      <c r="H7176" s="2003" t="s">
        <v>12701</v>
      </c>
      <c r="I7176" s="501" t="s">
        <v>10379</v>
      </c>
      <c r="J7176" s="502" t="s">
        <v>10678</v>
      </c>
      <c r="K7176" s="501"/>
    </row>
    <row r="7177" spans="1:11" s="35" customFormat="1">
      <c r="A7177" s="502"/>
      <c r="B7177" s="902" t="s">
        <v>12702</v>
      </c>
      <c r="C7177" s="2510">
        <v>32.222222222222221</v>
      </c>
      <c r="D7177" s="244">
        <f>C7177*(1-VLOOKUP(I7177,descuentos,6,FALSE))*fcl/IF(dol_sol="dólar", TC,1)</f>
        <v>14.456716417910448</v>
      </c>
      <c r="E7177" s="2005">
        <v>3</v>
      </c>
      <c r="F7177" s="2001">
        <f t="shared" si="1128"/>
        <v>17.456716417910449</v>
      </c>
      <c r="G7177" s="592" t="s">
        <v>12703</v>
      </c>
      <c r="H7177" s="2003" t="s">
        <v>12704</v>
      </c>
      <c r="I7177" s="501" t="s">
        <v>10379</v>
      </c>
      <c r="J7177" s="502" t="s">
        <v>10678</v>
      </c>
      <c r="K7177" s="501"/>
    </row>
    <row r="7178" spans="1:11" s="35" customFormat="1">
      <c r="A7178" s="502"/>
      <c r="B7178" s="902" t="s">
        <v>12705</v>
      </c>
      <c r="C7178" s="2510">
        <v>66.666666666666671</v>
      </c>
      <c r="D7178" s="244">
        <f>C7178*(1-VLOOKUP(I7178,descuentos,6,FALSE))*fcl/IF(dol_sol="dólar", TC,1)</f>
        <v>29.910447761194028</v>
      </c>
      <c r="E7178" s="2005">
        <v>3</v>
      </c>
      <c r="F7178" s="2001">
        <f t="shared" si="1128"/>
        <v>32.910447761194028</v>
      </c>
      <c r="G7178" s="592" t="s">
        <v>12706</v>
      </c>
      <c r="H7178" s="2003" t="s">
        <v>12707</v>
      </c>
      <c r="I7178" s="501" t="s">
        <v>10379</v>
      </c>
      <c r="J7178" s="502" t="s">
        <v>10678</v>
      </c>
      <c r="K7178" s="501"/>
    </row>
    <row r="7179" spans="1:11" s="35" customFormat="1">
      <c r="A7179" s="502"/>
      <c r="B7179" s="902" t="s">
        <v>12708</v>
      </c>
      <c r="C7179" s="2510">
        <v>86.666666666666671</v>
      </c>
      <c r="D7179" s="244">
        <f>C7179*(1-VLOOKUP(I7179,descuentos,6,FALSE))*fcl/IF(dol_sol="dólar", TC,1)</f>
        <v>38.883582089552235</v>
      </c>
      <c r="E7179" s="2005">
        <v>3</v>
      </c>
      <c r="F7179" s="2001">
        <f t="shared" si="1128"/>
        <v>41.883582089552235</v>
      </c>
      <c r="G7179" s="592" t="s">
        <v>12709</v>
      </c>
      <c r="H7179" s="2003" t="s">
        <v>12710</v>
      </c>
      <c r="I7179" s="501" t="s">
        <v>10379</v>
      </c>
      <c r="J7179" s="502" t="s">
        <v>10678</v>
      </c>
      <c r="K7179" s="501"/>
    </row>
    <row r="7180" spans="1:11" s="35" customFormat="1">
      <c r="A7180" s="502"/>
      <c r="B7180" s="902" t="s">
        <v>12711</v>
      </c>
      <c r="C7180" s="2510">
        <v>206.66666666666666</v>
      </c>
      <c r="D7180" s="244">
        <f>C7180*(1-VLOOKUP(I7180,descuentos,6,FALSE))*fcl/IF(dol_sol="dólar", TC,1)</f>
        <v>92.722388059701487</v>
      </c>
      <c r="E7180" s="2005">
        <v>3</v>
      </c>
      <c r="F7180" s="2001">
        <f t="shared" si="1128"/>
        <v>95.722388059701487</v>
      </c>
      <c r="G7180" s="592" t="s">
        <v>12712</v>
      </c>
      <c r="H7180" s="2003" t="s">
        <v>12713</v>
      </c>
      <c r="I7180" s="501" t="s">
        <v>10379</v>
      </c>
      <c r="J7180" s="502" t="s">
        <v>10678</v>
      </c>
      <c r="K7180" s="501"/>
    </row>
    <row r="7181" spans="1:11" s="35" customFormat="1">
      <c r="A7181" s="502"/>
      <c r="B7181" s="902"/>
      <c r="C7181" s="2510"/>
      <c r="D7181" s="244"/>
      <c r="E7181" s="2005"/>
      <c r="F7181" s="2001"/>
      <c r="G7181" s="592"/>
      <c r="H7181" s="2003"/>
      <c r="I7181" s="501"/>
      <c r="J7181" s="502"/>
      <c r="K7181" s="501"/>
    </row>
    <row r="7182" spans="1:11" s="196" customFormat="1">
      <c r="B7182" s="1681" t="s">
        <v>6055</v>
      </c>
      <c r="C7182" s="235"/>
      <c r="D7182" s="244"/>
      <c r="E7182" s="226"/>
      <c r="F7182" s="155"/>
      <c r="G7182" s="2011"/>
      <c r="H7182" s="142"/>
    </row>
    <row r="7183" spans="1:11" s="35" customFormat="1" ht="14.25">
      <c r="A7183" s="502"/>
      <c r="B7183" s="28" t="s">
        <v>12714</v>
      </c>
      <c r="C7183" s="2510">
        <v>7.7777777777777777</v>
      </c>
      <c r="D7183" s="244">
        <f>C7183*(1-VLOOKUP(I7183,descuentos,6,FALSE))*fcl/IF(dol_sol="dólar", TC,1)</f>
        <v>3.4895522388059699</v>
      </c>
      <c r="E7183" s="2005">
        <v>0</v>
      </c>
      <c r="F7183" s="2001">
        <f t="shared" ref="F7183:F7184" si="1129">D7183+E7183</f>
        <v>3.4895522388059699</v>
      </c>
      <c r="G7183" s="338" t="s">
        <v>12715</v>
      </c>
      <c r="H7183" s="2003" t="s">
        <v>12716</v>
      </c>
      <c r="I7183" s="501" t="s">
        <v>10379</v>
      </c>
      <c r="J7183" s="502" t="s">
        <v>10678</v>
      </c>
      <c r="K7183" s="501"/>
    </row>
    <row r="7184" spans="1:11" s="35" customFormat="1" ht="14.25">
      <c r="A7184" s="502"/>
      <c r="B7184" s="28" t="s">
        <v>12717</v>
      </c>
      <c r="C7184" s="2510">
        <v>8.8888888888888893</v>
      </c>
      <c r="D7184" s="244">
        <f>C7184*(1-VLOOKUP(I7184,descuentos,6,FALSE))*fcl/IF(dol_sol="dólar", TC,1)</f>
        <v>3.9880597014925372</v>
      </c>
      <c r="E7184" s="2005">
        <v>0</v>
      </c>
      <c r="F7184" s="2001">
        <f t="shared" si="1129"/>
        <v>3.9880597014925372</v>
      </c>
      <c r="G7184" s="338" t="s">
        <v>12718</v>
      </c>
      <c r="H7184" s="2003" t="s">
        <v>12719</v>
      </c>
      <c r="I7184" s="501" t="s">
        <v>10379</v>
      </c>
      <c r="J7184" s="502" t="s">
        <v>10678</v>
      </c>
      <c r="K7184" s="501"/>
    </row>
    <row r="7185" spans="2:14" s="196" customFormat="1">
      <c r="B7185" s="2615" t="s">
        <v>11795</v>
      </c>
      <c r="C7185" s="2615"/>
      <c r="D7185" s="2615"/>
      <c r="E7185" s="226"/>
      <c r="F7185" s="155"/>
      <c r="G7185" s="143"/>
      <c r="H7185" s="142"/>
    </row>
    <row r="7186" spans="2:14" s="196" customFormat="1">
      <c r="B7186" s="2615"/>
      <c r="C7186" s="2615"/>
      <c r="D7186" s="2615"/>
      <c r="E7186" s="226"/>
      <c r="F7186" s="155"/>
      <c r="G7186" s="143"/>
      <c r="H7186" s="142"/>
    </row>
    <row r="7187" spans="2:14" s="196" customFormat="1">
      <c r="B7187" s="2615"/>
      <c r="C7187" s="2615"/>
      <c r="D7187" s="2615"/>
      <c r="E7187" s="226"/>
      <c r="F7187" s="155"/>
      <c r="G7187" s="143"/>
      <c r="H7187" s="142"/>
    </row>
    <row r="7188" spans="2:14" s="196" customFormat="1">
      <c r="B7188" s="142"/>
      <c r="C7188" s="235"/>
      <c r="D7188" s="213"/>
      <c r="E7188" s="226"/>
      <c r="F7188" s="155"/>
      <c r="G7188" s="143"/>
      <c r="H7188" s="142"/>
    </row>
    <row r="7189" spans="2:14" s="196" customFormat="1">
      <c r="B7189" s="28" t="s">
        <v>11796</v>
      </c>
      <c r="C7189" s="2510">
        <v>52.27</v>
      </c>
      <c r="D7189" s="244">
        <f t="shared" ref="D7189" si="1130">C7189*(1-VLOOKUP(I7189,descuentos,6,FALSE))*fcl/IF(dol_sol="dólar", TC,1)</f>
        <v>23.451286567164182</v>
      </c>
      <c r="E7189" s="2005">
        <v>5</v>
      </c>
      <c r="F7189" s="2001">
        <f t="shared" ref="F7189:F7197" si="1131">D7189+E7189</f>
        <v>28.451286567164182</v>
      </c>
      <c r="G7189" s="338" t="s">
        <v>12131</v>
      </c>
      <c r="H7189" s="2003">
        <v>412240</v>
      </c>
      <c r="I7189" s="501" t="s">
        <v>10379</v>
      </c>
      <c r="J7189" s="502" t="s">
        <v>10678</v>
      </c>
      <c r="K7189" s="501"/>
      <c r="L7189" s="35"/>
    </row>
    <row r="7190" spans="2:14" s="196" customFormat="1">
      <c r="B7190" s="28" t="s">
        <v>11797</v>
      </c>
      <c r="C7190" s="2510">
        <v>88.8</v>
      </c>
      <c r="D7190" s="244">
        <f t="shared" ref="D7190:D7195" si="1132">C7190*(1-VLOOKUP(I7190,descuentos,6,FALSE))*fcl/IF(dol_sol="dólar", TC,1)</f>
        <v>39.840716417910443</v>
      </c>
      <c r="E7190" s="2005">
        <v>5</v>
      </c>
      <c r="F7190" s="2001">
        <f t="shared" si="1131"/>
        <v>44.840716417910443</v>
      </c>
      <c r="G7190" s="338" t="s">
        <v>12132</v>
      </c>
      <c r="H7190" s="2003">
        <v>412270</v>
      </c>
      <c r="I7190" s="501" t="s">
        <v>10379</v>
      </c>
      <c r="J7190" s="502" t="s">
        <v>10678</v>
      </c>
      <c r="K7190" s="501"/>
      <c r="L7190" s="35"/>
    </row>
    <row r="7191" spans="2:14" s="196" customFormat="1">
      <c r="B7191" s="28" t="s">
        <v>11798</v>
      </c>
      <c r="C7191" s="2510">
        <v>283.42</v>
      </c>
      <c r="D7191" s="244">
        <f t="shared" si="1132"/>
        <v>127.15828656716418</v>
      </c>
      <c r="E7191" s="2005">
        <v>5</v>
      </c>
      <c r="F7191" s="2001">
        <f t="shared" si="1131"/>
        <v>132.15828656716417</v>
      </c>
      <c r="G7191" s="338" t="s">
        <v>12133</v>
      </c>
      <c r="H7191" s="2003">
        <v>412272</v>
      </c>
      <c r="I7191" s="501" t="s">
        <v>10379</v>
      </c>
      <c r="J7191" s="502" t="s">
        <v>10678</v>
      </c>
      <c r="K7191" s="501"/>
      <c r="L7191" s="35"/>
    </row>
    <row r="7192" spans="2:14" s="196" customFormat="1">
      <c r="B7192" s="28" t="s">
        <v>11799</v>
      </c>
      <c r="C7192" s="2510">
        <v>214.14</v>
      </c>
      <c r="D7192" s="244">
        <f t="shared" si="1132"/>
        <v>96.075349253731346</v>
      </c>
      <c r="E7192" s="2005">
        <v>5</v>
      </c>
      <c r="F7192" s="2001">
        <f t="shared" si="1131"/>
        <v>101.07534925373135</v>
      </c>
      <c r="G7192" s="338" t="s">
        <v>12134</v>
      </c>
      <c r="H7192" s="2003">
        <v>412274</v>
      </c>
      <c r="I7192" s="501" t="s">
        <v>10379</v>
      </c>
      <c r="J7192" s="502" t="s">
        <v>10678</v>
      </c>
      <c r="K7192" s="501"/>
      <c r="L7192" s="35"/>
    </row>
    <row r="7193" spans="2:14" s="196" customFormat="1">
      <c r="B7193" s="28" t="s">
        <v>11800</v>
      </c>
      <c r="C7193" s="2510">
        <v>488.11</v>
      </c>
      <c r="D7193" s="244">
        <f t="shared" si="1132"/>
        <v>218.99382985074627</v>
      </c>
      <c r="E7193" s="2005">
        <v>10</v>
      </c>
      <c r="F7193" s="2001">
        <f t="shared" si="1131"/>
        <v>228.99382985074627</v>
      </c>
      <c r="G7193" s="338" t="s">
        <v>12135</v>
      </c>
      <c r="H7193" s="2003">
        <v>412275</v>
      </c>
      <c r="I7193" s="501" t="s">
        <v>10379</v>
      </c>
      <c r="J7193" s="502" t="s">
        <v>10678</v>
      </c>
      <c r="K7193" s="501"/>
      <c r="L7193" s="35"/>
    </row>
    <row r="7194" spans="2:14" s="196" customFormat="1">
      <c r="B7194" s="28" t="s">
        <v>11801</v>
      </c>
      <c r="C7194" s="2510">
        <v>1086.44</v>
      </c>
      <c r="D7194" s="244">
        <f t="shared" si="1132"/>
        <v>487.43860298507462</v>
      </c>
      <c r="E7194" s="2005">
        <v>5</v>
      </c>
      <c r="F7194" s="2001">
        <f t="shared" si="1131"/>
        <v>492.43860298507462</v>
      </c>
      <c r="G7194" s="338" t="s">
        <v>12136</v>
      </c>
      <c r="H7194" s="2003">
        <v>412280</v>
      </c>
      <c r="I7194" s="501" t="s">
        <v>10379</v>
      </c>
      <c r="J7194" s="502" t="s">
        <v>10678</v>
      </c>
      <c r="K7194" s="501"/>
      <c r="L7194" s="35"/>
    </row>
    <row r="7195" spans="2:14" s="196" customFormat="1">
      <c r="B7195" s="28" t="s">
        <v>11802</v>
      </c>
      <c r="C7195" s="2510">
        <v>1567.62</v>
      </c>
      <c r="D7195" s="244">
        <f t="shared" si="1132"/>
        <v>703.32324179104467</v>
      </c>
      <c r="E7195" s="2005">
        <v>10</v>
      </c>
      <c r="F7195" s="2001">
        <f t="shared" si="1131"/>
        <v>713.32324179104467</v>
      </c>
      <c r="G7195" s="338" t="s">
        <v>12137</v>
      </c>
      <c r="H7195" s="2003">
        <v>412281</v>
      </c>
      <c r="I7195" s="501" t="s">
        <v>10379</v>
      </c>
      <c r="J7195" s="502" t="s">
        <v>10678</v>
      </c>
      <c r="K7195" s="501"/>
      <c r="L7195" s="35"/>
    </row>
    <row r="7196" spans="2:14" s="196" customFormat="1">
      <c r="B7196" s="28" t="s">
        <v>11803</v>
      </c>
      <c r="C7196" s="2510">
        <v>2359.9299999999998</v>
      </c>
      <c r="D7196" s="244">
        <f t="shared" ref="D7196:D7197" si="1133">C7196*(1-VLOOKUP(I7196,descuentos,6,FALSE))*fcl/IF(dol_sol="dólar", TC,1)</f>
        <v>1058.7984447761194</v>
      </c>
      <c r="E7196" s="2005">
        <v>20</v>
      </c>
      <c r="F7196" s="2001">
        <f t="shared" si="1131"/>
        <v>1078.7984447761194</v>
      </c>
      <c r="G7196" s="338" t="s">
        <v>12138</v>
      </c>
      <c r="H7196" s="2003">
        <v>412282</v>
      </c>
      <c r="I7196" s="501" t="s">
        <v>10379</v>
      </c>
      <c r="J7196" s="502" t="s">
        <v>10678</v>
      </c>
      <c r="K7196" s="501"/>
      <c r="L7196" s="35"/>
    </row>
    <row r="7197" spans="2:14" s="196" customFormat="1">
      <c r="B7197" s="28" t="s">
        <v>11804</v>
      </c>
      <c r="C7197" s="2510">
        <v>2563.37</v>
      </c>
      <c r="D7197" s="244">
        <f t="shared" si="1133"/>
        <v>1150.073167164179</v>
      </c>
      <c r="E7197" s="2005">
        <v>20</v>
      </c>
      <c r="F7197" s="2001">
        <f t="shared" si="1131"/>
        <v>1170.073167164179</v>
      </c>
      <c r="G7197" s="338" t="s">
        <v>12139</v>
      </c>
      <c r="H7197" s="2003">
        <v>412283</v>
      </c>
      <c r="I7197" s="501" t="s">
        <v>10379</v>
      </c>
      <c r="J7197" s="502" t="s">
        <v>10678</v>
      </c>
      <c r="K7197" s="501"/>
      <c r="L7197" s="35"/>
    </row>
    <row r="7198" spans="2:14" s="196" customFormat="1">
      <c r="B7198" s="142"/>
      <c r="C7198" s="235"/>
      <c r="D7198" s="213"/>
      <c r="E7198" s="226"/>
      <c r="F7198" s="155"/>
      <c r="G7198" s="197"/>
      <c r="H7198" s="142"/>
      <c r="I7198" s="30"/>
      <c r="J7198" s="416"/>
      <c r="K7198" s="35"/>
    </row>
    <row r="7199" spans="2:14" s="194" customFormat="1">
      <c r="B7199" s="2615" t="s">
        <v>10901</v>
      </c>
      <c r="C7199" s="2615"/>
      <c r="D7199" s="2615"/>
      <c r="E7199" s="234"/>
      <c r="F7199" s="207"/>
      <c r="G7199" s="208"/>
      <c r="H7199" s="206"/>
      <c r="I7199" s="207"/>
      <c r="J7199" s="207"/>
      <c r="K7199" s="207"/>
      <c r="L7199" s="207"/>
      <c r="M7199" s="207"/>
      <c r="N7199" s="207"/>
    </row>
    <row r="7200" spans="2:14" s="194" customFormat="1">
      <c r="B7200" s="2615"/>
      <c r="C7200" s="2615"/>
      <c r="D7200" s="2615"/>
      <c r="E7200" s="234"/>
      <c r="F7200" s="207"/>
      <c r="G7200" s="208"/>
      <c r="H7200" s="206"/>
      <c r="I7200" s="207"/>
      <c r="J7200" s="207"/>
    </row>
    <row r="7201" spans="1:30" s="106" customFormat="1">
      <c r="A7201" s="195"/>
      <c r="B7201" s="2615"/>
      <c r="C7201" s="2615"/>
      <c r="D7201" s="2615"/>
      <c r="E7201" s="616"/>
      <c r="F7201" s="465"/>
      <c r="G7201" s="465"/>
      <c r="H7201" s="1801"/>
      <c r="I7201" s="617"/>
      <c r="J7201" s="195"/>
      <c r="K7201" s="195"/>
      <c r="L7201" s="1774"/>
      <c r="M7201" s="1774"/>
      <c r="N7201" s="1774"/>
      <c r="O7201" s="1774"/>
      <c r="P7201" s="1774"/>
      <c r="Q7201" s="1774"/>
      <c r="R7201" s="1774"/>
      <c r="S7201" s="1774"/>
      <c r="T7201" s="1774"/>
      <c r="U7201" s="1774"/>
      <c r="V7201" s="1774"/>
      <c r="W7201" s="1774"/>
      <c r="X7201" s="1774"/>
      <c r="Y7201" s="1774"/>
      <c r="Z7201" s="1774"/>
      <c r="AA7201" s="1774"/>
      <c r="AB7201" s="1774"/>
      <c r="AC7201" s="1774"/>
      <c r="AD7201" s="1774"/>
    </row>
    <row r="7202" spans="1:30" s="106" customFormat="1" ht="20.25">
      <c r="A7202" s="195"/>
      <c r="B7202" s="2012"/>
      <c r="C7202" s="2012"/>
      <c r="D7202" s="2012"/>
      <c r="E7202" s="616"/>
      <c r="F7202" s="465"/>
      <c r="G7202" s="465"/>
      <c r="H7202" s="1801"/>
      <c r="I7202" s="617"/>
      <c r="J7202" s="195"/>
      <c r="K7202" s="195"/>
      <c r="L7202" s="1774"/>
      <c r="M7202" s="1774"/>
      <c r="N7202" s="1774"/>
      <c r="O7202" s="1774"/>
      <c r="P7202" s="1774"/>
      <c r="Q7202" s="1774"/>
      <c r="R7202" s="1774"/>
      <c r="S7202" s="1774"/>
      <c r="T7202" s="1774"/>
      <c r="U7202" s="1774"/>
      <c r="V7202" s="1774"/>
      <c r="W7202" s="1774"/>
      <c r="X7202" s="1774"/>
      <c r="Y7202" s="1774"/>
      <c r="Z7202" s="1774"/>
      <c r="AA7202" s="1774"/>
      <c r="AB7202" s="1774"/>
      <c r="AC7202" s="1774"/>
      <c r="AD7202" s="1774"/>
    </row>
    <row r="7203" spans="1:30" s="35" customFormat="1">
      <c r="A7203" s="502"/>
      <c r="B7203" s="28" t="s">
        <v>10902</v>
      </c>
      <c r="C7203" s="2510">
        <v>47.233333333333327</v>
      </c>
      <c r="D7203" s="244">
        <f t="shared" ref="D7203:D7219" si="1134">C7203*(1-VLOOKUP(I7203,descuentos,6,FALSE))*fcl/IF(dol_sol="dólar", TC,1)</f>
        <v>21.191552238805968</v>
      </c>
      <c r="E7203" s="216">
        <v>5</v>
      </c>
      <c r="F7203" s="2001">
        <f t="shared" ref="F7203:F7205" si="1135">D7203+E7203</f>
        <v>26.191552238805968</v>
      </c>
      <c r="G7203" s="338" t="s">
        <v>14282</v>
      </c>
      <c r="H7203" s="2003">
        <v>412544</v>
      </c>
      <c r="I7203" s="501" t="s">
        <v>10379</v>
      </c>
      <c r="J7203" s="502" t="s">
        <v>10678</v>
      </c>
      <c r="K7203" s="501"/>
    </row>
    <row r="7204" spans="1:30" s="35" customFormat="1">
      <c r="A7204" s="502"/>
      <c r="B7204" s="28" t="s">
        <v>10903</v>
      </c>
      <c r="C7204" s="2510">
        <v>102.02222222222221</v>
      </c>
      <c r="D7204" s="244">
        <f t="shared" si="1134"/>
        <v>45.772955223880594</v>
      </c>
      <c r="E7204" s="216">
        <v>5</v>
      </c>
      <c r="F7204" s="2001">
        <f t="shared" si="1135"/>
        <v>50.772955223880594</v>
      </c>
      <c r="G7204" s="338" t="s">
        <v>14283</v>
      </c>
      <c r="H7204" s="2003" t="s">
        <v>10904</v>
      </c>
      <c r="I7204" s="501" t="s">
        <v>10379</v>
      </c>
      <c r="J7204" s="502" t="s">
        <v>10678</v>
      </c>
      <c r="K7204" s="501"/>
    </row>
    <row r="7205" spans="1:30" s="35" customFormat="1">
      <c r="A7205" s="502"/>
      <c r="B7205" s="28" t="s">
        <v>10905</v>
      </c>
      <c r="C7205" s="2510">
        <v>125.97</v>
      </c>
      <c r="D7205" s="244">
        <f t="shared" si="1134"/>
        <v>56.517286567164177</v>
      </c>
      <c r="E7205" s="216">
        <v>5</v>
      </c>
      <c r="F7205" s="2001">
        <f t="shared" si="1135"/>
        <v>61.517286567164177</v>
      </c>
      <c r="G7205" s="338" t="s">
        <v>14284</v>
      </c>
      <c r="H7205" s="2003" t="s">
        <v>10906</v>
      </c>
      <c r="I7205" s="501" t="s">
        <v>10379</v>
      </c>
      <c r="J7205" s="502" t="s">
        <v>10678</v>
      </c>
      <c r="K7205" s="501"/>
    </row>
    <row r="7206" spans="1:30" s="35" customFormat="1">
      <c r="A7206" s="502"/>
      <c r="B7206" s="28"/>
      <c r="C7206" s="2510"/>
      <c r="D7206" s="244"/>
      <c r="E7206" s="216"/>
      <c r="F7206" s="2001"/>
      <c r="G7206" s="338"/>
      <c r="H7206" s="2003"/>
      <c r="I7206" s="501"/>
      <c r="J7206" s="502"/>
      <c r="K7206" s="501"/>
    </row>
    <row r="7207" spans="1:30" s="35" customFormat="1">
      <c r="A7207" s="502"/>
      <c r="B7207" s="28" t="s">
        <v>10907</v>
      </c>
      <c r="C7207" s="2510">
        <v>52.9</v>
      </c>
      <c r="D7207" s="244">
        <f t="shared" si="1134"/>
        <v>23.733940298507459</v>
      </c>
      <c r="E7207" s="216">
        <v>5</v>
      </c>
      <c r="F7207" s="2001">
        <f t="shared" ref="F7207:F7223" si="1136">D7207+E7207</f>
        <v>28.733940298507459</v>
      </c>
      <c r="G7207" s="338" t="s">
        <v>12140</v>
      </c>
      <c r="H7207" s="2003">
        <v>416086</v>
      </c>
      <c r="I7207" s="501" t="s">
        <v>10379</v>
      </c>
      <c r="J7207" s="502" t="s">
        <v>10678</v>
      </c>
      <c r="K7207" s="501"/>
    </row>
    <row r="7208" spans="1:30" s="35" customFormat="1">
      <c r="A7208" s="502"/>
      <c r="B7208" s="28" t="s">
        <v>10908</v>
      </c>
      <c r="C7208" s="2510">
        <v>57.94</v>
      </c>
      <c r="D7208" s="244">
        <f t="shared" si="1134"/>
        <v>25.995170149253731</v>
      </c>
      <c r="E7208" s="216">
        <v>5</v>
      </c>
      <c r="F7208" s="2001">
        <f t="shared" si="1136"/>
        <v>30.995170149253731</v>
      </c>
      <c r="G7208" s="338" t="s">
        <v>12141</v>
      </c>
      <c r="H7208" s="2003">
        <v>416096</v>
      </c>
      <c r="I7208" s="501" t="s">
        <v>10379</v>
      </c>
      <c r="J7208" s="502" t="s">
        <v>10678</v>
      </c>
      <c r="K7208" s="501"/>
    </row>
    <row r="7209" spans="1:30" s="35" customFormat="1">
      <c r="A7209" s="502"/>
      <c r="B7209" s="28" t="s">
        <v>10909</v>
      </c>
      <c r="C7209" s="2510">
        <v>74.94</v>
      </c>
      <c r="D7209" s="244">
        <f t="shared" si="1134"/>
        <v>33.622334328358207</v>
      </c>
      <c r="E7209" s="216">
        <v>5</v>
      </c>
      <c r="F7209" s="2001">
        <f t="shared" si="1136"/>
        <v>38.622334328358207</v>
      </c>
      <c r="G7209" s="338" t="s">
        <v>12142</v>
      </c>
      <c r="H7209" s="2003">
        <v>416106</v>
      </c>
      <c r="I7209" s="501" t="s">
        <v>10379</v>
      </c>
      <c r="J7209" s="502" t="s">
        <v>10678</v>
      </c>
      <c r="K7209" s="501"/>
    </row>
    <row r="7210" spans="1:30" s="35" customFormat="1">
      <c r="A7210" s="502"/>
      <c r="B7210" s="28" t="s">
        <v>10910</v>
      </c>
      <c r="C7210" s="2510">
        <v>93.84</v>
      </c>
      <c r="D7210" s="244">
        <f t="shared" si="1134"/>
        <v>42.101946268656711</v>
      </c>
      <c r="E7210" s="216">
        <v>10</v>
      </c>
      <c r="F7210" s="2001">
        <f t="shared" si="1136"/>
        <v>52.101946268656711</v>
      </c>
      <c r="G7210" s="338" t="s">
        <v>12143</v>
      </c>
      <c r="H7210" s="2003">
        <v>416116</v>
      </c>
      <c r="I7210" s="501" t="s">
        <v>10379</v>
      </c>
      <c r="J7210" s="502" t="s">
        <v>10678</v>
      </c>
      <c r="K7210" s="501"/>
    </row>
    <row r="7211" spans="1:30" s="35" customFormat="1">
      <c r="A7211" s="502"/>
      <c r="B7211" s="28" t="s">
        <v>10911</v>
      </c>
      <c r="C7211" s="2510">
        <v>131.01</v>
      </c>
      <c r="D7211" s="244">
        <f t="shared" si="1134"/>
        <v>58.778516417910438</v>
      </c>
      <c r="E7211" s="216">
        <v>10</v>
      </c>
      <c r="F7211" s="2001">
        <f t="shared" si="1136"/>
        <v>68.778516417910438</v>
      </c>
      <c r="G7211" s="338" t="s">
        <v>12144</v>
      </c>
      <c r="H7211" s="2003">
        <v>416126</v>
      </c>
      <c r="I7211" s="501" t="s">
        <v>10379</v>
      </c>
      <c r="J7211" s="502" t="s">
        <v>10678</v>
      </c>
      <c r="K7211" s="501"/>
    </row>
    <row r="7212" spans="1:30" s="35" customFormat="1">
      <c r="A7212" s="502"/>
      <c r="B7212" s="28" t="s">
        <v>10912</v>
      </c>
      <c r="C7212" s="2510">
        <v>174.47</v>
      </c>
      <c r="D7212" s="244">
        <f t="shared" si="1134"/>
        <v>78.277137313432831</v>
      </c>
      <c r="E7212" s="216">
        <v>15</v>
      </c>
      <c r="F7212" s="2001">
        <f t="shared" si="1136"/>
        <v>93.277137313432831</v>
      </c>
      <c r="G7212" s="338" t="s">
        <v>12145</v>
      </c>
      <c r="H7212" s="2003">
        <v>416136</v>
      </c>
      <c r="I7212" s="501" t="s">
        <v>10379</v>
      </c>
      <c r="J7212" s="502" t="s">
        <v>10678</v>
      </c>
      <c r="K7212" s="501"/>
    </row>
    <row r="7213" spans="1:30" s="35" customFormat="1">
      <c r="A7213" s="502"/>
      <c r="B7213" s="28" t="s">
        <v>10913</v>
      </c>
      <c r="C7213" s="2510">
        <v>240.59</v>
      </c>
      <c r="D7213" s="244">
        <f t="shared" si="1134"/>
        <v>107.94231940298506</v>
      </c>
      <c r="E7213" s="216">
        <v>15</v>
      </c>
      <c r="F7213" s="2001">
        <f t="shared" si="1136"/>
        <v>122.94231940298506</v>
      </c>
      <c r="G7213" s="338" t="s">
        <v>12146</v>
      </c>
      <c r="H7213" s="2003">
        <v>416146</v>
      </c>
      <c r="I7213" s="501" t="s">
        <v>10379</v>
      </c>
      <c r="J7213" s="502" t="s">
        <v>10678</v>
      </c>
      <c r="K7213" s="501"/>
    </row>
    <row r="7214" spans="1:30" s="35" customFormat="1">
      <c r="A7214" s="502"/>
      <c r="B7214" s="28" t="s">
        <v>10914</v>
      </c>
      <c r="C7214" s="2510">
        <v>272.70999999999998</v>
      </c>
      <c r="D7214" s="244">
        <f t="shared" si="1134"/>
        <v>122.35317313432836</v>
      </c>
      <c r="E7214" s="216">
        <v>15</v>
      </c>
      <c r="F7214" s="2001">
        <f t="shared" si="1136"/>
        <v>137.35317313432836</v>
      </c>
      <c r="G7214" s="338" t="s">
        <v>12147</v>
      </c>
      <c r="H7214" s="2003">
        <v>416166</v>
      </c>
      <c r="I7214" s="501" t="s">
        <v>10379</v>
      </c>
      <c r="J7214" s="502" t="s">
        <v>10678</v>
      </c>
      <c r="K7214" s="501"/>
    </row>
    <row r="7215" spans="1:30" s="35" customFormat="1">
      <c r="A7215" s="502"/>
      <c r="B7215" s="28" t="s">
        <v>10915</v>
      </c>
      <c r="C7215" s="2510">
        <v>312.39</v>
      </c>
      <c r="D7215" s="244">
        <f t="shared" si="1134"/>
        <v>140.15587164179104</v>
      </c>
      <c r="E7215" s="216">
        <v>15</v>
      </c>
      <c r="F7215" s="2001">
        <f t="shared" si="1136"/>
        <v>155.15587164179104</v>
      </c>
      <c r="G7215" s="338" t="s">
        <v>12148</v>
      </c>
      <c r="H7215" s="2003">
        <v>416186</v>
      </c>
      <c r="I7215" s="501" t="s">
        <v>10379</v>
      </c>
      <c r="J7215" s="502" t="s">
        <v>10678</v>
      </c>
      <c r="K7215" s="501"/>
    </row>
    <row r="7216" spans="1:30" s="35" customFormat="1">
      <c r="A7216" s="502"/>
      <c r="B7216" s="28" t="s">
        <v>10916</v>
      </c>
      <c r="C7216" s="2510">
        <v>370.33</v>
      </c>
      <c r="D7216" s="244">
        <f t="shared" si="1134"/>
        <v>166.15104179104475</v>
      </c>
      <c r="E7216" s="216">
        <v>20</v>
      </c>
      <c r="F7216" s="2001">
        <f t="shared" si="1136"/>
        <v>186.15104179104475</v>
      </c>
      <c r="G7216" s="338" t="s">
        <v>12149</v>
      </c>
      <c r="H7216" s="2003">
        <v>416206</v>
      </c>
      <c r="I7216" s="501" t="s">
        <v>10379</v>
      </c>
      <c r="J7216" s="502" t="s">
        <v>10678</v>
      </c>
      <c r="K7216" s="501"/>
    </row>
    <row r="7217" spans="1:11" s="35" customFormat="1">
      <c r="A7217" s="502"/>
      <c r="B7217" s="28" t="s">
        <v>10917</v>
      </c>
      <c r="C7217" s="2510">
        <v>495.03</v>
      </c>
      <c r="D7217" s="244">
        <f t="shared" si="1134"/>
        <v>222.0985343283582</v>
      </c>
      <c r="E7217" s="216">
        <v>20</v>
      </c>
      <c r="F7217" s="2001">
        <f t="shared" si="1136"/>
        <v>242.0985343283582</v>
      </c>
      <c r="G7217" s="338" t="s">
        <v>12150</v>
      </c>
      <c r="H7217" s="2003">
        <v>416226</v>
      </c>
      <c r="I7217" s="501" t="s">
        <v>10379</v>
      </c>
      <c r="J7217" s="502" t="s">
        <v>10678</v>
      </c>
      <c r="K7217" s="501"/>
    </row>
    <row r="7218" spans="1:11" s="35" customFormat="1">
      <c r="A7218" s="502"/>
      <c r="B7218" s="28" t="s">
        <v>10918</v>
      </c>
      <c r="C7218" s="2510">
        <v>616.6</v>
      </c>
      <c r="D7218" s="244">
        <f t="shared" si="1134"/>
        <v>276.6417313432836</v>
      </c>
      <c r="E7218" s="216">
        <v>20</v>
      </c>
      <c r="F7218" s="2001">
        <f t="shared" si="1136"/>
        <v>296.6417313432836</v>
      </c>
      <c r="G7218" s="338" t="s">
        <v>12151</v>
      </c>
      <c r="H7218" s="2003">
        <v>416246</v>
      </c>
      <c r="I7218" s="501" t="s">
        <v>10379</v>
      </c>
      <c r="J7218" s="502" t="s">
        <v>10678</v>
      </c>
      <c r="K7218" s="501"/>
    </row>
    <row r="7219" spans="1:11" s="35" customFormat="1">
      <c r="A7219" s="502"/>
      <c r="B7219" s="28" t="s">
        <v>10919</v>
      </c>
      <c r="C7219" s="2510">
        <v>784.12</v>
      </c>
      <c r="D7219" s="244">
        <f t="shared" si="1134"/>
        <v>351.80070447761193</v>
      </c>
      <c r="E7219" s="216">
        <v>20</v>
      </c>
      <c r="F7219" s="2001">
        <f t="shared" si="1136"/>
        <v>371.80070447761193</v>
      </c>
      <c r="G7219" s="338" t="s">
        <v>12152</v>
      </c>
      <c r="H7219" s="2003">
        <v>416266</v>
      </c>
      <c r="I7219" s="501" t="s">
        <v>10379</v>
      </c>
      <c r="J7219" s="502" t="s">
        <v>10678</v>
      </c>
      <c r="K7219" s="501"/>
    </row>
    <row r="7220" spans="1:11" s="35" customFormat="1">
      <c r="A7220" s="502"/>
      <c r="B7220" s="28" t="s">
        <v>12473</v>
      </c>
      <c r="C7220" s="2510">
        <v>993.85555555555561</v>
      </c>
      <c r="D7220" s="244">
        <f>C7220*(1-VLOOKUP(I7220,descuentos,6,FALSE))*fcl/IF(dol_sol="dólar", TC,1)</f>
        <v>445.8999701492537</v>
      </c>
      <c r="E7220" s="216">
        <v>20</v>
      </c>
      <c r="F7220" s="2001">
        <f t="shared" si="1136"/>
        <v>465.8999701492537</v>
      </c>
      <c r="G7220" s="338" t="s">
        <v>12474</v>
      </c>
      <c r="H7220" s="2003">
        <v>416266</v>
      </c>
      <c r="I7220" s="501" t="s">
        <v>10379</v>
      </c>
      <c r="J7220" s="502" t="s">
        <v>10678</v>
      </c>
      <c r="K7220" s="501"/>
    </row>
    <row r="7221" spans="1:11" s="35" customFormat="1">
      <c r="A7221" s="502"/>
      <c r="B7221" s="28" t="s">
        <v>12475</v>
      </c>
      <c r="C7221" s="2510">
        <v>1197.2888888888888</v>
      </c>
      <c r="D7221" s="244">
        <f>C7221*(1-VLOOKUP(I7221,descuentos,6,FALSE))*fcl/IF(dol_sol="dólar", TC,1)</f>
        <v>537.1717014925373</v>
      </c>
      <c r="E7221" s="216">
        <v>20</v>
      </c>
      <c r="F7221" s="2001">
        <f t="shared" si="1136"/>
        <v>557.1717014925373</v>
      </c>
      <c r="G7221" s="338" t="s">
        <v>12476</v>
      </c>
      <c r="H7221" s="2003">
        <v>416266</v>
      </c>
      <c r="I7221" s="501" t="s">
        <v>10379</v>
      </c>
      <c r="J7221" s="502" t="s">
        <v>10678</v>
      </c>
      <c r="K7221" s="501"/>
    </row>
    <row r="7222" spans="1:11" s="35" customFormat="1">
      <c r="A7222" s="502"/>
      <c r="B7222" s="28" t="s">
        <v>12477</v>
      </c>
      <c r="C7222" s="2510">
        <v>1532.9888888888888</v>
      </c>
      <c r="D7222" s="244">
        <f>C7222*(1-VLOOKUP(I7222,descuentos,6,FALSE))*fcl/IF(dol_sol="dólar", TC,1)</f>
        <v>687.78576119402987</v>
      </c>
      <c r="E7222" s="216">
        <v>20</v>
      </c>
      <c r="F7222" s="2001">
        <f t="shared" si="1136"/>
        <v>707.78576119402987</v>
      </c>
      <c r="G7222" s="338" t="s">
        <v>12478</v>
      </c>
      <c r="H7222" s="2003">
        <v>416266</v>
      </c>
      <c r="I7222" s="501" t="s">
        <v>10379</v>
      </c>
      <c r="J7222" s="502" t="s">
        <v>10678</v>
      </c>
      <c r="K7222" s="501"/>
    </row>
    <row r="7223" spans="1:11" s="35" customFormat="1">
      <c r="A7223" s="502"/>
      <c r="B7223" s="28" t="s">
        <v>12479</v>
      </c>
      <c r="C7223" s="2510">
        <v>1668.3999999999999</v>
      </c>
      <c r="D7223" s="244">
        <f>C7223*(1-VLOOKUP(I7223,descuentos,6,FALSE))*fcl/IF(dol_sol="dólar", TC,1)</f>
        <v>748.53886567164182</v>
      </c>
      <c r="E7223" s="216">
        <v>20</v>
      </c>
      <c r="F7223" s="2001">
        <f t="shared" si="1136"/>
        <v>768.53886567164182</v>
      </c>
      <c r="G7223" s="338" t="s">
        <v>12480</v>
      </c>
      <c r="H7223" s="2003">
        <v>416266</v>
      </c>
      <c r="I7223" s="501" t="s">
        <v>10379</v>
      </c>
      <c r="J7223" s="502" t="s">
        <v>10678</v>
      </c>
      <c r="K7223" s="501"/>
    </row>
    <row r="7224" spans="1:11" s="35" customFormat="1">
      <c r="A7224" s="502"/>
      <c r="B7224" s="28"/>
      <c r="C7224" s="2510"/>
      <c r="D7224" s="244"/>
      <c r="E7224" s="216"/>
      <c r="F7224" s="2001"/>
      <c r="G7224" s="338"/>
      <c r="H7224" s="2003"/>
      <c r="I7224" s="501"/>
      <c r="J7224" s="502"/>
      <c r="K7224" s="501"/>
    </row>
    <row r="7225" spans="1:11" s="35" customFormat="1">
      <c r="A7225" s="502"/>
      <c r="B7225" s="28" t="s">
        <v>12500</v>
      </c>
      <c r="C7225" s="2510">
        <v>15.111111111111111</v>
      </c>
      <c r="D7225" s="244">
        <f t="shared" ref="D7225:D7226" si="1137">C7225*(1-VLOOKUP(I7225,descuentos,6,FALSE))*fcl/IF(dol_sol="dólar", TC,1)</f>
        <v>6.7797014925373134</v>
      </c>
      <c r="E7225" s="216">
        <v>2</v>
      </c>
      <c r="F7225" s="2001">
        <f t="shared" ref="F7225:F7233" si="1138">D7225+E7225</f>
        <v>8.7797014925373134</v>
      </c>
      <c r="G7225" s="338" t="s">
        <v>12501</v>
      </c>
      <c r="H7225" s="2003" t="s">
        <v>12502</v>
      </c>
      <c r="I7225" s="501" t="s">
        <v>10379</v>
      </c>
      <c r="J7225" s="502" t="s">
        <v>10678</v>
      </c>
      <c r="K7225" s="501"/>
    </row>
    <row r="7226" spans="1:11" s="35" customFormat="1">
      <c r="A7226" s="502"/>
      <c r="B7226" s="28" t="s">
        <v>12503</v>
      </c>
      <c r="C7226" s="2510">
        <v>23.299999999999997</v>
      </c>
      <c r="D7226" s="244">
        <f t="shared" si="1137"/>
        <v>10.453701492537313</v>
      </c>
      <c r="E7226" s="216">
        <v>2</v>
      </c>
      <c r="F7226" s="2001">
        <f t="shared" si="1138"/>
        <v>12.453701492537313</v>
      </c>
      <c r="G7226" s="338" t="s">
        <v>12504</v>
      </c>
      <c r="H7226" s="2003" t="s">
        <v>12505</v>
      </c>
      <c r="I7226" s="501" t="s">
        <v>10379</v>
      </c>
      <c r="J7226" s="502" t="s">
        <v>10678</v>
      </c>
      <c r="K7226" s="501"/>
    </row>
    <row r="7227" spans="1:11" s="35" customFormat="1">
      <c r="A7227" s="502"/>
      <c r="B7227" s="28" t="s">
        <v>12506</v>
      </c>
      <c r="C7227" s="2510">
        <v>23.299999999999997</v>
      </c>
      <c r="D7227" s="244">
        <f>C7227*(1-VLOOKUP(I7227,descuentos,6,FALSE))*fcl/IF(dol_sol="dólar", TC,1)</f>
        <v>10.453701492537313</v>
      </c>
      <c r="E7227" s="216">
        <v>2</v>
      </c>
      <c r="F7227" s="2001">
        <f t="shared" si="1138"/>
        <v>12.453701492537313</v>
      </c>
      <c r="G7227" s="338" t="s">
        <v>12507</v>
      </c>
      <c r="H7227" s="2003" t="s">
        <v>12508</v>
      </c>
      <c r="I7227" s="501" t="s">
        <v>10379</v>
      </c>
      <c r="J7227" s="502" t="s">
        <v>10678</v>
      </c>
      <c r="K7227" s="501"/>
    </row>
    <row r="7228" spans="1:11" s="35" customFormat="1">
      <c r="A7228" s="502"/>
      <c r="B7228" s="28" t="s">
        <v>12509</v>
      </c>
      <c r="C7228" s="2510">
        <v>15.111111111111111</v>
      </c>
      <c r="D7228" s="244">
        <f>C7228*(1-VLOOKUP(I7228,descuentos,6,FALSE))*fcl/IF(dol_sol="dólar", TC,1)</f>
        <v>6.7797014925373134</v>
      </c>
      <c r="E7228" s="216">
        <v>2</v>
      </c>
      <c r="F7228" s="2001">
        <f t="shared" si="1138"/>
        <v>8.7797014925373134</v>
      </c>
      <c r="G7228" s="338" t="s">
        <v>12510</v>
      </c>
      <c r="H7228" s="2003" t="s">
        <v>12511</v>
      </c>
      <c r="I7228" s="501" t="s">
        <v>10379</v>
      </c>
      <c r="J7228" s="502" t="s">
        <v>10678</v>
      </c>
      <c r="K7228" s="501"/>
    </row>
    <row r="7229" spans="1:11" s="35" customFormat="1">
      <c r="A7229" s="502"/>
      <c r="B7229" s="28" t="s">
        <v>12512</v>
      </c>
      <c r="C7229" s="2510">
        <v>24.566666666666666</v>
      </c>
      <c r="D7229" s="244">
        <f>C7229*(1-VLOOKUP(I7229,descuentos,6,FALSE))*fcl/IF(dol_sol="dólar", TC,1)</f>
        <v>11.021999999999998</v>
      </c>
      <c r="E7229" s="216">
        <v>2</v>
      </c>
      <c r="F7229" s="2001">
        <f t="shared" si="1138"/>
        <v>13.021999999999998</v>
      </c>
      <c r="G7229" s="338" t="s">
        <v>12513</v>
      </c>
      <c r="H7229" s="2003" t="s">
        <v>12514</v>
      </c>
      <c r="I7229" s="501" t="s">
        <v>10379</v>
      </c>
      <c r="J7229" s="502" t="s">
        <v>10678</v>
      </c>
      <c r="K7229" s="501"/>
    </row>
    <row r="7230" spans="1:11" s="35" customFormat="1">
      <c r="A7230" s="502"/>
      <c r="B7230" s="28"/>
      <c r="C7230" s="2510"/>
      <c r="D7230" s="244"/>
      <c r="E7230" s="216"/>
      <c r="F7230" s="2001"/>
      <c r="G7230" s="338"/>
      <c r="H7230" s="2003"/>
      <c r="I7230" s="501"/>
      <c r="J7230" s="502"/>
      <c r="K7230" s="501"/>
    </row>
    <row r="7231" spans="1:11" s="35" customFormat="1">
      <c r="A7231" s="502"/>
      <c r="B7231" s="28" t="s">
        <v>12515</v>
      </c>
      <c r="C7231" s="2510">
        <v>31.5</v>
      </c>
      <c r="D7231" s="244">
        <f t="shared" ref="D7231:D7232" si="1139">C7231*(1-VLOOKUP(I7231,descuentos,6,FALSE))*fcl/IF(dol_sol="dólar", TC,1)</f>
        <v>14.13268656716418</v>
      </c>
      <c r="E7231" s="216">
        <v>5</v>
      </c>
      <c r="F7231" s="2001">
        <f t="shared" si="1138"/>
        <v>19.132686567164178</v>
      </c>
      <c r="G7231" s="338" t="s">
        <v>12516</v>
      </c>
      <c r="H7231" s="2003" t="s">
        <v>11785</v>
      </c>
      <c r="I7231" s="501" t="s">
        <v>10379</v>
      </c>
      <c r="J7231" s="502" t="s">
        <v>10678</v>
      </c>
      <c r="K7231" s="501"/>
    </row>
    <row r="7232" spans="1:11" s="35" customFormat="1">
      <c r="A7232" s="502"/>
      <c r="B7232" s="28" t="s">
        <v>12517</v>
      </c>
      <c r="C7232" s="2510">
        <v>100.77777777777777</v>
      </c>
      <c r="D7232" s="244">
        <f t="shared" si="1139"/>
        <v>45.21462686567164</v>
      </c>
      <c r="E7232" s="216">
        <v>10</v>
      </c>
      <c r="F7232" s="2001">
        <f t="shared" si="1138"/>
        <v>55.21462686567164</v>
      </c>
      <c r="G7232" s="338" t="s">
        <v>12518</v>
      </c>
      <c r="H7232" s="2003" t="s">
        <v>12519</v>
      </c>
      <c r="I7232" s="501" t="s">
        <v>10379</v>
      </c>
      <c r="J7232" s="502" t="s">
        <v>10678</v>
      </c>
      <c r="K7232" s="501"/>
    </row>
    <row r="7233" spans="1:30" s="35" customFormat="1">
      <c r="A7233" s="502"/>
      <c r="B7233" s="28" t="s">
        <v>12520</v>
      </c>
      <c r="C7233" s="2510">
        <v>1587.1444444444444</v>
      </c>
      <c r="D7233" s="244">
        <f>C7233*(1-VLOOKUP(I7233,descuentos,6,FALSE))*fcl/IF(dol_sol="dólar", TC,1)</f>
        <v>712.08301492537305</v>
      </c>
      <c r="E7233" s="216">
        <v>15</v>
      </c>
      <c r="F7233" s="2001">
        <f t="shared" si="1138"/>
        <v>727.08301492537305</v>
      </c>
      <c r="G7233" s="338" t="s">
        <v>12521</v>
      </c>
      <c r="H7233" s="2003" t="s">
        <v>12522</v>
      </c>
      <c r="I7233" s="501" t="s">
        <v>10379</v>
      </c>
      <c r="J7233" s="502" t="s">
        <v>10678</v>
      </c>
      <c r="K7233" s="501"/>
    </row>
    <row r="7234" spans="1:30" s="106" customFormat="1">
      <c r="A7234" s="195"/>
      <c r="B7234" s="1799"/>
      <c r="C7234" s="615"/>
      <c r="D7234" s="465"/>
      <c r="E7234" s="616"/>
      <c r="F7234" s="465"/>
      <c r="G7234" s="195"/>
      <c r="H7234" s="1801"/>
      <c r="I7234" s="617"/>
      <c r="J7234" s="195"/>
      <c r="K7234" s="195"/>
      <c r="L7234" s="1774"/>
      <c r="M7234" s="1774"/>
      <c r="N7234" s="1774"/>
      <c r="O7234" s="1774"/>
      <c r="P7234" s="1774"/>
      <c r="Q7234" s="1774"/>
      <c r="R7234" s="1774"/>
      <c r="S7234" s="1774"/>
      <c r="T7234" s="1774"/>
      <c r="U7234" s="1774"/>
      <c r="V7234" s="1774"/>
      <c r="W7234" s="1774"/>
      <c r="X7234" s="1774"/>
      <c r="Y7234" s="1774"/>
      <c r="Z7234" s="1774"/>
      <c r="AA7234" s="1774"/>
      <c r="AB7234" s="1774"/>
      <c r="AC7234" s="1774"/>
      <c r="AD7234" s="1774"/>
    </row>
    <row r="7235" spans="1:30" s="194" customFormat="1">
      <c r="B7235" s="2615" t="s">
        <v>10920</v>
      </c>
      <c r="C7235" s="2615"/>
      <c r="D7235" s="2615"/>
      <c r="E7235" s="234"/>
      <c r="F7235" s="207"/>
      <c r="G7235" s="208"/>
      <c r="H7235" s="206"/>
      <c r="I7235" s="207"/>
      <c r="J7235" s="207"/>
      <c r="K7235" s="207"/>
      <c r="L7235" s="207"/>
      <c r="M7235" s="207"/>
      <c r="N7235" s="207"/>
    </row>
    <row r="7236" spans="1:30" s="194" customFormat="1">
      <c r="B7236" s="2615"/>
      <c r="C7236" s="2615"/>
      <c r="D7236" s="2615"/>
      <c r="E7236" s="234"/>
      <c r="F7236" s="207"/>
      <c r="G7236" s="208"/>
      <c r="H7236" s="206"/>
      <c r="I7236" s="207"/>
      <c r="J7236" s="207"/>
    </row>
    <row r="7237" spans="1:30" s="106" customFormat="1">
      <c r="A7237" s="195"/>
      <c r="B7237" s="2615"/>
      <c r="C7237" s="2615"/>
      <c r="D7237" s="2615"/>
      <c r="E7237" s="616"/>
      <c r="F7237" s="465"/>
      <c r="G7237" s="465"/>
      <c r="H7237" s="1801"/>
      <c r="I7237" s="617"/>
      <c r="J7237" s="195"/>
      <c r="K7237" s="195"/>
      <c r="L7237" s="1774"/>
      <c r="M7237" s="1774"/>
      <c r="N7237" s="1774"/>
      <c r="O7237" s="1774"/>
      <c r="P7237" s="1774"/>
      <c r="Q7237" s="1774"/>
      <c r="R7237" s="1774"/>
      <c r="S7237" s="1774"/>
      <c r="T7237" s="1774"/>
      <c r="U7237" s="1774"/>
      <c r="V7237" s="1774"/>
      <c r="W7237" s="1774"/>
      <c r="X7237" s="1774"/>
      <c r="Y7237" s="1774"/>
      <c r="Z7237" s="1774"/>
      <c r="AA7237" s="1774"/>
      <c r="AB7237" s="1774"/>
      <c r="AC7237" s="1774"/>
      <c r="AD7237" s="1774"/>
    </row>
    <row r="7238" spans="1:30" s="106" customFormat="1" ht="20.25">
      <c r="A7238" s="195"/>
      <c r="B7238" s="2012"/>
      <c r="C7238" s="2012"/>
      <c r="D7238" s="2012"/>
      <c r="E7238" s="616"/>
      <c r="F7238" s="465"/>
      <c r="G7238" s="465"/>
      <c r="H7238" s="1801"/>
      <c r="I7238" s="617"/>
      <c r="J7238" s="195"/>
      <c r="K7238" s="195"/>
      <c r="L7238" s="1774"/>
      <c r="M7238" s="1774"/>
      <c r="N7238" s="1774"/>
      <c r="O7238" s="1774"/>
      <c r="P7238" s="1774"/>
      <c r="Q7238" s="1774"/>
      <c r="R7238" s="1774"/>
      <c r="S7238" s="1774"/>
      <c r="T7238" s="1774"/>
      <c r="U7238" s="1774"/>
      <c r="V7238" s="1774"/>
      <c r="W7238" s="1774"/>
      <c r="X7238" s="1774"/>
      <c r="Y7238" s="1774"/>
      <c r="Z7238" s="1774"/>
      <c r="AA7238" s="1774"/>
      <c r="AB7238" s="1774"/>
      <c r="AC7238" s="1774"/>
      <c r="AD7238" s="1774"/>
    </row>
    <row r="7239" spans="1:30" s="35" customFormat="1">
      <c r="A7239" s="502"/>
      <c r="B7239" s="28" t="s">
        <v>10921</v>
      </c>
      <c r="C7239" s="2510">
        <v>42.822222222222223</v>
      </c>
      <c r="D7239" s="244">
        <f>C7239*(1-VLOOKUP(I7239,descuentos,6,FALSE))*fcl/IF(dol_sol="dólar", TC,1)</f>
        <v>19.212477611940297</v>
      </c>
      <c r="E7239" s="216">
        <v>5</v>
      </c>
      <c r="F7239" s="2001">
        <f t="shared" ref="F7239:F7242" si="1140">D7239+E7239</f>
        <v>24.212477611940297</v>
      </c>
      <c r="G7239" s="338" t="s">
        <v>12153</v>
      </c>
      <c r="H7239" s="2003">
        <v>417006</v>
      </c>
      <c r="I7239" s="501" t="s">
        <v>10379</v>
      </c>
      <c r="J7239" s="502" t="s">
        <v>10678</v>
      </c>
      <c r="K7239" s="501"/>
    </row>
    <row r="7240" spans="1:30" s="35" customFormat="1">
      <c r="A7240" s="502"/>
      <c r="B7240" s="28" t="s">
        <v>10922</v>
      </c>
      <c r="C7240" s="2510">
        <v>45.977777777777781</v>
      </c>
      <c r="D7240" s="244">
        <f>C7240*(1-VLOOKUP(I7240,descuentos,6,FALSE))*fcl/IF(dol_sol="dólar", TC,1)</f>
        <v>20.628238805970149</v>
      </c>
      <c r="E7240" s="216">
        <v>5</v>
      </c>
      <c r="F7240" s="2001">
        <f t="shared" si="1140"/>
        <v>25.628238805970149</v>
      </c>
      <c r="G7240" s="338" t="s">
        <v>12154</v>
      </c>
      <c r="H7240" s="2003">
        <v>417026</v>
      </c>
      <c r="I7240" s="501" t="s">
        <v>10379</v>
      </c>
      <c r="J7240" s="502" t="s">
        <v>10678</v>
      </c>
      <c r="K7240" s="501"/>
    </row>
    <row r="7241" spans="1:30" s="35" customFormat="1">
      <c r="A7241" s="502"/>
      <c r="B7241" s="28" t="s">
        <v>10923</v>
      </c>
      <c r="C7241" s="2510">
        <v>49.755555555555553</v>
      </c>
      <c r="D7241" s="244">
        <f>C7241*(1-VLOOKUP(I7241,descuentos,6,FALSE))*fcl/IF(dol_sol="dólar", TC,1)</f>
        <v>22.323164179104477</v>
      </c>
      <c r="E7241" s="216">
        <v>5</v>
      </c>
      <c r="F7241" s="2001">
        <f t="shared" si="1140"/>
        <v>27.323164179104477</v>
      </c>
      <c r="G7241" s="338" t="s">
        <v>12155</v>
      </c>
      <c r="H7241" s="2003" t="s">
        <v>10924</v>
      </c>
      <c r="I7241" s="501" t="s">
        <v>10379</v>
      </c>
      <c r="J7241" s="502" t="s">
        <v>10678</v>
      </c>
      <c r="K7241" s="501"/>
    </row>
    <row r="7242" spans="1:30" s="35" customFormat="1">
      <c r="A7242" s="502"/>
      <c r="B7242" s="28" t="s">
        <v>10925</v>
      </c>
      <c r="C7242" s="2510">
        <v>52.9</v>
      </c>
      <c r="D7242" s="244">
        <f>C7242*(1-VLOOKUP(I7242,descuentos,6,FALSE))*fcl/IF(dol_sol="dólar", TC,1)</f>
        <v>23.733940298507459</v>
      </c>
      <c r="E7242" s="216">
        <v>5</v>
      </c>
      <c r="F7242" s="2001">
        <f t="shared" si="1140"/>
        <v>28.733940298507459</v>
      </c>
      <c r="G7242" s="338" t="s">
        <v>12156</v>
      </c>
      <c r="H7242" s="2003" t="s">
        <v>10926</v>
      </c>
      <c r="I7242" s="501" t="s">
        <v>10379</v>
      </c>
      <c r="J7242" s="502" t="s">
        <v>10678</v>
      </c>
      <c r="K7242" s="501"/>
    </row>
    <row r="7243" spans="1:30" s="106" customFormat="1">
      <c r="A7243" s="195"/>
      <c r="B7243" s="1850"/>
      <c r="C7243" s="618"/>
      <c r="D7243" s="601"/>
      <c r="E7243" s="616"/>
      <c r="F7243" s="465"/>
      <c r="G7243" s="197"/>
      <c r="H7243" s="1801"/>
      <c r="I7243" s="617"/>
      <c r="J7243" s="347"/>
      <c r="K7243" s="195"/>
      <c r="L7243" s="1774"/>
      <c r="M7243" s="1774"/>
      <c r="N7243" s="1774"/>
      <c r="O7243" s="1774"/>
      <c r="P7243" s="1774"/>
      <c r="Q7243" s="1774"/>
      <c r="R7243" s="1774"/>
      <c r="S7243" s="1774"/>
      <c r="T7243" s="1774"/>
      <c r="U7243" s="1774"/>
      <c r="V7243" s="1774"/>
      <c r="W7243" s="1774"/>
      <c r="X7243" s="1774"/>
      <c r="Y7243" s="1774"/>
      <c r="Z7243" s="1774"/>
      <c r="AA7243" s="1774"/>
      <c r="AB7243" s="1774"/>
      <c r="AC7243" s="1774"/>
      <c r="AD7243" s="1774"/>
    </row>
    <row r="7244" spans="1:30" s="194" customFormat="1">
      <c r="B7244" s="2615" t="s">
        <v>11000</v>
      </c>
      <c r="C7244" s="2615"/>
      <c r="D7244" s="2615"/>
      <c r="E7244" s="234"/>
      <c r="F7244" s="207"/>
      <c r="G7244" s="208"/>
      <c r="H7244" s="206"/>
      <c r="I7244" s="207"/>
      <c r="J7244" s="207"/>
      <c r="K7244" s="207"/>
      <c r="L7244" s="207"/>
      <c r="M7244" s="207"/>
      <c r="N7244" s="207"/>
    </row>
    <row r="7245" spans="1:30" s="194" customFormat="1">
      <c r="B7245" s="2615"/>
      <c r="C7245" s="2615"/>
      <c r="D7245" s="2615"/>
      <c r="E7245" s="234"/>
      <c r="F7245" s="207"/>
      <c r="G7245" s="208"/>
      <c r="H7245" s="206"/>
      <c r="I7245" s="207"/>
      <c r="J7245" s="207"/>
    </row>
    <row r="7246" spans="1:30" s="106" customFormat="1">
      <c r="A7246" s="195"/>
      <c r="B7246" s="2615"/>
      <c r="C7246" s="2615"/>
      <c r="D7246" s="2615"/>
      <c r="E7246" s="616"/>
      <c r="F7246" s="465"/>
      <c r="G7246" s="465"/>
      <c r="H7246" s="1801"/>
      <c r="I7246" s="617"/>
      <c r="J7246" s="195"/>
      <c r="K7246" s="195"/>
      <c r="L7246" s="1774"/>
      <c r="M7246" s="1774"/>
      <c r="N7246" s="1774"/>
      <c r="O7246" s="1774"/>
      <c r="P7246" s="1774"/>
      <c r="Q7246" s="1774"/>
      <c r="R7246" s="1774"/>
      <c r="S7246" s="1774"/>
      <c r="T7246" s="1774"/>
      <c r="U7246" s="1774"/>
      <c r="V7246" s="1774"/>
      <c r="W7246" s="1774"/>
      <c r="X7246" s="1774"/>
      <c r="Y7246" s="1774"/>
      <c r="Z7246" s="1774"/>
      <c r="AA7246" s="1774"/>
      <c r="AB7246" s="1774"/>
      <c r="AC7246" s="1774"/>
      <c r="AD7246" s="1774"/>
    </row>
    <row r="7247" spans="1:30" s="106" customFormat="1">
      <c r="A7247" s="195"/>
      <c r="B7247" s="1850"/>
      <c r="C7247" s="618"/>
      <c r="D7247" s="601"/>
      <c r="E7247" s="616"/>
      <c r="F7247" s="465"/>
      <c r="G7247" s="197"/>
      <c r="H7247" s="1801"/>
      <c r="I7247" s="617"/>
      <c r="J7247" s="347"/>
      <c r="K7247" s="195"/>
      <c r="L7247" s="1774"/>
      <c r="M7247" s="1774"/>
      <c r="N7247" s="1774"/>
      <c r="O7247" s="1774"/>
      <c r="P7247" s="1774"/>
      <c r="Q7247" s="1774"/>
      <c r="R7247" s="1774"/>
      <c r="S7247" s="1774"/>
      <c r="T7247" s="1774"/>
      <c r="U7247" s="1774"/>
      <c r="V7247" s="1774"/>
      <c r="W7247" s="1774"/>
      <c r="X7247" s="1774"/>
      <c r="Y7247" s="1774"/>
      <c r="Z7247" s="1774"/>
      <c r="AA7247" s="1774"/>
      <c r="AB7247" s="1774"/>
      <c r="AC7247" s="1774"/>
      <c r="AD7247" s="1774"/>
    </row>
    <row r="7248" spans="1:30" s="106" customFormat="1">
      <c r="A7248" s="195"/>
      <c r="B7248" s="28" t="s">
        <v>11001</v>
      </c>
      <c r="C7248" s="2510">
        <v>62.344444444444441</v>
      </c>
      <c r="D7248" s="244">
        <f t="shared" ref="D7248:D7274" si="1141">C7248*(1-VLOOKUP(I7248,descuentos,6,FALSE))*fcl/IF(dol_sol="dólar", TC,1)</f>
        <v>27.971253731343282</v>
      </c>
      <c r="E7248" s="216">
        <v>5</v>
      </c>
      <c r="F7248" s="2001">
        <f t="shared" ref="F7248:F7274" si="1142">D7248+E7248</f>
        <v>32.971253731343282</v>
      </c>
      <c r="G7248" s="153" t="s">
        <v>12157</v>
      </c>
      <c r="H7248" s="2003">
        <v>416640</v>
      </c>
      <c r="I7248" s="501" t="s">
        <v>10379</v>
      </c>
      <c r="J7248" s="502" t="s">
        <v>10678</v>
      </c>
      <c r="K7248" s="501"/>
      <c r="L7248" s="35"/>
    </row>
    <row r="7249" spans="1:30" s="106" customFormat="1">
      <c r="A7249" s="195"/>
      <c r="B7249" s="28" t="s">
        <v>11002</v>
      </c>
      <c r="C7249" s="2510">
        <v>62.344444444444441</v>
      </c>
      <c r="D7249" s="244">
        <f t="shared" si="1141"/>
        <v>27.971253731343282</v>
      </c>
      <c r="E7249" s="216">
        <v>5</v>
      </c>
      <c r="F7249" s="2001">
        <f t="shared" si="1142"/>
        <v>32.971253731343282</v>
      </c>
      <c r="G7249" s="153" t="s">
        <v>12158</v>
      </c>
      <c r="H7249" s="1801" t="s">
        <v>11003</v>
      </c>
      <c r="I7249" s="501" t="s">
        <v>10379</v>
      </c>
      <c r="J7249" s="502" t="s">
        <v>10678</v>
      </c>
      <c r="K7249" s="195"/>
      <c r="L7249" s="1774"/>
      <c r="M7249" s="1774"/>
      <c r="N7249" s="1774"/>
      <c r="O7249" s="1774"/>
      <c r="P7249" s="1774"/>
      <c r="Q7249" s="1774"/>
      <c r="R7249" s="1774"/>
      <c r="S7249" s="1774"/>
      <c r="T7249" s="1774"/>
      <c r="U7249" s="1774"/>
      <c r="V7249" s="1774"/>
      <c r="W7249" s="1774"/>
      <c r="X7249" s="1774"/>
      <c r="Y7249" s="1774"/>
      <c r="Z7249" s="1774"/>
      <c r="AA7249" s="1774"/>
      <c r="AB7249" s="1774"/>
      <c r="AC7249" s="1774"/>
      <c r="AD7249" s="1774"/>
    </row>
    <row r="7250" spans="1:30" s="106" customFormat="1">
      <c r="A7250" s="195"/>
      <c r="B7250" s="28" t="s">
        <v>11004</v>
      </c>
      <c r="C7250" s="2510">
        <v>62.344444444444441</v>
      </c>
      <c r="D7250" s="244">
        <f t="shared" si="1141"/>
        <v>27.971253731343282</v>
      </c>
      <c r="E7250" s="216">
        <v>5</v>
      </c>
      <c r="F7250" s="2001">
        <f t="shared" si="1142"/>
        <v>32.971253731343282</v>
      </c>
      <c r="G7250" s="153" t="s">
        <v>12159</v>
      </c>
      <c r="H7250" s="1801" t="s">
        <v>11005</v>
      </c>
      <c r="I7250" s="501" t="s">
        <v>10379</v>
      </c>
      <c r="J7250" s="502" t="s">
        <v>10678</v>
      </c>
      <c r="K7250" s="195"/>
      <c r="L7250" s="1774"/>
      <c r="M7250" s="1774"/>
      <c r="N7250" s="1774"/>
      <c r="O7250" s="1774"/>
      <c r="P7250" s="1774"/>
      <c r="Q7250" s="1774"/>
      <c r="R7250" s="1774"/>
      <c r="S7250" s="1774"/>
      <c r="T7250" s="1774"/>
      <c r="U7250" s="1774"/>
      <c r="V7250" s="1774"/>
      <c r="W7250" s="1774"/>
      <c r="X7250" s="1774"/>
      <c r="Y7250" s="1774"/>
      <c r="Z7250" s="1774"/>
      <c r="AA7250" s="1774"/>
      <c r="AB7250" s="1774"/>
      <c r="AC7250" s="1774"/>
      <c r="AD7250" s="1774"/>
    </row>
    <row r="7251" spans="1:30" s="106" customFormat="1">
      <c r="A7251" s="195"/>
      <c r="B7251" s="28" t="s">
        <v>11006</v>
      </c>
      <c r="C7251" s="2510">
        <v>62.344444444444441</v>
      </c>
      <c r="D7251" s="244">
        <f t="shared" si="1141"/>
        <v>27.971253731343282</v>
      </c>
      <c r="E7251" s="216">
        <v>5</v>
      </c>
      <c r="F7251" s="2001">
        <f t="shared" si="1142"/>
        <v>32.971253731343282</v>
      </c>
      <c r="G7251" s="153" t="s">
        <v>12160</v>
      </c>
      <c r="H7251" s="1801" t="s">
        <v>11007</v>
      </c>
      <c r="I7251" s="501" t="s">
        <v>10379</v>
      </c>
      <c r="J7251" s="502" t="s">
        <v>10678</v>
      </c>
      <c r="K7251" s="195"/>
      <c r="L7251" s="1774"/>
      <c r="M7251" s="1774"/>
      <c r="N7251" s="1774"/>
      <c r="O7251" s="1774"/>
      <c r="P7251" s="1774"/>
      <c r="Q7251" s="1774"/>
      <c r="R7251" s="1774"/>
      <c r="S7251" s="1774"/>
      <c r="T7251" s="1774"/>
      <c r="U7251" s="1774"/>
      <c r="V7251" s="1774"/>
      <c r="W7251" s="1774"/>
      <c r="X7251" s="1774"/>
      <c r="Y7251" s="1774"/>
      <c r="Z7251" s="1774"/>
      <c r="AA7251" s="1774"/>
      <c r="AB7251" s="1774"/>
      <c r="AC7251" s="1774"/>
      <c r="AD7251" s="1774"/>
    </row>
    <row r="7252" spans="1:30" s="194" customFormat="1">
      <c r="B7252" s="28" t="s">
        <v>11008</v>
      </c>
      <c r="C7252" s="2510">
        <v>62.344444444444441</v>
      </c>
      <c r="D7252" s="244">
        <f t="shared" si="1141"/>
        <v>27.971253731343282</v>
      </c>
      <c r="E7252" s="216">
        <v>5</v>
      </c>
      <c r="F7252" s="2001">
        <f t="shared" si="1142"/>
        <v>32.971253731343282</v>
      </c>
      <c r="G7252" s="153" t="s">
        <v>12161</v>
      </c>
      <c r="H7252" s="206" t="s">
        <v>11009</v>
      </c>
      <c r="I7252" s="501" t="s">
        <v>10379</v>
      </c>
      <c r="J7252" s="502" t="s">
        <v>10678</v>
      </c>
    </row>
    <row r="7253" spans="1:30" s="194" customFormat="1">
      <c r="B7253" s="28" t="s">
        <v>11010</v>
      </c>
      <c r="C7253" s="2510">
        <v>62.344444444444441</v>
      </c>
      <c r="D7253" s="244">
        <f t="shared" si="1141"/>
        <v>27.971253731343282</v>
      </c>
      <c r="E7253" s="216">
        <v>5</v>
      </c>
      <c r="F7253" s="2001">
        <f t="shared" si="1142"/>
        <v>32.971253731343282</v>
      </c>
      <c r="G7253" s="153" t="s">
        <v>12162</v>
      </c>
      <c r="H7253" s="206" t="s">
        <v>11011</v>
      </c>
      <c r="I7253" s="501" t="s">
        <v>10379</v>
      </c>
      <c r="J7253" s="502" t="s">
        <v>10678</v>
      </c>
    </row>
    <row r="7254" spans="1:30" s="194" customFormat="1">
      <c r="B7254" s="28" t="s">
        <v>11012</v>
      </c>
      <c r="C7254" s="2510">
        <v>62.344444444444441</v>
      </c>
      <c r="D7254" s="244">
        <f t="shared" si="1141"/>
        <v>27.971253731343282</v>
      </c>
      <c r="E7254" s="216">
        <v>5</v>
      </c>
      <c r="F7254" s="2001">
        <f t="shared" si="1142"/>
        <v>32.971253731343282</v>
      </c>
      <c r="G7254" s="153" t="s">
        <v>12163</v>
      </c>
      <c r="H7254" s="206" t="s">
        <v>11013</v>
      </c>
      <c r="I7254" s="501" t="s">
        <v>10379</v>
      </c>
      <c r="J7254" s="502" t="s">
        <v>10678</v>
      </c>
    </row>
    <row r="7255" spans="1:30" s="194" customFormat="1">
      <c r="B7255" s="28" t="s">
        <v>11014</v>
      </c>
      <c r="C7255" s="2510">
        <v>62.344444444444441</v>
      </c>
      <c r="D7255" s="244">
        <f t="shared" si="1141"/>
        <v>27.971253731343282</v>
      </c>
      <c r="E7255" s="216">
        <v>5</v>
      </c>
      <c r="F7255" s="2001">
        <f t="shared" si="1142"/>
        <v>32.971253731343282</v>
      </c>
      <c r="G7255" s="153" t="s">
        <v>12164</v>
      </c>
      <c r="H7255" s="206" t="s">
        <v>11015</v>
      </c>
      <c r="I7255" s="501" t="s">
        <v>10379</v>
      </c>
      <c r="J7255" s="502" t="s">
        <v>10678</v>
      </c>
    </row>
    <row r="7256" spans="1:30" s="194" customFormat="1">
      <c r="B7256" s="28" t="s">
        <v>11016</v>
      </c>
      <c r="C7256" s="2510">
        <v>62.344444444444441</v>
      </c>
      <c r="D7256" s="244">
        <f t="shared" si="1141"/>
        <v>27.971253731343282</v>
      </c>
      <c r="E7256" s="216">
        <v>5</v>
      </c>
      <c r="F7256" s="2001">
        <f t="shared" si="1142"/>
        <v>32.971253731343282</v>
      </c>
      <c r="G7256" s="153" t="s">
        <v>12165</v>
      </c>
      <c r="H7256" s="206" t="s">
        <v>11017</v>
      </c>
      <c r="I7256" s="501" t="s">
        <v>10379</v>
      </c>
      <c r="J7256" s="502" t="s">
        <v>10678</v>
      </c>
    </row>
    <row r="7257" spans="1:30" s="194" customFormat="1">
      <c r="B7257" s="28" t="s">
        <v>11018</v>
      </c>
      <c r="C7257" s="2510">
        <v>62.344444444444441</v>
      </c>
      <c r="D7257" s="244">
        <f t="shared" si="1141"/>
        <v>27.971253731343282</v>
      </c>
      <c r="E7257" s="216">
        <v>5</v>
      </c>
      <c r="F7257" s="2001">
        <f t="shared" si="1142"/>
        <v>32.971253731343282</v>
      </c>
      <c r="G7257" s="153" t="s">
        <v>12166</v>
      </c>
      <c r="H7257" s="206" t="s">
        <v>11019</v>
      </c>
      <c r="I7257" s="501" t="s">
        <v>10379</v>
      </c>
      <c r="J7257" s="502" t="s">
        <v>10678</v>
      </c>
    </row>
    <row r="7258" spans="1:30" s="196" customFormat="1">
      <c r="B7258" s="28" t="s">
        <v>11020</v>
      </c>
      <c r="C7258" s="2510">
        <v>62.344444444444441</v>
      </c>
      <c r="D7258" s="244">
        <f t="shared" si="1141"/>
        <v>27.971253731343282</v>
      </c>
      <c r="E7258" s="216">
        <v>5</v>
      </c>
      <c r="F7258" s="2001">
        <f t="shared" si="1142"/>
        <v>32.971253731343282</v>
      </c>
      <c r="G7258" s="153" t="s">
        <v>12167</v>
      </c>
      <c r="H7258" s="206" t="s">
        <v>11021</v>
      </c>
      <c r="I7258" s="501" t="s">
        <v>10379</v>
      </c>
      <c r="J7258" s="502" t="s">
        <v>10678</v>
      </c>
    </row>
    <row r="7259" spans="1:30" s="196" customFormat="1">
      <c r="B7259" s="28" t="s">
        <v>11022</v>
      </c>
      <c r="C7259" s="2510">
        <v>62.344444444444441</v>
      </c>
      <c r="D7259" s="244">
        <f t="shared" si="1141"/>
        <v>27.971253731343282</v>
      </c>
      <c r="E7259" s="216">
        <v>5</v>
      </c>
      <c r="F7259" s="2001">
        <f t="shared" si="1142"/>
        <v>32.971253731343282</v>
      </c>
      <c r="G7259" s="153" t="s">
        <v>12168</v>
      </c>
      <c r="H7259" s="206" t="s">
        <v>11023</v>
      </c>
      <c r="I7259" s="501" t="s">
        <v>10379</v>
      </c>
      <c r="J7259" s="502" t="s">
        <v>10678</v>
      </c>
    </row>
    <row r="7260" spans="1:30" s="196" customFormat="1">
      <c r="B7260" s="28" t="s">
        <v>11024</v>
      </c>
      <c r="C7260" s="2510">
        <v>62.344444444444441</v>
      </c>
      <c r="D7260" s="244">
        <f t="shared" si="1141"/>
        <v>27.971253731343282</v>
      </c>
      <c r="E7260" s="216">
        <v>5</v>
      </c>
      <c r="F7260" s="2001">
        <f t="shared" si="1142"/>
        <v>32.971253731343282</v>
      </c>
      <c r="G7260" s="153" t="s">
        <v>12169</v>
      </c>
      <c r="H7260" s="206" t="s">
        <v>11025</v>
      </c>
      <c r="I7260" s="501" t="s">
        <v>10379</v>
      </c>
      <c r="J7260" s="502" t="s">
        <v>10678</v>
      </c>
    </row>
    <row r="7261" spans="1:30" s="196" customFormat="1">
      <c r="B7261" s="28" t="s">
        <v>11026</v>
      </c>
      <c r="C7261" s="2510">
        <v>62.344444444444441</v>
      </c>
      <c r="D7261" s="244">
        <f t="shared" si="1141"/>
        <v>27.971253731343282</v>
      </c>
      <c r="E7261" s="216">
        <v>5</v>
      </c>
      <c r="F7261" s="2001">
        <f t="shared" si="1142"/>
        <v>32.971253731343282</v>
      </c>
      <c r="G7261" s="153" t="s">
        <v>12170</v>
      </c>
      <c r="H7261" s="206" t="s">
        <v>11027</v>
      </c>
      <c r="I7261" s="501" t="s">
        <v>10379</v>
      </c>
      <c r="J7261" s="502" t="s">
        <v>10678</v>
      </c>
    </row>
    <row r="7262" spans="1:30" s="196" customFormat="1">
      <c r="B7262" s="28" t="s">
        <v>11028</v>
      </c>
      <c r="C7262" s="2510">
        <v>62.344444444444441</v>
      </c>
      <c r="D7262" s="244">
        <f t="shared" si="1141"/>
        <v>27.971253731343282</v>
      </c>
      <c r="E7262" s="216">
        <v>5</v>
      </c>
      <c r="F7262" s="2001">
        <f t="shared" si="1142"/>
        <v>32.971253731343282</v>
      </c>
      <c r="G7262" s="153" t="s">
        <v>12171</v>
      </c>
      <c r="H7262" s="206" t="s">
        <v>11029</v>
      </c>
      <c r="I7262" s="501" t="s">
        <v>10379</v>
      </c>
      <c r="J7262" s="502" t="s">
        <v>10678</v>
      </c>
    </row>
    <row r="7263" spans="1:30" s="196" customFormat="1">
      <c r="B7263" s="28" t="s">
        <v>11030</v>
      </c>
      <c r="C7263" s="2510">
        <v>62.344444444444441</v>
      </c>
      <c r="D7263" s="244">
        <f t="shared" si="1141"/>
        <v>27.971253731343282</v>
      </c>
      <c r="E7263" s="216">
        <v>5</v>
      </c>
      <c r="F7263" s="2001">
        <f t="shared" si="1142"/>
        <v>32.971253731343282</v>
      </c>
      <c r="G7263" s="153" t="s">
        <v>12172</v>
      </c>
      <c r="H7263" s="206" t="s">
        <v>11031</v>
      </c>
      <c r="I7263" s="501" t="s">
        <v>10379</v>
      </c>
      <c r="J7263" s="502" t="s">
        <v>10678</v>
      </c>
    </row>
    <row r="7264" spans="1:30" s="196" customFormat="1">
      <c r="B7264" s="28" t="s">
        <v>11032</v>
      </c>
      <c r="C7264" s="2510">
        <v>62.344444444444441</v>
      </c>
      <c r="D7264" s="244">
        <f t="shared" si="1141"/>
        <v>27.971253731343282</v>
      </c>
      <c r="E7264" s="216">
        <v>5</v>
      </c>
      <c r="F7264" s="2001">
        <f t="shared" si="1142"/>
        <v>32.971253731343282</v>
      </c>
      <c r="G7264" s="153" t="s">
        <v>12173</v>
      </c>
      <c r="H7264" s="206" t="s">
        <v>11033</v>
      </c>
      <c r="I7264" s="501" t="s">
        <v>10379</v>
      </c>
      <c r="J7264" s="502" t="s">
        <v>10678</v>
      </c>
    </row>
    <row r="7265" spans="1:14" s="196" customFormat="1">
      <c r="B7265" s="28" t="s">
        <v>11034</v>
      </c>
      <c r="C7265" s="2510">
        <v>62.344444444444441</v>
      </c>
      <c r="D7265" s="244">
        <f t="shared" si="1141"/>
        <v>27.971253731343282</v>
      </c>
      <c r="E7265" s="216">
        <v>5</v>
      </c>
      <c r="F7265" s="2001">
        <f t="shared" si="1142"/>
        <v>32.971253731343282</v>
      </c>
      <c r="G7265" s="153" t="s">
        <v>12174</v>
      </c>
      <c r="H7265" s="206" t="s">
        <v>11035</v>
      </c>
      <c r="I7265" s="501" t="s">
        <v>10379</v>
      </c>
      <c r="J7265" s="502" t="s">
        <v>10678</v>
      </c>
    </row>
    <row r="7266" spans="1:14" s="196" customFormat="1">
      <c r="B7266" s="28" t="s">
        <v>11036</v>
      </c>
      <c r="C7266" s="2510">
        <v>103.28888888888888</v>
      </c>
      <c r="D7266" s="244">
        <f t="shared" si="1141"/>
        <v>46.341253731343272</v>
      </c>
      <c r="E7266" s="216">
        <v>5</v>
      </c>
      <c r="F7266" s="2001">
        <f t="shared" si="1142"/>
        <v>51.341253731343272</v>
      </c>
      <c r="G7266" s="153" t="s">
        <v>12175</v>
      </c>
      <c r="H7266" s="206" t="s">
        <v>11037</v>
      </c>
      <c r="I7266" s="501" t="s">
        <v>10379</v>
      </c>
      <c r="J7266" s="502" t="s">
        <v>10678</v>
      </c>
    </row>
    <row r="7267" spans="1:14" s="196" customFormat="1">
      <c r="B7267" s="28" t="s">
        <v>11038</v>
      </c>
      <c r="C7267" s="2510">
        <v>103.28888888888888</v>
      </c>
      <c r="D7267" s="244">
        <f t="shared" si="1141"/>
        <v>46.341253731343272</v>
      </c>
      <c r="E7267" s="216">
        <v>5</v>
      </c>
      <c r="F7267" s="2001">
        <f t="shared" si="1142"/>
        <v>51.341253731343272</v>
      </c>
      <c r="G7267" s="153" t="s">
        <v>12176</v>
      </c>
      <c r="H7267" s="206" t="s">
        <v>11039</v>
      </c>
      <c r="I7267" s="501" t="s">
        <v>10379</v>
      </c>
      <c r="J7267" s="502" t="s">
        <v>10678</v>
      </c>
    </row>
    <row r="7268" spans="1:14" s="196" customFormat="1">
      <c r="B7268" s="28" t="s">
        <v>11040</v>
      </c>
      <c r="C7268" s="2510">
        <v>105.81111111111112</v>
      </c>
      <c r="D7268" s="244">
        <f t="shared" si="1141"/>
        <v>47.472865671641792</v>
      </c>
      <c r="E7268" s="216">
        <v>5</v>
      </c>
      <c r="F7268" s="2001">
        <f t="shared" si="1142"/>
        <v>52.472865671641792</v>
      </c>
      <c r="G7268" s="153" t="s">
        <v>12177</v>
      </c>
      <c r="H7268" s="206" t="s">
        <v>11041</v>
      </c>
      <c r="I7268" s="501" t="s">
        <v>10379</v>
      </c>
      <c r="J7268" s="502" t="s">
        <v>10678</v>
      </c>
    </row>
    <row r="7269" spans="1:14" s="196" customFormat="1">
      <c r="B7269" s="28" t="s">
        <v>11042</v>
      </c>
      <c r="C7269" s="2510">
        <v>105.81111111111112</v>
      </c>
      <c r="D7269" s="244">
        <f t="shared" si="1141"/>
        <v>47.472865671641792</v>
      </c>
      <c r="E7269" s="216">
        <v>8</v>
      </c>
      <c r="F7269" s="2001">
        <f t="shared" si="1142"/>
        <v>55.472865671641792</v>
      </c>
      <c r="G7269" s="153" t="s">
        <v>12178</v>
      </c>
      <c r="H7269" s="206" t="s">
        <v>11043</v>
      </c>
      <c r="I7269" s="501" t="s">
        <v>10379</v>
      </c>
      <c r="J7269" s="502" t="s">
        <v>10678</v>
      </c>
    </row>
    <row r="7270" spans="1:14" s="196" customFormat="1">
      <c r="B7270" s="28" t="s">
        <v>11044</v>
      </c>
      <c r="C7270" s="2510">
        <v>204.7</v>
      </c>
      <c r="D7270" s="244">
        <f t="shared" si="1141"/>
        <v>91.840029850746248</v>
      </c>
      <c r="E7270" s="216">
        <v>8</v>
      </c>
      <c r="F7270" s="2001">
        <f t="shared" si="1142"/>
        <v>99.840029850746248</v>
      </c>
      <c r="G7270" s="153" t="s">
        <v>12179</v>
      </c>
      <c r="H7270" s="206" t="s">
        <v>11045</v>
      </c>
      <c r="I7270" s="501" t="s">
        <v>10379</v>
      </c>
      <c r="J7270" s="502" t="s">
        <v>10678</v>
      </c>
    </row>
    <row r="7271" spans="1:14" s="196" customFormat="1">
      <c r="B7271" s="28" t="s">
        <v>11046</v>
      </c>
      <c r="C7271" s="2510">
        <v>204.7</v>
      </c>
      <c r="D7271" s="244">
        <f t="shared" si="1141"/>
        <v>91.840029850746248</v>
      </c>
      <c r="E7271" s="216">
        <v>8</v>
      </c>
      <c r="F7271" s="2001">
        <f t="shared" si="1142"/>
        <v>99.840029850746248</v>
      </c>
      <c r="G7271" s="153" t="s">
        <v>12180</v>
      </c>
      <c r="H7271" s="206" t="s">
        <v>11047</v>
      </c>
      <c r="I7271" s="501" t="s">
        <v>10379</v>
      </c>
      <c r="J7271" s="502" t="s">
        <v>10678</v>
      </c>
    </row>
    <row r="7272" spans="1:14" s="196" customFormat="1">
      <c r="B7272" s="28" t="s">
        <v>11048</v>
      </c>
      <c r="C7272" s="2510">
        <v>204.7</v>
      </c>
      <c r="D7272" s="244">
        <f t="shared" si="1141"/>
        <v>91.840029850746248</v>
      </c>
      <c r="E7272" s="216">
        <v>8</v>
      </c>
      <c r="F7272" s="2001">
        <f t="shared" si="1142"/>
        <v>99.840029850746248</v>
      </c>
      <c r="G7272" s="153" t="s">
        <v>12181</v>
      </c>
      <c r="H7272" s="206" t="s">
        <v>11049</v>
      </c>
      <c r="I7272" s="501" t="s">
        <v>10379</v>
      </c>
      <c r="J7272" s="502" t="s">
        <v>10678</v>
      </c>
    </row>
    <row r="7273" spans="1:14" s="196" customFormat="1">
      <c r="B7273" s="28" t="s">
        <v>11050</v>
      </c>
      <c r="C7273" s="2510">
        <v>204.7</v>
      </c>
      <c r="D7273" s="244">
        <f t="shared" si="1141"/>
        <v>91.840029850746248</v>
      </c>
      <c r="E7273" s="216">
        <v>8</v>
      </c>
      <c r="F7273" s="2001">
        <f t="shared" si="1142"/>
        <v>99.840029850746248</v>
      </c>
      <c r="G7273" s="153" t="s">
        <v>12182</v>
      </c>
      <c r="H7273" s="206" t="s">
        <v>11051</v>
      </c>
      <c r="I7273" s="501" t="s">
        <v>10379</v>
      </c>
      <c r="J7273" s="502" t="s">
        <v>10678</v>
      </c>
    </row>
    <row r="7274" spans="1:14" s="196" customFormat="1">
      <c r="B7274" s="28" t="s">
        <v>11052</v>
      </c>
      <c r="C7274" s="2510">
        <v>297.27777777777777</v>
      </c>
      <c r="D7274" s="244">
        <f t="shared" si="1141"/>
        <v>133.37567164179103</v>
      </c>
      <c r="E7274" s="216">
        <v>8</v>
      </c>
      <c r="F7274" s="2001">
        <f t="shared" si="1142"/>
        <v>141.37567164179103</v>
      </c>
      <c r="G7274" s="153" t="s">
        <v>12183</v>
      </c>
      <c r="H7274" s="206">
        <v>416765</v>
      </c>
      <c r="I7274" s="501" t="s">
        <v>10379</v>
      </c>
      <c r="J7274" s="502" t="s">
        <v>10678</v>
      </c>
    </row>
    <row r="7275" spans="1:14" s="196" customFormat="1">
      <c r="B7275" s="206"/>
      <c r="C7275" s="242"/>
      <c r="D7275" s="225"/>
      <c r="E7275" s="234"/>
      <c r="F7275" s="207"/>
      <c r="G7275" s="208"/>
      <c r="H7275" s="206"/>
      <c r="I7275" s="207"/>
      <c r="J7275" s="207"/>
    </row>
    <row r="7276" spans="1:14" s="196" customFormat="1">
      <c r="B7276" s="206"/>
      <c r="C7276" s="242"/>
      <c r="D7276" s="225"/>
      <c r="E7276" s="234"/>
      <c r="F7276" s="207"/>
      <c r="G7276" s="208"/>
      <c r="H7276" s="206"/>
      <c r="I7276" s="207"/>
      <c r="J7276" s="207"/>
    </row>
    <row r="7277" spans="1:14" s="196" customFormat="1">
      <c r="B7277" s="206"/>
      <c r="C7277" s="242"/>
      <c r="D7277" s="225"/>
      <c r="E7277" s="234"/>
      <c r="F7277" s="207"/>
      <c r="G7277" s="208"/>
      <c r="H7277" s="206"/>
      <c r="I7277" s="207"/>
      <c r="J7277" s="207"/>
    </row>
    <row r="7278" spans="1:14" s="196" customFormat="1" ht="27.75">
      <c r="A7278" s="194"/>
      <c r="B7278" s="2291" t="s">
        <v>13850</v>
      </c>
      <c r="C7278" s="242"/>
      <c r="D7278" s="225"/>
      <c r="E7278" s="234"/>
      <c r="F7278" s="207"/>
      <c r="G7278" s="208"/>
      <c r="H7278" s="206"/>
      <c r="I7278" s="207"/>
      <c r="J7278" s="207"/>
      <c r="K7278" s="207"/>
      <c r="L7278" s="207"/>
      <c r="M7278" s="207"/>
      <c r="N7278" s="207"/>
    </row>
    <row r="7279" spans="1:14" s="196" customFormat="1" ht="15" customHeight="1">
      <c r="A7279" s="194"/>
      <c r="B7279" s="2291"/>
      <c r="C7279" s="242"/>
      <c r="D7279" s="225"/>
      <c r="E7279" s="234"/>
      <c r="F7279" s="207"/>
      <c r="G7279" s="208"/>
      <c r="H7279" s="206"/>
      <c r="I7279" s="207"/>
      <c r="J7279" s="207"/>
      <c r="K7279" s="207"/>
      <c r="L7279" s="207"/>
      <c r="M7279" s="207"/>
      <c r="N7279" s="207"/>
    </row>
    <row r="7280" spans="1:14" s="196" customFormat="1">
      <c r="A7280" s="421"/>
      <c r="B7280" s="150" t="s">
        <v>13851</v>
      </c>
      <c r="C7280" s="2254">
        <v>216</v>
      </c>
      <c r="D7280" s="2255">
        <f t="shared" ref="D7280:D7286" si="1143">C7280*fcl*(1-0.37)/TC</f>
        <v>67.836895522388048</v>
      </c>
      <c r="E7280" s="228">
        <v>6</v>
      </c>
      <c r="F7280" s="585">
        <f>ROUNDUP(D7280+E7280,1)</f>
        <v>73.899999999999991</v>
      </c>
      <c r="G7280" s="338" t="s">
        <v>13852</v>
      </c>
      <c r="H7280" s="764">
        <v>606945</v>
      </c>
      <c r="I7280" s="520" t="s">
        <v>13853</v>
      </c>
      <c r="J7280" s="421" t="s">
        <v>13854</v>
      </c>
      <c r="K7280" s="520"/>
    </row>
    <row r="7281" spans="1:11" s="196" customFormat="1">
      <c r="A7281" s="421"/>
      <c r="B7281" s="150" t="s">
        <v>13855</v>
      </c>
      <c r="C7281" s="2254">
        <v>209</v>
      </c>
      <c r="D7281" s="2255">
        <f t="shared" si="1143"/>
        <v>65.638477611940289</v>
      </c>
      <c r="E7281" s="228">
        <v>6</v>
      </c>
      <c r="F7281" s="585">
        <f>ROUNDUP(D7281+E7281,1)</f>
        <v>71.699999999999989</v>
      </c>
      <c r="G7281" s="338" t="s">
        <v>13856</v>
      </c>
      <c r="H7281" s="764">
        <v>606946</v>
      </c>
      <c r="I7281" s="520" t="s">
        <v>13853</v>
      </c>
      <c r="J7281" s="421" t="s">
        <v>13854</v>
      </c>
      <c r="K7281" s="520"/>
    </row>
    <row r="7282" spans="1:11" s="196" customFormat="1">
      <c r="A7282" s="421"/>
      <c r="B7282" s="150" t="s">
        <v>13857</v>
      </c>
      <c r="C7282" s="2254">
        <v>201</v>
      </c>
      <c r="D7282" s="2255">
        <f t="shared" si="1143"/>
        <v>63.125999999999991</v>
      </c>
      <c r="E7282" s="228">
        <v>6</v>
      </c>
      <c r="F7282" s="585">
        <f>ROUNDUP(D7282+E7282,1)</f>
        <v>69.199999999999989</v>
      </c>
      <c r="G7282" s="338" t="s">
        <v>13858</v>
      </c>
      <c r="H7282" s="764">
        <v>606948</v>
      </c>
      <c r="I7282" s="520" t="s">
        <v>13853</v>
      </c>
      <c r="J7282" s="421" t="s">
        <v>13854</v>
      </c>
      <c r="K7282" s="520"/>
    </row>
    <row r="7283" spans="1:11" s="196" customFormat="1">
      <c r="A7283" s="421"/>
      <c r="B7283" s="150" t="s">
        <v>13859</v>
      </c>
      <c r="C7283" s="2254">
        <v>201</v>
      </c>
      <c r="D7283" s="2255">
        <f t="shared" si="1143"/>
        <v>63.125999999999991</v>
      </c>
      <c r="E7283" s="228">
        <v>3</v>
      </c>
      <c r="F7283" s="585">
        <f t="shared" ref="F7283:F7286" si="1144">ROUNDUP(D7283+E7283,1)</f>
        <v>66.199999999999989</v>
      </c>
      <c r="G7283" s="338" t="s">
        <v>13860</v>
      </c>
      <c r="H7283" s="764">
        <v>606949</v>
      </c>
      <c r="I7283" s="520" t="s">
        <v>13853</v>
      </c>
      <c r="J7283" s="421" t="s">
        <v>13854</v>
      </c>
      <c r="K7283" s="520"/>
    </row>
    <row r="7284" spans="1:11" s="196" customFormat="1">
      <c r="A7284" s="421"/>
      <c r="B7284" s="150" t="s">
        <v>13861</v>
      </c>
      <c r="C7284" s="2254">
        <v>201</v>
      </c>
      <c r="D7284" s="2255">
        <f t="shared" si="1143"/>
        <v>63.125999999999991</v>
      </c>
      <c r="E7284" s="228">
        <v>6</v>
      </c>
      <c r="F7284" s="585">
        <f t="shared" si="1144"/>
        <v>69.199999999999989</v>
      </c>
      <c r="G7284" s="338" t="s">
        <v>13862</v>
      </c>
      <c r="H7284" s="764">
        <v>606950</v>
      </c>
      <c r="I7284" s="520" t="s">
        <v>13853</v>
      </c>
      <c r="J7284" s="421" t="s">
        <v>13854</v>
      </c>
      <c r="K7284" s="520"/>
    </row>
    <row r="7285" spans="1:11" s="196" customFormat="1">
      <c r="A7285" s="421"/>
      <c r="B7285" s="150" t="s">
        <v>13863</v>
      </c>
      <c r="C7285" s="2254">
        <v>218</v>
      </c>
      <c r="D7285" s="2255">
        <f t="shared" si="1143"/>
        <v>68.465014925373126</v>
      </c>
      <c r="E7285" s="228">
        <v>6</v>
      </c>
      <c r="F7285" s="585">
        <f t="shared" si="1144"/>
        <v>74.5</v>
      </c>
      <c r="G7285" s="338" t="s">
        <v>13864</v>
      </c>
      <c r="H7285" s="764">
        <v>606951</v>
      </c>
      <c r="I7285" s="520" t="s">
        <v>13853</v>
      </c>
      <c r="J7285" s="421" t="s">
        <v>13854</v>
      </c>
      <c r="K7285" s="520"/>
    </row>
    <row r="7286" spans="1:11" s="196" customFormat="1">
      <c r="A7286" s="421"/>
      <c r="B7286" s="150" t="s">
        <v>13865</v>
      </c>
      <c r="C7286" s="2254">
        <v>236</v>
      </c>
      <c r="D7286" s="2255">
        <f t="shared" si="1143"/>
        <v>74.1180895522388</v>
      </c>
      <c r="E7286" s="228">
        <v>2</v>
      </c>
      <c r="F7286" s="585">
        <f t="shared" si="1144"/>
        <v>76.199999999999989</v>
      </c>
      <c r="G7286" s="338" t="s">
        <v>13866</v>
      </c>
      <c r="H7286" s="764">
        <v>606952</v>
      </c>
      <c r="I7286" s="520" t="s">
        <v>13853</v>
      </c>
      <c r="J7286" s="421" t="s">
        <v>13854</v>
      </c>
      <c r="K7286" s="520"/>
    </row>
    <row r="7287" spans="1:11" s="196" customFormat="1">
      <c r="B7287" s="142"/>
      <c r="C7287" s="235"/>
      <c r="D7287" s="213"/>
      <c r="E7287" s="226"/>
      <c r="F7287" s="155"/>
      <c r="G7287" s="143"/>
      <c r="H7287" s="142"/>
    </row>
    <row r="7288" spans="1:11" s="196" customFormat="1">
      <c r="B7288" s="142"/>
      <c r="C7288" s="235"/>
      <c r="D7288" s="213"/>
      <c r="E7288" s="226"/>
      <c r="F7288" s="155"/>
      <c r="G7288" s="143"/>
      <c r="H7288" s="142"/>
    </row>
    <row r="7289" spans="1:11" s="196" customFormat="1">
      <c r="B7289" s="142"/>
      <c r="C7289" s="235"/>
      <c r="D7289" s="213"/>
      <c r="E7289" s="226"/>
      <c r="F7289" s="155"/>
      <c r="G7289" s="143"/>
      <c r="H7289" s="142"/>
    </row>
    <row r="7290" spans="1:11" s="196" customFormat="1">
      <c r="B7290" s="142"/>
      <c r="C7290" s="235"/>
      <c r="D7290" s="213"/>
      <c r="E7290" s="226"/>
      <c r="F7290" s="155"/>
      <c r="G7290" s="143"/>
      <c r="H7290" s="142"/>
    </row>
    <row r="7291" spans="1:11" s="196" customFormat="1">
      <c r="B7291" s="142"/>
      <c r="C7291" s="235"/>
      <c r="D7291" s="213"/>
      <c r="E7291" s="226"/>
      <c r="F7291" s="155"/>
      <c r="G7291" s="143"/>
      <c r="H7291" s="142"/>
    </row>
    <row r="7292" spans="1:11" s="196" customFormat="1">
      <c r="B7292" s="142"/>
      <c r="C7292" s="235"/>
      <c r="D7292" s="213"/>
      <c r="E7292" s="226"/>
      <c r="F7292" s="155"/>
      <c r="G7292" s="143"/>
      <c r="H7292" s="142"/>
    </row>
    <row r="7293" spans="1:11" s="196" customFormat="1">
      <c r="B7293" s="142"/>
      <c r="C7293" s="235"/>
      <c r="D7293" s="213"/>
      <c r="E7293" s="226"/>
      <c r="F7293" s="155"/>
      <c r="G7293" s="143"/>
      <c r="H7293" s="142"/>
    </row>
    <row r="7294" spans="1:11" s="196" customFormat="1">
      <c r="B7294" s="142"/>
      <c r="C7294" s="235"/>
      <c r="D7294" s="213"/>
      <c r="E7294" s="226"/>
      <c r="F7294" s="155"/>
      <c r="G7294" s="143"/>
      <c r="H7294" s="142"/>
    </row>
    <row r="7295" spans="1:11" s="196" customFormat="1">
      <c r="B7295" s="142"/>
      <c r="C7295" s="235"/>
      <c r="D7295" s="213"/>
      <c r="E7295" s="226"/>
      <c r="F7295" s="155"/>
      <c r="G7295" s="143"/>
      <c r="H7295" s="142"/>
    </row>
    <row r="7296" spans="1:11" s="196" customFormat="1">
      <c r="B7296" s="142"/>
      <c r="C7296" s="235"/>
      <c r="D7296" s="213"/>
      <c r="E7296" s="226"/>
      <c r="F7296" s="155"/>
      <c r="G7296" s="143"/>
      <c r="H7296" s="142"/>
    </row>
    <row r="7297" spans="2:8" s="196" customFormat="1">
      <c r="B7297" s="142"/>
      <c r="C7297" s="235"/>
      <c r="D7297" s="213"/>
      <c r="E7297" s="226"/>
      <c r="F7297" s="155"/>
      <c r="G7297" s="143"/>
      <c r="H7297" s="142"/>
    </row>
    <row r="7298" spans="2:8" s="196" customFormat="1">
      <c r="B7298" s="142"/>
      <c r="C7298" s="235"/>
      <c r="D7298" s="213"/>
      <c r="E7298" s="226"/>
      <c r="F7298" s="155"/>
      <c r="G7298" s="143"/>
      <c r="H7298" s="142"/>
    </row>
    <row r="7299" spans="2:8" s="196" customFormat="1">
      <c r="B7299" s="142"/>
      <c r="C7299" s="235"/>
      <c r="D7299" s="213"/>
      <c r="E7299" s="226"/>
      <c r="F7299" s="155"/>
      <c r="G7299" s="143"/>
      <c r="H7299" s="142"/>
    </row>
    <row r="7300" spans="2:8" s="196" customFormat="1">
      <c r="B7300" s="142"/>
      <c r="C7300" s="235"/>
      <c r="D7300" s="213"/>
      <c r="E7300" s="226"/>
      <c r="F7300" s="155"/>
      <c r="G7300" s="143"/>
      <c r="H7300" s="142"/>
    </row>
    <row r="7301" spans="2:8" s="196" customFormat="1">
      <c r="B7301" s="142"/>
      <c r="C7301" s="235"/>
      <c r="D7301" s="213"/>
      <c r="E7301" s="226"/>
      <c r="F7301" s="155"/>
      <c r="G7301" s="143"/>
      <c r="H7301" s="142"/>
    </row>
    <row r="7302" spans="2:8" s="196" customFormat="1">
      <c r="B7302" s="142"/>
      <c r="C7302" s="235"/>
      <c r="D7302" s="213"/>
      <c r="E7302" s="226"/>
      <c r="F7302" s="155"/>
      <c r="G7302" s="143"/>
      <c r="H7302" s="142"/>
    </row>
    <row r="7303" spans="2:8" s="196" customFormat="1">
      <c r="B7303" s="142"/>
      <c r="C7303" s="235"/>
      <c r="D7303" s="213"/>
      <c r="E7303" s="226"/>
      <c r="F7303" s="155"/>
      <c r="G7303" s="143"/>
      <c r="H7303" s="142"/>
    </row>
    <row r="7304" spans="2:8" s="196" customFormat="1">
      <c r="B7304" s="142"/>
      <c r="C7304" s="235"/>
      <c r="D7304" s="213"/>
      <c r="E7304" s="226"/>
      <c r="F7304" s="155"/>
      <c r="G7304" s="143"/>
      <c r="H7304" s="142"/>
    </row>
    <row r="7305" spans="2:8" s="196" customFormat="1">
      <c r="B7305" s="142"/>
      <c r="C7305" s="235"/>
      <c r="D7305" s="213"/>
      <c r="E7305" s="226"/>
      <c r="F7305" s="155"/>
      <c r="G7305" s="143"/>
      <c r="H7305" s="142"/>
    </row>
    <row r="7306" spans="2:8" s="196" customFormat="1">
      <c r="B7306" s="142"/>
      <c r="C7306" s="235"/>
      <c r="D7306" s="213"/>
      <c r="E7306" s="226"/>
      <c r="F7306" s="155"/>
      <c r="G7306" s="143"/>
      <c r="H7306" s="142"/>
    </row>
    <row r="7307" spans="2:8" s="196" customFormat="1">
      <c r="B7307" s="142"/>
      <c r="C7307" s="235"/>
      <c r="D7307" s="213"/>
      <c r="E7307" s="226"/>
      <c r="F7307" s="155"/>
      <c r="G7307" s="143"/>
      <c r="H7307" s="142"/>
    </row>
    <row r="7308" spans="2:8" s="196" customFormat="1">
      <c r="B7308" s="142"/>
      <c r="C7308" s="235"/>
      <c r="D7308" s="213"/>
      <c r="E7308" s="226"/>
      <c r="F7308" s="155"/>
      <c r="G7308" s="143"/>
      <c r="H7308" s="142"/>
    </row>
    <row r="7309" spans="2:8" s="196" customFormat="1">
      <c r="B7309" s="142"/>
      <c r="C7309" s="235"/>
      <c r="D7309" s="213"/>
      <c r="E7309" s="226"/>
      <c r="F7309" s="155"/>
      <c r="G7309" s="143"/>
      <c r="H7309" s="142"/>
    </row>
    <row r="7310" spans="2:8" s="196" customFormat="1">
      <c r="B7310" s="142"/>
      <c r="C7310" s="235"/>
      <c r="D7310" s="213"/>
      <c r="E7310" s="226"/>
      <c r="F7310" s="155"/>
      <c r="G7310" s="143"/>
      <c r="H7310" s="142"/>
    </row>
    <row r="7311" spans="2:8" s="196" customFormat="1">
      <c r="B7311" s="142"/>
      <c r="C7311" s="235"/>
      <c r="D7311" s="213"/>
      <c r="E7311" s="226"/>
      <c r="F7311" s="155"/>
      <c r="G7311" s="143"/>
      <c r="H7311" s="142"/>
    </row>
    <row r="7312" spans="2:8" s="196" customFormat="1">
      <c r="B7312" s="142"/>
      <c r="C7312" s="235"/>
      <c r="D7312" s="213"/>
      <c r="E7312" s="226"/>
      <c r="F7312" s="155"/>
      <c r="G7312" s="143"/>
      <c r="H7312" s="142"/>
    </row>
    <row r="7313" spans="2:8" s="196" customFormat="1">
      <c r="B7313" s="142"/>
      <c r="C7313" s="235"/>
      <c r="D7313" s="213"/>
      <c r="E7313" s="226"/>
      <c r="F7313" s="155"/>
      <c r="G7313" s="143"/>
      <c r="H7313" s="142"/>
    </row>
    <row r="7314" spans="2:8" s="196" customFormat="1">
      <c r="B7314" s="142"/>
      <c r="C7314" s="235"/>
      <c r="D7314" s="213"/>
      <c r="E7314" s="226"/>
      <c r="F7314" s="155"/>
      <c r="G7314" s="143"/>
      <c r="H7314" s="142"/>
    </row>
    <row r="7315" spans="2:8" s="196" customFormat="1">
      <c r="B7315" s="142"/>
      <c r="C7315" s="235"/>
      <c r="D7315" s="213"/>
      <c r="E7315" s="226"/>
      <c r="F7315" s="155"/>
      <c r="G7315" s="143"/>
      <c r="H7315" s="142"/>
    </row>
    <row r="7316" spans="2:8" s="196" customFormat="1">
      <c r="B7316" s="142"/>
      <c r="C7316" s="235"/>
      <c r="D7316" s="213"/>
      <c r="E7316" s="226"/>
      <c r="F7316" s="155"/>
      <c r="G7316" s="143"/>
      <c r="H7316" s="142"/>
    </row>
    <row r="7317" spans="2:8" s="196" customFormat="1">
      <c r="B7317" s="142"/>
      <c r="C7317" s="235"/>
      <c r="D7317" s="213"/>
      <c r="E7317" s="226"/>
      <c r="F7317" s="155"/>
      <c r="G7317" s="143"/>
      <c r="H7317" s="142"/>
    </row>
    <row r="7318" spans="2:8" s="196" customFormat="1">
      <c r="B7318" s="142"/>
      <c r="C7318" s="235"/>
      <c r="D7318" s="213"/>
      <c r="E7318" s="226"/>
      <c r="F7318" s="155"/>
      <c r="G7318" s="143"/>
      <c r="H7318" s="142"/>
    </row>
    <row r="7319" spans="2:8" s="196" customFormat="1">
      <c r="B7319" s="142"/>
      <c r="C7319" s="235"/>
      <c r="D7319" s="213"/>
      <c r="E7319" s="226"/>
      <c r="F7319" s="155"/>
      <c r="G7319" s="143"/>
      <c r="H7319" s="142"/>
    </row>
    <row r="7320" spans="2:8" s="196" customFormat="1">
      <c r="B7320" s="142"/>
      <c r="C7320" s="235"/>
      <c r="D7320" s="213"/>
      <c r="E7320" s="226"/>
      <c r="F7320" s="155"/>
      <c r="G7320" s="143"/>
      <c r="H7320" s="142"/>
    </row>
    <row r="7321" spans="2:8" s="196" customFormat="1">
      <c r="B7321" s="142"/>
      <c r="C7321" s="235"/>
      <c r="D7321" s="213"/>
      <c r="E7321" s="226"/>
      <c r="F7321" s="155"/>
      <c r="G7321" s="143"/>
      <c r="H7321" s="142"/>
    </row>
    <row r="7322" spans="2:8" s="196" customFormat="1">
      <c r="B7322" s="142"/>
      <c r="C7322" s="235"/>
      <c r="D7322" s="213"/>
      <c r="E7322" s="226"/>
      <c r="F7322" s="155"/>
      <c r="G7322" s="143"/>
      <c r="H7322" s="142"/>
    </row>
    <row r="7323" spans="2:8" s="196" customFormat="1">
      <c r="B7323" s="142"/>
      <c r="C7323" s="235"/>
      <c r="D7323" s="213"/>
      <c r="E7323" s="226"/>
      <c r="F7323" s="155"/>
      <c r="G7323" s="143"/>
      <c r="H7323" s="142"/>
    </row>
    <row r="7324" spans="2:8" s="196" customFormat="1">
      <c r="B7324" s="142"/>
      <c r="C7324" s="235"/>
      <c r="D7324" s="213"/>
      <c r="E7324" s="226"/>
      <c r="F7324" s="155"/>
      <c r="G7324" s="143"/>
      <c r="H7324" s="142"/>
    </row>
    <row r="7325" spans="2:8" s="196" customFormat="1">
      <c r="B7325" s="142"/>
      <c r="C7325" s="235"/>
      <c r="D7325" s="213"/>
      <c r="E7325" s="226"/>
      <c r="F7325" s="155"/>
      <c r="G7325" s="143"/>
      <c r="H7325" s="142"/>
    </row>
    <row r="7326" spans="2:8" s="196" customFormat="1">
      <c r="B7326" s="142"/>
      <c r="C7326" s="235"/>
      <c r="D7326" s="213"/>
      <c r="E7326" s="226"/>
      <c r="F7326" s="155"/>
      <c r="G7326" s="143"/>
      <c r="H7326" s="142"/>
    </row>
    <row r="7327" spans="2:8" s="196" customFormat="1">
      <c r="B7327" s="142"/>
      <c r="C7327" s="235"/>
      <c r="D7327" s="213"/>
      <c r="E7327" s="226"/>
      <c r="F7327" s="155"/>
      <c r="G7327" s="143"/>
      <c r="H7327" s="142"/>
    </row>
    <row r="7328" spans="2:8" s="196" customFormat="1">
      <c r="B7328" s="142"/>
      <c r="C7328" s="235"/>
      <c r="D7328" s="213"/>
      <c r="E7328" s="226"/>
      <c r="F7328" s="155"/>
      <c r="G7328" s="143"/>
      <c r="H7328" s="142"/>
    </row>
    <row r="7329" spans="2:8" s="196" customFormat="1">
      <c r="B7329" s="142"/>
      <c r="C7329" s="235"/>
      <c r="D7329" s="213"/>
      <c r="E7329" s="226"/>
      <c r="F7329" s="155"/>
      <c r="G7329" s="143"/>
      <c r="H7329" s="142"/>
    </row>
    <row r="7330" spans="2:8" s="196" customFormat="1">
      <c r="B7330" s="142"/>
      <c r="C7330" s="235"/>
      <c r="D7330" s="213"/>
      <c r="E7330" s="226"/>
      <c r="F7330" s="155"/>
      <c r="G7330" s="143"/>
      <c r="H7330" s="142"/>
    </row>
    <row r="7331" spans="2:8" s="196" customFormat="1">
      <c r="B7331" s="142"/>
      <c r="C7331" s="235"/>
      <c r="D7331" s="213"/>
      <c r="E7331" s="226"/>
      <c r="F7331" s="155"/>
      <c r="G7331" s="143"/>
      <c r="H7331" s="142"/>
    </row>
    <row r="7332" spans="2:8" s="196" customFormat="1">
      <c r="B7332" s="142"/>
      <c r="C7332" s="235"/>
      <c r="D7332" s="213"/>
      <c r="E7332" s="226"/>
      <c r="F7332" s="155"/>
      <c r="G7332" s="143"/>
      <c r="H7332" s="142"/>
    </row>
    <row r="7333" spans="2:8" s="196" customFormat="1">
      <c r="B7333" s="142"/>
      <c r="C7333" s="235"/>
      <c r="D7333" s="213"/>
      <c r="E7333" s="226"/>
      <c r="F7333" s="155"/>
      <c r="G7333" s="143"/>
      <c r="H7333" s="142"/>
    </row>
    <row r="7334" spans="2:8" s="196" customFormat="1">
      <c r="B7334" s="142"/>
      <c r="C7334" s="235"/>
      <c r="D7334" s="213"/>
      <c r="E7334" s="226"/>
      <c r="F7334" s="155"/>
      <c r="G7334" s="143"/>
      <c r="H7334" s="142"/>
    </row>
    <row r="7335" spans="2:8" s="196" customFormat="1">
      <c r="B7335" s="142"/>
      <c r="C7335" s="235"/>
      <c r="D7335" s="213"/>
      <c r="E7335" s="226"/>
      <c r="F7335" s="155"/>
      <c r="G7335" s="143"/>
      <c r="H7335" s="142"/>
    </row>
    <row r="7336" spans="2:8" s="196" customFormat="1">
      <c r="B7336" s="142"/>
      <c r="C7336" s="235"/>
      <c r="D7336" s="213"/>
      <c r="E7336" s="226"/>
      <c r="F7336" s="155"/>
      <c r="G7336" s="143"/>
      <c r="H7336" s="142"/>
    </row>
    <row r="7337" spans="2:8" s="196" customFormat="1">
      <c r="B7337" s="142"/>
      <c r="C7337" s="235"/>
      <c r="D7337" s="213"/>
      <c r="E7337" s="226"/>
      <c r="F7337" s="155"/>
      <c r="G7337" s="143"/>
      <c r="H7337" s="142"/>
    </row>
    <row r="7338" spans="2:8" s="196" customFormat="1">
      <c r="B7338" s="142"/>
      <c r="C7338" s="235"/>
      <c r="D7338" s="213"/>
      <c r="E7338" s="226"/>
      <c r="F7338" s="155"/>
      <c r="G7338" s="143"/>
      <c r="H7338" s="142"/>
    </row>
    <row r="7339" spans="2:8" s="196" customFormat="1">
      <c r="B7339" s="142"/>
      <c r="C7339" s="235"/>
      <c r="D7339" s="213"/>
      <c r="E7339" s="226"/>
      <c r="F7339" s="155"/>
      <c r="G7339" s="143"/>
      <c r="H7339" s="142"/>
    </row>
    <row r="7340" spans="2:8" s="196" customFormat="1">
      <c r="B7340" s="142"/>
      <c r="C7340" s="235"/>
      <c r="D7340" s="213"/>
      <c r="E7340" s="226"/>
      <c r="F7340" s="155"/>
      <c r="G7340" s="143"/>
      <c r="H7340" s="142"/>
    </row>
    <row r="7341" spans="2:8" s="196" customFormat="1">
      <c r="B7341" s="142"/>
      <c r="C7341" s="235"/>
      <c r="D7341" s="213"/>
      <c r="E7341" s="226"/>
      <c r="F7341" s="155"/>
      <c r="G7341" s="143"/>
      <c r="H7341" s="142"/>
    </row>
    <row r="7342" spans="2:8" s="196" customFormat="1">
      <c r="B7342" s="142"/>
      <c r="C7342" s="235"/>
      <c r="D7342" s="213"/>
      <c r="E7342" s="226"/>
      <c r="F7342" s="155"/>
      <c r="G7342" s="143"/>
      <c r="H7342" s="142"/>
    </row>
    <row r="7343" spans="2:8" s="196" customFormat="1">
      <c r="B7343" s="142"/>
      <c r="C7343" s="235"/>
      <c r="D7343" s="213"/>
      <c r="E7343" s="226"/>
      <c r="F7343" s="155"/>
      <c r="G7343" s="143"/>
      <c r="H7343" s="142"/>
    </row>
    <row r="7344" spans="2:8" s="196" customFormat="1">
      <c r="B7344" s="142"/>
      <c r="C7344" s="235"/>
      <c r="D7344" s="213"/>
      <c r="E7344" s="226"/>
      <c r="F7344" s="155"/>
      <c r="G7344" s="143"/>
      <c r="H7344" s="142"/>
    </row>
    <row r="7345" spans="2:8" s="196" customFormat="1">
      <c r="B7345" s="142"/>
      <c r="C7345" s="235"/>
      <c r="D7345" s="213"/>
      <c r="E7345" s="226"/>
      <c r="F7345" s="155"/>
      <c r="G7345" s="143"/>
      <c r="H7345" s="142"/>
    </row>
    <row r="7346" spans="2:8" s="196" customFormat="1">
      <c r="B7346" s="142"/>
      <c r="C7346" s="235"/>
      <c r="D7346" s="213"/>
      <c r="E7346" s="226"/>
      <c r="F7346" s="155"/>
      <c r="G7346" s="143"/>
      <c r="H7346" s="142"/>
    </row>
    <row r="7347" spans="2:8" s="196" customFormat="1">
      <c r="B7347" s="142"/>
      <c r="C7347" s="235"/>
      <c r="D7347" s="213"/>
      <c r="E7347" s="226"/>
      <c r="F7347" s="155"/>
      <c r="G7347" s="143"/>
      <c r="H7347" s="142"/>
    </row>
    <row r="7348" spans="2:8" s="196" customFormat="1">
      <c r="B7348" s="142"/>
      <c r="C7348" s="235"/>
      <c r="D7348" s="213"/>
      <c r="E7348" s="226"/>
      <c r="F7348" s="155"/>
      <c r="G7348" s="143"/>
      <c r="H7348" s="142"/>
    </row>
    <row r="7349" spans="2:8" s="196" customFormat="1">
      <c r="B7349" s="142"/>
      <c r="C7349" s="235"/>
      <c r="D7349" s="213"/>
      <c r="E7349" s="226"/>
      <c r="F7349" s="155"/>
      <c r="G7349" s="143"/>
      <c r="H7349" s="142"/>
    </row>
    <row r="7350" spans="2:8" s="196" customFormat="1">
      <c r="B7350" s="142"/>
      <c r="C7350" s="235"/>
      <c r="D7350" s="213"/>
      <c r="E7350" s="226"/>
      <c r="F7350" s="155"/>
      <c r="G7350" s="143"/>
      <c r="H7350" s="142"/>
    </row>
    <row r="7351" spans="2:8" s="196" customFormat="1">
      <c r="B7351" s="142"/>
      <c r="C7351" s="235"/>
      <c r="D7351" s="213"/>
      <c r="E7351" s="226"/>
      <c r="F7351" s="155"/>
      <c r="G7351" s="143"/>
      <c r="H7351" s="142"/>
    </row>
    <row r="7352" spans="2:8" s="196" customFormat="1">
      <c r="B7352" s="142"/>
      <c r="C7352" s="235"/>
      <c r="D7352" s="213"/>
      <c r="E7352" s="226"/>
      <c r="F7352" s="155"/>
      <c r="G7352" s="143"/>
      <c r="H7352" s="142"/>
    </row>
    <row r="7353" spans="2:8" s="196" customFormat="1">
      <c r="B7353" s="142"/>
      <c r="C7353" s="235"/>
      <c r="D7353" s="213"/>
      <c r="E7353" s="226"/>
      <c r="F7353" s="155"/>
      <c r="G7353" s="143"/>
      <c r="H7353" s="142"/>
    </row>
    <row r="7354" spans="2:8" s="196" customFormat="1">
      <c r="B7354" s="142"/>
      <c r="C7354" s="235"/>
      <c r="D7354" s="213"/>
      <c r="E7354" s="226"/>
      <c r="F7354" s="155"/>
      <c r="G7354" s="143"/>
      <c r="H7354" s="142"/>
    </row>
    <row r="7355" spans="2:8" s="196" customFormat="1">
      <c r="B7355" s="142"/>
      <c r="C7355" s="235"/>
      <c r="D7355" s="213"/>
      <c r="E7355" s="226"/>
      <c r="F7355" s="155"/>
      <c r="G7355" s="143"/>
      <c r="H7355" s="142"/>
    </row>
    <row r="7356" spans="2:8" s="196" customFormat="1">
      <c r="B7356" s="142"/>
      <c r="C7356" s="235"/>
      <c r="D7356" s="213"/>
      <c r="E7356" s="226"/>
      <c r="F7356" s="155"/>
      <c r="G7356" s="143"/>
      <c r="H7356" s="142"/>
    </row>
    <row r="7357" spans="2:8" s="196" customFormat="1">
      <c r="B7357" s="142"/>
      <c r="C7357" s="235"/>
      <c r="D7357" s="213"/>
      <c r="E7357" s="226"/>
      <c r="F7357" s="155"/>
      <c r="G7357" s="143"/>
      <c r="H7357" s="142"/>
    </row>
    <row r="7358" spans="2:8" s="196" customFormat="1">
      <c r="B7358" s="142"/>
      <c r="C7358" s="235"/>
      <c r="D7358" s="213"/>
      <c r="E7358" s="226"/>
      <c r="F7358" s="155"/>
      <c r="G7358" s="143"/>
      <c r="H7358" s="142"/>
    </row>
    <row r="7359" spans="2:8" s="196" customFormat="1">
      <c r="B7359" s="142"/>
      <c r="C7359" s="235"/>
      <c r="D7359" s="213"/>
      <c r="E7359" s="226"/>
      <c r="F7359" s="155"/>
      <c r="G7359" s="143"/>
      <c r="H7359" s="142"/>
    </row>
    <row r="7360" spans="2:8" s="196" customFormat="1">
      <c r="B7360" s="142"/>
      <c r="C7360" s="235"/>
      <c r="D7360" s="213"/>
      <c r="E7360" s="226"/>
      <c r="F7360" s="155"/>
      <c r="G7360" s="143"/>
      <c r="H7360" s="142"/>
    </row>
    <row r="7361" spans="2:8" s="196" customFormat="1">
      <c r="B7361" s="142"/>
      <c r="C7361" s="235"/>
      <c r="D7361" s="213"/>
      <c r="E7361" s="226"/>
      <c r="F7361" s="155"/>
      <c r="G7361" s="143"/>
      <c r="H7361" s="142"/>
    </row>
    <row r="7362" spans="2:8" s="196" customFormat="1">
      <c r="B7362" s="142"/>
      <c r="C7362" s="235"/>
      <c r="D7362" s="213"/>
      <c r="E7362" s="226"/>
      <c r="F7362" s="155"/>
      <c r="G7362" s="143"/>
      <c r="H7362" s="142"/>
    </row>
    <row r="7363" spans="2:8" s="196" customFormat="1">
      <c r="B7363" s="142"/>
      <c r="C7363" s="235"/>
      <c r="D7363" s="213"/>
      <c r="E7363" s="226"/>
      <c r="F7363" s="155"/>
      <c r="G7363" s="143"/>
      <c r="H7363" s="142"/>
    </row>
    <row r="7364" spans="2:8" s="196" customFormat="1">
      <c r="B7364" s="142"/>
      <c r="C7364" s="235"/>
      <c r="D7364" s="213"/>
      <c r="E7364" s="226"/>
      <c r="F7364" s="155"/>
      <c r="G7364" s="143"/>
      <c r="H7364" s="142"/>
    </row>
    <row r="7365" spans="2:8" s="196" customFormat="1">
      <c r="B7365" s="142"/>
      <c r="C7365" s="235"/>
      <c r="D7365" s="213"/>
      <c r="E7365" s="226"/>
      <c r="F7365" s="155"/>
      <c r="G7365" s="143"/>
      <c r="H7365" s="142"/>
    </row>
    <row r="7366" spans="2:8" s="196" customFormat="1">
      <c r="B7366" s="142"/>
      <c r="C7366" s="235"/>
      <c r="D7366" s="213"/>
      <c r="E7366" s="226"/>
      <c r="F7366" s="155"/>
      <c r="G7366" s="143"/>
      <c r="H7366" s="142"/>
    </row>
    <row r="7367" spans="2:8" s="196" customFormat="1">
      <c r="B7367" s="142"/>
      <c r="C7367" s="235"/>
      <c r="D7367" s="213"/>
      <c r="E7367" s="226"/>
      <c r="F7367" s="155"/>
      <c r="G7367" s="143"/>
      <c r="H7367" s="142"/>
    </row>
    <row r="7368" spans="2:8" s="196" customFormat="1">
      <c r="B7368" s="142"/>
      <c r="C7368" s="235"/>
      <c r="D7368" s="213"/>
      <c r="E7368" s="226"/>
      <c r="F7368" s="155"/>
      <c r="G7368" s="143"/>
      <c r="H7368" s="142"/>
    </row>
    <row r="7369" spans="2:8" s="196" customFormat="1">
      <c r="B7369" s="142"/>
      <c r="C7369" s="235"/>
      <c r="D7369" s="213"/>
      <c r="E7369" s="226"/>
      <c r="F7369" s="155"/>
      <c r="G7369" s="143"/>
      <c r="H7369" s="142"/>
    </row>
    <row r="7370" spans="2:8" s="196" customFormat="1">
      <c r="B7370" s="142"/>
      <c r="C7370" s="235"/>
      <c r="D7370" s="213"/>
      <c r="E7370" s="226"/>
      <c r="F7370" s="155"/>
      <c r="G7370" s="143"/>
      <c r="H7370" s="142"/>
    </row>
    <row r="7371" spans="2:8" s="196" customFormat="1">
      <c r="B7371" s="142"/>
      <c r="C7371" s="235"/>
      <c r="D7371" s="213"/>
      <c r="E7371" s="226"/>
      <c r="F7371" s="155"/>
      <c r="G7371" s="143"/>
      <c r="H7371" s="142"/>
    </row>
    <row r="7372" spans="2:8" s="196" customFormat="1">
      <c r="B7372" s="142"/>
      <c r="C7372" s="235"/>
      <c r="D7372" s="213"/>
      <c r="E7372" s="226"/>
      <c r="F7372" s="155"/>
      <c r="G7372" s="143"/>
      <c r="H7372" s="142"/>
    </row>
    <row r="7373" spans="2:8" s="196" customFormat="1">
      <c r="B7373" s="142"/>
      <c r="C7373" s="235"/>
      <c r="D7373" s="213"/>
      <c r="E7373" s="226"/>
      <c r="F7373" s="155"/>
      <c r="G7373" s="143"/>
      <c r="H7373" s="142"/>
    </row>
    <row r="7374" spans="2:8" s="196" customFormat="1">
      <c r="B7374" s="142"/>
      <c r="C7374" s="235"/>
      <c r="D7374" s="213"/>
      <c r="E7374" s="226"/>
      <c r="F7374" s="155"/>
      <c r="G7374" s="143"/>
      <c r="H7374" s="142"/>
    </row>
    <row r="7375" spans="2:8" s="196" customFormat="1">
      <c r="B7375" s="142"/>
      <c r="C7375" s="235"/>
      <c r="D7375" s="213"/>
      <c r="E7375" s="226"/>
      <c r="F7375" s="155"/>
      <c r="G7375" s="143"/>
      <c r="H7375" s="142"/>
    </row>
    <row r="7376" spans="2:8" s="196" customFormat="1">
      <c r="B7376" s="142"/>
      <c r="C7376" s="235"/>
      <c r="D7376" s="213"/>
      <c r="E7376" s="226"/>
      <c r="F7376" s="155"/>
      <c r="G7376" s="143"/>
      <c r="H7376" s="142"/>
    </row>
    <row r="7377" spans="2:8" s="196" customFormat="1">
      <c r="B7377" s="142"/>
      <c r="C7377" s="235"/>
      <c r="D7377" s="213"/>
      <c r="E7377" s="226"/>
      <c r="F7377" s="155"/>
      <c r="G7377" s="143"/>
      <c r="H7377" s="142"/>
    </row>
    <row r="7378" spans="2:8" s="196" customFormat="1">
      <c r="B7378" s="142"/>
      <c r="C7378" s="235"/>
      <c r="D7378" s="213"/>
      <c r="E7378" s="226"/>
      <c r="F7378" s="155"/>
      <c r="G7378" s="143"/>
      <c r="H7378" s="142"/>
    </row>
    <row r="7379" spans="2:8" s="196" customFormat="1">
      <c r="B7379" s="142"/>
      <c r="C7379" s="235"/>
      <c r="D7379" s="213"/>
      <c r="E7379" s="226"/>
      <c r="F7379" s="155"/>
      <c r="G7379" s="143"/>
      <c r="H7379" s="142"/>
    </row>
    <row r="7380" spans="2:8" s="196" customFormat="1">
      <c r="B7380" s="142"/>
      <c r="C7380" s="235"/>
      <c r="D7380" s="213"/>
      <c r="E7380" s="226"/>
      <c r="F7380" s="155"/>
      <c r="G7380" s="143"/>
      <c r="H7380" s="142"/>
    </row>
    <row r="7381" spans="2:8" s="196" customFormat="1">
      <c r="B7381" s="142"/>
      <c r="C7381" s="235"/>
      <c r="D7381" s="213"/>
      <c r="E7381" s="226"/>
      <c r="F7381" s="155"/>
      <c r="G7381" s="143"/>
      <c r="H7381" s="142"/>
    </row>
    <row r="7382" spans="2:8" s="196" customFormat="1">
      <c r="B7382" s="142"/>
      <c r="C7382" s="235"/>
      <c r="D7382" s="213"/>
      <c r="E7382" s="226"/>
      <c r="F7382" s="155"/>
      <c r="G7382" s="143"/>
      <c r="H7382" s="142"/>
    </row>
    <row r="7383" spans="2:8" s="196" customFormat="1">
      <c r="B7383" s="142"/>
      <c r="C7383" s="235"/>
      <c r="D7383" s="213"/>
      <c r="E7383" s="226"/>
      <c r="F7383" s="155"/>
      <c r="G7383" s="143"/>
      <c r="H7383" s="142"/>
    </row>
    <row r="7384" spans="2:8" s="196" customFormat="1">
      <c r="B7384" s="142"/>
      <c r="C7384" s="235"/>
      <c r="D7384" s="213"/>
      <c r="E7384" s="226"/>
      <c r="F7384" s="155"/>
      <c r="G7384" s="143"/>
      <c r="H7384" s="142"/>
    </row>
    <row r="7385" spans="2:8" s="196" customFormat="1">
      <c r="B7385" s="142"/>
      <c r="C7385" s="235"/>
      <c r="D7385" s="213"/>
      <c r="E7385" s="226"/>
      <c r="F7385" s="155"/>
      <c r="G7385" s="143"/>
      <c r="H7385" s="142"/>
    </row>
    <row r="7386" spans="2:8" s="196" customFormat="1">
      <c r="B7386" s="142"/>
      <c r="C7386" s="235"/>
      <c r="D7386" s="213"/>
      <c r="E7386" s="226"/>
      <c r="F7386" s="155"/>
      <c r="G7386" s="143"/>
      <c r="H7386" s="142"/>
    </row>
    <row r="7387" spans="2:8" s="196" customFormat="1">
      <c r="B7387" s="142"/>
      <c r="C7387" s="235"/>
      <c r="D7387" s="213"/>
      <c r="E7387" s="226"/>
      <c r="F7387" s="155"/>
      <c r="G7387" s="143"/>
      <c r="H7387" s="142"/>
    </row>
    <row r="7388" spans="2:8" s="196" customFormat="1">
      <c r="B7388" s="142"/>
      <c r="C7388" s="235"/>
      <c r="D7388" s="213"/>
      <c r="E7388" s="226"/>
      <c r="F7388" s="155"/>
      <c r="G7388" s="143"/>
      <c r="H7388" s="142"/>
    </row>
    <row r="7389" spans="2:8" s="196" customFormat="1">
      <c r="B7389" s="142"/>
      <c r="C7389" s="235"/>
      <c r="D7389" s="213"/>
      <c r="E7389" s="226"/>
      <c r="F7389" s="155"/>
      <c r="G7389" s="143"/>
      <c r="H7389" s="142"/>
    </row>
    <row r="7390" spans="2:8" s="196" customFormat="1">
      <c r="B7390" s="142"/>
      <c r="C7390" s="235"/>
      <c r="D7390" s="213"/>
      <c r="E7390" s="226"/>
      <c r="F7390" s="155"/>
      <c r="G7390" s="143"/>
      <c r="H7390" s="142"/>
    </row>
    <row r="7391" spans="2:8" s="196" customFormat="1">
      <c r="B7391" s="142"/>
      <c r="C7391" s="235"/>
      <c r="D7391" s="213"/>
      <c r="E7391" s="226"/>
      <c r="F7391" s="155"/>
      <c r="G7391" s="143"/>
      <c r="H7391" s="142"/>
    </row>
    <row r="7392" spans="2:8" s="196" customFormat="1">
      <c r="B7392" s="142"/>
      <c r="C7392" s="235"/>
      <c r="D7392" s="213"/>
      <c r="E7392" s="226"/>
      <c r="F7392" s="155"/>
      <c r="G7392" s="143"/>
      <c r="H7392" s="142"/>
    </row>
    <row r="7393" spans="2:8" s="196" customFormat="1">
      <c r="B7393" s="142"/>
      <c r="C7393" s="235"/>
      <c r="D7393" s="213"/>
      <c r="E7393" s="226"/>
      <c r="F7393" s="155"/>
      <c r="G7393" s="143"/>
      <c r="H7393" s="142"/>
    </row>
    <row r="7394" spans="2:8" s="196" customFormat="1">
      <c r="B7394" s="142"/>
      <c r="C7394" s="235"/>
      <c r="D7394" s="213"/>
      <c r="E7394" s="226"/>
      <c r="F7394" s="155"/>
      <c r="G7394" s="143"/>
      <c r="H7394" s="142"/>
    </row>
    <row r="7395" spans="2:8" s="196" customFormat="1">
      <c r="B7395" s="142"/>
      <c r="C7395" s="235"/>
      <c r="D7395" s="213"/>
      <c r="E7395" s="226"/>
      <c r="F7395" s="155"/>
      <c r="G7395" s="143"/>
      <c r="H7395" s="142"/>
    </row>
    <row r="7396" spans="2:8" s="196" customFormat="1">
      <c r="B7396" s="142"/>
      <c r="C7396" s="235"/>
      <c r="D7396" s="213"/>
      <c r="E7396" s="226"/>
      <c r="F7396" s="155"/>
      <c r="G7396" s="143"/>
      <c r="H7396" s="142"/>
    </row>
    <row r="7397" spans="2:8" s="196" customFormat="1">
      <c r="B7397" s="142"/>
      <c r="C7397" s="235"/>
      <c r="D7397" s="213"/>
      <c r="E7397" s="226"/>
      <c r="F7397" s="155"/>
      <c r="G7397" s="143"/>
      <c r="H7397" s="142"/>
    </row>
    <row r="7398" spans="2:8" s="196" customFormat="1">
      <c r="B7398" s="142"/>
      <c r="C7398" s="235"/>
      <c r="D7398" s="213"/>
      <c r="E7398" s="226"/>
      <c r="F7398" s="155"/>
      <c r="G7398" s="143"/>
      <c r="H7398" s="142"/>
    </row>
    <row r="7399" spans="2:8" s="196" customFormat="1">
      <c r="B7399" s="142"/>
      <c r="C7399" s="235"/>
      <c r="D7399" s="213"/>
      <c r="E7399" s="226"/>
      <c r="F7399" s="155"/>
      <c r="G7399" s="143"/>
      <c r="H7399" s="142"/>
    </row>
    <row r="7400" spans="2:8" s="196" customFormat="1">
      <c r="B7400" s="142"/>
      <c r="C7400" s="235"/>
      <c r="D7400" s="213"/>
      <c r="E7400" s="226"/>
      <c r="F7400" s="155"/>
      <c r="G7400" s="143"/>
      <c r="H7400" s="142"/>
    </row>
    <row r="7401" spans="2:8" s="196" customFormat="1">
      <c r="B7401" s="142"/>
      <c r="C7401" s="235"/>
      <c r="D7401" s="213"/>
      <c r="E7401" s="226"/>
      <c r="F7401" s="155"/>
      <c r="G7401" s="143"/>
      <c r="H7401" s="142"/>
    </row>
    <row r="7402" spans="2:8" s="196" customFormat="1">
      <c r="B7402" s="142"/>
      <c r="C7402" s="235"/>
      <c r="D7402" s="213"/>
      <c r="E7402" s="226"/>
      <c r="F7402" s="155"/>
      <c r="G7402" s="143"/>
      <c r="H7402" s="142"/>
    </row>
    <row r="7403" spans="2:8" s="196" customFormat="1">
      <c r="B7403" s="142"/>
      <c r="C7403" s="235"/>
      <c r="D7403" s="213"/>
      <c r="E7403" s="226"/>
      <c r="F7403" s="155"/>
      <c r="G7403" s="143"/>
      <c r="H7403" s="142"/>
    </row>
    <row r="7404" spans="2:8" s="196" customFormat="1">
      <c r="B7404" s="142"/>
      <c r="C7404" s="235"/>
      <c r="D7404" s="213"/>
      <c r="E7404" s="226"/>
      <c r="F7404" s="155"/>
      <c r="G7404" s="143"/>
      <c r="H7404" s="142"/>
    </row>
    <row r="7405" spans="2:8" s="196" customFormat="1">
      <c r="B7405" s="142"/>
      <c r="C7405" s="235"/>
      <c r="D7405" s="213"/>
      <c r="E7405" s="226"/>
      <c r="F7405" s="155"/>
      <c r="G7405" s="143"/>
      <c r="H7405" s="142"/>
    </row>
    <row r="7406" spans="2:8" s="196" customFormat="1">
      <c r="B7406" s="142"/>
      <c r="C7406" s="235"/>
      <c r="D7406" s="213"/>
      <c r="E7406" s="226"/>
      <c r="F7406" s="155"/>
      <c r="G7406" s="143"/>
      <c r="H7406" s="142"/>
    </row>
    <row r="7407" spans="2:8" s="196" customFormat="1">
      <c r="B7407" s="142"/>
      <c r="C7407" s="235"/>
      <c r="D7407" s="213"/>
      <c r="E7407" s="226"/>
      <c r="F7407" s="155"/>
      <c r="G7407" s="143"/>
      <c r="H7407" s="142"/>
    </row>
    <row r="7408" spans="2:8" s="196" customFormat="1">
      <c r="B7408" s="142"/>
      <c r="C7408" s="235"/>
      <c r="D7408" s="213"/>
      <c r="E7408" s="226"/>
      <c r="F7408" s="155"/>
      <c r="G7408" s="143"/>
      <c r="H7408" s="142"/>
    </row>
    <row r="7409" spans="2:8" s="196" customFormat="1">
      <c r="B7409" s="142"/>
      <c r="C7409" s="235"/>
      <c r="D7409" s="213"/>
      <c r="E7409" s="226"/>
      <c r="F7409" s="155"/>
      <c r="G7409" s="143"/>
      <c r="H7409" s="142"/>
    </row>
    <row r="7410" spans="2:8" s="196" customFormat="1">
      <c r="B7410" s="142"/>
      <c r="C7410" s="235"/>
      <c r="D7410" s="213"/>
      <c r="E7410" s="226"/>
      <c r="F7410" s="155"/>
      <c r="G7410" s="143"/>
      <c r="H7410" s="142"/>
    </row>
    <row r="7411" spans="2:8" s="196" customFormat="1">
      <c r="B7411" s="142"/>
      <c r="C7411" s="235"/>
      <c r="D7411" s="213"/>
      <c r="E7411" s="226"/>
      <c r="F7411" s="155"/>
      <c r="G7411" s="143"/>
      <c r="H7411" s="142"/>
    </row>
    <row r="7412" spans="2:8" s="196" customFormat="1">
      <c r="B7412" s="142"/>
      <c r="C7412" s="235"/>
      <c r="D7412" s="213"/>
      <c r="E7412" s="226"/>
      <c r="F7412" s="155"/>
      <c r="G7412" s="143"/>
      <c r="H7412" s="142"/>
    </row>
    <row r="7413" spans="2:8" s="196" customFormat="1">
      <c r="B7413" s="142"/>
      <c r="C7413" s="235"/>
      <c r="D7413" s="213"/>
      <c r="E7413" s="226"/>
      <c r="F7413" s="155"/>
      <c r="G7413" s="143"/>
      <c r="H7413" s="142"/>
    </row>
    <row r="7414" spans="2:8" s="196" customFormat="1">
      <c r="B7414" s="142"/>
      <c r="C7414" s="235"/>
      <c r="D7414" s="213"/>
      <c r="E7414" s="226"/>
      <c r="F7414" s="155"/>
      <c r="G7414" s="143"/>
      <c r="H7414" s="142"/>
    </row>
    <row r="7415" spans="2:8" s="196" customFormat="1">
      <c r="B7415" s="142"/>
      <c r="C7415" s="235"/>
      <c r="D7415" s="213"/>
      <c r="E7415" s="226"/>
      <c r="F7415" s="155"/>
      <c r="G7415" s="143"/>
      <c r="H7415" s="142"/>
    </row>
    <row r="7416" spans="2:8" s="196" customFormat="1">
      <c r="B7416" s="142"/>
      <c r="C7416" s="235"/>
      <c r="D7416" s="213"/>
      <c r="E7416" s="226"/>
      <c r="F7416" s="155"/>
      <c r="G7416" s="143"/>
      <c r="H7416" s="142"/>
    </row>
    <row r="7417" spans="2:8" s="196" customFormat="1">
      <c r="B7417" s="142"/>
      <c r="C7417" s="235"/>
      <c r="D7417" s="213"/>
      <c r="E7417" s="226"/>
      <c r="F7417" s="155"/>
      <c r="G7417" s="143"/>
      <c r="H7417" s="142"/>
    </row>
    <row r="7418" spans="2:8" s="196" customFormat="1">
      <c r="B7418" s="142"/>
      <c r="C7418" s="235"/>
      <c r="D7418" s="213"/>
      <c r="E7418" s="226"/>
      <c r="F7418" s="155"/>
      <c r="G7418" s="143"/>
      <c r="H7418" s="142"/>
    </row>
    <row r="7419" spans="2:8" s="196" customFormat="1">
      <c r="B7419" s="142"/>
      <c r="C7419" s="235"/>
      <c r="D7419" s="213"/>
      <c r="E7419" s="226"/>
      <c r="F7419" s="155"/>
      <c r="G7419" s="143"/>
      <c r="H7419" s="142"/>
    </row>
    <row r="7420" spans="2:8" s="196" customFormat="1">
      <c r="B7420" s="142"/>
      <c r="C7420" s="235"/>
      <c r="D7420" s="213"/>
      <c r="E7420" s="226"/>
      <c r="F7420" s="155"/>
      <c r="G7420" s="143"/>
      <c r="H7420" s="142"/>
    </row>
    <row r="7421" spans="2:8" s="196" customFormat="1">
      <c r="B7421" s="142"/>
      <c r="C7421" s="235"/>
      <c r="D7421" s="213"/>
      <c r="E7421" s="226"/>
      <c r="F7421" s="155"/>
      <c r="G7421" s="143"/>
      <c r="H7421" s="142"/>
    </row>
    <row r="7422" spans="2:8" s="196" customFormat="1">
      <c r="B7422" s="142"/>
      <c r="C7422" s="235"/>
      <c r="D7422" s="213"/>
      <c r="E7422" s="226"/>
      <c r="F7422" s="155"/>
      <c r="G7422" s="143"/>
      <c r="H7422" s="142"/>
    </row>
    <row r="7423" spans="2:8" s="196" customFormat="1">
      <c r="B7423" s="142"/>
      <c r="C7423" s="235"/>
      <c r="D7423" s="213"/>
      <c r="E7423" s="226"/>
      <c r="F7423" s="155"/>
      <c r="G7423" s="143"/>
      <c r="H7423" s="142"/>
    </row>
    <row r="7424" spans="2:8" s="196" customFormat="1">
      <c r="B7424" s="142"/>
      <c r="C7424" s="235"/>
      <c r="D7424" s="213"/>
      <c r="E7424" s="226"/>
      <c r="F7424" s="155"/>
      <c r="G7424" s="143"/>
      <c r="H7424" s="142"/>
    </row>
    <row r="7425" spans="2:8" s="196" customFormat="1">
      <c r="B7425" s="142"/>
      <c r="C7425" s="235"/>
      <c r="D7425" s="213"/>
      <c r="E7425" s="226"/>
      <c r="F7425" s="155"/>
      <c r="G7425" s="143"/>
      <c r="H7425" s="142"/>
    </row>
    <row r="7426" spans="2:8" s="196" customFormat="1">
      <c r="B7426" s="142"/>
      <c r="C7426" s="235"/>
      <c r="D7426" s="213"/>
      <c r="E7426" s="226"/>
      <c r="F7426" s="155"/>
      <c r="G7426" s="143"/>
      <c r="H7426" s="142"/>
    </row>
    <row r="7427" spans="2:8" s="196" customFormat="1">
      <c r="B7427" s="142"/>
      <c r="C7427" s="235"/>
      <c r="D7427" s="213"/>
      <c r="E7427" s="226"/>
      <c r="F7427" s="155"/>
      <c r="G7427" s="143"/>
      <c r="H7427" s="142"/>
    </row>
    <row r="7428" spans="2:8" s="196" customFormat="1">
      <c r="B7428" s="142"/>
      <c r="C7428" s="235"/>
      <c r="D7428" s="213"/>
      <c r="E7428" s="226"/>
      <c r="F7428" s="155"/>
      <c r="G7428" s="143"/>
      <c r="H7428" s="142"/>
    </row>
    <row r="7429" spans="2:8" s="196" customFormat="1">
      <c r="B7429" s="142"/>
      <c r="C7429" s="235"/>
      <c r="D7429" s="213"/>
      <c r="E7429" s="226"/>
      <c r="F7429" s="155"/>
      <c r="G7429" s="143"/>
      <c r="H7429" s="142"/>
    </row>
    <row r="7430" spans="2:8" s="196" customFormat="1">
      <c r="B7430" s="142"/>
      <c r="C7430" s="235"/>
      <c r="D7430" s="213"/>
      <c r="E7430" s="226"/>
      <c r="F7430" s="155"/>
      <c r="G7430" s="143"/>
      <c r="H7430" s="142"/>
    </row>
    <row r="7431" spans="2:8" s="196" customFormat="1">
      <c r="B7431" s="142"/>
      <c r="C7431" s="235"/>
      <c r="D7431" s="213"/>
      <c r="E7431" s="226"/>
      <c r="F7431" s="155"/>
      <c r="G7431" s="143"/>
      <c r="H7431" s="142"/>
    </row>
    <row r="7432" spans="2:8" s="196" customFormat="1">
      <c r="B7432" s="142"/>
      <c r="C7432" s="235"/>
      <c r="D7432" s="213"/>
      <c r="E7432" s="226"/>
      <c r="F7432" s="155"/>
      <c r="G7432" s="143"/>
      <c r="H7432" s="142"/>
    </row>
    <row r="7433" spans="2:8" s="196" customFormat="1">
      <c r="B7433" s="142"/>
      <c r="C7433" s="235"/>
      <c r="D7433" s="213"/>
      <c r="E7433" s="226"/>
      <c r="F7433" s="155"/>
      <c r="G7433" s="143"/>
      <c r="H7433" s="142"/>
    </row>
    <row r="7434" spans="2:8" s="196" customFormat="1">
      <c r="B7434" s="142"/>
      <c r="C7434" s="235"/>
      <c r="D7434" s="213"/>
      <c r="E7434" s="226"/>
      <c r="F7434" s="155"/>
      <c r="G7434" s="143"/>
      <c r="H7434" s="142"/>
    </row>
    <row r="7435" spans="2:8" s="196" customFormat="1">
      <c r="B7435" s="142"/>
      <c r="C7435" s="235"/>
      <c r="D7435" s="213"/>
      <c r="E7435" s="226"/>
      <c r="F7435" s="155"/>
      <c r="G7435" s="143"/>
      <c r="H7435" s="142"/>
    </row>
    <row r="7436" spans="2:8" s="196" customFormat="1">
      <c r="B7436" s="142"/>
      <c r="C7436" s="235"/>
      <c r="D7436" s="213"/>
      <c r="E7436" s="226"/>
      <c r="F7436" s="155"/>
      <c r="G7436" s="143"/>
      <c r="H7436" s="142"/>
    </row>
    <row r="7437" spans="2:8" s="196" customFormat="1">
      <c r="B7437" s="142"/>
      <c r="C7437" s="235"/>
      <c r="D7437" s="213"/>
      <c r="E7437" s="226"/>
      <c r="F7437" s="155"/>
      <c r="G7437" s="143"/>
      <c r="H7437" s="142"/>
    </row>
    <row r="7438" spans="2:8" s="196" customFormat="1">
      <c r="B7438" s="142"/>
      <c r="C7438" s="235"/>
      <c r="D7438" s="213"/>
      <c r="E7438" s="226"/>
      <c r="F7438" s="155"/>
      <c r="G7438" s="143"/>
      <c r="H7438" s="142"/>
    </row>
    <row r="7439" spans="2:8" s="196" customFormat="1">
      <c r="B7439" s="142"/>
      <c r="C7439" s="235"/>
      <c r="D7439" s="213"/>
      <c r="E7439" s="226"/>
      <c r="F7439" s="155"/>
      <c r="G7439" s="143"/>
      <c r="H7439" s="142"/>
    </row>
    <row r="7440" spans="2:8" s="196" customFormat="1">
      <c r="B7440" s="142"/>
      <c r="C7440" s="235"/>
      <c r="D7440" s="213"/>
      <c r="E7440" s="226"/>
      <c r="F7440" s="155"/>
      <c r="G7440" s="143"/>
      <c r="H7440" s="142"/>
    </row>
    <row r="7441" spans="2:8" s="196" customFormat="1">
      <c r="B7441" s="142"/>
      <c r="C7441" s="235"/>
      <c r="D7441" s="213"/>
      <c r="E7441" s="226"/>
      <c r="F7441" s="155"/>
      <c r="G7441" s="143"/>
      <c r="H7441" s="142"/>
    </row>
    <row r="7442" spans="2:8" s="196" customFormat="1">
      <c r="B7442" s="142"/>
      <c r="C7442" s="235"/>
      <c r="D7442" s="213"/>
      <c r="E7442" s="226"/>
      <c r="F7442" s="155"/>
      <c r="G7442" s="143"/>
      <c r="H7442" s="142"/>
    </row>
    <row r="7443" spans="2:8" s="196" customFormat="1">
      <c r="B7443" s="142"/>
      <c r="C7443" s="235"/>
      <c r="D7443" s="213"/>
      <c r="E7443" s="226"/>
      <c r="F7443" s="155"/>
      <c r="G7443" s="143"/>
      <c r="H7443" s="142"/>
    </row>
    <row r="7444" spans="2:8" s="196" customFormat="1">
      <c r="B7444" s="142"/>
      <c r="C7444" s="235"/>
      <c r="D7444" s="213"/>
      <c r="E7444" s="226"/>
      <c r="F7444" s="155"/>
      <c r="G7444" s="143"/>
      <c r="H7444" s="142"/>
    </row>
    <row r="7445" spans="2:8" s="196" customFormat="1">
      <c r="B7445" s="142"/>
      <c r="C7445" s="235"/>
      <c r="D7445" s="213"/>
      <c r="E7445" s="226"/>
      <c r="F7445" s="155"/>
      <c r="G7445" s="143"/>
      <c r="H7445" s="142"/>
    </row>
    <row r="7446" spans="2:8" s="196" customFormat="1">
      <c r="B7446" s="142"/>
      <c r="C7446" s="235"/>
      <c r="D7446" s="213"/>
      <c r="E7446" s="226"/>
      <c r="F7446" s="155"/>
      <c r="G7446" s="143"/>
      <c r="H7446" s="142"/>
    </row>
    <row r="7447" spans="2:8" s="196" customFormat="1">
      <c r="B7447" s="142"/>
      <c r="C7447" s="235"/>
      <c r="D7447" s="213"/>
      <c r="E7447" s="226"/>
      <c r="F7447" s="155"/>
      <c r="G7447" s="143"/>
      <c r="H7447" s="142"/>
    </row>
    <row r="7448" spans="2:8" s="196" customFormat="1">
      <c r="B7448" s="142"/>
      <c r="C7448" s="235"/>
      <c r="D7448" s="213"/>
      <c r="E7448" s="226"/>
      <c r="F7448" s="155"/>
      <c r="G7448" s="143"/>
      <c r="H7448" s="142"/>
    </row>
    <row r="7449" spans="2:8" s="196" customFormat="1">
      <c r="B7449" s="142"/>
      <c r="C7449" s="235"/>
      <c r="D7449" s="213"/>
      <c r="E7449" s="226"/>
      <c r="F7449" s="155"/>
      <c r="G7449" s="143"/>
      <c r="H7449" s="142"/>
    </row>
    <row r="7450" spans="2:8" s="196" customFormat="1">
      <c r="B7450" s="142"/>
      <c r="C7450" s="235"/>
      <c r="D7450" s="213"/>
      <c r="E7450" s="226"/>
      <c r="F7450" s="155"/>
      <c r="G7450" s="143"/>
      <c r="H7450" s="142"/>
    </row>
    <row r="7451" spans="2:8" s="196" customFormat="1">
      <c r="B7451" s="142"/>
      <c r="C7451" s="235"/>
      <c r="D7451" s="213"/>
      <c r="E7451" s="226"/>
      <c r="F7451" s="155"/>
      <c r="G7451" s="143"/>
      <c r="H7451" s="142"/>
    </row>
    <row r="7452" spans="2:8" s="196" customFormat="1">
      <c r="B7452" s="142"/>
      <c r="C7452" s="235"/>
      <c r="D7452" s="213"/>
      <c r="E7452" s="226"/>
      <c r="F7452" s="155"/>
      <c r="G7452" s="143"/>
      <c r="H7452" s="142"/>
    </row>
    <row r="7453" spans="2:8" s="196" customFormat="1">
      <c r="B7453" s="142"/>
      <c r="C7453" s="235"/>
      <c r="D7453" s="213"/>
      <c r="E7453" s="226"/>
      <c r="F7453" s="155"/>
      <c r="G7453" s="143"/>
      <c r="H7453" s="142"/>
    </row>
    <row r="7454" spans="2:8" s="196" customFormat="1">
      <c r="B7454" s="142"/>
      <c r="C7454" s="235"/>
      <c r="D7454" s="213"/>
      <c r="E7454" s="226"/>
      <c r="F7454" s="155"/>
      <c r="G7454" s="143"/>
      <c r="H7454" s="142"/>
    </row>
    <row r="7455" spans="2:8" s="196" customFormat="1">
      <c r="B7455" s="142"/>
      <c r="C7455" s="235"/>
      <c r="D7455" s="213"/>
      <c r="E7455" s="226"/>
      <c r="F7455" s="155"/>
      <c r="G7455" s="143"/>
      <c r="H7455" s="142"/>
    </row>
    <row r="7456" spans="2:8" s="196" customFormat="1">
      <c r="B7456" s="142"/>
      <c r="C7456" s="235"/>
      <c r="D7456" s="213"/>
      <c r="E7456" s="226"/>
      <c r="F7456" s="155"/>
      <c r="G7456" s="143"/>
      <c r="H7456" s="142"/>
    </row>
    <row r="7457" spans="2:8" s="196" customFormat="1">
      <c r="B7457" s="142"/>
      <c r="C7457" s="235"/>
      <c r="D7457" s="213"/>
      <c r="E7457" s="226"/>
      <c r="F7457" s="155"/>
      <c r="G7457" s="143"/>
      <c r="H7457" s="142"/>
    </row>
    <row r="7458" spans="2:8" s="196" customFormat="1">
      <c r="B7458" s="142"/>
      <c r="C7458" s="235"/>
      <c r="D7458" s="213"/>
      <c r="E7458" s="226"/>
      <c r="F7458" s="155"/>
      <c r="G7458" s="143"/>
      <c r="H7458" s="142"/>
    </row>
    <row r="7459" spans="2:8" s="196" customFormat="1">
      <c r="B7459" s="142"/>
      <c r="C7459" s="235"/>
      <c r="D7459" s="213"/>
      <c r="E7459" s="226"/>
      <c r="F7459" s="155"/>
      <c r="G7459" s="143"/>
      <c r="H7459" s="142"/>
    </row>
    <row r="7460" spans="2:8" s="196" customFormat="1">
      <c r="B7460" s="142"/>
      <c r="C7460" s="235"/>
      <c r="D7460" s="213"/>
      <c r="E7460" s="226"/>
      <c r="F7460" s="155"/>
      <c r="G7460" s="143"/>
      <c r="H7460" s="142"/>
    </row>
    <row r="7461" spans="2:8" s="196" customFormat="1">
      <c r="B7461" s="142"/>
      <c r="C7461" s="235"/>
      <c r="D7461" s="213"/>
      <c r="E7461" s="226"/>
      <c r="F7461" s="155"/>
      <c r="G7461" s="143"/>
      <c r="H7461" s="142"/>
    </row>
    <row r="7462" spans="2:8" s="196" customFormat="1">
      <c r="B7462" s="142"/>
      <c r="C7462" s="235"/>
      <c r="D7462" s="213"/>
      <c r="E7462" s="226"/>
      <c r="F7462" s="155"/>
      <c r="G7462" s="143"/>
      <c r="H7462" s="142"/>
    </row>
    <row r="7463" spans="2:8" s="196" customFormat="1">
      <c r="B7463" s="142"/>
      <c r="C7463" s="235"/>
      <c r="D7463" s="213"/>
      <c r="E7463" s="226"/>
      <c r="F7463" s="155"/>
      <c r="G7463" s="143"/>
      <c r="H7463" s="142"/>
    </row>
    <row r="7464" spans="2:8" s="196" customFormat="1">
      <c r="B7464" s="142"/>
      <c r="C7464" s="235"/>
      <c r="D7464" s="213"/>
      <c r="E7464" s="226"/>
      <c r="F7464" s="155"/>
      <c r="G7464" s="143"/>
      <c r="H7464" s="142"/>
    </row>
    <row r="7465" spans="2:8" s="196" customFormat="1">
      <c r="B7465" s="142"/>
      <c r="C7465" s="235"/>
      <c r="D7465" s="213"/>
      <c r="E7465" s="226"/>
      <c r="F7465" s="155"/>
      <c r="G7465" s="143"/>
      <c r="H7465" s="142"/>
    </row>
    <row r="7466" spans="2:8" s="196" customFormat="1">
      <c r="B7466" s="142"/>
      <c r="C7466" s="235"/>
      <c r="D7466" s="213"/>
      <c r="E7466" s="226"/>
      <c r="F7466" s="155"/>
      <c r="G7466" s="143"/>
      <c r="H7466" s="142"/>
    </row>
    <row r="7467" spans="2:8" s="196" customFormat="1">
      <c r="B7467" s="142"/>
      <c r="C7467" s="235"/>
      <c r="D7467" s="213"/>
      <c r="E7467" s="226"/>
      <c r="F7467" s="155"/>
      <c r="G7467" s="143"/>
      <c r="H7467" s="142"/>
    </row>
    <row r="7468" spans="2:8" s="196" customFormat="1">
      <c r="B7468" s="142"/>
      <c r="C7468" s="235"/>
      <c r="D7468" s="213"/>
      <c r="E7468" s="226"/>
      <c r="F7468" s="155"/>
      <c r="G7468" s="143"/>
      <c r="H7468" s="142"/>
    </row>
    <row r="7469" spans="2:8" s="196" customFormat="1">
      <c r="B7469" s="142"/>
      <c r="C7469" s="235"/>
      <c r="D7469" s="213"/>
      <c r="E7469" s="226"/>
      <c r="F7469" s="155"/>
      <c r="G7469" s="143"/>
      <c r="H7469" s="142"/>
    </row>
    <row r="7470" spans="2:8" s="196" customFormat="1">
      <c r="B7470" s="142"/>
      <c r="C7470" s="235"/>
      <c r="D7470" s="213"/>
      <c r="E7470" s="226"/>
      <c r="F7470" s="155"/>
      <c r="G7470" s="143"/>
      <c r="H7470" s="142"/>
    </row>
    <row r="7471" spans="2:8" s="196" customFormat="1">
      <c r="B7471" s="142"/>
      <c r="C7471" s="235"/>
      <c r="D7471" s="213"/>
      <c r="E7471" s="226"/>
      <c r="F7471" s="155"/>
      <c r="G7471" s="143"/>
      <c r="H7471" s="142"/>
    </row>
    <row r="7472" spans="2:8" s="196" customFormat="1">
      <c r="B7472" s="142"/>
      <c r="C7472" s="235"/>
      <c r="D7472" s="213"/>
      <c r="E7472" s="226"/>
      <c r="F7472" s="155"/>
      <c r="G7472" s="143"/>
      <c r="H7472" s="142"/>
    </row>
    <row r="7473" spans="2:8" s="196" customFormat="1">
      <c r="B7473" s="142"/>
      <c r="C7473" s="235"/>
      <c r="D7473" s="213"/>
      <c r="E7473" s="226"/>
      <c r="F7473" s="155"/>
      <c r="G7473" s="143"/>
      <c r="H7473" s="142"/>
    </row>
    <row r="7474" spans="2:8" s="196" customFormat="1">
      <c r="B7474" s="142"/>
      <c r="C7474" s="235"/>
      <c r="D7474" s="213"/>
      <c r="E7474" s="226"/>
      <c r="F7474" s="155"/>
      <c r="G7474" s="143"/>
      <c r="H7474" s="142"/>
    </row>
    <row r="7475" spans="2:8" s="196" customFormat="1">
      <c r="B7475" s="142"/>
      <c r="C7475" s="235"/>
      <c r="D7475" s="213"/>
      <c r="E7475" s="226"/>
      <c r="F7475" s="155"/>
      <c r="G7475" s="143"/>
      <c r="H7475" s="142"/>
    </row>
    <row r="7476" spans="2:8" s="196" customFormat="1">
      <c r="B7476" s="142"/>
      <c r="C7476" s="235"/>
      <c r="D7476" s="213"/>
      <c r="E7476" s="226"/>
      <c r="F7476" s="155"/>
      <c r="G7476" s="143"/>
      <c r="H7476" s="142"/>
    </row>
    <row r="7477" spans="2:8" s="196" customFormat="1">
      <c r="B7477" s="142"/>
      <c r="C7477" s="235"/>
      <c r="D7477" s="213"/>
      <c r="E7477" s="226"/>
      <c r="F7477" s="155"/>
      <c r="G7477" s="143"/>
      <c r="H7477" s="142"/>
    </row>
    <row r="7478" spans="2:8" s="196" customFormat="1">
      <c r="B7478" s="142"/>
      <c r="C7478" s="235"/>
      <c r="D7478" s="213"/>
      <c r="E7478" s="226"/>
      <c r="F7478" s="155"/>
      <c r="G7478" s="143"/>
      <c r="H7478" s="142"/>
    </row>
    <row r="7479" spans="2:8" s="196" customFormat="1">
      <c r="B7479" s="142"/>
      <c r="C7479" s="235"/>
      <c r="D7479" s="213"/>
      <c r="E7479" s="226"/>
      <c r="F7479" s="155"/>
      <c r="G7479" s="143"/>
      <c r="H7479" s="142"/>
    </row>
    <row r="7480" spans="2:8" s="196" customFormat="1">
      <c r="B7480" s="142"/>
      <c r="C7480" s="235"/>
      <c r="D7480" s="213"/>
      <c r="E7480" s="226"/>
      <c r="F7480" s="155"/>
      <c r="G7480" s="143"/>
      <c r="H7480" s="142"/>
    </row>
    <row r="7481" spans="2:8" s="196" customFormat="1">
      <c r="B7481" s="142"/>
      <c r="C7481" s="235"/>
      <c r="D7481" s="213"/>
      <c r="E7481" s="226"/>
      <c r="F7481" s="155"/>
      <c r="G7481" s="143"/>
      <c r="H7481" s="142"/>
    </row>
    <row r="7482" spans="2:8" s="196" customFormat="1">
      <c r="B7482" s="142"/>
      <c r="C7482" s="235"/>
      <c r="D7482" s="213"/>
      <c r="E7482" s="226"/>
      <c r="F7482" s="155"/>
      <c r="G7482" s="143"/>
      <c r="H7482" s="142"/>
    </row>
    <row r="7483" spans="2:8" s="196" customFormat="1">
      <c r="B7483" s="142"/>
      <c r="C7483" s="235"/>
      <c r="D7483" s="213"/>
      <c r="E7483" s="226"/>
      <c r="F7483" s="155"/>
      <c r="G7483" s="143"/>
      <c r="H7483" s="142"/>
    </row>
    <row r="7484" spans="2:8" s="196" customFormat="1">
      <c r="B7484" s="142"/>
      <c r="C7484" s="235"/>
      <c r="D7484" s="213"/>
      <c r="E7484" s="226"/>
      <c r="F7484" s="155"/>
      <c r="G7484" s="143"/>
      <c r="H7484" s="142"/>
    </row>
    <row r="7485" spans="2:8" s="196" customFormat="1">
      <c r="B7485" s="142"/>
      <c r="C7485" s="235"/>
      <c r="D7485" s="213"/>
      <c r="E7485" s="226"/>
      <c r="F7485" s="155"/>
      <c r="G7485" s="143"/>
      <c r="H7485" s="142"/>
    </row>
    <row r="7486" spans="2:8" s="196" customFormat="1">
      <c r="B7486" s="142"/>
      <c r="C7486" s="235"/>
      <c r="D7486" s="213"/>
      <c r="E7486" s="226"/>
      <c r="F7486" s="155"/>
      <c r="G7486" s="143"/>
      <c r="H7486" s="142"/>
    </row>
    <row r="7487" spans="2:8" s="196" customFormat="1">
      <c r="B7487" s="142"/>
      <c r="C7487" s="235"/>
      <c r="D7487" s="213"/>
      <c r="E7487" s="226"/>
      <c r="F7487" s="155"/>
      <c r="G7487" s="143"/>
      <c r="H7487" s="142"/>
    </row>
    <row r="7488" spans="2:8" s="196" customFormat="1">
      <c r="B7488" s="142"/>
      <c r="C7488" s="235"/>
      <c r="D7488" s="213"/>
      <c r="E7488" s="226"/>
      <c r="F7488" s="155"/>
      <c r="G7488" s="143"/>
      <c r="H7488" s="142"/>
    </row>
    <row r="7489" spans="2:8" s="196" customFormat="1">
      <c r="B7489" s="142"/>
      <c r="C7489" s="235"/>
      <c r="D7489" s="213"/>
      <c r="E7489" s="226"/>
      <c r="F7489" s="155"/>
      <c r="G7489" s="143"/>
      <c r="H7489" s="142"/>
    </row>
    <row r="7490" spans="2:8" s="196" customFormat="1">
      <c r="B7490" s="142"/>
      <c r="C7490" s="235"/>
      <c r="D7490" s="213"/>
      <c r="E7490" s="226"/>
      <c r="F7490" s="155"/>
      <c r="G7490" s="143"/>
      <c r="H7490" s="142"/>
    </row>
    <row r="7491" spans="2:8" s="196" customFormat="1">
      <c r="B7491" s="142"/>
      <c r="C7491" s="235"/>
      <c r="D7491" s="213"/>
      <c r="E7491" s="226"/>
      <c r="F7491" s="155"/>
      <c r="G7491" s="143"/>
      <c r="H7491" s="142"/>
    </row>
    <row r="7492" spans="2:8" s="196" customFormat="1">
      <c r="B7492" s="142"/>
      <c r="C7492" s="235"/>
      <c r="D7492" s="213"/>
      <c r="E7492" s="226"/>
      <c r="F7492" s="155"/>
      <c r="G7492" s="143"/>
      <c r="H7492" s="142"/>
    </row>
    <row r="7493" spans="2:8" s="196" customFormat="1">
      <c r="B7493" s="142"/>
      <c r="C7493" s="235"/>
      <c r="D7493" s="213"/>
      <c r="E7493" s="226"/>
      <c r="F7493" s="155"/>
      <c r="G7493" s="143"/>
      <c r="H7493" s="142"/>
    </row>
    <row r="7494" spans="2:8" s="196" customFormat="1">
      <c r="B7494" s="142"/>
      <c r="C7494" s="235"/>
      <c r="D7494" s="213"/>
      <c r="E7494" s="226"/>
      <c r="F7494" s="155"/>
      <c r="G7494" s="143"/>
      <c r="H7494" s="142"/>
    </row>
    <row r="7495" spans="2:8" s="196" customFormat="1">
      <c r="B7495" s="142"/>
      <c r="C7495" s="235"/>
      <c r="D7495" s="213"/>
      <c r="E7495" s="226"/>
      <c r="F7495" s="155"/>
      <c r="G7495" s="143"/>
      <c r="H7495" s="142"/>
    </row>
    <row r="7496" spans="2:8" s="196" customFormat="1">
      <c r="B7496" s="142"/>
      <c r="C7496" s="235"/>
      <c r="D7496" s="213"/>
      <c r="E7496" s="226"/>
      <c r="F7496" s="155"/>
      <c r="G7496" s="143"/>
      <c r="H7496" s="142"/>
    </row>
    <row r="7497" spans="2:8" s="196" customFormat="1">
      <c r="B7497" s="142"/>
      <c r="C7497" s="235"/>
      <c r="D7497" s="213"/>
      <c r="E7497" s="226"/>
      <c r="F7497" s="155"/>
      <c r="G7497" s="143"/>
      <c r="H7497" s="142"/>
    </row>
    <row r="7498" spans="2:8" s="196" customFormat="1">
      <c r="B7498" s="142"/>
      <c r="C7498" s="235"/>
      <c r="D7498" s="213"/>
      <c r="E7498" s="226"/>
      <c r="F7498" s="155"/>
      <c r="G7498" s="143"/>
      <c r="H7498" s="142"/>
    </row>
    <row r="7499" spans="2:8" s="196" customFormat="1">
      <c r="B7499" s="142"/>
      <c r="C7499" s="235"/>
      <c r="D7499" s="213"/>
      <c r="E7499" s="226"/>
      <c r="F7499" s="155"/>
      <c r="G7499" s="143"/>
      <c r="H7499" s="142"/>
    </row>
    <row r="7500" spans="2:8" s="196" customFormat="1">
      <c r="B7500" s="142"/>
      <c r="C7500" s="235"/>
      <c r="D7500" s="213"/>
      <c r="E7500" s="226"/>
      <c r="F7500" s="155"/>
      <c r="G7500" s="143"/>
      <c r="H7500" s="142"/>
    </row>
    <row r="7501" spans="2:8" s="196" customFormat="1">
      <c r="B7501" s="142"/>
      <c r="C7501" s="235"/>
      <c r="D7501" s="213"/>
      <c r="E7501" s="226"/>
      <c r="F7501" s="155"/>
      <c r="G7501" s="143"/>
      <c r="H7501" s="142"/>
    </row>
    <row r="7502" spans="2:8" s="196" customFormat="1">
      <c r="B7502" s="142"/>
      <c r="C7502" s="235"/>
      <c r="D7502" s="213"/>
      <c r="E7502" s="226"/>
      <c r="F7502" s="155"/>
      <c r="G7502" s="143"/>
      <c r="H7502" s="142"/>
    </row>
    <row r="7503" spans="2:8" s="196" customFormat="1">
      <c r="B7503" s="142"/>
      <c r="C7503" s="235"/>
      <c r="D7503" s="213"/>
      <c r="E7503" s="226"/>
      <c r="F7503" s="155"/>
      <c r="G7503" s="143"/>
      <c r="H7503" s="142"/>
    </row>
    <row r="7504" spans="2:8" s="196" customFormat="1">
      <c r="B7504" s="142"/>
      <c r="C7504" s="235"/>
      <c r="D7504" s="213"/>
      <c r="E7504" s="226"/>
      <c r="F7504" s="155"/>
      <c r="G7504" s="143"/>
      <c r="H7504" s="142"/>
    </row>
    <row r="7505" spans="2:8" s="196" customFormat="1">
      <c r="B7505" s="142"/>
      <c r="C7505" s="235"/>
      <c r="D7505" s="213"/>
      <c r="E7505" s="226"/>
      <c r="F7505" s="155"/>
      <c r="G7505" s="143"/>
      <c r="H7505" s="142"/>
    </row>
    <row r="7506" spans="2:8" s="196" customFormat="1">
      <c r="B7506" s="142"/>
      <c r="C7506" s="235"/>
      <c r="D7506" s="213"/>
      <c r="E7506" s="226"/>
      <c r="F7506" s="155"/>
      <c r="G7506" s="143"/>
      <c r="H7506" s="142"/>
    </row>
    <row r="7507" spans="2:8" s="196" customFormat="1">
      <c r="B7507" s="142"/>
      <c r="C7507" s="235"/>
      <c r="D7507" s="213"/>
      <c r="E7507" s="226"/>
      <c r="F7507" s="155"/>
      <c r="G7507" s="143"/>
      <c r="H7507" s="142"/>
    </row>
    <row r="7508" spans="2:8" s="196" customFormat="1">
      <c r="B7508" s="142"/>
      <c r="C7508" s="235"/>
      <c r="D7508" s="213"/>
      <c r="E7508" s="226"/>
      <c r="F7508" s="155"/>
      <c r="G7508" s="143"/>
      <c r="H7508" s="142"/>
    </row>
    <row r="7509" spans="2:8" s="196" customFormat="1">
      <c r="B7509" s="142"/>
      <c r="C7509" s="235"/>
      <c r="D7509" s="213"/>
      <c r="E7509" s="226"/>
      <c r="F7509" s="155"/>
      <c r="G7509" s="143"/>
      <c r="H7509" s="142"/>
    </row>
    <row r="7510" spans="2:8" s="196" customFormat="1">
      <c r="B7510" s="142"/>
      <c r="C7510" s="235"/>
      <c r="D7510" s="213"/>
      <c r="E7510" s="226"/>
      <c r="F7510" s="155"/>
      <c r="G7510" s="143"/>
      <c r="H7510" s="142"/>
    </row>
    <row r="7511" spans="2:8" s="196" customFormat="1">
      <c r="B7511" s="142"/>
      <c r="C7511" s="235"/>
      <c r="D7511" s="213"/>
      <c r="E7511" s="226"/>
      <c r="F7511" s="155"/>
      <c r="G7511" s="143"/>
      <c r="H7511" s="142"/>
    </row>
    <row r="7512" spans="2:8" s="196" customFormat="1">
      <c r="B7512" s="142"/>
      <c r="C7512" s="235"/>
      <c r="D7512" s="213"/>
      <c r="E7512" s="226"/>
      <c r="F7512" s="155"/>
      <c r="G7512" s="143"/>
      <c r="H7512" s="142"/>
    </row>
    <row r="7513" spans="2:8" s="196" customFormat="1">
      <c r="B7513" s="142"/>
      <c r="C7513" s="235"/>
      <c r="D7513" s="213"/>
      <c r="E7513" s="226"/>
      <c r="F7513" s="155"/>
      <c r="G7513" s="143"/>
      <c r="H7513" s="142"/>
    </row>
    <row r="7514" spans="2:8" s="196" customFormat="1">
      <c r="B7514" s="142"/>
      <c r="C7514" s="235"/>
      <c r="D7514" s="213"/>
      <c r="E7514" s="226"/>
      <c r="F7514" s="155"/>
      <c r="G7514" s="143"/>
      <c r="H7514" s="142"/>
    </row>
    <row r="7515" spans="2:8" s="196" customFormat="1">
      <c r="B7515" s="142"/>
      <c r="C7515" s="235"/>
      <c r="D7515" s="213"/>
      <c r="E7515" s="226"/>
      <c r="F7515" s="155"/>
      <c r="G7515" s="143"/>
      <c r="H7515" s="142"/>
    </row>
    <row r="7516" spans="2:8" s="196" customFormat="1">
      <c r="B7516" s="142"/>
      <c r="C7516" s="235"/>
      <c r="D7516" s="213"/>
      <c r="E7516" s="226"/>
      <c r="F7516" s="155"/>
      <c r="G7516" s="143"/>
      <c r="H7516" s="142"/>
    </row>
    <row r="7517" spans="2:8" s="196" customFormat="1">
      <c r="B7517" s="142"/>
      <c r="C7517" s="235"/>
      <c r="D7517" s="213"/>
      <c r="E7517" s="226"/>
      <c r="F7517" s="155"/>
      <c r="G7517" s="143"/>
      <c r="H7517" s="142"/>
    </row>
    <row r="7518" spans="2:8" s="196" customFormat="1">
      <c r="B7518" s="142"/>
      <c r="C7518" s="235"/>
      <c r="D7518" s="213"/>
      <c r="E7518" s="226"/>
      <c r="F7518" s="155"/>
      <c r="G7518" s="143"/>
      <c r="H7518" s="142"/>
    </row>
    <row r="7519" spans="2:8" s="196" customFormat="1">
      <c r="B7519" s="142"/>
      <c r="C7519" s="235"/>
      <c r="D7519" s="213"/>
      <c r="E7519" s="226"/>
      <c r="F7519" s="155"/>
      <c r="G7519" s="143"/>
      <c r="H7519" s="142"/>
    </row>
    <row r="7520" spans="2:8" s="196" customFormat="1">
      <c r="B7520" s="142"/>
      <c r="C7520" s="235"/>
      <c r="D7520" s="213"/>
      <c r="E7520" s="226"/>
      <c r="F7520" s="155"/>
      <c r="G7520" s="143"/>
      <c r="H7520" s="142"/>
    </row>
    <row r="7521" spans="2:8" s="196" customFormat="1">
      <c r="B7521" s="142"/>
      <c r="C7521" s="235"/>
      <c r="D7521" s="213"/>
      <c r="E7521" s="226"/>
      <c r="F7521" s="155"/>
      <c r="G7521" s="143"/>
      <c r="H7521" s="142"/>
    </row>
    <row r="7522" spans="2:8" s="196" customFormat="1">
      <c r="B7522" s="142"/>
      <c r="C7522" s="235"/>
      <c r="D7522" s="213"/>
      <c r="E7522" s="226"/>
      <c r="F7522" s="155"/>
      <c r="G7522" s="143"/>
      <c r="H7522" s="142"/>
    </row>
    <row r="7523" spans="2:8" s="196" customFormat="1">
      <c r="B7523" s="142"/>
      <c r="C7523" s="235"/>
      <c r="D7523" s="213"/>
      <c r="E7523" s="226"/>
      <c r="F7523" s="155"/>
      <c r="G7523" s="143"/>
      <c r="H7523" s="142"/>
    </row>
    <row r="7524" spans="2:8" s="196" customFormat="1">
      <c r="B7524" s="142"/>
      <c r="C7524" s="235"/>
      <c r="D7524" s="213"/>
      <c r="E7524" s="226"/>
      <c r="F7524" s="155"/>
      <c r="G7524" s="143"/>
      <c r="H7524" s="142"/>
    </row>
    <row r="7525" spans="2:8" s="196" customFormat="1">
      <c r="B7525" s="142"/>
      <c r="C7525" s="235"/>
      <c r="D7525" s="213"/>
      <c r="E7525" s="226"/>
      <c r="F7525" s="155"/>
      <c r="G7525" s="143"/>
      <c r="H7525" s="142"/>
    </row>
    <row r="7526" spans="2:8" s="196" customFormat="1">
      <c r="B7526" s="142"/>
      <c r="C7526" s="235"/>
      <c r="D7526" s="213"/>
      <c r="E7526" s="226"/>
      <c r="F7526" s="155"/>
      <c r="G7526" s="143"/>
      <c r="H7526" s="142"/>
    </row>
    <row r="7527" spans="2:8" s="196" customFormat="1">
      <c r="B7527" s="142"/>
      <c r="C7527" s="235"/>
      <c r="D7527" s="213"/>
      <c r="E7527" s="226"/>
      <c r="F7527" s="155"/>
      <c r="G7527" s="143"/>
      <c r="H7527" s="142"/>
    </row>
    <row r="7528" spans="2:8" s="196" customFormat="1">
      <c r="B7528" s="142"/>
      <c r="C7528" s="235"/>
      <c r="D7528" s="213"/>
      <c r="E7528" s="226"/>
      <c r="F7528" s="155"/>
      <c r="G7528" s="143"/>
      <c r="H7528" s="142"/>
    </row>
    <row r="7529" spans="2:8" s="196" customFormat="1">
      <c r="B7529" s="142"/>
      <c r="C7529" s="235"/>
      <c r="D7529" s="213"/>
      <c r="E7529" s="226"/>
      <c r="F7529" s="155"/>
      <c r="G7529" s="143"/>
      <c r="H7529" s="142"/>
    </row>
    <row r="7530" spans="2:8" s="196" customFormat="1">
      <c r="B7530" s="142"/>
      <c r="C7530" s="235"/>
      <c r="D7530" s="213"/>
      <c r="E7530" s="226"/>
      <c r="F7530" s="155"/>
      <c r="G7530" s="143"/>
      <c r="H7530" s="142"/>
    </row>
    <row r="7531" spans="2:8" s="196" customFormat="1">
      <c r="B7531" s="142"/>
      <c r="C7531" s="235"/>
      <c r="D7531" s="213"/>
      <c r="E7531" s="226"/>
      <c r="F7531" s="155"/>
      <c r="G7531" s="143"/>
      <c r="H7531" s="142"/>
    </row>
    <row r="7532" spans="2:8" s="196" customFormat="1">
      <c r="B7532" s="142"/>
      <c r="C7532" s="235"/>
      <c r="D7532" s="213"/>
      <c r="E7532" s="226"/>
      <c r="F7532" s="155"/>
      <c r="G7532" s="143"/>
      <c r="H7532" s="142"/>
    </row>
    <row r="7533" spans="2:8" s="196" customFormat="1">
      <c r="B7533" s="142"/>
      <c r="C7533" s="235"/>
      <c r="D7533" s="213"/>
      <c r="E7533" s="226"/>
      <c r="F7533" s="155"/>
      <c r="G7533" s="143"/>
      <c r="H7533" s="142"/>
    </row>
    <row r="7534" spans="2:8" s="196" customFormat="1">
      <c r="B7534" s="142"/>
      <c r="C7534" s="235"/>
      <c r="D7534" s="213"/>
      <c r="E7534" s="226"/>
      <c r="F7534" s="155"/>
      <c r="G7534" s="143"/>
      <c r="H7534" s="142"/>
    </row>
    <row r="7535" spans="2:8" s="196" customFormat="1">
      <c r="B7535" s="142"/>
      <c r="C7535" s="235"/>
      <c r="D7535" s="213"/>
      <c r="E7535" s="226"/>
      <c r="F7535" s="155"/>
      <c r="G7535" s="143"/>
      <c r="H7535" s="142"/>
    </row>
    <row r="7536" spans="2:8" s="196" customFormat="1">
      <c r="B7536" s="142"/>
      <c r="C7536" s="235"/>
      <c r="D7536" s="213"/>
      <c r="E7536" s="226"/>
      <c r="F7536" s="155"/>
      <c r="G7536" s="143"/>
      <c r="H7536" s="142"/>
    </row>
    <row r="7537" spans="2:8" s="196" customFormat="1">
      <c r="B7537" s="142"/>
      <c r="C7537" s="235"/>
      <c r="D7537" s="213"/>
      <c r="E7537" s="226"/>
      <c r="F7537" s="155"/>
      <c r="G7537" s="143"/>
      <c r="H7537" s="142"/>
    </row>
    <row r="7538" spans="2:8" s="196" customFormat="1">
      <c r="B7538" s="142"/>
      <c r="C7538" s="235"/>
      <c r="D7538" s="213"/>
      <c r="E7538" s="226"/>
      <c r="F7538" s="155"/>
      <c r="G7538" s="143"/>
      <c r="H7538" s="142"/>
    </row>
    <row r="7539" spans="2:8" s="196" customFormat="1">
      <c r="B7539" s="142"/>
      <c r="C7539" s="235"/>
      <c r="D7539" s="213"/>
      <c r="E7539" s="226"/>
      <c r="F7539" s="155"/>
      <c r="G7539" s="143"/>
      <c r="H7539" s="142"/>
    </row>
    <row r="7540" spans="2:8" s="196" customFormat="1">
      <c r="B7540" s="142"/>
      <c r="C7540" s="235"/>
      <c r="D7540" s="213"/>
      <c r="E7540" s="226"/>
      <c r="F7540" s="155"/>
      <c r="G7540" s="143"/>
      <c r="H7540" s="142"/>
    </row>
    <row r="7541" spans="2:8" s="196" customFormat="1">
      <c r="B7541" s="142"/>
      <c r="C7541" s="235"/>
      <c r="D7541" s="213"/>
      <c r="E7541" s="226"/>
      <c r="F7541" s="155"/>
      <c r="G7541" s="143"/>
      <c r="H7541" s="142"/>
    </row>
    <row r="7542" spans="2:8" s="196" customFormat="1">
      <c r="B7542" s="142"/>
      <c r="C7542" s="235"/>
      <c r="D7542" s="213"/>
      <c r="E7542" s="226"/>
      <c r="F7542" s="155"/>
      <c r="G7542" s="143"/>
      <c r="H7542" s="142"/>
    </row>
    <row r="7543" spans="2:8" s="196" customFormat="1">
      <c r="B7543" s="142"/>
      <c r="C7543" s="235"/>
      <c r="D7543" s="213"/>
      <c r="E7543" s="226"/>
      <c r="F7543" s="155"/>
      <c r="G7543" s="143"/>
      <c r="H7543" s="142"/>
    </row>
    <row r="7544" spans="2:8" s="196" customFormat="1">
      <c r="B7544" s="142"/>
      <c r="C7544" s="235"/>
      <c r="D7544" s="213"/>
      <c r="E7544" s="226"/>
      <c r="F7544" s="155"/>
      <c r="G7544" s="143"/>
      <c r="H7544" s="142"/>
    </row>
    <row r="7545" spans="2:8" s="196" customFormat="1">
      <c r="B7545" s="142"/>
      <c r="C7545" s="235"/>
      <c r="D7545" s="213"/>
      <c r="E7545" s="226"/>
      <c r="F7545" s="155"/>
      <c r="G7545" s="143"/>
      <c r="H7545" s="142"/>
    </row>
    <row r="7546" spans="2:8" s="196" customFormat="1">
      <c r="B7546" s="142"/>
      <c r="C7546" s="235"/>
      <c r="D7546" s="213"/>
      <c r="E7546" s="226"/>
      <c r="F7546" s="155"/>
      <c r="G7546" s="143"/>
      <c r="H7546" s="142"/>
    </row>
    <row r="7547" spans="2:8" s="196" customFormat="1">
      <c r="B7547" s="142"/>
      <c r="C7547" s="235"/>
      <c r="D7547" s="213"/>
      <c r="E7547" s="226"/>
      <c r="F7547" s="155"/>
      <c r="G7547" s="143"/>
      <c r="H7547" s="142"/>
    </row>
    <row r="7548" spans="2:8" s="196" customFormat="1">
      <c r="B7548" s="142"/>
      <c r="C7548" s="235"/>
      <c r="D7548" s="213"/>
      <c r="E7548" s="226"/>
      <c r="F7548" s="155"/>
      <c r="G7548" s="143"/>
      <c r="H7548" s="142"/>
    </row>
    <row r="7549" spans="2:8" s="196" customFormat="1">
      <c r="B7549" s="142"/>
      <c r="C7549" s="235"/>
      <c r="D7549" s="213"/>
      <c r="E7549" s="226"/>
      <c r="F7549" s="155"/>
      <c r="G7549" s="143"/>
      <c r="H7549" s="142"/>
    </row>
    <row r="7550" spans="2:8" s="196" customFormat="1">
      <c r="B7550" s="142"/>
      <c r="C7550" s="235"/>
      <c r="D7550" s="213"/>
      <c r="E7550" s="226"/>
      <c r="F7550" s="155"/>
      <c r="G7550" s="143"/>
      <c r="H7550" s="142"/>
    </row>
    <row r="7551" spans="2:8" s="196" customFormat="1">
      <c r="B7551" s="142"/>
      <c r="C7551" s="235"/>
      <c r="D7551" s="213"/>
      <c r="E7551" s="226"/>
      <c r="F7551" s="155"/>
      <c r="G7551" s="143"/>
      <c r="H7551" s="142"/>
    </row>
    <row r="7552" spans="2:8" s="196" customFormat="1">
      <c r="B7552" s="142"/>
      <c r="C7552" s="235"/>
      <c r="D7552" s="213"/>
      <c r="E7552" s="226"/>
      <c r="F7552" s="155"/>
      <c r="G7552" s="143"/>
      <c r="H7552" s="142"/>
    </row>
    <row r="7553" spans="2:8" s="196" customFormat="1">
      <c r="B7553" s="142"/>
      <c r="C7553" s="235"/>
      <c r="D7553" s="213"/>
      <c r="E7553" s="226"/>
      <c r="F7553" s="155"/>
      <c r="G7553" s="143"/>
      <c r="H7553" s="142"/>
    </row>
    <row r="7554" spans="2:8" s="196" customFormat="1">
      <c r="B7554" s="142"/>
      <c r="C7554" s="235"/>
      <c r="D7554" s="213"/>
      <c r="E7554" s="226"/>
      <c r="F7554" s="155"/>
      <c r="G7554" s="143"/>
      <c r="H7554" s="142"/>
    </row>
    <row r="7555" spans="2:8" s="196" customFormat="1">
      <c r="B7555" s="142"/>
      <c r="C7555" s="235"/>
      <c r="D7555" s="213"/>
      <c r="E7555" s="226"/>
      <c r="F7555" s="155"/>
      <c r="G7555" s="143"/>
      <c r="H7555" s="142"/>
    </row>
    <row r="7556" spans="2:8" s="196" customFormat="1">
      <c r="B7556" s="142"/>
      <c r="C7556" s="235"/>
      <c r="D7556" s="213"/>
      <c r="E7556" s="226"/>
      <c r="F7556" s="155"/>
      <c r="G7556" s="143"/>
      <c r="H7556" s="142"/>
    </row>
    <row r="7557" spans="2:8" s="196" customFormat="1">
      <c r="B7557" s="142"/>
      <c r="C7557" s="235"/>
      <c r="D7557" s="213"/>
      <c r="E7557" s="226"/>
      <c r="F7557" s="155"/>
      <c r="G7557" s="143"/>
      <c r="H7557" s="142"/>
    </row>
    <row r="7558" spans="2:8" s="196" customFormat="1">
      <c r="B7558" s="142"/>
      <c r="C7558" s="235"/>
      <c r="D7558" s="213"/>
      <c r="E7558" s="226"/>
      <c r="F7558" s="155"/>
      <c r="G7558" s="143"/>
      <c r="H7558" s="142"/>
    </row>
    <row r="7559" spans="2:8" s="196" customFormat="1">
      <c r="B7559" s="142"/>
      <c r="C7559" s="235"/>
      <c r="D7559" s="213"/>
      <c r="E7559" s="226"/>
      <c r="F7559" s="155"/>
      <c r="G7559" s="143"/>
      <c r="H7559" s="142"/>
    </row>
    <row r="7560" spans="2:8" s="196" customFormat="1">
      <c r="B7560" s="142"/>
      <c r="C7560" s="235"/>
      <c r="D7560" s="213"/>
      <c r="E7560" s="226"/>
      <c r="F7560" s="155"/>
      <c r="G7560" s="143"/>
      <c r="H7560" s="142"/>
    </row>
    <row r="7561" spans="2:8" s="196" customFormat="1">
      <c r="B7561" s="142"/>
      <c r="C7561" s="235"/>
      <c r="D7561" s="213"/>
      <c r="E7561" s="226"/>
      <c r="F7561" s="155"/>
      <c r="G7561" s="143"/>
      <c r="H7561" s="142"/>
    </row>
    <row r="7562" spans="2:8" s="196" customFormat="1">
      <c r="B7562" s="142"/>
      <c r="C7562" s="235"/>
      <c r="D7562" s="213"/>
      <c r="E7562" s="226"/>
      <c r="F7562" s="155"/>
      <c r="G7562" s="143"/>
      <c r="H7562" s="142"/>
    </row>
    <row r="7563" spans="2:8" s="196" customFormat="1">
      <c r="B7563" s="142"/>
      <c r="C7563" s="235"/>
      <c r="D7563" s="213"/>
      <c r="E7563" s="226"/>
      <c r="F7563" s="155"/>
      <c r="G7563" s="143"/>
      <c r="H7563" s="142"/>
    </row>
    <row r="7564" spans="2:8" s="196" customFormat="1">
      <c r="B7564" s="142"/>
      <c r="C7564" s="235"/>
      <c r="D7564" s="213"/>
      <c r="E7564" s="226"/>
      <c r="F7564" s="155"/>
      <c r="G7564" s="143"/>
      <c r="H7564" s="142"/>
    </row>
    <row r="7565" spans="2:8" s="196" customFormat="1">
      <c r="B7565" s="142"/>
      <c r="C7565" s="235"/>
      <c r="D7565" s="213"/>
      <c r="E7565" s="226"/>
      <c r="F7565" s="155"/>
      <c r="G7565" s="143"/>
      <c r="H7565" s="142"/>
    </row>
    <row r="7566" spans="2:8" s="196" customFormat="1">
      <c r="B7566" s="142"/>
      <c r="C7566" s="235"/>
      <c r="D7566" s="213"/>
      <c r="E7566" s="226"/>
      <c r="F7566" s="155"/>
      <c r="G7566" s="143"/>
      <c r="H7566" s="142"/>
    </row>
    <row r="7567" spans="2:8" s="196" customFormat="1">
      <c r="B7567" s="142"/>
      <c r="C7567" s="235"/>
      <c r="D7567" s="213"/>
      <c r="E7567" s="226"/>
      <c r="F7567" s="155"/>
      <c r="G7567" s="143"/>
      <c r="H7567" s="142"/>
    </row>
    <row r="7568" spans="2:8" s="196" customFormat="1">
      <c r="B7568" s="142"/>
      <c r="C7568" s="235"/>
      <c r="D7568" s="213"/>
      <c r="E7568" s="226"/>
      <c r="F7568" s="155"/>
      <c r="G7568" s="143"/>
      <c r="H7568" s="142"/>
    </row>
    <row r="7569" spans="2:8" s="196" customFormat="1">
      <c r="B7569" s="142"/>
      <c r="C7569" s="235"/>
      <c r="D7569" s="213"/>
      <c r="E7569" s="226"/>
      <c r="F7569" s="155"/>
      <c r="G7569" s="143"/>
      <c r="H7569" s="142"/>
    </row>
    <row r="7570" spans="2:8" s="196" customFormat="1">
      <c r="B7570" s="142"/>
      <c r="C7570" s="235"/>
      <c r="D7570" s="213"/>
      <c r="E7570" s="226"/>
      <c r="F7570" s="155"/>
      <c r="G7570" s="143"/>
      <c r="H7570" s="142"/>
    </row>
    <row r="7571" spans="2:8" s="196" customFormat="1">
      <c r="B7571" s="142"/>
      <c r="C7571" s="235"/>
      <c r="D7571" s="213"/>
      <c r="E7571" s="226"/>
      <c r="F7571" s="155"/>
      <c r="G7571" s="143"/>
      <c r="H7571" s="142"/>
    </row>
    <row r="7572" spans="2:8" s="196" customFormat="1">
      <c r="B7572" s="142"/>
      <c r="C7572" s="235"/>
      <c r="D7572" s="213"/>
      <c r="E7572" s="226"/>
      <c r="F7572" s="155"/>
      <c r="G7572" s="143"/>
      <c r="H7572" s="142"/>
    </row>
    <row r="7573" spans="2:8" s="196" customFormat="1">
      <c r="B7573" s="142"/>
      <c r="C7573" s="235"/>
      <c r="D7573" s="213"/>
      <c r="E7573" s="226"/>
      <c r="F7573" s="155"/>
      <c r="G7573" s="143"/>
      <c r="H7573" s="142"/>
    </row>
    <row r="7574" spans="2:8" s="196" customFormat="1">
      <c r="B7574" s="142"/>
      <c r="C7574" s="235"/>
      <c r="D7574" s="213"/>
      <c r="E7574" s="226"/>
      <c r="F7574" s="155"/>
      <c r="G7574" s="143"/>
      <c r="H7574" s="142"/>
    </row>
    <row r="7575" spans="2:8" s="196" customFormat="1">
      <c r="B7575" s="142"/>
      <c r="C7575" s="235"/>
      <c r="D7575" s="213"/>
      <c r="E7575" s="226"/>
      <c r="F7575" s="155"/>
      <c r="G7575" s="143"/>
      <c r="H7575" s="142"/>
    </row>
    <row r="7576" spans="2:8" s="196" customFormat="1">
      <c r="B7576" s="142"/>
      <c r="C7576" s="235"/>
      <c r="D7576" s="213"/>
      <c r="E7576" s="226"/>
      <c r="F7576" s="155"/>
      <c r="G7576" s="143"/>
      <c r="H7576" s="142"/>
    </row>
    <row r="7577" spans="2:8" s="196" customFormat="1">
      <c r="B7577" s="142"/>
      <c r="C7577" s="235"/>
      <c r="D7577" s="213"/>
      <c r="E7577" s="226"/>
      <c r="F7577" s="155"/>
      <c r="G7577" s="143"/>
      <c r="H7577" s="142"/>
    </row>
    <row r="7578" spans="2:8" s="196" customFormat="1">
      <c r="B7578" s="142"/>
      <c r="C7578" s="235"/>
      <c r="D7578" s="213"/>
      <c r="E7578" s="226"/>
      <c r="F7578" s="155"/>
      <c r="G7578" s="143"/>
      <c r="H7578" s="142"/>
    </row>
    <row r="7579" spans="2:8" s="196" customFormat="1">
      <c r="B7579" s="142"/>
      <c r="C7579" s="235"/>
      <c r="D7579" s="213"/>
      <c r="E7579" s="226"/>
      <c r="F7579" s="155"/>
      <c r="G7579" s="143"/>
      <c r="H7579" s="142"/>
    </row>
    <row r="7580" spans="2:8" s="196" customFormat="1">
      <c r="B7580" s="142"/>
      <c r="C7580" s="235"/>
      <c r="D7580" s="213"/>
      <c r="E7580" s="226"/>
      <c r="F7580" s="155"/>
      <c r="G7580" s="143"/>
      <c r="H7580" s="142"/>
    </row>
    <row r="7581" spans="2:8" s="196" customFormat="1">
      <c r="B7581" s="142"/>
      <c r="C7581" s="235"/>
      <c r="D7581" s="213"/>
      <c r="E7581" s="226"/>
      <c r="F7581" s="155"/>
      <c r="G7581" s="143"/>
      <c r="H7581" s="142"/>
    </row>
    <row r="7582" spans="2:8" s="196" customFormat="1">
      <c r="B7582" s="142"/>
      <c r="C7582" s="235"/>
      <c r="D7582" s="213"/>
      <c r="E7582" s="226"/>
      <c r="F7582" s="155"/>
      <c r="G7582" s="143"/>
      <c r="H7582" s="142"/>
    </row>
    <row r="7583" spans="2:8" s="196" customFormat="1">
      <c r="B7583" s="142"/>
      <c r="C7583" s="235"/>
      <c r="D7583" s="213"/>
      <c r="E7583" s="226"/>
      <c r="F7583" s="155"/>
      <c r="G7583" s="143"/>
      <c r="H7583" s="142"/>
    </row>
    <row r="7584" spans="2:8" s="196" customFormat="1">
      <c r="B7584" s="142"/>
      <c r="C7584" s="235"/>
      <c r="D7584" s="213"/>
      <c r="E7584" s="226"/>
      <c r="F7584" s="155"/>
      <c r="G7584" s="143"/>
      <c r="H7584" s="142"/>
    </row>
    <row r="7585" spans="2:8" s="196" customFormat="1">
      <c r="B7585" s="142"/>
      <c r="C7585" s="235"/>
      <c r="D7585" s="213"/>
      <c r="E7585" s="226"/>
      <c r="F7585" s="155"/>
      <c r="G7585" s="143"/>
      <c r="H7585" s="142"/>
    </row>
    <row r="7586" spans="2:8" s="196" customFormat="1">
      <c r="B7586" s="142"/>
      <c r="C7586" s="235"/>
      <c r="D7586" s="213"/>
      <c r="E7586" s="226"/>
      <c r="F7586" s="155"/>
      <c r="G7586" s="143"/>
      <c r="H7586" s="142"/>
    </row>
    <row r="7587" spans="2:8" s="196" customFormat="1">
      <c r="B7587" s="142"/>
      <c r="C7587" s="235"/>
      <c r="D7587" s="213"/>
      <c r="E7587" s="226"/>
      <c r="F7587" s="155"/>
      <c r="G7587" s="143"/>
      <c r="H7587" s="142"/>
    </row>
    <row r="7588" spans="2:8" s="196" customFormat="1">
      <c r="B7588" s="142"/>
      <c r="C7588" s="235"/>
      <c r="D7588" s="213"/>
      <c r="E7588" s="226"/>
      <c r="F7588" s="155"/>
      <c r="G7588" s="143"/>
      <c r="H7588" s="142"/>
    </row>
    <row r="7589" spans="2:8" s="196" customFormat="1">
      <c r="B7589" s="142"/>
      <c r="C7589" s="235"/>
      <c r="D7589" s="213"/>
      <c r="E7589" s="226"/>
      <c r="F7589" s="155"/>
      <c r="G7589" s="143"/>
      <c r="H7589" s="142"/>
    </row>
    <row r="7590" spans="2:8" s="196" customFormat="1">
      <c r="B7590" s="142"/>
      <c r="C7590" s="235"/>
      <c r="D7590" s="213"/>
      <c r="E7590" s="226"/>
      <c r="F7590" s="155"/>
      <c r="G7590" s="143"/>
      <c r="H7590" s="142"/>
    </row>
    <row r="7591" spans="2:8" s="196" customFormat="1">
      <c r="B7591" s="142"/>
      <c r="C7591" s="235"/>
      <c r="D7591" s="213"/>
      <c r="E7591" s="226"/>
      <c r="F7591" s="155"/>
      <c r="G7591" s="143"/>
      <c r="H7591" s="142"/>
    </row>
    <row r="7592" spans="2:8" s="196" customFormat="1">
      <c r="B7592" s="142"/>
      <c r="C7592" s="235"/>
      <c r="D7592" s="213"/>
      <c r="E7592" s="226"/>
      <c r="F7592" s="155"/>
      <c r="G7592" s="143"/>
      <c r="H7592" s="142"/>
    </row>
    <row r="7593" spans="2:8" s="196" customFormat="1">
      <c r="B7593" s="142"/>
      <c r="C7593" s="235"/>
      <c r="D7593" s="213"/>
      <c r="E7593" s="226"/>
      <c r="F7593" s="155"/>
      <c r="G7593" s="143"/>
      <c r="H7593" s="142"/>
    </row>
    <row r="7594" spans="2:8" s="196" customFormat="1">
      <c r="B7594" s="142"/>
      <c r="C7594" s="235"/>
      <c r="D7594" s="213"/>
      <c r="E7594" s="226"/>
      <c r="F7594" s="155"/>
      <c r="G7594" s="143"/>
      <c r="H7594" s="142"/>
    </row>
    <row r="7595" spans="2:8" s="196" customFormat="1">
      <c r="B7595" s="142"/>
      <c r="C7595" s="235"/>
      <c r="D7595" s="213"/>
      <c r="E7595" s="226"/>
      <c r="F7595" s="155"/>
      <c r="G7595" s="143"/>
      <c r="H7595" s="142"/>
    </row>
    <row r="7596" spans="2:8" s="196" customFormat="1">
      <c r="B7596" s="142"/>
      <c r="C7596" s="235"/>
      <c r="D7596" s="213"/>
      <c r="E7596" s="226"/>
      <c r="F7596" s="155"/>
      <c r="G7596" s="143"/>
      <c r="H7596" s="142"/>
    </row>
    <row r="7597" spans="2:8" s="196" customFormat="1">
      <c r="B7597" s="142"/>
      <c r="C7597" s="235"/>
      <c r="D7597" s="213"/>
      <c r="E7597" s="226"/>
      <c r="F7597" s="155"/>
      <c r="G7597" s="143"/>
      <c r="H7597" s="142"/>
    </row>
    <row r="7598" spans="2:8" s="196" customFormat="1">
      <c r="B7598" s="142"/>
      <c r="C7598" s="235"/>
      <c r="D7598" s="213"/>
      <c r="E7598" s="226"/>
      <c r="F7598" s="155"/>
      <c r="G7598" s="143"/>
      <c r="H7598" s="142"/>
    </row>
    <row r="7599" spans="2:8" s="196" customFormat="1">
      <c r="B7599" s="142"/>
      <c r="C7599" s="235"/>
      <c r="D7599" s="213"/>
      <c r="E7599" s="226"/>
      <c r="F7599" s="155"/>
      <c r="G7599" s="143"/>
      <c r="H7599" s="142"/>
    </row>
    <row r="7600" spans="2:8" s="196" customFormat="1">
      <c r="B7600" s="142"/>
      <c r="C7600" s="235"/>
      <c r="D7600" s="213"/>
      <c r="E7600" s="226"/>
      <c r="F7600" s="155"/>
      <c r="G7600" s="143"/>
      <c r="H7600" s="142"/>
    </row>
    <row r="7601" spans="2:8" s="196" customFormat="1">
      <c r="B7601" s="142"/>
      <c r="C7601" s="235"/>
      <c r="D7601" s="213"/>
      <c r="E7601" s="226"/>
      <c r="F7601" s="155"/>
      <c r="G7601" s="143"/>
      <c r="H7601" s="142"/>
    </row>
    <row r="7602" spans="2:8" s="196" customFormat="1">
      <c r="B7602" s="142"/>
      <c r="C7602" s="235"/>
      <c r="D7602" s="213"/>
      <c r="E7602" s="226"/>
      <c r="F7602" s="155"/>
      <c r="G7602" s="143"/>
      <c r="H7602" s="142"/>
    </row>
    <row r="7603" spans="2:8" s="196" customFormat="1">
      <c r="B7603" s="142"/>
      <c r="C7603" s="235"/>
      <c r="D7603" s="213"/>
      <c r="E7603" s="226"/>
      <c r="F7603" s="155"/>
      <c r="G7603" s="143"/>
      <c r="H7603" s="142"/>
    </row>
    <row r="7604" spans="2:8" s="196" customFormat="1">
      <c r="B7604" s="142"/>
      <c r="C7604" s="235"/>
      <c r="D7604" s="213"/>
      <c r="E7604" s="226"/>
      <c r="F7604" s="155"/>
      <c r="G7604" s="143"/>
      <c r="H7604" s="142"/>
    </row>
    <row r="7605" spans="2:8" s="196" customFormat="1">
      <c r="B7605" s="142"/>
      <c r="C7605" s="235"/>
      <c r="D7605" s="213"/>
      <c r="E7605" s="226"/>
      <c r="F7605" s="155"/>
      <c r="G7605" s="143"/>
      <c r="H7605" s="142"/>
    </row>
    <row r="7606" spans="2:8" s="196" customFormat="1">
      <c r="B7606" s="142"/>
      <c r="C7606" s="235"/>
      <c r="D7606" s="213"/>
      <c r="E7606" s="226"/>
      <c r="F7606" s="155"/>
      <c r="G7606" s="143"/>
      <c r="H7606" s="142"/>
    </row>
    <row r="7607" spans="2:8" s="196" customFormat="1">
      <c r="B7607" s="142"/>
      <c r="C7607" s="235"/>
      <c r="D7607" s="213"/>
      <c r="E7607" s="226"/>
      <c r="F7607" s="155"/>
      <c r="G7607" s="143"/>
      <c r="H7607" s="142"/>
    </row>
    <row r="7608" spans="2:8" s="196" customFormat="1">
      <c r="B7608" s="142"/>
      <c r="C7608" s="235"/>
      <c r="D7608" s="213"/>
      <c r="E7608" s="226"/>
      <c r="F7608" s="155"/>
      <c r="G7608" s="143"/>
      <c r="H7608" s="142"/>
    </row>
    <row r="7609" spans="2:8" s="196" customFormat="1">
      <c r="B7609" s="142"/>
      <c r="C7609" s="235"/>
      <c r="D7609" s="213"/>
      <c r="E7609" s="226"/>
      <c r="F7609" s="155"/>
      <c r="G7609" s="143"/>
      <c r="H7609" s="142"/>
    </row>
    <row r="7610" spans="2:8" s="196" customFormat="1">
      <c r="B7610" s="142"/>
      <c r="C7610" s="235"/>
      <c r="D7610" s="213"/>
      <c r="E7610" s="226"/>
      <c r="F7610" s="155"/>
      <c r="G7610" s="143"/>
      <c r="H7610" s="142"/>
    </row>
    <row r="7611" spans="2:8" s="196" customFormat="1">
      <c r="B7611" s="142"/>
      <c r="C7611" s="235"/>
      <c r="D7611" s="213"/>
      <c r="E7611" s="226"/>
      <c r="F7611" s="155"/>
      <c r="G7611" s="143"/>
      <c r="H7611" s="142"/>
    </row>
    <row r="7612" spans="2:8" s="196" customFormat="1">
      <c r="B7612" s="142"/>
      <c r="C7612" s="235"/>
      <c r="D7612" s="213"/>
      <c r="E7612" s="226"/>
      <c r="F7612" s="155"/>
      <c r="G7612" s="143"/>
      <c r="H7612" s="142"/>
    </row>
    <row r="7613" spans="2:8" s="196" customFormat="1">
      <c r="B7613" s="142"/>
      <c r="C7613" s="235"/>
      <c r="D7613" s="213"/>
      <c r="E7613" s="226"/>
      <c r="F7613" s="155"/>
      <c r="G7613" s="143"/>
      <c r="H7613" s="142"/>
    </row>
    <row r="7614" spans="2:8" s="196" customFormat="1">
      <c r="B7614" s="142"/>
      <c r="C7614" s="235"/>
      <c r="D7614" s="213"/>
      <c r="E7614" s="226"/>
      <c r="F7614" s="155"/>
      <c r="G7614" s="143"/>
      <c r="H7614" s="142"/>
    </row>
    <row r="7615" spans="2:8" s="196" customFormat="1">
      <c r="B7615" s="142"/>
      <c r="C7615" s="235"/>
      <c r="D7615" s="213"/>
      <c r="E7615" s="226"/>
      <c r="F7615" s="155"/>
      <c r="G7615" s="143"/>
      <c r="H7615" s="142"/>
    </row>
    <row r="7616" spans="2:8" s="196" customFormat="1">
      <c r="B7616" s="142"/>
      <c r="C7616" s="235"/>
      <c r="D7616" s="213"/>
      <c r="E7616" s="226"/>
      <c r="F7616" s="155"/>
      <c r="G7616" s="143"/>
      <c r="H7616" s="142"/>
    </row>
    <row r="7617" spans="2:8" s="196" customFormat="1">
      <c r="B7617" s="142"/>
      <c r="C7617" s="235"/>
      <c r="D7617" s="213"/>
      <c r="E7617" s="226"/>
      <c r="F7617" s="155"/>
      <c r="G7617" s="143"/>
      <c r="H7617" s="142"/>
    </row>
    <row r="7618" spans="2:8" s="196" customFormat="1">
      <c r="B7618" s="142"/>
      <c r="C7618" s="235"/>
      <c r="D7618" s="213"/>
      <c r="E7618" s="226"/>
      <c r="F7618" s="155"/>
      <c r="G7618" s="143"/>
      <c r="H7618" s="142"/>
    </row>
    <row r="7619" spans="2:8" s="196" customFormat="1">
      <c r="B7619" s="142"/>
      <c r="C7619" s="235"/>
      <c r="D7619" s="213"/>
      <c r="E7619" s="226"/>
      <c r="F7619" s="155"/>
      <c r="G7619" s="143"/>
      <c r="H7619" s="142"/>
    </row>
    <row r="7620" spans="2:8" s="196" customFormat="1">
      <c r="B7620" s="142"/>
      <c r="C7620" s="235"/>
      <c r="D7620" s="213"/>
      <c r="E7620" s="226"/>
      <c r="F7620" s="155"/>
      <c r="G7620" s="143"/>
      <c r="H7620" s="142"/>
    </row>
    <row r="7621" spans="2:8" s="196" customFormat="1">
      <c r="B7621" s="142"/>
      <c r="C7621" s="235"/>
      <c r="D7621" s="213"/>
      <c r="E7621" s="226"/>
      <c r="F7621" s="155"/>
      <c r="G7621" s="143"/>
      <c r="H7621" s="142"/>
    </row>
    <row r="7622" spans="2:8" s="196" customFormat="1">
      <c r="B7622" s="142"/>
      <c r="C7622" s="235"/>
      <c r="D7622" s="213"/>
      <c r="E7622" s="226"/>
      <c r="F7622" s="155"/>
      <c r="G7622" s="143"/>
      <c r="H7622" s="142"/>
    </row>
    <row r="7623" spans="2:8" s="196" customFormat="1">
      <c r="B7623" s="142"/>
      <c r="C7623" s="235"/>
      <c r="D7623" s="213"/>
      <c r="E7623" s="226"/>
      <c r="F7623" s="155"/>
      <c r="G7623" s="143"/>
      <c r="H7623" s="142"/>
    </row>
    <row r="7624" spans="2:8" s="196" customFormat="1">
      <c r="B7624" s="142"/>
      <c r="C7624" s="235"/>
      <c r="D7624" s="213"/>
      <c r="E7624" s="226"/>
      <c r="F7624" s="155"/>
      <c r="G7624" s="143"/>
      <c r="H7624" s="142"/>
    </row>
    <row r="7625" spans="2:8" s="196" customFormat="1">
      <c r="B7625" s="142"/>
      <c r="C7625" s="235"/>
      <c r="D7625" s="213"/>
      <c r="E7625" s="226"/>
      <c r="F7625" s="155"/>
      <c r="G7625" s="143"/>
      <c r="H7625" s="142"/>
    </row>
    <row r="7626" spans="2:8" s="196" customFormat="1">
      <c r="B7626" s="142"/>
      <c r="C7626" s="235"/>
      <c r="D7626" s="213"/>
      <c r="E7626" s="226"/>
      <c r="F7626" s="155"/>
      <c r="G7626" s="143"/>
      <c r="H7626" s="142"/>
    </row>
    <row r="7627" spans="2:8" s="196" customFormat="1">
      <c r="B7627" s="142"/>
      <c r="C7627" s="235"/>
      <c r="D7627" s="213"/>
      <c r="E7627" s="226"/>
      <c r="F7627" s="155"/>
      <c r="G7627" s="143"/>
      <c r="H7627" s="142"/>
    </row>
    <row r="7628" spans="2:8" s="196" customFormat="1">
      <c r="B7628" s="142"/>
      <c r="C7628" s="235"/>
      <c r="D7628" s="213"/>
      <c r="E7628" s="226"/>
      <c r="F7628" s="155"/>
      <c r="G7628" s="143"/>
      <c r="H7628" s="142"/>
    </row>
    <row r="7629" spans="2:8" s="196" customFormat="1">
      <c r="B7629" s="142"/>
      <c r="C7629" s="235"/>
      <c r="D7629" s="213"/>
      <c r="E7629" s="226"/>
      <c r="F7629" s="155"/>
      <c r="G7629" s="143"/>
      <c r="H7629" s="142"/>
    </row>
    <row r="7630" spans="2:8" s="196" customFormat="1">
      <c r="B7630" s="142"/>
      <c r="C7630" s="235"/>
      <c r="D7630" s="213"/>
      <c r="E7630" s="226"/>
      <c r="F7630" s="155"/>
      <c r="G7630" s="143"/>
      <c r="H7630" s="142"/>
    </row>
    <row r="7631" spans="2:8" s="196" customFormat="1">
      <c r="B7631" s="142"/>
      <c r="C7631" s="235"/>
      <c r="D7631" s="213"/>
      <c r="E7631" s="226"/>
      <c r="F7631" s="155"/>
      <c r="G7631" s="143"/>
      <c r="H7631" s="142"/>
    </row>
    <row r="7632" spans="2:8" s="196" customFormat="1">
      <c r="B7632" s="142"/>
      <c r="C7632" s="235"/>
      <c r="D7632" s="213"/>
      <c r="E7632" s="226"/>
      <c r="F7632" s="155"/>
      <c r="G7632" s="143"/>
      <c r="H7632" s="142"/>
    </row>
    <row r="7633" spans="2:8" s="196" customFormat="1">
      <c r="B7633" s="142"/>
      <c r="C7633" s="235"/>
      <c r="D7633" s="213"/>
      <c r="E7633" s="226"/>
      <c r="F7633" s="155"/>
      <c r="G7633" s="143"/>
      <c r="H7633" s="142"/>
    </row>
    <row r="7634" spans="2:8" s="196" customFormat="1">
      <c r="B7634" s="142"/>
      <c r="C7634" s="235"/>
      <c r="D7634" s="213"/>
      <c r="E7634" s="226"/>
      <c r="F7634" s="155"/>
      <c r="G7634" s="143"/>
      <c r="H7634" s="142"/>
    </row>
    <row r="7635" spans="2:8" s="196" customFormat="1">
      <c r="B7635" s="142"/>
      <c r="C7635" s="235"/>
      <c r="D7635" s="213"/>
      <c r="E7635" s="226"/>
      <c r="F7635" s="155"/>
      <c r="G7635" s="143"/>
      <c r="H7635" s="142"/>
    </row>
    <row r="7636" spans="2:8" s="196" customFormat="1">
      <c r="B7636" s="142"/>
      <c r="C7636" s="235"/>
      <c r="D7636" s="213"/>
      <c r="E7636" s="226"/>
      <c r="F7636" s="155"/>
      <c r="G7636" s="143"/>
      <c r="H7636" s="142"/>
    </row>
    <row r="7637" spans="2:8" s="196" customFormat="1">
      <c r="B7637" s="142"/>
      <c r="C7637" s="235"/>
      <c r="D7637" s="213"/>
      <c r="E7637" s="226"/>
      <c r="F7637" s="155"/>
      <c r="G7637" s="143"/>
      <c r="H7637" s="142"/>
    </row>
    <row r="7638" spans="2:8" s="196" customFormat="1">
      <c r="B7638" s="142"/>
      <c r="C7638" s="235"/>
      <c r="D7638" s="213"/>
      <c r="E7638" s="226"/>
      <c r="F7638" s="155"/>
      <c r="G7638" s="143"/>
      <c r="H7638" s="142"/>
    </row>
    <row r="7639" spans="2:8" s="196" customFormat="1">
      <c r="B7639" s="142"/>
      <c r="C7639" s="235"/>
      <c r="D7639" s="213"/>
      <c r="E7639" s="226"/>
      <c r="F7639" s="155"/>
      <c r="G7639" s="143"/>
      <c r="H7639" s="142"/>
    </row>
    <row r="7640" spans="2:8" s="196" customFormat="1">
      <c r="B7640" s="142"/>
      <c r="C7640" s="235"/>
      <c r="D7640" s="213"/>
      <c r="E7640" s="226"/>
      <c r="F7640" s="155"/>
      <c r="G7640" s="143"/>
      <c r="H7640" s="142"/>
    </row>
    <row r="7641" spans="2:8" s="196" customFormat="1">
      <c r="B7641" s="142"/>
      <c r="C7641" s="235"/>
      <c r="D7641" s="213"/>
      <c r="E7641" s="226"/>
      <c r="F7641" s="155"/>
      <c r="G7641" s="143"/>
      <c r="H7641" s="142"/>
    </row>
    <row r="7642" spans="2:8" s="196" customFormat="1">
      <c r="B7642" s="142"/>
      <c r="C7642" s="235"/>
      <c r="D7642" s="213"/>
      <c r="E7642" s="226"/>
      <c r="F7642" s="155"/>
      <c r="G7642" s="143"/>
      <c r="H7642" s="142"/>
    </row>
    <row r="7643" spans="2:8" s="196" customFormat="1">
      <c r="B7643" s="142"/>
      <c r="C7643" s="235"/>
      <c r="D7643" s="213"/>
      <c r="E7643" s="226"/>
      <c r="F7643" s="155"/>
      <c r="G7643" s="143"/>
      <c r="H7643" s="142"/>
    </row>
    <row r="7644" spans="2:8" s="196" customFormat="1">
      <c r="B7644" s="142"/>
      <c r="C7644" s="235"/>
      <c r="D7644" s="213"/>
      <c r="E7644" s="226"/>
      <c r="F7644" s="155"/>
      <c r="G7644" s="143"/>
      <c r="H7644" s="142"/>
    </row>
    <row r="7645" spans="2:8" s="196" customFormat="1">
      <c r="B7645" s="142"/>
      <c r="C7645" s="235"/>
      <c r="D7645" s="213"/>
      <c r="E7645" s="226"/>
      <c r="F7645" s="155"/>
      <c r="G7645" s="143"/>
      <c r="H7645" s="142"/>
    </row>
    <row r="7646" spans="2:8" s="196" customFormat="1">
      <c r="B7646" s="142"/>
      <c r="C7646" s="235"/>
      <c r="D7646" s="213"/>
      <c r="E7646" s="226"/>
      <c r="F7646" s="155"/>
      <c r="G7646" s="143"/>
      <c r="H7646" s="142"/>
    </row>
    <row r="7647" spans="2:8" s="196" customFormat="1">
      <c r="B7647" s="142"/>
      <c r="C7647" s="235"/>
      <c r="D7647" s="213"/>
      <c r="E7647" s="226"/>
      <c r="F7647" s="155"/>
      <c r="G7647" s="143"/>
      <c r="H7647" s="142"/>
    </row>
    <row r="7648" spans="2:8" s="196" customFormat="1">
      <c r="B7648" s="142"/>
      <c r="C7648" s="235"/>
      <c r="D7648" s="213"/>
      <c r="E7648" s="226"/>
      <c r="F7648" s="155"/>
      <c r="G7648" s="143"/>
      <c r="H7648" s="142"/>
    </row>
    <row r="7649" spans="2:8" s="196" customFormat="1">
      <c r="B7649" s="142"/>
      <c r="C7649" s="235"/>
      <c r="D7649" s="213"/>
      <c r="E7649" s="226"/>
      <c r="F7649" s="155"/>
      <c r="G7649" s="143"/>
      <c r="H7649" s="142"/>
    </row>
    <row r="7650" spans="2:8" s="196" customFormat="1">
      <c r="B7650" s="142"/>
      <c r="C7650" s="235"/>
      <c r="D7650" s="213"/>
      <c r="E7650" s="226"/>
      <c r="F7650" s="155"/>
      <c r="G7650" s="143"/>
      <c r="H7650" s="142"/>
    </row>
    <row r="7651" spans="2:8" s="196" customFormat="1">
      <c r="B7651" s="142"/>
      <c r="C7651" s="235"/>
      <c r="D7651" s="213"/>
      <c r="E7651" s="226"/>
      <c r="F7651" s="155"/>
      <c r="G7651" s="143"/>
      <c r="H7651" s="142"/>
    </row>
    <row r="7652" spans="2:8" s="196" customFormat="1">
      <c r="B7652" s="142"/>
      <c r="C7652" s="235"/>
      <c r="D7652" s="213"/>
      <c r="E7652" s="226"/>
      <c r="F7652" s="155"/>
      <c r="G7652" s="143"/>
      <c r="H7652" s="142"/>
    </row>
    <row r="7653" spans="2:8" s="196" customFormat="1">
      <c r="B7653" s="142"/>
      <c r="C7653" s="235"/>
      <c r="D7653" s="213"/>
      <c r="E7653" s="226"/>
      <c r="F7653" s="155"/>
      <c r="G7653" s="143"/>
      <c r="H7653" s="142"/>
    </row>
    <row r="7654" spans="2:8" s="196" customFormat="1">
      <c r="B7654" s="142"/>
      <c r="C7654" s="235"/>
      <c r="D7654" s="213"/>
      <c r="E7654" s="226"/>
      <c r="F7654" s="155"/>
      <c r="G7654" s="143"/>
      <c r="H7654" s="142"/>
    </row>
    <row r="7655" spans="2:8" s="196" customFormat="1">
      <c r="B7655" s="142"/>
      <c r="C7655" s="235"/>
      <c r="D7655" s="213"/>
      <c r="E7655" s="226"/>
      <c r="F7655" s="155"/>
      <c r="G7655" s="143"/>
      <c r="H7655" s="142"/>
    </row>
    <row r="7656" spans="2:8" s="196" customFormat="1">
      <c r="B7656" s="142"/>
      <c r="C7656" s="235"/>
      <c r="D7656" s="213"/>
      <c r="E7656" s="226"/>
      <c r="F7656" s="155"/>
      <c r="G7656" s="143"/>
      <c r="H7656" s="142"/>
    </row>
    <row r="7657" spans="2:8" s="196" customFormat="1">
      <c r="B7657" s="142"/>
      <c r="C7657" s="235"/>
      <c r="D7657" s="213"/>
      <c r="E7657" s="226"/>
      <c r="F7657" s="155"/>
      <c r="G7657" s="143"/>
      <c r="H7657" s="142"/>
    </row>
    <row r="7658" spans="2:8" s="196" customFormat="1">
      <c r="B7658" s="142"/>
      <c r="C7658" s="235"/>
      <c r="D7658" s="213"/>
      <c r="E7658" s="226"/>
      <c r="F7658" s="155"/>
      <c r="G7658" s="143"/>
      <c r="H7658" s="142"/>
    </row>
    <row r="7659" spans="2:8" s="196" customFormat="1">
      <c r="B7659" s="142"/>
      <c r="C7659" s="235"/>
      <c r="D7659" s="213"/>
      <c r="E7659" s="226"/>
      <c r="F7659" s="155"/>
      <c r="G7659" s="143"/>
      <c r="H7659" s="142"/>
    </row>
    <row r="7660" spans="2:8" s="196" customFormat="1">
      <c r="B7660" s="142"/>
      <c r="C7660" s="235"/>
      <c r="D7660" s="213"/>
      <c r="E7660" s="226"/>
      <c r="F7660" s="155"/>
      <c r="G7660" s="143"/>
      <c r="H7660" s="142"/>
    </row>
    <row r="7661" spans="2:8" s="196" customFormat="1">
      <c r="B7661" s="142"/>
      <c r="C7661" s="235"/>
      <c r="D7661" s="213"/>
      <c r="E7661" s="226"/>
      <c r="F7661" s="155"/>
      <c r="G7661" s="143"/>
      <c r="H7661" s="142"/>
    </row>
    <row r="7662" spans="2:8" s="196" customFormat="1">
      <c r="B7662" s="142"/>
      <c r="C7662" s="235"/>
      <c r="D7662" s="213"/>
      <c r="E7662" s="226"/>
      <c r="F7662" s="155"/>
      <c r="G7662" s="143"/>
      <c r="H7662" s="142"/>
    </row>
    <row r="7663" spans="2:8" s="196" customFormat="1">
      <c r="B7663" s="142"/>
      <c r="C7663" s="235"/>
      <c r="D7663" s="213"/>
      <c r="E7663" s="226"/>
      <c r="F7663" s="155"/>
      <c r="G7663" s="143"/>
      <c r="H7663" s="142"/>
    </row>
    <row r="7664" spans="2:8" s="196" customFormat="1">
      <c r="B7664" s="142"/>
      <c r="C7664" s="235"/>
      <c r="D7664" s="213"/>
      <c r="E7664" s="226"/>
      <c r="F7664" s="155"/>
      <c r="G7664" s="143"/>
      <c r="H7664" s="142"/>
    </row>
    <row r="7665" spans="2:8" s="196" customFormat="1">
      <c r="B7665" s="142"/>
      <c r="C7665" s="235"/>
      <c r="D7665" s="213"/>
      <c r="E7665" s="226"/>
      <c r="F7665" s="155"/>
      <c r="G7665" s="143"/>
      <c r="H7665" s="142"/>
    </row>
    <row r="7666" spans="2:8" s="196" customFormat="1">
      <c r="B7666" s="142"/>
      <c r="C7666" s="235"/>
      <c r="D7666" s="213"/>
      <c r="E7666" s="226"/>
      <c r="F7666" s="155"/>
      <c r="G7666" s="143"/>
      <c r="H7666" s="142"/>
    </row>
    <row r="7667" spans="2:8" s="196" customFormat="1">
      <c r="B7667" s="142"/>
      <c r="C7667" s="235"/>
      <c r="D7667" s="213"/>
      <c r="E7667" s="226"/>
      <c r="F7667" s="155"/>
      <c r="G7667" s="143"/>
      <c r="H7667" s="142"/>
    </row>
    <row r="7668" spans="2:8" s="196" customFormat="1">
      <c r="B7668" s="142"/>
      <c r="C7668" s="235"/>
      <c r="D7668" s="213"/>
      <c r="E7668" s="226"/>
      <c r="F7668" s="155"/>
      <c r="G7668" s="143"/>
      <c r="H7668" s="142"/>
    </row>
    <row r="7669" spans="2:8" s="196" customFormat="1">
      <c r="B7669" s="142"/>
      <c r="C7669" s="235"/>
      <c r="D7669" s="213"/>
      <c r="E7669" s="226"/>
      <c r="F7669" s="155"/>
      <c r="G7669" s="143"/>
      <c r="H7669" s="142"/>
    </row>
    <row r="7670" spans="2:8" s="196" customFormat="1">
      <c r="B7670" s="142"/>
      <c r="C7670" s="235"/>
      <c r="D7670" s="213"/>
      <c r="E7670" s="226"/>
      <c r="F7670" s="155"/>
      <c r="G7670" s="143"/>
      <c r="H7670" s="142"/>
    </row>
    <row r="7671" spans="2:8" s="196" customFormat="1">
      <c r="B7671" s="142"/>
      <c r="C7671" s="235"/>
      <c r="D7671" s="213"/>
      <c r="E7671" s="226"/>
      <c r="F7671" s="155"/>
      <c r="G7671" s="143"/>
      <c r="H7671" s="142"/>
    </row>
    <row r="7672" spans="2:8" s="196" customFormat="1">
      <c r="B7672" s="142"/>
      <c r="C7672" s="235"/>
      <c r="D7672" s="213"/>
      <c r="E7672" s="226"/>
      <c r="F7672" s="155"/>
      <c r="G7672" s="143"/>
      <c r="H7672" s="142"/>
    </row>
    <row r="7673" spans="2:8" s="196" customFormat="1">
      <c r="B7673" s="142"/>
      <c r="C7673" s="235"/>
      <c r="D7673" s="213"/>
      <c r="E7673" s="226"/>
      <c r="F7673" s="155"/>
      <c r="G7673" s="143"/>
      <c r="H7673" s="142"/>
    </row>
    <row r="7674" spans="2:8" s="196" customFormat="1">
      <c r="B7674" s="142"/>
      <c r="C7674" s="235"/>
      <c r="D7674" s="213"/>
      <c r="E7674" s="226"/>
      <c r="F7674" s="155"/>
      <c r="G7674" s="143"/>
      <c r="H7674" s="142"/>
    </row>
    <row r="7675" spans="2:8" s="196" customFormat="1">
      <c r="B7675" s="142"/>
      <c r="C7675" s="235"/>
      <c r="D7675" s="213"/>
      <c r="E7675" s="226"/>
      <c r="F7675" s="155"/>
      <c r="G7675" s="143"/>
      <c r="H7675" s="142"/>
    </row>
    <row r="7676" spans="2:8" s="196" customFormat="1">
      <c r="B7676" s="142"/>
      <c r="C7676" s="235"/>
      <c r="D7676" s="213"/>
      <c r="E7676" s="226"/>
      <c r="F7676" s="155"/>
      <c r="G7676" s="143"/>
      <c r="H7676" s="142"/>
    </row>
    <row r="7677" spans="2:8" s="196" customFormat="1">
      <c r="B7677" s="142"/>
      <c r="C7677" s="235"/>
      <c r="D7677" s="213"/>
      <c r="E7677" s="226"/>
      <c r="F7677" s="155"/>
      <c r="G7677" s="143"/>
      <c r="H7677" s="142"/>
    </row>
    <row r="7678" spans="2:8" s="196" customFormat="1">
      <c r="B7678" s="142"/>
      <c r="C7678" s="235"/>
      <c r="D7678" s="213"/>
      <c r="E7678" s="226"/>
      <c r="F7678" s="155"/>
      <c r="G7678" s="143"/>
      <c r="H7678" s="142"/>
    </row>
    <row r="7679" spans="2:8" s="196" customFormat="1">
      <c r="B7679" s="142"/>
      <c r="C7679" s="235"/>
      <c r="D7679" s="213"/>
      <c r="E7679" s="226"/>
      <c r="F7679" s="155"/>
      <c r="G7679" s="143"/>
      <c r="H7679" s="142"/>
    </row>
    <row r="7680" spans="2:8" s="196" customFormat="1">
      <c r="B7680" s="142"/>
      <c r="C7680" s="235"/>
      <c r="D7680" s="213"/>
      <c r="E7680" s="226"/>
      <c r="F7680" s="155"/>
      <c r="G7680" s="143"/>
      <c r="H7680" s="142"/>
    </row>
    <row r="7681" spans="2:8" s="196" customFormat="1">
      <c r="B7681" s="142"/>
      <c r="C7681" s="235"/>
      <c r="D7681" s="213"/>
      <c r="E7681" s="226"/>
      <c r="F7681" s="155"/>
      <c r="G7681" s="143"/>
      <c r="H7681" s="142"/>
    </row>
    <row r="7682" spans="2:8" s="196" customFormat="1">
      <c r="B7682" s="142"/>
      <c r="C7682" s="235"/>
      <c r="D7682" s="213"/>
      <c r="E7682" s="226"/>
      <c r="F7682" s="155"/>
      <c r="G7682" s="143"/>
      <c r="H7682" s="142"/>
    </row>
    <row r="7683" spans="2:8" s="196" customFormat="1">
      <c r="B7683" s="142"/>
      <c r="C7683" s="235"/>
      <c r="D7683" s="213"/>
      <c r="E7683" s="226"/>
      <c r="F7683" s="155"/>
      <c r="G7683" s="143"/>
      <c r="H7683" s="142"/>
    </row>
    <row r="7684" spans="2:8" s="196" customFormat="1">
      <c r="B7684" s="142"/>
      <c r="C7684" s="235"/>
      <c r="D7684" s="213"/>
      <c r="E7684" s="226"/>
      <c r="F7684" s="155"/>
      <c r="G7684" s="143"/>
      <c r="H7684" s="142"/>
    </row>
    <row r="7685" spans="2:8" s="196" customFormat="1">
      <c r="B7685" s="142"/>
      <c r="C7685" s="235"/>
      <c r="D7685" s="213"/>
      <c r="E7685" s="226"/>
      <c r="F7685" s="155"/>
      <c r="G7685" s="143"/>
      <c r="H7685" s="142"/>
    </row>
    <row r="7686" spans="2:8" s="196" customFormat="1">
      <c r="B7686" s="142"/>
      <c r="C7686" s="235"/>
      <c r="D7686" s="213"/>
      <c r="E7686" s="226"/>
      <c r="F7686" s="155"/>
      <c r="G7686" s="143"/>
      <c r="H7686" s="142"/>
    </row>
    <row r="7687" spans="2:8" s="196" customFormat="1">
      <c r="B7687" s="142"/>
      <c r="C7687" s="235"/>
      <c r="D7687" s="213"/>
      <c r="E7687" s="226"/>
      <c r="F7687" s="155"/>
      <c r="G7687" s="143"/>
      <c r="H7687" s="142"/>
    </row>
    <row r="7688" spans="2:8" s="196" customFormat="1">
      <c r="B7688" s="142"/>
      <c r="C7688" s="235"/>
      <c r="D7688" s="213"/>
      <c r="E7688" s="226"/>
      <c r="F7688" s="155"/>
      <c r="G7688" s="143"/>
      <c r="H7688" s="142"/>
    </row>
    <row r="7689" spans="2:8" s="196" customFormat="1">
      <c r="B7689" s="142"/>
      <c r="C7689" s="235"/>
      <c r="D7689" s="213"/>
      <c r="E7689" s="226"/>
      <c r="F7689" s="155"/>
      <c r="G7689" s="143"/>
      <c r="H7689" s="142"/>
    </row>
    <row r="7690" spans="2:8" s="196" customFormat="1">
      <c r="B7690" s="142"/>
      <c r="C7690" s="235"/>
      <c r="D7690" s="213"/>
      <c r="E7690" s="226"/>
      <c r="F7690" s="155"/>
      <c r="G7690" s="143"/>
      <c r="H7690" s="142"/>
    </row>
    <row r="7691" spans="2:8" s="196" customFormat="1">
      <c r="B7691" s="142"/>
      <c r="C7691" s="235"/>
      <c r="D7691" s="213"/>
      <c r="E7691" s="226"/>
      <c r="F7691" s="155"/>
      <c r="G7691" s="143"/>
      <c r="H7691" s="142"/>
    </row>
    <row r="7692" spans="2:8" s="196" customFormat="1">
      <c r="B7692" s="142"/>
      <c r="C7692" s="235"/>
      <c r="D7692" s="213"/>
      <c r="E7692" s="226"/>
      <c r="F7692" s="155"/>
      <c r="G7692" s="143"/>
      <c r="H7692" s="142"/>
    </row>
    <row r="7693" spans="2:8" s="196" customFormat="1">
      <c r="B7693" s="142"/>
      <c r="C7693" s="235"/>
      <c r="D7693" s="213"/>
      <c r="E7693" s="226"/>
      <c r="F7693" s="155"/>
      <c r="G7693" s="143"/>
      <c r="H7693" s="142"/>
    </row>
    <row r="7694" spans="2:8" s="196" customFormat="1">
      <c r="B7694" s="142"/>
      <c r="C7694" s="235"/>
      <c r="D7694" s="213"/>
      <c r="E7694" s="226"/>
      <c r="F7694" s="155"/>
      <c r="G7694" s="143"/>
      <c r="H7694" s="142"/>
    </row>
    <row r="7695" spans="2:8" s="196" customFormat="1">
      <c r="B7695" s="142"/>
      <c r="C7695" s="235"/>
      <c r="D7695" s="213"/>
      <c r="E7695" s="226"/>
      <c r="F7695" s="155"/>
      <c r="G7695" s="143"/>
      <c r="H7695" s="142"/>
    </row>
    <row r="7696" spans="2:8" s="196" customFormat="1">
      <c r="B7696" s="142"/>
      <c r="C7696" s="235"/>
      <c r="D7696" s="213"/>
      <c r="E7696" s="226"/>
      <c r="F7696" s="155"/>
      <c r="G7696" s="143"/>
      <c r="H7696" s="142"/>
    </row>
    <row r="7697" spans="2:8" s="196" customFormat="1">
      <c r="B7697" s="142"/>
      <c r="C7697" s="235"/>
      <c r="D7697" s="213"/>
      <c r="E7697" s="226"/>
      <c r="F7697" s="155"/>
      <c r="G7697" s="143"/>
      <c r="H7697" s="142"/>
    </row>
    <row r="7698" spans="2:8" s="196" customFormat="1">
      <c r="B7698" s="142"/>
      <c r="C7698" s="235"/>
      <c r="D7698" s="213"/>
      <c r="E7698" s="226"/>
      <c r="F7698" s="155"/>
      <c r="G7698" s="143"/>
      <c r="H7698" s="142"/>
    </row>
    <row r="7699" spans="2:8" s="196" customFormat="1">
      <c r="B7699" s="142"/>
      <c r="C7699" s="235"/>
      <c r="D7699" s="213"/>
      <c r="E7699" s="226"/>
      <c r="F7699" s="155"/>
      <c r="G7699" s="143"/>
      <c r="H7699" s="142"/>
    </row>
    <row r="7700" spans="2:8" s="196" customFormat="1">
      <c r="B7700" s="142"/>
      <c r="C7700" s="235"/>
      <c r="D7700" s="213"/>
      <c r="E7700" s="226"/>
      <c r="F7700" s="155"/>
      <c r="G7700" s="143"/>
      <c r="H7700" s="142"/>
    </row>
    <row r="7701" spans="2:8" s="196" customFormat="1">
      <c r="B7701" s="142"/>
      <c r="C7701" s="235"/>
      <c r="D7701" s="213"/>
      <c r="E7701" s="226"/>
      <c r="F7701" s="155"/>
      <c r="G7701" s="143"/>
      <c r="H7701" s="142"/>
    </row>
    <row r="7702" spans="2:8" s="196" customFormat="1">
      <c r="B7702" s="142"/>
      <c r="C7702" s="235"/>
      <c r="D7702" s="213"/>
      <c r="E7702" s="226"/>
      <c r="F7702" s="155"/>
      <c r="G7702" s="143"/>
      <c r="H7702" s="142"/>
    </row>
    <row r="7703" spans="2:8" s="196" customFormat="1">
      <c r="B7703" s="142"/>
      <c r="C7703" s="235"/>
      <c r="D7703" s="213"/>
      <c r="E7703" s="226"/>
      <c r="F7703" s="155"/>
      <c r="G7703" s="143"/>
      <c r="H7703" s="142"/>
    </row>
    <row r="7704" spans="2:8" s="196" customFormat="1">
      <c r="B7704" s="142"/>
      <c r="C7704" s="235"/>
      <c r="D7704" s="213"/>
      <c r="E7704" s="226"/>
      <c r="F7704" s="155"/>
      <c r="G7704" s="143"/>
      <c r="H7704" s="142"/>
    </row>
    <row r="7705" spans="2:8" s="196" customFormat="1">
      <c r="B7705" s="142"/>
      <c r="C7705" s="235"/>
      <c r="D7705" s="213"/>
      <c r="E7705" s="226"/>
      <c r="F7705" s="155"/>
      <c r="G7705" s="143"/>
      <c r="H7705" s="142"/>
    </row>
    <row r="7706" spans="2:8" s="196" customFormat="1">
      <c r="B7706" s="142"/>
      <c r="C7706" s="235"/>
      <c r="D7706" s="213"/>
      <c r="E7706" s="226"/>
      <c r="F7706" s="155"/>
      <c r="G7706" s="143"/>
      <c r="H7706" s="142"/>
    </row>
    <row r="7707" spans="2:8" s="196" customFormat="1">
      <c r="B7707" s="142"/>
      <c r="C7707" s="235"/>
      <c r="D7707" s="213"/>
      <c r="E7707" s="226"/>
      <c r="F7707" s="155"/>
      <c r="G7707" s="143"/>
      <c r="H7707" s="142"/>
    </row>
    <row r="7708" spans="2:8" s="196" customFormat="1">
      <c r="B7708" s="142"/>
      <c r="C7708" s="235"/>
      <c r="D7708" s="213"/>
      <c r="E7708" s="226"/>
      <c r="F7708" s="155"/>
      <c r="G7708" s="143"/>
      <c r="H7708" s="142"/>
    </row>
    <row r="7709" spans="2:8" s="196" customFormat="1">
      <c r="B7709" s="142"/>
      <c r="C7709" s="235"/>
      <c r="D7709" s="213"/>
      <c r="E7709" s="226"/>
      <c r="F7709" s="155"/>
      <c r="G7709" s="143"/>
      <c r="H7709" s="142"/>
    </row>
    <row r="7710" spans="2:8" s="196" customFormat="1">
      <c r="B7710" s="142"/>
      <c r="C7710" s="235"/>
      <c r="D7710" s="213"/>
      <c r="E7710" s="226"/>
      <c r="F7710" s="155"/>
      <c r="G7710" s="143"/>
      <c r="H7710" s="142"/>
    </row>
    <row r="7711" spans="2:8" s="196" customFormat="1">
      <c r="B7711" s="142"/>
      <c r="C7711" s="235"/>
      <c r="D7711" s="213"/>
      <c r="E7711" s="226"/>
      <c r="F7711" s="155"/>
      <c r="G7711" s="143"/>
      <c r="H7711" s="142"/>
    </row>
    <row r="7712" spans="2:8" s="196" customFormat="1">
      <c r="B7712" s="142"/>
      <c r="C7712" s="235"/>
      <c r="D7712" s="213"/>
      <c r="E7712" s="226"/>
      <c r="F7712" s="155"/>
      <c r="G7712" s="143"/>
      <c r="H7712" s="142"/>
    </row>
    <row r="7713" spans="2:8" s="196" customFormat="1">
      <c r="B7713" s="142"/>
      <c r="C7713" s="235"/>
      <c r="D7713" s="213"/>
      <c r="E7713" s="226"/>
      <c r="F7713" s="155"/>
      <c r="G7713" s="143"/>
      <c r="H7713" s="142"/>
    </row>
    <row r="7714" spans="2:8" s="196" customFormat="1">
      <c r="B7714" s="142"/>
      <c r="C7714" s="235"/>
      <c r="D7714" s="213"/>
      <c r="E7714" s="226"/>
      <c r="F7714" s="155"/>
      <c r="G7714" s="143"/>
      <c r="H7714" s="142"/>
    </row>
    <row r="7715" spans="2:8" s="196" customFormat="1">
      <c r="B7715" s="142"/>
      <c r="C7715" s="235"/>
      <c r="D7715" s="213"/>
      <c r="E7715" s="226"/>
      <c r="F7715" s="155"/>
      <c r="G7715" s="143"/>
      <c r="H7715" s="142"/>
    </row>
    <row r="7716" spans="2:8" s="196" customFormat="1">
      <c r="B7716" s="142"/>
      <c r="C7716" s="235"/>
      <c r="D7716" s="213"/>
      <c r="E7716" s="226"/>
      <c r="F7716" s="155"/>
      <c r="G7716" s="143"/>
      <c r="H7716" s="142"/>
    </row>
    <row r="7717" spans="2:8" s="196" customFormat="1">
      <c r="B7717" s="142"/>
      <c r="C7717" s="235"/>
      <c r="D7717" s="213"/>
      <c r="E7717" s="226"/>
      <c r="F7717" s="155"/>
      <c r="G7717" s="143"/>
      <c r="H7717" s="142"/>
    </row>
    <row r="7718" spans="2:8" s="196" customFormat="1">
      <c r="B7718" s="142"/>
      <c r="C7718" s="235"/>
      <c r="D7718" s="213"/>
      <c r="E7718" s="226"/>
      <c r="F7718" s="155"/>
      <c r="G7718" s="143"/>
      <c r="H7718" s="142"/>
    </row>
    <row r="7719" spans="2:8" s="196" customFormat="1">
      <c r="B7719" s="142"/>
      <c r="C7719" s="235"/>
      <c r="D7719" s="213"/>
      <c r="E7719" s="226"/>
      <c r="F7719" s="155"/>
      <c r="G7719" s="143"/>
      <c r="H7719" s="142"/>
    </row>
    <row r="7720" spans="2:8" s="196" customFormat="1">
      <c r="B7720" s="142"/>
      <c r="C7720" s="235"/>
      <c r="D7720" s="213"/>
      <c r="E7720" s="226"/>
      <c r="F7720" s="155"/>
      <c r="G7720" s="143"/>
      <c r="H7720" s="142"/>
    </row>
    <row r="7721" spans="2:8" s="196" customFormat="1">
      <c r="B7721" s="142"/>
      <c r="C7721" s="235"/>
      <c r="D7721" s="213"/>
      <c r="E7721" s="226"/>
      <c r="F7721" s="155"/>
      <c r="G7721" s="143"/>
      <c r="H7721" s="142"/>
    </row>
    <row r="7722" spans="2:8" s="196" customFormat="1">
      <c r="B7722" s="142"/>
      <c r="C7722" s="235"/>
      <c r="D7722" s="213"/>
      <c r="E7722" s="226"/>
      <c r="F7722" s="155"/>
      <c r="G7722" s="143"/>
      <c r="H7722" s="142"/>
    </row>
    <row r="7723" spans="2:8" s="196" customFormat="1">
      <c r="B7723" s="142"/>
      <c r="C7723" s="235"/>
      <c r="D7723" s="213"/>
      <c r="E7723" s="226"/>
      <c r="F7723" s="155"/>
      <c r="G7723" s="143"/>
      <c r="H7723" s="142"/>
    </row>
    <row r="7724" spans="2:8" s="196" customFormat="1">
      <c r="B7724" s="142"/>
      <c r="C7724" s="235"/>
      <c r="D7724" s="213"/>
      <c r="E7724" s="226"/>
      <c r="F7724" s="155"/>
      <c r="G7724" s="143"/>
      <c r="H7724" s="142"/>
    </row>
    <row r="7725" spans="2:8" s="196" customFormat="1">
      <c r="B7725" s="142"/>
      <c r="C7725" s="235"/>
      <c r="D7725" s="213"/>
      <c r="E7725" s="226"/>
      <c r="F7725" s="155"/>
      <c r="G7725" s="143"/>
      <c r="H7725" s="142"/>
    </row>
    <row r="7726" spans="2:8" s="196" customFormat="1">
      <c r="B7726" s="142"/>
      <c r="C7726" s="235"/>
      <c r="D7726" s="213"/>
      <c r="E7726" s="226"/>
      <c r="F7726" s="155"/>
      <c r="G7726" s="143"/>
      <c r="H7726" s="142"/>
    </row>
    <row r="7727" spans="2:8" s="196" customFormat="1">
      <c r="B7727" s="142"/>
      <c r="C7727" s="235"/>
      <c r="D7727" s="213"/>
      <c r="E7727" s="226"/>
      <c r="F7727" s="155"/>
      <c r="G7727" s="143"/>
      <c r="H7727" s="142"/>
    </row>
    <row r="7728" spans="2:8" s="196" customFormat="1">
      <c r="B7728" s="142"/>
      <c r="C7728" s="235"/>
      <c r="D7728" s="213"/>
      <c r="E7728" s="226"/>
      <c r="F7728" s="155"/>
      <c r="G7728" s="143"/>
      <c r="H7728" s="142"/>
    </row>
    <row r="7729" spans="2:8" s="196" customFormat="1">
      <c r="B7729" s="142"/>
      <c r="C7729" s="235"/>
      <c r="D7729" s="213"/>
      <c r="E7729" s="226"/>
      <c r="F7729" s="155"/>
      <c r="G7729" s="143"/>
      <c r="H7729" s="142"/>
    </row>
    <row r="7730" spans="2:8" s="196" customFormat="1">
      <c r="B7730" s="142"/>
      <c r="C7730" s="235"/>
      <c r="D7730" s="213"/>
      <c r="E7730" s="226"/>
      <c r="F7730" s="155"/>
      <c r="G7730" s="143"/>
      <c r="H7730" s="142"/>
    </row>
    <row r="7731" spans="2:8" s="196" customFormat="1">
      <c r="B7731" s="142"/>
      <c r="C7731" s="235"/>
      <c r="D7731" s="213"/>
      <c r="E7731" s="226"/>
      <c r="F7731" s="155"/>
      <c r="G7731" s="143"/>
      <c r="H7731" s="142"/>
    </row>
    <row r="7732" spans="2:8" s="196" customFormat="1">
      <c r="B7732" s="142"/>
      <c r="C7732" s="235"/>
      <c r="D7732" s="213"/>
      <c r="E7732" s="226"/>
      <c r="F7732" s="155"/>
      <c r="G7732" s="143"/>
      <c r="H7732" s="142"/>
    </row>
    <row r="7733" spans="2:8" s="196" customFormat="1">
      <c r="B7733" s="142"/>
      <c r="C7733" s="235"/>
      <c r="D7733" s="213"/>
      <c r="E7733" s="226"/>
      <c r="F7733" s="155"/>
      <c r="G7733" s="143"/>
      <c r="H7733" s="142"/>
    </row>
    <row r="7734" spans="2:8" s="196" customFormat="1">
      <c r="B7734" s="142"/>
      <c r="C7734" s="235"/>
      <c r="D7734" s="213"/>
      <c r="E7734" s="226"/>
      <c r="F7734" s="155"/>
      <c r="G7734" s="143"/>
      <c r="H7734" s="142"/>
    </row>
    <row r="7735" spans="2:8" s="196" customFormat="1">
      <c r="B7735" s="142"/>
      <c r="C7735" s="235"/>
      <c r="D7735" s="213"/>
      <c r="E7735" s="226"/>
      <c r="F7735" s="155"/>
      <c r="G7735" s="143"/>
      <c r="H7735" s="142"/>
    </row>
    <row r="7736" spans="2:8" s="196" customFormat="1">
      <c r="B7736" s="142"/>
      <c r="C7736" s="235"/>
      <c r="D7736" s="213"/>
      <c r="E7736" s="226"/>
      <c r="F7736" s="155"/>
      <c r="G7736" s="143"/>
      <c r="H7736" s="142"/>
    </row>
    <row r="7737" spans="2:8" s="196" customFormat="1">
      <c r="B7737" s="142"/>
      <c r="C7737" s="235"/>
      <c r="D7737" s="213"/>
      <c r="E7737" s="226"/>
      <c r="F7737" s="155"/>
      <c r="G7737" s="143"/>
      <c r="H7737" s="142"/>
    </row>
    <row r="7738" spans="2:8" s="196" customFormat="1">
      <c r="B7738" s="142"/>
      <c r="C7738" s="235"/>
      <c r="D7738" s="213"/>
      <c r="E7738" s="226"/>
      <c r="F7738" s="155"/>
      <c r="G7738" s="143"/>
      <c r="H7738" s="142"/>
    </row>
    <row r="7739" spans="2:8" s="196" customFormat="1">
      <c r="B7739" s="142"/>
      <c r="C7739" s="235"/>
      <c r="D7739" s="213"/>
      <c r="E7739" s="226"/>
      <c r="F7739" s="155"/>
      <c r="G7739" s="143"/>
      <c r="H7739" s="142"/>
    </row>
    <row r="7740" spans="2:8" s="196" customFormat="1">
      <c r="B7740" s="142"/>
      <c r="C7740" s="235"/>
      <c r="D7740" s="213"/>
      <c r="E7740" s="226"/>
      <c r="F7740" s="155"/>
      <c r="G7740" s="143"/>
      <c r="H7740" s="142"/>
    </row>
    <row r="7741" spans="2:8" s="196" customFormat="1">
      <c r="B7741" s="142"/>
      <c r="C7741" s="235"/>
      <c r="D7741" s="213"/>
      <c r="E7741" s="226"/>
      <c r="F7741" s="155"/>
      <c r="G7741" s="143"/>
      <c r="H7741" s="142"/>
    </row>
    <row r="7742" spans="2:8" s="196" customFormat="1">
      <c r="B7742" s="142"/>
      <c r="C7742" s="235"/>
      <c r="D7742" s="213"/>
      <c r="E7742" s="226"/>
      <c r="F7742" s="155"/>
      <c r="G7742" s="143"/>
      <c r="H7742" s="142"/>
    </row>
    <row r="7743" spans="2:8" s="196" customFormat="1">
      <c r="B7743" s="142"/>
      <c r="C7743" s="235"/>
      <c r="D7743" s="213"/>
      <c r="E7743" s="226"/>
      <c r="F7743" s="155"/>
      <c r="G7743" s="143"/>
      <c r="H7743" s="142"/>
    </row>
    <row r="7744" spans="2:8" s="196" customFormat="1">
      <c r="B7744" s="142"/>
      <c r="C7744" s="235"/>
      <c r="D7744" s="213"/>
      <c r="E7744" s="226"/>
      <c r="F7744" s="155"/>
      <c r="G7744" s="143"/>
      <c r="H7744" s="142"/>
    </row>
    <row r="7745" spans="2:8" s="196" customFormat="1">
      <c r="B7745" s="142"/>
      <c r="C7745" s="235"/>
      <c r="D7745" s="213"/>
      <c r="E7745" s="226"/>
      <c r="F7745" s="155"/>
      <c r="G7745" s="143"/>
      <c r="H7745" s="142"/>
    </row>
    <row r="7746" spans="2:8" s="196" customFormat="1">
      <c r="B7746" s="142"/>
      <c r="C7746" s="235"/>
      <c r="D7746" s="213"/>
      <c r="E7746" s="226"/>
      <c r="F7746" s="155"/>
      <c r="G7746" s="143"/>
      <c r="H7746" s="142"/>
    </row>
    <row r="7747" spans="2:8" s="196" customFormat="1">
      <c r="B7747" s="142"/>
      <c r="C7747" s="235"/>
      <c r="D7747" s="213"/>
      <c r="E7747" s="226"/>
      <c r="F7747" s="155"/>
      <c r="G7747" s="143"/>
      <c r="H7747" s="142"/>
    </row>
    <row r="7748" spans="2:8" s="196" customFormat="1">
      <c r="B7748" s="142"/>
      <c r="C7748" s="235"/>
      <c r="D7748" s="213"/>
      <c r="E7748" s="226"/>
      <c r="F7748" s="155"/>
      <c r="G7748" s="143"/>
      <c r="H7748" s="142"/>
    </row>
    <row r="7749" spans="2:8" s="196" customFormat="1">
      <c r="B7749" s="142"/>
      <c r="C7749" s="235"/>
      <c r="D7749" s="213"/>
      <c r="E7749" s="226"/>
      <c r="F7749" s="155"/>
      <c r="G7749" s="143"/>
      <c r="H7749" s="142"/>
    </row>
    <row r="7750" spans="2:8" s="196" customFormat="1">
      <c r="B7750" s="142"/>
      <c r="C7750" s="235"/>
      <c r="D7750" s="213"/>
      <c r="E7750" s="226"/>
      <c r="F7750" s="155"/>
      <c r="G7750" s="143"/>
      <c r="H7750" s="142"/>
    </row>
    <row r="7751" spans="2:8" s="196" customFormat="1">
      <c r="B7751" s="142"/>
      <c r="C7751" s="235"/>
      <c r="D7751" s="213"/>
      <c r="E7751" s="226"/>
      <c r="F7751" s="155"/>
      <c r="G7751" s="143"/>
      <c r="H7751" s="142"/>
    </row>
    <row r="7752" spans="2:8" s="196" customFormat="1">
      <c r="B7752" s="142"/>
      <c r="C7752" s="235"/>
      <c r="D7752" s="213"/>
      <c r="E7752" s="226"/>
      <c r="F7752" s="155"/>
      <c r="G7752" s="143"/>
      <c r="H7752" s="142"/>
    </row>
    <row r="7753" spans="2:8" s="196" customFormat="1">
      <c r="B7753" s="142"/>
      <c r="C7753" s="235"/>
      <c r="D7753" s="213"/>
      <c r="E7753" s="226"/>
      <c r="F7753" s="155"/>
      <c r="G7753" s="143"/>
      <c r="H7753" s="142"/>
    </row>
    <row r="7754" spans="2:8" s="196" customFormat="1">
      <c r="B7754" s="142"/>
      <c r="C7754" s="235"/>
      <c r="D7754" s="213"/>
      <c r="E7754" s="226"/>
      <c r="F7754" s="155"/>
      <c r="G7754" s="143"/>
      <c r="H7754" s="142"/>
    </row>
    <row r="7755" spans="2:8" s="196" customFormat="1">
      <c r="B7755" s="142"/>
      <c r="C7755" s="235"/>
      <c r="D7755" s="213"/>
      <c r="E7755" s="226"/>
      <c r="F7755" s="155"/>
      <c r="G7755" s="143"/>
      <c r="H7755" s="142"/>
    </row>
    <row r="7756" spans="2:8" s="196" customFormat="1">
      <c r="B7756" s="142"/>
      <c r="C7756" s="235"/>
      <c r="D7756" s="213"/>
      <c r="E7756" s="226"/>
      <c r="F7756" s="155"/>
      <c r="G7756" s="143"/>
      <c r="H7756" s="142"/>
    </row>
    <row r="7757" spans="2:8" s="196" customFormat="1">
      <c r="B7757" s="142"/>
      <c r="C7757" s="235"/>
      <c r="D7757" s="213"/>
      <c r="E7757" s="226"/>
      <c r="F7757" s="155"/>
      <c r="G7757" s="143"/>
      <c r="H7757" s="142"/>
    </row>
    <row r="7758" spans="2:8" s="196" customFormat="1">
      <c r="B7758" s="142"/>
      <c r="C7758" s="235"/>
      <c r="D7758" s="213"/>
      <c r="E7758" s="226"/>
      <c r="F7758" s="155"/>
      <c r="G7758" s="143"/>
      <c r="H7758" s="142"/>
    </row>
    <row r="7759" spans="2:8" s="196" customFormat="1">
      <c r="B7759" s="142"/>
      <c r="C7759" s="235"/>
      <c r="D7759" s="213"/>
      <c r="E7759" s="226"/>
      <c r="F7759" s="155"/>
      <c r="G7759" s="143"/>
      <c r="H7759" s="142"/>
    </row>
    <row r="7760" spans="2:8" s="196" customFormat="1">
      <c r="B7760" s="142"/>
      <c r="C7760" s="235"/>
      <c r="D7760" s="213"/>
      <c r="E7760" s="226"/>
      <c r="F7760" s="155"/>
      <c r="G7760" s="143"/>
      <c r="H7760" s="142"/>
    </row>
    <row r="7761" spans="2:8" s="196" customFormat="1">
      <c r="B7761" s="142"/>
      <c r="C7761" s="235"/>
      <c r="D7761" s="213"/>
      <c r="E7761" s="226"/>
      <c r="F7761" s="155"/>
      <c r="G7761" s="143"/>
      <c r="H7761" s="142"/>
    </row>
    <row r="7762" spans="2:8" s="196" customFormat="1">
      <c r="B7762" s="142"/>
      <c r="C7762" s="235"/>
      <c r="D7762" s="213"/>
      <c r="E7762" s="226"/>
      <c r="F7762" s="155"/>
      <c r="G7762" s="143"/>
      <c r="H7762" s="142"/>
    </row>
    <row r="7763" spans="2:8" s="196" customFormat="1">
      <c r="B7763" s="142"/>
      <c r="C7763" s="235"/>
      <c r="D7763" s="213"/>
      <c r="E7763" s="226"/>
      <c r="F7763" s="155"/>
      <c r="G7763" s="143"/>
      <c r="H7763" s="142"/>
    </row>
    <row r="7764" spans="2:8" s="196" customFormat="1">
      <c r="B7764" s="142"/>
      <c r="C7764" s="235"/>
      <c r="D7764" s="213"/>
      <c r="E7764" s="226"/>
      <c r="F7764" s="155"/>
      <c r="G7764" s="143"/>
      <c r="H7764" s="142"/>
    </row>
    <row r="7765" spans="2:8" s="196" customFormat="1">
      <c r="B7765" s="142"/>
      <c r="C7765" s="235"/>
      <c r="D7765" s="213"/>
      <c r="E7765" s="226"/>
      <c r="F7765" s="155"/>
      <c r="G7765" s="143"/>
      <c r="H7765" s="142"/>
    </row>
    <row r="7766" spans="2:8" s="196" customFormat="1">
      <c r="B7766" s="142"/>
      <c r="C7766" s="235"/>
      <c r="D7766" s="213"/>
      <c r="E7766" s="226"/>
      <c r="F7766" s="155"/>
      <c r="G7766" s="143"/>
      <c r="H7766" s="142"/>
    </row>
    <row r="7767" spans="2:8" s="196" customFormat="1">
      <c r="B7767" s="142"/>
      <c r="C7767" s="235"/>
      <c r="D7767" s="213"/>
      <c r="E7767" s="226"/>
      <c r="F7767" s="155"/>
      <c r="G7767" s="143"/>
      <c r="H7767" s="142"/>
    </row>
    <row r="7768" spans="2:8" s="196" customFormat="1">
      <c r="B7768" s="142"/>
      <c r="C7768" s="235"/>
      <c r="D7768" s="213"/>
      <c r="E7768" s="226"/>
      <c r="F7768" s="155"/>
      <c r="G7768" s="143"/>
      <c r="H7768" s="142"/>
    </row>
    <row r="7769" spans="2:8" s="196" customFormat="1">
      <c r="B7769" s="142"/>
      <c r="C7769" s="235"/>
      <c r="D7769" s="213"/>
      <c r="E7769" s="226"/>
      <c r="F7769" s="155"/>
      <c r="G7769" s="143"/>
      <c r="H7769" s="142"/>
    </row>
    <row r="7770" spans="2:8" s="196" customFormat="1">
      <c r="B7770" s="142"/>
      <c r="C7770" s="235"/>
      <c r="D7770" s="213"/>
      <c r="E7770" s="226"/>
      <c r="F7770" s="155"/>
      <c r="G7770" s="143"/>
      <c r="H7770" s="142"/>
    </row>
    <row r="7771" spans="2:8" s="196" customFormat="1">
      <c r="B7771" s="142"/>
      <c r="C7771" s="235"/>
      <c r="D7771" s="213"/>
      <c r="E7771" s="226"/>
      <c r="F7771" s="155"/>
      <c r="G7771" s="143"/>
      <c r="H7771" s="142"/>
    </row>
    <row r="7772" spans="2:8" s="196" customFormat="1">
      <c r="B7772" s="142"/>
      <c r="C7772" s="235"/>
      <c r="D7772" s="213"/>
      <c r="E7772" s="226"/>
      <c r="F7772" s="155"/>
      <c r="G7772" s="143"/>
      <c r="H7772" s="142"/>
    </row>
    <row r="7773" spans="2:8" s="196" customFormat="1">
      <c r="B7773" s="142"/>
      <c r="C7773" s="235"/>
      <c r="D7773" s="213"/>
      <c r="E7773" s="226"/>
      <c r="F7773" s="155"/>
      <c r="G7773" s="143"/>
      <c r="H7773" s="142"/>
    </row>
    <row r="7774" spans="2:8" s="196" customFormat="1">
      <c r="B7774" s="142"/>
      <c r="C7774" s="235"/>
      <c r="D7774" s="213"/>
      <c r="E7774" s="226"/>
      <c r="F7774" s="155"/>
      <c r="G7774" s="143"/>
      <c r="H7774" s="142"/>
    </row>
    <row r="7775" spans="2:8" s="196" customFormat="1">
      <c r="B7775" s="142"/>
      <c r="C7775" s="235"/>
      <c r="D7775" s="213"/>
      <c r="E7775" s="226"/>
      <c r="F7775" s="155"/>
      <c r="G7775" s="143"/>
      <c r="H7775" s="142"/>
    </row>
    <row r="7776" spans="2:8" s="196" customFormat="1">
      <c r="B7776" s="142"/>
      <c r="C7776" s="235"/>
      <c r="D7776" s="213"/>
      <c r="E7776" s="226"/>
      <c r="F7776" s="155"/>
      <c r="G7776" s="143"/>
      <c r="H7776" s="142"/>
    </row>
    <row r="7777" spans="2:8" s="196" customFormat="1">
      <c r="B7777" s="142"/>
      <c r="C7777" s="235"/>
      <c r="D7777" s="213"/>
      <c r="E7777" s="226"/>
      <c r="F7777" s="155"/>
      <c r="G7777" s="143"/>
      <c r="H7777" s="142"/>
    </row>
    <row r="7778" spans="2:8" s="196" customFormat="1">
      <c r="B7778" s="142"/>
      <c r="C7778" s="235"/>
      <c r="D7778" s="213"/>
      <c r="E7778" s="226"/>
      <c r="F7778" s="155"/>
      <c r="G7778" s="143"/>
      <c r="H7778" s="142"/>
    </row>
    <row r="7779" spans="2:8" s="196" customFormat="1">
      <c r="B7779" s="142"/>
      <c r="C7779" s="235"/>
      <c r="D7779" s="213"/>
      <c r="E7779" s="226"/>
      <c r="F7779" s="155"/>
      <c r="G7779" s="143"/>
      <c r="H7779" s="142"/>
    </row>
    <row r="7780" spans="2:8" s="196" customFormat="1">
      <c r="B7780" s="142"/>
      <c r="C7780" s="235"/>
      <c r="D7780" s="213"/>
      <c r="E7780" s="226"/>
      <c r="F7780" s="155"/>
      <c r="G7780" s="143"/>
      <c r="H7780" s="142"/>
    </row>
    <row r="7781" spans="2:8" s="196" customFormat="1">
      <c r="B7781" s="142"/>
      <c r="C7781" s="235"/>
      <c r="D7781" s="213"/>
      <c r="E7781" s="226"/>
      <c r="F7781" s="155"/>
      <c r="G7781" s="143"/>
      <c r="H7781" s="142"/>
    </row>
    <row r="7782" spans="2:8" s="196" customFormat="1">
      <c r="B7782" s="142"/>
      <c r="C7782" s="235"/>
      <c r="D7782" s="213"/>
      <c r="E7782" s="226"/>
      <c r="F7782" s="155"/>
      <c r="G7782" s="143"/>
      <c r="H7782" s="142"/>
    </row>
    <row r="7783" spans="2:8" s="196" customFormat="1">
      <c r="B7783" s="142"/>
      <c r="C7783" s="235"/>
      <c r="D7783" s="213"/>
      <c r="E7783" s="226"/>
      <c r="F7783" s="155"/>
      <c r="G7783" s="143"/>
      <c r="H7783" s="142"/>
    </row>
    <row r="7784" spans="2:8" s="196" customFormat="1">
      <c r="B7784" s="142"/>
      <c r="C7784" s="235"/>
      <c r="D7784" s="213"/>
      <c r="E7784" s="226"/>
      <c r="F7784" s="155"/>
      <c r="G7784" s="143"/>
      <c r="H7784" s="142"/>
    </row>
    <row r="7785" spans="2:8" s="196" customFormat="1">
      <c r="B7785" s="142"/>
      <c r="C7785" s="235"/>
      <c r="D7785" s="213"/>
      <c r="E7785" s="226"/>
      <c r="F7785" s="155"/>
      <c r="G7785" s="143"/>
      <c r="H7785" s="142"/>
    </row>
    <row r="7786" spans="2:8" s="196" customFormat="1">
      <c r="B7786" s="142"/>
      <c r="C7786" s="235"/>
      <c r="D7786" s="213"/>
      <c r="E7786" s="226"/>
      <c r="F7786" s="155"/>
      <c r="G7786" s="143"/>
      <c r="H7786" s="142"/>
    </row>
    <row r="7787" spans="2:8" s="196" customFormat="1">
      <c r="B7787" s="142"/>
      <c r="C7787" s="235"/>
      <c r="D7787" s="213"/>
      <c r="E7787" s="226"/>
      <c r="F7787" s="155"/>
      <c r="G7787" s="143"/>
      <c r="H7787" s="142"/>
    </row>
    <row r="7788" spans="2:8" s="196" customFormat="1">
      <c r="B7788" s="142"/>
      <c r="C7788" s="235"/>
      <c r="D7788" s="213"/>
      <c r="E7788" s="226"/>
      <c r="F7788" s="155"/>
      <c r="G7788" s="143"/>
      <c r="H7788" s="142"/>
    </row>
    <row r="7789" spans="2:8" s="196" customFormat="1">
      <c r="B7789" s="142"/>
      <c r="C7789" s="235"/>
      <c r="D7789" s="213"/>
      <c r="E7789" s="226"/>
      <c r="F7789" s="155"/>
      <c r="G7789" s="143"/>
      <c r="H7789" s="142"/>
    </row>
    <row r="7790" spans="2:8" s="196" customFormat="1">
      <c r="B7790" s="142"/>
      <c r="C7790" s="235"/>
      <c r="D7790" s="213"/>
      <c r="E7790" s="226"/>
      <c r="F7790" s="155"/>
      <c r="G7790" s="143"/>
      <c r="H7790" s="142"/>
    </row>
    <row r="7791" spans="2:8" s="196" customFormat="1">
      <c r="B7791" s="142"/>
      <c r="C7791" s="235"/>
      <c r="D7791" s="213"/>
      <c r="E7791" s="226"/>
      <c r="F7791" s="155"/>
      <c r="G7791" s="143"/>
      <c r="H7791" s="142"/>
    </row>
    <row r="7792" spans="2:8" s="196" customFormat="1">
      <c r="B7792" s="142"/>
      <c r="C7792" s="235"/>
      <c r="D7792" s="213"/>
      <c r="E7792" s="226"/>
      <c r="F7792" s="155"/>
      <c r="G7792" s="143"/>
      <c r="H7792" s="142"/>
    </row>
    <row r="7793" spans="2:8" s="196" customFormat="1">
      <c r="B7793" s="142"/>
      <c r="C7793" s="235"/>
      <c r="D7793" s="213"/>
      <c r="E7793" s="226"/>
      <c r="F7793" s="155"/>
      <c r="G7793" s="143"/>
      <c r="H7793" s="142"/>
    </row>
    <row r="7794" spans="2:8" s="196" customFormat="1">
      <c r="B7794" s="142"/>
      <c r="C7794" s="235"/>
      <c r="D7794" s="213"/>
      <c r="E7794" s="226"/>
      <c r="F7794" s="155"/>
      <c r="G7794" s="143"/>
      <c r="H7794" s="142"/>
    </row>
    <row r="7795" spans="2:8" s="196" customFormat="1">
      <c r="B7795" s="142"/>
      <c r="C7795" s="235"/>
      <c r="D7795" s="213"/>
      <c r="E7795" s="226"/>
      <c r="F7795" s="155"/>
      <c r="G7795" s="143"/>
      <c r="H7795" s="142"/>
    </row>
    <row r="7796" spans="2:8" s="196" customFormat="1">
      <c r="B7796" s="142"/>
      <c r="C7796" s="235"/>
      <c r="D7796" s="213"/>
      <c r="E7796" s="226"/>
      <c r="F7796" s="155"/>
      <c r="G7796" s="143"/>
      <c r="H7796" s="142"/>
    </row>
    <row r="7797" spans="2:8" s="196" customFormat="1">
      <c r="B7797" s="142"/>
      <c r="C7797" s="235"/>
      <c r="D7797" s="213"/>
      <c r="E7797" s="226"/>
      <c r="F7797" s="155"/>
      <c r="G7797" s="143"/>
      <c r="H7797" s="142"/>
    </row>
    <row r="7798" spans="2:8" s="196" customFormat="1">
      <c r="B7798" s="142"/>
      <c r="C7798" s="235"/>
      <c r="D7798" s="213"/>
      <c r="E7798" s="226"/>
      <c r="F7798" s="155"/>
      <c r="G7798" s="143"/>
      <c r="H7798" s="142"/>
    </row>
    <row r="7799" spans="2:8" s="196" customFormat="1">
      <c r="B7799" s="142"/>
      <c r="C7799" s="235"/>
      <c r="D7799" s="213"/>
      <c r="E7799" s="226"/>
      <c r="F7799" s="155"/>
      <c r="G7799" s="143"/>
      <c r="H7799" s="142"/>
    </row>
    <row r="7800" spans="2:8" s="196" customFormat="1">
      <c r="B7800" s="142"/>
      <c r="C7800" s="235"/>
      <c r="D7800" s="213"/>
      <c r="E7800" s="226"/>
      <c r="F7800" s="155"/>
      <c r="G7800" s="143"/>
      <c r="H7800" s="142"/>
    </row>
    <row r="7801" spans="2:8" s="196" customFormat="1">
      <c r="B7801" s="142"/>
      <c r="C7801" s="235"/>
      <c r="D7801" s="213"/>
      <c r="E7801" s="226"/>
      <c r="F7801" s="155"/>
      <c r="G7801" s="143"/>
      <c r="H7801" s="142"/>
    </row>
    <row r="7802" spans="2:8" s="196" customFormat="1">
      <c r="B7802" s="142"/>
      <c r="C7802" s="235"/>
      <c r="D7802" s="213"/>
      <c r="E7802" s="226"/>
      <c r="F7802" s="155"/>
      <c r="G7802" s="143"/>
      <c r="H7802" s="142"/>
    </row>
    <row r="7803" spans="2:8" s="196" customFormat="1">
      <c r="B7803" s="142"/>
      <c r="C7803" s="235"/>
      <c r="D7803" s="213"/>
      <c r="E7803" s="226"/>
      <c r="F7803" s="155"/>
      <c r="G7803" s="143"/>
      <c r="H7803" s="142"/>
    </row>
    <row r="7804" spans="2:8" s="196" customFormat="1">
      <c r="B7804" s="142"/>
      <c r="C7804" s="235"/>
      <c r="D7804" s="213"/>
      <c r="E7804" s="226"/>
      <c r="F7804" s="155"/>
      <c r="G7804" s="143"/>
      <c r="H7804" s="142"/>
    </row>
    <row r="7805" spans="2:8" s="196" customFormat="1">
      <c r="B7805" s="142"/>
      <c r="C7805" s="235"/>
      <c r="D7805" s="213"/>
      <c r="E7805" s="226"/>
      <c r="F7805" s="155"/>
      <c r="G7805" s="143"/>
      <c r="H7805" s="142"/>
    </row>
    <row r="7806" spans="2:8" s="196" customFormat="1">
      <c r="B7806" s="142"/>
      <c r="C7806" s="235"/>
      <c r="D7806" s="213"/>
      <c r="E7806" s="226"/>
      <c r="F7806" s="155"/>
      <c r="G7806" s="143"/>
      <c r="H7806" s="142"/>
    </row>
    <row r="7807" spans="2:8" s="196" customFormat="1">
      <c r="B7807" s="142"/>
      <c r="C7807" s="235"/>
      <c r="D7807" s="213"/>
      <c r="E7807" s="226"/>
      <c r="F7807" s="155"/>
      <c r="G7807" s="143"/>
      <c r="H7807" s="142"/>
    </row>
    <row r="7808" spans="2:8" s="196" customFormat="1">
      <c r="B7808" s="142"/>
      <c r="C7808" s="235"/>
      <c r="D7808" s="213"/>
      <c r="E7808" s="226"/>
      <c r="F7808" s="155"/>
      <c r="G7808" s="143"/>
      <c r="H7808" s="142"/>
    </row>
    <row r="7809" spans="2:8" s="196" customFormat="1">
      <c r="B7809" s="142"/>
      <c r="C7809" s="235"/>
      <c r="D7809" s="213"/>
      <c r="E7809" s="226"/>
      <c r="F7809" s="155"/>
      <c r="G7809" s="143"/>
      <c r="H7809" s="142"/>
    </row>
    <row r="7810" spans="2:8" s="196" customFormat="1">
      <c r="B7810" s="142"/>
      <c r="C7810" s="235"/>
      <c r="D7810" s="213"/>
      <c r="E7810" s="226"/>
      <c r="F7810" s="155"/>
      <c r="G7810" s="143"/>
      <c r="H7810" s="142"/>
    </row>
    <row r="7811" spans="2:8" s="196" customFormat="1">
      <c r="B7811" s="142"/>
      <c r="C7811" s="235"/>
      <c r="D7811" s="213"/>
      <c r="E7811" s="226"/>
      <c r="F7811" s="155"/>
      <c r="G7811" s="143"/>
      <c r="H7811" s="142"/>
    </row>
    <row r="7812" spans="2:8" s="196" customFormat="1">
      <c r="B7812" s="142"/>
      <c r="C7812" s="235"/>
      <c r="D7812" s="213"/>
      <c r="E7812" s="226"/>
      <c r="F7812" s="155"/>
      <c r="G7812" s="143"/>
      <c r="H7812" s="142"/>
    </row>
    <row r="7813" spans="2:8" s="196" customFormat="1">
      <c r="B7813" s="142"/>
      <c r="C7813" s="235"/>
      <c r="D7813" s="213"/>
      <c r="E7813" s="226"/>
      <c r="F7813" s="155"/>
      <c r="G7813" s="143"/>
      <c r="H7813" s="142"/>
    </row>
    <row r="7814" spans="2:8" s="196" customFormat="1">
      <c r="B7814" s="142"/>
      <c r="C7814" s="235"/>
      <c r="D7814" s="213"/>
      <c r="E7814" s="226"/>
      <c r="F7814" s="155"/>
      <c r="G7814" s="143"/>
      <c r="H7814" s="142"/>
    </row>
    <row r="7815" spans="2:8" s="196" customFormat="1">
      <c r="B7815" s="142"/>
      <c r="C7815" s="235"/>
      <c r="D7815" s="213"/>
      <c r="E7815" s="226"/>
      <c r="F7815" s="155"/>
      <c r="G7815" s="143"/>
      <c r="H7815" s="142"/>
    </row>
    <row r="7816" spans="2:8" s="196" customFormat="1">
      <c r="B7816" s="142"/>
      <c r="C7816" s="235"/>
      <c r="D7816" s="213"/>
      <c r="E7816" s="226"/>
      <c r="F7816" s="155"/>
      <c r="G7816" s="143"/>
      <c r="H7816" s="142"/>
    </row>
    <row r="7817" spans="2:8" s="196" customFormat="1">
      <c r="B7817" s="142"/>
      <c r="C7817" s="235"/>
      <c r="D7817" s="213"/>
      <c r="E7817" s="226"/>
      <c r="F7817" s="155"/>
      <c r="G7817" s="143"/>
      <c r="H7817" s="142"/>
    </row>
    <row r="7818" spans="2:8" s="196" customFormat="1">
      <c r="B7818" s="142"/>
      <c r="C7818" s="235"/>
      <c r="D7818" s="213"/>
      <c r="E7818" s="226"/>
      <c r="F7818" s="155"/>
      <c r="G7818" s="143"/>
      <c r="H7818" s="142"/>
    </row>
    <row r="7819" spans="2:8" s="196" customFormat="1">
      <c r="B7819" s="142"/>
      <c r="C7819" s="235"/>
      <c r="D7819" s="213"/>
      <c r="E7819" s="226"/>
      <c r="F7819" s="155"/>
      <c r="G7819" s="143"/>
      <c r="H7819" s="142"/>
    </row>
    <row r="7820" spans="2:8" s="196" customFormat="1">
      <c r="B7820" s="142"/>
      <c r="C7820" s="235"/>
      <c r="D7820" s="213"/>
      <c r="E7820" s="226"/>
      <c r="F7820" s="155"/>
      <c r="G7820" s="143"/>
      <c r="H7820" s="142"/>
    </row>
    <row r="7821" spans="2:8" s="196" customFormat="1">
      <c r="B7821" s="142"/>
      <c r="C7821" s="235"/>
      <c r="D7821" s="213"/>
      <c r="E7821" s="226"/>
      <c r="F7821" s="155"/>
      <c r="G7821" s="143"/>
      <c r="H7821" s="142"/>
    </row>
    <row r="7822" spans="2:8" s="196" customFormat="1">
      <c r="B7822" s="142"/>
      <c r="C7822" s="235"/>
      <c r="D7822" s="213"/>
      <c r="E7822" s="226"/>
      <c r="F7822" s="155"/>
      <c r="G7822" s="143"/>
      <c r="H7822" s="142"/>
    </row>
    <row r="7823" spans="2:8" s="196" customFormat="1">
      <c r="B7823" s="142"/>
      <c r="C7823" s="235"/>
      <c r="D7823" s="213"/>
      <c r="E7823" s="226"/>
      <c r="F7823" s="155"/>
      <c r="G7823" s="143"/>
      <c r="H7823" s="142"/>
    </row>
    <row r="7824" spans="2:8" s="196" customFormat="1">
      <c r="B7824" s="142"/>
      <c r="C7824" s="235"/>
      <c r="D7824" s="213"/>
      <c r="E7824" s="226"/>
      <c r="F7824" s="155"/>
      <c r="G7824" s="143"/>
      <c r="H7824" s="142"/>
    </row>
    <row r="7825" spans="2:8" s="196" customFormat="1">
      <c r="B7825" s="142"/>
      <c r="C7825" s="235"/>
      <c r="D7825" s="213"/>
      <c r="E7825" s="226"/>
      <c r="F7825" s="155"/>
      <c r="G7825" s="143"/>
      <c r="H7825" s="142"/>
    </row>
    <row r="7826" spans="2:8" s="196" customFormat="1">
      <c r="B7826" s="142"/>
      <c r="C7826" s="235"/>
      <c r="D7826" s="213"/>
      <c r="E7826" s="226"/>
      <c r="F7826" s="155"/>
      <c r="G7826" s="143"/>
      <c r="H7826" s="142"/>
    </row>
    <row r="7827" spans="2:8" s="196" customFormat="1">
      <c r="B7827" s="142"/>
      <c r="C7827" s="235"/>
      <c r="D7827" s="213"/>
      <c r="E7827" s="226"/>
      <c r="F7827" s="155"/>
      <c r="G7827" s="143"/>
      <c r="H7827" s="142"/>
    </row>
    <row r="7828" spans="2:8" s="196" customFormat="1">
      <c r="B7828" s="142"/>
      <c r="C7828" s="235"/>
      <c r="D7828" s="213"/>
      <c r="E7828" s="226"/>
      <c r="F7828" s="155"/>
      <c r="G7828" s="143"/>
      <c r="H7828" s="142"/>
    </row>
    <row r="7829" spans="2:8" s="196" customFormat="1">
      <c r="B7829" s="142"/>
      <c r="C7829" s="235"/>
      <c r="D7829" s="213"/>
      <c r="E7829" s="226"/>
      <c r="F7829" s="155"/>
      <c r="G7829" s="143"/>
      <c r="H7829" s="142"/>
    </row>
    <row r="7830" spans="2:8" s="196" customFormat="1">
      <c r="B7830" s="142"/>
      <c r="C7830" s="235"/>
      <c r="D7830" s="213"/>
      <c r="E7830" s="226"/>
      <c r="F7830" s="155"/>
      <c r="G7830" s="143"/>
      <c r="H7830" s="142"/>
    </row>
    <row r="7831" spans="2:8" s="196" customFormat="1">
      <c r="B7831" s="142"/>
      <c r="C7831" s="235"/>
      <c r="D7831" s="213"/>
      <c r="E7831" s="226"/>
      <c r="F7831" s="155"/>
      <c r="G7831" s="143"/>
      <c r="H7831" s="142"/>
    </row>
    <row r="7832" spans="2:8" s="196" customFormat="1">
      <c r="B7832" s="142"/>
      <c r="C7832" s="235"/>
      <c r="D7832" s="213"/>
      <c r="E7832" s="226"/>
      <c r="F7832" s="155"/>
      <c r="G7832" s="143"/>
      <c r="H7832" s="142"/>
    </row>
    <row r="7833" spans="2:8" s="196" customFormat="1">
      <c r="B7833" s="142"/>
      <c r="C7833" s="235"/>
      <c r="D7833" s="213"/>
      <c r="E7833" s="226"/>
      <c r="F7833" s="155"/>
      <c r="G7833" s="143"/>
      <c r="H7833" s="142"/>
    </row>
    <row r="7834" spans="2:8" s="196" customFormat="1">
      <c r="B7834" s="142"/>
      <c r="C7834" s="235"/>
      <c r="D7834" s="213"/>
      <c r="E7834" s="226"/>
      <c r="F7834" s="155"/>
      <c r="G7834" s="143"/>
      <c r="H7834" s="142"/>
    </row>
    <row r="7835" spans="2:8" s="196" customFormat="1">
      <c r="B7835" s="142"/>
      <c r="C7835" s="235"/>
      <c r="D7835" s="213"/>
      <c r="E7835" s="226"/>
      <c r="F7835" s="155"/>
      <c r="G7835" s="143"/>
      <c r="H7835" s="142"/>
    </row>
    <row r="7836" spans="2:8" s="196" customFormat="1">
      <c r="B7836" s="142"/>
      <c r="C7836" s="235"/>
      <c r="D7836" s="213"/>
      <c r="E7836" s="226"/>
      <c r="F7836" s="155"/>
      <c r="G7836" s="143"/>
      <c r="H7836" s="142"/>
    </row>
    <row r="7837" spans="2:8" s="196" customFormat="1">
      <c r="B7837" s="142"/>
      <c r="C7837" s="235"/>
      <c r="D7837" s="213"/>
      <c r="E7837" s="226"/>
      <c r="F7837" s="155"/>
      <c r="G7837" s="143"/>
      <c r="H7837" s="142"/>
    </row>
    <row r="7838" spans="2:8" s="196" customFormat="1">
      <c r="B7838" s="142"/>
      <c r="C7838" s="235"/>
      <c r="D7838" s="213"/>
      <c r="E7838" s="226"/>
      <c r="F7838" s="155"/>
      <c r="G7838" s="143"/>
      <c r="H7838" s="142"/>
    </row>
    <row r="7839" spans="2:8" s="196" customFormat="1">
      <c r="B7839" s="142"/>
      <c r="C7839" s="235"/>
      <c r="D7839" s="213"/>
      <c r="E7839" s="226"/>
      <c r="F7839" s="155"/>
      <c r="G7839" s="143"/>
      <c r="H7839" s="142"/>
    </row>
    <row r="7840" spans="2:8" s="196" customFormat="1">
      <c r="B7840" s="142"/>
      <c r="C7840" s="235"/>
      <c r="D7840" s="213"/>
      <c r="E7840" s="226"/>
      <c r="F7840" s="155"/>
      <c r="G7840" s="143"/>
      <c r="H7840" s="142"/>
    </row>
    <row r="7841" spans="2:8" s="196" customFormat="1">
      <c r="B7841" s="142"/>
      <c r="C7841" s="235"/>
      <c r="D7841" s="213"/>
      <c r="E7841" s="226"/>
      <c r="F7841" s="155"/>
      <c r="G7841" s="143"/>
      <c r="H7841" s="142"/>
    </row>
    <row r="7842" spans="2:8" s="196" customFormat="1">
      <c r="B7842" s="142"/>
      <c r="C7842" s="235"/>
      <c r="D7842" s="213"/>
      <c r="E7842" s="226"/>
      <c r="F7842" s="155"/>
      <c r="G7842" s="143"/>
      <c r="H7842" s="142"/>
    </row>
    <row r="7843" spans="2:8" s="196" customFormat="1">
      <c r="B7843" s="142"/>
      <c r="C7843" s="235"/>
      <c r="D7843" s="213"/>
      <c r="E7843" s="226"/>
      <c r="F7843" s="155"/>
      <c r="G7843" s="143"/>
      <c r="H7843" s="142"/>
    </row>
    <row r="7844" spans="2:8" s="196" customFormat="1">
      <c r="B7844" s="142"/>
      <c r="C7844" s="235"/>
      <c r="D7844" s="213"/>
      <c r="E7844" s="226"/>
      <c r="F7844" s="155"/>
      <c r="G7844" s="143"/>
      <c r="H7844" s="142"/>
    </row>
    <row r="7845" spans="2:8" s="196" customFormat="1">
      <c r="B7845" s="142"/>
      <c r="C7845" s="235"/>
      <c r="D7845" s="213"/>
      <c r="E7845" s="226"/>
      <c r="F7845" s="155"/>
      <c r="G7845" s="143"/>
      <c r="H7845" s="142"/>
    </row>
    <row r="7846" spans="2:8" s="196" customFormat="1">
      <c r="B7846" s="142"/>
      <c r="C7846" s="235"/>
      <c r="D7846" s="213"/>
      <c r="E7846" s="226"/>
      <c r="F7846" s="155"/>
      <c r="G7846" s="143"/>
      <c r="H7846" s="142"/>
    </row>
    <row r="7847" spans="2:8" s="196" customFormat="1">
      <c r="B7847" s="142"/>
      <c r="C7847" s="235"/>
      <c r="D7847" s="213"/>
      <c r="E7847" s="226"/>
      <c r="F7847" s="155"/>
      <c r="G7847" s="143"/>
      <c r="H7847" s="142"/>
    </row>
    <row r="7848" spans="2:8" s="196" customFormat="1">
      <c r="B7848" s="142"/>
      <c r="C7848" s="235"/>
      <c r="D7848" s="213"/>
      <c r="E7848" s="226"/>
      <c r="F7848" s="155"/>
      <c r="G7848" s="143"/>
      <c r="H7848" s="142"/>
    </row>
    <row r="7849" spans="2:8" s="196" customFormat="1">
      <c r="B7849" s="142"/>
      <c r="C7849" s="235"/>
      <c r="D7849" s="213"/>
      <c r="E7849" s="226"/>
      <c r="F7849" s="155"/>
      <c r="G7849" s="143"/>
      <c r="H7849" s="142"/>
    </row>
    <row r="7850" spans="2:8" s="196" customFormat="1">
      <c r="B7850" s="142"/>
      <c r="C7850" s="235"/>
      <c r="D7850" s="213"/>
      <c r="E7850" s="226"/>
      <c r="F7850" s="155"/>
      <c r="G7850" s="143"/>
      <c r="H7850" s="142"/>
    </row>
    <row r="7851" spans="2:8" s="196" customFormat="1">
      <c r="B7851" s="142"/>
      <c r="C7851" s="235"/>
      <c r="D7851" s="213"/>
      <c r="E7851" s="226"/>
      <c r="F7851" s="155"/>
      <c r="G7851" s="143"/>
      <c r="H7851" s="142"/>
    </row>
    <row r="7852" spans="2:8" s="196" customFormat="1">
      <c r="B7852" s="142"/>
      <c r="C7852" s="235"/>
      <c r="D7852" s="213"/>
      <c r="E7852" s="226"/>
      <c r="F7852" s="155"/>
      <c r="G7852" s="143"/>
      <c r="H7852" s="142"/>
    </row>
    <row r="7853" spans="2:8" s="196" customFormat="1">
      <c r="B7853" s="142"/>
      <c r="C7853" s="235"/>
      <c r="D7853" s="213"/>
      <c r="E7853" s="226"/>
      <c r="F7853" s="155"/>
      <c r="G7853" s="143"/>
      <c r="H7853" s="142"/>
    </row>
    <row r="7854" spans="2:8" s="196" customFormat="1">
      <c r="B7854" s="142"/>
      <c r="C7854" s="235"/>
      <c r="D7854" s="213"/>
      <c r="E7854" s="226"/>
      <c r="F7854" s="155"/>
      <c r="G7854" s="143"/>
      <c r="H7854" s="142"/>
    </row>
    <row r="7855" spans="2:8" s="196" customFormat="1">
      <c r="B7855" s="142"/>
      <c r="C7855" s="235"/>
      <c r="D7855" s="213"/>
      <c r="E7855" s="226"/>
      <c r="F7855" s="155"/>
      <c r="G7855" s="143"/>
      <c r="H7855" s="142"/>
    </row>
    <row r="7856" spans="2:8" s="196" customFormat="1">
      <c r="B7856" s="142"/>
      <c r="C7856" s="235"/>
      <c r="D7856" s="213"/>
      <c r="E7856" s="226"/>
      <c r="F7856" s="155"/>
      <c r="G7856" s="143"/>
      <c r="H7856" s="142"/>
    </row>
    <row r="7857" spans="2:8" s="196" customFormat="1">
      <c r="B7857" s="142"/>
      <c r="C7857" s="235"/>
      <c r="D7857" s="213"/>
      <c r="E7857" s="226"/>
      <c r="F7857" s="155"/>
      <c r="G7857" s="143"/>
      <c r="H7857" s="142"/>
    </row>
    <row r="7858" spans="2:8" s="196" customFormat="1">
      <c r="B7858" s="142"/>
      <c r="C7858" s="235"/>
      <c r="D7858" s="213"/>
      <c r="E7858" s="226"/>
      <c r="F7858" s="155"/>
      <c r="G7858" s="143"/>
      <c r="H7858" s="142"/>
    </row>
    <row r="7859" spans="2:8" s="196" customFormat="1">
      <c r="B7859" s="142"/>
      <c r="C7859" s="235"/>
      <c r="D7859" s="213"/>
      <c r="E7859" s="226"/>
      <c r="F7859" s="155"/>
      <c r="G7859" s="143"/>
      <c r="H7859" s="142"/>
    </row>
    <row r="7860" spans="2:8" s="196" customFormat="1">
      <c r="B7860" s="142"/>
      <c r="C7860" s="235"/>
      <c r="D7860" s="213"/>
      <c r="E7860" s="226"/>
      <c r="F7860" s="155"/>
      <c r="G7860" s="143"/>
      <c r="H7860" s="142"/>
    </row>
    <row r="7861" spans="2:8" s="196" customFormat="1">
      <c r="B7861" s="142"/>
      <c r="C7861" s="235"/>
      <c r="D7861" s="213"/>
      <c r="E7861" s="226"/>
      <c r="F7861" s="155"/>
      <c r="G7861" s="143"/>
      <c r="H7861" s="142"/>
    </row>
    <row r="7862" spans="2:8" s="196" customFormat="1">
      <c r="B7862" s="142"/>
      <c r="C7862" s="235"/>
      <c r="D7862" s="213"/>
      <c r="E7862" s="226"/>
      <c r="F7862" s="155"/>
      <c r="G7862" s="143"/>
      <c r="H7862" s="142"/>
    </row>
    <row r="7863" spans="2:8" s="196" customFormat="1">
      <c r="B7863" s="142"/>
      <c r="C7863" s="235"/>
      <c r="D7863" s="213"/>
      <c r="E7863" s="226"/>
      <c r="F7863" s="155"/>
      <c r="G7863" s="143"/>
      <c r="H7863" s="142"/>
    </row>
    <row r="7864" spans="2:8" s="196" customFormat="1">
      <c r="B7864" s="142"/>
      <c r="C7864" s="235"/>
      <c r="D7864" s="213"/>
      <c r="E7864" s="226"/>
      <c r="F7864" s="155"/>
      <c r="G7864" s="143"/>
      <c r="H7864" s="142"/>
    </row>
    <row r="7865" spans="2:8" s="196" customFormat="1">
      <c r="B7865" s="142"/>
      <c r="C7865" s="235"/>
      <c r="D7865" s="213"/>
      <c r="E7865" s="226"/>
      <c r="F7865" s="155"/>
      <c r="G7865" s="143"/>
      <c r="H7865" s="142"/>
    </row>
    <row r="7866" spans="2:8" s="196" customFormat="1">
      <c r="B7866" s="142"/>
      <c r="C7866" s="235"/>
      <c r="D7866" s="213"/>
      <c r="E7866" s="226"/>
      <c r="F7866" s="155"/>
      <c r="G7866" s="143"/>
      <c r="H7866" s="142"/>
    </row>
    <row r="7867" spans="2:8" s="196" customFormat="1">
      <c r="B7867" s="142"/>
      <c r="C7867" s="235"/>
      <c r="D7867" s="213"/>
      <c r="E7867" s="226"/>
      <c r="F7867" s="155"/>
      <c r="G7867" s="143"/>
      <c r="H7867" s="142"/>
    </row>
    <row r="7868" spans="2:8" s="196" customFormat="1">
      <c r="B7868" s="142"/>
      <c r="C7868" s="235"/>
      <c r="D7868" s="213"/>
      <c r="E7868" s="226"/>
      <c r="F7868" s="155"/>
      <c r="G7868" s="143"/>
      <c r="H7868" s="142"/>
    </row>
    <row r="7869" spans="2:8" s="196" customFormat="1">
      <c r="B7869" s="142"/>
      <c r="C7869" s="235"/>
      <c r="D7869" s="213"/>
      <c r="E7869" s="226"/>
      <c r="F7869" s="155"/>
      <c r="G7869" s="143"/>
      <c r="H7869" s="142"/>
    </row>
    <row r="7870" spans="2:8" s="196" customFormat="1">
      <c r="B7870" s="142"/>
      <c r="C7870" s="235"/>
      <c r="D7870" s="213"/>
      <c r="E7870" s="226"/>
      <c r="F7870" s="155"/>
      <c r="G7870" s="143"/>
      <c r="H7870" s="142"/>
    </row>
    <row r="7871" spans="2:8" s="196" customFormat="1">
      <c r="B7871" s="142"/>
      <c r="C7871" s="235"/>
      <c r="D7871" s="213"/>
      <c r="E7871" s="226"/>
      <c r="F7871" s="155"/>
      <c r="G7871" s="143"/>
      <c r="H7871" s="142"/>
    </row>
    <row r="7872" spans="2:8" s="196" customFormat="1">
      <c r="B7872" s="142"/>
      <c r="C7872" s="235"/>
      <c r="D7872" s="213"/>
      <c r="E7872" s="226"/>
      <c r="F7872" s="155"/>
      <c r="G7872" s="143"/>
      <c r="H7872" s="142"/>
    </row>
    <row r="7873" spans="2:8" s="196" customFormat="1">
      <c r="B7873" s="142"/>
      <c r="C7873" s="235"/>
      <c r="D7873" s="213"/>
      <c r="E7873" s="226"/>
      <c r="F7873" s="155"/>
      <c r="G7873" s="143"/>
      <c r="H7873" s="142"/>
    </row>
    <row r="7874" spans="2:8" s="196" customFormat="1">
      <c r="B7874" s="142"/>
      <c r="C7874" s="235"/>
      <c r="D7874" s="213"/>
      <c r="E7874" s="226"/>
      <c r="F7874" s="155"/>
      <c r="G7874" s="143"/>
      <c r="H7874" s="142"/>
    </row>
    <row r="7875" spans="2:8" s="196" customFormat="1">
      <c r="B7875" s="142"/>
      <c r="C7875" s="235"/>
      <c r="D7875" s="213"/>
      <c r="E7875" s="226"/>
      <c r="F7875" s="155"/>
      <c r="G7875" s="143"/>
      <c r="H7875" s="142"/>
    </row>
    <row r="7876" spans="2:8" s="196" customFormat="1">
      <c r="B7876" s="142"/>
      <c r="C7876" s="235"/>
      <c r="D7876" s="213"/>
      <c r="E7876" s="226"/>
      <c r="F7876" s="155"/>
      <c r="G7876" s="143"/>
      <c r="H7876" s="142"/>
    </row>
    <row r="7877" spans="2:8" s="196" customFormat="1">
      <c r="B7877" s="142"/>
      <c r="C7877" s="235"/>
      <c r="D7877" s="213"/>
      <c r="E7877" s="226"/>
      <c r="F7877" s="155"/>
      <c r="G7877" s="143"/>
      <c r="H7877" s="142"/>
    </row>
    <row r="7878" spans="2:8" s="196" customFormat="1">
      <c r="B7878" s="142"/>
      <c r="C7878" s="235"/>
      <c r="D7878" s="213"/>
      <c r="E7878" s="226"/>
      <c r="F7878" s="155"/>
      <c r="G7878" s="143"/>
      <c r="H7878" s="142"/>
    </row>
    <row r="7879" spans="2:8" s="196" customFormat="1">
      <c r="B7879" s="142"/>
      <c r="C7879" s="235"/>
      <c r="D7879" s="213"/>
      <c r="E7879" s="226"/>
      <c r="F7879" s="155"/>
      <c r="G7879" s="143"/>
      <c r="H7879" s="142"/>
    </row>
    <row r="7880" spans="2:8" s="196" customFormat="1">
      <c r="B7880" s="142"/>
      <c r="C7880" s="235"/>
      <c r="D7880" s="213"/>
      <c r="E7880" s="226"/>
      <c r="F7880" s="155"/>
      <c r="G7880" s="143"/>
      <c r="H7880" s="142"/>
    </row>
    <row r="7881" spans="2:8" s="196" customFormat="1">
      <c r="B7881" s="142"/>
      <c r="C7881" s="235"/>
      <c r="D7881" s="213"/>
      <c r="E7881" s="226"/>
      <c r="F7881" s="155"/>
      <c r="G7881" s="143"/>
      <c r="H7881" s="142"/>
    </row>
    <row r="7882" spans="2:8" s="196" customFormat="1">
      <c r="B7882" s="142"/>
      <c r="C7882" s="235"/>
      <c r="D7882" s="213"/>
      <c r="E7882" s="226"/>
      <c r="F7882" s="155"/>
      <c r="G7882" s="143"/>
      <c r="H7882" s="142"/>
    </row>
    <row r="7883" spans="2:8" s="196" customFormat="1">
      <c r="B7883" s="142"/>
      <c r="C7883" s="235"/>
      <c r="D7883" s="213"/>
      <c r="E7883" s="226"/>
      <c r="F7883" s="155"/>
      <c r="G7883" s="143"/>
      <c r="H7883" s="142"/>
    </row>
    <row r="7884" spans="2:8" s="196" customFormat="1">
      <c r="B7884" s="142"/>
      <c r="C7884" s="235"/>
      <c r="D7884" s="213"/>
      <c r="E7884" s="226"/>
      <c r="F7884" s="155"/>
      <c r="G7884" s="143"/>
      <c r="H7884" s="142"/>
    </row>
    <row r="7885" spans="2:8" s="196" customFormat="1">
      <c r="B7885" s="142"/>
      <c r="C7885" s="235"/>
      <c r="D7885" s="213"/>
      <c r="E7885" s="226"/>
      <c r="F7885" s="155"/>
      <c r="G7885" s="143"/>
      <c r="H7885" s="142"/>
    </row>
    <row r="7886" spans="2:8" s="196" customFormat="1">
      <c r="B7886" s="142"/>
      <c r="C7886" s="235"/>
      <c r="D7886" s="213"/>
      <c r="E7886" s="226"/>
      <c r="F7886" s="155"/>
      <c r="G7886" s="143"/>
      <c r="H7886" s="142"/>
    </row>
    <row r="7887" spans="2:8" s="196" customFormat="1">
      <c r="B7887" s="142"/>
      <c r="C7887" s="235"/>
      <c r="D7887" s="213"/>
      <c r="E7887" s="226"/>
      <c r="F7887" s="155"/>
      <c r="G7887" s="143"/>
      <c r="H7887" s="142"/>
    </row>
    <row r="7888" spans="2:8" s="196" customFormat="1">
      <c r="B7888" s="142"/>
      <c r="C7888" s="235"/>
      <c r="D7888" s="213"/>
      <c r="E7888" s="226"/>
      <c r="F7888" s="155"/>
      <c r="G7888" s="143"/>
      <c r="H7888" s="142"/>
    </row>
    <row r="7889" spans="2:8" s="196" customFormat="1">
      <c r="B7889" s="142"/>
      <c r="C7889" s="235"/>
      <c r="D7889" s="213"/>
      <c r="E7889" s="226"/>
      <c r="F7889" s="155"/>
      <c r="G7889" s="143"/>
      <c r="H7889" s="142"/>
    </row>
    <row r="7890" spans="2:8" s="196" customFormat="1">
      <c r="B7890" s="142"/>
      <c r="C7890" s="235"/>
      <c r="D7890" s="213"/>
      <c r="E7890" s="226"/>
      <c r="F7890" s="155"/>
      <c r="G7890" s="143"/>
      <c r="H7890" s="142"/>
    </row>
    <row r="7891" spans="2:8" s="196" customFormat="1">
      <c r="B7891" s="142"/>
      <c r="C7891" s="235"/>
      <c r="D7891" s="213"/>
      <c r="E7891" s="226"/>
      <c r="F7891" s="155"/>
      <c r="G7891" s="143"/>
      <c r="H7891" s="142"/>
    </row>
    <row r="7892" spans="2:8" s="196" customFormat="1">
      <c r="B7892" s="142"/>
      <c r="C7892" s="235"/>
      <c r="D7892" s="213"/>
      <c r="E7892" s="226"/>
      <c r="F7892" s="155"/>
      <c r="G7892" s="143"/>
      <c r="H7892" s="142"/>
    </row>
    <row r="7893" spans="2:8" s="196" customFormat="1">
      <c r="B7893" s="142"/>
      <c r="C7893" s="235"/>
      <c r="D7893" s="213"/>
      <c r="E7893" s="226"/>
      <c r="F7893" s="155"/>
      <c r="G7893" s="143"/>
      <c r="H7893" s="142"/>
    </row>
    <row r="7894" spans="2:8" s="196" customFormat="1">
      <c r="B7894" s="142"/>
      <c r="C7894" s="235"/>
      <c r="D7894" s="213"/>
      <c r="E7894" s="226"/>
      <c r="F7894" s="155"/>
      <c r="G7894" s="143"/>
      <c r="H7894" s="142"/>
    </row>
    <row r="7895" spans="2:8" s="196" customFormat="1">
      <c r="B7895" s="142"/>
      <c r="C7895" s="235"/>
      <c r="D7895" s="213"/>
      <c r="E7895" s="226"/>
      <c r="F7895" s="155"/>
      <c r="G7895" s="143"/>
      <c r="H7895" s="142"/>
    </row>
    <row r="7896" spans="2:8" s="196" customFormat="1">
      <c r="B7896" s="142"/>
      <c r="C7896" s="235"/>
      <c r="D7896" s="213"/>
      <c r="E7896" s="226"/>
      <c r="F7896" s="155"/>
      <c r="G7896" s="143"/>
      <c r="H7896" s="142"/>
    </row>
    <row r="7897" spans="2:8" s="196" customFormat="1">
      <c r="B7897" s="142"/>
      <c r="C7897" s="235"/>
      <c r="D7897" s="213"/>
      <c r="E7897" s="226"/>
      <c r="F7897" s="155"/>
      <c r="G7897" s="143"/>
      <c r="H7897" s="142"/>
    </row>
    <row r="7898" spans="2:8" s="196" customFormat="1">
      <c r="B7898" s="142"/>
      <c r="C7898" s="235"/>
      <c r="D7898" s="213"/>
      <c r="E7898" s="226"/>
      <c r="F7898" s="155"/>
      <c r="G7898" s="143"/>
      <c r="H7898" s="142"/>
    </row>
    <row r="7899" spans="2:8" s="196" customFormat="1">
      <c r="B7899" s="142"/>
      <c r="C7899" s="235"/>
      <c r="D7899" s="213"/>
      <c r="E7899" s="226"/>
      <c r="F7899" s="155"/>
      <c r="G7899" s="143"/>
      <c r="H7899" s="142"/>
    </row>
    <row r="7900" spans="2:8" s="196" customFormat="1">
      <c r="B7900" s="142"/>
      <c r="C7900" s="235"/>
      <c r="D7900" s="213"/>
      <c r="E7900" s="226"/>
      <c r="F7900" s="155"/>
      <c r="G7900" s="143"/>
      <c r="H7900" s="142"/>
    </row>
    <row r="7901" spans="2:8" s="196" customFormat="1">
      <c r="B7901" s="142"/>
      <c r="C7901" s="235"/>
      <c r="D7901" s="213"/>
      <c r="E7901" s="226"/>
      <c r="F7901" s="155"/>
      <c r="G7901" s="143"/>
      <c r="H7901" s="142"/>
    </row>
    <row r="7902" spans="2:8" s="196" customFormat="1">
      <c r="B7902" s="142"/>
      <c r="C7902" s="235"/>
      <c r="D7902" s="213"/>
      <c r="E7902" s="226"/>
      <c r="F7902" s="155"/>
      <c r="G7902" s="143"/>
      <c r="H7902" s="142"/>
    </row>
    <row r="7903" spans="2:8" s="196" customFormat="1">
      <c r="B7903" s="142"/>
      <c r="C7903" s="235"/>
      <c r="D7903" s="213"/>
      <c r="E7903" s="226"/>
      <c r="F7903" s="155"/>
      <c r="G7903" s="143"/>
      <c r="H7903" s="142"/>
    </row>
    <row r="7904" spans="2:8" s="196" customFormat="1">
      <c r="B7904" s="142"/>
      <c r="C7904" s="235"/>
      <c r="D7904" s="213"/>
      <c r="E7904" s="226"/>
      <c r="F7904" s="155"/>
      <c r="G7904" s="143"/>
      <c r="H7904" s="142"/>
    </row>
    <row r="7905" spans="2:8" s="196" customFormat="1">
      <c r="B7905" s="142"/>
      <c r="C7905" s="235"/>
      <c r="D7905" s="213"/>
      <c r="E7905" s="226"/>
      <c r="F7905" s="155"/>
      <c r="G7905" s="143"/>
      <c r="H7905" s="142"/>
    </row>
    <row r="7906" spans="2:8" s="196" customFormat="1">
      <c r="B7906" s="142"/>
      <c r="C7906" s="235"/>
      <c r="D7906" s="213"/>
      <c r="E7906" s="226"/>
      <c r="F7906" s="155"/>
      <c r="G7906" s="143"/>
      <c r="H7906" s="142"/>
    </row>
    <row r="7907" spans="2:8" s="196" customFormat="1">
      <c r="B7907" s="142"/>
      <c r="C7907" s="235"/>
      <c r="D7907" s="213"/>
      <c r="E7907" s="226"/>
      <c r="F7907" s="155"/>
      <c r="G7907" s="143"/>
      <c r="H7907" s="142"/>
    </row>
    <row r="7908" spans="2:8" s="196" customFormat="1">
      <c r="B7908" s="142"/>
      <c r="C7908" s="235"/>
      <c r="D7908" s="213"/>
      <c r="E7908" s="226"/>
      <c r="F7908" s="155"/>
      <c r="G7908" s="143"/>
      <c r="H7908" s="142"/>
    </row>
    <row r="7909" spans="2:8" s="196" customFormat="1">
      <c r="B7909" s="142"/>
      <c r="C7909" s="235"/>
      <c r="D7909" s="213"/>
      <c r="E7909" s="226"/>
      <c r="F7909" s="155"/>
      <c r="G7909" s="143"/>
      <c r="H7909" s="142"/>
    </row>
    <row r="7910" spans="2:8" s="196" customFormat="1">
      <c r="B7910" s="142"/>
      <c r="C7910" s="235"/>
      <c r="D7910" s="213"/>
      <c r="E7910" s="226"/>
      <c r="F7910" s="155"/>
      <c r="G7910" s="143"/>
      <c r="H7910" s="142"/>
    </row>
    <row r="7911" spans="2:8" s="196" customFormat="1">
      <c r="B7911" s="142"/>
      <c r="C7911" s="235"/>
      <c r="D7911" s="213"/>
      <c r="E7911" s="226"/>
      <c r="F7911" s="155"/>
      <c r="G7911" s="143"/>
      <c r="H7911" s="142"/>
    </row>
    <row r="7912" spans="2:8" s="196" customFormat="1">
      <c r="B7912" s="142"/>
      <c r="C7912" s="235"/>
      <c r="D7912" s="213"/>
      <c r="E7912" s="226"/>
      <c r="F7912" s="155"/>
      <c r="G7912" s="143"/>
      <c r="H7912" s="142"/>
    </row>
    <row r="7913" spans="2:8" s="196" customFormat="1">
      <c r="B7913" s="142"/>
      <c r="C7913" s="235"/>
      <c r="D7913" s="213"/>
      <c r="E7913" s="226"/>
      <c r="F7913" s="155"/>
      <c r="G7913" s="143"/>
      <c r="H7913" s="142"/>
    </row>
    <row r="7914" spans="2:8" s="196" customFormat="1">
      <c r="B7914" s="142"/>
      <c r="C7914" s="235"/>
      <c r="D7914" s="213"/>
      <c r="E7914" s="226"/>
      <c r="F7914" s="155"/>
      <c r="G7914" s="143"/>
      <c r="H7914" s="142"/>
    </row>
    <row r="7915" spans="2:8" s="196" customFormat="1">
      <c r="B7915" s="142"/>
      <c r="C7915" s="235"/>
      <c r="D7915" s="213"/>
      <c r="E7915" s="226"/>
      <c r="F7915" s="155"/>
      <c r="G7915" s="143"/>
      <c r="H7915" s="142"/>
    </row>
    <row r="7916" spans="2:8" s="196" customFormat="1">
      <c r="B7916" s="142"/>
      <c r="C7916" s="235"/>
      <c r="D7916" s="213"/>
      <c r="E7916" s="226"/>
      <c r="F7916" s="155"/>
      <c r="G7916" s="143"/>
      <c r="H7916" s="142"/>
    </row>
    <row r="7917" spans="2:8" s="196" customFormat="1">
      <c r="B7917" s="142"/>
      <c r="C7917" s="235"/>
      <c r="D7917" s="213"/>
      <c r="E7917" s="226"/>
      <c r="F7917" s="155"/>
      <c r="G7917" s="143"/>
      <c r="H7917" s="142"/>
    </row>
    <row r="7918" spans="2:8" s="196" customFormat="1">
      <c r="B7918" s="142"/>
      <c r="C7918" s="235"/>
      <c r="D7918" s="213"/>
      <c r="E7918" s="226"/>
      <c r="F7918" s="155"/>
      <c r="G7918" s="143"/>
      <c r="H7918" s="142"/>
    </row>
    <row r="7919" spans="2:8" s="196" customFormat="1">
      <c r="B7919" s="142"/>
      <c r="C7919" s="235"/>
      <c r="D7919" s="213"/>
      <c r="E7919" s="226"/>
      <c r="F7919" s="155"/>
      <c r="G7919" s="143"/>
      <c r="H7919" s="142"/>
    </row>
    <row r="7920" spans="2:8" s="196" customFormat="1">
      <c r="B7920" s="142"/>
      <c r="C7920" s="235"/>
      <c r="D7920" s="213"/>
      <c r="E7920" s="226"/>
      <c r="F7920" s="155"/>
      <c r="G7920" s="143"/>
      <c r="H7920" s="142"/>
    </row>
    <row r="7921" spans="2:8" s="196" customFormat="1">
      <c r="B7921" s="142"/>
      <c r="C7921" s="235"/>
      <c r="D7921" s="213"/>
      <c r="E7921" s="226"/>
      <c r="F7921" s="155"/>
      <c r="G7921" s="143"/>
      <c r="H7921" s="142"/>
    </row>
    <row r="7922" spans="2:8" s="196" customFormat="1">
      <c r="B7922" s="142"/>
      <c r="C7922" s="235"/>
      <c r="D7922" s="213"/>
      <c r="E7922" s="226"/>
      <c r="F7922" s="155"/>
      <c r="G7922" s="143"/>
      <c r="H7922" s="142"/>
    </row>
    <row r="7923" spans="2:8" s="196" customFormat="1">
      <c r="B7923" s="142"/>
      <c r="C7923" s="235"/>
      <c r="D7923" s="213"/>
      <c r="E7923" s="226"/>
      <c r="F7923" s="155"/>
      <c r="G7923" s="143"/>
      <c r="H7923" s="142"/>
    </row>
    <row r="7924" spans="2:8" s="196" customFormat="1">
      <c r="B7924" s="142"/>
      <c r="C7924" s="235"/>
      <c r="D7924" s="213"/>
      <c r="E7924" s="226"/>
      <c r="F7924" s="155"/>
      <c r="G7924" s="143"/>
      <c r="H7924" s="142"/>
    </row>
    <row r="7925" spans="2:8" s="196" customFormat="1">
      <c r="B7925" s="142"/>
      <c r="C7925" s="235"/>
      <c r="D7925" s="213"/>
      <c r="E7925" s="226"/>
      <c r="F7925" s="155"/>
      <c r="G7925" s="143"/>
      <c r="H7925" s="142"/>
    </row>
    <row r="7926" spans="2:8" s="196" customFormat="1">
      <c r="B7926" s="142"/>
      <c r="C7926" s="235"/>
      <c r="D7926" s="213"/>
      <c r="E7926" s="226"/>
      <c r="F7926" s="155"/>
      <c r="G7926" s="143"/>
      <c r="H7926" s="142"/>
    </row>
    <row r="7927" spans="2:8" s="196" customFormat="1">
      <c r="B7927" s="142"/>
      <c r="C7927" s="235"/>
      <c r="D7927" s="213"/>
      <c r="E7927" s="226"/>
      <c r="F7927" s="155"/>
      <c r="G7927" s="143"/>
      <c r="H7927" s="142"/>
    </row>
    <row r="7928" spans="2:8" s="196" customFormat="1">
      <c r="B7928" s="142"/>
      <c r="C7928" s="235"/>
      <c r="D7928" s="213"/>
      <c r="E7928" s="226"/>
      <c r="F7928" s="155"/>
      <c r="G7928" s="143"/>
      <c r="H7928" s="142"/>
    </row>
    <row r="7929" spans="2:8" s="196" customFormat="1">
      <c r="B7929" s="142"/>
      <c r="C7929" s="235"/>
      <c r="D7929" s="213"/>
      <c r="E7929" s="226"/>
      <c r="F7929" s="155"/>
      <c r="G7929" s="143"/>
      <c r="H7929" s="142"/>
    </row>
    <row r="7930" spans="2:8" s="196" customFormat="1">
      <c r="B7930" s="142"/>
      <c r="C7930" s="235"/>
      <c r="D7930" s="213"/>
      <c r="E7930" s="226"/>
      <c r="F7930" s="155"/>
      <c r="G7930" s="143"/>
      <c r="H7930" s="142"/>
    </row>
    <row r="7931" spans="2:8" s="196" customFormat="1">
      <c r="B7931" s="142"/>
      <c r="C7931" s="235"/>
      <c r="D7931" s="213"/>
      <c r="E7931" s="226"/>
      <c r="F7931" s="155"/>
      <c r="G7931" s="143"/>
      <c r="H7931" s="142"/>
    </row>
    <row r="7932" spans="2:8" s="196" customFormat="1">
      <c r="B7932" s="142"/>
      <c r="C7932" s="235"/>
      <c r="D7932" s="213"/>
      <c r="E7932" s="226"/>
      <c r="F7932" s="155"/>
      <c r="G7932" s="143"/>
      <c r="H7932" s="142"/>
    </row>
    <row r="7933" spans="2:8" s="196" customFormat="1">
      <c r="B7933" s="142"/>
      <c r="C7933" s="235"/>
      <c r="D7933" s="213"/>
      <c r="E7933" s="226"/>
      <c r="F7933" s="155"/>
      <c r="G7933" s="143"/>
      <c r="H7933" s="142"/>
    </row>
    <row r="7934" spans="2:8" s="196" customFormat="1">
      <c r="B7934" s="142"/>
      <c r="C7934" s="235"/>
      <c r="D7934" s="213"/>
      <c r="E7934" s="226"/>
      <c r="F7934" s="155"/>
      <c r="G7934" s="143"/>
      <c r="H7934" s="142"/>
    </row>
    <row r="7935" spans="2:8" s="196" customFormat="1">
      <c r="B7935" s="142"/>
      <c r="C7935" s="235"/>
      <c r="D7935" s="213"/>
      <c r="E7935" s="226"/>
      <c r="F7935" s="155"/>
      <c r="G7935" s="143"/>
      <c r="H7935" s="142"/>
    </row>
    <row r="7936" spans="2:8" s="196" customFormat="1">
      <c r="B7936" s="142"/>
      <c r="C7936" s="235"/>
      <c r="D7936" s="213"/>
      <c r="E7936" s="226"/>
      <c r="F7936" s="155"/>
      <c r="G7936" s="143"/>
      <c r="H7936" s="142"/>
    </row>
    <row r="7937" spans="2:8" s="196" customFormat="1">
      <c r="B7937" s="142"/>
      <c r="C7937" s="235"/>
      <c r="D7937" s="213"/>
      <c r="E7937" s="226"/>
      <c r="F7937" s="155"/>
      <c r="G7937" s="143"/>
      <c r="H7937" s="142"/>
    </row>
    <row r="7938" spans="2:8" s="196" customFormat="1">
      <c r="B7938" s="142"/>
      <c r="C7938" s="235"/>
      <c r="D7938" s="213"/>
      <c r="E7938" s="226"/>
      <c r="F7938" s="155"/>
      <c r="G7938" s="143"/>
      <c r="H7938" s="142"/>
    </row>
    <row r="7939" spans="2:8" s="196" customFormat="1">
      <c r="B7939" s="142"/>
      <c r="C7939" s="235"/>
      <c r="D7939" s="213"/>
      <c r="E7939" s="226"/>
      <c r="F7939" s="155"/>
      <c r="G7939" s="143"/>
      <c r="H7939" s="142"/>
    </row>
    <row r="7940" spans="2:8" s="196" customFormat="1">
      <c r="B7940" s="142"/>
      <c r="C7940" s="235"/>
      <c r="D7940" s="213"/>
      <c r="E7940" s="226"/>
      <c r="F7940" s="155"/>
      <c r="G7940" s="143"/>
      <c r="H7940" s="142"/>
    </row>
    <row r="7941" spans="2:8" s="196" customFormat="1">
      <c r="B7941" s="142"/>
      <c r="C7941" s="235"/>
      <c r="D7941" s="213"/>
      <c r="E7941" s="226"/>
      <c r="F7941" s="155"/>
      <c r="G7941" s="143"/>
      <c r="H7941" s="142"/>
    </row>
    <row r="7942" spans="2:8" s="196" customFormat="1">
      <c r="B7942" s="142"/>
      <c r="C7942" s="235"/>
      <c r="D7942" s="213"/>
      <c r="E7942" s="226"/>
      <c r="F7942" s="155"/>
      <c r="G7942" s="143"/>
      <c r="H7942" s="142"/>
    </row>
    <row r="7943" spans="2:8" s="196" customFormat="1">
      <c r="B7943" s="142"/>
      <c r="C7943" s="235"/>
      <c r="D7943" s="213"/>
      <c r="E7943" s="226"/>
      <c r="F7943" s="155"/>
      <c r="G7943" s="143"/>
      <c r="H7943" s="142"/>
    </row>
    <row r="7944" spans="2:8" s="196" customFormat="1">
      <c r="B7944" s="142"/>
      <c r="C7944" s="235"/>
      <c r="D7944" s="213"/>
      <c r="E7944" s="226"/>
      <c r="F7944" s="155"/>
      <c r="G7944" s="143"/>
      <c r="H7944" s="142"/>
    </row>
    <row r="7945" spans="2:8" s="196" customFormat="1">
      <c r="B7945" s="142"/>
      <c r="C7945" s="235"/>
      <c r="D7945" s="213"/>
      <c r="E7945" s="226"/>
      <c r="F7945" s="155"/>
      <c r="G7945" s="143"/>
      <c r="H7945" s="142"/>
    </row>
    <row r="7946" spans="2:8" s="196" customFormat="1">
      <c r="B7946" s="142"/>
      <c r="C7946" s="235"/>
      <c r="D7946" s="213"/>
      <c r="E7946" s="226"/>
      <c r="F7946" s="155"/>
      <c r="G7946" s="143"/>
      <c r="H7946" s="142"/>
    </row>
    <row r="7947" spans="2:8" s="196" customFormat="1">
      <c r="B7947" s="142"/>
      <c r="C7947" s="235"/>
      <c r="D7947" s="213"/>
      <c r="E7947" s="226"/>
      <c r="F7947" s="155"/>
      <c r="G7947" s="143"/>
      <c r="H7947" s="142"/>
    </row>
    <row r="7948" spans="2:8" s="196" customFormat="1">
      <c r="B7948" s="142"/>
      <c r="C7948" s="235"/>
      <c r="D7948" s="213"/>
      <c r="E7948" s="226"/>
      <c r="F7948" s="155"/>
      <c r="G7948" s="143"/>
      <c r="H7948" s="142"/>
    </row>
    <row r="7949" spans="2:8" s="196" customFormat="1">
      <c r="B7949" s="142"/>
      <c r="C7949" s="235"/>
      <c r="D7949" s="213"/>
      <c r="E7949" s="226"/>
      <c r="F7949" s="155"/>
      <c r="G7949" s="143"/>
      <c r="H7949" s="142"/>
    </row>
    <row r="7950" spans="2:8" s="196" customFormat="1">
      <c r="B7950" s="142"/>
      <c r="C7950" s="235"/>
      <c r="D7950" s="213"/>
      <c r="E7950" s="226"/>
      <c r="F7950" s="155"/>
      <c r="G7950" s="143"/>
      <c r="H7950" s="142"/>
    </row>
    <row r="7951" spans="2:8" s="196" customFormat="1">
      <c r="B7951" s="142"/>
      <c r="C7951" s="235"/>
      <c r="D7951" s="213"/>
      <c r="E7951" s="226"/>
      <c r="F7951" s="155"/>
      <c r="G7951" s="143"/>
      <c r="H7951" s="142"/>
    </row>
    <row r="7952" spans="2:8" s="196" customFormat="1">
      <c r="B7952" s="142"/>
      <c r="C7952" s="235"/>
      <c r="D7952" s="213"/>
      <c r="E7952" s="226"/>
      <c r="F7952" s="155"/>
      <c r="G7952" s="143"/>
      <c r="H7952" s="142"/>
    </row>
    <row r="7953" spans="2:8" s="196" customFormat="1">
      <c r="B7953" s="142"/>
      <c r="C7953" s="235"/>
      <c r="D7953" s="213"/>
      <c r="E7953" s="226"/>
      <c r="F7953" s="155"/>
      <c r="G7953" s="143"/>
      <c r="H7953" s="142"/>
    </row>
    <row r="7954" spans="2:8" s="196" customFormat="1">
      <c r="B7954" s="142"/>
      <c r="C7954" s="235"/>
      <c r="D7954" s="213"/>
      <c r="E7954" s="226"/>
      <c r="F7954" s="155"/>
      <c r="G7954" s="143"/>
      <c r="H7954" s="142"/>
    </row>
    <row r="7955" spans="2:8" s="196" customFormat="1">
      <c r="B7955" s="142"/>
      <c r="C7955" s="235"/>
      <c r="D7955" s="213"/>
      <c r="E7955" s="226"/>
      <c r="F7955" s="155"/>
      <c r="G7955" s="143"/>
      <c r="H7955" s="142"/>
    </row>
    <row r="7956" spans="2:8" s="196" customFormat="1">
      <c r="B7956" s="142"/>
      <c r="C7956" s="235"/>
      <c r="D7956" s="213"/>
      <c r="E7956" s="226"/>
      <c r="F7956" s="155"/>
      <c r="G7956" s="143"/>
      <c r="H7956" s="142"/>
    </row>
    <row r="7957" spans="2:8" s="196" customFormat="1">
      <c r="B7957" s="142"/>
      <c r="C7957" s="235"/>
      <c r="D7957" s="213"/>
      <c r="E7957" s="226"/>
      <c r="F7957" s="155"/>
      <c r="G7957" s="143"/>
      <c r="H7957" s="142"/>
    </row>
    <row r="7958" spans="2:8" s="196" customFormat="1">
      <c r="B7958" s="142"/>
      <c r="C7958" s="235"/>
      <c r="D7958" s="213"/>
      <c r="E7958" s="226"/>
      <c r="F7958" s="155"/>
      <c r="G7958" s="143"/>
      <c r="H7958" s="142"/>
    </row>
    <row r="7959" spans="2:8" s="196" customFormat="1">
      <c r="B7959" s="142"/>
      <c r="C7959" s="235"/>
      <c r="D7959" s="213"/>
      <c r="E7959" s="226"/>
      <c r="F7959" s="155"/>
      <c r="G7959" s="143"/>
      <c r="H7959" s="142"/>
    </row>
    <row r="7960" spans="2:8" s="196" customFormat="1">
      <c r="B7960" s="142"/>
      <c r="C7960" s="235"/>
      <c r="D7960" s="213"/>
      <c r="E7960" s="226"/>
      <c r="F7960" s="155"/>
      <c r="G7960" s="143"/>
      <c r="H7960" s="142"/>
    </row>
    <row r="7961" spans="2:8" s="196" customFormat="1">
      <c r="B7961" s="142"/>
      <c r="C7961" s="235"/>
      <c r="D7961" s="213"/>
      <c r="E7961" s="226"/>
      <c r="F7961" s="155"/>
      <c r="G7961" s="143"/>
      <c r="H7961" s="142"/>
    </row>
    <row r="7962" spans="2:8" s="196" customFormat="1">
      <c r="B7962" s="142"/>
      <c r="C7962" s="235"/>
      <c r="D7962" s="213"/>
      <c r="E7962" s="226"/>
      <c r="F7962" s="155"/>
      <c r="G7962" s="143"/>
      <c r="H7962" s="142"/>
    </row>
    <row r="7963" spans="2:8" s="196" customFormat="1">
      <c r="B7963" s="142"/>
      <c r="C7963" s="235"/>
      <c r="D7963" s="213"/>
      <c r="E7963" s="226"/>
      <c r="F7963" s="155"/>
      <c r="G7963" s="143"/>
      <c r="H7963" s="142"/>
    </row>
    <row r="7964" spans="2:8" s="196" customFormat="1">
      <c r="B7964" s="142"/>
      <c r="C7964" s="235"/>
      <c r="D7964" s="213"/>
      <c r="E7964" s="226"/>
      <c r="F7964" s="155"/>
      <c r="G7964" s="143"/>
      <c r="H7964" s="142"/>
    </row>
    <row r="7965" spans="2:8" s="196" customFormat="1">
      <c r="B7965" s="142"/>
      <c r="C7965" s="235"/>
      <c r="D7965" s="213"/>
      <c r="E7965" s="226"/>
      <c r="F7965" s="155"/>
      <c r="G7965" s="143"/>
      <c r="H7965" s="142"/>
    </row>
    <row r="7966" spans="2:8" s="196" customFormat="1">
      <c r="B7966" s="142"/>
      <c r="C7966" s="235"/>
      <c r="D7966" s="213"/>
      <c r="E7966" s="226"/>
      <c r="F7966" s="155"/>
      <c r="G7966" s="143"/>
      <c r="H7966" s="142"/>
    </row>
    <row r="7967" spans="2:8" s="196" customFormat="1">
      <c r="B7967" s="142"/>
      <c r="C7967" s="235"/>
      <c r="D7967" s="213"/>
      <c r="E7967" s="226"/>
      <c r="F7967" s="155"/>
      <c r="G7967" s="143"/>
      <c r="H7967" s="142"/>
    </row>
    <row r="7968" spans="2:8" s="196" customFormat="1">
      <c r="B7968" s="142"/>
      <c r="C7968" s="235"/>
      <c r="D7968" s="213"/>
      <c r="E7968" s="226"/>
      <c r="F7968" s="155"/>
      <c r="G7968" s="143"/>
      <c r="H7968" s="142"/>
    </row>
    <row r="7969" spans="2:8" s="196" customFormat="1">
      <c r="B7969" s="142"/>
      <c r="C7969" s="235"/>
      <c r="D7969" s="213"/>
      <c r="E7969" s="226"/>
      <c r="F7969" s="155"/>
      <c r="G7969" s="143"/>
      <c r="H7969" s="142"/>
    </row>
    <row r="7970" spans="2:8" s="196" customFormat="1">
      <c r="B7970" s="142"/>
      <c r="C7970" s="235"/>
      <c r="D7970" s="213"/>
      <c r="E7970" s="226"/>
      <c r="F7970" s="155"/>
      <c r="G7970" s="143"/>
      <c r="H7970" s="142"/>
    </row>
    <row r="7971" spans="2:8" s="196" customFormat="1">
      <c r="B7971" s="142"/>
      <c r="C7971" s="235"/>
      <c r="D7971" s="213"/>
      <c r="E7971" s="226"/>
      <c r="F7971" s="155"/>
      <c r="G7971" s="143"/>
      <c r="H7971" s="142"/>
    </row>
    <row r="7972" spans="2:8" s="196" customFormat="1">
      <c r="B7972" s="142"/>
      <c r="C7972" s="235"/>
      <c r="D7972" s="213"/>
      <c r="E7972" s="226"/>
      <c r="F7972" s="155"/>
      <c r="G7972" s="143"/>
      <c r="H7972" s="142"/>
    </row>
    <row r="7973" spans="2:8" s="196" customFormat="1">
      <c r="B7973" s="142"/>
      <c r="C7973" s="235"/>
      <c r="D7973" s="213"/>
      <c r="E7973" s="226"/>
      <c r="F7973" s="155"/>
      <c r="G7973" s="143"/>
      <c r="H7973" s="142"/>
    </row>
    <row r="7974" spans="2:8" s="196" customFormat="1">
      <c r="B7974" s="142"/>
      <c r="C7974" s="235"/>
      <c r="D7974" s="213"/>
      <c r="E7974" s="226"/>
      <c r="F7974" s="155"/>
      <c r="G7974" s="143"/>
      <c r="H7974" s="142"/>
    </row>
    <row r="7975" spans="2:8" s="196" customFormat="1">
      <c r="B7975" s="142"/>
      <c r="C7975" s="235"/>
      <c r="D7975" s="213"/>
      <c r="E7975" s="226"/>
      <c r="F7975" s="155"/>
      <c r="G7975" s="143"/>
      <c r="H7975" s="142"/>
    </row>
    <row r="7976" spans="2:8" s="196" customFormat="1">
      <c r="B7976" s="142"/>
      <c r="C7976" s="235"/>
      <c r="D7976" s="213"/>
      <c r="E7976" s="226"/>
      <c r="F7976" s="155"/>
      <c r="G7976" s="143"/>
      <c r="H7976" s="142"/>
    </row>
    <row r="7977" spans="2:8" s="196" customFormat="1">
      <c r="B7977" s="142"/>
      <c r="C7977" s="235"/>
      <c r="D7977" s="213"/>
      <c r="E7977" s="226"/>
      <c r="F7977" s="155"/>
      <c r="G7977" s="143"/>
      <c r="H7977" s="142"/>
    </row>
    <row r="7978" spans="2:8" s="196" customFormat="1">
      <c r="B7978" s="142"/>
      <c r="C7978" s="235"/>
      <c r="D7978" s="213"/>
      <c r="E7978" s="226"/>
      <c r="F7978" s="155"/>
      <c r="G7978" s="143"/>
      <c r="H7978" s="142"/>
    </row>
    <row r="7979" spans="2:8" s="196" customFormat="1">
      <c r="B7979" s="142"/>
      <c r="C7979" s="235"/>
      <c r="D7979" s="213"/>
      <c r="E7979" s="226"/>
      <c r="F7979" s="155"/>
      <c r="G7979" s="143"/>
      <c r="H7979" s="142"/>
    </row>
    <row r="7980" spans="2:8" s="196" customFormat="1">
      <c r="B7980" s="142"/>
      <c r="C7980" s="235"/>
      <c r="D7980" s="213"/>
      <c r="E7980" s="226"/>
      <c r="F7980" s="155"/>
      <c r="G7980" s="143"/>
      <c r="H7980" s="142"/>
    </row>
    <row r="7981" spans="2:8" s="196" customFormat="1">
      <c r="B7981" s="142"/>
      <c r="C7981" s="235"/>
      <c r="D7981" s="213"/>
      <c r="E7981" s="226"/>
      <c r="F7981" s="155"/>
      <c r="G7981" s="143"/>
      <c r="H7981" s="142"/>
    </row>
    <row r="7982" spans="2:8" s="196" customFormat="1">
      <c r="B7982" s="142"/>
      <c r="C7982" s="235"/>
      <c r="D7982" s="213"/>
      <c r="E7982" s="226"/>
      <c r="F7982" s="155"/>
      <c r="G7982" s="143"/>
      <c r="H7982" s="142"/>
    </row>
    <row r="7983" spans="2:8" s="196" customFormat="1">
      <c r="B7983" s="142"/>
      <c r="C7983" s="235"/>
      <c r="D7983" s="213"/>
      <c r="E7983" s="226"/>
      <c r="F7983" s="155"/>
      <c r="G7983" s="143"/>
      <c r="H7983" s="142"/>
    </row>
    <row r="7984" spans="2:8" s="196" customFormat="1">
      <c r="B7984" s="142"/>
      <c r="C7984" s="235"/>
      <c r="D7984" s="213"/>
      <c r="E7984" s="226"/>
      <c r="F7984" s="155"/>
      <c r="G7984" s="143"/>
      <c r="H7984" s="142"/>
    </row>
    <row r="7985" spans="2:8" s="196" customFormat="1">
      <c r="B7985" s="142"/>
      <c r="C7985" s="235"/>
      <c r="D7985" s="213"/>
      <c r="E7985" s="226"/>
      <c r="F7985" s="155"/>
      <c r="G7985" s="143"/>
      <c r="H7985" s="142"/>
    </row>
    <row r="7986" spans="2:8" s="196" customFormat="1">
      <c r="B7986" s="142"/>
      <c r="C7986" s="235"/>
      <c r="D7986" s="213"/>
      <c r="E7986" s="226"/>
      <c r="F7986" s="155"/>
      <c r="G7986" s="143"/>
      <c r="H7986" s="142"/>
    </row>
    <row r="7987" spans="2:8" s="196" customFormat="1">
      <c r="B7987" s="142"/>
      <c r="C7987" s="235"/>
      <c r="D7987" s="213"/>
      <c r="E7987" s="226"/>
      <c r="F7987" s="155"/>
      <c r="G7987" s="143"/>
      <c r="H7987" s="142"/>
    </row>
    <row r="7988" spans="2:8" s="196" customFormat="1">
      <c r="B7988" s="142"/>
      <c r="C7988" s="235"/>
      <c r="D7988" s="213"/>
      <c r="E7988" s="226"/>
      <c r="F7988" s="155"/>
      <c r="G7988" s="143"/>
      <c r="H7988" s="142"/>
    </row>
    <row r="7989" spans="2:8" s="196" customFormat="1">
      <c r="B7989" s="142"/>
      <c r="C7989" s="235"/>
      <c r="D7989" s="213"/>
      <c r="E7989" s="226"/>
      <c r="F7989" s="155"/>
      <c r="G7989" s="143"/>
      <c r="H7989" s="142"/>
    </row>
    <row r="7990" spans="2:8" s="196" customFormat="1">
      <c r="B7990" s="142"/>
      <c r="C7990" s="235"/>
      <c r="D7990" s="213"/>
      <c r="E7990" s="226"/>
      <c r="F7990" s="155"/>
      <c r="G7990" s="143"/>
      <c r="H7990" s="142"/>
    </row>
    <row r="7991" spans="2:8" s="196" customFormat="1">
      <c r="B7991" s="142"/>
      <c r="C7991" s="235"/>
      <c r="D7991" s="213"/>
      <c r="E7991" s="226"/>
      <c r="F7991" s="155"/>
      <c r="G7991" s="143"/>
      <c r="H7991" s="142"/>
    </row>
    <row r="7992" spans="2:8" s="196" customFormat="1">
      <c r="B7992" s="142"/>
      <c r="C7992" s="235"/>
      <c r="D7992" s="213"/>
      <c r="E7992" s="226"/>
      <c r="F7992" s="155"/>
      <c r="G7992" s="143"/>
      <c r="H7992" s="142"/>
    </row>
    <row r="7993" spans="2:8" s="196" customFormat="1">
      <c r="B7993" s="142"/>
      <c r="C7993" s="235"/>
      <c r="D7993" s="213"/>
      <c r="E7993" s="226"/>
      <c r="F7993" s="155"/>
      <c r="G7993" s="143"/>
      <c r="H7993" s="142"/>
    </row>
    <row r="7994" spans="2:8" s="196" customFormat="1">
      <c r="B7994" s="142"/>
      <c r="C7994" s="235"/>
      <c r="D7994" s="213"/>
      <c r="E7994" s="226"/>
      <c r="F7994" s="155"/>
      <c r="G7994" s="143"/>
      <c r="H7994" s="142"/>
    </row>
    <row r="7995" spans="2:8" s="196" customFormat="1">
      <c r="B7995" s="142"/>
      <c r="C7995" s="235"/>
      <c r="D7995" s="213"/>
      <c r="E7995" s="226"/>
      <c r="F7995" s="155"/>
      <c r="G7995" s="143"/>
      <c r="H7995" s="142"/>
    </row>
    <row r="7996" spans="2:8" s="196" customFormat="1">
      <c r="B7996" s="142"/>
      <c r="C7996" s="235"/>
      <c r="D7996" s="213"/>
      <c r="E7996" s="226"/>
      <c r="F7996" s="155"/>
      <c r="G7996" s="143"/>
      <c r="H7996" s="142"/>
    </row>
    <row r="7997" spans="2:8" s="196" customFormat="1">
      <c r="B7997" s="142"/>
      <c r="C7997" s="235"/>
      <c r="D7997" s="213"/>
      <c r="E7997" s="226"/>
      <c r="F7997" s="155"/>
      <c r="G7997" s="143"/>
      <c r="H7997" s="142"/>
    </row>
    <row r="7998" spans="2:8" s="196" customFormat="1">
      <c r="B7998" s="142"/>
      <c r="C7998" s="235"/>
      <c r="D7998" s="213"/>
      <c r="E7998" s="226"/>
      <c r="F7998" s="155"/>
      <c r="G7998" s="143"/>
      <c r="H7998" s="142"/>
    </row>
    <row r="7999" spans="2:8" s="196" customFormat="1">
      <c r="B7999" s="142"/>
      <c r="C7999" s="235"/>
      <c r="D7999" s="213"/>
      <c r="E7999" s="226"/>
      <c r="F7999" s="155"/>
      <c r="G7999" s="143"/>
      <c r="H7999" s="142"/>
    </row>
    <row r="8000" spans="2:8" s="196" customFormat="1">
      <c r="B8000" s="142"/>
      <c r="C8000" s="235"/>
      <c r="D8000" s="213"/>
      <c r="E8000" s="226"/>
      <c r="F8000" s="155"/>
      <c r="G8000" s="143"/>
      <c r="H8000" s="142"/>
    </row>
    <row r="8001" spans="2:8" s="196" customFormat="1">
      <c r="B8001" s="142"/>
      <c r="C8001" s="235"/>
      <c r="D8001" s="213"/>
      <c r="E8001" s="226"/>
      <c r="F8001" s="155"/>
      <c r="G8001" s="143"/>
      <c r="H8001" s="142"/>
    </row>
    <row r="8002" spans="2:8" s="196" customFormat="1">
      <c r="B8002" s="142"/>
      <c r="C8002" s="235"/>
      <c r="D8002" s="213"/>
      <c r="E8002" s="226"/>
      <c r="F8002" s="155"/>
      <c r="G8002" s="143"/>
      <c r="H8002" s="142"/>
    </row>
    <row r="8003" spans="2:8" s="196" customFormat="1">
      <c r="B8003" s="142"/>
      <c r="C8003" s="235"/>
      <c r="D8003" s="213"/>
      <c r="E8003" s="226"/>
      <c r="F8003" s="155"/>
      <c r="G8003" s="143"/>
      <c r="H8003" s="142"/>
    </row>
    <row r="8004" spans="2:8" s="196" customFormat="1">
      <c r="B8004" s="142"/>
      <c r="C8004" s="235"/>
      <c r="D8004" s="213"/>
      <c r="E8004" s="226"/>
      <c r="F8004" s="155"/>
      <c r="G8004" s="143"/>
      <c r="H8004" s="142"/>
    </row>
    <row r="8005" spans="2:8" s="196" customFormat="1">
      <c r="B8005" s="142"/>
      <c r="C8005" s="235"/>
      <c r="D8005" s="213"/>
      <c r="E8005" s="226"/>
      <c r="F8005" s="155"/>
      <c r="G8005" s="143"/>
      <c r="H8005" s="142"/>
    </row>
    <row r="8006" spans="2:8" s="196" customFormat="1">
      <c r="B8006" s="142"/>
      <c r="C8006" s="235"/>
      <c r="D8006" s="213"/>
      <c r="E8006" s="226"/>
      <c r="F8006" s="155"/>
      <c r="G8006" s="143"/>
      <c r="H8006" s="142"/>
    </row>
    <row r="8007" spans="2:8" s="196" customFormat="1">
      <c r="B8007" s="142"/>
      <c r="C8007" s="235"/>
      <c r="D8007" s="213"/>
      <c r="E8007" s="226"/>
      <c r="F8007" s="155"/>
      <c r="G8007" s="143"/>
      <c r="H8007" s="142"/>
    </row>
    <row r="8008" spans="2:8" s="196" customFormat="1">
      <c r="B8008" s="142"/>
      <c r="C8008" s="235"/>
      <c r="D8008" s="213"/>
      <c r="E8008" s="226"/>
      <c r="F8008" s="155"/>
      <c r="G8008" s="143"/>
      <c r="H8008" s="142"/>
    </row>
    <row r="8009" spans="2:8" s="196" customFormat="1">
      <c r="B8009" s="142"/>
      <c r="C8009" s="235"/>
      <c r="D8009" s="213"/>
      <c r="E8009" s="226"/>
      <c r="F8009" s="155"/>
      <c r="G8009" s="143"/>
      <c r="H8009" s="142"/>
    </row>
    <row r="8010" spans="2:8" s="196" customFormat="1">
      <c r="B8010" s="142"/>
      <c r="C8010" s="235"/>
      <c r="D8010" s="213"/>
      <c r="E8010" s="226"/>
      <c r="F8010" s="155"/>
      <c r="G8010" s="143"/>
      <c r="H8010" s="142"/>
    </row>
    <row r="8011" spans="2:8" s="196" customFormat="1">
      <c r="B8011" s="142"/>
      <c r="C8011" s="235"/>
      <c r="D8011" s="213"/>
      <c r="E8011" s="226"/>
      <c r="F8011" s="155"/>
      <c r="G8011" s="143"/>
      <c r="H8011" s="142"/>
    </row>
    <row r="8012" spans="2:8" s="196" customFormat="1">
      <c r="B8012" s="142"/>
      <c r="C8012" s="235"/>
      <c r="D8012" s="213"/>
      <c r="E8012" s="226"/>
      <c r="F8012" s="155"/>
      <c r="G8012" s="143"/>
      <c r="H8012" s="142"/>
    </row>
    <row r="8013" spans="2:8" s="196" customFormat="1">
      <c r="B8013" s="142"/>
      <c r="C8013" s="235"/>
      <c r="D8013" s="213"/>
      <c r="E8013" s="226"/>
      <c r="F8013" s="155"/>
      <c r="G8013" s="143"/>
      <c r="H8013" s="142"/>
    </row>
    <row r="8014" spans="2:8" s="196" customFormat="1">
      <c r="B8014" s="142"/>
      <c r="C8014" s="235"/>
      <c r="D8014" s="213"/>
      <c r="E8014" s="226"/>
      <c r="F8014" s="155"/>
      <c r="G8014" s="143"/>
      <c r="H8014" s="142"/>
    </row>
    <row r="8015" spans="2:8" s="196" customFormat="1">
      <c r="B8015" s="142"/>
      <c r="C8015" s="235"/>
      <c r="D8015" s="213"/>
      <c r="E8015" s="226"/>
      <c r="F8015" s="155"/>
      <c r="G8015" s="143"/>
      <c r="H8015" s="142"/>
    </row>
    <row r="8016" spans="2:8" s="196" customFormat="1">
      <c r="B8016" s="142"/>
      <c r="C8016" s="235"/>
      <c r="D8016" s="213"/>
      <c r="E8016" s="226"/>
      <c r="F8016" s="155"/>
      <c r="G8016" s="143"/>
      <c r="H8016" s="142"/>
    </row>
    <row r="8017" spans="2:8" s="196" customFormat="1">
      <c r="B8017" s="142"/>
      <c r="C8017" s="235"/>
      <c r="D8017" s="213"/>
      <c r="E8017" s="226"/>
      <c r="F8017" s="155"/>
      <c r="G8017" s="143"/>
      <c r="H8017" s="142"/>
    </row>
    <row r="8018" spans="2:8" s="196" customFormat="1">
      <c r="B8018" s="142"/>
      <c r="C8018" s="235"/>
      <c r="D8018" s="213"/>
      <c r="E8018" s="226"/>
      <c r="F8018" s="155"/>
      <c r="G8018" s="143"/>
      <c r="H8018" s="142"/>
    </row>
    <row r="8019" spans="2:8" s="196" customFormat="1">
      <c r="B8019" s="142"/>
      <c r="C8019" s="235"/>
      <c r="D8019" s="213"/>
      <c r="E8019" s="226"/>
      <c r="F8019" s="155"/>
      <c r="G8019" s="143"/>
      <c r="H8019" s="142"/>
    </row>
    <row r="8020" spans="2:8" s="196" customFormat="1">
      <c r="B8020" s="142"/>
      <c r="C8020" s="235"/>
      <c r="D8020" s="213"/>
      <c r="E8020" s="226"/>
      <c r="F8020" s="155"/>
      <c r="G8020" s="143"/>
      <c r="H8020" s="142"/>
    </row>
    <row r="8021" spans="2:8" s="196" customFormat="1">
      <c r="B8021" s="142"/>
      <c r="C8021" s="235"/>
      <c r="D8021" s="213"/>
      <c r="E8021" s="226"/>
      <c r="F8021" s="155"/>
      <c r="G8021" s="143"/>
      <c r="H8021" s="142"/>
    </row>
    <row r="8022" spans="2:8" s="196" customFormat="1">
      <c r="B8022" s="142"/>
      <c r="C8022" s="235"/>
      <c r="D8022" s="213"/>
      <c r="E8022" s="226"/>
      <c r="F8022" s="155"/>
      <c r="G8022" s="143"/>
      <c r="H8022" s="142"/>
    </row>
    <row r="8023" spans="2:8" s="196" customFormat="1">
      <c r="B8023" s="142"/>
      <c r="C8023" s="235"/>
      <c r="D8023" s="213"/>
      <c r="E8023" s="226"/>
      <c r="F8023" s="155"/>
      <c r="G8023" s="143"/>
      <c r="H8023" s="142"/>
    </row>
    <row r="8024" spans="2:8" s="196" customFormat="1">
      <c r="B8024" s="142"/>
      <c r="C8024" s="235"/>
      <c r="D8024" s="213"/>
      <c r="E8024" s="226"/>
      <c r="F8024" s="155"/>
      <c r="G8024" s="143"/>
    </row>
    <row r="8025" spans="2:8" s="196" customFormat="1">
      <c r="B8025" s="142"/>
      <c r="C8025" s="235"/>
      <c r="D8025" s="213"/>
      <c r="E8025" s="226"/>
      <c r="F8025" s="155"/>
      <c r="G8025" s="143"/>
    </row>
    <row r="8026" spans="2:8" s="196" customFormat="1">
      <c r="B8026" s="142"/>
      <c r="C8026" s="235"/>
      <c r="D8026" s="213"/>
      <c r="E8026" s="226"/>
      <c r="F8026" s="155"/>
      <c r="G8026" s="143"/>
    </row>
    <row r="8027" spans="2:8" s="196" customFormat="1">
      <c r="B8027" s="142"/>
      <c r="C8027" s="235"/>
      <c r="D8027" s="213"/>
      <c r="E8027" s="226"/>
      <c r="F8027" s="155"/>
      <c r="G8027" s="143"/>
    </row>
    <row r="8028" spans="2:8" s="196" customFormat="1">
      <c r="B8028" s="142"/>
      <c r="C8028" s="235"/>
      <c r="D8028" s="213"/>
      <c r="E8028" s="226"/>
      <c r="F8028" s="155"/>
      <c r="G8028" s="143"/>
    </row>
    <row r="8029" spans="2:8" s="196" customFormat="1">
      <c r="B8029" s="142"/>
      <c r="C8029" s="235"/>
      <c r="D8029" s="213"/>
      <c r="E8029" s="226"/>
      <c r="F8029" s="155"/>
      <c r="G8029" s="143"/>
    </row>
    <row r="8030" spans="2:8" s="196" customFormat="1">
      <c r="B8030" s="142"/>
      <c r="C8030" s="235"/>
      <c r="D8030" s="213"/>
      <c r="E8030" s="226"/>
      <c r="F8030" s="155"/>
      <c r="G8030" s="143"/>
    </row>
    <row r="8031" spans="2:8" s="196" customFormat="1">
      <c r="B8031" s="142"/>
      <c r="C8031" s="235"/>
      <c r="D8031" s="213"/>
      <c r="E8031" s="226"/>
      <c r="F8031" s="155"/>
      <c r="G8031" s="143"/>
    </row>
    <row r="8032" spans="2:8" s="196" customFormat="1">
      <c r="B8032" s="142"/>
      <c r="C8032" s="235"/>
      <c r="D8032" s="213"/>
      <c r="E8032" s="226"/>
      <c r="F8032" s="155"/>
      <c r="G8032" s="143"/>
    </row>
    <row r="8033" spans="2:7" s="196" customFormat="1">
      <c r="B8033" s="142"/>
      <c r="C8033" s="235"/>
      <c r="D8033" s="213"/>
      <c r="E8033" s="226"/>
      <c r="F8033" s="155"/>
      <c r="G8033" s="143"/>
    </row>
    <row r="8034" spans="2:7" s="196" customFormat="1">
      <c r="B8034" s="142"/>
      <c r="C8034" s="235"/>
      <c r="D8034" s="213"/>
      <c r="E8034" s="226"/>
      <c r="F8034" s="155"/>
      <c r="G8034" s="143"/>
    </row>
    <row r="8035" spans="2:7" s="196" customFormat="1">
      <c r="B8035" s="142"/>
      <c r="C8035" s="235"/>
      <c r="D8035" s="213"/>
      <c r="E8035" s="226"/>
      <c r="F8035" s="155"/>
      <c r="G8035" s="143"/>
    </row>
    <row r="8036" spans="2:7" s="196" customFormat="1">
      <c r="B8036" s="142"/>
      <c r="C8036" s="235"/>
      <c r="D8036" s="213"/>
      <c r="E8036" s="226"/>
      <c r="F8036" s="155"/>
      <c r="G8036" s="143"/>
    </row>
    <row r="8037" spans="2:7" s="196" customFormat="1">
      <c r="B8037" s="142"/>
      <c r="C8037" s="235"/>
      <c r="D8037" s="213"/>
      <c r="E8037" s="226"/>
      <c r="F8037" s="155"/>
      <c r="G8037" s="143"/>
    </row>
    <row r="8038" spans="2:7" s="196" customFormat="1">
      <c r="B8038" s="142"/>
      <c r="C8038" s="235"/>
      <c r="D8038" s="213"/>
      <c r="E8038" s="226"/>
      <c r="F8038" s="155"/>
      <c r="G8038" s="143"/>
    </row>
    <row r="8039" spans="2:7" s="196" customFormat="1">
      <c r="B8039" s="142"/>
      <c r="C8039" s="235"/>
      <c r="D8039" s="213"/>
      <c r="E8039" s="226"/>
      <c r="F8039" s="155"/>
      <c r="G8039" s="143"/>
    </row>
    <row r="8040" spans="2:7" s="196" customFormat="1">
      <c r="B8040" s="142"/>
      <c r="C8040" s="235"/>
      <c r="D8040" s="213"/>
      <c r="E8040" s="226"/>
      <c r="F8040" s="155"/>
      <c r="G8040" s="143"/>
    </row>
    <row r="8041" spans="2:7" s="196" customFormat="1">
      <c r="B8041" s="142"/>
      <c r="C8041" s="235"/>
      <c r="D8041" s="213"/>
      <c r="E8041" s="226"/>
      <c r="F8041" s="155"/>
      <c r="G8041" s="143"/>
    </row>
    <row r="8042" spans="2:7" s="196" customFormat="1">
      <c r="B8042" s="142"/>
      <c r="C8042" s="235"/>
      <c r="D8042" s="213"/>
      <c r="E8042" s="226"/>
      <c r="F8042" s="155"/>
      <c r="G8042" s="143"/>
    </row>
    <row r="8043" spans="2:7" s="196" customFormat="1">
      <c r="B8043" s="142"/>
      <c r="C8043" s="235"/>
      <c r="D8043" s="213"/>
      <c r="E8043" s="226"/>
      <c r="F8043" s="155"/>
      <c r="G8043" s="143"/>
    </row>
    <row r="8044" spans="2:7" s="196" customFormat="1">
      <c r="B8044" s="142"/>
      <c r="C8044" s="235"/>
      <c r="D8044" s="213"/>
      <c r="E8044" s="226"/>
      <c r="F8044" s="155"/>
      <c r="G8044" s="143"/>
    </row>
    <row r="8045" spans="2:7" s="196" customFormat="1">
      <c r="B8045" s="142"/>
      <c r="C8045" s="235"/>
      <c r="D8045" s="213"/>
      <c r="E8045" s="226"/>
      <c r="F8045" s="155"/>
      <c r="G8045" s="143"/>
    </row>
    <row r="8046" spans="2:7" s="196" customFormat="1">
      <c r="B8046" s="142"/>
      <c r="C8046" s="235"/>
      <c r="D8046" s="213"/>
      <c r="E8046" s="226"/>
      <c r="F8046" s="155"/>
      <c r="G8046" s="143"/>
    </row>
    <row r="8047" spans="2:7" s="196" customFormat="1">
      <c r="B8047" s="142"/>
      <c r="C8047" s="235"/>
      <c r="D8047" s="213"/>
      <c r="E8047" s="226"/>
      <c r="F8047" s="155"/>
      <c r="G8047" s="143"/>
    </row>
    <row r="8048" spans="2:7" s="196" customFormat="1">
      <c r="B8048" s="142"/>
      <c r="C8048" s="235"/>
      <c r="D8048" s="213"/>
      <c r="E8048" s="226"/>
      <c r="F8048" s="155"/>
      <c r="G8048" s="143"/>
    </row>
    <row r="8049" spans="2:7" s="196" customFormat="1">
      <c r="B8049" s="142"/>
      <c r="C8049" s="235"/>
      <c r="D8049" s="213"/>
      <c r="E8049" s="226"/>
      <c r="F8049" s="155"/>
      <c r="G8049" s="143"/>
    </row>
    <row r="8050" spans="2:7" s="196" customFormat="1">
      <c r="B8050" s="142"/>
      <c r="C8050" s="235"/>
      <c r="D8050" s="213"/>
      <c r="E8050" s="226"/>
      <c r="F8050" s="155"/>
      <c r="G8050" s="143"/>
    </row>
    <row r="8051" spans="2:7" s="196" customFormat="1">
      <c r="B8051" s="142"/>
      <c r="C8051" s="235"/>
      <c r="D8051" s="213"/>
      <c r="E8051" s="226"/>
      <c r="F8051" s="155"/>
      <c r="G8051" s="143"/>
    </row>
    <row r="8052" spans="2:7" s="196" customFormat="1">
      <c r="B8052" s="142"/>
      <c r="C8052" s="235"/>
      <c r="D8052" s="213"/>
      <c r="E8052" s="226"/>
      <c r="F8052" s="155"/>
      <c r="G8052" s="143"/>
    </row>
    <row r="8053" spans="2:7" s="196" customFormat="1">
      <c r="B8053" s="142"/>
      <c r="C8053" s="235"/>
      <c r="D8053" s="213"/>
      <c r="E8053" s="226"/>
      <c r="F8053" s="155"/>
      <c r="G8053" s="143"/>
    </row>
    <row r="8054" spans="2:7" s="196" customFormat="1">
      <c r="B8054" s="142"/>
      <c r="C8054" s="235"/>
      <c r="D8054" s="213"/>
      <c r="E8054" s="226"/>
      <c r="F8054" s="155"/>
      <c r="G8054" s="143"/>
    </row>
    <row r="8055" spans="2:7" s="196" customFormat="1">
      <c r="B8055" s="142"/>
      <c r="C8055" s="235"/>
      <c r="D8055" s="213"/>
      <c r="E8055" s="226"/>
      <c r="F8055" s="155"/>
      <c r="G8055" s="143"/>
    </row>
    <row r="8056" spans="2:7" s="196" customFormat="1">
      <c r="B8056" s="142"/>
      <c r="C8056" s="235"/>
      <c r="D8056" s="213"/>
      <c r="E8056" s="226"/>
      <c r="F8056" s="155"/>
      <c r="G8056" s="143"/>
    </row>
    <row r="8057" spans="2:7" s="196" customFormat="1">
      <c r="B8057" s="142"/>
      <c r="C8057" s="235"/>
      <c r="D8057" s="213"/>
      <c r="E8057" s="226"/>
      <c r="F8057" s="155"/>
      <c r="G8057" s="143"/>
    </row>
    <row r="8058" spans="2:7" s="196" customFormat="1">
      <c r="B8058" s="142"/>
      <c r="C8058" s="235"/>
      <c r="D8058" s="213"/>
      <c r="E8058" s="226"/>
      <c r="F8058" s="155"/>
      <c r="G8058" s="143"/>
    </row>
    <row r="8059" spans="2:7" s="196" customFormat="1">
      <c r="B8059" s="142"/>
      <c r="C8059" s="235"/>
      <c r="D8059" s="213"/>
      <c r="E8059" s="226"/>
      <c r="F8059" s="155"/>
      <c r="G8059" s="143"/>
    </row>
    <row r="8060" spans="2:7" s="196" customFormat="1">
      <c r="B8060" s="142"/>
      <c r="C8060" s="235"/>
      <c r="D8060" s="213"/>
      <c r="E8060" s="226"/>
      <c r="F8060" s="155"/>
      <c r="G8060" s="143"/>
    </row>
    <row r="8061" spans="2:7" s="196" customFormat="1">
      <c r="B8061" s="142"/>
      <c r="C8061" s="235"/>
      <c r="D8061" s="213"/>
      <c r="E8061" s="226"/>
      <c r="F8061" s="155"/>
      <c r="G8061" s="143"/>
    </row>
    <row r="8062" spans="2:7" s="196" customFormat="1">
      <c r="B8062" s="142"/>
      <c r="C8062" s="235"/>
      <c r="D8062" s="213"/>
      <c r="E8062" s="226"/>
      <c r="F8062" s="155"/>
      <c r="G8062" s="143"/>
    </row>
    <row r="8063" spans="2:7" s="196" customFormat="1">
      <c r="B8063" s="142"/>
      <c r="C8063" s="235"/>
      <c r="D8063" s="213"/>
      <c r="E8063" s="226"/>
      <c r="F8063" s="155"/>
      <c r="G8063" s="143"/>
    </row>
    <row r="8064" spans="2:7" s="196" customFormat="1">
      <c r="B8064" s="142"/>
      <c r="C8064" s="235"/>
      <c r="D8064" s="213"/>
      <c r="E8064" s="226"/>
      <c r="F8064" s="155"/>
      <c r="G8064" s="143"/>
    </row>
    <row r="8065" spans="2:7" s="196" customFormat="1">
      <c r="B8065" s="142"/>
      <c r="C8065" s="235"/>
      <c r="D8065" s="213"/>
      <c r="E8065" s="226"/>
      <c r="F8065" s="155"/>
      <c r="G8065" s="143"/>
    </row>
    <row r="8066" spans="2:7" s="196" customFormat="1">
      <c r="B8066" s="142"/>
      <c r="C8066" s="235"/>
      <c r="D8066" s="213"/>
      <c r="E8066" s="226"/>
      <c r="F8066" s="155"/>
      <c r="G8066" s="143"/>
    </row>
    <row r="8067" spans="2:7" s="196" customFormat="1">
      <c r="B8067" s="142"/>
      <c r="C8067" s="235"/>
      <c r="D8067" s="213"/>
      <c r="E8067" s="226"/>
      <c r="F8067" s="155"/>
      <c r="G8067" s="143"/>
    </row>
    <row r="8068" spans="2:7" s="196" customFormat="1">
      <c r="B8068" s="142"/>
      <c r="C8068" s="235"/>
      <c r="D8068" s="213"/>
      <c r="E8068" s="226"/>
      <c r="F8068" s="155"/>
      <c r="G8068" s="143"/>
    </row>
    <row r="8069" spans="2:7" s="196" customFormat="1">
      <c r="B8069" s="142"/>
      <c r="C8069" s="235"/>
      <c r="D8069" s="213"/>
      <c r="E8069" s="226"/>
      <c r="F8069" s="155"/>
      <c r="G8069" s="143"/>
    </row>
    <row r="8070" spans="2:7" s="196" customFormat="1">
      <c r="B8070" s="142"/>
      <c r="C8070" s="235"/>
      <c r="D8070" s="213"/>
      <c r="E8070" s="226"/>
      <c r="F8070" s="155"/>
      <c r="G8070" s="143"/>
    </row>
    <row r="8071" spans="2:7" s="196" customFormat="1">
      <c r="B8071" s="142"/>
      <c r="C8071" s="235"/>
      <c r="D8071" s="213"/>
      <c r="E8071" s="226"/>
      <c r="F8071" s="155"/>
      <c r="G8071" s="143"/>
    </row>
    <row r="8072" spans="2:7" s="196" customFormat="1">
      <c r="B8072" s="142"/>
      <c r="C8072" s="235"/>
      <c r="D8072" s="213"/>
      <c r="E8072" s="226"/>
      <c r="F8072" s="155"/>
      <c r="G8072" s="143"/>
    </row>
    <row r="8073" spans="2:7" s="196" customFormat="1">
      <c r="B8073" s="142"/>
      <c r="C8073" s="235"/>
      <c r="D8073" s="213"/>
      <c r="E8073" s="226"/>
      <c r="F8073" s="155"/>
      <c r="G8073" s="143"/>
    </row>
    <row r="8074" spans="2:7" s="196" customFormat="1">
      <c r="B8074" s="142"/>
      <c r="C8074" s="235"/>
      <c r="D8074" s="213"/>
      <c r="E8074" s="226"/>
      <c r="F8074" s="155"/>
      <c r="G8074" s="143"/>
    </row>
    <row r="8075" spans="2:7" s="196" customFormat="1">
      <c r="B8075" s="142"/>
      <c r="C8075" s="235"/>
      <c r="D8075" s="213"/>
      <c r="E8075" s="226"/>
      <c r="F8075" s="155"/>
      <c r="G8075" s="143"/>
    </row>
    <row r="8076" spans="2:7" s="196" customFormat="1">
      <c r="B8076" s="142"/>
      <c r="C8076" s="235"/>
      <c r="D8076" s="213"/>
      <c r="E8076" s="226"/>
      <c r="F8076" s="155"/>
      <c r="G8076" s="143"/>
    </row>
    <row r="8077" spans="2:7" s="196" customFormat="1">
      <c r="B8077" s="142"/>
      <c r="C8077" s="235"/>
      <c r="D8077" s="213"/>
      <c r="E8077" s="226"/>
      <c r="F8077" s="155"/>
      <c r="G8077" s="143"/>
    </row>
    <row r="8078" spans="2:7" s="196" customFormat="1">
      <c r="B8078" s="142"/>
      <c r="C8078" s="235"/>
      <c r="D8078" s="213"/>
      <c r="E8078" s="226"/>
      <c r="F8078" s="155"/>
      <c r="G8078" s="143"/>
    </row>
    <row r="8079" spans="2:7" s="196" customFormat="1">
      <c r="B8079" s="142"/>
      <c r="C8079" s="235"/>
      <c r="D8079" s="213"/>
      <c r="E8079" s="226"/>
      <c r="F8079" s="155"/>
      <c r="G8079" s="143"/>
    </row>
    <row r="8080" spans="2:7" s="196" customFormat="1">
      <c r="B8080" s="142"/>
      <c r="C8080" s="235"/>
      <c r="D8080" s="213"/>
      <c r="E8080" s="226"/>
      <c r="F8080" s="155"/>
      <c r="G8080" s="143"/>
    </row>
    <row r="8081" spans="2:7" s="196" customFormat="1">
      <c r="B8081" s="142"/>
      <c r="C8081" s="235"/>
      <c r="D8081" s="213"/>
      <c r="E8081" s="226"/>
      <c r="F8081" s="155"/>
      <c r="G8081" s="143"/>
    </row>
    <row r="8082" spans="2:7" s="196" customFormat="1">
      <c r="B8082" s="142"/>
      <c r="C8082" s="235"/>
      <c r="D8082" s="213"/>
      <c r="E8082" s="226"/>
      <c r="F8082" s="155"/>
      <c r="G8082" s="143"/>
    </row>
    <row r="8083" spans="2:7" s="196" customFormat="1">
      <c r="B8083" s="142"/>
      <c r="C8083" s="235"/>
      <c r="D8083" s="213"/>
      <c r="E8083" s="226"/>
      <c r="F8083" s="155"/>
      <c r="G8083" s="143"/>
    </row>
    <row r="8084" spans="2:7" s="196" customFormat="1">
      <c r="B8084" s="142"/>
      <c r="C8084" s="235"/>
      <c r="D8084" s="213"/>
      <c r="E8084" s="226"/>
      <c r="F8084" s="155"/>
      <c r="G8084" s="143"/>
    </row>
    <row r="8085" spans="2:7" s="196" customFormat="1">
      <c r="B8085" s="142"/>
      <c r="C8085" s="235"/>
      <c r="D8085" s="213"/>
      <c r="E8085" s="226"/>
      <c r="F8085" s="155"/>
      <c r="G8085" s="143"/>
    </row>
    <row r="8086" spans="2:7" s="196" customFormat="1">
      <c r="B8086" s="142"/>
      <c r="C8086" s="235"/>
      <c r="D8086" s="213"/>
      <c r="E8086" s="226"/>
      <c r="F8086" s="155"/>
      <c r="G8086" s="143"/>
    </row>
    <row r="8087" spans="2:7" s="196" customFormat="1">
      <c r="B8087" s="142"/>
      <c r="C8087" s="235"/>
      <c r="D8087" s="213"/>
      <c r="E8087" s="226"/>
      <c r="F8087" s="155"/>
      <c r="G8087" s="143"/>
    </row>
    <row r="8088" spans="2:7" s="196" customFormat="1">
      <c r="B8088" s="142"/>
      <c r="C8088" s="235"/>
      <c r="D8088" s="213"/>
      <c r="E8088" s="226"/>
      <c r="F8088" s="155"/>
      <c r="G8088" s="143"/>
    </row>
    <row r="8089" spans="2:7" s="196" customFormat="1">
      <c r="B8089" s="142"/>
      <c r="C8089" s="235"/>
      <c r="D8089" s="213"/>
      <c r="E8089" s="226"/>
      <c r="F8089" s="155"/>
      <c r="G8089" s="143"/>
    </row>
    <row r="8090" spans="2:7" s="196" customFormat="1">
      <c r="B8090" s="142"/>
      <c r="C8090" s="235"/>
      <c r="D8090" s="213"/>
      <c r="E8090" s="226"/>
      <c r="F8090" s="155"/>
      <c r="G8090" s="143"/>
    </row>
    <row r="8091" spans="2:7" s="196" customFormat="1">
      <c r="B8091" s="142"/>
      <c r="C8091" s="235"/>
      <c r="D8091" s="213"/>
      <c r="E8091" s="226"/>
      <c r="F8091" s="155"/>
      <c r="G8091" s="143"/>
    </row>
    <row r="8092" spans="2:7" s="196" customFormat="1">
      <c r="B8092" s="142"/>
      <c r="C8092" s="235"/>
      <c r="D8092" s="213"/>
      <c r="E8092" s="226"/>
      <c r="F8092" s="155"/>
      <c r="G8092" s="143"/>
    </row>
    <row r="8093" spans="2:7" s="196" customFormat="1">
      <c r="B8093" s="142"/>
      <c r="C8093" s="235"/>
      <c r="D8093" s="213"/>
      <c r="E8093" s="226"/>
      <c r="F8093" s="155"/>
      <c r="G8093" s="143"/>
    </row>
    <row r="8094" spans="2:7" s="196" customFormat="1">
      <c r="B8094" s="142"/>
      <c r="C8094" s="235"/>
      <c r="D8094" s="213"/>
      <c r="E8094" s="226"/>
      <c r="F8094" s="155"/>
      <c r="G8094" s="143"/>
    </row>
    <row r="8095" spans="2:7" s="196" customFormat="1">
      <c r="B8095" s="142"/>
      <c r="C8095" s="235"/>
      <c r="D8095" s="213"/>
      <c r="E8095" s="226"/>
      <c r="F8095" s="155"/>
      <c r="G8095" s="143"/>
    </row>
    <row r="8096" spans="2:7" s="196" customFormat="1">
      <c r="B8096" s="142"/>
      <c r="C8096" s="235"/>
      <c r="D8096" s="213"/>
      <c r="E8096" s="226"/>
      <c r="F8096" s="155"/>
      <c r="G8096" s="143"/>
    </row>
    <row r="8097" spans="2:7" s="196" customFormat="1">
      <c r="B8097" s="142"/>
      <c r="C8097" s="235"/>
      <c r="D8097" s="213"/>
      <c r="E8097" s="226"/>
      <c r="F8097" s="155"/>
      <c r="G8097" s="143"/>
    </row>
    <row r="8098" spans="2:7" s="196" customFormat="1">
      <c r="B8098" s="142"/>
      <c r="C8098" s="235"/>
      <c r="D8098" s="213"/>
      <c r="E8098" s="226"/>
      <c r="F8098" s="155"/>
      <c r="G8098" s="143"/>
    </row>
    <row r="8099" spans="2:7" s="196" customFormat="1">
      <c r="B8099" s="142"/>
      <c r="C8099" s="235"/>
      <c r="D8099" s="213"/>
      <c r="E8099" s="226"/>
      <c r="F8099" s="155"/>
      <c r="G8099" s="143"/>
    </row>
    <row r="8100" spans="2:7" s="196" customFormat="1">
      <c r="B8100" s="142"/>
      <c r="C8100" s="235"/>
      <c r="D8100" s="213"/>
      <c r="E8100" s="226"/>
      <c r="F8100" s="155"/>
      <c r="G8100" s="143"/>
    </row>
    <row r="8101" spans="2:7" s="196" customFormat="1">
      <c r="B8101" s="142"/>
      <c r="C8101" s="235"/>
      <c r="D8101" s="213"/>
      <c r="E8101" s="226"/>
      <c r="F8101" s="155"/>
      <c r="G8101" s="143"/>
    </row>
    <row r="8102" spans="2:7" s="196" customFormat="1">
      <c r="B8102" s="142"/>
      <c r="C8102" s="235"/>
      <c r="D8102" s="213"/>
      <c r="E8102" s="226"/>
      <c r="F8102" s="155"/>
      <c r="G8102" s="143"/>
    </row>
    <row r="8103" spans="2:7" s="196" customFormat="1">
      <c r="B8103" s="142"/>
      <c r="C8103" s="235"/>
      <c r="D8103" s="213"/>
      <c r="E8103" s="226"/>
      <c r="F8103" s="155"/>
      <c r="G8103" s="143"/>
    </row>
    <row r="8104" spans="2:7" s="196" customFormat="1">
      <c r="B8104" s="142"/>
      <c r="C8104" s="235"/>
      <c r="D8104" s="213"/>
      <c r="E8104" s="226"/>
      <c r="F8104" s="155"/>
      <c r="G8104" s="143"/>
    </row>
    <row r="8105" spans="2:7" s="196" customFormat="1">
      <c r="B8105" s="142"/>
      <c r="C8105" s="235"/>
      <c r="D8105" s="213"/>
      <c r="E8105" s="226"/>
      <c r="F8105" s="155"/>
      <c r="G8105" s="143"/>
    </row>
    <row r="8106" spans="2:7" s="196" customFormat="1">
      <c r="B8106" s="142"/>
      <c r="C8106" s="235"/>
      <c r="D8106" s="213"/>
      <c r="E8106" s="226"/>
      <c r="F8106" s="155"/>
      <c r="G8106" s="143"/>
    </row>
    <row r="8107" spans="2:7" s="196" customFormat="1">
      <c r="B8107" s="142"/>
      <c r="C8107" s="235"/>
      <c r="D8107" s="213"/>
      <c r="E8107" s="226"/>
      <c r="F8107" s="155"/>
      <c r="G8107" s="143"/>
    </row>
    <row r="8108" spans="2:7" s="196" customFormat="1">
      <c r="B8108" s="142"/>
      <c r="C8108" s="235"/>
      <c r="D8108" s="213"/>
      <c r="E8108" s="226"/>
      <c r="F8108" s="155"/>
      <c r="G8108" s="143"/>
    </row>
    <row r="8109" spans="2:7" s="196" customFormat="1">
      <c r="B8109" s="142"/>
      <c r="C8109" s="235"/>
      <c r="D8109" s="213"/>
      <c r="E8109" s="226"/>
      <c r="F8109" s="155"/>
      <c r="G8109" s="143"/>
    </row>
    <row r="8110" spans="2:7" s="196" customFormat="1">
      <c r="B8110" s="142"/>
      <c r="C8110" s="235"/>
      <c r="D8110" s="213"/>
      <c r="E8110" s="226"/>
      <c r="F8110" s="155"/>
      <c r="G8110" s="143"/>
    </row>
    <row r="8111" spans="2:7" s="196" customFormat="1">
      <c r="B8111" s="142"/>
      <c r="C8111" s="235"/>
      <c r="D8111" s="213"/>
      <c r="E8111" s="226"/>
      <c r="F8111" s="155"/>
      <c r="G8111" s="143"/>
    </row>
    <row r="8112" spans="2:7" s="196" customFormat="1">
      <c r="B8112" s="142"/>
      <c r="C8112" s="235"/>
      <c r="D8112" s="213"/>
      <c r="E8112" s="226"/>
      <c r="F8112" s="155"/>
      <c r="G8112" s="143"/>
    </row>
    <row r="8113" spans="2:7" s="196" customFormat="1">
      <c r="B8113" s="142"/>
      <c r="C8113" s="235"/>
      <c r="D8113" s="213"/>
      <c r="E8113" s="226"/>
      <c r="F8113" s="155"/>
      <c r="G8113" s="143"/>
    </row>
    <row r="8114" spans="2:7" s="196" customFormat="1">
      <c r="B8114" s="142"/>
      <c r="C8114" s="235"/>
      <c r="D8114" s="213"/>
      <c r="E8114" s="226"/>
      <c r="F8114" s="155"/>
      <c r="G8114" s="143"/>
    </row>
    <row r="8115" spans="2:7" s="196" customFormat="1">
      <c r="B8115" s="142"/>
      <c r="C8115" s="235"/>
      <c r="D8115" s="213"/>
      <c r="E8115" s="226"/>
      <c r="F8115" s="155"/>
      <c r="G8115" s="143"/>
    </row>
    <row r="8116" spans="2:7" s="196" customFormat="1">
      <c r="B8116" s="142"/>
      <c r="C8116" s="235"/>
      <c r="D8116" s="213"/>
      <c r="E8116" s="226"/>
      <c r="F8116" s="155"/>
      <c r="G8116" s="143"/>
    </row>
    <row r="8117" spans="2:7" s="196" customFormat="1">
      <c r="B8117" s="142"/>
      <c r="C8117" s="235"/>
      <c r="D8117" s="213"/>
      <c r="E8117" s="226"/>
      <c r="F8117" s="155"/>
      <c r="G8117" s="143"/>
    </row>
    <row r="8118" spans="2:7" s="196" customFormat="1">
      <c r="B8118" s="142"/>
      <c r="C8118" s="235"/>
      <c r="D8118" s="213"/>
      <c r="E8118" s="226"/>
      <c r="F8118" s="155"/>
      <c r="G8118" s="143"/>
    </row>
    <row r="8119" spans="2:7" s="196" customFormat="1">
      <c r="B8119" s="142"/>
      <c r="C8119" s="235"/>
      <c r="D8119" s="213"/>
      <c r="E8119" s="226"/>
      <c r="F8119" s="155"/>
      <c r="G8119" s="143"/>
    </row>
    <row r="8120" spans="2:7" s="196" customFormat="1">
      <c r="B8120" s="142"/>
      <c r="C8120" s="235"/>
      <c r="D8120" s="213"/>
      <c r="E8120" s="226"/>
      <c r="F8120" s="155"/>
      <c r="G8120" s="143"/>
    </row>
    <row r="8121" spans="2:7" s="196" customFormat="1">
      <c r="B8121" s="142"/>
      <c r="C8121" s="235"/>
      <c r="D8121" s="213"/>
      <c r="E8121" s="226"/>
      <c r="F8121" s="155"/>
      <c r="G8121" s="143"/>
    </row>
    <row r="8122" spans="2:7" s="196" customFormat="1">
      <c r="B8122" s="142"/>
      <c r="C8122" s="235"/>
      <c r="D8122" s="213"/>
      <c r="E8122" s="226"/>
      <c r="F8122" s="155"/>
      <c r="G8122" s="143"/>
    </row>
    <row r="8123" spans="2:7" s="196" customFormat="1">
      <c r="B8123" s="142"/>
      <c r="C8123" s="235"/>
      <c r="D8123" s="213"/>
      <c r="E8123" s="226"/>
      <c r="F8123" s="155"/>
      <c r="G8123" s="143"/>
    </row>
    <row r="8124" spans="2:7" s="196" customFormat="1">
      <c r="B8124" s="142"/>
      <c r="C8124" s="235"/>
      <c r="D8124" s="213"/>
      <c r="E8124" s="226"/>
      <c r="F8124" s="155"/>
      <c r="G8124" s="143"/>
    </row>
    <row r="8125" spans="2:7" s="196" customFormat="1">
      <c r="B8125" s="142"/>
      <c r="C8125" s="235"/>
      <c r="D8125" s="213"/>
      <c r="E8125" s="226"/>
      <c r="F8125" s="155"/>
      <c r="G8125" s="143"/>
    </row>
    <row r="8126" spans="2:7" s="196" customFormat="1">
      <c r="B8126" s="142"/>
      <c r="C8126" s="235"/>
      <c r="D8126" s="213"/>
      <c r="E8126" s="226"/>
      <c r="F8126" s="155"/>
      <c r="G8126" s="143"/>
    </row>
    <row r="8127" spans="2:7" s="196" customFormat="1">
      <c r="B8127" s="142"/>
      <c r="C8127" s="235"/>
      <c r="D8127" s="213"/>
      <c r="E8127" s="226"/>
      <c r="F8127" s="155"/>
      <c r="G8127" s="143"/>
    </row>
    <row r="8128" spans="2:7" s="196" customFormat="1">
      <c r="B8128" s="142"/>
      <c r="C8128" s="235"/>
      <c r="D8128" s="213"/>
      <c r="E8128" s="226"/>
      <c r="F8128" s="155"/>
      <c r="G8128" s="143"/>
    </row>
    <row r="8129" spans="2:7" s="196" customFormat="1">
      <c r="B8129" s="142"/>
      <c r="C8129" s="235"/>
      <c r="D8129" s="213"/>
      <c r="E8129" s="226"/>
      <c r="F8129" s="155"/>
      <c r="G8129" s="143"/>
    </row>
    <row r="8130" spans="2:7" s="196" customFormat="1">
      <c r="B8130" s="142"/>
      <c r="C8130" s="235"/>
      <c r="D8130" s="213"/>
      <c r="E8130" s="226"/>
      <c r="F8130" s="155"/>
      <c r="G8130" s="143"/>
    </row>
    <row r="8131" spans="2:7" s="196" customFormat="1">
      <c r="B8131" s="142"/>
      <c r="C8131" s="235"/>
      <c r="D8131" s="213"/>
      <c r="E8131" s="226"/>
      <c r="F8131" s="155"/>
      <c r="G8131" s="143"/>
    </row>
    <row r="8132" spans="2:7" s="196" customFormat="1">
      <c r="B8132" s="142"/>
      <c r="C8132" s="235"/>
      <c r="D8132" s="213"/>
      <c r="E8132" s="226"/>
      <c r="F8132" s="155"/>
      <c r="G8132" s="143"/>
    </row>
    <row r="8133" spans="2:7" s="196" customFormat="1">
      <c r="B8133" s="142"/>
      <c r="C8133" s="235"/>
      <c r="D8133" s="213"/>
      <c r="E8133" s="226"/>
      <c r="F8133" s="155"/>
      <c r="G8133" s="143"/>
    </row>
    <row r="8134" spans="2:7" s="196" customFormat="1">
      <c r="B8134" s="142"/>
      <c r="C8134" s="235"/>
      <c r="D8134" s="213"/>
      <c r="E8134" s="226"/>
      <c r="F8134" s="155"/>
      <c r="G8134" s="143"/>
    </row>
    <row r="8135" spans="2:7" s="196" customFormat="1">
      <c r="B8135" s="142"/>
      <c r="C8135" s="235"/>
      <c r="D8135" s="213"/>
      <c r="E8135" s="226"/>
      <c r="F8135" s="155"/>
      <c r="G8135" s="143"/>
    </row>
    <row r="8136" spans="2:7" s="196" customFormat="1">
      <c r="B8136" s="142"/>
      <c r="C8136" s="235"/>
      <c r="D8136" s="213"/>
      <c r="E8136" s="226"/>
      <c r="F8136" s="155"/>
      <c r="G8136" s="143"/>
    </row>
    <row r="8137" spans="2:7" s="196" customFormat="1">
      <c r="B8137" s="142"/>
      <c r="C8137" s="235"/>
      <c r="D8137" s="213"/>
      <c r="E8137" s="226"/>
      <c r="F8137" s="155"/>
      <c r="G8137" s="143"/>
    </row>
    <row r="8138" spans="2:7" s="196" customFormat="1">
      <c r="B8138" s="142"/>
      <c r="C8138" s="235"/>
      <c r="D8138" s="213"/>
      <c r="E8138" s="226"/>
      <c r="F8138" s="155"/>
      <c r="G8138" s="143"/>
    </row>
    <row r="8139" spans="2:7" s="196" customFormat="1">
      <c r="B8139" s="142"/>
      <c r="C8139" s="235"/>
      <c r="D8139" s="213"/>
      <c r="E8139" s="226"/>
      <c r="F8139" s="155"/>
      <c r="G8139" s="143"/>
    </row>
    <row r="8140" spans="2:7" s="196" customFormat="1">
      <c r="B8140" s="142"/>
      <c r="C8140" s="235"/>
      <c r="D8140" s="213"/>
      <c r="E8140" s="226"/>
      <c r="F8140" s="155"/>
      <c r="G8140" s="143"/>
    </row>
    <row r="8141" spans="2:7" s="196" customFormat="1">
      <c r="B8141" s="142"/>
      <c r="C8141" s="235"/>
      <c r="D8141" s="213"/>
      <c r="E8141" s="226"/>
      <c r="F8141" s="155"/>
      <c r="G8141" s="143"/>
    </row>
    <row r="8142" spans="2:7" s="196" customFormat="1">
      <c r="B8142" s="142"/>
      <c r="C8142" s="235"/>
      <c r="D8142" s="213"/>
      <c r="E8142" s="226"/>
      <c r="F8142" s="155"/>
      <c r="G8142" s="143"/>
    </row>
    <row r="8143" spans="2:7" s="196" customFormat="1">
      <c r="B8143" s="142"/>
      <c r="C8143" s="235"/>
      <c r="D8143" s="213"/>
      <c r="E8143" s="226"/>
      <c r="F8143" s="155"/>
      <c r="G8143" s="143"/>
    </row>
    <row r="8144" spans="2:7" s="196" customFormat="1">
      <c r="B8144" s="142"/>
      <c r="C8144" s="235"/>
      <c r="D8144" s="213"/>
      <c r="E8144" s="226"/>
      <c r="F8144" s="155"/>
      <c r="G8144" s="143"/>
    </row>
    <row r="8145" spans="2:7" s="196" customFormat="1">
      <c r="B8145" s="142"/>
      <c r="C8145" s="235"/>
      <c r="D8145" s="213"/>
      <c r="E8145" s="226"/>
      <c r="F8145" s="155"/>
      <c r="G8145" s="143"/>
    </row>
    <row r="8146" spans="2:7" s="196" customFormat="1">
      <c r="B8146" s="142"/>
      <c r="C8146" s="235"/>
      <c r="D8146" s="213"/>
      <c r="E8146" s="226"/>
      <c r="F8146" s="155"/>
      <c r="G8146" s="143"/>
    </row>
    <row r="8147" spans="2:7" s="196" customFormat="1">
      <c r="B8147" s="142"/>
      <c r="C8147" s="235"/>
      <c r="D8147" s="213"/>
      <c r="E8147" s="226"/>
      <c r="F8147" s="155"/>
      <c r="G8147" s="143"/>
    </row>
    <row r="8148" spans="2:7" s="196" customFormat="1">
      <c r="B8148" s="142"/>
      <c r="C8148" s="235"/>
      <c r="D8148" s="213"/>
      <c r="E8148" s="226"/>
      <c r="F8148" s="155"/>
      <c r="G8148" s="143"/>
    </row>
    <row r="8149" spans="2:7" s="196" customFormat="1">
      <c r="B8149" s="142"/>
      <c r="C8149" s="235"/>
      <c r="D8149" s="213"/>
      <c r="E8149" s="226"/>
      <c r="F8149" s="155"/>
      <c r="G8149" s="143"/>
    </row>
    <row r="8150" spans="2:7" s="196" customFormat="1">
      <c r="B8150" s="142"/>
      <c r="C8150" s="235"/>
      <c r="D8150" s="213"/>
      <c r="E8150" s="226"/>
      <c r="F8150" s="155"/>
      <c r="G8150" s="143"/>
    </row>
    <row r="8151" spans="2:7" s="196" customFormat="1">
      <c r="B8151" s="142"/>
      <c r="C8151" s="235"/>
      <c r="D8151" s="213"/>
      <c r="E8151" s="226"/>
      <c r="F8151" s="155"/>
      <c r="G8151" s="143"/>
    </row>
    <row r="8152" spans="2:7" s="196" customFormat="1">
      <c r="B8152" s="142"/>
      <c r="C8152" s="235"/>
      <c r="D8152" s="213"/>
      <c r="E8152" s="226"/>
      <c r="F8152" s="155"/>
      <c r="G8152" s="143"/>
    </row>
    <row r="8153" spans="2:7" s="196" customFormat="1">
      <c r="B8153" s="142"/>
      <c r="C8153" s="235"/>
      <c r="D8153" s="213"/>
      <c r="E8153" s="226"/>
      <c r="F8153" s="155"/>
      <c r="G8153" s="143"/>
    </row>
    <row r="8154" spans="2:7" s="196" customFormat="1">
      <c r="B8154" s="142"/>
      <c r="C8154" s="235"/>
      <c r="D8154" s="213"/>
      <c r="E8154" s="226"/>
      <c r="F8154" s="155"/>
      <c r="G8154" s="143"/>
    </row>
    <row r="8155" spans="2:7" s="196" customFormat="1">
      <c r="B8155" s="142"/>
      <c r="C8155" s="235"/>
      <c r="D8155" s="213"/>
      <c r="E8155" s="226"/>
      <c r="F8155" s="155"/>
      <c r="G8155" s="143"/>
    </row>
    <row r="8156" spans="2:7" s="196" customFormat="1">
      <c r="B8156" s="142"/>
      <c r="C8156" s="235"/>
      <c r="D8156" s="213"/>
      <c r="E8156" s="226"/>
      <c r="F8156" s="155"/>
      <c r="G8156" s="143"/>
    </row>
    <row r="8157" spans="2:7" s="196" customFormat="1">
      <c r="B8157" s="142"/>
      <c r="C8157" s="235"/>
      <c r="D8157" s="213"/>
      <c r="E8157" s="226"/>
      <c r="F8157" s="155"/>
      <c r="G8157" s="143"/>
    </row>
    <row r="8158" spans="2:7" s="196" customFormat="1">
      <c r="B8158" s="142"/>
      <c r="C8158" s="235"/>
      <c r="D8158" s="213"/>
      <c r="E8158" s="226"/>
      <c r="F8158" s="155"/>
      <c r="G8158" s="143"/>
    </row>
    <row r="8159" spans="2:7" s="196" customFormat="1">
      <c r="B8159" s="142"/>
      <c r="C8159" s="235"/>
      <c r="D8159" s="213"/>
      <c r="E8159" s="226"/>
      <c r="F8159" s="155"/>
      <c r="G8159" s="143"/>
    </row>
    <row r="8160" spans="2:7" s="196" customFormat="1">
      <c r="B8160" s="142"/>
      <c r="C8160" s="235"/>
      <c r="D8160" s="213"/>
      <c r="E8160" s="226"/>
      <c r="F8160" s="155"/>
      <c r="G8160" s="143"/>
    </row>
    <row r="8161" spans="2:7" s="196" customFormat="1">
      <c r="B8161" s="142"/>
      <c r="C8161" s="235"/>
      <c r="D8161" s="213"/>
      <c r="E8161" s="226"/>
      <c r="F8161" s="155"/>
      <c r="G8161" s="143"/>
    </row>
    <row r="8162" spans="2:7" s="196" customFormat="1">
      <c r="B8162" s="142"/>
      <c r="C8162" s="235"/>
      <c r="D8162" s="213"/>
      <c r="E8162" s="226"/>
      <c r="F8162" s="155"/>
      <c r="G8162" s="143"/>
    </row>
    <row r="8163" spans="2:7" s="196" customFormat="1">
      <c r="B8163" s="142"/>
      <c r="C8163" s="235"/>
      <c r="D8163" s="213"/>
      <c r="E8163" s="226"/>
      <c r="F8163" s="155"/>
      <c r="G8163" s="143"/>
    </row>
    <row r="8164" spans="2:7" s="196" customFormat="1">
      <c r="B8164" s="142"/>
      <c r="C8164" s="235"/>
      <c r="D8164" s="213"/>
      <c r="E8164" s="226"/>
      <c r="F8164" s="155"/>
      <c r="G8164" s="143"/>
    </row>
    <row r="8165" spans="2:7" s="196" customFormat="1">
      <c r="B8165" s="142"/>
      <c r="C8165" s="235"/>
      <c r="D8165" s="213"/>
      <c r="E8165" s="226"/>
      <c r="F8165" s="155"/>
      <c r="G8165" s="143"/>
    </row>
    <row r="8166" spans="2:7" s="196" customFormat="1">
      <c r="B8166" s="142"/>
      <c r="C8166" s="235"/>
      <c r="D8166" s="213"/>
      <c r="E8166" s="226"/>
      <c r="F8166" s="155"/>
      <c r="G8166" s="143"/>
    </row>
    <row r="8167" spans="2:7" s="196" customFormat="1">
      <c r="B8167" s="142"/>
      <c r="C8167" s="235"/>
      <c r="D8167" s="213"/>
      <c r="E8167" s="226"/>
      <c r="F8167" s="155"/>
      <c r="G8167" s="143"/>
    </row>
    <row r="8168" spans="2:7" s="196" customFormat="1">
      <c r="B8168" s="142"/>
      <c r="C8168" s="235"/>
      <c r="D8168" s="213"/>
      <c r="E8168" s="226"/>
      <c r="F8168" s="155"/>
      <c r="G8168" s="143"/>
    </row>
    <row r="8169" spans="2:7" s="196" customFormat="1">
      <c r="B8169" s="142"/>
      <c r="C8169" s="235"/>
      <c r="D8169" s="213"/>
      <c r="E8169" s="226"/>
      <c r="F8169" s="155"/>
      <c r="G8169" s="143"/>
    </row>
    <row r="8170" spans="2:7" s="196" customFormat="1">
      <c r="B8170" s="142"/>
      <c r="C8170" s="235"/>
      <c r="D8170" s="213"/>
      <c r="E8170" s="226"/>
      <c r="F8170" s="155"/>
      <c r="G8170" s="143"/>
    </row>
    <row r="8171" spans="2:7" s="196" customFormat="1">
      <c r="B8171" s="142"/>
      <c r="C8171" s="235"/>
      <c r="D8171" s="213"/>
      <c r="E8171" s="226"/>
      <c r="F8171" s="155"/>
      <c r="G8171" s="143"/>
    </row>
    <row r="8172" spans="2:7" s="196" customFormat="1">
      <c r="B8172" s="142"/>
      <c r="C8172" s="235"/>
      <c r="D8172" s="213"/>
      <c r="E8172" s="226"/>
      <c r="F8172" s="155"/>
      <c r="G8172" s="143"/>
    </row>
    <row r="8173" spans="2:7" s="196" customFormat="1">
      <c r="B8173" s="142"/>
      <c r="C8173" s="235"/>
      <c r="D8173" s="213"/>
      <c r="E8173" s="226"/>
      <c r="F8173" s="155"/>
      <c r="G8173" s="143"/>
    </row>
    <row r="8174" spans="2:7" s="196" customFormat="1">
      <c r="B8174" s="142"/>
      <c r="C8174" s="235"/>
      <c r="D8174" s="213"/>
      <c r="E8174" s="226"/>
      <c r="F8174" s="155"/>
      <c r="G8174" s="143"/>
    </row>
    <row r="8175" spans="2:7" s="196" customFormat="1">
      <c r="B8175" s="142"/>
      <c r="C8175" s="235"/>
      <c r="D8175" s="213"/>
      <c r="E8175" s="226"/>
      <c r="F8175" s="155"/>
      <c r="G8175" s="143"/>
    </row>
    <row r="8176" spans="2:7" s="196" customFormat="1">
      <c r="B8176" s="142"/>
      <c r="C8176" s="235"/>
      <c r="D8176" s="213"/>
      <c r="E8176" s="226"/>
      <c r="F8176" s="155"/>
      <c r="G8176" s="143"/>
    </row>
    <row r="8177" spans="2:7" s="196" customFormat="1">
      <c r="B8177" s="142"/>
      <c r="C8177" s="235"/>
      <c r="D8177" s="213"/>
      <c r="E8177" s="226"/>
      <c r="F8177" s="155"/>
      <c r="G8177" s="143"/>
    </row>
    <row r="8178" spans="2:7" s="196" customFormat="1">
      <c r="B8178" s="142"/>
      <c r="C8178" s="235"/>
      <c r="D8178" s="213"/>
      <c r="E8178" s="226"/>
      <c r="F8178" s="155"/>
      <c r="G8178" s="143"/>
    </row>
    <row r="8179" spans="2:7" s="196" customFormat="1">
      <c r="B8179" s="142"/>
      <c r="C8179" s="235"/>
      <c r="D8179" s="213"/>
      <c r="E8179" s="226"/>
      <c r="F8179" s="155"/>
      <c r="G8179" s="143"/>
    </row>
    <row r="8180" spans="2:7" s="196" customFormat="1">
      <c r="B8180" s="142"/>
      <c r="C8180" s="235"/>
      <c r="D8180" s="213"/>
      <c r="E8180" s="226"/>
      <c r="F8180" s="155"/>
      <c r="G8180" s="143"/>
    </row>
    <row r="8181" spans="2:7" s="196" customFormat="1">
      <c r="B8181" s="142"/>
      <c r="C8181" s="235"/>
      <c r="D8181" s="213"/>
      <c r="E8181" s="226"/>
      <c r="F8181" s="155"/>
      <c r="G8181" s="143"/>
    </row>
    <row r="8182" spans="2:7" s="196" customFormat="1">
      <c r="B8182" s="142"/>
      <c r="C8182" s="235"/>
      <c r="D8182" s="213"/>
      <c r="E8182" s="226"/>
      <c r="F8182" s="155"/>
      <c r="G8182" s="143"/>
    </row>
    <row r="8183" spans="2:7" s="196" customFormat="1">
      <c r="B8183" s="142"/>
      <c r="C8183" s="235"/>
      <c r="D8183" s="213"/>
      <c r="E8183" s="226"/>
      <c r="F8183" s="155"/>
      <c r="G8183" s="143"/>
    </row>
    <row r="8184" spans="2:7" s="196" customFormat="1">
      <c r="B8184" s="142"/>
      <c r="C8184" s="235"/>
      <c r="D8184" s="213"/>
      <c r="E8184" s="226"/>
      <c r="F8184" s="155"/>
      <c r="G8184" s="143"/>
    </row>
    <row r="8185" spans="2:7" s="196" customFormat="1">
      <c r="B8185" s="142"/>
      <c r="C8185" s="235"/>
      <c r="D8185" s="213"/>
      <c r="E8185" s="226"/>
      <c r="F8185" s="155"/>
      <c r="G8185" s="143"/>
    </row>
    <row r="8186" spans="2:7" s="196" customFormat="1">
      <c r="B8186" s="142"/>
      <c r="C8186" s="235"/>
      <c r="D8186" s="213"/>
      <c r="E8186" s="226"/>
      <c r="F8186" s="155"/>
      <c r="G8186" s="143"/>
    </row>
    <row r="8187" spans="2:7" s="196" customFormat="1">
      <c r="B8187" s="142"/>
      <c r="C8187" s="235"/>
      <c r="D8187" s="213"/>
      <c r="E8187" s="226"/>
      <c r="F8187" s="155"/>
      <c r="G8187" s="143"/>
    </row>
    <row r="8188" spans="2:7" s="196" customFormat="1">
      <c r="B8188" s="142"/>
      <c r="C8188" s="235"/>
      <c r="D8188" s="213"/>
      <c r="E8188" s="226"/>
      <c r="F8188" s="155"/>
      <c r="G8188" s="143"/>
    </row>
    <row r="8189" spans="2:7" s="196" customFormat="1">
      <c r="B8189" s="142"/>
      <c r="C8189" s="235"/>
      <c r="D8189" s="213"/>
      <c r="E8189" s="226"/>
      <c r="F8189" s="155"/>
      <c r="G8189" s="143"/>
    </row>
    <row r="8190" spans="2:7" s="196" customFormat="1">
      <c r="B8190" s="142"/>
      <c r="C8190" s="235"/>
      <c r="D8190" s="213"/>
      <c r="E8190" s="226"/>
      <c r="F8190" s="155"/>
      <c r="G8190" s="143"/>
    </row>
    <row r="8191" spans="2:7" s="196" customFormat="1">
      <c r="B8191" s="142"/>
      <c r="C8191" s="235"/>
      <c r="D8191" s="213"/>
      <c r="E8191" s="226"/>
      <c r="F8191" s="155"/>
      <c r="G8191" s="143"/>
    </row>
    <row r="8192" spans="2:7" s="196" customFormat="1">
      <c r="B8192" s="142"/>
      <c r="C8192" s="235"/>
      <c r="D8192" s="213"/>
      <c r="E8192" s="226"/>
      <c r="F8192" s="155"/>
      <c r="G8192" s="143"/>
    </row>
    <row r="8193" spans="2:7" s="196" customFormat="1">
      <c r="B8193" s="142"/>
      <c r="C8193" s="235"/>
      <c r="D8193" s="213"/>
      <c r="E8193" s="226"/>
      <c r="F8193" s="155"/>
      <c r="G8193" s="143"/>
    </row>
    <row r="8194" spans="2:7" s="196" customFormat="1">
      <c r="B8194" s="142"/>
      <c r="C8194" s="235"/>
      <c r="D8194" s="213"/>
      <c r="E8194" s="226"/>
      <c r="F8194" s="155"/>
      <c r="G8194" s="143"/>
    </row>
    <row r="8195" spans="2:7" s="196" customFormat="1">
      <c r="B8195" s="142"/>
      <c r="C8195" s="235"/>
      <c r="D8195" s="213"/>
      <c r="E8195" s="226"/>
      <c r="F8195" s="155"/>
      <c r="G8195" s="143"/>
    </row>
    <row r="8196" spans="2:7" s="196" customFormat="1">
      <c r="B8196" s="142"/>
      <c r="C8196" s="235"/>
      <c r="D8196" s="213"/>
      <c r="E8196" s="226"/>
      <c r="F8196" s="155"/>
      <c r="G8196" s="143"/>
    </row>
    <row r="8197" spans="2:7" s="196" customFormat="1">
      <c r="B8197" s="142"/>
      <c r="C8197" s="235"/>
      <c r="D8197" s="213"/>
      <c r="E8197" s="226"/>
      <c r="F8197" s="155"/>
      <c r="G8197" s="143"/>
    </row>
    <row r="8198" spans="2:7" s="196" customFormat="1">
      <c r="B8198" s="142"/>
      <c r="C8198" s="235"/>
      <c r="D8198" s="213"/>
      <c r="E8198" s="226"/>
      <c r="F8198" s="155"/>
      <c r="G8198" s="143"/>
    </row>
    <row r="8199" spans="2:7" s="196" customFormat="1">
      <c r="B8199" s="142"/>
      <c r="C8199" s="235"/>
      <c r="D8199" s="213"/>
      <c r="E8199" s="226"/>
      <c r="F8199" s="155"/>
      <c r="G8199" s="143"/>
    </row>
    <row r="8200" spans="2:7" s="196" customFormat="1">
      <c r="B8200" s="142"/>
      <c r="C8200" s="235"/>
      <c r="D8200" s="213"/>
      <c r="E8200" s="226"/>
      <c r="F8200" s="155"/>
      <c r="G8200" s="143"/>
    </row>
    <row r="8201" spans="2:7" s="196" customFormat="1">
      <c r="B8201" s="142"/>
      <c r="C8201" s="235"/>
      <c r="D8201" s="213"/>
      <c r="E8201" s="226"/>
      <c r="F8201" s="155"/>
      <c r="G8201" s="143"/>
    </row>
    <row r="8202" spans="2:7" s="196" customFormat="1">
      <c r="B8202" s="142"/>
      <c r="C8202" s="235"/>
      <c r="D8202" s="213"/>
      <c r="E8202" s="226"/>
      <c r="F8202" s="155"/>
      <c r="G8202" s="143"/>
    </row>
    <row r="8203" spans="2:7" s="196" customFormat="1">
      <c r="B8203" s="142"/>
      <c r="C8203" s="235"/>
      <c r="D8203" s="213"/>
      <c r="E8203" s="226"/>
      <c r="F8203" s="155"/>
      <c r="G8203" s="143"/>
    </row>
    <row r="8204" spans="2:7" s="196" customFormat="1">
      <c r="B8204" s="142"/>
      <c r="C8204" s="235"/>
      <c r="D8204" s="213"/>
      <c r="E8204" s="226"/>
      <c r="F8204" s="155"/>
      <c r="G8204" s="143"/>
    </row>
    <row r="8205" spans="2:7" s="196" customFormat="1">
      <c r="B8205" s="142"/>
      <c r="C8205" s="235"/>
      <c r="D8205" s="213"/>
      <c r="E8205" s="226"/>
      <c r="F8205" s="155"/>
      <c r="G8205" s="143"/>
    </row>
    <row r="8206" spans="2:7" s="196" customFormat="1">
      <c r="B8206" s="142"/>
      <c r="C8206" s="235"/>
      <c r="D8206" s="213"/>
      <c r="E8206" s="226"/>
      <c r="F8206" s="155"/>
      <c r="G8206" s="143"/>
    </row>
    <row r="8207" spans="2:7" s="196" customFormat="1">
      <c r="B8207" s="142"/>
      <c r="C8207" s="235"/>
      <c r="D8207" s="213"/>
      <c r="E8207" s="226"/>
      <c r="F8207" s="155"/>
      <c r="G8207" s="143"/>
    </row>
    <row r="8208" spans="2:7" s="196" customFormat="1">
      <c r="B8208" s="142"/>
      <c r="C8208" s="235"/>
      <c r="D8208" s="213"/>
      <c r="E8208" s="226"/>
      <c r="F8208" s="155"/>
      <c r="G8208" s="143"/>
    </row>
    <row r="8209" spans="2:7" s="196" customFormat="1">
      <c r="B8209" s="142"/>
      <c r="C8209" s="235"/>
      <c r="D8209" s="213"/>
      <c r="E8209" s="226"/>
      <c r="F8209" s="155"/>
      <c r="G8209" s="143"/>
    </row>
    <row r="8210" spans="2:7" s="196" customFormat="1">
      <c r="B8210" s="142"/>
      <c r="C8210" s="235"/>
      <c r="D8210" s="213"/>
      <c r="E8210" s="226"/>
      <c r="F8210" s="155"/>
      <c r="G8210" s="143"/>
    </row>
    <row r="8211" spans="2:7" s="196" customFormat="1">
      <c r="B8211" s="142"/>
      <c r="C8211" s="235"/>
      <c r="D8211" s="213"/>
      <c r="E8211" s="226"/>
      <c r="F8211" s="155"/>
      <c r="G8211" s="143"/>
    </row>
    <row r="8212" spans="2:7" s="196" customFormat="1">
      <c r="B8212" s="142"/>
      <c r="C8212" s="235"/>
      <c r="D8212" s="213"/>
      <c r="E8212" s="226"/>
      <c r="F8212" s="155"/>
      <c r="G8212" s="143"/>
    </row>
    <row r="8213" spans="2:7" s="196" customFormat="1">
      <c r="B8213" s="142"/>
      <c r="C8213" s="235"/>
      <c r="D8213" s="213"/>
      <c r="E8213" s="226"/>
      <c r="F8213" s="155"/>
      <c r="G8213" s="143"/>
    </row>
    <row r="8214" spans="2:7" s="196" customFormat="1">
      <c r="B8214" s="142"/>
      <c r="C8214" s="235"/>
      <c r="D8214" s="213"/>
      <c r="E8214" s="226"/>
      <c r="F8214" s="155"/>
      <c r="G8214" s="143"/>
    </row>
    <row r="8215" spans="2:7" s="196" customFormat="1">
      <c r="B8215" s="142"/>
      <c r="C8215" s="235"/>
      <c r="D8215" s="213"/>
      <c r="E8215" s="226"/>
      <c r="F8215" s="155"/>
      <c r="G8215" s="143"/>
    </row>
    <row r="8216" spans="2:7" s="196" customFormat="1">
      <c r="B8216" s="142"/>
      <c r="C8216" s="235"/>
      <c r="D8216" s="213"/>
      <c r="E8216" s="226"/>
      <c r="F8216" s="155"/>
      <c r="G8216" s="143"/>
    </row>
    <row r="8217" spans="2:7" s="196" customFormat="1">
      <c r="B8217" s="142"/>
      <c r="C8217" s="235"/>
      <c r="D8217" s="213"/>
      <c r="E8217" s="226"/>
      <c r="F8217" s="155"/>
      <c r="G8217" s="143"/>
    </row>
    <row r="8218" spans="2:7" s="196" customFormat="1">
      <c r="B8218" s="142"/>
      <c r="C8218" s="235"/>
      <c r="D8218" s="213"/>
      <c r="E8218" s="226"/>
      <c r="F8218" s="155"/>
      <c r="G8218" s="143"/>
    </row>
    <row r="8219" spans="2:7" s="196" customFormat="1">
      <c r="B8219" s="142"/>
      <c r="C8219" s="235"/>
      <c r="D8219" s="213"/>
      <c r="E8219" s="226"/>
      <c r="F8219" s="155"/>
      <c r="G8219" s="143"/>
    </row>
    <row r="8220" spans="2:7" s="196" customFormat="1">
      <c r="B8220" s="142"/>
      <c r="C8220" s="235"/>
      <c r="D8220" s="213"/>
      <c r="E8220" s="226"/>
      <c r="F8220" s="155"/>
      <c r="G8220" s="143"/>
    </row>
    <row r="8221" spans="2:7" s="196" customFormat="1">
      <c r="B8221" s="142"/>
      <c r="C8221" s="235"/>
      <c r="D8221" s="213"/>
      <c r="E8221" s="226"/>
      <c r="F8221" s="155"/>
      <c r="G8221" s="143"/>
    </row>
    <row r="8222" spans="2:7" s="196" customFormat="1">
      <c r="B8222" s="142"/>
      <c r="C8222" s="235"/>
      <c r="D8222" s="213"/>
      <c r="E8222" s="226"/>
      <c r="F8222" s="155"/>
      <c r="G8222" s="143"/>
    </row>
    <row r="8223" spans="2:7" s="196" customFormat="1">
      <c r="B8223" s="142"/>
      <c r="C8223" s="235"/>
      <c r="D8223" s="213"/>
      <c r="E8223" s="226"/>
      <c r="F8223" s="155"/>
      <c r="G8223" s="143"/>
    </row>
    <row r="8224" spans="2:7" s="196" customFormat="1">
      <c r="B8224" s="142"/>
      <c r="C8224" s="235"/>
      <c r="D8224" s="213"/>
      <c r="E8224" s="226"/>
      <c r="F8224" s="155"/>
      <c r="G8224" s="143"/>
    </row>
    <row r="8225" spans="2:7" s="196" customFormat="1">
      <c r="B8225" s="142"/>
      <c r="C8225" s="235"/>
      <c r="D8225" s="213"/>
      <c r="E8225" s="226"/>
      <c r="F8225" s="155"/>
      <c r="G8225" s="143"/>
    </row>
    <row r="8226" spans="2:7" s="196" customFormat="1">
      <c r="B8226" s="142"/>
      <c r="C8226" s="235"/>
      <c r="D8226" s="213"/>
      <c r="E8226" s="226"/>
      <c r="F8226" s="155"/>
      <c r="G8226" s="143"/>
    </row>
    <row r="8227" spans="2:7" s="196" customFormat="1">
      <c r="B8227" s="142"/>
      <c r="C8227" s="235"/>
      <c r="D8227" s="213"/>
      <c r="E8227" s="226"/>
      <c r="F8227" s="155"/>
      <c r="G8227" s="143"/>
    </row>
    <row r="8228" spans="2:7" s="196" customFormat="1">
      <c r="B8228" s="142"/>
      <c r="C8228" s="235"/>
      <c r="D8228" s="213"/>
      <c r="E8228" s="226"/>
      <c r="F8228" s="155"/>
      <c r="G8228" s="143"/>
    </row>
    <row r="8229" spans="2:7" s="196" customFormat="1">
      <c r="B8229" s="142"/>
      <c r="C8229" s="235"/>
      <c r="D8229" s="213"/>
      <c r="E8229" s="226"/>
      <c r="F8229" s="155"/>
      <c r="G8229" s="143"/>
    </row>
    <row r="8230" spans="2:7" s="196" customFormat="1">
      <c r="B8230" s="142"/>
      <c r="C8230" s="235"/>
      <c r="D8230" s="213"/>
      <c r="E8230" s="226"/>
      <c r="F8230" s="155"/>
      <c r="G8230" s="143"/>
    </row>
    <row r="8231" spans="2:7" s="196" customFormat="1">
      <c r="B8231" s="142"/>
      <c r="C8231" s="235"/>
      <c r="D8231" s="213"/>
      <c r="E8231" s="226"/>
      <c r="F8231" s="155"/>
      <c r="G8231" s="143"/>
    </row>
    <row r="8232" spans="2:7" s="196" customFormat="1">
      <c r="B8232" s="142"/>
      <c r="C8232" s="235"/>
      <c r="D8232" s="213"/>
      <c r="E8232" s="226"/>
      <c r="F8232" s="155"/>
      <c r="G8232" s="143"/>
    </row>
    <row r="8233" spans="2:7" s="196" customFormat="1">
      <c r="B8233" s="142"/>
      <c r="C8233" s="235"/>
      <c r="D8233" s="213"/>
      <c r="E8233" s="226"/>
      <c r="F8233" s="155"/>
      <c r="G8233" s="143"/>
    </row>
    <row r="8234" spans="2:7" s="196" customFormat="1">
      <c r="B8234" s="142"/>
      <c r="C8234" s="235"/>
      <c r="D8234" s="213"/>
      <c r="E8234" s="226"/>
      <c r="F8234" s="155"/>
      <c r="G8234" s="143"/>
    </row>
    <row r="8235" spans="2:7" s="196" customFormat="1">
      <c r="B8235" s="142"/>
      <c r="C8235" s="235"/>
      <c r="D8235" s="213"/>
      <c r="E8235" s="226"/>
      <c r="F8235" s="155"/>
      <c r="G8235" s="143"/>
    </row>
    <row r="8236" spans="2:7" s="196" customFormat="1">
      <c r="B8236" s="142"/>
      <c r="C8236" s="235"/>
      <c r="D8236" s="213"/>
      <c r="E8236" s="226"/>
      <c r="F8236" s="155"/>
      <c r="G8236" s="143"/>
    </row>
    <row r="8237" spans="2:7" s="196" customFormat="1">
      <c r="B8237" s="142"/>
      <c r="C8237" s="235"/>
      <c r="D8237" s="213"/>
      <c r="E8237" s="226"/>
      <c r="F8237" s="155"/>
      <c r="G8237" s="143"/>
    </row>
    <row r="8238" spans="2:7" s="196" customFormat="1">
      <c r="B8238" s="142"/>
      <c r="C8238" s="235"/>
      <c r="D8238" s="213"/>
      <c r="E8238" s="226"/>
      <c r="F8238" s="155"/>
      <c r="G8238" s="143"/>
    </row>
    <row r="8239" spans="2:7" s="196" customFormat="1">
      <c r="B8239" s="142"/>
      <c r="C8239" s="235"/>
      <c r="D8239" s="213"/>
      <c r="E8239" s="226"/>
      <c r="F8239" s="155"/>
      <c r="G8239" s="143"/>
    </row>
    <row r="8240" spans="2:7" s="196" customFormat="1">
      <c r="B8240" s="142"/>
      <c r="C8240" s="235"/>
      <c r="D8240" s="213"/>
      <c r="E8240" s="226"/>
      <c r="F8240" s="155"/>
      <c r="G8240" s="143"/>
    </row>
    <row r="8241" spans="2:7" s="196" customFormat="1">
      <c r="B8241" s="142"/>
      <c r="C8241" s="235"/>
      <c r="D8241" s="213"/>
      <c r="E8241" s="226"/>
      <c r="F8241" s="155"/>
      <c r="G8241" s="143"/>
    </row>
    <row r="8242" spans="2:7" s="196" customFormat="1">
      <c r="B8242" s="142"/>
      <c r="C8242" s="235"/>
      <c r="D8242" s="213"/>
      <c r="E8242" s="226"/>
      <c r="F8242" s="155"/>
      <c r="G8242" s="143"/>
    </row>
    <row r="8243" spans="2:7" s="196" customFormat="1">
      <c r="B8243" s="142"/>
      <c r="C8243" s="235"/>
      <c r="D8243" s="213"/>
      <c r="E8243" s="226"/>
      <c r="F8243" s="155"/>
      <c r="G8243" s="143"/>
    </row>
    <row r="8244" spans="2:7" s="196" customFormat="1">
      <c r="B8244" s="142"/>
      <c r="C8244" s="235"/>
      <c r="D8244" s="213"/>
      <c r="E8244" s="226"/>
      <c r="F8244" s="155"/>
      <c r="G8244" s="143"/>
    </row>
    <row r="8245" spans="2:7" s="196" customFormat="1">
      <c r="B8245" s="142"/>
      <c r="C8245" s="235"/>
      <c r="D8245" s="213"/>
      <c r="E8245" s="226"/>
      <c r="F8245" s="155"/>
      <c r="G8245" s="143"/>
    </row>
    <row r="8246" spans="2:7" s="196" customFormat="1">
      <c r="B8246" s="142"/>
      <c r="C8246" s="235"/>
      <c r="D8246" s="213"/>
      <c r="E8246" s="226"/>
      <c r="F8246" s="155"/>
      <c r="G8246" s="143"/>
    </row>
    <row r="8247" spans="2:7" s="196" customFormat="1">
      <c r="B8247" s="142"/>
      <c r="C8247" s="235"/>
      <c r="D8247" s="213"/>
      <c r="E8247" s="226"/>
      <c r="F8247" s="155"/>
      <c r="G8247" s="143"/>
    </row>
    <row r="8248" spans="2:7" s="196" customFormat="1">
      <c r="B8248" s="142"/>
      <c r="C8248" s="235"/>
      <c r="D8248" s="213"/>
      <c r="E8248" s="226"/>
      <c r="F8248" s="155"/>
      <c r="G8248" s="143"/>
    </row>
    <row r="8249" spans="2:7" s="196" customFormat="1">
      <c r="B8249" s="142"/>
      <c r="C8249" s="235"/>
      <c r="D8249" s="213"/>
      <c r="E8249" s="226"/>
      <c r="F8249" s="155"/>
      <c r="G8249" s="143"/>
    </row>
    <row r="8250" spans="2:7" s="196" customFormat="1">
      <c r="B8250" s="142"/>
      <c r="C8250" s="235"/>
      <c r="D8250" s="213"/>
      <c r="E8250" s="226"/>
      <c r="F8250" s="155"/>
      <c r="G8250" s="143"/>
    </row>
    <row r="8251" spans="2:7" s="196" customFormat="1">
      <c r="B8251" s="142"/>
      <c r="C8251" s="235"/>
      <c r="D8251" s="213"/>
      <c r="E8251" s="226"/>
      <c r="F8251" s="155"/>
      <c r="G8251" s="143"/>
    </row>
    <row r="8252" spans="2:7" s="196" customFormat="1">
      <c r="B8252" s="142"/>
      <c r="C8252" s="235"/>
      <c r="D8252" s="213"/>
      <c r="E8252" s="226"/>
      <c r="F8252" s="155"/>
      <c r="G8252" s="143"/>
    </row>
    <row r="8253" spans="2:7" s="196" customFormat="1">
      <c r="B8253" s="142"/>
      <c r="C8253" s="235"/>
      <c r="D8253" s="213"/>
      <c r="E8253" s="226"/>
      <c r="F8253" s="155"/>
      <c r="G8253" s="143"/>
    </row>
    <row r="8254" spans="2:7" s="196" customFormat="1">
      <c r="B8254" s="142"/>
      <c r="C8254" s="235"/>
      <c r="D8254" s="213"/>
      <c r="E8254" s="226"/>
      <c r="F8254" s="155"/>
      <c r="G8254" s="143"/>
    </row>
    <row r="8255" spans="2:7" s="196" customFormat="1">
      <c r="B8255" s="142"/>
      <c r="C8255" s="235"/>
      <c r="D8255" s="213"/>
      <c r="E8255" s="226"/>
      <c r="F8255" s="155"/>
      <c r="G8255" s="143"/>
    </row>
    <row r="8256" spans="2:7" s="196" customFormat="1">
      <c r="B8256" s="142"/>
      <c r="C8256" s="235"/>
      <c r="D8256" s="213"/>
      <c r="E8256" s="226"/>
      <c r="F8256" s="155"/>
      <c r="G8256" s="143"/>
    </row>
    <row r="8257" spans="2:7" s="196" customFormat="1">
      <c r="B8257" s="142"/>
      <c r="C8257" s="235"/>
      <c r="D8257" s="213"/>
      <c r="E8257" s="226"/>
      <c r="F8257" s="155"/>
      <c r="G8257" s="143"/>
    </row>
    <row r="8258" spans="2:7" s="196" customFormat="1">
      <c r="B8258" s="142"/>
      <c r="C8258" s="235"/>
      <c r="D8258" s="213"/>
      <c r="E8258" s="226"/>
      <c r="F8258" s="155"/>
      <c r="G8258" s="143"/>
    </row>
    <row r="8259" spans="2:7" s="196" customFormat="1">
      <c r="B8259" s="142"/>
      <c r="C8259" s="235"/>
      <c r="D8259" s="213"/>
      <c r="E8259" s="226"/>
      <c r="F8259" s="155"/>
      <c r="G8259" s="143"/>
    </row>
    <row r="8260" spans="2:7" s="196" customFormat="1">
      <c r="B8260" s="142"/>
      <c r="C8260" s="235"/>
      <c r="D8260" s="213"/>
      <c r="E8260" s="226"/>
      <c r="F8260" s="155"/>
      <c r="G8260" s="143"/>
    </row>
    <row r="8261" spans="2:7" s="196" customFormat="1">
      <c r="B8261" s="142"/>
      <c r="C8261" s="235"/>
      <c r="D8261" s="213"/>
      <c r="E8261" s="226"/>
      <c r="F8261" s="155"/>
      <c r="G8261" s="143"/>
    </row>
    <row r="8262" spans="2:7" s="196" customFormat="1">
      <c r="B8262" s="142"/>
      <c r="C8262" s="235"/>
      <c r="D8262" s="213"/>
      <c r="E8262" s="226"/>
      <c r="F8262" s="155"/>
      <c r="G8262" s="143"/>
    </row>
    <row r="8263" spans="2:7" s="196" customFormat="1">
      <c r="B8263" s="142"/>
      <c r="C8263" s="235"/>
      <c r="D8263" s="213"/>
      <c r="E8263" s="226"/>
      <c r="F8263" s="155"/>
      <c r="G8263" s="143"/>
    </row>
    <row r="8264" spans="2:7" s="196" customFormat="1">
      <c r="B8264" s="142"/>
      <c r="C8264" s="235"/>
      <c r="D8264" s="213"/>
      <c r="E8264" s="226"/>
      <c r="F8264" s="155"/>
      <c r="G8264" s="143"/>
    </row>
    <row r="8265" spans="2:7" s="196" customFormat="1">
      <c r="B8265" s="142"/>
      <c r="C8265" s="235"/>
      <c r="D8265" s="213"/>
      <c r="E8265" s="226"/>
      <c r="F8265" s="155"/>
      <c r="G8265" s="143"/>
    </row>
    <row r="8266" spans="2:7" s="196" customFormat="1">
      <c r="B8266" s="142"/>
      <c r="C8266" s="235"/>
      <c r="D8266" s="213"/>
      <c r="E8266" s="226"/>
      <c r="F8266" s="155"/>
      <c r="G8266" s="143"/>
    </row>
    <row r="8267" spans="2:7" s="196" customFormat="1">
      <c r="B8267" s="142"/>
      <c r="C8267" s="235"/>
      <c r="D8267" s="213"/>
      <c r="E8267" s="226"/>
      <c r="F8267" s="155"/>
      <c r="G8267" s="143"/>
    </row>
    <row r="8268" spans="2:7" s="196" customFormat="1">
      <c r="B8268" s="142"/>
      <c r="C8268" s="235"/>
      <c r="D8268" s="213"/>
      <c r="E8268" s="226"/>
      <c r="F8268" s="155"/>
      <c r="G8268" s="143"/>
    </row>
    <row r="8269" spans="2:7" s="196" customFormat="1">
      <c r="B8269" s="142"/>
      <c r="C8269" s="235"/>
      <c r="D8269" s="213"/>
      <c r="E8269" s="226"/>
      <c r="F8269" s="155"/>
      <c r="G8269" s="143"/>
    </row>
    <row r="8270" spans="2:7" s="196" customFormat="1">
      <c r="B8270" s="142"/>
      <c r="C8270" s="235"/>
      <c r="D8270" s="213"/>
      <c r="E8270" s="226"/>
      <c r="F8270" s="155"/>
      <c r="G8270" s="143"/>
    </row>
    <row r="8271" spans="2:7" s="196" customFormat="1">
      <c r="B8271" s="142"/>
      <c r="C8271" s="235"/>
      <c r="D8271" s="213"/>
      <c r="E8271" s="226"/>
      <c r="F8271" s="155"/>
      <c r="G8271" s="143"/>
    </row>
    <row r="8272" spans="2:7" s="196" customFormat="1">
      <c r="B8272" s="142"/>
      <c r="C8272" s="235"/>
      <c r="D8272" s="213"/>
      <c r="E8272" s="226"/>
      <c r="F8272" s="155"/>
      <c r="G8272" s="143"/>
    </row>
    <row r="8273" spans="2:7" s="196" customFormat="1">
      <c r="B8273" s="142"/>
      <c r="C8273" s="235"/>
      <c r="D8273" s="213"/>
      <c r="E8273" s="226"/>
      <c r="F8273" s="155"/>
      <c r="G8273" s="143"/>
    </row>
    <row r="8274" spans="2:7" s="196" customFormat="1">
      <c r="B8274" s="142"/>
      <c r="C8274" s="235"/>
      <c r="D8274" s="213"/>
      <c r="E8274" s="226"/>
      <c r="F8274" s="155"/>
      <c r="G8274" s="143"/>
    </row>
    <row r="8275" spans="2:7" s="196" customFormat="1">
      <c r="B8275" s="142"/>
      <c r="C8275" s="235"/>
      <c r="D8275" s="213"/>
      <c r="E8275" s="226"/>
      <c r="F8275" s="155"/>
      <c r="G8275" s="143"/>
    </row>
    <row r="8276" spans="2:7" s="196" customFormat="1">
      <c r="B8276" s="142"/>
      <c r="C8276" s="235"/>
      <c r="D8276" s="213"/>
      <c r="E8276" s="226"/>
      <c r="F8276" s="155"/>
      <c r="G8276" s="143"/>
    </row>
    <row r="8277" spans="2:7" s="196" customFormat="1">
      <c r="B8277" s="142"/>
      <c r="C8277" s="235"/>
      <c r="D8277" s="213"/>
      <c r="E8277" s="226"/>
      <c r="F8277" s="155"/>
      <c r="G8277" s="143"/>
    </row>
    <row r="8278" spans="2:7" s="196" customFormat="1">
      <c r="B8278" s="142"/>
      <c r="C8278" s="235"/>
      <c r="D8278" s="213"/>
      <c r="E8278" s="226"/>
      <c r="F8278" s="155"/>
      <c r="G8278" s="143"/>
    </row>
    <row r="8279" spans="2:7" s="196" customFormat="1">
      <c r="B8279" s="142"/>
      <c r="C8279" s="235"/>
      <c r="D8279" s="213"/>
      <c r="E8279" s="226"/>
      <c r="F8279" s="155"/>
      <c r="G8279" s="143"/>
    </row>
    <row r="8280" spans="2:7" s="196" customFormat="1">
      <c r="B8280" s="142"/>
      <c r="C8280" s="235"/>
      <c r="D8280" s="213"/>
      <c r="E8280" s="226"/>
      <c r="F8280" s="155"/>
      <c r="G8280" s="143"/>
    </row>
    <row r="8281" spans="2:7" s="196" customFormat="1">
      <c r="B8281" s="142"/>
      <c r="C8281" s="235"/>
      <c r="D8281" s="213"/>
      <c r="E8281" s="226"/>
      <c r="F8281" s="155"/>
      <c r="G8281" s="143"/>
    </row>
    <row r="8282" spans="2:7" s="196" customFormat="1">
      <c r="B8282" s="142"/>
      <c r="C8282" s="235"/>
      <c r="D8282" s="213"/>
      <c r="E8282" s="226"/>
      <c r="F8282" s="155"/>
      <c r="G8282" s="143"/>
    </row>
    <row r="8283" spans="2:7" s="196" customFormat="1">
      <c r="B8283" s="142"/>
      <c r="C8283" s="235"/>
      <c r="D8283" s="213"/>
      <c r="E8283" s="226"/>
      <c r="F8283" s="155"/>
      <c r="G8283" s="143"/>
    </row>
    <row r="8284" spans="2:7" s="196" customFormat="1">
      <c r="B8284" s="142"/>
      <c r="C8284" s="235"/>
      <c r="D8284" s="213"/>
      <c r="E8284" s="226"/>
      <c r="F8284" s="155"/>
      <c r="G8284" s="143"/>
    </row>
    <row r="8285" spans="2:7" s="196" customFormat="1">
      <c r="B8285" s="142"/>
      <c r="C8285" s="235"/>
      <c r="D8285" s="213"/>
      <c r="E8285" s="226"/>
      <c r="F8285" s="155"/>
      <c r="G8285" s="143"/>
    </row>
    <row r="8286" spans="2:7" s="196" customFormat="1">
      <c r="B8286" s="142"/>
      <c r="C8286" s="235"/>
      <c r="D8286" s="213"/>
      <c r="E8286" s="226"/>
      <c r="F8286" s="155"/>
      <c r="G8286" s="143"/>
    </row>
    <row r="8287" spans="2:7" s="196" customFormat="1">
      <c r="B8287" s="142"/>
      <c r="C8287" s="235"/>
      <c r="D8287" s="213"/>
      <c r="E8287" s="226"/>
      <c r="F8287" s="155"/>
      <c r="G8287" s="143"/>
    </row>
    <row r="8288" spans="2:7" s="196" customFormat="1">
      <c r="B8288" s="142"/>
      <c r="C8288" s="235"/>
      <c r="D8288" s="213"/>
      <c r="E8288" s="226"/>
      <c r="F8288" s="155"/>
      <c r="G8288" s="143"/>
    </row>
    <row r="8289" spans="2:7" s="196" customFormat="1">
      <c r="B8289" s="142"/>
      <c r="C8289" s="235"/>
      <c r="D8289" s="213"/>
      <c r="E8289" s="226"/>
      <c r="F8289" s="155"/>
      <c r="G8289" s="143"/>
    </row>
    <row r="8290" spans="2:7" s="196" customFormat="1">
      <c r="B8290" s="142"/>
      <c r="C8290" s="235"/>
      <c r="D8290" s="213"/>
      <c r="E8290" s="226"/>
      <c r="F8290" s="155"/>
      <c r="G8290" s="143"/>
    </row>
    <row r="8291" spans="2:7" s="196" customFormat="1">
      <c r="B8291" s="142"/>
      <c r="C8291" s="235"/>
      <c r="D8291" s="213"/>
      <c r="E8291" s="226"/>
      <c r="F8291" s="155"/>
      <c r="G8291" s="143"/>
    </row>
    <row r="8292" spans="2:7" s="196" customFormat="1">
      <c r="B8292" s="142"/>
      <c r="C8292" s="235"/>
      <c r="D8292" s="213"/>
      <c r="E8292" s="226"/>
      <c r="F8292" s="155"/>
      <c r="G8292" s="143"/>
    </row>
    <row r="8293" spans="2:7" s="196" customFormat="1">
      <c r="B8293" s="142"/>
      <c r="C8293" s="235"/>
      <c r="D8293" s="213"/>
      <c r="E8293" s="226"/>
      <c r="F8293" s="155"/>
      <c r="G8293" s="143"/>
    </row>
    <row r="8294" spans="2:7" s="196" customFormat="1">
      <c r="B8294" s="142"/>
      <c r="C8294" s="235"/>
      <c r="D8294" s="213"/>
      <c r="E8294" s="226"/>
      <c r="F8294" s="155"/>
      <c r="G8294" s="143"/>
    </row>
    <row r="8295" spans="2:7" s="196" customFormat="1">
      <c r="B8295" s="142"/>
      <c r="C8295" s="235"/>
      <c r="D8295" s="213"/>
      <c r="E8295" s="226"/>
      <c r="F8295" s="155"/>
      <c r="G8295" s="143"/>
    </row>
    <row r="8296" spans="2:7" s="196" customFormat="1">
      <c r="B8296" s="142"/>
      <c r="C8296" s="235"/>
      <c r="D8296" s="213"/>
      <c r="E8296" s="226"/>
      <c r="F8296" s="155"/>
      <c r="G8296" s="143"/>
    </row>
    <row r="8297" spans="2:7" s="196" customFormat="1">
      <c r="B8297" s="142"/>
      <c r="C8297" s="235"/>
      <c r="D8297" s="213"/>
      <c r="E8297" s="226"/>
      <c r="F8297" s="155"/>
      <c r="G8297" s="143"/>
    </row>
    <row r="8298" spans="2:7" s="196" customFormat="1">
      <c r="B8298" s="142"/>
      <c r="C8298" s="235"/>
      <c r="D8298" s="213"/>
      <c r="E8298" s="226"/>
      <c r="F8298" s="155"/>
      <c r="G8298" s="143"/>
    </row>
    <row r="8299" spans="2:7" s="196" customFormat="1">
      <c r="B8299" s="142"/>
      <c r="C8299" s="235"/>
      <c r="D8299" s="213"/>
      <c r="E8299" s="226"/>
      <c r="F8299" s="155"/>
      <c r="G8299" s="143"/>
    </row>
    <row r="8300" spans="2:7" s="196" customFormat="1">
      <c r="B8300" s="142"/>
      <c r="C8300" s="235"/>
      <c r="D8300" s="213"/>
      <c r="E8300" s="226"/>
      <c r="F8300" s="155"/>
      <c r="G8300" s="143"/>
    </row>
    <row r="8301" spans="2:7" s="196" customFormat="1">
      <c r="B8301" s="142"/>
      <c r="C8301" s="235"/>
      <c r="D8301" s="213"/>
      <c r="E8301" s="226"/>
      <c r="F8301" s="155"/>
      <c r="G8301" s="143"/>
    </row>
    <row r="8302" spans="2:7" s="196" customFormat="1">
      <c r="B8302" s="142"/>
      <c r="C8302" s="235"/>
      <c r="D8302" s="213"/>
      <c r="E8302" s="226"/>
      <c r="F8302" s="155"/>
      <c r="G8302" s="143"/>
    </row>
    <row r="8303" spans="2:7" s="196" customFormat="1">
      <c r="B8303" s="142"/>
      <c r="C8303" s="235"/>
      <c r="D8303" s="213"/>
      <c r="E8303" s="226"/>
      <c r="F8303" s="155"/>
      <c r="G8303" s="143"/>
    </row>
    <row r="8304" spans="2:7" s="196" customFormat="1">
      <c r="B8304" s="142"/>
      <c r="C8304" s="235"/>
      <c r="D8304" s="213"/>
      <c r="E8304" s="226"/>
      <c r="F8304" s="155"/>
      <c r="G8304" s="143"/>
    </row>
    <row r="8305" spans="2:7" s="196" customFormat="1">
      <c r="B8305" s="142"/>
      <c r="C8305" s="235"/>
      <c r="D8305" s="213"/>
      <c r="E8305" s="226"/>
      <c r="F8305" s="155"/>
      <c r="G8305" s="143"/>
    </row>
    <row r="8306" spans="2:7" s="196" customFormat="1">
      <c r="B8306" s="142"/>
      <c r="C8306" s="235"/>
      <c r="D8306" s="213"/>
      <c r="E8306" s="226"/>
      <c r="F8306" s="155"/>
      <c r="G8306" s="143"/>
    </row>
    <row r="8307" spans="2:7" s="196" customFormat="1">
      <c r="B8307" s="142"/>
      <c r="C8307" s="235"/>
      <c r="D8307" s="213"/>
      <c r="E8307" s="226"/>
      <c r="F8307" s="155"/>
      <c r="G8307" s="143"/>
    </row>
    <row r="8308" spans="2:7" s="196" customFormat="1">
      <c r="B8308" s="142"/>
      <c r="C8308" s="235"/>
      <c r="D8308" s="213"/>
      <c r="E8308" s="226"/>
      <c r="F8308" s="155"/>
      <c r="G8308" s="143"/>
    </row>
    <row r="8309" spans="2:7" s="196" customFormat="1">
      <c r="B8309" s="142"/>
      <c r="C8309" s="235"/>
      <c r="D8309" s="213"/>
      <c r="E8309" s="226"/>
      <c r="F8309" s="155"/>
      <c r="G8309" s="143"/>
    </row>
    <row r="8310" spans="2:7" s="196" customFormat="1">
      <c r="B8310" s="142"/>
      <c r="C8310" s="235"/>
      <c r="D8310" s="213"/>
      <c r="E8310" s="226"/>
      <c r="F8310" s="155"/>
      <c r="G8310" s="143"/>
    </row>
    <row r="8311" spans="2:7" s="196" customFormat="1">
      <c r="B8311" s="142"/>
      <c r="C8311" s="235"/>
      <c r="D8311" s="213"/>
      <c r="E8311" s="226"/>
      <c r="F8311" s="155"/>
      <c r="G8311" s="143"/>
    </row>
    <row r="8312" spans="2:7" s="196" customFormat="1">
      <c r="B8312" s="142"/>
      <c r="C8312" s="235"/>
      <c r="D8312" s="213"/>
      <c r="E8312" s="226"/>
      <c r="F8312" s="155"/>
      <c r="G8312" s="143"/>
    </row>
    <row r="8313" spans="2:7" s="196" customFormat="1">
      <c r="B8313" s="142"/>
      <c r="C8313" s="235"/>
      <c r="D8313" s="213"/>
      <c r="E8313" s="226"/>
      <c r="F8313" s="155"/>
      <c r="G8313" s="143"/>
    </row>
    <row r="8314" spans="2:7" s="196" customFormat="1">
      <c r="B8314" s="142"/>
      <c r="C8314" s="235"/>
      <c r="D8314" s="213"/>
      <c r="E8314" s="226"/>
      <c r="F8314" s="155"/>
      <c r="G8314" s="143"/>
    </row>
    <row r="8315" spans="2:7" s="196" customFormat="1">
      <c r="B8315" s="142"/>
      <c r="C8315" s="235"/>
      <c r="D8315" s="213"/>
      <c r="E8315" s="226"/>
      <c r="F8315" s="155"/>
      <c r="G8315" s="143"/>
    </row>
    <row r="8316" spans="2:7" s="196" customFormat="1">
      <c r="B8316" s="142"/>
      <c r="C8316" s="235"/>
      <c r="D8316" s="213"/>
      <c r="E8316" s="226"/>
      <c r="F8316" s="155"/>
      <c r="G8316" s="143"/>
    </row>
    <row r="8317" spans="2:7" s="196" customFormat="1">
      <c r="B8317" s="142"/>
      <c r="C8317" s="235"/>
      <c r="D8317" s="213"/>
      <c r="E8317" s="226"/>
      <c r="F8317" s="155"/>
      <c r="G8317" s="143"/>
    </row>
    <row r="8318" spans="2:7" s="196" customFormat="1">
      <c r="B8318" s="142"/>
      <c r="C8318" s="235"/>
      <c r="D8318" s="213"/>
      <c r="E8318" s="226"/>
      <c r="F8318" s="155"/>
      <c r="G8318" s="143"/>
    </row>
    <row r="8319" spans="2:7" s="196" customFormat="1">
      <c r="B8319" s="142"/>
      <c r="C8319" s="235"/>
      <c r="D8319" s="213"/>
      <c r="E8319" s="226"/>
      <c r="F8319" s="155"/>
      <c r="G8319" s="143"/>
    </row>
    <row r="8320" spans="2:7" s="196" customFormat="1">
      <c r="B8320" s="142"/>
      <c r="C8320" s="235"/>
      <c r="D8320" s="213"/>
      <c r="E8320" s="226"/>
      <c r="F8320" s="155"/>
      <c r="G8320" s="143"/>
    </row>
    <row r="8321" spans="2:7" s="196" customFormat="1">
      <c r="B8321" s="142"/>
      <c r="C8321" s="235"/>
      <c r="D8321" s="213"/>
      <c r="E8321" s="226"/>
      <c r="F8321" s="155"/>
      <c r="G8321" s="143"/>
    </row>
    <row r="8322" spans="2:7" s="196" customFormat="1">
      <c r="B8322" s="142"/>
      <c r="C8322" s="235"/>
      <c r="D8322" s="213"/>
      <c r="E8322" s="226"/>
      <c r="F8322" s="155"/>
      <c r="G8322" s="143"/>
    </row>
    <row r="8323" spans="2:7" s="196" customFormat="1">
      <c r="B8323" s="142"/>
      <c r="C8323" s="235"/>
      <c r="D8323" s="213"/>
      <c r="E8323" s="226"/>
      <c r="F8323" s="155"/>
      <c r="G8323" s="143"/>
    </row>
    <row r="8324" spans="2:7" s="196" customFormat="1">
      <c r="B8324" s="142"/>
      <c r="C8324" s="235"/>
      <c r="D8324" s="213"/>
      <c r="E8324" s="226"/>
      <c r="F8324" s="155"/>
      <c r="G8324" s="143"/>
    </row>
    <row r="8325" spans="2:7" s="196" customFormat="1">
      <c r="B8325" s="142"/>
      <c r="C8325" s="235"/>
      <c r="D8325" s="213"/>
      <c r="E8325" s="226"/>
      <c r="F8325" s="155"/>
      <c r="G8325" s="143"/>
    </row>
    <row r="8326" spans="2:7" s="196" customFormat="1">
      <c r="B8326" s="142"/>
      <c r="C8326" s="235"/>
      <c r="D8326" s="213"/>
      <c r="E8326" s="226"/>
      <c r="F8326" s="155"/>
      <c r="G8326" s="143"/>
    </row>
    <row r="8327" spans="2:7" s="196" customFormat="1">
      <c r="B8327" s="142"/>
      <c r="C8327" s="235"/>
      <c r="D8327" s="213"/>
      <c r="E8327" s="226"/>
      <c r="F8327" s="155"/>
      <c r="G8327" s="143"/>
    </row>
    <row r="8328" spans="2:7" s="196" customFormat="1">
      <c r="B8328" s="142"/>
      <c r="C8328" s="235"/>
      <c r="D8328" s="213"/>
      <c r="E8328" s="226"/>
      <c r="F8328" s="155"/>
      <c r="G8328" s="143"/>
    </row>
    <row r="8329" spans="2:7" s="196" customFormat="1">
      <c r="B8329" s="142"/>
      <c r="C8329" s="235"/>
      <c r="D8329" s="213"/>
      <c r="E8329" s="226"/>
      <c r="F8329" s="155"/>
      <c r="G8329" s="143"/>
    </row>
    <row r="8330" spans="2:7" s="196" customFormat="1">
      <c r="B8330" s="142"/>
      <c r="C8330" s="235"/>
      <c r="D8330" s="213"/>
      <c r="E8330" s="226"/>
      <c r="F8330" s="155"/>
      <c r="G8330" s="143"/>
    </row>
    <row r="8331" spans="2:7" s="196" customFormat="1">
      <c r="B8331" s="142"/>
      <c r="C8331" s="235"/>
      <c r="D8331" s="213"/>
      <c r="E8331" s="226"/>
      <c r="F8331" s="155"/>
      <c r="G8331" s="143"/>
    </row>
    <row r="8332" spans="2:7" s="196" customFormat="1">
      <c r="B8332" s="142"/>
      <c r="C8332" s="235"/>
      <c r="D8332" s="213"/>
      <c r="E8332" s="226"/>
      <c r="F8332" s="155"/>
      <c r="G8332" s="143"/>
    </row>
    <row r="8333" spans="2:7" s="196" customFormat="1">
      <c r="B8333" s="142"/>
      <c r="C8333" s="235"/>
      <c r="D8333" s="213"/>
      <c r="E8333" s="226"/>
      <c r="F8333" s="155"/>
      <c r="G8333" s="143"/>
    </row>
    <row r="8334" spans="2:7" s="196" customFormat="1">
      <c r="B8334" s="142"/>
      <c r="C8334" s="235"/>
      <c r="D8334" s="213"/>
      <c r="E8334" s="226"/>
      <c r="F8334" s="155"/>
      <c r="G8334" s="143"/>
    </row>
    <row r="8335" spans="2:7" s="196" customFormat="1">
      <c r="B8335" s="142"/>
      <c r="C8335" s="235"/>
      <c r="D8335" s="213"/>
      <c r="E8335" s="226"/>
      <c r="F8335" s="155"/>
      <c r="G8335" s="143"/>
    </row>
    <row r="8336" spans="2:7" s="196" customFormat="1">
      <c r="B8336" s="142"/>
      <c r="C8336" s="235"/>
      <c r="D8336" s="213"/>
      <c r="E8336" s="226"/>
      <c r="F8336" s="155"/>
      <c r="G8336" s="143"/>
    </row>
    <row r="8337" spans="2:7" s="196" customFormat="1">
      <c r="B8337" s="142"/>
      <c r="C8337" s="235"/>
      <c r="D8337" s="213"/>
      <c r="E8337" s="226"/>
      <c r="F8337" s="155"/>
      <c r="G8337" s="143"/>
    </row>
    <row r="8338" spans="2:7" s="196" customFormat="1">
      <c r="B8338" s="142"/>
      <c r="C8338" s="235"/>
      <c r="D8338" s="213"/>
      <c r="E8338" s="226"/>
      <c r="F8338" s="155"/>
      <c r="G8338" s="143"/>
    </row>
    <row r="8339" spans="2:7" s="196" customFormat="1">
      <c r="B8339" s="142"/>
      <c r="C8339" s="235"/>
      <c r="D8339" s="213"/>
      <c r="E8339" s="226"/>
      <c r="F8339" s="155"/>
      <c r="G8339" s="143"/>
    </row>
    <row r="8340" spans="2:7" s="196" customFormat="1">
      <c r="B8340" s="142"/>
      <c r="C8340" s="235"/>
      <c r="D8340" s="213"/>
      <c r="E8340" s="226"/>
      <c r="F8340" s="155"/>
      <c r="G8340" s="143"/>
    </row>
    <row r="8341" spans="2:7" s="196" customFormat="1">
      <c r="B8341" s="142"/>
      <c r="C8341" s="235"/>
      <c r="D8341" s="213"/>
      <c r="E8341" s="226"/>
      <c r="F8341" s="155"/>
      <c r="G8341" s="143"/>
    </row>
    <row r="8342" spans="2:7" s="196" customFormat="1">
      <c r="B8342" s="142"/>
      <c r="C8342" s="235"/>
      <c r="D8342" s="213"/>
      <c r="E8342" s="226"/>
      <c r="F8342" s="155"/>
      <c r="G8342" s="143"/>
    </row>
    <row r="8343" spans="2:7" s="196" customFormat="1">
      <c r="B8343" s="142"/>
      <c r="C8343" s="235"/>
      <c r="D8343" s="213"/>
      <c r="E8343" s="226"/>
      <c r="F8343" s="155"/>
      <c r="G8343" s="143"/>
    </row>
    <row r="8344" spans="2:7" s="196" customFormat="1">
      <c r="B8344" s="142"/>
      <c r="C8344" s="235"/>
      <c r="D8344" s="213"/>
      <c r="E8344" s="226"/>
      <c r="F8344" s="155"/>
      <c r="G8344" s="143"/>
    </row>
    <row r="8345" spans="2:7" s="196" customFormat="1">
      <c r="B8345" s="142"/>
      <c r="C8345" s="235"/>
      <c r="D8345" s="213"/>
      <c r="E8345" s="226"/>
      <c r="F8345" s="155"/>
      <c r="G8345" s="143"/>
    </row>
    <row r="8346" spans="2:7" s="196" customFormat="1">
      <c r="B8346" s="142"/>
      <c r="C8346" s="235"/>
      <c r="D8346" s="213"/>
      <c r="E8346" s="226"/>
      <c r="F8346" s="155"/>
      <c r="G8346" s="143"/>
    </row>
    <row r="8347" spans="2:7" s="196" customFormat="1">
      <c r="B8347" s="142"/>
      <c r="C8347" s="235"/>
      <c r="D8347" s="213"/>
      <c r="E8347" s="226"/>
      <c r="F8347" s="155"/>
      <c r="G8347" s="143"/>
    </row>
    <row r="8348" spans="2:7" s="196" customFormat="1">
      <c r="B8348" s="142"/>
      <c r="C8348" s="235"/>
      <c r="D8348" s="213"/>
      <c r="E8348" s="226"/>
      <c r="F8348" s="155"/>
      <c r="G8348" s="143"/>
    </row>
    <row r="8349" spans="2:7" s="196" customFormat="1">
      <c r="B8349" s="142"/>
      <c r="C8349" s="235"/>
      <c r="D8349" s="213"/>
      <c r="E8349" s="226"/>
      <c r="F8349" s="155"/>
      <c r="G8349" s="143"/>
    </row>
    <row r="8350" spans="2:7" s="196" customFormat="1">
      <c r="B8350" s="142"/>
      <c r="C8350" s="235"/>
      <c r="D8350" s="213"/>
      <c r="E8350" s="226"/>
      <c r="F8350" s="155"/>
      <c r="G8350" s="143"/>
    </row>
    <row r="8351" spans="2:7" s="196" customFormat="1">
      <c r="B8351" s="142"/>
      <c r="C8351" s="235"/>
      <c r="D8351" s="213"/>
      <c r="E8351" s="226"/>
      <c r="F8351" s="155"/>
      <c r="G8351" s="143"/>
    </row>
    <row r="8352" spans="2:7" s="196" customFormat="1">
      <c r="B8352" s="142"/>
      <c r="C8352" s="235"/>
      <c r="D8352" s="213"/>
      <c r="E8352" s="226"/>
      <c r="F8352" s="155"/>
      <c r="G8352" s="143"/>
    </row>
    <row r="8353" spans="2:7" s="196" customFormat="1">
      <c r="B8353" s="142"/>
      <c r="C8353" s="235"/>
      <c r="D8353" s="213"/>
      <c r="E8353" s="226"/>
      <c r="F8353" s="155"/>
      <c r="G8353" s="143"/>
    </row>
    <row r="8354" spans="2:7" s="196" customFormat="1">
      <c r="B8354" s="142"/>
      <c r="C8354" s="235"/>
      <c r="D8354" s="213"/>
      <c r="E8354" s="226"/>
      <c r="F8354" s="155"/>
      <c r="G8354" s="143"/>
    </row>
    <row r="8355" spans="2:7" s="196" customFormat="1">
      <c r="B8355" s="142"/>
      <c r="C8355" s="235"/>
      <c r="D8355" s="213"/>
      <c r="E8355" s="226"/>
      <c r="F8355" s="155"/>
      <c r="G8355" s="143"/>
    </row>
    <row r="8356" spans="2:7" s="196" customFormat="1">
      <c r="B8356" s="142"/>
      <c r="C8356" s="235"/>
      <c r="D8356" s="213"/>
      <c r="E8356" s="226"/>
      <c r="F8356" s="155"/>
      <c r="G8356" s="143"/>
    </row>
    <row r="8357" spans="2:7" s="196" customFormat="1">
      <c r="B8357" s="142"/>
      <c r="C8357" s="235"/>
      <c r="D8357" s="213"/>
      <c r="E8357" s="226"/>
      <c r="F8357" s="155"/>
      <c r="G8357" s="143"/>
    </row>
    <row r="8358" spans="2:7" s="196" customFormat="1">
      <c r="B8358" s="142"/>
      <c r="C8358" s="235"/>
      <c r="D8358" s="213"/>
      <c r="E8358" s="226"/>
      <c r="F8358" s="155"/>
      <c r="G8358" s="143"/>
    </row>
    <row r="8359" spans="2:7" s="196" customFormat="1">
      <c r="B8359" s="142"/>
      <c r="C8359" s="235"/>
      <c r="D8359" s="213"/>
      <c r="E8359" s="226"/>
      <c r="F8359" s="155"/>
      <c r="G8359" s="143"/>
    </row>
    <row r="8360" spans="2:7" s="196" customFormat="1">
      <c r="B8360" s="142"/>
      <c r="C8360" s="235"/>
      <c r="D8360" s="213"/>
      <c r="E8360" s="226"/>
      <c r="F8360" s="155"/>
      <c r="G8360" s="143"/>
    </row>
    <row r="8361" spans="2:7" s="196" customFormat="1">
      <c r="B8361" s="142"/>
      <c r="C8361" s="235"/>
      <c r="D8361" s="213"/>
      <c r="E8361" s="226"/>
      <c r="F8361" s="155"/>
      <c r="G8361" s="143"/>
    </row>
    <row r="8362" spans="2:7" s="196" customFormat="1">
      <c r="B8362" s="142"/>
      <c r="C8362" s="235"/>
      <c r="D8362" s="213"/>
      <c r="E8362" s="226"/>
      <c r="F8362" s="155"/>
      <c r="G8362" s="143"/>
    </row>
    <row r="8363" spans="2:7" s="196" customFormat="1">
      <c r="B8363" s="142"/>
      <c r="C8363" s="235"/>
      <c r="D8363" s="213"/>
      <c r="E8363" s="226"/>
      <c r="F8363" s="155"/>
      <c r="G8363" s="143"/>
    </row>
    <row r="8364" spans="2:7" s="196" customFormat="1">
      <c r="B8364" s="142"/>
      <c r="C8364" s="235"/>
      <c r="D8364" s="213"/>
      <c r="E8364" s="226"/>
      <c r="F8364" s="155"/>
      <c r="G8364" s="143"/>
    </row>
    <row r="8365" spans="2:7" s="196" customFormat="1">
      <c r="B8365" s="142"/>
      <c r="C8365" s="235"/>
      <c r="D8365" s="213"/>
      <c r="E8365" s="226"/>
      <c r="F8365" s="155"/>
      <c r="G8365" s="143"/>
    </row>
    <row r="8366" spans="2:7" s="196" customFormat="1">
      <c r="B8366" s="142"/>
      <c r="C8366" s="235"/>
      <c r="D8366" s="213"/>
      <c r="E8366" s="226"/>
      <c r="F8366" s="155"/>
      <c r="G8366" s="143"/>
    </row>
    <row r="8367" spans="2:7" s="196" customFormat="1">
      <c r="B8367" s="142"/>
      <c r="C8367" s="235"/>
      <c r="D8367" s="213"/>
      <c r="E8367" s="226"/>
      <c r="F8367" s="155"/>
      <c r="G8367" s="143"/>
    </row>
    <row r="8368" spans="2:7" s="196" customFormat="1">
      <c r="B8368" s="142"/>
      <c r="C8368" s="235"/>
      <c r="D8368" s="213"/>
      <c r="E8368" s="226"/>
      <c r="F8368" s="155"/>
      <c r="G8368" s="143"/>
    </row>
    <row r="8369" spans="2:7" s="196" customFormat="1">
      <c r="B8369" s="142"/>
      <c r="C8369" s="235"/>
      <c r="D8369" s="213"/>
      <c r="E8369" s="226"/>
      <c r="F8369" s="155"/>
      <c r="G8369" s="143"/>
    </row>
    <row r="8370" spans="2:7" s="196" customFormat="1">
      <c r="B8370" s="142"/>
      <c r="C8370" s="235"/>
      <c r="D8370" s="213"/>
      <c r="E8370" s="226"/>
      <c r="F8370" s="155"/>
      <c r="G8370" s="143"/>
    </row>
    <row r="8371" spans="2:7" s="196" customFormat="1">
      <c r="B8371" s="142"/>
      <c r="C8371" s="235"/>
      <c r="D8371" s="213"/>
      <c r="E8371" s="226"/>
      <c r="F8371" s="155"/>
      <c r="G8371" s="143"/>
    </row>
    <row r="8372" spans="2:7" s="196" customFormat="1">
      <c r="B8372" s="142"/>
      <c r="C8372" s="235"/>
      <c r="D8372" s="213"/>
      <c r="E8372" s="226"/>
      <c r="F8372" s="155"/>
      <c r="G8372" s="143"/>
    </row>
    <row r="8373" spans="2:7" s="196" customFormat="1">
      <c r="B8373" s="142"/>
      <c r="C8373" s="235"/>
      <c r="D8373" s="213"/>
      <c r="E8373" s="226"/>
      <c r="F8373" s="155"/>
      <c r="G8373" s="143"/>
    </row>
    <row r="8374" spans="2:7" s="196" customFormat="1">
      <c r="B8374" s="142"/>
      <c r="C8374" s="235"/>
      <c r="D8374" s="213"/>
      <c r="E8374" s="226"/>
      <c r="F8374" s="155"/>
      <c r="G8374" s="143"/>
    </row>
    <row r="8375" spans="2:7" s="196" customFormat="1">
      <c r="B8375" s="142"/>
      <c r="C8375" s="235"/>
      <c r="D8375" s="213"/>
      <c r="E8375" s="226"/>
      <c r="F8375" s="155"/>
      <c r="G8375" s="143"/>
    </row>
    <row r="8376" spans="2:7" s="196" customFormat="1">
      <c r="B8376" s="142"/>
      <c r="C8376" s="235"/>
      <c r="D8376" s="213"/>
      <c r="E8376" s="226"/>
      <c r="F8376" s="155"/>
      <c r="G8376" s="143"/>
    </row>
    <row r="8377" spans="2:7" s="196" customFormat="1">
      <c r="B8377" s="142"/>
      <c r="C8377" s="235"/>
      <c r="D8377" s="213"/>
      <c r="E8377" s="226"/>
      <c r="F8377" s="155"/>
      <c r="G8377" s="143"/>
    </row>
    <row r="8378" spans="2:7" s="196" customFormat="1">
      <c r="B8378" s="142"/>
      <c r="C8378" s="235"/>
      <c r="D8378" s="213"/>
      <c r="E8378" s="226"/>
      <c r="F8378" s="155"/>
      <c r="G8378" s="143"/>
    </row>
    <row r="8379" spans="2:7" s="196" customFormat="1">
      <c r="B8379" s="142"/>
      <c r="C8379" s="235"/>
      <c r="D8379" s="213"/>
      <c r="E8379" s="226"/>
      <c r="F8379" s="155"/>
      <c r="G8379" s="143"/>
    </row>
    <row r="8380" spans="2:7" s="196" customFormat="1">
      <c r="B8380" s="142"/>
      <c r="C8380" s="235"/>
      <c r="D8380" s="213"/>
      <c r="E8380" s="226"/>
      <c r="F8380" s="155"/>
      <c r="G8380" s="143"/>
    </row>
    <row r="8381" spans="2:7" s="196" customFormat="1">
      <c r="B8381" s="142"/>
      <c r="C8381" s="235"/>
      <c r="D8381" s="213"/>
      <c r="E8381" s="226"/>
      <c r="F8381" s="155"/>
      <c r="G8381" s="143"/>
    </row>
    <row r="8382" spans="2:7" s="196" customFormat="1">
      <c r="B8382" s="142"/>
      <c r="C8382" s="235"/>
      <c r="D8382" s="213"/>
      <c r="E8382" s="226"/>
      <c r="F8382" s="155"/>
      <c r="G8382" s="143"/>
    </row>
    <row r="8383" spans="2:7" s="196" customFormat="1">
      <c r="B8383" s="142"/>
      <c r="C8383" s="235"/>
      <c r="D8383" s="213"/>
      <c r="E8383" s="226"/>
      <c r="F8383" s="155"/>
      <c r="G8383" s="143"/>
    </row>
    <row r="8384" spans="2:7" s="196" customFormat="1">
      <c r="B8384" s="142"/>
      <c r="C8384" s="235"/>
      <c r="D8384" s="213"/>
      <c r="E8384" s="226"/>
      <c r="F8384" s="155"/>
      <c r="G8384" s="143"/>
    </row>
    <row r="8385" spans="2:7" s="196" customFormat="1">
      <c r="B8385" s="142"/>
      <c r="C8385" s="235"/>
      <c r="D8385" s="213"/>
      <c r="E8385" s="226"/>
      <c r="F8385" s="155"/>
      <c r="G8385" s="143"/>
    </row>
    <row r="8386" spans="2:7" s="196" customFormat="1">
      <c r="B8386" s="142"/>
      <c r="C8386" s="235"/>
      <c r="D8386" s="213"/>
      <c r="E8386" s="226"/>
      <c r="F8386" s="155"/>
      <c r="G8386" s="143"/>
    </row>
    <row r="8387" spans="2:7" s="196" customFormat="1">
      <c r="B8387" s="142"/>
      <c r="C8387" s="235"/>
      <c r="D8387" s="213"/>
      <c r="E8387" s="226"/>
      <c r="F8387" s="155"/>
      <c r="G8387" s="143"/>
    </row>
    <row r="8388" spans="2:7" s="196" customFormat="1">
      <c r="B8388" s="142"/>
      <c r="C8388" s="235"/>
      <c r="D8388" s="213"/>
      <c r="E8388" s="226"/>
      <c r="F8388" s="155"/>
      <c r="G8388" s="143"/>
    </row>
    <row r="8389" spans="2:7" s="196" customFormat="1">
      <c r="B8389" s="142"/>
      <c r="C8389" s="235"/>
      <c r="D8389" s="213"/>
      <c r="E8389" s="226"/>
      <c r="F8389" s="155"/>
      <c r="G8389" s="143"/>
    </row>
    <row r="8390" spans="2:7" s="196" customFormat="1">
      <c r="B8390" s="142"/>
      <c r="C8390" s="235"/>
      <c r="D8390" s="213"/>
      <c r="E8390" s="226"/>
      <c r="F8390" s="155"/>
      <c r="G8390" s="143"/>
    </row>
    <row r="8391" spans="2:7" s="196" customFormat="1">
      <c r="B8391" s="142"/>
      <c r="C8391" s="235"/>
      <c r="D8391" s="213"/>
      <c r="E8391" s="226"/>
      <c r="F8391" s="155"/>
      <c r="G8391" s="143"/>
    </row>
    <row r="8392" spans="2:7" s="196" customFormat="1">
      <c r="B8392" s="142"/>
      <c r="C8392" s="235"/>
      <c r="D8392" s="213"/>
      <c r="E8392" s="226"/>
      <c r="F8392" s="155"/>
      <c r="G8392" s="143"/>
    </row>
    <row r="8393" spans="2:7" s="196" customFormat="1">
      <c r="B8393" s="142"/>
      <c r="C8393" s="235"/>
      <c r="D8393" s="213"/>
      <c r="E8393" s="226"/>
      <c r="F8393" s="155"/>
      <c r="G8393" s="143"/>
    </row>
    <row r="8394" spans="2:7" s="196" customFormat="1">
      <c r="B8394" s="142"/>
      <c r="C8394" s="235"/>
      <c r="D8394" s="213"/>
      <c r="E8394" s="226"/>
      <c r="F8394" s="155"/>
      <c r="G8394" s="143"/>
    </row>
    <row r="8395" spans="2:7" s="196" customFormat="1">
      <c r="B8395" s="142"/>
      <c r="C8395" s="235"/>
      <c r="D8395" s="213"/>
      <c r="E8395" s="226"/>
      <c r="F8395" s="155"/>
      <c r="G8395" s="143"/>
    </row>
    <row r="8396" spans="2:7" s="196" customFormat="1">
      <c r="B8396" s="142"/>
      <c r="C8396" s="235"/>
      <c r="D8396" s="213"/>
      <c r="E8396" s="226"/>
      <c r="F8396" s="155"/>
      <c r="G8396" s="143"/>
    </row>
    <row r="8397" spans="2:7" s="196" customFormat="1">
      <c r="B8397" s="142"/>
      <c r="C8397" s="235"/>
      <c r="D8397" s="213"/>
      <c r="E8397" s="226"/>
      <c r="F8397" s="155"/>
      <c r="G8397" s="143"/>
    </row>
    <row r="8398" spans="2:7" s="196" customFormat="1">
      <c r="B8398" s="142"/>
      <c r="C8398" s="235"/>
      <c r="D8398" s="213"/>
      <c r="E8398" s="226"/>
      <c r="F8398" s="155"/>
      <c r="G8398" s="143"/>
    </row>
    <row r="8399" spans="2:7" s="196" customFormat="1">
      <c r="B8399" s="142"/>
      <c r="C8399" s="235"/>
      <c r="D8399" s="213"/>
      <c r="E8399" s="226"/>
      <c r="F8399" s="155"/>
      <c r="G8399" s="143"/>
    </row>
    <row r="8400" spans="2:7" s="196" customFormat="1">
      <c r="B8400" s="142"/>
      <c r="C8400" s="235"/>
      <c r="D8400" s="213"/>
      <c r="E8400" s="226"/>
      <c r="F8400" s="155"/>
      <c r="G8400" s="143"/>
    </row>
    <row r="8401" spans="2:7" s="196" customFormat="1">
      <c r="B8401" s="142"/>
      <c r="C8401" s="235"/>
      <c r="D8401" s="213"/>
      <c r="E8401" s="226"/>
      <c r="F8401" s="155"/>
      <c r="G8401" s="143"/>
    </row>
    <row r="8402" spans="2:7" s="196" customFormat="1">
      <c r="B8402" s="142"/>
      <c r="C8402" s="235"/>
      <c r="D8402" s="213"/>
      <c r="E8402" s="226"/>
      <c r="F8402" s="155"/>
      <c r="G8402" s="143"/>
    </row>
    <row r="8403" spans="2:7" s="196" customFormat="1">
      <c r="B8403" s="142"/>
      <c r="C8403" s="235"/>
      <c r="D8403" s="213"/>
      <c r="E8403" s="226"/>
      <c r="F8403" s="155"/>
      <c r="G8403" s="143"/>
    </row>
    <row r="8404" spans="2:7" s="196" customFormat="1">
      <c r="B8404" s="142"/>
      <c r="C8404" s="235"/>
      <c r="D8404" s="213"/>
      <c r="E8404" s="226"/>
      <c r="F8404" s="155"/>
      <c r="G8404" s="143"/>
    </row>
    <row r="8405" spans="2:7" s="196" customFormat="1">
      <c r="B8405" s="142"/>
      <c r="C8405" s="235"/>
      <c r="D8405" s="213"/>
      <c r="E8405" s="226"/>
      <c r="F8405" s="155"/>
      <c r="G8405" s="143"/>
    </row>
    <row r="8406" spans="2:7" s="196" customFormat="1">
      <c r="B8406" s="142"/>
      <c r="C8406" s="235"/>
      <c r="D8406" s="213"/>
      <c r="E8406" s="226"/>
      <c r="F8406" s="155"/>
      <c r="G8406" s="143"/>
    </row>
    <row r="8407" spans="2:7" s="196" customFormat="1">
      <c r="B8407" s="142"/>
      <c r="C8407" s="235"/>
      <c r="D8407" s="213"/>
      <c r="E8407" s="226"/>
      <c r="F8407" s="155"/>
      <c r="G8407" s="143"/>
    </row>
    <row r="8408" spans="2:7" s="196" customFormat="1">
      <c r="B8408" s="142"/>
      <c r="C8408" s="235"/>
      <c r="D8408" s="213"/>
      <c r="E8408" s="226"/>
      <c r="F8408" s="155"/>
      <c r="G8408" s="143"/>
    </row>
    <row r="8409" spans="2:7" s="196" customFormat="1">
      <c r="B8409" s="142"/>
      <c r="C8409" s="235"/>
      <c r="D8409" s="213"/>
      <c r="E8409" s="226"/>
      <c r="F8409" s="155"/>
      <c r="G8409" s="143"/>
    </row>
    <row r="8410" spans="2:7" s="196" customFormat="1">
      <c r="B8410" s="142"/>
      <c r="C8410" s="235"/>
      <c r="D8410" s="213"/>
      <c r="E8410" s="226"/>
      <c r="F8410" s="155"/>
      <c r="G8410" s="143"/>
    </row>
    <row r="8411" spans="2:7" s="196" customFormat="1">
      <c r="B8411" s="142"/>
      <c r="C8411" s="235"/>
      <c r="D8411" s="213"/>
      <c r="E8411" s="226"/>
      <c r="F8411" s="155"/>
      <c r="G8411" s="143"/>
    </row>
    <row r="8412" spans="2:7" s="196" customFormat="1">
      <c r="B8412" s="142"/>
      <c r="C8412" s="235"/>
      <c r="D8412" s="213"/>
      <c r="E8412" s="226"/>
      <c r="F8412" s="155"/>
      <c r="G8412" s="143"/>
    </row>
    <row r="8413" spans="2:7" s="196" customFormat="1">
      <c r="B8413" s="142"/>
      <c r="C8413" s="235"/>
      <c r="D8413" s="213"/>
      <c r="E8413" s="226"/>
      <c r="F8413" s="155"/>
      <c r="G8413" s="143"/>
    </row>
    <row r="8414" spans="2:7" s="196" customFormat="1">
      <c r="B8414" s="142"/>
      <c r="C8414" s="235"/>
      <c r="D8414" s="213"/>
      <c r="E8414" s="226"/>
      <c r="F8414" s="155"/>
      <c r="G8414" s="143"/>
    </row>
    <row r="8415" spans="2:7" s="196" customFormat="1">
      <c r="B8415" s="142"/>
      <c r="C8415" s="235"/>
      <c r="D8415" s="213"/>
      <c r="E8415" s="226"/>
      <c r="F8415" s="155"/>
      <c r="G8415" s="143"/>
    </row>
    <row r="8416" spans="2:7" s="196" customFormat="1">
      <c r="B8416" s="142"/>
      <c r="C8416" s="235"/>
      <c r="D8416" s="213"/>
      <c r="E8416" s="226"/>
      <c r="F8416" s="155"/>
      <c r="G8416" s="143"/>
    </row>
    <row r="8417" spans="2:7" s="196" customFormat="1">
      <c r="B8417" s="142"/>
      <c r="C8417" s="235"/>
      <c r="D8417" s="213"/>
      <c r="E8417" s="226"/>
      <c r="F8417" s="155"/>
      <c r="G8417" s="143"/>
    </row>
    <row r="8418" spans="2:7" s="196" customFormat="1">
      <c r="B8418" s="142"/>
      <c r="C8418" s="235"/>
      <c r="D8418" s="213"/>
      <c r="E8418" s="226"/>
      <c r="F8418" s="155"/>
      <c r="G8418" s="143"/>
    </row>
    <row r="8419" spans="2:7" s="196" customFormat="1">
      <c r="B8419" s="142"/>
      <c r="C8419" s="235"/>
      <c r="D8419" s="213"/>
      <c r="E8419" s="226"/>
      <c r="F8419" s="155"/>
      <c r="G8419" s="143"/>
    </row>
    <row r="8420" spans="2:7" s="196" customFormat="1">
      <c r="B8420" s="142"/>
      <c r="C8420" s="235"/>
      <c r="D8420" s="213"/>
      <c r="E8420" s="226"/>
      <c r="F8420" s="155"/>
      <c r="G8420" s="143"/>
    </row>
    <row r="8421" spans="2:7" s="196" customFormat="1">
      <c r="B8421" s="142"/>
      <c r="C8421" s="235"/>
      <c r="D8421" s="213"/>
      <c r="E8421" s="226"/>
      <c r="F8421" s="155"/>
      <c r="G8421" s="143"/>
    </row>
    <row r="8422" spans="2:7" s="196" customFormat="1">
      <c r="B8422" s="142"/>
      <c r="C8422" s="235"/>
      <c r="D8422" s="213"/>
      <c r="E8422" s="226"/>
      <c r="F8422" s="155"/>
      <c r="G8422" s="143"/>
    </row>
    <row r="8423" spans="2:7" s="196" customFormat="1">
      <c r="B8423" s="142"/>
      <c r="C8423" s="235"/>
      <c r="D8423" s="213"/>
      <c r="E8423" s="226"/>
      <c r="F8423" s="155"/>
      <c r="G8423" s="143"/>
    </row>
    <row r="8424" spans="2:7" s="196" customFormat="1">
      <c r="B8424" s="142"/>
      <c r="C8424" s="235"/>
      <c r="D8424" s="213"/>
      <c r="E8424" s="226"/>
      <c r="F8424" s="155"/>
      <c r="G8424" s="143"/>
    </row>
    <row r="8425" spans="2:7" s="196" customFormat="1">
      <c r="B8425" s="142"/>
      <c r="C8425" s="235"/>
      <c r="D8425" s="213"/>
      <c r="E8425" s="226"/>
      <c r="F8425" s="155"/>
      <c r="G8425" s="143"/>
    </row>
    <row r="8426" spans="2:7" s="196" customFormat="1">
      <c r="B8426" s="142"/>
      <c r="C8426" s="235"/>
      <c r="D8426" s="213"/>
      <c r="E8426" s="226"/>
      <c r="F8426" s="155"/>
      <c r="G8426" s="143"/>
    </row>
    <row r="8427" spans="2:7" s="196" customFormat="1">
      <c r="B8427" s="142"/>
      <c r="C8427" s="235"/>
      <c r="D8427" s="213"/>
      <c r="E8427" s="226"/>
      <c r="F8427" s="155"/>
      <c r="G8427" s="143"/>
    </row>
    <row r="8428" spans="2:7" s="196" customFormat="1">
      <c r="B8428" s="142"/>
      <c r="C8428" s="235"/>
      <c r="D8428" s="213"/>
      <c r="E8428" s="226"/>
      <c r="F8428" s="155"/>
      <c r="G8428" s="143"/>
    </row>
    <row r="8429" spans="2:7" s="196" customFormat="1">
      <c r="B8429" s="142"/>
      <c r="C8429" s="235"/>
      <c r="D8429" s="213"/>
      <c r="E8429" s="226"/>
      <c r="F8429" s="155"/>
      <c r="G8429" s="143"/>
    </row>
    <row r="8430" spans="2:7" s="196" customFormat="1">
      <c r="B8430" s="142"/>
      <c r="C8430" s="235"/>
      <c r="D8430" s="213"/>
      <c r="E8430" s="226"/>
      <c r="F8430" s="155"/>
      <c r="G8430" s="143"/>
    </row>
    <row r="8431" spans="2:7" s="196" customFormat="1">
      <c r="B8431" s="142"/>
      <c r="C8431" s="235"/>
      <c r="D8431" s="213"/>
      <c r="E8431" s="226"/>
      <c r="F8431" s="155"/>
      <c r="G8431" s="143"/>
    </row>
    <row r="8432" spans="2:7" s="196" customFormat="1">
      <c r="B8432" s="142"/>
      <c r="C8432" s="235"/>
      <c r="D8432" s="213"/>
      <c r="E8432" s="226"/>
      <c r="F8432" s="155"/>
      <c r="G8432" s="143"/>
    </row>
    <row r="8433" spans="2:7" s="196" customFormat="1">
      <c r="B8433" s="142"/>
      <c r="C8433" s="235"/>
      <c r="D8433" s="213"/>
      <c r="E8433" s="226"/>
      <c r="F8433" s="155"/>
      <c r="G8433" s="143"/>
    </row>
    <row r="8434" spans="2:7" s="196" customFormat="1">
      <c r="B8434" s="142"/>
      <c r="C8434" s="235"/>
      <c r="D8434" s="213"/>
      <c r="E8434" s="226"/>
      <c r="F8434" s="155"/>
      <c r="G8434" s="143"/>
    </row>
    <row r="8435" spans="2:7" s="196" customFormat="1">
      <c r="B8435" s="142"/>
      <c r="C8435" s="235"/>
      <c r="D8435" s="213"/>
      <c r="E8435" s="226"/>
      <c r="F8435" s="155"/>
      <c r="G8435" s="143"/>
    </row>
    <row r="8436" spans="2:7" s="196" customFormat="1">
      <c r="B8436" s="142"/>
      <c r="C8436" s="235"/>
      <c r="D8436" s="213"/>
      <c r="E8436" s="226"/>
      <c r="F8436" s="155"/>
      <c r="G8436" s="143"/>
    </row>
    <row r="8437" spans="2:7" s="196" customFormat="1">
      <c r="B8437" s="142"/>
      <c r="C8437" s="235"/>
      <c r="D8437" s="213"/>
      <c r="E8437" s="226"/>
      <c r="F8437" s="155"/>
      <c r="G8437" s="143"/>
    </row>
    <row r="8438" spans="2:7" s="196" customFormat="1">
      <c r="B8438" s="142"/>
      <c r="C8438" s="235"/>
      <c r="D8438" s="213"/>
      <c r="E8438" s="226"/>
      <c r="F8438" s="155"/>
      <c r="G8438" s="143"/>
    </row>
    <row r="8439" spans="2:7" s="196" customFormat="1">
      <c r="B8439" s="142"/>
      <c r="C8439" s="235"/>
      <c r="D8439" s="213"/>
      <c r="E8439" s="226"/>
      <c r="F8439" s="155"/>
      <c r="G8439" s="143"/>
    </row>
    <row r="8440" spans="2:7" s="196" customFormat="1">
      <c r="B8440" s="142"/>
      <c r="C8440" s="235"/>
      <c r="D8440" s="213"/>
      <c r="E8440" s="226"/>
      <c r="F8440" s="155"/>
      <c r="G8440" s="143"/>
    </row>
    <row r="8441" spans="2:7" s="196" customFormat="1">
      <c r="B8441" s="142"/>
      <c r="C8441" s="235"/>
      <c r="D8441" s="213"/>
      <c r="E8441" s="226"/>
      <c r="F8441" s="155"/>
      <c r="G8441" s="143"/>
    </row>
    <row r="8442" spans="2:7" s="196" customFormat="1">
      <c r="B8442" s="142"/>
      <c r="C8442" s="235"/>
      <c r="D8442" s="213"/>
      <c r="E8442" s="226"/>
      <c r="F8442" s="155"/>
      <c r="G8442" s="143"/>
    </row>
    <row r="8443" spans="2:7" s="196" customFormat="1">
      <c r="B8443" s="142"/>
      <c r="C8443" s="235"/>
      <c r="D8443" s="213"/>
      <c r="E8443" s="226"/>
      <c r="F8443" s="155"/>
      <c r="G8443" s="143"/>
    </row>
    <row r="8444" spans="2:7" s="196" customFormat="1">
      <c r="B8444" s="142"/>
      <c r="C8444" s="235"/>
      <c r="D8444" s="213"/>
      <c r="E8444" s="226"/>
      <c r="F8444" s="155"/>
      <c r="G8444" s="143"/>
    </row>
    <row r="8445" spans="2:7" s="196" customFormat="1">
      <c r="B8445" s="142"/>
      <c r="C8445" s="235"/>
      <c r="D8445" s="213"/>
      <c r="E8445" s="226"/>
      <c r="F8445" s="155"/>
      <c r="G8445" s="143"/>
    </row>
    <row r="8446" spans="2:7" s="196" customFormat="1">
      <c r="B8446" s="142"/>
      <c r="C8446" s="235"/>
      <c r="D8446" s="213"/>
      <c r="E8446" s="226"/>
      <c r="F8446" s="155"/>
      <c r="G8446" s="143"/>
    </row>
    <row r="8447" spans="2:7" s="196" customFormat="1">
      <c r="B8447" s="142"/>
      <c r="C8447" s="235"/>
      <c r="D8447" s="213"/>
      <c r="E8447" s="226"/>
      <c r="F8447" s="155"/>
      <c r="G8447" s="143"/>
    </row>
    <row r="8448" spans="2:7" s="196" customFormat="1">
      <c r="B8448" s="142"/>
      <c r="C8448" s="235"/>
      <c r="D8448" s="213"/>
      <c r="E8448" s="226"/>
      <c r="F8448" s="155"/>
      <c r="G8448" s="143"/>
    </row>
    <row r="8449" spans="2:7" s="196" customFormat="1">
      <c r="B8449" s="142"/>
      <c r="C8449" s="235"/>
      <c r="D8449" s="213"/>
      <c r="E8449" s="226"/>
      <c r="F8449" s="155"/>
      <c r="G8449" s="143"/>
    </row>
    <row r="8450" spans="2:7" s="196" customFormat="1">
      <c r="B8450" s="142"/>
      <c r="C8450" s="235"/>
      <c r="D8450" s="213"/>
      <c r="E8450" s="226"/>
      <c r="F8450" s="155"/>
      <c r="G8450" s="143"/>
    </row>
    <row r="8451" spans="2:7" s="196" customFormat="1">
      <c r="B8451" s="142"/>
      <c r="C8451" s="235"/>
      <c r="D8451" s="213"/>
      <c r="E8451" s="226"/>
      <c r="F8451" s="155"/>
      <c r="G8451" s="143"/>
    </row>
    <row r="8452" spans="2:7" s="196" customFormat="1">
      <c r="B8452" s="142"/>
      <c r="C8452" s="235"/>
      <c r="D8452" s="213"/>
      <c r="E8452" s="226"/>
      <c r="F8452" s="155"/>
      <c r="G8452" s="143"/>
    </row>
    <row r="8453" spans="2:7" s="196" customFormat="1">
      <c r="B8453" s="142"/>
      <c r="C8453" s="235"/>
      <c r="D8453" s="213"/>
      <c r="E8453" s="226"/>
      <c r="F8453" s="155"/>
      <c r="G8453" s="143"/>
    </row>
    <row r="8454" spans="2:7" s="196" customFormat="1">
      <c r="B8454" s="142"/>
      <c r="C8454" s="235"/>
      <c r="D8454" s="213"/>
      <c r="E8454" s="226"/>
      <c r="F8454" s="155"/>
      <c r="G8454" s="143"/>
    </row>
    <row r="8455" spans="2:7" s="196" customFormat="1">
      <c r="B8455" s="142"/>
      <c r="C8455" s="235"/>
      <c r="D8455" s="213"/>
      <c r="E8455" s="226"/>
      <c r="F8455" s="155"/>
      <c r="G8455" s="143"/>
    </row>
    <row r="8456" spans="2:7" s="196" customFormat="1">
      <c r="B8456" s="142"/>
      <c r="C8456" s="235"/>
      <c r="D8456" s="213"/>
      <c r="E8456" s="226"/>
      <c r="F8456" s="155"/>
      <c r="G8456" s="143"/>
    </row>
    <row r="8457" spans="2:7" s="196" customFormat="1">
      <c r="B8457" s="142"/>
      <c r="C8457" s="235"/>
      <c r="D8457" s="213"/>
      <c r="E8457" s="226"/>
      <c r="F8457" s="155"/>
      <c r="G8457" s="143"/>
    </row>
    <row r="8458" spans="2:7" s="196" customFormat="1">
      <c r="B8458" s="142"/>
      <c r="C8458" s="235"/>
      <c r="D8458" s="213"/>
      <c r="E8458" s="226"/>
      <c r="F8458" s="155"/>
      <c r="G8458" s="143"/>
    </row>
    <row r="8459" spans="2:7" s="196" customFormat="1">
      <c r="B8459" s="142"/>
      <c r="C8459" s="235"/>
      <c r="D8459" s="213"/>
      <c r="E8459" s="226"/>
      <c r="F8459" s="155"/>
      <c r="G8459" s="143"/>
    </row>
    <row r="8460" spans="2:7" s="196" customFormat="1">
      <c r="B8460" s="142"/>
      <c r="C8460" s="235"/>
      <c r="D8460" s="213"/>
      <c r="E8460" s="226"/>
      <c r="F8460" s="155"/>
      <c r="G8460" s="143"/>
    </row>
    <row r="8461" spans="2:7" s="196" customFormat="1">
      <c r="B8461" s="142"/>
      <c r="C8461" s="235"/>
      <c r="D8461" s="213"/>
      <c r="E8461" s="226"/>
      <c r="F8461" s="155"/>
      <c r="G8461" s="143"/>
    </row>
    <row r="8462" spans="2:7" s="196" customFormat="1">
      <c r="B8462" s="142"/>
      <c r="C8462" s="235"/>
      <c r="D8462" s="213"/>
      <c r="E8462" s="226"/>
      <c r="F8462" s="155"/>
      <c r="G8462" s="143"/>
    </row>
    <row r="8463" spans="2:7" s="196" customFormat="1">
      <c r="B8463" s="142"/>
      <c r="C8463" s="235"/>
      <c r="D8463" s="213"/>
      <c r="E8463" s="226"/>
      <c r="F8463" s="155"/>
      <c r="G8463" s="143"/>
    </row>
    <row r="8464" spans="2:7" s="196" customFormat="1">
      <c r="B8464" s="142"/>
      <c r="C8464" s="235"/>
      <c r="D8464" s="213"/>
      <c r="E8464" s="226"/>
      <c r="F8464" s="155"/>
      <c r="G8464" s="143"/>
    </row>
    <row r="8465" spans="2:7" s="196" customFormat="1">
      <c r="B8465" s="142"/>
      <c r="C8465" s="235"/>
      <c r="D8465" s="213"/>
      <c r="E8465" s="226"/>
      <c r="F8465" s="155"/>
      <c r="G8465" s="143"/>
    </row>
    <row r="8466" spans="2:7" s="196" customFormat="1">
      <c r="B8466" s="142"/>
      <c r="C8466" s="235"/>
      <c r="D8466" s="213"/>
      <c r="E8466" s="226"/>
      <c r="F8466" s="155"/>
      <c r="G8466" s="143"/>
    </row>
    <row r="8467" spans="2:7" s="196" customFormat="1">
      <c r="B8467" s="142"/>
      <c r="C8467" s="235"/>
      <c r="D8467" s="213"/>
      <c r="E8467" s="226"/>
      <c r="F8467" s="155"/>
      <c r="G8467" s="143"/>
    </row>
    <row r="8468" spans="2:7" s="196" customFormat="1">
      <c r="B8468" s="142"/>
      <c r="C8468" s="235"/>
      <c r="D8468" s="213"/>
      <c r="E8468" s="226"/>
      <c r="F8468" s="155"/>
      <c r="G8468" s="143"/>
    </row>
    <row r="8469" spans="2:7" s="196" customFormat="1">
      <c r="B8469" s="142"/>
      <c r="C8469" s="235"/>
      <c r="D8469" s="213"/>
      <c r="E8469" s="226"/>
      <c r="F8469" s="155"/>
      <c r="G8469" s="143"/>
    </row>
    <row r="8470" spans="2:7" s="196" customFormat="1">
      <c r="B8470" s="142"/>
      <c r="C8470" s="235"/>
      <c r="D8470" s="213"/>
      <c r="E8470" s="226"/>
      <c r="F8470" s="155"/>
      <c r="G8470" s="143"/>
    </row>
    <row r="8471" spans="2:7" s="196" customFormat="1">
      <c r="B8471" s="142"/>
      <c r="C8471" s="235"/>
      <c r="D8471" s="213"/>
      <c r="E8471" s="226"/>
      <c r="F8471" s="155"/>
      <c r="G8471" s="143"/>
    </row>
    <row r="8472" spans="2:7" s="196" customFormat="1">
      <c r="B8472" s="142"/>
      <c r="C8472" s="235"/>
      <c r="D8472" s="213"/>
      <c r="E8472" s="226"/>
      <c r="F8472" s="155"/>
      <c r="G8472" s="143"/>
    </row>
    <row r="8473" spans="2:7" s="196" customFormat="1">
      <c r="B8473" s="142"/>
      <c r="C8473" s="235"/>
      <c r="D8473" s="213"/>
      <c r="E8473" s="226"/>
      <c r="F8473" s="155"/>
      <c r="G8473" s="143"/>
    </row>
    <row r="8474" spans="2:7" s="196" customFormat="1">
      <c r="B8474" s="142"/>
      <c r="C8474" s="235"/>
      <c r="D8474" s="213"/>
      <c r="E8474" s="226"/>
      <c r="F8474" s="155"/>
      <c r="G8474" s="143"/>
    </row>
    <row r="8475" spans="2:7" s="196" customFormat="1">
      <c r="B8475" s="142"/>
      <c r="C8475" s="235"/>
      <c r="D8475" s="213"/>
      <c r="E8475" s="226"/>
      <c r="F8475" s="155"/>
      <c r="G8475" s="143"/>
    </row>
    <row r="8476" spans="2:7" s="196" customFormat="1">
      <c r="B8476" s="142"/>
      <c r="C8476" s="235"/>
      <c r="D8476" s="213"/>
      <c r="E8476" s="226"/>
      <c r="F8476" s="155"/>
      <c r="G8476" s="143"/>
    </row>
    <row r="8477" spans="2:7" s="196" customFormat="1">
      <c r="B8477" s="142"/>
      <c r="C8477" s="235"/>
      <c r="D8477" s="213"/>
      <c r="E8477" s="226"/>
      <c r="F8477" s="155"/>
      <c r="G8477" s="143"/>
    </row>
    <row r="8478" spans="2:7" s="196" customFormat="1">
      <c r="B8478" s="142"/>
      <c r="C8478" s="235"/>
      <c r="D8478" s="213"/>
      <c r="E8478" s="226"/>
      <c r="F8478" s="155"/>
      <c r="G8478" s="143"/>
    </row>
    <row r="8479" spans="2:7" s="196" customFormat="1">
      <c r="B8479" s="142"/>
      <c r="C8479" s="235"/>
      <c r="D8479" s="213"/>
      <c r="E8479" s="226"/>
      <c r="F8479" s="155"/>
      <c r="G8479" s="143"/>
    </row>
    <row r="8480" spans="2:7" s="196" customFormat="1">
      <c r="B8480" s="142"/>
      <c r="C8480" s="235"/>
      <c r="D8480" s="213"/>
      <c r="E8480" s="226"/>
      <c r="F8480" s="155"/>
      <c r="G8480" s="143"/>
    </row>
    <row r="8481" spans="2:7" s="196" customFormat="1">
      <c r="B8481" s="142"/>
      <c r="C8481" s="235"/>
      <c r="D8481" s="213"/>
      <c r="E8481" s="226"/>
      <c r="F8481" s="155"/>
      <c r="G8481" s="143"/>
    </row>
    <row r="8482" spans="2:7" s="196" customFormat="1">
      <c r="B8482" s="142"/>
      <c r="C8482" s="235"/>
      <c r="D8482" s="213"/>
      <c r="E8482" s="226"/>
      <c r="F8482" s="155"/>
      <c r="G8482" s="143"/>
    </row>
    <row r="8483" spans="2:7" s="196" customFormat="1">
      <c r="B8483" s="142"/>
      <c r="C8483" s="235"/>
      <c r="D8483" s="213"/>
      <c r="E8483" s="226"/>
      <c r="F8483" s="155"/>
      <c r="G8483" s="143"/>
    </row>
    <row r="8484" spans="2:7" s="196" customFormat="1">
      <c r="B8484" s="142"/>
      <c r="C8484" s="235"/>
      <c r="D8484" s="213"/>
      <c r="E8484" s="226"/>
      <c r="F8484" s="155"/>
      <c r="G8484" s="143"/>
    </row>
    <row r="8485" spans="2:7" s="196" customFormat="1">
      <c r="B8485" s="142"/>
      <c r="C8485" s="235"/>
      <c r="D8485" s="213"/>
      <c r="E8485" s="226"/>
      <c r="F8485" s="155"/>
      <c r="G8485" s="143"/>
    </row>
    <row r="8486" spans="2:7" s="196" customFormat="1">
      <c r="B8486" s="142"/>
      <c r="C8486" s="235"/>
      <c r="D8486" s="213"/>
      <c r="E8486" s="226"/>
      <c r="F8486" s="155"/>
      <c r="G8486" s="143"/>
    </row>
    <row r="8487" spans="2:7" s="196" customFormat="1">
      <c r="B8487" s="142"/>
      <c r="C8487" s="235"/>
      <c r="D8487" s="213"/>
      <c r="E8487" s="226"/>
      <c r="F8487" s="155"/>
      <c r="G8487" s="143"/>
    </row>
    <row r="8488" spans="2:7" s="196" customFormat="1">
      <c r="B8488" s="142"/>
      <c r="C8488" s="235"/>
      <c r="D8488" s="213"/>
      <c r="E8488" s="226"/>
      <c r="F8488" s="155"/>
      <c r="G8488" s="143"/>
    </row>
    <row r="8489" spans="2:7" s="196" customFormat="1">
      <c r="B8489" s="142"/>
      <c r="C8489" s="235"/>
      <c r="D8489" s="213"/>
      <c r="E8489" s="226"/>
      <c r="F8489" s="155"/>
      <c r="G8489" s="143"/>
    </row>
    <row r="8490" spans="2:7" s="196" customFormat="1">
      <c r="B8490" s="142"/>
      <c r="C8490" s="235"/>
      <c r="D8490" s="213"/>
      <c r="E8490" s="226"/>
      <c r="F8490" s="155"/>
      <c r="G8490" s="143"/>
    </row>
    <row r="8491" spans="2:7" s="196" customFormat="1">
      <c r="B8491" s="142"/>
      <c r="C8491" s="235"/>
      <c r="D8491" s="213"/>
      <c r="E8491" s="226"/>
      <c r="F8491" s="155"/>
      <c r="G8491" s="143"/>
    </row>
    <row r="8492" spans="2:7" s="196" customFormat="1">
      <c r="B8492" s="142"/>
      <c r="C8492" s="235"/>
      <c r="D8492" s="213"/>
      <c r="E8492" s="226"/>
      <c r="F8492" s="155"/>
      <c r="G8492" s="143"/>
    </row>
    <row r="8493" spans="2:7" s="196" customFormat="1">
      <c r="B8493" s="142"/>
      <c r="C8493" s="235"/>
      <c r="D8493" s="213"/>
      <c r="E8493" s="226"/>
      <c r="F8493" s="155"/>
      <c r="G8493" s="143"/>
    </row>
    <row r="8494" spans="2:7" s="196" customFormat="1">
      <c r="B8494" s="142"/>
      <c r="C8494" s="235"/>
      <c r="D8494" s="213"/>
      <c r="E8494" s="226"/>
      <c r="F8494" s="155"/>
      <c r="G8494" s="143"/>
    </row>
    <row r="8495" spans="2:7" s="196" customFormat="1">
      <c r="B8495" s="142"/>
      <c r="C8495" s="235"/>
      <c r="D8495" s="213"/>
      <c r="E8495" s="226"/>
      <c r="F8495" s="155"/>
      <c r="G8495" s="143"/>
    </row>
    <row r="8496" spans="2:7" s="196" customFormat="1">
      <c r="B8496" s="142"/>
      <c r="C8496" s="235"/>
      <c r="D8496" s="213"/>
      <c r="E8496" s="226"/>
      <c r="F8496" s="155"/>
      <c r="G8496" s="143"/>
    </row>
    <row r="8497" spans="2:7" s="196" customFormat="1">
      <c r="B8497" s="142"/>
      <c r="C8497" s="235"/>
      <c r="D8497" s="213"/>
      <c r="E8497" s="226"/>
      <c r="F8497" s="155"/>
      <c r="G8497" s="143"/>
    </row>
    <row r="8498" spans="2:7" s="196" customFormat="1">
      <c r="B8498" s="142"/>
      <c r="C8498" s="235"/>
      <c r="D8498" s="213"/>
      <c r="E8498" s="226"/>
      <c r="F8498" s="155"/>
      <c r="G8498" s="143"/>
    </row>
    <row r="8499" spans="2:7" s="196" customFormat="1">
      <c r="B8499" s="142"/>
      <c r="C8499" s="235"/>
      <c r="D8499" s="213"/>
      <c r="E8499" s="226"/>
      <c r="F8499" s="155"/>
      <c r="G8499" s="143"/>
    </row>
    <row r="8500" spans="2:7" s="196" customFormat="1">
      <c r="B8500" s="142"/>
      <c r="C8500" s="235"/>
      <c r="D8500" s="213"/>
      <c r="E8500" s="226"/>
      <c r="F8500" s="155"/>
      <c r="G8500" s="143"/>
    </row>
    <row r="8501" spans="2:7" s="196" customFormat="1">
      <c r="B8501" s="142"/>
      <c r="C8501" s="235"/>
      <c r="D8501" s="213"/>
      <c r="E8501" s="226"/>
      <c r="F8501" s="155"/>
      <c r="G8501" s="143"/>
    </row>
    <row r="8502" spans="2:7" s="196" customFormat="1">
      <c r="B8502" s="142"/>
      <c r="C8502" s="235"/>
      <c r="D8502" s="213"/>
      <c r="E8502" s="226"/>
      <c r="F8502" s="155"/>
      <c r="G8502" s="143"/>
    </row>
    <row r="8503" spans="2:7" s="196" customFormat="1">
      <c r="B8503" s="142"/>
      <c r="C8503" s="235"/>
      <c r="D8503" s="213"/>
      <c r="E8503" s="226"/>
      <c r="F8503" s="155"/>
      <c r="G8503" s="143"/>
    </row>
    <row r="8504" spans="2:7" s="196" customFormat="1">
      <c r="B8504" s="142"/>
      <c r="C8504" s="235"/>
      <c r="D8504" s="213"/>
      <c r="E8504" s="226"/>
      <c r="F8504" s="155"/>
      <c r="G8504" s="143"/>
    </row>
    <row r="8505" spans="2:7" s="196" customFormat="1">
      <c r="B8505" s="142"/>
      <c r="C8505" s="235"/>
      <c r="D8505" s="213"/>
      <c r="E8505" s="226"/>
      <c r="F8505" s="155"/>
      <c r="G8505" s="143"/>
    </row>
    <row r="8506" spans="2:7" s="196" customFormat="1">
      <c r="B8506" s="142"/>
      <c r="C8506" s="235"/>
      <c r="D8506" s="213"/>
      <c r="E8506" s="226"/>
      <c r="F8506" s="155"/>
      <c r="G8506" s="143"/>
    </row>
    <row r="8507" spans="2:7" s="196" customFormat="1">
      <c r="B8507" s="142"/>
      <c r="C8507" s="235"/>
      <c r="D8507" s="213"/>
      <c r="E8507" s="226"/>
      <c r="F8507" s="155"/>
      <c r="G8507" s="143"/>
    </row>
    <row r="8508" spans="2:7" s="196" customFormat="1">
      <c r="B8508" s="142"/>
      <c r="C8508" s="235"/>
      <c r="D8508" s="213"/>
      <c r="E8508" s="226"/>
      <c r="F8508" s="155"/>
      <c r="G8508" s="143"/>
    </row>
    <row r="8509" spans="2:7" s="196" customFormat="1">
      <c r="B8509" s="142"/>
      <c r="C8509" s="235"/>
      <c r="D8509" s="213"/>
      <c r="E8509" s="226"/>
      <c r="F8509" s="155"/>
      <c r="G8509" s="143"/>
    </row>
    <row r="8510" spans="2:7" s="196" customFormat="1">
      <c r="B8510" s="142"/>
      <c r="C8510" s="235"/>
      <c r="D8510" s="213"/>
      <c r="E8510" s="226"/>
      <c r="F8510" s="155"/>
      <c r="G8510" s="143"/>
    </row>
    <row r="8511" spans="2:7" s="196" customFormat="1">
      <c r="B8511" s="142"/>
      <c r="C8511" s="235"/>
      <c r="D8511" s="213"/>
      <c r="E8511" s="226"/>
      <c r="F8511" s="155"/>
      <c r="G8511" s="143"/>
    </row>
    <row r="8512" spans="2:7" s="196" customFormat="1">
      <c r="B8512" s="142"/>
      <c r="C8512" s="235"/>
      <c r="D8512" s="213"/>
      <c r="E8512" s="226"/>
      <c r="F8512" s="155"/>
      <c r="G8512" s="143"/>
    </row>
    <row r="8513" spans="2:7" s="196" customFormat="1">
      <c r="B8513" s="142"/>
      <c r="C8513" s="235"/>
      <c r="D8513" s="213"/>
      <c r="E8513" s="226"/>
      <c r="F8513" s="155"/>
      <c r="G8513" s="143"/>
    </row>
    <row r="8514" spans="2:7" s="196" customFormat="1">
      <c r="B8514" s="142"/>
      <c r="C8514" s="235"/>
      <c r="D8514" s="213"/>
      <c r="E8514" s="226"/>
      <c r="F8514" s="155"/>
      <c r="G8514" s="143"/>
    </row>
    <row r="8515" spans="2:7" s="196" customFormat="1">
      <c r="B8515" s="142"/>
      <c r="C8515" s="235"/>
      <c r="D8515" s="213"/>
      <c r="E8515" s="226"/>
      <c r="F8515" s="155"/>
      <c r="G8515" s="143"/>
    </row>
    <row r="8516" spans="2:7" s="196" customFormat="1">
      <c r="B8516" s="142"/>
      <c r="C8516" s="235"/>
      <c r="D8516" s="213"/>
      <c r="E8516" s="226"/>
      <c r="F8516" s="155"/>
      <c r="G8516" s="143"/>
    </row>
    <row r="8517" spans="2:7" s="196" customFormat="1">
      <c r="B8517" s="142"/>
      <c r="C8517" s="235"/>
      <c r="D8517" s="213"/>
      <c r="E8517" s="226"/>
      <c r="F8517" s="155"/>
      <c r="G8517" s="143"/>
    </row>
    <row r="8518" spans="2:7" s="196" customFormat="1">
      <c r="B8518" s="142"/>
      <c r="C8518" s="235"/>
      <c r="D8518" s="213"/>
      <c r="E8518" s="226"/>
      <c r="F8518" s="155"/>
      <c r="G8518" s="143"/>
    </row>
    <row r="8519" spans="2:7" s="196" customFormat="1">
      <c r="B8519" s="142"/>
      <c r="C8519" s="235"/>
      <c r="D8519" s="213"/>
      <c r="E8519" s="226"/>
      <c r="F8519" s="155"/>
      <c r="G8519" s="143"/>
    </row>
    <row r="8520" spans="2:7" s="196" customFormat="1">
      <c r="B8520" s="142"/>
      <c r="C8520" s="235"/>
      <c r="D8520" s="213"/>
      <c r="E8520" s="226"/>
      <c r="F8520" s="155"/>
      <c r="G8520" s="143"/>
    </row>
    <row r="8521" spans="2:7" s="196" customFormat="1">
      <c r="B8521" s="142"/>
      <c r="C8521" s="235"/>
      <c r="D8521" s="213"/>
      <c r="E8521" s="226"/>
      <c r="F8521" s="155"/>
      <c r="G8521" s="143"/>
    </row>
    <row r="8522" spans="2:7" s="196" customFormat="1">
      <c r="B8522" s="142"/>
      <c r="C8522" s="235"/>
      <c r="D8522" s="213"/>
      <c r="E8522" s="226"/>
      <c r="F8522" s="155"/>
      <c r="G8522" s="143"/>
    </row>
    <row r="8523" spans="2:7" s="196" customFormat="1">
      <c r="B8523" s="142"/>
      <c r="C8523" s="235"/>
      <c r="D8523" s="213"/>
      <c r="E8523" s="226"/>
      <c r="F8523" s="155"/>
      <c r="G8523" s="143"/>
    </row>
    <row r="8524" spans="2:7" s="196" customFormat="1">
      <c r="B8524" s="142"/>
      <c r="C8524" s="235"/>
      <c r="D8524" s="213"/>
      <c r="E8524" s="226"/>
      <c r="F8524" s="155"/>
      <c r="G8524" s="143"/>
    </row>
    <row r="8525" spans="2:7" s="196" customFormat="1">
      <c r="B8525" s="142"/>
      <c r="C8525" s="235"/>
      <c r="D8525" s="213"/>
      <c r="E8525" s="226"/>
      <c r="F8525" s="155"/>
      <c r="G8525" s="143"/>
    </row>
    <row r="8526" spans="2:7" s="196" customFormat="1">
      <c r="B8526" s="142"/>
      <c r="C8526" s="235"/>
      <c r="D8526" s="213"/>
      <c r="E8526" s="226"/>
      <c r="F8526" s="155"/>
      <c r="G8526" s="143"/>
    </row>
    <row r="8527" spans="2:7" s="196" customFormat="1">
      <c r="B8527" s="142"/>
      <c r="C8527" s="235"/>
      <c r="D8527" s="213"/>
      <c r="E8527" s="226"/>
      <c r="F8527" s="155"/>
      <c r="G8527" s="143"/>
    </row>
    <row r="8528" spans="2:7" s="196" customFormat="1">
      <c r="B8528" s="142"/>
      <c r="C8528" s="235"/>
      <c r="D8528" s="213"/>
      <c r="E8528" s="226"/>
      <c r="F8528" s="155"/>
      <c r="G8528" s="143"/>
    </row>
    <row r="8529" spans="2:7" s="196" customFormat="1">
      <c r="B8529" s="142"/>
      <c r="C8529" s="235"/>
      <c r="D8529" s="213"/>
      <c r="E8529" s="226"/>
      <c r="F8529" s="155"/>
      <c r="G8529" s="143"/>
    </row>
    <row r="8530" spans="2:7" s="196" customFormat="1">
      <c r="B8530" s="142"/>
      <c r="C8530" s="235"/>
      <c r="D8530" s="213"/>
      <c r="E8530" s="226"/>
      <c r="F8530" s="155"/>
      <c r="G8530" s="143"/>
    </row>
    <row r="8531" spans="2:7" s="196" customFormat="1">
      <c r="B8531" s="142"/>
      <c r="C8531" s="235"/>
      <c r="D8531" s="213"/>
      <c r="E8531" s="226"/>
      <c r="F8531" s="155"/>
      <c r="G8531" s="143"/>
    </row>
    <row r="8532" spans="2:7" s="196" customFormat="1">
      <c r="B8532" s="142"/>
      <c r="C8532" s="235"/>
      <c r="D8532" s="213"/>
      <c r="E8532" s="226"/>
      <c r="F8532" s="155"/>
      <c r="G8532" s="143"/>
    </row>
    <row r="8533" spans="2:7" s="196" customFormat="1">
      <c r="B8533" s="142"/>
      <c r="C8533" s="235"/>
      <c r="D8533" s="213"/>
      <c r="E8533" s="226"/>
      <c r="F8533" s="155"/>
      <c r="G8533" s="143"/>
    </row>
    <row r="8534" spans="2:7" s="196" customFormat="1">
      <c r="B8534" s="142"/>
      <c r="C8534" s="235"/>
      <c r="D8534" s="213"/>
      <c r="E8534" s="226"/>
      <c r="F8534" s="155"/>
      <c r="G8534" s="143"/>
    </row>
    <row r="8535" spans="2:7" s="196" customFormat="1">
      <c r="B8535" s="142"/>
      <c r="C8535" s="235"/>
      <c r="D8535" s="213"/>
      <c r="E8535" s="226"/>
      <c r="F8535" s="155"/>
      <c r="G8535" s="143"/>
    </row>
    <row r="8536" spans="2:7" s="196" customFormat="1">
      <c r="B8536" s="142"/>
      <c r="C8536" s="235"/>
      <c r="D8536" s="213"/>
      <c r="E8536" s="226"/>
      <c r="F8536" s="155"/>
      <c r="G8536" s="143"/>
    </row>
    <row r="8537" spans="2:7" s="196" customFormat="1">
      <c r="B8537" s="142"/>
      <c r="C8537" s="235"/>
      <c r="D8537" s="213"/>
      <c r="E8537" s="226"/>
      <c r="F8537" s="155"/>
      <c r="G8537" s="143"/>
    </row>
    <row r="8538" spans="2:7" s="196" customFormat="1">
      <c r="B8538" s="142"/>
      <c r="C8538" s="235"/>
      <c r="D8538" s="213"/>
      <c r="E8538" s="226"/>
      <c r="F8538" s="155"/>
      <c r="G8538" s="143"/>
    </row>
    <row r="8539" spans="2:7" s="196" customFormat="1">
      <c r="B8539" s="142"/>
      <c r="C8539" s="235"/>
      <c r="D8539" s="213"/>
      <c r="E8539" s="226"/>
      <c r="F8539" s="155"/>
      <c r="G8539" s="143"/>
    </row>
    <row r="8540" spans="2:7" s="196" customFormat="1">
      <c r="B8540" s="142"/>
      <c r="C8540" s="235"/>
      <c r="D8540" s="213"/>
      <c r="E8540" s="226"/>
      <c r="F8540" s="155"/>
      <c r="G8540" s="143"/>
    </row>
    <row r="8541" spans="2:7" s="196" customFormat="1">
      <c r="B8541" s="142"/>
      <c r="C8541" s="235"/>
      <c r="D8541" s="213"/>
      <c r="E8541" s="226"/>
      <c r="F8541" s="155"/>
      <c r="G8541" s="143"/>
    </row>
    <row r="8542" spans="2:7" s="196" customFormat="1">
      <c r="B8542" s="142"/>
      <c r="C8542" s="235"/>
      <c r="D8542" s="213"/>
      <c r="E8542" s="226"/>
      <c r="F8542" s="155"/>
      <c r="G8542" s="143"/>
    </row>
    <row r="8543" spans="2:7" s="196" customFormat="1">
      <c r="B8543" s="142"/>
      <c r="C8543" s="235"/>
      <c r="D8543" s="213"/>
      <c r="E8543" s="226"/>
      <c r="F8543" s="155"/>
      <c r="G8543" s="143"/>
    </row>
    <row r="8544" spans="2:7" s="196" customFormat="1">
      <c r="B8544" s="142"/>
      <c r="C8544" s="235"/>
      <c r="D8544" s="213"/>
      <c r="E8544" s="226"/>
      <c r="F8544" s="155"/>
      <c r="G8544" s="143"/>
    </row>
    <row r="8545" spans="2:7" s="196" customFormat="1">
      <c r="B8545" s="142"/>
      <c r="C8545" s="235"/>
      <c r="D8545" s="213"/>
      <c r="E8545" s="226"/>
      <c r="F8545" s="155"/>
      <c r="G8545" s="143"/>
    </row>
    <row r="8546" spans="2:7" s="196" customFormat="1">
      <c r="B8546" s="142"/>
      <c r="C8546" s="235"/>
      <c r="D8546" s="213"/>
      <c r="E8546" s="226"/>
      <c r="F8546" s="155"/>
      <c r="G8546" s="143"/>
    </row>
    <row r="8547" spans="2:7" s="196" customFormat="1">
      <c r="B8547" s="142"/>
      <c r="C8547" s="235"/>
      <c r="D8547" s="213"/>
      <c r="E8547" s="226"/>
      <c r="F8547" s="155"/>
      <c r="G8547" s="143"/>
    </row>
    <row r="8548" spans="2:7" s="196" customFormat="1">
      <c r="B8548" s="142"/>
      <c r="C8548" s="235"/>
      <c r="D8548" s="213"/>
      <c r="E8548" s="226"/>
      <c r="F8548" s="155"/>
      <c r="G8548" s="143"/>
    </row>
    <row r="8549" spans="2:7" s="196" customFormat="1">
      <c r="B8549" s="142"/>
      <c r="C8549" s="235"/>
      <c r="D8549" s="213"/>
      <c r="E8549" s="226"/>
      <c r="F8549" s="155"/>
      <c r="G8549" s="143"/>
    </row>
    <row r="8550" spans="2:7" s="196" customFormat="1">
      <c r="B8550" s="142"/>
      <c r="C8550" s="235"/>
      <c r="D8550" s="213"/>
      <c r="E8550" s="226"/>
      <c r="F8550" s="155"/>
      <c r="G8550" s="143"/>
    </row>
    <row r="8551" spans="2:7" s="196" customFormat="1">
      <c r="B8551" s="142"/>
      <c r="C8551" s="235"/>
      <c r="D8551" s="213"/>
      <c r="E8551" s="226"/>
      <c r="F8551" s="155"/>
      <c r="G8551" s="143"/>
    </row>
    <row r="8552" spans="2:7" s="196" customFormat="1">
      <c r="B8552" s="142"/>
      <c r="C8552" s="235"/>
      <c r="D8552" s="213"/>
      <c r="E8552" s="226"/>
      <c r="F8552" s="155"/>
      <c r="G8552" s="143"/>
    </row>
    <row r="8553" spans="2:7" s="196" customFormat="1">
      <c r="B8553" s="142"/>
      <c r="C8553" s="235"/>
      <c r="D8553" s="213"/>
      <c r="E8553" s="226"/>
      <c r="F8553" s="155"/>
      <c r="G8553" s="143"/>
    </row>
    <row r="8554" spans="2:7" s="196" customFormat="1">
      <c r="B8554" s="142"/>
      <c r="C8554" s="235"/>
      <c r="D8554" s="213"/>
      <c r="E8554" s="226"/>
      <c r="F8554" s="155"/>
      <c r="G8554" s="143"/>
    </row>
    <row r="8555" spans="2:7" s="196" customFormat="1">
      <c r="B8555" s="142"/>
      <c r="C8555" s="235"/>
      <c r="D8555" s="213"/>
      <c r="E8555" s="226"/>
      <c r="F8555" s="155"/>
      <c r="G8555" s="143"/>
    </row>
    <row r="8556" spans="2:7" s="196" customFormat="1">
      <c r="B8556" s="142"/>
      <c r="C8556" s="235"/>
      <c r="D8556" s="213"/>
      <c r="E8556" s="226"/>
      <c r="F8556" s="155"/>
      <c r="G8556" s="143"/>
    </row>
    <row r="8557" spans="2:7" s="196" customFormat="1">
      <c r="B8557" s="142"/>
      <c r="C8557" s="235"/>
      <c r="D8557" s="213"/>
      <c r="E8557" s="226"/>
      <c r="F8557" s="155"/>
      <c r="G8557" s="143"/>
    </row>
    <row r="8558" spans="2:7" s="196" customFormat="1">
      <c r="B8558" s="142"/>
      <c r="C8558" s="235"/>
      <c r="D8558" s="213"/>
      <c r="E8558" s="226"/>
      <c r="F8558" s="155"/>
      <c r="G8558" s="143"/>
    </row>
    <row r="8559" spans="2:7" s="196" customFormat="1">
      <c r="B8559" s="142"/>
      <c r="C8559" s="235"/>
      <c r="D8559" s="213"/>
      <c r="E8559" s="226"/>
      <c r="F8559" s="155"/>
      <c r="G8559" s="143"/>
    </row>
    <row r="8560" spans="2:7" s="196" customFormat="1">
      <c r="B8560" s="142"/>
      <c r="C8560" s="235"/>
      <c r="D8560" s="213"/>
      <c r="E8560" s="226"/>
      <c r="F8560" s="155"/>
      <c r="G8560" s="143"/>
    </row>
    <row r="8561" spans="2:7" s="196" customFormat="1">
      <c r="B8561" s="142"/>
      <c r="C8561" s="235"/>
      <c r="D8561" s="213"/>
      <c r="E8561" s="226"/>
      <c r="F8561" s="155"/>
      <c r="G8561" s="143"/>
    </row>
    <row r="8562" spans="2:7" s="196" customFormat="1">
      <c r="B8562" s="142"/>
      <c r="C8562" s="235"/>
      <c r="D8562" s="213"/>
      <c r="E8562" s="226"/>
      <c r="F8562" s="155"/>
      <c r="G8562" s="143"/>
    </row>
    <row r="8563" spans="2:7" s="196" customFormat="1">
      <c r="B8563" s="142"/>
      <c r="C8563" s="235"/>
      <c r="D8563" s="213"/>
      <c r="E8563" s="226"/>
      <c r="F8563" s="155"/>
      <c r="G8563" s="143"/>
    </row>
    <row r="8564" spans="2:7" s="196" customFormat="1">
      <c r="B8564" s="142"/>
      <c r="C8564" s="235"/>
      <c r="D8564" s="213"/>
      <c r="E8564" s="226"/>
      <c r="F8564" s="155"/>
      <c r="G8564" s="143"/>
    </row>
    <row r="8565" spans="2:7" s="196" customFormat="1">
      <c r="B8565" s="142"/>
      <c r="C8565" s="235"/>
      <c r="D8565" s="213"/>
      <c r="E8565" s="226"/>
      <c r="F8565" s="155"/>
      <c r="G8565" s="143"/>
    </row>
    <row r="8566" spans="2:7" s="196" customFormat="1">
      <c r="B8566" s="142"/>
      <c r="C8566" s="235"/>
      <c r="D8566" s="213"/>
      <c r="E8566" s="226"/>
      <c r="F8566" s="155"/>
      <c r="G8566" s="143"/>
    </row>
    <row r="8567" spans="2:7" s="196" customFormat="1">
      <c r="B8567" s="142"/>
      <c r="C8567" s="235"/>
      <c r="D8567" s="213"/>
      <c r="E8567" s="226"/>
      <c r="F8567" s="155"/>
      <c r="G8567" s="143"/>
    </row>
    <row r="8568" spans="2:7" s="196" customFormat="1">
      <c r="B8568" s="142"/>
      <c r="C8568" s="235"/>
      <c r="D8568" s="213"/>
      <c r="E8568" s="226"/>
      <c r="F8568" s="155"/>
      <c r="G8568" s="143"/>
    </row>
    <row r="8569" spans="2:7" s="196" customFormat="1">
      <c r="B8569" s="142"/>
      <c r="C8569" s="235"/>
      <c r="D8569" s="213"/>
      <c r="E8569" s="226"/>
      <c r="F8569" s="155"/>
      <c r="G8569" s="143"/>
    </row>
    <row r="8570" spans="2:7" s="196" customFormat="1">
      <c r="B8570" s="142"/>
      <c r="C8570" s="235"/>
      <c r="D8570" s="213"/>
      <c r="E8570" s="226"/>
      <c r="F8570" s="155"/>
      <c r="G8570" s="143"/>
    </row>
    <row r="8571" spans="2:7" s="196" customFormat="1">
      <c r="B8571" s="142"/>
      <c r="C8571" s="235"/>
      <c r="D8571" s="213"/>
      <c r="E8571" s="226"/>
      <c r="F8571" s="155"/>
      <c r="G8571" s="143"/>
    </row>
    <row r="8572" spans="2:7" s="196" customFormat="1">
      <c r="B8572" s="142"/>
      <c r="C8572" s="235"/>
      <c r="D8572" s="213"/>
      <c r="E8572" s="226"/>
      <c r="F8572" s="155"/>
      <c r="G8572" s="143"/>
    </row>
    <row r="8573" spans="2:7" s="196" customFormat="1">
      <c r="B8573" s="142"/>
      <c r="C8573" s="235"/>
      <c r="D8573" s="213"/>
      <c r="E8573" s="226"/>
      <c r="F8573" s="155"/>
      <c r="G8573" s="143"/>
    </row>
    <row r="8574" spans="2:7" s="196" customFormat="1">
      <c r="B8574" s="142"/>
      <c r="C8574" s="235"/>
      <c r="D8574" s="213"/>
      <c r="E8574" s="226"/>
      <c r="F8574" s="155"/>
      <c r="G8574" s="143"/>
    </row>
    <row r="8575" spans="2:7" s="196" customFormat="1">
      <c r="B8575" s="142"/>
      <c r="C8575" s="235"/>
      <c r="D8575" s="213"/>
      <c r="E8575" s="226"/>
      <c r="F8575" s="155"/>
      <c r="G8575" s="143"/>
    </row>
    <row r="8576" spans="2:7" s="196" customFormat="1">
      <c r="B8576" s="142"/>
      <c r="C8576" s="235"/>
      <c r="D8576" s="213"/>
      <c r="E8576" s="226"/>
      <c r="F8576" s="155"/>
      <c r="G8576" s="143"/>
    </row>
    <row r="8577" spans="2:7" s="196" customFormat="1">
      <c r="B8577" s="142"/>
      <c r="C8577" s="235"/>
      <c r="D8577" s="213"/>
      <c r="E8577" s="226"/>
      <c r="F8577" s="155"/>
      <c r="G8577" s="143"/>
    </row>
    <row r="8578" spans="2:7" s="196" customFormat="1">
      <c r="B8578" s="142"/>
      <c r="C8578" s="235"/>
      <c r="D8578" s="213"/>
      <c r="E8578" s="226"/>
      <c r="F8578" s="155"/>
      <c r="G8578" s="143"/>
    </row>
    <row r="8579" spans="2:7" s="196" customFormat="1">
      <c r="B8579" s="142"/>
      <c r="C8579" s="235"/>
      <c r="D8579" s="213"/>
      <c r="E8579" s="226"/>
      <c r="F8579" s="155"/>
      <c r="G8579" s="143"/>
    </row>
    <row r="8580" spans="2:7" s="196" customFormat="1">
      <c r="B8580" s="142"/>
      <c r="C8580" s="235"/>
      <c r="D8580" s="213"/>
      <c r="E8580" s="226"/>
      <c r="F8580" s="155"/>
      <c r="G8580" s="143"/>
    </row>
    <row r="8581" spans="2:7" s="196" customFormat="1">
      <c r="B8581" s="142"/>
      <c r="C8581" s="235"/>
      <c r="D8581" s="213"/>
      <c r="E8581" s="226"/>
      <c r="F8581" s="155"/>
      <c r="G8581" s="143"/>
    </row>
    <row r="8582" spans="2:7" s="196" customFormat="1">
      <c r="B8582" s="142"/>
      <c r="C8582" s="235"/>
      <c r="D8582" s="213"/>
      <c r="E8582" s="226"/>
      <c r="F8582" s="155"/>
      <c r="G8582" s="143"/>
    </row>
    <row r="8583" spans="2:7" s="196" customFormat="1">
      <c r="B8583" s="142"/>
      <c r="C8583" s="235"/>
      <c r="D8583" s="213"/>
      <c r="E8583" s="226"/>
      <c r="F8583" s="155"/>
      <c r="G8583" s="143"/>
    </row>
    <row r="8584" spans="2:7" s="196" customFormat="1">
      <c r="B8584" s="142"/>
      <c r="C8584" s="235"/>
      <c r="D8584" s="213"/>
      <c r="E8584" s="226"/>
      <c r="F8584" s="155"/>
      <c r="G8584" s="143"/>
    </row>
    <row r="8585" spans="2:7" s="196" customFormat="1">
      <c r="B8585" s="142"/>
      <c r="C8585" s="235"/>
      <c r="D8585" s="213"/>
      <c r="E8585" s="226"/>
      <c r="F8585" s="155"/>
      <c r="G8585" s="143"/>
    </row>
    <row r="8586" spans="2:7" s="196" customFormat="1">
      <c r="B8586" s="142"/>
      <c r="C8586" s="235"/>
      <c r="D8586" s="213"/>
      <c r="E8586" s="226"/>
      <c r="F8586" s="155"/>
      <c r="G8586" s="143"/>
    </row>
    <row r="8587" spans="2:7" s="196" customFormat="1">
      <c r="B8587" s="142"/>
      <c r="C8587" s="235"/>
      <c r="D8587" s="213"/>
      <c r="E8587" s="226"/>
      <c r="F8587" s="155"/>
      <c r="G8587" s="143"/>
    </row>
    <row r="8588" spans="2:7" s="196" customFormat="1">
      <c r="B8588" s="142"/>
      <c r="C8588" s="235"/>
      <c r="D8588" s="213"/>
      <c r="E8588" s="226"/>
      <c r="F8588" s="155"/>
      <c r="G8588" s="143"/>
    </row>
    <row r="8589" spans="2:7" s="196" customFormat="1">
      <c r="B8589" s="142"/>
      <c r="C8589" s="235"/>
      <c r="D8589" s="213"/>
      <c r="E8589" s="226"/>
      <c r="F8589" s="155"/>
      <c r="G8589" s="143"/>
    </row>
    <row r="8590" spans="2:7" s="196" customFormat="1">
      <c r="B8590" s="142"/>
      <c r="C8590" s="235"/>
      <c r="D8590" s="213"/>
      <c r="E8590" s="226"/>
      <c r="F8590" s="155"/>
      <c r="G8590" s="143"/>
    </row>
    <row r="8591" spans="2:7" s="196" customFormat="1">
      <c r="B8591" s="142"/>
      <c r="C8591" s="235"/>
      <c r="D8591" s="213"/>
      <c r="E8591" s="226"/>
      <c r="F8591" s="155"/>
      <c r="G8591" s="143"/>
    </row>
    <row r="8592" spans="2:7" s="196" customFormat="1">
      <c r="B8592" s="142"/>
      <c r="C8592" s="235"/>
      <c r="D8592" s="213"/>
      <c r="E8592" s="226"/>
      <c r="F8592" s="155"/>
      <c r="G8592" s="143"/>
    </row>
    <row r="8593" spans="2:7" s="196" customFormat="1">
      <c r="B8593" s="142"/>
      <c r="C8593" s="235"/>
      <c r="D8593" s="213"/>
      <c r="E8593" s="226"/>
      <c r="F8593" s="155"/>
      <c r="G8593" s="143"/>
    </row>
    <row r="8594" spans="2:7" s="196" customFormat="1">
      <c r="B8594" s="142"/>
      <c r="C8594" s="235"/>
      <c r="D8594" s="213"/>
      <c r="E8594" s="226"/>
      <c r="F8594" s="155"/>
      <c r="G8594" s="143"/>
    </row>
    <row r="8595" spans="2:7" s="196" customFormat="1">
      <c r="B8595" s="142"/>
      <c r="C8595" s="235"/>
      <c r="D8595" s="213"/>
      <c r="E8595" s="226"/>
      <c r="F8595" s="155"/>
      <c r="G8595" s="143"/>
    </row>
    <row r="8596" spans="2:7" s="196" customFormat="1">
      <c r="B8596" s="142"/>
      <c r="C8596" s="235"/>
      <c r="D8596" s="213"/>
      <c r="E8596" s="226"/>
      <c r="F8596" s="155"/>
      <c r="G8596" s="143"/>
    </row>
    <row r="8597" spans="2:7" s="196" customFormat="1">
      <c r="B8597" s="142"/>
      <c r="C8597" s="235"/>
      <c r="D8597" s="213"/>
      <c r="E8597" s="226"/>
      <c r="F8597" s="155"/>
      <c r="G8597" s="143"/>
    </row>
    <row r="8598" spans="2:7" s="196" customFormat="1">
      <c r="B8598" s="142"/>
      <c r="C8598" s="235"/>
      <c r="D8598" s="213"/>
      <c r="E8598" s="226"/>
      <c r="F8598" s="155"/>
      <c r="G8598" s="143"/>
    </row>
    <row r="8599" spans="2:7" s="196" customFormat="1">
      <c r="B8599" s="142"/>
      <c r="C8599" s="235"/>
      <c r="D8599" s="213"/>
      <c r="E8599" s="226"/>
      <c r="F8599" s="155"/>
      <c r="G8599" s="143"/>
    </row>
    <row r="8600" spans="2:7" s="196" customFormat="1">
      <c r="B8600" s="142"/>
      <c r="C8600" s="235"/>
      <c r="D8600" s="213"/>
      <c r="E8600" s="226"/>
      <c r="F8600" s="155"/>
      <c r="G8600" s="143"/>
    </row>
    <row r="8601" spans="2:7" s="196" customFormat="1">
      <c r="B8601" s="142"/>
      <c r="C8601" s="235"/>
      <c r="D8601" s="213"/>
      <c r="E8601" s="226"/>
      <c r="F8601" s="155"/>
      <c r="G8601" s="143"/>
    </row>
    <row r="8602" spans="2:7" s="196" customFormat="1">
      <c r="B8602" s="142"/>
      <c r="C8602" s="235"/>
      <c r="D8602" s="213"/>
      <c r="E8602" s="226"/>
      <c r="F8602" s="155"/>
      <c r="G8602" s="143"/>
    </row>
    <row r="8603" spans="2:7" s="196" customFormat="1">
      <c r="B8603" s="142"/>
      <c r="C8603" s="235"/>
      <c r="D8603" s="213"/>
      <c r="E8603" s="226"/>
      <c r="F8603" s="155"/>
      <c r="G8603" s="143"/>
    </row>
    <row r="8604" spans="2:7" s="196" customFormat="1">
      <c r="B8604" s="142"/>
      <c r="C8604" s="235"/>
      <c r="D8604" s="213"/>
      <c r="E8604" s="226"/>
      <c r="F8604" s="155"/>
      <c r="G8604" s="143"/>
    </row>
    <row r="8605" spans="2:7" s="196" customFormat="1">
      <c r="B8605" s="142"/>
      <c r="C8605" s="235"/>
      <c r="D8605" s="213"/>
      <c r="E8605" s="226"/>
      <c r="F8605" s="155"/>
      <c r="G8605" s="143"/>
    </row>
    <row r="8606" spans="2:7" s="196" customFormat="1">
      <c r="B8606" s="142"/>
      <c r="C8606" s="235"/>
      <c r="D8606" s="213"/>
      <c r="E8606" s="226"/>
      <c r="F8606" s="155"/>
      <c r="G8606" s="143"/>
    </row>
    <row r="8607" spans="2:7" s="196" customFormat="1">
      <c r="B8607" s="142"/>
      <c r="C8607" s="235"/>
      <c r="D8607" s="213"/>
      <c r="E8607" s="226"/>
      <c r="F8607" s="155"/>
      <c r="G8607" s="143"/>
    </row>
    <row r="8608" spans="2:7" s="196" customFormat="1">
      <c r="B8608" s="142"/>
      <c r="C8608" s="235"/>
      <c r="D8608" s="213"/>
      <c r="E8608" s="226"/>
      <c r="F8608" s="155"/>
      <c r="G8608" s="143"/>
    </row>
    <row r="8609" spans="2:7" s="196" customFormat="1">
      <c r="B8609" s="142"/>
      <c r="C8609" s="235"/>
      <c r="D8609" s="213"/>
      <c r="E8609" s="226"/>
      <c r="F8609" s="155"/>
      <c r="G8609" s="143"/>
    </row>
    <row r="8610" spans="2:7" s="196" customFormat="1">
      <c r="B8610" s="142"/>
      <c r="C8610" s="235"/>
      <c r="D8610" s="213"/>
      <c r="E8610" s="226"/>
      <c r="F8610" s="155"/>
      <c r="G8610" s="143"/>
    </row>
    <row r="8611" spans="2:7" s="196" customFormat="1">
      <c r="B8611" s="142"/>
      <c r="C8611" s="235"/>
      <c r="D8611" s="213"/>
      <c r="E8611" s="226"/>
      <c r="F8611" s="155"/>
      <c r="G8611" s="143"/>
    </row>
    <row r="8612" spans="2:7" s="196" customFormat="1">
      <c r="B8612" s="142"/>
      <c r="C8612" s="235"/>
      <c r="D8612" s="213"/>
      <c r="E8612" s="226"/>
      <c r="F8612" s="155"/>
      <c r="G8612" s="143"/>
    </row>
    <row r="8613" spans="2:7" s="196" customFormat="1">
      <c r="B8613" s="142"/>
      <c r="C8613" s="235"/>
      <c r="D8613" s="213"/>
      <c r="E8613" s="226"/>
      <c r="F8613" s="155"/>
      <c r="G8613" s="143"/>
    </row>
    <row r="8614" spans="2:7" s="196" customFormat="1">
      <c r="B8614" s="142"/>
      <c r="C8614" s="235"/>
      <c r="D8614" s="213"/>
      <c r="E8614" s="226"/>
      <c r="F8614" s="155"/>
      <c r="G8614" s="143"/>
    </row>
    <row r="8615" spans="2:7" s="196" customFormat="1">
      <c r="B8615" s="142"/>
      <c r="C8615" s="235"/>
      <c r="D8615" s="213"/>
      <c r="E8615" s="226"/>
      <c r="F8615" s="155"/>
      <c r="G8615" s="143"/>
    </row>
    <row r="8616" spans="2:7" s="196" customFormat="1">
      <c r="B8616" s="142"/>
      <c r="C8616" s="235"/>
      <c r="D8616" s="213"/>
      <c r="E8616" s="226"/>
      <c r="F8616" s="155"/>
      <c r="G8616" s="143"/>
    </row>
    <row r="8617" spans="2:7" s="196" customFormat="1">
      <c r="B8617" s="142"/>
      <c r="C8617" s="235"/>
      <c r="D8617" s="213"/>
      <c r="E8617" s="226"/>
      <c r="F8617" s="155"/>
      <c r="G8617" s="143"/>
    </row>
    <row r="8618" spans="2:7" s="196" customFormat="1">
      <c r="B8618" s="142"/>
      <c r="C8618" s="235"/>
      <c r="D8618" s="213"/>
      <c r="E8618" s="226"/>
      <c r="F8618" s="155"/>
      <c r="G8618" s="143"/>
    </row>
    <row r="8619" spans="2:7" s="196" customFormat="1">
      <c r="B8619" s="142"/>
      <c r="C8619" s="235"/>
      <c r="D8619" s="213"/>
      <c r="E8619" s="226"/>
      <c r="F8619" s="155"/>
      <c r="G8619" s="143"/>
    </row>
    <row r="8620" spans="2:7" s="196" customFormat="1">
      <c r="B8620" s="142"/>
      <c r="C8620" s="235"/>
      <c r="D8620" s="213"/>
      <c r="E8620" s="226"/>
      <c r="F8620" s="155"/>
      <c r="G8620" s="143"/>
    </row>
    <row r="8621" spans="2:7" s="196" customFormat="1">
      <c r="B8621" s="142"/>
      <c r="C8621" s="235"/>
      <c r="D8621" s="213"/>
      <c r="E8621" s="226"/>
      <c r="F8621" s="155"/>
      <c r="G8621" s="143"/>
    </row>
    <row r="8622" spans="2:7" s="196" customFormat="1">
      <c r="B8622" s="142"/>
      <c r="C8622" s="235"/>
      <c r="D8622" s="213"/>
      <c r="E8622" s="226"/>
      <c r="F8622" s="155"/>
      <c r="G8622" s="143"/>
    </row>
    <row r="8623" spans="2:7" s="196" customFormat="1">
      <c r="B8623" s="142"/>
      <c r="C8623" s="235"/>
      <c r="D8623" s="213"/>
      <c r="E8623" s="226"/>
      <c r="F8623" s="155"/>
      <c r="G8623" s="143"/>
    </row>
    <row r="8624" spans="2:7" s="196" customFormat="1">
      <c r="B8624" s="142"/>
      <c r="C8624" s="235"/>
      <c r="D8624" s="213"/>
      <c r="E8624" s="226"/>
      <c r="F8624" s="155"/>
      <c r="G8624" s="143"/>
    </row>
    <row r="8625" spans="2:7" s="196" customFormat="1">
      <c r="B8625" s="142"/>
      <c r="C8625" s="235"/>
      <c r="D8625" s="213"/>
      <c r="E8625" s="226"/>
      <c r="F8625" s="155"/>
      <c r="G8625" s="143"/>
    </row>
    <row r="8626" spans="2:7" s="196" customFormat="1">
      <c r="B8626" s="142"/>
      <c r="C8626" s="235"/>
      <c r="D8626" s="213"/>
      <c r="E8626" s="226"/>
      <c r="F8626" s="155"/>
      <c r="G8626" s="143"/>
    </row>
    <row r="8627" spans="2:7" s="196" customFormat="1">
      <c r="B8627" s="142"/>
      <c r="C8627" s="235"/>
      <c r="D8627" s="213"/>
      <c r="E8627" s="226"/>
      <c r="F8627" s="155"/>
      <c r="G8627" s="143"/>
    </row>
    <row r="8628" spans="2:7" s="196" customFormat="1">
      <c r="B8628" s="142"/>
      <c r="C8628" s="235"/>
      <c r="D8628" s="213"/>
      <c r="E8628" s="226"/>
      <c r="F8628" s="155"/>
      <c r="G8628" s="143"/>
    </row>
    <row r="8629" spans="2:7" s="196" customFormat="1">
      <c r="B8629" s="142"/>
      <c r="C8629" s="235"/>
      <c r="D8629" s="213"/>
      <c r="E8629" s="226"/>
      <c r="F8629" s="155"/>
      <c r="G8629" s="143"/>
    </row>
    <row r="8630" spans="2:7" s="196" customFormat="1">
      <c r="B8630" s="142"/>
      <c r="C8630" s="235"/>
      <c r="D8630" s="213"/>
      <c r="E8630" s="226"/>
      <c r="F8630" s="155"/>
      <c r="G8630" s="143"/>
    </row>
    <row r="8631" spans="2:7" s="196" customFormat="1">
      <c r="B8631" s="142"/>
      <c r="C8631" s="235"/>
      <c r="D8631" s="213"/>
      <c r="E8631" s="226"/>
      <c r="F8631" s="155"/>
      <c r="G8631" s="143"/>
    </row>
    <row r="8632" spans="2:7" s="196" customFormat="1">
      <c r="B8632" s="142"/>
      <c r="C8632" s="235"/>
      <c r="D8632" s="213"/>
      <c r="E8632" s="226"/>
      <c r="F8632" s="155"/>
      <c r="G8632" s="143"/>
    </row>
    <row r="8633" spans="2:7" s="196" customFormat="1">
      <c r="B8633" s="142"/>
      <c r="C8633" s="235"/>
      <c r="D8633" s="213"/>
      <c r="E8633" s="226"/>
      <c r="F8633" s="155"/>
      <c r="G8633" s="143"/>
    </row>
    <row r="8634" spans="2:7" s="196" customFormat="1">
      <c r="B8634" s="142"/>
      <c r="C8634" s="235"/>
      <c r="D8634" s="213"/>
      <c r="E8634" s="226"/>
      <c r="F8634" s="155"/>
      <c r="G8634" s="143"/>
    </row>
    <row r="8635" spans="2:7" s="196" customFormat="1">
      <c r="B8635" s="142"/>
      <c r="C8635" s="235"/>
      <c r="D8635" s="213"/>
      <c r="E8635" s="226"/>
      <c r="F8635" s="155"/>
      <c r="G8635" s="143"/>
    </row>
    <row r="8636" spans="2:7" s="196" customFormat="1">
      <c r="B8636" s="142"/>
      <c r="C8636" s="235"/>
      <c r="D8636" s="213"/>
      <c r="E8636" s="226"/>
      <c r="F8636" s="155"/>
      <c r="G8636" s="143"/>
    </row>
    <row r="8637" spans="2:7" s="196" customFormat="1">
      <c r="B8637" s="142"/>
      <c r="C8637" s="235"/>
      <c r="D8637" s="213"/>
      <c r="E8637" s="226"/>
      <c r="F8637" s="155"/>
      <c r="G8637" s="143"/>
    </row>
    <row r="8638" spans="2:7" s="196" customFormat="1">
      <c r="B8638" s="142"/>
      <c r="C8638" s="235"/>
      <c r="D8638" s="213"/>
      <c r="E8638" s="226"/>
      <c r="F8638" s="155"/>
      <c r="G8638" s="143"/>
    </row>
    <row r="8639" spans="2:7" s="196" customFormat="1">
      <c r="B8639" s="142"/>
      <c r="C8639" s="235"/>
      <c r="D8639" s="213"/>
      <c r="E8639" s="226"/>
      <c r="F8639" s="155"/>
      <c r="G8639" s="143"/>
    </row>
    <row r="8640" spans="2:7" s="196" customFormat="1">
      <c r="B8640" s="142"/>
      <c r="C8640" s="235"/>
      <c r="D8640" s="213"/>
      <c r="E8640" s="226"/>
      <c r="F8640" s="155"/>
      <c r="G8640" s="143"/>
    </row>
    <row r="8641" spans="2:7" s="196" customFormat="1">
      <c r="B8641" s="142"/>
      <c r="C8641" s="235"/>
      <c r="D8641" s="213"/>
      <c r="E8641" s="226"/>
      <c r="F8641" s="155"/>
      <c r="G8641" s="143"/>
    </row>
    <row r="8642" spans="2:7" s="196" customFormat="1">
      <c r="B8642" s="142"/>
      <c r="C8642" s="235"/>
      <c r="D8642" s="213"/>
      <c r="E8642" s="226"/>
      <c r="F8642" s="155"/>
      <c r="G8642" s="143"/>
    </row>
    <row r="8643" spans="2:7" s="196" customFormat="1">
      <c r="B8643" s="142"/>
      <c r="C8643" s="235"/>
      <c r="D8643" s="213"/>
      <c r="E8643" s="226"/>
      <c r="F8643" s="155"/>
      <c r="G8643" s="143"/>
    </row>
    <row r="8644" spans="2:7" s="196" customFormat="1">
      <c r="B8644" s="142"/>
      <c r="C8644" s="235"/>
      <c r="D8644" s="213"/>
      <c r="E8644" s="226"/>
      <c r="F8644" s="155"/>
      <c r="G8644" s="143"/>
    </row>
    <row r="8645" spans="2:7" s="196" customFormat="1">
      <c r="B8645" s="142"/>
      <c r="C8645" s="235"/>
      <c r="D8645" s="213"/>
      <c r="E8645" s="226"/>
      <c r="F8645" s="155"/>
      <c r="G8645" s="143"/>
    </row>
    <row r="8646" spans="2:7" s="196" customFormat="1">
      <c r="B8646" s="142"/>
      <c r="C8646" s="235"/>
      <c r="D8646" s="213"/>
      <c r="E8646" s="226"/>
      <c r="F8646" s="155"/>
      <c r="G8646" s="143"/>
    </row>
    <row r="8647" spans="2:7" s="196" customFormat="1">
      <c r="B8647" s="142"/>
      <c r="C8647" s="235"/>
      <c r="D8647" s="213"/>
      <c r="E8647" s="226"/>
      <c r="F8647" s="155"/>
      <c r="G8647" s="143"/>
    </row>
    <row r="8648" spans="2:7" s="196" customFormat="1">
      <c r="B8648" s="142"/>
      <c r="C8648" s="235"/>
      <c r="D8648" s="213"/>
      <c r="E8648" s="226"/>
      <c r="F8648" s="155"/>
      <c r="G8648" s="143"/>
    </row>
    <row r="8649" spans="2:7" s="196" customFormat="1">
      <c r="B8649" s="142"/>
      <c r="C8649" s="235"/>
      <c r="D8649" s="213"/>
      <c r="E8649" s="226"/>
      <c r="F8649" s="155"/>
      <c r="G8649" s="143"/>
    </row>
    <row r="8650" spans="2:7" s="196" customFormat="1">
      <c r="B8650" s="142"/>
      <c r="C8650" s="235"/>
      <c r="D8650" s="213"/>
      <c r="E8650" s="226"/>
      <c r="F8650" s="155"/>
      <c r="G8650" s="143"/>
    </row>
    <row r="8651" spans="2:7" s="196" customFormat="1">
      <c r="B8651" s="142"/>
      <c r="C8651" s="235"/>
      <c r="D8651" s="213"/>
      <c r="E8651" s="226"/>
      <c r="F8651" s="155"/>
      <c r="G8651" s="143"/>
    </row>
    <row r="8652" spans="2:7" s="196" customFormat="1">
      <c r="B8652" s="142"/>
      <c r="C8652" s="235"/>
      <c r="D8652" s="213"/>
      <c r="E8652" s="226"/>
      <c r="F8652" s="155"/>
      <c r="G8652" s="143"/>
    </row>
    <row r="8653" spans="2:7" s="196" customFormat="1">
      <c r="B8653" s="142"/>
      <c r="C8653" s="235"/>
      <c r="D8653" s="213"/>
      <c r="E8653" s="226"/>
      <c r="F8653" s="155"/>
      <c r="G8653" s="143"/>
    </row>
    <row r="8654" spans="2:7" s="196" customFormat="1">
      <c r="B8654" s="142"/>
      <c r="C8654" s="235"/>
      <c r="D8654" s="213"/>
      <c r="E8654" s="226"/>
      <c r="F8654" s="155"/>
      <c r="G8654" s="143"/>
    </row>
    <row r="8655" spans="2:7" s="196" customFormat="1">
      <c r="B8655" s="142"/>
      <c r="C8655" s="235"/>
      <c r="D8655" s="213"/>
      <c r="E8655" s="226"/>
      <c r="F8655" s="155"/>
      <c r="G8655" s="143"/>
    </row>
    <row r="8656" spans="2:7" s="196" customFormat="1">
      <c r="B8656" s="142"/>
      <c r="C8656" s="235"/>
      <c r="D8656" s="213"/>
      <c r="E8656" s="226"/>
      <c r="F8656" s="155"/>
      <c r="G8656" s="143"/>
    </row>
    <row r="8657" spans="2:7" s="196" customFormat="1">
      <c r="B8657" s="142"/>
      <c r="C8657" s="235"/>
      <c r="D8657" s="213"/>
      <c r="E8657" s="226"/>
      <c r="F8657" s="155"/>
      <c r="G8657" s="143"/>
    </row>
    <row r="8658" spans="2:7" s="196" customFormat="1">
      <c r="B8658" s="142"/>
      <c r="C8658" s="235"/>
      <c r="D8658" s="213"/>
      <c r="E8658" s="226"/>
      <c r="F8658" s="155"/>
      <c r="G8658" s="143"/>
    </row>
    <row r="8659" spans="2:7" s="196" customFormat="1">
      <c r="B8659" s="142"/>
      <c r="C8659" s="235"/>
      <c r="D8659" s="213"/>
      <c r="E8659" s="226"/>
      <c r="F8659" s="155"/>
      <c r="G8659" s="143"/>
    </row>
    <row r="8660" spans="2:7" s="196" customFormat="1">
      <c r="B8660" s="142"/>
      <c r="C8660" s="235"/>
      <c r="D8660" s="213"/>
      <c r="E8660" s="226"/>
      <c r="F8660" s="155"/>
      <c r="G8660" s="143"/>
    </row>
    <row r="8661" spans="2:7" s="196" customFormat="1">
      <c r="B8661" s="142"/>
      <c r="C8661" s="235"/>
      <c r="D8661" s="213"/>
      <c r="E8661" s="226"/>
      <c r="F8661" s="155"/>
      <c r="G8661" s="143"/>
    </row>
    <row r="8662" spans="2:7" s="196" customFormat="1">
      <c r="B8662" s="142"/>
      <c r="C8662" s="235"/>
      <c r="D8662" s="213"/>
      <c r="E8662" s="226"/>
      <c r="F8662" s="155"/>
      <c r="G8662" s="143"/>
    </row>
    <row r="8663" spans="2:7" s="196" customFormat="1">
      <c r="B8663" s="142"/>
      <c r="C8663" s="235"/>
      <c r="D8663" s="213"/>
      <c r="E8663" s="226"/>
      <c r="F8663" s="155"/>
      <c r="G8663" s="143"/>
    </row>
    <row r="8664" spans="2:7" s="196" customFormat="1">
      <c r="B8664" s="142"/>
      <c r="C8664" s="235"/>
      <c r="D8664" s="213"/>
      <c r="E8664" s="226"/>
      <c r="F8664" s="155"/>
      <c r="G8664" s="143"/>
    </row>
    <row r="8665" spans="2:7" s="196" customFormat="1">
      <c r="B8665" s="142"/>
      <c r="C8665" s="235"/>
      <c r="D8665" s="213"/>
      <c r="E8665" s="226"/>
      <c r="F8665" s="155"/>
      <c r="G8665" s="143"/>
    </row>
    <row r="8666" spans="2:7" s="196" customFormat="1">
      <c r="B8666" s="142"/>
      <c r="C8666" s="235"/>
      <c r="D8666" s="213"/>
      <c r="E8666" s="226"/>
      <c r="F8666" s="155"/>
      <c r="G8666" s="143"/>
    </row>
    <row r="8667" spans="2:7" s="196" customFormat="1">
      <c r="B8667" s="142"/>
      <c r="C8667" s="235"/>
      <c r="D8667" s="213"/>
      <c r="E8667" s="226"/>
      <c r="F8667" s="155"/>
      <c r="G8667" s="143"/>
    </row>
    <row r="8668" spans="2:7" s="196" customFormat="1">
      <c r="B8668" s="142"/>
      <c r="C8668" s="235"/>
      <c r="D8668" s="213"/>
      <c r="E8668" s="226"/>
      <c r="F8668" s="155"/>
      <c r="G8668" s="143"/>
    </row>
    <row r="8669" spans="2:7" s="196" customFormat="1">
      <c r="B8669" s="142"/>
      <c r="C8669" s="235"/>
      <c r="D8669" s="213"/>
      <c r="E8669" s="226"/>
      <c r="F8669" s="155"/>
      <c r="G8669" s="143"/>
    </row>
    <row r="8670" spans="2:7" s="196" customFormat="1">
      <c r="B8670" s="142"/>
      <c r="C8670" s="235"/>
      <c r="D8670" s="213"/>
      <c r="E8670" s="226"/>
      <c r="F8670" s="155"/>
      <c r="G8670" s="143"/>
    </row>
    <row r="8671" spans="2:7" s="196" customFormat="1">
      <c r="B8671" s="142"/>
      <c r="C8671" s="235"/>
      <c r="D8671" s="213"/>
      <c r="E8671" s="226"/>
      <c r="F8671" s="155"/>
      <c r="G8671" s="143"/>
    </row>
    <row r="8672" spans="2:7" s="196" customFormat="1">
      <c r="B8672" s="142"/>
      <c r="C8672" s="235"/>
      <c r="D8672" s="213"/>
      <c r="E8672" s="226"/>
      <c r="F8672" s="155"/>
      <c r="G8672" s="143"/>
    </row>
    <row r="8673" spans="2:7" s="196" customFormat="1">
      <c r="B8673" s="142"/>
      <c r="C8673" s="235"/>
      <c r="D8673" s="213"/>
      <c r="E8673" s="226"/>
      <c r="F8673" s="155"/>
      <c r="G8673" s="143"/>
    </row>
    <row r="8674" spans="2:7" s="196" customFormat="1">
      <c r="B8674" s="142"/>
      <c r="C8674" s="235"/>
      <c r="D8674" s="213"/>
      <c r="E8674" s="226"/>
      <c r="F8674" s="155"/>
      <c r="G8674" s="143"/>
    </row>
    <row r="8675" spans="2:7" s="196" customFormat="1">
      <c r="B8675" s="142"/>
      <c r="C8675" s="235"/>
      <c r="D8675" s="213"/>
      <c r="E8675" s="226"/>
      <c r="F8675" s="155"/>
      <c r="G8675" s="143"/>
    </row>
    <row r="8676" spans="2:7" s="196" customFormat="1">
      <c r="B8676" s="142"/>
      <c r="C8676" s="235"/>
      <c r="D8676" s="213"/>
      <c r="E8676" s="226"/>
      <c r="F8676" s="155"/>
      <c r="G8676" s="143"/>
    </row>
    <row r="8677" spans="2:7" s="196" customFormat="1">
      <c r="B8677" s="142"/>
      <c r="C8677" s="235"/>
      <c r="D8677" s="213"/>
      <c r="E8677" s="226"/>
      <c r="F8677" s="155"/>
      <c r="G8677" s="143"/>
    </row>
    <row r="8678" spans="2:7" s="196" customFormat="1">
      <c r="B8678" s="142"/>
      <c r="C8678" s="235"/>
      <c r="D8678" s="213"/>
      <c r="E8678" s="226"/>
      <c r="F8678" s="155"/>
      <c r="G8678" s="143"/>
    </row>
    <row r="8679" spans="2:7" s="196" customFormat="1">
      <c r="B8679" s="142"/>
      <c r="C8679" s="235"/>
      <c r="D8679" s="213"/>
      <c r="E8679" s="226"/>
      <c r="F8679" s="155"/>
      <c r="G8679" s="143"/>
    </row>
    <row r="8680" spans="2:7" s="196" customFormat="1">
      <c r="B8680" s="142"/>
      <c r="C8680" s="235"/>
      <c r="D8680" s="213"/>
      <c r="E8680" s="226"/>
      <c r="F8680" s="155"/>
      <c r="G8680" s="143"/>
    </row>
    <row r="8681" spans="2:7" s="196" customFormat="1">
      <c r="B8681" s="142"/>
      <c r="C8681" s="235"/>
      <c r="D8681" s="213"/>
      <c r="E8681" s="226"/>
      <c r="F8681" s="155"/>
      <c r="G8681" s="143"/>
    </row>
    <row r="8682" spans="2:7" s="196" customFormat="1">
      <c r="B8682" s="142"/>
      <c r="C8682" s="235"/>
      <c r="D8682" s="213"/>
      <c r="E8682" s="226"/>
      <c r="F8682" s="155"/>
      <c r="G8682" s="143"/>
    </row>
    <row r="8683" spans="2:7" s="196" customFormat="1">
      <c r="B8683" s="142"/>
      <c r="C8683" s="235"/>
      <c r="D8683" s="213"/>
      <c r="E8683" s="226"/>
      <c r="F8683" s="155"/>
      <c r="G8683" s="143"/>
    </row>
    <row r="8684" spans="2:7" s="196" customFormat="1">
      <c r="B8684" s="142"/>
      <c r="C8684" s="235"/>
      <c r="D8684" s="213"/>
      <c r="E8684" s="226"/>
      <c r="F8684" s="155"/>
      <c r="G8684" s="143"/>
    </row>
    <row r="8685" spans="2:7" s="196" customFormat="1">
      <c r="B8685" s="142"/>
      <c r="C8685" s="235"/>
      <c r="D8685" s="213"/>
      <c r="E8685" s="226"/>
      <c r="F8685" s="155"/>
      <c r="G8685" s="143"/>
    </row>
    <row r="8686" spans="2:7" s="196" customFormat="1">
      <c r="B8686" s="142"/>
      <c r="C8686" s="235"/>
      <c r="D8686" s="213"/>
      <c r="E8686" s="226"/>
      <c r="F8686" s="155"/>
      <c r="G8686" s="143"/>
    </row>
    <row r="8687" spans="2:7" s="196" customFormat="1">
      <c r="B8687" s="142"/>
      <c r="C8687" s="235"/>
      <c r="D8687" s="213"/>
      <c r="E8687" s="226"/>
      <c r="F8687" s="155"/>
      <c r="G8687" s="143"/>
    </row>
    <row r="8688" spans="2:7" s="196" customFormat="1">
      <c r="B8688" s="142"/>
      <c r="C8688" s="235"/>
      <c r="D8688" s="213"/>
      <c r="E8688" s="226"/>
      <c r="F8688" s="155"/>
      <c r="G8688" s="143"/>
    </row>
    <row r="8689" spans="2:7" s="196" customFormat="1">
      <c r="B8689" s="142"/>
      <c r="C8689" s="235"/>
      <c r="D8689" s="213"/>
      <c r="E8689" s="226"/>
      <c r="F8689" s="155"/>
      <c r="G8689" s="143"/>
    </row>
    <row r="8690" spans="2:7" s="196" customFormat="1">
      <c r="B8690" s="142"/>
      <c r="C8690" s="235"/>
      <c r="D8690" s="213"/>
      <c r="E8690" s="226"/>
      <c r="F8690" s="155"/>
      <c r="G8690" s="143"/>
    </row>
    <row r="8691" spans="2:7" s="196" customFormat="1">
      <c r="B8691" s="142"/>
      <c r="C8691" s="235"/>
      <c r="D8691" s="213"/>
      <c r="E8691" s="226"/>
      <c r="F8691" s="155"/>
      <c r="G8691" s="143"/>
    </row>
    <row r="8692" spans="2:7" s="196" customFormat="1">
      <c r="B8692" s="142"/>
      <c r="C8692" s="235"/>
      <c r="D8692" s="213"/>
      <c r="E8692" s="226"/>
      <c r="F8692" s="155"/>
      <c r="G8692" s="143"/>
    </row>
    <row r="8693" spans="2:7" s="196" customFormat="1">
      <c r="B8693" s="142"/>
      <c r="C8693" s="235"/>
      <c r="D8693" s="213"/>
      <c r="E8693" s="226"/>
      <c r="F8693" s="155"/>
      <c r="G8693" s="143"/>
    </row>
    <row r="8694" spans="2:7" s="196" customFormat="1">
      <c r="B8694" s="142"/>
      <c r="C8694" s="235"/>
      <c r="D8694" s="213"/>
      <c r="E8694" s="226"/>
      <c r="F8694" s="155"/>
      <c r="G8694" s="143"/>
    </row>
    <row r="8695" spans="2:7" s="196" customFormat="1">
      <c r="B8695" s="142"/>
      <c r="C8695" s="235"/>
      <c r="D8695" s="213"/>
      <c r="E8695" s="226"/>
      <c r="F8695" s="155"/>
      <c r="G8695" s="143"/>
    </row>
    <row r="8696" spans="2:7" s="196" customFormat="1">
      <c r="B8696" s="142"/>
      <c r="C8696" s="235"/>
      <c r="D8696" s="213"/>
      <c r="E8696" s="226"/>
      <c r="F8696" s="155"/>
      <c r="G8696" s="143"/>
    </row>
    <row r="8697" spans="2:7" s="196" customFormat="1">
      <c r="B8697" s="142"/>
      <c r="C8697" s="235"/>
      <c r="D8697" s="213"/>
      <c r="E8697" s="226"/>
      <c r="F8697" s="155"/>
      <c r="G8697" s="143"/>
    </row>
    <row r="8698" spans="2:7" s="196" customFormat="1">
      <c r="B8698" s="142"/>
      <c r="C8698" s="235"/>
      <c r="D8698" s="213"/>
      <c r="E8698" s="226"/>
      <c r="F8698" s="155"/>
      <c r="G8698" s="143"/>
    </row>
    <row r="8699" spans="2:7" s="196" customFormat="1">
      <c r="B8699" s="142"/>
      <c r="C8699" s="235"/>
      <c r="D8699" s="213"/>
      <c r="E8699" s="226"/>
      <c r="F8699" s="155"/>
      <c r="G8699" s="143"/>
    </row>
    <row r="8700" spans="2:7" s="196" customFormat="1">
      <c r="B8700" s="142"/>
      <c r="C8700" s="235"/>
      <c r="D8700" s="213"/>
      <c r="E8700" s="226"/>
      <c r="F8700" s="155"/>
      <c r="G8700" s="143"/>
    </row>
    <row r="8701" spans="2:7" s="196" customFormat="1">
      <c r="B8701" s="142"/>
      <c r="C8701" s="235"/>
      <c r="D8701" s="213"/>
      <c r="E8701" s="226"/>
      <c r="F8701" s="155"/>
      <c r="G8701" s="143"/>
    </row>
    <row r="8702" spans="2:7" s="196" customFormat="1">
      <c r="B8702" s="142"/>
      <c r="C8702" s="235"/>
      <c r="D8702" s="213"/>
      <c r="E8702" s="226"/>
      <c r="F8702" s="155"/>
      <c r="G8702" s="143"/>
    </row>
    <row r="8703" spans="2:7" s="196" customFormat="1">
      <c r="B8703" s="142"/>
      <c r="C8703" s="235"/>
      <c r="D8703" s="213"/>
      <c r="E8703" s="226"/>
      <c r="F8703" s="155"/>
      <c r="G8703" s="143"/>
    </row>
    <row r="8704" spans="2:7" s="196" customFormat="1">
      <c r="B8704" s="142"/>
      <c r="C8704" s="235"/>
      <c r="D8704" s="213"/>
      <c r="E8704" s="226"/>
      <c r="F8704" s="155"/>
      <c r="G8704" s="143"/>
    </row>
    <row r="8705" spans="2:7" s="196" customFormat="1">
      <c r="B8705" s="142"/>
      <c r="C8705" s="235"/>
      <c r="D8705" s="213"/>
      <c r="E8705" s="226"/>
      <c r="F8705" s="155"/>
      <c r="G8705" s="143"/>
    </row>
    <row r="8706" spans="2:7" s="196" customFormat="1">
      <c r="B8706" s="142"/>
      <c r="C8706" s="235"/>
      <c r="D8706" s="213"/>
      <c r="E8706" s="226"/>
      <c r="F8706" s="155"/>
      <c r="G8706" s="143"/>
    </row>
    <row r="8707" spans="2:7" s="196" customFormat="1">
      <c r="B8707" s="142"/>
      <c r="C8707" s="235"/>
      <c r="D8707" s="213"/>
      <c r="E8707" s="226"/>
      <c r="F8707" s="155"/>
      <c r="G8707" s="143"/>
    </row>
    <row r="8708" spans="2:7" s="196" customFormat="1">
      <c r="B8708" s="142"/>
      <c r="C8708" s="235"/>
      <c r="D8708" s="213"/>
      <c r="E8708" s="226"/>
      <c r="F8708" s="155"/>
      <c r="G8708" s="143"/>
    </row>
    <row r="8709" spans="2:7" s="196" customFormat="1">
      <c r="B8709" s="142"/>
      <c r="C8709" s="235"/>
      <c r="D8709" s="213"/>
      <c r="E8709" s="226"/>
      <c r="F8709" s="155"/>
      <c r="G8709" s="143"/>
    </row>
    <row r="8710" spans="2:7" s="196" customFormat="1">
      <c r="B8710" s="142"/>
      <c r="C8710" s="235"/>
      <c r="D8710" s="213"/>
      <c r="E8710" s="226"/>
      <c r="F8710" s="155"/>
      <c r="G8710" s="143"/>
    </row>
    <row r="8711" spans="2:7" s="196" customFormat="1">
      <c r="B8711" s="142"/>
      <c r="C8711" s="235"/>
      <c r="D8711" s="213"/>
      <c r="E8711" s="226"/>
      <c r="F8711" s="155"/>
      <c r="G8711" s="143"/>
    </row>
    <row r="8712" spans="2:7" s="196" customFormat="1">
      <c r="B8712" s="142"/>
      <c r="C8712" s="235"/>
      <c r="D8712" s="213"/>
      <c r="E8712" s="226"/>
      <c r="F8712" s="155"/>
      <c r="G8712" s="143"/>
    </row>
    <row r="8713" spans="2:7" s="196" customFormat="1">
      <c r="B8713" s="142"/>
      <c r="C8713" s="235"/>
      <c r="D8713" s="213"/>
      <c r="E8713" s="226"/>
      <c r="F8713" s="155"/>
      <c r="G8713" s="143"/>
    </row>
    <row r="8714" spans="2:7" s="196" customFormat="1">
      <c r="B8714" s="142"/>
      <c r="C8714" s="235"/>
      <c r="D8714" s="213"/>
      <c r="E8714" s="226"/>
      <c r="F8714" s="155"/>
      <c r="G8714" s="143"/>
    </row>
    <row r="8715" spans="2:7" s="196" customFormat="1">
      <c r="B8715" s="142"/>
      <c r="C8715" s="235"/>
      <c r="D8715" s="213"/>
      <c r="E8715" s="226"/>
      <c r="F8715" s="155"/>
      <c r="G8715" s="143"/>
    </row>
    <row r="8716" spans="2:7" s="196" customFormat="1">
      <c r="B8716" s="142"/>
      <c r="C8716" s="235"/>
      <c r="D8716" s="213"/>
      <c r="E8716" s="226"/>
      <c r="F8716" s="155"/>
      <c r="G8716" s="143"/>
    </row>
    <row r="8717" spans="2:7" s="196" customFormat="1">
      <c r="B8717" s="142"/>
      <c r="C8717" s="235"/>
      <c r="D8717" s="213"/>
      <c r="E8717" s="226"/>
      <c r="F8717" s="155"/>
      <c r="G8717" s="143"/>
    </row>
    <row r="8718" spans="2:7" s="196" customFormat="1">
      <c r="B8718" s="142"/>
      <c r="C8718" s="235"/>
      <c r="D8718" s="213"/>
      <c r="E8718" s="226"/>
      <c r="F8718" s="155"/>
      <c r="G8718" s="143"/>
    </row>
    <row r="8719" spans="2:7" s="196" customFormat="1">
      <c r="B8719" s="142"/>
      <c r="C8719" s="235"/>
      <c r="D8719" s="213"/>
      <c r="E8719" s="226"/>
      <c r="F8719" s="155"/>
      <c r="G8719" s="143"/>
    </row>
    <row r="8720" spans="2:7" s="196" customFormat="1">
      <c r="B8720" s="142"/>
      <c r="C8720" s="235"/>
      <c r="D8720" s="213"/>
      <c r="E8720" s="226"/>
      <c r="F8720" s="155"/>
      <c r="G8720" s="143"/>
    </row>
    <row r="8721" spans="2:7" s="196" customFormat="1">
      <c r="B8721" s="142"/>
      <c r="C8721" s="235"/>
      <c r="D8721" s="213"/>
      <c r="E8721" s="226"/>
      <c r="F8721" s="155"/>
      <c r="G8721" s="143"/>
    </row>
    <row r="8722" spans="2:7" s="196" customFormat="1">
      <c r="B8722" s="142"/>
      <c r="C8722" s="235"/>
      <c r="D8722" s="213"/>
      <c r="E8722" s="226"/>
      <c r="F8722" s="155"/>
      <c r="G8722" s="143"/>
    </row>
    <row r="8723" spans="2:7" s="196" customFormat="1">
      <c r="B8723" s="142"/>
      <c r="C8723" s="235"/>
      <c r="D8723" s="213"/>
      <c r="E8723" s="226"/>
      <c r="F8723" s="155"/>
      <c r="G8723" s="143"/>
    </row>
    <row r="8724" spans="2:7" s="196" customFormat="1">
      <c r="B8724" s="142"/>
      <c r="C8724" s="235"/>
      <c r="D8724" s="213"/>
      <c r="E8724" s="226"/>
      <c r="F8724" s="155"/>
      <c r="G8724" s="143"/>
    </row>
    <row r="8725" spans="2:7" s="196" customFormat="1">
      <c r="B8725" s="142"/>
      <c r="C8725" s="235"/>
      <c r="D8725" s="213"/>
      <c r="E8725" s="226"/>
      <c r="F8725" s="155"/>
      <c r="G8725" s="143"/>
    </row>
    <row r="8726" spans="2:7" s="196" customFormat="1">
      <c r="B8726" s="142"/>
      <c r="C8726" s="235"/>
      <c r="D8726" s="213"/>
      <c r="E8726" s="226"/>
      <c r="F8726" s="155"/>
      <c r="G8726" s="143"/>
    </row>
    <row r="8727" spans="2:7" s="196" customFormat="1">
      <c r="B8727" s="142"/>
      <c r="C8727" s="235"/>
      <c r="D8727" s="213"/>
      <c r="E8727" s="226"/>
      <c r="F8727" s="155"/>
      <c r="G8727" s="143"/>
    </row>
    <row r="8728" spans="2:7" s="196" customFormat="1">
      <c r="B8728" s="142"/>
      <c r="C8728" s="235"/>
      <c r="D8728" s="213"/>
      <c r="E8728" s="226"/>
      <c r="F8728" s="155"/>
      <c r="G8728" s="143"/>
    </row>
    <row r="8729" spans="2:7" s="196" customFormat="1">
      <c r="B8729" s="142"/>
      <c r="C8729" s="235"/>
      <c r="D8729" s="213"/>
      <c r="E8729" s="226"/>
      <c r="F8729" s="155"/>
      <c r="G8729" s="143"/>
    </row>
    <row r="8730" spans="2:7" s="196" customFormat="1">
      <c r="B8730" s="142"/>
      <c r="C8730" s="235"/>
      <c r="D8730" s="213"/>
      <c r="E8730" s="226"/>
      <c r="F8730" s="155"/>
      <c r="G8730" s="143"/>
    </row>
    <row r="8731" spans="2:7" s="196" customFormat="1">
      <c r="B8731" s="142"/>
      <c r="C8731" s="235"/>
      <c r="D8731" s="213"/>
      <c r="E8731" s="226"/>
      <c r="F8731" s="155"/>
      <c r="G8731" s="143"/>
    </row>
    <row r="8732" spans="2:7" s="196" customFormat="1">
      <c r="B8732" s="142"/>
      <c r="C8732" s="235"/>
      <c r="D8732" s="213"/>
      <c r="E8732" s="226"/>
      <c r="F8732" s="155"/>
      <c r="G8732" s="143"/>
    </row>
    <row r="8733" spans="2:7" s="196" customFormat="1">
      <c r="B8733" s="142"/>
      <c r="C8733" s="235"/>
      <c r="D8733" s="213"/>
      <c r="E8733" s="226"/>
      <c r="F8733" s="155"/>
      <c r="G8733" s="143"/>
    </row>
    <row r="8734" spans="2:7" s="196" customFormat="1">
      <c r="B8734" s="142"/>
      <c r="C8734" s="235"/>
      <c r="D8734" s="213"/>
      <c r="E8734" s="226"/>
      <c r="F8734" s="155"/>
      <c r="G8734" s="143"/>
    </row>
    <row r="8735" spans="2:7" s="196" customFormat="1">
      <c r="B8735" s="142"/>
      <c r="C8735" s="235"/>
      <c r="D8735" s="213"/>
      <c r="E8735" s="226"/>
      <c r="F8735" s="155"/>
      <c r="G8735" s="143"/>
    </row>
    <row r="8736" spans="2:7" s="196" customFormat="1">
      <c r="B8736" s="142"/>
      <c r="C8736" s="235"/>
      <c r="D8736" s="213"/>
      <c r="E8736" s="226"/>
      <c r="F8736" s="155"/>
      <c r="G8736" s="143"/>
    </row>
    <row r="8737" spans="2:7" s="196" customFormat="1">
      <c r="B8737" s="142"/>
      <c r="C8737" s="235"/>
      <c r="D8737" s="213"/>
      <c r="E8737" s="226"/>
      <c r="F8737" s="155"/>
      <c r="G8737" s="143"/>
    </row>
    <row r="8738" spans="2:7" s="196" customFormat="1">
      <c r="B8738" s="142"/>
      <c r="C8738" s="235"/>
      <c r="D8738" s="213"/>
      <c r="E8738" s="226"/>
      <c r="F8738" s="155"/>
      <c r="G8738" s="143"/>
    </row>
    <row r="8739" spans="2:7" s="196" customFormat="1">
      <c r="B8739" s="142"/>
      <c r="C8739" s="235"/>
      <c r="D8739" s="213"/>
      <c r="E8739" s="226"/>
      <c r="F8739" s="155"/>
      <c r="G8739" s="143"/>
    </row>
    <row r="8740" spans="2:7" s="196" customFormat="1">
      <c r="B8740" s="142"/>
      <c r="C8740" s="235"/>
      <c r="D8740" s="213"/>
      <c r="E8740" s="226"/>
      <c r="F8740" s="155"/>
      <c r="G8740" s="143"/>
    </row>
    <row r="8741" spans="2:7" s="196" customFormat="1">
      <c r="B8741" s="142"/>
      <c r="C8741" s="235"/>
      <c r="D8741" s="213"/>
      <c r="E8741" s="226"/>
      <c r="F8741" s="155"/>
      <c r="G8741" s="143"/>
    </row>
    <row r="8742" spans="2:7" s="196" customFormat="1">
      <c r="B8742" s="142"/>
      <c r="C8742" s="235"/>
      <c r="D8742" s="213"/>
      <c r="E8742" s="226"/>
      <c r="F8742" s="155"/>
      <c r="G8742" s="143"/>
    </row>
    <row r="8743" spans="2:7" s="196" customFormat="1">
      <c r="B8743" s="142"/>
      <c r="C8743" s="235"/>
      <c r="D8743" s="213"/>
      <c r="E8743" s="226"/>
      <c r="F8743" s="155"/>
      <c r="G8743" s="143"/>
    </row>
    <row r="8744" spans="2:7" s="196" customFormat="1">
      <c r="B8744" s="142"/>
      <c r="C8744" s="235"/>
      <c r="D8744" s="213"/>
      <c r="E8744" s="226"/>
      <c r="F8744" s="155"/>
      <c r="G8744" s="143"/>
    </row>
    <row r="8745" spans="2:7" s="196" customFormat="1">
      <c r="B8745" s="142"/>
      <c r="C8745" s="235"/>
      <c r="D8745" s="213"/>
      <c r="E8745" s="226"/>
      <c r="F8745" s="155"/>
      <c r="G8745" s="143"/>
    </row>
    <row r="8746" spans="2:7" s="196" customFormat="1">
      <c r="B8746" s="142"/>
      <c r="C8746" s="235"/>
      <c r="D8746" s="213"/>
      <c r="E8746" s="226"/>
      <c r="F8746" s="155"/>
      <c r="G8746" s="143"/>
    </row>
    <row r="8747" spans="2:7" s="196" customFormat="1">
      <c r="B8747" s="142"/>
      <c r="C8747" s="235"/>
      <c r="D8747" s="213"/>
      <c r="E8747" s="226"/>
      <c r="F8747" s="155"/>
      <c r="G8747" s="143"/>
    </row>
    <row r="8748" spans="2:7" s="196" customFormat="1">
      <c r="B8748" s="142"/>
      <c r="C8748" s="235"/>
      <c r="D8748" s="213"/>
      <c r="E8748" s="226"/>
      <c r="F8748" s="155"/>
      <c r="G8748" s="143"/>
    </row>
    <row r="8749" spans="2:7" s="196" customFormat="1">
      <c r="B8749" s="142"/>
      <c r="C8749" s="235"/>
      <c r="D8749" s="213"/>
      <c r="E8749" s="226"/>
      <c r="F8749" s="155"/>
      <c r="G8749" s="143"/>
    </row>
    <row r="8750" spans="2:7" s="196" customFormat="1">
      <c r="B8750" s="142"/>
      <c r="C8750" s="235"/>
      <c r="D8750" s="213"/>
      <c r="E8750" s="226"/>
      <c r="F8750" s="155"/>
      <c r="G8750" s="143"/>
    </row>
    <row r="8751" spans="2:7" s="196" customFormat="1">
      <c r="B8751" s="142"/>
      <c r="C8751" s="235"/>
      <c r="D8751" s="213"/>
      <c r="E8751" s="226"/>
      <c r="F8751" s="155"/>
      <c r="G8751" s="143"/>
    </row>
    <row r="8752" spans="2:7" s="196" customFormat="1">
      <c r="B8752" s="142"/>
      <c r="C8752" s="235"/>
      <c r="D8752" s="213"/>
      <c r="E8752" s="226"/>
      <c r="F8752" s="155"/>
      <c r="G8752" s="143"/>
    </row>
    <row r="8753" spans="2:7" s="196" customFormat="1">
      <c r="B8753" s="142"/>
      <c r="C8753" s="235"/>
      <c r="D8753" s="213"/>
      <c r="E8753" s="226"/>
      <c r="F8753" s="155"/>
      <c r="G8753" s="143"/>
    </row>
    <row r="8754" spans="2:7" s="196" customFormat="1">
      <c r="B8754" s="142"/>
      <c r="C8754" s="235"/>
      <c r="D8754" s="213"/>
      <c r="E8754" s="226"/>
      <c r="F8754" s="155"/>
      <c r="G8754" s="143"/>
    </row>
    <row r="8755" spans="2:7" s="196" customFormat="1">
      <c r="B8755" s="142"/>
      <c r="C8755" s="235"/>
      <c r="D8755" s="213"/>
      <c r="E8755" s="226"/>
      <c r="F8755" s="155"/>
      <c r="G8755" s="143"/>
    </row>
    <row r="8756" spans="2:7" s="196" customFormat="1">
      <c r="B8756" s="142"/>
      <c r="C8756" s="235"/>
      <c r="D8756" s="213"/>
      <c r="E8756" s="226"/>
      <c r="F8756" s="155"/>
      <c r="G8756" s="143"/>
    </row>
    <row r="8757" spans="2:7" s="196" customFormat="1">
      <c r="B8757" s="142"/>
      <c r="C8757" s="235"/>
      <c r="D8757" s="213"/>
      <c r="E8757" s="226"/>
      <c r="F8757" s="155"/>
      <c r="G8757" s="143"/>
    </row>
    <row r="8758" spans="2:7" s="196" customFormat="1">
      <c r="B8758" s="142"/>
      <c r="C8758" s="235"/>
      <c r="D8758" s="213"/>
      <c r="E8758" s="226"/>
      <c r="F8758" s="155"/>
      <c r="G8758" s="143"/>
    </row>
    <row r="8759" spans="2:7" s="196" customFormat="1">
      <c r="B8759" s="142"/>
      <c r="C8759" s="235"/>
      <c r="D8759" s="213"/>
      <c r="E8759" s="226"/>
      <c r="F8759" s="155"/>
      <c r="G8759" s="143"/>
    </row>
    <row r="8760" spans="2:7" s="196" customFormat="1">
      <c r="B8760" s="142"/>
      <c r="C8760" s="235"/>
      <c r="D8760" s="213"/>
      <c r="E8760" s="226"/>
      <c r="F8760" s="155"/>
      <c r="G8760" s="143"/>
    </row>
    <row r="8761" spans="2:7" s="196" customFormat="1">
      <c r="B8761" s="142"/>
      <c r="C8761" s="235"/>
      <c r="D8761" s="213"/>
      <c r="E8761" s="226"/>
      <c r="F8761" s="155"/>
      <c r="G8761" s="143"/>
    </row>
    <row r="8762" spans="2:7" s="196" customFormat="1">
      <c r="B8762" s="142"/>
      <c r="C8762" s="235"/>
      <c r="D8762" s="213"/>
      <c r="E8762" s="226"/>
      <c r="F8762" s="155"/>
      <c r="G8762" s="143"/>
    </row>
    <row r="8763" spans="2:7" s="196" customFormat="1">
      <c r="B8763" s="142"/>
      <c r="C8763" s="235"/>
      <c r="D8763" s="213"/>
      <c r="E8763" s="226"/>
      <c r="F8763" s="155"/>
      <c r="G8763" s="143"/>
    </row>
    <row r="8764" spans="2:7" s="196" customFormat="1">
      <c r="B8764" s="142"/>
      <c r="C8764" s="235"/>
      <c r="D8764" s="213"/>
      <c r="E8764" s="226"/>
      <c r="F8764" s="155"/>
      <c r="G8764" s="143"/>
    </row>
    <row r="8765" spans="2:7" s="196" customFormat="1">
      <c r="B8765" s="142"/>
      <c r="C8765" s="235"/>
      <c r="D8765" s="213"/>
      <c r="E8765" s="226"/>
      <c r="F8765" s="155"/>
      <c r="G8765" s="143"/>
    </row>
    <row r="8766" spans="2:7" s="196" customFormat="1">
      <c r="B8766" s="142"/>
      <c r="C8766" s="235"/>
      <c r="D8766" s="213"/>
      <c r="E8766" s="226"/>
      <c r="F8766" s="155"/>
      <c r="G8766" s="143"/>
    </row>
    <row r="8767" spans="2:7" s="196" customFormat="1">
      <c r="B8767" s="142"/>
      <c r="C8767" s="235"/>
      <c r="D8767" s="213"/>
      <c r="E8767" s="226"/>
      <c r="F8767" s="155"/>
      <c r="G8767" s="143"/>
    </row>
    <row r="8768" spans="2:7" s="196" customFormat="1">
      <c r="B8768" s="142"/>
      <c r="C8768" s="235"/>
      <c r="D8768" s="213"/>
      <c r="E8768" s="226"/>
      <c r="F8768" s="155"/>
      <c r="G8768" s="143"/>
    </row>
    <row r="8769" spans="2:7" s="196" customFormat="1">
      <c r="B8769" s="142"/>
      <c r="C8769" s="235"/>
      <c r="D8769" s="213"/>
      <c r="E8769" s="226"/>
      <c r="F8769" s="155"/>
      <c r="G8769" s="143"/>
    </row>
    <row r="8770" spans="2:7" s="196" customFormat="1">
      <c r="B8770" s="142"/>
      <c r="C8770" s="235"/>
      <c r="D8770" s="213"/>
      <c r="E8770" s="226"/>
      <c r="F8770" s="155"/>
      <c r="G8770" s="143"/>
    </row>
    <row r="8771" spans="2:7" s="196" customFormat="1">
      <c r="B8771" s="142"/>
      <c r="C8771" s="235"/>
      <c r="D8771" s="213"/>
      <c r="E8771" s="226"/>
      <c r="F8771" s="155"/>
      <c r="G8771" s="143"/>
    </row>
    <row r="8772" spans="2:7" s="196" customFormat="1">
      <c r="B8772" s="142"/>
      <c r="C8772" s="235"/>
      <c r="D8772" s="213"/>
      <c r="E8772" s="226"/>
      <c r="F8772" s="155"/>
      <c r="G8772" s="143"/>
    </row>
    <row r="8773" spans="2:7" s="196" customFormat="1">
      <c r="B8773" s="142"/>
      <c r="C8773" s="235"/>
      <c r="D8773" s="213"/>
      <c r="E8773" s="226"/>
      <c r="F8773" s="155"/>
      <c r="G8773" s="143"/>
    </row>
    <row r="8774" spans="2:7" s="196" customFormat="1">
      <c r="B8774" s="142"/>
      <c r="C8774" s="235"/>
      <c r="D8774" s="213"/>
      <c r="E8774" s="226"/>
      <c r="F8774" s="155"/>
      <c r="G8774" s="143"/>
    </row>
    <row r="8775" spans="2:7" s="196" customFormat="1">
      <c r="B8775" s="142"/>
      <c r="C8775" s="235"/>
      <c r="D8775" s="213"/>
      <c r="E8775" s="226"/>
      <c r="F8775" s="155"/>
      <c r="G8775" s="143"/>
    </row>
    <row r="8776" spans="2:7" s="196" customFormat="1">
      <c r="B8776" s="142"/>
      <c r="C8776" s="235"/>
      <c r="D8776" s="213"/>
      <c r="E8776" s="226"/>
      <c r="F8776" s="155"/>
      <c r="G8776" s="143"/>
    </row>
    <row r="8777" spans="2:7" s="196" customFormat="1">
      <c r="B8777" s="142"/>
      <c r="C8777" s="235"/>
      <c r="D8777" s="213"/>
      <c r="E8777" s="226"/>
      <c r="F8777" s="155"/>
      <c r="G8777" s="143"/>
    </row>
    <row r="8778" spans="2:7" s="196" customFormat="1">
      <c r="B8778" s="142"/>
      <c r="C8778" s="235"/>
      <c r="D8778" s="213"/>
      <c r="E8778" s="226"/>
      <c r="F8778" s="155"/>
      <c r="G8778" s="143"/>
    </row>
    <row r="8779" spans="2:7" s="196" customFormat="1">
      <c r="B8779" s="142"/>
      <c r="C8779" s="235"/>
      <c r="D8779" s="213"/>
      <c r="E8779" s="226"/>
      <c r="F8779" s="155"/>
      <c r="G8779" s="143"/>
    </row>
    <row r="8780" spans="2:7" s="196" customFormat="1">
      <c r="B8780" s="142"/>
      <c r="C8780" s="235"/>
      <c r="D8780" s="213"/>
      <c r="E8780" s="226"/>
      <c r="F8780" s="155"/>
      <c r="G8780" s="143"/>
    </row>
    <row r="8781" spans="2:7" s="196" customFormat="1">
      <c r="B8781" s="142"/>
      <c r="C8781" s="235"/>
      <c r="D8781" s="213"/>
      <c r="E8781" s="226"/>
      <c r="F8781" s="155"/>
      <c r="G8781" s="143"/>
    </row>
    <row r="8782" spans="2:7" s="196" customFormat="1">
      <c r="B8782" s="142"/>
      <c r="C8782" s="235"/>
      <c r="D8782" s="213"/>
      <c r="E8782" s="226"/>
      <c r="F8782" s="155"/>
      <c r="G8782" s="143"/>
    </row>
    <row r="8783" spans="2:7" s="196" customFormat="1">
      <c r="B8783" s="142"/>
      <c r="C8783" s="235"/>
      <c r="D8783" s="213"/>
      <c r="E8783" s="226"/>
      <c r="F8783" s="155"/>
      <c r="G8783" s="143"/>
    </row>
    <row r="8784" spans="2:7" s="196" customFormat="1">
      <c r="B8784" s="142"/>
      <c r="C8784" s="235"/>
      <c r="D8784" s="213"/>
      <c r="E8784" s="226"/>
      <c r="F8784" s="155"/>
      <c r="G8784" s="143"/>
    </row>
    <row r="8785" spans="2:7" s="196" customFormat="1">
      <c r="B8785" s="142"/>
      <c r="C8785" s="235"/>
      <c r="D8785" s="213"/>
      <c r="E8785" s="226"/>
      <c r="F8785" s="155"/>
      <c r="G8785" s="143"/>
    </row>
    <row r="8786" spans="2:7" s="196" customFormat="1">
      <c r="B8786" s="142"/>
      <c r="C8786" s="235"/>
      <c r="D8786" s="213"/>
      <c r="E8786" s="226"/>
      <c r="F8786" s="155"/>
      <c r="G8786" s="143"/>
    </row>
    <row r="8787" spans="2:7" s="196" customFormat="1">
      <c r="B8787" s="142"/>
      <c r="C8787" s="235"/>
      <c r="D8787" s="213"/>
      <c r="E8787" s="226"/>
      <c r="F8787" s="155"/>
      <c r="G8787" s="143"/>
    </row>
    <row r="8788" spans="2:7" s="196" customFormat="1">
      <c r="B8788" s="142"/>
      <c r="C8788" s="235"/>
      <c r="D8788" s="213"/>
      <c r="E8788" s="226"/>
      <c r="F8788" s="155"/>
      <c r="G8788" s="143"/>
    </row>
    <row r="8789" spans="2:7" s="196" customFormat="1">
      <c r="B8789" s="142"/>
      <c r="C8789" s="235"/>
      <c r="D8789" s="213"/>
      <c r="E8789" s="226"/>
      <c r="F8789" s="155"/>
      <c r="G8789" s="143"/>
    </row>
    <row r="8790" spans="2:7" s="196" customFormat="1">
      <c r="B8790" s="142"/>
      <c r="C8790" s="235"/>
      <c r="D8790" s="213"/>
      <c r="E8790" s="226"/>
      <c r="F8790" s="155"/>
      <c r="G8790" s="143"/>
    </row>
    <row r="8791" spans="2:7" s="196" customFormat="1">
      <c r="B8791" s="142"/>
      <c r="C8791" s="235"/>
      <c r="D8791" s="213"/>
      <c r="E8791" s="226"/>
      <c r="F8791" s="155"/>
      <c r="G8791" s="143"/>
    </row>
    <row r="8792" spans="2:7" s="196" customFormat="1">
      <c r="B8792" s="142"/>
      <c r="C8792" s="235"/>
      <c r="D8792" s="213"/>
      <c r="E8792" s="226"/>
      <c r="F8792" s="155"/>
      <c r="G8792" s="143"/>
    </row>
    <row r="8793" spans="2:7" s="196" customFormat="1">
      <c r="B8793" s="142"/>
      <c r="C8793" s="235"/>
      <c r="D8793" s="213"/>
      <c r="E8793" s="226"/>
      <c r="F8793" s="155"/>
      <c r="G8793" s="143"/>
    </row>
    <row r="8794" spans="2:7" s="196" customFormat="1">
      <c r="B8794" s="142"/>
      <c r="C8794" s="235"/>
      <c r="D8794" s="213"/>
      <c r="E8794" s="226"/>
      <c r="F8794" s="155"/>
      <c r="G8794" s="143"/>
    </row>
    <row r="8795" spans="2:7" s="196" customFormat="1">
      <c r="B8795" s="142"/>
      <c r="C8795" s="235"/>
      <c r="D8795" s="213"/>
      <c r="E8795" s="226"/>
      <c r="F8795" s="155"/>
      <c r="G8795" s="143"/>
    </row>
    <row r="8796" spans="2:7" s="196" customFormat="1">
      <c r="B8796" s="142"/>
      <c r="C8796" s="235"/>
      <c r="D8796" s="213"/>
      <c r="E8796" s="226"/>
      <c r="F8796" s="155"/>
      <c r="G8796" s="143"/>
    </row>
    <row r="8797" spans="2:7" s="196" customFormat="1">
      <c r="B8797" s="142"/>
      <c r="C8797" s="235"/>
      <c r="D8797" s="213"/>
      <c r="E8797" s="226"/>
      <c r="F8797" s="155"/>
      <c r="G8797" s="143"/>
    </row>
    <row r="8798" spans="2:7" s="196" customFormat="1">
      <c r="B8798" s="142"/>
      <c r="C8798" s="235"/>
      <c r="D8798" s="213"/>
      <c r="E8798" s="226"/>
      <c r="F8798" s="155"/>
      <c r="G8798" s="143"/>
    </row>
    <row r="8799" spans="2:7" s="196" customFormat="1">
      <c r="B8799" s="142"/>
      <c r="C8799" s="235"/>
      <c r="D8799" s="213"/>
      <c r="E8799" s="226"/>
      <c r="F8799" s="155"/>
      <c r="G8799" s="143"/>
    </row>
    <row r="8800" spans="2:7" s="196" customFormat="1">
      <c r="B8800" s="142"/>
      <c r="C8800" s="235"/>
      <c r="D8800" s="213"/>
      <c r="E8800" s="226"/>
      <c r="F8800" s="155"/>
      <c r="G8800" s="143"/>
    </row>
    <row r="8801" spans="2:7" s="196" customFormat="1">
      <c r="B8801" s="142"/>
      <c r="C8801" s="235"/>
      <c r="D8801" s="213"/>
      <c r="E8801" s="226"/>
      <c r="F8801" s="155"/>
      <c r="G8801" s="143"/>
    </row>
    <row r="8802" spans="2:7" s="196" customFormat="1">
      <c r="B8802" s="142"/>
      <c r="C8802" s="235"/>
      <c r="D8802" s="213"/>
      <c r="E8802" s="226"/>
      <c r="F8802" s="155"/>
      <c r="G8802" s="143"/>
    </row>
    <row r="8803" spans="2:7" s="196" customFormat="1">
      <c r="B8803" s="142"/>
      <c r="C8803" s="235"/>
      <c r="D8803" s="213"/>
      <c r="E8803" s="226"/>
      <c r="F8803" s="155"/>
      <c r="G8803" s="143"/>
    </row>
    <row r="8804" spans="2:7" s="196" customFormat="1">
      <c r="B8804" s="142"/>
      <c r="C8804" s="235"/>
      <c r="D8804" s="213"/>
      <c r="E8804" s="226"/>
      <c r="F8804" s="155"/>
      <c r="G8804" s="143"/>
    </row>
    <row r="8805" spans="2:7" s="196" customFormat="1">
      <c r="B8805" s="142"/>
      <c r="C8805" s="235"/>
      <c r="D8805" s="213"/>
      <c r="E8805" s="226"/>
      <c r="F8805" s="155"/>
      <c r="G8805" s="143"/>
    </row>
    <row r="8806" spans="2:7" s="196" customFormat="1">
      <c r="B8806" s="142"/>
      <c r="C8806" s="235"/>
      <c r="D8806" s="213"/>
      <c r="E8806" s="226"/>
      <c r="F8806" s="155"/>
      <c r="G8806" s="143"/>
    </row>
    <row r="8807" spans="2:7" s="196" customFormat="1">
      <c r="B8807" s="142"/>
      <c r="C8807" s="235"/>
      <c r="D8807" s="213"/>
      <c r="E8807" s="226"/>
      <c r="F8807" s="155"/>
      <c r="G8807" s="143"/>
    </row>
    <row r="8808" spans="2:7" s="196" customFormat="1">
      <c r="B8808" s="142"/>
      <c r="C8808" s="235"/>
      <c r="D8808" s="213"/>
      <c r="E8808" s="226"/>
      <c r="F8808" s="155"/>
      <c r="G8808" s="143"/>
    </row>
    <row r="8809" spans="2:7" s="196" customFormat="1">
      <c r="B8809" s="142"/>
      <c r="C8809" s="235"/>
      <c r="D8809" s="213"/>
      <c r="E8809" s="226"/>
      <c r="F8809" s="155"/>
      <c r="G8809" s="143"/>
    </row>
    <row r="8810" spans="2:7" s="196" customFormat="1">
      <c r="B8810" s="142"/>
      <c r="C8810" s="235"/>
      <c r="D8810" s="213"/>
      <c r="E8810" s="226"/>
      <c r="F8810" s="155"/>
      <c r="G8810" s="143"/>
    </row>
    <row r="8811" spans="2:7" s="196" customFormat="1">
      <c r="B8811" s="142"/>
      <c r="C8811" s="235"/>
      <c r="D8811" s="213"/>
      <c r="E8811" s="226"/>
      <c r="F8811" s="155"/>
      <c r="G8811" s="143"/>
    </row>
    <row r="8812" spans="2:7" s="196" customFormat="1">
      <c r="B8812" s="142"/>
      <c r="C8812" s="235"/>
      <c r="D8812" s="213"/>
      <c r="E8812" s="226"/>
      <c r="F8812" s="155"/>
      <c r="G8812" s="143"/>
    </row>
    <row r="8813" spans="2:7" s="196" customFormat="1">
      <c r="B8813" s="142"/>
      <c r="C8813" s="235"/>
      <c r="D8813" s="213"/>
      <c r="E8813" s="226"/>
      <c r="F8813" s="155"/>
      <c r="G8813" s="143"/>
    </row>
    <row r="8814" spans="2:7" s="196" customFormat="1">
      <c r="B8814" s="142"/>
      <c r="C8814" s="235"/>
      <c r="D8814" s="213"/>
      <c r="E8814" s="226"/>
      <c r="F8814" s="155"/>
      <c r="G8814" s="143"/>
    </row>
    <row r="8815" spans="2:7" s="196" customFormat="1">
      <c r="B8815" s="142"/>
      <c r="C8815" s="235"/>
      <c r="D8815" s="213"/>
      <c r="E8815" s="226"/>
      <c r="F8815" s="155"/>
      <c r="G8815" s="143"/>
    </row>
    <row r="8816" spans="2:7" s="196" customFormat="1">
      <c r="B8816" s="142"/>
      <c r="C8816" s="235"/>
      <c r="D8816" s="213"/>
      <c r="E8816" s="226"/>
      <c r="F8816" s="155"/>
      <c r="G8816" s="143"/>
    </row>
    <row r="8817" spans="2:7" s="196" customFormat="1">
      <c r="B8817" s="142"/>
      <c r="C8817" s="235"/>
      <c r="D8817" s="213"/>
      <c r="E8817" s="226"/>
      <c r="F8817" s="155"/>
      <c r="G8817" s="143"/>
    </row>
    <row r="8818" spans="2:7" s="196" customFormat="1">
      <c r="B8818" s="142"/>
      <c r="C8818" s="235"/>
      <c r="D8818" s="213"/>
      <c r="E8818" s="226"/>
      <c r="F8818" s="155"/>
      <c r="G8818" s="143"/>
    </row>
    <row r="8819" spans="2:7" s="196" customFormat="1">
      <c r="B8819" s="142"/>
      <c r="C8819" s="235"/>
      <c r="D8819" s="213"/>
      <c r="E8819" s="226"/>
      <c r="F8819" s="155"/>
      <c r="G8819" s="143"/>
    </row>
    <row r="8820" spans="2:7" s="196" customFormat="1">
      <c r="B8820" s="142"/>
      <c r="C8820" s="235"/>
      <c r="D8820" s="213"/>
      <c r="E8820" s="226"/>
      <c r="F8820" s="155"/>
      <c r="G8820" s="143"/>
    </row>
    <row r="8821" spans="2:7" s="196" customFormat="1">
      <c r="B8821" s="142"/>
      <c r="C8821" s="235"/>
      <c r="D8821" s="213"/>
      <c r="E8821" s="226"/>
      <c r="F8821" s="155"/>
      <c r="G8821" s="143"/>
    </row>
    <row r="8822" spans="2:7" s="196" customFormat="1">
      <c r="B8822" s="142"/>
      <c r="C8822" s="235"/>
      <c r="D8822" s="213"/>
      <c r="E8822" s="226"/>
      <c r="F8822" s="155"/>
      <c r="G8822" s="143"/>
    </row>
    <row r="8823" spans="2:7" s="196" customFormat="1">
      <c r="B8823" s="142"/>
      <c r="C8823" s="235"/>
      <c r="D8823" s="213"/>
      <c r="E8823" s="226"/>
      <c r="F8823" s="155"/>
      <c r="G8823" s="143"/>
    </row>
    <row r="8824" spans="2:7" s="196" customFormat="1">
      <c r="B8824" s="142"/>
      <c r="C8824" s="235"/>
      <c r="D8824" s="213"/>
      <c r="E8824" s="226"/>
      <c r="F8824" s="155"/>
      <c r="G8824" s="143"/>
    </row>
    <row r="8825" spans="2:7" s="196" customFormat="1">
      <c r="B8825" s="142"/>
      <c r="C8825" s="235"/>
      <c r="D8825" s="213"/>
      <c r="E8825" s="226"/>
      <c r="F8825" s="155"/>
      <c r="G8825" s="143"/>
    </row>
    <row r="8826" spans="2:7" s="196" customFormat="1">
      <c r="B8826" s="142"/>
      <c r="C8826" s="235"/>
      <c r="D8826" s="213"/>
      <c r="E8826" s="226"/>
      <c r="F8826" s="155"/>
      <c r="G8826" s="143"/>
    </row>
    <row r="8827" spans="2:7" s="196" customFormat="1">
      <c r="B8827" s="142"/>
      <c r="C8827" s="235"/>
      <c r="D8827" s="213"/>
      <c r="E8827" s="226"/>
      <c r="F8827" s="155"/>
      <c r="G8827" s="143"/>
    </row>
    <row r="8828" spans="2:7" s="196" customFormat="1">
      <c r="B8828" s="142"/>
      <c r="C8828" s="235"/>
      <c r="D8828" s="213"/>
      <c r="E8828" s="226"/>
      <c r="F8828" s="155"/>
      <c r="G8828" s="143"/>
    </row>
    <row r="8829" spans="2:7" s="196" customFormat="1">
      <c r="B8829" s="142"/>
      <c r="C8829" s="235"/>
      <c r="D8829" s="213"/>
      <c r="E8829" s="226"/>
      <c r="F8829" s="155"/>
      <c r="G8829" s="143"/>
    </row>
    <row r="8830" spans="2:7" s="196" customFormat="1">
      <c r="B8830" s="142"/>
      <c r="C8830" s="235"/>
      <c r="D8830" s="213"/>
      <c r="E8830" s="226"/>
      <c r="F8830" s="155"/>
      <c r="G8830" s="143"/>
    </row>
    <row r="8831" spans="2:7" s="196" customFormat="1">
      <c r="B8831" s="142"/>
      <c r="C8831" s="235"/>
      <c r="D8831" s="213"/>
      <c r="E8831" s="226"/>
      <c r="F8831" s="155"/>
      <c r="G8831" s="143"/>
    </row>
    <row r="8832" spans="2:7" s="196" customFormat="1">
      <c r="B8832" s="142"/>
      <c r="C8832" s="235"/>
      <c r="D8832" s="213"/>
      <c r="E8832" s="226"/>
      <c r="F8832" s="155"/>
      <c r="G8832" s="143"/>
    </row>
    <row r="8833" spans="2:7" s="196" customFormat="1">
      <c r="B8833" s="142"/>
      <c r="C8833" s="235"/>
      <c r="D8833" s="213"/>
      <c r="E8833" s="226"/>
      <c r="F8833" s="155"/>
      <c r="G8833" s="143"/>
    </row>
    <row r="8834" spans="2:7" s="196" customFormat="1">
      <c r="B8834" s="142"/>
      <c r="C8834" s="235"/>
      <c r="D8834" s="213"/>
      <c r="E8834" s="226"/>
      <c r="F8834" s="155"/>
      <c r="G8834" s="143"/>
    </row>
    <row r="8835" spans="2:7" s="196" customFormat="1">
      <c r="B8835" s="142"/>
      <c r="C8835" s="235"/>
      <c r="D8835" s="213"/>
      <c r="E8835" s="226"/>
      <c r="F8835" s="155"/>
      <c r="G8835" s="143"/>
    </row>
    <row r="8836" spans="2:7" s="196" customFormat="1">
      <c r="B8836" s="142"/>
      <c r="C8836" s="235"/>
      <c r="D8836" s="213"/>
      <c r="E8836" s="226"/>
      <c r="F8836" s="155"/>
      <c r="G8836" s="143"/>
    </row>
    <row r="8837" spans="2:7" s="196" customFormat="1">
      <c r="B8837" s="142"/>
      <c r="C8837" s="235"/>
      <c r="D8837" s="213"/>
      <c r="E8837" s="226"/>
      <c r="F8837" s="155"/>
      <c r="G8837" s="143"/>
    </row>
    <row r="8838" spans="2:7" s="196" customFormat="1">
      <c r="B8838" s="142"/>
      <c r="C8838" s="235"/>
      <c r="D8838" s="213"/>
      <c r="E8838" s="226"/>
      <c r="F8838" s="155"/>
      <c r="G8838" s="143"/>
    </row>
    <row r="8839" spans="2:7" s="196" customFormat="1">
      <c r="B8839" s="142"/>
      <c r="C8839" s="235"/>
      <c r="D8839" s="213"/>
      <c r="E8839" s="226"/>
      <c r="F8839" s="155"/>
      <c r="G8839" s="143"/>
    </row>
    <row r="8840" spans="2:7" s="196" customFormat="1">
      <c r="B8840" s="142"/>
      <c r="C8840" s="235"/>
      <c r="D8840" s="213"/>
      <c r="E8840" s="226"/>
      <c r="F8840" s="155"/>
      <c r="G8840" s="143"/>
    </row>
    <row r="8841" spans="2:7" s="196" customFormat="1">
      <c r="B8841" s="142"/>
      <c r="C8841" s="235"/>
      <c r="D8841" s="213"/>
      <c r="E8841" s="226"/>
      <c r="F8841" s="155"/>
      <c r="G8841" s="143"/>
    </row>
    <row r="8842" spans="2:7" s="196" customFormat="1">
      <c r="B8842" s="142"/>
      <c r="C8842" s="235"/>
      <c r="D8842" s="213"/>
      <c r="E8842" s="226"/>
      <c r="F8842" s="155"/>
      <c r="G8842" s="143"/>
    </row>
    <row r="8843" spans="2:7" s="196" customFormat="1">
      <c r="B8843" s="142"/>
      <c r="C8843" s="235"/>
      <c r="D8843" s="213"/>
      <c r="E8843" s="226"/>
      <c r="F8843" s="155"/>
      <c r="G8843" s="143"/>
    </row>
    <row r="8844" spans="2:7" s="196" customFormat="1">
      <c r="B8844" s="142"/>
      <c r="C8844" s="235"/>
      <c r="D8844" s="213"/>
      <c r="E8844" s="226"/>
      <c r="F8844" s="155"/>
      <c r="G8844" s="143"/>
    </row>
    <row r="8845" spans="2:7" s="196" customFormat="1">
      <c r="B8845" s="142"/>
      <c r="C8845" s="235"/>
      <c r="D8845" s="213"/>
      <c r="E8845" s="226"/>
      <c r="F8845" s="155"/>
      <c r="G8845" s="143"/>
    </row>
    <row r="8846" spans="2:7" s="196" customFormat="1">
      <c r="B8846" s="142"/>
      <c r="C8846" s="235"/>
      <c r="D8846" s="213"/>
      <c r="E8846" s="226"/>
      <c r="F8846" s="155"/>
      <c r="G8846" s="143"/>
    </row>
    <row r="8847" spans="2:7" s="196" customFormat="1">
      <c r="B8847" s="142"/>
      <c r="C8847" s="235"/>
      <c r="D8847" s="213"/>
      <c r="E8847" s="226"/>
      <c r="F8847" s="155"/>
      <c r="G8847" s="143"/>
    </row>
    <row r="8848" spans="2:7" s="196" customFormat="1">
      <c r="B8848" s="142"/>
      <c r="C8848" s="235"/>
      <c r="D8848" s="213"/>
      <c r="E8848" s="226"/>
      <c r="F8848" s="155"/>
      <c r="G8848" s="143"/>
    </row>
    <row r="8849" spans="2:7" s="196" customFormat="1">
      <c r="B8849" s="142"/>
      <c r="C8849" s="235"/>
      <c r="D8849" s="213"/>
      <c r="E8849" s="226"/>
      <c r="F8849" s="155"/>
      <c r="G8849" s="143"/>
    </row>
    <row r="8850" spans="2:7" s="196" customFormat="1">
      <c r="B8850" s="142"/>
      <c r="C8850" s="235"/>
      <c r="D8850" s="213"/>
      <c r="E8850" s="226"/>
      <c r="F8850" s="155"/>
      <c r="G8850" s="143"/>
    </row>
    <row r="8851" spans="2:7" s="196" customFormat="1">
      <c r="B8851" s="142"/>
      <c r="C8851" s="235"/>
      <c r="D8851" s="213"/>
      <c r="E8851" s="226"/>
      <c r="F8851" s="155"/>
      <c r="G8851" s="143"/>
    </row>
    <row r="8852" spans="2:7" s="196" customFormat="1">
      <c r="B8852" s="142"/>
      <c r="C8852" s="235"/>
      <c r="D8852" s="213"/>
      <c r="E8852" s="226"/>
      <c r="F8852" s="155"/>
      <c r="G8852" s="143"/>
    </row>
    <row r="8853" spans="2:7" s="196" customFormat="1">
      <c r="B8853" s="142"/>
      <c r="C8853" s="235"/>
      <c r="D8853" s="213"/>
      <c r="E8853" s="226"/>
      <c r="F8853" s="155"/>
      <c r="G8853" s="143"/>
    </row>
    <row r="8854" spans="2:7" s="196" customFormat="1">
      <c r="B8854" s="142"/>
      <c r="C8854" s="235"/>
      <c r="D8854" s="213"/>
      <c r="E8854" s="226"/>
      <c r="F8854" s="155"/>
      <c r="G8854" s="143"/>
    </row>
    <row r="8855" spans="2:7" s="196" customFormat="1">
      <c r="B8855" s="142"/>
      <c r="C8855" s="235"/>
      <c r="D8855" s="213"/>
      <c r="E8855" s="226"/>
      <c r="F8855" s="155"/>
      <c r="G8855" s="143"/>
    </row>
    <row r="8856" spans="2:7" s="196" customFormat="1">
      <c r="B8856" s="142"/>
      <c r="C8856" s="235"/>
      <c r="D8856" s="213"/>
      <c r="E8856" s="226"/>
      <c r="F8856" s="155"/>
      <c r="G8856" s="143"/>
    </row>
    <row r="8857" spans="2:7" s="196" customFormat="1">
      <c r="B8857" s="142"/>
      <c r="C8857" s="235"/>
      <c r="D8857" s="213"/>
      <c r="E8857" s="226"/>
      <c r="F8857" s="155"/>
      <c r="G8857" s="143"/>
    </row>
    <row r="8858" spans="2:7" s="196" customFormat="1">
      <c r="B8858" s="142"/>
      <c r="C8858" s="235"/>
      <c r="D8858" s="213"/>
      <c r="E8858" s="226"/>
      <c r="F8858" s="155"/>
      <c r="G8858" s="143"/>
    </row>
    <row r="8859" spans="2:7" s="196" customFormat="1">
      <c r="B8859" s="142"/>
      <c r="C8859" s="235"/>
      <c r="D8859" s="213"/>
      <c r="E8859" s="226"/>
      <c r="F8859" s="155"/>
      <c r="G8859" s="143"/>
    </row>
    <row r="8860" spans="2:7" s="196" customFormat="1">
      <c r="B8860" s="142"/>
      <c r="C8860" s="235"/>
      <c r="D8860" s="213"/>
      <c r="E8860" s="226"/>
      <c r="F8860" s="155"/>
      <c r="G8860" s="143"/>
    </row>
    <row r="8861" spans="2:7" s="196" customFormat="1">
      <c r="B8861" s="142"/>
      <c r="C8861" s="235"/>
      <c r="D8861" s="213"/>
      <c r="E8861" s="226"/>
      <c r="F8861" s="155"/>
      <c r="G8861" s="143"/>
    </row>
    <row r="8862" spans="2:7" s="196" customFormat="1">
      <c r="B8862" s="142"/>
      <c r="C8862" s="235"/>
      <c r="D8862" s="213"/>
      <c r="E8862" s="226"/>
      <c r="F8862" s="155"/>
      <c r="G8862" s="143"/>
    </row>
    <row r="8863" spans="2:7" s="196" customFormat="1">
      <c r="B8863" s="142"/>
      <c r="C8863" s="235"/>
      <c r="D8863" s="213"/>
      <c r="E8863" s="226"/>
      <c r="F8863" s="155"/>
      <c r="G8863" s="143"/>
    </row>
    <row r="8864" spans="2:7" s="196" customFormat="1">
      <c r="B8864" s="142"/>
      <c r="C8864" s="235"/>
      <c r="D8864" s="213"/>
      <c r="E8864" s="226"/>
      <c r="F8864" s="155"/>
      <c r="G8864" s="143"/>
    </row>
    <row r="8865" spans="2:7" s="196" customFormat="1">
      <c r="B8865" s="142"/>
      <c r="C8865" s="235"/>
      <c r="D8865" s="213"/>
      <c r="E8865" s="226"/>
      <c r="F8865" s="155"/>
      <c r="G8865" s="143"/>
    </row>
    <row r="8866" spans="2:7" s="196" customFormat="1">
      <c r="B8866" s="142"/>
      <c r="C8866" s="235"/>
      <c r="D8866" s="213"/>
      <c r="E8866" s="226"/>
      <c r="F8866" s="155"/>
      <c r="G8866" s="143"/>
    </row>
    <row r="8867" spans="2:7" s="196" customFormat="1">
      <c r="B8867" s="142"/>
      <c r="C8867" s="235"/>
      <c r="D8867" s="213"/>
      <c r="E8867" s="226"/>
      <c r="F8867" s="155"/>
      <c r="G8867" s="143"/>
    </row>
    <row r="8868" spans="2:7" s="196" customFormat="1">
      <c r="B8868" s="142"/>
      <c r="C8868" s="235"/>
      <c r="D8868" s="213"/>
      <c r="E8868" s="226"/>
      <c r="F8868" s="155"/>
      <c r="G8868" s="143"/>
    </row>
    <row r="8869" spans="2:7" s="196" customFormat="1">
      <c r="B8869" s="142"/>
      <c r="C8869" s="235"/>
      <c r="D8869" s="213"/>
      <c r="E8869" s="226"/>
      <c r="F8869" s="155"/>
      <c r="G8869" s="143"/>
    </row>
    <row r="8870" spans="2:7" s="196" customFormat="1">
      <c r="B8870" s="142"/>
      <c r="C8870" s="235"/>
      <c r="D8870" s="213"/>
      <c r="E8870" s="226"/>
      <c r="F8870" s="155"/>
      <c r="G8870" s="143"/>
    </row>
    <row r="8871" spans="2:7" s="196" customFormat="1">
      <c r="B8871" s="142"/>
      <c r="C8871" s="235"/>
      <c r="D8871" s="213"/>
      <c r="E8871" s="226"/>
      <c r="F8871" s="155"/>
      <c r="G8871" s="143"/>
    </row>
    <row r="8872" spans="2:7" s="196" customFormat="1">
      <c r="B8872" s="142"/>
      <c r="C8872" s="235"/>
      <c r="D8872" s="213"/>
      <c r="E8872" s="226"/>
      <c r="F8872" s="155"/>
      <c r="G8872" s="143"/>
    </row>
    <row r="8873" spans="2:7" s="196" customFormat="1">
      <c r="B8873" s="142"/>
      <c r="C8873" s="235"/>
      <c r="D8873" s="213"/>
      <c r="E8873" s="226"/>
      <c r="F8873" s="155"/>
      <c r="G8873" s="143"/>
    </row>
    <row r="8874" spans="2:7" s="196" customFormat="1">
      <c r="B8874" s="142"/>
      <c r="C8874" s="235"/>
      <c r="D8874" s="213"/>
      <c r="E8874" s="226"/>
      <c r="F8874" s="155"/>
      <c r="G8874" s="143"/>
    </row>
    <row r="8875" spans="2:7" s="196" customFormat="1">
      <c r="B8875" s="142"/>
      <c r="C8875" s="235"/>
      <c r="D8875" s="213"/>
      <c r="E8875" s="226"/>
      <c r="F8875" s="155"/>
      <c r="G8875" s="143"/>
    </row>
    <row r="8876" spans="2:7" s="196" customFormat="1">
      <c r="B8876" s="142"/>
      <c r="C8876" s="235"/>
      <c r="D8876" s="213"/>
      <c r="E8876" s="226"/>
      <c r="F8876" s="155"/>
      <c r="G8876" s="143"/>
    </row>
    <row r="8877" spans="2:7" s="196" customFormat="1">
      <c r="B8877" s="142"/>
      <c r="C8877" s="235"/>
      <c r="D8877" s="213"/>
      <c r="E8877" s="226"/>
      <c r="F8877" s="155"/>
      <c r="G8877" s="143"/>
    </row>
    <row r="8878" spans="2:7" s="196" customFormat="1">
      <c r="B8878" s="142"/>
      <c r="C8878" s="235"/>
      <c r="D8878" s="213"/>
      <c r="E8878" s="226"/>
      <c r="F8878" s="155"/>
      <c r="G8878" s="143"/>
    </row>
    <row r="8879" spans="2:7" s="196" customFormat="1">
      <c r="B8879" s="142"/>
      <c r="C8879" s="235"/>
      <c r="D8879" s="213"/>
      <c r="E8879" s="226"/>
      <c r="F8879" s="155"/>
      <c r="G8879" s="143"/>
    </row>
    <row r="8880" spans="2:7" s="196" customFormat="1">
      <c r="B8880" s="142"/>
      <c r="C8880" s="235"/>
      <c r="D8880" s="213"/>
      <c r="E8880" s="226"/>
      <c r="F8880" s="155"/>
      <c r="G8880" s="143"/>
    </row>
    <row r="8881" spans="2:7" s="196" customFormat="1">
      <c r="B8881" s="142"/>
      <c r="C8881" s="235"/>
      <c r="D8881" s="213"/>
      <c r="E8881" s="226"/>
      <c r="F8881" s="155"/>
      <c r="G8881" s="143"/>
    </row>
    <row r="8882" spans="2:7" s="196" customFormat="1">
      <c r="B8882" s="142"/>
      <c r="C8882" s="235"/>
      <c r="D8882" s="213"/>
      <c r="E8882" s="226"/>
      <c r="F8882" s="155"/>
      <c r="G8882" s="143"/>
    </row>
    <row r="8883" spans="2:7" s="196" customFormat="1">
      <c r="B8883" s="142"/>
      <c r="C8883" s="235"/>
      <c r="D8883" s="213"/>
      <c r="E8883" s="226"/>
      <c r="F8883" s="155"/>
      <c r="G8883" s="143"/>
    </row>
    <row r="8884" spans="2:7" s="196" customFormat="1">
      <c r="B8884" s="142"/>
      <c r="C8884" s="235"/>
      <c r="D8884" s="213"/>
      <c r="E8884" s="226"/>
      <c r="F8884" s="155"/>
      <c r="G8884" s="143"/>
    </row>
    <row r="8885" spans="2:7" s="196" customFormat="1">
      <c r="B8885" s="142"/>
      <c r="C8885" s="235"/>
      <c r="D8885" s="213"/>
      <c r="E8885" s="226"/>
      <c r="F8885" s="155"/>
      <c r="G8885" s="143"/>
    </row>
    <row r="8886" spans="2:7" s="196" customFormat="1">
      <c r="B8886" s="142"/>
      <c r="C8886" s="235"/>
      <c r="D8886" s="213"/>
      <c r="E8886" s="226"/>
      <c r="F8886" s="155"/>
      <c r="G8886" s="143"/>
    </row>
    <row r="8887" spans="2:7" s="196" customFormat="1">
      <c r="B8887" s="142"/>
      <c r="C8887" s="235"/>
      <c r="D8887" s="213"/>
      <c r="E8887" s="226"/>
      <c r="F8887" s="155"/>
      <c r="G8887" s="143"/>
    </row>
    <row r="8888" spans="2:7" s="196" customFormat="1">
      <c r="B8888" s="142"/>
      <c r="C8888" s="235"/>
      <c r="D8888" s="213"/>
      <c r="E8888" s="226"/>
      <c r="F8888" s="155"/>
      <c r="G8888" s="143"/>
    </row>
    <row r="8889" spans="2:7" s="196" customFormat="1">
      <c r="B8889" s="142"/>
      <c r="C8889" s="235"/>
      <c r="D8889" s="213"/>
      <c r="E8889" s="226"/>
      <c r="F8889" s="155"/>
      <c r="G8889" s="143"/>
    </row>
    <row r="8890" spans="2:7" s="196" customFormat="1">
      <c r="B8890" s="142"/>
      <c r="C8890" s="235"/>
      <c r="D8890" s="213"/>
      <c r="E8890" s="226"/>
      <c r="F8890" s="155"/>
      <c r="G8890" s="143"/>
    </row>
    <row r="8891" spans="2:7" s="196" customFormat="1">
      <c r="B8891" s="142"/>
      <c r="C8891" s="235"/>
      <c r="D8891" s="213"/>
      <c r="E8891" s="226"/>
      <c r="F8891" s="155"/>
      <c r="G8891" s="143"/>
    </row>
    <row r="8892" spans="2:7" s="196" customFormat="1">
      <c r="B8892" s="142"/>
      <c r="C8892" s="235"/>
      <c r="D8892" s="213"/>
      <c r="E8892" s="226"/>
      <c r="F8892" s="155"/>
      <c r="G8892" s="143"/>
    </row>
    <row r="8893" spans="2:7" s="196" customFormat="1">
      <c r="B8893" s="142"/>
      <c r="C8893" s="235"/>
      <c r="D8893" s="213"/>
      <c r="E8893" s="226"/>
      <c r="F8893" s="155"/>
      <c r="G8893" s="143"/>
    </row>
    <row r="8894" spans="2:7" s="196" customFormat="1">
      <c r="B8894" s="142"/>
      <c r="C8894" s="235"/>
      <c r="D8894" s="213"/>
      <c r="E8894" s="226"/>
      <c r="F8894" s="155"/>
      <c r="G8894" s="143"/>
    </row>
    <row r="8895" spans="2:7" s="196" customFormat="1">
      <c r="B8895" s="142"/>
      <c r="C8895" s="235"/>
      <c r="D8895" s="213"/>
      <c r="E8895" s="226"/>
      <c r="F8895" s="155"/>
      <c r="G8895" s="143"/>
    </row>
    <row r="8896" spans="2:7" s="196" customFormat="1">
      <c r="B8896" s="142"/>
      <c r="C8896" s="235"/>
      <c r="D8896" s="213"/>
      <c r="E8896" s="226"/>
      <c r="F8896" s="155"/>
      <c r="G8896" s="143"/>
    </row>
    <row r="8897" spans="2:7" s="196" customFormat="1">
      <c r="B8897" s="142"/>
      <c r="C8897" s="235"/>
      <c r="D8897" s="213"/>
      <c r="E8897" s="226"/>
      <c r="F8897" s="155"/>
      <c r="G8897" s="143"/>
    </row>
    <row r="8898" spans="2:7" s="196" customFormat="1">
      <c r="B8898" s="142"/>
      <c r="C8898" s="235"/>
      <c r="D8898" s="213"/>
      <c r="E8898" s="226"/>
      <c r="F8898" s="155"/>
      <c r="G8898" s="143"/>
    </row>
    <row r="8899" spans="2:7" s="196" customFormat="1">
      <c r="B8899" s="142"/>
      <c r="C8899" s="235"/>
      <c r="D8899" s="213"/>
      <c r="E8899" s="226"/>
      <c r="F8899" s="155"/>
      <c r="G8899" s="143"/>
    </row>
    <row r="8900" spans="2:7" s="196" customFormat="1">
      <c r="B8900" s="142"/>
      <c r="C8900" s="235"/>
      <c r="D8900" s="213"/>
      <c r="E8900" s="226"/>
      <c r="F8900" s="155"/>
      <c r="G8900" s="143"/>
    </row>
    <row r="8901" spans="2:7" s="196" customFormat="1">
      <c r="B8901" s="142"/>
      <c r="C8901" s="235"/>
      <c r="D8901" s="213"/>
      <c r="E8901" s="226"/>
      <c r="F8901" s="155"/>
      <c r="G8901" s="143"/>
    </row>
    <row r="8902" spans="2:7" s="196" customFormat="1">
      <c r="B8902" s="142"/>
      <c r="C8902" s="235"/>
      <c r="D8902" s="213"/>
      <c r="E8902" s="226"/>
      <c r="F8902" s="155"/>
      <c r="G8902" s="143"/>
    </row>
    <row r="8903" spans="2:7" s="196" customFormat="1">
      <c r="B8903" s="142"/>
      <c r="C8903" s="235"/>
      <c r="D8903" s="213"/>
      <c r="E8903" s="226"/>
      <c r="F8903" s="155"/>
      <c r="G8903" s="143"/>
    </row>
    <row r="8904" spans="2:7" s="196" customFormat="1">
      <c r="B8904" s="142"/>
      <c r="C8904" s="235"/>
      <c r="D8904" s="213"/>
      <c r="E8904" s="226"/>
      <c r="F8904" s="155"/>
      <c r="G8904" s="143"/>
    </row>
    <row r="8905" spans="2:7" s="196" customFormat="1">
      <c r="B8905" s="142"/>
      <c r="C8905" s="235"/>
      <c r="D8905" s="213"/>
      <c r="E8905" s="226"/>
      <c r="F8905" s="155"/>
      <c r="G8905" s="143"/>
    </row>
    <row r="8906" spans="2:7" s="196" customFormat="1">
      <c r="B8906" s="142"/>
      <c r="C8906" s="235"/>
      <c r="D8906" s="213"/>
      <c r="E8906" s="226"/>
      <c r="F8906" s="155"/>
      <c r="G8906" s="143"/>
    </row>
    <row r="8907" spans="2:7" s="196" customFormat="1">
      <c r="B8907" s="142"/>
      <c r="C8907" s="235"/>
      <c r="D8907" s="213"/>
      <c r="E8907" s="226"/>
      <c r="F8907" s="155"/>
      <c r="G8907" s="143"/>
    </row>
    <row r="8908" spans="2:7" s="196" customFormat="1">
      <c r="B8908" s="142"/>
      <c r="C8908" s="235"/>
      <c r="D8908" s="213"/>
      <c r="E8908" s="226"/>
      <c r="F8908" s="155"/>
      <c r="G8908" s="143"/>
    </row>
    <row r="8909" spans="2:7" s="196" customFormat="1">
      <c r="B8909" s="142"/>
      <c r="C8909" s="235"/>
      <c r="D8909" s="213"/>
      <c r="E8909" s="226"/>
      <c r="F8909" s="155"/>
      <c r="G8909" s="143"/>
    </row>
    <row r="8910" spans="2:7" s="196" customFormat="1">
      <c r="B8910" s="142"/>
      <c r="C8910" s="235"/>
      <c r="D8910" s="213"/>
      <c r="E8910" s="226"/>
      <c r="F8910" s="155"/>
      <c r="G8910" s="143"/>
    </row>
    <row r="8911" spans="2:7" s="196" customFormat="1">
      <c r="B8911" s="142"/>
      <c r="C8911" s="235"/>
      <c r="D8911" s="213"/>
      <c r="E8911" s="226"/>
      <c r="F8911" s="155"/>
      <c r="G8911" s="143"/>
    </row>
    <row r="8912" spans="2:7" s="196" customFormat="1">
      <c r="B8912" s="142"/>
      <c r="C8912" s="235"/>
      <c r="D8912" s="213"/>
      <c r="E8912" s="226"/>
      <c r="F8912" s="155"/>
      <c r="G8912" s="143"/>
    </row>
    <row r="8913" spans="2:7" s="196" customFormat="1">
      <c r="B8913" s="142"/>
      <c r="C8913" s="235"/>
      <c r="D8913" s="213"/>
      <c r="E8913" s="226"/>
      <c r="F8913" s="155"/>
      <c r="G8913" s="143"/>
    </row>
    <row r="8914" spans="2:7" s="196" customFormat="1">
      <c r="B8914" s="142"/>
      <c r="C8914" s="235"/>
      <c r="D8914" s="213"/>
      <c r="E8914" s="226"/>
      <c r="F8914" s="155"/>
      <c r="G8914" s="143"/>
    </row>
    <row r="8915" spans="2:7" s="196" customFormat="1">
      <c r="B8915" s="142"/>
      <c r="C8915" s="235"/>
      <c r="D8915" s="213"/>
      <c r="E8915" s="226"/>
      <c r="F8915" s="155"/>
      <c r="G8915" s="143"/>
    </row>
    <row r="8916" spans="2:7" s="196" customFormat="1">
      <c r="B8916" s="142"/>
      <c r="C8916" s="235"/>
      <c r="D8916" s="213"/>
      <c r="E8916" s="226"/>
      <c r="F8916" s="155"/>
      <c r="G8916" s="143"/>
    </row>
    <row r="8917" spans="2:7" s="196" customFormat="1">
      <c r="B8917" s="142"/>
      <c r="C8917" s="235"/>
      <c r="D8917" s="213"/>
      <c r="E8917" s="226"/>
      <c r="F8917" s="155"/>
      <c r="G8917" s="143"/>
    </row>
    <row r="8918" spans="2:7" s="196" customFormat="1">
      <c r="B8918" s="142"/>
      <c r="C8918" s="235"/>
      <c r="D8918" s="213"/>
      <c r="E8918" s="226"/>
      <c r="F8918" s="155"/>
      <c r="G8918" s="143"/>
    </row>
    <row r="8919" spans="2:7" s="196" customFormat="1">
      <c r="B8919" s="142"/>
      <c r="C8919" s="235"/>
      <c r="D8919" s="213"/>
      <c r="E8919" s="226"/>
      <c r="F8919" s="155"/>
      <c r="G8919" s="143"/>
    </row>
    <row r="8920" spans="2:7" s="196" customFormat="1">
      <c r="B8920" s="142"/>
      <c r="C8920" s="235"/>
      <c r="D8920" s="213"/>
      <c r="E8920" s="226"/>
      <c r="F8920" s="155"/>
      <c r="G8920" s="143"/>
    </row>
    <row r="8921" spans="2:7" s="196" customFormat="1">
      <c r="B8921" s="142"/>
      <c r="C8921" s="235"/>
      <c r="D8921" s="213"/>
      <c r="E8921" s="226"/>
      <c r="F8921" s="155"/>
      <c r="G8921" s="143"/>
    </row>
    <row r="8922" spans="2:7" s="196" customFormat="1">
      <c r="B8922" s="142"/>
      <c r="C8922" s="235"/>
      <c r="D8922" s="213"/>
      <c r="E8922" s="226"/>
      <c r="F8922" s="155"/>
      <c r="G8922" s="143"/>
    </row>
    <row r="8923" spans="2:7" s="196" customFormat="1">
      <c r="B8923" s="142"/>
      <c r="C8923" s="235"/>
      <c r="D8923" s="213"/>
      <c r="E8923" s="226"/>
      <c r="F8923" s="155"/>
      <c r="G8923" s="143"/>
    </row>
    <row r="8924" spans="2:7" s="196" customFormat="1">
      <c r="B8924" s="142"/>
      <c r="C8924" s="235"/>
      <c r="D8924" s="213"/>
      <c r="E8924" s="226"/>
      <c r="F8924" s="155"/>
      <c r="G8924" s="143"/>
    </row>
    <row r="8925" spans="2:7" s="196" customFormat="1">
      <c r="B8925" s="142"/>
      <c r="C8925" s="235"/>
      <c r="D8925" s="213"/>
      <c r="E8925" s="226"/>
      <c r="F8925" s="155"/>
      <c r="G8925" s="143"/>
    </row>
    <row r="8926" spans="2:7" s="196" customFormat="1">
      <c r="B8926" s="142"/>
      <c r="C8926" s="235"/>
      <c r="D8926" s="213"/>
      <c r="E8926" s="226"/>
      <c r="F8926" s="155"/>
      <c r="G8926" s="143"/>
    </row>
    <row r="8927" spans="2:7" s="196" customFormat="1">
      <c r="B8927" s="142"/>
      <c r="C8927" s="235"/>
      <c r="D8927" s="213"/>
      <c r="E8927" s="226"/>
      <c r="F8927" s="155"/>
      <c r="G8927" s="143"/>
    </row>
    <row r="8928" spans="2:7" s="196" customFormat="1">
      <c r="B8928" s="142"/>
      <c r="C8928" s="235"/>
      <c r="D8928" s="213"/>
      <c r="E8928" s="226"/>
      <c r="F8928" s="155"/>
      <c r="G8928" s="143"/>
    </row>
    <row r="8929" spans="2:7" s="196" customFormat="1">
      <c r="B8929" s="142"/>
      <c r="C8929" s="235"/>
      <c r="D8929" s="213"/>
      <c r="E8929" s="226"/>
      <c r="F8929" s="155"/>
      <c r="G8929" s="143"/>
    </row>
    <row r="8930" spans="2:7" s="196" customFormat="1">
      <c r="B8930" s="142"/>
      <c r="C8930" s="235"/>
      <c r="D8930" s="213"/>
      <c r="E8930" s="226"/>
      <c r="F8930" s="155"/>
      <c r="G8930" s="143"/>
    </row>
    <row r="8931" spans="2:7" s="196" customFormat="1">
      <c r="B8931" s="142"/>
      <c r="C8931" s="235"/>
      <c r="D8931" s="213"/>
      <c r="E8931" s="226"/>
      <c r="F8931" s="155"/>
      <c r="G8931" s="143"/>
    </row>
    <row r="8932" spans="2:7" s="196" customFormat="1">
      <c r="B8932" s="142"/>
      <c r="C8932" s="235"/>
      <c r="D8932" s="213"/>
      <c r="E8932" s="226"/>
      <c r="F8932" s="155"/>
      <c r="G8932" s="143"/>
    </row>
    <row r="8933" spans="2:7" s="196" customFormat="1">
      <c r="B8933" s="142"/>
      <c r="C8933" s="235"/>
      <c r="D8933" s="213"/>
      <c r="E8933" s="226"/>
      <c r="F8933" s="155"/>
      <c r="G8933" s="143"/>
    </row>
    <row r="8934" spans="2:7" s="196" customFormat="1">
      <c r="B8934" s="142"/>
      <c r="C8934" s="235"/>
      <c r="D8934" s="213"/>
      <c r="E8934" s="226"/>
      <c r="F8934" s="155"/>
      <c r="G8934" s="143"/>
    </row>
    <row r="8935" spans="2:7" s="196" customFormat="1">
      <c r="B8935" s="142"/>
      <c r="C8935" s="235"/>
      <c r="D8935" s="213"/>
      <c r="E8935" s="226"/>
      <c r="F8935" s="155"/>
      <c r="G8935" s="143"/>
    </row>
    <row r="8936" spans="2:7" s="196" customFormat="1">
      <c r="B8936" s="142"/>
      <c r="C8936" s="235"/>
      <c r="D8936" s="213"/>
      <c r="E8936" s="226"/>
      <c r="F8936" s="155"/>
      <c r="G8936" s="143"/>
    </row>
    <row r="8937" spans="2:7" s="196" customFormat="1">
      <c r="B8937" s="142"/>
      <c r="C8937" s="235"/>
      <c r="D8937" s="213"/>
      <c r="E8937" s="226"/>
      <c r="F8937" s="155"/>
      <c r="G8937" s="143"/>
    </row>
    <row r="8938" spans="2:7" s="196" customFormat="1">
      <c r="B8938" s="142"/>
      <c r="C8938" s="235"/>
      <c r="D8938" s="213"/>
      <c r="E8938" s="226"/>
      <c r="F8938" s="155"/>
      <c r="G8938" s="143"/>
    </row>
    <row r="8939" spans="2:7" s="196" customFormat="1">
      <c r="B8939" s="142"/>
      <c r="C8939" s="235"/>
      <c r="D8939" s="213"/>
      <c r="E8939" s="226"/>
      <c r="F8939" s="155"/>
      <c r="G8939" s="143"/>
    </row>
    <row r="8940" spans="2:7" s="196" customFormat="1">
      <c r="B8940" s="142"/>
      <c r="C8940" s="235"/>
      <c r="D8940" s="213"/>
      <c r="E8940" s="226"/>
      <c r="F8940" s="155"/>
      <c r="G8940" s="143"/>
    </row>
    <row r="8941" spans="2:7" s="196" customFormat="1">
      <c r="B8941" s="142"/>
      <c r="C8941" s="235"/>
      <c r="D8941" s="213"/>
      <c r="E8941" s="226"/>
      <c r="F8941" s="155"/>
      <c r="G8941" s="143"/>
    </row>
    <row r="8942" spans="2:7" s="196" customFormat="1">
      <c r="B8942" s="142"/>
      <c r="C8942" s="235"/>
      <c r="D8942" s="213"/>
      <c r="E8942" s="226"/>
      <c r="F8942" s="155"/>
      <c r="G8942" s="143"/>
    </row>
    <row r="8943" spans="2:7" s="196" customFormat="1">
      <c r="B8943" s="142"/>
      <c r="C8943" s="235"/>
      <c r="D8943" s="213"/>
      <c r="E8943" s="226"/>
      <c r="F8943" s="155"/>
      <c r="G8943" s="143"/>
    </row>
    <row r="8944" spans="2:7" s="196" customFormat="1">
      <c r="B8944" s="142"/>
      <c r="C8944" s="235"/>
      <c r="D8944" s="213"/>
      <c r="E8944" s="226"/>
      <c r="F8944" s="155"/>
      <c r="G8944" s="143"/>
    </row>
    <row r="8945" spans="2:7" s="196" customFormat="1">
      <c r="B8945" s="142"/>
      <c r="C8945" s="235"/>
      <c r="D8945" s="213"/>
      <c r="E8945" s="226"/>
      <c r="F8945" s="155"/>
      <c r="G8945" s="143"/>
    </row>
    <row r="8946" spans="2:7" s="196" customFormat="1">
      <c r="B8946" s="142"/>
      <c r="C8946" s="235"/>
      <c r="D8946" s="213"/>
      <c r="E8946" s="226"/>
      <c r="F8946" s="155"/>
      <c r="G8946" s="143"/>
    </row>
    <row r="8947" spans="2:7" s="196" customFormat="1">
      <c r="B8947" s="142"/>
      <c r="C8947" s="235"/>
      <c r="D8947" s="213"/>
      <c r="E8947" s="226"/>
      <c r="F8947" s="155"/>
      <c r="G8947" s="143"/>
    </row>
    <row r="8948" spans="2:7" s="196" customFormat="1">
      <c r="B8948" s="142"/>
      <c r="C8948" s="235"/>
      <c r="D8948" s="213"/>
      <c r="E8948" s="226"/>
      <c r="F8948" s="155"/>
      <c r="G8948" s="143"/>
    </row>
    <row r="8949" spans="2:7" s="196" customFormat="1">
      <c r="B8949" s="142"/>
      <c r="C8949" s="235"/>
      <c r="D8949" s="213"/>
      <c r="E8949" s="226"/>
      <c r="F8949" s="155"/>
      <c r="G8949" s="143"/>
    </row>
    <row r="8950" spans="2:7" s="196" customFormat="1">
      <c r="B8950" s="142"/>
      <c r="C8950" s="235"/>
      <c r="D8950" s="213"/>
      <c r="E8950" s="226"/>
      <c r="F8950" s="155"/>
      <c r="G8950" s="143"/>
    </row>
    <row r="8951" spans="2:7" s="196" customFormat="1">
      <c r="B8951" s="142"/>
      <c r="C8951" s="235"/>
      <c r="D8951" s="213"/>
      <c r="E8951" s="226"/>
      <c r="F8951" s="155"/>
      <c r="G8951" s="143"/>
    </row>
    <row r="8952" spans="2:7" s="196" customFormat="1">
      <c r="B8952" s="142"/>
      <c r="C8952" s="235"/>
      <c r="D8952" s="213"/>
      <c r="E8952" s="226"/>
      <c r="F8952" s="155"/>
      <c r="G8952" s="143"/>
    </row>
    <row r="8953" spans="2:7" s="196" customFormat="1">
      <c r="B8953" s="142"/>
      <c r="C8953" s="235"/>
      <c r="D8953" s="213"/>
      <c r="E8953" s="226"/>
      <c r="F8953" s="155"/>
      <c r="G8953" s="143"/>
    </row>
    <row r="8954" spans="2:7" s="196" customFormat="1">
      <c r="B8954" s="142"/>
      <c r="C8954" s="235"/>
      <c r="D8954" s="213"/>
      <c r="E8954" s="226"/>
      <c r="F8954" s="155"/>
      <c r="G8954" s="143"/>
    </row>
    <row r="8955" spans="2:7" s="196" customFormat="1">
      <c r="B8955" s="142"/>
      <c r="C8955" s="235"/>
      <c r="D8955" s="213"/>
      <c r="E8955" s="226"/>
      <c r="F8955" s="155"/>
      <c r="G8955" s="143"/>
    </row>
    <row r="8956" spans="2:7" s="196" customFormat="1">
      <c r="B8956" s="142"/>
      <c r="C8956" s="235"/>
      <c r="D8956" s="213"/>
      <c r="E8956" s="226"/>
      <c r="F8956" s="155"/>
      <c r="G8956" s="143"/>
    </row>
    <row r="8957" spans="2:7" s="196" customFormat="1">
      <c r="B8957" s="142"/>
      <c r="C8957" s="235"/>
      <c r="D8957" s="213"/>
      <c r="E8957" s="226"/>
      <c r="F8957" s="155"/>
      <c r="G8957" s="143"/>
    </row>
    <row r="8958" spans="2:7" s="196" customFormat="1">
      <c r="B8958" s="142"/>
      <c r="C8958" s="235"/>
      <c r="D8958" s="213"/>
      <c r="E8958" s="226"/>
      <c r="F8958" s="155"/>
      <c r="G8958" s="143"/>
    </row>
    <row r="8959" spans="2:7" s="196" customFormat="1">
      <c r="B8959" s="142"/>
      <c r="C8959" s="235"/>
      <c r="D8959" s="213"/>
      <c r="E8959" s="226"/>
      <c r="F8959" s="155"/>
      <c r="G8959" s="143"/>
    </row>
    <row r="8960" spans="2:7" s="196" customFormat="1">
      <c r="B8960" s="142"/>
      <c r="C8960" s="235"/>
      <c r="D8960" s="213"/>
      <c r="E8960" s="226"/>
      <c r="F8960" s="155"/>
      <c r="G8960" s="143"/>
    </row>
    <row r="8961" spans="2:7" s="196" customFormat="1">
      <c r="B8961" s="142"/>
      <c r="C8961" s="235"/>
      <c r="D8961" s="213"/>
      <c r="E8961" s="226"/>
      <c r="F8961" s="155"/>
      <c r="G8961" s="143"/>
    </row>
    <row r="8962" spans="2:7" s="196" customFormat="1">
      <c r="B8962" s="142"/>
      <c r="C8962" s="235"/>
      <c r="D8962" s="213"/>
      <c r="E8962" s="226"/>
      <c r="F8962" s="155"/>
      <c r="G8962" s="143"/>
    </row>
    <row r="8963" spans="2:7" s="196" customFormat="1">
      <c r="B8963" s="142"/>
      <c r="C8963" s="235"/>
      <c r="D8963" s="213"/>
      <c r="E8963" s="226"/>
      <c r="F8963" s="155"/>
      <c r="G8963" s="143"/>
    </row>
    <row r="8964" spans="2:7" s="196" customFormat="1">
      <c r="B8964" s="142"/>
      <c r="C8964" s="235"/>
      <c r="D8964" s="213"/>
      <c r="E8964" s="226"/>
      <c r="F8964" s="155"/>
      <c r="G8964" s="143"/>
    </row>
    <row r="8965" spans="2:7" s="196" customFormat="1">
      <c r="B8965" s="142"/>
      <c r="C8965" s="235"/>
      <c r="D8965" s="213"/>
      <c r="E8965" s="226"/>
      <c r="F8965" s="155"/>
      <c r="G8965" s="143"/>
    </row>
    <row r="8966" spans="2:7" s="196" customFormat="1">
      <c r="B8966" s="142"/>
      <c r="C8966" s="235"/>
      <c r="D8966" s="213"/>
      <c r="E8966" s="226"/>
      <c r="F8966" s="155"/>
      <c r="G8966" s="143"/>
    </row>
    <row r="8967" spans="2:7" s="196" customFormat="1">
      <c r="B8967" s="142"/>
      <c r="C8967" s="235"/>
      <c r="D8967" s="213"/>
      <c r="E8967" s="226"/>
      <c r="F8967" s="155"/>
      <c r="G8967" s="143"/>
    </row>
    <row r="8968" spans="2:7" s="196" customFormat="1">
      <c r="B8968" s="142"/>
      <c r="C8968" s="235"/>
      <c r="D8968" s="213"/>
      <c r="E8968" s="226"/>
      <c r="F8968" s="155"/>
      <c r="G8968" s="143"/>
    </row>
    <row r="8969" spans="2:7" s="196" customFormat="1">
      <c r="B8969" s="142"/>
      <c r="C8969" s="235"/>
      <c r="D8969" s="213"/>
      <c r="E8969" s="226"/>
      <c r="F8969" s="155"/>
      <c r="G8969" s="143"/>
    </row>
    <row r="8970" spans="2:7" s="196" customFormat="1">
      <c r="B8970" s="142"/>
      <c r="C8970" s="235"/>
      <c r="D8970" s="213"/>
      <c r="E8970" s="226"/>
      <c r="F8970" s="155"/>
      <c r="G8970" s="143"/>
    </row>
    <row r="8971" spans="2:7" s="196" customFormat="1">
      <c r="B8971" s="142"/>
      <c r="C8971" s="235"/>
      <c r="D8971" s="213"/>
      <c r="E8971" s="226"/>
      <c r="F8971" s="155"/>
      <c r="G8971" s="143"/>
    </row>
    <row r="8972" spans="2:7" s="196" customFormat="1">
      <c r="B8972" s="142"/>
      <c r="C8972" s="235"/>
      <c r="D8972" s="213"/>
      <c r="E8972" s="226"/>
      <c r="F8972" s="155"/>
      <c r="G8972" s="143"/>
    </row>
    <row r="8973" spans="2:7" s="196" customFormat="1">
      <c r="B8973" s="142"/>
      <c r="C8973" s="235"/>
      <c r="D8973" s="213"/>
      <c r="E8973" s="226"/>
      <c r="F8973" s="155"/>
      <c r="G8973" s="143"/>
    </row>
    <row r="8974" spans="2:7" s="196" customFormat="1">
      <c r="B8974" s="142"/>
      <c r="C8974" s="235"/>
      <c r="D8974" s="213"/>
      <c r="E8974" s="226"/>
      <c r="F8974" s="155"/>
      <c r="G8974" s="143"/>
    </row>
    <row r="8975" spans="2:7" s="196" customFormat="1">
      <c r="B8975" s="142"/>
      <c r="C8975" s="235"/>
      <c r="D8975" s="213"/>
      <c r="E8975" s="226"/>
      <c r="F8975" s="155"/>
      <c r="G8975" s="143"/>
    </row>
    <row r="8976" spans="2:7" s="196" customFormat="1">
      <c r="B8976" s="142"/>
      <c r="C8976" s="235"/>
      <c r="D8976" s="213"/>
      <c r="E8976" s="226"/>
      <c r="F8976" s="155"/>
      <c r="G8976" s="143"/>
    </row>
    <row r="8977" spans="2:7" s="196" customFormat="1">
      <c r="B8977" s="142"/>
      <c r="C8977" s="235"/>
      <c r="D8977" s="213"/>
      <c r="E8977" s="226"/>
      <c r="F8977" s="155"/>
      <c r="G8977" s="143"/>
    </row>
    <row r="8978" spans="2:7" s="196" customFormat="1">
      <c r="B8978" s="142"/>
      <c r="C8978" s="235"/>
      <c r="D8978" s="213"/>
      <c r="E8978" s="226"/>
      <c r="F8978" s="155"/>
      <c r="G8978" s="143"/>
    </row>
    <row r="8979" spans="2:7" s="196" customFormat="1">
      <c r="B8979" s="142"/>
      <c r="C8979" s="235"/>
      <c r="D8979" s="213"/>
      <c r="E8979" s="226"/>
      <c r="F8979" s="155"/>
      <c r="G8979" s="143"/>
    </row>
    <row r="8980" spans="2:7" s="196" customFormat="1">
      <c r="B8980" s="142"/>
      <c r="C8980" s="235"/>
      <c r="D8980" s="213"/>
      <c r="E8980" s="226"/>
      <c r="F8980" s="155"/>
      <c r="G8980" s="143"/>
    </row>
    <row r="8981" spans="2:7" s="196" customFormat="1">
      <c r="B8981" s="142"/>
      <c r="C8981" s="235"/>
      <c r="D8981" s="213"/>
      <c r="E8981" s="226"/>
      <c r="F8981" s="155"/>
      <c r="G8981" s="143"/>
    </row>
    <row r="8982" spans="2:7" s="196" customFormat="1">
      <c r="B8982" s="142"/>
      <c r="C8982" s="235"/>
      <c r="D8982" s="213"/>
      <c r="E8982" s="226"/>
      <c r="F8982" s="155"/>
      <c r="G8982" s="143"/>
    </row>
    <row r="8983" spans="2:7" s="196" customFormat="1">
      <c r="B8983" s="142"/>
      <c r="C8983" s="235"/>
      <c r="D8983" s="213"/>
      <c r="E8983" s="226"/>
      <c r="F8983" s="155"/>
      <c r="G8983" s="143"/>
    </row>
    <row r="8984" spans="2:7" s="196" customFormat="1">
      <c r="B8984" s="142"/>
      <c r="C8984" s="235"/>
      <c r="D8984" s="213"/>
      <c r="E8984" s="226"/>
      <c r="F8984" s="155"/>
      <c r="G8984" s="143"/>
    </row>
    <row r="8985" spans="2:7" s="196" customFormat="1">
      <c r="B8985" s="142"/>
      <c r="C8985" s="235"/>
      <c r="D8985" s="213"/>
      <c r="E8985" s="226"/>
      <c r="F8985" s="155"/>
      <c r="G8985" s="143"/>
    </row>
    <row r="8986" spans="2:7" s="196" customFormat="1">
      <c r="B8986" s="142"/>
      <c r="C8986" s="235"/>
      <c r="D8986" s="213"/>
      <c r="E8986" s="226"/>
      <c r="F8986" s="155"/>
      <c r="G8986" s="143"/>
    </row>
    <row r="8987" spans="2:7" s="196" customFormat="1">
      <c r="B8987" s="142"/>
      <c r="C8987" s="235"/>
      <c r="D8987" s="213"/>
      <c r="E8987" s="226"/>
      <c r="F8987" s="155"/>
      <c r="G8987" s="143"/>
    </row>
    <row r="8988" spans="2:7" s="196" customFormat="1">
      <c r="B8988" s="142"/>
      <c r="C8988" s="235"/>
      <c r="D8988" s="213"/>
      <c r="E8988" s="226"/>
      <c r="F8988" s="155"/>
      <c r="G8988" s="143"/>
    </row>
    <row r="8989" spans="2:7" s="196" customFormat="1">
      <c r="B8989" s="142"/>
      <c r="C8989" s="235"/>
      <c r="D8989" s="213"/>
      <c r="E8989" s="226"/>
      <c r="F8989" s="155"/>
      <c r="G8989" s="143"/>
    </row>
    <row r="8990" spans="2:7" s="196" customFormat="1">
      <c r="B8990" s="142"/>
      <c r="C8990" s="235"/>
      <c r="D8990" s="213"/>
      <c r="E8990" s="226"/>
      <c r="F8990" s="155"/>
      <c r="G8990" s="143"/>
    </row>
    <row r="8991" spans="2:7" s="196" customFormat="1">
      <c r="B8991" s="142"/>
      <c r="C8991" s="235"/>
      <c r="D8991" s="213"/>
      <c r="E8991" s="226"/>
      <c r="F8991" s="155"/>
      <c r="G8991" s="143"/>
    </row>
    <row r="8992" spans="2:7" s="196" customFormat="1">
      <c r="B8992" s="142"/>
      <c r="C8992" s="235"/>
      <c r="D8992" s="213"/>
      <c r="E8992" s="226"/>
      <c r="F8992" s="155"/>
      <c r="G8992" s="143"/>
    </row>
    <row r="8993" spans="2:7" s="196" customFormat="1">
      <c r="B8993" s="142"/>
      <c r="C8993" s="235"/>
      <c r="D8993" s="213"/>
      <c r="E8993" s="226"/>
      <c r="F8993" s="155"/>
      <c r="G8993" s="143"/>
    </row>
    <row r="8994" spans="2:7" s="196" customFormat="1">
      <c r="B8994" s="142"/>
      <c r="C8994" s="235"/>
      <c r="D8994" s="213"/>
      <c r="E8994" s="226"/>
      <c r="F8994" s="155"/>
      <c r="G8994" s="143"/>
    </row>
    <row r="8995" spans="2:7" s="196" customFormat="1">
      <c r="B8995" s="142"/>
      <c r="C8995" s="235"/>
      <c r="D8995" s="213"/>
      <c r="E8995" s="226"/>
      <c r="F8995" s="155"/>
      <c r="G8995" s="143"/>
    </row>
    <row r="8996" spans="2:7" s="196" customFormat="1">
      <c r="B8996" s="142"/>
      <c r="C8996" s="235"/>
      <c r="D8996" s="213"/>
      <c r="E8996" s="226"/>
      <c r="F8996" s="155"/>
      <c r="G8996" s="143"/>
    </row>
    <row r="8997" spans="2:7" s="196" customFormat="1">
      <c r="B8997" s="142"/>
      <c r="C8997" s="235"/>
      <c r="D8997" s="213"/>
      <c r="E8997" s="226"/>
      <c r="F8997" s="155"/>
      <c r="G8997" s="143"/>
    </row>
    <row r="8998" spans="2:7" s="196" customFormat="1">
      <c r="B8998" s="142"/>
      <c r="C8998" s="235"/>
      <c r="D8998" s="213"/>
      <c r="E8998" s="226"/>
      <c r="F8998" s="155"/>
      <c r="G8998" s="143"/>
    </row>
    <row r="8999" spans="2:7" s="196" customFormat="1">
      <c r="B8999" s="142"/>
      <c r="C8999" s="235"/>
      <c r="D8999" s="213"/>
      <c r="E8999" s="226"/>
      <c r="F8999" s="155"/>
      <c r="G8999" s="143"/>
    </row>
    <row r="9000" spans="2:7" s="196" customFormat="1">
      <c r="B9000" s="142"/>
      <c r="C9000" s="235"/>
      <c r="D9000" s="213"/>
      <c r="E9000" s="226"/>
      <c r="F9000" s="155"/>
      <c r="G9000" s="143"/>
    </row>
    <row r="9001" spans="2:7" s="196" customFormat="1">
      <c r="B9001" s="142"/>
      <c r="C9001" s="235"/>
      <c r="D9001" s="213"/>
      <c r="E9001" s="226"/>
      <c r="F9001" s="155"/>
      <c r="G9001" s="143"/>
    </row>
    <row r="9002" spans="2:7" s="196" customFormat="1">
      <c r="B9002" s="142"/>
      <c r="C9002" s="235"/>
      <c r="D9002" s="213"/>
      <c r="E9002" s="226"/>
      <c r="F9002" s="155"/>
      <c r="G9002" s="143"/>
    </row>
    <row r="9003" spans="2:7" s="196" customFormat="1">
      <c r="B9003" s="142"/>
      <c r="C9003" s="235"/>
      <c r="D9003" s="213"/>
      <c r="E9003" s="226"/>
      <c r="F9003" s="155"/>
      <c r="G9003" s="143"/>
    </row>
    <row r="9004" spans="2:7" s="196" customFormat="1">
      <c r="B9004" s="142"/>
      <c r="C9004" s="235"/>
      <c r="D9004" s="213"/>
      <c r="E9004" s="226"/>
      <c r="F9004" s="155"/>
      <c r="G9004" s="143"/>
    </row>
    <row r="9005" spans="2:7" s="196" customFormat="1">
      <c r="B9005" s="142"/>
      <c r="C9005" s="235"/>
      <c r="D9005" s="213"/>
      <c r="E9005" s="226"/>
      <c r="F9005" s="155"/>
      <c r="G9005" s="143"/>
    </row>
    <row r="9006" spans="2:7" s="196" customFormat="1">
      <c r="B9006" s="142"/>
      <c r="C9006" s="235"/>
      <c r="D9006" s="213"/>
      <c r="E9006" s="226"/>
      <c r="F9006" s="155"/>
      <c r="G9006" s="143"/>
    </row>
    <row r="9007" spans="2:7" s="196" customFormat="1">
      <c r="B9007" s="142"/>
      <c r="C9007" s="235"/>
      <c r="D9007" s="213"/>
      <c r="E9007" s="226"/>
      <c r="F9007" s="155"/>
      <c r="G9007" s="143"/>
    </row>
    <row r="9008" spans="2:7" s="196" customFormat="1">
      <c r="B9008" s="142"/>
      <c r="C9008" s="235"/>
      <c r="D9008" s="213"/>
      <c r="E9008" s="226"/>
      <c r="F9008" s="155"/>
      <c r="G9008" s="143"/>
    </row>
    <row r="9009" spans="2:7" s="196" customFormat="1">
      <c r="B9009" s="142"/>
      <c r="C9009" s="235"/>
      <c r="D9009" s="213"/>
      <c r="E9009" s="226"/>
      <c r="F9009" s="155"/>
      <c r="G9009" s="143"/>
    </row>
    <row r="9010" spans="2:7" s="196" customFormat="1">
      <c r="B9010" s="142"/>
      <c r="C9010" s="235"/>
      <c r="D9010" s="213"/>
      <c r="E9010" s="226"/>
      <c r="F9010" s="155"/>
      <c r="G9010" s="143"/>
    </row>
    <row r="9011" spans="2:7" s="196" customFormat="1">
      <c r="B9011" s="142"/>
      <c r="C9011" s="235"/>
      <c r="D9011" s="213"/>
      <c r="E9011" s="226"/>
      <c r="F9011" s="155"/>
      <c r="G9011" s="143"/>
    </row>
    <row r="9012" spans="2:7" s="196" customFormat="1">
      <c r="B9012" s="142"/>
      <c r="C9012" s="235"/>
      <c r="D9012" s="213"/>
      <c r="E9012" s="226"/>
      <c r="F9012" s="155"/>
      <c r="G9012" s="143"/>
    </row>
    <row r="9013" spans="2:7" s="196" customFormat="1">
      <c r="B9013" s="142"/>
      <c r="C9013" s="235"/>
      <c r="D9013" s="213"/>
      <c r="E9013" s="226"/>
      <c r="F9013" s="155"/>
      <c r="G9013" s="143"/>
    </row>
    <row r="9014" spans="2:7" s="196" customFormat="1">
      <c r="B9014" s="142"/>
      <c r="C9014" s="235"/>
      <c r="D9014" s="213"/>
      <c r="E9014" s="226"/>
      <c r="F9014" s="155"/>
      <c r="G9014" s="143"/>
    </row>
    <row r="9015" spans="2:7" s="196" customFormat="1">
      <c r="B9015" s="142"/>
      <c r="C9015" s="235"/>
      <c r="D9015" s="213"/>
      <c r="E9015" s="226"/>
      <c r="F9015" s="155"/>
      <c r="G9015" s="143"/>
    </row>
    <row r="9016" spans="2:7" s="196" customFormat="1">
      <c r="B9016" s="142"/>
      <c r="C9016" s="235"/>
      <c r="D9016" s="213"/>
      <c r="E9016" s="226"/>
      <c r="F9016" s="155"/>
      <c r="G9016" s="143"/>
    </row>
    <row r="9017" spans="2:7" s="196" customFormat="1">
      <c r="B9017" s="142"/>
      <c r="C9017" s="235"/>
      <c r="D9017" s="213"/>
      <c r="E9017" s="226"/>
      <c r="F9017" s="155"/>
      <c r="G9017" s="143"/>
    </row>
    <row r="9018" spans="2:7" s="196" customFormat="1">
      <c r="B9018" s="142"/>
      <c r="C9018" s="235"/>
      <c r="D9018" s="213"/>
      <c r="E9018" s="226"/>
      <c r="F9018" s="155"/>
      <c r="G9018" s="143"/>
    </row>
    <row r="9019" spans="2:7" s="196" customFormat="1">
      <c r="B9019" s="142"/>
      <c r="C9019" s="235"/>
      <c r="D9019" s="213"/>
      <c r="E9019" s="226"/>
      <c r="F9019" s="155"/>
      <c r="G9019" s="143"/>
    </row>
    <row r="9020" spans="2:7" s="196" customFormat="1">
      <c r="B9020" s="142"/>
      <c r="C9020" s="235"/>
      <c r="D9020" s="213"/>
      <c r="E9020" s="226"/>
      <c r="F9020" s="155"/>
      <c r="G9020" s="143"/>
    </row>
    <row r="9021" spans="2:7" s="196" customFormat="1">
      <c r="B9021" s="142"/>
      <c r="C9021" s="235"/>
      <c r="D9021" s="213"/>
      <c r="E9021" s="226"/>
      <c r="F9021" s="155"/>
      <c r="G9021" s="143"/>
    </row>
    <row r="9022" spans="2:7" s="196" customFormat="1">
      <c r="B9022" s="142"/>
      <c r="C9022" s="235"/>
      <c r="D9022" s="213"/>
      <c r="E9022" s="226"/>
      <c r="F9022" s="155"/>
      <c r="G9022" s="143"/>
    </row>
    <row r="9023" spans="2:7" s="196" customFormat="1">
      <c r="B9023" s="142"/>
      <c r="C9023" s="235"/>
      <c r="D9023" s="213"/>
      <c r="E9023" s="226"/>
      <c r="F9023" s="155"/>
      <c r="G9023" s="143"/>
    </row>
    <row r="9024" spans="2:7" s="196" customFormat="1">
      <c r="B9024" s="142"/>
      <c r="C9024" s="235"/>
      <c r="D9024" s="213"/>
      <c r="E9024" s="226"/>
      <c r="F9024" s="155"/>
      <c r="G9024" s="143"/>
    </row>
    <row r="9025" spans="2:7" s="196" customFormat="1">
      <c r="B9025" s="142"/>
      <c r="C9025" s="235"/>
      <c r="D9025" s="213"/>
      <c r="E9025" s="226"/>
      <c r="F9025" s="155"/>
      <c r="G9025" s="143"/>
    </row>
    <row r="9026" spans="2:7" s="196" customFormat="1">
      <c r="B9026" s="142"/>
      <c r="C9026" s="235"/>
      <c r="D9026" s="213"/>
      <c r="E9026" s="226"/>
      <c r="F9026" s="155"/>
      <c r="G9026" s="143"/>
    </row>
    <row r="9027" spans="2:7" s="196" customFormat="1">
      <c r="B9027" s="142"/>
      <c r="C9027" s="235"/>
      <c r="D9027" s="213"/>
      <c r="E9027" s="226"/>
      <c r="F9027" s="155"/>
      <c r="G9027" s="143"/>
    </row>
    <row r="9028" spans="2:7" s="196" customFormat="1">
      <c r="B9028" s="142"/>
      <c r="C9028" s="235"/>
      <c r="D9028" s="213"/>
      <c r="E9028" s="226"/>
      <c r="F9028" s="155"/>
      <c r="G9028" s="143"/>
    </row>
    <row r="9029" spans="2:7" s="196" customFormat="1">
      <c r="B9029" s="142"/>
      <c r="C9029" s="235"/>
      <c r="D9029" s="213"/>
      <c r="E9029" s="226"/>
      <c r="F9029" s="155"/>
      <c r="G9029" s="143"/>
    </row>
    <row r="9030" spans="2:7" s="196" customFormat="1">
      <c r="B9030" s="142"/>
      <c r="C9030" s="235"/>
      <c r="D9030" s="213"/>
      <c r="E9030" s="226"/>
      <c r="F9030" s="155"/>
      <c r="G9030" s="143"/>
    </row>
    <row r="9031" spans="2:7" s="196" customFormat="1">
      <c r="B9031" s="142"/>
      <c r="C9031" s="235"/>
      <c r="D9031" s="213"/>
      <c r="E9031" s="226"/>
      <c r="F9031" s="155"/>
      <c r="G9031" s="143"/>
    </row>
    <row r="9032" spans="2:7" s="196" customFormat="1">
      <c r="B9032" s="142"/>
      <c r="C9032" s="235"/>
      <c r="D9032" s="213"/>
      <c r="E9032" s="226"/>
      <c r="F9032" s="155"/>
      <c r="G9032" s="143"/>
    </row>
    <row r="9033" spans="2:7" s="196" customFormat="1">
      <c r="B9033" s="142"/>
      <c r="C9033" s="235"/>
      <c r="D9033" s="213"/>
      <c r="E9033" s="226"/>
      <c r="F9033" s="155"/>
      <c r="G9033" s="143"/>
    </row>
    <row r="9034" spans="2:7" s="196" customFormat="1">
      <c r="B9034" s="142"/>
      <c r="C9034" s="235"/>
      <c r="D9034" s="213"/>
      <c r="E9034" s="226"/>
      <c r="F9034" s="155"/>
      <c r="G9034" s="143"/>
    </row>
    <row r="9035" spans="2:7" s="196" customFormat="1">
      <c r="B9035" s="142"/>
      <c r="C9035" s="235"/>
      <c r="D9035" s="213"/>
      <c r="E9035" s="226"/>
      <c r="F9035" s="155"/>
      <c r="G9035" s="143"/>
    </row>
    <row r="9036" spans="2:7" s="196" customFormat="1">
      <c r="B9036" s="142"/>
      <c r="C9036" s="235"/>
      <c r="D9036" s="213"/>
      <c r="E9036" s="226"/>
      <c r="F9036" s="155"/>
      <c r="G9036" s="143"/>
    </row>
    <row r="9037" spans="2:7" s="196" customFormat="1">
      <c r="B9037" s="142"/>
      <c r="C9037" s="235"/>
      <c r="D9037" s="213"/>
      <c r="E9037" s="226"/>
      <c r="F9037" s="155"/>
      <c r="G9037" s="143"/>
    </row>
    <row r="9038" spans="2:7" s="196" customFormat="1">
      <c r="B9038" s="142"/>
      <c r="C9038" s="235"/>
      <c r="D9038" s="213"/>
      <c r="E9038" s="226"/>
      <c r="F9038" s="155"/>
      <c r="G9038" s="143"/>
    </row>
    <row r="9039" spans="2:7" s="196" customFormat="1">
      <c r="B9039" s="142"/>
      <c r="C9039" s="235"/>
      <c r="D9039" s="213"/>
      <c r="E9039" s="226"/>
      <c r="F9039" s="155"/>
      <c r="G9039" s="143"/>
    </row>
    <row r="9040" spans="2:7" s="196" customFormat="1">
      <c r="B9040" s="142"/>
      <c r="C9040" s="235"/>
      <c r="D9040" s="213"/>
      <c r="E9040" s="226"/>
      <c r="F9040" s="155"/>
      <c r="G9040" s="143"/>
    </row>
    <row r="9041" spans="2:7" s="196" customFormat="1">
      <c r="B9041" s="142"/>
      <c r="C9041" s="235"/>
      <c r="D9041" s="213"/>
      <c r="E9041" s="226"/>
      <c r="F9041" s="155"/>
      <c r="G9041" s="143"/>
    </row>
    <row r="9042" spans="2:7" s="196" customFormat="1">
      <c r="B9042" s="142"/>
      <c r="C9042" s="235"/>
      <c r="D9042" s="213"/>
      <c r="E9042" s="226"/>
      <c r="F9042" s="155"/>
      <c r="G9042" s="143"/>
    </row>
    <row r="9043" spans="2:7" s="196" customFormat="1">
      <c r="B9043" s="142"/>
      <c r="C9043" s="235"/>
      <c r="D9043" s="213"/>
      <c r="E9043" s="226"/>
      <c r="F9043" s="155"/>
      <c r="G9043" s="143"/>
    </row>
    <row r="9044" spans="2:7" s="196" customFormat="1">
      <c r="B9044" s="142"/>
      <c r="C9044" s="235"/>
      <c r="D9044" s="213"/>
      <c r="E9044" s="226"/>
      <c r="F9044" s="155"/>
      <c r="G9044" s="143"/>
    </row>
    <row r="9045" spans="2:7" s="196" customFormat="1">
      <c r="B9045" s="142"/>
      <c r="C9045" s="235"/>
      <c r="D9045" s="213"/>
      <c r="E9045" s="226"/>
      <c r="F9045" s="155"/>
      <c r="G9045" s="143"/>
    </row>
    <row r="9046" spans="2:7" s="196" customFormat="1">
      <c r="B9046" s="142"/>
      <c r="C9046" s="235"/>
      <c r="D9046" s="213"/>
      <c r="E9046" s="226"/>
      <c r="F9046" s="155"/>
      <c r="G9046" s="143"/>
    </row>
    <row r="9047" spans="2:7" s="196" customFormat="1">
      <c r="B9047" s="142"/>
      <c r="C9047" s="235"/>
      <c r="D9047" s="213"/>
      <c r="E9047" s="226"/>
      <c r="F9047" s="155"/>
      <c r="G9047" s="143"/>
    </row>
    <row r="9048" spans="2:7" s="196" customFormat="1">
      <c r="B9048" s="142"/>
      <c r="C9048" s="235"/>
      <c r="D9048" s="213"/>
      <c r="E9048" s="226"/>
      <c r="F9048" s="155"/>
      <c r="G9048" s="143"/>
    </row>
    <row r="9049" spans="2:7" s="196" customFormat="1">
      <c r="B9049" s="142"/>
      <c r="C9049" s="235"/>
      <c r="D9049" s="213"/>
      <c r="E9049" s="226"/>
      <c r="F9049" s="155"/>
      <c r="G9049" s="143"/>
    </row>
    <row r="9050" spans="2:7" s="196" customFormat="1">
      <c r="B9050" s="142"/>
      <c r="C9050" s="235"/>
      <c r="D9050" s="213"/>
      <c r="E9050" s="226"/>
      <c r="F9050" s="155"/>
      <c r="G9050" s="143"/>
    </row>
    <row r="9051" spans="2:7" s="196" customFormat="1">
      <c r="B9051" s="142"/>
      <c r="C9051" s="235"/>
      <c r="D9051" s="213"/>
      <c r="E9051" s="226"/>
      <c r="F9051" s="155"/>
      <c r="G9051" s="143"/>
    </row>
    <row r="9052" spans="2:7" s="196" customFormat="1">
      <c r="B9052" s="142"/>
      <c r="C9052" s="235"/>
      <c r="D9052" s="213"/>
      <c r="E9052" s="226"/>
      <c r="F9052" s="155"/>
      <c r="G9052" s="143"/>
    </row>
    <row r="9053" spans="2:7" s="196" customFormat="1">
      <c r="B9053" s="142"/>
      <c r="C9053" s="235"/>
      <c r="D9053" s="213"/>
      <c r="E9053" s="226"/>
      <c r="F9053" s="155"/>
      <c r="G9053" s="143"/>
    </row>
    <row r="9054" spans="2:7" s="196" customFormat="1">
      <c r="B9054" s="142"/>
      <c r="C9054" s="235"/>
      <c r="D9054" s="213"/>
      <c r="E9054" s="226"/>
      <c r="F9054" s="155"/>
      <c r="G9054" s="143"/>
    </row>
    <row r="9055" spans="2:7" s="196" customFormat="1">
      <c r="B9055" s="142"/>
      <c r="C9055" s="235"/>
      <c r="D9055" s="213"/>
      <c r="E9055" s="226"/>
      <c r="F9055" s="155"/>
      <c r="G9055" s="143"/>
    </row>
    <row r="9056" spans="2:7" s="196" customFormat="1">
      <c r="B9056" s="142"/>
      <c r="C9056" s="235"/>
      <c r="D9056" s="213"/>
      <c r="E9056" s="226"/>
      <c r="F9056" s="155"/>
      <c r="G9056" s="143"/>
    </row>
    <row r="9057" spans="2:7" s="196" customFormat="1">
      <c r="B9057" s="142"/>
      <c r="C9057" s="235"/>
      <c r="D9057" s="213"/>
      <c r="E9057" s="226"/>
      <c r="F9057" s="155"/>
      <c r="G9057" s="143"/>
    </row>
    <row r="9058" spans="2:7" s="196" customFormat="1">
      <c r="B9058" s="142"/>
      <c r="C9058" s="235"/>
      <c r="D9058" s="213"/>
      <c r="E9058" s="226"/>
      <c r="F9058" s="155"/>
      <c r="G9058" s="143"/>
    </row>
    <row r="9059" spans="2:7" s="196" customFormat="1">
      <c r="B9059" s="142"/>
      <c r="C9059" s="235"/>
      <c r="D9059" s="213"/>
      <c r="E9059" s="226"/>
      <c r="F9059" s="155"/>
      <c r="G9059" s="143"/>
    </row>
    <row r="9060" spans="2:7" s="196" customFormat="1">
      <c r="B9060" s="142"/>
      <c r="C9060" s="235"/>
      <c r="D9060" s="213"/>
      <c r="E9060" s="226"/>
      <c r="F9060" s="155"/>
      <c r="G9060" s="143"/>
    </row>
    <row r="9061" spans="2:7" s="196" customFormat="1">
      <c r="B9061" s="142"/>
      <c r="C9061" s="235"/>
      <c r="D9061" s="213"/>
      <c r="E9061" s="226"/>
      <c r="F9061" s="155"/>
      <c r="G9061" s="143"/>
    </row>
    <row r="9062" spans="2:7" s="196" customFormat="1">
      <c r="B9062" s="142"/>
      <c r="C9062" s="235"/>
      <c r="D9062" s="213"/>
      <c r="E9062" s="226"/>
      <c r="F9062" s="155"/>
      <c r="G9062" s="143"/>
    </row>
    <row r="9063" spans="2:7" s="196" customFormat="1">
      <c r="B9063" s="142"/>
      <c r="C9063" s="235"/>
      <c r="D9063" s="213"/>
      <c r="E9063" s="226"/>
      <c r="F9063" s="155"/>
      <c r="G9063" s="143"/>
    </row>
    <row r="9064" spans="2:7" s="196" customFormat="1">
      <c r="B9064" s="142"/>
      <c r="C9064" s="235"/>
      <c r="D9064" s="213"/>
      <c r="E9064" s="226"/>
      <c r="F9064" s="155"/>
      <c r="G9064" s="143"/>
    </row>
    <row r="9065" spans="2:7" s="196" customFormat="1">
      <c r="B9065" s="142"/>
      <c r="C9065" s="235"/>
      <c r="D9065" s="213"/>
      <c r="E9065" s="226"/>
      <c r="F9065" s="155"/>
      <c r="G9065" s="143"/>
    </row>
    <row r="9066" spans="2:7" s="196" customFormat="1">
      <c r="B9066" s="142"/>
      <c r="C9066" s="235"/>
      <c r="D9066" s="213"/>
      <c r="E9066" s="226"/>
      <c r="F9066" s="155"/>
      <c r="G9066" s="143"/>
    </row>
    <row r="9067" spans="2:7" s="196" customFormat="1">
      <c r="B9067" s="142"/>
      <c r="C9067" s="235"/>
      <c r="D9067" s="213"/>
      <c r="E9067" s="226"/>
      <c r="F9067" s="155"/>
      <c r="G9067" s="143"/>
    </row>
    <row r="9068" spans="2:7" s="196" customFormat="1">
      <c r="B9068" s="142"/>
      <c r="C9068" s="235"/>
      <c r="D9068" s="213"/>
      <c r="E9068" s="226"/>
      <c r="F9068" s="155"/>
      <c r="G9068" s="143"/>
    </row>
    <row r="9069" spans="2:7" s="196" customFormat="1">
      <c r="B9069" s="142"/>
      <c r="C9069" s="235"/>
      <c r="D9069" s="213"/>
      <c r="E9069" s="226"/>
      <c r="F9069" s="155"/>
      <c r="G9069" s="143"/>
    </row>
    <row r="9070" spans="2:7" s="196" customFormat="1">
      <c r="B9070" s="142"/>
      <c r="C9070" s="235"/>
      <c r="D9070" s="213"/>
      <c r="E9070" s="226"/>
      <c r="F9070" s="155"/>
      <c r="G9070" s="143"/>
    </row>
    <row r="9071" spans="2:7" s="196" customFormat="1">
      <c r="B9071" s="142"/>
      <c r="C9071" s="235"/>
      <c r="D9071" s="213"/>
      <c r="E9071" s="226"/>
      <c r="F9071" s="155"/>
      <c r="G9071" s="143"/>
    </row>
    <row r="9072" spans="2:7" s="196" customFormat="1">
      <c r="B9072" s="142"/>
      <c r="C9072" s="235"/>
      <c r="D9072" s="213"/>
      <c r="E9072" s="226"/>
      <c r="F9072" s="155"/>
      <c r="G9072" s="143"/>
    </row>
    <row r="9073" spans="2:7" s="196" customFormat="1">
      <c r="B9073" s="142"/>
      <c r="C9073" s="235"/>
      <c r="D9073" s="213"/>
      <c r="E9073" s="226"/>
      <c r="F9073" s="155"/>
      <c r="G9073" s="143"/>
    </row>
    <row r="9074" spans="2:7" s="196" customFormat="1">
      <c r="B9074" s="142"/>
      <c r="C9074" s="235"/>
      <c r="D9074" s="213"/>
      <c r="E9074" s="226"/>
      <c r="F9074" s="155"/>
      <c r="G9074" s="143"/>
    </row>
    <row r="9075" spans="2:7" s="196" customFormat="1">
      <c r="B9075" s="142"/>
      <c r="C9075" s="235"/>
      <c r="D9075" s="213"/>
      <c r="E9075" s="226"/>
      <c r="F9075" s="155"/>
      <c r="G9075" s="143"/>
    </row>
    <row r="9076" spans="2:7" s="196" customFormat="1">
      <c r="B9076" s="142"/>
      <c r="C9076" s="235"/>
      <c r="D9076" s="213"/>
      <c r="E9076" s="226"/>
      <c r="F9076" s="155"/>
      <c r="G9076" s="143"/>
    </row>
    <row r="9077" spans="2:7" s="196" customFormat="1">
      <c r="B9077" s="142"/>
      <c r="C9077" s="235"/>
      <c r="D9077" s="213"/>
      <c r="E9077" s="226"/>
      <c r="F9077" s="155"/>
      <c r="G9077" s="143"/>
    </row>
    <row r="9078" spans="2:7" s="196" customFormat="1">
      <c r="B9078" s="142"/>
      <c r="C9078" s="235"/>
      <c r="D9078" s="213"/>
      <c r="E9078" s="226"/>
      <c r="F9078" s="155"/>
      <c r="G9078" s="143"/>
    </row>
    <row r="9079" spans="2:7" s="196" customFormat="1">
      <c r="B9079" s="142"/>
      <c r="C9079" s="235"/>
      <c r="D9079" s="213"/>
      <c r="E9079" s="226"/>
      <c r="F9079" s="155"/>
      <c r="G9079" s="143"/>
    </row>
    <row r="9080" spans="2:7" s="196" customFormat="1">
      <c r="B9080" s="142"/>
      <c r="C9080" s="235"/>
      <c r="D9080" s="213"/>
      <c r="E9080" s="226"/>
      <c r="F9080" s="155"/>
      <c r="G9080" s="143"/>
    </row>
    <row r="9081" spans="2:7" s="196" customFormat="1">
      <c r="B9081" s="142"/>
      <c r="C9081" s="235"/>
      <c r="D9081" s="213"/>
      <c r="E9081" s="226"/>
      <c r="F9081" s="155"/>
      <c r="G9081" s="143"/>
    </row>
    <row r="9082" spans="2:7" s="196" customFormat="1">
      <c r="B9082" s="142"/>
      <c r="C9082" s="235"/>
      <c r="D9082" s="213"/>
      <c r="E9082" s="226"/>
      <c r="F9082" s="155"/>
      <c r="G9082" s="143"/>
    </row>
    <row r="9083" spans="2:7" s="196" customFormat="1">
      <c r="B9083" s="142"/>
      <c r="C9083" s="235"/>
      <c r="D9083" s="213"/>
      <c r="E9083" s="226"/>
      <c r="F9083" s="155"/>
      <c r="G9083" s="143"/>
    </row>
    <row r="9084" spans="2:7" s="196" customFormat="1">
      <c r="B9084" s="142"/>
      <c r="C9084" s="235"/>
      <c r="D9084" s="213"/>
      <c r="E9084" s="226"/>
      <c r="F9084" s="155"/>
      <c r="G9084" s="143"/>
    </row>
    <row r="9085" spans="2:7" s="196" customFormat="1">
      <c r="B9085" s="142"/>
      <c r="C9085" s="235"/>
      <c r="D9085" s="213"/>
      <c r="E9085" s="226"/>
      <c r="F9085" s="155"/>
      <c r="G9085" s="143"/>
    </row>
    <row r="9086" spans="2:7" s="196" customFormat="1">
      <c r="B9086" s="142"/>
      <c r="C9086" s="235"/>
      <c r="D9086" s="213"/>
      <c r="E9086" s="226"/>
      <c r="F9086" s="155"/>
      <c r="G9086" s="143"/>
    </row>
    <row r="9087" spans="2:7" s="196" customFormat="1">
      <c r="B9087" s="142"/>
      <c r="C9087" s="235"/>
      <c r="D9087" s="213"/>
      <c r="E9087" s="226"/>
      <c r="F9087" s="155"/>
      <c r="G9087" s="143"/>
    </row>
    <row r="9088" spans="2:7" s="196" customFormat="1">
      <c r="B9088" s="142"/>
      <c r="C9088" s="235"/>
      <c r="D9088" s="213"/>
      <c r="E9088" s="226"/>
      <c r="F9088" s="155"/>
      <c r="G9088" s="143"/>
    </row>
    <row r="9089" spans="2:7" s="196" customFormat="1">
      <c r="B9089" s="142"/>
      <c r="C9089" s="235"/>
      <c r="D9089" s="213"/>
      <c r="E9089" s="226"/>
      <c r="F9089" s="155"/>
      <c r="G9089" s="143"/>
    </row>
    <row r="9090" spans="2:7" s="196" customFormat="1">
      <c r="B9090" s="142"/>
      <c r="C9090" s="235"/>
      <c r="D9090" s="213"/>
      <c r="E9090" s="226"/>
      <c r="F9090" s="155"/>
      <c r="G9090" s="143"/>
    </row>
    <row r="9091" spans="2:7" s="196" customFormat="1">
      <c r="B9091" s="142"/>
      <c r="C9091" s="235"/>
      <c r="D9091" s="213"/>
      <c r="E9091" s="226"/>
      <c r="F9091" s="155"/>
      <c r="G9091" s="143"/>
    </row>
    <row r="9092" spans="2:7" s="196" customFormat="1">
      <c r="B9092" s="142"/>
      <c r="C9092" s="235"/>
      <c r="D9092" s="213"/>
      <c r="E9092" s="226"/>
      <c r="F9092" s="155"/>
      <c r="G9092" s="143"/>
    </row>
    <row r="9093" spans="2:7" s="196" customFormat="1">
      <c r="B9093" s="142"/>
      <c r="C9093" s="235"/>
      <c r="D9093" s="213"/>
      <c r="E9093" s="226"/>
      <c r="F9093" s="155"/>
      <c r="G9093" s="143"/>
    </row>
    <row r="9094" spans="2:7" s="196" customFormat="1">
      <c r="B9094" s="142"/>
      <c r="C9094" s="235"/>
      <c r="D9094" s="213"/>
      <c r="E9094" s="226"/>
      <c r="F9094" s="155"/>
      <c r="G9094" s="143"/>
    </row>
    <row r="9095" spans="2:7" s="196" customFormat="1">
      <c r="B9095" s="142"/>
      <c r="C9095" s="235"/>
      <c r="D9095" s="213"/>
      <c r="E9095" s="226"/>
      <c r="F9095" s="155"/>
      <c r="G9095" s="143"/>
    </row>
    <row r="9096" spans="2:7" s="196" customFormat="1">
      <c r="B9096" s="142"/>
      <c r="C9096" s="235"/>
      <c r="D9096" s="213"/>
      <c r="E9096" s="226"/>
      <c r="F9096" s="155"/>
      <c r="G9096" s="143"/>
    </row>
    <row r="9097" spans="2:7" s="196" customFormat="1">
      <c r="B9097" s="142"/>
      <c r="C9097" s="235"/>
      <c r="D9097" s="213"/>
      <c r="E9097" s="226"/>
      <c r="F9097" s="155"/>
      <c r="G9097" s="143"/>
    </row>
    <row r="9098" spans="2:7" s="196" customFormat="1">
      <c r="B9098" s="142"/>
      <c r="C9098" s="235"/>
      <c r="D9098" s="213"/>
      <c r="E9098" s="226"/>
      <c r="F9098" s="155"/>
      <c r="G9098" s="143"/>
    </row>
    <row r="9099" spans="2:7" s="196" customFormat="1">
      <c r="B9099" s="142"/>
      <c r="C9099" s="235"/>
      <c r="D9099" s="213"/>
      <c r="E9099" s="226"/>
      <c r="F9099" s="155"/>
      <c r="G9099" s="143"/>
    </row>
    <row r="9100" spans="2:7" s="196" customFormat="1">
      <c r="B9100" s="142"/>
      <c r="C9100" s="235"/>
      <c r="D9100" s="213"/>
      <c r="E9100" s="226"/>
      <c r="F9100" s="155"/>
      <c r="G9100" s="143"/>
    </row>
    <row r="9101" spans="2:7" s="196" customFormat="1">
      <c r="B9101" s="142"/>
      <c r="C9101" s="235"/>
      <c r="D9101" s="213"/>
      <c r="E9101" s="226"/>
      <c r="F9101" s="155"/>
      <c r="G9101" s="143"/>
    </row>
    <row r="9102" spans="2:7" s="196" customFormat="1">
      <c r="B9102" s="142"/>
      <c r="C9102" s="235"/>
      <c r="D9102" s="213"/>
      <c r="E9102" s="226"/>
      <c r="F9102" s="155"/>
      <c r="G9102" s="143"/>
    </row>
    <row r="9103" spans="2:7" s="196" customFormat="1">
      <c r="B9103" s="142"/>
      <c r="C9103" s="235"/>
      <c r="D9103" s="213"/>
      <c r="E9103" s="226"/>
      <c r="F9103" s="155"/>
      <c r="G9103" s="143"/>
    </row>
    <row r="9104" spans="2:7" s="196" customFormat="1">
      <c r="B9104" s="142"/>
      <c r="C9104" s="235"/>
      <c r="D9104" s="213"/>
      <c r="E9104" s="226"/>
      <c r="F9104" s="155"/>
      <c r="G9104" s="143"/>
    </row>
    <row r="9105" spans="2:7" s="196" customFormat="1">
      <c r="B9105" s="142"/>
      <c r="C9105" s="235"/>
      <c r="D9105" s="213"/>
      <c r="E9105" s="226"/>
      <c r="F9105" s="155"/>
      <c r="G9105" s="143"/>
    </row>
    <row r="9106" spans="2:7" s="196" customFormat="1">
      <c r="B9106" s="142"/>
      <c r="C9106" s="235"/>
      <c r="D9106" s="213"/>
      <c r="E9106" s="226"/>
      <c r="F9106" s="155"/>
      <c r="G9106" s="143"/>
    </row>
    <row r="9107" spans="2:7" s="196" customFormat="1">
      <c r="B9107" s="142"/>
      <c r="C9107" s="235"/>
      <c r="D9107" s="213"/>
      <c r="E9107" s="226"/>
      <c r="F9107" s="155"/>
      <c r="G9107" s="143"/>
    </row>
    <row r="9108" spans="2:7" s="196" customFormat="1">
      <c r="B9108" s="142"/>
      <c r="C9108" s="235"/>
      <c r="D9108" s="213"/>
      <c r="E9108" s="226"/>
      <c r="F9108" s="155"/>
      <c r="G9108" s="143"/>
    </row>
    <row r="9109" spans="2:7" s="196" customFormat="1">
      <c r="B9109" s="142"/>
      <c r="C9109" s="235"/>
      <c r="D9109" s="213"/>
      <c r="E9109" s="226"/>
      <c r="F9109" s="155"/>
      <c r="G9109" s="143"/>
    </row>
    <row r="9110" spans="2:7" s="196" customFormat="1">
      <c r="B9110" s="142"/>
      <c r="C9110" s="235"/>
      <c r="D9110" s="213"/>
      <c r="E9110" s="226"/>
      <c r="F9110" s="155"/>
      <c r="G9110" s="143"/>
    </row>
    <row r="9111" spans="2:7" s="196" customFormat="1">
      <c r="B9111" s="142"/>
      <c r="C9111" s="235"/>
      <c r="D9111" s="213"/>
      <c r="E9111" s="226"/>
      <c r="F9111" s="155"/>
      <c r="G9111" s="143"/>
    </row>
    <row r="9112" spans="2:7" s="196" customFormat="1">
      <c r="B9112" s="142"/>
      <c r="C9112" s="235"/>
      <c r="D9112" s="213"/>
      <c r="E9112" s="226"/>
      <c r="F9112" s="155"/>
      <c r="G9112" s="143"/>
    </row>
    <row r="9113" spans="2:7" s="196" customFormat="1">
      <c r="B9113" s="142"/>
      <c r="C9113" s="235"/>
      <c r="D9113" s="213"/>
      <c r="E9113" s="226"/>
      <c r="F9113" s="155"/>
      <c r="G9113" s="143"/>
    </row>
    <row r="9114" spans="2:7" s="196" customFormat="1">
      <c r="B9114" s="142"/>
      <c r="C9114" s="235"/>
      <c r="D9114" s="213"/>
      <c r="E9114" s="226"/>
      <c r="F9114" s="155"/>
      <c r="G9114" s="143"/>
    </row>
    <row r="9115" spans="2:7" s="196" customFormat="1">
      <c r="B9115" s="142"/>
      <c r="C9115" s="235"/>
      <c r="D9115" s="213"/>
      <c r="E9115" s="226"/>
      <c r="F9115" s="155"/>
      <c r="G9115" s="143"/>
    </row>
    <row r="9116" spans="2:7" s="196" customFormat="1">
      <c r="B9116" s="142"/>
      <c r="C9116" s="235"/>
      <c r="D9116" s="213"/>
      <c r="E9116" s="226"/>
      <c r="F9116" s="155"/>
      <c r="G9116" s="143"/>
    </row>
    <row r="9117" spans="2:7" s="196" customFormat="1">
      <c r="B9117" s="142"/>
      <c r="C9117" s="235"/>
      <c r="D9117" s="213"/>
      <c r="E9117" s="226"/>
      <c r="F9117" s="155"/>
      <c r="G9117" s="143"/>
    </row>
    <row r="9118" spans="2:7" s="196" customFormat="1">
      <c r="B9118" s="142"/>
      <c r="C9118" s="235"/>
      <c r="D9118" s="213"/>
      <c r="E9118" s="226"/>
      <c r="F9118" s="155"/>
      <c r="G9118" s="143"/>
    </row>
    <row r="9119" spans="2:7" s="196" customFormat="1">
      <c r="B9119" s="142"/>
      <c r="C9119" s="235"/>
      <c r="D9119" s="213"/>
      <c r="E9119" s="226"/>
      <c r="F9119" s="155"/>
      <c r="G9119" s="143"/>
    </row>
    <row r="9120" spans="2:7" s="196" customFormat="1">
      <c r="B9120" s="142"/>
      <c r="C9120" s="235"/>
      <c r="D9120" s="213"/>
      <c r="E9120" s="226"/>
      <c r="F9120" s="155"/>
      <c r="G9120" s="143"/>
    </row>
    <row r="9121" spans="2:7" s="196" customFormat="1">
      <c r="B9121" s="142"/>
      <c r="C9121" s="235"/>
      <c r="D9121" s="213"/>
      <c r="E9121" s="226"/>
      <c r="F9121" s="155"/>
      <c r="G9121" s="143"/>
    </row>
    <row r="9122" spans="2:7" s="196" customFormat="1">
      <c r="B9122" s="142"/>
      <c r="C9122" s="235"/>
      <c r="D9122" s="213"/>
      <c r="E9122" s="226"/>
      <c r="F9122" s="155"/>
      <c r="G9122" s="143"/>
    </row>
    <row r="9123" spans="2:7" s="196" customFormat="1">
      <c r="B9123" s="142"/>
      <c r="C9123" s="235"/>
      <c r="D9123" s="213"/>
      <c r="E9123" s="226"/>
      <c r="F9123" s="155"/>
      <c r="G9123" s="143"/>
    </row>
    <row r="9124" spans="2:7" s="196" customFormat="1">
      <c r="B9124" s="142"/>
      <c r="C9124" s="235"/>
      <c r="D9124" s="213"/>
      <c r="E9124" s="226"/>
      <c r="F9124" s="155"/>
      <c r="G9124" s="143"/>
    </row>
    <row r="9125" spans="2:7" s="196" customFormat="1">
      <c r="B9125" s="142"/>
      <c r="C9125" s="235"/>
      <c r="D9125" s="213"/>
      <c r="E9125" s="226"/>
      <c r="F9125" s="155"/>
      <c r="G9125" s="143"/>
    </row>
    <row r="9126" spans="2:7" s="196" customFormat="1">
      <c r="B9126" s="142"/>
      <c r="C9126" s="235"/>
      <c r="D9126" s="213"/>
      <c r="E9126" s="226"/>
      <c r="F9126" s="155"/>
      <c r="G9126" s="143"/>
    </row>
    <row r="9127" spans="2:7" s="196" customFormat="1">
      <c r="B9127" s="142"/>
      <c r="C9127" s="235"/>
      <c r="D9127" s="213"/>
      <c r="E9127" s="226"/>
      <c r="F9127" s="155"/>
      <c r="G9127" s="143"/>
    </row>
    <row r="9128" spans="2:7" s="196" customFormat="1">
      <c r="B9128" s="142"/>
      <c r="C9128" s="235"/>
      <c r="D9128" s="213"/>
      <c r="E9128" s="226"/>
      <c r="F9128" s="155"/>
      <c r="G9128" s="143"/>
    </row>
    <row r="9129" spans="2:7" s="196" customFormat="1">
      <c r="B9129" s="142"/>
      <c r="C9129" s="235"/>
      <c r="D9129" s="213"/>
      <c r="E9129" s="226"/>
      <c r="F9129" s="155"/>
      <c r="G9129" s="143"/>
    </row>
    <row r="9130" spans="2:7" s="196" customFormat="1">
      <c r="B9130" s="142"/>
      <c r="C9130" s="235"/>
      <c r="D9130" s="213"/>
      <c r="E9130" s="226"/>
      <c r="F9130" s="155"/>
      <c r="G9130" s="143"/>
    </row>
    <row r="9131" spans="2:7" s="196" customFormat="1">
      <c r="B9131" s="142"/>
      <c r="C9131" s="235"/>
      <c r="D9131" s="213"/>
      <c r="E9131" s="226"/>
      <c r="F9131" s="155"/>
      <c r="G9131" s="143"/>
    </row>
    <row r="9132" spans="2:7" s="196" customFormat="1">
      <c r="B9132" s="142"/>
      <c r="C9132" s="235"/>
      <c r="D9132" s="213"/>
      <c r="E9132" s="226"/>
      <c r="F9132" s="155"/>
      <c r="G9132" s="143"/>
    </row>
    <row r="9133" spans="2:7" s="196" customFormat="1">
      <c r="B9133" s="142"/>
      <c r="C9133" s="235"/>
      <c r="D9133" s="213"/>
      <c r="E9133" s="226"/>
      <c r="F9133" s="155"/>
      <c r="G9133" s="143"/>
    </row>
    <row r="9134" spans="2:7" s="196" customFormat="1">
      <c r="B9134" s="142"/>
      <c r="C9134" s="235"/>
      <c r="D9134" s="213"/>
      <c r="E9134" s="226"/>
      <c r="F9134" s="155"/>
      <c r="G9134" s="143"/>
    </row>
    <row r="9135" spans="2:7" s="196" customFormat="1">
      <c r="B9135" s="142"/>
      <c r="C9135" s="235"/>
      <c r="D9135" s="213"/>
      <c r="E9135" s="226"/>
      <c r="F9135" s="155"/>
      <c r="G9135" s="143"/>
    </row>
    <row r="9136" spans="2:7" s="196" customFormat="1">
      <c r="B9136" s="142"/>
      <c r="C9136" s="235"/>
      <c r="D9136" s="213"/>
      <c r="E9136" s="226"/>
      <c r="F9136" s="155"/>
      <c r="G9136" s="143"/>
    </row>
    <row r="9137" spans="2:7" s="196" customFormat="1">
      <c r="B9137" s="142"/>
      <c r="C9137" s="235"/>
      <c r="D9137" s="213"/>
      <c r="E9137" s="226"/>
      <c r="F9137" s="155"/>
      <c r="G9137" s="143"/>
    </row>
    <row r="9138" spans="2:7" s="196" customFormat="1">
      <c r="B9138" s="142"/>
      <c r="C9138" s="235"/>
      <c r="D9138" s="213"/>
      <c r="E9138" s="226"/>
      <c r="F9138" s="155"/>
      <c r="G9138" s="143"/>
    </row>
    <row r="9139" spans="2:7" s="196" customFormat="1">
      <c r="B9139" s="142"/>
      <c r="C9139" s="235"/>
      <c r="D9139" s="213"/>
      <c r="E9139" s="226"/>
      <c r="F9139" s="155"/>
      <c r="G9139" s="143"/>
    </row>
    <row r="9140" spans="2:7" s="196" customFormat="1">
      <c r="B9140" s="142"/>
      <c r="C9140" s="235"/>
      <c r="D9140" s="213"/>
      <c r="E9140" s="226"/>
      <c r="F9140" s="155"/>
      <c r="G9140" s="143"/>
    </row>
    <row r="9141" spans="2:7" s="196" customFormat="1">
      <c r="B9141" s="142"/>
      <c r="C9141" s="235"/>
      <c r="D9141" s="213"/>
      <c r="E9141" s="226"/>
      <c r="F9141" s="155"/>
      <c r="G9141" s="143"/>
    </row>
    <row r="9142" spans="2:7" s="196" customFormat="1">
      <c r="B9142" s="142"/>
      <c r="C9142" s="235"/>
      <c r="D9142" s="213"/>
      <c r="E9142" s="226"/>
      <c r="F9142" s="155"/>
      <c r="G9142" s="143"/>
    </row>
    <row r="9143" spans="2:7" s="196" customFormat="1">
      <c r="B9143" s="142"/>
      <c r="C9143" s="235"/>
      <c r="D9143" s="213"/>
      <c r="E9143" s="226"/>
      <c r="F9143" s="155"/>
      <c r="G9143" s="143"/>
    </row>
    <row r="9144" spans="2:7" s="196" customFormat="1">
      <c r="B9144" s="142"/>
      <c r="C9144" s="235"/>
      <c r="D9144" s="213"/>
      <c r="E9144" s="226"/>
      <c r="F9144" s="155"/>
      <c r="G9144" s="143"/>
    </row>
    <row r="9145" spans="2:7" s="196" customFormat="1">
      <c r="B9145" s="142"/>
      <c r="C9145" s="235"/>
      <c r="D9145" s="213"/>
      <c r="E9145" s="226"/>
      <c r="F9145" s="155"/>
      <c r="G9145" s="143"/>
    </row>
    <row r="9146" spans="2:7" s="196" customFormat="1">
      <c r="B9146" s="142"/>
      <c r="C9146" s="235"/>
      <c r="D9146" s="213"/>
      <c r="E9146" s="226"/>
      <c r="F9146" s="155"/>
      <c r="G9146" s="143"/>
    </row>
    <row r="9147" spans="2:7" s="196" customFormat="1">
      <c r="B9147" s="142"/>
      <c r="C9147" s="235"/>
      <c r="D9147" s="213"/>
      <c r="E9147" s="226"/>
      <c r="F9147" s="155"/>
      <c r="G9147" s="143"/>
    </row>
    <row r="9148" spans="2:7" s="196" customFormat="1">
      <c r="B9148" s="142"/>
      <c r="C9148" s="235"/>
      <c r="D9148" s="213"/>
      <c r="E9148" s="226"/>
      <c r="F9148" s="155"/>
      <c r="G9148" s="143"/>
    </row>
    <row r="9149" spans="2:7" s="196" customFormat="1">
      <c r="B9149" s="142"/>
      <c r="C9149" s="235"/>
      <c r="D9149" s="213"/>
      <c r="E9149" s="226"/>
      <c r="F9149" s="155"/>
      <c r="G9149" s="143"/>
    </row>
    <row r="9150" spans="2:7" s="196" customFormat="1">
      <c r="B9150" s="142"/>
      <c r="C9150" s="235"/>
      <c r="D9150" s="213"/>
      <c r="E9150" s="226"/>
      <c r="F9150" s="155"/>
      <c r="G9150" s="143"/>
    </row>
    <row r="9151" spans="2:7" s="196" customFormat="1">
      <c r="B9151" s="142"/>
      <c r="C9151" s="235"/>
      <c r="D9151" s="213"/>
      <c r="E9151" s="226"/>
      <c r="F9151" s="155"/>
      <c r="G9151" s="143"/>
    </row>
    <row r="9152" spans="2:7" s="196" customFormat="1">
      <c r="B9152" s="142"/>
      <c r="C9152" s="235"/>
      <c r="D9152" s="213"/>
      <c r="E9152" s="226"/>
      <c r="F9152" s="155"/>
      <c r="G9152" s="143"/>
    </row>
    <row r="9153" spans="2:7" s="196" customFormat="1">
      <c r="B9153" s="142"/>
      <c r="C9153" s="235"/>
      <c r="D9153" s="213"/>
      <c r="E9153" s="226"/>
      <c r="F9153" s="155"/>
      <c r="G9153" s="143"/>
    </row>
    <row r="9154" spans="2:7" s="196" customFormat="1">
      <c r="B9154" s="142"/>
      <c r="C9154" s="235"/>
      <c r="D9154" s="213"/>
      <c r="E9154" s="226"/>
      <c r="F9154" s="155"/>
      <c r="G9154" s="143"/>
    </row>
    <row r="9155" spans="2:7" s="196" customFormat="1">
      <c r="B9155" s="142"/>
      <c r="C9155" s="235"/>
      <c r="D9155" s="213"/>
      <c r="E9155" s="226"/>
      <c r="F9155" s="155"/>
      <c r="G9155" s="143"/>
    </row>
    <row r="9156" spans="2:7" s="196" customFormat="1">
      <c r="B9156" s="142"/>
      <c r="C9156" s="235"/>
      <c r="D9156" s="213"/>
      <c r="E9156" s="226"/>
      <c r="F9156" s="155"/>
      <c r="G9156" s="143"/>
    </row>
    <row r="9157" spans="2:7" s="196" customFormat="1">
      <c r="B9157" s="142"/>
      <c r="C9157" s="235"/>
      <c r="D9157" s="213"/>
      <c r="E9157" s="226"/>
      <c r="F9157" s="155"/>
      <c r="G9157" s="143"/>
    </row>
    <row r="9158" spans="2:7" s="196" customFormat="1">
      <c r="B9158" s="142"/>
      <c r="C9158" s="235"/>
      <c r="D9158" s="213"/>
      <c r="E9158" s="226"/>
      <c r="F9158" s="155"/>
      <c r="G9158" s="143"/>
    </row>
    <row r="9159" spans="2:7" s="196" customFormat="1">
      <c r="B9159" s="142"/>
      <c r="C9159" s="235"/>
      <c r="D9159" s="213"/>
      <c r="E9159" s="226"/>
      <c r="F9159" s="155"/>
      <c r="G9159" s="143"/>
    </row>
    <row r="9160" spans="2:7" s="196" customFormat="1">
      <c r="B9160" s="142"/>
      <c r="C9160" s="235"/>
      <c r="D9160" s="213"/>
      <c r="E9160" s="226"/>
      <c r="F9160" s="155"/>
      <c r="G9160" s="143"/>
    </row>
    <row r="9161" spans="2:7" s="196" customFormat="1">
      <c r="B9161" s="142"/>
      <c r="C9161" s="235"/>
      <c r="D9161" s="213"/>
      <c r="E9161" s="226"/>
      <c r="F9161" s="155"/>
      <c r="G9161" s="143"/>
    </row>
    <row r="9162" spans="2:7" s="196" customFormat="1">
      <c r="B9162" s="142"/>
      <c r="C9162" s="235"/>
      <c r="D9162" s="213"/>
      <c r="E9162" s="226"/>
      <c r="F9162" s="155"/>
      <c r="G9162" s="143"/>
    </row>
    <row r="9163" spans="2:7" s="196" customFormat="1">
      <c r="B9163" s="142"/>
      <c r="C9163" s="235"/>
      <c r="D9163" s="213"/>
      <c r="E9163" s="226"/>
      <c r="F9163" s="155"/>
      <c r="G9163" s="143"/>
    </row>
    <row r="9164" spans="2:7" s="196" customFormat="1">
      <c r="B9164" s="142"/>
      <c r="C9164" s="235"/>
      <c r="D9164" s="213"/>
      <c r="E9164" s="226"/>
      <c r="F9164" s="155"/>
      <c r="G9164" s="143"/>
    </row>
    <row r="9165" spans="2:7" s="196" customFormat="1">
      <c r="B9165" s="142"/>
      <c r="C9165" s="235"/>
      <c r="D9165" s="213"/>
      <c r="E9165" s="226"/>
      <c r="F9165" s="155"/>
      <c r="G9165" s="143"/>
    </row>
    <row r="9166" spans="2:7" s="196" customFormat="1">
      <c r="B9166" s="142"/>
      <c r="C9166" s="235"/>
      <c r="D9166" s="213"/>
      <c r="E9166" s="226"/>
      <c r="F9166" s="155"/>
      <c r="G9166" s="143"/>
    </row>
    <row r="9167" spans="2:7" s="196" customFormat="1">
      <c r="B9167" s="142"/>
      <c r="C9167" s="235"/>
      <c r="D9167" s="213"/>
      <c r="E9167" s="226"/>
      <c r="F9167" s="155"/>
      <c r="G9167" s="143"/>
    </row>
    <row r="9168" spans="2:7" s="196" customFormat="1">
      <c r="B9168" s="142"/>
      <c r="C9168" s="235"/>
      <c r="D9168" s="213"/>
      <c r="E9168" s="226"/>
      <c r="F9168" s="155"/>
      <c r="G9168" s="143"/>
    </row>
    <row r="9169" spans="2:7" s="196" customFormat="1">
      <c r="B9169" s="142"/>
      <c r="C9169" s="235"/>
      <c r="D9169" s="213"/>
      <c r="E9169" s="226"/>
      <c r="F9169" s="155"/>
      <c r="G9169" s="143"/>
    </row>
    <row r="9170" spans="2:7" s="196" customFormat="1">
      <c r="B9170" s="142"/>
      <c r="C9170" s="235"/>
      <c r="D9170" s="213"/>
      <c r="E9170" s="226"/>
      <c r="F9170" s="155"/>
      <c r="G9170" s="143"/>
    </row>
    <row r="9171" spans="2:7" s="196" customFormat="1">
      <c r="B9171" s="142"/>
      <c r="C9171" s="235"/>
      <c r="D9171" s="213"/>
      <c r="E9171" s="226"/>
      <c r="F9171" s="155"/>
      <c r="G9171" s="143"/>
    </row>
    <row r="9172" spans="2:7" s="196" customFormat="1">
      <c r="B9172" s="142"/>
      <c r="C9172" s="235"/>
      <c r="D9172" s="213"/>
      <c r="E9172" s="226"/>
      <c r="F9172" s="155"/>
      <c r="G9172" s="143"/>
    </row>
    <row r="9173" spans="2:7" s="196" customFormat="1">
      <c r="B9173" s="142"/>
      <c r="C9173" s="235"/>
      <c r="D9173" s="213"/>
      <c r="E9173" s="226"/>
      <c r="F9173" s="155"/>
      <c r="G9173" s="143"/>
    </row>
    <row r="9174" spans="2:7" s="196" customFormat="1">
      <c r="B9174" s="142"/>
      <c r="C9174" s="235"/>
      <c r="D9174" s="213"/>
      <c r="E9174" s="226"/>
      <c r="F9174" s="155"/>
      <c r="G9174" s="143"/>
    </row>
    <row r="9175" spans="2:7" s="196" customFormat="1">
      <c r="B9175" s="142"/>
      <c r="C9175" s="235"/>
      <c r="D9175" s="213"/>
      <c r="E9175" s="226"/>
      <c r="F9175" s="155"/>
      <c r="G9175" s="143"/>
    </row>
    <row r="9176" spans="2:7" s="196" customFormat="1">
      <c r="B9176" s="142"/>
      <c r="C9176" s="235"/>
      <c r="D9176" s="213"/>
      <c r="E9176" s="226"/>
      <c r="F9176" s="155"/>
      <c r="G9176" s="143"/>
    </row>
    <row r="9177" spans="2:7" s="196" customFormat="1">
      <c r="B9177" s="142"/>
      <c r="C9177" s="235"/>
      <c r="D9177" s="213"/>
      <c r="E9177" s="226"/>
      <c r="F9177" s="155"/>
      <c r="G9177" s="143"/>
    </row>
    <row r="9178" spans="2:7" s="196" customFormat="1">
      <c r="B9178" s="142"/>
      <c r="C9178" s="235"/>
      <c r="D9178" s="213"/>
      <c r="E9178" s="226"/>
      <c r="F9178" s="155"/>
      <c r="G9178" s="143"/>
    </row>
    <row r="9179" spans="2:7" s="196" customFormat="1">
      <c r="B9179" s="142"/>
      <c r="C9179" s="235"/>
      <c r="D9179" s="213"/>
      <c r="E9179" s="226"/>
      <c r="F9179" s="155"/>
      <c r="G9179" s="143"/>
    </row>
    <row r="9180" spans="2:7" s="196" customFormat="1">
      <c r="B9180" s="142"/>
      <c r="C9180" s="235"/>
      <c r="D9180" s="213"/>
      <c r="E9180" s="226"/>
      <c r="F9180" s="155"/>
      <c r="G9180" s="143"/>
    </row>
    <row r="9181" spans="2:7" s="196" customFormat="1">
      <c r="B9181" s="142"/>
      <c r="C9181" s="235"/>
      <c r="D9181" s="213"/>
      <c r="E9181" s="226"/>
      <c r="F9181" s="155"/>
      <c r="G9181" s="143"/>
    </row>
    <row r="9182" spans="2:7" s="196" customFormat="1">
      <c r="B9182" s="142"/>
      <c r="C9182" s="235"/>
      <c r="D9182" s="213"/>
      <c r="E9182" s="226"/>
      <c r="F9182" s="155"/>
      <c r="G9182" s="143"/>
    </row>
    <row r="9183" spans="2:7" s="196" customFormat="1">
      <c r="B9183" s="142"/>
      <c r="C9183" s="235"/>
      <c r="D9183" s="213"/>
      <c r="E9183" s="226"/>
      <c r="F9183" s="155"/>
      <c r="G9183" s="143"/>
    </row>
    <row r="9184" spans="2:7" s="196" customFormat="1">
      <c r="B9184" s="142"/>
      <c r="C9184" s="235"/>
      <c r="D9184" s="213"/>
      <c r="E9184" s="226"/>
      <c r="F9184" s="155"/>
      <c r="G9184" s="143"/>
    </row>
    <row r="9185" spans="2:7" s="196" customFormat="1">
      <c r="B9185" s="142"/>
      <c r="C9185" s="235"/>
      <c r="D9185" s="213"/>
      <c r="E9185" s="226"/>
      <c r="F9185" s="155"/>
      <c r="G9185" s="143"/>
    </row>
    <row r="9186" spans="2:7" s="196" customFormat="1">
      <c r="B9186" s="142"/>
      <c r="C9186" s="235"/>
      <c r="D9186" s="213"/>
      <c r="E9186" s="226"/>
      <c r="F9186" s="155"/>
      <c r="G9186" s="143"/>
    </row>
    <row r="9187" spans="2:7" s="196" customFormat="1">
      <c r="B9187" s="142"/>
      <c r="C9187" s="235"/>
      <c r="D9187" s="213"/>
      <c r="E9187" s="226"/>
      <c r="F9187" s="155"/>
      <c r="G9187" s="143"/>
    </row>
    <row r="9188" spans="2:7" s="196" customFormat="1">
      <c r="B9188" s="142"/>
      <c r="C9188" s="235"/>
      <c r="D9188" s="213"/>
      <c r="E9188" s="226"/>
      <c r="F9188" s="155"/>
      <c r="G9188" s="143"/>
    </row>
    <row r="9189" spans="2:7" s="196" customFormat="1">
      <c r="B9189" s="142"/>
      <c r="C9189" s="235"/>
      <c r="D9189" s="213"/>
      <c r="E9189" s="226"/>
      <c r="F9189" s="155"/>
      <c r="G9189" s="143"/>
    </row>
    <row r="9190" spans="2:7" s="196" customFormat="1">
      <c r="B9190" s="142"/>
      <c r="C9190" s="235"/>
      <c r="D9190" s="213"/>
      <c r="E9190" s="226"/>
      <c r="F9190" s="155"/>
      <c r="G9190" s="143"/>
    </row>
    <row r="9191" spans="2:7" s="196" customFormat="1">
      <c r="B9191" s="142"/>
      <c r="C9191" s="235"/>
      <c r="D9191" s="213"/>
      <c r="E9191" s="226"/>
      <c r="F9191" s="155"/>
      <c r="G9191" s="143"/>
    </row>
    <row r="9192" spans="2:7" s="196" customFormat="1">
      <c r="B9192" s="142"/>
      <c r="C9192" s="235"/>
      <c r="D9192" s="213"/>
      <c r="E9192" s="226"/>
      <c r="F9192" s="155"/>
      <c r="G9192" s="143"/>
    </row>
    <row r="9193" spans="2:7" s="196" customFormat="1">
      <c r="B9193" s="142"/>
      <c r="C9193" s="235"/>
      <c r="D9193" s="213"/>
      <c r="E9193" s="226"/>
      <c r="F9193" s="155"/>
      <c r="G9193" s="143"/>
    </row>
    <row r="9194" spans="2:7" s="196" customFormat="1">
      <c r="B9194" s="142"/>
      <c r="C9194" s="235"/>
      <c r="D9194" s="213"/>
      <c r="E9194" s="226"/>
      <c r="F9194" s="155"/>
      <c r="G9194" s="143"/>
    </row>
    <row r="9195" spans="2:7" s="196" customFormat="1">
      <c r="B9195" s="142"/>
      <c r="C9195" s="235"/>
      <c r="D9195" s="213"/>
      <c r="E9195" s="226"/>
      <c r="F9195" s="155"/>
      <c r="G9195" s="143"/>
    </row>
    <row r="9196" spans="2:7" s="196" customFormat="1">
      <c r="B9196" s="142"/>
      <c r="C9196" s="235"/>
      <c r="D9196" s="213"/>
      <c r="E9196" s="226"/>
      <c r="F9196" s="155"/>
      <c r="G9196" s="143"/>
    </row>
    <row r="9197" spans="2:7" s="196" customFormat="1">
      <c r="B9197" s="142"/>
      <c r="C9197" s="235"/>
      <c r="D9197" s="213"/>
      <c r="E9197" s="226"/>
      <c r="F9197" s="155"/>
      <c r="G9197" s="143"/>
    </row>
    <row r="9198" spans="2:7" s="196" customFormat="1">
      <c r="B9198" s="142"/>
      <c r="C9198" s="235"/>
      <c r="D9198" s="213"/>
      <c r="E9198" s="226"/>
      <c r="F9198" s="155"/>
      <c r="G9198" s="143"/>
    </row>
    <row r="9199" spans="2:7" s="196" customFormat="1">
      <c r="B9199" s="142"/>
      <c r="C9199" s="235"/>
      <c r="D9199" s="213"/>
      <c r="E9199" s="226"/>
      <c r="F9199" s="155"/>
      <c r="G9199" s="143"/>
    </row>
    <row r="9200" spans="2:7" s="196" customFormat="1">
      <c r="B9200" s="142"/>
      <c r="C9200" s="235"/>
      <c r="D9200" s="213"/>
      <c r="E9200" s="226"/>
      <c r="F9200" s="155"/>
      <c r="G9200" s="143"/>
    </row>
    <row r="9201" spans="2:7" s="196" customFormat="1">
      <c r="B9201" s="142"/>
      <c r="C9201" s="235"/>
      <c r="D9201" s="213"/>
      <c r="E9201" s="226"/>
      <c r="F9201" s="155"/>
      <c r="G9201" s="143"/>
    </row>
    <row r="9202" spans="2:7" s="196" customFormat="1">
      <c r="B9202" s="142"/>
      <c r="C9202" s="235"/>
      <c r="D9202" s="213"/>
      <c r="E9202" s="226"/>
      <c r="F9202" s="155"/>
      <c r="G9202" s="143"/>
    </row>
    <row r="9203" spans="2:7" s="196" customFormat="1">
      <c r="B9203" s="142"/>
      <c r="C9203" s="235"/>
      <c r="D9203" s="213"/>
      <c r="E9203" s="226"/>
      <c r="F9203" s="155"/>
      <c r="G9203" s="143"/>
    </row>
    <row r="9204" spans="2:7" s="196" customFormat="1">
      <c r="B9204" s="142"/>
      <c r="C9204" s="235"/>
      <c r="D9204" s="213"/>
      <c r="E9204" s="226"/>
      <c r="F9204" s="155"/>
      <c r="G9204" s="143"/>
    </row>
    <row r="9205" spans="2:7" s="196" customFormat="1">
      <c r="B9205" s="142"/>
      <c r="C9205" s="235"/>
      <c r="D9205" s="213"/>
      <c r="E9205" s="226"/>
      <c r="F9205" s="155"/>
      <c r="G9205" s="143"/>
    </row>
    <row r="9206" spans="2:7" s="196" customFormat="1">
      <c r="B9206" s="142"/>
      <c r="C9206" s="235"/>
      <c r="D9206" s="213"/>
      <c r="E9206" s="226"/>
      <c r="F9206" s="155"/>
      <c r="G9206" s="143"/>
    </row>
    <row r="9207" spans="2:7" s="196" customFormat="1">
      <c r="B9207" s="142"/>
      <c r="C9207" s="235"/>
      <c r="D9207" s="213"/>
      <c r="E9207" s="226"/>
      <c r="F9207" s="155"/>
      <c r="G9207" s="143"/>
    </row>
    <row r="9208" spans="2:7" s="196" customFormat="1">
      <c r="B9208" s="142"/>
      <c r="C9208" s="235"/>
      <c r="D9208" s="213"/>
      <c r="E9208" s="226"/>
      <c r="F9208" s="155"/>
      <c r="G9208" s="143"/>
    </row>
    <row r="9209" spans="2:7" s="196" customFormat="1">
      <c r="B9209" s="142"/>
      <c r="C9209" s="235"/>
      <c r="D9209" s="213"/>
      <c r="E9209" s="226"/>
      <c r="F9209" s="155"/>
      <c r="G9209" s="143"/>
    </row>
    <row r="9210" spans="2:7" s="196" customFormat="1">
      <c r="B9210" s="142"/>
      <c r="C9210" s="235"/>
      <c r="D9210" s="213"/>
      <c r="E9210" s="226"/>
      <c r="F9210" s="155"/>
      <c r="G9210" s="143"/>
    </row>
    <row r="9211" spans="2:7" s="196" customFormat="1">
      <c r="B9211" s="142"/>
      <c r="C9211" s="235"/>
      <c r="D9211" s="213"/>
      <c r="E9211" s="226"/>
      <c r="F9211" s="155"/>
      <c r="G9211" s="143"/>
    </row>
    <row r="9212" spans="2:7" s="196" customFormat="1">
      <c r="B9212" s="142"/>
      <c r="C9212" s="235"/>
      <c r="D9212" s="213"/>
      <c r="E9212" s="226"/>
      <c r="F9212" s="155"/>
      <c r="G9212" s="143"/>
    </row>
    <row r="9213" spans="2:7" s="196" customFormat="1">
      <c r="B9213" s="142"/>
      <c r="C9213" s="235"/>
      <c r="D9213" s="213"/>
      <c r="E9213" s="226"/>
      <c r="F9213" s="155"/>
      <c r="G9213" s="143"/>
    </row>
    <row r="9214" spans="2:7" s="196" customFormat="1">
      <c r="B9214" s="142"/>
      <c r="C9214" s="235"/>
      <c r="D9214" s="213"/>
      <c r="E9214" s="226"/>
      <c r="F9214" s="155"/>
      <c r="G9214" s="143"/>
    </row>
    <row r="9215" spans="2:7" s="196" customFormat="1">
      <c r="B9215" s="142"/>
      <c r="C9215" s="235"/>
      <c r="D9215" s="213"/>
      <c r="E9215" s="226"/>
      <c r="F9215" s="155"/>
      <c r="G9215" s="143"/>
    </row>
    <row r="9216" spans="2:7" s="196" customFormat="1">
      <c r="B9216" s="142"/>
      <c r="C9216" s="235"/>
      <c r="D9216" s="213"/>
      <c r="E9216" s="226"/>
      <c r="F9216" s="155"/>
      <c r="G9216" s="143"/>
    </row>
    <row r="9217" spans="2:7" s="196" customFormat="1">
      <c r="B9217" s="142"/>
      <c r="C9217" s="235"/>
      <c r="D9217" s="213"/>
      <c r="E9217" s="226"/>
      <c r="F9217" s="155"/>
      <c r="G9217" s="143"/>
    </row>
    <row r="9218" spans="2:7" s="196" customFormat="1">
      <c r="B9218" s="142"/>
      <c r="C9218" s="235"/>
      <c r="D9218" s="213"/>
      <c r="E9218" s="226"/>
      <c r="F9218" s="155"/>
      <c r="G9218" s="143"/>
    </row>
    <row r="9219" spans="2:7" s="196" customFormat="1">
      <c r="B9219" s="142"/>
      <c r="C9219" s="235"/>
      <c r="D9219" s="213"/>
      <c r="E9219" s="226"/>
      <c r="F9219" s="155"/>
      <c r="G9219" s="143"/>
    </row>
    <row r="9220" spans="2:7" s="196" customFormat="1">
      <c r="B9220" s="142"/>
      <c r="C9220" s="235"/>
      <c r="D9220" s="213"/>
      <c r="E9220" s="226"/>
      <c r="F9220" s="155"/>
      <c r="G9220" s="143"/>
    </row>
    <row r="9221" spans="2:7" s="196" customFormat="1">
      <c r="B9221" s="142"/>
      <c r="C9221" s="235"/>
      <c r="D9221" s="213"/>
      <c r="E9221" s="226"/>
      <c r="F9221" s="155"/>
      <c r="G9221" s="143"/>
    </row>
    <row r="9222" spans="2:7" s="196" customFormat="1">
      <c r="B9222" s="142"/>
      <c r="C9222" s="235"/>
      <c r="D9222" s="213"/>
      <c r="E9222" s="226"/>
      <c r="F9222" s="155"/>
      <c r="G9222" s="143"/>
    </row>
    <row r="9223" spans="2:7" s="196" customFormat="1">
      <c r="B9223" s="142"/>
      <c r="C9223" s="235"/>
      <c r="D9223" s="213"/>
      <c r="E9223" s="226"/>
      <c r="F9223" s="155"/>
      <c r="G9223" s="143"/>
    </row>
    <row r="9224" spans="2:7" s="196" customFormat="1">
      <c r="B9224" s="142"/>
      <c r="C9224" s="235"/>
      <c r="D9224" s="213"/>
      <c r="E9224" s="226"/>
      <c r="F9224" s="155"/>
      <c r="G9224" s="143"/>
    </row>
    <row r="9225" spans="2:7" s="196" customFormat="1">
      <c r="B9225" s="142"/>
      <c r="C9225" s="235"/>
      <c r="D9225" s="213"/>
      <c r="E9225" s="226"/>
      <c r="F9225" s="155"/>
      <c r="G9225" s="143"/>
    </row>
    <row r="9226" spans="2:7" s="196" customFormat="1">
      <c r="B9226" s="142"/>
      <c r="C9226" s="235"/>
      <c r="D9226" s="213"/>
      <c r="E9226" s="226"/>
      <c r="F9226" s="155"/>
      <c r="G9226" s="143"/>
    </row>
    <row r="9227" spans="2:7" s="196" customFormat="1">
      <c r="B9227" s="142"/>
      <c r="C9227" s="235"/>
      <c r="D9227" s="213"/>
      <c r="E9227" s="226"/>
      <c r="F9227" s="155"/>
      <c r="G9227" s="143"/>
    </row>
    <row r="9228" spans="2:7" s="196" customFormat="1">
      <c r="B9228" s="142"/>
      <c r="C9228" s="235"/>
      <c r="D9228" s="213"/>
      <c r="E9228" s="226"/>
      <c r="F9228" s="155"/>
      <c r="G9228" s="143"/>
    </row>
    <row r="9229" spans="2:7" s="196" customFormat="1">
      <c r="B9229" s="142"/>
      <c r="C9229" s="235"/>
      <c r="D9229" s="213"/>
      <c r="E9229" s="226"/>
      <c r="F9229" s="155"/>
      <c r="G9229" s="143"/>
    </row>
    <row r="9230" spans="2:7" s="196" customFormat="1">
      <c r="B9230" s="142"/>
      <c r="C9230" s="235"/>
      <c r="D9230" s="213"/>
      <c r="E9230" s="226"/>
      <c r="F9230" s="155"/>
      <c r="G9230" s="143"/>
    </row>
    <row r="9231" spans="2:7" s="196" customFormat="1">
      <c r="B9231" s="142"/>
      <c r="C9231" s="235"/>
      <c r="D9231" s="213"/>
      <c r="E9231" s="226"/>
      <c r="F9231" s="155"/>
      <c r="G9231" s="143"/>
    </row>
    <row r="9232" spans="2:7" s="196" customFormat="1">
      <c r="B9232" s="142"/>
      <c r="C9232" s="235"/>
      <c r="D9232" s="213"/>
      <c r="E9232" s="226"/>
      <c r="F9232" s="155"/>
      <c r="G9232" s="143"/>
    </row>
    <row r="9233" spans="2:7" s="196" customFormat="1">
      <c r="B9233" s="142"/>
      <c r="C9233" s="235"/>
      <c r="D9233" s="213"/>
      <c r="E9233" s="226"/>
      <c r="F9233" s="155"/>
      <c r="G9233" s="143"/>
    </row>
    <row r="9234" spans="2:7" s="196" customFormat="1">
      <c r="B9234" s="142"/>
      <c r="C9234" s="235"/>
      <c r="D9234" s="213"/>
      <c r="E9234" s="226"/>
      <c r="F9234" s="155"/>
      <c r="G9234" s="143"/>
    </row>
    <row r="9235" spans="2:7" s="196" customFormat="1">
      <c r="B9235" s="142"/>
      <c r="C9235" s="235"/>
      <c r="D9235" s="213"/>
      <c r="E9235" s="226"/>
      <c r="F9235" s="155"/>
      <c r="G9235" s="143"/>
    </row>
    <row r="9236" spans="2:7" s="196" customFormat="1">
      <c r="B9236" s="142"/>
      <c r="C9236" s="235"/>
      <c r="D9236" s="213"/>
      <c r="E9236" s="226"/>
      <c r="F9236" s="155"/>
      <c r="G9236" s="143"/>
    </row>
    <row r="9237" spans="2:7" s="196" customFormat="1">
      <c r="B9237" s="142"/>
      <c r="C9237" s="235"/>
      <c r="D9237" s="213"/>
      <c r="E9237" s="226"/>
      <c r="F9237" s="155"/>
      <c r="G9237" s="143"/>
    </row>
    <row r="9238" spans="2:7" s="196" customFormat="1">
      <c r="B9238" s="142"/>
      <c r="C9238" s="235"/>
      <c r="D9238" s="213"/>
      <c r="E9238" s="226"/>
      <c r="F9238" s="155"/>
      <c r="G9238" s="143"/>
    </row>
    <row r="9239" spans="2:7" s="196" customFormat="1">
      <c r="B9239" s="142"/>
      <c r="C9239" s="235"/>
      <c r="D9239" s="213"/>
      <c r="E9239" s="226"/>
      <c r="F9239" s="155"/>
      <c r="G9239" s="143"/>
    </row>
    <row r="9240" spans="2:7" s="196" customFormat="1">
      <c r="B9240" s="142"/>
      <c r="C9240" s="235"/>
      <c r="D9240" s="213"/>
      <c r="E9240" s="226"/>
      <c r="F9240" s="155"/>
      <c r="G9240" s="143"/>
    </row>
    <row r="9241" spans="2:7" s="196" customFormat="1">
      <c r="B9241" s="142"/>
      <c r="C9241" s="235"/>
      <c r="D9241" s="213"/>
      <c r="E9241" s="226"/>
      <c r="F9241" s="155"/>
      <c r="G9241" s="143"/>
    </row>
    <row r="9242" spans="2:7" s="196" customFormat="1">
      <c r="B9242" s="142"/>
      <c r="C9242" s="235"/>
      <c r="D9242" s="213"/>
      <c r="E9242" s="226"/>
      <c r="F9242" s="155"/>
      <c r="G9242" s="143"/>
    </row>
    <row r="9243" spans="2:7" s="196" customFormat="1">
      <c r="B9243" s="142"/>
      <c r="C9243" s="235"/>
      <c r="D9243" s="213"/>
      <c r="E9243" s="226"/>
      <c r="F9243" s="155"/>
      <c r="G9243" s="143"/>
    </row>
    <row r="9244" spans="2:7" s="196" customFormat="1">
      <c r="B9244" s="142"/>
      <c r="C9244" s="235"/>
      <c r="D9244" s="213"/>
      <c r="E9244" s="226"/>
      <c r="F9244" s="155"/>
      <c r="G9244" s="143"/>
    </row>
    <row r="9245" spans="2:7" s="196" customFormat="1">
      <c r="B9245" s="142"/>
      <c r="C9245" s="235"/>
      <c r="D9245" s="213"/>
      <c r="E9245" s="226"/>
      <c r="F9245" s="155"/>
      <c r="G9245" s="143"/>
    </row>
    <row r="9246" spans="2:7" s="196" customFormat="1">
      <c r="B9246" s="142"/>
      <c r="C9246" s="235"/>
      <c r="D9246" s="213"/>
      <c r="E9246" s="226"/>
      <c r="F9246" s="155"/>
      <c r="G9246" s="143"/>
    </row>
    <row r="9247" spans="2:7" s="196" customFormat="1">
      <c r="B9247" s="142"/>
      <c r="C9247" s="235"/>
      <c r="D9247" s="213"/>
      <c r="E9247" s="226"/>
      <c r="F9247" s="155"/>
      <c r="G9247" s="143"/>
    </row>
    <row r="9248" spans="2:7" s="196" customFormat="1">
      <c r="B9248" s="142"/>
      <c r="C9248" s="235"/>
      <c r="D9248" s="213"/>
      <c r="E9248" s="226"/>
      <c r="F9248" s="155"/>
      <c r="G9248" s="143"/>
    </row>
    <row r="9249" spans="2:7" s="196" customFormat="1">
      <c r="B9249" s="142"/>
      <c r="C9249" s="235"/>
      <c r="D9249" s="213"/>
      <c r="E9249" s="226"/>
      <c r="F9249" s="155"/>
      <c r="G9249" s="143"/>
    </row>
    <row r="9250" spans="2:7" s="196" customFormat="1">
      <c r="B9250" s="142"/>
      <c r="C9250" s="235"/>
      <c r="D9250" s="213"/>
      <c r="E9250" s="226"/>
      <c r="F9250" s="155"/>
      <c r="G9250" s="143"/>
    </row>
    <row r="9251" spans="2:7" s="196" customFormat="1">
      <c r="B9251" s="142"/>
      <c r="C9251" s="235"/>
      <c r="D9251" s="213"/>
      <c r="E9251" s="226"/>
      <c r="F9251" s="155"/>
      <c r="G9251" s="143"/>
    </row>
    <row r="9252" spans="2:7" s="196" customFormat="1">
      <c r="B9252" s="142"/>
      <c r="C9252" s="235"/>
      <c r="D9252" s="213"/>
      <c r="E9252" s="226"/>
      <c r="F9252" s="155"/>
      <c r="G9252" s="143"/>
    </row>
    <row r="9253" spans="2:7" s="196" customFormat="1">
      <c r="B9253" s="142"/>
      <c r="C9253" s="235"/>
      <c r="D9253" s="213"/>
      <c r="E9253" s="226"/>
      <c r="F9253" s="155"/>
      <c r="G9253" s="143"/>
    </row>
    <row r="9254" spans="2:7" s="196" customFormat="1">
      <c r="B9254" s="142"/>
      <c r="C9254" s="235"/>
      <c r="D9254" s="213"/>
      <c r="E9254" s="226"/>
      <c r="F9254" s="155"/>
      <c r="G9254" s="143"/>
    </row>
    <row r="9255" spans="2:7" s="196" customFormat="1">
      <c r="B9255" s="142"/>
      <c r="C9255" s="235"/>
      <c r="D9255" s="213"/>
      <c r="E9255" s="226"/>
      <c r="F9255" s="155"/>
      <c r="G9255" s="143"/>
    </row>
    <row r="9256" spans="2:7" s="196" customFormat="1">
      <c r="B9256" s="142"/>
      <c r="C9256" s="235"/>
      <c r="D9256" s="213"/>
      <c r="E9256" s="226"/>
      <c r="F9256" s="155"/>
      <c r="G9256" s="143"/>
    </row>
    <row r="9257" spans="2:7" s="196" customFormat="1">
      <c r="B9257" s="142"/>
      <c r="C9257" s="235"/>
      <c r="D9257" s="213"/>
      <c r="E9257" s="226"/>
      <c r="F9257" s="155"/>
      <c r="G9257" s="143"/>
    </row>
    <row r="9258" spans="2:7" s="196" customFormat="1">
      <c r="B9258" s="142"/>
      <c r="C9258" s="235"/>
      <c r="D9258" s="213"/>
      <c r="E9258" s="226"/>
      <c r="F9258" s="155"/>
      <c r="G9258" s="143"/>
    </row>
    <row r="9259" spans="2:7" s="196" customFormat="1">
      <c r="B9259" s="142"/>
      <c r="C9259" s="235"/>
      <c r="D9259" s="213"/>
      <c r="E9259" s="226"/>
      <c r="F9259" s="155"/>
      <c r="G9259" s="143"/>
    </row>
    <row r="9260" spans="2:7" s="196" customFormat="1">
      <c r="B9260" s="142"/>
      <c r="C9260" s="235"/>
      <c r="D9260" s="213"/>
      <c r="E9260" s="226"/>
      <c r="F9260" s="155"/>
      <c r="G9260" s="143"/>
    </row>
    <row r="9261" spans="2:7" s="196" customFormat="1">
      <c r="B9261" s="142"/>
      <c r="C9261" s="235"/>
      <c r="D9261" s="213"/>
      <c r="E9261" s="226"/>
      <c r="F9261" s="155"/>
      <c r="G9261" s="143"/>
    </row>
    <row r="9262" spans="2:7" s="196" customFormat="1">
      <c r="B9262" s="142"/>
      <c r="C9262" s="235"/>
      <c r="D9262" s="213"/>
      <c r="E9262" s="226"/>
      <c r="F9262" s="155"/>
      <c r="G9262" s="143"/>
    </row>
    <row r="9263" spans="2:7" s="196" customFormat="1">
      <c r="B9263" s="142"/>
      <c r="C9263" s="235"/>
      <c r="D9263" s="213"/>
      <c r="E9263" s="226"/>
      <c r="F9263" s="155"/>
      <c r="G9263" s="143"/>
    </row>
    <row r="9264" spans="2:7" s="196" customFormat="1">
      <c r="B9264" s="142"/>
      <c r="C9264" s="235"/>
      <c r="D9264" s="213"/>
      <c r="E9264" s="226"/>
      <c r="F9264" s="155"/>
      <c r="G9264" s="143"/>
    </row>
    <row r="9265" spans="2:7" s="196" customFormat="1">
      <c r="B9265" s="142"/>
      <c r="C9265" s="235"/>
      <c r="D9265" s="213"/>
      <c r="E9265" s="226"/>
      <c r="F9265" s="155"/>
      <c r="G9265" s="143"/>
    </row>
    <row r="9266" spans="2:7" s="196" customFormat="1">
      <c r="B9266" s="142"/>
      <c r="C9266" s="235"/>
      <c r="D9266" s="213"/>
      <c r="E9266" s="226"/>
      <c r="F9266" s="155"/>
      <c r="G9266" s="143"/>
    </row>
    <row r="9267" spans="2:7" s="196" customFormat="1">
      <c r="B9267" s="142"/>
      <c r="C9267" s="235"/>
      <c r="D9267" s="213"/>
      <c r="E9267" s="226"/>
      <c r="F9267" s="155"/>
      <c r="G9267" s="143"/>
    </row>
    <row r="9268" spans="2:7" s="196" customFormat="1">
      <c r="B9268" s="142"/>
      <c r="C9268" s="235"/>
      <c r="D9268" s="213"/>
      <c r="E9268" s="226"/>
      <c r="F9268" s="155"/>
      <c r="G9268" s="143"/>
    </row>
    <row r="9269" spans="2:7" s="196" customFormat="1">
      <c r="B9269" s="142"/>
      <c r="C9269" s="235"/>
      <c r="D9269" s="213"/>
      <c r="E9269" s="226"/>
      <c r="F9269" s="155"/>
      <c r="G9269" s="143"/>
    </row>
    <row r="9270" spans="2:7" s="196" customFormat="1">
      <c r="B9270" s="142"/>
      <c r="C9270" s="235"/>
      <c r="D9270" s="213"/>
      <c r="E9270" s="226"/>
      <c r="F9270" s="155"/>
      <c r="G9270" s="143"/>
    </row>
    <row r="9271" spans="2:7" s="196" customFormat="1">
      <c r="B9271" s="142"/>
      <c r="C9271" s="235"/>
      <c r="D9271" s="213"/>
      <c r="E9271" s="226"/>
      <c r="F9271" s="155"/>
      <c r="G9271" s="143"/>
    </row>
    <row r="9272" spans="2:7" s="196" customFormat="1">
      <c r="B9272" s="142"/>
      <c r="C9272" s="235"/>
      <c r="D9272" s="213"/>
      <c r="E9272" s="226"/>
      <c r="F9272" s="155"/>
      <c r="G9272" s="143"/>
    </row>
    <row r="9273" spans="2:7" s="196" customFormat="1">
      <c r="B9273" s="142"/>
      <c r="C9273" s="235"/>
      <c r="D9273" s="213"/>
      <c r="E9273" s="226"/>
      <c r="F9273" s="155"/>
      <c r="G9273" s="143"/>
    </row>
    <row r="9274" spans="2:7" s="196" customFormat="1">
      <c r="B9274" s="142"/>
      <c r="C9274" s="235"/>
      <c r="D9274" s="213"/>
      <c r="E9274" s="226"/>
      <c r="F9274" s="155"/>
      <c r="G9274" s="143"/>
    </row>
    <row r="9275" spans="2:7" s="196" customFormat="1">
      <c r="B9275" s="142"/>
      <c r="C9275" s="235"/>
      <c r="D9275" s="213"/>
      <c r="E9275" s="226"/>
      <c r="F9275" s="155"/>
      <c r="G9275" s="143"/>
    </row>
    <row r="9276" spans="2:7" s="196" customFormat="1">
      <c r="B9276" s="142"/>
      <c r="C9276" s="235"/>
      <c r="D9276" s="213"/>
      <c r="E9276" s="226"/>
      <c r="F9276" s="155"/>
      <c r="G9276" s="143"/>
    </row>
    <row r="9277" spans="2:7" s="196" customFormat="1">
      <c r="B9277" s="142"/>
      <c r="C9277" s="235"/>
      <c r="D9277" s="213"/>
      <c r="E9277" s="226"/>
      <c r="F9277" s="155"/>
      <c r="G9277" s="143"/>
    </row>
    <row r="9278" spans="2:7" s="196" customFormat="1">
      <c r="B9278" s="142"/>
      <c r="C9278" s="235"/>
      <c r="D9278" s="213"/>
      <c r="E9278" s="226"/>
      <c r="F9278" s="155"/>
      <c r="G9278" s="143"/>
    </row>
    <row r="9279" spans="2:7" s="196" customFormat="1">
      <c r="B9279" s="142"/>
      <c r="C9279" s="235"/>
      <c r="D9279" s="213"/>
      <c r="E9279" s="226"/>
      <c r="F9279" s="155"/>
      <c r="G9279" s="143"/>
    </row>
    <row r="9280" spans="2:7" s="196" customFormat="1">
      <c r="B9280" s="142"/>
      <c r="C9280" s="235"/>
      <c r="D9280" s="213"/>
      <c r="E9280" s="226"/>
      <c r="F9280" s="155"/>
      <c r="G9280" s="143"/>
    </row>
    <row r="9281" spans="2:7" s="196" customFormat="1">
      <c r="B9281" s="142"/>
      <c r="C9281" s="235"/>
      <c r="D9281" s="213"/>
      <c r="E9281" s="226"/>
      <c r="F9281" s="155"/>
      <c r="G9281" s="143"/>
    </row>
    <row r="9282" spans="2:7" s="196" customFormat="1">
      <c r="B9282" s="142"/>
      <c r="C9282" s="235"/>
      <c r="D9282" s="213"/>
      <c r="E9282" s="226"/>
      <c r="F9282" s="155"/>
      <c r="G9282" s="143"/>
    </row>
    <row r="9283" spans="2:7" s="196" customFormat="1">
      <c r="B9283" s="142"/>
      <c r="C9283" s="235"/>
      <c r="D9283" s="213"/>
      <c r="E9283" s="226"/>
      <c r="F9283" s="155"/>
      <c r="G9283" s="143"/>
    </row>
    <row r="9284" spans="2:7" s="196" customFormat="1">
      <c r="B9284" s="142"/>
      <c r="C9284" s="235"/>
      <c r="D9284" s="213"/>
      <c r="E9284" s="226"/>
      <c r="F9284" s="155"/>
      <c r="G9284" s="143"/>
    </row>
    <row r="9285" spans="2:7" s="196" customFormat="1">
      <c r="B9285" s="142"/>
      <c r="C9285" s="235"/>
      <c r="D9285" s="213"/>
      <c r="E9285" s="226"/>
      <c r="F9285" s="155"/>
      <c r="G9285" s="143"/>
    </row>
    <row r="9286" spans="2:7" s="196" customFormat="1">
      <c r="B9286" s="142"/>
      <c r="C9286" s="235"/>
      <c r="D9286" s="213"/>
      <c r="E9286" s="226"/>
      <c r="F9286" s="155"/>
      <c r="G9286" s="143"/>
    </row>
    <row r="9287" spans="2:7" s="196" customFormat="1">
      <c r="B9287" s="142"/>
      <c r="C9287" s="235"/>
      <c r="D9287" s="213"/>
      <c r="E9287" s="226"/>
      <c r="F9287" s="155"/>
      <c r="G9287" s="143"/>
    </row>
    <row r="9288" spans="2:7" s="196" customFormat="1">
      <c r="B9288" s="142"/>
      <c r="C9288" s="235"/>
      <c r="D9288" s="213"/>
      <c r="E9288" s="226"/>
      <c r="F9288" s="155"/>
      <c r="G9288" s="143"/>
    </row>
    <row r="9289" spans="2:7" s="196" customFormat="1">
      <c r="B9289" s="142"/>
      <c r="C9289" s="235"/>
      <c r="D9289" s="213"/>
      <c r="E9289" s="226"/>
      <c r="F9289" s="155"/>
      <c r="G9289" s="143"/>
    </row>
    <row r="9290" spans="2:7" s="196" customFormat="1">
      <c r="B9290" s="142"/>
      <c r="C9290" s="235"/>
      <c r="D9290" s="213"/>
      <c r="E9290" s="226"/>
      <c r="F9290" s="155"/>
      <c r="G9290" s="143"/>
    </row>
    <row r="9291" spans="2:7" s="196" customFormat="1">
      <c r="B9291" s="142"/>
      <c r="C9291" s="235"/>
      <c r="D9291" s="213"/>
      <c r="E9291" s="226"/>
      <c r="F9291" s="155"/>
      <c r="G9291" s="143"/>
    </row>
    <row r="9292" spans="2:7" s="196" customFormat="1">
      <c r="B9292" s="142"/>
      <c r="C9292" s="235"/>
      <c r="D9292" s="213"/>
      <c r="E9292" s="226"/>
      <c r="F9292" s="155"/>
      <c r="G9292" s="143"/>
    </row>
    <row r="9293" spans="2:7" s="196" customFormat="1">
      <c r="B9293" s="142"/>
      <c r="C9293" s="235"/>
      <c r="D9293" s="213"/>
      <c r="E9293" s="226"/>
      <c r="F9293" s="155"/>
      <c r="G9293" s="143"/>
    </row>
    <row r="9294" spans="2:7" s="196" customFormat="1">
      <c r="B9294" s="142"/>
      <c r="C9294" s="235"/>
      <c r="D9294" s="213"/>
      <c r="E9294" s="226"/>
      <c r="F9294" s="155"/>
      <c r="G9294" s="143"/>
    </row>
    <row r="9295" spans="2:7" s="196" customFormat="1">
      <c r="B9295" s="142"/>
      <c r="C9295" s="235"/>
      <c r="D9295" s="213"/>
      <c r="E9295" s="226"/>
      <c r="F9295" s="155"/>
      <c r="G9295" s="143"/>
    </row>
    <row r="9296" spans="2:7" s="196" customFormat="1">
      <c r="B9296" s="142"/>
      <c r="C9296" s="235"/>
      <c r="D9296" s="213"/>
      <c r="E9296" s="226"/>
      <c r="F9296" s="155"/>
      <c r="G9296" s="143"/>
    </row>
    <row r="9297" spans="2:7" s="196" customFormat="1">
      <c r="B9297" s="142"/>
      <c r="C9297" s="235"/>
      <c r="D9297" s="213"/>
      <c r="E9297" s="226"/>
      <c r="F9297" s="155"/>
      <c r="G9297" s="143"/>
    </row>
    <row r="9298" spans="2:7" s="196" customFormat="1">
      <c r="B9298" s="142"/>
      <c r="C9298" s="235"/>
      <c r="D9298" s="213"/>
      <c r="E9298" s="226"/>
      <c r="F9298" s="155"/>
      <c r="G9298" s="143"/>
    </row>
    <row r="9299" spans="2:7" s="196" customFormat="1">
      <c r="B9299" s="142"/>
      <c r="C9299" s="235"/>
      <c r="D9299" s="213"/>
      <c r="E9299" s="226"/>
      <c r="F9299" s="155"/>
      <c r="G9299" s="143"/>
    </row>
    <row r="9300" spans="2:7" s="196" customFormat="1">
      <c r="B9300" s="142"/>
      <c r="C9300" s="235"/>
      <c r="D9300" s="213"/>
      <c r="E9300" s="226"/>
      <c r="F9300" s="155"/>
      <c r="G9300" s="143"/>
    </row>
    <row r="9301" spans="2:7" s="196" customFormat="1">
      <c r="B9301" s="142"/>
      <c r="C9301" s="235"/>
      <c r="D9301" s="213"/>
      <c r="E9301" s="226"/>
      <c r="F9301" s="155"/>
      <c r="G9301" s="143"/>
    </row>
    <row r="9302" spans="2:7" s="196" customFormat="1">
      <c r="B9302" s="142"/>
      <c r="C9302" s="235"/>
      <c r="D9302" s="213"/>
      <c r="E9302" s="226"/>
      <c r="F9302" s="155"/>
      <c r="G9302" s="143"/>
    </row>
    <row r="9303" spans="2:7" s="196" customFormat="1">
      <c r="B9303" s="142"/>
      <c r="C9303" s="235"/>
      <c r="D9303" s="213"/>
      <c r="E9303" s="226"/>
      <c r="F9303" s="155"/>
      <c r="G9303" s="143"/>
    </row>
    <row r="9304" spans="2:7" s="196" customFormat="1">
      <c r="B9304" s="142"/>
      <c r="C9304" s="235"/>
      <c r="D9304" s="213"/>
      <c r="E9304" s="226"/>
      <c r="F9304" s="155"/>
      <c r="G9304" s="143"/>
    </row>
    <row r="9305" spans="2:7" s="196" customFormat="1">
      <c r="B9305" s="142"/>
      <c r="C9305" s="235"/>
      <c r="D9305" s="213"/>
      <c r="E9305" s="226"/>
      <c r="F9305" s="155"/>
      <c r="G9305" s="143"/>
    </row>
    <row r="9306" spans="2:7" s="196" customFormat="1">
      <c r="B9306" s="142"/>
      <c r="C9306" s="235"/>
      <c r="D9306" s="213"/>
      <c r="E9306" s="226"/>
      <c r="F9306" s="155"/>
      <c r="G9306" s="143"/>
    </row>
    <row r="9307" spans="2:7" s="196" customFormat="1">
      <c r="B9307" s="142"/>
      <c r="C9307" s="235"/>
      <c r="D9307" s="213"/>
      <c r="E9307" s="226"/>
      <c r="F9307" s="155"/>
      <c r="G9307" s="143"/>
    </row>
    <row r="9308" spans="2:7" s="196" customFormat="1">
      <c r="B9308" s="142"/>
      <c r="C9308" s="235"/>
      <c r="D9308" s="213"/>
      <c r="E9308" s="226"/>
      <c r="F9308" s="155"/>
      <c r="G9308" s="143"/>
    </row>
    <row r="9309" spans="2:7" s="196" customFormat="1">
      <c r="B9309" s="142"/>
      <c r="C9309" s="235"/>
      <c r="D9309" s="213"/>
      <c r="E9309" s="226"/>
      <c r="F9309" s="155"/>
      <c r="G9309" s="143"/>
    </row>
    <row r="9310" spans="2:7" s="196" customFormat="1">
      <c r="B9310" s="142"/>
      <c r="C9310" s="235"/>
      <c r="D9310" s="213"/>
      <c r="E9310" s="226"/>
      <c r="F9310" s="155"/>
      <c r="G9310" s="143"/>
    </row>
    <row r="9311" spans="2:7" s="196" customFormat="1">
      <c r="B9311" s="142"/>
      <c r="C9311" s="235"/>
      <c r="D9311" s="213"/>
      <c r="E9311" s="226"/>
      <c r="F9311" s="155"/>
      <c r="G9311" s="143"/>
    </row>
    <row r="9312" spans="2:7" s="196" customFormat="1">
      <c r="B9312" s="142"/>
      <c r="C9312" s="235"/>
      <c r="D9312" s="213"/>
      <c r="E9312" s="226"/>
      <c r="F9312" s="155"/>
      <c r="G9312" s="143"/>
    </row>
    <row r="9313" spans="2:7" s="196" customFormat="1">
      <c r="B9313" s="142"/>
      <c r="C9313" s="235"/>
      <c r="D9313" s="213"/>
      <c r="E9313" s="226"/>
      <c r="F9313" s="155"/>
      <c r="G9313" s="143"/>
    </row>
    <row r="9314" spans="2:7" s="196" customFormat="1">
      <c r="B9314" s="142"/>
      <c r="C9314" s="235"/>
      <c r="D9314" s="213"/>
      <c r="E9314" s="226"/>
      <c r="F9314" s="155"/>
      <c r="G9314" s="143"/>
    </row>
    <row r="9315" spans="2:7" s="196" customFormat="1">
      <c r="B9315" s="142"/>
      <c r="C9315" s="235"/>
      <c r="D9315" s="213"/>
      <c r="E9315" s="226"/>
      <c r="F9315" s="155"/>
      <c r="G9315" s="143"/>
    </row>
    <row r="9316" spans="2:7" s="196" customFormat="1">
      <c r="B9316" s="142"/>
      <c r="C9316" s="235"/>
      <c r="D9316" s="213"/>
      <c r="E9316" s="226"/>
      <c r="F9316" s="155"/>
      <c r="G9316" s="143"/>
    </row>
    <row r="9317" spans="2:7" s="196" customFormat="1">
      <c r="B9317" s="142"/>
      <c r="C9317" s="235"/>
      <c r="D9317" s="213"/>
      <c r="E9317" s="226"/>
      <c r="F9317" s="155"/>
      <c r="G9317" s="143"/>
    </row>
    <row r="9318" spans="2:7" s="196" customFormat="1">
      <c r="B9318" s="142"/>
      <c r="C9318" s="235"/>
      <c r="D9318" s="213"/>
      <c r="E9318" s="226"/>
      <c r="F9318" s="155"/>
      <c r="G9318" s="143"/>
    </row>
    <row r="9319" spans="2:7" s="196" customFormat="1">
      <c r="B9319" s="142"/>
      <c r="C9319" s="235"/>
      <c r="D9319" s="213"/>
      <c r="E9319" s="226"/>
      <c r="F9319" s="155"/>
      <c r="G9319" s="143"/>
    </row>
    <row r="9320" spans="2:7" s="196" customFormat="1">
      <c r="B9320" s="142"/>
      <c r="C9320" s="235"/>
      <c r="D9320" s="213"/>
      <c r="E9320" s="226"/>
      <c r="F9320" s="155"/>
      <c r="G9320" s="143"/>
    </row>
    <row r="9321" spans="2:7" s="196" customFormat="1">
      <c r="B9321" s="142"/>
      <c r="C9321" s="235"/>
      <c r="D9321" s="213"/>
      <c r="E9321" s="226"/>
      <c r="F9321" s="155"/>
      <c r="G9321" s="143"/>
    </row>
    <row r="9322" spans="2:7" s="196" customFormat="1">
      <c r="B9322" s="142"/>
      <c r="C9322" s="235"/>
      <c r="D9322" s="213"/>
      <c r="E9322" s="226"/>
      <c r="F9322" s="155"/>
      <c r="G9322" s="143"/>
    </row>
    <row r="9323" spans="2:7" s="196" customFormat="1">
      <c r="B9323" s="142"/>
      <c r="C9323" s="235"/>
      <c r="D9323" s="213"/>
      <c r="E9323" s="226"/>
      <c r="F9323" s="155"/>
      <c r="G9323" s="143"/>
    </row>
    <row r="9324" spans="2:7" s="196" customFormat="1">
      <c r="B9324" s="142"/>
      <c r="C9324" s="235"/>
      <c r="D9324" s="213"/>
      <c r="E9324" s="226"/>
      <c r="F9324" s="155"/>
      <c r="G9324" s="143"/>
    </row>
    <row r="9325" spans="2:7" s="196" customFormat="1">
      <c r="B9325" s="142"/>
      <c r="C9325" s="235"/>
      <c r="D9325" s="213"/>
      <c r="E9325" s="226"/>
      <c r="F9325" s="155"/>
      <c r="G9325" s="143"/>
    </row>
    <row r="9326" spans="2:7" s="196" customFormat="1">
      <c r="B9326" s="142"/>
      <c r="C9326" s="235"/>
      <c r="D9326" s="213"/>
      <c r="E9326" s="226"/>
      <c r="F9326" s="155"/>
      <c r="G9326" s="143"/>
    </row>
    <row r="9327" spans="2:7" s="196" customFormat="1">
      <c r="B9327" s="142"/>
      <c r="C9327" s="235"/>
      <c r="D9327" s="213"/>
      <c r="E9327" s="226"/>
      <c r="F9327" s="155"/>
      <c r="G9327" s="143"/>
    </row>
    <row r="9328" spans="2:7" s="196" customFormat="1">
      <c r="B9328" s="142"/>
      <c r="C9328" s="235"/>
      <c r="D9328" s="213"/>
      <c r="E9328" s="226"/>
      <c r="F9328" s="155"/>
      <c r="G9328" s="143"/>
    </row>
    <row r="9329" spans="2:7" s="196" customFormat="1">
      <c r="B9329" s="142"/>
      <c r="C9329" s="235"/>
      <c r="D9329" s="213"/>
      <c r="E9329" s="226"/>
      <c r="F9329" s="155"/>
      <c r="G9329" s="143"/>
    </row>
    <row r="9330" spans="2:7" s="196" customFormat="1">
      <c r="B9330" s="142"/>
      <c r="C9330" s="235"/>
      <c r="D9330" s="213"/>
      <c r="E9330" s="226"/>
      <c r="F9330" s="155"/>
      <c r="G9330" s="143"/>
    </row>
    <row r="9331" spans="2:7" s="196" customFormat="1">
      <c r="B9331" s="142"/>
      <c r="C9331" s="235"/>
      <c r="D9331" s="213"/>
      <c r="E9331" s="226"/>
      <c r="F9331" s="155"/>
      <c r="G9331" s="143"/>
    </row>
    <row r="9332" spans="2:7" s="196" customFormat="1">
      <c r="B9332" s="142"/>
      <c r="C9332" s="235"/>
      <c r="D9332" s="213"/>
      <c r="E9332" s="226"/>
      <c r="F9332" s="155"/>
      <c r="G9332" s="143"/>
    </row>
    <row r="9333" spans="2:7" s="196" customFormat="1">
      <c r="B9333" s="142"/>
      <c r="C9333" s="235"/>
      <c r="D9333" s="213"/>
      <c r="E9333" s="226"/>
      <c r="F9333" s="155"/>
      <c r="G9333" s="143"/>
    </row>
    <row r="9334" spans="2:7" s="196" customFormat="1">
      <c r="B9334" s="142"/>
      <c r="C9334" s="235"/>
      <c r="D9334" s="213"/>
      <c r="E9334" s="226"/>
      <c r="F9334" s="155"/>
      <c r="G9334" s="143"/>
    </row>
    <row r="9335" spans="2:7" s="196" customFormat="1">
      <c r="B9335" s="142"/>
      <c r="C9335" s="235"/>
      <c r="D9335" s="213"/>
      <c r="E9335" s="226"/>
      <c r="F9335" s="155"/>
      <c r="G9335" s="143"/>
    </row>
    <row r="9336" spans="2:7" s="196" customFormat="1">
      <c r="B9336" s="142"/>
      <c r="C9336" s="235"/>
      <c r="D9336" s="213"/>
      <c r="E9336" s="226"/>
      <c r="F9336" s="155"/>
      <c r="G9336" s="143"/>
    </row>
    <row r="9337" spans="2:7" s="196" customFormat="1">
      <c r="B9337" s="142"/>
      <c r="C9337" s="235"/>
      <c r="D9337" s="213"/>
      <c r="E9337" s="226"/>
      <c r="F9337" s="155"/>
      <c r="G9337" s="143"/>
    </row>
    <row r="9338" spans="2:7" s="196" customFormat="1">
      <c r="B9338" s="142"/>
      <c r="C9338" s="235"/>
      <c r="D9338" s="213"/>
      <c r="E9338" s="226"/>
      <c r="F9338" s="155"/>
      <c r="G9338" s="143"/>
    </row>
    <row r="9339" spans="2:7" s="196" customFormat="1">
      <c r="B9339" s="142"/>
      <c r="C9339" s="235"/>
      <c r="D9339" s="213"/>
      <c r="E9339" s="226"/>
      <c r="F9339" s="155"/>
      <c r="G9339" s="143"/>
    </row>
    <row r="9340" spans="2:7" s="196" customFormat="1">
      <c r="B9340" s="142"/>
      <c r="C9340" s="235"/>
      <c r="D9340" s="213"/>
      <c r="E9340" s="226"/>
      <c r="F9340" s="155"/>
      <c r="G9340" s="143"/>
    </row>
    <row r="9341" spans="2:7" s="196" customFormat="1">
      <c r="B9341" s="142"/>
      <c r="C9341" s="235"/>
      <c r="D9341" s="213"/>
      <c r="E9341" s="226"/>
      <c r="F9341" s="155"/>
      <c r="G9341" s="143"/>
    </row>
    <row r="9342" spans="2:7" s="196" customFormat="1">
      <c r="B9342" s="142"/>
      <c r="C9342" s="235"/>
      <c r="D9342" s="213"/>
      <c r="E9342" s="226"/>
      <c r="F9342" s="155"/>
      <c r="G9342" s="143"/>
    </row>
    <row r="9343" spans="2:7" s="196" customFormat="1">
      <c r="B9343" s="142"/>
      <c r="C9343" s="235"/>
      <c r="D9343" s="213"/>
      <c r="E9343" s="226"/>
      <c r="F9343" s="155"/>
      <c r="G9343" s="143"/>
    </row>
    <row r="9344" spans="2:7" s="196" customFormat="1">
      <c r="B9344" s="142"/>
      <c r="C9344" s="235"/>
      <c r="D9344" s="213"/>
      <c r="E9344" s="226"/>
      <c r="F9344" s="155"/>
      <c r="G9344" s="143"/>
    </row>
    <row r="9345" spans="2:7" s="196" customFormat="1">
      <c r="B9345" s="142"/>
      <c r="C9345" s="235"/>
      <c r="D9345" s="213"/>
      <c r="E9345" s="226"/>
      <c r="F9345" s="155"/>
      <c r="G9345" s="143"/>
    </row>
    <row r="9346" spans="2:7" s="196" customFormat="1">
      <c r="B9346" s="142"/>
      <c r="C9346" s="235"/>
      <c r="D9346" s="213"/>
      <c r="E9346" s="226"/>
      <c r="F9346" s="155"/>
      <c r="G9346" s="143"/>
    </row>
    <row r="9347" spans="2:7" s="196" customFormat="1">
      <c r="B9347" s="142"/>
      <c r="C9347" s="235"/>
      <c r="D9347" s="213"/>
      <c r="E9347" s="226"/>
      <c r="F9347" s="155"/>
      <c r="G9347" s="143"/>
    </row>
    <row r="9348" spans="2:7" s="196" customFormat="1">
      <c r="B9348" s="142"/>
      <c r="C9348" s="235"/>
      <c r="D9348" s="213"/>
      <c r="E9348" s="226"/>
      <c r="F9348" s="155"/>
      <c r="G9348" s="143"/>
    </row>
    <row r="9349" spans="2:7" s="196" customFormat="1">
      <c r="B9349" s="142"/>
      <c r="C9349" s="235"/>
      <c r="D9349" s="213"/>
      <c r="E9349" s="226"/>
      <c r="F9349" s="155"/>
      <c r="G9349" s="143"/>
    </row>
    <row r="9350" spans="2:7" s="196" customFormat="1">
      <c r="B9350" s="142"/>
      <c r="C9350" s="235"/>
      <c r="D9350" s="213"/>
      <c r="E9350" s="226"/>
      <c r="F9350" s="155"/>
      <c r="G9350" s="143"/>
    </row>
    <row r="9351" spans="2:7" s="196" customFormat="1">
      <c r="B9351" s="142"/>
      <c r="C9351" s="235"/>
      <c r="D9351" s="213"/>
      <c r="E9351" s="226"/>
      <c r="F9351" s="155"/>
      <c r="G9351" s="143"/>
    </row>
    <row r="9352" spans="2:7" s="196" customFormat="1">
      <c r="B9352" s="142"/>
      <c r="C9352" s="235"/>
      <c r="D9352" s="213"/>
      <c r="E9352" s="226"/>
      <c r="F9352" s="155"/>
      <c r="G9352" s="143"/>
    </row>
    <row r="9353" spans="2:7" s="196" customFormat="1">
      <c r="B9353" s="142"/>
      <c r="C9353" s="235"/>
      <c r="D9353" s="213"/>
      <c r="E9353" s="226"/>
      <c r="F9353" s="155"/>
      <c r="G9353" s="143"/>
    </row>
    <row r="9354" spans="2:7" s="196" customFormat="1">
      <c r="B9354" s="142"/>
      <c r="C9354" s="235"/>
      <c r="D9354" s="213"/>
      <c r="E9354" s="226"/>
      <c r="F9354" s="155"/>
      <c r="G9354" s="143"/>
    </row>
    <row r="9355" spans="2:7" s="196" customFormat="1">
      <c r="B9355" s="142"/>
      <c r="C9355" s="235"/>
      <c r="D9355" s="213"/>
      <c r="E9355" s="226"/>
      <c r="F9355" s="155"/>
      <c r="G9355" s="143"/>
    </row>
    <row r="9356" spans="2:7" s="196" customFormat="1">
      <c r="B9356" s="142"/>
      <c r="C9356" s="235"/>
      <c r="D9356" s="213"/>
      <c r="E9356" s="226"/>
      <c r="F9356" s="155"/>
      <c r="G9356" s="143"/>
    </row>
    <row r="9357" spans="2:7" s="196" customFormat="1">
      <c r="B9357" s="142"/>
      <c r="C9357" s="235"/>
      <c r="D9357" s="213"/>
      <c r="E9357" s="226"/>
      <c r="F9357" s="155"/>
      <c r="G9357" s="143"/>
    </row>
    <row r="9358" spans="2:7" s="196" customFormat="1">
      <c r="B9358" s="142"/>
      <c r="C9358" s="235"/>
      <c r="D9358" s="213"/>
      <c r="E9358" s="226"/>
      <c r="F9358" s="155"/>
      <c r="G9358" s="143"/>
    </row>
    <row r="9359" spans="2:7" s="196" customFormat="1">
      <c r="B9359" s="142"/>
      <c r="C9359" s="235"/>
      <c r="D9359" s="213"/>
      <c r="E9359" s="226"/>
      <c r="F9359" s="155"/>
      <c r="G9359" s="143"/>
    </row>
    <row r="9360" spans="2:7" s="196" customFormat="1">
      <c r="B9360" s="142"/>
      <c r="C9360" s="235"/>
      <c r="D9360" s="213"/>
      <c r="E9360" s="226"/>
      <c r="F9360" s="155"/>
      <c r="G9360" s="143"/>
    </row>
    <row r="9361" spans="2:7" s="196" customFormat="1">
      <c r="B9361" s="142"/>
      <c r="C9361" s="235"/>
      <c r="D9361" s="213"/>
      <c r="E9361" s="226"/>
      <c r="F9361" s="155"/>
      <c r="G9361" s="143"/>
    </row>
    <row r="9362" spans="2:7" s="196" customFormat="1">
      <c r="B9362" s="142"/>
      <c r="C9362" s="235"/>
      <c r="D9362" s="213"/>
      <c r="E9362" s="226"/>
      <c r="F9362" s="155"/>
      <c r="G9362" s="143"/>
    </row>
    <row r="9363" spans="2:7" s="196" customFormat="1">
      <c r="B9363" s="142"/>
      <c r="C9363" s="235"/>
      <c r="D9363" s="213"/>
      <c r="E9363" s="226"/>
      <c r="F9363" s="155"/>
      <c r="G9363" s="143"/>
    </row>
    <row r="9364" spans="2:7" s="196" customFormat="1">
      <c r="B9364" s="142"/>
      <c r="C9364" s="235"/>
      <c r="D9364" s="213"/>
      <c r="E9364" s="226"/>
      <c r="F9364" s="155"/>
      <c r="G9364" s="143"/>
    </row>
    <row r="9365" spans="2:7" s="196" customFormat="1">
      <c r="B9365" s="142"/>
      <c r="C9365" s="235"/>
      <c r="D9365" s="213"/>
      <c r="E9365" s="226"/>
      <c r="F9365" s="155"/>
      <c r="G9365" s="143"/>
    </row>
    <row r="9366" spans="2:7" s="196" customFormat="1">
      <c r="B9366" s="142"/>
      <c r="C9366" s="235"/>
      <c r="D9366" s="213"/>
      <c r="E9366" s="226"/>
      <c r="F9366" s="155"/>
      <c r="G9366" s="143"/>
    </row>
    <row r="9367" spans="2:7" s="196" customFormat="1">
      <c r="B9367" s="142"/>
      <c r="C9367" s="235"/>
      <c r="D9367" s="213"/>
      <c r="E9367" s="226"/>
      <c r="F9367" s="155"/>
      <c r="G9367" s="143"/>
    </row>
    <row r="9368" spans="2:7" s="196" customFormat="1">
      <c r="B9368" s="142"/>
      <c r="C9368" s="235"/>
      <c r="D9368" s="213"/>
      <c r="E9368" s="226"/>
      <c r="F9368" s="155"/>
      <c r="G9368" s="143"/>
    </row>
    <row r="9369" spans="2:7" s="196" customFormat="1">
      <c r="B9369" s="142"/>
      <c r="C9369" s="235"/>
      <c r="D9369" s="213"/>
      <c r="E9369" s="226"/>
      <c r="F9369" s="155"/>
      <c r="G9369" s="143"/>
    </row>
    <row r="9370" spans="2:7" s="196" customFormat="1">
      <c r="B9370" s="142"/>
      <c r="C9370" s="235"/>
      <c r="D9370" s="213"/>
      <c r="E9370" s="226"/>
      <c r="F9370" s="155"/>
      <c r="G9370" s="143"/>
    </row>
    <row r="9371" spans="2:7" s="196" customFormat="1">
      <c r="B9371" s="142"/>
      <c r="C9371" s="235"/>
      <c r="D9371" s="213"/>
      <c r="E9371" s="226"/>
      <c r="F9371" s="155"/>
      <c r="G9371" s="143"/>
    </row>
    <row r="9372" spans="2:7" s="196" customFormat="1">
      <c r="B9372" s="142"/>
      <c r="C9372" s="235"/>
      <c r="D9372" s="213"/>
      <c r="E9372" s="226"/>
      <c r="F9372" s="155"/>
      <c r="G9372" s="143"/>
    </row>
    <row r="9373" spans="2:7" s="196" customFormat="1">
      <c r="B9373" s="142"/>
      <c r="C9373" s="235"/>
      <c r="D9373" s="213"/>
      <c r="E9373" s="226"/>
      <c r="F9373" s="155"/>
      <c r="G9373" s="143"/>
    </row>
    <row r="9374" spans="2:7" s="196" customFormat="1">
      <c r="B9374" s="142"/>
      <c r="C9374" s="235"/>
      <c r="D9374" s="213"/>
      <c r="E9374" s="226"/>
      <c r="F9374" s="155"/>
      <c r="G9374" s="143"/>
    </row>
    <row r="9375" spans="2:7" s="196" customFormat="1">
      <c r="B9375" s="142"/>
      <c r="C9375" s="235"/>
      <c r="D9375" s="213"/>
      <c r="E9375" s="226"/>
      <c r="F9375" s="155"/>
      <c r="G9375" s="143"/>
    </row>
    <row r="9376" spans="2:7" s="196" customFormat="1">
      <c r="B9376" s="142"/>
      <c r="C9376" s="235"/>
      <c r="D9376" s="213"/>
      <c r="E9376" s="226"/>
      <c r="F9376" s="155"/>
      <c r="G9376" s="143"/>
    </row>
    <row r="9377" spans="2:7" s="196" customFormat="1">
      <c r="B9377" s="142"/>
      <c r="C9377" s="235"/>
      <c r="D9377" s="213"/>
      <c r="E9377" s="226"/>
      <c r="F9377" s="155"/>
      <c r="G9377" s="143"/>
    </row>
    <row r="9378" spans="2:7" s="196" customFormat="1">
      <c r="B9378" s="142"/>
      <c r="C9378" s="235"/>
      <c r="D9378" s="213"/>
      <c r="E9378" s="226"/>
      <c r="F9378" s="155"/>
      <c r="G9378" s="143"/>
    </row>
    <row r="9379" spans="2:7" s="196" customFormat="1">
      <c r="B9379" s="142"/>
      <c r="C9379" s="235"/>
      <c r="D9379" s="213"/>
      <c r="E9379" s="226"/>
      <c r="F9379" s="155"/>
      <c r="G9379" s="143"/>
    </row>
    <row r="9380" spans="2:7" s="196" customFormat="1">
      <c r="B9380" s="142"/>
      <c r="C9380" s="235"/>
      <c r="D9380" s="213"/>
      <c r="E9380" s="226"/>
      <c r="F9380" s="155"/>
      <c r="G9380" s="143"/>
    </row>
    <row r="9381" spans="2:7" s="196" customFormat="1">
      <c r="B9381" s="142"/>
      <c r="C9381" s="235"/>
      <c r="D9381" s="213"/>
      <c r="E9381" s="226"/>
      <c r="F9381" s="155"/>
      <c r="G9381" s="143"/>
    </row>
    <row r="9382" spans="2:7" s="196" customFormat="1">
      <c r="B9382" s="142"/>
      <c r="C9382" s="235"/>
      <c r="D9382" s="213"/>
      <c r="E9382" s="226"/>
      <c r="F9382" s="155"/>
      <c r="G9382" s="143"/>
    </row>
    <row r="9383" spans="2:7" s="196" customFormat="1">
      <c r="B9383" s="142"/>
      <c r="C9383" s="235"/>
      <c r="D9383" s="213"/>
      <c r="E9383" s="226"/>
      <c r="F9383" s="155"/>
      <c r="G9383" s="143"/>
    </row>
    <row r="9384" spans="2:7" s="196" customFormat="1">
      <c r="B9384" s="142"/>
      <c r="C9384" s="235"/>
      <c r="D9384" s="213"/>
      <c r="E9384" s="226"/>
      <c r="F9384" s="155"/>
      <c r="G9384" s="143"/>
    </row>
    <row r="9385" spans="2:7" s="196" customFormat="1">
      <c r="B9385" s="142"/>
      <c r="C9385" s="235"/>
      <c r="D9385" s="213"/>
      <c r="E9385" s="226"/>
      <c r="F9385" s="155"/>
      <c r="G9385" s="143"/>
    </row>
    <row r="9386" spans="2:7" s="196" customFormat="1">
      <c r="B9386" s="142"/>
      <c r="C9386" s="235"/>
      <c r="D9386" s="213"/>
      <c r="E9386" s="226"/>
      <c r="F9386" s="155"/>
      <c r="G9386" s="143"/>
    </row>
    <row r="9387" spans="2:7" s="196" customFormat="1">
      <c r="B9387" s="142"/>
      <c r="C9387" s="235"/>
      <c r="D9387" s="213"/>
      <c r="E9387" s="226"/>
      <c r="F9387" s="155"/>
      <c r="G9387" s="143"/>
    </row>
    <row r="9388" spans="2:7" s="196" customFormat="1">
      <c r="B9388" s="142"/>
      <c r="C9388" s="235"/>
      <c r="D9388" s="213"/>
      <c r="E9388" s="226"/>
      <c r="F9388" s="155"/>
      <c r="G9388" s="143"/>
    </row>
    <row r="9389" spans="2:7" s="196" customFormat="1">
      <c r="B9389" s="142"/>
      <c r="C9389" s="235"/>
      <c r="D9389" s="213"/>
      <c r="E9389" s="226"/>
      <c r="F9389" s="155"/>
      <c r="G9389" s="143"/>
    </row>
    <row r="9390" spans="2:7" s="196" customFormat="1">
      <c r="B9390" s="142"/>
      <c r="C9390" s="235"/>
      <c r="D9390" s="213"/>
      <c r="E9390" s="226"/>
      <c r="F9390" s="155"/>
      <c r="G9390" s="143"/>
    </row>
    <row r="9391" spans="2:7" s="196" customFormat="1">
      <c r="B9391" s="142"/>
      <c r="C9391" s="235"/>
      <c r="D9391" s="213"/>
      <c r="E9391" s="226"/>
      <c r="F9391" s="155"/>
      <c r="G9391" s="143"/>
    </row>
    <row r="9392" spans="2:7" s="196" customFormat="1">
      <c r="B9392" s="142"/>
      <c r="C9392" s="235"/>
      <c r="D9392" s="213"/>
      <c r="E9392" s="226"/>
      <c r="F9392" s="155"/>
      <c r="G9392" s="143"/>
    </row>
    <row r="9393" spans="2:7" s="196" customFormat="1">
      <c r="B9393" s="142"/>
      <c r="C9393" s="235"/>
      <c r="D9393" s="213"/>
      <c r="E9393" s="226"/>
      <c r="F9393" s="155"/>
      <c r="G9393" s="143"/>
    </row>
    <row r="9394" spans="2:7" s="196" customFormat="1">
      <c r="B9394" s="142"/>
      <c r="C9394" s="235"/>
      <c r="D9394" s="213"/>
      <c r="E9394" s="226"/>
      <c r="F9394" s="155"/>
      <c r="G9394" s="143"/>
    </row>
    <row r="9395" spans="2:7" s="196" customFormat="1">
      <c r="B9395" s="142"/>
      <c r="C9395" s="235"/>
      <c r="D9395" s="213"/>
      <c r="E9395" s="226"/>
      <c r="F9395" s="155"/>
      <c r="G9395" s="143"/>
    </row>
    <row r="9396" spans="2:7" s="196" customFormat="1">
      <c r="B9396" s="142"/>
      <c r="C9396" s="235"/>
      <c r="D9396" s="213"/>
      <c r="E9396" s="226"/>
      <c r="F9396" s="155"/>
      <c r="G9396" s="143"/>
    </row>
    <row r="9397" spans="2:7" s="196" customFormat="1">
      <c r="B9397" s="142"/>
      <c r="C9397" s="235"/>
      <c r="D9397" s="213"/>
      <c r="E9397" s="226"/>
      <c r="F9397" s="155"/>
      <c r="G9397" s="143"/>
    </row>
    <row r="9398" spans="2:7" s="196" customFormat="1">
      <c r="B9398" s="142"/>
      <c r="C9398" s="235"/>
      <c r="D9398" s="213"/>
      <c r="E9398" s="226"/>
      <c r="F9398" s="155"/>
      <c r="G9398" s="143"/>
    </row>
    <row r="9399" spans="2:7" s="196" customFormat="1">
      <c r="B9399" s="142"/>
      <c r="C9399" s="235"/>
      <c r="D9399" s="213"/>
      <c r="E9399" s="226"/>
      <c r="F9399" s="155"/>
      <c r="G9399" s="143"/>
    </row>
    <row r="9400" spans="2:7" s="196" customFormat="1">
      <c r="B9400" s="142"/>
      <c r="C9400" s="235"/>
      <c r="D9400" s="213"/>
      <c r="E9400" s="226"/>
      <c r="F9400" s="155"/>
      <c r="G9400" s="143"/>
    </row>
    <row r="9401" spans="2:7" s="196" customFormat="1">
      <c r="B9401" s="142"/>
      <c r="C9401" s="235"/>
      <c r="D9401" s="213"/>
      <c r="E9401" s="226"/>
      <c r="F9401" s="155"/>
      <c r="G9401" s="143"/>
    </row>
    <row r="9402" spans="2:7" s="196" customFormat="1">
      <c r="B9402" s="142"/>
      <c r="C9402" s="235"/>
      <c r="D9402" s="213"/>
      <c r="E9402" s="226"/>
      <c r="F9402" s="155"/>
      <c r="G9402" s="143"/>
    </row>
    <row r="9403" spans="2:7" s="196" customFormat="1">
      <c r="B9403" s="142"/>
      <c r="C9403" s="235"/>
      <c r="D9403" s="213"/>
      <c r="E9403" s="226"/>
      <c r="F9403" s="155"/>
      <c r="G9403" s="143"/>
    </row>
    <row r="9404" spans="2:7" s="196" customFormat="1">
      <c r="B9404" s="142"/>
      <c r="C9404" s="235"/>
      <c r="D9404" s="213"/>
      <c r="E9404" s="226"/>
      <c r="F9404" s="155"/>
      <c r="G9404" s="143"/>
    </row>
    <row r="9405" spans="2:7" s="196" customFormat="1">
      <c r="B9405" s="142"/>
      <c r="C9405" s="235"/>
      <c r="D9405" s="213"/>
      <c r="E9405" s="226"/>
      <c r="F9405" s="155"/>
      <c r="G9405" s="143"/>
    </row>
    <row r="9406" spans="2:7" s="196" customFormat="1">
      <c r="B9406" s="142"/>
      <c r="C9406" s="235"/>
      <c r="D9406" s="213"/>
      <c r="E9406" s="226"/>
      <c r="F9406" s="155"/>
      <c r="G9406" s="143"/>
    </row>
    <row r="9407" spans="2:7" s="196" customFormat="1">
      <c r="B9407" s="142"/>
      <c r="C9407" s="235"/>
      <c r="D9407" s="213"/>
      <c r="E9407" s="226"/>
      <c r="F9407" s="155"/>
      <c r="G9407" s="143"/>
    </row>
    <row r="9408" spans="2:7" s="196" customFormat="1">
      <c r="B9408" s="142"/>
      <c r="C9408" s="235"/>
      <c r="D9408" s="213"/>
      <c r="E9408" s="226"/>
      <c r="F9408" s="155"/>
      <c r="G9408" s="143"/>
    </row>
    <row r="9409" spans="2:7" s="196" customFormat="1">
      <c r="B9409" s="142"/>
      <c r="C9409" s="235"/>
      <c r="D9409" s="213"/>
      <c r="E9409" s="226"/>
      <c r="F9409" s="155"/>
      <c r="G9409" s="143"/>
    </row>
    <row r="9410" spans="2:7" s="196" customFormat="1">
      <c r="B9410" s="142"/>
      <c r="C9410" s="235"/>
      <c r="D9410" s="213"/>
      <c r="E9410" s="226"/>
      <c r="F9410" s="155"/>
      <c r="G9410" s="143"/>
    </row>
    <row r="9411" spans="2:7" s="196" customFormat="1">
      <c r="B9411" s="142"/>
      <c r="C9411" s="235"/>
      <c r="D9411" s="213"/>
      <c r="E9411" s="226"/>
      <c r="F9411" s="155"/>
      <c r="G9411" s="143"/>
    </row>
    <row r="9412" spans="2:7" s="196" customFormat="1">
      <c r="B9412" s="142"/>
      <c r="C9412" s="235"/>
      <c r="D9412" s="213"/>
      <c r="E9412" s="226"/>
      <c r="F9412" s="155"/>
      <c r="G9412" s="143"/>
    </row>
    <row r="9413" spans="2:7" s="196" customFormat="1">
      <c r="B9413" s="142"/>
      <c r="C9413" s="235"/>
      <c r="D9413" s="213"/>
      <c r="E9413" s="226"/>
      <c r="F9413" s="155"/>
      <c r="G9413" s="143"/>
    </row>
    <row r="9414" spans="2:7" s="196" customFormat="1">
      <c r="B9414" s="142"/>
      <c r="C9414" s="235"/>
      <c r="D9414" s="213"/>
      <c r="E9414" s="226"/>
      <c r="F9414" s="155"/>
      <c r="G9414" s="143"/>
    </row>
    <row r="9415" spans="2:7" s="196" customFormat="1">
      <c r="B9415" s="142"/>
      <c r="C9415" s="235"/>
      <c r="D9415" s="213"/>
      <c r="E9415" s="226"/>
      <c r="F9415" s="155"/>
      <c r="G9415" s="143"/>
    </row>
    <row r="9416" spans="2:7" s="196" customFormat="1">
      <c r="B9416" s="142"/>
      <c r="C9416" s="235"/>
      <c r="D9416" s="213"/>
      <c r="E9416" s="226"/>
      <c r="F9416" s="155"/>
      <c r="G9416" s="143"/>
    </row>
    <row r="9417" spans="2:7" s="196" customFormat="1">
      <c r="B9417" s="142"/>
      <c r="C9417" s="235"/>
      <c r="D9417" s="213"/>
      <c r="E9417" s="226"/>
      <c r="F9417" s="155"/>
      <c r="G9417" s="143"/>
    </row>
    <row r="9418" spans="2:7" s="196" customFormat="1">
      <c r="B9418" s="142"/>
      <c r="C9418" s="235"/>
      <c r="D9418" s="213"/>
      <c r="E9418" s="226"/>
      <c r="F9418" s="155"/>
      <c r="G9418" s="143"/>
    </row>
    <row r="9419" spans="2:7" s="196" customFormat="1">
      <c r="B9419" s="142"/>
      <c r="C9419" s="235"/>
      <c r="D9419" s="213"/>
      <c r="E9419" s="226"/>
      <c r="F9419" s="155"/>
      <c r="G9419" s="143"/>
    </row>
    <row r="9420" spans="2:7" s="196" customFormat="1">
      <c r="B9420" s="142"/>
      <c r="C9420" s="235"/>
      <c r="D9420" s="213"/>
      <c r="E9420" s="226"/>
      <c r="F9420" s="155"/>
      <c r="G9420" s="143"/>
    </row>
    <row r="9421" spans="2:7" s="196" customFormat="1">
      <c r="B9421" s="142"/>
      <c r="C9421" s="235"/>
      <c r="D9421" s="213"/>
      <c r="E9421" s="226"/>
      <c r="F9421" s="155"/>
      <c r="G9421" s="143"/>
    </row>
    <row r="9422" spans="2:7" s="196" customFormat="1">
      <c r="B9422" s="142"/>
      <c r="C9422" s="235"/>
      <c r="D9422" s="213"/>
      <c r="E9422" s="226"/>
      <c r="F9422" s="155"/>
      <c r="G9422" s="143"/>
    </row>
    <row r="9423" spans="2:7" s="196" customFormat="1">
      <c r="B9423" s="142"/>
      <c r="C9423" s="235"/>
      <c r="D9423" s="213"/>
      <c r="E9423" s="226"/>
      <c r="F9423" s="155"/>
      <c r="G9423" s="143"/>
    </row>
    <row r="9424" spans="2:7" s="196" customFormat="1">
      <c r="B9424" s="142"/>
      <c r="C9424" s="235"/>
      <c r="D9424" s="213"/>
      <c r="E9424" s="226"/>
      <c r="F9424" s="155"/>
      <c r="G9424" s="143"/>
    </row>
    <row r="9425" spans="2:7" s="196" customFormat="1">
      <c r="B9425" s="142"/>
      <c r="C9425" s="235"/>
      <c r="D9425" s="213"/>
      <c r="E9425" s="226"/>
      <c r="F9425" s="155"/>
      <c r="G9425" s="143"/>
    </row>
    <row r="9426" spans="2:7" s="196" customFormat="1">
      <c r="B9426" s="142"/>
      <c r="C9426" s="235"/>
      <c r="D9426" s="213"/>
      <c r="E9426" s="226"/>
      <c r="F9426" s="155"/>
      <c r="G9426" s="143"/>
    </row>
    <row r="9427" spans="2:7" s="196" customFormat="1">
      <c r="B9427" s="142"/>
      <c r="C9427" s="235"/>
      <c r="D9427" s="213"/>
      <c r="E9427" s="226"/>
      <c r="F9427" s="155"/>
      <c r="G9427" s="143"/>
    </row>
    <row r="9428" spans="2:7" s="196" customFormat="1">
      <c r="B9428" s="142"/>
      <c r="C9428" s="235"/>
      <c r="D9428" s="213"/>
      <c r="E9428" s="226"/>
      <c r="F9428" s="155"/>
      <c r="G9428" s="143"/>
    </row>
    <row r="9429" spans="2:7" s="196" customFormat="1">
      <c r="B9429" s="142"/>
      <c r="C9429" s="235"/>
      <c r="D9429" s="213"/>
      <c r="E9429" s="226"/>
      <c r="F9429" s="155"/>
      <c r="G9429" s="143"/>
    </row>
    <row r="9430" spans="2:7" s="196" customFormat="1">
      <c r="B9430" s="142"/>
      <c r="C9430" s="235"/>
      <c r="D9430" s="213"/>
      <c r="E9430" s="226"/>
      <c r="F9430" s="155"/>
      <c r="G9430" s="143"/>
    </row>
    <row r="9431" spans="2:7" s="196" customFormat="1">
      <c r="B9431" s="142"/>
      <c r="C9431" s="235"/>
      <c r="D9431" s="213"/>
      <c r="E9431" s="226"/>
      <c r="F9431" s="155"/>
      <c r="G9431" s="143"/>
    </row>
    <row r="9432" spans="2:7" s="196" customFormat="1">
      <c r="B9432" s="142"/>
      <c r="C9432" s="235"/>
      <c r="D9432" s="213"/>
      <c r="E9432" s="226"/>
      <c r="F9432" s="155"/>
      <c r="G9432" s="143"/>
    </row>
    <row r="9433" spans="2:7" s="196" customFormat="1">
      <c r="B9433" s="142"/>
      <c r="C9433" s="235"/>
      <c r="D9433" s="213"/>
      <c r="E9433" s="226"/>
      <c r="F9433" s="155"/>
      <c r="G9433" s="143"/>
    </row>
    <row r="9434" spans="2:7" s="196" customFormat="1">
      <c r="B9434" s="142"/>
      <c r="C9434" s="235"/>
      <c r="D9434" s="213"/>
      <c r="E9434" s="226"/>
      <c r="F9434" s="155"/>
      <c r="G9434" s="143"/>
    </row>
    <row r="9435" spans="2:7" s="196" customFormat="1">
      <c r="B9435" s="142"/>
      <c r="C9435" s="235"/>
      <c r="D9435" s="213"/>
      <c r="E9435" s="226"/>
      <c r="F9435" s="155"/>
      <c r="G9435" s="143"/>
    </row>
    <row r="9436" spans="2:7" s="196" customFormat="1">
      <c r="B9436" s="142"/>
      <c r="C9436" s="235"/>
      <c r="D9436" s="213"/>
      <c r="E9436" s="226"/>
      <c r="F9436" s="155"/>
      <c r="G9436" s="143"/>
    </row>
    <row r="9437" spans="2:7" s="196" customFormat="1">
      <c r="B9437" s="142"/>
      <c r="C9437" s="235"/>
      <c r="D9437" s="213"/>
      <c r="E9437" s="226"/>
      <c r="F9437" s="155"/>
      <c r="G9437" s="143"/>
    </row>
    <row r="9438" spans="2:7" s="196" customFormat="1">
      <c r="B9438" s="142"/>
      <c r="C9438" s="235"/>
      <c r="D9438" s="213"/>
      <c r="E9438" s="226"/>
      <c r="F9438" s="155"/>
      <c r="G9438" s="143"/>
    </row>
    <row r="9439" spans="2:7" s="196" customFormat="1">
      <c r="B9439" s="142"/>
      <c r="C9439" s="235"/>
      <c r="D9439" s="213"/>
      <c r="E9439" s="226"/>
      <c r="F9439" s="155"/>
      <c r="G9439" s="143"/>
    </row>
    <row r="9440" spans="2:7" s="196" customFormat="1">
      <c r="B9440" s="142"/>
      <c r="C9440" s="235"/>
      <c r="D9440" s="213"/>
      <c r="E9440" s="226"/>
      <c r="F9440" s="155"/>
      <c r="G9440" s="143"/>
    </row>
    <row r="9441" spans="2:7" s="196" customFormat="1">
      <c r="B9441" s="142"/>
      <c r="C9441" s="235"/>
      <c r="D9441" s="213"/>
      <c r="E9441" s="226"/>
      <c r="F9441" s="155"/>
      <c r="G9441" s="143"/>
    </row>
    <row r="9442" spans="2:7" s="196" customFormat="1">
      <c r="B9442" s="142"/>
      <c r="C9442" s="235"/>
      <c r="D9442" s="213"/>
      <c r="E9442" s="226"/>
      <c r="F9442" s="155"/>
      <c r="G9442" s="143"/>
    </row>
    <row r="9443" spans="2:7" s="196" customFormat="1">
      <c r="B9443" s="142"/>
      <c r="C9443" s="235"/>
      <c r="D9443" s="213"/>
      <c r="E9443" s="226"/>
      <c r="F9443" s="155"/>
      <c r="G9443" s="143"/>
    </row>
    <row r="9444" spans="2:7" s="196" customFormat="1">
      <c r="B9444" s="142"/>
      <c r="C9444" s="235"/>
      <c r="D9444" s="213"/>
      <c r="E9444" s="226"/>
      <c r="F9444" s="155"/>
      <c r="G9444" s="143"/>
    </row>
    <row r="9445" spans="2:7" s="196" customFormat="1">
      <c r="B9445" s="142"/>
      <c r="C9445" s="235"/>
      <c r="D9445" s="213"/>
      <c r="E9445" s="226"/>
      <c r="F9445" s="155"/>
      <c r="G9445" s="143"/>
    </row>
    <row r="9446" spans="2:7" s="196" customFormat="1">
      <c r="B9446" s="142"/>
      <c r="C9446" s="235"/>
      <c r="D9446" s="213"/>
      <c r="E9446" s="226"/>
      <c r="F9446" s="155"/>
      <c r="G9446" s="143"/>
    </row>
    <row r="9447" spans="2:7" s="196" customFormat="1">
      <c r="B9447" s="142"/>
      <c r="C9447" s="235"/>
      <c r="D9447" s="213"/>
      <c r="E9447" s="226"/>
      <c r="F9447" s="155"/>
      <c r="G9447" s="143"/>
    </row>
    <row r="9448" spans="2:7" s="196" customFormat="1">
      <c r="B9448" s="142"/>
      <c r="C9448" s="235"/>
      <c r="D9448" s="213"/>
      <c r="E9448" s="226"/>
      <c r="F9448" s="155"/>
      <c r="G9448" s="143"/>
    </row>
    <row r="9449" spans="2:7" s="196" customFormat="1">
      <c r="B9449" s="142"/>
      <c r="C9449" s="235"/>
      <c r="D9449" s="213"/>
      <c r="E9449" s="226"/>
      <c r="F9449" s="155"/>
      <c r="G9449" s="143"/>
    </row>
    <row r="9450" spans="2:7" s="196" customFormat="1">
      <c r="B9450" s="142"/>
      <c r="C9450" s="235"/>
      <c r="D9450" s="213"/>
      <c r="E9450" s="226"/>
      <c r="F9450" s="155"/>
      <c r="G9450" s="143"/>
    </row>
    <row r="9451" spans="2:7" s="196" customFormat="1">
      <c r="B9451" s="142"/>
      <c r="C9451" s="235"/>
      <c r="D9451" s="213"/>
      <c r="E9451" s="226"/>
      <c r="F9451" s="155"/>
      <c r="G9451" s="143"/>
    </row>
    <row r="9452" spans="2:7" s="196" customFormat="1">
      <c r="B9452" s="142"/>
      <c r="C9452" s="235"/>
      <c r="D9452" s="213"/>
      <c r="E9452" s="226"/>
      <c r="F9452" s="155"/>
      <c r="G9452" s="143"/>
    </row>
    <row r="9453" spans="2:7" s="196" customFormat="1">
      <c r="B9453" s="142"/>
      <c r="C9453" s="235"/>
      <c r="D9453" s="213"/>
      <c r="E9453" s="226"/>
      <c r="F9453" s="155"/>
      <c r="G9453" s="143"/>
    </row>
    <row r="9454" spans="2:7" s="196" customFormat="1">
      <c r="B9454" s="142"/>
      <c r="C9454" s="235"/>
      <c r="D9454" s="213"/>
      <c r="E9454" s="226"/>
      <c r="F9454" s="155"/>
      <c r="G9454" s="143"/>
    </row>
    <row r="9455" spans="2:7" s="196" customFormat="1">
      <c r="B9455" s="142"/>
      <c r="C9455" s="235"/>
      <c r="D9455" s="213"/>
      <c r="E9455" s="226"/>
      <c r="F9455" s="155"/>
      <c r="G9455" s="143"/>
    </row>
    <row r="9456" spans="2:7" s="196" customFormat="1">
      <c r="B9456" s="142"/>
      <c r="C9456" s="235"/>
      <c r="D9456" s="213"/>
      <c r="E9456" s="226"/>
      <c r="F9456" s="155"/>
      <c r="G9456" s="143"/>
    </row>
    <row r="9457" spans="2:7" s="196" customFormat="1">
      <c r="B9457" s="142"/>
      <c r="C9457" s="235"/>
      <c r="D9457" s="213"/>
      <c r="E9457" s="226"/>
      <c r="F9457" s="155"/>
      <c r="G9457" s="143"/>
    </row>
    <row r="9458" spans="2:7" s="196" customFormat="1">
      <c r="B9458" s="142"/>
      <c r="C9458" s="235"/>
      <c r="D9458" s="213"/>
      <c r="E9458" s="226"/>
      <c r="F9458" s="155"/>
      <c r="G9458" s="143"/>
    </row>
    <row r="9459" spans="2:7" s="196" customFormat="1">
      <c r="B9459" s="142"/>
      <c r="C9459" s="235"/>
      <c r="D9459" s="213"/>
      <c r="E9459" s="226"/>
      <c r="F9459" s="155"/>
      <c r="G9459" s="143"/>
    </row>
    <row r="9460" spans="2:7" s="196" customFormat="1">
      <c r="B9460" s="142"/>
      <c r="C9460" s="235"/>
      <c r="D9460" s="213"/>
      <c r="E9460" s="226"/>
      <c r="F9460" s="155"/>
      <c r="G9460" s="143"/>
    </row>
    <row r="9461" spans="2:7" s="196" customFormat="1">
      <c r="B9461" s="142"/>
      <c r="C9461" s="235"/>
      <c r="D9461" s="213"/>
      <c r="E9461" s="226"/>
      <c r="F9461" s="155"/>
      <c r="G9461" s="143"/>
    </row>
    <row r="9462" spans="2:7" s="196" customFormat="1">
      <c r="B9462" s="142"/>
      <c r="C9462" s="235"/>
      <c r="D9462" s="213"/>
      <c r="E9462" s="226"/>
      <c r="F9462" s="155"/>
      <c r="G9462" s="143"/>
    </row>
    <row r="9463" spans="2:7" s="196" customFormat="1">
      <c r="B9463" s="142"/>
      <c r="C9463" s="235"/>
      <c r="D9463" s="213"/>
      <c r="E9463" s="226"/>
      <c r="F9463" s="155"/>
      <c r="G9463" s="143"/>
    </row>
    <row r="9464" spans="2:7" s="196" customFormat="1">
      <c r="B9464" s="142"/>
      <c r="C9464" s="235"/>
      <c r="D9464" s="213"/>
      <c r="E9464" s="226"/>
      <c r="F9464" s="155"/>
      <c r="G9464" s="143"/>
    </row>
    <row r="9465" spans="2:7" s="196" customFormat="1">
      <c r="B9465" s="142"/>
      <c r="C9465" s="235"/>
      <c r="D9465" s="213"/>
      <c r="E9465" s="226"/>
      <c r="F9465" s="155"/>
      <c r="G9465" s="143"/>
    </row>
    <row r="9466" spans="2:7" s="196" customFormat="1">
      <c r="B9466" s="142"/>
      <c r="C9466" s="235"/>
      <c r="D9466" s="213"/>
      <c r="E9466" s="226"/>
      <c r="F9466" s="155"/>
      <c r="G9466" s="143"/>
    </row>
    <row r="9467" spans="2:7" s="196" customFormat="1">
      <c r="B9467" s="142"/>
      <c r="C9467" s="235"/>
      <c r="D9467" s="213"/>
      <c r="E9467" s="226"/>
      <c r="F9467" s="155"/>
      <c r="G9467" s="143"/>
    </row>
    <row r="9468" spans="2:7" s="196" customFormat="1">
      <c r="B9468" s="142"/>
      <c r="C9468" s="235"/>
      <c r="D9468" s="213"/>
      <c r="E9468" s="226"/>
      <c r="F9468" s="155"/>
      <c r="G9468" s="143"/>
    </row>
    <row r="9469" spans="2:7" s="196" customFormat="1">
      <c r="B9469" s="142"/>
      <c r="C9469" s="235"/>
      <c r="D9469" s="213"/>
      <c r="E9469" s="226"/>
      <c r="F9469" s="155"/>
      <c r="G9469" s="143"/>
    </row>
    <row r="9470" spans="2:7" s="196" customFormat="1">
      <c r="B9470" s="142"/>
      <c r="C9470" s="235"/>
      <c r="D9470" s="213"/>
      <c r="E9470" s="226"/>
      <c r="F9470" s="155"/>
      <c r="G9470" s="143"/>
    </row>
    <row r="9471" spans="2:7" s="196" customFormat="1">
      <c r="B9471" s="142"/>
      <c r="C9471" s="235"/>
      <c r="D9471" s="213"/>
      <c r="E9471" s="226"/>
      <c r="F9471" s="155"/>
      <c r="G9471" s="143"/>
    </row>
    <row r="9472" spans="2:7" s="196" customFormat="1">
      <c r="B9472" s="142"/>
      <c r="C9472" s="235"/>
      <c r="D9472" s="213"/>
      <c r="E9472" s="226"/>
      <c r="F9472" s="155"/>
      <c r="G9472" s="143"/>
    </row>
    <row r="9473" spans="2:7" s="196" customFormat="1">
      <c r="B9473" s="142"/>
      <c r="C9473" s="235"/>
      <c r="D9473" s="213"/>
      <c r="E9473" s="226"/>
      <c r="F9473" s="155"/>
      <c r="G9473" s="143"/>
    </row>
    <row r="9474" spans="2:7" s="196" customFormat="1">
      <c r="B9474" s="142"/>
      <c r="C9474" s="235"/>
      <c r="D9474" s="213"/>
      <c r="E9474" s="226"/>
      <c r="F9474" s="155"/>
      <c r="G9474" s="143"/>
    </row>
    <row r="9475" spans="2:7" s="196" customFormat="1">
      <c r="B9475" s="142"/>
      <c r="C9475" s="235"/>
      <c r="D9475" s="213"/>
      <c r="E9475" s="226"/>
      <c r="F9475" s="155"/>
      <c r="G9475" s="143"/>
    </row>
    <row r="9476" spans="2:7" s="196" customFormat="1">
      <c r="B9476" s="142"/>
      <c r="C9476" s="235"/>
      <c r="D9476" s="213"/>
      <c r="E9476" s="226"/>
      <c r="F9476" s="155"/>
      <c r="G9476" s="143"/>
    </row>
    <row r="9477" spans="2:7" s="196" customFormat="1">
      <c r="B9477" s="142"/>
      <c r="C9477" s="235"/>
      <c r="D9477" s="213"/>
      <c r="E9477" s="226"/>
      <c r="F9477" s="155"/>
      <c r="G9477" s="143"/>
    </row>
    <row r="9478" spans="2:7" s="196" customFormat="1">
      <c r="B9478" s="142"/>
      <c r="C9478" s="235"/>
      <c r="D9478" s="213"/>
      <c r="E9478" s="226"/>
      <c r="F9478" s="155"/>
      <c r="G9478" s="143"/>
    </row>
    <row r="9479" spans="2:7" s="196" customFormat="1">
      <c r="B9479" s="142"/>
      <c r="C9479" s="235"/>
      <c r="D9479" s="213"/>
      <c r="E9479" s="226"/>
      <c r="F9479" s="155"/>
      <c r="G9479" s="143"/>
    </row>
    <row r="9480" spans="2:7" s="196" customFormat="1">
      <c r="B9480" s="142"/>
      <c r="C9480" s="235"/>
      <c r="D9480" s="213"/>
      <c r="E9480" s="226"/>
      <c r="F9480" s="155"/>
      <c r="G9480" s="143"/>
    </row>
    <row r="9481" spans="2:7" s="196" customFormat="1">
      <c r="B9481" s="142"/>
      <c r="C9481" s="235"/>
      <c r="D9481" s="213"/>
      <c r="E9481" s="226"/>
      <c r="F9481" s="155"/>
      <c r="G9481" s="143"/>
    </row>
    <row r="9482" spans="2:7" s="196" customFormat="1">
      <c r="B9482" s="142"/>
      <c r="C9482" s="235"/>
      <c r="D9482" s="213"/>
      <c r="E9482" s="226"/>
      <c r="F9482" s="155"/>
      <c r="G9482" s="143"/>
    </row>
    <row r="9483" spans="2:7" s="196" customFormat="1">
      <c r="B9483" s="142"/>
      <c r="C9483" s="235"/>
      <c r="D9483" s="213"/>
      <c r="E9483" s="226"/>
      <c r="F9483" s="155"/>
      <c r="G9483" s="143"/>
    </row>
    <row r="9484" spans="2:7" s="196" customFormat="1">
      <c r="B9484" s="142"/>
      <c r="C9484" s="235"/>
      <c r="D9484" s="213"/>
      <c r="E9484" s="226"/>
      <c r="F9484" s="155"/>
      <c r="G9484" s="143"/>
    </row>
    <row r="9485" spans="2:7" s="196" customFormat="1">
      <c r="B9485" s="142"/>
      <c r="C9485" s="235"/>
      <c r="D9485" s="213"/>
      <c r="E9485" s="226"/>
      <c r="F9485" s="155"/>
      <c r="G9485" s="143"/>
    </row>
    <row r="9486" spans="2:7" s="196" customFormat="1">
      <c r="B9486" s="142"/>
      <c r="C9486" s="235"/>
      <c r="D9486" s="213"/>
      <c r="E9486" s="226"/>
      <c r="F9486" s="155"/>
      <c r="G9486" s="143"/>
    </row>
    <row r="9487" spans="2:7" s="196" customFormat="1">
      <c r="B9487" s="142"/>
      <c r="C9487" s="235"/>
      <c r="D9487" s="213"/>
      <c r="E9487" s="226"/>
      <c r="F9487" s="155"/>
      <c r="G9487" s="143"/>
    </row>
    <row r="9488" spans="2:7" s="196" customFormat="1">
      <c r="B9488" s="142"/>
      <c r="C9488" s="235"/>
      <c r="D9488" s="213"/>
      <c r="E9488" s="226"/>
      <c r="F9488" s="155"/>
      <c r="G9488" s="143"/>
    </row>
    <row r="9489" spans="2:7" s="196" customFormat="1">
      <c r="B9489" s="142"/>
      <c r="C9489" s="235"/>
      <c r="D9489" s="213"/>
      <c r="E9489" s="226"/>
      <c r="F9489" s="155"/>
      <c r="G9489" s="143"/>
    </row>
    <row r="9490" spans="2:7" s="196" customFormat="1">
      <c r="B9490" s="142"/>
      <c r="C9490" s="235"/>
      <c r="D9490" s="213"/>
      <c r="E9490" s="226"/>
      <c r="F9490" s="155"/>
      <c r="G9490" s="143"/>
    </row>
    <row r="9491" spans="2:7" s="196" customFormat="1">
      <c r="B9491" s="142"/>
      <c r="C9491" s="235"/>
      <c r="D9491" s="213"/>
      <c r="E9491" s="226"/>
      <c r="F9491" s="155"/>
      <c r="G9491" s="143"/>
    </row>
    <row r="9492" spans="2:7" s="196" customFormat="1">
      <c r="B9492" s="142"/>
      <c r="C9492" s="235"/>
      <c r="D9492" s="213"/>
      <c r="E9492" s="226"/>
      <c r="F9492" s="155"/>
      <c r="G9492" s="143"/>
    </row>
    <row r="9493" spans="2:7" s="196" customFormat="1">
      <c r="B9493" s="142"/>
      <c r="C9493" s="235"/>
      <c r="D9493" s="213"/>
      <c r="E9493" s="226"/>
      <c r="F9493" s="155"/>
      <c r="G9493" s="143"/>
    </row>
    <row r="9494" spans="2:7" s="196" customFormat="1">
      <c r="B9494" s="142"/>
      <c r="C9494" s="235"/>
      <c r="D9494" s="213"/>
      <c r="E9494" s="226"/>
      <c r="F9494" s="155"/>
      <c r="G9494" s="143"/>
    </row>
    <row r="9495" spans="2:7" s="196" customFormat="1">
      <c r="B9495" s="142"/>
      <c r="C9495" s="235"/>
      <c r="D9495" s="213"/>
      <c r="E9495" s="226"/>
      <c r="F9495" s="155"/>
      <c r="G9495" s="143"/>
    </row>
    <row r="9496" spans="2:7" s="196" customFormat="1">
      <c r="B9496" s="142"/>
      <c r="C9496" s="235"/>
      <c r="D9496" s="213"/>
      <c r="E9496" s="226"/>
      <c r="F9496" s="155"/>
      <c r="G9496" s="143"/>
    </row>
    <row r="9497" spans="2:7" s="196" customFormat="1">
      <c r="B9497" s="142"/>
      <c r="C9497" s="235"/>
      <c r="D9497" s="213"/>
      <c r="E9497" s="226"/>
      <c r="F9497" s="155"/>
      <c r="G9497" s="143"/>
    </row>
    <row r="9498" spans="2:7" s="196" customFormat="1">
      <c r="B9498" s="142"/>
      <c r="C9498" s="235"/>
      <c r="D9498" s="213"/>
      <c r="E9498" s="226"/>
      <c r="F9498" s="155"/>
      <c r="G9498" s="143"/>
    </row>
    <row r="9499" spans="2:7" s="196" customFormat="1">
      <c r="B9499" s="142"/>
      <c r="C9499" s="235"/>
      <c r="D9499" s="213"/>
      <c r="E9499" s="226"/>
      <c r="F9499" s="155"/>
      <c r="G9499" s="143"/>
    </row>
    <row r="9500" spans="2:7" s="196" customFormat="1">
      <c r="B9500" s="142"/>
      <c r="C9500" s="235"/>
      <c r="D9500" s="213"/>
      <c r="E9500" s="226"/>
      <c r="F9500" s="155"/>
      <c r="G9500" s="143"/>
    </row>
    <row r="9501" spans="2:7" s="196" customFormat="1">
      <c r="B9501" s="142"/>
      <c r="C9501" s="235"/>
      <c r="D9501" s="213"/>
      <c r="E9501" s="226"/>
      <c r="F9501" s="155"/>
      <c r="G9501" s="143"/>
    </row>
    <row r="9502" spans="2:7" s="196" customFormat="1">
      <c r="B9502" s="142"/>
      <c r="C9502" s="235"/>
      <c r="D9502" s="213"/>
      <c r="E9502" s="226"/>
      <c r="F9502" s="155"/>
      <c r="G9502" s="143"/>
    </row>
    <row r="9503" spans="2:7" s="196" customFormat="1">
      <c r="B9503" s="142"/>
      <c r="C9503" s="235"/>
      <c r="D9503" s="213"/>
      <c r="E9503" s="226"/>
      <c r="F9503" s="155"/>
      <c r="G9503" s="143"/>
    </row>
    <row r="9504" spans="2:7" s="196" customFormat="1">
      <c r="B9504" s="142"/>
      <c r="C9504" s="235"/>
      <c r="D9504" s="213"/>
      <c r="E9504" s="226"/>
      <c r="F9504" s="155"/>
      <c r="G9504" s="143"/>
    </row>
    <row r="9505" spans="2:7" s="196" customFormat="1">
      <c r="B9505" s="142"/>
      <c r="C9505" s="235"/>
      <c r="D9505" s="213"/>
      <c r="E9505" s="226"/>
      <c r="F9505" s="155"/>
      <c r="G9505" s="143"/>
    </row>
    <row r="9506" spans="2:7" s="196" customFormat="1">
      <c r="B9506" s="142"/>
      <c r="C9506" s="235"/>
      <c r="D9506" s="213"/>
      <c r="E9506" s="226"/>
      <c r="F9506" s="155"/>
      <c r="G9506" s="143"/>
    </row>
    <row r="9507" spans="2:7" s="196" customFormat="1">
      <c r="B9507" s="142"/>
      <c r="C9507" s="235"/>
      <c r="D9507" s="213"/>
      <c r="E9507" s="226"/>
      <c r="F9507" s="155"/>
      <c r="G9507" s="143"/>
    </row>
    <row r="9508" spans="2:7" s="196" customFormat="1">
      <c r="B9508" s="142"/>
      <c r="C9508" s="235"/>
      <c r="D9508" s="213"/>
      <c r="E9508" s="226"/>
      <c r="F9508" s="155"/>
      <c r="G9508" s="143"/>
    </row>
    <row r="9509" spans="2:7" s="196" customFormat="1">
      <c r="B9509" s="142"/>
      <c r="C9509" s="235"/>
      <c r="D9509" s="213"/>
      <c r="E9509" s="226"/>
      <c r="F9509" s="155"/>
      <c r="G9509" s="143"/>
    </row>
    <row r="9510" spans="2:7" s="196" customFormat="1">
      <c r="B9510" s="142"/>
      <c r="C9510" s="235"/>
      <c r="D9510" s="213"/>
      <c r="E9510" s="226"/>
      <c r="F9510" s="155"/>
      <c r="G9510" s="143"/>
    </row>
    <row r="9511" spans="2:7" s="196" customFormat="1">
      <c r="B9511" s="142"/>
      <c r="C9511" s="235"/>
      <c r="D9511" s="213"/>
      <c r="E9511" s="226"/>
      <c r="F9511" s="155"/>
      <c r="G9511" s="143"/>
    </row>
    <row r="9512" spans="2:7" s="196" customFormat="1">
      <c r="B9512" s="142"/>
      <c r="C9512" s="235"/>
      <c r="D9512" s="213"/>
      <c r="E9512" s="226"/>
      <c r="F9512" s="155"/>
      <c r="G9512" s="143"/>
    </row>
    <row r="9513" spans="2:7" s="196" customFormat="1">
      <c r="B9513" s="142"/>
      <c r="C9513" s="235"/>
      <c r="D9513" s="213"/>
      <c r="E9513" s="226"/>
      <c r="F9513" s="155"/>
      <c r="G9513" s="143"/>
    </row>
    <row r="9514" spans="2:7" s="196" customFormat="1">
      <c r="B9514" s="142"/>
      <c r="C9514" s="235"/>
      <c r="D9514" s="213"/>
      <c r="E9514" s="226"/>
      <c r="F9514" s="155"/>
      <c r="G9514" s="143"/>
    </row>
    <row r="9515" spans="2:7" s="196" customFormat="1">
      <c r="B9515" s="142"/>
      <c r="C9515" s="235"/>
      <c r="D9515" s="213"/>
      <c r="E9515" s="226"/>
      <c r="F9515" s="155"/>
      <c r="G9515" s="143"/>
    </row>
    <row r="9516" spans="2:7" s="196" customFormat="1">
      <c r="B9516" s="142"/>
      <c r="C9516" s="235"/>
      <c r="D9516" s="213"/>
      <c r="E9516" s="226"/>
      <c r="F9516" s="155"/>
      <c r="G9516" s="143"/>
    </row>
    <row r="9517" spans="2:7" s="196" customFormat="1">
      <c r="B9517" s="142"/>
      <c r="C9517" s="235"/>
      <c r="D9517" s="213"/>
      <c r="E9517" s="226"/>
      <c r="F9517" s="155"/>
      <c r="G9517" s="143"/>
    </row>
    <row r="9518" spans="2:7" s="196" customFormat="1">
      <c r="B9518" s="142"/>
      <c r="C9518" s="235"/>
      <c r="D9518" s="213"/>
      <c r="E9518" s="226"/>
      <c r="F9518" s="155"/>
      <c r="G9518" s="143"/>
    </row>
    <row r="9519" spans="2:7" s="196" customFormat="1">
      <c r="B9519" s="142"/>
      <c r="C9519" s="235"/>
      <c r="D9519" s="213"/>
      <c r="E9519" s="226"/>
      <c r="F9519" s="155"/>
      <c r="G9519" s="143"/>
    </row>
    <row r="9520" spans="2:7" s="196" customFormat="1">
      <c r="B9520" s="142"/>
      <c r="C9520" s="235"/>
      <c r="D9520" s="213"/>
      <c r="E9520" s="226"/>
      <c r="F9520" s="155"/>
      <c r="G9520" s="143"/>
    </row>
    <row r="9521" spans="2:7" s="196" customFormat="1">
      <c r="B9521" s="142"/>
      <c r="C9521" s="235"/>
      <c r="D9521" s="213"/>
      <c r="E9521" s="226"/>
      <c r="F9521" s="155"/>
      <c r="G9521" s="143"/>
    </row>
    <row r="9522" spans="2:7" s="196" customFormat="1">
      <c r="B9522" s="142"/>
      <c r="C9522" s="235"/>
      <c r="D9522" s="213"/>
      <c r="E9522" s="226"/>
      <c r="F9522" s="155"/>
      <c r="G9522" s="143"/>
    </row>
    <row r="9523" spans="2:7" s="196" customFormat="1">
      <c r="B9523" s="142"/>
      <c r="C9523" s="235"/>
      <c r="D9523" s="213"/>
      <c r="E9523" s="226"/>
      <c r="F9523" s="155"/>
      <c r="G9523" s="143"/>
    </row>
    <row r="9524" spans="2:7" s="196" customFormat="1">
      <c r="B9524" s="142"/>
      <c r="C9524" s="235"/>
      <c r="D9524" s="213"/>
      <c r="E9524" s="226"/>
      <c r="F9524" s="155"/>
      <c r="G9524" s="143"/>
    </row>
    <row r="9525" spans="2:7" s="196" customFormat="1">
      <c r="B9525" s="142"/>
      <c r="C9525" s="235"/>
      <c r="D9525" s="213"/>
      <c r="E9525" s="226"/>
      <c r="F9525" s="155"/>
      <c r="G9525" s="143"/>
    </row>
    <row r="9526" spans="2:7" s="196" customFormat="1">
      <c r="B9526" s="142"/>
      <c r="C9526" s="235"/>
      <c r="D9526" s="213"/>
      <c r="E9526" s="226"/>
      <c r="F9526" s="155"/>
      <c r="G9526" s="143"/>
    </row>
    <row r="9527" spans="2:7" s="196" customFormat="1">
      <c r="B9527" s="142"/>
      <c r="C9527" s="235"/>
      <c r="D9527" s="213"/>
      <c r="E9527" s="226"/>
      <c r="F9527" s="155"/>
      <c r="G9527" s="143"/>
    </row>
    <row r="9528" spans="2:7" s="196" customFormat="1">
      <c r="B9528" s="142"/>
      <c r="C9528" s="235"/>
      <c r="D9528" s="213"/>
      <c r="E9528" s="226"/>
      <c r="F9528" s="155"/>
      <c r="G9528" s="143"/>
    </row>
    <row r="9529" spans="2:7" s="196" customFormat="1">
      <c r="B9529" s="142"/>
      <c r="C9529" s="235"/>
      <c r="D9529" s="213"/>
      <c r="E9529" s="226"/>
      <c r="F9529" s="155"/>
      <c r="G9529" s="143"/>
    </row>
    <row r="9530" spans="2:7" s="196" customFormat="1">
      <c r="B9530" s="142"/>
      <c r="C9530" s="235"/>
      <c r="D9530" s="213"/>
      <c r="E9530" s="226"/>
      <c r="F9530" s="155"/>
      <c r="G9530" s="143"/>
    </row>
    <row r="9531" spans="2:7" s="196" customFormat="1">
      <c r="B9531" s="142"/>
      <c r="C9531" s="235"/>
      <c r="D9531" s="213"/>
      <c r="E9531" s="226"/>
      <c r="F9531" s="155"/>
      <c r="G9531" s="143"/>
    </row>
    <row r="9532" spans="2:7" s="196" customFormat="1">
      <c r="B9532" s="142"/>
      <c r="C9532" s="235"/>
      <c r="D9532" s="213"/>
      <c r="E9532" s="226"/>
      <c r="F9532" s="155"/>
      <c r="G9532" s="143"/>
    </row>
    <row r="9533" spans="2:7" s="196" customFormat="1">
      <c r="B9533" s="142"/>
      <c r="C9533" s="235"/>
      <c r="D9533" s="213"/>
      <c r="E9533" s="226"/>
      <c r="F9533" s="155"/>
      <c r="G9533" s="143"/>
    </row>
    <row r="9534" spans="2:7" s="196" customFormat="1">
      <c r="B9534" s="142"/>
      <c r="C9534" s="235"/>
      <c r="D9534" s="213"/>
      <c r="E9534" s="226"/>
      <c r="F9534" s="155"/>
      <c r="G9534" s="143"/>
    </row>
    <row r="9535" spans="2:7" s="196" customFormat="1">
      <c r="B9535" s="142"/>
      <c r="C9535" s="235"/>
      <c r="D9535" s="213"/>
      <c r="E9535" s="226"/>
      <c r="F9535" s="155"/>
      <c r="G9535" s="143"/>
    </row>
    <row r="9536" spans="2:7" s="196" customFormat="1">
      <c r="B9536" s="142"/>
      <c r="C9536" s="235"/>
      <c r="D9536" s="213"/>
      <c r="E9536" s="226"/>
      <c r="F9536" s="155"/>
      <c r="G9536" s="143"/>
    </row>
    <row r="9537" spans="2:7" s="196" customFormat="1">
      <c r="B9537" s="142"/>
      <c r="C9537" s="235"/>
      <c r="D9537" s="213"/>
      <c r="E9537" s="226"/>
      <c r="F9537" s="155"/>
      <c r="G9537" s="143"/>
    </row>
    <row r="9538" spans="2:7" s="196" customFormat="1">
      <c r="B9538" s="142"/>
      <c r="C9538" s="235"/>
      <c r="D9538" s="213"/>
      <c r="E9538" s="226"/>
      <c r="F9538" s="155"/>
      <c r="G9538" s="143"/>
    </row>
    <row r="9539" spans="2:7" s="196" customFormat="1">
      <c r="B9539" s="142"/>
      <c r="C9539" s="235"/>
      <c r="D9539" s="213"/>
      <c r="E9539" s="226"/>
      <c r="F9539" s="155"/>
      <c r="G9539" s="143"/>
    </row>
    <row r="9540" spans="2:7" s="196" customFormat="1">
      <c r="B9540" s="142"/>
      <c r="C9540" s="235"/>
      <c r="D9540" s="213"/>
      <c r="E9540" s="226"/>
      <c r="F9540" s="155"/>
      <c r="G9540" s="143"/>
    </row>
    <row r="9541" spans="2:7" s="196" customFormat="1">
      <c r="B9541" s="142"/>
      <c r="C9541" s="235"/>
      <c r="D9541" s="213"/>
      <c r="E9541" s="226"/>
      <c r="F9541" s="155"/>
      <c r="G9541" s="143"/>
    </row>
    <row r="9542" spans="2:7" s="196" customFormat="1">
      <c r="B9542" s="142"/>
      <c r="C9542" s="235"/>
      <c r="D9542" s="213"/>
      <c r="E9542" s="226"/>
      <c r="F9542" s="155"/>
      <c r="G9542" s="143"/>
    </row>
    <row r="9543" spans="2:7" s="196" customFormat="1">
      <c r="B9543" s="142"/>
      <c r="C9543" s="235"/>
      <c r="D9543" s="213"/>
      <c r="E9543" s="226"/>
      <c r="F9543" s="155"/>
      <c r="G9543" s="143"/>
    </row>
    <row r="9544" spans="2:7" s="196" customFormat="1">
      <c r="B9544" s="142"/>
      <c r="C9544" s="235"/>
      <c r="D9544" s="213"/>
      <c r="E9544" s="226"/>
      <c r="F9544" s="155"/>
      <c r="G9544" s="143"/>
    </row>
    <row r="9545" spans="2:7" s="196" customFormat="1">
      <c r="B9545" s="142"/>
      <c r="C9545" s="235"/>
      <c r="D9545" s="213"/>
      <c r="E9545" s="226"/>
      <c r="F9545" s="155"/>
      <c r="G9545" s="143"/>
    </row>
    <row r="9546" spans="2:7" s="196" customFormat="1">
      <c r="B9546" s="142"/>
      <c r="C9546" s="235"/>
      <c r="D9546" s="213"/>
      <c r="E9546" s="226"/>
      <c r="F9546" s="155"/>
      <c r="G9546" s="143"/>
    </row>
    <row r="9547" spans="2:7" s="196" customFormat="1">
      <c r="B9547" s="142"/>
      <c r="C9547" s="235"/>
      <c r="D9547" s="213"/>
      <c r="E9547" s="226"/>
      <c r="F9547" s="155"/>
      <c r="G9547" s="143"/>
    </row>
    <row r="9548" spans="2:7" s="196" customFormat="1">
      <c r="B9548" s="142"/>
      <c r="C9548" s="235"/>
      <c r="D9548" s="213"/>
      <c r="E9548" s="226"/>
      <c r="F9548" s="155"/>
      <c r="G9548" s="143"/>
    </row>
    <row r="9549" spans="2:7" s="196" customFormat="1">
      <c r="B9549" s="142"/>
      <c r="C9549" s="235"/>
      <c r="D9549" s="213"/>
      <c r="E9549" s="226"/>
      <c r="F9549" s="155"/>
      <c r="G9549" s="143"/>
    </row>
    <row r="9550" spans="2:7" s="196" customFormat="1">
      <c r="B9550" s="142"/>
      <c r="C9550" s="235"/>
      <c r="D9550" s="213"/>
      <c r="E9550" s="226"/>
      <c r="F9550" s="155"/>
      <c r="G9550" s="143"/>
    </row>
    <row r="9551" spans="2:7" s="196" customFormat="1">
      <c r="B9551" s="142"/>
      <c r="C9551" s="235"/>
      <c r="D9551" s="213"/>
      <c r="E9551" s="226"/>
      <c r="F9551" s="155"/>
      <c r="G9551" s="143"/>
    </row>
    <row r="9552" spans="2:7" s="196" customFormat="1">
      <c r="B9552" s="142"/>
      <c r="C9552" s="235"/>
      <c r="D9552" s="213"/>
      <c r="E9552" s="226"/>
      <c r="F9552" s="155"/>
      <c r="G9552" s="143"/>
    </row>
    <row r="9553" spans="2:7" s="196" customFormat="1">
      <c r="B9553" s="142"/>
      <c r="C9553" s="235"/>
      <c r="D9553" s="213"/>
      <c r="E9553" s="226"/>
      <c r="F9553" s="155"/>
      <c r="G9553" s="143"/>
    </row>
    <row r="9554" spans="2:7" s="196" customFormat="1">
      <c r="B9554" s="142"/>
      <c r="C9554" s="235"/>
      <c r="D9554" s="213"/>
      <c r="E9554" s="226"/>
      <c r="F9554" s="155"/>
      <c r="G9554" s="143"/>
    </row>
    <row r="9555" spans="2:7" s="196" customFormat="1">
      <c r="B9555" s="142"/>
      <c r="C9555" s="235"/>
      <c r="D9555" s="213"/>
      <c r="E9555" s="226"/>
      <c r="F9555" s="155"/>
      <c r="G9555" s="143"/>
    </row>
    <row r="9556" spans="2:7" s="196" customFormat="1">
      <c r="B9556" s="142"/>
      <c r="C9556" s="235"/>
      <c r="D9556" s="213"/>
      <c r="E9556" s="226"/>
      <c r="F9556" s="155"/>
      <c r="G9556" s="143"/>
    </row>
    <row r="9557" spans="2:7" s="196" customFormat="1">
      <c r="B9557" s="142"/>
      <c r="C9557" s="235"/>
      <c r="D9557" s="213"/>
      <c r="E9557" s="226"/>
      <c r="F9557" s="155"/>
      <c r="G9557" s="143"/>
    </row>
    <row r="9558" spans="2:7" s="196" customFormat="1">
      <c r="B9558" s="142"/>
      <c r="C9558" s="235"/>
      <c r="D9558" s="213"/>
      <c r="E9558" s="226"/>
      <c r="F9558" s="155"/>
      <c r="G9558" s="143"/>
    </row>
    <row r="9559" spans="2:7" s="196" customFormat="1">
      <c r="B9559" s="142"/>
      <c r="C9559" s="235"/>
      <c r="D9559" s="213"/>
      <c r="E9559" s="226"/>
      <c r="F9559" s="155"/>
      <c r="G9559" s="143"/>
    </row>
    <row r="9560" spans="2:7" s="196" customFormat="1">
      <c r="B9560" s="142"/>
      <c r="C9560" s="235"/>
      <c r="D9560" s="213"/>
      <c r="E9560" s="226"/>
      <c r="F9560" s="155"/>
      <c r="G9560" s="143"/>
    </row>
    <row r="9561" spans="2:7" s="196" customFormat="1">
      <c r="B9561" s="142"/>
      <c r="C9561" s="235"/>
      <c r="D9561" s="213"/>
      <c r="E9561" s="226"/>
      <c r="F9561" s="155"/>
      <c r="G9561" s="143"/>
    </row>
    <row r="9562" spans="2:7" s="196" customFormat="1">
      <c r="B9562" s="142"/>
      <c r="C9562" s="235"/>
      <c r="D9562" s="213"/>
      <c r="E9562" s="226"/>
      <c r="F9562" s="155"/>
      <c r="G9562" s="143"/>
    </row>
    <row r="9563" spans="2:7" s="196" customFormat="1">
      <c r="B9563" s="142"/>
      <c r="C9563" s="235"/>
      <c r="D9563" s="213"/>
      <c r="E9563" s="226"/>
      <c r="F9563" s="155"/>
      <c r="G9563" s="143"/>
    </row>
    <row r="9564" spans="2:7" s="196" customFormat="1">
      <c r="B9564" s="142"/>
      <c r="C9564" s="235"/>
      <c r="D9564" s="213"/>
      <c r="E9564" s="226"/>
      <c r="F9564" s="155"/>
      <c r="G9564" s="143"/>
    </row>
    <row r="9565" spans="2:7" s="196" customFormat="1">
      <c r="B9565" s="142"/>
      <c r="C9565" s="235"/>
      <c r="D9565" s="213"/>
      <c r="E9565" s="226"/>
      <c r="F9565" s="155"/>
      <c r="G9565" s="143"/>
    </row>
    <row r="9566" spans="2:7" s="196" customFormat="1">
      <c r="B9566" s="142"/>
      <c r="C9566" s="235"/>
      <c r="D9566" s="213"/>
      <c r="E9566" s="226"/>
      <c r="F9566" s="155"/>
      <c r="G9566" s="143"/>
    </row>
    <row r="9567" spans="2:7" s="196" customFormat="1">
      <c r="B9567" s="142"/>
      <c r="C9567" s="235"/>
      <c r="D9567" s="213"/>
      <c r="E9567" s="226"/>
      <c r="F9567" s="155"/>
      <c r="G9567" s="143"/>
    </row>
    <row r="9568" spans="2:7" s="196" customFormat="1">
      <c r="B9568" s="142"/>
      <c r="C9568" s="235"/>
      <c r="D9568" s="213"/>
      <c r="E9568" s="226"/>
      <c r="F9568" s="155"/>
      <c r="G9568" s="143"/>
    </row>
    <row r="9569" spans="2:7" s="196" customFormat="1">
      <c r="B9569" s="142"/>
      <c r="C9569" s="235"/>
      <c r="D9569" s="213"/>
      <c r="E9569" s="226"/>
      <c r="F9569" s="155"/>
      <c r="G9569" s="143"/>
    </row>
    <row r="9570" spans="2:7" s="196" customFormat="1">
      <c r="B9570" s="142"/>
      <c r="C9570" s="235"/>
      <c r="D9570" s="213"/>
      <c r="E9570" s="226"/>
      <c r="F9570" s="155"/>
      <c r="G9570" s="143"/>
    </row>
    <row r="9571" spans="2:7" s="196" customFormat="1">
      <c r="B9571" s="142"/>
      <c r="C9571" s="235"/>
      <c r="D9571" s="213"/>
      <c r="E9571" s="226"/>
      <c r="F9571" s="155"/>
      <c r="G9571" s="143"/>
    </row>
    <row r="9572" spans="2:7" s="196" customFormat="1">
      <c r="B9572" s="142"/>
      <c r="C9572" s="235"/>
      <c r="D9572" s="213"/>
      <c r="E9572" s="226"/>
      <c r="F9572" s="155"/>
      <c r="G9572" s="143"/>
    </row>
    <row r="9573" spans="2:7" s="196" customFormat="1">
      <c r="B9573" s="142"/>
      <c r="C9573" s="235"/>
      <c r="D9573" s="213"/>
      <c r="E9573" s="226"/>
      <c r="F9573" s="155"/>
      <c r="G9573" s="143"/>
    </row>
    <row r="9574" spans="2:7" s="196" customFormat="1">
      <c r="B9574" s="142"/>
      <c r="C9574" s="235"/>
      <c r="D9574" s="213"/>
      <c r="E9574" s="226"/>
      <c r="F9574" s="155"/>
      <c r="G9574" s="143"/>
    </row>
    <row r="9575" spans="2:7" s="196" customFormat="1">
      <c r="B9575" s="142"/>
      <c r="C9575" s="235"/>
      <c r="D9575" s="213"/>
      <c r="E9575" s="226"/>
      <c r="F9575" s="155"/>
      <c r="G9575" s="143"/>
    </row>
    <row r="9576" spans="2:7" s="196" customFormat="1">
      <c r="B9576" s="142"/>
      <c r="C9576" s="235"/>
      <c r="D9576" s="213"/>
      <c r="E9576" s="226"/>
      <c r="F9576" s="155"/>
      <c r="G9576" s="143"/>
    </row>
    <row r="9577" spans="2:7" s="196" customFormat="1">
      <c r="B9577" s="142"/>
      <c r="C9577" s="235"/>
      <c r="D9577" s="213"/>
      <c r="E9577" s="226"/>
      <c r="F9577" s="155"/>
      <c r="G9577" s="143"/>
    </row>
    <row r="9578" spans="2:7" s="196" customFormat="1">
      <c r="B9578" s="142"/>
      <c r="C9578" s="235"/>
      <c r="D9578" s="213"/>
      <c r="E9578" s="226"/>
      <c r="F9578" s="155"/>
      <c r="G9578" s="143"/>
    </row>
    <row r="9579" spans="2:7" s="196" customFormat="1">
      <c r="B9579" s="142"/>
      <c r="C9579" s="235"/>
      <c r="D9579" s="213"/>
      <c r="E9579" s="226"/>
      <c r="F9579" s="155"/>
      <c r="G9579" s="143"/>
    </row>
    <row r="9580" spans="2:7" s="196" customFormat="1">
      <c r="B9580" s="142"/>
      <c r="C9580" s="235"/>
      <c r="D9580" s="213"/>
      <c r="E9580" s="226"/>
      <c r="F9580" s="155"/>
      <c r="G9580" s="143"/>
    </row>
    <row r="9581" spans="2:7" s="196" customFormat="1">
      <c r="B9581" s="142"/>
      <c r="C9581" s="235"/>
      <c r="D9581" s="213"/>
      <c r="E9581" s="226"/>
      <c r="F9581" s="155"/>
      <c r="G9581" s="143"/>
    </row>
    <row r="9582" spans="2:7" s="196" customFormat="1">
      <c r="B9582" s="142"/>
      <c r="C9582" s="235"/>
      <c r="D9582" s="213"/>
      <c r="E9582" s="226"/>
      <c r="F9582" s="155"/>
      <c r="G9582" s="143"/>
    </row>
    <row r="9583" spans="2:7" s="196" customFormat="1">
      <c r="B9583" s="142"/>
      <c r="C9583" s="235"/>
      <c r="D9583" s="213"/>
      <c r="E9583" s="226"/>
      <c r="F9583" s="155"/>
      <c r="G9583" s="143"/>
    </row>
    <row r="9584" spans="2:7" s="196" customFormat="1">
      <c r="B9584" s="142"/>
      <c r="C9584" s="235"/>
      <c r="D9584" s="213"/>
      <c r="E9584" s="226"/>
      <c r="F9584" s="155"/>
      <c r="G9584" s="143"/>
    </row>
    <row r="9585" spans="2:7" s="196" customFormat="1">
      <c r="B9585" s="142"/>
      <c r="C9585" s="235"/>
      <c r="D9585" s="213"/>
      <c r="E9585" s="226"/>
      <c r="F9585" s="155"/>
      <c r="G9585" s="143"/>
    </row>
    <row r="9586" spans="2:7" s="196" customFormat="1">
      <c r="B9586" s="142"/>
      <c r="C9586" s="235"/>
      <c r="D9586" s="213"/>
      <c r="E9586" s="226"/>
      <c r="F9586" s="155"/>
      <c r="G9586" s="143"/>
    </row>
    <row r="9587" spans="2:7" s="196" customFormat="1">
      <c r="B9587" s="142"/>
      <c r="C9587" s="235"/>
      <c r="D9587" s="213"/>
      <c r="E9587" s="226"/>
      <c r="F9587" s="155"/>
      <c r="G9587" s="143"/>
    </row>
    <row r="9588" spans="2:7" s="196" customFormat="1">
      <c r="B9588" s="142"/>
      <c r="C9588" s="235"/>
      <c r="D9588" s="213"/>
      <c r="E9588" s="226"/>
      <c r="F9588" s="155"/>
      <c r="G9588" s="143"/>
    </row>
    <row r="9589" spans="2:7" s="196" customFormat="1">
      <c r="B9589" s="142"/>
      <c r="C9589" s="235"/>
      <c r="D9589" s="213"/>
      <c r="E9589" s="226"/>
      <c r="F9589" s="155"/>
      <c r="G9589" s="143"/>
    </row>
    <row r="9590" spans="2:7" s="196" customFormat="1">
      <c r="B9590" s="142"/>
      <c r="C9590" s="235"/>
      <c r="D9590" s="213"/>
      <c r="E9590" s="226"/>
      <c r="F9590" s="155"/>
      <c r="G9590" s="143"/>
    </row>
    <row r="9591" spans="2:7" s="196" customFormat="1">
      <c r="B9591" s="142"/>
      <c r="C9591" s="235"/>
      <c r="D9591" s="213"/>
      <c r="E9591" s="226"/>
      <c r="F9591" s="155"/>
      <c r="G9591" s="143"/>
    </row>
    <row r="9592" spans="2:7" s="196" customFormat="1">
      <c r="B9592" s="142"/>
      <c r="C9592" s="235"/>
      <c r="D9592" s="213"/>
      <c r="E9592" s="226"/>
      <c r="F9592" s="155"/>
      <c r="G9592" s="143"/>
    </row>
    <row r="9593" spans="2:7" s="196" customFormat="1">
      <c r="B9593" s="142"/>
      <c r="C9593" s="235"/>
      <c r="D9593" s="213"/>
      <c r="E9593" s="226"/>
      <c r="F9593" s="155"/>
      <c r="G9593" s="143"/>
    </row>
    <row r="9594" spans="2:7" s="196" customFormat="1">
      <c r="B9594" s="142"/>
      <c r="C9594" s="235"/>
      <c r="D9594" s="213"/>
      <c r="E9594" s="226"/>
      <c r="F9594" s="155"/>
      <c r="G9594" s="143"/>
    </row>
    <row r="9595" spans="2:7" s="196" customFormat="1">
      <c r="B9595" s="142"/>
      <c r="C9595" s="235"/>
      <c r="D9595" s="213"/>
      <c r="E9595" s="226"/>
      <c r="F9595" s="155"/>
      <c r="G9595" s="143"/>
    </row>
    <row r="9596" spans="2:7" s="196" customFormat="1">
      <c r="B9596" s="142"/>
      <c r="C9596" s="235"/>
      <c r="D9596" s="213"/>
      <c r="E9596" s="226"/>
      <c r="F9596" s="155"/>
      <c r="G9596" s="143"/>
    </row>
    <row r="9597" spans="2:7" s="196" customFormat="1">
      <c r="B9597" s="142"/>
      <c r="C9597" s="235"/>
      <c r="D9597" s="213"/>
      <c r="E9597" s="226"/>
      <c r="F9597" s="155"/>
      <c r="G9597" s="143"/>
    </row>
    <row r="9598" spans="2:7" s="196" customFormat="1">
      <c r="B9598" s="142"/>
      <c r="C9598" s="235"/>
      <c r="D9598" s="213"/>
      <c r="E9598" s="226"/>
      <c r="F9598" s="155"/>
      <c r="G9598" s="143"/>
    </row>
    <row r="9599" spans="2:7" s="196" customFormat="1">
      <c r="B9599" s="142"/>
      <c r="C9599" s="235"/>
      <c r="D9599" s="213"/>
      <c r="E9599" s="226"/>
      <c r="F9599" s="155"/>
      <c r="G9599" s="143"/>
    </row>
    <row r="9600" spans="2:7" s="196" customFormat="1">
      <c r="B9600" s="142"/>
      <c r="C9600" s="235"/>
      <c r="D9600" s="213"/>
      <c r="E9600" s="226"/>
      <c r="F9600" s="155"/>
      <c r="G9600" s="143"/>
    </row>
    <row r="9601" spans="2:7" s="196" customFormat="1">
      <c r="B9601" s="142"/>
      <c r="C9601" s="235"/>
      <c r="D9601" s="213"/>
      <c r="E9601" s="226"/>
      <c r="F9601" s="155"/>
      <c r="G9601" s="143"/>
    </row>
    <row r="9602" spans="2:7" s="196" customFormat="1">
      <c r="B9602" s="142"/>
      <c r="C9602" s="235"/>
      <c r="D9602" s="213"/>
      <c r="E9602" s="226"/>
      <c r="F9602" s="155"/>
      <c r="G9602" s="143"/>
    </row>
    <row r="9603" spans="2:7" s="196" customFormat="1">
      <c r="B9603" s="142"/>
      <c r="C9603" s="235"/>
      <c r="D9603" s="213"/>
      <c r="E9603" s="226"/>
      <c r="F9603" s="155"/>
      <c r="G9603" s="143"/>
    </row>
    <row r="9604" spans="2:7" s="196" customFormat="1">
      <c r="B9604" s="142"/>
      <c r="C9604" s="235"/>
      <c r="D9604" s="213"/>
      <c r="E9604" s="226"/>
      <c r="F9604" s="155"/>
      <c r="G9604" s="143"/>
    </row>
    <row r="9605" spans="2:7" s="196" customFormat="1">
      <c r="B9605" s="142"/>
      <c r="C9605" s="235"/>
      <c r="D9605" s="213"/>
      <c r="E9605" s="226"/>
      <c r="F9605" s="155"/>
      <c r="G9605" s="143"/>
    </row>
    <row r="9606" spans="2:7" s="196" customFormat="1">
      <c r="B9606" s="142"/>
      <c r="C9606" s="235"/>
      <c r="D9606" s="213"/>
      <c r="E9606" s="226"/>
      <c r="F9606" s="155"/>
      <c r="G9606" s="143"/>
    </row>
    <row r="9607" spans="2:7" s="196" customFormat="1">
      <c r="B9607" s="142"/>
      <c r="C9607" s="235"/>
      <c r="D9607" s="213"/>
      <c r="E9607" s="226"/>
      <c r="F9607" s="155"/>
      <c r="G9607" s="143"/>
    </row>
    <row r="9608" spans="2:7" s="196" customFormat="1">
      <c r="B9608" s="142"/>
      <c r="C9608" s="235"/>
      <c r="D9608" s="213"/>
      <c r="E9608" s="226"/>
      <c r="F9608" s="155"/>
      <c r="G9608" s="143"/>
    </row>
    <row r="9609" spans="2:7" s="196" customFormat="1">
      <c r="B9609" s="142"/>
      <c r="C9609" s="235"/>
      <c r="D9609" s="213"/>
      <c r="E9609" s="226"/>
      <c r="F9609" s="155"/>
      <c r="G9609" s="143"/>
    </row>
    <row r="9610" spans="2:7" s="196" customFormat="1">
      <c r="B9610" s="142"/>
      <c r="C9610" s="235"/>
      <c r="D9610" s="213"/>
      <c r="E9610" s="226"/>
      <c r="F9610" s="155"/>
      <c r="G9610" s="143"/>
    </row>
    <row r="9611" spans="2:7" s="196" customFormat="1">
      <c r="B9611" s="142"/>
      <c r="C9611" s="235"/>
      <c r="D9611" s="213"/>
      <c r="E9611" s="226"/>
      <c r="F9611" s="155"/>
      <c r="G9611" s="143"/>
    </row>
    <row r="9612" spans="2:7" s="196" customFormat="1">
      <c r="B9612" s="142"/>
      <c r="C9612" s="235"/>
      <c r="D9612" s="213"/>
      <c r="E9612" s="226"/>
      <c r="F9612" s="155"/>
      <c r="G9612" s="143"/>
    </row>
    <row r="9613" spans="2:7" s="196" customFormat="1">
      <c r="B9613" s="142"/>
      <c r="C9613" s="235"/>
      <c r="D9613" s="213"/>
      <c r="E9613" s="226"/>
      <c r="F9613" s="155"/>
      <c r="G9613" s="143"/>
    </row>
    <row r="9614" spans="2:7" s="196" customFormat="1">
      <c r="B9614" s="142"/>
      <c r="C9614" s="235"/>
      <c r="D9614" s="213"/>
      <c r="E9614" s="226"/>
      <c r="F9614" s="155"/>
      <c r="G9614" s="143"/>
    </row>
    <row r="9615" spans="2:7" s="196" customFormat="1">
      <c r="B9615" s="142"/>
      <c r="C9615" s="235"/>
      <c r="D9615" s="213"/>
      <c r="E9615" s="226"/>
      <c r="F9615" s="155"/>
      <c r="G9615" s="143"/>
    </row>
    <row r="9616" spans="2:7" s="196" customFormat="1">
      <c r="B9616" s="142"/>
      <c r="C9616" s="235"/>
      <c r="D9616" s="213"/>
      <c r="E9616" s="226"/>
      <c r="F9616" s="155"/>
      <c r="G9616" s="143"/>
    </row>
    <row r="9617" spans="2:7" s="196" customFormat="1">
      <c r="B9617" s="142"/>
      <c r="C9617" s="235"/>
      <c r="D9617" s="213"/>
      <c r="E9617" s="226"/>
      <c r="F9617" s="155"/>
      <c r="G9617" s="143"/>
    </row>
    <row r="9618" spans="2:7" s="196" customFormat="1">
      <c r="B9618" s="142"/>
      <c r="C9618" s="235"/>
      <c r="D9618" s="213"/>
      <c r="E9618" s="226"/>
      <c r="F9618" s="155"/>
      <c r="G9618" s="143"/>
    </row>
    <row r="9619" spans="2:7" s="196" customFormat="1">
      <c r="B9619" s="142"/>
      <c r="C9619" s="235"/>
      <c r="D9619" s="213"/>
      <c r="E9619" s="226"/>
      <c r="F9619" s="155"/>
      <c r="G9619" s="143"/>
    </row>
    <row r="9620" spans="2:7" s="196" customFormat="1">
      <c r="B9620" s="142"/>
      <c r="C9620" s="235"/>
      <c r="D9620" s="213"/>
      <c r="E9620" s="226"/>
      <c r="F9620" s="155"/>
      <c r="G9620" s="143"/>
    </row>
    <row r="9621" spans="2:7" s="196" customFormat="1">
      <c r="B9621" s="142"/>
      <c r="C9621" s="235"/>
      <c r="D9621" s="213"/>
      <c r="E9621" s="226"/>
      <c r="F9621" s="155"/>
      <c r="G9621" s="143"/>
    </row>
    <row r="9622" spans="2:7" s="196" customFormat="1">
      <c r="B9622" s="142"/>
      <c r="C9622" s="235"/>
      <c r="D9622" s="213"/>
      <c r="E9622" s="226"/>
      <c r="F9622" s="155"/>
      <c r="G9622" s="143"/>
    </row>
    <row r="9623" spans="2:7" s="196" customFormat="1">
      <c r="B9623" s="142"/>
      <c r="C9623" s="235"/>
      <c r="D9623" s="213"/>
      <c r="E9623" s="226"/>
      <c r="F9623" s="155"/>
      <c r="G9623" s="143"/>
    </row>
    <row r="9624" spans="2:7" s="196" customFormat="1">
      <c r="B9624" s="142"/>
      <c r="C9624" s="235"/>
      <c r="D9624" s="213"/>
      <c r="E9624" s="226"/>
      <c r="F9624" s="155"/>
      <c r="G9624" s="143"/>
    </row>
    <row r="9625" spans="2:7" s="196" customFormat="1">
      <c r="B9625" s="142"/>
      <c r="C9625" s="235"/>
      <c r="D9625" s="213"/>
      <c r="E9625" s="226"/>
      <c r="F9625" s="155"/>
      <c r="G9625" s="143"/>
    </row>
    <row r="9626" spans="2:7" s="196" customFormat="1">
      <c r="B9626" s="142"/>
      <c r="C9626" s="235"/>
      <c r="D9626" s="213"/>
      <c r="E9626" s="226"/>
      <c r="F9626" s="155"/>
      <c r="G9626" s="143"/>
    </row>
    <row r="9627" spans="2:7" s="196" customFormat="1">
      <c r="B9627" s="142"/>
      <c r="C9627" s="235"/>
      <c r="D9627" s="213"/>
      <c r="E9627" s="226"/>
      <c r="F9627" s="155"/>
      <c r="G9627" s="143"/>
    </row>
    <row r="9628" spans="2:7" s="196" customFormat="1">
      <c r="B9628" s="142"/>
      <c r="C9628" s="235"/>
      <c r="D9628" s="213"/>
      <c r="E9628" s="226"/>
      <c r="F9628" s="155"/>
      <c r="G9628" s="143"/>
    </row>
    <row r="9629" spans="2:7" s="196" customFormat="1">
      <c r="B9629" s="142"/>
      <c r="C9629" s="235"/>
      <c r="D9629" s="213"/>
      <c r="E9629" s="226"/>
      <c r="F9629" s="155"/>
      <c r="G9629" s="143"/>
    </row>
    <row r="9630" spans="2:7" s="196" customFormat="1">
      <c r="B9630" s="142"/>
      <c r="C9630" s="235"/>
      <c r="D9630" s="213"/>
      <c r="E9630" s="226"/>
      <c r="F9630" s="155"/>
      <c r="G9630" s="143"/>
    </row>
    <row r="9631" spans="2:7" s="196" customFormat="1">
      <c r="B9631" s="142"/>
      <c r="C9631" s="235"/>
      <c r="D9631" s="213"/>
      <c r="E9631" s="226"/>
      <c r="F9631" s="155"/>
      <c r="G9631" s="143"/>
    </row>
    <row r="9632" spans="2:7" s="196" customFormat="1">
      <c r="B9632" s="142"/>
      <c r="C9632" s="235"/>
      <c r="D9632" s="213"/>
      <c r="E9632" s="226"/>
      <c r="F9632" s="155"/>
      <c r="G9632" s="143"/>
    </row>
    <row r="9633" spans="2:7" s="196" customFormat="1">
      <c r="B9633" s="142"/>
      <c r="C9633" s="235"/>
      <c r="D9633" s="213"/>
      <c r="E9633" s="226"/>
      <c r="F9633" s="155"/>
      <c r="G9633" s="143"/>
    </row>
    <row r="9634" spans="2:7" s="196" customFormat="1">
      <c r="B9634" s="142"/>
      <c r="C9634" s="235"/>
      <c r="D9634" s="213"/>
      <c r="E9634" s="226"/>
      <c r="F9634" s="155"/>
      <c r="G9634" s="143"/>
    </row>
    <row r="9635" spans="2:7" s="196" customFormat="1">
      <c r="B9635" s="142"/>
      <c r="C9635" s="235"/>
      <c r="D9635" s="213"/>
      <c r="E9635" s="226"/>
      <c r="F9635" s="155"/>
      <c r="G9635" s="143"/>
    </row>
    <row r="9636" spans="2:7" s="196" customFormat="1">
      <c r="B9636" s="142"/>
      <c r="C9636" s="235"/>
      <c r="D9636" s="213"/>
      <c r="E9636" s="226"/>
      <c r="F9636" s="155"/>
      <c r="G9636" s="143"/>
    </row>
    <row r="9637" spans="2:7" s="196" customFormat="1">
      <c r="B9637" s="142"/>
      <c r="C9637" s="235"/>
      <c r="D9637" s="213"/>
      <c r="E9637" s="226"/>
      <c r="F9637" s="155"/>
      <c r="G9637" s="143"/>
    </row>
    <row r="9638" spans="2:7" s="196" customFormat="1">
      <c r="B9638" s="142"/>
      <c r="C9638" s="235"/>
      <c r="D9638" s="213"/>
      <c r="E9638" s="226"/>
      <c r="F9638" s="155"/>
      <c r="G9638" s="143"/>
    </row>
    <row r="9639" spans="2:7" s="196" customFormat="1">
      <c r="B9639" s="142"/>
      <c r="C9639" s="235"/>
      <c r="D9639" s="213"/>
      <c r="E9639" s="226"/>
      <c r="F9639" s="155"/>
      <c r="G9639" s="143"/>
    </row>
    <row r="9640" spans="2:7" s="196" customFormat="1">
      <c r="B9640" s="142"/>
      <c r="C9640" s="235"/>
      <c r="D9640" s="213"/>
      <c r="E9640" s="226"/>
      <c r="F9640" s="155"/>
      <c r="G9640" s="143"/>
    </row>
    <row r="9641" spans="2:7" s="196" customFormat="1">
      <c r="B9641" s="142"/>
      <c r="C9641" s="235"/>
      <c r="D9641" s="213"/>
      <c r="E9641" s="226"/>
      <c r="F9641" s="155"/>
      <c r="G9641" s="143"/>
    </row>
    <row r="9642" spans="2:7" s="196" customFormat="1">
      <c r="B9642" s="142"/>
      <c r="C9642" s="235"/>
      <c r="D9642" s="213"/>
      <c r="E9642" s="226"/>
      <c r="F9642" s="155"/>
      <c r="G9642" s="143"/>
    </row>
    <row r="9643" spans="2:7" s="196" customFormat="1">
      <c r="B9643" s="142"/>
      <c r="C9643" s="235"/>
      <c r="D9643" s="213"/>
      <c r="E9643" s="226"/>
      <c r="F9643" s="155"/>
      <c r="G9643" s="143"/>
    </row>
    <row r="9644" spans="2:7" s="196" customFormat="1">
      <c r="B9644" s="142"/>
      <c r="C9644" s="235"/>
      <c r="D9644" s="213"/>
      <c r="E9644" s="226"/>
      <c r="F9644" s="155"/>
      <c r="G9644" s="143"/>
    </row>
    <row r="9645" spans="2:7" s="196" customFormat="1">
      <c r="B9645" s="142"/>
      <c r="C9645" s="235"/>
      <c r="D9645" s="213"/>
      <c r="E9645" s="226"/>
      <c r="F9645" s="155"/>
      <c r="G9645" s="143"/>
    </row>
    <row r="9646" spans="2:7" s="196" customFormat="1">
      <c r="B9646" s="142"/>
      <c r="C9646" s="235"/>
      <c r="D9646" s="213"/>
      <c r="E9646" s="226"/>
      <c r="F9646" s="155"/>
      <c r="G9646" s="143"/>
    </row>
    <row r="9647" spans="2:7" s="196" customFormat="1">
      <c r="B9647" s="142"/>
      <c r="C9647" s="235"/>
      <c r="D9647" s="213"/>
      <c r="E9647" s="226"/>
      <c r="F9647" s="155"/>
      <c r="G9647" s="143"/>
    </row>
    <row r="9648" spans="2:7" s="196" customFormat="1">
      <c r="B9648" s="142"/>
      <c r="C9648" s="235"/>
      <c r="D9648" s="213"/>
      <c r="E9648" s="226"/>
      <c r="F9648" s="155"/>
      <c r="G9648" s="143"/>
    </row>
    <row r="9649" spans="2:7" s="196" customFormat="1">
      <c r="B9649" s="142"/>
      <c r="C9649" s="235"/>
      <c r="D9649" s="213"/>
      <c r="E9649" s="226"/>
      <c r="F9649" s="155"/>
      <c r="G9649" s="143"/>
    </row>
    <row r="9650" spans="2:7" s="196" customFormat="1">
      <c r="B9650" s="142"/>
      <c r="C9650" s="235"/>
      <c r="D9650" s="213"/>
      <c r="E9650" s="226"/>
      <c r="F9650" s="155"/>
      <c r="G9650" s="143"/>
    </row>
    <row r="9651" spans="2:7" s="196" customFormat="1">
      <c r="B9651" s="142"/>
      <c r="C9651" s="235"/>
      <c r="D9651" s="213"/>
      <c r="E9651" s="226"/>
      <c r="F9651" s="155"/>
      <c r="G9651" s="143"/>
    </row>
    <row r="9652" spans="2:7" s="196" customFormat="1">
      <c r="B9652" s="142"/>
      <c r="C9652" s="235"/>
      <c r="D9652" s="213"/>
      <c r="E9652" s="226"/>
      <c r="F9652" s="155"/>
      <c r="G9652" s="143"/>
    </row>
    <row r="9653" spans="2:7" s="196" customFormat="1">
      <c r="B9653" s="142"/>
      <c r="C9653" s="235"/>
      <c r="D9653" s="213"/>
      <c r="E9653" s="226"/>
      <c r="F9653" s="155"/>
      <c r="G9653" s="143"/>
    </row>
    <row r="9654" spans="2:7" s="196" customFormat="1">
      <c r="B9654" s="142"/>
      <c r="C9654" s="235"/>
      <c r="D9654" s="213"/>
      <c r="E9654" s="226"/>
      <c r="F9654" s="155"/>
      <c r="G9654" s="143"/>
    </row>
    <row r="9655" spans="2:7" s="196" customFormat="1">
      <c r="B9655" s="142"/>
      <c r="C9655" s="235"/>
      <c r="D9655" s="213"/>
      <c r="E9655" s="226"/>
      <c r="F9655" s="155"/>
      <c r="G9655" s="143"/>
    </row>
    <row r="9656" spans="2:7" s="196" customFormat="1">
      <c r="B9656" s="142"/>
      <c r="C9656" s="235"/>
      <c r="D9656" s="213"/>
      <c r="E9656" s="226"/>
      <c r="F9656" s="155"/>
      <c r="G9656" s="143"/>
    </row>
    <row r="9657" spans="2:7" s="196" customFormat="1">
      <c r="B9657" s="142"/>
      <c r="C9657" s="235"/>
      <c r="D9657" s="213"/>
      <c r="E9657" s="226"/>
      <c r="F9657" s="155"/>
      <c r="G9657" s="143"/>
    </row>
    <row r="9658" spans="2:7" s="196" customFormat="1">
      <c r="B9658" s="142"/>
      <c r="C9658" s="235"/>
      <c r="D9658" s="213"/>
      <c r="E9658" s="226"/>
      <c r="F9658" s="155"/>
      <c r="G9658" s="143"/>
    </row>
    <row r="9659" spans="2:7" s="196" customFormat="1">
      <c r="B9659" s="142"/>
      <c r="C9659" s="235"/>
      <c r="D9659" s="213"/>
      <c r="E9659" s="226"/>
      <c r="F9659" s="155"/>
      <c r="G9659" s="143"/>
    </row>
    <row r="9660" spans="2:7" s="196" customFormat="1">
      <c r="B9660" s="142"/>
      <c r="C9660" s="235"/>
      <c r="D9660" s="213"/>
      <c r="E9660" s="226"/>
      <c r="F9660" s="155"/>
      <c r="G9660" s="143"/>
    </row>
    <row r="9661" spans="2:7" s="196" customFormat="1">
      <c r="B9661" s="142"/>
      <c r="C9661" s="235"/>
      <c r="D9661" s="213"/>
      <c r="E9661" s="226"/>
      <c r="F9661" s="155"/>
      <c r="G9661" s="143"/>
    </row>
    <row r="9662" spans="2:7" s="196" customFormat="1">
      <c r="B9662" s="142"/>
      <c r="C9662" s="235"/>
      <c r="D9662" s="213"/>
      <c r="E9662" s="226"/>
      <c r="F9662" s="155"/>
      <c r="G9662" s="143"/>
    </row>
    <row r="9663" spans="2:7" s="196" customFormat="1">
      <c r="B9663" s="142"/>
      <c r="C9663" s="235"/>
      <c r="D9663" s="213"/>
      <c r="E9663" s="226"/>
      <c r="F9663" s="155"/>
      <c r="G9663" s="143"/>
    </row>
    <row r="9664" spans="2:7" s="196" customFormat="1">
      <c r="B9664" s="142"/>
      <c r="C9664" s="235"/>
      <c r="D9664" s="213"/>
      <c r="E9664" s="226"/>
      <c r="F9664" s="155"/>
      <c r="G9664" s="143"/>
    </row>
    <row r="9665" spans="2:7" s="196" customFormat="1">
      <c r="B9665" s="142"/>
      <c r="C9665" s="235"/>
      <c r="D9665" s="213"/>
      <c r="E9665" s="226"/>
      <c r="F9665" s="155"/>
      <c r="G9665" s="143"/>
    </row>
    <row r="9666" spans="2:7" s="196" customFormat="1">
      <c r="B9666" s="142"/>
      <c r="C9666" s="235"/>
      <c r="D9666" s="213"/>
      <c r="E9666" s="226"/>
      <c r="F9666" s="155"/>
      <c r="G9666" s="143"/>
    </row>
    <row r="9667" spans="2:7" s="196" customFormat="1">
      <c r="B9667" s="142"/>
      <c r="C9667" s="235"/>
      <c r="D9667" s="213"/>
      <c r="E9667" s="226"/>
      <c r="F9667" s="155"/>
      <c r="G9667" s="143"/>
    </row>
    <row r="9668" spans="2:7" s="196" customFormat="1">
      <c r="B9668" s="142"/>
      <c r="C9668" s="235"/>
      <c r="D9668" s="213"/>
      <c r="E9668" s="226"/>
      <c r="F9668" s="155"/>
      <c r="G9668" s="143"/>
    </row>
    <row r="9669" spans="2:7" s="196" customFormat="1">
      <c r="B9669" s="142"/>
      <c r="C9669" s="235"/>
      <c r="D9669" s="213"/>
      <c r="E9669" s="226"/>
      <c r="F9669" s="155"/>
      <c r="G9669" s="143"/>
    </row>
    <row r="9670" spans="2:7" s="196" customFormat="1">
      <c r="B9670" s="142"/>
      <c r="C9670" s="235"/>
      <c r="D9670" s="213"/>
      <c r="E9670" s="226"/>
      <c r="F9670" s="155"/>
      <c r="G9670" s="143"/>
    </row>
    <row r="9671" spans="2:7" s="196" customFormat="1">
      <c r="B9671" s="142"/>
      <c r="C9671" s="235"/>
      <c r="D9671" s="213"/>
      <c r="E9671" s="226"/>
      <c r="F9671" s="155"/>
      <c r="G9671" s="143"/>
    </row>
    <row r="9672" spans="2:7" s="196" customFormat="1">
      <c r="B9672" s="142"/>
      <c r="C9672" s="235"/>
      <c r="D9672" s="213"/>
      <c r="E9672" s="226"/>
      <c r="F9672" s="155"/>
      <c r="G9672" s="143"/>
    </row>
    <row r="9673" spans="2:7" s="196" customFormat="1">
      <c r="B9673" s="142"/>
      <c r="C9673" s="235"/>
      <c r="D9673" s="213"/>
      <c r="E9673" s="226"/>
      <c r="F9673" s="155"/>
      <c r="G9673" s="143"/>
    </row>
    <row r="9674" spans="2:7" s="196" customFormat="1">
      <c r="B9674" s="142"/>
      <c r="C9674" s="235"/>
      <c r="D9674" s="213"/>
      <c r="E9674" s="226"/>
      <c r="F9674" s="155"/>
      <c r="G9674" s="143"/>
    </row>
    <row r="9675" spans="2:7" s="196" customFormat="1">
      <c r="B9675" s="142"/>
      <c r="C9675" s="235"/>
      <c r="D9675" s="213"/>
      <c r="E9675" s="226"/>
      <c r="F9675" s="155"/>
      <c r="G9675" s="143"/>
    </row>
    <row r="9676" spans="2:7" s="196" customFormat="1">
      <c r="B9676" s="142"/>
      <c r="C9676" s="235"/>
      <c r="D9676" s="213"/>
      <c r="E9676" s="226"/>
      <c r="F9676" s="155"/>
      <c r="G9676" s="143"/>
    </row>
    <row r="9677" spans="2:7" s="196" customFormat="1">
      <c r="B9677" s="142"/>
      <c r="C9677" s="235"/>
      <c r="D9677" s="213"/>
      <c r="E9677" s="226"/>
      <c r="F9677" s="155"/>
      <c r="G9677" s="143"/>
    </row>
    <row r="9678" spans="2:7" s="196" customFormat="1">
      <c r="B9678" s="142"/>
      <c r="C9678" s="235"/>
      <c r="D9678" s="213"/>
      <c r="E9678" s="226"/>
      <c r="F9678" s="155"/>
      <c r="G9678" s="143"/>
    </row>
    <row r="9679" spans="2:7" s="196" customFormat="1">
      <c r="B9679" s="142"/>
      <c r="C9679" s="235"/>
      <c r="D9679" s="213"/>
      <c r="E9679" s="226"/>
      <c r="F9679" s="155"/>
      <c r="G9679" s="143"/>
    </row>
    <row r="9680" spans="2:7" s="196" customFormat="1">
      <c r="B9680" s="142"/>
      <c r="C9680" s="235"/>
      <c r="D9680" s="213"/>
      <c r="E9680" s="226"/>
      <c r="F9680" s="155"/>
      <c r="G9680" s="143"/>
    </row>
    <row r="9681" spans="2:7" s="196" customFormat="1">
      <c r="B9681" s="142"/>
      <c r="C9681" s="235"/>
      <c r="D9681" s="213"/>
      <c r="E9681" s="226"/>
      <c r="F9681" s="155"/>
      <c r="G9681" s="143"/>
    </row>
    <row r="9682" spans="2:7" s="196" customFormat="1">
      <c r="B9682" s="142"/>
      <c r="C9682" s="235"/>
      <c r="D9682" s="213"/>
      <c r="E9682" s="226"/>
      <c r="F9682" s="155"/>
      <c r="G9682" s="143"/>
    </row>
    <row r="9683" spans="2:7" s="196" customFormat="1">
      <c r="B9683" s="142"/>
      <c r="C9683" s="235"/>
      <c r="D9683" s="213"/>
      <c r="E9683" s="226"/>
      <c r="F9683" s="155"/>
      <c r="G9683" s="143"/>
    </row>
    <row r="9684" spans="2:7" s="196" customFormat="1">
      <c r="B9684" s="142"/>
      <c r="C9684" s="235"/>
      <c r="D9684" s="213"/>
      <c r="E9684" s="226"/>
      <c r="F9684" s="155"/>
      <c r="G9684" s="143"/>
    </row>
    <row r="9685" spans="2:7" s="196" customFormat="1">
      <c r="B9685" s="142"/>
      <c r="C9685" s="235"/>
      <c r="D9685" s="213"/>
      <c r="E9685" s="226"/>
      <c r="F9685" s="155"/>
      <c r="G9685" s="143"/>
    </row>
    <row r="9686" spans="2:7" s="196" customFormat="1">
      <c r="B9686" s="142"/>
      <c r="C9686" s="235"/>
      <c r="D9686" s="213"/>
      <c r="E9686" s="226"/>
      <c r="F9686" s="155"/>
      <c r="G9686" s="143"/>
    </row>
    <row r="9687" spans="2:7" s="196" customFormat="1">
      <c r="B9687" s="142"/>
      <c r="C9687" s="235"/>
      <c r="D9687" s="213"/>
      <c r="E9687" s="226"/>
      <c r="F9687" s="155"/>
      <c r="G9687" s="143"/>
    </row>
    <row r="9688" spans="2:7" s="196" customFormat="1">
      <c r="B9688" s="142"/>
      <c r="C9688" s="235"/>
      <c r="D9688" s="213"/>
      <c r="E9688" s="226"/>
      <c r="F9688" s="155"/>
      <c r="G9688" s="143"/>
    </row>
    <row r="9689" spans="2:7" s="196" customFormat="1">
      <c r="B9689" s="142"/>
      <c r="C9689" s="235"/>
      <c r="D9689" s="213"/>
      <c r="E9689" s="226"/>
      <c r="F9689" s="155"/>
      <c r="G9689" s="143"/>
    </row>
    <row r="9690" spans="2:7" s="196" customFormat="1">
      <c r="B9690" s="142"/>
      <c r="C9690" s="235"/>
      <c r="D9690" s="213"/>
      <c r="E9690" s="226"/>
      <c r="F9690" s="155"/>
      <c r="G9690" s="143"/>
    </row>
    <row r="9691" spans="2:7" s="196" customFormat="1">
      <c r="B9691" s="142"/>
      <c r="C9691" s="235"/>
      <c r="D9691" s="213"/>
      <c r="E9691" s="226"/>
      <c r="F9691" s="155"/>
      <c r="G9691" s="143"/>
    </row>
    <row r="9692" spans="2:7" s="196" customFormat="1">
      <c r="B9692" s="142"/>
      <c r="C9692" s="235"/>
      <c r="D9692" s="213"/>
      <c r="E9692" s="226"/>
      <c r="F9692" s="155"/>
      <c r="G9692" s="143"/>
    </row>
    <row r="9693" spans="2:7" s="196" customFormat="1">
      <c r="B9693" s="142"/>
      <c r="C9693" s="235"/>
      <c r="D9693" s="213"/>
      <c r="E9693" s="226"/>
      <c r="F9693" s="155"/>
      <c r="G9693" s="143"/>
    </row>
    <row r="9694" spans="2:7" s="196" customFormat="1">
      <c r="B9694" s="142"/>
      <c r="C9694" s="235"/>
      <c r="D9694" s="213"/>
      <c r="E9694" s="226"/>
      <c r="F9694" s="155"/>
      <c r="G9694" s="143"/>
    </row>
    <row r="9695" spans="2:7" s="196" customFormat="1">
      <c r="B9695" s="142"/>
      <c r="C9695" s="235"/>
      <c r="D9695" s="213"/>
      <c r="E9695" s="226"/>
      <c r="F9695" s="155"/>
      <c r="G9695" s="143"/>
    </row>
    <row r="9696" spans="2:7" s="196" customFormat="1">
      <c r="B9696" s="142"/>
      <c r="C9696" s="235"/>
      <c r="D9696" s="213"/>
      <c r="E9696" s="226"/>
      <c r="F9696" s="155"/>
      <c r="G9696" s="143"/>
    </row>
    <row r="9697" spans="2:7" s="196" customFormat="1">
      <c r="B9697" s="142"/>
      <c r="C9697" s="235"/>
      <c r="D9697" s="213"/>
      <c r="E9697" s="226"/>
      <c r="F9697" s="155"/>
      <c r="G9697" s="143"/>
    </row>
    <row r="9698" spans="2:7" s="196" customFormat="1">
      <c r="B9698" s="142"/>
      <c r="C9698" s="235"/>
      <c r="D9698" s="213"/>
      <c r="E9698" s="226"/>
      <c r="F9698" s="155"/>
      <c r="G9698" s="143"/>
    </row>
    <row r="9699" spans="2:7" s="196" customFormat="1">
      <c r="B9699" s="142"/>
      <c r="C9699" s="235"/>
      <c r="D9699" s="213"/>
      <c r="E9699" s="226"/>
      <c r="F9699" s="155"/>
      <c r="G9699" s="143"/>
    </row>
    <row r="9700" spans="2:7" s="196" customFormat="1">
      <c r="B9700" s="142"/>
      <c r="C9700" s="235"/>
      <c r="D9700" s="213"/>
      <c r="E9700" s="226"/>
      <c r="F9700" s="155"/>
      <c r="G9700" s="143"/>
    </row>
    <row r="9701" spans="2:7" s="196" customFormat="1">
      <c r="B9701" s="142"/>
      <c r="C9701" s="235"/>
      <c r="D9701" s="213"/>
      <c r="E9701" s="226"/>
      <c r="F9701" s="155"/>
      <c r="G9701" s="143"/>
    </row>
    <row r="9702" spans="2:7" s="196" customFormat="1">
      <c r="B9702" s="142"/>
      <c r="C9702" s="235"/>
      <c r="D9702" s="213"/>
      <c r="E9702" s="226"/>
      <c r="F9702" s="155"/>
      <c r="G9702" s="143"/>
    </row>
    <row r="9703" spans="2:7" s="196" customFormat="1">
      <c r="B9703" s="142"/>
      <c r="C9703" s="235"/>
      <c r="D9703" s="213"/>
      <c r="E9703" s="226"/>
      <c r="F9703" s="155"/>
      <c r="G9703" s="143"/>
    </row>
    <row r="9704" spans="2:7" s="196" customFormat="1">
      <c r="B9704" s="142"/>
      <c r="C9704" s="235"/>
      <c r="D9704" s="213"/>
      <c r="E9704" s="226"/>
      <c r="F9704" s="155"/>
      <c r="G9704" s="143"/>
    </row>
    <row r="9705" spans="2:7" s="196" customFormat="1">
      <c r="B9705" s="142"/>
      <c r="C9705" s="235"/>
      <c r="D9705" s="213"/>
      <c r="E9705" s="226"/>
      <c r="F9705" s="155"/>
      <c r="G9705" s="143"/>
    </row>
    <row r="9706" spans="2:7" s="196" customFormat="1">
      <c r="B9706" s="142"/>
      <c r="C9706" s="235"/>
      <c r="D9706" s="213"/>
      <c r="E9706" s="226"/>
      <c r="F9706" s="155"/>
      <c r="G9706" s="143"/>
    </row>
    <row r="9707" spans="2:7" s="196" customFormat="1">
      <c r="B9707" s="142"/>
      <c r="C9707" s="235"/>
      <c r="D9707" s="213"/>
      <c r="E9707" s="226"/>
      <c r="F9707" s="155"/>
      <c r="G9707" s="143"/>
    </row>
    <row r="9708" spans="2:7" s="196" customFormat="1">
      <c r="B9708" s="142"/>
      <c r="C9708" s="235"/>
      <c r="D9708" s="213"/>
      <c r="E9708" s="226"/>
      <c r="F9708" s="155"/>
      <c r="G9708" s="143"/>
    </row>
    <row r="9709" spans="2:7" s="196" customFormat="1">
      <c r="B9709" s="142"/>
      <c r="C9709" s="235"/>
      <c r="D9709" s="213"/>
      <c r="E9709" s="226"/>
      <c r="F9709" s="155"/>
      <c r="G9709" s="143"/>
    </row>
    <row r="9710" spans="2:7" s="196" customFormat="1">
      <c r="B9710" s="142"/>
      <c r="C9710" s="235"/>
      <c r="D9710" s="213"/>
      <c r="E9710" s="226"/>
      <c r="F9710" s="155"/>
      <c r="G9710" s="143"/>
    </row>
    <row r="9711" spans="2:7" s="196" customFormat="1">
      <c r="B9711" s="142"/>
      <c r="C9711" s="235"/>
      <c r="D9711" s="213"/>
      <c r="E9711" s="226"/>
      <c r="F9711" s="155"/>
      <c r="G9711" s="143"/>
    </row>
    <row r="9712" spans="2:7" s="196" customFormat="1">
      <c r="B9712" s="142"/>
      <c r="C9712" s="235"/>
      <c r="D9712" s="213"/>
      <c r="E9712" s="226"/>
      <c r="F9712" s="155"/>
      <c r="G9712" s="143"/>
    </row>
    <row r="9713" spans="2:7" s="196" customFormat="1">
      <c r="B9713" s="142"/>
      <c r="C9713" s="235"/>
      <c r="D9713" s="213"/>
      <c r="E9713" s="226"/>
      <c r="F9713" s="155"/>
      <c r="G9713" s="143"/>
    </row>
    <row r="9714" spans="2:7" s="196" customFormat="1">
      <c r="B9714" s="142"/>
      <c r="C9714" s="235"/>
      <c r="D9714" s="213"/>
      <c r="E9714" s="226"/>
      <c r="F9714" s="155"/>
      <c r="G9714" s="143"/>
    </row>
    <row r="9715" spans="2:7" s="196" customFormat="1">
      <c r="B9715" s="142"/>
      <c r="C9715" s="235"/>
      <c r="D9715" s="213"/>
      <c r="E9715" s="226"/>
      <c r="F9715" s="155"/>
      <c r="G9715" s="143"/>
    </row>
    <row r="9716" spans="2:7" s="196" customFormat="1">
      <c r="B9716" s="142"/>
      <c r="C9716" s="235"/>
      <c r="D9716" s="213"/>
      <c r="E9716" s="226"/>
      <c r="F9716" s="155"/>
      <c r="G9716" s="143"/>
    </row>
    <row r="9717" spans="2:7" s="196" customFormat="1">
      <c r="B9717" s="142"/>
      <c r="C9717" s="235"/>
      <c r="D9717" s="213"/>
      <c r="E9717" s="226"/>
      <c r="F9717" s="155"/>
      <c r="G9717" s="143"/>
    </row>
    <row r="9718" spans="2:7" s="196" customFormat="1">
      <c r="B9718" s="142"/>
      <c r="C9718" s="235"/>
      <c r="D9718" s="213"/>
      <c r="E9718" s="226"/>
      <c r="F9718" s="155"/>
      <c r="G9718" s="143"/>
    </row>
    <row r="9719" spans="2:7" s="196" customFormat="1">
      <c r="B9719" s="142"/>
      <c r="C9719" s="235"/>
      <c r="D9719" s="213"/>
      <c r="E9719" s="226"/>
      <c r="F9719" s="155"/>
      <c r="G9719" s="143"/>
    </row>
    <row r="9720" spans="2:7" s="196" customFormat="1">
      <c r="B9720" s="142"/>
      <c r="C9720" s="235"/>
      <c r="D9720" s="213"/>
      <c r="E9720" s="226"/>
      <c r="F9720" s="155"/>
      <c r="G9720" s="143"/>
    </row>
    <row r="9721" spans="2:7" s="196" customFormat="1">
      <c r="B9721" s="142"/>
      <c r="C9721" s="235"/>
      <c r="D9721" s="213"/>
      <c r="E9721" s="226"/>
      <c r="F9721" s="155"/>
      <c r="G9721" s="143"/>
    </row>
    <row r="9722" spans="2:7" s="196" customFormat="1">
      <c r="B9722" s="142"/>
      <c r="C9722" s="235"/>
      <c r="D9722" s="213"/>
      <c r="E9722" s="226"/>
      <c r="F9722" s="155"/>
      <c r="G9722" s="143"/>
    </row>
    <row r="9723" spans="2:7" s="196" customFormat="1">
      <c r="B9723" s="142"/>
      <c r="C9723" s="235"/>
      <c r="D9723" s="213"/>
      <c r="E9723" s="226"/>
      <c r="F9723" s="155"/>
      <c r="G9723" s="143"/>
    </row>
    <row r="9724" spans="2:7" s="196" customFormat="1">
      <c r="B9724" s="142"/>
      <c r="C9724" s="235"/>
      <c r="D9724" s="213"/>
      <c r="E9724" s="226"/>
      <c r="F9724" s="155"/>
      <c r="G9724" s="143"/>
    </row>
    <row r="9725" spans="2:7" s="196" customFormat="1">
      <c r="B9725" s="142"/>
      <c r="C9725" s="235"/>
      <c r="D9725" s="213"/>
      <c r="E9725" s="226"/>
      <c r="F9725" s="155"/>
      <c r="G9725" s="143"/>
    </row>
    <row r="9726" spans="2:7" s="196" customFormat="1">
      <c r="B9726" s="142"/>
      <c r="C9726" s="235"/>
      <c r="D9726" s="213"/>
      <c r="E9726" s="226"/>
      <c r="F9726" s="155"/>
      <c r="G9726" s="143"/>
    </row>
    <row r="9727" spans="2:7" s="196" customFormat="1">
      <c r="B9727" s="142"/>
      <c r="C9727" s="235"/>
      <c r="D9727" s="213"/>
      <c r="E9727" s="226"/>
      <c r="F9727" s="155"/>
      <c r="G9727" s="143"/>
    </row>
    <row r="9728" spans="2:7" s="196" customFormat="1">
      <c r="B9728" s="142"/>
      <c r="C9728" s="235"/>
      <c r="D9728" s="213"/>
      <c r="E9728" s="226"/>
      <c r="F9728" s="155"/>
      <c r="G9728" s="143"/>
    </row>
    <row r="9729" spans="2:7" s="196" customFormat="1">
      <c r="B9729" s="142"/>
      <c r="C9729" s="235"/>
      <c r="D9729" s="213"/>
      <c r="E9729" s="226"/>
      <c r="F9729" s="155"/>
      <c r="G9729" s="143"/>
    </row>
    <row r="9730" spans="2:7" s="196" customFormat="1">
      <c r="B9730" s="142"/>
      <c r="C9730" s="235"/>
      <c r="D9730" s="213"/>
      <c r="E9730" s="226"/>
      <c r="F9730" s="155"/>
      <c r="G9730" s="143"/>
    </row>
    <row r="9731" spans="2:7" s="196" customFormat="1">
      <c r="B9731" s="142"/>
      <c r="C9731" s="235"/>
      <c r="D9731" s="213"/>
      <c r="E9731" s="226"/>
      <c r="F9731" s="155"/>
      <c r="G9731" s="143"/>
    </row>
    <row r="9732" spans="2:7" s="196" customFormat="1">
      <c r="B9732" s="142"/>
      <c r="C9732" s="235"/>
      <c r="D9732" s="213"/>
      <c r="E9732" s="226"/>
      <c r="F9732" s="155"/>
      <c r="G9732" s="143"/>
    </row>
    <row r="9733" spans="2:7" s="196" customFormat="1">
      <c r="B9733" s="142"/>
      <c r="C9733" s="235"/>
      <c r="D9733" s="213"/>
      <c r="E9733" s="226"/>
      <c r="F9733" s="155"/>
      <c r="G9733" s="143"/>
    </row>
    <row r="9734" spans="2:7" s="196" customFormat="1">
      <c r="B9734" s="142"/>
      <c r="C9734" s="235"/>
      <c r="D9734" s="213"/>
      <c r="E9734" s="226"/>
      <c r="F9734" s="155"/>
      <c r="G9734" s="143"/>
    </row>
    <row r="9735" spans="2:7" s="196" customFormat="1">
      <c r="B9735" s="142"/>
      <c r="C9735" s="235"/>
      <c r="D9735" s="213"/>
      <c r="E9735" s="226"/>
      <c r="F9735" s="155"/>
      <c r="G9735" s="143"/>
    </row>
    <row r="9736" spans="2:7" s="196" customFormat="1">
      <c r="B9736" s="142"/>
      <c r="C9736" s="235"/>
      <c r="D9736" s="213"/>
      <c r="E9736" s="226"/>
      <c r="F9736" s="155"/>
      <c r="G9736" s="143"/>
    </row>
    <row r="9737" spans="2:7" s="196" customFormat="1">
      <c r="B9737" s="142"/>
      <c r="C9737" s="235"/>
      <c r="D9737" s="213"/>
      <c r="E9737" s="226"/>
      <c r="F9737" s="155"/>
      <c r="G9737" s="143"/>
    </row>
    <row r="9738" spans="2:7" s="196" customFormat="1">
      <c r="B9738" s="142"/>
      <c r="C9738" s="235"/>
      <c r="D9738" s="213"/>
      <c r="E9738" s="226"/>
      <c r="F9738" s="155"/>
      <c r="G9738" s="143"/>
    </row>
    <row r="9739" spans="2:7" s="196" customFormat="1">
      <c r="B9739" s="142"/>
      <c r="C9739" s="235"/>
      <c r="D9739" s="213"/>
      <c r="E9739" s="226"/>
      <c r="F9739" s="155"/>
      <c r="G9739" s="143"/>
    </row>
    <row r="9740" spans="2:7" s="196" customFormat="1">
      <c r="B9740" s="142"/>
      <c r="C9740" s="235"/>
      <c r="D9740" s="213"/>
      <c r="E9740" s="226"/>
      <c r="F9740" s="155"/>
      <c r="G9740" s="143"/>
    </row>
    <row r="9741" spans="2:7" s="196" customFormat="1">
      <c r="B9741" s="142"/>
      <c r="C9741" s="235"/>
      <c r="D9741" s="213"/>
      <c r="E9741" s="226"/>
      <c r="F9741" s="155"/>
      <c r="G9741" s="143"/>
    </row>
    <row r="9742" spans="2:7" s="196" customFormat="1">
      <c r="B9742" s="142"/>
      <c r="C9742" s="235"/>
      <c r="D9742" s="213"/>
      <c r="E9742" s="226"/>
      <c r="F9742" s="155"/>
      <c r="G9742" s="143"/>
    </row>
    <row r="9743" spans="2:7" s="196" customFormat="1">
      <c r="B9743" s="142"/>
      <c r="C9743" s="235"/>
      <c r="D9743" s="213"/>
      <c r="E9743" s="226"/>
      <c r="F9743" s="155"/>
      <c r="G9743" s="143"/>
    </row>
    <row r="9744" spans="2:7" s="196" customFormat="1">
      <c r="B9744" s="142"/>
      <c r="C9744" s="235"/>
      <c r="D9744" s="213"/>
      <c r="E9744" s="226"/>
      <c r="F9744" s="155"/>
      <c r="G9744" s="143"/>
    </row>
    <row r="9745" spans="2:7" s="196" customFormat="1">
      <c r="B9745" s="142"/>
      <c r="C9745" s="235"/>
      <c r="D9745" s="213"/>
      <c r="E9745" s="226"/>
      <c r="F9745" s="155"/>
      <c r="G9745" s="143"/>
    </row>
    <row r="9746" spans="2:7" s="196" customFormat="1">
      <c r="B9746" s="142"/>
      <c r="C9746" s="235"/>
      <c r="D9746" s="213"/>
      <c r="E9746" s="226"/>
      <c r="F9746" s="155"/>
      <c r="G9746" s="143"/>
    </row>
    <row r="9747" spans="2:7" s="196" customFormat="1">
      <c r="B9747" s="142"/>
      <c r="C9747" s="235"/>
      <c r="D9747" s="213"/>
      <c r="E9747" s="226"/>
      <c r="F9747" s="155"/>
      <c r="G9747" s="143"/>
    </row>
    <row r="9748" spans="2:7" s="196" customFormat="1">
      <c r="B9748" s="142"/>
      <c r="C9748" s="235"/>
      <c r="D9748" s="213"/>
      <c r="E9748" s="226"/>
      <c r="F9748" s="155"/>
      <c r="G9748" s="143"/>
    </row>
    <row r="9749" spans="2:7" s="196" customFormat="1">
      <c r="B9749" s="142"/>
      <c r="C9749" s="235"/>
      <c r="D9749" s="213"/>
      <c r="E9749" s="226"/>
      <c r="F9749" s="155"/>
      <c r="G9749" s="143"/>
    </row>
    <row r="9750" spans="2:7" s="196" customFormat="1">
      <c r="B9750" s="142"/>
      <c r="C9750" s="235"/>
      <c r="D9750" s="213"/>
      <c r="E9750" s="226"/>
      <c r="F9750" s="155"/>
      <c r="G9750" s="143"/>
    </row>
    <row r="9751" spans="2:7" s="196" customFormat="1">
      <c r="B9751" s="142"/>
      <c r="C9751" s="235"/>
      <c r="D9751" s="213"/>
      <c r="E9751" s="226"/>
      <c r="F9751" s="155"/>
      <c r="G9751" s="143"/>
    </row>
    <row r="9752" spans="2:7" s="196" customFormat="1">
      <c r="B9752" s="142"/>
      <c r="C9752" s="235"/>
      <c r="D9752" s="213"/>
      <c r="E9752" s="226"/>
      <c r="F9752" s="155"/>
      <c r="G9752" s="143"/>
    </row>
    <row r="9753" spans="2:7" s="196" customFormat="1">
      <c r="B9753" s="142"/>
      <c r="C9753" s="235"/>
      <c r="D9753" s="213"/>
      <c r="E9753" s="226"/>
      <c r="F9753" s="155"/>
      <c r="G9753" s="143"/>
    </row>
    <row r="9754" spans="2:7" s="196" customFormat="1">
      <c r="B9754" s="142"/>
      <c r="C9754" s="235"/>
      <c r="D9754" s="213"/>
      <c r="E9754" s="226"/>
      <c r="F9754" s="155"/>
      <c r="G9754" s="143"/>
    </row>
    <row r="9755" spans="2:7" s="196" customFormat="1">
      <c r="B9755" s="142"/>
      <c r="C9755" s="235"/>
      <c r="D9755" s="213"/>
      <c r="E9755" s="226"/>
      <c r="F9755" s="155"/>
      <c r="G9755" s="143"/>
    </row>
    <row r="9756" spans="2:7" s="196" customFormat="1">
      <c r="B9756" s="142"/>
      <c r="C9756" s="235"/>
      <c r="D9756" s="213"/>
      <c r="E9756" s="226"/>
      <c r="F9756" s="155"/>
      <c r="G9756" s="143"/>
    </row>
    <row r="9757" spans="2:7" s="196" customFormat="1">
      <c r="B9757" s="142"/>
      <c r="C9757" s="235"/>
      <c r="D9757" s="213"/>
      <c r="E9757" s="226"/>
      <c r="F9757" s="155"/>
      <c r="G9757" s="143"/>
    </row>
    <row r="9758" spans="2:7" s="196" customFormat="1">
      <c r="B9758" s="142"/>
      <c r="C9758" s="235"/>
      <c r="D9758" s="213"/>
      <c r="E9758" s="226"/>
      <c r="F9758" s="155"/>
      <c r="G9758" s="143"/>
    </row>
    <row r="9759" spans="2:7" s="196" customFormat="1">
      <c r="B9759" s="142"/>
      <c r="C9759" s="235"/>
      <c r="D9759" s="213"/>
      <c r="E9759" s="226"/>
      <c r="F9759" s="155"/>
      <c r="G9759" s="143"/>
    </row>
    <row r="9760" spans="2:7" s="196" customFormat="1">
      <c r="B9760" s="142"/>
      <c r="C9760" s="235"/>
      <c r="D9760" s="213"/>
      <c r="E9760" s="226"/>
      <c r="F9760" s="155"/>
      <c r="G9760" s="143"/>
    </row>
    <row r="9761" spans="2:7" s="196" customFormat="1">
      <c r="B9761" s="142"/>
      <c r="C9761" s="235"/>
      <c r="D9761" s="213"/>
      <c r="E9761" s="226"/>
      <c r="F9761" s="155"/>
      <c r="G9761" s="143"/>
    </row>
    <row r="9762" spans="2:7" s="196" customFormat="1">
      <c r="B9762" s="142"/>
      <c r="C9762" s="235"/>
      <c r="D9762" s="213"/>
      <c r="E9762" s="226"/>
      <c r="F9762" s="155"/>
      <c r="G9762" s="143"/>
    </row>
    <row r="9763" spans="2:7" s="196" customFormat="1">
      <c r="B9763" s="142"/>
      <c r="C9763" s="235"/>
      <c r="D9763" s="213"/>
      <c r="E9763" s="226"/>
      <c r="F9763" s="155"/>
      <c r="G9763" s="143"/>
    </row>
    <row r="9764" spans="2:7" s="196" customFormat="1">
      <c r="B9764" s="142"/>
      <c r="C9764" s="235"/>
      <c r="D9764" s="213"/>
      <c r="E9764" s="226"/>
      <c r="F9764" s="155"/>
      <c r="G9764" s="143"/>
    </row>
    <row r="9765" spans="2:7" s="196" customFormat="1">
      <c r="B9765" s="142"/>
      <c r="C9765" s="235"/>
      <c r="D9765" s="213"/>
      <c r="E9765" s="226"/>
      <c r="F9765" s="155"/>
      <c r="G9765" s="143"/>
    </row>
    <row r="9766" spans="2:7" s="196" customFormat="1">
      <c r="B9766" s="142"/>
      <c r="C9766" s="235"/>
      <c r="D9766" s="213"/>
      <c r="E9766" s="226"/>
      <c r="F9766" s="155"/>
      <c r="G9766" s="143"/>
    </row>
    <row r="9767" spans="2:7" s="196" customFormat="1">
      <c r="B9767" s="142"/>
      <c r="C9767" s="235"/>
      <c r="D9767" s="213"/>
      <c r="E9767" s="226"/>
      <c r="F9767" s="155"/>
      <c r="G9767" s="143"/>
    </row>
    <row r="9768" spans="2:7" s="196" customFormat="1">
      <c r="B9768" s="142"/>
      <c r="C9768" s="235"/>
      <c r="D9768" s="213"/>
      <c r="E9768" s="226"/>
      <c r="F9768" s="155"/>
      <c r="G9768" s="143"/>
    </row>
    <row r="9769" spans="2:7" s="196" customFormat="1">
      <c r="B9769" s="142"/>
      <c r="C9769" s="235"/>
      <c r="D9769" s="213"/>
      <c r="E9769" s="226"/>
      <c r="F9769" s="155"/>
      <c r="G9769" s="143"/>
    </row>
    <row r="9770" spans="2:7" s="196" customFormat="1">
      <c r="B9770" s="142"/>
      <c r="C9770" s="235"/>
      <c r="D9770" s="213"/>
      <c r="E9770" s="226"/>
      <c r="F9770" s="155"/>
      <c r="G9770" s="143"/>
    </row>
    <row r="9771" spans="2:7" s="196" customFormat="1">
      <c r="B9771" s="142"/>
      <c r="C9771" s="235"/>
      <c r="D9771" s="213"/>
      <c r="E9771" s="226"/>
      <c r="F9771" s="155"/>
      <c r="G9771" s="143"/>
    </row>
    <row r="9772" spans="2:7" s="196" customFormat="1">
      <c r="B9772" s="142"/>
      <c r="C9772" s="235"/>
      <c r="D9772" s="213"/>
      <c r="E9772" s="226"/>
      <c r="F9772" s="155"/>
      <c r="G9772" s="143"/>
    </row>
    <row r="9773" spans="2:7" s="196" customFormat="1">
      <c r="B9773" s="142"/>
      <c r="C9773" s="235"/>
      <c r="D9773" s="213"/>
      <c r="E9773" s="226"/>
      <c r="F9773" s="155"/>
      <c r="G9773" s="143"/>
    </row>
    <row r="9774" spans="2:7" s="196" customFormat="1">
      <c r="B9774" s="142"/>
      <c r="C9774" s="235"/>
      <c r="D9774" s="213"/>
      <c r="E9774" s="226"/>
      <c r="F9774" s="155"/>
      <c r="G9774" s="143"/>
    </row>
    <row r="9775" spans="2:7" s="196" customFormat="1">
      <c r="B9775" s="142"/>
      <c r="C9775" s="235"/>
      <c r="D9775" s="213"/>
      <c r="E9775" s="226"/>
      <c r="F9775" s="155"/>
      <c r="G9775" s="143"/>
    </row>
    <row r="9776" spans="2:7" s="196" customFormat="1">
      <c r="B9776" s="142"/>
      <c r="C9776" s="235"/>
      <c r="D9776" s="213"/>
      <c r="E9776" s="226"/>
      <c r="F9776" s="155"/>
      <c r="G9776" s="143"/>
    </row>
    <row r="9777" spans="2:7" s="196" customFormat="1">
      <c r="B9777" s="142"/>
      <c r="C9777" s="235"/>
      <c r="D9777" s="213"/>
      <c r="E9777" s="226"/>
      <c r="F9777" s="155"/>
      <c r="G9777" s="143"/>
    </row>
    <row r="9778" spans="2:7" s="196" customFormat="1">
      <c r="B9778" s="142"/>
      <c r="C9778" s="235"/>
      <c r="D9778" s="213"/>
      <c r="E9778" s="226"/>
      <c r="F9778" s="155"/>
      <c r="G9778" s="143"/>
    </row>
    <row r="9779" spans="2:7" s="196" customFormat="1">
      <c r="B9779" s="142"/>
      <c r="C9779" s="235"/>
      <c r="D9779" s="213"/>
      <c r="E9779" s="226"/>
      <c r="F9779" s="155"/>
      <c r="G9779" s="143"/>
    </row>
    <row r="9780" spans="2:7" s="196" customFormat="1">
      <c r="B9780" s="142"/>
      <c r="C9780" s="235"/>
      <c r="D9780" s="213"/>
      <c r="E9780" s="226"/>
      <c r="F9780" s="155"/>
      <c r="G9780" s="143"/>
    </row>
    <row r="9781" spans="2:7" s="196" customFormat="1">
      <c r="B9781" s="142"/>
      <c r="C9781" s="235"/>
      <c r="D9781" s="213"/>
      <c r="E9781" s="226"/>
      <c r="F9781" s="155"/>
      <c r="G9781" s="143"/>
    </row>
    <row r="9782" spans="2:7" s="196" customFormat="1">
      <c r="B9782" s="142"/>
      <c r="C9782" s="235"/>
      <c r="D9782" s="213"/>
      <c r="E9782" s="226"/>
      <c r="F9782" s="155"/>
      <c r="G9782" s="143"/>
    </row>
    <row r="9783" spans="2:7" s="196" customFormat="1">
      <c r="B9783" s="142"/>
      <c r="C9783" s="235"/>
      <c r="D9783" s="213"/>
      <c r="E9783" s="226"/>
      <c r="F9783" s="155"/>
      <c r="G9783" s="143"/>
    </row>
    <row r="9784" spans="2:7" s="196" customFormat="1">
      <c r="B9784" s="142"/>
      <c r="C9784" s="235"/>
      <c r="D9784" s="213"/>
      <c r="E9784" s="226"/>
      <c r="F9784" s="155"/>
      <c r="G9784" s="143"/>
    </row>
    <row r="9785" spans="2:7" s="196" customFormat="1">
      <c r="B9785" s="142"/>
      <c r="C9785" s="235"/>
      <c r="D9785" s="213"/>
      <c r="E9785" s="226"/>
      <c r="F9785" s="155"/>
      <c r="G9785" s="143"/>
    </row>
    <row r="9786" spans="2:7" s="196" customFormat="1">
      <c r="B9786" s="142"/>
      <c r="C9786" s="235"/>
      <c r="D9786" s="213"/>
      <c r="E9786" s="226"/>
      <c r="F9786" s="155"/>
      <c r="G9786" s="143"/>
    </row>
    <row r="9787" spans="2:7" s="196" customFormat="1">
      <c r="B9787" s="142"/>
      <c r="C9787" s="235"/>
      <c r="D9787" s="213"/>
      <c r="E9787" s="226"/>
      <c r="F9787" s="155"/>
      <c r="G9787" s="143"/>
    </row>
    <row r="9788" spans="2:7" s="196" customFormat="1">
      <c r="B9788" s="142"/>
      <c r="C9788" s="235"/>
      <c r="D9788" s="213"/>
      <c r="E9788" s="226"/>
      <c r="F9788" s="155"/>
      <c r="G9788" s="143"/>
    </row>
    <row r="9789" spans="2:7" s="196" customFormat="1">
      <c r="B9789" s="142"/>
      <c r="C9789" s="235"/>
      <c r="D9789" s="213"/>
      <c r="E9789" s="226"/>
      <c r="F9789" s="155"/>
      <c r="G9789" s="143"/>
    </row>
    <row r="9790" spans="2:7" s="196" customFormat="1">
      <c r="B9790" s="142"/>
      <c r="C9790" s="235"/>
      <c r="D9790" s="213"/>
      <c r="E9790" s="226"/>
      <c r="F9790" s="155"/>
      <c r="G9790" s="143"/>
    </row>
    <row r="9791" spans="2:7" s="196" customFormat="1">
      <c r="B9791" s="142"/>
      <c r="C9791" s="235"/>
      <c r="D9791" s="213"/>
      <c r="E9791" s="226"/>
      <c r="F9791" s="155"/>
      <c r="G9791" s="143"/>
    </row>
    <row r="9792" spans="2:7" s="196" customFormat="1">
      <c r="B9792" s="142"/>
      <c r="C9792" s="235"/>
      <c r="D9792" s="213"/>
      <c r="E9792" s="226"/>
      <c r="F9792" s="155"/>
      <c r="G9792" s="143"/>
    </row>
    <row r="9793" spans="2:7" s="196" customFormat="1">
      <c r="B9793" s="142"/>
      <c r="C9793" s="235"/>
      <c r="D9793" s="213"/>
      <c r="E9793" s="226"/>
      <c r="F9793" s="155"/>
      <c r="G9793" s="143"/>
    </row>
    <row r="9794" spans="2:7" s="196" customFormat="1">
      <c r="B9794" s="142"/>
      <c r="C9794" s="235"/>
      <c r="D9794" s="213"/>
      <c r="E9794" s="226"/>
      <c r="F9794" s="155"/>
      <c r="G9794" s="143"/>
    </row>
    <row r="9795" spans="2:7" s="196" customFormat="1">
      <c r="B9795" s="142"/>
      <c r="C9795" s="235"/>
      <c r="D9795" s="213"/>
      <c r="E9795" s="226"/>
      <c r="F9795" s="155"/>
      <c r="G9795" s="143"/>
    </row>
    <row r="9796" spans="2:7" s="196" customFormat="1">
      <c r="B9796" s="142"/>
      <c r="C9796" s="235"/>
      <c r="D9796" s="213"/>
      <c r="E9796" s="226"/>
      <c r="F9796" s="155"/>
      <c r="G9796" s="143"/>
    </row>
    <row r="9797" spans="2:7" s="196" customFormat="1">
      <c r="B9797" s="142"/>
      <c r="C9797" s="235"/>
      <c r="D9797" s="213"/>
      <c r="E9797" s="226"/>
      <c r="F9797" s="155"/>
      <c r="G9797" s="143"/>
    </row>
    <row r="9798" spans="2:7" s="196" customFormat="1">
      <c r="B9798" s="142"/>
      <c r="C9798" s="235"/>
      <c r="D9798" s="213"/>
      <c r="E9798" s="226"/>
      <c r="F9798" s="155"/>
      <c r="G9798" s="143"/>
    </row>
    <row r="9799" spans="2:7" s="196" customFormat="1">
      <c r="B9799" s="142"/>
      <c r="C9799" s="235"/>
      <c r="D9799" s="213"/>
      <c r="E9799" s="226"/>
      <c r="F9799" s="155"/>
      <c r="G9799" s="143"/>
    </row>
    <row r="9800" spans="2:7" s="196" customFormat="1">
      <c r="B9800" s="142"/>
      <c r="C9800" s="235"/>
      <c r="D9800" s="213"/>
      <c r="E9800" s="226"/>
      <c r="F9800" s="155"/>
      <c r="G9800" s="143"/>
    </row>
    <row r="9801" spans="2:7" s="196" customFormat="1">
      <c r="B9801" s="142"/>
      <c r="C9801" s="235"/>
      <c r="D9801" s="213"/>
      <c r="E9801" s="226"/>
      <c r="F9801" s="155"/>
      <c r="G9801" s="143"/>
    </row>
    <row r="9802" spans="2:7" s="196" customFormat="1">
      <c r="B9802" s="142"/>
      <c r="C9802" s="235"/>
      <c r="D9802" s="213"/>
      <c r="E9802" s="226"/>
      <c r="F9802" s="155"/>
      <c r="G9802" s="143"/>
    </row>
    <row r="9803" spans="2:7" s="196" customFormat="1">
      <c r="B9803" s="142"/>
      <c r="C9803" s="235"/>
      <c r="D9803" s="213"/>
      <c r="E9803" s="226"/>
      <c r="F9803" s="155"/>
      <c r="G9803" s="143"/>
    </row>
    <row r="9804" spans="2:7" s="196" customFormat="1">
      <c r="B9804" s="142"/>
      <c r="C9804" s="235"/>
      <c r="D9804" s="213"/>
      <c r="E9804" s="226"/>
      <c r="F9804" s="155"/>
      <c r="G9804" s="143"/>
    </row>
    <row r="9805" spans="2:7" s="196" customFormat="1">
      <c r="B9805" s="142"/>
      <c r="C9805" s="235"/>
      <c r="D9805" s="213"/>
      <c r="E9805" s="226"/>
      <c r="F9805" s="155"/>
      <c r="G9805" s="143"/>
    </row>
    <row r="9806" spans="2:7" s="196" customFormat="1">
      <c r="B9806" s="142"/>
      <c r="C9806" s="235"/>
      <c r="D9806" s="213"/>
      <c r="E9806" s="226"/>
      <c r="F9806" s="155"/>
      <c r="G9806" s="143"/>
    </row>
    <row r="9807" spans="2:7" s="196" customFormat="1">
      <c r="B9807" s="142"/>
      <c r="C9807" s="235"/>
      <c r="D9807" s="213"/>
      <c r="E9807" s="226"/>
      <c r="F9807" s="155"/>
      <c r="G9807" s="143"/>
    </row>
    <row r="9808" spans="2:7" s="196" customFormat="1">
      <c r="B9808" s="142"/>
      <c r="C9808" s="235"/>
      <c r="D9808" s="213"/>
      <c r="E9808" s="226"/>
      <c r="F9808" s="155"/>
      <c r="G9808" s="143"/>
    </row>
    <row r="9809" spans="2:7" s="196" customFormat="1">
      <c r="B9809" s="142"/>
      <c r="C9809" s="235"/>
      <c r="D9809" s="213"/>
      <c r="E9809" s="226"/>
      <c r="F9809" s="155"/>
      <c r="G9809" s="143"/>
    </row>
    <row r="9810" spans="2:7" s="196" customFormat="1">
      <c r="B9810" s="142"/>
      <c r="C9810" s="235"/>
      <c r="D9810" s="213"/>
      <c r="E9810" s="226"/>
      <c r="F9810" s="155"/>
      <c r="G9810" s="143"/>
    </row>
    <row r="9811" spans="2:7" s="196" customFormat="1">
      <c r="B9811" s="142"/>
      <c r="C9811" s="235"/>
      <c r="D9811" s="213"/>
      <c r="E9811" s="226"/>
      <c r="F9811" s="155"/>
      <c r="G9811" s="143"/>
    </row>
    <row r="9812" spans="2:7" s="196" customFormat="1">
      <c r="B9812" s="142"/>
      <c r="C9812" s="235"/>
      <c r="D9812" s="213"/>
      <c r="E9812" s="226"/>
      <c r="F9812" s="155"/>
      <c r="G9812" s="143"/>
    </row>
    <row r="9813" spans="2:7" s="196" customFormat="1">
      <c r="B9813" s="142"/>
      <c r="C9813" s="235"/>
      <c r="D9813" s="213"/>
      <c r="E9813" s="226"/>
      <c r="F9813" s="155"/>
      <c r="G9813" s="143"/>
    </row>
    <row r="9814" spans="2:7" s="196" customFormat="1">
      <c r="B9814" s="142"/>
      <c r="C9814" s="235"/>
      <c r="D9814" s="213"/>
      <c r="E9814" s="226"/>
      <c r="F9814" s="155"/>
      <c r="G9814" s="143"/>
    </row>
    <row r="9815" spans="2:7" s="196" customFormat="1">
      <c r="B9815" s="142"/>
      <c r="C9815" s="235"/>
      <c r="D9815" s="213"/>
      <c r="E9815" s="226"/>
      <c r="F9815" s="155"/>
      <c r="G9815" s="143"/>
    </row>
    <row r="9816" spans="2:7" s="196" customFormat="1">
      <c r="B9816" s="142"/>
      <c r="C9816" s="235"/>
      <c r="D9816" s="213"/>
      <c r="E9816" s="226"/>
      <c r="F9816" s="155"/>
      <c r="G9816" s="143"/>
    </row>
    <row r="9817" spans="2:7" s="196" customFormat="1">
      <c r="B9817" s="142"/>
      <c r="C9817" s="235"/>
      <c r="D9817" s="213"/>
      <c r="E9817" s="226"/>
      <c r="F9817" s="155"/>
      <c r="G9817" s="143"/>
    </row>
    <row r="9818" spans="2:7" s="196" customFormat="1">
      <c r="B9818" s="142"/>
      <c r="C9818" s="235"/>
      <c r="D9818" s="213"/>
      <c r="E9818" s="226"/>
      <c r="F9818" s="155"/>
      <c r="G9818" s="143"/>
    </row>
    <row r="9819" spans="2:7" s="196" customFormat="1">
      <c r="B9819" s="142"/>
      <c r="C9819" s="235"/>
      <c r="D9819" s="213"/>
      <c r="E9819" s="226"/>
      <c r="F9819" s="155"/>
      <c r="G9819" s="143"/>
    </row>
    <row r="9820" spans="2:7" s="196" customFormat="1">
      <c r="B9820" s="142"/>
      <c r="C9820" s="235"/>
      <c r="D9820" s="213"/>
      <c r="E9820" s="226"/>
      <c r="F9820" s="155"/>
      <c r="G9820" s="143"/>
    </row>
    <row r="9821" spans="2:7" s="196" customFormat="1">
      <c r="B9821" s="142"/>
      <c r="C9821" s="235"/>
      <c r="D9821" s="213"/>
      <c r="E9821" s="226"/>
      <c r="F9821" s="155"/>
      <c r="G9821" s="143"/>
    </row>
    <row r="9822" spans="2:7" s="196" customFormat="1">
      <c r="B9822" s="142"/>
      <c r="C9822" s="235"/>
      <c r="D9822" s="213"/>
      <c r="E9822" s="226"/>
      <c r="F9822" s="155"/>
      <c r="G9822" s="143"/>
    </row>
    <row r="9823" spans="2:7" s="196" customFormat="1">
      <c r="B9823" s="142"/>
      <c r="C9823" s="235"/>
      <c r="D9823" s="213"/>
      <c r="E9823" s="226"/>
      <c r="F9823" s="155"/>
      <c r="G9823" s="143"/>
    </row>
    <row r="9824" spans="2:7" s="196" customFormat="1">
      <c r="B9824" s="142"/>
      <c r="C9824" s="235"/>
      <c r="D9824" s="213"/>
      <c r="E9824" s="226"/>
      <c r="F9824" s="155"/>
      <c r="G9824" s="143"/>
    </row>
    <row r="9825" spans="2:7" s="196" customFormat="1">
      <c r="B9825" s="142"/>
      <c r="C9825" s="235"/>
      <c r="D9825" s="213"/>
      <c r="E9825" s="226"/>
      <c r="F9825" s="155"/>
      <c r="G9825" s="143"/>
    </row>
    <row r="9826" spans="2:7" s="196" customFormat="1">
      <c r="B9826" s="142"/>
      <c r="C9826" s="235"/>
      <c r="D9826" s="213"/>
      <c r="E9826" s="226"/>
      <c r="F9826" s="155"/>
      <c r="G9826" s="143"/>
    </row>
    <row r="9827" spans="2:7" s="196" customFormat="1">
      <c r="B9827" s="142"/>
      <c r="C9827" s="235"/>
      <c r="D9827" s="213"/>
      <c r="E9827" s="226"/>
      <c r="F9827" s="155"/>
      <c r="G9827" s="143"/>
    </row>
    <row r="9828" spans="2:7" s="196" customFormat="1">
      <c r="B9828" s="142"/>
      <c r="C9828" s="235"/>
      <c r="D9828" s="213"/>
      <c r="E9828" s="226"/>
      <c r="F9828" s="155"/>
      <c r="G9828" s="143"/>
    </row>
    <row r="9829" spans="2:7" s="196" customFormat="1">
      <c r="B9829" s="142"/>
      <c r="C9829" s="235"/>
      <c r="D9829" s="213"/>
      <c r="E9829" s="226"/>
      <c r="F9829" s="155"/>
      <c r="G9829" s="143"/>
    </row>
    <row r="9830" spans="2:7" s="196" customFormat="1">
      <c r="B9830" s="142"/>
      <c r="C9830" s="235"/>
      <c r="D9830" s="213"/>
      <c r="E9830" s="226"/>
      <c r="F9830" s="155"/>
      <c r="G9830" s="143"/>
    </row>
    <row r="9831" spans="2:7" s="196" customFormat="1">
      <c r="B9831" s="142"/>
      <c r="C9831" s="235"/>
      <c r="D9831" s="213"/>
      <c r="E9831" s="226"/>
      <c r="F9831" s="155"/>
      <c r="G9831" s="143"/>
    </row>
    <row r="9832" spans="2:7" s="196" customFormat="1">
      <c r="B9832" s="142"/>
      <c r="C9832" s="235"/>
      <c r="D9832" s="213"/>
      <c r="E9832" s="226"/>
      <c r="F9832" s="155"/>
      <c r="G9832" s="143"/>
    </row>
    <row r="9833" spans="2:7" s="196" customFormat="1">
      <c r="B9833" s="142"/>
      <c r="C9833" s="235"/>
      <c r="D9833" s="213"/>
      <c r="E9833" s="226"/>
      <c r="F9833" s="155"/>
      <c r="G9833" s="143"/>
    </row>
    <row r="9834" spans="2:7" s="196" customFormat="1">
      <c r="B9834" s="142"/>
      <c r="C9834" s="235"/>
      <c r="D9834" s="213"/>
      <c r="E9834" s="226"/>
      <c r="F9834" s="155"/>
      <c r="G9834" s="143"/>
    </row>
    <row r="9835" spans="2:7" s="196" customFormat="1">
      <c r="B9835" s="142"/>
      <c r="C9835" s="235"/>
      <c r="D9835" s="213"/>
      <c r="E9835" s="226"/>
      <c r="F9835" s="155"/>
      <c r="G9835" s="143"/>
    </row>
    <row r="9836" spans="2:7" s="196" customFormat="1">
      <c r="B9836" s="142"/>
      <c r="C9836" s="235"/>
      <c r="D9836" s="213"/>
      <c r="E9836" s="226"/>
      <c r="F9836" s="155"/>
      <c r="G9836" s="143"/>
    </row>
    <row r="9837" spans="2:7" s="196" customFormat="1">
      <c r="B9837" s="142"/>
      <c r="C9837" s="235"/>
      <c r="D9837" s="213"/>
      <c r="E9837" s="226"/>
      <c r="F9837" s="155"/>
      <c r="G9837" s="143"/>
    </row>
    <row r="9838" spans="2:7" s="196" customFormat="1">
      <c r="B9838" s="142"/>
      <c r="C9838" s="235"/>
      <c r="D9838" s="213"/>
      <c r="E9838" s="226"/>
      <c r="F9838" s="155"/>
      <c r="G9838" s="143"/>
    </row>
    <row r="9839" spans="2:7" s="196" customFormat="1">
      <c r="B9839" s="142"/>
      <c r="C9839" s="235"/>
      <c r="D9839" s="213"/>
      <c r="E9839" s="226"/>
      <c r="F9839" s="155"/>
      <c r="G9839" s="143"/>
    </row>
    <row r="9840" spans="2:7" s="196" customFormat="1">
      <c r="B9840" s="142"/>
      <c r="C9840" s="235"/>
      <c r="D9840" s="213"/>
      <c r="E9840" s="226"/>
      <c r="F9840" s="155"/>
      <c r="G9840" s="143"/>
    </row>
    <row r="9841" spans="2:7" s="196" customFormat="1">
      <c r="B9841" s="142"/>
      <c r="C9841" s="235"/>
      <c r="D9841" s="213"/>
      <c r="E9841" s="226"/>
      <c r="F9841" s="155"/>
      <c r="G9841" s="143"/>
    </row>
    <row r="9842" spans="2:7" s="196" customFormat="1">
      <c r="B9842" s="142"/>
      <c r="C9842" s="235"/>
      <c r="D9842" s="213"/>
      <c r="E9842" s="226"/>
      <c r="F9842" s="155"/>
      <c r="G9842" s="143"/>
    </row>
    <row r="9843" spans="2:7" s="196" customFormat="1">
      <c r="B9843" s="142"/>
      <c r="C9843" s="235"/>
      <c r="D9843" s="213"/>
      <c r="E9843" s="226"/>
      <c r="F9843" s="155"/>
      <c r="G9843" s="143"/>
    </row>
    <row r="9844" spans="2:7" s="196" customFormat="1">
      <c r="B9844" s="142"/>
      <c r="C9844" s="235"/>
      <c r="D9844" s="213"/>
      <c r="E9844" s="226"/>
      <c r="F9844" s="155"/>
      <c r="G9844" s="143"/>
    </row>
    <row r="9845" spans="2:7" s="196" customFormat="1">
      <c r="B9845" s="142"/>
      <c r="C9845" s="235"/>
      <c r="D9845" s="213"/>
      <c r="E9845" s="226"/>
      <c r="F9845" s="155"/>
      <c r="G9845" s="143"/>
    </row>
    <row r="9846" spans="2:7" s="196" customFormat="1">
      <c r="B9846" s="142"/>
      <c r="C9846" s="235"/>
      <c r="D9846" s="213"/>
      <c r="E9846" s="226"/>
      <c r="F9846" s="155"/>
      <c r="G9846" s="143"/>
    </row>
    <row r="9847" spans="2:7" s="196" customFormat="1">
      <c r="B9847" s="142"/>
      <c r="C9847" s="235"/>
      <c r="D9847" s="213"/>
      <c r="E9847" s="226"/>
      <c r="F9847" s="155"/>
      <c r="G9847" s="143"/>
    </row>
    <row r="9848" spans="2:7" s="196" customFormat="1">
      <c r="B9848" s="142"/>
      <c r="C9848" s="235"/>
      <c r="D9848" s="213"/>
      <c r="E9848" s="226"/>
      <c r="F9848" s="155"/>
      <c r="G9848" s="143"/>
    </row>
    <row r="9849" spans="2:7" s="196" customFormat="1">
      <c r="B9849" s="142"/>
      <c r="C9849" s="235"/>
      <c r="D9849" s="213"/>
      <c r="E9849" s="226"/>
      <c r="F9849" s="155"/>
      <c r="G9849" s="143"/>
    </row>
    <row r="9850" spans="2:7" s="196" customFormat="1">
      <c r="B9850" s="142"/>
      <c r="C9850" s="235"/>
      <c r="D9850" s="213"/>
      <c r="E9850" s="226"/>
      <c r="F9850" s="155"/>
      <c r="G9850" s="143"/>
    </row>
    <row r="9851" spans="2:7" s="196" customFormat="1">
      <c r="B9851" s="142"/>
      <c r="C9851" s="235"/>
      <c r="D9851" s="213"/>
      <c r="E9851" s="226"/>
      <c r="F9851" s="155"/>
      <c r="G9851" s="143"/>
    </row>
    <row r="9852" spans="2:7" s="196" customFormat="1">
      <c r="B9852" s="142"/>
      <c r="C9852" s="235"/>
      <c r="D9852" s="213"/>
      <c r="E9852" s="226"/>
      <c r="F9852" s="155"/>
      <c r="G9852" s="143"/>
    </row>
    <row r="9853" spans="2:7" s="196" customFormat="1">
      <c r="B9853" s="142"/>
      <c r="C9853" s="235"/>
      <c r="D9853" s="213"/>
      <c r="E9853" s="226"/>
      <c r="F9853" s="155"/>
      <c r="G9853" s="143"/>
    </row>
    <row r="9854" spans="2:7" s="196" customFormat="1">
      <c r="B9854" s="142"/>
      <c r="C9854" s="235"/>
      <c r="D9854" s="213"/>
      <c r="E9854" s="226"/>
      <c r="F9854" s="155"/>
      <c r="G9854" s="143"/>
    </row>
    <row r="9855" spans="2:7" s="196" customFormat="1">
      <c r="B9855" s="142"/>
      <c r="C9855" s="235"/>
      <c r="D9855" s="213"/>
      <c r="E9855" s="226"/>
      <c r="F9855" s="155"/>
      <c r="G9855" s="143"/>
    </row>
    <row r="9856" spans="2:7" s="196" customFormat="1">
      <c r="B9856" s="142"/>
      <c r="C9856" s="235"/>
      <c r="D9856" s="213"/>
      <c r="E9856" s="226"/>
      <c r="F9856" s="155"/>
      <c r="G9856" s="143"/>
    </row>
    <row r="9857" spans="2:7" s="196" customFormat="1">
      <c r="B9857" s="142"/>
      <c r="C9857" s="235"/>
      <c r="D9857" s="213"/>
      <c r="E9857" s="226"/>
      <c r="F9857" s="155"/>
      <c r="G9857" s="143"/>
    </row>
    <row r="9858" spans="2:7" s="196" customFormat="1">
      <c r="B9858" s="142"/>
      <c r="C9858" s="235"/>
      <c r="D9858" s="213"/>
      <c r="E9858" s="226"/>
      <c r="F9858" s="155"/>
      <c r="G9858" s="143"/>
    </row>
    <row r="9859" spans="2:7" s="196" customFormat="1">
      <c r="B9859" s="142"/>
      <c r="C9859" s="235"/>
      <c r="D9859" s="213"/>
      <c r="E9859" s="226"/>
      <c r="F9859" s="155"/>
      <c r="G9859" s="143"/>
    </row>
    <row r="9860" spans="2:7" s="196" customFormat="1">
      <c r="B9860" s="142"/>
      <c r="C9860" s="235"/>
      <c r="D9860" s="213"/>
      <c r="E9860" s="226"/>
      <c r="F9860" s="155"/>
      <c r="G9860" s="143"/>
    </row>
    <row r="9861" spans="2:7" s="196" customFormat="1">
      <c r="B9861" s="142"/>
      <c r="C9861" s="235"/>
      <c r="D9861" s="213"/>
      <c r="E9861" s="226"/>
      <c r="F9861" s="155"/>
      <c r="G9861" s="143"/>
    </row>
    <row r="9862" spans="2:7" s="196" customFormat="1">
      <c r="B9862" s="142"/>
      <c r="C9862" s="235"/>
      <c r="D9862" s="213"/>
      <c r="E9862" s="226"/>
      <c r="F9862" s="155"/>
      <c r="G9862" s="143"/>
    </row>
    <row r="9863" spans="2:7" s="196" customFormat="1">
      <c r="B9863" s="142"/>
      <c r="C9863" s="235"/>
      <c r="D9863" s="213"/>
      <c r="E9863" s="226"/>
      <c r="F9863" s="155"/>
      <c r="G9863" s="143"/>
    </row>
    <row r="9864" spans="2:7" s="196" customFormat="1">
      <c r="B9864" s="142"/>
      <c r="C9864" s="235"/>
      <c r="D9864" s="213"/>
      <c r="E9864" s="226"/>
      <c r="F9864" s="155"/>
      <c r="G9864" s="143"/>
    </row>
    <row r="9865" spans="2:7" s="196" customFormat="1">
      <c r="B9865" s="142"/>
      <c r="C9865" s="235"/>
      <c r="D9865" s="213"/>
      <c r="E9865" s="226"/>
      <c r="F9865" s="155"/>
      <c r="G9865" s="143"/>
    </row>
    <row r="9866" spans="2:7" s="196" customFormat="1">
      <c r="B9866" s="142"/>
      <c r="C9866" s="235"/>
      <c r="D9866" s="213"/>
      <c r="E9866" s="226"/>
      <c r="F9866" s="155"/>
      <c r="G9866" s="143"/>
    </row>
    <row r="9867" spans="2:7" s="196" customFormat="1">
      <c r="B9867" s="142"/>
      <c r="C9867" s="235"/>
      <c r="D9867" s="213"/>
      <c r="E9867" s="226"/>
      <c r="F9867" s="155"/>
      <c r="G9867" s="143"/>
    </row>
    <row r="9868" spans="2:7" s="196" customFormat="1">
      <c r="B9868" s="142"/>
      <c r="C9868" s="235"/>
      <c r="D9868" s="213"/>
      <c r="E9868" s="226"/>
      <c r="F9868" s="155"/>
      <c r="G9868" s="143"/>
    </row>
    <row r="9869" spans="2:7" s="196" customFormat="1">
      <c r="B9869" s="142"/>
      <c r="C9869" s="235"/>
      <c r="D9869" s="213"/>
      <c r="E9869" s="226"/>
      <c r="F9869" s="155"/>
      <c r="G9869" s="143"/>
    </row>
    <row r="9870" spans="2:7" s="196" customFormat="1">
      <c r="B9870" s="142"/>
      <c r="C9870" s="235"/>
      <c r="D9870" s="213"/>
      <c r="E9870" s="226"/>
      <c r="F9870" s="155"/>
      <c r="G9870" s="143"/>
    </row>
    <row r="9871" spans="2:7" s="196" customFormat="1">
      <c r="B9871" s="142"/>
      <c r="C9871" s="235"/>
      <c r="D9871" s="213"/>
      <c r="E9871" s="226"/>
      <c r="F9871" s="155"/>
      <c r="G9871" s="143"/>
    </row>
    <row r="9872" spans="2:7" s="196" customFormat="1">
      <c r="B9872" s="142"/>
      <c r="C9872" s="235"/>
      <c r="D9872" s="213"/>
      <c r="E9872" s="226"/>
      <c r="F9872" s="155"/>
      <c r="G9872" s="143"/>
    </row>
    <row r="9873" spans="2:7" s="196" customFormat="1">
      <c r="B9873" s="142"/>
      <c r="C9873" s="235"/>
      <c r="D9873" s="213"/>
      <c r="E9873" s="226"/>
      <c r="F9873" s="155"/>
      <c r="G9873" s="143"/>
    </row>
    <row r="9874" spans="2:7" s="196" customFormat="1">
      <c r="B9874" s="142"/>
      <c r="C9874" s="235"/>
      <c r="D9874" s="213"/>
      <c r="E9874" s="226"/>
      <c r="F9874" s="155"/>
      <c r="G9874" s="143"/>
    </row>
    <row r="9875" spans="2:7" s="196" customFormat="1">
      <c r="B9875" s="142"/>
      <c r="C9875" s="235"/>
      <c r="D9875" s="213"/>
      <c r="E9875" s="226"/>
      <c r="F9875" s="155"/>
      <c r="G9875" s="143"/>
    </row>
    <row r="9876" spans="2:7" s="196" customFormat="1">
      <c r="B9876" s="142"/>
      <c r="C9876" s="235"/>
      <c r="D9876" s="213"/>
      <c r="E9876" s="226"/>
      <c r="F9876" s="155"/>
      <c r="G9876" s="143"/>
    </row>
    <row r="9877" spans="2:7" s="196" customFormat="1">
      <c r="B9877" s="142"/>
      <c r="C9877" s="235"/>
      <c r="D9877" s="213"/>
      <c r="E9877" s="226"/>
      <c r="F9877" s="155"/>
      <c r="G9877" s="143"/>
    </row>
    <row r="9878" spans="2:7" s="196" customFormat="1">
      <c r="B9878" s="142"/>
      <c r="C9878" s="235"/>
      <c r="D9878" s="213"/>
      <c r="E9878" s="226"/>
      <c r="F9878" s="155"/>
      <c r="G9878" s="143"/>
    </row>
    <row r="9879" spans="2:7" s="196" customFormat="1">
      <c r="B9879" s="142"/>
      <c r="C9879" s="235"/>
      <c r="D9879" s="213"/>
      <c r="E9879" s="226"/>
      <c r="F9879" s="155"/>
      <c r="G9879" s="143"/>
    </row>
    <row r="9880" spans="2:7" s="196" customFormat="1">
      <c r="B9880" s="142"/>
      <c r="C9880" s="235"/>
      <c r="D9880" s="213"/>
      <c r="E9880" s="226"/>
      <c r="F9880" s="155"/>
      <c r="G9880" s="143"/>
    </row>
    <row r="9881" spans="2:7" s="196" customFormat="1">
      <c r="B9881" s="142"/>
      <c r="C9881" s="235"/>
      <c r="D9881" s="213"/>
      <c r="E9881" s="226"/>
      <c r="F9881" s="155"/>
      <c r="G9881" s="143"/>
    </row>
    <row r="9882" spans="2:7" s="196" customFormat="1">
      <c r="B9882" s="142"/>
      <c r="C9882" s="235"/>
      <c r="D9882" s="213"/>
      <c r="E9882" s="226"/>
      <c r="F9882" s="155"/>
      <c r="G9882" s="143"/>
    </row>
    <row r="9883" spans="2:7" s="196" customFormat="1">
      <c r="B9883" s="142"/>
      <c r="C9883" s="235"/>
      <c r="D9883" s="213"/>
      <c r="E9883" s="226"/>
      <c r="F9883" s="155"/>
      <c r="G9883" s="143"/>
    </row>
    <row r="9884" spans="2:7" s="196" customFormat="1">
      <c r="B9884" s="142"/>
      <c r="C9884" s="235"/>
      <c r="D9884" s="213"/>
      <c r="E9884" s="226"/>
      <c r="F9884" s="155"/>
      <c r="G9884" s="143"/>
    </row>
    <row r="9885" spans="2:7" s="196" customFormat="1">
      <c r="B9885" s="142"/>
      <c r="C9885" s="235"/>
      <c r="D9885" s="213"/>
      <c r="E9885" s="226"/>
      <c r="F9885" s="155"/>
      <c r="G9885" s="143"/>
    </row>
    <row r="9886" spans="2:7" s="196" customFormat="1">
      <c r="B9886" s="142"/>
      <c r="C9886" s="235"/>
      <c r="D9886" s="213"/>
      <c r="E9886" s="226"/>
      <c r="F9886" s="155"/>
      <c r="G9886" s="143"/>
    </row>
    <row r="9887" spans="2:7" s="196" customFormat="1">
      <c r="B9887" s="142"/>
      <c r="C9887" s="235"/>
      <c r="D9887" s="213"/>
      <c r="E9887" s="226"/>
      <c r="F9887" s="155"/>
      <c r="G9887" s="143"/>
    </row>
    <row r="9888" spans="2:7" s="196" customFormat="1">
      <c r="B9888" s="142"/>
      <c r="C9888" s="235"/>
      <c r="D9888" s="213"/>
      <c r="E9888" s="226"/>
      <c r="F9888" s="155"/>
      <c r="G9888" s="143"/>
    </row>
    <row r="9889" spans="2:7" s="196" customFormat="1">
      <c r="B9889" s="142"/>
      <c r="C9889" s="235"/>
      <c r="D9889" s="213"/>
      <c r="E9889" s="226"/>
      <c r="F9889" s="155"/>
      <c r="G9889" s="143"/>
    </row>
    <row r="9890" spans="2:7" s="196" customFormat="1">
      <c r="B9890" s="142"/>
      <c r="C9890" s="235"/>
      <c r="D9890" s="213"/>
      <c r="E9890" s="226"/>
      <c r="F9890" s="155"/>
      <c r="G9890" s="143"/>
    </row>
    <row r="9891" spans="2:7" s="196" customFormat="1">
      <c r="B9891" s="142"/>
      <c r="C9891" s="235"/>
      <c r="D9891" s="213"/>
      <c r="E9891" s="226"/>
      <c r="F9891" s="155"/>
      <c r="G9891" s="143"/>
    </row>
    <row r="9892" spans="2:7" s="196" customFormat="1">
      <c r="B9892" s="142"/>
      <c r="C9892" s="235"/>
      <c r="D9892" s="213"/>
      <c r="E9892" s="226"/>
      <c r="F9892" s="155"/>
      <c r="G9892" s="143"/>
    </row>
    <row r="9893" spans="2:7" s="196" customFormat="1">
      <c r="B9893" s="142"/>
      <c r="C9893" s="235"/>
      <c r="D9893" s="213"/>
      <c r="E9893" s="226"/>
      <c r="F9893" s="155"/>
      <c r="G9893" s="143"/>
    </row>
    <row r="9894" spans="2:7" s="196" customFormat="1">
      <c r="B9894" s="142"/>
      <c r="C9894" s="235"/>
      <c r="D9894" s="213"/>
      <c r="E9894" s="226"/>
      <c r="F9894" s="155"/>
      <c r="G9894" s="143"/>
    </row>
    <row r="9895" spans="2:7" s="196" customFormat="1">
      <c r="B9895" s="142"/>
      <c r="C9895" s="235"/>
      <c r="D9895" s="213"/>
      <c r="E9895" s="226"/>
      <c r="F9895" s="155"/>
      <c r="G9895" s="143"/>
    </row>
    <row r="9896" spans="2:7" s="196" customFormat="1">
      <c r="B9896" s="142"/>
      <c r="C9896" s="235"/>
      <c r="D9896" s="213"/>
      <c r="E9896" s="226"/>
      <c r="F9896" s="155"/>
      <c r="G9896" s="143"/>
    </row>
    <row r="9897" spans="2:7" s="196" customFormat="1">
      <c r="B9897" s="142"/>
      <c r="C9897" s="235"/>
      <c r="D9897" s="213"/>
      <c r="E9897" s="226"/>
      <c r="F9897" s="155"/>
      <c r="G9897" s="143"/>
    </row>
    <row r="9898" spans="2:7" s="196" customFormat="1">
      <c r="B9898" s="142"/>
      <c r="C9898" s="235"/>
      <c r="D9898" s="213"/>
      <c r="E9898" s="226"/>
      <c r="F9898" s="155"/>
      <c r="G9898" s="143"/>
    </row>
    <row r="9899" spans="2:7" s="196" customFormat="1">
      <c r="B9899" s="142"/>
      <c r="C9899" s="235"/>
      <c r="D9899" s="213"/>
      <c r="E9899" s="226"/>
      <c r="F9899" s="155"/>
      <c r="G9899" s="143"/>
    </row>
    <row r="9900" spans="2:7" s="196" customFormat="1">
      <c r="B9900" s="142"/>
      <c r="C9900" s="235"/>
      <c r="D9900" s="213"/>
      <c r="E9900" s="226"/>
      <c r="F9900" s="155"/>
      <c r="G9900" s="143"/>
    </row>
    <row r="9901" spans="2:7" s="196" customFormat="1">
      <c r="B9901" s="142"/>
      <c r="C9901" s="235"/>
      <c r="D9901" s="213"/>
      <c r="E9901" s="226"/>
      <c r="F9901" s="155"/>
      <c r="G9901" s="143"/>
    </row>
    <row r="9902" spans="2:7" s="196" customFormat="1">
      <c r="B9902" s="142"/>
      <c r="C9902" s="235"/>
      <c r="D9902" s="213"/>
      <c r="E9902" s="226"/>
      <c r="F9902" s="155"/>
      <c r="G9902" s="143"/>
    </row>
    <row r="9903" spans="2:7" s="196" customFormat="1">
      <c r="B9903" s="142"/>
      <c r="C9903" s="235"/>
      <c r="D9903" s="213"/>
      <c r="E9903" s="226"/>
      <c r="F9903" s="155"/>
      <c r="G9903" s="143"/>
    </row>
    <row r="9904" spans="2:7" s="196" customFormat="1">
      <c r="B9904" s="142"/>
      <c r="C9904" s="235"/>
      <c r="D9904" s="213"/>
      <c r="E9904" s="226"/>
      <c r="F9904" s="155"/>
      <c r="G9904" s="143"/>
    </row>
    <row r="9905" spans="2:7" s="196" customFormat="1">
      <c r="B9905" s="142"/>
      <c r="C9905" s="235"/>
      <c r="D9905" s="213"/>
      <c r="E9905" s="226"/>
      <c r="F9905" s="155"/>
      <c r="G9905" s="143"/>
    </row>
    <row r="9906" spans="2:7" s="196" customFormat="1">
      <c r="B9906" s="142"/>
      <c r="C9906" s="235"/>
      <c r="D9906" s="213"/>
      <c r="E9906" s="226"/>
      <c r="F9906" s="155"/>
      <c r="G9906" s="143"/>
    </row>
    <row r="9907" spans="2:7" s="196" customFormat="1">
      <c r="B9907" s="142"/>
      <c r="C9907" s="235"/>
      <c r="D9907" s="213"/>
      <c r="E9907" s="226"/>
      <c r="F9907" s="155"/>
      <c r="G9907" s="143"/>
    </row>
    <row r="9908" spans="2:7" s="196" customFormat="1">
      <c r="B9908" s="142"/>
      <c r="C9908" s="235"/>
      <c r="D9908" s="213"/>
      <c r="E9908" s="226"/>
      <c r="F9908" s="155"/>
      <c r="G9908" s="143"/>
    </row>
    <row r="9909" spans="2:7" s="196" customFormat="1">
      <c r="B9909" s="142"/>
      <c r="C9909" s="235"/>
      <c r="D9909" s="213"/>
      <c r="E9909" s="226"/>
      <c r="F9909" s="155"/>
      <c r="G9909" s="143"/>
    </row>
    <row r="9910" spans="2:7" s="196" customFormat="1">
      <c r="B9910" s="142"/>
      <c r="C9910" s="235"/>
      <c r="D9910" s="213"/>
      <c r="E9910" s="226"/>
      <c r="F9910" s="155"/>
      <c r="G9910" s="143"/>
    </row>
    <row r="9911" spans="2:7" s="196" customFormat="1">
      <c r="B9911" s="142"/>
      <c r="C9911" s="235"/>
      <c r="D9911" s="213"/>
      <c r="E9911" s="226"/>
      <c r="F9911" s="155"/>
      <c r="G9911" s="143"/>
    </row>
    <row r="9912" spans="2:7" s="196" customFormat="1">
      <c r="B9912" s="142"/>
      <c r="C9912" s="235"/>
      <c r="D9912" s="213"/>
      <c r="E9912" s="226"/>
      <c r="F9912" s="155"/>
      <c r="G9912" s="143"/>
    </row>
    <row r="9913" spans="2:7" s="196" customFormat="1">
      <c r="B9913" s="142"/>
      <c r="C9913" s="235"/>
      <c r="D9913" s="213"/>
      <c r="E9913" s="226"/>
      <c r="F9913" s="155"/>
      <c r="G9913" s="143"/>
    </row>
    <row r="9914" spans="2:7" s="196" customFormat="1">
      <c r="B9914" s="142"/>
      <c r="C9914" s="235"/>
      <c r="D9914" s="213"/>
      <c r="E9914" s="226"/>
      <c r="F9914" s="155"/>
      <c r="G9914" s="143"/>
    </row>
    <row r="9915" spans="2:7" s="196" customFormat="1">
      <c r="B9915" s="142"/>
      <c r="C9915" s="235"/>
      <c r="D9915" s="213"/>
      <c r="E9915" s="226"/>
      <c r="F9915" s="155"/>
      <c r="G9915" s="143"/>
    </row>
    <row r="9916" spans="2:7" s="196" customFormat="1">
      <c r="B9916" s="142"/>
      <c r="C9916" s="235"/>
      <c r="D9916" s="213"/>
      <c r="E9916" s="226"/>
      <c r="F9916" s="155"/>
      <c r="G9916" s="143"/>
    </row>
    <row r="9917" spans="2:7" s="196" customFormat="1">
      <c r="B9917" s="142"/>
      <c r="C9917" s="235"/>
      <c r="D9917" s="213"/>
      <c r="E9917" s="226"/>
      <c r="F9917" s="155"/>
      <c r="G9917" s="143"/>
    </row>
    <row r="9918" spans="2:7" s="196" customFormat="1">
      <c r="B9918" s="142"/>
      <c r="C9918" s="235"/>
      <c r="D9918" s="213"/>
      <c r="E9918" s="226"/>
      <c r="F9918" s="155"/>
      <c r="G9918" s="143"/>
    </row>
    <row r="9919" spans="2:7" s="196" customFormat="1">
      <c r="B9919" s="142"/>
      <c r="C9919" s="235"/>
      <c r="D9919" s="213"/>
      <c r="E9919" s="226"/>
      <c r="F9919" s="155"/>
      <c r="G9919" s="143"/>
    </row>
    <row r="9920" spans="2:7" s="196" customFormat="1">
      <c r="B9920" s="142"/>
      <c r="C9920" s="235"/>
      <c r="D9920" s="213"/>
      <c r="E9920" s="226"/>
      <c r="F9920" s="155"/>
      <c r="G9920" s="143"/>
    </row>
    <row r="9921" spans="2:7" s="196" customFormat="1">
      <c r="B9921" s="142"/>
      <c r="C9921" s="235"/>
      <c r="D9921" s="213"/>
      <c r="E9921" s="226"/>
      <c r="F9921" s="155"/>
      <c r="G9921" s="143"/>
    </row>
    <row r="9922" spans="2:7" s="196" customFormat="1">
      <c r="B9922" s="142"/>
      <c r="C9922" s="235"/>
      <c r="D9922" s="213"/>
      <c r="E9922" s="226"/>
      <c r="F9922" s="155"/>
      <c r="G9922" s="143"/>
    </row>
    <row r="9923" spans="2:7" s="196" customFormat="1">
      <c r="B9923" s="142"/>
      <c r="C9923" s="235"/>
      <c r="D9923" s="213"/>
      <c r="E9923" s="226"/>
      <c r="F9923" s="155"/>
      <c r="G9923" s="143"/>
    </row>
    <row r="9924" spans="2:7" s="196" customFormat="1">
      <c r="B9924" s="142"/>
      <c r="C9924" s="235"/>
      <c r="D9924" s="213"/>
      <c r="E9924" s="226"/>
      <c r="F9924" s="155"/>
      <c r="G9924" s="143"/>
    </row>
    <row r="9925" spans="2:7" s="196" customFormat="1">
      <c r="B9925" s="142"/>
      <c r="C9925" s="235"/>
      <c r="D9925" s="213"/>
      <c r="E9925" s="226"/>
      <c r="F9925" s="155"/>
      <c r="G9925" s="143"/>
    </row>
    <row r="9926" spans="2:7" s="196" customFormat="1">
      <c r="B9926" s="142"/>
      <c r="C9926" s="235"/>
      <c r="D9926" s="213"/>
      <c r="E9926" s="226"/>
      <c r="F9926" s="155"/>
      <c r="G9926" s="143"/>
    </row>
    <row r="9927" spans="2:7" s="196" customFormat="1">
      <c r="B9927" s="142"/>
      <c r="C9927" s="235"/>
      <c r="D9927" s="213"/>
      <c r="E9927" s="226"/>
      <c r="F9927" s="155"/>
      <c r="G9927" s="143"/>
    </row>
    <row r="9928" spans="2:7" s="196" customFormat="1">
      <c r="B9928" s="142"/>
      <c r="C9928" s="235"/>
      <c r="D9928" s="213"/>
      <c r="E9928" s="226"/>
      <c r="F9928" s="155"/>
      <c r="G9928" s="143"/>
    </row>
    <row r="9929" spans="2:7" s="196" customFormat="1">
      <c r="B9929" s="142"/>
      <c r="C9929" s="235"/>
      <c r="D9929" s="213"/>
      <c r="E9929" s="226"/>
      <c r="F9929" s="155"/>
      <c r="G9929" s="143"/>
    </row>
    <row r="9930" spans="2:7" s="196" customFormat="1">
      <c r="B9930" s="142"/>
      <c r="C9930" s="235"/>
      <c r="D9930" s="213"/>
      <c r="E9930" s="226"/>
      <c r="F9930" s="155"/>
      <c r="G9930" s="143"/>
    </row>
    <row r="9931" spans="2:7" s="196" customFormat="1">
      <c r="B9931" s="142"/>
      <c r="C9931" s="235"/>
      <c r="D9931" s="213"/>
      <c r="E9931" s="226"/>
      <c r="F9931" s="155"/>
      <c r="G9931" s="143"/>
    </row>
    <row r="9932" spans="2:7" s="196" customFormat="1">
      <c r="B9932" s="142"/>
      <c r="C9932" s="235"/>
      <c r="D9932" s="213"/>
      <c r="E9932" s="226"/>
      <c r="F9932" s="155"/>
      <c r="G9932" s="143"/>
    </row>
    <row r="9933" spans="2:7" s="196" customFormat="1">
      <c r="B9933" s="142"/>
      <c r="C9933" s="235"/>
      <c r="D9933" s="213"/>
      <c r="E9933" s="226"/>
      <c r="F9933" s="155"/>
      <c r="G9933" s="143"/>
    </row>
    <row r="9934" spans="2:7" s="196" customFormat="1">
      <c r="B9934" s="142"/>
      <c r="C9934" s="235"/>
      <c r="D9934" s="213"/>
      <c r="E9934" s="226"/>
      <c r="F9934" s="155"/>
      <c r="G9934" s="143"/>
    </row>
    <row r="9935" spans="2:7" s="196" customFormat="1">
      <c r="B9935" s="142"/>
      <c r="C9935" s="235"/>
      <c r="D9935" s="213"/>
      <c r="E9935" s="226"/>
      <c r="F9935" s="155"/>
      <c r="G9935" s="143"/>
    </row>
    <row r="9936" spans="2:7" s="196" customFormat="1">
      <c r="B9936" s="142"/>
      <c r="C9936" s="235"/>
      <c r="D9936" s="213"/>
      <c r="E9936" s="226"/>
      <c r="F9936" s="155"/>
      <c r="G9936" s="143"/>
    </row>
    <row r="9937" spans="2:7" s="196" customFormat="1">
      <c r="B9937" s="142"/>
      <c r="C9937" s="235"/>
      <c r="D9937" s="213"/>
      <c r="E9937" s="226"/>
      <c r="F9937" s="155"/>
      <c r="G9937" s="143"/>
    </row>
    <row r="9938" spans="2:7" s="196" customFormat="1">
      <c r="B9938" s="142"/>
      <c r="C9938" s="235"/>
      <c r="D9938" s="213"/>
      <c r="E9938" s="226"/>
      <c r="F9938" s="155"/>
      <c r="G9938" s="143"/>
    </row>
    <row r="9939" spans="2:7" s="196" customFormat="1">
      <c r="B9939" s="142"/>
      <c r="C9939" s="235"/>
      <c r="D9939" s="213"/>
      <c r="E9939" s="226"/>
      <c r="F9939" s="155"/>
      <c r="G9939" s="143"/>
    </row>
    <row r="9940" spans="2:7" s="196" customFormat="1">
      <c r="B9940" s="142"/>
      <c r="C9940" s="235"/>
      <c r="D9940" s="213"/>
      <c r="E9940" s="226"/>
      <c r="F9940" s="155"/>
      <c r="G9940" s="143"/>
    </row>
    <row r="9941" spans="2:7" s="196" customFormat="1">
      <c r="B9941" s="142"/>
      <c r="C9941" s="235"/>
      <c r="D9941" s="213"/>
      <c r="E9941" s="226"/>
      <c r="F9941" s="155"/>
      <c r="G9941" s="143"/>
    </row>
    <row r="9942" spans="2:7" s="196" customFormat="1">
      <c r="B9942" s="142"/>
      <c r="C9942" s="235"/>
      <c r="D9942" s="213"/>
      <c r="E9942" s="226"/>
      <c r="F9942" s="155"/>
      <c r="G9942" s="143"/>
    </row>
    <row r="9943" spans="2:7" s="196" customFormat="1">
      <c r="B9943" s="142"/>
      <c r="C9943" s="235"/>
      <c r="D9943" s="213"/>
      <c r="E9943" s="226"/>
      <c r="F9943" s="155"/>
      <c r="G9943" s="143"/>
    </row>
    <row r="9944" spans="2:7" s="196" customFormat="1">
      <c r="B9944" s="142"/>
      <c r="C9944" s="235"/>
      <c r="D9944" s="213"/>
      <c r="E9944" s="226"/>
      <c r="F9944" s="155"/>
      <c r="G9944" s="143"/>
    </row>
    <row r="9945" spans="2:7" s="196" customFormat="1">
      <c r="B9945" s="142"/>
      <c r="C9945" s="235"/>
      <c r="D9945" s="213"/>
      <c r="E9945" s="226"/>
      <c r="F9945" s="155"/>
      <c r="G9945" s="143"/>
    </row>
    <row r="9946" spans="2:7" s="196" customFormat="1">
      <c r="B9946" s="142"/>
      <c r="C9946" s="235"/>
      <c r="D9946" s="213"/>
      <c r="E9946" s="226"/>
      <c r="F9946" s="155"/>
      <c r="G9946" s="143"/>
    </row>
    <row r="9947" spans="2:7" s="196" customFormat="1">
      <c r="B9947" s="142"/>
      <c r="C9947" s="235"/>
      <c r="D9947" s="213"/>
      <c r="E9947" s="226"/>
      <c r="F9947" s="155"/>
      <c r="G9947" s="143"/>
    </row>
    <row r="9948" spans="2:7" s="196" customFormat="1">
      <c r="B9948" s="142"/>
      <c r="C9948" s="235"/>
      <c r="D9948" s="213"/>
      <c r="E9948" s="226"/>
      <c r="F9948" s="155"/>
      <c r="G9948" s="143"/>
    </row>
    <row r="9949" spans="2:7" s="196" customFormat="1">
      <c r="B9949" s="142"/>
      <c r="C9949" s="235"/>
      <c r="D9949" s="213"/>
      <c r="E9949" s="226"/>
      <c r="F9949" s="155"/>
      <c r="G9949" s="143"/>
    </row>
    <row r="9950" spans="2:7" s="196" customFormat="1">
      <c r="B9950" s="142"/>
      <c r="C9950" s="235"/>
      <c r="D9950" s="213"/>
      <c r="E9950" s="226"/>
      <c r="F9950" s="155"/>
      <c r="G9950" s="143"/>
    </row>
    <row r="9951" spans="2:7" s="196" customFormat="1">
      <c r="B9951" s="142"/>
      <c r="C9951" s="235"/>
      <c r="D9951" s="213"/>
      <c r="E9951" s="226"/>
      <c r="F9951" s="155"/>
      <c r="G9951" s="143"/>
    </row>
    <row r="9952" spans="2:7" s="196" customFormat="1">
      <c r="B9952" s="142"/>
      <c r="C9952" s="235"/>
      <c r="D9952" s="213"/>
      <c r="E9952" s="226"/>
      <c r="F9952" s="155"/>
      <c r="G9952" s="143"/>
    </row>
    <row r="9953" spans="2:7" s="196" customFormat="1">
      <c r="B9953" s="142"/>
      <c r="C9953" s="235"/>
      <c r="D9953" s="213"/>
      <c r="E9953" s="226"/>
      <c r="F9953" s="155"/>
      <c r="G9953" s="143"/>
    </row>
    <row r="9954" spans="2:7" s="196" customFormat="1">
      <c r="B9954" s="142"/>
      <c r="C9954" s="235"/>
      <c r="D9954" s="213"/>
      <c r="E9954" s="226"/>
      <c r="F9954" s="155"/>
      <c r="G9954" s="143"/>
    </row>
    <row r="9955" spans="2:7" s="196" customFormat="1">
      <c r="B9955" s="142"/>
      <c r="C9955" s="235"/>
      <c r="D9955" s="213"/>
      <c r="E9955" s="226"/>
      <c r="F9955" s="155"/>
      <c r="G9955" s="143"/>
    </row>
    <row r="9956" spans="2:7" s="196" customFormat="1">
      <c r="B9956" s="142"/>
      <c r="C9956" s="235"/>
      <c r="D9956" s="213"/>
      <c r="E9956" s="226"/>
      <c r="F9956" s="155"/>
      <c r="G9956" s="143"/>
    </row>
    <row r="9957" spans="2:7" s="196" customFormat="1">
      <c r="B9957" s="142"/>
      <c r="C9957" s="235"/>
      <c r="D9957" s="213"/>
      <c r="E9957" s="226"/>
      <c r="F9957" s="155"/>
      <c r="G9957" s="143"/>
    </row>
    <row r="9958" spans="2:7" s="196" customFormat="1">
      <c r="B9958" s="142"/>
      <c r="C9958" s="235"/>
      <c r="D9958" s="213"/>
      <c r="E9958" s="226"/>
      <c r="F9958" s="155"/>
      <c r="G9958" s="143"/>
    </row>
    <row r="9959" spans="2:7" s="196" customFormat="1">
      <c r="B9959" s="142"/>
      <c r="C9959" s="235"/>
      <c r="D9959" s="213"/>
      <c r="E9959" s="226"/>
      <c r="F9959" s="155"/>
      <c r="G9959" s="143"/>
    </row>
    <row r="9960" spans="2:7" s="196" customFormat="1">
      <c r="B9960" s="142"/>
      <c r="C9960" s="235"/>
      <c r="D9960" s="213"/>
      <c r="E9960" s="226"/>
      <c r="F9960" s="155"/>
      <c r="G9960" s="143"/>
    </row>
    <row r="9961" spans="2:7" s="196" customFormat="1">
      <c r="B9961" s="142"/>
      <c r="C9961" s="235"/>
      <c r="D9961" s="213"/>
      <c r="E9961" s="226"/>
      <c r="F9961" s="155"/>
      <c r="G9961" s="143"/>
    </row>
    <row r="9962" spans="2:7" s="196" customFormat="1">
      <c r="B9962" s="142"/>
      <c r="C9962" s="235"/>
      <c r="D9962" s="213"/>
      <c r="E9962" s="226"/>
      <c r="F9962" s="155"/>
      <c r="G9962" s="143"/>
    </row>
    <row r="9963" spans="2:7" s="196" customFormat="1">
      <c r="B9963" s="142"/>
      <c r="C9963" s="235"/>
      <c r="D9963" s="213"/>
      <c r="E9963" s="226"/>
      <c r="F9963" s="155"/>
      <c r="G9963" s="143"/>
    </row>
    <row r="9964" spans="2:7" s="196" customFormat="1">
      <c r="B9964" s="142"/>
      <c r="C9964" s="235"/>
      <c r="D9964" s="213"/>
      <c r="E9964" s="226"/>
      <c r="F9964" s="155"/>
      <c r="G9964" s="143"/>
    </row>
    <row r="9965" spans="2:7" s="196" customFormat="1">
      <c r="B9965" s="142"/>
      <c r="C9965" s="235"/>
      <c r="D9965" s="213"/>
      <c r="E9965" s="226"/>
      <c r="F9965" s="155"/>
      <c r="G9965" s="143"/>
    </row>
    <row r="9966" spans="2:7" s="196" customFormat="1">
      <c r="B9966" s="142"/>
      <c r="C9966" s="235"/>
      <c r="D9966" s="213"/>
      <c r="E9966" s="226"/>
      <c r="F9966" s="155"/>
      <c r="G9966" s="143"/>
    </row>
    <row r="9967" spans="2:7" s="196" customFormat="1">
      <c r="B9967" s="142"/>
      <c r="C9967" s="235"/>
      <c r="D9967" s="213"/>
      <c r="E9967" s="226"/>
      <c r="F9967" s="155"/>
      <c r="G9967" s="143"/>
    </row>
    <row r="9968" spans="2:7" s="196" customFormat="1">
      <c r="B9968" s="142"/>
      <c r="C9968" s="235"/>
      <c r="D9968" s="213"/>
      <c r="E9968" s="226"/>
      <c r="F9968" s="155"/>
      <c r="G9968" s="143"/>
    </row>
    <row r="9969" spans="2:7" s="196" customFormat="1">
      <c r="B9969" s="142"/>
      <c r="C9969" s="235"/>
      <c r="D9969" s="213"/>
      <c r="E9969" s="226"/>
      <c r="F9969" s="155"/>
      <c r="G9969" s="143"/>
    </row>
    <row r="9970" spans="2:7" s="196" customFormat="1">
      <c r="B9970" s="142"/>
      <c r="C9970" s="235"/>
      <c r="D9970" s="213"/>
      <c r="E9970" s="226"/>
      <c r="F9970" s="155"/>
      <c r="G9970" s="143"/>
    </row>
    <row r="9971" spans="2:7" s="196" customFormat="1">
      <c r="B9971" s="142"/>
      <c r="C9971" s="235"/>
      <c r="D9971" s="213"/>
      <c r="E9971" s="226"/>
      <c r="F9971" s="155"/>
      <c r="G9971" s="143"/>
    </row>
    <row r="9972" spans="2:7" s="196" customFormat="1">
      <c r="B9972" s="142"/>
      <c r="C9972" s="235"/>
      <c r="D9972" s="213"/>
      <c r="E9972" s="226"/>
      <c r="F9972" s="155"/>
      <c r="G9972" s="143"/>
    </row>
    <row r="9973" spans="2:7" s="196" customFormat="1">
      <c r="B9973" s="142"/>
      <c r="C9973" s="235"/>
      <c r="D9973" s="213"/>
      <c r="E9973" s="226"/>
      <c r="F9973" s="155"/>
      <c r="G9973" s="143"/>
    </row>
    <row r="9974" spans="2:7" s="196" customFormat="1">
      <c r="B9974" s="142"/>
      <c r="C9974" s="235"/>
      <c r="D9974" s="213"/>
      <c r="E9974" s="226"/>
      <c r="F9974" s="155"/>
      <c r="G9974" s="143"/>
    </row>
    <row r="9975" spans="2:7" s="196" customFormat="1">
      <c r="B9975" s="142"/>
      <c r="C9975" s="235"/>
      <c r="D9975" s="213"/>
      <c r="E9975" s="226"/>
      <c r="F9975" s="155"/>
      <c r="G9975" s="143"/>
    </row>
    <row r="9976" spans="2:7" s="196" customFormat="1">
      <c r="B9976" s="142"/>
      <c r="C9976" s="235"/>
      <c r="D9976" s="213"/>
      <c r="E9976" s="226"/>
      <c r="F9976" s="155"/>
      <c r="G9976" s="143"/>
    </row>
    <row r="9977" spans="2:7" s="196" customFormat="1">
      <c r="B9977" s="142"/>
      <c r="C9977" s="235"/>
      <c r="D9977" s="213"/>
      <c r="E9977" s="226"/>
      <c r="F9977" s="155"/>
      <c r="G9977" s="143"/>
    </row>
    <row r="9978" spans="2:7" s="196" customFormat="1">
      <c r="B9978" s="142"/>
      <c r="C9978" s="235"/>
      <c r="D9978" s="213"/>
      <c r="E9978" s="226"/>
      <c r="F9978" s="155"/>
      <c r="G9978" s="143"/>
    </row>
    <row r="9979" spans="2:7" s="196" customFormat="1">
      <c r="B9979" s="142"/>
      <c r="C9979" s="235"/>
      <c r="D9979" s="213"/>
      <c r="E9979" s="226"/>
      <c r="F9979" s="155"/>
      <c r="G9979" s="143"/>
    </row>
    <row r="9980" spans="2:7" s="196" customFormat="1">
      <c r="B9980" s="142"/>
      <c r="C9980" s="235"/>
      <c r="D9980" s="213"/>
      <c r="E9980" s="226"/>
      <c r="F9980" s="155"/>
      <c r="G9980" s="143"/>
    </row>
    <row r="9981" spans="2:7" s="196" customFormat="1">
      <c r="B9981" s="142"/>
      <c r="C9981" s="235"/>
      <c r="D9981" s="213"/>
      <c r="E9981" s="226"/>
      <c r="F9981" s="155"/>
      <c r="G9981" s="143"/>
    </row>
    <row r="9982" spans="2:7" s="196" customFormat="1">
      <c r="B9982" s="142"/>
      <c r="C9982" s="235"/>
      <c r="D9982" s="213"/>
      <c r="E9982" s="226"/>
      <c r="F9982" s="155"/>
      <c r="G9982" s="143"/>
    </row>
    <row r="9983" spans="2:7" s="196" customFormat="1">
      <c r="B9983" s="142"/>
      <c r="C9983" s="235"/>
      <c r="D9983" s="213"/>
      <c r="E9983" s="226"/>
      <c r="F9983" s="155"/>
      <c r="G9983" s="143"/>
    </row>
    <row r="9984" spans="2:7" s="196" customFormat="1">
      <c r="B9984" s="142"/>
      <c r="C9984" s="235"/>
      <c r="D9984" s="213"/>
      <c r="E9984" s="226"/>
      <c r="F9984" s="155"/>
      <c r="G9984" s="143"/>
    </row>
    <row r="9985" spans="2:7" s="196" customFormat="1">
      <c r="B9985" s="142"/>
      <c r="C9985" s="235"/>
      <c r="D9985" s="213"/>
      <c r="E9985" s="226"/>
      <c r="F9985" s="155"/>
      <c r="G9985" s="143"/>
    </row>
    <row r="9986" spans="2:7" s="196" customFormat="1">
      <c r="B9986" s="142"/>
      <c r="C9986" s="235"/>
      <c r="D9986" s="213"/>
      <c r="E9986" s="226"/>
      <c r="F9986" s="155"/>
      <c r="G9986" s="143"/>
    </row>
    <row r="9987" spans="2:7" s="196" customFormat="1">
      <c r="B9987" s="142"/>
      <c r="C9987" s="235"/>
      <c r="D9987" s="213"/>
      <c r="E9987" s="226"/>
      <c r="F9987" s="155"/>
      <c r="G9987" s="143"/>
    </row>
    <row r="9988" spans="2:7" s="196" customFormat="1">
      <c r="B9988" s="142"/>
      <c r="C9988" s="235"/>
      <c r="D9988" s="213"/>
      <c r="E9988" s="226"/>
      <c r="F9988" s="155"/>
      <c r="G9988" s="143"/>
    </row>
    <row r="9989" spans="2:7" s="196" customFormat="1">
      <c r="B9989" s="142"/>
      <c r="C9989" s="235"/>
      <c r="D9989" s="213"/>
      <c r="E9989" s="226"/>
      <c r="F9989" s="155"/>
      <c r="G9989" s="143"/>
    </row>
    <row r="9990" spans="2:7" s="196" customFormat="1">
      <c r="B9990" s="142"/>
      <c r="C9990" s="235"/>
      <c r="D9990" s="213"/>
      <c r="E9990" s="226"/>
      <c r="F9990" s="155"/>
      <c r="G9990" s="143"/>
    </row>
    <row r="9991" spans="2:7" s="196" customFormat="1">
      <c r="B9991" s="142"/>
      <c r="C9991" s="235"/>
      <c r="D9991" s="213"/>
      <c r="E9991" s="226"/>
      <c r="F9991" s="155"/>
      <c r="G9991" s="143"/>
    </row>
    <row r="9992" spans="2:7" s="196" customFormat="1">
      <c r="B9992" s="142"/>
      <c r="C9992" s="235"/>
      <c r="D9992" s="213"/>
      <c r="E9992" s="226"/>
      <c r="F9992" s="155"/>
      <c r="G9992" s="143"/>
    </row>
    <row r="9993" spans="2:7" s="196" customFormat="1">
      <c r="B9993" s="142"/>
      <c r="C9993" s="235"/>
      <c r="D9993" s="213"/>
      <c r="E9993" s="226"/>
      <c r="F9993" s="155"/>
      <c r="G9993" s="143"/>
    </row>
    <row r="9994" spans="2:7" s="196" customFormat="1">
      <c r="B9994" s="142"/>
      <c r="C9994" s="235"/>
      <c r="D9994" s="213"/>
      <c r="E9994" s="226"/>
      <c r="F9994" s="155"/>
      <c r="G9994" s="143"/>
    </row>
    <row r="9995" spans="2:7" s="196" customFormat="1">
      <c r="B9995" s="142"/>
      <c r="C9995" s="235"/>
      <c r="D9995" s="213"/>
      <c r="E9995" s="226"/>
      <c r="F9995" s="155"/>
      <c r="G9995" s="143"/>
    </row>
    <row r="9996" spans="2:7" s="196" customFormat="1">
      <c r="B9996" s="142"/>
      <c r="C9996" s="235"/>
      <c r="D9996" s="213"/>
      <c r="E9996" s="226"/>
      <c r="F9996" s="155"/>
      <c r="G9996" s="143"/>
    </row>
    <row r="9997" spans="2:7" s="196" customFormat="1">
      <c r="B9997" s="142"/>
      <c r="C9997" s="235"/>
      <c r="D9997" s="213"/>
      <c r="E9997" s="226"/>
      <c r="F9997" s="155"/>
      <c r="G9997" s="143"/>
    </row>
    <row r="9998" spans="2:7" s="196" customFormat="1">
      <c r="B9998" s="142"/>
      <c r="C9998" s="235"/>
      <c r="D9998" s="213"/>
      <c r="E9998" s="226"/>
      <c r="F9998" s="155"/>
      <c r="G9998" s="143"/>
    </row>
    <row r="9999" spans="2:7" s="196" customFormat="1">
      <c r="B9999" s="142"/>
      <c r="C9999" s="235"/>
      <c r="D9999" s="213"/>
      <c r="E9999" s="226"/>
      <c r="F9999" s="155"/>
      <c r="G9999" s="143"/>
    </row>
    <row r="10000" spans="2:7" s="196" customFormat="1">
      <c r="B10000" s="142"/>
      <c r="C10000" s="235"/>
      <c r="D10000" s="213"/>
      <c r="E10000" s="226"/>
      <c r="F10000" s="155"/>
      <c r="G10000" s="143"/>
    </row>
    <row r="10001" spans="2:7" s="196" customFormat="1">
      <c r="B10001" s="142"/>
      <c r="C10001" s="235"/>
      <c r="D10001" s="213"/>
      <c r="E10001" s="226"/>
      <c r="F10001" s="155"/>
      <c r="G10001" s="143"/>
    </row>
    <row r="10002" spans="2:7" s="196" customFormat="1">
      <c r="B10002" s="142"/>
      <c r="C10002" s="235"/>
      <c r="D10002" s="213"/>
      <c r="E10002" s="226"/>
      <c r="F10002" s="155"/>
      <c r="G10002" s="143"/>
    </row>
    <row r="10003" spans="2:7" s="196" customFormat="1">
      <c r="B10003" s="142"/>
      <c r="C10003" s="235"/>
      <c r="D10003" s="213"/>
      <c r="E10003" s="226"/>
      <c r="F10003" s="155"/>
      <c r="G10003" s="143"/>
    </row>
    <row r="10004" spans="2:7" s="196" customFormat="1">
      <c r="B10004" s="142"/>
      <c r="C10004" s="235"/>
      <c r="D10004" s="213"/>
      <c r="E10004" s="226"/>
      <c r="F10004" s="155"/>
      <c r="G10004" s="143"/>
    </row>
    <row r="10005" spans="2:7" s="196" customFormat="1">
      <c r="B10005" s="142"/>
      <c r="C10005" s="235"/>
      <c r="D10005" s="213"/>
      <c r="E10005" s="226"/>
      <c r="F10005" s="155"/>
      <c r="G10005" s="143"/>
    </row>
    <row r="10006" spans="2:7" s="196" customFormat="1">
      <c r="B10006" s="142"/>
      <c r="C10006" s="235"/>
      <c r="D10006" s="213"/>
      <c r="E10006" s="226"/>
      <c r="F10006" s="155"/>
      <c r="G10006" s="143"/>
    </row>
    <row r="10007" spans="2:7" s="196" customFormat="1">
      <c r="B10007" s="142"/>
      <c r="C10007" s="235"/>
      <c r="D10007" s="213"/>
      <c r="E10007" s="226"/>
      <c r="F10007" s="155"/>
      <c r="G10007" s="143"/>
    </row>
    <row r="10008" spans="2:7" s="196" customFormat="1">
      <c r="B10008" s="142"/>
      <c r="C10008" s="235"/>
      <c r="D10008" s="213"/>
      <c r="E10008" s="226"/>
      <c r="F10008" s="155"/>
      <c r="G10008" s="143"/>
    </row>
    <row r="10009" spans="2:7" s="196" customFormat="1">
      <c r="B10009" s="142"/>
      <c r="C10009" s="235"/>
      <c r="D10009" s="213"/>
      <c r="E10009" s="226"/>
      <c r="F10009" s="155"/>
      <c r="G10009" s="143"/>
    </row>
    <row r="10010" spans="2:7" s="196" customFormat="1">
      <c r="B10010" s="142"/>
      <c r="C10010" s="235"/>
      <c r="D10010" s="213"/>
      <c r="E10010" s="226"/>
      <c r="F10010" s="155"/>
      <c r="G10010" s="143"/>
    </row>
    <row r="10011" spans="2:7" s="196" customFormat="1">
      <c r="B10011" s="142"/>
      <c r="C10011" s="235"/>
      <c r="D10011" s="213"/>
      <c r="E10011" s="226"/>
      <c r="F10011" s="155"/>
      <c r="G10011" s="143"/>
    </row>
    <row r="10012" spans="2:7" s="196" customFormat="1">
      <c r="B10012" s="142"/>
      <c r="C10012" s="235"/>
      <c r="D10012" s="213"/>
      <c r="E10012" s="226"/>
      <c r="F10012" s="155"/>
      <c r="G10012" s="143"/>
    </row>
    <row r="10013" spans="2:7" s="196" customFormat="1">
      <c r="B10013" s="142"/>
      <c r="C10013" s="235"/>
      <c r="D10013" s="213"/>
      <c r="E10013" s="226"/>
      <c r="F10013" s="155"/>
      <c r="G10013" s="143"/>
    </row>
    <row r="10014" spans="2:7" s="196" customFormat="1">
      <c r="B10014" s="142"/>
      <c r="C10014" s="235"/>
      <c r="D10014" s="213"/>
      <c r="E10014" s="226"/>
      <c r="F10014" s="155"/>
      <c r="G10014" s="143"/>
    </row>
    <row r="10015" spans="2:7" s="196" customFormat="1">
      <c r="B10015" s="142"/>
      <c r="C10015" s="235"/>
      <c r="D10015" s="213"/>
      <c r="E10015" s="226"/>
      <c r="F10015" s="155"/>
      <c r="G10015" s="143"/>
    </row>
    <row r="10016" spans="2:7" s="196" customFormat="1">
      <c r="B10016" s="142"/>
      <c r="C10016" s="235"/>
      <c r="D10016" s="213"/>
      <c r="E10016" s="226"/>
      <c r="F10016" s="155"/>
      <c r="G10016" s="143"/>
    </row>
    <row r="10017" spans="2:7" s="196" customFormat="1">
      <c r="B10017" s="142"/>
      <c r="C10017" s="235"/>
      <c r="D10017" s="213"/>
      <c r="E10017" s="226"/>
      <c r="F10017" s="155"/>
      <c r="G10017" s="143"/>
    </row>
    <row r="10018" spans="2:7" s="196" customFormat="1">
      <c r="B10018" s="142"/>
      <c r="C10018" s="235"/>
      <c r="D10018" s="213"/>
      <c r="E10018" s="226"/>
      <c r="F10018" s="155"/>
      <c r="G10018" s="143"/>
    </row>
    <row r="10019" spans="2:7" s="196" customFormat="1">
      <c r="B10019" s="142"/>
      <c r="C10019" s="235"/>
      <c r="D10019" s="213"/>
      <c r="E10019" s="226"/>
      <c r="F10019" s="155"/>
      <c r="G10019" s="143"/>
    </row>
    <row r="10020" spans="2:7" s="196" customFormat="1">
      <c r="B10020" s="142"/>
      <c r="C10020" s="235"/>
      <c r="D10020" s="213"/>
      <c r="E10020" s="226"/>
      <c r="F10020" s="155"/>
      <c r="G10020" s="143"/>
    </row>
    <row r="10021" spans="2:7" s="196" customFormat="1">
      <c r="B10021" s="142"/>
      <c r="C10021" s="235"/>
      <c r="D10021" s="213"/>
      <c r="E10021" s="226"/>
      <c r="F10021" s="155"/>
      <c r="G10021" s="143"/>
    </row>
    <row r="10022" spans="2:7" s="196" customFormat="1">
      <c r="B10022" s="142"/>
      <c r="C10022" s="235"/>
      <c r="D10022" s="213"/>
      <c r="E10022" s="226"/>
      <c r="F10022" s="155"/>
      <c r="G10022" s="143"/>
    </row>
    <row r="10023" spans="2:7" s="196" customFormat="1">
      <c r="B10023" s="142"/>
      <c r="C10023" s="235"/>
      <c r="D10023" s="213"/>
      <c r="E10023" s="226"/>
      <c r="F10023" s="155"/>
      <c r="G10023" s="143"/>
    </row>
  </sheetData>
  <autoFilter ref="B19:K8026" xr:uid="{00000000-0009-0000-0000-000001000000}"/>
  <mergeCells count="9">
    <mergeCell ref="B7199:D7201"/>
    <mergeCell ref="B7235:D7237"/>
    <mergeCell ref="B7244:D7246"/>
    <mergeCell ref="D14:E14"/>
    <mergeCell ref="A4289:A4294"/>
    <mergeCell ref="B5046:B5047"/>
    <mergeCell ref="B7005:D7007"/>
    <mergeCell ref="B7141:D7143"/>
    <mergeCell ref="B7185:D7187"/>
  </mergeCells>
  <phoneticPr fontId="27" type="noConversion"/>
  <conditionalFormatting sqref="D16:D18">
    <cfRule type="expression" dxfId="186" priority="15638">
      <formula>dol_sol="soles"</formula>
    </cfRule>
  </conditionalFormatting>
  <conditionalFormatting sqref="G14">
    <cfRule type="expression" dxfId="185" priority="13594">
      <formula>$D$14&lt;&gt;"Fijo proyectado"</formula>
    </cfRule>
  </conditionalFormatting>
  <conditionalFormatting sqref="C7:F8">
    <cfRule type="expression" dxfId="184" priority="11821">
      <formula>C7&gt;0</formula>
    </cfRule>
  </conditionalFormatting>
  <conditionalFormatting sqref="D21">
    <cfRule type="expression" dxfId="183" priority="11376">
      <formula>dol_sol="soles"</formula>
    </cfRule>
  </conditionalFormatting>
  <conditionalFormatting sqref="C11:F11">
    <cfRule type="expression" dxfId="182" priority="11374">
      <formula>C11&gt;0</formula>
    </cfRule>
  </conditionalFormatting>
  <conditionalFormatting sqref="C9:F9">
    <cfRule type="expression" dxfId="181" priority="7761">
      <formula>C9&gt;0</formula>
    </cfRule>
  </conditionalFormatting>
  <conditionalFormatting sqref="C10:F10">
    <cfRule type="expression" dxfId="180" priority="7372">
      <formula>C10&gt;0</formula>
    </cfRule>
  </conditionalFormatting>
  <conditionalFormatting sqref="D4307:D4308 D5693:D5704 D547 D2349 D2405:D2423 D127:D134 D171:D178 D1861 D2224:D2233 D2243:D2251 D3225:D3228 D580 D137:D138 D181 D4283 D1285 D1924:D1926 D1938:D1939 D1067:D1070 D1150:D1161 D1171 D423:D442 D421 D2390:D2391 D2395 D2398:D2399 D2367:D2374 D2365 D2596 D2604:D2605 D2624:D2642 D2614 D1960 D2542 D2533 D1511:D1512 D1856 D389:D404 D345:D373 D379:D381 D2286:D2324 D2545:D2547 D26:D33 D36:D52 D524 D1671:D1674 D1829:D1831 D1189 D743:D789 D567:D570 D6625 D6628:D6630 D6632 D6636:D6637 D2328:D2338 D1657:D1662 D1664:D1668 D1337 D1438:D1443 D1433 D1419:D1421 D1425 D1423 D1585 D1339:D1341 D2236:D2241 D2254:D2258 D1300:D1307 D572 D558:D561 D1091 D1589:D1590 D1651:D1655 D1431 D1395 D2340 D1386:D1391 D638:D652 D1595:D1598 D1320 D1863:D1868 D299 D1384 D1417 D1415 D1467:D1473 D1889 D1103:D1113 D1576:D1580 D1288:D1291 D223:D230 D92:D99 D2728 D1241:D1258 D1765:D1770 D1621 D1487:D1488 D1023:D1032 D553:D554 D5721:D5724 D1038 D888:D914 D1012:D1021 D998:D1002 D1004:D1008 D1787 D1627:D1633 D511 D1212 D1271 D1276 D1696 D1704 D1537 D1548:D1549 D1824 D1847 D1963:D1966 D1942:D1943 D1610 D2119:D2120 D1970:D1985 D1715:D1723 D1826 D1587 D1557 D2660:D2661 D476:D480 D78:D79 D1504 D70:D71 D2387:D2388 D1754 D290:D291 D521 D2138:D2144 D2171:D2172 D2175:D2176 D1542:D1544 D1497:D1499 D1120:D1133 D1136:D1145 D1894:D1896 D1516 D1531 D1842 D1551:D1552 D1533:D1535 D1568:D1571 D1522 D1526:D1527 D1524 D1216:D1236 D1490:D1491 D1680:D1684 D1687:D1692 D1520 D1819:D1821 D2198:D2210 D585:D598 D2745 D2807:D2808 D2820 D931 D916:D928 D183:D198 D220:D221 D140 D142:D150 D240 D208:D218 D152:D159 D1493 D505:D507 D1834:D1835 D1840 D308 D242:D250 D1559:D1562 D2607 D1899 D2448:D2449 D2454 D1795 D2353:D2359 D1751 D657:D671 D673:D684 D687:D697 D737 D700:D711 D713:D724 D2586:D2594 D2550:D2575 D2577:D2582 D601 D807 D1602 D1604:D1608 D1482:D1484 D1745:D1746 D1478 D1194 D797:D803 D933:D942 D1727:D1743 D1905:D1907 D1930:D1931 D1934:D1935 D1992:D2010 D2842 D2844 D1901:D1903 D1351:D1355 D7004 D4302 D452:D453 D1555 D2216:D2222 D5717:D5718 D1807 D6578:D6579 D6618:D6620 D6591 D310:D327 D501:D503 D810:D883 D960:D968 D2188:D2193 D1397:D1402 D605:D623 D1945 D2664:D2666 D2998:D3000 D2647:D2657 D1789:D1793 D1435:D1436 D1330:D1331 D1333 D1349 D1323:D1326 D980:D981 D110:D113 D1600 D563:D564 D1774:D1780 D2381 D1748 D4304 D4288:D4296 D1041:D1061 D1345:D1346 D1850:D1853 D1427:D1429 D1309:D1316 D1404 D984 D1783 D1357:D1359 D2584 D1815:D1817 D1328 D445:D449 D1810 D1797 D1812 D1800 D1802 D5726:D5728 D1264:D1267 D1546 D1501:D1502 D1564:D1566 D625:D628 D375:D377 D654:D655 D1506 D1508 D1514 D1948:D1956 D1639:D1640 D946:D958 D464:D473">
    <cfRule type="expression" dxfId="179" priority="178">
      <formula>dol_sol="soles"</formula>
    </cfRule>
  </conditionalFormatting>
  <conditionalFormatting sqref="C89 C123 C169">
    <cfRule type="cellIs" dxfId="178" priority="177" operator="equal">
      <formula>"Consultar"</formula>
    </cfRule>
  </conditionalFormatting>
  <conditionalFormatting sqref="D1773">
    <cfRule type="expression" dxfId="177" priority="176">
      <formula>dol_sol="soles"</formula>
    </cfRule>
  </conditionalFormatting>
  <conditionalFormatting sqref="D2351">
    <cfRule type="expression" dxfId="176" priority="175">
      <formula>dol_sol="soles"</formula>
    </cfRule>
  </conditionalFormatting>
  <conditionalFormatting sqref="D2196:D2197">
    <cfRule type="expression" dxfId="175" priority="174">
      <formula>dol_sol="soles"</formula>
    </cfRule>
  </conditionalFormatting>
  <conditionalFormatting sqref="D656">
    <cfRule type="expression" dxfId="174" priority="173">
      <formula>dol_sol="soles"</formula>
    </cfRule>
  </conditionalFormatting>
  <conditionalFormatting sqref="D672">
    <cfRule type="expression" dxfId="173" priority="172">
      <formula>dol_sol="soles"</formula>
    </cfRule>
  </conditionalFormatting>
  <conditionalFormatting sqref="D685">
    <cfRule type="expression" dxfId="172" priority="171">
      <formula>dol_sol="soles"</formula>
    </cfRule>
  </conditionalFormatting>
  <conditionalFormatting sqref="D686">
    <cfRule type="expression" dxfId="171" priority="170">
      <formula>dol_sol="soles"</formula>
    </cfRule>
  </conditionalFormatting>
  <conditionalFormatting sqref="D699">
    <cfRule type="expression" dxfId="170" priority="169">
      <formula>dol_sol="soles"</formula>
    </cfRule>
  </conditionalFormatting>
  <conditionalFormatting sqref="D712">
    <cfRule type="expression" dxfId="169" priority="168">
      <formula>dol_sol="soles"</formula>
    </cfRule>
  </conditionalFormatting>
  <conditionalFormatting sqref="D599">
    <cfRule type="expression" dxfId="168" priority="167">
      <formula>dol_sol="soles"</formula>
    </cfRule>
  </conditionalFormatting>
  <conditionalFormatting sqref="D600">
    <cfRule type="expression" dxfId="167" priority="166">
      <formula>dol_sol="soles"</formula>
    </cfRule>
  </conditionalFormatting>
  <conditionalFormatting sqref="D804">
    <cfRule type="expression" dxfId="166" priority="165">
      <formula>dol_sol="soles"</formula>
    </cfRule>
  </conditionalFormatting>
  <conditionalFormatting sqref="D1601">
    <cfRule type="expression" dxfId="165" priority="164">
      <formula>dol_sol="soles"</formula>
    </cfRule>
  </conditionalFormatting>
  <conditionalFormatting sqref="D1603">
    <cfRule type="expression" dxfId="164" priority="163">
      <formula>dol_sol="soles"</formula>
    </cfRule>
  </conditionalFormatting>
  <conditionalFormatting sqref="D1744">
    <cfRule type="expression" dxfId="163" priority="162">
      <formula>dol_sol="soles"</formula>
    </cfRule>
  </conditionalFormatting>
  <conditionalFormatting sqref="D1474">
    <cfRule type="expression" dxfId="162" priority="161">
      <formula>dol_sol="soles"</formula>
    </cfRule>
  </conditionalFormatting>
  <conditionalFormatting sqref="D2643">
    <cfRule type="expression" dxfId="161" priority="160">
      <formula>dol_sol="soles"</formula>
    </cfRule>
  </conditionalFormatting>
  <conditionalFormatting sqref="D2645">
    <cfRule type="expression" dxfId="160" priority="159">
      <formula>dol_sol="soles"</formula>
    </cfRule>
  </conditionalFormatting>
  <conditionalFormatting sqref="D2644">
    <cfRule type="expression" dxfId="159" priority="158">
      <formula>dol_sol="soles"</formula>
    </cfRule>
  </conditionalFormatting>
  <conditionalFormatting sqref="D1190">
    <cfRule type="expression" dxfId="158" priority="157">
      <formula>dol_sol="soles"</formula>
    </cfRule>
  </conditionalFormatting>
  <conditionalFormatting sqref="D790 D792">
    <cfRule type="expression" dxfId="157" priority="156">
      <formula>dol_sol="soles"</formula>
    </cfRule>
  </conditionalFormatting>
  <conditionalFormatting sqref="D791">
    <cfRule type="expression" dxfId="156" priority="155">
      <formula>dol_sol="soles"</formula>
    </cfRule>
  </conditionalFormatting>
  <conditionalFormatting sqref="D793">
    <cfRule type="expression" dxfId="155" priority="154">
      <formula>dol_sol="soles"</formula>
    </cfRule>
  </conditionalFormatting>
  <conditionalFormatting sqref="D6653:D6655">
    <cfRule type="expression" dxfId="154" priority="153">
      <formula>dol_sol="soles"</formula>
    </cfRule>
  </conditionalFormatting>
  <conditionalFormatting sqref="D932">
    <cfRule type="expression" dxfId="153" priority="152">
      <formula>dol_sol="soles"</formula>
    </cfRule>
  </conditionalFormatting>
  <conditionalFormatting sqref="D1928:D1929">
    <cfRule type="expression" dxfId="152" priority="151">
      <formula>dol_sol="soles"</formula>
    </cfRule>
  </conditionalFormatting>
  <conditionalFormatting sqref="D1908:D1909">
    <cfRule type="expression" dxfId="151" priority="150">
      <formula>dol_sol="soles"</formula>
    </cfRule>
  </conditionalFormatting>
  <conditionalFormatting sqref="D1933">
    <cfRule type="expression" dxfId="150" priority="149">
      <formula>dol_sol="soles"</formula>
    </cfRule>
  </conditionalFormatting>
  <conditionalFormatting sqref="D1837">
    <cfRule type="expression" dxfId="149" priority="148">
      <formula>dol_sol="soles"</formula>
    </cfRule>
  </conditionalFormatting>
  <conditionalFormatting sqref="D455 D459">
    <cfRule type="expression" dxfId="148" priority="147">
      <formula>dol_sol="soles"</formula>
    </cfRule>
  </conditionalFormatting>
  <conditionalFormatting sqref="D456">
    <cfRule type="expression" dxfId="147" priority="146">
      <formula>dol_sol="soles"</formula>
    </cfRule>
  </conditionalFormatting>
  <conditionalFormatting sqref="D458">
    <cfRule type="expression" dxfId="146" priority="145">
      <formula>dol_sol="soles"</formula>
    </cfRule>
  </conditionalFormatting>
  <conditionalFormatting sqref="D457">
    <cfRule type="expression" dxfId="145" priority="144">
      <formula>dol_sol="soles"</formula>
    </cfRule>
  </conditionalFormatting>
  <conditionalFormatting sqref="D1904">
    <cfRule type="expression" dxfId="144" priority="143">
      <formula>dol_sol="soles"</formula>
    </cfRule>
  </conditionalFormatting>
  <conditionalFormatting sqref="D2134">
    <cfRule type="expression" dxfId="143" priority="142">
      <formula>dol_sol="soles"</formula>
    </cfRule>
  </conditionalFormatting>
  <conditionalFormatting sqref="D1927">
    <cfRule type="expression" dxfId="142" priority="141">
      <formula>dol_sol="soles"</formula>
    </cfRule>
  </conditionalFormatting>
  <conditionalFormatting sqref="D1932">
    <cfRule type="expression" dxfId="141" priority="140">
      <formula>dol_sol="soles"</formula>
    </cfRule>
  </conditionalFormatting>
  <conditionalFormatting sqref="D1991">
    <cfRule type="expression" dxfId="140" priority="139">
      <formula>dol_sol="soles"</formula>
    </cfRule>
  </conditionalFormatting>
  <conditionalFormatting sqref="D1990">
    <cfRule type="expression" dxfId="139" priority="138">
      <formula>dol_sol="soles"</formula>
    </cfRule>
  </conditionalFormatting>
  <conditionalFormatting sqref="D1987">
    <cfRule type="expression" dxfId="138" priority="137">
      <formula>dol_sol="soles"</formula>
    </cfRule>
  </conditionalFormatting>
  <conditionalFormatting sqref="D2836">
    <cfRule type="expression" dxfId="137" priority="136">
      <formula>dol_sol="soles"</formula>
    </cfRule>
  </conditionalFormatting>
  <conditionalFormatting sqref="D2838">
    <cfRule type="expression" dxfId="136" priority="135">
      <formula>dol_sol="soles"</formula>
    </cfRule>
  </conditionalFormatting>
  <conditionalFormatting sqref="D2837">
    <cfRule type="expression" dxfId="135" priority="134">
      <formula>dol_sol="soles"</formula>
    </cfRule>
  </conditionalFormatting>
  <conditionalFormatting sqref="D2839">
    <cfRule type="expression" dxfId="134" priority="133">
      <formula>dol_sol="soles"</formula>
    </cfRule>
  </conditionalFormatting>
  <conditionalFormatting sqref="D2841">
    <cfRule type="expression" dxfId="133" priority="132">
      <formula>dol_sol="soles"</formula>
    </cfRule>
  </conditionalFormatting>
  <conditionalFormatting sqref="D2620:D2622">
    <cfRule type="expression" dxfId="132" priority="131">
      <formula>dol_sol="soles"</formula>
    </cfRule>
  </conditionalFormatting>
  <conditionalFormatting sqref="D2840">
    <cfRule type="expression" dxfId="131" priority="130">
      <formula>dol_sol="soles"</formula>
    </cfRule>
  </conditionalFormatting>
  <conditionalFormatting sqref="D1898">
    <cfRule type="expression" dxfId="130" priority="129">
      <formula>dol_sol="soles"</formula>
    </cfRule>
  </conditionalFormatting>
  <conditionalFormatting sqref="D1900">
    <cfRule type="expression" dxfId="129" priority="128">
      <formula>dol_sol="soles"</formula>
    </cfRule>
  </conditionalFormatting>
  <conditionalFormatting sqref="D460:D462">
    <cfRule type="expression" dxfId="128" priority="127">
      <formula>dol_sol="soles"</formula>
    </cfRule>
  </conditionalFormatting>
  <conditionalFormatting sqref="D463">
    <cfRule type="expression" dxfId="127" priority="126">
      <formula>dol_sol="soles"</formula>
    </cfRule>
  </conditionalFormatting>
  <conditionalFormatting sqref="D4489">
    <cfRule type="expression" dxfId="126" priority="125">
      <formula>dol_sol="soles"</formula>
    </cfRule>
  </conditionalFormatting>
  <conditionalFormatting sqref="D450">
    <cfRule type="expression" dxfId="125" priority="124">
      <formula>dol_sol="soles"</formula>
    </cfRule>
  </conditionalFormatting>
  <conditionalFormatting sqref="D451">
    <cfRule type="expression" dxfId="124" priority="123">
      <formula>dol_sol="soles"</formula>
    </cfRule>
  </conditionalFormatting>
  <conditionalFormatting sqref="D1553">
    <cfRule type="expression" dxfId="123" priority="122">
      <formula>dol_sol="soles"</formula>
    </cfRule>
  </conditionalFormatting>
  <conditionalFormatting sqref="D2211:D2215">
    <cfRule type="expression" dxfId="122" priority="121">
      <formula>dol_sol="soles"</formula>
    </cfRule>
  </conditionalFormatting>
  <conditionalFormatting sqref="D1806">
    <cfRule type="expression" dxfId="121" priority="119">
      <formula>dol_sol="soles"</formula>
    </cfRule>
  </conditionalFormatting>
  <conditionalFormatting sqref="D1803">
    <cfRule type="expression" dxfId="120" priority="120">
      <formula>dol_sol="soles"</formula>
    </cfRule>
  </conditionalFormatting>
  <conditionalFormatting sqref="D309">
    <cfRule type="expression" dxfId="119" priority="118">
      <formula>dol_sol="soles"</formula>
    </cfRule>
  </conditionalFormatting>
  <conditionalFormatting sqref="D1396">
    <cfRule type="expression" dxfId="118" priority="117">
      <formula>dol_sol="soles"</formula>
    </cfRule>
  </conditionalFormatting>
  <conditionalFormatting sqref="D2393">
    <cfRule type="expression" dxfId="117" priority="116">
      <formula>dol_sol="soles"</formula>
    </cfRule>
  </conditionalFormatting>
  <conditionalFormatting sqref="D1788">
    <cfRule type="expression" dxfId="116" priority="115">
      <formula>dol_sol="soles"</formula>
    </cfRule>
  </conditionalFormatting>
  <conditionalFormatting sqref="D1434">
    <cfRule type="expression" dxfId="115" priority="114">
      <formula>dol_sol="soles"</formula>
    </cfRule>
  </conditionalFormatting>
  <conditionalFormatting sqref="D1329">
    <cfRule type="expression" dxfId="114" priority="113">
      <formula>dol_sol="soles"</formula>
    </cfRule>
  </conditionalFormatting>
  <conditionalFormatting sqref="D1332">
    <cfRule type="expression" dxfId="113" priority="112">
      <formula>dol_sol="soles"</formula>
    </cfRule>
  </conditionalFormatting>
  <conditionalFormatting sqref="D4297:D4300">
    <cfRule type="expression" dxfId="112" priority="111">
      <formula>dol_sol="soles"</formula>
    </cfRule>
  </conditionalFormatting>
  <conditionalFormatting sqref="D969:D979">
    <cfRule type="expression" dxfId="111" priority="110">
      <formula>dol_sol="soles"</formula>
    </cfRule>
  </conditionalFormatting>
  <conditionalFormatting sqref="D1074:D1077">
    <cfRule type="expression" dxfId="110" priority="109">
      <formula>dol_sol="soles"</formula>
    </cfRule>
  </conditionalFormatting>
  <conditionalFormatting sqref="D546">
    <cfRule type="expression" dxfId="109" priority="108">
      <formula>dol_sol="soles"</formula>
    </cfRule>
  </conditionalFormatting>
  <conditionalFormatting sqref="D2394">
    <cfRule type="expression" dxfId="108" priority="107">
      <formula>dol_sol="soles"</formula>
    </cfRule>
  </conditionalFormatting>
  <conditionalFormatting sqref="D100 D102:D109">
    <cfRule type="expression" dxfId="107" priority="106">
      <formula>dol_sol="soles"</formula>
    </cfRule>
  </conditionalFormatting>
  <conditionalFormatting sqref="D1612 D1616">
    <cfRule type="expression" dxfId="106" priority="105">
      <formula>dol_sol="soles"</formula>
    </cfRule>
  </conditionalFormatting>
  <conditionalFormatting sqref="D1611">
    <cfRule type="expression" dxfId="105" priority="104">
      <formula>dol_sol="soles"</formula>
    </cfRule>
  </conditionalFormatting>
  <conditionalFormatting sqref="D1599">
    <cfRule type="expression" dxfId="104" priority="103">
      <formula>dol_sol="soles"</formula>
    </cfRule>
  </conditionalFormatting>
  <conditionalFormatting sqref="D562">
    <cfRule type="expression" dxfId="103" priority="102">
      <formula>dol_sol="soles"</formula>
    </cfRule>
  </conditionalFormatting>
  <conditionalFormatting sqref="D517">
    <cfRule type="expression" dxfId="102" priority="101">
      <formula>dol_sol="soles"</formula>
    </cfRule>
  </conditionalFormatting>
  <conditionalFormatting sqref="D796">
    <cfRule type="expression" dxfId="101" priority="100">
      <formula>dol_sol="soles"</formula>
    </cfRule>
  </conditionalFormatting>
  <conditionalFormatting sqref="D794">
    <cfRule type="expression" dxfId="100" priority="99">
      <formula>dol_sol="soles"</formula>
    </cfRule>
  </conditionalFormatting>
  <conditionalFormatting sqref="D795">
    <cfRule type="expression" dxfId="99" priority="98">
      <formula>dol_sol="soles"</formula>
    </cfRule>
  </conditionalFormatting>
  <conditionalFormatting sqref="D2377">
    <cfRule type="expression" dxfId="98" priority="97">
      <formula>dol_sol="soles"</formula>
    </cfRule>
  </conditionalFormatting>
  <conditionalFormatting sqref="D2380">
    <cfRule type="expression" dxfId="97" priority="96">
      <formula>dol_sol="soles"</formula>
    </cfRule>
  </conditionalFormatting>
  <conditionalFormatting sqref="D2379">
    <cfRule type="expression" dxfId="96" priority="95">
      <formula>dol_sol="soles"</formula>
    </cfRule>
  </conditionalFormatting>
  <conditionalFormatting sqref="D1747">
    <cfRule type="expression" dxfId="95" priority="94">
      <formula>dol_sol="soles"</formula>
    </cfRule>
  </conditionalFormatting>
  <conditionalFormatting sqref="D2383">
    <cfRule type="expression" dxfId="94" priority="93">
      <formula>dol_sol="soles"</formula>
    </cfRule>
  </conditionalFormatting>
  <conditionalFormatting sqref="D2382">
    <cfRule type="expression" dxfId="93" priority="92">
      <formula>dol_sol="soles"</formula>
    </cfRule>
  </conditionalFormatting>
  <conditionalFormatting sqref="D5720">
    <cfRule type="expression" dxfId="92" priority="91">
      <formula>dol_sol="soles"</formula>
    </cfRule>
  </conditionalFormatting>
  <conditionalFormatting sqref="D4303">
    <cfRule type="expression" dxfId="91" priority="90">
      <formula>dol_sol="soles"</formula>
    </cfRule>
  </conditionalFormatting>
  <conditionalFormatting sqref="D1011">
    <cfRule type="expression" dxfId="90" priority="89">
      <formula>dol_sol="soles"</formula>
    </cfRule>
  </conditionalFormatting>
  <conditionalFormatting sqref="D1010">
    <cfRule type="expression" dxfId="89" priority="88">
      <formula>dol_sol="soles"</formula>
    </cfRule>
  </conditionalFormatting>
  <conditionalFormatting sqref="D1040">
    <cfRule type="expression" dxfId="88" priority="87">
      <formula>dol_sol="soles"</formula>
    </cfRule>
  </conditionalFormatting>
  <conditionalFormatting sqref="D1039">
    <cfRule type="expression" dxfId="87" priority="86">
      <formula>dol_sol="soles"</formula>
    </cfRule>
  </conditionalFormatting>
  <conditionalFormatting sqref="D1344">
    <cfRule type="expression" dxfId="86" priority="85">
      <formula>dol_sol="soles"</formula>
    </cfRule>
  </conditionalFormatting>
  <conditionalFormatting sqref="D1849">
    <cfRule type="expression" dxfId="85" priority="84">
      <formula>dol_sol="soles"</formula>
    </cfRule>
  </conditionalFormatting>
  <conditionalFormatting sqref="D1848">
    <cfRule type="expression" dxfId="84" priority="83">
      <formula>dol_sol="soles"</formula>
    </cfRule>
  </conditionalFormatting>
  <conditionalFormatting sqref="D1613">
    <cfRule type="expression" dxfId="83" priority="82">
      <formula>dol_sol="soles"</formula>
    </cfRule>
  </conditionalFormatting>
  <conditionalFormatting sqref="D1615">
    <cfRule type="expression" dxfId="82" priority="81">
      <formula>dol_sol="soles"</formula>
    </cfRule>
  </conditionalFormatting>
  <conditionalFormatting sqref="D1426">
    <cfRule type="expression" dxfId="81" priority="80">
      <formula>dol_sol="soles"</formula>
    </cfRule>
  </conditionalFormatting>
  <conditionalFormatting sqref="D1308">
    <cfRule type="expression" dxfId="80" priority="79">
      <formula>dol_sol="soles"</formula>
    </cfRule>
  </conditionalFormatting>
  <conditionalFormatting sqref="D982:D983">
    <cfRule type="expression" dxfId="79" priority="78">
      <formula>dol_sol="soles"</formula>
    </cfRule>
  </conditionalFormatting>
  <conditionalFormatting sqref="D1781">
    <cfRule type="expression" dxfId="78" priority="77">
      <formula>dol_sol="soles"</formula>
    </cfRule>
  </conditionalFormatting>
  <conditionalFormatting sqref="D1356">
    <cfRule type="expression" dxfId="77" priority="76">
      <formula>dol_sol="soles"</formula>
    </cfRule>
  </conditionalFormatting>
  <conditionalFormatting sqref="D2583">
    <cfRule type="expression" dxfId="76" priority="75">
      <formula>dol_sol="soles"</formula>
    </cfRule>
  </conditionalFormatting>
  <conditionalFormatting sqref="D1814">
    <cfRule type="expression" dxfId="75" priority="74">
      <formula>dol_sol="soles"</formula>
    </cfRule>
  </conditionalFormatting>
  <conditionalFormatting sqref="D1327">
    <cfRule type="expression" dxfId="74" priority="73">
      <formula>dol_sol="soles"</formula>
    </cfRule>
  </conditionalFormatting>
  <conditionalFormatting sqref="D443">
    <cfRule type="expression" dxfId="73" priority="72">
      <formula>dol_sol="soles"</formula>
    </cfRule>
  </conditionalFormatting>
  <conditionalFormatting sqref="D1784">
    <cfRule type="expression" dxfId="72" priority="71">
      <formula>dol_sol="soles"</formula>
    </cfRule>
  </conditionalFormatting>
  <conditionalFormatting sqref="D1808">
    <cfRule type="expression" dxfId="71" priority="70">
      <formula>dol_sol="soles"</formula>
    </cfRule>
  </conditionalFormatting>
  <conditionalFormatting sqref="D1798">
    <cfRule type="expression" dxfId="70" priority="69">
      <formula>dol_sol="soles"</formula>
    </cfRule>
  </conditionalFormatting>
  <conditionalFormatting sqref="D1675">
    <cfRule type="expression" dxfId="69" priority="68">
      <formula>dol_sol="soles"</formula>
    </cfRule>
  </conditionalFormatting>
  <conditionalFormatting sqref="D5725">
    <cfRule type="expression" dxfId="68" priority="67">
      <formula>dol_sol="soles"</formula>
    </cfRule>
  </conditionalFormatting>
  <conditionalFormatting sqref="D4282">
    <cfRule type="expression" dxfId="67" priority="66">
      <formula>dol_sol="soles"</formula>
    </cfRule>
  </conditionalFormatting>
  <conditionalFormatting sqref="D4281">
    <cfRule type="expression" dxfId="66" priority="65">
      <formula>dol_sol="soles"</formula>
    </cfRule>
  </conditionalFormatting>
  <conditionalFormatting sqref="D4285">
    <cfRule type="expression" dxfId="65" priority="64">
      <formula>dol_sol="soles"</formula>
    </cfRule>
  </conditionalFormatting>
  <conditionalFormatting sqref="D4286">
    <cfRule type="expression" dxfId="64" priority="63">
      <formula>dol_sol="soles"</formula>
    </cfRule>
  </conditionalFormatting>
  <conditionalFormatting sqref="D4287">
    <cfRule type="expression" dxfId="63" priority="62">
      <formula>dol_sol="soles"</formula>
    </cfRule>
  </conditionalFormatting>
  <conditionalFormatting sqref="D1989">
    <cfRule type="expression" dxfId="62" priority="61">
      <formula>dol_sol="soles"</formula>
    </cfRule>
  </conditionalFormatting>
  <conditionalFormatting sqref="B1712">
    <cfRule type="cellIs" dxfId="61" priority="53" operator="equal">
      <formula>"Cod. NO encontrado"</formula>
    </cfRule>
  </conditionalFormatting>
  <conditionalFormatting sqref="D1259:D1262">
    <cfRule type="expression" dxfId="60" priority="60">
      <formula>dol_sol="soles"</formula>
    </cfRule>
  </conditionalFormatting>
  <conditionalFormatting sqref="B1260:B1262">
    <cfRule type="cellIs" dxfId="59" priority="59" operator="equal">
      <formula>"Cod. NO encontrado"</formula>
    </cfRule>
  </conditionalFormatting>
  <conditionalFormatting sqref="C1260:C1262">
    <cfRule type="cellIs" dxfId="58" priority="58" operator="equal">
      <formula>"Consultar"</formula>
    </cfRule>
  </conditionalFormatting>
  <conditionalFormatting sqref="D1710:D1711">
    <cfRule type="expression" dxfId="57" priority="57">
      <formula>dol_sol="soles"</formula>
    </cfRule>
  </conditionalFormatting>
  <conditionalFormatting sqref="D1712">
    <cfRule type="expression" dxfId="56" priority="56">
      <formula>dol_sol="soles"</formula>
    </cfRule>
  </conditionalFormatting>
  <conditionalFormatting sqref="B1711">
    <cfRule type="cellIs" dxfId="55" priority="54" operator="equal">
      <formula>"Cod. NO encontrado"</formula>
    </cfRule>
  </conditionalFormatting>
  <conditionalFormatting sqref="B1710">
    <cfRule type="cellIs" dxfId="54" priority="55" operator="equal">
      <formula>"Cod. NO encontrado"</formula>
    </cfRule>
  </conditionalFormatting>
  <conditionalFormatting sqref="C1710:C1712">
    <cfRule type="cellIs" dxfId="53" priority="52" operator="equal">
      <formula>"Consultar"</formula>
    </cfRule>
  </conditionalFormatting>
  <conditionalFormatting sqref="D1545">
    <cfRule type="expression" dxfId="52" priority="51">
      <formula>dol_sol="soles"</formula>
    </cfRule>
  </conditionalFormatting>
  <conditionalFormatting sqref="D1500">
    <cfRule type="expression" dxfId="51" priority="50">
      <formula>dol_sol="soles"</formula>
    </cfRule>
  </conditionalFormatting>
  <conditionalFormatting sqref="D1263">
    <cfRule type="expression" dxfId="50" priority="49">
      <formula>dol_sol="soles"</formula>
    </cfRule>
  </conditionalFormatting>
  <conditionalFormatting sqref="B1263">
    <cfRule type="cellIs" dxfId="49" priority="48" operator="equal">
      <formula>"Cod. NO encontrado"</formula>
    </cfRule>
  </conditionalFormatting>
  <conditionalFormatting sqref="C1263">
    <cfRule type="cellIs" dxfId="48" priority="47" operator="equal">
      <formula>"Consultar"</formula>
    </cfRule>
  </conditionalFormatting>
  <conditionalFormatting sqref="D1563">
    <cfRule type="expression" dxfId="47" priority="46">
      <formula>dol_sol="soles"</formula>
    </cfRule>
  </conditionalFormatting>
  <conditionalFormatting sqref="D624">
    <cfRule type="expression" dxfId="46" priority="45">
      <formula>dol_sol="soles"</formula>
    </cfRule>
  </conditionalFormatting>
  <conditionalFormatting sqref="D1804">
    <cfRule type="expression" dxfId="45" priority="44">
      <formula>dol_sol="soles"</formula>
    </cfRule>
  </conditionalFormatting>
  <conditionalFormatting sqref="D374">
    <cfRule type="expression" dxfId="44" priority="43">
      <formula>dol_sol="soles"</formula>
    </cfRule>
  </conditionalFormatting>
  <conditionalFormatting sqref="D7278:D7279">
    <cfRule type="expression" dxfId="43" priority="42">
      <formula>dol_sol="soles"</formula>
    </cfRule>
  </conditionalFormatting>
  <conditionalFormatting sqref="D1782">
    <cfRule type="expression" dxfId="42" priority="41">
      <formula>dol_sol="soles"</formula>
    </cfRule>
  </conditionalFormatting>
  <conditionalFormatting sqref="D2378">
    <cfRule type="expression" dxfId="41" priority="40">
      <formula>dol_sol="soles"</formula>
    </cfRule>
  </conditionalFormatting>
  <conditionalFormatting sqref="D2376">
    <cfRule type="expression" dxfId="40" priority="39">
      <formula>dol_sol="soles"</formula>
    </cfRule>
  </conditionalFormatting>
  <conditionalFormatting sqref="D2375">
    <cfRule type="expression" dxfId="39" priority="38">
      <formula>dol_sol="soles"</formula>
    </cfRule>
  </conditionalFormatting>
  <conditionalFormatting sqref="D556">
    <cfRule type="expression" dxfId="38" priority="37">
      <formula>dol_sol="soles"</formula>
    </cfRule>
  </conditionalFormatting>
  <conditionalFormatting sqref="D557">
    <cfRule type="expression" dxfId="37" priority="36">
      <formula>dol_sol="soles"</formula>
    </cfRule>
  </conditionalFormatting>
  <conditionalFormatting sqref="D1757">
    <cfRule type="expression" dxfId="36" priority="35">
      <formula>dol_sol="soles"</formula>
    </cfRule>
  </conditionalFormatting>
  <conditionalFormatting sqref="D653">
    <cfRule type="expression" dxfId="35" priority="34">
      <formula>dol_sol="soles"</formula>
    </cfRule>
  </conditionalFormatting>
  <conditionalFormatting sqref="D1805">
    <cfRule type="expression" dxfId="34" priority="33">
      <formula>dol_sol="soles"</formula>
    </cfRule>
  </conditionalFormatting>
  <conditionalFormatting sqref="G6120">
    <cfRule type="cellIs" dxfId="33" priority="32" operator="equal">
      <formula>"Cod. NO encontrado"</formula>
    </cfRule>
  </conditionalFormatting>
  <conditionalFormatting sqref="G6120">
    <cfRule type="cellIs" dxfId="32" priority="31" operator="equal">
      <formula>"Cod. NO encontrado"</formula>
    </cfRule>
  </conditionalFormatting>
  <conditionalFormatting sqref="G6120">
    <cfRule type="cellIs" dxfId="31" priority="30" operator="equal">
      <formula>"Cod. NO encontrado"</formula>
    </cfRule>
  </conditionalFormatting>
  <conditionalFormatting sqref="G6120">
    <cfRule type="cellIs" dxfId="30" priority="29" operator="equal">
      <formula>"Cod. NO encontrado"</formula>
    </cfRule>
  </conditionalFormatting>
  <conditionalFormatting sqref="G6120">
    <cfRule type="cellIs" dxfId="29" priority="28" operator="equal">
      <formula>"Cod. NO encontrado"</formula>
    </cfRule>
  </conditionalFormatting>
  <conditionalFormatting sqref="G6120">
    <cfRule type="cellIs" dxfId="28" priority="27" operator="equal">
      <formula>"Cod. NO encontrado"</formula>
    </cfRule>
  </conditionalFormatting>
  <conditionalFormatting sqref="D444">
    <cfRule type="expression" dxfId="27" priority="26">
      <formula>dol_sol="soles"</formula>
    </cfRule>
  </conditionalFormatting>
  <conditionalFormatting sqref="D1343">
    <cfRule type="expression" dxfId="26" priority="25">
      <formula>dol_sol="soles"</formula>
    </cfRule>
  </conditionalFormatting>
  <conditionalFormatting sqref="D2397">
    <cfRule type="expression" dxfId="25" priority="24">
      <formula>dol_sol="soles"</formula>
    </cfRule>
  </conditionalFormatting>
  <conditionalFormatting sqref="D1505">
    <cfRule type="expression" dxfId="24" priority="23">
      <formula>dol_sol="soles"</formula>
    </cfRule>
  </conditionalFormatting>
  <conditionalFormatting sqref="D1507">
    <cfRule type="expression" dxfId="23" priority="22">
      <formula>dol_sol="soles"</formula>
    </cfRule>
  </conditionalFormatting>
  <conditionalFormatting sqref="D1513">
    <cfRule type="expression" dxfId="22" priority="21">
      <formula>dol_sol="soles"</formula>
    </cfRule>
  </conditionalFormatting>
  <conditionalFormatting sqref="G6129">
    <cfRule type="cellIs" dxfId="21" priority="20" operator="equal">
      <formula>"Cod. NO encontrado"</formula>
    </cfRule>
  </conditionalFormatting>
  <conditionalFormatting sqref="G6129">
    <cfRule type="cellIs" dxfId="20" priority="19" operator="equal">
      <formula>"Cod. NO encontrado"</formula>
    </cfRule>
  </conditionalFormatting>
  <conditionalFormatting sqref="G6129">
    <cfRule type="cellIs" dxfId="19" priority="18" operator="equal">
      <formula>"Cod. NO encontrado"</formula>
    </cfRule>
  </conditionalFormatting>
  <conditionalFormatting sqref="G6129">
    <cfRule type="cellIs" dxfId="18" priority="17" operator="equal">
      <formula>"Cod. NO encontrado"</formula>
    </cfRule>
  </conditionalFormatting>
  <conditionalFormatting sqref="G6129">
    <cfRule type="cellIs" dxfId="17" priority="16" operator="equal">
      <formula>"Cod. NO encontrado"</formula>
    </cfRule>
  </conditionalFormatting>
  <conditionalFormatting sqref="G6129">
    <cfRule type="cellIs" dxfId="16" priority="15" operator="equal">
      <formula>"Cod. NO encontrado"</formula>
    </cfRule>
  </conditionalFormatting>
  <conditionalFormatting sqref="M6131:M6133">
    <cfRule type="cellIs" dxfId="15" priority="14" operator="equal">
      <formula>"Cod. NO encontrado"</formula>
    </cfRule>
  </conditionalFormatting>
  <conditionalFormatting sqref="M6131:M6133">
    <cfRule type="cellIs" dxfId="14" priority="13" operator="equal">
      <formula>"Cod. NO encontrado"</formula>
    </cfRule>
  </conditionalFormatting>
  <conditionalFormatting sqref="M6131:M6133">
    <cfRule type="cellIs" dxfId="13" priority="12" operator="equal">
      <formula>"Cod. NO encontrado"</formula>
    </cfRule>
  </conditionalFormatting>
  <conditionalFormatting sqref="M6131:M6133">
    <cfRule type="cellIs" dxfId="12" priority="11" operator="equal">
      <formula>"Cod. NO encontrado"</formula>
    </cfRule>
  </conditionalFormatting>
  <conditionalFormatting sqref="D2088">
    <cfRule type="expression" dxfId="11" priority="10">
      <formula>dol_sol="soles"</formula>
    </cfRule>
  </conditionalFormatting>
  <conditionalFormatting sqref="D2084">
    <cfRule type="expression" dxfId="10" priority="9">
      <formula>dol_sol="soles"</formula>
    </cfRule>
  </conditionalFormatting>
  <conditionalFormatting sqref="D1946">
    <cfRule type="expression" dxfId="9" priority="8">
      <formula>dol_sol="soles"</formula>
    </cfRule>
  </conditionalFormatting>
  <conditionalFormatting sqref="B1496">
    <cfRule type="duplicateValues" dxfId="8" priority="7"/>
  </conditionalFormatting>
  <conditionalFormatting sqref="D1635:D1638">
    <cfRule type="expression" dxfId="7" priority="6">
      <formula>dol_sol="soles"</formula>
    </cfRule>
  </conditionalFormatting>
  <conditionalFormatting sqref="D1634">
    <cfRule type="expression" dxfId="6" priority="5">
      <formula>dol_sol="soles"</formula>
    </cfRule>
  </conditionalFormatting>
  <conditionalFormatting sqref="D1947">
    <cfRule type="expression" dxfId="5" priority="4">
      <formula>dol_sol="soles"</formula>
    </cfRule>
  </conditionalFormatting>
  <conditionalFormatting sqref="D945">
    <cfRule type="expression" dxfId="4" priority="3">
      <formula>dol_sol="soles"</formula>
    </cfRule>
  </conditionalFormatting>
  <conditionalFormatting sqref="D943">
    <cfRule type="expression" dxfId="3" priority="2">
      <formula>dol_sol="soles"</formula>
    </cfRule>
  </conditionalFormatting>
  <conditionalFormatting sqref="D944">
    <cfRule type="expression" dxfId="2" priority="1">
      <formula>dol_sol="soles"</formula>
    </cfRule>
  </conditionalFormatting>
  <dataValidations count="3">
    <dataValidation type="list" allowBlank="1" showInputMessage="1" showErrorMessage="1" sqref="D14" xr:uid="{00000000-0002-0000-0100-000000000000}">
      <formula1>"Fijo, Fijo proyectado, Variable"</formula1>
    </dataValidation>
    <dataValidation type="list" allowBlank="1" showInputMessage="1" showErrorMessage="1" sqref="C13" xr:uid="{00000000-0002-0000-0100-000001000000}">
      <formula1>fcl_opciones</formula1>
    </dataValidation>
    <dataValidation type="list" allowBlank="1" showInputMessage="1" showErrorMessage="1" sqref="C15" xr:uid="{00000000-0002-0000-0100-000002000000}">
      <formula1>"dólar, soles"</formula1>
    </dataValidation>
  </dataValidations>
  <pageMargins left="0.75" right="0.75" top="1" bottom="1" header="0" footer="0"/>
  <pageSetup paperSize="9" scale="27" fitToHeight="0" orientation="landscape" r:id="rId1"/>
  <headerFooter alignWithMargins="0"/>
  <drawing r:id="rId2"/>
  <legacyDrawing r:id="rId3"/>
  <controls>
    <mc:AlternateContent xmlns:mc="http://schemas.openxmlformats.org/markup-compatibility/2006">
      <mc:Choice Requires="x14">
        <control shapeId="332952" r:id="rId4" name="ActBase2_Button">
          <controlPr defaultSize="0" autoLine="0" r:id="rId5">
            <anchor moveWithCells="1">
              <from>
                <xdr:col>6</xdr:col>
                <xdr:colOff>1266825</xdr:colOff>
                <xdr:row>11</xdr:row>
                <xdr:rowOff>133350</xdr:rowOff>
              </from>
              <to>
                <xdr:col>6</xdr:col>
                <xdr:colOff>2152650</xdr:colOff>
                <xdr:row>16</xdr:row>
                <xdr:rowOff>152400</xdr:rowOff>
              </to>
            </anchor>
          </controlPr>
        </control>
      </mc:Choice>
      <mc:Fallback>
        <control shapeId="332952" r:id="rId4" name="ActBase2_Butto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8" filterMode="1"/>
  <dimension ref="A2:I173"/>
  <sheetViews>
    <sheetView zoomScale="70" zoomScaleNormal="70" workbookViewId="0">
      <selection activeCell="E4" sqref="E4:F46"/>
    </sheetView>
  </sheetViews>
  <sheetFormatPr baseColWidth="10" defaultRowHeight="12.75"/>
  <cols>
    <col min="1" max="1" width="28" bestFit="1" customWidth="1"/>
    <col min="2" max="2" width="15.28515625" style="127" customWidth="1"/>
    <col min="4" max="4" width="29.28515625" bestFit="1" customWidth="1"/>
    <col min="5" max="5" width="19.85546875" bestFit="1" customWidth="1"/>
    <col min="6" max="6" width="6.5703125" bestFit="1" customWidth="1"/>
    <col min="7" max="7" width="111" bestFit="1" customWidth="1"/>
  </cols>
  <sheetData>
    <row r="2" spans="1:8">
      <c r="A2" s="428" t="s">
        <v>1575</v>
      </c>
      <c r="B2" s="2412" t="s">
        <v>1577</v>
      </c>
      <c r="D2" s="429" t="s">
        <v>318</v>
      </c>
      <c r="E2" s="429" t="s">
        <v>1515</v>
      </c>
      <c r="F2" s="430" t="s">
        <v>41</v>
      </c>
      <c r="G2" s="429" t="s">
        <v>2480</v>
      </c>
      <c r="H2" s="429" t="s">
        <v>743</v>
      </c>
    </row>
    <row r="3" spans="1:8" hidden="1">
      <c r="A3" s="409"/>
      <c r="B3" s="413">
        <v>0</v>
      </c>
      <c r="D3" s="431">
        <f>A3</f>
        <v>0</v>
      </c>
      <c r="E3" s="432" t="e">
        <f>VLOOKUP(D3,base_datos,7,FALSE)</f>
        <v>#N/A</v>
      </c>
      <c r="F3" s="433">
        <f>B3</f>
        <v>0</v>
      </c>
      <c r="G3" s="432" t="e">
        <f>VLOOKUP(D3,base_datos,6,FALSE)</f>
        <v>#N/A</v>
      </c>
      <c r="H3" s="432" t="e">
        <f>VLOOKUP(D3,base_datos,9,FALSE)</f>
        <v>#N/A</v>
      </c>
    </row>
    <row r="4" spans="1:8">
      <c r="A4" s="409" t="s">
        <v>1474</v>
      </c>
      <c r="B4" s="413">
        <v>14</v>
      </c>
      <c r="D4" s="431" t="str">
        <f>A4</f>
        <v>AF09-30-10-13_3p</v>
      </c>
      <c r="E4" s="432" t="str">
        <f>VLOOKUP(D4,base_datos,7,FALSE)</f>
        <v>1SBL137001R1310</v>
      </c>
      <c r="F4" s="433">
        <f>B4</f>
        <v>14</v>
      </c>
      <c r="G4" s="432" t="str">
        <f>VLOOKUP(D4,base_datos,6,FALSE)</f>
        <v>Contactor 3x09A(AC-3) / 3x25A(AC-1) +1NA - AF09-30-10-13 - bobina 100-250Vac/dc - marca ABB.</v>
      </c>
      <c r="H4" s="432" t="str">
        <f>VLOOKUP(D4,base_datos,9,FALSE)</f>
        <v>ABB</v>
      </c>
    </row>
    <row r="5" spans="1:8" hidden="1">
      <c r="A5" s="409" t="s">
        <v>4333</v>
      </c>
      <c r="B5" s="413"/>
      <c r="D5" s="431" t="str">
        <f>A5</f>
        <v>(en blanco)</v>
      </c>
      <c r="E5" s="432" t="e">
        <f>VLOOKUP(D5,base_datos,7,FALSE)</f>
        <v>#N/A</v>
      </c>
      <c r="F5" s="433">
        <f>B5</f>
        <v>0</v>
      </c>
      <c r="G5" s="432" t="e">
        <f>VLOOKUP(D5,base_datos,6,FALSE)</f>
        <v>#N/A</v>
      </c>
      <c r="H5" s="432" t="e">
        <f>VLOOKUP(D5,base_datos,9,FALSE)</f>
        <v>#N/A</v>
      </c>
    </row>
    <row r="6" spans="1:8" hidden="1">
      <c r="A6" s="409" t="s">
        <v>773</v>
      </c>
      <c r="B6" s="413">
        <v>2</v>
      </c>
      <c r="D6" s="431" t="str">
        <f>A6</f>
        <v>XTRM10A22B</v>
      </c>
      <c r="E6" s="432" t="str">
        <f>VLOOKUP(D6,base_datos,7,FALSE)</f>
        <v>XTRM10A22B</v>
      </c>
      <c r="F6" s="433">
        <f>B6</f>
        <v>2</v>
      </c>
      <c r="G6" s="432" t="str">
        <f>VLOOKUP(D6,base_datos,6,FALSE)</f>
        <v>Minicontactor de control DILER-22 / XTRM10A22B, 10A, 2NA+2NC, bobina 220Vac, marca EATON.</v>
      </c>
      <c r="H6" s="432" t="str">
        <f>VLOOKUP(D6,base_datos,9,FALSE)</f>
        <v>EATON</v>
      </c>
    </row>
    <row r="7" spans="1:8">
      <c r="A7" s="409" t="s">
        <v>1236</v>
      </c>
      <c r="B7" s="413">
        <v>2</v>
      </c>
      <c r="D7" s="431" t="str">
        <f>A7</f>
        <v>MOE_T4-T5</v>
      </c>
      <c r="E7" s="432" t="str">
        <f>VLOOKUP(D7,base_datos,7,FALSE)</f>
        <v>1SDA054897R1</v>
      </c>
      <c r="F7" s="433">
        <f>B7</f>
        <v>2</v>
      </c>
      <c r="G7" s="432" t="str">
        <f>VLOOKUP(D7,base_datos,6,FALSE)</f>
        <v>Mando motor (MOE) - T4-T5 - 220-250V AC/DC - (YM+YO+YC) - marca ABB.</v>
      </c>
      <c r="H7" s="432" t="str">
        <f>VLOOKUP(D7,base_datos,9,FALSE)</f>
        <v>ABB</v>
      </c>
    </row>
    <row r="8" spans="1:8">
      <c r="A8" s="409" t="s">
        <v>1291</v>
      </c>
      <c r="B8" s="413">
        <v>2</v>
      </c>
      <c r="D8" s="431" t="str">
        <f t="shared" ref="D8:D71" si="0">A8</f>
        <v>1Q+1SY_T4-T5-T6</v>
      </c>
      <c r="E8" s="432" t="str">
        <f t="shared" ref="E8:E71" si="1">VLOOKUP(D8,base_datos,7,FALSE)</f>
        <v>1SDA051368R1</v>
      </c>
      <c r="F8" s="433">
        <f t="shared" ref="F8:F71" si="2">B8</f>
        <v>2</v>
      </c>
      <c r="G8" s="432" t="str">
        <f t="shared" ref="G8:G71" si="3">VLOOKUP(D8,base_datos,6,FALSE)</f>
        <v>1(Q) contacto conmutado de estado (NA/NC) + 1(SY) contacto por disparo de interruptor - T4-T5-T6 - version no cableada - marca ABB.</v>
      </c>
      <c r="H8" s="432" t="str">
        <f t="shared" ref="H8:H71" si="4">VLOOKUP(D8,base_datos,9,FALSE)</f>
        <v>ABB</v>
      </c>
    </row>
    <row r="9" spans="1:8">
      <c r="A9" s="409" t="s">
        <v>1109</v>
      </c>
      <c r="B9" s="413">
        <v>508</v>
      </c>
      <c r="D9" s="431" t="str">
        <f t="shared" si="0"/>
        <v>FH202-AC-25A-30mA</v>
      </c>
      <c r="E9" s="432" t="str">
        <f t="shared" si="1"/>
        <v>1TMF202006R1250</v>
      </c>
      <c r="F9" s="433">
        <f t="shared" si="2"/>
        <v>508</v>
      </c>
      <c r="G9" s="432" t="str">
        <f t="shared" si="3"/>
        <v>Interruptor Diferencial 2x25A - 30mA - clase AC - FH202-AC-25A-30mA - marca ABB.</v>
      </c>
      <c r="H9" s="432" t="str">
        <f t="shared" si="4"/>
        <v>ABB</v>
      </c>
    </row>
    <row r="10" spans="1:8">
      <c r="A10" s="409" t="s">
        <v>1115</v>
      </c>
      <c r="B10" s="413">
        <v>1</v>
      </c>
      <c r="D10" s="431" t="str">
        <f t="shared" si="0"/>
        <v>FH204-AC-25A-30mA</v>
      </c>
      <c r="E10" s="432" t="str">
        <f t="shared" si="1"/>
        <v>1TMF204006R1250</v>
      </c>
      <c r="F10" s="433">
        <f t="shared" si="2"/>
        <v>1</v>
      </c>
      <c r="G10" s="432" t="str">
        <f t="shared" si="3"/>
        <v>Interruptor Diferencial 4x25A - 30mA - clase AC - FH204-AC-25A-30mA - marca ABB.</v>
      </c>
      <c r="H10" s="432" t="str">
        <f t="shared" si="4"/>
        <v>ABB</v>
      </c>
    </row>
    <row r="11" spans="1:8" hidden="1">
      <c r="A11" s="409" t="s">
        <v>772</v>
      </c>
      <c r="B11" s="413">
        <v>4</v>
      </c>
      <c r="D11" s="431" t="str">
        <f t="shared" si="0"/>
        <v>D2PR4B+D2PA6</v>
      </c>
      <c r="E11" s="432" t="str">
        <f t="shared" si="1"/>
        <v>D2PR4B+D2PA6</v>
      </c>
      <c r="F11" s="433">
        <f t="shared" si="2"/>
        <v>4</v>
      </c>
      <c r="G11" s="432" t="str">
        <f t="shared" si="3"/>
        <v>Rele auxiliar enchufable +4NA/NC (D2PR4B + base D2PA6), 220Vac - marca EATON.</v>
      </c>
      <c r="H11" s="432" t="str">
        <f t="shared" si="4"/>
        <v>EATON</v>
      </c>
    </row>
    <row r="12" spans="1:8">
      <c r="A12" s="409" t="s">
        <v>2473</v>
      </c>
      <c r="B12" s="413">
        <v>18</v>
      </c>
      <c r="D12" s="431" t="str">
        <f t="shared" si="0"/>
        <v>LAMP_ROJO_220V</v>
      </c>
      <c r="E12" s="432" t="str">
        <f t="shared" si="1"/>
        <v>1SFA619403R5231</v>
      </c>
      <c r="F12" s="433">
        <f t="shared" si="2"/>
        <v>18</v>
      </c>
      <c r="G12" s="432" t="str">
        <f t="shared" si="3"/>
        <v>Portalámpara + lampara tipo LED - color Rojo - alimentacion: 220-230Vac, d=22mm. - CL2-523R - línea compacta - marca ABB.</v>
      </c>
      <c r="H12" s="432" t="str">
        <f t="shared" si="4"/>
        <v>ABB</v>
      </c>
    </row>
    <row r="13" spans="1:8">
      <c r="A13" s="409" t="s">
        <v>1111</v>
      </c>
      <c r="B13" s="413">
        <v>3</v>
      </c>
      <c r="D13" s="431" t="str">
        <f t="shared" si="0"/>
        <v>FH202-AC-40A-30mA</v>
      </c>
      <c r="E13" s="432" t="str">
        <f t="shared" si="1"/>
        <v>1TMF202006R1400</v>
      </c>
      <c r="F13" s="433">
        <f t="shared" si="2"/>
        <v>3</v>
      </c>
      <c r="G13" s="432" t="str">
        <f t="shared" si="3"/>
        <v>Interruptor Diferencial 2x40A -  30mA - clase AC - FH202-AC-40A-30mA - marca ABB.</v>
      </c>
      <c r="H13" s="432" t="str">
        <f t="shared" si="4"/>
        <v>ABB</v>
      </c>
    </row>
    <row r="14" spans="1:8">
      <c r="A14" s="409" t="s">
        <v>966</v>
      </c>
      <c r="B14" s="413">
        <v>6</v>
      </c>
      <c r="D14" s="431" t="str">
        <f t="shared" si="0"/>
        <v>FC-CuAl_T5_3t</v>
      </c>
      <c r="E14" s="432" t="str">
        <f t="shared" si="1"/>
        <v>1SDA055032R1</v>
      </c>
      <c r="F14" s="433">
        <f t="shared" si="2"/>
        <v>6</v>
      </c>
      <c r="G14" s="432" t="str">
        <f t="shared" si="3"/>
        <v>FC-CuAl_T5 - Terminales + Cubrebornes - cables de cobre/aluminio hasta 2x240mm2 - 3 terminales (externos).</v>
      </c>
      <c r="H14" s="432" t="str">
        <f t="shared" si="4"/>
        <v>ABB</v>
      </c>
    </row>
    <row r="15" spans="1:8" hidden="1">
      <c r="A15" s="409" t="s">
        <v>2651</v>
      </c>
      <c r="B15" s="413">
        <v>2</v>
      </c>
      <c r="D15" s="431" t="str">
        <f t="shared" si="0"/>
        <v>CVM-C10</v>
      </c>
      <c r="E15" s="432" t="str">
        <f t="shared" si="1"/>
        <v>CVM-C10-ITF-485-ICT2</v>
      </c>
      <c r="F15" s="433">
        <f t="shared" si="2"/>
        <v>2</v>
      </c>
      <c r="G15" s="432" t="str">
        <f t="shared" si="3"/>
        <v>Medidor multifunción - Modelo CVM-C10 - presición 0.5% - RS485, Modbus RTU - marca CIRCUTOR.</v>
      </c>
      <c r="H15" s="432" t="str">
        <f t="shared" si="4"/>
        <v>CIRCUTOR</v>
      </c>
    </row>
    <row r="16" spans="1:8">
      <c r="A16" s="409" t="s">
        <v>1077</v>
      </c>
      <c r="B16" s="413">
        <v>2</v>
      </c>
      <c r="D16" s="431" t="str">
        <f t="shared" si="0"/>
        <v>T5N400-400A-3P-PR221DS-LS/I</v>
      </c>
      <c r="E16" s="432" t="str">
        <f t="shared" si="1"/>
        <v>1SDA054317R1</v>
      </c>
      <c r="F16" s="433">
        <f t="shared" si="2"/>
        <v>2</v>
      </c>
      <c r="G16" s="432" t="str">
        <f t="shared" si="3"/>
        <v>ITM Caja Moldeada 3x400A (electrónico [0.4-1.0] In) - T5N400-400A-3P-PR221DS-LS/I - 70kA@230Vac, 36kA@415Vac - marca ABB.</v>
      </c>
      <c r="H16" s="432" t="str">
        <f t="shared" si="4"/>
        <v>ABB</v>
      </c>
    </row>
    <row r="17" spans="1:8">
      <c r="A17" s="409" t="s">
        <v>1194</v>
      </c>
      <c r="B17" s="413">
        <v>2</v>
      </c>
      <c r="D17" s="431" t="str">
        <f t="shared" si="0"/>
        <v>A1B125-40A-3P-TMF</v>
      </c>
      <c r="E17" s="432" t="str">
        <f t="shared" si="1"/>
        <v>1SDA066701R1</v>
      </c>
      <c r="F17" s="433">
        <f t="shared" si="2"/>
        <v>2</v>
      </c>
      <c r="G17" s="432" t="str">
        <f t="shared" si="3"/>
        <v>ITM Caja Moldeada 3x40A - A1B125-40A-3P-TMF - 25kA@230Vac, 18kA@400Vac - marca ABB.</v>
      </c>
      <c r="H17" s="432" t="str">
        <f t="shared" si="4"/>
        <v>ABB</v>
      </c>
    </row>
    <row r="18" spans="1:8">
      <c r="A18" s="409" t="s">
        <v>1477</v>
      </c>
      <c r="B18" s="413">
        <v>2</v>
      </c>
      <c r="D18" s="431" t="str">
        <f t="shared" si="0"/>
        <v>AF26-30-10-13_3p</v>
      </c>
      <c r="E18" s="432" t="str">
        <f t="shared" si="1"/>
        <v>1SBL237001P1310</v>
      </c>
      <c r="F18" s="433">
        <f t="shared" si="2"/>
        <v>2</v>
      </c>
      <c r="G18" s="432" t="str">
        <f t="shared" si="3"/>
        <v>Contactor 3x26A(AC-3) / 3x45A(AC-1) +1NA - AF26-30-10-13 - bobina 100-250Vac/dc - marca ABB.</v>
      </c>
      <c r="H18" s="432" t="str">
        <f t="shared" si="4"/>
        <v>ABB</v>
      </c>
    </row>
    <row r="19" spans="1:8">
      <c r="A19" s="409" t="s">
        <v>754</v>
      </c>
      <c r="B19" s="413">
        <v>2</v>
      </c>
      <c r="D19" s="431" t="str">
        <f t="shared" si="0"/>
        <v>ATS022</v>
      </c>
      <c r="E19" s="432" t="str">
        <f t="shared" si="1"/>
        <v>1SDA065524R1</v>
      </c>
      <c r="F19" s="433">
        <f t="shared" si="2"/>
        <v>2</v>
      </c>
      <c r="G19" s="432" t="str">
        <f t="shared" si="3"/>
        <v>Controlador de Conmutación Automática ATS022 - pantalla digital, con módulo de com. Modbus-RS485 para monitoreo - marca ABB.</v>
      </c>
      <c r="H19" s="432" t="str">
        <f t="shared" si="4"/>
        <v>ABB</v>
      </c>
    </row>
    <row r="20" spans="1:8">
      <c r="A20" s="409" t="s">
        <v>1084</v>
      </c>
      <c r="B20" s="413">
        <v>4</v>
      </c>
      <c r="D20" s="431" t="str">
        <f t="shared" si="0"/>
        <v>T5N630-630A-3P-PR221DS-LS/I</v>
      </c>
      <c r="E20" s="432" t="str">
        <f t="shared" si="1"/>
        <v>1SDA054396R1</v>
      </c>
      <c r="F20" s="433">
        <f t="shared" si="2"/>
        <v>4</v>
      </c>
      <c r="G20" s="432" t="str">
        <f t="shared" si="3"/>
        <v>ITM Caja Moldeada 3x630A (electrónico [0.4-1.0] In) - T5N630-630A-3P-PR221DS-LS/I - 70kA@230Vac, 36kA@415Vac - marca ABB.</v>
      </c>
      <c r="H20" s="432" t="str">
        <f t="shared" si="4"/>
        <v>ABB</v>
      </c>
    </row>
    <row r="21" spans="1:8">
      <c r="A21" s="409" t="s">
        <v>4975</v>
      </c>
      <c r="B21" s="413">
        <v>13</v>
      </c>
      <c r="D21" s="431" t="str">
        <f t="shared" si="0"/>
        <v>A1B125-32A-3P-TMF</v>
      </c>
      <c r="E21" s="432" t="str">
        <f t="shared" si="1"/>
        <v>1SDA068758R1</v>
      </c>
      <c r="F21" s="433">
        <f t="shared" si="2"/>
        <v>13</v>
      </c>
      <c r="G21" s="432" t="str">
        <f t="shared" si="3"/>
        <v>ITM Caja Moldeada 3x32A - A1B125-32A-3P-TMF - 25kA@230Vac, 18kA@400Vac - marca ABB.</v>
      </c>
      <c r="H21" s="432" t="str">
        <f t="shared" si="4"/>
        <v>ABB</v>
      </c>
    </row>
    <row r="22" spans="1:8">
      <c r="A22" s="409" t="s">
        <v>787</v>
      </c>
      <c r="B22" s="413">
        <v>2</v>
      </c>
      <c r="D22" s="431" t="str">
        <f t="shared" si="0"/>
        <v>OTM_I-0-II_3p_630A</v>
      </c>
      <c r="E22" s="432" t="str">
        <f t="shared" si="1"/>
        <v>1SCA103567R1001</v>
      </c>
      <c r="F22" s="433">
        <f t="shared" si="2"/>
        <v>2</v>
      </c>
      <c r="G22" s="432" t="str">
        <f t="shared" si="3"/>
        <v>Conmutador motorizado bajo carga (I-0-II), modelo OTM-C, 3p, 630A (AC21..AC22) / 630A (AC23) - marca ABB.</v>
      </c>
      <c r="H22" s="432" t="str">
        <f t="shared" si="4"/>
        <v>ABB</v>
      </c>
    </row>
    <row r="23" spans="1:8">
      <c r="A23" s="409" t="s">
        <v>2608</v>
      </c>
      <c r="B23" s="413">
        <v>4</v>
      </c>
      <c r="D23" s="431" t="str">
        <f t="shared" si="0"/>
        <v>1Q_OTM_160-2500A</v>
      </c>
      <c r="E23" s="432" t="str">
        <f t="shared" si="1"/>
        <v>1SCA022353R4970</v>
      </c>
      <c r="F23" s="433">
        <f t="shared" si="2"/>
        <v>4</v>
      </c>
      <c r="G23" s="432" t="str">
        <f t="shared" si="3"/>
        <v>1(Q) contacto conmutado de estado 1NA para OTM160..2500A - marca ABB.</v>
      </c>
      <c r="H23" s="432" t="str">
        <f t="shared" si="4"/>
        <v>ABB</v>
      </c>
    </row>
    <row r="24" spans="1:8">
      <c r="A24" s="409" t="s">
        <v>4977</v>
      </c>
      <c r="B24" s="413">
        <v>4</v>
      </c>
      <c r="D24" s="431" t="str">
        <f t="shared" si="0"/>
        <v>SH203-C-10A</v>
      </c>
      <c r="E24" s="432" t="str">
        <f t="shared" si="1"/>
        <v>2CDS213001R0104</v>
      </c>
      <c r="F24" s="433">
        <f t="shared" si="2"/>
        <v>4</v>
      </c>
      <c r="G24" s="432" t="str">
        <f t="shared" si="3"/>
        <v>ITM Riel-Din 3x10A - SH203-C-10A - 10kA@230Vac, 6kA@400Vac-IEC60898 - marca ABB.</v>
      </c>
      <c r="H24" s="432" t="str">
        <f t="shared" si="4"/>
        <v>ABB</v>
      </c>
    </row>
    <row r="25" spans="1:8">
      <c r="A25" s="409" t="s">
        <v>4562</v>
      </c>
      <c r="B25" s="413">
        <v>6</v>
      </c>
      <c r="D25" s="431" t="str">
        <f t="shared" si="0"/>
        <v>XT1B160-160A-3P-TMD</v>
      </c>
      <c r="E25" s="432" t="str">
        <f t="shared" si="1"/>
        <v>1SDA066809R1</v>
      </c>
      <c r="F25" s="433">
        <f t="shared" si="2"/>
        <v>6</v>
      </c>
      <c r="G25" s="432" t="str">
        <f t="shared" si="3"/>
        <v>ITM Caja Moldeada 3x160A (reg.[0.7-1.0] In) - XT1B160-160A-3P-TMD - 25kA@230Vac, 18kA@415Vac, 18kA@250Vdc - marca ABB.</v>
      </c>
      <c r="H25" s="432" t="str">
        <f t="shared" si="4"/>
        <v>ABB</v>
      </c>
    </row>
    <row r="26" spans="1:8">
      <c r="A26" s="409" t="s">
        <v>5146</v>
      </c>
      <c r="B26" s="413">
        <v>3</v>
      </c>
      <c r="D26" s="431" t="str">
        <f t="shared" si="0"/>
        <v>FC-CuAl_T5_3t_400A</v>
      </c>
      <c r="E26" s="432" t="str">
        <f t="shared" si="1"/>
        <v>1SDA055024R1</v>
      </c>
      <c r="F26" s="433">
        <f t="shared" si="2"/>
        <v>3</v>
      </c>
      <c r="G26" s="432" t="str">
        <f t="shared" si="3"/>
        <v>FC-CuAl_T5-400A - Terminales - cables de cobre/aluminio hasta 1x300mm2 - 3 terminales (internos).</v>
      </c>
      <c r="H26" s="432" t="str">
        <f t="shared" si="4"/>
        <v>ABB</v>
      </c>
    </row>
    <row r="27" spans="1:8">
      <c r="A27" s="409" t="s">
        <v>4558</v>
      </c>
      <c r="B27" s="413">
        <v>2</v>
      </c>
      <c r="D27" s="431" t="str">
        <f t="shared" si="0"/>
        <v>XT1B160-100A-3P-TMD</v>
      </c>
      <c r="E27" s="432" t="str">
        <f t="shared" si="1"/>
        <v>1SDA066807R1</v>
      </c>
      <c r="F27" s="433">
        <f t="shared" si="2"/>
        <v>2</v>
      </c>
      <c r="G27" s="432" t="str">
        <f t="shared" si="3"/>
        <v>ITM Caja Moldeada 3x100A (reg.[0.7-1.0] In) - XT1B160-100A-3P-TMD - 25kA@230Vac, 18kA@415Vac, 18kA@250Vdc - marca ABB.</v>
      </c>
      <c r="H27" s="432" t="str">
        <f t="shared" si="4"/>
        <v>ABB</v>
      </c>
    </row>
    <row r="28" spans="1:8">
      <c r="A28" s="409" t="s">
        <v>960</v>
      </c>
      <c r="B28" s="413">
        <v>1</v>
      </c>
      <c r="D28" s="431" t="str">
        <f t="shared" si="0"/>
        <v>FC-CuAl_XT1_3t</v>
      </c>
      <c r="E28" s="432" t="str">
        <f t="shared" si="1"/>
        <v>1SDA067155R1</v>
      </c>
      <c r="F28" s="433">
        <f t="shared" si="2"/>
        <v>1</v>
      </c>
      <c r="G28" s="432" t="str">
        <f t="shared" si="3"/>
        <v>FC-CuAl_XT1 - Terminales + Cubrebornes - cables de cobre/aluminio hasta 1x95mm2 - 3 terminales (externos)</v>
      </c>
      <c r="H28" s="432" t="str">
        <f t="shared" si="4"/>
        <v>ABB</v>
      </c>
    </row>
    <row r="29" spans="1:8">
      <c r="A29" s="409" t="s">
        <v>1172</v>
      </c>
      <c r="B29" s="413">
        <v>2</v>
      </c>
      <c r="D29" s="431" t="str">
        <f t="shared" si="0"/>
        <v>FC-CuAl_A1_3t</v>
      </c>
      <c r="E29" s="432" t="str">
        <f t="shared" si="1"/>
        <v>1SDA066242R1</v>
      </c>
      <c r="F29" s="433">
        <f t="shared" si="2"/>
        <v>2</v>
      </c>
      <c r="G29" s="432" t="str">
        <f t="shared" si="3"/>
        <v>FC-CuAl_A1 - Terminales + Cubrebornes - cables de cobre/aluminio hasta 1x50mm2 - 3 terminales (internos)</v>
      </c>
      <c r="H29" s="432" t="str">
        <f t="shared" si="4"/>
        <v>ABB</v>
      </c>
    </row>
    <row r="30" spans="1:8">
      <c r="A30" s="409" t="s">
        <v>13958</v>
      </c>
      <c r="B30" s="413">
        <v>2</v>
      </c>
      <c r="D30" s="431" t="str">
        <f t="shared" si="0"/>
        <v>T5N630-630A-3P-PR221DS-I</v>
      </c>
      <c r="E30" s="432" t="str">
        <f t="shared" si="1"/>
        <v>1SDA054397R1</v>
      </c>
      <c r="F30" s="433">
        <f t="shared" si="2"/>
        <v>2</v>
      </c>
      <c r="G30" s="432" t="str">
        <f t="shared" si="3"/>
        <v>IM Caja Moldeada 3x630A (electrónico [0.4-1.0] In) - T5N630-630A-3P-PR221DS-I - 70kA@230Vac, 36kA@415Vac - marca ABB.</v>
      </c>
      <c r="H30" s="432" t="str">
        <f t="shared" si="4"/>
        <v>ABB</v>
      </c>
    </row>
    <row r="31" spans="1:8">
      <c r="A31" s="409" t="s">
        <v>9570</v>
      </c>
      <c r="B31" s="413">
        <v>1</v>
      </c>
      <c r="D31" s="431" t="str">
        <f t="shared" si="0"/>
        <v>T5N400-400A-3P-PR221DS-I</v>
      </c>
      <c r="E31" s="432" t="str">
        <f t="shared" si="1"/>
        <v>1SDA054319R1</v>
      </c>
      <c r="F31" s="433">
        <f t="shared" si="2"/>
        <v>1</v>
      </c>
      <c r="G31" s="432" t="str">
        <f t="shared" si="3"/>
        <v>IM Caja Moldeada 3x400A (electrónico [0.4-1.0] In) - T5N400-400A-3P-PR221DS-I - 70kA@230Vac, 36kA@415Vac - marca ABB.</v>
      </c>
      <c r="H31" s="432" t="str">
        <f t="shared" si="4"/>
        <v>ABB</v>
      </c>
    </row>
    <row r="32" spans="1:8">
      <c r="A32" s="409" t="s">
        <v>6676</v>
      </c>
      <c r="B32" s="413">
        <v>1</v>
      </c>
      <c r="D32" s="431" t="str">
        <f t="shared" si="0"/>
        <v>XT2N160-32A-3P-MA</v>
      </c>
      <c r="E32" s="432" t="str">
        <f t="shared" si="1"/>
        <v>1SDA067050R1</v>
      </c>
      <c r="F32" s="433">
        <f t="shared" si="2"/>
        <v>1</v>
      </c>
      <c r="G32" s="432" t="str">
        <f t="shared" si="3"/>
        <v>IM Caja Moldeada 3x32A - XT2N160-32A-3P-MA - 65kA@230Vac, 36kA@415Vac - marca ABB.</v>
      </c>
      <c r="H32" s="432" t="str">
        <f t="shared" si="4"/>
        <v>ABB</v>
      </c>
    </row>
    <row r="33" spans="1:9">
      <c r="A33" s="409" t="s">
        <v>1065</v>
      </c>
      <c r="B33" s="413">
        <v>87</v>
      </c>
      <c r="D33" s="431" t="str">
        <f t="shared" si="0"/>
        <v>SH202-C-63A</v>
      </c>
      <c r="E33" s="432" t="str">
        <f t="shared" si="1"/>
        <v>2CDS212001R0634</v>
      </c>
      <c r="F33" s="433">
        <f t="shared" si="2"/>
        <v>87</v>
      </c>
      <c r="G33" s="432" t="str">
        <f t="shared" si="3"/>
        <v>ITM Riel-Din 2x63A - SH202-C-63A - 10kA@230Vac, 6kA@400Vac-IEC60898 - marca ABB.</v>
      </c>
      <c r="H33" s="432" t="str">
        <f t="shared" si="4"/>
        <v>ABB</v>
      </c>
    </row>
    <row r="34" spans="1:9">
      <c r="A34" s="409" t="s">
        <v>1060</v>
      </c>
      <c r="B34" s="413">
        <v>524</v>
      </c>
      <c r="D34" s="431" t="str">
        <f t="shared" si="0"/>
        <v>SH202-C-20A</v>
      </c>
      <c r="E34" s="432" t="str">
        <f t="shared" si="1"/>
        <v>2CDS212001R0204</v>
      </c>
      <c r="F34" s="433">
        <f t="shared" si="2"/>
        <v>524</v>
      </c>
      <c r="G34" s="432" t="str">
        <f t="shared" si="3"/>
        <v>ITM Riel-Din 2x20A - SH202-C-20A - 10kA@230Vac, 6kA@400Vac-IEC60898 - marca ABB.</v>
      </c>
      <c r="H34" s="432" t="str">
        <f t="shared" si="4"/>
        <v>ABB</v>
      </c>
    </row>
    <row r="35" spans="1:9" hidden="1">
      <c r="A35" s="409" t="s">
        <v>13382</v>
      </c>
      <c r="B35" s="413">
        <v>33</v>
      </c>
      <c r="D35" s="431" t="str">
        <f t="shared" si="0"/>
        <v>SOLERA 40MODULOS</v>
      </c>
      <c r="E35" s="432" t="str">
        <f t="shared" si="1"/>
        <v>SOLERA 40MODULOS</v>
      </c>
      <c r="F35" s="433">
        <f t="shared" si="2"/>
        <v>33</v>
      </c>
      <c r="G35" s="432" t="str">
        <f t="shared" si="3"/>
        <v>TABLERO EMPO. L/HALOG. 40 POLOS C/BORNE A/H PVC /8206PFR1</v>
      </c>
      <c r="H35" s="432" t="str">
        <f t="shared" si="4"/>
        <v>SOLERA</v>
      </c>
    </row>
    <row r="36" spans="1:9" hidden="1">
      <c r="A36" s="409" t="s">
        <v>13371</v>
      </c>
      <c r="B36" s="413">
        <v>54</v>
      </c>
      <c r="D36" s="431" t="str">
        <f t="shared" si="0"/>
        <v>SOLERA 28MODULOS</v>
      </c>
      <c r="E36" s="432" t="str">
        <f t="shared" si="1"/>
        <v>SOLERA 28MODULOS</v>
      </c>
      <c r="F36" s="433">
        <f t="shared" si="2"/>
        <v>54</v>
      </c>
      <c r="G36" s="432" t="str">
        <f t="shared" si="3"/>
        <v>TABLERO EMPO. L/HALOG. 28 POLOS C/BORNE A/H PVC /5250PFR1</v>
      </c>
      <c r="H36" s="432" t="str">
        <f t="shared" si="4"/>
        <v>SOLERA</v>
      </c>
    </row>
    <row r="37" spans="1:9">
      <c r="A37" s="409" t="s">
        <v>1069</v>
      </c>
      <c r="B37" s="413">
        <v>12</v>
      </c>
      <c r="D37" s="431" t="str">
        <f t="shared" si="0"/>
        <v>SH203-C-32A</v>
      </c>
      <c r="E37" s="432" t="str">
        <f t="shared" si="1"/>
        <v>2CDS213001R0324</v>
      </c>
      <c r="F37" s="433">
        <f t="shared" si="2"/>
        <v>12</v>
      </c>
      <c r="G37" s="432" t="str">
        <f t="shared" si="3"/>
        <v>ITM Riel-Din 3x32A - SH203-C-32A - 10kA@230Vac, 6kA@400Vac-IEC60898 - marca ABB.</v>
      </c>
      <c r="H37" s="432" t="str">
        <f t="shared" si="4"/>
        <v>ABB</v>
      </c>
    </row>
    <row r="38" spans="1:9">
      <c r="A38" s="409" t="s">
        <v>1067</v>
      </c>
      <c r="B38" s="413">
        <v>4</v>
      </c>
      <c r="D38" s="431" t="str">
        <f t="shared" si="0"/>
        <v>SH203-C-20A</v>
      </c>
      <c r="E38" s="432" t="str">
        <f t="shared" si="1"/>
        <v>2CDS213001R0204</v>
      </c>
      <c r="F38" s="433">
        <f t="shared" si="2"/>
        <v>4</v>
      </c>
      <c r="G38" s="432" t="str">
        <f t="shared" si="3"/>
        <v>ITM Riel-Din 3x20A - SH203-C-20A - 10kA@230Vac, 6kA@400Vac-IEC60898 - marca ABB.</v>
      </c>
      <c r="H38" s="432" t="str">
        <f t="shared" si="4"/>
        <v>ABB</v>
      </c>
    </row>
    <row r="39" spans="1:9" hidden="1">
      <c r="A39" s="409" t="s">
        <v>1860</v>
      </c>
      <c r="B39" s="413">
        <v>15</v>
      </c>
      <c r="D39" s="431" t="str">
        <f t="shared" si="0"/>
        <v>IH_GRASSLIN</v>
      </c>
      <c r="E39" s="432" t="str">
        <f t="shared" si="1"/>
        <v>IH_GRASSLIN</v>
      </c>
      <c r="F39" s="433">
        <f t="shared" si="2"/>
        <v>15</v>
      </c>
      <c r="G39" s="432" t="str">
        <f t="shared" si="3"/>
        <v>Interruptor Horario Digital - marca GRASSLIN.</v>
      </c>
      <c r="H39" s="432" t="str">
        <f t="shared" si="4"/>
        <v>GRASSLIN</v>
      </c>
    </row>
    <row r="40" spans="1:9">
      <c r="A40" s="409" t="s">
        <v>4560</v>
      </c>
      <c r="B40" s="413">
        <v>2</v>
      </c>
      <c r="D40" s="431" t="str">
        <f t="shared" si="0"/>
        <v>XT1B160-125A-3P-TMD</v>
      </c>
      <c r="E40" s="432" t="str">
        <f t="shared" si="1"/>
        <v>1SDA066808R1</v>
      </c>
      <c r="F40" s="433">
        <f t="shared" si="2"/>
        <v>2</v>
      </c>
      <c r="G40" s="432" t="str">
        <f t="shared" si="3"/>
        <v>ITM Caja Moldeada 3x125A (reg.[0.7-1.0] In) - XT1B160-125A-3P-TMD - 25kA@230Vac, 18kA@415Vac, 18kA@250Vdc - marca ABB.</v>
      </c>
      <c r="H40" s="432" t="str">
        <f t="shared" si="4"/>
        <v>ABB</v>
      </c>
    </row>
    <row r="41" spans="1:9">
      <c r="A41" s="409" t="s">
        <v>1072</v>
      </c>
      <c r="B41" s="413">
        <v>1</v>
      </c>
      <c r="D41" s="431" t="str">
        <f t="shared" si="0"/>
        <v>SH203-C-63A</v>
      </c>
      <c r="E41" s="432" t="str">
        <f t="shared" si="1"/>
        <v>2CDS213001R0634</v>
      </c>
      <c r="F41" s="433">
        <f t="shared" si="2"/>
        <v>1</v>
      </c>
      <c r="G41" s="432" t="str">
        <f t="shared" si="3"/>
        <v>ITM Riel-Din 3x63A - SH203-C-63A - 10kA@230Vac, 6kA@400Vac-IEC60898 - marca ABB.</v>
      </c>
      <c r="H41" s="432" t="str">
        <f t="shared" si="4"/>
        <v>ABB</v>
      </c>
    </row>
    <row r="42" spans="1:9">
      <c r="A42" s="409" t="s">
        <v>1063</v>
      </c>
      <c r="B42" s="413">
        <v>1</v>
      </c>
      <c r="D42" s="431" t="str">
        <f t="shared" si="0"/>
        <v>SH202-C-40A</v>
      </c>
      <c r="E42" s="432" t="str">
        <f t="shared" si="1"/>
        <v>2CDS212001R0404</v>
      </c>
      <c r="F42" s="433">
        <f t="shared" si="2"/>
        <v>1</v>
      </c>
      <c r="G42" s="432" t="str">
        <f t="shared" si="3"/>
        <v>ITM Riel-Din 2x40A - SH202-C-40A - 10kA@230Vac, 6kA@400Vac-IEC60898 - marca ABB.</v>
      </c>
      <c r="H42" s="432" t="str">
        <f t="shared" si="4"/>
        <v>ABB</v>
      </c>
    </row>
    <row r="43" spans="1:9">
      <c r="A43" s="409" t="s">
        <v>1062</v>
      </c>
      <c r="B43" s="413">
        <v>4</v>
      </c>
      <c r="C43" s="435"/>
      <c r="D43" s="431" t="str">
        <f t="shared" si="0"/>
        <v>SH202-C-32A</v>
      </c>
      <c r="E43" s="432" t="str">
        <f t="shared" si="1"/>
        <v>2CDS212001R0324</v>
      </c>
      <c r="F43" s="433">
        <f t="shared" si="2"/>
        <v>4</v>
      </c>
      <c r="G43" s="432" t="str">
        <f t="shared" si="3"/>
        <v>ITM Riel-Din 2x32A - SH202-C-32A - 10kA@230Vac, 6kA@400Vac-IEC60898 - marca ABB.</v>
      </c>
      <c r="H43" s="432" t="str">
        <f t="shared" si="4"/>
        <v>ABB</v>
      </c>
      <c r="I43" s="435"/>
    </row>
    <row r="44" spans="1:9">
      <c r="A44" s="409" t="s">
        <v>1070</v>
      </c>
      <c r="B44" s="413">
        <v>3</v>
      </c>
      <c r="C44" s="435"/>
      <c r="D44" s="431" t="str">
        <f t="shared" si="0"/>
        <v>SH203-C-40A</v>
      </c>
      <c r="E44" s="432" t="str">
        <f t="shared" si="1"/>
        <v>2CDS213001R0404</v>
      </c>
      <c r="F44" s="433">
        <f t="shared" si="2"/>
        <v>3</v>
      </c>
      <c r="G44" s="432" t="str">
        <f t="shared" si="3"/>
        <v>ITM Riel-Din 3x40A - SH203-C-40A - 10kA@230Vac, 6kA@400Vac-IEC60898 - marca ABB.</v>
      </c>
      <c r="H44" s="432" t="str">
        <f t="shared" si="4"/>
        <v>ABB</v>
      </c>
      <c r="I44" s="435"/>
    </row>
    <row r="45" spans="1:9">
      <c r="A45" s="409" t="s">
        <v>1199</v>
      </c>
      <c r="B45" s="413">
        <v>2</v>
      </c>
      <c r="C45" s="435"/>
      <c r="D45" s="431" t="str">
        <f t="shared" si="0"/>
        <v>A1B125-100A-3P-TMF</v>
      </c>
      <c r="E45" s="432" t="str">
        <f t="shared" si="1"/>
        <v>1SDA066707R1</v>
      </c>
      <c r="F45" s="433">
        <f t="shared" si="2"/>
        <v>2</v>
      </c>
      <c r="G45" s="432" t="str">
        <f t="shared" si="3"/>
        <v>ITM Caja Moldeada 3x100A - A1B125-100A-3P-TMF - 25kA@230Vac, 18kA@400Vac - marca ABB.</v>
      </c>
      <c r="H45" s="432" t="str">
        <f t="shared" si="4"/>
        <v>ABB</v>
      </c>
      <c r="I45" s="435"/>
    </row>
    <row r="46" spans="1:9">
      <c r="A46" s="409" t="s">
        <v>1197</v>
      </c>
      <c r="B46" s="413">
        <v>3</v>
      </c>
      <c r="C46" s="435"/>
      <c r="D46" s="431" t="str">
        <f t="shared" si="0"/>
        <v>A1B125-80A-3P-TMF</v>
      </c>
      <c r="E46" s="432" t="str">
        <f t="shared" si="1"/>
        <v>1SDA066705R1</v>
      </c>
      <c r="F46" s="433">
        <f t="shared" si="2"/>
        <v>3</v>
      </c>
      <c r="G46" s="432" t="str">
        <f t="shared" si="3"/>
        <v>ITM Caja Moldeada 3x80A - A1B125-80A-3P-TMF - 25kA@230Vac, 18kA@400Vac - marca ABB.</v>
      </c>
      <c r="H46" s="432" t="str">
        <f t="shared" si="4"/>
        <v>ABB</v>
      </c>
      <c r="I46" s="435"/>
    </row>
    <row r="47" spans="1:9" hidden="1">
      <c r="A47" s="409" t="s">
        <v>1576</v>
      </c>
      <c r="B47" s="413">
        <v>1360</v>
      </c>
      <c r="C47" s="435"/>
      <c r="D47" s="431" t="str">
        <f t="shared" si="0"/>
        <v>Total general</v>
      </c>
      <c r="E47" s="432" t="e">
        <f t="shared" si="1"/>
        <v>#N/A</v>
      </c>
      <c r="F47" s="433">
        <f t="shared" si="2"/>
        <v>1360</v>
      </c>
      <c r="G47" s="432" t="e">
        <f t="shared" si="3"/>
        <v>#N/A</v>
      </c>
      <c r="H47" s="432" t="e">
        <f t="shared" si="4"/>
        <v>#N/A</v>
      </c>
      <c r="I47" s="435"/>
    </row>
    <row r="48" spans="1:9" hidden="1">
      <c r="B48"/>
      <c r="C48" s="435"/>
      <c r="D48" s="431">
        <f t="shared" si="0"/>
        <v>0</v>
      </c>
      <c r="E48" s="432" t="e">
        <f t="shared" si="1"/>
        <v>#N/A</v>
      </c>
      <c r="F48" s="433">
        <f t="shared" si="2"/>
        <v>0</v>
      </c>
      <c r="G48" s="432" t="e">
        <f t="shared" si="3"/>
        <v>#N/A</v>
      </c>
      <c r="H48" s="432" t="e">
        <f t="shared" si="4"/>
        <v>#N/A</v>
      </c>
      <c r="I48" s="435"/>
    </row>
    <row r="49" spans="2:8" hidden="1">
      <c r="B49"/>
      <c r="D49" s="431">
        <f t="shared" si="0"/>
        <v>0</v>
      </c>
      <c r="E49" s="432" t="e">
        <f t="shared" si="1"/>
        <v>#N/A</v>
      </c>
      <c r="F49" s="433">
        <f t="shared" si="2"/>
        <v>0</v>
      </c>
      <c r="G49" s="432" t="e">
        <f t="shared" si="3"/>
        <v>#N/A</v>
      </c>
      <c r="H49" s="432" t="e">
        <f t="shared" si="4"/>
        <v>#N/A</v>
      </c>
    </row>
    <row r="50" spans="2:8" hidden="1">
      <c r="B50"/>
      <c r="D50" s="431">
        <f t="shared" si="0"/>
        <v>0</v>
      </c>
      <c r="E50" s="432" t="e">
        <f t="shared" si="1"/>
        <v>#N/A</v>
      </c>
      <c r="F50" s="433">
        <f t="shared" si="2"/>
        <v>0</v>
      </c>
      <c r="G50" s="432" t="e">
        <f t="shared" si="3"/>
        <v>#N/A</v>
      </c>
      <c r="H50" s="432" t="e">
        <f t="shared" si="4"/>
        <v>#N/A</v>
      </c>
    </row>
    <row r="51" spans="2:8" hidden="1">
      <c r="B51"/>
      <c r="D51" s="431">
        <f t="shared" si="0"/>
        <v>0</v>
      </c>
      <c r="E51" s="432" t="e">
        <f t="shared" si="1"/>
        <v>#N/A</v>
      </c>
      <c r="F51" s="433">
        <f t="shared" si="2"/>
        <v>0</v>
      </c>
      <c r="G51" s="432" t="e">
        <f t="shared" si="3"/>
        <v>#N/A</v>
      </c>
      <c r="H51" s="432" t="e">
        <f t="shared" si="4"/>
        <v>#N/A</v>
      </c>
    </row>
    <row r="52" spans="2:8" hidden="1">
      <c r="B52"/>
      <c r="D52" s="431">
        <f t="shared" si="0"/>
        <v>0</v>
      </c>
      <c r="E52" s="432" t="e">
        <f t="shared" si="1"/>
        <v>#N/A</v>
      </c>
      <c r="F52" s="433">
        <f t="shared" si="2"/>
        <v>0</v>
      </c>
      <c r="G52" s="432" t="e">
        <f t="shared" si="3"/>
        <v>#N/A</v>
      </c>
      <c r="H52" s="432" t="e">
        <f t="shared" si="4"/>
        <v>#N/A</v>
      </c>
    </row>
    <row r="53" spans="2:8" hidden="1">
      <c r="B53"/>
      <c r="D53" s="431">
        <f t="shared" si="0"/>
        <v>0</v>
      </c>
      <c r="E53" s="432" t="e">
        <f t="shared" si="1"/>
        <v>#N/A</v>
      </c>
      <c r="F53" s="433">
        <f t="shared" si="2"/>
        <v>0</v>
      </c>
      <c r="G53" s="432" t="e">
        <f t="shared" si="3"/>
        <v>#N/A</v>
      </c>
      <c r="H53" s="432" t="e">
        <f t="shared" si="4"/>
        <v>#N/A</v>
      </c>
    </row>
    <row r="54" spans="2:8" hidden="1">
      <c r="B54"/>
      <c r="D54" s="431">
        <f t="shared" si="0"/>
        <v>0</v>
      </c>
      <c r="E54" s="432" t="e">
        <f t="shared" si="1"/>
        <v>#N/A</v>
      </c>
      <c r="F54" s="433">
        <f t="shared" si="2"/>
        <v>0</v>
      </c>
      <c r="G54" s="432" t="e">
        <f t="shared" si="3"/>
        <v>#N/A</v>
      </c>
      <c r="H54" s="432" t="e">
        <f t="shared" si="4"/>
        <v>#N/A</v>
      </c>
    </row>
    <row r="55" spans="2:8" hidden="1">
      <c r="B55"/>
      <c r="D55" s="431">
        <f t="shared" si="0"/>
        <v>0</v>
      </c>
      <c r="E55" s="432" t="e">
        <f t="shared" si="1"/>
        <v>#N/A</v>
      </c>
      <c r="F55" s="433">
        <f t="shared" si="2"/>
        <v>0</v>
      </c>
      <c r="G55" s="432" t="e">
        <f t="shared" si="3"/>
        <v>#N/A</v>
      </c>
      <c r="H55" s="432" t="e">
        <f t="shared" si="4"/>
        <v>#N/A</v>
      </c>
    </row>
    <row r="56" spans="2:8" hidden="1">
      <c r="B56"/>
      <c r="D56" s="431">
        <f t="shared" si="0"/>
        <v>0</v>
      </c>
      <c r="E56" s="432" t="e">
        <f t="shared" si="1"/>
        <v>#N/A</v>
      </c>
      <c r="F56" s="433">
        <f t="shared" si="2"/>
        <v>0</v>
      </c>
      <c r="G56" s="432" t="e">
        <f t="shared" si="3"/>
        <v>#N/A</v>
      </c>
      <c r="H56" s="432" t="e">
        <f t="shared" si="4"/>
        <v>#N/A</v>
      </c>
    </row>
    <row r="57" spans="2:8" hidden="1">
      <c r="B57"/>
      <c r="D57" s="431">
        <f t="shared" si="0"/>
        <v>0</v>
      </c>
      <c r="E57" s="432" t="e">
        <f t="shared" si="1"/>
        <v>#N/A</v>
      </c>
      <c r="F57" s="433">
        <f t="shared" si="2"/>
        <v>0</v>
      </c>
      <c r="G57" s="432" t="e">
        <f t="shared" si="3"/>
        <v>#N/A</v>
      </c>
      <c r="H57" s="432" t="e">
        <f t="shared" si="4"/>
        <v>#N/A</v>
      </c>
    </row>
    <row r="58" spans="2:8" hidden="1">
      <c r="B58"/>
      <c r="D58" s="431">
        <f t="shared" si="0"/>
        <v>0</v>
      </c>
      <c r="E58" s="432" t="e">
        <f t="shared" si="1"/>
        <v>#N/A</v>
      </c>
      <c r="F58" s="433">
        <f t="shared" si="2"/>
        <v>0</v>
      </c>
      <c r="G58" s="432" t="e">
        <f t="shared" si="3"/>
        <v>#N/A</v>
      </c>
      <c r="H58" s="432" t="e">
        <f t="shared" si="4"/>
        <v>#N/A</v>
      </c>
    </row>
    <row r="59" spans="2:8" hidden="1">
      <c r="B59"/>
      <c r="D59" s="431">
        <f t="shared" si="0"/>
        <v>0</v>
      </c>
      <c r="E59" s="432" t="e">
        <f t="shared" si="1"/>
        <v>#N/A</v>
      </c>
      <c r="F59" s="433">
        <f t="shared" si="2"/>
        <v>0</v>
      </c>
      <c r="G59" s="432" t="e">
        <f t="shared" si="3"/>
        <v>#N/A</v>
      </c>
      <c r="H59" s="432" t="e">
        <f t="shared" si="4"/>
        <v>#N/A</v>
      </c>
    </row>
    <row r="60" spans="2:8" hidden="1">
      <c r="B60"/>
      <c r="D60" s="431">
        <f t="shared" si="0"/>
        <v>0</v>
      </c>
      <c r="E60" s="432" t="e">
        <f t="shared" si="1"/>
        <v>#N/A</v>
      </c>
      <c r="F60" s="433">
        <f t="shared" si="2"/>
        <v>0</v>
      </c>
      <c r="G60" s="432" t="e">
        <f t="shared" si="3"/>
        <v>#N/A</v>
      </c>
      <c r="H60" s="432" t="e">
        <f t="shared" si="4"/>
        <v>#N/A</v>
      </c>
    </row>
    <row r="61" spans="2:8" hidden="1">
      <c r="B61"/>
      <c r="D61" s="431">
        <f t="shared" si="0"/>
        <v>0</v>
      </c>
      <c r="E61" s="432" t="e">
        <f t="shared" si="1"/>
        <v>#N/A</v>
      </c>
      <c r="F61" s="433">
        <f t="shared" si="2"/>
        <v>0</v>
      </c>
      <c r="G61" s="432" t="e">
        <f t="shared" si="3"/>
        <v>#N/A</v>
      </c>
      <c r="H61" s="432" t="e">
        <f t="shared" si="4"/>
        <v>#N/A</v>
      </c>
    </row>
    <row r="62" spans="2:8" hidden="1">
      <c r="B62"/>
      <c r="D62" s="431">
        <f t="shared" si="0"/>
        <v>0</v>
      </c>
      <c r="E62" s="432" t="e">
        <f t="shared" si="1"/>
        <v>#N/A</v>
      </c>
      <c r="F62" s="433">
        <f t="shared" si="2"/>
        <v>0</v>
      </c>
      <c r="G62" s="432" t="e">
        <f t="shared" si="3"/>
        <v>#N/A</v>
      </c>
      <c r="H62" s="432" t="e">
        <f t="shared" si="4"/>
        <v>#N/A</v>
      </c>
    </row>
    <row r="63" spans="2:8" hidden="1">
      <c r="B63"/>
      <c r="D63" s="431">
        <f t="shared" si="0"/>
        <v>0</v>
      </c>
      <c r="E63" s="432" t="e">
        <f t="shared" si="1"/>
        <v>#N/A</v>
      </c>
      <c r="F63" s="433">
        <f t="shared" si="2"/>
        <v>0</v>
      </c>
      <c r="G63" s="432" t="e">
        <f t="shared" si="3"/>
        <v>#N/A</v>
      </c>
      <c r="H63" s="432" t="e">
        <f t="shared" si="4"/>
        <v>#N/A</v>
      </c>
    </row>
    <row r="64" spans="2:8" hidden="1">
      <c r="B64"/>
      <c r="D64" s="431">
        <f t="shared" si="0"/>
        <v>0</v>
      </c>
      <c r="E64" s="432" t="e">
        <f t="shared" si="1"/>
        <v>#N/A</v>
      </c>
      <c r="F64" s="433">
        <f t="shared" si="2"/>
        <v>0</v>
      </c>
      <c r="G64" s="432" t="e">
        <f t="shared" si="3"/>
        <v>#N/A</v>
      </c>
      <c r="H64" s="432" t="e">
        <f t="shared" si="4"/>
        <v>#N/A</v>
      </c>
    </row>
    <row r="65" spans="2:8" hidden="1">
      <c r="B65"/>
      <c r="D65" s="431">
        <f t="shared" si="0"/>
        <v>0</v>
      </c>
      <c r="E65" s="432" t="e">
        <f t="shared" si="1"/>
        <v>#N/A</v>
      </c>
      <c r="F65" s="433">
        <f t="shared" si="2"/>
        <v>0</v>
      </c>
      <c r="G65" s="432" t="e">
        <f t="shared" si="3"/>
        <v>#N/A</v>
      </c>
      <c r="H65" s="432" t="e">
        <f t="shared" si="4"/>
        <v>#N/A</v>
      </c>
    </row>
    <row r="66" spans="2:8" hidden="1">
      <c r="B66"/>
      <c r="D66" s="431">
        <f t="shared" si="0"/>
        <v>0</v>
      </c>
      <c r="E66" s="432" t="e">
        <f t="shared" si="1"/>
        <v>#N/A</v>
      </c>
      <c r="F66" s="433">
        <f t="shared" si="2"/>
        <v>0</v>
      </c>
      <c r="G66" s="432" t="e">
        <f t="shared" si="3"/>
        <v>#N/A</v>
      </c>
      <c r="H66" s="432" t="e">
        <f t="shared" si="4"/>
        <v>#N/A</v>
      </c>
    </row>
    <row r="67" spans="2:8" hidden="1">
      <c r="B67"/>
      <c r="D67" s="431">
        <f t="shared" si="0"/>
        <v>0</v>
      </c>
      <c r="E67" s="432" t="e">
        <f t="shared" si="1"/>
        <v>#N/A</v>
      </c>
      <c r="F67" s="433">
        <f t="shared" si="2"/>
        <v>0</v>
      </c>
      <c r="G67" s="432" t="e">
        <f t="shared" si="3"/>
        <v>#N/A</v>
      </c>
      <c r="H67" s="432" t="e">
        <f t="shared" si="4"/>
        <v>#N/A</v>
      </c>
    </row>
    <row r="68" spans="2:8" hidden="1">
      <c r="B68"/>
      <c r="D68" s="431">
        <f t="shared" si="0"/>
        <v>0</v>
      </c>
      <c r="E68" s="432" t="e">
        <f t="shared" si="1"/>
        <v>#N/A</v>
      </c>
      <c r="F68" s="433">
        <f t="shared" si="2"/>
        <v>0</v>
      </c>
      <c r="G68" s="432" t="e">
        <f t="shared" si="3"/>
        <v>#N/A</v>
      </c>
      <c r="H68" s="432" t="e">
        <f t="shared" si="4"/>
        <v>#N/A</v>
      </c>
    </row>
    <row r="69" spans="2:8" hidden="1">
      <c r="B69"/>
      <c r="D69" s="431">
        <f t="shared" si="0"/>
        <v>0</v>
      </c>
      <c r="E69" s="432" t="e">
        <f t="shared" si="1"/>
        <v>#N/A</v>
      </c>
      <c r="F69" s="433">
        <f t="shared" si="2"/>
        <v>0</v>
      </c>
      <c r="G69" s="432" t="e">
        <f t="shared" si="3"/>
        <v>#N/A</v>
      </c>
      <c r="H69" s="432" t="e">
        <f t="shared" si="4"/>
        <v>#N/A</v>
      </c>
    </row>
    <row r="70" spans="2:8" hidden="1">
      <c r="B70"/>
      <c r="D70" s="431">
        <f t="shared" si="0"/>
        <v>0</v>
      </c>
      <c r="E70" s="432" t="e">
        <f t="shared" si="1"/>
        <v>#N/A</v>
      </c>
      <c r="F70" s="433">
        <f t="shared" si="2"/>
        <v>0</v>
      </c>
      <c r="G70" s="432" t="e">
        <f t="shared" si="3"/>
        <v>#N/A</v>
      </c>
      <c r="H70" s="432" t="e">
        <f t="shared" si="4"/>
        <v>#N/A</v>
      </c>
    </row>
    <row r="71" spans="2:8" hidden="1">
      <c r="B71"/>
      <c r="D71" s="431">
        <f t="shared" si="0"/>
        <v>0</v>
      </c>
      <c r="E71" s="432" t="e">
        <f t="shared" si="1"/>
        <v>#N/A</v>
      </c>
      <c r="F71" s="433">
        <f t="shared" si="2"/>
        <v>0</v>
      </c>
      <c r="G71" s="432" t="e">
        <f t="shared" si="3"/>
        <v>#N/A</v>
      </c>
      <c r="H71" s="432" t="e">
        <f t="shared" si="4"/>
        <v>#N/A</v>
      </c>
    </row>
    <row r="72" spans="2:8" hidden="1">
      <c r="B72"/>
      <c r="D72" s="431">
        <f t="shared" ref="D72:D135" si="5">A72</f>
        <v>0</v>
      </c>
      <c r="E72" s="432" t="e">
        <f t="shared" ref="E72:E135" si="6">VLOOKUP(D72,base_datos,7,FALSE)</f>
        <v>#N/A</v>
      </c>
      <c r="F72" s="433">
        <f t="shared" ref="F72:F135" si="7">B72</f>
        <v>0</v>
      </c>
      <c r="G72" s="432" t="e">
        <f t="shared" ref="G72:G135" si="8">VLOOKUP(D72,base_datos,6,FALSE)</f>
        <v>#N/A</v>
      </c>
      <c r="H72" s="432" t="e">
        <f t="shared" ref="H72:H135" si="9">VLOOKUP(D72,base_datos,9,FALSE)</f>
        <v>#N/A</v>
      </c>
    </row>
    <row r="73" spans="2:8" hidden="1">
      <c r="B73"/>
      <c r="D73" s="431">
        <f t="shared" si="5"/>
        <v>0</v>
      </c>
      <c r="E73" s="432" t="e">
        <f t="shared" si="6"/>
        <v>#N/A</v>
      </c>
      <c r="F73" s="433">
        <f t="shared" si="7"/>
        <v>0</v>
      </c>
      <c r="G73" s="432" t="e">
        <f t="shared" si="8"/>
        <v>#N/A</v>
      </c>
      <c r="H73" s="432" t="e">
        <f t="shared" si="9"/>
        <v>#N/A</v>
      </c>
    </row>
    <row r="74" spans="2:8" hidden="1">
      <c r="B74"/>
      <c r="D74" s="431">
        <f t="shared" si="5"/>
        <v>0</v>
      </c>
      <c r="E74" s="432" t="e">
        <f t="shared" si="6"/>
        <v>#N/A</v>
      </c>
      <c r="F74" s="433">
        <f t="shared" si="7"/>
        <v>0</v>
      </c>
      <c r="G74" s="432" t="e">
        <f t="shared" si="8"/>
        <v>#N/A</v>
      </c>
      <c r="H74" s="432" t="e">
        <f t="shared" si="9"/>
        <v>#N/A</v>
      </c>
    </row>
    <row r="75" spans="2:8" hidden="1">
      <c r="B75"/>
      <c r="D75" s="431">
        <f t="shared" si="5"/>
        <v>0</v>
      </c>
      <c r="E75" s="432" t="e">
        <f t="shared" si="6"/>
        <v>#N/A</v>
      </c>
      <c r="F75" s="433">
        <f t="shared" si="7"/>
        <v>0</v>
      </c>
      <c r="G75" s="432" t="e">
        <f t="shared" si="8"/>
        <v>#N/A</v>
      </c>
      <c r="H75" s="432" t="e">
        <f t="shared" si="9"/>
        <v>#N/A</v>
      </c>
    </row>
    <row r="76" spans="2:8" hidden="1">
      <c r="B76"/>
      <c r="D76" s="431">
        <f t="shared" si="5"/>
        <v>0</v>
      </c>
      <c r="E76" s="432" t="e">
        <f t="shared" si="6"/>
        <v>#N/A</v>
      </c>
      <c r="F76" s="433">
        <f t="shared" si="7"/>
        <v>0</v>
      </c>
      <c r="G76" s="432" t="e">
        <f t="shared" si="8"/>
        <v>#N/A</v>
      </c>
      <c r="H76" s="432" t="e">
        <f t="shared" si="9"/>
        <v>#N/A</v>
      </c>
    </row>
    <row r="77" spans="2:8" hidden="1">
      <c r="B77"/>
      <c r="D77" s="431">
        <f t="shared" si="5"/>
        <v>0</v>
      </c>
      <c r="E77" s="432" t="e">
        <f t="shared" si="6"/>
        <v>#N/A</v>
      </c>
      <c r="F77" s="433">
        <f t="shared" si="7"/>
        <v>0</v>
      </c>
      <c r="G77" s="432" t="e">
        <f t="shared" si="8"/>
        <v>#N/A</v>
      </c>
      <c r="H77" s="432" t="e">
        <f t="shared" si="9"/>
        <v>#N/A</v>
      </c>
    </row>
    <row r="78" spans="2:8" hidden="1">
      <c r="B78"/>
      <c r="D78" s="431">
        <f t="shared" si="5"/>
        <v>0</v>
      </c>
      <c r="E78" s="432" t="e">
        <f t="shared" si="6"/>
        <v>#N/A</v>
      </c>
      <c r="F78" s="433">
        <f t="shared" si="7"/>
        <v>0</v>
      </c>
      <c r="G78" s="432" t="e">
        <f t="shared" si="8"/>
        <v>#N/A</v>
      </c>
      <c r="H78" s="432" t="e">
        <f t="shared" si="9"/>
        <v>#N/A</v>
      </c>
    </row>
    <row r="79" spans="2:8" hidden="1">
      <c r="B79"/>
      <c r="D79" s="431">
        <f t="shared" si="5"/>
        <v>0</v>
      </c>
      <c r="E79" s="432" t="e">
        <f t="shared" si="6"/>
        <v>#N/A</v>
      </c>
      <c r="F79" s="433">
        <f t="shared" si="7"/>
        <v>0</v>
      </c>
      <c r="G79" s="432" t="e">
        <f t="shared" si="8"/>
        <v>#N/A</v>
      </c>
      <c r="H79" s="432" t="e">
        <f t="shared" si="9"/>
        <v>#N/A</v>
      </c>
    </row>
    <row r="80" spans="2:8" hidden="1">
      <c r="B80"/>
      <c r="D80" s="431">
        <f t="shared" si="5"/>
        <v>0</v>
      </c>
      <c r="E80" s="432" t="e">
        <f t="shared" si="6"/>
        <v>#N/A</v>
      </c>
      <c r="F80" s="433">
        <f t="shared" si="7"/>
        <v>0</v>
      </c>
      <c r="G80" s="432" t="e">
        <f t="shared" si="8"/>
        <v>#N/A</v>
      </c>
      <c r="H80" s="432" t="e">
        <f t="shared" si="9"/>
        <v>#N/A</v>
      </c>
    </row>
    <row r="81" spans="2:8" hidden="1">
      <c r="B81"/>
      <c r="D81" s="431">
        <f t="shared" si="5"/>
        <v>0</v>
      </c>
      <c r="E81" s="432" t="e">
        <f t="shared" si="6"/>
        <v>#N/A</v>
      </c>
      <c r="F81" s="433">
        <f t="shared" si="7"/>
        <v>0</v>
      </c>
      <c r="G81" s="432" t="e">
        <f t="shared" si="8"/>
        <v>#N/A</v>
      </c>
      <c r="H81" s="432" t="e">
        <f t="shared" si="9"/>
        <v>#N/A</v>
      </c>
    </row>
    <row r="82" spans="2:8" hidden="1">
      <c r="B82"/>
      <c r="D82" s="431">
        <f t="shared" si="5"/>
        <v>0</v>
      </c>
      <c r="E82" s="432" t="e">
        <f t="shared" si="6"/>
        <v>#N/A</v>
      </c>
      <c r="F82" s="433">
        <f t="shared" si="7"/>
        <v>0</v>
      </c>
      <c r="G82" s="432" t="e">
        <f t="shared" si="8"/>
        <v>#N/A</v>
      </c>
      <c r="H82" s="432" t="e">
        <f t="shared" si="9"/>
        <v>#N/A</v>
      </c>
    </row>
    <row r="83" spans="2:8" hidden="1">
      <c r="B83"/>
      <c r="D83" s="431">
        <f t="shared" si="5"/>
        <v>0</v>
      </c>
      <c r="E83" s="432" t="e">
        <f t="shared" si="6"/>
        <v>#N/A</v>
      </c>
      <c r="F83" s="433">
        <f t="shared" si="7"/>
        <v>0</v>
      </c>
      <c r="G83" s="432" t="e">
        <f t="shared" si="8"/>
        <v>#N/A</v>
      </c>
      <c r="H83" s="432" t="e">
        <f t="shared" si="9"/>
        <v>#N/A</v>
      </c>
    </row>
    <row r="84" spans="2:8" hidden="1">
      <c r="B84"/>
      <c r="D84" s="431">
        <f t="shared" si="5"/>
        <v>0</v>
      </c>
      <c r="E84" s="432" t="e">
        <f t="shared" si="6"/>
        <v>#N/A</v>
      </c>
      <c r="F84" s="433">
        <f t="shared" si="7"/>
        <v>0</v>
      </c>
      <c r="G84" s="432" t="e">
        <f t="shared" si="8"/>
        <v>#N/A</v>
      </c>
      <c r="H84" s="432" t="e">
        <f t="shared" si="9"/>
        <v>#N/A</v>
      </c>
    </row>
    <row r="85" spans="2:8" hidden="1">
      <c r="B85"/>
      <c r="D85" s="431">
        <f t="shared" si="5"/>
        <v>0</v>
      </c>
      <c r="E85" s="432" t="e">
        <f t="shared" si="6"/>
        <v>#N/A</v>
      </c>
      <c r="F85" s="433">
        <f t="shared" si="7"/>
        <v>0</v>
      </c>
      <c r="G85" s="432" t="e">
        <f t="shared" si="8"/>
        <v>#N/A</v>
      </c>
      <c r="H85" s="432" t="e">
        <f t="shared" si="9"/>
        <v>#N/A</v>
      </c>
    </row>
    <row r="86" spans="2:8" hidden="1">
      <c r="B86"/>
      <c r="D86" s="431">
        <f t="shared" si="5"/>
        <v>0</v>
      </c>
      <c r="E86" s="432" t="e">
        <f t="shared" si="6"/>
        <v>#N/A</v>
      </c>
      <c r="F86" s="433">
        <f t="shared" si="7"/>
        <v>0</v>
      </c>
      <c r="G86" s="432" t="e">
        <f t="shared" si="8"/>
        <v>#N/A</v>
      </c>
      <c r="H86" s="432" t="e">
        <f t="shared" si="9"/>
        <v>#N/A</v>
      </c>
    </row>
    <row r="87" spans="2:8" hidden="1">
      <c r="B87"/>
      <c r="D87" s="431">
        <f t="shared" si="5"/>
        <v>0</v>
      </c>
      <c r="E87" s="432" t="e">
        <f t="shared" si="6"/>
        <v>#N/A</v>
      </c>
      <c r="F87" s="433">
        <f t="shared" si="7"/>
        <v>0</v>
      </c>
      <c r="G87" s="432" t="e">
        <f t="shared" si="8"/>
        <v>#N/A</v>
      </c>
      <c r="H87" s="432" t="e">
        <f t="shared" si="9"/>
        <v>#N/A</v>
      </c>
    </row>
    <row r="88" spans="2:8" hidden="1">
      <c r="B88"/>
      <c r="D88" s="431">
        <f t="shared" si="5"/>
        <v>0</v>
      </c>
      <c r="E88" s="432" t="e">
        <f t="shared" si="6"/>
        <v>#N/A</v>
      </c>
      <c r="F88" s="433">
        <f t="shared" si="7"/>
        <v>0</v>
      </c>
      <c r="G88" s="432" t="e">
        <f t="shared" si="8"/>
        <v>#N/A</v>
      </c>
      <c r="H88" s="432" t="e">
        <f t="shared" si="9"/>
        <v>#N/A</v>
      </c>
    </row>
    <row r="89" spans="2:8" hidden="1">
      <c r="B89"/>
      <c r="D89" s="431">
        <f t="shared" si="5"/>
        <v>0</v>
      </c>
      <c r="E89" s="432" t="e">
        <f t="shared" si="6"/>
        <v>#N/A</v>
      </c>
      <c r="F89" s="433">
        <f t="shared" si="7"/>
        <v>0</v>
      </c>
      <c r="G89" s="432" t="e">
        <f t="shared" si="8"/>
        <v>#N/A</v>
      </c>
      <c r="H89" s="432" t="e">
        <f t="shared" si="9"/>
        <v>#N/A</v>
      </c>
    </row>
    <row r="90" spans="2:8" hidden="1">
      <c r="B90"/>
      <c r="D90" s="431">
        <f t="shared" si="5"/>
        <v>0</v>
      </c>
      <c r="E90" s="432" t="e">
        <f t="shared" si="6"/>
        <v>#N/A</v>
      </c>
      <c r="F90" s="433">
        <f t="shared" si="7"/>
        <v>0</v>
      </c>
      <c r="G90" s="432" t="e">
        <f t="shared" si="8"/>
        <v>#N/A</v>
      </c>
      <c r="H90" s="432" t="e">
        <f t="shared" si="9"/>
        <v>#N/A</v>
      </c>
    </row>
    <row r="91" spans="2:8" hidden="1">
      <c r="B91"/>
      <c r="D91" s="431">
        <f t="shared" si="5"/>
        <v>0</v>
      </c>
      <c r="E91" s="432" t="e">
        <f t="shared" si="6"/>
        <v>#N/A</v>
      </c>
      <c r="F91" s="433">
        <f t="shared" si="7"/>
        <v>0</v>
      </c>
      <c r="G91" s="432" t="e">
        <f t="shared" si="8"/>
        <v>#N/A</v>
      </c>
      <c r="H91" s="432" t="e">
        <f t="shared" si="9"/>
        <v>#N/A</v>
      </c>
    </row>
    <row r="92" spans="2:8" hidden="1">
      <c r="B92"/>
      <c r="D92" s="431">
        <f t="shared" si="5"/>
        <v>0</v>
      </c>
      <c r="E92" s="432" t="e">
        <f t="shared" si="6"/>
        <v>#N/A</v>
      </c>
      <c r="F92" s="433">
        <f t="shared" si="7"/>
        <v>0</v>
      </c>
      <c r="G92" s="432" t="e">
        <f t="shared" si="8"/>
        <v>#N/A</v>
      </c>
      <c r="H92" s="432" t="e">
        <f t="shared" si="9"/>
        <v>#N/A</v>
      </c>
    </row>
    <row r="93" spans="2:8" hidden="1">
      <c r="B93"/>
      <c r="D93" s="431">
        <f t="shared" si="5"/>
        <v>0</v>
      </c>
      <c r="E93" s="432" t="e">
        <f t="shared" si="6"/>
        <v>#N/A</v>
      </c>
      <c r="F93" s="433">
        <f t="shared" si="7"/>
        <v>0</v>
      </c>
      <c r="G93" s="432" t="e">
        <f t="shared" si="8"/>
        <v>#N/A</v>
      </c>
      <c r="H93" s="432" t="e">
        <f t="shared" si="9"/>
        <v>#N/A</v>
      </c>
    </row>
    <row r="94" spans="2:8" hidden="1">
      <c r="B94"/>
      <c r="D94" s="431">
        <f t="shared" si="5"/>
        <v>0</v>
      </c>
      <c r="E94" s="432" t="e">
        <f t="shared" si="6"/>
        <v>#N/A</v>
      </c>
      <c r="F94" s="433">
        <f t="shared" si="7"/>
        <v>0</v>
      </c>
      <c r="G94" s="432" t="e">
        <f t="shared" si="8"/>
        <v>#N/A</v>
      </c>
      <c r="H94" s="432" t="e">
        <f t="shared" si="9"/>
        <v>#N/A</v>
      </c>
    </row>
    <row r="95" spans="2:8" hidden="1">
      <c r="B95"/>
      <c r="D95" s="431">
        <f t="shared" si="5"/>
        <v>0</v>
      </c>
      <c r="E95" s="432" t="e">
        <f t="shared" si="6"/>
        <v>#N/A</v>
      </c>
      <c r="F95" s="433">
        <f t="shared" si="7"/>
        <v>0</v>
      </c>
      <c r="G95" s="432" t="e">
        <f t="shared" si="8"/>
        <v>#N/A</v>
      </c>
      <c r="H95" s="432" t="e">
        <f t="shared" si="9"/>
        <v>#N/A</v>
      </c>
    </row>
    <row r="96" spans="2:8" hidden="1">
      <c r="B96"/>
      <c r="D96" s="431">
        <f t="shared" si="5"/>
        <v>0</v>
      </c>
      <c r="E96" s="432" t="e">
        <f t="shared" si="6"/>
        <v>#N/A</v>
      </c>
      <c r="F96" s="433">
        <f t="shared" si="7"/>
        <v>0</v>
      </c>
      <c r="G96" s="432" t="e">
        <f t="shared" si="8"/>
        <v>#N/A</v>
      </c>
      <c r="H96" s="432" t="e">
        <f t="shared" si="9"/>
        <v>#N/A</v>
      </c>
    </row>
    <row r="97" spans="2:8" hidden="1">
      <c r="B97"/>
      <c r="D97" s="431">
        <f t="shared" si="5"/>
        <v>0</v>
      </c>
      <c r="E97" s="432" t="e">
        <f t="shared" si="6"/>
        <v>#N/A</v>
      </c>
      <c r="F97" s="433">
        <f t="shared" si="7"/>
        <v>0</v>
      </c>
      <c r="G97" s="432" t="e">
        <f t="shared" si="8"/>
        <v>#N/A</v>
      </c>
      <c r="H97" s="432" t="e">
        <f t="shared" si="9"/>
        <v>#N/A</v>
      </c>
    </row>
    <row r="98" spans="2:8" hidden="1">
      <c r="B98"/>
      <c r="D98" s="431">
        <f t="shared" si="5"/>
        <v>0</v>
      </c>
      <c r="E98" s="432" t="e">
        <f t="shared" si="6"/>
        <v>#N/A</v>
      </c>
      <c r="F98" s="433">
        <f t="shared" si="7"/>
        <v>0</v>
      </c>
      <c r="G98" s="432" t="e">
        <f t="shared" si="8"/>
        <v>#N/A</v>
      </c>
      <c r="H98" s="432" t="e">
        <f t="shared" si="9"/>
        <v>#N/A</v>
      </c>
    </row>
    <row r="99" spans="2:8" hidden="1">
      <c r="B99"/>
      <c r="D99" s="431">
        <f t="shared" si="5"/>
        <v>0</v>
      </c>
      <c r="E99" s="432" t="e">
        <f t="shared" si="6"/>
        <v>#N/A</v>
      </c>
      <c r="F99" s="433">
        <f t="shared" si="7"/>
        <v>0</v>
      </c>
      <c r="G99" s="432" t="e">
        <f t="shared" si="8"/>
        <v>#N/A</v>
      </c>
      <c r="H99" s="432" t="e">
        <f t="shared" si="9"/>
        <v>#N/A</v>
      </c>
    </row>
    <row r="100" spans="2:8" hidden="1">
      <c r="B100"/>
      <c r="D100" s="431">
        <f t="shared" si="5"/>
        <v>0</v>
      </c>
      <c r="E100" s="432" t="e">
        <f t="shared" si="6"/>
        <v>#N/A</v>
      </c>
      <c r="F100" s="433">
        <f t="shared" si="7"/>
        <v>0</v>
      </c>
      <c r="G100" s="432" t="e">
        <f t="shared" si="8"/>
        <v>#N/A</v>
      </c>
      <c r="H100" s="432" t="e">
        <f t="shared" si="9"/>
        <v>#N/A</v>
      </c>
    </row>
    <row r="101" spans="2:8" hidden="1">
      <c r="B101"/>
      <c r="D101" s="431">
        <f t="shared" si="5"/>
        <v>0</v>
      </c>
      <c r="E101" s="432" t="e">
        <f t="shared" si="6"/>
        <v>#N/A</v>
      </c>
      <c r="F101" s="433">
        <f t="shared" si="7"/>
        <v>0</v>
      </c>
      <c r="G101" s="432" t="e">
        <f t="shared" si="8"/>
        <v>#N/A</v>
      </c>
      <c r="H101" s="432" t="e">
        <f t="shared" si="9"/>
        <v>#N/A</v>
      </c>
    </row>
    <row r="102" spans="2:8" hidden="1">
      <c r="B102"/>
      <c r="D102" s="431">
        <f t="shared" si="5"/>
        <v>0</v>
      </c>
      <c r="E102" s="432" t="e">
        <f t="shared" si="6"/>
        <v>#N/A</v>
      </c>
      <c r="F102" s="433">
        <f t="shared" si="7"/>
        <v>0</v>
      </c>
      <c r="G102" s="432" t="e">
        <f t="shared" si="8"/>
        <v>#N/A</v>
      </c>
      <c r="H102" s="432" t="e">
        <f t="shared" si="9"/>
        <v>#N/A</v>
      </c>
    </row>
    <row r="103" spans="2:8" hidden="1">
      <c r="B103"/>
      <c r="D103" s="431">
        <f t="shared" si="5"/>
        <v>0</v>
      </c>
      <c r="E103" s="432" t="e">
        <f t="shared" si="6"/>
        <v>#N/A</v>
      </c>
      <c r="F103" s="433">
        <f t="shared" si="7"/>
        <v>0</v>
      </c>
      <c r="G103" s="432" t="e">
        <f t="shared" si="8"/>
        <v>#N/A</v>
      </c>
      <c r="H103" s="432" t="e">
        <f t="shared" si="9"/>
        <v>#N/A</v>
      </c>
    </row>
    <row r="104" spans="2:8" hidden="1">
      <c r="B104"/>
      <c r="D104" s="431">
        <f t="shared" si="5"/>
        <v>0</v>
      </c>
      <c r="E104" s="432" t="e">
        <f t="shared" si="6"/>
        <v>#N/A</v>
      </c>
      <c r="F104" s="433">
        <f t="shared" si="7"/>
        <v>0</v>
      </c>
      <c r="G104" s="432" t="e">
        <f t="shared" si="8"/>
        <v>#N/A</v>
      </c>
      <c r="H104" s="432" t="e">
        <f t="shared" si="9"/>
        <v>#N/A</v>
      </c>
    </row>
    <row r="105" spans="2:8" hidden="1">
      <c r="B105"/>
      <c r="D105" s="431">
        <f t="shared" si="5"/>
        <v>0</v>
      </c>
      <c r="E105" s="432" t="e">
        <f t="shared" si="6"/>
        <v>#N/A</v>
      </c>
      <c r="F105" s="433">
        <f t="shared" si="7"/>
        <v>0</v>
      </c>
      <c r="G105" s="432" t="e">
        <f t="shared" si="8"/>
        <v>#N/A</v>
      </c>
      <c r="H105" s="432" t="e">
        <f t="shared" si="9"/>
        <v>#N/A</v>
      </c>
    </row>
    <row r="106" spans="2:8" hidden="1">
      <c r="B106"/>
      <c r="D106" s="431">
        <f t="shared" si="5"/>
        <v>0</v>
      </c>
      <c r="E106" s="432" t="e">
        <f t="shared" si="6"/>
        <v>#N/A</v>
      </c>
      <c r="F106" s="433">
        <f t="shared" si="7"/>
        <v>0</v>
      </c>
      <c r="G106" s="432" t="e">
        <f t="shared" si="8"/>
        <v>#N/A</v>
      </c>
      <c r="H106" s="432" t="e">
        <f t="shared" si="9"/>
        <v>#N/A</v>
      </c>
    </row>
    <row r="107" spans="2:8" hidden="1">
      <c r="B107"/>
      <c r="D107" s="431">
        <f t="shared" si="5"/>
        <v>0</v>
      </c>
      <c r="E107" s="432" t="e">
        <f t="shared" si="6"/>
        <v>#N/A</v>
      </c>
      <c r="F107" s="433">
        <f t="shared" si="7"/>
        <v>0</v>
      </c>
      <c r="G107" s="432" t="e">
        <f t="shared" si="8"/>
        <v>#N/A</v>
      </c>
      <c r="H107" s="432" t="e">
        <f t="shared" si="9"/>
        <v>#N/A</v>
      </c>
    </row>
    <row r="108" spans="2:8" hidden="1">
      <c r="B108"/>
      <c r="D108" s="431">
        <f t="shared" si="5"/>
        <v>0</v>
      </c>
      <c r="E108" s="432" t="e">
        <f t="shared" si="6"/>
        <v>#N/A</v>
      </c>
      <c r="F108" s="433">
        <f t="shared" si="7"/>
        <v>0</v>
      </c>
      <c r="G108" s="432" t="e">
        <f t="shared" si="8"/>
        <v>#N/A</v>
      </c>
      <c r="H108" s="432" t="e">
        <f t="shared" si="9"/>
        <v>#N/A</v>
      </c>
    </row>
    <row r="109" spans="2:8" hidden="1">
      <c r="B109"/>
      <c r="D109" s="431">
        <f t="shared" si="5"/>
        <v>0</v>
      </c>
      <c r="E109" s="432" t="e">
        <f t="shared" si="6"/>
        <v>#N/A</v>
      </c>
      <c r="F109" s="433">
        <f t="shared" si="7"/>
        <v>0</v>
      </c>
      <c r="G109" s="432" t="e">
        <f t="shared" si="8"/>
        <v>#N/A</v>
      </c>
      <c r="H109" s="432" t="e">
        <f t="shared" si="9"/>
        <v>#N/A</v>
      </c>
    </row>
    <row r="110" spans="2:8" hidden="1">
      <c r="B110"/>
      <c r="D110" s="431">
        <f t="shared" si="5"/>
        <v>0</v>
      </c>
      <c r="E110" s="432" t="e">
        <f t="shared" si="6"/>
        <v>#N/A</v>
      </c>
      <c r="F110" s="433">
        <f t="shared" si="7"/>
        <v>0</v>
      </c>
      <c r="G110" s="432" t="e">
        <f t="shared" si="8"/>
        <v>#N/A</v>
      </c>
      <c r="H110" s="432" t="e">
        <f t="shared" si="9"/>
        <v>#N/A</v>
      </c>
    </row>
    <row r="111" spans="2:8" hidden="1">
      <c r="B111"/>
      <c r="D111" s="431">
        <f t="shared" si="5"/>
        <v>0</v>
      </c>
      <c r="E111" s="432" t="e">
        <f t="shared" si="6"/>
        <v>#N/A</v>
      </c>
      <c r="F111" s="433">
        <f t="shared" si="7"/>
        <v>0</v>
      </c>
      <c r="G111" s="432" t="e">
        <f t="shared" si="8"/>
        <v>#N/A</v>
      </c>
      <c r="H111" s="432" t="e">
        <f t="shared" si="9"/>
        <v>#N/A</v>
      </c>
    </row>
    <row r="112" spans="2:8" hidden="1">
      <c r="B112"/>
      <c r="D112" s="431">
        <f t="shared" si="5"/>
        <v>0</v>
      </c>
      <c r="E112" s="432" t="e">
        <f t="shared" si="6"/>
        <v>#N/A</v>
      </c>
      <c r="F112" s="433">
        <f t="shared" si="7"/>
        <v>0</v>
      </c>
      <c r="G112" s="432" t="e">
        <f t="shared" si="8"/>
        <v>#N/A</v>
      </c>
      <c r="H112" s="432" t="e">
        <f t="shared" si="9"/>
        <v>#N/A</v>
      </c>
    </row>
    <row r="113" spans="2:8" hidden="1">
      <c r="B113"/>
      <c r="D113" s="431">
        <f t="shared" si="5"/>
        <v>0</v>
      </c>
      <c r="E113" s="432" t="e">
        <f t="shared" si="6"/>
        <v>#N/A</v>
      </c>
      <c r="F113" s="433">
        <f t="shared" si="7"/>
        <v>0</v>
      </c>
      <c r="G113" s="432" t="e">
        <f t="shared" si="8"/>
        <v>#N/A</v>
      </c>
      <c r="H113" s="432" t="e">
        <f t="shared" si="9"/>
        <v>#N/A</v>
      </c>
    </row>
    <row r="114" spans="2:8" hidden="1">
      <c r="B114"/>
      <c r="D114" s="431">
        <f t="shared" si="5"/>
        <v>0</v>
      </c>
      <c r="E114" s="432" t="e">
        <f t="shared" si="6"/>
        <v>#N/A</v>
      </c>
      <c r="F114" s="433">
        <f t="shared" si="7"/>
        <v>0</v>
      </c>
      <c r="G114" s="432" t="e">
        <f t="shared" si="8"/>
        <v>#N/A</v>
      </c>
      <c r="H114" s="432" t="e">
        <f t="shared" si="9"/>
        <v>#N/A</v>
      </c>
    </row>
    <row r="115" spans="2:8" hidden="1">
      <c r="B115"/>
      <c r="D115" s="431">
        <f t="shared" si="5"/>
        <v>0</v>
      </c>
      <c r="E115" s="432" t="e">
        <f t="shared" si="6"/>
        <v>#N/A</v>
      </c>
      <c r="F115" s="433">
        <f t="shared" si="7"/>
        <v>0</v>
      </c>
      <c r="G115" s="432" t="e">
        <f t="shared" si="8"/>
        <v>#N/A</v>
      </c>
      <c r="H115" s="432" t="e">
        <f t="shared" si="9"/>
        <v>#N/A</v>
      </c>
    </row>
    <row r="116" spans="2:8" hidden="1">
      <c r="B116"/>
      <c r="D116" s="431">
        <f t="shared" si="5"/>
        <v>0</v>
      </c>
      <c r="E116" s="432" t="e">
        <f t="shared" si="6"/>
        <v>#N/A</v>
      </c>
      <c r="F116" s="433">
        <f t="shared" si="7"/>
        <v>0</v>
      </c>
      <c r="G116" s="432" t="e">
        <f t="shared" si="8"/>
        <v>#N/A</v>
      </c>
      <c r="H116" s="432" t="e">
        <f t="shared" si="9"/>
        <v>#N/A</v>
      </c>
    </row>
    <row r="117" spans="2:8" hidden="1">
      <c r="B117"/>
      <c r="D117" s="431">
        <f t="shared" si="5"/>
        <v>0</v>
      </c>
      <c r="E117" s="432" t="e">
        <f t="shared" si="6"/>
        <v>#N/A</v>
      </c>
      <c r="F117" s="433">
        <f t="shared" si="7"/>
        <v>0</v>
      </c>
      <c r="G117" s="432" t="e">
        <f t="shared" si="8"/>
        <v>#N/A</v>
      </c>
      <c r="H117" s="432" t="e">
        <f t="shared" si="9"/>
        <v>#N/A</v>
      </c>
    </row>
    <row r="118" spans="2:8" hidden="1">
      <c r="B118"/>
      <c r="D118" s="431">
        <f t="shared" si="5"/>
        <v>0</v>
      </c>
      <c r="E118" s="432" t="e">
        <f t="shared" si="6"/>
        <v>#N/A</v>
      </c>
      <c r="F118" s="433">
        <f t="shared" si="7"/>
        <v>0</v>
      </c>
      <c r="G118" s="432" t="e">
        <f t="shared" si="8"/>
        <v>#N/A</v>
      </c>
      <c r="H118" s="432" t="e">
        <f t="shared" si="9"/>
        <v>#N/A</v>
      </c>
    </row>
    <row r="119" spans="2:8" hidden="1">
      <c r="B119"/>
      <c r="D119" s="431">
        <f t="shared" si="5"/>
        <v>0</v>
      </c>
      <c r="E119" s="432" t="e">
        <f t="shared" si="6"/>
        <v>#N/A</v>
      </c>
      <c r="F119" s="433">
        <f t="shared" si="7"/>
        <v>0</v>
      </c>
      <c r="G119" s="432" t="e">
        <f t="shared" si="8"/>
        <v>#N/A</v>
      </c>
      <c r="H119" s="432" t="e">
        <f t="shared" si="9"/>
        <v>#N/A</v>
      </c>
    </row>
    <row r="120" spans="2:8" hidden="1">
      <c r="B120"/>
      <c r="D120" s="431">
        <f t="shared" si="5"/>
        <v>0</v>
      </c>
      <c r="E120" s="432" t="e">
        <f t="shared" si="6"/>
        <v>#N/A</v>
      </c>
      <c r="F120" s="433">
        <f t="shared" si="7"/>
        <v>0</v>
      </c>
      <c r="G120" s="432" t="e">
        <f t="shared" si="8"/>
        <v>#N/A</v>
      </c>
      <c r="H120" s="432" t="e">
        <f t="shared" si="9"/>
        <v>#N/A</v>
      </c>
    </row>
    <row r="121" spans="2:8" hidden="1">
      <c r="B121"/>
      <c r="D121" s="431">
        <f t="shared" si="5"/>
        <v>0</v>
      </c>
      <c r="E121" s="432" t="e">
        <f t="shared" si="6"/>
        <v>#N/A</v>
      </c>
      <c r="F121" s="433">
        <f t="shared" si="7"/>
        <v>0</v>
      </c>
      <c r="G121" s="432" t="e">
        <f t="shared" si="8"/>
        <v>#N/A</v>
      </c>
      <c r="H121" s="432" t="e">
        <f t="shared" si="9"/>
        <v>#N/A</v>
      </c>
    </row>
    <row r="122" spans="2:8" hidden="1">
      <c r="B122"/>
      <c r="D122" s="431">
        <f t="shared" si="5"/>
        <v>0</v>
      </c>
      <c r="E122" s="432" t="e">
        <f t="shared" si="6"/>
        <v>#N/A</v>
      </c>
      <c r="F122" s="433">
        <f t="shared" si="7"/>
        <v>0</v>
      </c>
      <c r="G122" s="432" t="e">
        <f t="shared" si="8"/>
        <v>#N/A</v>
      </c>
      <c r="H122" s="432" t="e">
        <f t="shared" si="9"/>
        <v>#N/A</v>
      </c>
    </row>
    <row r="123" spans="2:8" hidden="1">
      <c r="B123"/>
      <c r="D123" s="431">
        <f t="shared" si="5"/>
        <v>0</v>
      </c>
      <c r="E123" s="432" t="e">
        <f t="shared" si="6"/>
        <v>#N/A</v>
      </c>
      <c r="F123" s="433">
        <f t="shared" si="7"/>
        <v>0</v>
      </c>
      <c r="G123" s="432" t="e">
        <f t="shared" si="8"/>
        <v>#N/A</v>
      </c>
      <c r="H123" s="432" t="e">
        <f t="shared" si="9"/>
        <v>#N/A</v>
      </c>
    </row>
    <row r="124" spans="2:8" hidden="1">
      <c r="B124"/>
      <c r="D124" s="431">
        <f t="shared" si="5"/>
        <v>0</v>
      </c>
      <c r="E124" s="432" t="e">
        <f t="shared" si="6"/>
        <v>#N/A</v>
      </c>
      <c r="F124" s="433">
        <f t="shared" si="7"/>
        <v>0</v>
      </c>
      <c r="G124" s="432" t="e">
        <f t="shared" si="8"/>
        <v>#N/A</v>
      </c>
      <c r="H124" s="432" t="e">
        <f t="shared" si="9"/>
        <v>#N/A</v>
      </c>
    </row>
    <row r="125" spans="2:8" hidden="1">
      <c r="B125"/>
      <c r="D125" s="431">
        <f t="shared" si="5"/>
        <v>0</v>
      </c>
      <c r="E125" s="432" t="e">
        <f t="shared" si="6"/>
        <v>#N/A</v>
      </c>
      <c r="F125" s="433">
        <f t="shared" si="7"/>
        <v>0</v>
      </c>
      <c r="G125" s="432" t="e">
        <f t="shared" si="8"/>
        <v>#N/A</v>
      </c>
      <c r="H125" s="432" t="e">
        <f t="shared" si="9"/>
        <v>#N/A</v>
      </c>
    </row>
    <row r="126" spans="2:8" hidden="1">
      <c r="B126"/>
      <c r="D126" s="431">
        <f t="shared" si="5"/>
        <v>0</v>
      </c>
      <c r="E126" s="432" t="e">
        <f t="shared" si="6"/>
        <v>#N/A</v>
      </c>
      <c r="F126" s="433">
        <f t="shared" si="7"/>
        <v>0</v>
      </c>
      <c r="G126" s="432" t="e">
        <f t="shared" si="8"/>
        <v>#N/A</v>
      </c>
      <c r="H126" s="432" t="e">
        <f t="shared" si="9"/>
        <v>#N/A</v>
      </c>
    </row>
    <row r="127" spans="2:8" hidden="1">
      <c r="B127"/>
      <c r="D127" s="431">
        <f t="shared" si="5"/>
        <v>0</v>
      </c>
      <c r="E127" s="432" t="e">
        <f t="shared" si="6"/>
        <v>#N/A</v>
      </c>
      <c r="F127" s="433">
        <f t="shared" si="7"/>
        <v>0</v>
      </c>
      <c r="G127" s="432" t="e">
        <f t="shared" si="8"/>
        <v>#N/A</v>
      </c>
      <c r="H127" s="432" t="e">
        <f t="shared" si="9"/>
        <v>#N/A</v>
      </c>
    </row>
    <row r="128" spans="2:8" hidden="1">
      <c r="B128"/>
      <c r="D128" s="431">
        <f t="shared" si="5"/>
        <v>0</v>
      </c>
      <c r="E128" s="432" t="e">
        <f t="shared" si="6"/>
        <v>#N/A</v>
      </c>
      <c r="F128" s="433">
        <f t="shared" si="7"/>
        <v>0</v>
      </c>
      <c r="G128" s="432" t="e">
        <f t="shared" si="8"/>
        <v>#N/A</v>
      </c>
      <c r="H128" s="432" t="e">
        <f t="shared" si="9"/>
        <v>#N/A</v>
      </c>
    </row>
    <row r="129" spans="2:8" hidden="1">
      <c r="B129"/>
      <c r="D129" s="431">
        <f t="shared" si="5"/>
        <v>0</v>
      </c>
      <c r="E129" s="432" t="e">
        <f t="shared" si="6"/>
        <v>#N/A</v>
      </c>
      <c r="F129" s="433">
        <f t="shared" si="7"/>
        <v>0</v>
      </c>
      <c r="G129" s="432" t="e">
        <f t="shared" si="8"/>
        <v>#N/A</v>
      </c>
      <c r="H129" s="432" t="e">
        <f t="shared" si="9"/>
        <v>#N/A</v>
      </c>
    </row>
    <row r="130" spans="2:8" hidden="1">
      <c r="B130"/>
      <c r="D130" s="431">
        <f t="shared" si="5"/>
        <v>0</v>
      </c>
      <c r="E130" s="432" t="e">
        <f t="shared" si="6"/>
        <v>#N/A</v>
      </c>
      <c r="F130" s="433">
        <f t="shared" si="7"/>
        <v>0</v>
      </c>
      <c r="G130" s="432" t="e">
        <f t="shared" si="8"/>
        <v>#N/A</v>
      </c>
      <c r="H130" s="432" t="e">
        <f t="shared" si="9"/>
        <v>#N/A</v>
      </c>
    </row>
    <row r="131" spans="2:8" hidden="1">
      <c r="B131"/>
      <c r="D131" s="431">
        <f t="shared" si="5"/>
        <v>0</v>
      </c>
      <c r="E131" s="432" t="e">
        <f t="shared" si="6"/>
        <v>#N/A</v>
      </c>
      <c r="F131" s="433">
        <f t="shared" si="7"/>
        <v>0</v>
      </c>
      <c r="G131" s="432" t="e">
        <f t="shared" si="8"/>
        <v>#N/A</v>
      </c>
      <c r="H131" s="432" t="e">
        <f t="shared" si="9"/>
        <v>#N/A</v>
      </c>
    </row>
    <row r="132" spans="2:8" hidden="1">
      <c r="B132"/>
      <c r="D132" s="431">
        <f t="shared" si="5"/>
        <v>0</v>
      </c>
      <c r="E132" s="432" t="e">
        <f t="shared" si="6"/>
        <v>#N/A</v>
      </c>
      <c r="F132" s="433">
        <f t="shared" si="7"/>
        <v>0</v>
      </c>
      <c r="G132" s="432" t="e">
        <f t="shared" si="8"/>
        <v>#N/A</v>
      </c>
      <c r="H132" s="432" t="e">
        <f t="shared" si="9"/>
        <v>#N/A</v>
      </c>
    </row>
    <row r="133" spans="2:8" hidden="1">
      <c r="B133"/>
      <c r="D133" s="431">
        <f t="shared" si="5"/>
        <v>0</v>
      </c>
      <c r="E133" s="432" t="e">
        <f t="shared" si="6"/>
        <v>#N/A</v>
      </c>
      <c r="F133" s="433">
        <f t="shared" si="7"/>
        <v>0</v>
      </c>
      <c r="G133" s="432" t="e">
        <f t="shared" si="8"/>
        <v>#N/A</v>
      </c>
      <c r="H133" s="432" t="e">
        <f t="shared" si="9"/>
        <v>#N/A</v>
      </c>
    </row>
    <row r="134" spans="2:8" hidden="1">
      <c r="B134"/>
      <c r="D134" s="431">
        <f t="shared" si="5"/>
        <v>0</v>
      </c>
      <c r="E134" s="432" t="e">
        <f t="shared" si="6"/>
        <v>#N/A</v>
      </c>
      <c r="F134" s="433">
        <f t="shared" si="7"/>
        <v>0</v>
      </c>
      <c r="G134" s="432" t="e">
        <f t="shared" si="8"/>
        <v>#N/A</v>
      </c>
      <c r="H134" s="432" t="e">
        <f t="shared" si="9"/>
        <v>#N/A</v>
      </c>
    </row>
    <row r="135" spans="2:8" hidden="1">
      <c r="B135"/>
      <c r="D135" s="431">
        <f t="shared" si="5"/>
        <v>0</v>
      </c>
      <c r="E135" s="432" t="e">
        <f t="shared" si="6"/>
        <v>#N/A</v>
      </c>
      <c r="F135" s="433">
        <f t="shared" si="7"/>
        <v>0</v>
      </c>
      <c r="G135" s="432" t="e">
        <f t="shared" si="8"/>
        <v>#N/A</v>
      </c>
      <c r="H135" s="432" t="e">
        <f t="shared" si="9"/>
        <v>#N/A</v>
      </c>
    </row>
    <row r="136" spans="2:8" hidden="1">
      <c r="B136"/>
      <c r="D136" s="431">
        <f>A136</f>
        <v>0</v>
      </c>
      <c r="E136" s="432" t="e">
        <f>VLOOKUP(D136,base_datos,7,FALSE)</f>
        <v>#N/A</v>
      </c>
      <c r="F136" s="433">
        <f>B136</f>
        <v>0</v>
      </c>
      <c r="G136" s="432" t="e">
        <f>VLOOKUP(D136,base_datos,6,FALSE)</f>
        <v>#N/A</v>
      </c>
      <c r="H136" s="432" t="e">
        <f>VLOOKUP(D136,base_datos,9,FALSE)</f>
        <v>#N/A</v>
      </c>
    </row>
    <row r="137" spans="2:8" hidden="1">
      <c r="B137"/>
      <c r="D137" s="431">
        <f>A137</f>
        <v>0</v>
      </c>
      <c r="E137" s="432" t="e">
        <f>VLOOKUP(D137,base_datos,7,FALSE)</f>
        <v>#N/A</v>
      </c>
      <c r="F137" s="433">
        <f>B137</f>
        <v>0</v>
      </c>
      <c r="G137" s="432" t="e">
        <f>VLOOKUP(D137,base_datos,6,FALSE)</f>
        <v>#N/A</v>
      </c>
      <c r="H137" s="432" t="e">
        <f>VLOOKUP(D137,base_datos,9,FALSE)</f>
        <v>#N/A</v>
      </c>
    </row>
    <row r="138" spans="2:8" hidden="1">
      <c r="B138"/>
      <c r="D138" s="431">
        <f>A138</f>
        <v>0</v>
      </c>
      <c r="E138" s="432" t="e">
        <f>VLOOKUP(D138,base_datos,7,FALSE)</f>
        <v>#N/A</v>
      </c>
      <c r="F138" s="433">
        <f>B138</f>
        <v>0</v>
      </c>
      <c r="G138" s="432" t="e">
        <f>VLOOKUP(D138,base_datos,6,FALSE)</f>
        <v>#N/A</v>
      </c>
      <c r="H138" s="432" t="e">
        <f>VLOOKUP(D138,base_datos,9,FALSE)</f>
        <v>#N/A</v>
      </c>
    </row>
    <row r="139" spans="2:8" hidden="1">
      <c r="B139"/>
      <c r="D139" s="431"/>
      <c r="E139" s="432"/>
      <c r="F139" s="433"/>
      <c r="G139" s="432"/>
      <c r="H139" s="432"/>
    </row>
    <row r="140" spans="2:8" hidden="1">
      <c r="B140"/>
      <c r="D140" s="431"/>
      <c r="E140" s="432"/>
      <c r="F140" s="433"/>
      <c r="G140" s="432"/>
      <c r="H140" s="432"/>
    </row>
    <row r="141" spans="2:8" hidden="1">
      <c r="B141"/>
      <c r="D141" s="431"/>
      <c r="E141" s="432"/>
      <c r="F141" s="433"/>
      <c r="G141" s="432"/>
      <c r="H141" s="432"/>
    </row>
    <row r="142" spans="2:8" hidden="1">
      <c r="B142"/>
      <c r="D142" s="431"/>
      <c r="E142" s="432"/>
      <c r="F142" s="433"/>
      <c r="G142" s="432"/>
      <c r="H142" s="432"/>
    </row>
    <row r="143" spans="2:8" hidden="1">
      <c r="B143"/>
      <c r="D143" s="431"/>
      <c r="E143" s="432"/>
      <c r="F143" s="433"/>
      <c r="G143" s="432"/>
      <c r="H143" s="432"/>
    </row>
    <row r="144" spans="2:8" hidden="1">
      <c r="B144"/>
      <c r="D144" s="431"/>
      <c r="E144" s="432"/>
      <c r="F144" s="433"/>
      <c r="G144" s="432"/>
      <c r="H144" s="432"/>
    </row>
    <row r="145" spans="2:8" hidden="1">
      <c r="B145"/>
      <c r="D145" s="431"/>
      <c r="E145" s="432"/>
      <c r="F145" s="433"/>
      <c r="G145" s="432"/>
      <c r="H145" s="432"/>
    </row>
    <row r="146" spans="2:8" hidden="1">
      <c r="B146"/>
      <c r="D146" s="431"/>
      <c r="E146" s="432"/>
      <c r="F146" s="433"/>
      <c r="G146" s="432"/>
      <c r="H146" s="432"/>
    </row>
    <row r="147" spans="2:8" hidden="1">
      <c r="B147"/>
      <c r="D147" s="431"/>
      <c r="E147" s="432"/>
      <c r="F147" s="433"/>
      <c r="G147" s="432"/>
      <c r="H147" s="432"/>
    </row>
    <row r="148" spans="2:8" hidden="1">
      <c r="B148"/>
      <c r="D148" s="431"/>
      <c r="E148" s="432"/>
      <c r="F148" s="433"/>
      <c r="G148" s="432"/>
      <c r="H148" s="432"/>
    </row>
    <row r="149" spans="2:8" hidden="1">
      <c r="B149"/>
      <c r="D149" s="431"/>
      <c r="E149" s="432"/>
      <c r="F149" s="433"/>
      <c r="G149" s="432"/>
      <c r="H149" s="432"/>
    </row>
    <row r="150" spans="2:8" hidden="1">
      <c r="B150"/>
      <c r="D150" s="431"/>
      <c r="E150" s="432"/>
      <c r="F150" s="433"/>
      <c r="G150" s="432"/>
      <c r="H150" s="432"/>
    </row>
    <row r="151" spans="2:8" hidden="1">
      <c r="B151"/>
      <c r="D151" s="431"/>
      <c r="E151" s="432"/>
      <c r="F151" s="433"/>
      <c r="G151" s="432"/>
      <c r="H151" s="432"/>
    </row>
    <row r="152" spans="2:8" hidden="1">
      <c r="B152"/>
      <c r="D152" s="431"/>
      <c r="E152" s="432"/>
      <c r="F152" s="433"/>
      <c r="G152" s="432"/>
      <c r="H152" s="432"/>
    </row>
    <row r="153" spans="2:8" hidden="1">
      <c r="B153"/>
      <c r="D153" s="431"/>
      <c r="E153" s="432"/>
      <c r="F153" s="433"/>
      <c r="G153" s="432"/>
      <c r="H153" s="432"/>
    </row>
    <row r="154" spans="2:8" hidden="1">
      <c r="B154"/>
      <c r="D154" s="431"/>
      <c r="E154" s="432"/>
      <c r="F154" s="433"/>
      <c r="G154" s="432"/>
      <c r="H154" s="432"/>
    </row>
    <row r="155" spans="2:8" hidden="1">
      <c r="B155"/>
      <c r="D155" s="431"/>
      <c r="E155" s="432"/>
      <c r="F155" s="433"/>
      <c r="G155" s="432"/>
      <c r="H155" s="432"/>
    </row>
    <row r="156" spans="2:8" hidden="1">
      <c r="B156"/>
      <c r="D156" s="431"/>
      <c r="E156" s="432"/>
      <c r="F156" s="433"/>
      <c r="G156" s="432"/>
      <c r="H156" s="432"/>
    </row>
    <row r="157" spans="2:8" hidden="1">
      <c r="B157"/>
      <c r="D157" s="431"/>
      <c r="E157" s="432"/>
      <c r="F157" s="433"/>
      <c r="G157" s="432"/>
      <c r="H157" s="432"/>
    </row>
    <row r="158" spans="2:8" hidden="1">
      <c r="B158"/>
      <c r="D158" s="431"/>
      <c r="E158" s="432"/>
      <c r="F158" s="433"/>
      <c r="G158" s="432"/>
      <c r="H158" s="432"/>
    </row>
    <row r="159" spans="2:8" hidden="1">
      <c r="B159"/>
      <c r="D159" s="431"/>
      <c r="E159" s="432"/>
      <c r="F159" s="433"/>
      <c r="G159" s="432"/>
      <c r="H159" s="432"/>
    </row>
    <row r="160" spans="2:8" hidden="1">
      <c r="B160"/>
      <c r="D160" s="431"/>
      <c r="E160" s="432"/>
      <c r="F160" s="433"/>
      <c r="G160" s="432"/>
      <c r="H160" s="432"/>
    </row>
    <row r="161" spans="2:8" hidden="1">
      <c r="B161"/>
      <c r="D161" s="431"/>
      <c r="E161" s="432"/>
      <c r="F161" s="433"/>
      <c r="G161" s="432"/>
      <c r="H161" s="432"/>
    </row>
    <row r="162" spans="2:8" hidden="1">
      <c r="B162"/>
      <c r="D162" s="431"/>
      <c r="E162" s="432"/>
      <c r="F162" s="433"/>
      <c r="G162" s="432"/>
      <c r="H162" s="432"/>
    </row>
    <row r="163" spans="2:8" hidden="1">
      <c r="B163"/>
      <c r="D163" s="431"/>
      <c r="E163" s="432"/>
      <c r="F163" s="433"/>
      <c r="G163" s="432"/>
      <c r="H163" s="432"/>
    </row>
    <row r="164" spans="2:8" hidden="1">
      <c r="B164"/>
      <c r="D164" s="431"/>
      <c r="E164" s="432"/>
      <c r="F164" s="433"/>
      <c r="G164" s="432"/>
      <c r="H164" s="432"/>
    </row>
    <row r="165" spans="2:8" hidden="1">
      <c r="B165"/>
      <c r="D165" s="431"/>
      <c r="E165" s="432"/>
      <c r="F165" s="433"/>
      <c r="G165" s="432"/>
      <c r="H165" s="432"/>
    </row>
    <row r="166" spans="2:8" hidden="1">
      <c r="B166"/>
      <c r="D166" s="431"/>
      <c r="E166" s="432"/>
      <c r="F166" s="433"/>
      <c r="G166" s="432"/>
      <c r="H166" s="432"/>
    </row>
    <row r="167" spans="2:8" hidden="1">
      <c r="B167"/>
      <c r="D167" s="431"/>
      <c r="E167" s="432"/>
      <c r="F167" s="433"/>
      <c r="G167" s="432"/>
      <c r="H167" s="432"/>
    </row>
    <row r="168" spans="2:8" hidden="1">
      <c r="B168"/>
      <c r="D168" s="431"/>
      <c r="E168" s="432"/>
      <c r="F168" s="433"/>
      <c r="G168" s="432"/>
      <c r="H168" s="432"/>
    </row>
    <row r="169" spans="2:8" hidden="1">
      <c r="B169"/>
      <c r="D169" s="431"/>
      <c r="E169" s="432"/>
      <c r="F169" s="433"/>
      <c r="G169" s="432"/>
      <c r="H169" s="432"/>
    </row>
    <row r="170" spans="2:8">
      <c r="B170"/>
      <c r="D170" s="431"/>
      <c r="E170" s="432"/>
      <c r="F170" s="433"/>
      <c r="G170" s="432"/>
      <c r="H170" s="432"/>
    </row>
    <row r="171" spans="2:8">
      <c r="B171"/>
    </row>
    <row r="172" spans="2:8">
      <c r="B172"/>
    </row>
    <row r="173" spans="2:8">
      <c r="B173"/>
    </row>
  </sheetData>
  <autoFilter ref="D2:H169" xr:uid="{00000000-0009-0000-0000-000002000000}">
    <filterColumn colId="4">
      <filters>
        <filter val="ABB"/>
      </filters>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tabColor indexed="11"/>
  </sheetPr>
  <dimension ref="A1:EP853"/>
  <sheetViews>
    <sheetView zoomScale="85" zoomScaleNormal="85" workbookViewId="0">
      <pane ySplit="5" topLeftCell="A6" activePane="bottomLeft" state="frozen"/>
      <selection pane="bottomLeft" activeCell="F14" sqref="F14"/>
    </sheetView>
  </sheetViews>
  <sheetFormatPr baseColWidth="10" defaultColWidth="11.42578125" defaultRowHeight="12.75"/>
  <cols>
    <col min="1" max="1" width="11.42578125" style="102"/>
    <col min="2" max="2" width="15.28515625" style="14" customWidth="1"/>
    <col min="3" max="3" width="17.140625" style="14" customWidth="1"/>
    <col min="4" max="5" width="18.85546875" style="14" customWidth="1"/>
    <col min="6" max="6" width="15.85546875" style="14" customWidth="1"/>
    <col min="7" max="8" width="14.5703125" style="14" customWidth="1"/>
    <col min="9" max="9" width="11.42578125" style="44"/>
    <col min="10" max="10" width="12.140625" style="44" customWidth="1"/>
    <col min="11" max="11" width="11" style="14" customWidth="1"/>
    <col min="12" max="12" width="11.42578125" style="44"/>
    <col min="13" max="146" width="11.42578125" style="102"/>
    <col min="147" max="16384" width="11.42578125" style="14"/>
  </cols>
  <sheetData>
    <row r="1" spans="1:146" s="102" customFormat="1" ht="21" customHeight="1" thickBot="1">
      <c r="C1" s="2619" t="s">
        <v>585</v>
      </c>
      <c r="D1" s="2620"/>
      <c r="E1" s="2620"/>
      <c r="F1" s="2620"/>
      <c r="G1" s="2620"/>
      <c r="H1" s="2620"/>
      <c r="I1" s="2620"/>
      <c r="J1" s="2620"/>
      <c r="K1" s="2621"/>
      <c r="L1" s="103"/>
    </row>
    <row r="2" spans="1:146" s="102" customFormat="1">
      <c r="I2" s="103"/>
      <c r="J2" s="103"/>
      <c r="L2" s="103"/>
    </row>
    <row r="3" spans="1:146" s="104" customFormat="1" ht="15.75">
      <c r="B3" s="2618" t="s">
        <v>573</v>
      </c>
      <c r="C3" s="2618"/>
      <c r="D3" s="2618"/>
      <c r="E3" s="2618"/>
      <c r="F3" s="2618"/>
      <c r="G3" s="2618"/>
      <c r="H3" s="2618"/>
      <c r="I3" s="2618"/>
      <c r="J3" s="653">
        <v>10</v>
      </c>
      <c r="K3" s="259"/>
      <c r="L3" s="253"/>
    </row>
    <row r="4" spans="1:146" s="104" customFormat="1" ht="15.75">
      <c r="B4" s="250" t="s">
        <v>576</v>
      </c>
      <c r="C4" s="249" t="s">
        <v>575</v>
      </c>
      <c r="D4" s="249"/>
      <c r="E4" s="249"/>
      <c r="F4" s="249"/>
      <c r="G4" s="250"/>
      <c r="H4" s="250"/>
      <c r="I4" s="260" t="s">
        <v>574</v>
      </c>
      <c r="J4" s="260" t="s">
        <v>313</v>
      </c>
      <c r="K4" s="250" t="s">
        <v>71</v>
      </c>
      <c r="L4" s="260" t="s">
        <v>55</v>
      </c>
    </row>
    <row r="5" spans="1:146" s="104" customFormat="1" ht="31.5">
      <c r="B5" s="264" t="s">
        <v>311</v>
      </c>
      <c r="C5" s="264" t="s">
        <v>1037</v>
      </c>
      <c r="D5" s="264" t="s">
        <v>1038</v>
      </c>
      <c r="E5" s="264" t="s">
        <v>1038</v>
      </c>
      <c r="F5" s="264" t="s">
        <v>1040</v>
      </c>
      <c r="G5" s="264" t="s">
        <v>1039</v>
      </c>
      <c r="H5" s="264" t="s">
        <v>1041</v>
      </c>
      <c r="I5" s="255" t="s">
        <v>56</v>
      </c>
      <c r="J5" s="255" t="s">
        <v>57</v>
      </c>
      <c r="K5" s="264" t="s">
        <v>76</v>
      </c>
      <c r="L5" s="255" t="s">
        <v>577</v>
      </c>
    </row>
    <row r="6" spans="1:146" s="83" customFormat="1" ht="14.25">
      <c r="A6" s="105"/>
      <c r="B6" s="262" t="s">
        <v>58</v>
      </c>
      <c r="C6" s="268">
        <v>108</v>
      </c>
      <c r="D6" s="268">
        <v>182</v>
      </c>
      <c r="E6" s="268">
        <v>216</v>
      </c>
      <c r="F6" s="270">
        <v>123</v>
      </c>
      <c r="G6" s="270">
        <v>202</v>
      </c>
      <c r="H6" s="270">
        <v>228</v>
      </c>
      <c r="I6" s="251">
        <v>0.21</v>
      </c>
      <c r="J6" s="251">
        <f t="shared" ref="J6:J23" si="0">BASE*I6</f>
        <v>2.1</v>
      </c>
      <c r="K6" s="262"/>
      <c r="L6" s="251"/>
      <c r="M6" s="105"/>
      <c r="N6" s="105"/>
      <c r="O6" s="105"/>
      <c r="P6" s="105"/>
      <c r="Q6" s="105"/>
      <c r="R6" s="105"/>
      <c r="S6" s="105"/>
      <c r="T6" s="105"/>
      <c r="U6" s="105"/>
      <c r="V6" s="105"/>
      <c r="W6" s="105"/>
      <c r="X6" s="105"/>
      <c r="Y6" s="105"/>
      <c r="Z6" s="105"/>
      <c r="AA6" s="105"/>
      <c r="AB6" s="105"/>
      <c r="AC6" s="105"/>
      <c r="AD6" s="105"/>
      <c r="AE6" s="105"/>
      <c r="AF6" s="105"/>
      <c r="AG6" s="105"/>
      <c r="AH6" s="105"/>
      <c r="AI6" s="105"/>
      <c r="AJ6" s="105"/>
      <c r="AK6" s="105"/>
      <c r="AL6" s="105"/>
      <c r="AM6" s="105"/>
      <c r="AN6" s="105"/>
      <c r="AO6" s="105"/>
      <c r="AP6" s="105"/>
      <c r="AQ6" s="105"/>
      <c r="AR6" s="105"/>
      <c r="AS6" s="105"/>
      <c r="AT6" s="105"/>
      <c r="AU6" s="105"/>
      <c r="AV6" s="105"/>
      <c r="AW6" s="105"/>
      <c r="AX6" s="105"/>
      <c r="AY6" s="105"/>
      <c r="AZ6" s="105"/>
      <c r="BA6" s="105"/>
      <c r="BB6" s="105"/>
      <c r="BC6" s="105"/>
      <c r="BD6" s="105"/>
      <c r="BE6" s="105"/>
      <c r="BF6" s="105"/>
      <c r="BG6" s="105"/>
      <c r="BH6" s="105"/>
      <c r="BI6" s="105"/>
      <c r="BJ6" s="105"/>
      <c r="BK6" s="105"/>
      <c r="BL6" s="105"/>
      <c r="BM6" s="105"/>
      <c r="BN6" s="105"/>
      <c r="BO6" s="105"/>
      <c r="BP6" s="105"/>
      <c r="BQ6" s="105"/>
      <c r="BR6" s="105"/>
      <c r="BS6" s="105"/>
      <c r="BT6" s="105"/>
      <c r="BU6" s="105"/>
      <c r="BV6" s="105"/>
      <c r="BW6" s="105"/>
      <c r="BX6" s="105"/>
      <c r="BY6" s="105"/>
      <c r="BZ6" s="105"/>
      <c r="CA6" s="105"/>
      <c r="CB6" s="105"/>
      <c r="CC6" s="105"/>
      <c r="CD6" s="105"/>
      <c r="CE6" s="105"/>
      <c r="CF6" s="105"/>
      <c r="CG6" s="105"/>
      <c r="CH6" s="105"/>
      <c r="CI6" s="105"/>
      <c r="CJ6" s="105"/>
      <c r="CK6" s="105"/>
      <c r="CL6" s="105"/>
      <c r="CM6" s="105"/>
      <c r="CN6" s="105"/>
      <c r="CO6" s="105"/>
      <c r="CP6" s="105"/>
      <c r="CQ6" s="105"/>
      <c r="CR6" s="105"/>
      <c r="CS6" s="105"/>
      <c r="CT6" s="105"/>
      <c r="CU6" s="105"/>
      <c r="CV6" s="105"/>
      <c r="CW6" s="105"/>
      <c r="CX6" s="105"/>
      <c r="CY6" s="105"/>
      <c r="CZ6" s="105"/>
      <c r="DA6" s="105"/>
      <c r="DB6" s="105"/>
      <c r="DC6" s="105"/>
      <c r="DD6" s="105"/>
      <c r="DE6" s="105"/>
      <c r="DF6" s="105"/>
      <c r="DG6" s="105"/>
      <c r="DH6" s="105"/>
      <c r="DI6" s="105"/>
      <c r="DJ6" s="105"/>
      <c r="DK6" s="105"/>
      <c r="DL6" s="105"/>
      <c r="DM6" s="105"/>
      <c r="DN6" s="105"/>
      <c r="DO6" s="105"/>
      <c r="DP6" s="105"/>
      <c r="DQ6" s="105"/>
      <c r="DR6" s="105"/>
      <c r="DS6" s="105"/>
      <c r="DT6" s="105"/>
      <c r="DU6" s="105"/>
      <c r="DV6" s="105"/>
      <c r="DW6" s="105"/>
      <c r="DX6" s="105"/>
      <c r="DY6" s="105"/>
      <c r="DZ6" s="105"/>
      <c r="EA6" s="105"/>
      <c r="EB6" s="105"/>
      <c r="EC6" s="105"/>
      <c r="ED6" s="105"/>
      <c r="EE6" s="105"/>
      <c r="EF6" s="105"/>
      <c r="EG6" s="105"/>
      <c r="EH6" s="105"/>
      <c r="EI6" s="105"/>
      <c r="EJ6" s="105"/>
      <c r="EK6" s="105"/>
      <c r="EL6" s="105"/>
      <c r="EM6" s="105"/>
      <c r="EN6" s="105"/>
      <c r="EO6" s="105"/>
      <c r="EP6" s="105"/>
    </row>
    <row r="7" spans="1:146" s="83" customFormat="1" ht="14.25">
      <c r="A7" s="105"/>
      <c r="B7" s="262" t="s">
        <v>59</v>
      </c>
      <c r="C7" s="269">
        <v>162</v>
      </c>
      <c r="D7" s="269">
        <v>282</v>
      </c>
      <c r="E7" s="269">
        <v>361</v>
      </c>
      <c r="F7" s="271">
        <v>187</v>
      </c>
      <c r="G7" s="271">
        <v>316</v>
      </c>
      <c r="H7" s="271">
        <v>381</v>
      </c>
      <c r="I7" s="256">
        <v>0.4</v>
      </c>
      <c r="J7" s="251">
        <f t="shared" si="0"/>
        <v>4</v>
      </c>
      <c r="K7" s="263"/>
      <c r="L7" s="256"/>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c r="AR7" s="105"/>
      <c r="AS7" s="105"/>
      <c r="AT7" s="105"/>
      <c r="AU7" s="105"/>
      <c r="AV7" s="105"/>
      <c r="AW7" s="105"/>
      <c r="AX7" s="105"/>
      <c r="AY7" s="105"/>
      <c r="AZ7" s="105"/>
      <c r="BA7" s="105"/>
      <c r="BB7" s="105"/>
      <c r="BC7" s="105"/>
      <c r="BD7" s="105"/>
      <c r="BE7" s="105"/>
      <c r="BF7" s="105"/>
      <c r="BG7" s="105"/>
      <c r="BH7" s="105"/>
      <c r="BI7" s="105"/>
      <c r="BJ7" s="105"/>
      <c r="BK7" s="105"/>
      <c r="BL7" s="105"/>
      <c r="BM7" s="105"/>
      <c r="BN7" s="105"/>
      <c r="BO7" s="105"/>
      <c r="BP7" s="105"/>
      <c r="BQ7" s="105"/>
      <c r="BR7" s="105"/>
      <c r="BS7" s="105"/>
      <c r="BT7" s="105"/>
      <c r="BU7" s="105"/>
      <c r="BV7" s="105"/>
      <c r="BW7" s="105"/>
      <c r="BX7" s="105"/>
      <c r="BY7" s="105"/>
      <c r="BZ7" s="105"/>
      <c r="CA7" s="105"/>
      <c r="CB7" s="105"/>
      <c r="CC7" s="105"/>
      <c r="CD7" s="105"/>
      <c r="CE7" s="105"/>
      <c r="CF7" s="105"/>
      <c r="CG7" s="105"/>
      <c r="CH7" s="105"/>
      <c r="CI7" s="105"/>
      <c r="CJ7" s="105"/>
      <c r="CK7" s="105"/>
      <c r="CL7" s="105"/>
      <c r="CM7" s="105"/>
      <c r="CN7" s="105"/>
      <c r="CO7" s="105"/>
      <c r="CP7" s="105"/>
      <c r="CQ7" s="105"/>
      <c r="CR7" s="105"/>
      <c r="CS7" s="105"/>
      <c r="CT7" s="105"/>
      <c r="CU7" s="105"/>
      <c r="CV7" s="105"/>
      <c r="CW7" s="105"/>
      <c r="CX7" s="105"/>
      <c r="CY7" s="105"/>
      <c r="CZ7" s="105"/>
      <c r="DA7" s="105"/>
      <c r="DB7" s="105"/>
      <c r="DC7" s="105"/>
      <c r="DD7" s="105"/>
      <c r="DE7" s="105"/>
      <c r="DF7" s="105"/>
      <c r="DG7" s="105"/>
      <c r="DH7" s="105"/>
      <c r="DI7" s="105"/>
      <c r="DJ7" s="105"/>
      <c r="DK7" s="105"/>
      <c r="DL7" s="105"/>
      <c r="DM7" s="105"/>
      <c r="DN7" s="105"/>
      <c r="DO7" s="105"/>
      <c r="DP7" s="105"/>
      <c r="DQ7" s="105"/>
      <c r="DR7" s="105"/>
      <c r="DS7" s="105"/>
      <c r="DT7" s="105"/>
      <c r="DU7" s="105"/>
      <c r="DV7" s="105"/>
      <c r="DW7" s="105"/>
      <c r="DX7" s="105"/>
      <c r="DY7" s="105"/>
      <c r="DZ7" s="105"/>
      <c r="EA7" s="105"/>
      <c r="EB7" s="105"/>
      <c r="EC7" s="105"/>
      <c r="ED7" s="105"/>
      <c r="EE7" s="105"/>
      <c r="EF7" s="105"/>
      <c r="EG7" s="105"/>
      <c r="EH7" s="105"/>
      <c r="EI7" s="105"/>
      <c r="EJ7" s="105"/>
      <c r="EK7" s="105"/>
      <c r="EL7" s="105"/>
      <c r="EM7" s="105"/>
      <c r="EN7" s="105"/>
      <c r="EO7" s="105"/>
      <c r="EP7" s="105"/>
    </row>
    <row r="8" spans="1:146" s="83" customFormat="1" ht="14.25">
      <c r="A8" s="105"/>
      <c r="B8" s="262" t="s">
        <v>60</v>
      </c>
      <c r="C8" s="269">
        <v>204</v>
      </c>
      <c r="D8" s="269">
        <v>348</v>
      </c>
      <c r="E8" s="269">
        <v>431</v>
      </c>
      <c r="F8" s="271">
        <v>237</v>
      </c>
      <c r="G8" s="271">
        <v>394</v>
      </c>
      <c r="H8" s="271">
        <v>454</v>
      </c>
      <c r="I8" s="256">
        <v>0.53</v>
      </c>
      <c r="J8" s="251">
        <f t="shared" si="0"/>
        <v>5.3000000000000007</v>
      </c>
      <c r="K8" s="263"/>
      <c r="L8" s="256"/>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5"/>
      <c r="AQ8" s="105"/>
      <c r="AR8" s="105"/>
      <c r="AS8" s="105"/>
      <c r="AT8" s="105"/>
      <c r="AU8" s="105"/>
      <c r="AV8" s="105"/>
      <c r="AW8" s="105"/>
      <c r="AX8" s="105"/>
      <c r="AY8" s="105"/>
      <c r="AZ8" s="105"/>
      <c r="BA8" s="105"/>
      <c r="BB8" s="105"/>
      <c r="BC8" s="105"/>
      <c r="BD8" s="105"/>
      <c r="BE8" s="105"/>
      <c r="BF8" s="105"/>
      <c r="BG8" s="105"/>
      <c r="BH8" s="105"/>
      <c r="BI8" s="105"/>
      <c r="BJ8" s="105"/>
      <c r="BK8" s="105"/>
      <c r="BL8" s="105"/>
      <c r="BM8" s="105"/>
      <c r="BN8" s="105"/>
      <c r="BO8" s="105"/>
      <c r="BP8" s="105"/>
      <c r="BQ8" s="105"/>
      <c r="BR8" s="105"/>
      <c r="BS8" s="105"/>
      <c r="BT8" s="105"/>
      <c r="BU8" s="105"/>
      <c r="BV8" s="105"/>
      <c r="BW8" s="105"/>
      <c r="BX8" s="105"/>
      <c r="BY8" s="105"/>
      <c r="BZ8" s="105"/>
      <c r="CA8" s="105"/>
      <c r="CB8" s="105"/>
      <c r="CC8" s="105"/>
      <c r="CD8" s="105"/>
      <c r="CE8" s="105"/>
      <c r="CF8" s="105"/>
      <c r="CG8" s="105"/>
      <c r="CH8" s="105"/>
      <c r="CI8" s="105"/>
      <c r="CJ8" s="105"/>
      <c r="CK8" s="105"/>
      <c r="CL8" s="105"/>
      <c r="CM8" s="105"/>
      <c r="CN8" s="105"/>
      <c r="CO8" s="105"/>
      <c r="CP8" s="105"/>
      <c r="CQ8" s="105"/>
      <c r="CR8" s="105"/>
      <c r="CS8" s="105"/>
      <c r="CT8" s="105"/>
      <c r="CU8" s="105"/>
      <c r="CV8" s="105"/>
      <c r="CW8" s="105"/>
      <c r="CX8" s="105"/>
      <c r="CY8" s="105"/>
      <c r="CZ8" s="105"/>
      <c r="DA8" s="105"/>
      <c r="DB8" s="105"/>
      <c r="DC8" s="105"/>
      <c r="DD8" s="105"/>
      <c r="DE8" s="105"/>
      <c r="DF8" s="105"/>
      <c r="DG8" s="105"/>
      <c r="DH8" s="105"/>
      <c r="DI8" s="105"/>
      <c r="DJ8" s="105"/>
      <c r="DK8" s="105"/>
      <c r="DL8" s="105"/>
      <c r="DM8" s="105"/>
      <c r="DN8" s="105"/>
      <c r="DO8" s="105"/>
      <c r="DP8" s="105"/>
      <c r="DQ8" s="105"/>
      <c r="DR8" s="105"/>
      <c r="DS8" s="105"/>
      <c r="DT8" s="105"/>
      <c r="DU8" s="105"/>
      <c r="DV8" s="105"/>
      <c r="DW8" s="105"/>
      <c r="DX8" s="105"/>
      <c r="DY8" s="105"/>
      <c r="DZ8" s="105"/>
      <c r="EA8" s="105"/>
      <c r="EB8" s="105"/>
      <c r="EC8" s="105"/>
      <c r="ED8" s="105"/>
      <c r="EE8" s="105"/>
      <c r="EF8" s="105"/>
      <c r="EG8" s="105"/>
      <c r="EH8" s="105"/>
      <c r="EI8" s="105"/>
      <c r="EJ8" s="105"/>
      <c r="EK8" s="105"/>
      <c r="EL8" s="105"/>
      <c r="EM8" s="105"/>
      <c r="EN8" s="105"/>
      <c r="EO8" s="105"/>
      <c r="EP8" s="105"/>
    </row>
    <row r="9" spans="1:146" s="83" customFormat="1" ht="14.25">
      <c r="A9" s="105"/>
      <c r="B9" s="262" t="s">
        <v>61</v>
      </c>
      <c r="C9" s="269">
        <v>274</v>
      </c>
      <c r="D9" s="269">
        <v>500</v>
      </c>
      <c r="E9" s="269">
        <v>690</v>
      </c>
      <c r="F9" s="271">
        <v>319</v>
      </c>
      <c r="G9" s="271">
        <v>560</v>
      </c>
      <c r="H9" s="271">
        <v>728</v>
      </c>
      <c r="I9" s="256">
        <v>0.88</v>
      </c>
      <c r="J9" s="251">
        <f t="shared" si="0"/>
        <v>8.8000000000000007</v>
      </c>
      <c r="K9" s="263"/>
      <c r="L9" s="256"/>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105"/>
      <c r="AM9" s="105"/>
      <c r="AN9" s="105"/>
      <c r="AO9" s="105"/>
      <c r="AP9" s="105"/>
      <c r="AQ9" s="105"/>
      <c r="AR9" s="105"/>
      <c r="AS9" s="105"/>
      <c r="AT9" s="105"/>
      <c r="AU9" s="105"/>
      <c r="AV9" s="105"/>
      <c r="AW9" s="105"/>
      <c r="AX9" s="105"/>
      <c r="AY9" s="105"/>
      <c r="AZ9" s="105"/>
      <c r="BA9" s="105"/>
      <c r="BB9" s="105"/>
      <c r="BC9" s="105"/>
      <c r="BD9" s="105"/>
      <c r="BE9" s="105"/>
      <c r="BF9" s="105"/>
      <c r="BG9" s="105"/>
      <c r="BH9" s="105"/>
      <c r="BI9" s="105"/>
      <c r="BJ9" s="105"/>
      <c r="BK9" s="105"/>
      <c r="BL9" s="105"/>
      <c r="BM9" s="105"/>
      <c r="BN9" s="105"/>
      <c r="BO9" s="105"/>
      <c r="BP9" s="105"/>
      <c r="BQ9" s="105"/>
      <c r="BR9" s="105"/>
      <c r="BS9" s="105"/>
      <c r="BT9" s="105"/>
      <c r="BU9" s="105"/>
      <c r="BV9" s="105"/>
      <c r="BW9" s="105"/>
      <c r="BX9" s="105"/>
      <c r="BY9" s="105"/>
      <c r="BZ9" s="105"/>
      <c r="CA9" s="105"/>
      <c r="CB9" s="105"/>
      <c r="CC9" s="105"/>
      <c r="CD9" s="105"/>
      <c r="CE9" s="105"/>
      <c r="CF9" s="105"/>
      <c r="CG9" s="105"/>
      <c r="CH9" s="105"/>
      <c r="CI9" s="105"/>
      <c r="CJ9" s="105"/>
      <c r="CK9" s="105"/>
      <c r="CL9" s="105"/>
      <c r="CM9" s="105"/>
      <c r="CN9" s="105"/>
      <c r="CO9" s="105"/>
      <c r="CP9" s="105"/>
      <c r="CQ9" s="105"/>
      <c r="CR9" s="105"/>
      <c r="CS9" s="105"/>
      <c r="CT9" s="105"/>
      <c r="CU9" s="105"/>
      <c r="CV9" s="105"/>
      <c r="CW9" s="105"/>
      <c r="CX9" s="105"/>
      <c r="CY9" s="105"/>
      <c r="CZ9" s="105"/>
      <c r="DA9" s="105"/>
      <c r="DB9" s="105"/>
      <c r="DC9" s="105"/>
      <c r="DD9" s="105"/>
      <c r="DE9" s="105"/>
      <c r="DF9" s="105"/>
      <c r="DG9" s="105"/>
      <c r="DH9" s="105"/>
      <c r="DI9" s="105"/>
      <c r="DJ9" s="105"/>
      <c r="DK9" s="105"/>
      <c r="DL9" s="105"/>
      <c r="DM9" s="105"/>
      <c r="DN9" s="105"/>
      <c r="DO9" s="105"/>
      <c r="DP9" s="105"/>
      <c r="DQ9" s="105"/>
      <c r="DR9" s="105"/>
      <c r="DS9" s="105"/>
      <c r="DT9" s="105"/>
      <c r="DU9" s="105"/>
      <c r="DV9" s="105"/>
      <c r="DW9" s="105"/>
      <c r="DX9" s="105"/>
      <c r="DY9" s="105"/>
      <c r="DZ9" s="105"/>
      <c r="EA9" s="105"/>
      <c r="EB9" s="105"/>
      <c r="EC9" s="105"/>
      <c r="ED9" s="105"/>
      <c r="EE9" s="105"/>
      <c r="EF9" s="105"/>
      <c r="EG9" s="105"/>
      <c r="EH9" s="105"/>
      <c r="EI9" s="105"/>
      <c r="EJ9" s="105"/>
      <c r="EK9" s="105"/>
      <c r="EL9" s="105"/>
      <c r="EM9" s="105"/>
      <c r="EN9" s="105"/>
      <c r="EO9" s="105"/>
      <c r="EP9" s="105"/>
    </row>
    <row r="10" spans="1:146" s="83" customFormat="1" ht="14.25">
      <c r="A10" s="105"/>
      <c r="B10" s="262" t="s">
        <v>62</v>
      </c>
      <c r="C10" s="269">
        <v>427</v>
      </c>
      <c r="D10" s="269">
        <v>825</v>
      </c>
      <c r="E10" s="269">
        <v>1180</v>
      </c>
      <c r="F10" s="271">
        <v>497</v>
      </c>
      <c r="G10" s="271">
        <v>924</v>
      </c>
      <c r="H10" s="271">
        <v>1320</v>
      </c>
      <c r="I10" s="256">
        <v>1.77</v>
      </c>
      <c r="J10" s="251">
        <f>BASE*I10</f>
        <v>17.7</v>
      </c>
      <c r="K10" s="263"/>
      <c r="L10" s="256"/>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105"/>
      <c r="AM10" s="105"/>
      <c r="AN10" s="105"/>
      <c r="AO10" s="105"/>
      <c r="AP10" s="105"/>
      <c r="AQ10" s="105"/>
      <c r="AR10" s="105"/>
      <c r="AS10" s="105"/>
      <c r="AT10" s="105"/>
      <c r="AU10" s="105"/>
      <c r="AV10" s="105"/>
      <c r="AW10" s="105"/>
      <c r="AX10" s="105"/>
      <c r="AY10" s="105"/>
      <c r="AZ10" s="105"/>
      <c r="BA10" s="105"/>
      <c r="BB10" s="105"/>
      <c r="BC10" s="105"/>
      <c r="BD10" s="105"/>
      <c r="BE10" s="105"/>
      <c r="BF10" s="105"/>
      <c r="BG10" s="105"/>
      <c r="BH10" s="105"/>
      <c r="BI10" s="105"/>
      <c r="BJ10" s="105"/>
      <c r="BK10" s="105"/>
      <c r="BL10" s="105"/>
      <c r="BM10" s="105"/>
      <c r="BN10" s="105"/>
      <c r="BO10" s="105"/>
      <c r="BP10" s="105"/>
      <c r="BQ10" s="105"/>
      <c r="BR10" s="105"/>
      <c r="BS10" s="105"/>
      <c r="BT10" s="105"/>
      <c r="BU10" s="105"/>
      <c r="BV10" s="105"/>
      <c r="BW10" s="105"/>
      <c r="BX10" s="105"/>
      <c r="BY10" s="105"/>
      <c r="BZ10" s="105"/>
      <c r="CA10" s="105"/>
      <c r="CB10" s="105"/>
      <c r="CC10" s="105"/>
      <c r="CD10" s="105"/>
      <c r="CE10" s="105"/>
      <c r="CF10" s="105"/>
      <c r="CG10" s="105"/>
      <c r="CH10" s="105"/>
      <c r="CI10" s="105"/>
      <c r="CJ10" s="105"/>
      <c r="CK10" s="105"/>
      <c r="CL10" s="105"/>
      <c r="CM10" s="105"/>
      <c r="CN10" s="105"/>
      <c r="CO10" s="105"/>
      <c r="CP10" s="105"/>
      <c r="CQ10" s="105"/>
      <c r="CR10" s="105"/>
      <c r="CS10" s="105"/>
      <c r="CT10" s="105"/>
      <c r="CU10" s="105"/>
      <c r="CV10" s="105"/>
      <c r="CW10" s="105"/>
      <c r="CX10" s="105"/>
      <c r="CY10" s="105"/>
      <c r="CZ10" s="105"/>
      <c r="DA10" s="105"/>
      <c r="DB10" s="105"/>
      <c r="DC10" s="105"/>
      <c r="DD10" s="105"/>
      <c r="DE10" s="105"/>
      <c r="DF10" s="105"/>
      <c r="DG10" s="105"/>
      <c r="DH10" s="105"/>
      <c r="DI10" s="105"/>
      <c r="DJ10" s="105"/>
      <c r="DK10" s="105"/>
      <c r="DL10" s="105"/>
      <c r="DM10" s="105"/>
      <c r="DN10" s="105"/>
      <c r="DO10" s="105"/>
      <c r="DP10" s="105"/>
      <c r="DQ10" s="105"/>
      <c r="DR10" s="105"/>
      <c r="DS10" s="105"/>
      <c r="DT10" s="105"/>
      <c r="DU10" s="105"/>
      <c r="DV10" s="105"/>
      <c r="DW10" s="105"/>
      <c r="DX10" s="105"/>
      <c r="DY10" s="105"/>
      <c r="DZ10" s="105"/>
      <c r="EA10" s="105"/>
      <c r="EB10" s="105"/>
      <c r="EC10" s="105"/>
      <c r="ED10" s="105"/>
      <c r="EE10" s="105"/>
      <c r="EF10" s="105"/>
      <c r="EG10" s="105"/>
      <c r="EH10" s="105"/>
      <c r="EI10" s="105"/>
      <c r="EJ10" s="105"/>
      <c r="EK10" s="105"/>
      <c r="EL10" s="105"/>
      <c r="EM10" s="105"/>
      <c r="EN10" s="105"/>
      <c r="EO10" s="105"/>
      <c r="EP10" s="105"/>
    </row>
    <row r="11" spans="1:146" s="83" customFormat="1" ht="14.25">
      <c r="A11" s="105"/>
      <c r="B11" s="262" t="s">
        <v>63</v>
      </c>
      <c r="C11" s="269">
        <v>327</v>
      </c>
      <c r="D11" s="269">
        <v>586</v>
      </c>
      <c r="E11" s="269">
        <v>795</v>
      </c>
      <c r="F11" s="271">
        <v>384</v>
      </c>
      <c r="G11" s="271">
        <v>662</v>
      </c>
      <c r="H11" s="271">
        <v>839</v>
      </c>
      <c r="I11" s="256">
        <v>1.1100000000000001</v>
      </c>
      <c r="J11" s="251">
        <f t="shared" si="0"/>
        <v>11.100000000000001</v>
      </c>
      <c r="K11" s="263" t="s">
        <v>64</v>
      </c>
      <c r="L11" s="256">
        <v>1.2</v>
      </c>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5"/>
      <c r="CL11" s="105"/>
      <c r="CM11" s="105"/>
      <c r="CN11" s="105"/>
      <c r="CO11" s="105"/>
      <c r="CP11" s="105"/>
      <c r="CQ11" s="105"/>
      <c r="CR11" s="105"/>
      <c r="CS11" s="105"/>
      <c r="CT11" s="105"/>
      <c r="CU11" s="105"/>
      <c r="CV11" s="105"/>
      <c r="CW11" s="105"/>
      <c r="CX11" s="105"/>
      <c r="CY11" s="105"/>
      <c r="CZ11" s="105"/>
      <c r="DA11" s="105"/>
      <c r="DB11" s="105"/>
      <c r="DC11" s="105"/>
      <c r="DD11" s="105"/>
      <c r="DE11" s="105"/>
      <c r="DF11" s="105"/>
      <c r="DG11" s="105"/>
      <c r="DH11" s="105"/>
      <c r="DI11" s="105"/>
      <c r="DJ11" s="105"/>
      <c r="DK11" s="105"/>
      <c r="DL11" s="105"/>
      <c r="DM11" s="105"/>
      <c r="DN11" s="105"/>
      <c r="DO11" s="105"/>
      <c r="DP11" s="105"/>
      <c r="DQ11" s="105"/>
      <c r="DR11" s="105"/>
      <c r="DS11" s="105"/>
      <c r="DT11" s="105"/>
      <c r="DU11" s="105"/>
      <c r="DV11" s="105"/>
      <c r="DW11" s="105"/>
      <c r="DX11" s="105"/>
      <c r="DY11" s="105"/>
      <c r="DZ11" s="105"/>
      <c r="EA11" s="105"/>
      <c r="EB11" s="105"/>
      <c r="EC11" s="105"/>
      <c r="ED11" s="105"/>
      <c r="EE11" s="105"/>
      <c r="EF11" s="105"/>
      <c r="EG11" s="105"/>
      <c r="EH11" s="105"/>
      <c r="EI11" s="105"/>
      <c r="EJ11" s="105"/>
      <c r="EK11" s="105"/>
      <c r="EL11" s="105"/>
      <c r="EM11" s="105"/>
      <c r="EN11" s="105"/>
      <c r="EO11" s="105"/>
      <c r="EP11" s="105"/>
    </row>
    <row r="12" spans="1:146" s="83" customFormat="1" ht="14.25">
      <c r="A12" s="105"/>
      <c r="B12" s="262" t="s">
        <v>578</v>
      </c>
      <c r="C12" s="269"/>
      <c r="D12" s="269"/>
      <c r="E12" s="269"/>
      <c r="F12" s="271"/>
      <c r="G12" s="271"/>
      <c r="H12" s="271"/>
      <c r="I12" s="256">
        <v>2.2000000000000002</v>
      </c>
      <c r="J12" s="251">
        <f t="shared" si="0"/>
        <v>22</v>
      </c>
      <c r="K12" s="263" t="s">
        <v>64</v>
      </c>
      <c r="L12" s="256">
        <v>1.2</v>
      </c>
      <c r="M12" s="105"/>
      <c r="N12" s="105"/>
      <c r="O12" s="105"/>
      <c r="P12" s="121"/>
      <c r="Q12" s="121"/>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c r="AR12" s="105"/>
      <c r="AS12" s="105"/>
      <c r="AT12" s="105"/>
      <c r="AU12" s="105"/>
      <c r="AV12" s="105"/>
      <c r="AW12" s="105"/>
      <c r="AX12" s="105"/>
      <c r="AY12" s="105"/>
      <c r="AZ12" s="105"/>
      <c r="BA12" s="105"/>
      <c r="BB12" s="105"/>
      <c r="BC12" s="105"/>
      <c r="BD12" s="105"/>
      <c r="BE12" s="105"/>
      <c r="BF12" s="105"/>
      <c r="BG12" s="105"/>
      <c r="BH12" s="105"/>
      <c r="BI12" s="105"/>
      <c r="BJ12" s="105"/>
      <c r="BK12" s="105"/>
      <c r="BL12" s="105"/>
      <c r="BM12" s="105"/>
      <c r="BN12" s="105"/>
      <c r="BO12" s="105"/>
      <c r="BP12" s="105"/>
      <c r="BQ12" s="105"/>
      <c r="BR12" s="105"/>
      <c r="BS12" s="105"/>
      <c r="BT12" s="105"/>
      <c r="BU12" s="105"/>
      <c r="BV12" s="105"/>
      <c r="BW12" s="105"/>
      <c r="BX12" s="105"/>
      <c r="BY12" s="105"/>
      <c r="BZ12" s="105"/>
      <c r="CA12" s="105"/>
      <c r="CB12" s="105"/>
      <c r="CC12" s="105"/>
      <c r="CD12" s="105"/>
      <c r="CE12" s="105"/>
      <c r="CF12" s="105"/>
      <c r="CG12" s="105"/>
      <c r="CH12" s="105"/>
      <c r="CI12" s="105"/>
      <c r="CJ12" s="105"/>
      <c r="CK12" s="105"/>
      <c r="CL12" s="105"/>
      <c r="CM12" s="105"/>
      <c r="CN12" s="105"/>
      <c r="CO12" s="105"/>
      <c r="CP12" s="105"/>
      <c r="CQ12" s="105"/>
      <c r="CR12" s="105"/>
      <c r="CS12" s="105"/>
      <c r="CT12" s="105"/>
      <c r="CU12" s="105"/>
      <c r="CV12" s="105"/>
      <c r="CW12" s="105"/>
      <c r="CX12" s="105"/>
      <c r="CY12" s="105"/>
      <c r="CZ12" s="105"/>
      <c r="DA12" s="105"/>
      <c r="DB12" s="105"/>
      <c r="DC12" s="105"/>
      <c r="DD12" s="105"/>
      <c r="DE12" s="105"/>
      <c r="DF12" s="105"/>
      <c r="DG12" s="105"/>
      <c r="DH12" s="105"/>
      <c r="DI12" s="105"/>
      <c r="DJ12" s="105"/>
      <c r="DK12" s="105"/>
      <c r="DL12" s="105"/>
      <c r="DM12" s="105"/>
      <c r="DN12" s="105"/>
      <c r="DO12" s="105"/>
      <c r="DP12" s="105"/>
      <c r="DQ12" s="105"/>
      <c r="DR12" s="105"/>
      <c r="DS12" s="105"/>
      <c r="DT12" s="105"/>
      <c r="DU12" s="105"/>
      <c r="DV12" s="105"/>
      <c r="DW12" s="105"/>
      <c r="DX12" s="105"/>
      <c r="DY12" s="105"/>
      <c r="DZ12" s="105"/>
      <c r="EA12" s="105"/>
      <c r="EB12" s="105"/>
      <c r="EC12" s="105"/>
      <c r="ED12" s="105"/>
      <c r="EE12" s="105"/>
      <c r="EF12" s="105"/>
      <c r="EG12" s="105"/>
      <c r="EH12" s="105"/>
      <c r="EI12" s="105"/>
      <c r="EJ12" s="105"/>
      <c r="EK12" s="105"/>
      <c r="EL12" s="105"/>
      <c r="EM12" s="105"/>
      <c r="EN12" s="105"/>
      <c r="EO12" s="105"/>
      <c r="EP12" s="105"/>
    </row>
    <row r="13" spans="1:146" s="83" customFormat="1" ht="14.25">
      <c r="A13" s="105"/>
      <c r="B13" s="262" t="s">
        <v>579</v>
      </c>
      <c r="C13" s="269">
        <v>379</v>
      </c>
      <c r="D13" s="269">
        <v>672</v>
      </c>
      <c r="E13" s="269">
        <v>896</v>
      </c>
      <c r="F13" s="271">
        <v>447</v>
      </c>
      <c r="G13" s="271">
        <v>760</v>
      </c>
      <c r="H13" s="271">
        <v>944</v>
      </c>
      <c r="I13" s="256">
        <v>1.33</v>
      </c>
      <c r="J13" s="251">
        <f t="shared" si="0"/>
        <v>13.3</v>
      </c>
      <c r="K13" s="263" t="s">
        <v>64</v>
      </c>
      <c r="L13" s="256">
        <v>1.2</v>
      </c>
      <c r="M13" s="105"/>
      <c r="N13" s="105"/>
      <c r="O13" s="105"/>
      <c r="P13" s="121"/>
      <c r="Q13" s="121"/>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c r="AR13" s="105"/>
      <c r="AS13" s="105"/>
      <c r="AT13" s="105"/>
      <c r="AU13" s="105"/>
      <c r="AV13" s="105"/>
      <c r="AW13" s="105"/>
      <c r="AX13" s="105"/>
      <c r="AY13" s="105"/>
      <c r="AZ13" s="105"/>
      <c r="BA13" s="105"/>
      <c r="BB13" s="105"/>
      <c r="BC13" s="105"/>
      <c r="BD13" s="105"/>
      <c r="BE13" s="105"/>
      <c r="BF13" s="105"/>
      <c r="BG13" s="105"/>
      <c r="BH13" s="105"/>
      <c r="BI13" s="105"/>
      <c r="BJ13" s="105"/>
      <c r="BK13" s="105"/>
      <c r="BL13" s="105"/>
      <c r="BM13" s="105"/>
      <c r="BN13" s="105"/>
      <c r="BO13" s="105"/>
      <c r="BP13" s="105"/>
      <c r="BQ13" s="105"/>
      <c r="BR13" s="105"/>
      <c r="BS13" s="105"/>
      <c r="BT13" s="105"/>
      <c r="BU13" s="105"/>
      <c r="BV13" s="105"/>
      <c r="BW13" s="105"/>
      <c r="BX13" s="105"/>
      <c r="BY13" s="105"/>
      <c r="BZ13" s="105"/>
      <c r="CA13" s="105"/>
      <c r="CB13" s="105"/>
      <c r="CC13" s="105"/>
      <c r="CD13" s="105"/>
      <c r="CE13" s="105"/>
      <c r="CF13" s="105"/>
      <c r="CG13" s="105"/>
      <c r="CH13" s="105"/>
      <c r="CI13" s="105"/>
      <c r="CJ13" s="105"/>
      <c r="CK13" s="105"/>
      <c r="CL13" s="105"/>
      <c r="CM13" s="105"/>
      <c r="CN13" s="105"/>
      <c r="CO13" s="105"/>
      <c r="CP13" s="105"/>
      <c r="CQ13" s="105"/>
      <c r="CR13" s="105"/>
      <c r="CS13" s="105"/>
      <c r="CT13" s="105"/>
      <c r="CU13" s="105"/>
      <c r="CV13" s="105"/>
      <c r="CW13" s="105"/>
      <c r="CX13" s="105"/>
      <c r="CY13" s="105"/>
      <c r="CZ13" s="105"/>
      <c r="DA13" s="105"/>
      <c r="DB13" s="105"/>
      <c r="DC13" s="105"/>
      <c r="DD13" s="105"/>
      <c r="DE13" s="105"/>
      <c r="DF13" s="105"/>
      <c r="DG13" s="105"/>
      <c r="DH13" s="105"/>
      <c r="DI13" s="105"/>
      <c r="DJ13" s="105"/>
      <c r="DK13" s="105"/>
      <c r="DL13" s="105"/>
      <c r="DM13" s="105"/>
      <c r="DN13" s="105"/>
      <c r="DO13" s="105"/>
      <c r="DP13" s="105"/>
      <c r="DQ13" s="105"/>
      <c r="DR13" s="105"/>
      <c r="DS13" s="105"/>
      <c r="DT13" s="105"/>
      <c r="DU13" s="105"/>
      <c r="DV13" s="105"/>
      <c r="DW13" s="105"/>
      <c r="DX13" s="105"/>
      <c r="DY13" s="105"/>
      <c r="DZ13" s="105"/>
      <c r="EA13" s="105"/>
      <c r="EB13" s="105"/>
      <c r="EC13" s="105"/>
      <c r="ED13" s="105"/>
      <c r="EE13" s="105"/>
      <c r="EF13" s="105"/>
      <c r="EG13" s="105"/>
      <c r="EH13" s="105"/>
      <c r="EI13" s="105"/>
      <c r="EJ13" s="105"/>
      <c r="EK13" s="105"/>
      <c r="EL13" s="105"/>
      <c r="EM13" s="105"/>
      <c r="EN13" s="105"/>
      <c r="EO13" s="105"/>
      <c r="EP13" s="105"/>
    </row>
    <row r="14" spans="1:146" s="83" customFormat="1" ht="14.25">
      <c r="A14" s="105"/>
      <c r="B14" s="262" t="s">
        <v>314</v>
      </c>
      <c r="C14" s="269">
        <v>573</v>
      </c>
      <c r="D14" s="269">
        <v>1060</v>
      </c>
      <c r="E14" s="269">
        <v>1480</v>
      </c>
      <c r="F14" s="271">
        <v>676</v>
      </c>
      <c r="G14" s="271">
        <v>1200</v>
      </c>
      <c r="H14" s="271">
        <v>1670</v>
      </c>
      <c r="I14" s="256">
        <v>2.66</v>
      </c>
      <c r="J14" s="251">
        <f>BASE*I14</f>
        <v>26.6</v>
      </c>
      <c r="K14" s="263" t="s">
        <v>65</v>
      </c>
      <c r="L14" s="256">
        <v>1.9</v>
      </c>
      <c r="M14" s="105"/>
      <c r="N14" s="105"/>
      <c r="O14" s="105"/>
      <c r="P14" s="121"/>
      <c r="Q14" s="121"/>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c r="AQ14" s="105"/>
      <c r="AR14" s="105"/>
      <c r="AS14" s="105"/>
      <c r="AT14" s="105"/>
      <c r="AU14" s="105"/>
      <c r="AV14" s="105"/>
      <c r="AW14" s="105"/>
      <c r="AX14" s="105"/>
      <c r="AY14" s="105"/>
      <c r="AZ14" s="105"/>
      <c r="BA14" s="105"/>
      <c r="BB14" s="105"/>
      <c r="BC14" s="105"/>
      <c r="BD14" s="105"/>
      <c r="BE14" s="105"/>
      <c r="BF14" s="105"/>
      <c r="BG14" s="105"/>
      <c r="BH14" s="105"/>
      <c r="BI14" s="105"/>
      <c r="BJ14" s="105"/>
      <c r="BK14" s="105"/>
      <c r="BL14" s="105"/>
      <c r="BM14" s="105"/>
      <c r="BN14" s="105"/>
      <c r="BO14" s="105"/>
      <c r="BP14" s="105"/>
      <c r="BQ14" s="105"/>
      <c r="BR14" s="105"/>
      <c r="BS14" s="105"/>
      <c r="BT14" s="105"/>
      <c r="BU14" s="105"/>
      <c r="BV14" s="105"/>
      <c r="BW14" s="105"/>
      <c r="BX14" s="105"/>
      <c r="BY14" s="105"/>
      <c r="BZ14" s="105"/>
      <c r="CA14" s="105"/>
      <c r="CB14" s="105"/>
      <c r="CC14" s="105"/>
      <c r="CD14" s="105"/>
      <c r="CE14" s="105"/>
      <c r="CF14" s="105"/>
      <c r="CG14" s="105"/>
      <c r="CH14" s="105"/>
      <c r="CI14" s="105"/>
      <c r="CJ14" s="105"/>
      <c r="CK14" s="105"/>
      <c r="CL14" s="105"/>
      <c r="CM14" s="105"/>
      <c r="CN14" s="105"/>
      <c r="CO14" s="105"/>
      <c r="CP14" s="105"/>
      <c r="CQ14" s="105"/>
      <c r="CR14" s="105"/>
      <c r="CS14" s="105"/>
      <c r="CT14" s="105"/>
      <c r="CU14" s="105"/>
      <c r="CV14" s="105"/>
      <c r="CW14" s="105"/>
      <c r="CX14" s="105"/>
      <c r="CY14" s="105"/>
      <c r="CZ14" s="105"/>
      <c r="DA14" s="105"/>
      <c r="DB14" s="105"/>
      <c r="DC14" s="105"/>
      <c r="DD14" s="105"/>
      <c r="DE14" s="105"/>
      <c r="DF14" s="105"/>
      <c r="DG14" s="105"/>
      <c r="DH14" s="105"/>
      <c r="DI14" s="105"/>
      <c r="DJ14" s="105"/>
      <c r="DK14" s="105"/>
      <c r="DL14" s="105"/>
      <c r="DM14" s="105"/>
      <c r="DN14" s="105"/>
      <c r="DO14" s="105"/>
      <c r="DP14" s="105"/>
      <c r="DQ14" s="105"/>
      <c r="DR14" s="105"/>
      <c r="DS14" s="105"/>
      <c r="DT14" s="105"/>
      <c r="DU14" s="105"/>
      <c r="DV14" s="105"/>
      <c r="DW14" s="105"/>
      <c r="DX14" s="105"/>
      <c r="DY14" s="105"/>
      <c r="DZ14" s="105"/>
      <c r="EA14" s="105"/>
      <c r="EB14" s="105"/>
      <c r="EC14" s="105"/>
      <c r="ED14" s="105"/>
      <c r="EE14" s="105"/>
      <c r="EF14" s="105"/>
      <c r="EG14" s="105"/>
      <c r="EH14" s="105"/>
      <c r="EI14" s="105"/>
      <c r="EJ14" s="105"/>
      <c r="EK14" s="105"/>
      <c r="EL14" s="105"/>
      <c r="EM14" s="105"/>
      <c r="EN14" s="105"/>
      <c r="EO14" s="105"/>
      <c r="EP14" s="105"/>
    </row>
    <row r="15" spans="1:146" s="83" customFormat="1" ht="15">
      <c r="A15" s="105"/>
      <c r="B15" s="262" t="s">
        <v>580</v>
      </c>
      <c r="C15" s="269">
        <v>482</v>
      </c>
      <c r="D15" s="269">
        <v>836</v>
      </c>
      <c r="E15" s="269">
        <v>1090</v>
      </c>
      <c r="F15" s="271">
        <v>573</v>
      </c>
      <c r="G15" s="271">
        <v>952</v>
      </c>
      <c r="H15" s="271">
        <v>1140</v>
      </c>
      <c r="I15" s="256">
        <v>1.77</v>
      </c>
      <c r="J15" s="251">
        <f t="shared" si="0"/>
        <v>17.7</v>
      </c>
      <c r="K15" s="263" t="s">
        <v>65</v>
      </c>
      <c r="L15" s="256">
        <v>1.9</v>
      </c>
      <c r="M15" s="105"/>
      <c r="N15" s="105"/>
      <c r="O15" s="105"/>
      <c r="P15" s="2622"/>
      <c r="Q15" s="2622"/>
      <c r="R15" s="105"/>
      <c r="S15" s="105"/>
      <c r="T15" s="105"/>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c r="AQ15" s="105"/>
      <c r="AR15" s="105"/>
      <c r="AS15" s="105"/>
      <c r="AT15" s="105"/>
      <c r="AU15" s="105"/>
      <c r="AV15" s="105"/>
      <c r="AW15" s="105"/>
      <c r="AX15" s="105"/>
      <c r="AY15" s="105"/>
      <c r="AZ15" s="105"/>
      <c r="BA15" s="105"/>
      <c r="BB15" s="105"/>
      <c r="BC15" s="105"/>
      <c r="BD15" s="105"/>
      <c r="BE15" s="105"/>
      <c r="BF15" s="105"/>
      <c r="BG15" s="105"/>
      <c r="BH15" s="105"/>
      <c r="BI15" s="105"/>
      <c r="BJ15" s="105"/>
      <c r="BK15" s="105"/>
      <c r="BL15" s="105"/>
      <c r="BM15" s="105"/>
      <c r="BN15" s="105"/>
      <c r="BO15" s="105"/>
      <c r="BP15" s="105"/>
      <c r="BQ15" s="105"/>
      <c r="BR15" s="105"/>
      <c r="BS15" s="105"/>
      <c r="BT15" s="105"/>
      <c r="BU15" s="105"/>
      <c r="BV15" s="105"/>
      <c r="BW15" s="105"/>
      <c r="BX15" s="105"/>
      <c r="BY15" s="105"/>
      <c r="BZ15" s="105"/>
      <c r="CA15" s="105"/>
      <c r="CB15" s="105"/>
      <c r="CC15" s="105"/>
      <c r="CD15" s="105"/>
      <c r="CE15" s="105"/>
      <c r="CF15" s="105"/>
      <c r="CG15" s="105"/>
      <c r="CH15" s="105"/>
      <c r="CI15" s="105"/>
      <c r="CJ15" s="105"/>
      <c r="CK15" s="105"/>
      <c r="CL15" s="105"/>
      <c r="CM15" s="105"/>
      <c r="CN15" s="105"/>
      <c r="CO15" s="105"/>
      <c r="CP15" s="105"/>
      <c r="CQ15" s="105"/>
      <c r="CR15" s="105"/>
      <c r="CS15" s="105"/>
      <c r="CT15" s="105"/>
      <c r="CU15" s="105"/>
      <c r="CV15" s="105"/>
      <c r="CW15" s="105"/>
      <c r="CX15" s="105"/>
      <c r="CY15" s="105"/>
      <c r="CZ15" s="105"/>
      <c r="DA15" s="105"/>
      <c r="DB15" s="105"/>
      <c r="DC15" s="105"/>
      <c r="DD15" s="105"/>
      <c r="DE15" s="105"/>
      <c r="DF15" s="105"/>
      <c r="DG15" s="105"/>
      <c r="DH15" s="105"/>
      <c r="DI15" s="105"/>
      <c r="DJ15" s="105"/>
      <c r="DK15" s="105"/>
      <c r="DL15" s="105"/>
      <c r="DM15" s="105"/>
      <c r="DN15" s="105"/>
      <c r="DO15" s="105"/>
      <c r="DP15" s="105"/>
      <c r="DQ15" s="105"/>
      <c r="DR15" s="105"/>
      <c r="DS15" s="105"/>
      <c r="DT15" s="105"/>
      <c r="DU15" s="105"/>
      <c r="DV15" s="105"/>
      <c r="DW15" s="105"/>
      <c r="DX15" s="105"/>
      <c r="DY15" s="105"/>
      <c r="DZ15" s="105"/>
      <c r="EA15" s="105"/>
      <c r="EB15" s="105"/>
      <c r="EC15" s="105"/>
      <c r="ED15" s="105"/>
      <c r="EE15" s="105"/>
      <c r="EF15" s="105"/>
      <c r="EG15" s="105"/>
      <c r="EH15" s="105"/>
      <c r="EI15" s="105"/>
      <c r="EJ15" s="105"/>
      <c r="EK15" s="105"/>
      <c r="EL15" s="105"/>
      <c r="EM15" s="105"/>
      <c r="EN15" s="105"/>
      <c r="EO15" s="105"/>
      <c r="EP15" s="105"/>
    </row>
    <row r="16" spans="1:146" s="83" customFormat="1" ht="14.25">
      <c r="A16" s="105"/>
      <c r="B16" s="262" t="s">
        <v>469</v>
      </c>
      <c r="C16" s="269">
        <v>715</v>
      </c>
      <c r="D16" s="269">
        <v>1290</v>
      </c>
      <c r="E16" s="269">
        <v>1770</v>
      </c>
      <c r="F16" s="271">
        <v>850</v>
      </c>
      <c r="G16" s="271">
        <v>1470</v>
      </c>
      <c r="H16" s="271">
        <v>2000</v>
      </c>
      <c r="I16" s="256">
        <v>3.56</v>
      </c>
      <c r="J16" s="251">
        <f t="shared" si="0"/>
        <v>35.6</v>
      </c>
      <c r="K16" s="263" t="s">
        <v>65</v>
      </c>
      <c r="L16" s="256">
        <v>1.9</v>
      </c>
      <c r="M16" s="105"/>
      <c r="N16" s="105"/>
      <c r="O16" s="105"/>
      <c r="P16" s="121"/>
      <c r="Q16" s="121"/>
      <c r="R16" s="105"/>
      <c r="S16" s="105"/>
      <c r="T16" s="105"/>
      <c r="U16" s="105"/>
      <c r="V16" s="105"/>
      <c r="W16" s="105"/>
      <c r="X16" s="105"/>
      <c r="Y16" s="105"/>
      <c r="Z16" s="105"/>
      <c r="AA16" s="105"/>
      <c r="AB16" s="105"/>
      <c r="AC16" s="105"/>
      <c r="AD16" s="105"/>
      <c r="AE16" s="105"/>
      <c r="AF16" s="105"/>
      <c r="AG16" s="105"/>
      <c r="AH16" s="105"/>
      <c r="AI16" s="105"/>
      <c r="AJ16" s="105"/>
      <c r="AK16" s="105"/>
      <c r="AL16" s="105"/>
      <c r="AM16" s="105"/>
      <c r="AN16" s="105"/>
      <c r="AO16" s="105"/>
      <c r="AP16" s="105"/>
      <c r="AQ16" s="105"/>
      <c r="AR16" s="105"/>
      <c r="AS16" s="105"/>
      <c r="AT16" s="105"/>
      <c r="AU16" s="105"/>
      <c r="AV16" s="105"/>
      <c r="AW16" s="105"/>
      <c r="AX16" s="105"/>
      <c r="AY16" s="105"/>
      <c r="AZ16" s="105"/>
      <c r="BA16" s="105"/>
      <c r="BB16" s="105"/>
      <c r="BC16" s="105"/>
      <c r="BD16" s="105"/>
      <c r="BE16" s="105"/>
      <c r="BF16" s="105"/>
      <c r="BG16" s="105"/>
      <c r="BH16" s="105"/>
      <c r="BI16" s="105"/>
      <c r="BJ16" s="105"/>
      <c r="BK16" s="105"/>
      <c r="BL16" s="105"/>
      <c r="BM16" s="105"/>
      <c r="BN16" s="105"/>
      <c r="BO16" s="105"/>
      <c r="BP16" s="105"/>
      <c r="BQ16" s="105"/>
      <c r="BR16" s="105"/>
      <c r="BS16" s="105"/>
      <c r="BT16" s="105"/>
      <c r="BU16" s="105"/>
      <c r="BV16" s="105"/>
      <c r="BW16" s="105"/>
      <c r="BX16" s="105"/>
      <c r="BY16" s="105"/>
      <c r="BZ16" s="105"/>
      <c r="CA16" s="105"/>
      <c r="CB16" s="105"/>
      <c r="CC16" s="105"/>
      <c r="CD16" s="105"/>
      <c r="CE16" s="105"/>
      <c r="CF16" s="105"/>
      <c r="CG16" s="105"/>
      <c r="CH16" s="105"/>
      <c r="CI16" s="105"/>
      <c r="CJ16" s="105"/>
      <c r="CK16" s="105"/>
      <c r="CL16" s="105"/>
      <c r="CM16" s="105"/>
      <c r="CN16" s="105"/>
      <c r="CO16" s="105"/>
      <c r="CP16" s="105"/>
      <c r="CQ16" s="105"/>
      <c r="CR16" s="105"/>
      <c r="CS16" s="105"/>
      <c r="CT16" s="105"/>
      <c r="CU16" s="105"/>
      <c r="CV16" s="105"/>
      <c r="CW16" s="105"/>
      <c r="CX16" s="105"/>
      <c r="CY16" s="105"/>
      <c r="CZ16" s="105"/>
      <c r="DA16" s="105"/>
      <c r="DB16" s="105"/>
      <c r="DC16" s="105"/>
      <c r="DD16" s="105"/>
      <c r="DE16" s="105"/>
      <c r="DF16" s="105"/>
      <c r="DG16" s="105"/>
      <c r="DH16" s="105"/>
      <c r="DI16" s="105"/>
      <c r="DJ16" s="105"/>
      <c r="DK16" s="105"/>
      <c r="DL16" s="105"/>
      <c r="DM16" s="105"/>
      <c r="DN16" s="105"/>
      <c r="DO16" s="105"/>
      <c r="DP16" s="105"/>
      <c r="DQ16" s="105"/>
      <c r="DR16" s="105"/>
      <c r="DS16" s="105"/>
      <c r="DT16" s="105"/>
      <c r="DU16" s="105"/>
      <c r="DV16" s="105"/>
      <c r="DW16" s="105"/>
      <c r="DX16" s="105"/>
      <c r="DY16" s="105"/>
      <c r="DZ16" s="105"/>
      <c r="EA16" s="105"/>
      <c r="EB16" s="105"/>
      <c r="EC16" s="105"/>
      <c r="ED16" s="105"/>
      <c r="EE16" s="105"/>
      <c r="EF16" s="105"/>
      <c r="EG16" s="105"/>
      <c r="EH16" s="105"/>
      <c r="EI16" s="105"/>
      <c r="EJ16" s="105"/>
      <c r="EK16" s="105"/>
      <c r="EL16" s="105"/>
      <c r="EM16" s="105"/>
      <c r="EN16" s="105"/>
      <c r="EO16" s="105"/>
      <c r="EP16" s="105"/>
    </row>
    <row r="17" spans="1:146" s="83" customFormat="1" ht="14.25">
      <c r="A17" s="199"/>
      <c r="B17" s="1129" t="s">
        <v>3313</v>
      </c>
      <c r="C17" s="1130">
        <v>583</v>
      </c>
      <c r="D17" s="1130">
        <v>994</v>
      </c>
      <c r="E17" s="1130">
        <v>1260</v>
      </c>
      <c r="F17" s="1131">
        <v>697</v>
      </c>
      <c r="G17" s="1131">
        <v>1140</v>
      </c>
      <c r="H17" s="1131">
        <v>1330</v>
      </c>
      <c r="I17" s="1132">
        <f>(50-40)*(1.77-1.33)/(40-30)+1.77</f>
        <v>2.21</v>
      </c>
      <c r="J17" s="1133">
        <f>BASE*I17</f>
        <v>22.1</v>
      </c>
      <c r="K17" s="1134" t="s">
        <v>65</v>
      </c>
      <c r="L17" s="1132">
        <v>1.9</v>
      </c>
      <c r="M17" s="199"/>
      <c r="N17" s="199"/>
      <c r="O17" s="199"/>
      <c r="P17" s="121"/>
      <c r="Q17" s="121"/>
      <c r="R17" s="199"/>
      <c r="S17" s="199"/>
      <c r="T17" s="199"/>
      <c r="U17" s="199"/>
      <c r="V17" s="199"/>
      <c r="W17" s="199"/>
      <c r="X17" s="199"/>
      <c r="Y17" s="199"/>
      <c r="Z17" s="199"/>
      <c r="AA17" s="199"/>
      <c r="AB17" s="199"/>
      <c r="AC17" s="199"/>
      <c r="AD17" s="199"/>
      <c r="AE17" s="199"/>
      <c r="AF17" s="199"/>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c r="BJ17" s="199"/>
      <c r="BK17" s="199"/>
      <c r="BL17" s="199"/>
      <c r="BM17" s="199"/>
      <c r="BN17" s="199"/>
      <c r="BO17" s="199"/>
      <c r="BP17" s="199"/>
      <c r="BQ17" s="199"/>
      <c r="BR17" s="199"/>
      <c r="BS17" s="199"/>
      <c r="BT17" s="199"/>
      <c r="BU17" s="199"/>
      <c r="BV17" s="199"/>
      <c r="BW17" s="199"/>
      <c r="BX17" s="199"/>
      <c r="BY17" s="199"/>
      <c r="BZ17" s="199"/>
      <c r="CA17" s="199"/>
      <c r="CB17" s="199"/>
      <c r="CC17" s="199"/>
      <c r="CD17" s="199"/>
      <c r="CE17" s="199"/>
      <c r="CF17" s="199"/>
      <c r="CG17" s="199"/>
      <c r="CH17" s="199"/>
      <c r="CI17" s="199"/>
      <c r="CJ17" s="199"/>
      <c r="CK17" s="199"/>
      <c r="CL17" s="199"/>
      <c r="CM17" s="199"/>
      <c r="CN17" s="199"/>
      <c r="CO17" s="199"/>
      <c r="CP17" s="199"/>
      <c r="CQ17" s="199"/>
      <c r="CR17" s="199"/>
      <c r="CS17" s="199"/>
      <c r="CT17" s="199"/>
      <c r="CU17" s="199"/>
      <c r="CV17" s="199"/>
      <c r="CW17" s="199"/>
      <c r="CX17" s="199"/>
      <c r="CY17" s="199"/>
      <c r="CZ17" s="199"/>
      <c r="DA17" s="199"/>
      <c r="DB17" s="199"/>
      <c r="DC17" s="199"/>
      <c r="DD17" s="199"/>
      <c r="DE17" s="199"/>
      <c r="DF17" s="199"/>
      <c r="DG17" s="199"/>
      <c r="DH17" s="199"/>
      <c r="DI17" s="199"/>
      <c r="DJ17" s="199"/>
      <c r="DK17" s="199"/>
      <c r="DL17" s="199"/>
      <c r="DM17" s="199"/>
      <c r="DN17" s="199"/>
      <c r="DO17" s="199"/>
      <c r="DP17" s="199"/>
      <c r="DQ17" s="199"/>
      <c r="DR17" s="199"/>
      <c r="DS17" s="199"/>
      <c r="DT17" s="199"/>
      <c r="DU17" s="199"/>
      <c r="DV17" s="199"/>
      <c r="DW17" s="199"/>
      <c r="DX17" s="199"/>
      <c r="DY17" s="199"/>
      <c r="DZ17" s="199"/>
      <c r="EA17" s="199"/>
      <c r="EB17" s="199"/>
      <c r="EC17" s="199"/>
      <c r="ED17" s="199"/>
      <c r="EE17" s="199"/>
      <c r="EF17" s="199"/>
      <c r="EG17" s="199"/>
      <c r="EH17" s="199"/>
      <c r="EI17" s="199"/>
      <c r="EJ17" s="199"/>
      <c r="EK17" s="199"/>
      <c r="EL17" s="199"/>
      <c r="EM17" s="199"/>
      <c r="EN17" s="199"/>
      <c r="EO17" s="199"/>
      <c r="EP17" s="199"/>
    </row>
    <row r="18" spans="1:146" s="83" customFormat="1" ht="14.25">
      <c r="A18" s="105"/>
      <c r="B18" s="262" t="s">
        <v>315</v>
      </c>
      <c r="C18" s="269">
        <v>852</v>
      </c>
      <c r="D18" s="269">
        <v>1510</v>
      </c>
      <c r="E18" s="269">
        <v>2040</v>
      </c>
      <c r="F18" s="271">
        <v>1020</v>
      </c>
      <c r="G18" s="271">
        <v>1720</v>
      </c>
      <c r="H18" s="271">
        <v>2320</v>
      </c>
      <c r="I18" s="256">
        <v>4.4400000000000004</v>
      </c>
      <c r="J18" s="251">
        <f t="shared" si="0"/>
        <v>44.400000000000006</v>
      </c>
      <c r="K18" s="263" t="s">
        <v>65</v>
      </c>
      <c r="L18" s="256">
        <v>1.9</v>
      </c>
      <c r="M18" s="105"/>
      <c r="N18" s="105"/>
      <c r="O18" s="105"/>
      <c r="P18" s="121"/>
      <c r="Q18" s="121"/>
      <c r="R18" s="105"/>
      <c r="S18" s="105"/>
      <c r="T18" s="105"/>
      <c r="U18" s="105"/>
      <c r="V18" s="105"/>
      <c r="W18" s="105"/>
      <c r="X18" s="105"/>
      <c r="Y18" s="105"/>
      <c r="Z18" s="105"/>
      <c r="AA18" s="105"/>
      <c r="AB18" s="105"/>
      <c r="AC18" s="105"/>
      <c r="AD18" s="105"/>
      <c r="AE18" s="105"/>
      <c r="AF18" s="105"/>
      <c r="AG18" s="105"/>
      <c r="AH18" s="105"/>
      <c r="AI18" s="105"/>
      <c r="AJ18" s="105"/>
      <c r="AK18" s="105"/>
      <c r="AL18" s="105"/>
      <c r="AM18" s="105"/>
      <c r="AN18" s="105"/>
      <c r="AO18" s="105"/>
      <c r="AP18" s="105"/>
      <c r="AQ18" s="105"/>
      <c r="AR18" s="105"/>
      <c r="AS18" s="105"/>
      <c r="AT18" s="105"/>
      <c r="AU18" s="105"/>
      <c r="AV18" s="105"/>
      <c r="AW18" s="105"/>
      <c r="AX18" s="105"/>
      <c r="AY18" s="105"/>
      <c r="AZ18" s="105"/>
      <c r="BA18" s="105"/>
      <c r="BB18" s="105"/>
      <c r="BC18" s="105"/>
      <c r="BD18" s="105"/>
      <c r="BE18" s="105"/>
      <c r="BF18" s="105"/>
      <c r="BG18" s="105"/>
      <c r="BH18" s="105"/>
      <c r="BI18" s="105"/>
      <c r="BJ18" s="105"/>
      <c r="BK18" s="105"/>
      <c r="BL18" s="105"/>
      <c r="BM18" s="105"/>
      <c r="BN18" s="105"/>
      <c r="BO18" s="105"/>
      <c r="BP18" s="105"/>
      <c r="BQ18" s="105"/>
      <c r="BR18" s="105"/>
      <c r="BS18" s="105"/>
      <c r="BT18" s="105"/>
      <c r="BU18" s="105"/>
      <c r="BV18" s="105"/>
      <c r="BW18" s="105"/>
      <c r="BX18" s="105"/>
      <c r="BY18" s="105"/>
      <c r="BZ18" s="105"/>
      <c r="CA18" s="105"/>
      <c r="CB18" s="105"/>
      <c r="CC18" s="105"/>
      <c r="CD18" s="105"/>
      <c r="CE18" s="105"/>
      <c r="CF18" s="105"/>
      <c r="CG18" s="105"/>
      <c r="CH18" s="105"/>
      <c r="CI18" s="105"/>
      <c r="CJ18" s="105"/>
      <c r="CK18" s="105"/>
      <c r="CL18" s="105"/>
      <c r="CM18" s="105"/>
      <c r="CN18" s="105"/>
      <c r="CO18" s="105"/>
      <c r="CP18" s="105"/>
      <c r="CQ18" s="105"/>
      <c r="CR18" s="105"/>
      <c r="CS18" s="105"/>
      <c r="CT18" s="105"/>
      <c r="CU18" s="105"/>
      <c r="CV18" s="105"/>
      <c r="CW18" s="105"/>
      <c r="CX18" s="105"/>
      <c r="CY18" s="105"/>
      <c r="CZ18" s="105"/>
      <c r="DA18" s="105"/>
      <c r="DB18" s="105"/>
      <c r="DC18" s="105"/>
      <c r="DD18" s="105"/>
      <c r="DE18" s="105"/>
      <c r="DF18" s="105"/>
      <c r="DG18" s="105"/>
      <c r="DH18" s="105"/>
      <c r="DI18" s="105"/>
      <c r="DJ18" s="105"/>
      <c r="DK18" s="105"/>
      <c r="DL18" s="105"/>
      <c r="DM18" s="105"/>
      <c r="DN18" s="105"/>
      <c r="DO18" s="105"/>
      <c r="DP18" s="105"/>
      <c r="DQ18" s="105"/>
      <c r="DR18" s="105"/>
      <c r="DS18" s="105"/>
      <c r="DT18" s="105"/>
      <c r="DU18" s="105"/>
      <c r="DV18" s="105"/>
      <c r="DW18" s="105"/>
      <c r="DX18" s="105"/>
      <c r="DY18" s="105"/>
      <c r="DZ18" s="105"/>
      <c r="EA18" s="105"/>
      <c r="EB18" s="105"/>
      <c r="EC18" s="105"/>
      <c r="ED18" s="105"/>
      <c r="EE18" s="105"/>
      <c r="EF18" s="105"/>
      <c r="EG18" s="105"/>
      <c r="EH18" s="105"/>
      <c r="EI18" s="105"/>
      <c r="EJ18" s="105"/>
      <c r="EK18" s="105"/>
      <c r="EL18" s="105"/>
      <c r="EM18" s="105"/>
      <c r="EN18" s="105"/>
      <c r="EO18" s="105"/>
      <c r="EP18" s="105"/>
    </row>
    <row r="19" spans="1:146" s="83" customFormat="1" ht="15">
      <c r="A19" s="105"/>
      <c r="B19" s="262" t="s">
        <v>581</v>
      </c>
      <c r="C19" s="269">
        <v>985</v>
      </c>
      <c r="D19" s="269">
        <v>1720</v>
      </c>
      <c r="E19" s="269">
        <v>2300</v>
      </c>
      <c r="F19" s="271">
        <v>1180</v>
      </c>
      <c r="G19" s="271">
        <v>1960</v>
      </c>
      <c r="H19" s="271">
        <v>2610</v>
      </c>
      <c r="I19" s="256">
        <v>5.33</v>
      </c>
      <c r="J19" s="251">
        <f t="shared" si="0"/>
        <v>53.3</v>
      </c>
      <c r="K19" s="263" t="s">
        <v>65</v>
      </c>
      <c r="L19" s="256">
        <v>1.9</v>
      </c>
      <c r="M19" s="105"/>
      <c r="N19" s="105"/>
      <c r="O19" s="105"/>
      <c r="P19" s="2622"/>
      <c r="Q19" s="2622"/>
      <c r="R19" s="105"/>
      <c r="S19" s="105"/>
      <c r="T19" s="105"/>
      <c r="U19" s="105"/>
      <c r="V19" s="105"/>
      <c r="W19" s="105"/>
      <c r="X19" s="105"/>
      <c r="Y19" s="105"/>
      <c r="Z19" s="105"/>
      <c r="AA19" s="105"/>
      <c r="AB19" s="105"/>
      <c r="AC19" s="105"/>
      <c r="AD19" s="105"/>
      <c r="AE19" s="105"/>
      <c r="AF19" s="105"/>
      <c r="AG19" s="105"/>
      <c r="AH19" s="105"/>
      <c r="AI19" s="105"/>
      <c r="AJ19" s="105"/>
      <c r="AK19" s="105"/>
      <c r="AL19" s="105"/>
      <c r="AM19" s="105"/>
      <c r="AN19" s="105"/>
      <c r="AO19" s="105"/>
      <c r="AP19" s="105"/>
      <c r="AQ19" s="105"/>
      <c r="AR19" s="105"/>
      <c r="AS19" s="105"/>
      <c r="AT19" s="105"/>
      <c r="AU19" s="105"/>
      <c r="AV19" s="105"/>
      <c r="AW19" s="105"/>
      <c r="AX19" s="105"/>
      <c r="AY19" s="105"/>
      <c r="AZ19" s="105"/>
      <c r="BA19" s="105"/>
      <c r="BB19" s="105"/>
      <c r="BC19" s="105"/>
      <c r="BD19" s="105"/>
      <c r="BE19" s="105"/>
      <c r="BF19" s="105"/>
      <c r="BG19" s="105"/>
      <c r="BH19" s="105"/>
      <c r="BI19" s="105"/>
      <c r="BJ19" s="105"/>
      <c r="BK19" s="105"/>
      <c r="BL19" s="105"/>
      <c r="BM19" s="105"/>
      <c r="BN19" s="105"/>
      <c r="BO19" s="105"/>
      <c r="BP19" s="105"/>
      <c r="BQ19" s="105"/>
      <c r="BR19" s="105"/>
      <c r="BS19" s="105"/>
      <c r="BT19" s="105"/>
      <c r="BU19" s="105"/>
      <c r="BV19" s="105"/>
      <c r="BW19" s="105"/>
      <c r="BX19" s="105"/>
      <c r="BY19" s="105"/>
      <c r="BZ19" s="105"/>
      <c r="CA19" s="105"/>
      <c r="CB19" s="105"/>
      <c r="CC19" s="105"/>
      <c r="CD19" s="105"/>
      <c r="CE19" s="105"/>
      <c r="CF19" s="105"/>
      <c r="CG19" s="105"/>
      <c r="CH19" s="105"/>
      <c r="CI19" s="105"/>
      <c r="CJ19" s="105"/>
      <c r="CK19" s="105"/>
      <c r="CL19" s="105"/>
      <c r="CM19" s="105"/>
      <c r="CN19" s="105"/>
      <c r="CO19" s="105"/>
      <c r="CP19" s="105"/>
      <c r="CQ19" s="105"/>
      <c r="CR19" s="105"/>
      <c r="CS19" s="105"/>
      <c r="CT19" s="105"/>
      <c r="CU19" s="105"/>
      <c r="CV19" s="105"/>
      <c r="CW19" s="105"/>
      <c r="CX19" s="105"/>
      <c r="CY19" s="105"/>
      <c r="CZ19" s="105"/>
      <c r="DA19" s="105"/>
      <c r="DB19" s="105"/>
      <c r="DC19" s="105"/>
      <c r="DD19" s="105"/>
      <c r="DE19" s="105"/>
      <c r="DF19" s="105"/>
      <c r="DG19" s="105"/>
      <c r="DH19" s="105"/>
      <c r="DI19" s="105"/>
      <c r="DJ19" s="105"/>
      <c r="DK19" s="105"/>
      <c r="DL19" s="105"/>
      <c r="DM19" s="105"/>
      <c r="DN19" s="105"/>
      <c r="DO19" s="105"/>
      <c r="DP19" s="105"/>
      <c r="DQ19" s="105"/>
      <c r="DR19" s="105"/>
      <c r="DS19" s="105"/>
      <c r="DT19" s="105"/>
      <c r="DU19" s="105"/>
      <c r="DV19" s="105"/>
      <c r="DW19" s="105"/>
      <c r="DX19" s="105"/>
      <c r="DY19" s="105"/>
      <c r="DZ19" s="105"/>
      <c r="EA19" s="105"/>
      <c r="EB19" s="105"/>
      <c r="EC19" s="105"/>
      <c r="ED19" s="105"/>
      <c r="EE19" s="105"/>
      <c r="EF19" s="105"/>
      <c r="EG19" s="105"/>
      <c r="EH19" s="105"/>
      <c r="EI19" s="105"/>
      <c r="EJ19" s="105"/>
      <c r="EK19" s="105"/>
      <c r="EL19" s="105"/>
      <c r="EM19" s="105"/>
      <c r="EN19" s="105"/>
      <c r="EO19" s="105"/>
      <c r="EP19" s="105"/>
    </row>
    <row r="20" spans="1:146" s="83" customFormat="1" ht="14.25">
      <c r="A20" s="105"/>
      <c r="B20" s="262" t="s">
        <v>582</v>
      </c>
      <c r="C20" s="269">
        <v>1240</v>
      </c>
      <c r="D20" s="269">
        <v>2110</v>
      </c>
      <c r="E20" s="269">
        <v>2790</v>
      </c>
      <c r="F20" s="271">
        <v>1500</v>
      </c>
      <c r="G20" s="271">
        <v>2410</v>
      </c>
      <c r="H20" s="271">
        <v>3170</v>
      </c>
      <c r="I20" s="256">
        <v>7.11</v>
      </c>
      <c r="J20" s="251">
        <f t="shared" si="0"/>
        <v>71.100000000000009</v>
      </c>
      <c r="K20" s="263" t="s">
        <v>66</v>
      </c>
      <c r="L20" s="256">
        <v>2.7</v>
      </c>
      <c r="M20" s="105"/>
      <c r="N20" s="105"/>
      <c r="O20" s="105"/>
      <c r="P20" s="121"/>
      <c r="Q20" s="121"/>
      <c r="R20" s="105"/>
      <c r="S20" s="105"/>
      <c r="T20" s="105"/>
      <c r="U20" s="105"/>
      <c r="V20" s="105"/>
      <c r="W20" s="105"/>
      <c r="X20" s="105"/>
      <c r="Y20" s="105"/>
      <c r="Z20" s="105"/>
      <c r="AA20" s="105"/>
      <c r="AB20" s="105"/>
      <c r="AC20" s="105"/>
      <c r="AD20" s="105"/>
      <c r="AE20" s="105"/>
      <c r="AF20" s="105"/>
      <c r="AG20" s="105"/>
      <c r="AH20" s="105"/>
      <c r="AI20" s="105"/>
      <c r="AJ20" s="105"/>
      <c r="AK20" s="105"/>
      <c r="AL20" s="105"/>
      <c r="AM20" s="105"/>
      <c r="AN20" s="105"/>
      <c r="AO20" s="105"/>
      <c r="AP20" s="105"/>
      <c r="AQ20" s="105"/>
      <c r="AR20" s="105"/>
      <c r="AS20" s="105"/>
      <c r="AT20" s="105"/>
      <c r="AU20" s="105"/>
      <c r="AV20" s="105"/>
      <c r="AW20" s="105"/>
      <c r="AX20" s="105"/>
      <c r="AY20" s="105"/>
      <c r="AZ20" s="105"/>
      <c r="BA20" s="105"/>
      <c r="BB20" s="105"/>
      <c r="BC20" s="105"/>
      <c r="BD20" s="105"/>
      <c r="BE20" s="105"/>
      <c r="BF20" s="105"/>
      <c r="BG20" s="105"/>
      <c r="BH20" s="105"/>
      <c r="BI20" s="105"/>
      <c r="BJ20" s="105"/>
      <c r="BK20" s="105"/>
      <c r="BL20" s="105"/>
      <c r="BM20" s="105"/>
      <c r="BN20" s="105"/>
      <c r="BO20" s="105"/>
      <c r="BP20" s="105"/>
      <c r="BQ20" s="105"/>
      <c r="BR20" s="105"/>
      <c r="BS20" s="105"/>
      <c r="BT20" s="105"/>
      <c r="BU20" s="105"/>
      <c r="BV20" s="105"/>
      <c r="BW20" s="105"/>
      <c r="BX20" s="105"/>
      <c r="BY20" s="105"/>
      <c r="BZ20" s="105"/>
      <c r="CA20" s="105"/>
      <c r="CB20" s="105"/>
      <c r="CC20" s="105"/>
      <c r="CD20" s="105"/>
      <c r="CE20" s="105"/>
      <c r="CF20" s="105"/>
      <c r="CG20" s="105"/>
      <c r="CH20" s="105"/>
      <c r="CI20" s="105"/>
      <c r="CJ20" s="105"/>
      <c r="CK20" s="105"/>
      <c r="CL20" s="105"/>
      <c r="CM20" s="105"/>
      <c r="CN20" s="105"/>
      <c r="CO20" s="105"/>
      <c r="CP20" s="105"/>
      <c r="CQ20" s="105"/>
      <c r="CR20" s="105"/>
      <c r="CS20" s="105"/>
      <c r="CT20" s="105"/>
      <c r="CU20" s="105"/>
      <c r="CV20" s="105"/>
      <c r="CW20" s="105"/>
      <c r="CX20" s="105"/>
      <c r="CY20" s="105"/>
      <c r="CZ20" s="105"/>
      <c r="DA20" s="105"/>
      <c r="DB20" s="105"/>
      <c r="DC20" s="105"/>
      <c r="DD20" s="105"/>
      <c r="DE20" s="105"/>
      <c r="DF20" s="105"/>
      <c r="DG20" s="105"/>
      <c r="DH20" s="105"/>
      <c r="DI20" s="105"/>
      <c r="DJ20" s="105"/>
      <c r="DK20" s="105"/>
      <c r="DL20" s="105"/>
      <c r="DM20" s="105"/>
      <c r="DN20" s="105"/>
      <c r="DO20" s="105"/>
      <c r="DP20" s="105"/>
      <c r="DQ20" s="105"/>
      <c r="DR20" s="105"/>
      <c r="DS20" s="105"/>
      <c r="DT20" s="105"/>
      <c r="DU20" s="105"/>
      <c r="DV20" s="105"/>
      <c r="DW20" s="105"/>
      <c r="DX20" s="105"/>
      <c r="DY20" s="105"/>
      <c r="DZ20" s="105"/>
      <c r="EA20" s="105"/>
      <c r="EB20" s="105"/>
      <c r="EC20" s="105"/>
      <c r="ED20" s="105"/>
      <c r="EE20" s="105"/>
      <c r="EF20" s="105"/>
      <c r="EG20" s="105"/>
      <c r="EH20" s="105"/>
      <c r="EI20" s="105"/>
      <c r="EJ20" s="105"/>
      <c r="EK20" s="105"/>
      <c r="EL20" s="105"/>
      <c r="EM20" s="105"/>
      <c r="EN20" s="105"/>
      <c r="EO20" s="105"/>
      <c r="EP20" s="105"/>
    </row>
    <row r="21" spans="1:146" s="83" customFormat="1" ht="14.25">
      <c r="A21" s="105"/>
      <c r="B21" s="262" t="s">
        <v>468</v>
      </c>
      <c r="C21" s="269">
        <v>1490</v>
      </c>
      <c r="D21" s="269">
        <v>2480</v>
      </c>
      <c r="E21" s="269">
        <v>3260</v>
      </c>
      <c r="F21" s="271">
        <v>1810</v>
      </c>
      <c r="G21" s="271">
        <v>2850</v>
      </c>
      <c r="H21" s="271">
        <v>3720</v>
      </c>
      <c r="I21" s="256">
        <v>8.89</v>
      </c>
      <c r="J21" s="251">
        <f t="shared" si="0"/>
        <v>88.9</v>
      </c>
      <c r="K21" s="263" t="s">
        <v>67</v>
      </c>
      <c r="L21" s="256">
        <v>5.5</v>
      </c>
      <c r="M21" s="105"/>
      <c r="N21" s="105"/>
      <c r="O21" s="105"/>
      <c r="P21" s="121"/>
      <c r="Q21" s="121"/>
      <c r="R21" s="105"/>
      <c r="S21" s="105"/>
      <c r="T21" s="105"/>
      <c r="U21" s="105"/>
      <c r="V21" s="105"/>
      <c r="W21" s="105"/>
      <c r="X21" s="105"/>
      <c r="Y21" s="105"/>
      <c r="Z21" s="105"/>
      <c r="AA21" s="105"/>
      <c r="AB21" s="105"/>
      <c r="AC21" s="105"/>
      <c r="AD21" s="105"/>
      <c r="AE21" s="105"/>
      <c r="AF21" s="105"/>
      <c r="AG21" s="105"/>
      <c r="AH21" s="105"/>
      <c r="AI21" s="105"/>
      <c r="AJ21" s="105"/>
      <c r="AK21" s="105"/>
      <c r="AL21" s="105"/>
      <c r="AM21" s="105"/>
      <c r="AN21" s="105"/>
      <c r="AO21" s="105"/>
      <c r="AP21" s="105"/>
      <c r="AQ21" s="105"/>
      <c r="AR21" s="105"/>
      <c r="AS21" s="105"/>
      <c r="AT21" s="105"/>
      <c r="AU21" s="105"/>
      <c r="AV21" s="105"/>
      <c r="AW21" s="105"/>
      <c r="AX21" s="105"/>
      <c r="AY21" s="105"/>
      <c r="AZ21" s="105"/>
      <c r="BA21" s="105"/>
      <c r="BB21" s="105"/>
      <c r="BC21" s="105"/>
      <c r="BD21" s="105"/>
      <c r="BE21" s="105"/>
      <c r="BF21" s="105"/>
      <c r="BG21" s="105"/>
      <c r="BH21" s="105"/>
      <c r="BI21" s="105"/>
      <c r="BJ21" s="105"/>
      <c r="BK21" s="105"/>
      <c r="BL21" s="105"/>
      <c r="BM21" s="105"/>
      <c r="BN21" s="105"/>
      <c r="BO21" s="105"/>
      <c r="BP21" s="105"/>
      <c r="BQ21" s="105"/>
      <c r="BR21" s="105"/>
      <c r="BS21" s="105"/>
      <c r="BT21" s="105"/>
      <c r="BU21" s="105"/>
      <c r="BV21" s="105"/>
      <c r="BW21" s="105"/>
      <c r="BX21" s="105"/>
      <c r="BY21" s="105"/>
      <c r="BZ21" s="105"/>
      <c r="CA21" s="105"/>
      <c r="CB21" s="105"/>
      <c r="CC21" s="105"/>
      <c r="CD21" s="105"/>
      <c r="CE21" s="105"/>
      <c r="CF21" s="105"/>
      <c r="CG21" s="105"/>
      <c r="CH21" s="105"/>
      <c r="CI21" s="105"/>
      <c r="CJ21" s="105"/>
      <c r="CK21" s="105"/>
      <c r="CL21" s="105"/>
      <c r="CM21" s="105"/>
      <c r="CN21" s="105"/>
      <c r="CO21" s="105"/>
      <c r="CP21" s="105"/>
      <c r="CQ21" s="105"/>
      <c r="CR21" s="105"/>
      <c r="CS21" s="105"/>
      <c r="CT21" s="105"/>
      <c r="CU21" s="105"/>
      <c r="CV21" s="105"/>
      <c r="CW21" s="105"/>
      <c r="CX21" s="105"/>
      <c r="CY21" s="105"/>
      <c r="CZ21" s="105"/>
      <c r="DA21" s="105"/>
      <c r="DB21" s="105"/>
      <c r="DC21" s="105"/>
      <c r="DD21" s="105"/>
      <c r="DE21" s="105"/>
      <c r="DF21" s="105"/>
      <c r="DG21" s="105"/>
      <c r="DH21" s="105"/>
      <c r="DI21" s="105"/>
      <c r="DJ21" s="105"/>
      <c r="DK21" s="105"/>
      <c r="DL21" s="105"/>
      <c r="DM21" s="105"/>
      <c r="DN21" s="105"/>
      <c r="DO21" s="105"/>
      <c r="DP21" s="105"/>
      <c r="DQ21" s="105"/>
      <c r="DR21" s="105"/>
      <c r="DS21" s="105"/>
      <c r="DT21" s="105"/>
      <c r="DU21" s="105"/>
      <c r="DV21" s="105"/>
      <c r="DW21" s="105"/>
      <c r="DX21" s="105"/>
      <c r="DY21" s="105"/>
      <c r="DZ21" s="105"/>
      <c r="EA21" s="105"/>
      <c r="EB21" s="105"/>
      <c r="EC21" s="105"/>
      <c r="ED21" s="105"/>
      <c r="EE21" s="105"/>
      <c r="EF21" s="105"/>
      <c r="EG21" s="105"/>
      <c r="EH21" s="105"/>
      <c r="EI21" s="105"/>
      <c r="EJ21" s="105"/>
      <c r="EK21" s="105"/>
      <c r="EL21" s="105"/>
      <c r="EM21" s="105"/>
      <c r="EN21" s="105"/>
      <c r="EO21" s="105"/>
      <c r="EP21" s="105"/>
    </row>
    <row r="22" spans="1:146" s="83" customFormat="1" ht="14.25">
      <c r="A22" s="105"/>
      <c r="B22" s="262" t="s">
        <v>470</v>
      </c>
      <c r="C22" s="269">
        <v>1740</v>
      </c>
      <c r="D22" s="269">
        <v>2860</v>
      </c>
      <c r="E22" s="269">
        <v>3740</v>
      </c>
      <c r="F22" s="271">
        <v>2110</v>
      </c>
      <c r="G22" s="271">
        <v>3280</v>
      </c>
      <c r="H22" s="271">
        <v>4270</v>
      </c>
      <c r="I22" s="256">
        <v>10.7</v>
      </c>
      <c r="J22" s="251">
        <f t="shared" si="0"/>
        <v>107</v>
      </c>
      <c r="K22" s="263" t="s">
        <v>67</v>
      </c>
      <c r="L22" s="256">
        <v>5.5</v>
      </c>
      <c r="M22" s="105"/>
      <c r="N22" s="105"/>
      <c r="O22" s="105"/>
      <c r="P22" s="121"/>
      <c r="Q22" s="121"/>
      <c r="R22" s="105"/>
      <c r="S22" s="105"/>
      <c r="T22" s="105"/>
      <c r="U22" s="105"/>
      <c r="V22" s="105"/>
      <c r="W22" s="105"/>
      <c r="X22" s="105"/>
      <c r="Y22" s="105"/>
      <c r="Z22" s="105"/>
      <c r="AA22" s="105"/>
      <c r="AB22" s="105"/>
      <c r="AC22" s="105"/>
      <c r="AD22" s="105"/>
      <c r="AE22" s="105"/>
      <c r="AF22" s="105"/>
      <c r="AG22" s="105"/>
      <c r="AH22" s="105"/>
      <c r="AI22" s="105"/>
      <c r="AJ22" s="105"/>
      <c r="AK22" s="105"/>
      <c r="AL22" s="105"/>
      <c r="AM22" s="105"/>
      <c r="AN22" s="105"/>
      <c r="AO22" s="105"/>
      <c r="AP22" s="105"/>
      <c r="AQ22" s="105"/>
      <c r="AR22" s="105"/>
      <c r="AS22" s="105"/>
      <c r="AT22" s="105"/>
      <c r="AU22" s="105"/>
      <c r="AV22" s="105"/>
      <c r="AW22" s="105"/>
      <c r="AX22" s="105"/>
      <c r="AY22" s="105"/>
      <c r="AZ22" s="105"/>
      <c r="BA22" s="105"/>
      <c r="BB22" s="105"/>
      <c r="BC22" s="105"/>
      <c r="BD22" s="105"/>
      <c r="BE22" s="105"/>
      <c r="BF22" s="105"/>
      <c r="BG22" s="105"/>
      <c r="BH22" s="105"/>
      <c r="BI22" s="105"/>
      <c r="BJ22" s="105"/>
      <c r="BK22" s="105"/>
      <c r="BL22" s="105"/>
      <c r="BM22" s="105"/>
      <c r="BN22" s="105"/>
      <c r="BO22" s="105"/>
      <c r="BP22" s="105"/>
      <c r="BQ22" s="105"/>
      <c r="BR22" s="105"/>
      <c r="BS22" s="105"/>
      <c r="BT22" s="105"/>
      <c r="BU22" s="105"/>
      <c r="BV22" s="105"/>
      <c r="BW22" s="105"/>
      <c r="BX22" s="105"/>
      <c r="BY22" s="105"/>
      <c r="BZ22" s="105"/>
      <c r="CA22" s="105"/>
      <c r="CB22" s="105"/>
      <c r="CC22" s="105"/>
      <c r="CD22" s="105"/>
      <c r="CE22" s="105"/>
      <c r="CF22" s="105"/>
      <c r="CG22" s="105"/>
      <c r="CH22" s="105"/>
      <c r="CI22" s="105"/>
      <c r="CJ22" s="105"/>
      <c r="CK22" s="105"/>
      <c r="CL22" s="105"/>
      <c r="CM22" s="105"/>
      <c r="CN22" s="105"/>
      <c r="CO22" s="105"/>
      <c r="CP22" s="105"/>
      <c r="CQ22" s="105"/>
      <c r="CR22" s="105"/>
      <c r="CS22" s="105"/>
      <c r="CT22" s="105"/>
      <c r="CU22" s="105"/>
      <c r="CV22" s="105"/>
      <c r="CW22" s="105"/>
      <c r="CX22" s="105"/>
      <c r="CY22" s="105"/>
      <c r="CZ22" s="105"/>
      <c r="DA22" s="105"/>
      <c r="DB22" s="105"/>
      <c r="DC22" s="105"/>
      <c r="DD22" s="105"/>
      <c r="DE22" s="105"/>
      <c r="DF22" s="105"/>
      <c r="DG22" s="105"/>
      <c r="DH22" s="105"/>
      <c r="DI22" s="105"/>
      <c r="DJ22" s="105"/>
      <c r="DK22" s="105"/>
      <c r="DL22" s="105"/>
      <c r="DM22" s="105"/>
      <c r="DN22" s="105"/>
      <c r="DO22" s="105"/>
      <c r="DP22" s="105"/>
      <c r="DQ22" s="105"/>
      <c r="DR22" s="105"/>
      <c r="DS22" s="105"/>
      <c r="DT22" s="105"/>
      <c r="DU22" s="105"/>
      <c r="DV22" s="105"/>
      <c r="DW22" s="105"/>
      <c r="DX22" s="105"/>
      <c r="DY22" s="105"/>
      <c r="DZ22" s="105"/>
      <c r="EA22" s="105"/>
      <c r="EB22" s="105"/>
      <c r="EC22" s="105"/>
      <c r="ED22" s="105"/>
      <c r="EE22" s="105"/>
      <c r="EF22" s="105"/>
      <c r="EG22" s="105"/>
      <c r="EH22" s="105"/>
      <c r="EI22" s="105"/>
      <c r="EJ22" s="105"/>
      <c r="EK22" s="105"/>
      <c r="EL22" s="105"/>
      <c r="EM22" s="105"/>
      <c r="EN22" s="105"/>
      <c r="EO22" s="105"/>
      <c r="EP22" s="105"/>
    </row>
    <row r="23" spans="1:146" s="83" customFormat="1" ht="13.5" customHeight="1">
      <c r="A23" s="105"/>
      <c r="B23" s="262" t="s">
        <v>94</v>
      </c>
      <c r="C23" s="269"/>
      <c r="D23" s="269"/>
      <c r="E23" s="269"/>
      <c r="F23" s="271"/>
      <c r="G23" s="271"/>
      <c r="H23" s="271"/>
      <c r="I23" s="256">
        <v>13.484999999999999</v>
      </c>
      <c r="J23" s="251">
        <f t="shared" si="0"/>
        <v>134.85</v>
      </c>
      <c r="K23" s="263" t="s">
        <v>67</v>
      </c>
      <c r="L23" s="256">
        <v>5.5</v>
      </c>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105"/>
      <c r="AM23" s="105"/>
      <c r="AN23" s="105"/>
      <c r="AO23" s="105"/>
      <c r="AP23" s="105"/>
      <c r="AQ23" s="105"/>
      <c r="AR23" s="105"/>
      <c r="AS23" s="105"/>
      <c r="AT23" s="105"/>
      <c r="AU23" s="105"/>
      <c r="AV23" s="105"/>
      <c r="AW23" s="105"/>
      <c r="AX23" s="105"/>
      <c r="AY23" s="105"/>
      <c r="AZ23" s="105"/>
      <c r="BA23" s="105"/>
      <c r="BB23" s="105"/>
      <c r="BC23" s="105"/>
      <c r="BD23" s="105"/>
      <c r="BE23" s="105"/>
      <c r="BF23" s="105"/>
      <c r="BG23" s="105"/>
      <c r="BH23" s="105"/>
      <c r="BI23" s="105"/>
      <c r="BJ23" s="105"/>
      <c r="BK23" s="105"/>
      <c r="BL23" s="105"/>
      <c r="BM23" s="105"/>
      <c r="BN23" s="105"/>
      <c r="BO23" s="105"/>
      <c r="BP23" s="105"/>
      <c r="BQ23" s="105"/>
      <c r="BR23" s="105"/>
      <c r="BS23" s="105"/>
      <c r="BT23" s="105"/>
      <c r="BU23" s="105"/>
      <c r="BV23" s="105"/>
      <c r="BW23" s="105"/>
      <c r="BX23" s="105"/>
      <c r="BY23" s="105"/>
      <c r="BZ23" s="105"/>
      <c r="CA23" s="105"/>
      <c r="CB23" s="105"/>
      <c r="CC23" s="105"/>
      <c r="CD23" s="105"/>
      <c r="CE23" s="105"/>
      <c r="CF23" s="105"/>
      <c r="CG23" s="105"/>
      <c r="CH23" s="105"/>
      <c r="CI23" s="105"/>
      <c r="CJ23" s="105"/>
      <c r="CK23" s="105"/>
      <c r="CL23" s="105"/>
      <c r="CM23" s="105"/>
      <c r="CN23" s="105"/>
      <c r="CO23" s="105"/>
      <c r="CP23" s="105"/>
      <c r="CQ23" s="105"/>
      <c r="CR23" s="105"/>
      <c r="CS23" s="105"/>
      <c r="CT23" s="105"/>
      <c r="CU23" s="105"/>
      <c r="CV23" s="105"/>
      <c r="CW23" s="105"/>
      <c r="CX23" s="105"/>
      <c r="CY23" s="105"/>
      <c r="CZ23" s="105"/>
      <c r="DA23" s="105"/>
      <c r="DB23" s="105"/>
      <c r="DC23" s="105"/>
      <c r="DD23" s="105"/>
      <c r="DE23" s="105"/>
      <c r="DF23" s="105"/>
      <c r="DG23" s="105"/>
      <c r="DH23" s="105"/>
      <c r="DI23" s="105"/>
      <c r="DJ23" s="105"/>
      <c r="DK23" s="105"/>
      <c r="DL23" s="105"/>
      <c r="DM23" s="105"/>
      <c r="DN23" s="105"/>
      <c r="DO23" s="105"/>
      <c r="DP23" s="105"/>
      <c r="DQ23" s="105"/>
      <c r="DR23" s="105"/>
      <c r="DS23" s="105"/>
      <c r="DT23" s="105"/>
      <c r="DU23" s="105"/>
      <c r="DV23" s="105"/>
      <c r="DW23" s="105"/>
      <c r="DX23" s="105"/>
      <c r="DY23" s="105"/>
      <c r="DZ23" s="105"/>
      <c r="EA23" s="105"/>
      <c r="EB23" s="105"/>
      <c r="EC23" s="105"/>
      <c r="ED23" s="105"/>
      <c r="EE23" s="105"/>
      <c r="EF23" s="105"/>
      <c r="EG23" s="105"/>
      <c r="EH23" s="105"/>
      <c r="EI23" s="105"/>
      <c r="EJ23" s="105"/>
      <c r="EK23" s="105"/>
      <c r="EL23" s="105"/>
      <c r="EM23" s="105"/>
      <c r="EN23" s="105"/>
      <c r="EO23" s="105"/>
      <c r="EP23" s="105"/>
    </row>
    <row r="24" spans="1:146" s="83" customFormat="1" ht="13.5" customHeight="1">
      <c r="A24" s="105"/>
      <c r="B24" s="262" t="s">
        <v>583</v>
      </c>
      <c r="C24" s="269">
        <v>2220</v>
      </c>
      <c r="D24" s="269">
        <v>3590</v>
      </c>
      <c r="E24" s="269">
        <v>4680</v>
      </c>
      <c r="F24" s="271">
        <v>2700</v>
      </c>
      <c r="G24" s="271">
        <v>4130</v>
      </c>
      <c r="H24" s="271">
        <v>5360</v>
      </c>
      <c r="I24" s="256">
        <v>14.2</v>
      </c>
      <c r="J24" s="251">
        <f>BASE*I24</f>
        <v>142</v>
      </c>
      <c r="K24" s="263" t="s">
        <v>452</v>
      </c>
      <c r="L24" s="256"/>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5"/>
      <c r="AQ24" s="105"/>
      <c r="AR24" s="105"/>
      <c r="AS24" s="105"/>
      <c r="AT24" s="105"/>
      <c r="AU24" s="105"/>
      <c r="AV24" s="105"/>
      <c r="AW24" s="105"/>
      <c r="AX24" s="105"/>
      <c r="AY24" s="105"/>
      <c r="AZ24" s="105"/>
      <c r="BA24" s="105"/>
      <c r="BB24" s="105"/>
      <c r="BC24" s="105"/>
      <c r="BD24" s="105"/>
      <c r="BE24" s="105"/>
      <c r="BF24" s="105"/>
      <c r="BG24" s="105"/>
      <c r="BH24" s="105"/>
      <c r="BI24" s="105"/>
      <c r="BJ24" s="105"/>
      <c r="BK24" s="105"/>
      <c r="BL24" s="105"/>
      <c r="BM24" s="105"/>
      <c r="BN24" s="105"/>
      <c r="BO24" s="105"/>
      <c r="BP24" s="105"/>
      <c r="BQ24" s="105"/>
      <c r="BR24" s="105"/>
      <c r="BS24" s="105"/>
      <c r="BT24" s="105"/>
      <c r="BU24" s="105"/>
      <c r="BV24" s="105"/>
      <c r="BW24" s="105"/>
      <c r="BX24" s="105"/>
      <c r="BY24" s="105"/>
      <c r="BZ24" s="105"/>
      <c r="CA24" s="105"/>
      <c r="CB24" s="105"/>
      <c r="CC24" s="105"/>
      <c r="CD24" s="105"/>
      <c r="CE24" s="105"/>
      <c r="CF24" s="105"/>
      <c r="CG24" s="105"/>
      <c r="CH24" s="105"/>
      <c r="CI24" s="105"/>
      <c r="CJ24" s="105"/>
      <c r="CK24" s="105"/>
      <c r="CL24" s="105"/>
      <c r="CM24" s="105"/>
      <c r="CN24" s="105"/>
      <c r="CO24" s="105"/>
      <c r="CP24" s="105"/>
      <c r="CQ24" s="105"/>
      <c r="CR24" s="105"/>
      <c r="CS24" s="105"/>
      <c r="CT24" s="105"/>
      <c r="CU24" s="105"/>
      <c r="CV24" s="105"/>
      <c r="CW24" s="105"/>
      <c r="CX24" s="105"/>
      <c r="CY24" s="105"/>
      <c r="CZ24" s="105"/>
      <c r="DA24" s="105"/>
      <c r="DB24" s="105"/>
      <c r="DC24" s="105"/>
      <c r="DD24" s="105"/>
      <c r="DE24" s="105"/>
      <c r="DF24" s="105"/>
      <c r="DG24" s="105"/>
      <c r="DH24" s="105"/>
      <c r="DI24" s="105"/>
      <c r="DJ24" s="105"/>
      <c r="DK24" s="105"/>
      <c r="DL24" s="105"/>
      <c r="DM24" s="105"/>
      <c r="DN24" s="105"/>
      <c r="DO24" s="105"/>
      <c r="DP24" s="105"/>
      <c r="DQ24" s="105"/>
      <c r="DR24" s="105"/>
      <c r="DS24" s="105"/>
      <c r="DT24" s="105"/>
      <c r="DU24" s="105"/>
      <c r="DV24" s="105"/>
      <c r="DW24" s="105"/>
      <c r="DX24" s="105"/>
      <c r="DY24" s="105"/>
      <c r="DZ24" s="105"/>
      <c r="EA24" s="105"/>
      <c r="EB24" s="105"/>
      <c r="EC24" s="105"/>
      <c r="ED24" s="105"/>
      <c r="EE24" s="105"/>
      <c r="EF24" s="105"/>
      <c r="EG24" s="105"/>
      <c r="EH24" s="105"/>
      <c r="EI24" s="105"/>
      <c r="EJ24" s="105"/>
      <c r="EK24" s="105"/>
      <c r="EL24" s="105"/>
      <c r="EM24" s="105"/>
      <c r="EN24" s="105"/>
      <c r="EO24" s="105"/>
      <c r="EP24" s="105"/>
    </row>
    <row r="25" spans="1:146" s="83" customFormat="1" ht="13.5" customHeight="1">
      <c r="A25" s="105"/>
      <c r="B25" s="262" t="s">
        <v>584</v>
      </c>
      <c r="C25" s="269">
        <v>2690</v>
      </c>
      <c r="D25" s="269">
        <v>4310</v>
      </c>
      <c r="E25" s="269">
        <v>5610</v>
      </c>
      <c r="F25" s="271">
        <v>3290</v>
      </c>
      <c r="G25" s="271">
        <v>4970</v>
      </c>
      <c r="H25" s="271">
        <v>6430</v>
      </c>
      <c r="I25" s="256"/>
      <c r="J25" s="251">
        <v>231.4</v>
      </c>
      <c r="K25" s="263" t="s">
        <v>452</v>
      </c>
      <c r="L25" s="256">
        <v>22</v>
      </c>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105"/>
      <c r="AM25" s="105"/>
      <c r="AN25" s="105"/>
      <c r="AO25" s="105"/>
      <c r="AP25" s="105"/>
      <c r="AQ25" s="105"/>
      <c r="AR25" s="105"/>
      <c r="AS25" s="105"/>
      <c r="AT25" s="105"/>
      <c r="AU25" s="105"/>
      <c r="AV25" s="105"/>
      <c r="AW25" s="105"/>
      <c r="AX25" s="105"/>
      <c r="AY25" s="105"/>
      <c r="AZ25" s="105"/>
      <c r="BA25" s="105"/>
      <c r="BB25" s="105"/>
      <c r="BC25" s="105"/>
      <c r="BD25" s="105"/>
      <c r="BE25" s="105"/>
      <c r="BF25" s="105"/>
      <c r="BG25" s="105"/>
      <c r="BH25" s="105"/>
      <c r="BI25" s="105"/>
      <c r="BJ25" s="105"/>
      <c r="BK25" s="105"/>
      <c r="BL25" s="105"/>
      <c r="BM25" s="105"/>
      <c r="BN25" s="105"/>
      <c r="BO25" s="105"/>
      <c r="BP25" s="105"/>
      <c r="BQ25" s="105"/>
      <c r="BR25" s="105"/>
      <c r="BS25" s="105"/>
      <c r="BT25" s="105"/>
      <c r="BU25" s="105"/>
      <c r="BV25" s="105"/>
      <c r="BW25" s="105"/>
      <c r="BX25" s="105"/>
      <c r="BY25" s="105"/>
      <c r="BZ25" s="105"/>
      <c r="CA25" s="105"/>
      <c r="CB25" s="105"/>
      <c r="CC25" s="105"/>
      <c r="CD25" s="105"/>
      <c r="CE25" s="105"/>
      <c r="CF25" s="105"/>
      <c r="CG25" s="105"/>
      <c r="CH25" s="105"/>
      <c r="CI25" s="105"/>
      <c r="CJ25" s="105"/>
      <c r="CK25" s="105"/>
      <c r="CL25" s="105"/>
      <c r="CM25" s="105"/>
      <c r="CN25" s="105"/>
      <c r="CO25" s="105"/>
      <c r="CP25" s="105"/>
      <c r="CQ25" s="105"/>
      <c r="CR25" s="105"/>
      <c r="CS25" s="105"/>
      <c r="CT25" s="105"/>
      <c r="CU25" s="105"/>
      <c r="CV25" s="105"/>
      <c r="CW25" s="105"/>
      <c r="CX25" s="105"/>
      <c r="CY25" s="105"/>
      <c r="CZ25" s="105"/>
      <c r="DA25" s="105"/>
      <c r="DB25" s="105"/>
      <c r="DC25" s="105"/>
      <c r="DD25" s="105"/>
      <c r="DE25" s="105"/>
      <c r="DF25" s="105"/>
      <c r="DG25" s="105"/>
      <c r="DH25" s="105"/>
      <c r="DI25" s="105"/>
      <c r="DJ25" s="105"/>
      <c r="DK25" s="105"/>
      <c r="DL25" s="105"/>
      <c r="DM25" s="105"/>
      <c r="DN25" s="105"/>
      <c r="DO25" s="105"/>
      <c r="DP25" s="105"/>
      <c r="DQ25" s="105"/>
      <c r="DR25" s="105"/>
      <c r="DS25" s="105"/>
      <c r="DT25" s="105"/>
      <c r="DU25" s="105"/>
      <c r="DV25" s="105"/>
      <c r="DW25" s="105"/>
      <c r="DX25" s="105"/>
      <c r="DY25" s="105"/>
      <c r="DZ25" s="105"/>
      <c r="EA25" s="105"/>
      <c r="EB25" s="105"/>
      <c r="EC25" s="105"/>
      <c r="ED25" s="105"/>
      <c r="EE25" s="105"/>
      <c r="EF25" s="105"/>
      <c r="EG25" s="105"/>
      <c r="EH25" s="105"/>
      <c r="EI25" s="105"/>
      <c r="EJ25" s="105"/>
      <c r="EK25" s="105"/>
      <c r="EL25" s="105"/>
      <c r="EM25" s="105"/>
      <c r="EN25" s="105"/>
      <c r="EO25" s="105"/>
      <c r="EP25" s="105"/>
    </row>
    <row r="26" spans="1:146" s="83" customFormat="1" ht="13.5" customHeight="1">
      <c r="A26" s="105"/>
      <c r="B26" s="262" t="s">
        <v>451</v>
      </c>
      <c r="C26" s="269"/>
      <c r="D26" s="269"/>
      <c r="E26" s="269"/>
      <c r="F26" s="271"/>
      <c r="G26" s="271"/>
      <c r="H26" s="271"/>
      <c r="I26" s="256"/>
      <c r="J26" s="251">
        <v>224.9</v>
      </c>
      <c r="K26" s="263"/>
      <c r="L26" s="256">
        <v>22</v>
      </c>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105"/>
      <c r="CK26" s="105"/>
      <c r="CL26" s="105"/>
      <c r="CM26" s="105"/>
      <c r="CN26" s="105"/>
      <c r="CO26" s="105"/>
      <c r="CP26" s="105"/>
      <c r="CQ26" s="105"/>
      <c r="CR26" s="105"/>
      <c r="CS26" s="105"/>
      <c r="CT26" s="105"/>
      <c r="CU26" s="105"/>
      <c r="CV26" s="105"/>
      <c r="CW26" s="105"/>
      <c r="CX26" s="105"/>
      <c r="CY26" s="105"/>
      <c r="CZ26" s="105"/>
      <c r="DA26" s="105"/>
      <c r="DB26" s="105"/>
      <c r="DC26" s="105"/>
      <c r="DD26" s="105"/>
      <c r="DE26" s="105"/>
      <c r="DF26" s="105"/>
      <c r="DG26" s="105"/>
      <c r="DH26" s="105"/>
      <c r="DI26" s="105"/>
      <c r="DJ26" s="105"/>
      <c r="DK26" s="105"/>
      <c r="DL26" s="105"/>
      <c r="DM26" s="105"/>
      <c r="DN26" s="105"/>
      <c r="DO26" s="105"/>
      <c r="DP26" s="105"/>
      <c r="DQ26" s="105"/>
      <c r="DR26" s="105"/>
      <c r="DS26" s="105"/>
      <c r="DT26" s="105"/>
      <c r="DU26" s="105"/>
      <c r="DV26" s="105"/>
      <c r="DW26" s="105"/>
      <c r="DX26" s="105"/>
      <c r="DY26" s="105"/>
      <c r="DZ26" s="105"/>
      <c r="EA26" s="105"/>
      <c r="EB26" s="105"/>
      <c r="EC26" s="105"/>
      <c r="ED26" s="105"/>
      <c r="EE26" s="105"/>
      <c r="EF26" s="105"/>
      <c r="EG26" s="105"/>
      <c r="EH26" s="105"/>
      <c r="EI26" s="105"/>
      <c r="EJ26" s="105"/>
      <c r="EK26" s="105"/>
      <c r="EL26" s="105"/>
      <c r="EM26" s="105"/>
      <c r="EN26" s="105"/>
      <c r="EO26" s="105"/>
      <c r="EP26" s="105"/>
    </row>
    <row r="27" spans="1:146" s="102" customFormat="1">
      <c r="I27" s="103"/>
      <c r="J27" s="103"/>
      <c r="L27" s="103"/>
    </row>
    <row r="28" spans="1:146" s="102" customFormat="1">
      <c r="I28" s="103"/>
      <c r="J28" s="103"/>
      <c r="L28" s="103"/>
    </row>
    <row r="29" spans="1:146" s="102" customFormat="1">
      <c r="I29" s="103"/>
      <c r="J29" s="103"/>
      <c r="L29" s="103"/>
    </row>
    <row r="30" spans="1:146" ht="15.75">
      <c r="B30" s="253" t="s">
        <v>71</v>
      </c>
      <c r="C30" s="253" t="s">
        <v>55</v>
      </c>
      <c r="D30" s="261"/>
      <c r="E30" s="261"/>
      <c r="F30" s="102"/>
      <c r="G30" s="102"/>
      <c r="H30" s="102"/>
      <c r="I30" s="103"/>
      <c r="J30" s="103"/>
      <c r="K30" s="102"/>
      <c r="L30" s="103"/>
    </row>
    <row r="31" spans="1:146">
      <c r="B31" s="266" t="s">
        <v>76</v>
      </c>
      <c r="C31" s="266" t="s">
        <v>577</v>
      </c>
      <c r="D31" s="265"/>
      <c r="E31" s="265"/>
      <c r="F31" s="102"/>
      <c r="G31" s="102"/>
      <c r="H31" s="102"/>
      <c r="I31" s="103"/>
      <c r="J31" s="103"/>
      <c r="K31" s="102"/>
      <c r="L31" s="103"/>
    </row>
    <row r="32" spans="1:146" ht="15">
      <c r="B32" s="258" t="s">
        <v>64</v>
      </c>
      <c r="C32" s="252">
        <v>1.2</v>
      </c>
      <c r="D32" s="257"/>
      <c r="E32" s="257"/>
      <c r="F32" s="102"/>
      <c r="G32" s="102"/>
      <c r="H32" s="102"/>
      <c r="I32" s="103"/>
      <c r="J32" s="103"/>
      <c r="K32" s="102"/>
      <c r="L32" s="103"/>
    </row>
    <row r="33" spans="2:12" ht="15">
      <c r="B33" s="258" t="s">
        <v>65</v>
      </c>
      <c r="C33" s="252">
        <v>1.9</v>
      </c>
      <c r="D33" s="257"/>
      <c r="E33" s="257"/>
      <c r="F33" s="102"/>
      <c r="G33" s="102"/>
      <c r="H33" s="102"/>
      <c r="I33" s="103"/>
      <c r="J33" s="103"/>
      <c r="K33" s="102"/>
      <c r="L33" s="103"/>
    </row>
    <row r="34" spans="2:12" ht="15">
      <c r="B34" s="258" t="s">
        <v>66</v>
      </c>
      <c r="C34" s="252">
        <v>2.7</v>
      </c>
      <c r="D34" s="257"/>
      <c r="E34" s="257"/>
      <c r="F34" s="102"/>
      <c r="G34" s="102"/>
      <c r="H34" s="102"/>
      <c r="I34" s="103"/>
      <c r="J34" s="103"/>
      <c r="K34" s="102"/>
      <c r="L34" s="103"/>
    </row>
    <row r="35" spans="2:12" ht="15">
      <c r="B35" s="258" t="s">
        <v>67</v>
      </c>
      <c r="C35" s="252">
        <v>5.5</v>
      </c>
      <c r="D35" s="257"/>
      <c r="E35" s="257"/>
      <c r="F35" s="102"/>
      <c r="G35" s="102"/>
      <c r="H35" s="102"/>
      <c r="I35" s="103"/>
      <c r="J35" s="103"/>
      <c r="K35" s="102"/>
      <c r="L35" s="103"/>
    </row>
    <row r="36" spans="2:12" ht="15">
      <c r="B36" s="258" t="s">
        <v>452</v>
      </c>
      <c r="C36" s="252">
        <v>22</v>
      </c>
      <c r="D36" s="257"/>
      <c r="E36" s="257"/>
      <c r="F36" s="102"/>
      <c r="G36" s="102"/>
      <c r="H36" s="102"/>
      <c r="I36" s="103"/>
      <c r="J36" s="103"/>
      <c r="K36" s="102"/>
      <c r="L36" s="103"/>
    </row>
    <row r="37" spans="2:12" s="102" customFormat="1">
      <c r="I37" s="103"/>
      <c r="J37" s="103"/>
      <c r="L37" s="103"/>
    </row>
    <row r="38" spans="2:12" s="102" customFormat="1">
      <c r="I38" s="103"/>
      <c r="J38" s="103"/>
      <c r="L38" s="103"/>
    </row>
    <row r="39" spans="2:12" s="102" customFormat="1">
      <c r="I39" s="103"/>
      <c r="J39" s="103"/>
      <c r="L39" s="103"/>
    </row>
    <row r="40" spans="2:12" s="102" customFormat="1">
      <c r="I40" s="103"/>
      <c r="J40" s="103"/>
      <c r="L40" s="103"/>
    </row>
    <row r="41" spans="2:12" s="102" customFormat="1">
      <c r="I41" s="103"/>
      <c r="J41" s="103"/>
      <c r="L41" s="103"/>
    </row>
    <row r="42" spans="2:12" s="102" customFormat="1">
      <c r="I42" s="103"/>
      <c r="J42" s="103"/>
      <c r="L42" s="103"/>
    </row>
    <row r="43" spans="2:12" s="102" customFormat="1">
      <c r="I43" s="103"/>
      <c r="J43" s="103"/>
      <c r="L43" s="103"/>
    </row>
    <row r="44" spans="2:12" s="102" customFormat="1">
      <c r="I44" s="103"/>
      <c r="J44" s="103"/>
      <c r="L44" s="103"/>
    </row>
    <row r="45" spans="2:12" s="102" customFormat="1">
      <c r="I45" s="103"/>
      <c r="J45" s="103"/>
      <c r="L45" s="103"/>
    </row>
    <row r="46" spans="2:12" s="102" customFormat="1">
      <c r="I46" s="103"/>
      <c r="J46" s="103"/>
      <c r="L46" s="103"/>
    </row>
    <row r="47" spans="2:12" s="102" customFormat="1">
      <c r="I47" s="103"/>
      <c r="J47" s="103"/>
      <c r="L47" s="103"/>
    </row>
    <row r="48" spans="2:12" s="102" customFormat="1">
      <c r="I48" s="103"/>
      <c r="J48" s="103"/>
      <c r="L48" s="103"/>
    </row>
    <row r="49" spans="9:12" s="102" customFormat="1">
      <c r="I49" s="103"/>
      <c r="J49" s="103"/>
      <c r="L49" s="103"/>
    </row>
    <row r="50" spans="9:12" s="102" customFormat="1">
      <c r="I50" s="103"/>
      <c r="J50" s="103"/>
      <c r="L50" s="103"/>
    </row>
    <row r="51" spans="9:12" s="102" customFormat="1">
      <c r="I51" s="103"/>
      <c r="J51" s="103"/>
      <c r="L51" s="103"/>
    </row>
    <row r="52" spans="9:12" s="102" customFormat="1">
      <c r="I52" s="103"/>
      <c r="J52" s="103"/>
      <c r="L52" s="103"/>
    </row>
    <row r="53" spans="9:12" s="102" customFormat="1">
      <c r="I53" s="103"/>
      <c r="J53" s="103"/>
      <c r="L53" s="103"/>
    </row>
    <row r="54" spans="9:12" s="102" customFormat="1">
      <c r="I54" s="103"/>
      <c r="J54" s="103"/>
      <c r="L54" s="103"/>
    </row>
    <row r="55" spans="9:12" s="102" customFormat="1">
      <c r="I55" s="103"/>
      <c r="J55" s="103"/>
      <c r="L55" s="103"/>
    </row>
    <row r="56" spans="9:12" s="102" customFormat="1">
      <c r="I56" s="103"/>
      <c r="J56" s="103"/>
      <c r="L56" s="103"/>
    </row>
    <row r="57" spans="9:12" s="102" customFormat="1">
      <c r="I57" s="103"/>
      <c r="J57" s="103"/>
      <c r="L57" s="103"/>
    </row>
    <row r="58" spans="9:12" s="102" customFormat="1">
      <c r="I58" s="103"/>
      <c r="J58" s="103"/>
      <c r="L58" s="103"/>
    </row>
    <row r="59" spans="9:12" s="102" customFormat="1">
      <c r="I59" s="103"/>
      <c r="J59" s="103"/>
      <c r="L59" s="103"/>
    </row>
    <row r="60" spans="9:12" s="102" customFormat="1">
      <c r="I60" s="103"/>
      <c r="J60" s="103"/>
      <c r="L60" s="103"/>
    </row>
    <row r="61" spans="9:12" s="102" customFormat="1">
      <c r="I61" s="103"/>
      <c r="J61" s="103"/>
      <c r="L61" s="103"/>
    </row>
    <row r="62" spans="9:12" s="102" customFormat="1">
      <c r="I62" s="103"/>
      <c r="J62" s="103"/>
      <c r="L62" s="103"/>
    </row>
    <row r="63" spans="9:12" s="102" customFormat="1">
      <c r="I63" s="103"/>
      <c r="J63" s="103"/>
      <c r="L63" s="103"/>
    </row>
    <row r="64" spans="9:12" s="102" customFormat="1">
      <c r="I64" s="103"/>
      <c r="J64" s="103"/>
      <c r="L64" s="103"/>
    </row>
    <row r="65" spans="9:12" s="102" customFormat="1">
      <c r="I65" s="103"/>
      <c r="J65" s="103"/>
      <c r="L65" s="103"/>
    </row>
    <row r="66" spans="9:12" s="102" customFormat="1">
      <c r="I66" s="103"/>
      <c r="J66" s="103"/>
      <c r="L66" s="103"/>
    </row>
    <row r="67" spans="9:12" s="102" customFormat="1">
      <c r="I67" s="103"/>
      <c r="J67" s="103"/>
      <c r="L67" s="103"/>
    </row>
    <row r="68" spans="9:12" s="102" customFormat="1">
      <c r="I68" s="103"/>
      <c r="J68" s="103"/>
      <c r="L68" s="103"/>
    </row>
    <row r="69" spans="9:12" s="102" customFormat="1">
      <c r="I69" s="103"/>
      <c r="J69" s="103"/>
      <c r="L69" s="103"/>
    </row>
    <row r="70" spans="9:12" s="102" customFormat="1">
      <c r="I70" s="103"/>
      <c r="J70" s="103"/>
      <c r="L70" s="103"/>
    </row>
    <row r="71" spans="9:12" s="102" customFormat="1">
      <c r="I71" s="103"/>
      <c r="J71" s="103"/>
      <c r="L71" s="103"/>
    </row>
    <row r="72" spans="9:12" s="102" customFormat="1">
      <c r="I72" s="103"/>
      <c r="J72" s="103"/>
      <c r="L72" s="103"/>
    </row>
    <row r="73" spans="9:12" s="102" customFormat="1">
      <c r="I73" s="103"/>
      <c r="J73" s="103"/>
      <c r="L73" s="103"/>
    </row>
    <row r="74" spans="9:12" s="102" customFormat="1">
      <c r="I74" s="103"/>
      <c r="J74" s="103"/>
      <c r="L74" s="103"/>
    </row>
    <row r="75" spans="9:12" s="102" customFormat="1">
      <c r="I75" s="103"/>
      <c r="J75" s="103"/>
      <c r="L75" s="103"/>
    </row>
    <row r="76" spans="9:12" s="102" customFormat="1">
      <c r="I76" s="103"/>
      <c r="J76" s="103"/>
      <c r="L76" s="103"/>
    </row>
    <row r="77" spans="9:12" s="102" customFormat="1">
      <c r="I77" s="103"/>
      <c r="J77" s="103"/>
      <c r="L77" s="103"/>
    </row>
    <row r="78" spans="9:12" s="102" customFormat="1">
      <c r="I78" s="103"/>
      <c r="J78" s="103"/>
      <c r="L78" s="103"/>
    </row>
    <row r="79" spans="9:12" s="102" customFormat="1">
      <c r="I79" s="103"/>
      <c r="J79" s="103"/>
      <c r="L79" s="103"/>
    </row>
    <row r="80" spans="9:12" s="102" customFormat="1">
      <c r="I80" s="103"/>
      <c r="J80" s="103"/>
      <c r="L80" s="103"/>
    </row>
    <row r="81" spans="9:12" s="102" customFormat="1">
      <c r="I81" s="103"/>
      <c r="J81" s="103"/>
      <c r="L81" s="103"/>
    </row>
    <row r="82" spans="9:12" s="102" customFormat="1">
      <c r="I82" s="103"/>
      <c r="J82" s="103"/>
      <c r="L82" s="103"/>
    </row>
    <row r="83" spans="9:12" s="102" customFormat="1">
      <c r="I83" s="103"/>
      <c r="J83" s="103"/>
      <c r="L83" s="103"/>
    </row>
    <row r="84" spans="9:12" s="102" customFormat="1">
      <c r="I84" s="103"/>
      <c r="J84" s="103"/>
      <c r="L84" s="103"/>
    </row>
    <row r="85" spans="9:12" s="102" customFormat="1">
      <c r="I85" s="103"/>
      <c r="J85" s="103"/>
      <c r="L85" s="103"/>
    </row>
    <row r="86" spans="9:12" s="102" customFormat="1">
      <c r="I86" s="103"/>
      <c r="J86" s="103"/>
      <c r="L86" s="103"/>
    </row>
    <row r="87" spans="9:12" s="102" customFormat="1">
      <c r="I87" s="103"/>
      <c r="J87" s="103"/>
      <c r="L87" s="103"/>
    </row>
    <row r="88" spans="9:12" s="102" customFormat="1">
      <c r="I88" s="103"/>
      <c r="J88" s="103"/>
      <c r="L88" s="103"/>
    </row>
    <row r="89" spans="9:12" s="102" customFormat="1">
      <c r="I89" s="103"/>
      <c r="J89" s="103"/>
      <c r="L89" s="103"/>
    </row>
    <row r="90" spans="9:12" s="102" customFormat="1">
      <c r="I90" s="103"/>
      <c r="J90" s="103"/>
      <c r="L90" s="103"/>
    </row>
    <row r="91" spans="9:12" s="102" customFormat="1">
      <c r="I91" s="103"/>
      <c r="J91" s="103"/>
      <c r="L91" s="103"/>
    </row>
    <row r="92" spans="9:12" s="102" customFormat="1">
      <c r="I92" s="103"/>
      <c r="J92" s="103"/>
      <c r="L92" s="103"/>
    </row>
    <row r="93" spans="9:12" s="102" customFormat="1">
      <c r="I93" s="103"/>
      <c r="J93" s="103"/>
      <c r="L93" s="103"/>
    </row>
    <row r="94" spans="9:12" s="102" customFormat="1">
      <c r="I94" s="103"/>
      <c r="J94" s="103"/>
      <c r="L94" s="103"/>
    </row>
    <row r="95" spans="9:12" s="102" customFormat="1">
      <c r="I95" s="103"/>
      <c r="J95" s="103"/>
      <c r="L95" s="103"/>
    </row>
    <row r="96" spans="9:12" s="102" customFormat="1">
      <c r="I96" s="103"/>
      <c r="J96" s="103"/>
      <c r="L96" s="103"/>
    </row>
    <row r="97" spans="9:12" s="102" customFormat="1">
      <c r="I97" s="103"/>
      <c r="J97" s="103"/>
      <c r="L97" s="103"/>
    </row>
    <row r="98" spans="9:12" s="102" customFormat="1">
      <c r="I98" s="103"/>
      <c r="J98" s="103"/>
      <c r="L98" s="103"/>
    </row>
    <row r="99" spans="9:12" s="102" customFormat="1">
      <c r="I99" s="103"/>
      <c r="J99" s="103"/>
      <c r="L99" s="103"/>
    </row>
    <row r="100" spans="9:12" s="102" customFormat="1">
      <c r="I100" s="103"/>
      <c r="J100" s="103"/>
      <c r="L100" s="103"/>
    </row>
    <row r="101" spans="9:12" s="102" customFormat="1">
      <c r="I101" s="103"/>
      <c r="J101" s="103"/>
      <c r="L101" s="103"/>
    </row>
    <row r="102" spans="9:12" s="102" customFormat="1">
      <c r="I102" s="103"/>
      <c r="J102" s="103"/>
      <c r="L102" s="103"/>
    </row>
    <row r="103" spans="9:12" s="102" customFormat="1">
      <c r="I103" s="103"/>
      <c r="J103" s="103"/>
      <c r="L103" s="103"/>
    </row>
    <row r="104" spans="9:12" s="102" customFormat="1">
      <c r="I104" s="103"/>
      <c r="J104" s="103"/>
      <c r="L104" s="103"/>
    </row>
    <row r="105" spans="9:12" s="102" customFormat="1">
      <c r="I105" s="103"/>
      <c r="J105" s="103"/>
      <c r="L105" s="103"/>
    </row>
    <row r="106" spans="9:12" s="102" customFormat="1">
      <c r="I106" s="103"/>
      <c r="J106" s="103"/>
      <c r="L106" s="103"/>
    </row>
    <row r="107" spans="9:12" s="102" customFormat="1">
      <c r="I107" s="103"/>
      <c r="J107" s="103"/>
      <c r="L107" s="103"/>
    </row>
    <row r="108" spans="9:12" s="102" customFormat="1">
      <c r="I108" s="103"/>
      <c r="J108" s="103"/>
      <c r="L108" s="103"/>
    </row>
    <row r="109" spans="9:12" s="102" customFormat="1">
      <c r="I109" s="103"/>
      <c r="J109" s="103"/>
      <c r="L109" s="103"/>
    </row>
    <row r="110" spans="9:12" s="102" customFormat="1">
      <c r="I110" s="103"/>
      <c r="J110" s="103"/>
      <c r="L110" s="103"/>
    </row>
    <row r="111" spans="9:12" s="102" customFormat="1">
      <c r="I111" s="103"/>
      <c r="J111" s="103"/>
      <c r="L111" s="103"/>
    </row>
    <row r="112" spans="9:12" s="102" customFormat="1">
      <c r="I112" s="103"/>
      <c r="J112" s="103"/>
      <c r="L112" s="103"/>
    </row>
    <row r="113" spans="9:12" s="102" customFormat="1">
      <c r="I113" s="103"/>
      <c r="J113" s="103"/>
      <c r="L113" s="103"/>
    </row>
    <row r="114" spans="9:12" s="102" customFormat="1">
      <c r="I114" s="103"/>
      <c r="J114" s="103"/>
      <c r="L114" s="103"/>
    </row>
    <row r="115" spans="9:12" s="102" customFormat="1">
      <c r="I115" s="103"/>
      <c r="J115" s="103"/>
      <c r="L115" s="103"/>
    </row>
    <row r="116" spans="9:12" s="102" customFormat="1">
      <c r="I116" s="103"/>
      <c r="J116" s="103"/>
      <c r="L116" s="103"/>
    </row>
    <row r="117" spans="9:12" s="102" customFormat="1">
      <c r="I117" s="103"/>
      <c r="J117" s="103"/>
      <c r="L117" s="103"/>
    </row>
    <row r="118" spans="9:12" s="102" customFormat="1">
      <c r="I118" s="103"/>
      <c r="J118" s="103"/>
      <c r="L118" s="103"/>
    </row>
    <row r="119" spans="9:12" s="102" customFormat="1">
      <c r="I119" s="103"/>
      <c r="J119" s="103"/>
      <c r="L119" s="103"/>
    </row>
    <row r="120" spans="9:12" s="102" customFormat="1">
      <c r="I120" s="103"/>
      <c r="J120" s="103"/>
      <c r="L120" s="103"/>
    </row>
    <row r="121" spans="9:12" s="102" customFormat="1">
      <c r="I121" s="103"/>
      <c r="J121" s="103"/>
      <c r="L121" s="103"/>
    </row>
    <row r="122" spans="9:12" s="102" customFormat="1">
      <c r="I122" s="103"/>
      <c r="J122" s="103"/>
      <c r="L122" s="103"/>
    </row>
    <row r="123" spans="9:12" s="102" customFormat="1">
      <c r="I123" s="103"/>
      <c r="J123" s="103"/>
      <c r="L123" s="103"/>
    </row>
    <row r="124" spans="9:12" s="102" customFormat="1">
      <c r="I124" s="103"/>
      <c r="J124" s="103"/>
      <c r="L124" s="103"/>
    </row>
    <row r="125" spans="9:12" s="102" customFormat="1">
      <c r="I125" s="103"/>
      <c r="J125" s="103"/>
      <c r="L125" s="103"/>
    </row>
    <row r="126" spans="9:12" s="102" customFormat="1">
      <c r="I126" s="103"/>
      <c r="J126" s="103"/>
      <c r="L126" s="103"/>
    </row>
    <row r="127" spans="9:12" s="102" customFormat="1">
      <c r="I127" s="103"/>
      <c r="J127" s="103"/>
      <c r="L127" s="103"/>
    </row>
    <row r="128" spans="9:12" s="102" customFormat="1">
      <c r="I128" s="103"/>
      <c r="J128" s="103"/>
      <c r="L128" s="103"/>
    </row>
    <row r="129" spans="9:12" s="102" customFormat="1">
      <c r="I129" s="103"/>
      <c r="J129" s="103"/>
      <c r="L129" s="103"/>
    </row>
    <row r="130" spans="9:12" s="102" customFormat="1">
      <c r="I130" s="103"/>
      <c r="J130" s="103"/>
      <c r="L130" s="103"/>
    </row>
    <row r="131" spans="9:12" s="102" customFormat="1">
      <c r="I131" s="103"/>
      <c r="J131" s="103"/>
      <c r="L131" s="103"/>
    </row>
    <row r="132" spans="9:12" s="102" customFormat="1">
      <c r="I132" s="103"/>
      <c r="J132" s="103"/>
      <c r="L132" s="103"/>
    </row>
    <row r="133" spans="9:12" s="102" customFormat="1">
      <c r="I133" s="103"/>
      <c r="J133" s="103"/>
      <c r="L133" s="103"/>
    </row>
    <row r="134" spans="9:12" s="102" customFormat="1">
      <c r="I134" s="103"/>
      <c r="J134" s="103"/>
      <c r="L134" s="103"/>
    </row>
    <row r="135" spans="9:12" s="102" customFormat="1">
      <c r="I135" s="103"/>
      <c r="J135" s="103"/>
      <c r="L135" s="103"/>
    </row>
    <row r="136" spans="9:12" s="102" customFormat="1">
      <c r="I136" s="103"/>
      <c r="J136" s="103"/>
      <c r="L136" s="103"/>
    </row>
    <row r="137" spans="9:12" s="102" customFormat="1">
      <c r="I137" s="103"/>
      <c r="J137" s="103"/>
      <c r="L137" s="103"/>
    </row>
    <row r="138" spans="9:12" s="102" customFormat="1">
      <c r="I138" s="103"/>
      <c r="J138" s="103"/>
      <c r="L138" s="103"/>
    </row>
    <row r="139" spans="9:12" s="102" customFormat="1">
      <c r="I139" s="103"/>
      <c r="J139" s="103"/>
      <c r="L139" s="103"/>
    </row>
    <row r="140" spans="9:12" s="102" customFormat="1">
      <c r="I140" s="103"/>
      <c r="J140" s="103"/>
      <c r="L140" s="103"/>
    </row>
    <row r="141" spans="9:12" s="102" customFormat="1">
      <c r="I141" s="103"/>
      <c r="J141" s="103"/>
      <c r="L141" s="103"/>
    </row>
    <row r="142" spans="9:12" s="102" customFormat="1">
      <c r="I142" s="103"/>
      <c r="J142" s="103"/>
      <c r="L142" s="103"/>
    </row>
    <row r="143" spans="9:12" s="102" customFormat="1">
      <c r="I143" s="103"/>
      <c r="J143" s="103"/>
      <c r="L143" s="103"/>
    </row>
    <row r="144" spans="9:12" s="102" customFormat="1">
      <c r="I144" s="103"/>
      <c r="J144" s="103"/>
      <c r="L144" s="103"/>
    </row>
    <row r="145" spans="9:12" s="102" customFormat="1">
      <c r="I145" s="103"/>
      <c r="J145" s="103"/>
      <c r="L145" s="103"/>
    </row>
    <row r="146" spans="9:12" s="102" customFormat="1">
      <c r="I146" s="103"/>
      <c r="J146" s="103"/>
      <c r="L146" s="103"/>
    </row>
    <row r="147" spans="9:12" s="102" customFormat="1">
      <c r="I147" s="103"/>
      <c r="J147" s="103"/>
      <c r="L147" s="103"/>
    </row>
    <row r="148" spans="9:12" s="102" customFormat="1">
      <c r="I148" s="103"/>
      <c r="J148" s="103"/>
      <c r="L148" s="103"/>
    </row>
    <row r="149" spans="9:12" s="102" customFormat="1">
      <c r="I149" s="103"/>
      <c r="J149" s="103"/>
      <c r="L149" s="103"/>
    </row>
    <row r="150" spans="9:12" s="102" customFormat="1">
      <c r="I150" s="103"/>
      <c r="J150" s="103"/>
      <c r="L150" s="103"/>
    </row>
    <row r="151" spans="9:12" s="102" customFormat="1">
      <c r="I151" s="103"/>
      <c r="J151" s="103"/>
      <c r="L151" s="103"/>
    </row>
    <row r="152" spans="9:12" s="102" customFormat="1">
      <c r="I152" s="103"/>
      <c r="J152" s="103"/>
      <c r="L152" s="103"/>
    </row>
    <row r="153" spans="9:12" s="102" customFormat="1">
      <c r="I153" s="103"/>
      <c r="J153" s="103"/>
      <c r="L153" s="103"/>
    </row>
    <row r="154" spans="9:12" s="102" customFormat="1">
      <c r="I154" s="103"/>
      <c r="J154" s="103"/>
      <c r="L154" s="103"/>
    </row>
    <row r="155" spans="9:12" s="102" customFormat="1">
      <c r="I155" s="103"/>
      <c r="J155" s="103"/>
      <c r="L155" s="103"/>
    </row>
    <row r="156" spans="9:12" s="102" customFormat="1">
      <c r="I156" s="103"/>
      <c r="J156" s="103"/>
      <c r="L156" s="103"/>
    </row>
    <row r="157" spans="9:12" s="102" customFormat="1">
      <c r="I157" s="103"/>
      <c r="J157" s="103"/>
      <c r="L157" s="103"/>
    </row>
    <row r="158" spans="9:12" s="102" customFormat="1">
      <c r="I158" s="103"/>
      <c r="J158" s="103"/>
      <c r="L158" s="103"/>
    </row>
    <row r="159" spans="9:12" s="102" customFormat="1">
      <c r="I159" s="103"/>
      <c r="J159" s="103"/>
      <c r="L159" s="103"/>
    </row>
    <row r="160" spans="9:12" s="102" customFormat="1">
      <c r="I160" s="103"/>
      <c r="J160" s="103"/>
      <c r="L160" s="103"/>
    </row>
    <row r="161" spans="9:12" s="102" customFormat="1">
      <c r="I161" s="103"/>
      <c r="J161" s="103"/>
      <c r="L161" s="103"/>
    </row>
    <row r="162" spans="9:12" s="102" customFormat="1">
      <c r="I162" s="103"/>
      <c r="J162" s="103"/>
      <c r="L162" s="103"/>
    </row>
    <row r="163" spans="9:12" s="102" customFormat="1">
      <c r="I163" s="103"/>
      <c r="J163" s="103"/>
      <c r="L163" s="103"/>
    </row>
    <row r="164" spans="9:12" s="102" customFormat="1">
      <c r="I164" s="103"/>
      <c r="J164" s="103"/>
      <c r="L164" s="103"/>
    </row>
    <row r="165" spans="9:12" s="102" customFormat="1">
      <c r="I165" s="103"/>
      <c r="J165" s="103"/>
      <c r="L165" s="103"/>
    </row>
    <row r="166" spans="9:12" s="102" customFormat="1">
      <c r="I166" s="103"/>
      <c r="J166" s="103"/>
      <c r="L166" s="103"/>
    </row>
    <row r="167" spans="9:12" s="102" customFormat="1">
      <c r="I167" s="103"/>
      <c r="J167" s="103"/>
      <c r="L167" s="103"/>
    </row>
    <row r="168" spans="9:12" s="102" customFormat="1">
      <c r="I168" s="103"/>
      <c r="J168" s="103"/>
      <c r="L168" s="103"/>
    </row>
    <row r="169" spans="9:12" s="102" customFormat="1">
      <c r="I169" s="103"/>
      <c r="J169" s="103"/>
      <c r="L169" s="103"/>
    </row>
    <row r="170" spans="9:12" s="102" customFormat="1">
      <c r="I170" s="103"/>
      <c r="J170" s="103"/>
      <c r="L170" s="103"/>
    </row>
    <row r="171" spans="9:12" s="102" customFormat="1">
      <c r="I171" s="103"/>
      <c r="J171" s="103"/>
      <c r="L171" s="103"/>
    </row>
    <row r="172" spans="9:12" s="102" customFormat="1">
      <c r="I172" s="103"/>
      <c r="J172" s="103"/>
      <c r="L172" s="103"/>
    </row>
    <row r="173" spans="9:12" s="102" customFormat="1">
      <c r="I173" s="103"/>
      <c r="J173" s="103"/>
      <c r="L173" s="103"/>
    </row>
    <row r="174" spans="9:12" s="102" customFormat="1">
      <c r="I174" s="103"/>
      <c r="J174" s="103"/>
      <c r="L174" s="103"/>
    </row>
    <row r="175" spans="9:12" s="102" customFormat="1">
      <c r="I175" s="103"/>
      <c r="J175" s="103"/>
      <c r="L175" s="103"/>
    </row>
    <row r="176" spans="9:12" s="102" customFormat="1">
      <c r="I176" s="103"/>
      <c r="J176" s="103"/>
      <c r="L176" s="103"/>
    </row>
    <row r="177" spans="9:12" s="102" customFormat="1">
      <c r="I177" s="103"/>
      <c r="J177" s="103"/>
      <c r="L177" s="103"/>
    </row>
    <row r="178" spans="9:12" s="102" customFormat="1">
      <c r="I178" s="103"/>
      <c r="J178" s="103"/>
      <c r="L178" s="103"/>
    </row>
    <row r="179" spans="9:12" s="102" customFormat="1">
      <c r="I179" s="103"/>
      <c r="J179" s="103"/>
      <c r="L179" s="103"/>
    </row>
    <row r="180" spans="9:12" s="102" customFormat="1">
      <c r="I180" s="103"/>
      <c r="J180" s="103"/>
      <c r="L180" s="103"/>
    </row>
    <row r="181" spans="9:12" s="102" customFormat="1">
      <c r="I181" s="103"/>
      <c r="J181" s="103"/>
      <c r="L181" s="103"/>
    </row>
    <row r="182" spans="9:12" s="102" customFormat="1">
      <c r="I182" s="103"/>
      <c r="J182" s="103"/>
      <c r="L182" s="103"/>
    </row>
    <row r="183" spans="9:12" s="102" customFormat="1">
      <c r="I183" s="103"/>
      <c r="J183" s="103"/>
      <c r="L183" s="103"/>
    </row>
    <row r="184" spans="9:12" s="102" customFormat="1">
      <c r="I184" s="103"/>
      <c r="J184" s="103"/>
      <c r="L184" s="103"/>
    </row>
    <row r="185" spans="9:12" s="102" customFormat="1">
      <c r="I185" s="103"/>
      <c r="J185" s="103"/>
      <c r="L185" s="103"/>
    </row>
    <row r="186" spans="9:12" s="102" customFormat="1">
      <c r="I186" s="103"/>
      <c r="J186" s="103"/>
      <c r="L186" s="103"/>
    </row>
    <row r="187" spans="9:12" s="102" customFormat="1">
      <c r="I187" s="103"/>
      <c r="J187" s="103"/>
      <c r="L187" s="103"/>
    </row>
    <row r="188" spans="9:12" s="102" customFormat="1">
      <c r="I188" s="103"/>
      <c r="J188" s="103"/>
      <c r="L188" s="103"/>
    </row>
    <row r="189" spans="9:12" s="102" customFormat="1">
      <c r="I189" s="103"/>
      <c r="J189" s="103"/>
      <c r="L189" s="103"/>
    </row>
    <row r="190" spans="9:12" s="102" customFormat="1">
      <c r="I190" s="103"/>
      <c r="J190" s="103"/>
      <c r="L190" s="103"/>
    </row>
    <row r="191" spans="9:12" s="102" customFormat="1">
      <c r="I191" s="103"/>
      <c r="J191" s="103"/>
      <c r="L191" s="103"/>
    </row>
    <row r="192" spans="9:12" s="102" customFormat="1">
      <c r="I192" s="103"/>
      <c r="J192" s="103"/>
      <c r="L192" s="103"/>
    </row>
    <row r="193" spans="9:12" s="102" customFormat="1">
      <c r="I193" s="103"/>
      <c r="J193" s="103"/>
      <c r="L193" s="103"/>
    </row>
    <row r="194" spans="9:12" s="102" customFormat="1">
      <c r="I194" s="103"/>
      <c r="J194" s="103"/>
      <c r="L194" s="103"/>
    </row>
    <row r="195" spans="9:12" s="102" customFormat="1">
      <c r="I195" s="103"/>
      <c r="J195" s="103"/>
      <c r="L195" s="103"/>
    </row>
    <row r="196" spans="9:12" s="102" customFormat="1">
      <c r="I196" s="103"/>
      <c r="J196" s="103"/>
      <c r="L196" s="103"/>
    </row>
    <row r="197" spans="9:12" s="102" customFormat="1">
      <c r="I197" s="103"/>
      <c r="J197" s="103"/>
      <c r="L197" s="103"/>
    </row>
    <row r="198" spans="9:12" s="102" customFormat="1">
      <c r="I198" s="103"/>
      <c r="J198" s="103"/>
      <c r="L198" s="103"/>
    </row>
    <row r="199" spans="9:12" s="102" customFormat="1">
      <c r="I199" s="103"/>
      <c r="J199" s="103"/>
      <c r="L199" s="103"/>
    </row>
    <row r="200" spans="9:12" s="102" customFormat="1">
      <c r="I200" s="103"/>
      <c r="J200" s="103"/>
      <c r="L200" s="103"/>
    </row>
    <row r="201" spans="9:12" s="102" customFormat="1">
      <c r="I201" s="103"/>
      <c r="J201" s="103"/>
      <c r="L201" s="103"/>
    </row>
    <row r="202" spans="9:12" s="102" customFormat="1">
      <c r="I202" s="103"/>
      <c r="J202" s="103"/>
      <c r="L202" s="103"/>
    </row>
    <row r="203" spans="9:12" s="102" customFormat="1">
      <c r="I203" s="103"/>
      <c r="J203" s="103"/>
      <c r="L203" s="103"/>
    </row>
    <row r="204" spans="9:12" s="102" customFormat="1">
      <c r="I204" s="103"/>
      <c r="J204" s="103"/>
      <c r="L204" s="103"/>
    </row>
    <row r="205" spans="9:12" s="102" customFormat="1">
      <c r="I205" s="103"/>
      <c r="J205" s="103"/>
      <c r="L205" s="103"/>
    </row>
    <row r="206" spans="9:12" s="102" customFormat="1">
      <c r="I206" s="103"/>
      <c r="J206" s="103"/>
      <c r="L206" s="103"/>
    </row>
    <row r="207" spans="9:12" s="102" customFormat="1">
      <c r="I207" s="103"/>
      <c r="J207" s="103"/>
      <c r="L207" s="103"/>
    </row>
    <row r="208" spans="9:12" s="102" customFormat="1">
      <c r="I208" s="103"/>
      <c r="J208" s="103"/>
      <c r="L208" s="103"/>
    </row>
    <row r="209" spans="9:12" s="102" customFormat="1">
      <c r="I209" s="103"/>
      <c r="J209" s="103"/>
      <c r="L209" s="103"/>
    </row>
    <row r="210" spans="9:12" s="102" customFormat="1">
      <c r="I210" s="103"/>
      <c r="J210" s="103"/>
      <c r="L210" s="103"/>
    </row>
    <row r="211" spans="9:12" s="102" customFormat="1">
      <c r="I211" s="103"/>
      <c r="J211" s="103"/>
      <c r="L211" s="103"/>
    </row>
    <row r="212" spans="9:12" s="102" customFormat="1">
      <c r="I212" s="103"/>
      <c r="J212" s="103"/>
      <c r="L212" s="103"/>
    </row>
    <row r="213" spans="9:12" s="102" customFormat="1">
      <c r="I213" s="103"/>
      <c r="J213" s="103"/>
      <c r="L213" s="103"/>
    </row>
    <row r="214" spans="9:12" s="102" customFormat="1">
      <c r="I214" s="103"/>
      <c r="J214" s="103"/>
      <c r="L214" s="103"/>
    </row>
    <row r="215" spans="9:12" s="102" customFormat="1">
      <c r="I215" s="103"/>
      <c r="J215" s="103"/>
      <c r="L215" s="103"/>
    </row>
    <row r="216" spans="9:12" s="102" customFormat="1">
      <c r="I216" s="103"/>
      <c r="J216" s="103"/>
      <c r="L216" s="103"/>
    </row>
    <row r="217" spans="9:12" s="102" customFormat="1">
      <c r="I217" s="103"/>
      <c r="J217" s="103"/>
      <c r="L217" s="103"/>
    </row>
    <row r="218" spans="9:12" s="102" customFormat="1">
      <c r="I218" s="103"/>
      <c r="J218" s="103"/>
      <c r="L218" s="103"/>
    </row>
    <row r="219" spans="9:12" s="102" customFormat="1">
      <c r="I219" s="103"/>
      <c r="J219" s="103"/>
      <c r="L219" s="103"/>
    </row>
    <row r="220" spans="9:12" s="102" customFormat="1">
      <c r="I220" s="103"/>
      <c r="J220" s="103"/>
      <c r="L220" s="103"/>
    </row>
    <row r="221" spans="9:12" s="102" customFormat="1">
      <c r="I221" s="103"/>
      <c r="J221" s="103"/>
      <c r="L221" s="103"/>
    </row>
    <row r="222" spans="9:12" s="102" customFormat="1">
      <c r="I222" s="103"/>
      <c r="J222" s="103"/>
      <c r="L222" s="103"/>
    </row>
    <row r="223" spans="9:12" s="102" customFormat="1">
      <c r="I223" s="103"/>
      <c r="J223" s="103"/>
      <c r="L223" s="103"/>
    </row>
    <row r="224" spans="9:12" s="102" customFormat="1">
      <c r="I224" s="103"/>
      <c r="J224" s="103"/>
      <c r="L224" s="103"/>
    </row>
    <row r="225" spans="9:12" s="102" customFormat="1">
      <c r="I225" s="103"/>
      <c r="J225" s="103"/>
      <c r="L225" s="103"/>
    </row>
    <row r="226" spans="9:12" s="102" customFormat="1">
      <c r="I226" s="103"/>
      <c r="J226" s="103"/>
      <c r="L226" s="103"/>
    </row>
    <row r="227" spans="9:12" s="102" customFormat="1">
      <c r="I227" s="103"/>
      <c r="J227" s="103"/>
      <c r="L227" s="103"/>
    </row>
    <row r="228" spans="9:12" s="102" customFormat="1">
      <c r="I228" s="103"/>
      <c r="J228" s="103"/>
      <c r="L228" s="103"/>
    </row>
    <row r="229" spans="9:12" s="102" customFormat="1">
      <c r="I229" s="103"/>
      <c r="J229" s="103"/>
      <c r="L229" s="103"/>
    </row>
    <row r="230" spans="9:12" s="102" customFormat="1">
      <c r="I230" s="103"/>
      <c r="J230" s="103"/>
      <c r="L230" s="103"/>
    </row>
    <row r="231" spans="9:12" s="102" customFormat="1">
      <c r="I231" s="103"/>
      <c r="J231" s="103"/>
      <c r="L231" s="103"/>
    </row>
    <row r="232" spans="9:12" s="102" customFormat="1">
      <c r="I232" s="103"/>
      <c r="J232" s="103"/>
      <c r="L232" s="103"/>
    </row>
    <row r="233" spans="9:12" s="102" customFormat="1">
      <c r="I233" s="103"/>
      <c r="J233" s="103"/>
      <c r="L233" s="103"/>
    </row>
    <row r="234" spans="9:12" s="102" customFormat="1">
      <c r="I234" s="103"/>
      <c r="J234" s="103"/>
      <c r="L234" s="103"/>
    </row>
    <row r="235" spans="9:12" s="102" customFormat="1">
      <c r="I235" s="103"/>
      <c r="J235" s="103"/>
      <c r="L235" s="103"/>
    </row>
    <row r="236" spans="9:12" s="102" customFormat="1">
      <c r="I236" s="103"/>
      <c r="J236" s="103"/>
      <c r="L236" s="103"/>
    </row>
    <row r="237" spans="9:12" s="102" customFormat="1">
      <c r="I237" s="103"/>
      <c r="J237" s="103"/>
      <c r="L237" s="103"/>
    </row>
    <row r="238" spans="9:12" s="102" customFormat="1">
      <c r="I238" s="103"/>
      <c r="J238" s="103"/>
      <c r="L238" s="103"/>
    </row>
    <row r="239" spans="9:12" s="102" customFormat="1">
      <c r="I239" s="103"/>
      <c r="J239" s="103"/>
      <c r="L239" s="103"/>
    </row>
    <row r="240" spans="9:12" s="102" customFormat="1">
      <c r="I240" s="103"/>
      <c r="J240" s="103"/>
      <c r="L240" s="103"/>
    </row>
    <row r="241" spans="9:12" s="102" customFormat="1">
      <c r="I241" s="103"/>
      <c r="J241" s="103"/>
      <c r="L241" s="103"/>
    </row>
    <row r="242" spans="9:12" s="102" customFormat="1">
      <c r="I242" s="103"/>
      <c r="J242" s="103"/>
      <c r="L242" s="103"/>
    </row>
    <row r="243" spans="9:12" s="102" customFormat="1">
      <c r="I243" s="103"/>
      <c r="J243" s="103"/>
      <c r="L243" s="103"/>
    </row>
    <row r="244" spans="9:12" s="102" customFormat="1">
      <c r="I244" s="103"/>
      <c r="J244" s="103"/>
      <c r="L244" s="103"/>
    </row>
    <row r="245" spans="9:12" s="102" customFormat="1">
      <c r="I245" s="103"/>
      <c r="J245" s="103"/>
      <c r="L245" s="103"/>
    </row>
    <row r="246" spans="9:12" s="102" customFormat="1">
      <c r="I246" s="103"/>
      <c r="J246" s="103"/>
      <c r="L246" s="103"/>
    </row>
    <row r="247" spans="9:12" s="102" customFormat="1">
      <c r="I247" s="103"/>
      <c r="J247" s="103"/>
      <c r="L247" s="103"/>
    </row>
    <row r="248" spans="9:12" s="102" customFormat="1">
      <c r="I248" s="103"/>
      <c r="J248" s="103"/>
      <c r="L248" s="103"/>
    </row>
    <row r="249" spans="9:12" s="102" customFormat="1">
      <c r="I249" s="103"/>
      <c r="J249" s="103"/>
      <c r="L249" s="103"/>
    </row>
    <row r="250" spans="9:12" s="102" customFormat="1">
      <c r="I250" s="103"/>
      <c r="J250" s="103"/>
      <c r="L250" s="103"/>
    </row>
    <row r="251" spans="9:12" s="102" customFormat="1">
      <c r="I251" s="103"/>
      <c r="J251" s="103"/>
      <c r="L251" s="103"/>
    </row>
    <row r="252" spans="9:12" s="102" customFormat="1">
      <c r="I252" s="103"/>
      <c r="J252" s="103"/>
      <c r="L252" s="103"/>
    </row>
    <row r="253" spans="9:12" s="102" customFormat="1">
      <c r="I253" s="103"/>
      <c r="J253" s="103"/>
      <c r="L253" s="103"/>
    </row>
    <row r="254" spans="9:12" s="102" customFormat="1">
      <c r="I254" s="103"/>
      <c r="J254" s="103"/>
      <c r="L254" s="103"/>
    </row>
    <row r="255" spans="9:12" s="102" customFormat="1">
      <c r="I255" s="103"/>
      <c r="J255" s="103"/>
      <c r="L255" s="103"/>
    </row>
    <row r="256" spans="9:12" s="102" customFormat="1">
      <c r="I256" s="103"/>
      <c r="J256" s="103"/>
      <c r="L256" s="103"/>
    </row>
    <row r="257" spans="9:12" s="102" customFormat="1">
      <c r="I257" s="103"/>
      <c r="J257" s="103"/>
      <c r="L257" s="103"/>
    </row>
    <row r="258" spans="9:12" s="102" customFormat="1">
      <c r="I258" s="103"/>
      <c r="J258" s="103"/>
      <c r="L258" s="103"/>
    </row>
    <row r="259" spans="9:12" s="102" customFormat="1">
      <c r="I259" s="103"/>
      <c r="J259" s="103"/>
      <c r="L259" s="103"/>
    </row>
    <row r="260" spans="9:12" s="102" customFormat="1">
      <c r="I260" s="103"/>
      <c r="J260" s="103"/>
      <c r="L260" s="103"/>
    </row>
    <row r="261" spans="9:12" s="102" customFormat="1">
      <c r="I261" s="103"/>
      <c r="J261" s="103"/>
      <c r="L261" s="103"/>
    </row>
    <row r="262" spans="9:12" s="102" customFormat="1">
      <c r="I262" s="103"/>
      <c r="J262" s="103"/>
      <c r="L262" s="103"/>
    </row>
    <row r="263" spans="9:12" s="102" customFormat="1">
      <c r="I263" s="103"/>
      <c r="J263" s="103"/>
      <c r="L263" s="103"/>
    </row>
    <row r="264" spans="9:12" s="102" customFormat="1">
      <c r="I264" s="103"/>
      <c r="J264" s="103"/>
      <c r="L264" s="103"/>
    </row>
    <row r="265" spans="9:12" s="102" customFormat="1">
      <c r="I265" s="103"/>
      <c r="J265" s="103"/>
      <c r="L265" s="103"/>
    </row>
    <row r="266" spans="9:12" s="102" customFormat="1">
      <c r="I266" s="103"/>
      <c r="J266" s="103"/>
      <c r="L266" s="103"/>
    </row>
    <row r="267" spans="9:12" s="102" customFormat="1">
      <c r="I267" s="103"/>
      <c r="J267" s="103"/>
      <c r="L267" s="103"/>
    </row>
    <row r="268" spans="9:12" s="102" customFormat="1">
      <c r="I268" s="103"/>
      <c r="J268" s="103"/>
      <c r="L268" s="103"/>
    </row>
    <row r="269" spans="9:12" s="102" customFormat="1">
      <c r="I269" s="103"/>
      <c r="J269" s="103"/>
      <c r="L269" s="103"/>
    </row>
    <row r="270" spans="9:12" s="102" customFormat="1">
      <c r="I270" s="103"/>
      <c r="J270" s="103"/>
      <c r="L270" s="103"/>
    </row>
    <row r="271" spans="9:12" s="102" customFormat="1">
      <c r="I271" s="103"/>
      <c r="J271" s="103"/>
      <c r="L271" s="103"/>
    </row>
    <row r="272" spans="9:12" s="102" customFormat="1">
      <c r="I272" s="103"/>
      <c r="J272" s="103"/>
      <c r="L272" s="103"/>
    </row>
    <row r="273" spans="9:12" s="102" customFormat="1">
      <c r="I273" s="103"/>
      <c r="J273" s="103"/>
      <c r="L273" s="103"/>
    </row>
    <row r="274" spans="9:12" s="102" customFormat="1">
      <c r="I274" s="103"/>
      <c r="J274" s="103"/>
      <c r="L274" s="103"/>
    </row>
    <row r="275" spans="9:12" s="102" customFormat="1">
      <c r="I275" s="103"/>
      <c r="J275" s="103"/>
      <c r="L275" s="103"/>
    </row>
    <row r="276" spans="9:12" s="102" customFormat="1">
      <c r="I276" s="103"/>
      <c r="J276" s="103"/>
      <c r="L276" s="103"/>
    </row>
    <row r="277" spans="9:12" s="102" customFormat="1">
      <c r="I277" s="103"/>
      <c r="J277" s="103"/>
      <c r="L277" s="103"/>
    </row>
    <row r="278" spans="9:12" s="102" customFormat="1">
      <c r="I278" s="103"/>
      <c r="J278" s="103"/>
      <c r="L278" s="103"/>
    </row>
    <row r="279" spans="9:12" s="102" customFormat="1">
      <c r="I279" s="103"/>
      <c r="J279" s="103"/>
      <c r="L279" s="103"/>
    </row>
    <row r="280" spans="9:12" s="102" customFormat="1">
      <c r="I280" s="103"/>
      <c r="J280" s="103"/>
      <c r="L280" s="103"/>
    </row>
    <row r="281" spans="9:12" s="102" customFormat="1">
      <c r="I281" s="103"/>
      <c r="J281" s="103"/>
      <c r="L281" s="103"/>
    </row>
    <row r="282" spans="9:12" s="102" customFormat="1">
      <c r="I282" s="103"/>
      <c r="J282" s="103"/>
      <c r="L282" s="103"/>
    </row>
    <row r="283" spans="9:12" s="102" customFormat="1">
      <c r="I283" s="103"/>
      <c r="J283" s="103"/>
      <c r="L283" s="103"/>
    </row>
    <row r="284" spans="9:12" s="102" customFormat="1">
      <c r="I284" s="103"/>
      <c r="J284" s="103"/>
      <c r="L284" s="103"/>
    </row>
    <row r="285" spans="9:12" s="102" customFormat="1">
      <c r="I285" s="103"/>
      <c r="J285" s="103"/>
      <c r="L285" s="103"/>
    </row>
    <row r="286" spans="9:12" s="102" customFormat="1">
      <c r="I286" s="103"/>
      <c r="J286" s="103"/>
      <c r="L286" s="103"/>
    </row>
    <row r="287" spans="9:12" s="102" customFormat="1">
      <c r="I287" s="103"/>
      <c r="J287" s="103"/>
      <c r="L287" s="103"/>
    </row>
    <row r="288" spans="9:12" s="102" customFormat="1">
      <c r="I288" s="103"/>
      <c r="J288" s="103"/>
      <c r="L288" s="103"/>
    </row>
    <row r="289" spans="9:12" s="102" customFormat="1">
      <c r="I289" s="103"/>
      <c r="J289" s="103"/>
      <c r="L289" s="103"/>
    </row>
    <row r="290" spans="9:12" s="102" customFormat="1">
      <c r="I290" s="103"/>
      <c r="J290" s="103"/>
      <c r="L290" s="103"/>
    </row>
    <row r="291" spans="9:12" s="102" customFormat="1">
      <c r="I291" s="103"/>
      <c r="J291" s="103"/>
      <c r="L291" s="103"/>
    </row>
    <row r="292" spans="9:12" s="102" customFormat="1">
      <c r="I292" s="103"/>
      <c r="J292" s="103"/>
      <c r="L292" s="103"/>
    </row>
    <row r="293" spans="9:12" s="102" customFormat="1">
      <c r="I293" s="103"/>
      <c r="J293" s="103"/>
      <c r="L293" s="103"/>
    </row>
    <row r="294" spans="9:12" s="102" customFormat="1">
      <c r="I294" s="103"/>
      <c r="J294" s="103"/>
      <c r="L294" s="103"/>
    </row>
    <row r="295" spans="9:12" s="102" customFormat="1">
      <c r="I295" s="103"/>
      <c r="J295" s="103"/>
      <c r="L295" s="103"/>
    </row>
    <row r="296" spans="9:12" s="102" customFormat="1">
      <c r="I296" s="103"/>
      <c r="J296" s="103"/>
      <c r="L296" s="103"/>
    </row>
    <row r="297" spans="9:12" s="102" customFormat="1">
      <c r="I297" s="103"/>
      <c r="J297" s="103"/>
      <c r="L297" s="103"/>
    </row>
    <row r="298" spans="9:12" s="102" customFormat="1">
      <c r="I298" s="103"/>
      <c r="J298" s="103"/>
      <c r="L298" s="103"/>
    </row>
    <row r="299" spans="9:12" s="102" customFormat="1">
      <c r="I299" s="103"/>
      <c r="J299" s="103"/>
      <c r="L299" s="103"/>
    </row>
    <row r="300" spans="9:12" s="102" customFormat="1">
      <c r="I300" s="103"/>
      <c r="J300" s="103"/>
      <c r="L300" s="103"/>
    </row>
    <row r="301" spans="9:12" s="102" customFormat="1">
      <c r="I301" s="103"/>
      <c r="J301" s="103"/>
      <c r="L301" s="103"/>
    </row>
    <row r="302" spans="9:12" s="102" customFormat="1">
      <c r="I302" s="103"/>
      <c r="J302" s="103"/>
      <c r="L302" s="103"/>
    </row>
    <row r="303" spans="9:12" s="102" customFormat="1">
      <c r="I303" s="103"/>
      <c r="J303" s="103"/>
      <c r="L303" s="103"/>
    </row>
    <row r="304" spans="9:12" s="102" customFormat="1">
      <c r="I304" s="103"/>
      <c r="J304" s="103"/>
      <c r="L304" s="103"/>
    </row>
    <row r="305" spans="9:12" s="102" customFormat="1">
      <c r="I305" s="103"/>
      <c r="J305" s="103"/>
      <c r="L305" s="103"/>
    </row>
    <row r="306" spans="9:12" s="102" customFormat="1">
      <c r="I306" s="103"/>
      <c r="J306" s="103"/>
      <c r="L306" s="103"/>
    </row>
    <row r="307" spans="9:12" s="102" customFormat="1">
      <c r="I307" s="103"/>
      <c r="J307" s="103"/>
      <c r="L307" s="103"/>
    </row>
    <row r="308" spans="9:12" s="102" customFormat="1">
      <c r="I308" s="103"/>
      <c r="J308" s="103"/>
      <c r="L308" s="103"/>
    </row>
    <row r="309" spans="9:12" s="102" customFormat="1">
      <c r="I309" s="103"/>
      <c r="J309" s="103"/>
      <c r="L309" s="103"/>
    </row>
    <row r="310" spans="9:12" s="102" customFormat="1">
      <c r="I310" s="103"/>
      <c r="J310" s="103"/>
      <c r="L310" s="103"/>
    </row>
    <row r="311" spans="9:12" s="102" customFormat="1">
      <c r="I311" s="103"/>
      <c r="J311" s="103"/>
      <c r="L311" s="103"/>
    </row>
    <row r="312" spans="9:12" s="102" customFormat="1">
      <c r="I312" s="103"/>
      <c r="J312" s="103"/>
      <c r="L312" s="103"/>
    </row>
    <row r="313" spans="9:12" s="102" customFormat="1">
      <c r="I313" s="103"/>
      <c r="J313" s="103"/>
      <c r="L313" s="103"/>
    </row>
    <row r="314" spans="9:12" s="102" customFormat="1">
      <c r="I314" s="103"/>
      <c r="J314" s="103"/>
      <c r="L314" s="103"/>
    </row>
    <row r="315" spans="9:12" s="102" customFormat="1">
      <c r="I315" s="103"/>
      <c r="J315" s="103"/>
      <c r="L315" s="103"/>
    </row>
    <row r="316" spans="9:12" s="102" customFormat="1">
      <c r="I316" s="103"/>
      <c r="J316" s="103"/>
      <c r="L316" s="103"/>
    </row>
    <row r="317" spans="9:12" s="102" customFormat="1">
      <c r="I317" s="103"/>
      <c r="J317" s="103"/>
      <c r="L317" s="103"/>
    </row>
    <row r="318" spans="9:12" s="102" customFormat="1">
      <c r="I318" s="103"/>
      <c r="J318" s="103"/>
      <c r="L318" s="103"/>
    </row>
    <row r="319" spans="9:12" s="102" customFormat="1">
      <c r="I319" s="103"/>
      <c r="J319" s="103"/>
      <c r="L319" s="103"/>
    </row>
    <row r="320" spans="9:12" s="102" customFormat="1">
      <c r="I320" s="103"/>
      <c r="J320" s="103"/>
      <c r="L320" s="103"/>
    </row>
    <row r="321" spans="9:12" s="102" customFormat="1">
      <c r="I321" s="103"/>
      <c r="J321" s="103"/>
      <c r="L321" s="103"/>
    </row>
    <row r="322" spans="9:12" s="102" customFormat="1">
      <c r="I322" s="103"/>
      <c r="J322" s="103"/>
      <c r="L322" s="103"/>
    </row>
    <row r="323" spans="9:12" s="102" customFormat="1">
      <c r="I323" s="103"/>
      <c r="J323" s="103"/>
      <c r="L323" s="103"/>
    </row>
    <row r="324" spans="9:12" s="102" customFormat="1">
      <c r="I324" s="103"/>
      <c r="J324" s="103"/>
      <c r="L324" s="103"/>
    </row>
    <row r="325" spans="9:12" s="102" customFormat="1">
      <c r="I325" s="103"/>
      <c r="J325" s="103"/>
      <c r="L325" s="103"/>
    </row>
    <row r="326" spans="9:12" s="102" customFormat="1">
      <c r="I326" s="103"/>
      <c r="J326" s="103"/>
      <c r="L326" s="103"/>
    </row>
    <row r="327" spans="9:12" s="102" customFormat="1">
      <c r="I327" s="103"/>
      <c r="J327" s="103"/>
      <c r="L327" s="103"/>
    </row>
    <row r="328" spans="9:12" s="102" customFormat="1">
      <c r="I328" s="103"/>
      <c r="J328" s="103"/>
      <c r="L328" s="103"/>
    </row>
    <row r="329" spans="9:12" s="102" customFormat="1">
      <c r="I329" s="103"/>
      <c r="J329" s="103"/>
      <c r="L329" s="103"/>
    </row>
    <row r="330" spans="9:12" s="102" customFormat="1">
      <c r="I330" s="103"/>
      <c r="J330" s="103"/>
      <c r="L330" s="103"/>
    </row>
    <row r="331" spans="9:12" s="102" customFormat="1">
      <c r="I331" s="103"/>
      <c r="J331" s="103"/>
      <c r="L331" s="103"/>
    </row>
    <row r="332" spans="9:12" s="102" customFormat="1">
      <c r="I332" s="103"/>
      <c r="J332" s="103"/>
      <c r="L332" s="103"/>
    </row>
    <row r="333" spans="9:12" s="102" customFormat="1">
      <c r="I333" s="103"/>
      <c r="J333" s="103"/>
      <c r="L333" s="103"/>
    </row>
    <row r="334" spans="9:12" s="102" customFormat="1">
      <c r="I334" s="103"/>
      <c r="J334" s="103"/>
      <c r="L334" s="103"/>
    </row>
    <row r="335" spans="9:12" s="102" customFormat="1">
      <c r="I335" s="103"/>
      <c r="J335" s="103"/>
      <c r="L335" s="103"/>
    </row>
    <row r="336" spans="9:12" s="102" customFormat="1">
      <c r="I336" s="103"/>
      <c r="J336" s="103"/>
      <c r="L336" s="103"/>
    </row>
    <row r="337" spans="9:12" s="102" customFormat="1">
      <c r="I337" s="103"/>
      <c r="J337" s="103"/>
      <c r="L337" s="103"/>
    </row>
    <row r="338" spans="9:12" s="102" customFormat="1">
      <c r="I338" s="103"/>
      <c r="J338" s="103"/>
      <c r="L338" s="103"/>
    </row>
    <row r="339" spans="9:12" s="102" customFormat="1">
      <c r="I339" s="103"/>
      <c r="J339" s="103"/>
      <c r="L339" s="103"/>
    </row>
    <row r="340" spans="9:12" s="102" customFormat="1">
      <c r="I340" s="103"/>
      <c r="J340" s="103"/>
      <c r="L340" s="103"/>
    </row>
    <row r="341" spans="9:12" s="102" customFormat="1">
      <c r="I341" s="103"/>
      <c r="J341" s="103"/>
      <c r="L341" s="103"/>
    </row>
    <row r="342" spans="9:12" s="102" customFormat="1">
      <c r="I342" s="103"/>
      <c r="J342" s="103"/>
      <c r="L342" s="103"/>
    </row>
    <row r="343" spans="9:12" s="102" customFormat="1">
      <c r="I343" s="103"/>
      <c r="J343" s="103"/>
      <c r="L343" s="103"/>
    </row>
    <row r="344" spans="9:12" s="102" customFormat="1">
      <c r="I344" s="103"/>
      <c r="J344" s="103"/>
      <c r="L344" s="103"/>
    </row>
    <row r="345" spans="9:12" s="102" customFormat="1">
      <c r="I345" s="103"/>
      <c r="J345" s="103"/>
      <c r="L345" s="103"/>
    </row>
    <row r="346" spans="9:12" s="102" customFormat="1">
      <c r="I346" s="103"/>
      <c r="J346" s="103"/>
      <c r="L346" s="103"/>
    </row>
    <row r="347" spans="9:12" s="102" customFormat="1">
      <c r="I347" s="103"/>
      <c r="J347" s="103"/>
      <c r="L347" s="103"/>
    </row>
    <row r="348" spans="9:12" s="102" customFormat="1">
      <c r="I348" s="103"/>
      <c r="J348" s="103"/>
      <c r="L348" s="103"/>
    </row>
    <row r="349" spans="9:12" s="102" customFormat="1">
      <c r="I349" s="103"/>
      <c r="J349" s="103"/>
      <c r="L349" s="103"/>
    </row>
    <row r="350" spans="9:12" s="102" customFormat="1">
      <c r="I350" s="103"/>
      <c r="J350" s="103"/>
      <c r="L350" s="103"/>
    </row>
    <row r="351" spans="9:12" s="102" customFormat="1">
      <c r="I351" s="103"/>
      <c r="J351" s="103"/>
      <c r="L351" s="103"/>
    </row>
    <row r="352" spans="9:12" s="102" customFormat="1">
      <c r="I352" s="103"/>
      <c r="J352" s="103"/>
      <c r="L352" s="103"/>
    </row>
    <row r="353" spans="9:12" s="102" customFormat="1">
      <c r="I353" s="103"/>
      <c r="J353" s="103"/>
      <c r="L353" s="103"/>
    </row>
    <row r="354" spans="9:12" s="102" customFormat="1">
      <c r="I354" s="103"/>
      <c r="J354" s="103"/>
      <c r="L354" s="103"/>
    </row>
    <row r="355" spans="9:12" s="102" customFormat="1">
      <c r="I355" s="103"/>
      <c r="J355" s="103"/>
      <c r="L355" s="103"/>
    </row>
    <row r="356" spans="9:12" s="102" customFormat="1">
      <c r="I356" s="103"/>
      <c r="J356" s="103"/>
      <c r="L356" s="103"/>
    </row>
    <row r="357" spans="9:12" s="102" customFormat="1">
      <c r="I357" s="103"/>
      <c r="J357" s="103"/>
      <c r="L357" s="103"/>
    </row>
    <row r="358" spans="9:12" s="102" customFormat="1">
      <c r="I358" s="103"/>
      <c r="J358" s="103"/>
      <c r="L358" s="103"/>
    </row>
    <row r="359" spans="9:12" s="102" customFormat="1">
      <c r="I359" s="103"/>
      <c r="J359" s="103"/>
      <c r="L359" s="103"/>
    </row>
    <row r="360" spans="9:12" s="102" customFormat="1">
      <c r="I360" s="103"/>
      <c r="J360" s="103"/>
      <c r="L360" s="103"/>
    </row>
    <row r="361" spans="9:12" s="102" customFormat="1">
      <c r="I361" s="103"/>
      <c r="J361" s="103"/>
      <c r="L361" s="103"/>
    </row>
    <row r="362" spans="9:12" s="102" customFormat="1">
      <c r="I362" s="103"/>
      <c r="J362" s="103"/>
      <c r="L362" s="103"/>
    </row>
    <row r="363" spans="9:12" s="102" customFormat="1">
      <c r="I363" s="103"/>
      <c r="J363" s="103"/>
      <c r="L363" s="103"/>
    </row>
    <row r="364" spans="9:12" s="102" customFormat="1">
      <c r="I364" s="103"/>
      <c r="J364" s="103"/>
      <c r="L364" s="103"/>
    </row>
    <row r="365" spans="9:12" s="102" customFormat="1">
      <c r="I365" s="103"/>
      <c r="J365" s="103"/>
      <c r="L365" s="103"/>
    </row>
    <row r="366" spans="9:12" s="102" customFormat="1">
      <c r="I366" s="103"/>
      <c r="J366" s="103"/>
      <c r="L366" s="103"/>
    </row>
    <row r="367" spans="9:12" s="102" customFormat="1">
      <c r="I367" s="103"/>
      <c r="J367" s="103"/>
      <c r="L367" s="103"/>
    </row>
    <row r="368" spans="9:12" s="102" customFormat="1">
      <c r="I368" s="103"/>
      <c r="J368" s="103"/>
      <c r="L368" s="103"/>
    </row>
    <row r="369" spans="9:12" s="102" customFormat="1">
      <c r="I369" s="103"/>
      <c r="J369" s="103"/>
      <c r="L369" s="103"/>
    </row>
    <row r="370" spans="9:12" s="102" customFormat="1">
      <c r="I370" s="103"/>
      <c r="J370" s="103"/>
      <c r="L370" s="103"/>
    </row>
    <row r="371" spans="9:12" s="102" customFormat="1">
      <c r="I371" s="103"/>
      <c r="J371" s="103"/>
      <c r="L371" s="103"/>
    </row>
    <row r="372" spans="9:12" s="102" customFormat="1">
      <c r="I372" s="103"/>
      <c r="J372" s="103"/>
      <c r="L372" s="103"/>
    </row>
    <row r="373" spans="9:12" s="102" customFormat="1">
      <c r="I373" s="103"/>
      <c r="J373" s="103"/>
      <c r="L373" s="103"/>
    </row>
    <row r="374" spans="9:12" s="102" customFormat="1">
      <c r="I374" s="103"/>
      <c r="J374" s="103"/>
      <c r="L374" s="103"/>
    </row>
    <row r="375" spans="9:12" s="102" customFormat="1">
      <c r="I375" s="103"/>
      <c r="J375" s="103"/>
      <c r="L375" s="103"/>
    </row>
    <row r="376" spans="9:12" s="102" customFormat="1">
      <c r="I376" s="103"/>
      <c r="J376" s="103"/>
      <c r="L376" s="103"/>
    </row>
    <row r="377" spans="9:12" s="102" customFormat="1">
      <c r="I377" s="103"/>
      <c r="J377" s="103"/>
      <c r="L377" s="103"/>
    </row>
    <row r="378" spans="9:12" s="102" customFormat="1">
      <c r="I378" s="103"/>
      <c r="J378" s="103"/>
      <c r="L378" s="103"/>
    </row>
    <row r="379" spans="9:12" s="102" customFormat="1">
      <c r="I379" s="103"/>
      <c r="J379" s="103"/>
      <c r="L379" s="103"/>
    </row>
    <row r="380" spans="9:12" s="102" customFormat="1">
      <c r="I380" s="103"/>
      <c r="J380" s="103"/>
      <c r="L380" s="103"/>
    </row>
    <row r="381" spans="9:12" s="102" customFormat="1">
      <c r="I381" s="103"/>
      <c r="J381" s="103"/>
      <c r="L381" s="103"/>
    </row>
    <row r="382" spans="9:12" s="102" customFormat="1">
      <c r="I382" s="103"/>
      <c r="J382" s="103"/>
      <c r="L382" s="103"/>
    </row>
    <row r="383" spans="9:12" s="102" customFormat="1">
      <c r="I383" s="103"/>
      <c r="J383" s="103"/>
      <c r="L383" s="103"/>
    </row>
    <row r="384" spans="9:12" s="102" customFormat="1">
      <c r="I384" s="103"/>
      <c r="J384" s="103"/>
      <c r="L384" s="103"/>
    </row>
    <row r="385" spans="9:12" s="102" customFormat="1">
      <c r="I385" s="103"/>
      <c r="J385" s="103"/>
      <c r="L385" s="103"/>
    </row>
    <row r="386" spans="9:12" s="102" customFormat="1">
      <c r="I386" s="103"/>
      <c r="J386" s="103"/>
      <c r="L386" s="103"/>
    </row>
    <row r="387" spans="9:12" s="102" customFormat="1">
      <c r="I387" s="103"/>
      <c r="J387" s="103"/>
      <c r="L387" s="103"/>
    </row>
    <row r="388" spans="9:12" s="102" customFormat="1">
      <c r="I388" s="103"/>
      <c r="J388" s="103"/>
      <c r="L388" s="103"/>
    </row>
    <row r="389" spans="9:12" s="102" customFormat="1">
      <c r="I389" s="103"/>
      <c r="J389" s="103"/>
      <c r="L389" s="103"/>
    </row>
    <row r="390" spans="9:12" s="102" customFormat="1">
      <c r="I390" s="103"/>
      <c r="J390" s="103"/>
      <c r="L390" s="103"/>
    </row>
    <row r="391" spans="9:12" s="102" customFormat="1">
      <c r="I391" s="103"/>
      <c r="J391" s="103"/>
      <c r="L391" s="103"/>
    </row>
    <row r="392" spans="9:12" s="102" customFormat="1">
      <c r="I392" s="103"/>
      <c r="J392" s="103"/>
      <c r="L392" s="103"/>
    </row>
    <row r="393" spans="9:12" s="102" customFormat="1">
      <c r="I393" s="103"/>
      <c r="J393" s="103"/>
      <c r="L393" s="103"/>
    </row>
    <row r="394" spans="9:12" s="102" customFormat="1">
      <c r="I394" s="103"/>
      <c r="J394" s="103"/>
      <c r="L394" s="103"/>
    </row>
    <row r="395" spans="9:12" s="102" customFormat="1">
      <c r="I395" s="103"/>
      <c r="J395" s="103"/>
      <c r="L395" s="103"/>
    </row>
    <row r="396" spans="9:12" s="102" customFormat="1">
      <c r="I396" s="103"/>
      <c r="J396" s="103"/>
      <c r="L396" s="103"/>
    </row>
    <row r="397" spans="9:12" s="102" customFormat="1">
      <c r="I397" s="103"/>
      <c r="J397" s="103"/>
      <c r="L397" s="103"/>
    </row>
    <row r="398" spans="9:12" s="102" customFormat="1">
      <c r="I398" s="103"/>
      <c r="J398" s="103"/>
      <c r="L398" s="103"/>
    </row>
    <row r="399" spans="9:12" s="102" customFormat="1">
      <c r="I399" s="103"/>
      <c r="J399" s="103"/>
      <c r="L399" s="103"/>
    </row>
    <row r="400" spans="9:12" s="102" customFormat="1">
      <c r="I400" s="103"/>
      <c r="J400" s="103"/>
      <c r="L400" s="103"/>
    </row>
    <row r="401" spans="9:12" s="102" customFormat="1">
      <c r="I401" s="103"/>
      <c r="J401" s="103"/>
      <c r="L401" s="103"/>
    </row>
    <row r="402" spans="9:12" s="102" customFormat="1">
      <c r="I402" s="103"/>
      <c r="J402" s="103"/>
      <c r="L402" s="103"/>
    </row>
    <row r="403" spans="9:12" s="102" customFormat="1">
      <c r="I403" s="103"/>
      <c r="J403" s="103"/>
      <c r="L403" s="103"/>
    </row>
    <row r="404" spans="9:12" s="102" customFormat="1">
      <c r="I404" s="103"/>
      <c r="J404" s="103"/>
      <c r="L404" s="103"/>
    </row>
    <row r="405" spans="9:12" s="102" customFormat="1">
      <c r="I405" s="103"/>
      <c r="J405" s="103"/>
      <c r="L405" s="103"/>
    </row>
    <row r="406" spans="9:12" s="102" customFormat="1">
      <c r="I406" s="103"/>
      <c r="J406" s="103"/>
      <c r="L406" s="103"/>
    </row>
    <row r="407" spans="9:12" s="102" customFormat="1">
      <c r="I407" s="103"/>
      <c r="J407" s="103"/>
      <c r="L407" s="103"/>
    </row>
    <row r="408" spans="9:12" s="102" customFormat="1">
      <c r="I408" s="103"/>
      <c r="J408" s="103"/>
      <c r="L408" s="103"/>
    </row>
    <row r="409" spans="9:12" s="102" customFormat="1">
      <c r="I409" s="103"/>
      <c r="J409" s="103"/>
      <c r="L409" s="103"/>
    </row>
    <row r="410" spans="9:12" s="102" customFormat="1">
      <c r="I410" s="103"/>
      <c r="J410" s="103"/>
      <c r="L410" s="103"/>
    </row>
    <row r="411" spans="9:12" s="102" customFormat="1">
      <c r="I411" s="103"/>
      <c r="J411" s="103"/>
      <c r="L411" s="103"/>
    </row>
    <row r="412" spans="9:12" s="102" customFormat="1">
      <c r="I412" s="103"/>
      <c r="J412" s="103"/>
      <c r="L412" s="103"/>
    </row>
    <row r="413" spans="9:12" s="102" customFormat="1">
      <c r="I413" s="103"/>
      <c r="J413" s="103"/>
      <c r="L413" s="103"/>
    </row>
    <row r="414" spans="9:12" s="102" customFormat="1">
      <c r="I414" s="103"/>
      <c r="J414" s="103"/>
      <c r="L414" s="103"/>
    </row>
    <row r="415" spans="9:12" s="102" customFormat="1">
      <c r="I415" s="103"/>
      <c r="J415" s="103"/>
      <c r="L415" s="103"/>
    </row>
    <row r="416" spans="9:12" s="102" customFormat="1">
      <c r="I416" s="103"/>
      <c r="J416" s="103"/>
      <c r="L416" s="103"/>
    </row>
    <row r="417" spans="9:12" s="102" customFormat="1">
      <c r="I417" s="103"/>
      <c r="J417" s="103"/>
      <c r="L417" s="103"/>
    </row>
    <row r="418" spans="9:12" s="102" customFormat="1">
      <c r="I418" s="103"/>
      <c r="J418" s="103"/>
      <c r="L418" s="103"/>
    </row>
    <row r="419" spans="9:12" s="102" customFormat="1">
      <c r="I419" s="103"/>
      <c r="J419" s="103"/>
      <c r="L419" s="103"/>
    </row>
    <row r="420" spans="9:12" s="102" customFormat="1">
      <c r="I420" s="103"/>
      <c r="J420" s="103"/>
      <c r="L420" s="103"/>
    </row>
    <row r="421" spans="9:12" s="102" customFormat="1">
      <c r="I421" s="103"/>
      <c r="J421" s="103"/>
      <c r="L421" s="103"/>
    </row>
    <row r="422" spans="9:12" s="102" customFormat="1">
      <c r="I422" s="103"/>
      <c r="J422" s="103"/>
      <c r="L422" s="103"/>
    </row>
    <row r="423" spans="9:12" s="102" customFormat="1">
      <c r="I423" s="103"/>
      <c r="J423" s="103"/>
      <c r="L423" s="103"/>
    </row>
    <row r="424" spans="9:12" s="102" customFormat="1">
      <c r="I424" s="103"/>
      <c r="J424" s="103"/>
      <c r="L424" s="103"/>
    </row>
    <row r="425" spans="9:12" s="102" customFormat="1">
      <c r="I425" s="103"/>
      <c r="J425" s="103"/>
      <c r="L425" s="103"/>
    </row>
    <row r="426" spans="9:12" s="102" customFormat="1">
      <c r="I426" s="103"/>
      <c r="J426" s="103"/>
      <c r="L426" s="103"/>
    </row>
    <row r="427" spans="9:12" s="102" customFormat="1">
      <c r="I427" s="103"/>
      <c r="J427" s="103"/>
      <c r="L427" s="103"/>
    </row>
    <row r="428" spans="9:12" s="102" customFormat="1">
      <c r="I428" s="103"/>
      <c r="J428" s="103"/>
      <c r="L428" s="103"/>
    </row>
    <row r="429" spans="9:12" s="102" customFormat="1">
      <c r="I429" s="103"/>
      <c r="J429" s="103"/>
      <c r="L429" s="103"/>
    </row>
    <row r="430" spans="9:12" s="102" customFormat="1">
      <c r="I430" s="103"/>
      <c r="J430" s="103"/>
      <c r="L430" s="103"/>
    </row>
    <row r="431" spans="9:12" s="102" customFormat="1">
      <c r="I431" s="103"/>
      <c r="J431" s="103"/>
      <c r="L431" s="103"/>
    </row>
    <row r="432" spans="9:12" s="102" customFormat="1">
      <c r="I432" s="103"/>
      <c r="J432" s="103"/>
      <c r="L432" s="103"/>
    </row>
    <row r="433" spans="9:12" s="102" customFormat="1">
      <c r="I433" s="103"/>
      <c r="J433" s="103"/>
      <c r="L433" s="103"/>
    </row>
    <row r="434" spans="9:12" s="102" customFormat="1">
      <c r="I434" s="103"/>
      <c r="J434" s="103"/>
      <c r="L434" s="103"/>
    </row>
    <row r="435" spans="9:12" s="102" customFormat="1">
      <c r="I435" s="103"/>
      <c r="J435" s="103"/>
      <c r="L435" s="103"/>
    </row>
    <row r="436" spans="9:12" s="102" customFormat="1">
      <c r="I436" s="103"/>
      <c r="J436" s="103"/>
      <c r="L436" s="103"/>
    </row>
    <row r="437" spans="9:12" s="102" customFormat="1">
      <c r="I437" s="103"/>
      <c r="J437" s="103"/>
      <c r="L437" s="103"/>
    </row>
    <row r="438" spans="9:12" s="102" customFormat="1">
      <c r="I438" s="103"/>
      <c r="J438" s="103"/>
      <c r="L438" s="103"/>
    </row>
    <row r="439" spans="9:12" s="102" customFormat="1">
      <c r="I439" s="103"/>
      <c r="J439" s="103"/>
      <c r="L439" s="103"/>
    </row>
    <row r="440" spans="9:12" s="102" customFormat="1">
      <c r="I440" s="103"/>
      <c r="J440" s="103"/>
      <c r="L440" s="103"/>
    </row>
    <row r="441" spans="9:12" s="102" customFormat="1">
      <c r="I441" s="103"/>
      <c r="J441" s="103"/>
      <c r="L441" s="103"/>
    </row>
    <row r="442" spans="9:12" s="102" customFormat="1">
      <c r="I442" s="103"/>
      <c r="J442" s="103"/>
      <c r="L442" s="103"/>
    </row>
    <row r="443" spans="9:12" s="102" customFormat="1">
      <c r="I443" s="103"/>
      <c r="J443" s="103"/>
      <c r="L443" s="103"/>
    </row>
    <row r="444" spans="9:12" s="102" customFormat="1">
      <c r="I444" s="103"/>
      <c r="J444" s="103"/>
      <c r="L444" s="103"/>
    </row>
    <row r="445" spans="9:12" s="102" customFormat="1">
      <c r="I445" s="103"/>
      <c r="J445" s="103"/>
      <c r="L445" s="103"/>
    </row>
    <row r="446" spans="9:12" s="102" customFormat="1">
      <c r="I446" s="103"/>
      <c r="J446" s="103"/>
      <c r="L446" s="103"/>
    </row>
    <row r="447" spans="9:12" s="102" customFormat="1">
      <c r="I447" s="103"/>
      <c r="J447" s="103"/>
      <c r="L447" s="103"/>
    </row>
    <row r="448" spans="9:12" s="102" customFormat="1">
      <c r="I448" s="103"/>
      <c r="J448" s="103"/>
      <c r="L448" s="103"/>
    </row>
    <row r="449" spans="9:12" s="102" customFormat="1">
      <c r="I449" s="103"/>
      <c r="J449" s="103"/>
      <c r="L449" s="103"/>
    </row>
    <row r="450" spans="9:12" s="102" customFormat="1">
      <c r="I450" s="103"/>
      <c r="J450" s="103"/>
      <c r="L450" s="103"/>
    </row>
    <row r="451" spans="9:12" s="102" customFormat="1">
      <c r="I451" s="103"/>
      <c r="J451" s="103"/>
      <c r="L451" s="103"/>
    </row>
    <row r="452" spans="9:12" s="102" customFormat="1">
      <c r="I452" s="103"/>
      <c r="J452" s="103"/>
      <c r="L452" s="103"/>
    </row>
    <row r="453" spans="9:12" s="102" customFormat="1">
      <c r="I453" s="103"/>
      <c r="J453" s="103"/>
      <c r="L453" s="103"/>
    </row>
    <row r="454" spans="9:12" s="102" customFormat="1">
      <c r="I454" s="103"/>
      <c r="J454" s="103"/>
      <c r="L454" s="103"/>
    </row>
    <row r="455" spans="9:12" s="102" customFormat="1">
      <c r="I455" s="103"/>
      <c r="J455" s="103"/>
      <c r="L455" s="103"/>
    </row>
    <row r="456" spans="9:12" s="102" customFormat="1">
      <c r="I456" s="103"/>
      <c r="J456" s="103"/>
      <c r="L456" s="103"/>
    </row>
    <row r="457" spans="9:12" s="102" customFormat="1">
      <c r="I457" s="103"/>
      <c r="J457" s="103"/>
      <c r="L457" s="103"/>
    </row>
    <row r="458" spans="9:12" s="102" customFormat="1">
      <c r="I458" s="103"/>
      <c r="J458" s="103"/>
      <c r="L458" s="103"/>
    </row>
    <row r="459" spans="9:12" s="102" customFormat="1">
      <c r="I459" s="103"/>
      <c r="J459" s="103"/>
      <c r="L459" s="103"/>
    </row>
    <row r="460" spans="9:12" s="102" customFormat="1">
      <c r="I460" s="103"/>
      <c r="J460" s="103"/>
      <c r="L460" s="103"/>
    </row>
    <row r="461" spans="9:12" s="102" customFormat="1">
      <c r="I461" s="103"/>
      <c r="J461" s="103"/>
      <c r="L461" s="103"/>
    </row>
    <row r="462" spans="9:12" s="102" customFormat="1">
      <c r="I462" s="103"/>
      <c r="J462" s="103"/>
      <c r="L462" s="103"/>
    </row>
    <row r="463" spans="9:12" s="102" customFormat="1">
      <c r="I463" s="103"/>
      <c r="J463" s="103"/>
      <c r="L463" s="103"/>
    </row>
    <row r="464" spans="9:12" s="102" customFormat="1">
      <c r="I464" s="103"/>
      <c r="J464" s="103"/>
      <c r="L464" s="103"/>
    </row>
    <row r="465" spans="9:12" s="102" customFormat="1">
      <c r="I465" s="103"/>
      <c r="J465" s="103"/>
      <c r="L465" s="103"/>
    </row>
    <row r="466" spans="9:12" s="102" customFormat="1">
      <c r="I466" s="103"/>
      <c r="J466" s="103"/>
      <c r="L466" s="103"/>
    </row>
    <row r="467" spans="9:12" s="102" customFormat="1">
      <c r="I467" s="103"/>
      <c r="J467" s="103"/>
      <c r="L467" s="103"/>
    </row>
    <row r="468" spans="9:12" s="102" customFormat="1">
      <c r="I468" s="103"/>
      <c r="J468" s="103"/>
      <c r="L468" s="103"/>
    </row>
    <row r="469" spans="9:12" s="102" customFormat="1">
      <c r="I469" s="103"/>
      <c r="J469" s="103"/>
      <c r="L469" s="103"/>
    </row>
    <row r="470" spans="9:12" s="102" customFormat="1">
      <c r="I470" s="103"/>
      <c r="J470" s="103"/>
      <c r="L470" s="103"/>
    </row>
    <row r="471" spans="9:12" s="102" customFormat="1">
      <c r="I471" s="103"/>
      <c r="J471" s="103"/>
      <c r="L471" s="103"/>
    </row>
    <row r="472" spans="9:12" s="102" customFormat="1">
      <c r="I472" s="103"/>
      <c r="J472" s="103"/>
      <c r="L472" s="103"/>
    </row>
    <row r="473" spans="9:12" s="102" customFormat="1">
      <c r="I473" s="103"/>
      <c r="J473" s="103"/>
      <c r="L473" s="103"/>
    </row>
    <row r="474" spans="9:12" s="102" customFormat="1">
      <c r="I474" s="103"/>
      <c r="J474" s="103"/>
      <c r="L474" s="103"/>
    </row>
    <row r="475" spans="9:12" s="102" customFormat="1">
      <c r="I475" s="103"/>
      <c r="J475" s="103"/>
      <c r="L475" s="103"/>
    </row>
    <row r="476" spans="9:12" s="102" customFormat="1">
      <c r="I476" s="103"/>
      <c r="J476" s="103"/>
      <c r="L476" s="103"/>
    </row>
    <row r="477" spans="9:12" s="102" customFormat="1">
      <c r="I477" s="103"/>
      <c r="J477" s="103"/>
      <c r="L477" s="103"/>
    </row>
    <row r="478" spans="9:12" s="102" customFormat="1">
      <c r="I478" s="103"/>
      <c r="J478" s="103"/>
      <c r="L478" s="103"/>
    </row>
    <row r="479" spans="9:12" s="102" customFormat="1">
      <c r="I479" s="103"/>
      <c r="J479" s="103"/>
      <c r="L479" s="103"/>
    </row>
    <row r="480" spans="9:12" s="102" customFormat="1">
      <c r="I480" s="103"/>
      <c r="J480" s="103"/>
      <c r="L480" s="103"/>
    </row>
    <row r="481" spans="9:12" s="102" customFormat="1">
      <c r="I481" s="103"/>
      <c r="J481" s="103"/>
      <c r="L481" s="103"/>
    </row>
    <row r="482" spans="9:12" s="102" customFormat="1">
      <c r="I482" s="103"/>
      <c r="J482" s="103"/>
      <c r="L482" s="103"/>
    </row>
    <row r="483" spans="9:12" s="102" customFormat="1">
      <c r="I483" s="103"/>
      <c r="J483" s="103"/>
      <c r="L483" s="103"/>
    </row>
    <row r="484" spans="9:12" s="102" customFormat="1">
      <c r="I484" s="103"/>
      <c r="J484" s="103"/>
      <c r="L484" s="103"/>
    </row>
    <row r="485" spans="9:12" s="102" customFormat="1">
      <c r="I485" s="103"/>
      <c r="J485" s="103"/>
      <c r="L485" s="103"/>
    </row>
    <row r="486" spans="9:12" s="102" customFormat="1">
      <c r="I486" s="103"/>
      <c r="J486" s="103"/>
      <c r="L486" s="103"/>
    </row>
    <row r="487" spans="9:12" s="102" customFormat="1">
      <c r="I487" s="103"/>
      <c r="J487" s="103"/>
      <c r="L487" s="103"/>
    </row>
    <row r="488" spans="9:12" s="102" customFormat="1">
      <c r="I488" s="103"/>
      <c r="J488" s="103"/>
      <c r="L488" s="103"/>
    </row>
    <row r="489" spans="9:12" s="102" customFormat="1">
      <c r="I489" s="103"/>
      <c r="J489" s="103"/>
      <c r="L489" s="103"/>
    </row>
    <row r="490" spans="9:12" s="102" customFormat="1">
      <c r="I490" s="103"/>
      <c r="J490" s="103"/>
      <c r="L490" s="103"/>
    </row>
    <row r="491" spans="9:12" s="102" customFormat="1">
      <c r="I491" s="103"/>
      <c r="J491" s="103"/>
      <c r="L491" s="103"/>
    </row>
    <row r="492" spans="9:12" s="102" customFormat="1">
      <c r="I492" s="103"/>
      <c r="J492" s="103"/>
      <c r="L492" s="103"/>
    </row>
    <row r="493" spans="9:12" s="102" customFormat="1">
      <c r="I493" s="103"/>
      <c r="J493" s="103"/>
      <c r="L493" s="103"/>
    </row>
    <row r="494" spans="9:12" s="102" customFormat="1">
      <c r="I494" s="103"/>
      <c r="J494" s="103"/>
      <c r="L494" s="103"/>
    </row>
    <row r="495" spans="9:12" s="102" customFormat="1">
      <c r="I495" s="103"/>
      <c r="J495" s="103"/>
      <c r="L495" s="103"/>
    </row>
    <row r="496" spans="9:12" s="102" customFormat="1">
      <c r="I496" s="103"/>
      <c r="J496" s="103"/>
      <c r="L496" s="103"/>
    </row>
    <row r="497" spans="9:12" s="102" customFormat="1">
      <c r="I497" s="103"/>
      <c r="J497" s="103"/>
      <c r="L497" s="103"/>
    </row>
    <row r="498" spans="9:12" s="102" customFormat="1">
      <c r="I498" s="103"/>
      <c r="J498" s="103"/>
      <c r="L498" s="103"/>
    </row>
    <row r="499" spans="9:12" s="102" customFormat="1">
      <c r="I499" s="103"/>
      <c r="J499" s="103"/>
      <c r="L499" s="103"/>
    </row>
    <row r="500" spans="9:12" s="102" customFormat="1">
      <c r="I500" s="103"/>
      <c r="J500" s="103"/>
      <c r="L500" s="103"/>
    </row>
    <row r="501" spans="9:12" s="102" customFormat="1">
      <c r="I501" s="103"/>
      <c r="J501" s="103"/>
      <c r="L501" s="103"/>
    </row>
    <row r="502" spans="9:12" s="102" customFormat="1">
      <c r="I502" s="103"/>
      <c r="J502" s="103"/>
      <c r="L502" s="103"/>
    </row>
    <row r="503" spans="9:12" s="102" customFormat="1">
      <c r="I503" s="103"/>
      <c r="J503" s="103"/>
      <c r="L503" s="103"/>
    </row>
    <row r="504" spans="9:12" s="102" customFormat="1">
      <c r="I504" s="103"/>
      <c r="J504" s="103"/>
      <c r="L504" s="103"/>
    </row>
    <row r="505" spans="9:12" s="102" customFormat="1">
      <c r="I505" s="103"/>
      <c r="J505" s="103"/>
      <c r="L505" s="103"/>
    </row>
    <row r="506" spans="9:12" s="102" customFormat="1">
      <c r="I506" s="103"/>
      <c r="J506" s="103"/>
      <c r="L506" s="103"/>
    </row>
    <row r="507" spans="9:12" s="102" customFormat="1">
      <c r="I507" s="103"/>
      <c r="J507" s="103"/>
      <c r="L507" s="103"/>
    </row>
    <row r="508" spans="9:12" s="102" customFormat="1">
      <c r="I508" s="103"/>
      <c r="J508" s="103"/>
      <c r="L508" s="103"/>
    </row>
    <row r="509" spans="9:12" s="102" customFormat="1">
      <c r="I509" s="103"/>
      <c r="J509" s="103"/>
      <c r="L509" s="103"/>
    </row>
    <row r="510" spans="9:12" s="102" customFormat="1">
      <c r="I510" s="103"/>
      <c r="J510" s="103"/>
      <c r="L510" s="103"/>
    </row>
    <row r="511" spans="9:12" s="102" customFormat="1">
      <c r="I511" s="103"/>
      <c r="J511" s="103"/>
      <c r="L511" s="103"/>
    </row>
    <row r="512" spans="9:12" s="102" customFormat="1">
      <c r="I512" s="103"/>
      <c r="J512" s="103"/>
      <c r="L512" s="103"/>
    </row>
    <row r="513" spans="9:12" s="102" customFormat="1">
      <c r="I513" s="103"/>
      <c r="J513" s="103"/>
      <c r="L513" s="103"/>
    </row>
    <row r="514" spans="9:12" s="102" customFormat="1">
      <c r="I514" s="103"/>
      <c r="J514" s="103"/>
      <c r="L514" s="103"/>
    </row>
    <row r="515" spans="9:12" s="102" customFormat="1">
      <c r="I515" s="103"/>
      <c r="J515" s="103"/>
      <c r="L515" s="103"/>
    </row>
    <row r="516" spans="9:12" s="102" customFormat="1">
      <c r="I516" s="103"/>
      <c r="J516" s="103"/>
      <c r="L516" s="103"/>
    </row>
    <row r="517" spans="9:12" s="102" customFormat="1">
      <c r="I517" s="103"/>
      <c r="J517" s="103"/>
      <c r="L517" s="103"/>
    </row>
    <row r="518" spans="9:12" s="102" customFormat="1">
      <c r="I518" s="103"/>
      <c r="J518" s="103"/>
      <c r="L518" s="103"/>
    </row>
    <row r="519" spans="9:12" s="102" customFormat="1">
      <c r="I519" s="103"/>
      <c r="J519" s="103"/>
      <c r="L519" s="103"/>
    </row>
    <row r="520" spans="9:12" s="102" customFormat="1">
      <c r="I520" s="103"/>
      <c r="J520" s="103"/>
      <c r="L520" s="103"/>
    </row>
    <row r="521" spans="9:12" s="102" customFormat="1">
      <c r="I521" s="103"/>
      <c r="J521" s="103"/>
      <c r="L521" s="103"/>
    </row>
    <row r="522" spans="9:12" s="102" customFormat="1">
      <c r="I522" s="103"/>
      <c r="J522" s="103"/>
      <c r="L522" s="103"/>
    </row>
    <row r="523" spans="9:12" s="102" customFormat="1">
      <c r="I523" s="103"/>
      <c r="J523" s="103"/>
      <c r="L523" s="103"/>
    </row>
    <row r="524" spans="9:12" s="102" customFormat="1">
      <c r="I524" s="103"/>
      <c r="J524" s="103"/>
      <c r="L524" s="103"/>
    </row>
    <row r="525" spans="9:12" s="102" customFormat="1">
      <c r="I525" s="103"/>
      <c r="J525" s="103"/>
      <c r="L525" s="103"/>
    </row>
    <row r="526" spans="9:12" s="102" customFormat="1">
      <c r="I526" s="103"/>
      <c r="J526" s="103"/>
      <c r="L526" s="103"/>
    </row>
    <row r="527" spans="9:12" s="102" customFormat="1">
      <c r="I527" s="103"/>
      <c r="J527" s="103"/>
      <c r="L527" s="103"/>
    </row>
    <row r="528" spans="9:12" s="102" customFormat="1">
      <c r="I528" s="103"/>
      <c r="J528" s="103"/>
      <c r="L528" s="103"/>
    </row>
    <row r="529" spans="9:12" s="102" customFormat="1">
      <c r="I529" s="103"/>
      <c r="J529" s="103"/>
      <c r="L529" s="103"/>
    </row>
    <row r="530" spans="9:12" s="102" customFormat="1">
      <c r="I530" s="103"/>
      <c r="J530" s="103"/>
      <c r="L530" s="103"/>
    </row>
    <row r="531" spans="9:12" s="102" customFormat="1">
      <c r="I531" s="103"/>
      <c r="J531" s="103"/>
      <c r="L531" s="103"/>
    </row>
    <row r="532" spans="9:12" s="102" customFormat="1">
      <c r="I532" s="103"/>
      <c r="J532" s="103"/>
      <c r="L532" s="103"/>
    </row>
    <row r="533" spans="9:12" s="102" customFormat="1">
      <c r="I533" s="103"/>
      <c r="J533" s="103"/>
      <c r="L533" s="103"/>
    </row>
    <row r="534" spans="9:12" s="102" customFormat="1">
      <c r="I534" s="103"/>
      <c r="J534" s="103"/>
      <c r="L534" s="103"/>
    </row>
    <row r="535" spans="9:12" s="102" customFormat="1">
      <c r="I535" s="103"/>
      <c r="J535" s="103"/>
      <c r="L535" s="103"/>
    </row>
    <row r="536" spans="9:12" s="102" customFormat="1">
      <c r="I536" s="103"/>
      <c r="J536" s="103"/>
      <c r="L536" s="103"/>
    </row>
    <row r="537" spans="9:12" s="102" customFormat="1">
      <c r="I537" s="103"/>
      <c r="J537" s="103"/>
      <c r="L537" s="103"/>
    </row>
    <row r="538" spans="9:12" s="102" customFormat="1">
      <c r="I538" s="103"/>
      <c r="J538" s="103"/>
      <c r="L538" s="103"/>
    </row>
    <row r="539" spans="9:12" s="102" customFormat="1">
      <c r="I539" s="103"/>
      <c r="J539" s="103"/>
      <c r="L539" s="103"/>
    </row>
    <row r="540" spans="9:12" s="102" customFormat="1">
      <c r="I540" s="103"/>
      <c r="J540" s="103"/>
      <c r="L540" s="103"/>
    </row>
    <row r="541" spans="9:12" s="102" customFormat="1">
      <c r="I541" s="103"/>
      <c r="J541" s="103"/>
      <c r="L541" s="103"/>
    </row>
    <row r="542" spans="9:12" s="102" customFormat="1">
      <c r="I542" s="103"/>
      <c r="J542" s="103"/>
      <c r="L542" s="103"/>
    </row>
    <row r="543" spans="9:12" s="102" customFormat="1">
      <c r="I543" s="103"/>
      <c r="J543" s="103"/>
      <c r="L543" s="103"/>
    </row>
    <row r="544" spans="9:12" s="102" customFormat="1">
      <c r="I544" s="103"/>
      <c r="J544" s="103"/>
      <c r="L544" s="103"/>
    </row>
    <row r="545" spans="9:12" s="102" customFormat="1">
      <c r="I545" s="103"/>
      <c r="J545" s="103"/>
      <c r="L545" s="103"/>
    </row>
    <row r="546" spans="9:12" s="102" customFormat="1">
      <c r="I546" s="103"/>
      <c r="J546" s="103"/>
      <c r="L546" s="103"/>
    </row>
    <row r="547" spans="9:12" s="102" customFormat="1">
      <c r="I547" s="103"/>
      <c r="J547" s="103"/>
      <c r="L547" s="103"/>
    </row>
    <row r="548" spans="9:12" s="102" customFormat="1">
      <c r="I548" s="103"/>
      <c r="J548" s="103"/>
      <c r="L548" s="103"/>
    </row>
    <row r="549" spans="9:12" s="102" customFormat="1">
      <c r="I549" s="103"/>
      <c r="J549" s="103"/>
      <c r="L549" s="103"/>
    </row>
    <row r="550" spans="9:12" s="102" customFormat="1">
      <c r="I550" s="103"/>
      <c r="J550" s="103"/>
      <c r="L550" s="103"/>
    </row>
    <row r="551" spans="9:12" s="102" customFormat="1">
      <c r="I551" s="103"/>
      <c r="J551" s="103"/>
      <c r="L551" s="103"/>
    </row>
    <row r="552" spans="9:12" s="102" customFormat="1">
      <c r="I552" s="103"/>
      <c r="J552" s="103"/>
      <c r="L552" s="103"/>
    </row>
    <row r="553" spans="9:12" s="102" customFormat="1">
      <c r="I553" s="103"/>
      <c r="J553" s="103"/>
      <c r="L553" s="103"/>
    </row>
    <row r="554" spans="9:12" s="102" customFormat="1">
      <c r="I554" s="103"/>
      <c r="J554" s="103"/>
      <c r="L554" s="103"/>
    </row>
    <row r="555" spans="9:12" s="102" customFormat="1">
      <c r="I555" s="103"/>
      <c r="J555" s="103"/>
      <c r="L555" s="103"/>
    </row>
    <row r="556" spans="9:12" s="102" customFormat="1">
      <c r="I556" s="103"/>
      <c r="J556" s="103"/>
      <c r="L556" s="103"/>
    </row>
    <row r="557" spans="9:12" s="102" customFormat="1">
      <c r="I557" s="103"/>
      <c r="J557" s="103"/>
      <c r="L557" s="103"/>
    </row>
    <row r="558" spans="9:12" s="102" customFormat="1">
      <c r="I558" s="103"/>
      <c r="J558" s="103"/>
      <c r="L558" s="103"/>
    </row>
    <row r="559" spans="9:12" s="102" customFormat="1">
      <c r="I559" s="103"/>
      <c r="J559" s="103"/>
      <c r="L559" s="103"/>
    </row>
    <row r="560" spans="9:12" s="102" customFormat="1">
      <c r="I560" s="103"/>
      <c r="J560" s="103"/>
      <c r="L560" s="103"/>
    </row>
    <row r="561" spans="9:12" s="102" customFormat="1">
      <c r="I561" s="103"/>
      <c r="J561" s="103"/>
      <c r="L561" s="103"/>
    </row>
    <row r="562" spans="9:12" s="102" customFormat="1">
      <c r="I562" s="103"/>
      <c r="J562" s="103"/>
      <c r="L562" s="103"/>
    </row>
    <row r="563" spans="9:12" s="102" customFormat="1">
      <c r="I563" s="103"/>
      <c r="J563" s="103"/>
      <c r="L563" s="103"/>
    </row>
    <row r="564" spans="9:12" s="102" customFormat="1">
      <c r="I564" s="103"/>
      <c r="J564" s="103"/>
      <c r="L564" s="103"/>
    </row>
    <row r="565" spans="9:12" s="102" customFormat="1">
      <c r="I565" s="103"/>
      <c r="J565" s="103"/>
      <c r="L565" s="103"/>
    </row>
    <row r="566" spans="9:12" s="102" customFormat="1">
      <c r="I566" s="103"/>
      <c r="J566" s="103"/>
      <c r="L566" s="103"/>
    </row>
    <row r="567" spans="9:12" s="102" customFormat="1">
      <c r="I567" s="103"/>
      <c r="J567" s="103"/>
      <c r="L567" s="103"/>
    </row>
    <row r="568" spans="9:12" s="102" customFormat="1">
      <c r="I568" s="103"/>
      <c r="J568" s="103"/>
      <c r="L568" s="103"/>
    </row>
    <row r="569" spans="9:12" s="102" customFormat="1">
      <c r="I569" s="103"/>
      <c r="J569" s="103"/>
      <c r="L569" s="103"/>
    </row>
    <row r="570" spans="9:12" s="102" customFormat="1">
      <c r="I570" s="103"/>
      <c r="J570" s="103"/>
      <c r="L570" s="103"/>
    </row>
    <row r="571" spans="9:12" s="102" customFormat="1">
      <c r="I571" s="103"/>
      <c r="J571" s="103"/>
      <c r="L571" s="103"/>
    </row>
    <row r="572" spans="9:12" s="102" customFormat="1">
      <c r="I572" s="103"/>
      <c r="J572" s="103"/>
      <c r="L572" s="103"/>
    </row>
    <row r="573" spans="9:12" s="102" customFormat="1">
      <c r="I573" s="103"/>
      <c r="J573" s="103"/>
      <c r="L573" s="103"/>
    </row>
    <row r="574" spans="9:12" s="102" customFormat="1">
      <c r="I574" s="103"/>
      <c r="J574" s="103"/>
      <c r="L574" s="103"/>
    </row>
    <row r="575" spans="9:12" s="102" customFormat="1">
      <c r="I575" s="103"/>
      <c r="J575" s="103"/>
      <c r="L575" s="103"/>
    </row>
    <row r="576" spans="9:12" s="102" customFormat="1">
      <c r="I576" s="103"/>
      <c r="J576" s="103"/>
      <c r="L576" s="103"/>
    </row>
    <row r="577" spans="9:12" s="102" customFormat="1">
      <c r="I577" s="103"/>
      <c r="J577" s="103"/>
      <c r="L577" s="103"/>
    </row>
    <row r="578" spans="9:12" s="102" customFormat="1">
      <c r="I578" s="103"/>
      <c r="J578" s="103"/>
      <c r="L578" s="103"/>
    </row>
    <row r="579" spans="9:12" s="102" customFormat="1">
      <c r="I579" s="103"/>
      <c r="J579" s="103"/>
      <c r="L579" s="103"/>
    </row>
    <row r="580" spans="9:12" s="102" customFormat="1">
      <c r="I580" s="103"/>
      <c r="J580" s="103"/>
      <c r="L580" s="103"/>
    </row>
    <row r="581" spans="9:12" s="102" customFormat="1">
      <c r="I581" s="103"/>
      <c r="J581" s="103"/>
      <c r="L581" s="103"/>
    </row>
    <row r="582" spans="9:12" s="102" customFormat="1">
      <c r="I582" s="103"/>
      <c r="J582" s="103"/>
      <c r="L582" s="103"/>
    </row>
    <row r="583" spans="9:12" s="102" customFormat="1">
      <c r="I583" s="103"/>
      <c r="J583" s="103"/>
      <c r="L583" s="103"/>
    </row>
    <row r="584" spans="9:12" s="102" customFormat="1">
      <c r="I584" s="103"/>
      <c r="J584" s="103"/>
      <c r="L584" s="103"/>
    </row>
    <row r="585" spans="9:12" s="102" customFormat="1">
      <c r="I585" s="103"/>
      <c r="J585" s="103"/>
      <c r="L585" s="103"/>
    </row>
    <row r="586" spans="9:12" s="102" customFormat="1">
      <c r="I586" s="103"/>
      <c r="J586" s="103"/>
      <c r="L586" s="103"/>
    </row>
    <row r="587" spans="9:12" s="102" customFormat="1">
      <c r="I587" s="103"/>
      <c r="J587" s="103"/>
      <c r="L587" s="103"/>
    </row>
    <row r="588" spans="9:12" s="102" customFormat="1">
      <c r="I588" s="103"/>
      <c r="J588" s="103"/>
      <c r="L588" s="103"/>
    </row>
    <row r="589" spans="9:12" s="102" customFormat="1">
      <c r="I589" s="103"/>
      <c r="J589" s="103"/>
      <c r="L589" s="103"/>
    </row>
    <row r="590" spans="9:12" s="102" customFormat="1">
      <c r="I590" s="103"/>
      <c r="J590" s="103"/>
      <c r="L590" s="103"/>
    </row>
    <row r="591" spans="9:12" s="102" customFormat="1">
      <c r="I591" s="103"/>
      <c r="J591" s="103"/>
      <c r="L591" s="103"/>
    </row>
    <row r="592" spans="9:12" s="102" customFormat="1">
      <c r="I592" s="103"/>
      <c r="J592" s="103"/>
      <c r="L592" s="103"/>
    </row>
    <row r="593" spans="9:12" s="102" customFormat="1">
      <c r="I593" s="103"/>
      <c r="J593" s="103"/>
      <c r="L593" s="103"/>
    </row>
    <row r="594" spans="9:12" s="102" customFormat="1">
      <c r="I594" s="103"/>
      <c r="J594" s="103"/>
      <c r="L594" s="103"/>
    </row>
    <row r="595" spans="9:12" s="102" customFormat="1">
      <c r="I595" s="103"/>
      <c r="J595" s="103"/>
      <c r="L595" s="103"/>
    </row>
    <row r="596" spans="9:12" s="102" customFormat="1">
      <c r="I596" s="103"/>
      <c r="J596" s="103"/>
      <c r="L596" s="103"/>
    </row>
    <row r="597" spans="9:12" s="102" customFormat="1">
      <c r="I597" s="103"/>
      <c r="J597" s="103"/>
      <c r="L597" s="103"/>
    </row>
    <row r="598" spans="9:12" s="102" customFormat="1">
      <c r="I598" s="103"/>
      <c r="J598" s="103"/>
      <c r="L598" s="103"/>
    </row>
    <row r="599" spans="9:12" s="102" customFormat="1">
      <c r="I599" s="103"/>
      <c r="J599" s="103"/>
      <c r="L599" s="103"/>
    </row>
    <row r="600" spans="9:12" s="102" customFormat="1">
      <c r="I600" s="103"/>
      <c r="J600" s="103"/>
      <c r="L600" s="103"/>
    </row>
    <row r="601" spans="9:12" s="102" customFormat="1">
      <c r="I601" s="103"/>
      <c r="J601" s="103"/>
      <c r="L601" s="103"/>
    </row>
    <row r="602" spans="9:12" s="102" customFormat="1">
      <c r="I602" s="103"/>
      <c r="J602" s="103"/>
      <c r="L602" s="103"/>
    </row>
    <row r="603" spans="9:12" s="102" customFormat="1">
      <c r="I603" s="103"/>
      <c r="J603" s="103"/>
      <c r="L603" s="103"/>
    </row>
    <row r="604" spans="9:12" s="102" customFormat="1">
      <c r="I604" s="103"/>
      <c r="J604" s="103"/>
      <c r="L604" s="103"/>
    </row>
    <row r="605" spans="9:12" s="102" customFormat="1">
      <c r="I605" s="103"/>
      <c r="J605" s="103"/>
      <c r="L605" s="103"/>
    </row>
    <row r="606" spans="9:12" s="102" customFormat="1">
      <c r="I606" s="103"/>
      <c r="J606" s="103"/>
      <c r="L606" s="103"/>
    </row>
    <row r="607" spans="9:12" s="102" customFormat="1">
      <c r="I607" s="103"/>
      <c r="J607" s="103"/>
      <c r="L607" s="103"/>
    </row>
    <row r="608" spans="9:12" s="102" customFormat="1">
      <c r="I608" s="103"/>
      <c r="J608" s="103"/>
      <c r="L608" s="103"/>
    </row>
    <row r="609" spans="9:12" s="102" customFormat="1">
      <c r="I609" s="103"/>
      <c r="J609" s="103"/>
      <c r="L609" s="103"/>
    </row>
    <row r="610" spans="9:12" s="102" customFormat="1">
      <c r="I610" s="103"/>
      <c r="J610" s="103"/>
      <c r="L610" s="103"/>
    </row>
    <row r="611" spans="9:12" s="102" customFormat="1">
      <c r="I611" s="103"/>
      <c r="J611" s="103"/>
      <c r="L611" s="103"/>
    </row>
    <row r="612" spans="9:12" s="102" customFormat="1">
      <c r="I612" s="103"/>
      <c r="J612" s="103"/>
      <c r="L612" s="103"/>
    </row>
    <row r="613" spans="9:12" s="102" customFormat="1">
      <c r="I613" s="103"/>
      <c r="J613" s="103"/>
      <c r="L613" s="103"/>
    </row>
    <row r="614" spans="9:12" s="102" customFormat="1">
      <c r="I614" s="103"/>
      <c r="J614" s="103"/>
      <c r="L614" s="103"/>
    </row>
    <row r="615" spans="9:12" s="102" customFormat="1">
      <c r="I615" s="103"/>
      <c r="J615" s="103"/>
      <c r="L615" s="103"/>
    </row>
    <row r="616" spans="9:12" s="102" customFormat="1">
      <c r="I616" s="103"/>
      <c r="J616" s="103"/>
      <c r="L616" s="103"/>
    </row>
    <row r="617" spans="9:12" s="102" customFormat="1">
      <c r="I617" s="103"/>
      <c r="J617" s="103"/>
      <c r="L617" s="103"/>
    </row>
    <row r="618" spans="9:12" s="102" customFormat="1">
      <c r="I618" s="103"/>
      <c r="J618" s="103"/>
      <c r="L618" s="103"/>
    </row>
    <row r="619" spans="9:12" s="102" customFormat="1">
      <c r="I619" s="103"/>
      <c r="J619" s="103"/>
      <c r="L619" s="103"/>
    </row>
    <row r="620" spans="9:12" s="102" customFormat="1">
      <c r="I620" s="103"/>
      <c r="J620" s="103"/>
      <c r="L620" s="103"/>
    </row>
    <row r="621" spans="9:12" s="102" customFormat="1">
      <c r="I621" s="103"/>
      <c r="J621" s="103"/>
      <c r="L621" s="103"/>
    </row>
    <row r="622" spans="9:12" s="102" customFormat="1">
      <c r="I622" s="103"/>
      <c r="J622" s="103"/>
      <c r="L622" s="103"/>
    </row>
    <row r="623" spans="9:12" s="102" customFormat="1">
      <c r="I623" s="103"/>
      <c r="J623" s="103"/>
      <c r="L623" s="103"/>
    </row>
    <row r="624" spans="9:12" s="102" customFormat="1">
      <c r="I624" s="103"/>
      <c r="J624" s="103"/>
      <c r="L624" s="103"/>
    </row>
    <row r="625" spans="9:12" s="102" customFormat="1">
      <c r="I625" s="103"/>
      <c r="J625" s="103"/>
      <c r="L625" s="103"/>
    </row>
    <row r="626" spans="9:12" s="102" customFormat="1">
      <c r="I626" s="103"/>
      <c r="J626" s="103"/>
      <c r="L626" s="103"/>
    </row>
    <row r="627" spans="9:12" s="102" customFormat="1">
      <c r="I627" s="103"/>
      <c r="J627" s="103"/>
      <c r="L627" s="103"/>
    </row>
    <row r="628" spans="9:12" s="102" customFormat="1">
      <c r="I628" s="103"/>
      <c r="J628" s="103"/>
      <c r="L628" s="103"/>
    </row>
    <row r="629" spans="9:12" s="102" customFormat="1">
      <c r="I629" s="103"/>
      <c r="J629" s="103"/>
      <c r="L629" s="103"/>
    </row>
    <row r="630" spans="9:12" s="102" customFormat="1">
      <c r="I630" s="103"/>
      <c r="J630" s="103"/>
      <c r="L630" s="103"/>
    </row>
    <row r="631" spans="9:12" s="102" customFormat="1">
      <c r="I631" s="103"/>
      <c r="J631" s="103"/>
      <c r="L631" s="103"/>
    </row>
    <row r="632" spans="9:12" s="102" customFormat="1">
      <c r="I632" s="103"/>
      <c r="J632" s="103"/>
      <c r="L632" s="103"/>
    </row>
    <row r="633" spans="9:12" s="102" customFormat="1">
      <c r="I633" s="103"/>
      <c r="J633" s="103"/>
      <c r="L633" s="103"/>
    </row>
    <row r="634" spans="9:12" s="102" customFormat="1">
      <c r="I634" s="103"/>
      <c r="J634" s="103"/>
      <c r="L634" s="103"/>
    </row>
    <row r="635" spans="9:12" s="102" customFormat="1">
      <c r="I635" s="103"/>
      <c r="J635" s="103"/>
      <c r="L635" s="103"/>
    </row>
    <row r="636" spans="9:12" s="102" customFormat="1">
      <c r="I636" s="103"/>
      <c r="J636" s="103"/>
      <c r="L636" s="103"/>
    </row>
    <row r="637" spans="9:12" s="102" customFormat="1">
      <c r="I637" s="103"/>
      <c r="J637" s="103"/>
      <c r="L637" s="103"/>
    </row>
    <row r="638" spans="9:12" s="102" customFormat="1">
      <c r="I638" s="103"/>
      <c r="J638" s="103"/>
      <c r="L638" s="103"/>
    </row>
    <row r="639" spans="9:12" s="102" customFormat="1">
      <c r="I639" s="103"/>
      <c r="J639" s="103"/>
      <c r="L639" s="103"/>
    </row>
    <row r="640" spans="9:12" s="102" customFormat="1">
      <c r="I640" s="103"/>
      <c r="J640" s="103"/>
      <c r="L640" s="103"/>
    </row>
    <row r="641" spans="9:12" s="102" customFormat="1">
      <c r="I641" s="103"/>
      <c r="J641" s="103"/>
      <c r="L641" s="103"/>
    </row>
    <row r="642" spans="9:12" s="102" customFormat="1">
      <c r="I642" s="103"/>
      <c r="J642" s="103"/>
      <c r="L642" s="103"/>
    </row>
    <row r="643" spans="9:12" s="102" customFormat="1">
      <c r="I643" s="103"/>
      <c r="J643" s="103"/>
      <c r="L643" s="103"/>
    </row>
    <row r="644" spans="9:12" s="102" customFormat="1">
      <c r="I644" s="103"/>
      <c r="J644" s="103"/>
      <c r="L644" s="103"/>
    </row>
    <row r="645" spans="9:12" s="102" customFormat="1">
      <c r="I645" s="103"/>
      <c r="J645" s="103"/>
      <c r="L645" s="103"/>
    </row>
    <row r="646" spans="9:12" s="102" customFormat="1">
      <c r="I646" s="103"/>
      <c r="J646" s="103"/>
      <c r="L646" s="103"/>
    </row>
    <row r="647" spans="9:12" s="102" customFormat="1">
      <c r="I647" s="103"/>
      <c r="J647" s="103"/>
      <c r="L647" s="103"/>
    </row>
    <row r="648" spans="9:12" s="102" customFormat="1">
      <c r="I648" s="103"/>
      <c r="J648" s="103"/>
      <c r="L648" s="103"/>
    </row>
    <row r="649" spans="9:12" s="102" customFormat="1">
      <c r="I649" s="103"/>
      <c r="J649" s="103"/>
      <c r="L649" s="103"/>
    </row>
    <row r="650" spans="9:12" s="102" customFormat="1">
      <c r="I650" s="103"/>
      <c r="J650" s="103"/>
      <c r="L650" s="103"/>
    </row>
    <row r="651" spans="9:12" s="102" customFormat="1">
      <c r="I651" s="103"/>
      <c r="J651" s="103"/>
      <c r="L651" s="103"/>
    </row>
    <row r="652" spans="9:12" s="102" customFormat="1">
      <c r="I652" s="103"/>
      <c r="J652" s="103"/>
      <c r="L652" s="103"/>
    </row>
    <row r="653" spans="9:12" s="102" customFormat="1">
      <c r="I653" s="103"/>
      <c r="J653" s="103"/>
      <c r="L653" s="103"/>
    </row>
    <row r="654" spans="9:12" s="102" customFormat="1">
      <c r="I654" s="103"/>
      <c r="J654" s="103"/>
      <c r="L654" s="103"/>
    </row>
    <row r="655" spans="9:12" s="102" customFormat="1">
      <c r="I655" s="103"/>
      <c r="J655" s="103"/>
      <c r="L655" s="103"/>
    </row>
    <row r="656" spans="9:12" s="102" customFormat="1">
      <c r="I656" s="103"/>
      <c r="J656" s="103"/>
      <c r="L656" s="103"/>
    </row>
    <row r="657" spans="9:12" s="102" customFormat="1">
      <c r="I657" s="103"/>
      <c r="J657" s="103"/>
      <c r="L657" s="103"/>
    </row>
    <row r="658" spans="9:12" s="102" customFormat="1">
      <c r="I658" s="103"/>
      <c r="J658" s="103"/>
      <c r="L658" s="103"/>
    </row>
    <row r="659" spans="9:12" s="102" customFormat="1">
      <c r="I659" s="103"/>
      <c r="J659" s="103"/>
      <c r="L659" s="103"/>
    </row>
    <row r="660" spans="9:12" s="102" customFormat="1">
      <c r="I660" s="103"/>
      <c r="J660" s="103"/>
      <c r="L660" s="103"/>
    </row>
    <row r="661" spans="9:12" s="102" customFormat="1">
      <c r="I661" s="103"/>
      <c r="J661" s="103"/>
      <c r="L661" s="103"/>
    </row>
    <row r="662" spans="9:12" s="102" customFormat="1">
      <c r="I662" s="103"/>
      <c r="J662" s="103"/>
      <c r="L662" s="103"/>
    </row>
    <row r="663" spans="9:12" s="102" customFormat="1">
      <c r="I663" s="103"/>
      <c r="J663" s="103"/>
      <c r="L663" s="103"/>
    </row>
    <row r="664" spans="9:12" s="102" customFormat="1">
      <c r="I664" s="103"/>
      <c r="J664" s="103"/>
      <c r="L664" s="103"/>
    </row>
    <row r="665" spans="9:12" s="102" customFormat="1">
      <c r="I665" s="103"/>
      <c r="J665" s="103"/>
      <c r="L665" s="103"/>
    </row>
    <row r="666" spans="9:12" s="102" customFormat="1">
      <c r="I666" s="103"/>
      <c r="J666" s="103"/>
      <c r="L666" s="103"/>
    </row>
    <row r="667" spans="9:12" s="102" customFormat="1">
      <c r="I667" s="103"/>
      <c r="J667" s="103"/>
      <c r="L667" s="103"/>
    </row>
    <row r="668" spans="9:12" s="102" customFormat="1">
      <c r="I668" s="103"/>
      <c r="J668" s="103"/>
      <c r="L668" s="103"/>
    </row>
    <row r="669" spans="9:12" s="102" customFormat="1">
      <c r="I669" s="103"/>
      <c r="J669" s="103"/>
      <c r="L669" s="103"/>
    </row>
    <row r="670" spans="9:12" s="102" customFormat="1">
      <c r="I670" s="103"/>
      <c r="J670" s="103"/>
      <c r="L670" s="103"/>
    </row>
    <row r="671" spans="9:12" s="102" customFormat="1">
      <c r="I671" s="103"/>
      <c r="J671" s="103"/>
      <c r="L671" s="103"/>
    </row>
    <row r="672" spans="9:12" s="102" customFormat="1">
      <c r="I672" s="103"/>
      <c r="J672" s="103"/>
      <c r="L672" s="103"/>
    </row>
    <row r="673" spans="9:12" s="102" customFormat="1">
      <c r="I673" s="103"/>
      <c r="J673" s="103"/>
      <c r="L673" s="103"/>
    </row>
    <row r="674" spans="9:12" s="102" customFormat="1">
      <c r="I674" s="103"/>
      <c r="J674" s="103"/>
      <c r="L674" s="103"/>
    </row>
    <row r="675" spans="9:12" s="102" customFormat="1">
      <c r="I675" s="103"/>
      <c r="J675" s="103"/>
      <c r="L675" s="103"/>
    </row>
    <row r="676" spans="9:12" s="102" customFormat="1">
      <c r="I676" s="103"/>
      <c r="J676" s="103"/>
      <c r="L676" s="103"/>
    </row>
    <row r="677" spans="9:12" s="102" customFormat="1">
      <c r="I677" s="103"/>
      <c r="J677" s="103"/>
      <c r="L677" s="103"/>
    </row>
    <row r="678" spans="9:12" s="102" customFormat="1">
      <c r="I678" s="103"/>
      <c r="J678" s="103"/>
      <c r="L678" s="103"/>
    </row>
    <row r="679" spans="9:12" s="102" customFormat="1">
      <c r="I679" s="103"/>
      <c r="J679" s="103"/>
      <c r="L679" s="103"/>
    </row>
    <row r="680" spans="9:12" s="102" customFormat="1">
      <c r="I680" s="103"/>
      <c r="J680" s="103"/>
      <c r="L680" s="103"/>
    </row>
    <row r="681" spans="9:12" s="102" customFormat="1">
      <c r="I681" s="103"/>
      <c r="J681" s="103"/>
      <c r="L681" s="103"/>
    </row>
    <row r="682" spans="9:12" s="102" customFormat="1">
      <c r="I682" s="103"/>
      <c r="J682" s="103"/>
      <c r="L682" s="103"/>
    </row>
    <row r="683" spans="9:12" s="102" customFormat="1">
      <c r="I683" s="103"/>
      <c r="J683" s="103"/>
      <c r="L683" s="103"/>
    </row>
    <row r="684" spans="9:12" s="102" customFormat="1">
      <c r="I684" s="103"/>
      <c r="J684" s="103"/>
      <c r="L684" s="103"/>
    </row>
    <row r="685" spans="9:12" s="102" customFormat="1">
      <c r="I685" s="103"/>
      <c r="J685" s="103"/>
      <c r="L685" s="103"/>
    </row>
    <row r="686" spans="9:12" s="102" customFormat="1">
      <c r="I686" s="103"/>
      <c r="J686" s="103"/>
      <c r="L686" s="103"/>
    </row>
    <row r="687" spans="9:12" s="102" customFormat="1">
      <c r="I687" s="103"/>
      <c r="J687" s="103"/>
      <c r="L687" s="103"/>
    </row>
    <row r="688" spans="9:12" s="102" customFormat="1">
      <c r="I688" s="103"/>
      <c r="J688" s="103"/>
      <c r="L688" s="103"/>
    </row>
    <row r="689" spans="9:12" s="102" customFormat="1">
      <c r="I689" s="103"/>
      <c r="J689" s="103"/>
      <c r="L689" s="103"/>
    </row>
    <row r="690" spans="9:12" s="102" customFormat="1">
      <c r="I690" s="103"/>
      <c r="J690" s="103"/>
      <c r="L690" s="103"/>
    </row>
    <row r="691" spans="9:12" s="102" customFormat="1">
      <c r="I691" s="103"/>
      <c r="J691" s="103"/>
      <c r="L691" s="103"/>
    </row>
    <row r="692" spans="9:12" s="102" customFormat="1">
      <c r="I692" s="103"/>
      <c r="J692" s="103"/>
      <c r="L692" s="103"/>
    </row>
    <row r="693" spans="9:12" s="102" customFormat="1">
      <c r="I693" s="103"/>
      <c r="J693" s="103"/>
      <c r="L693" s="103"/>
    </row>
    <row r="694" spans="9:12" s="102" customFormat="1">
      <c r="I694" s="103"/>
      <c r="J694" s="103"/>
      <c r="L694" s="103"/>
    </row>
    <row r="695" spans="9:12" s="102" customFormat="1">
      <c r="I695" s="103"/>
      <c r="J695" s="103"/>
      <c r="L695" s="103"/>
    </row>
    <row r="696" spans="9:12" s="102" customFormat="1">
      <c r="I696" s="103"/>
      <c r="J696" s="103"/>
      <c r="L696" s="103"/>
    </row>
    <row r="697" spans="9:12" s="102" customFormat="1">
      <c r="I697" s="103"/>
      <c r="J697" s="103"/>
      <c r="L697" s="103"/>
    </row>
    <row r="698" spans="9:12" s="102" customFormat="1">
      <c r="I698" s="103"/>
      <c r="J698" s="103"/>
      <c r="L698" s="103"/>
    </row>
    <row r="699" spans="9:12" s="102" customFormat="1">
      <c r="I699" s="103"/>
      <c r="J699" s="103"/>
      <c r="L699" s="103"/>
    </row>
    <row r="700" spans="9:12" s="102" customFormat="1">
      <c r="I700" s="103"/>
      <c r="J700" s="103"/>
      <c r="L700" s="103"/>
    </row>
    <row r="701" spans="9:12" s="102" customFormat="1">
      <c r="I701" s="103"/>
      <c r="J701" s="103"/>
      <c r="L701" s="103"/>
    </row>
    <row r="702" spans="9:12" s="102" customFormat="1">
      <c r="I702" s="103"/>
      <c r="J702" s="103"/>
      <c r="L702" s="103"/>
    </row>
    <row r="703" spans="9:12" s="102" customFormat="1">
      <c r="I703" s="103"/>
      <c r="J703" s="103"/>
      <c r="L703" s="103"/>
    </row>
    <row r="704" spans="9:12" s="102" customFormat="1">
      <c r="I704" s="103"/>
      <c r="J704" s="103"/>
      <c r="L704" s="103"/>
    </row>
    <row r="705" spans="9:12" s="102" customFormat="1">
      <c r="I705" s="103"/>
      <c r="J705" s="103"/>
      <c r="L705" s="103"/>
    </row>
    <row r="706" spans="9:12" s="102" customFormat="1">
      <c r="I706" s="103"/>
      <c r="J706" s="103"/>
      <c r="L706" s="103"/>
    </row>
    <row r="707" spans="9:12" s="102" customFormat="1">
      <c r="I707" s="103"/>
      <c r="J707" s="103"/>
      <c r="L707" s="103"/>
    </row>
    <row r="708" spans="9:12" s="102" customFormat="1">
      <c r="I708" s="103"/>
      <c r="J708" s="103"/>
      <c r="L708" s="103"/>
    </row>
    <row r="709" spans="9:12" s="102" customFormat="1">
      <c r="I709" s="103"/>
      <c r="J709" s="103"/>
      <c r="L709" s="103"/>
    </row>
    <row r="710" spans="9:12" s="102" customFormat="1">
      <c r="I710" s="103"/>
      <c r="J710" s="103"/>
      <c r="L710" s="103"/>
    </row>
    <row r="711" spans="9:12" s="102" customFormat="1">
      <c r="I711" s="103"/>
      <c r="J711" s="103"/>
      <c r="L711" s="103"/>
    </row>
    <row r="712" spans="9:12" s="102" customFormat="1">
      <c r="I712" s="103"/>
      <c r="J712" s="103"/>
      <c r="L712" s="103"/>
    </row>
    <row r="713" spans="9:12" s="102" customFormat="1">
      <c r="I713" s="103"/>
      <c r="J713" s="103"/>
      <c r="L713" s="103"/>
    </row>
    <row r="714" spans="9:12" s="102" customFormat="1">
      <c r="I714" s="103"/>
      <c r="J714" s="103"/>
      <c r="L714" s="103"/>
    </row>
    <row r="715" spans="9:12" s="102" customFormat="1">
      <c r="I715" s="103"/>
      <c r="J715" s="103"/>
      <c r="L715" s="103"/>
    </row>
    <row r="716" spans="9:12" s="102" customFormat="1">
      <c r="I716" s="103"/>
      <c r="J716" s="103"/>
      <c r="L716" s="103"/>
    </row>
    <row r="717" spans="9:12" s="102" customFormat="1">
      <c r="I717" s="103"/>
      <c r="J717" s="103"/>
      <c r="L717" s="103"/>
    </row>
    <row r="718" spans="9:12" s="102" customFormat="1">
      <c r="I718" s="103"/>
      <c r="J718" s="103"/>
      <c r="L718" s="103"/>
    </row>
    <row r="719" spans="9:12" s="102" customFormat="1">
      <c r="I719" s="103"/>
      <c r="J719" s="103"/>
      <c r="L719" s="103"/>
    </row>
    <row r="720" spans="9:12" s="102" customFormat="1">
      <c r="I720" s="103"/>
      <c r="J720" s="103"/>
      <c r="L720" s="103"/>
    </row>
    <row r="721" spans="9:12" s="102" customFormat="1">
      <c r="I721" s="103"/>
      <c r="J721" s="103"/>
      <c r="L721" s="103"/>
    </row>
    <row r="722" spans="9:12" s="102" customFormat="1">
      <c r="I722" s="103"/>
      <c r="J722" s="103"/>
      <c r="L722" s="103"/>
    </row>
    <row r="723" spans="9:12" s="102" customFormat="1">
      <c r="I723" s="103"/>
      <c r="J723" s="103"/>
      <c r="L723" s="103"/>
    </row>
    <row r="724" spans="9:12" s="102" customFormat="1">
      <c r="I724" s="103"/>
      <c r="J724" s="103"/>
      <c r="L724" s="103"/>
    </row>
    <row r="725" spans="9:12" s="102" customFormat="1">
      <c r="I725" s="103"/>
      <c r="J725" s="103"/>
      <c r="L725" s="103"/>
    </row>
    <row r="726" spans="9:12" s="102" customFormat="1">
      <c r="I726" s="103"/>
      <c r="J726" s="103"/>
      <c r="L726" s="103"/>
    </row>
    <row r="727" spans="9:12" s="102" customFormat="1">
      <c r="I727" s="103"/>
      <c r="J727" s="103"/>
      <c r="L727" s="103"/>
    </row>
    <row r="728" spans="9:12" s="102" customFormat="1">
      <c r="I728" s="103"/>
      <c r="J728" s="103"/>
      <c r="L728" s="103"/>
    </row>
    <row r="729" spans="9:12" s="102" customFormat="1">
      <c r="I729" s="103"/>
      <c r="J729" s="103"/>
      <c r="L729" s="103"/>
    </row>
    <row r="730" spans="9:12" s="102" customFormat="1">
      <c r="I730" s="103"/>
      <c r="J730" s="103"/>
      <c r="L730" s="103"/>
    </row>
    <row r="731" spans="9:12" s="102" customFormat="1">
      <c r="I731" s="103"/>
      <c r="J731" s="103"/>
      <c r="L731" s="103"/>
    </row>
    <row r="732" spans="9:12" s="102" customFormat="1">
      <c r="I732" s="103"/>
      <c r="J732" s="103"/>
      <c r="L732" s="103"/>
    </row>
    <row r="733" spans="9:12" s="102" customFormat="1">
      <c r="I733" s="103"/>
      <c r="J733" s="103"/>
      <c r="L733" s="103"/>
    </row>
    <row r="734" spans="9:12" s="102" customFormat="1">
      <c r="I734" s="103"/>
      <c r="J734" s="103"/>
      <c r="L734" s="103"/>
    </row>
    <row r="735" spans="9:12" s="102" customFormat="1">
      <c r="I735" s="103"/>
      <c r="J735" s="103"/>
      <c r="L735" s="103"/>
    </row>
    <row r="736" spans="9:12" s="102" customFormat="1">
      <c r="I736" s="103"/>
      <c r="J736" s="103"/>
      <c r="L736" s="103"/>
    </row>
    <row r="737" spans="9:12" s="102" customFormat="1">
      <c r="I737" s="103"/>
      <c r="J737" s="103"/>
      <c r="L737" s="103"/>
    </row>
    <row r="738" spans="9:12" s="102" customFormat="1">
      <c r="I738" s="103"/>
      <c r="J738" s="103"/>
      <c r="L738" s="103"/>
    </row>
    <row r="739" spans="9:12" s="102" customFormat="1">
      <c r="I739" s="103"/>
      <c r="J739" s="103"/>
      <c r="L739" s="103"/>
    </row>
    <row r="740" spans="9:12" s="102" customFormat="1">
      <c r="I740" s="103"/>
      <c r="J740" s="103"/>
      <c r="L740" s="103"/>
    </row>
    <row r="741" spans="9:12" s="102" customFormat="1">
      <c r="I741" s="103"/>
      <c r="J741" s="103"/>
      <c r="L741" s="103"/>
    </row>
    <row r="742" spans="9:12" s="102" customFormat="1">
      <c r="I742" s="103"/>
      <c r="J742" s="103"/>
      <c r="L742" s="103"/>
    </row>
    <row r="743" spans="9:12" s="102" customFormat="1">
      <c r="I743" s="103"/>
      <c r="J743" s="103"/>
      <c r="L743" s="103"/>
    </row>
    <row r="744" spans="9:12" s="102" customFormat="1">
      <c r="I744" s="103"/>
      <c r="J744" s="103"/>
      <c r="L744" s="103"/>
    </row>
    <row r="745" spans="9:12" s="102" customFormat="1">
      <c r="I745" s="103"/>
      <c r="J745" s="103"/>
      <c r="L745" s="103"/>
    </row>
    <row r="746" spans="9:12" s="102" customFormat="1">
      <c r="I746" s="103"/>
      <c r="J746" s="103"/>
      <c r="L746" s="103"/>
    </row>
    <row r="747" spans="9:12" s="102" customFormat="1">
      <c r="I747" s="103"/>
      <c r="J747" s="103"/>
      <c r="L747" s="103"/>
    </row>
    <row r="748" spans="9:12" s="102" customFormat="1">
      <c r="I748" s="103"/>
      <c r="J748" s="103"/>
      <c r="L748" s="103"/>
    </row>
    <row r="749" spans="9:12" s="102" customFormat="1">
      <c r="I749" s="103"/>
      <c r="J749" s="103"/>
      <c r="L749" s="103"/>
    </row>
    <row r="750" spans="9:12" s="102" customFormat="1">
      <c r="I750" s="103"/>
      <c r="J750" s="103"/>
      <c r="L750" s="103"/>
    </row>
    <row r="751" spans="9:12" s="102" customFormat="1">
      <c r="I751" s="103"/>
      <c r="J751" s="103"/>
      <c r="L751" s="103"/>
    </row>
    <row r="752" spans="9:12" s="102" customFormat="1">
      <c r="I752" s="103"/>
      <c r="J752" s="103"/>
      <c r="L752" s="103"/>
    </row>
    <row r="753" spans="9:12" s="102" customFormat="1">
      <c r="I753" s="103"/>
      <c r="J753" s="103"/>
      <c r="L753" s="103"/>
    </row>
    <row r="754" spans="9:12" s="102" customFormat="1">
      <c r="I754" s="103"/>
      <c r="J754" s="103"/>
      <c r="L754" s="103"/>
    </row>
    <row r="755" spans="9:12" s="102" customFormat="1">
      <c r="I755" s="103"/>
      <c r="J755" s="103"/>
      <c r="L755" s="103"/>
    </row>
    <row r="756" spans="9:12" s="102" customFormat="1">
      <c r="I756" s="103"/>
      <c r="J756" s="103"/>
      <c r="L756" s="103"/>
    </row>
    <row r="757" spans="9:12" s="102" customFormat="1">
      <c r="I757" s="103"/>
      <c r="J757" s="103"/>
      <c r="L757" s="103"/>
    </row>
    <row r="758" spans="9:12" s="102" customFormat="1">
      <c r="I758" s="103"/>
      <c r="J758" s="103"/>
      <c r="L758" s="103"/>
    </row>
    <row r="759" spans="9:12" s="102" customFormat="1">
      <c r="I759" s="103"/>
      <c r="J759" s="103"/>
      <c r="L759" s="103"/>
    </row>
    <row r="760" spans="9:12" s="102" customFormat="1">
      <c r="I760" s="103"/>
      <c r="J760" s="103"/>
      <c r="L760" s="103"/>
    </row>
    <row r="761" spans="9:12" s="102" customFormat="1">
      <c r="I761" s="103"/>
      <c r="J761" s="103"/>
      <c r="L761" s="103"/>
    </row>
    <row r="762" spans="9:12" s="102" customFormat="1">
      <c r="I762" s="103"/>
      <c r="J762" s="103"/>
      <c r="L762" s="103"/>
    </row>
    <row r="763" spans="9:12" s="102" customFormat="1">
      <c r="I763" s="103"/>
      <c r="J763" s="103"/>
      <c r="L763" s="103"/>
    </row>
    <row r="764" spans="9:12" s="102" customFormat="1">
      <c r="I764" s="103"/>
      <c r="J764" s="103"/>
      <c r="L764" s="103"/>
    </row>
    <row r="765" spans="9:12" s="102" customFormat="1">
      <c r="I765" s="103"/>
      <c r="J765" s="103"/>
      <c r="L765" s="103"/>
    </row>
    <row r="766" spans="9:12" s="102" customFormat="1">
      <c r="I766" s="103"/>
      <c r="J766" s="103"/>
      <c r="L766" s="103"/>
    </row>
    <row r="767" spans="9:12" s="102" customFormat="1">
      <c r="I767" s="103"/>
      <c r="J767" s="103"/>
      <c r="L767" s="103"/>
    </row>
    <row r="768" spans="9:12" s="102" customFormat="1">
      <c r="I768" s="103"/>
      <c r="J768" s="103"/>
      <c r="L768" s="103"/>
    </row>
    <row r="769" spans="9:12" s="102" customFormat="1">
      <c r="I769" s="103"/>
      <c r="J769" s="103"/>
      <c r="L769" s="103"/>
    </row>
    <row r="770" spans="9:12" s="102" customFormat="1">
      <c r="I770" s="103"/>
      <c r="J770" s="103"/>
      <c r="L770" s="103"/>
    </row>
    <row r="771" spans="9:12" s="102" customFormat="1">
      <c r="I771" s="103"/>
      <c r="J771" s="103"/>
      <c r="L771" s="103"/>
    </row>
    <row r="772" spans="9:12" s="102" customFormat="1">
      <c r="I772" s="103"/>
      <c r="J772" s="103"/>
      <c r="L772" s="103"/>
    </row>
    <row r="773" spans="9:12" s="102" customFormat="1">
      <c r="I773" s="103"/>
      <c r="J773" s="103"/>
      <c r="L773" s="103"/>
    </row>
    <row r="774" spans="9:12" s="102" customFormat="1">
      <c r="I774" s="103"/>
      <c r="J774" s="103"/>
      <c r="L774" s="103"/>
    </row>
    <row r="775" spans="9:12" s="102" customFormat="1">
      <c r="I775" s="103"/>
      <c r="J775" s="103"/>
      <c r="L775" s="103"/>
    </row>
    <row r="776" spans="9:12" s="102" customFormat="1">
      <c r="I776" s="103"/>
      <c r="J776" s="103"/>
      <c r="L776" s="103"/>
    </row>
    <row r="777" spans="9:12" s="102" customFormat="1">
      <c r="I777" s="103"/>
      <c r="J777" s="103"/>
      <c r="L777" s="103"/>
    </row>
    <row r="778" spans="9:12" s="102" customFormat="1">
      <c r="I778" s="103"/>
      <c r="J778" s="103"/>
      <c r="L778" s="103"/>
    </row>
    <row r="779" spans="9:12" s="102" customFormat="1">
      <c r="I779" s="103"/>
      <c r="J779" s="103"/>
      <c r="L779" s="103"/>
    </row>
    <row r="780" spans="9:12" s="102" customFormat="1">
      <c r="I780" s="103"/>
      <c r="J780" s="103"/>
      <c r="L780" s="103"/>
    </row>
    <row r="781" spans="9:12" s="102" customFormat="1">
      <c r="I781" s="103"/>
      <c r="J781" s="103"/>
      <c r="L781" s="103"/>
    </row>
    <row r="782" spans="9:12" s="102" customFormat="1">
      <c r="I782" s="103"/>
      <c r="J782" s="103"/>
      <c r="L782" s="103"/>
    </row>
    <row r="783" spans="9:12" s="102" customFormat="1">
      <c r="I783" s="103"/>
      <c r="J783" s="103"/>
      <c r="L783" s="103"/>
    </row>
    <row r="784" spans="9:12" s="102" customFormat="1">
      <c r="I784" s="103"/>
      <c r="J784" s="103"/>
      <c r="L784" s="103"/>
    </row>
    <row r="785" spans="9:12" s="102" customFormat="1">
      <c r="I785" s="103"/>
      <c r="J785" s="103"/>
      <c r="L785" s="103"/>
    </row>
    <row r="786" spans="9:12" s="102" customFormat="1">
      <c r="I786" s="103"/>
      <c r="J786" s="103"/>
      <c r="L786" s="103"/>
    </row>
    <row r="787" spans="9:12" s="102" customFormat="1">
      <c r="I787" s="103"/>
      <c r="J787" s="103"/>
      <c r="L787" s="103"/>
    </row>
    <row r="788" spans="9:12" s="102" customFormat="1">
      <c r="I788" s="103"/>
      <c r="J788" s="103"/>
      <c r="L788" s="103"/>
    </row>
    <row r="789" spans="9:12" s="102" customFormat="1">
      <c r="I789" s="103"/>
      <c r="J789" s="103"/>
      <c r="L789" s="103"/>
    </row>
    <row r="790" spans="9:12" s="102" customFormat="1">
      <c r="I790" s="103"/>
      <c r="J790" s="103"/>
      <c r="L790" s="103"/>
    </row>
    <row r="791" spans="9:12" s="102" customFormat="1">
      <c r="I791" s="103"/>
      <c r="J791" s="103"/>
      <c r="L791" s="103"/>
    </row>
    <row r="792" spans="9:12" s="102" customFormat="1">
      <c r="I792" s="103"/>
      <c r="J792" s="103"/>
      <c r="L792" s="103"/>
    </row>
    <row r="793" spans="9:12" s="102" customFormat="1">
      <c r="I793" s="103"/>
      <c r="J793" s="103"/>
      <c r="L793" s="103"/>
    </row>
    <row r="794" spans="9:12" s="102" customFormat="1">
      <c r="I794" s="103"/>
      <c r="J794" s="103"/>
      <c r="L794" s="103"/>
    </row>
    <row r="795" spans="9:12" s="102" customFormat="1">
      <c r="I795" s="103"/>
      <c r="J795" s="103"/>
      <c r="L795" s="103"/>
    </row>
    <row r="796" spans="9:12" s="102" customFormat="1">
      <c r="I796" s="103"/>
      <c r="J796" s="103"/>
      <c r="L796" s="103"/>
    </row>
    <row r="797" spans="9:12" s="102" customFormat="1">
      <c r="I797" s="103"/>
      <c r="J797" s="103"/>
      <c r="L797" s="103"/>
    </row>
    <row r="798" spans="9:12" s="102" customFormat="1">
      <c r="I798" s="103"/>
      <c r="J798" s="103"/>
      <c r="L798" s="103"/>
    </row>
    <row r="799" spans="9:12" s="102" customFormat="1">
      <c r="I799" s="103"/>
      <c r="J799" s="103"/>
      <c r="L799" s="103"/>
    </row>
    <row r="800" spans="9:12" s="102" customFormat="1">
      <c r="I800" s="103"/>
      <c r="J800" s="103"/>
      <c r="L800" s="103"/>
    </row>
    <row r="801" spans="9:12" s="102" customFormat="1">
      <c r="I801" s="103"/>
      <c r="J801" s="103"/>
      <c r="L801" s="103"/>
    </row>
    <row r="802" spans="9:12" s="102" customFormat="1">
      <c r="I802" s="103"/>
      <c r="J802" s="103"/>
      <c r="L802" s="103"/>
    </row>
    <row r="803" spans="9:12" s="102" customFormat="1">
      <c r="I803" s="103"/>
      <c r="J803" s="103"/>
      <c r="L803" s="103"/>
    </row>
    <row r="804" spans="9:12" s="102" customFormat="1">
      <c r="I804" s="103"/>
      <c r="J804" s="103"/>
      <c r="L804" s="103"/>
    </row>
    <row r="805" spans="9:12" s="102" customFormat="1">
      <c r="I805" s="103"/>
      <c r="J805" s="103"/>
      <c r="L805" s="103"/>
    </row>
    <row r="806" spans="9:12" s="102" customFormat="1">
      <c r="I806" s="103"/>
      <c r="J806" s="103"/>
      <c r="L806" s="103"/>
    </row>
    <row r="807" spans="9:12" s="102" customFormat="1">
      <c r="I807" s="103"/>
      <c r="J807" s="103"/>
      <c r="L807" s="103"/>
    </row>
    <row r="808" spans="9:12" s="102" customFormat="1">
      <c r="I808" s="103"/>
      <c r="J808" s="103"/>
      <c r="L808" s="103"/>
    </row>
    <row r="809" spans="9:12" s="102" customFormat="1">
      <c r="I809" s="103"/>
      <c r="J809" s="103"/>
      <c r="L809" s="103"/>
    </row>
    <row r="810" spans="9:12" s="102" customFormat="1">
      <c r="I810" s="103"/>
      <c r="J810" s="103"/>
      <c r="L810" s="103"/>
    </row>
    <row r="811" spans="9:12" s="102" customFormat="1">
      <c r="I811" s="103"/>
      <c r="J811" s="103"/>
      <c r="L811" s="103"/>
    </row>
    <row r="812" spans="9:12" s="102" customFormat="1">
      <c r="I812" s="103"/>
      <c r="J812" s="103"/>
      <c r="L812" s="103"/>
    </row>
    <row r="813" spans="9:12" s="102" customFormat="1">
      <c r="I813" s="103"/>
      <c r="J813" s="103"/>
      <c r="L813" s="103"/>
    </row>
    <row r="814" spans="9:12" s="102" customFormat="1">
      <c r="I814" s="103"/>
      <c r="J814" s="103"/>
      <c r="L814" s="103"/>
    </row>
    <row r="815" spans="9:12" s="102" customFormat="1">
      <c r="I815" s="103"/>
      <c r="J815" s="103"/>
      <c r="L815" s="103"/>
    </row>
    <row r="816" spans="9:12" s="102" customFormat="1">
      <c r="I816" s="103"/>
      <c r="J816" s="103"/>
      <c r="L816" s="103"/>
    </row>
    <row r="817" spans="9:12" s="102" customFormat="1">
      <c r="I817" s="103"/>
      <c r="J817" s="103"/>
      <c r="L817" s="103"/>
    </row>
    <row r="818" spans="9:12" s="102" customFormat="1">
      <c r="I818" s="103"/>
      <c r="J818" s="103"/>
      <c r="L818" s="103"/>
    </row>
    <row r="819" spans="9:12" s="102" customFormat="1">
      <c r="I819" s="103"/>
      <c r="J819" s="103"/>
      <c r="L819" s="103"/>
    </row>
    <row r="820" spans="9:12" s="102" customFormat="1">
      <c r="I820" s="103"/>
      <c r="J820" s="103"/>
      <c r="L820" s="103"/>
    </row>
    <row r="821" spans="9:12" s="102" customFormat="1">
      <c r="I821" s="103"/>
      <c r="J821" s="103"/>
      <c r="L821" s="103"/>
    </row>
    <row r="822" spans="9:12" s="102" customFormat="1">
      <c r="I822" s="103"/>
      <c r="J822" s="103"/>
      <c r="L822" s="103"/>
    </row>
    <row r="823" spans="9:12" s="102" customFormat="1">
      <c r="I823" s="103"/>
      <c r="J823" s="103"/>
      <c r="L823" s="103"/>
    </row>
    <row r="824" spans="9:12" s="102" customFormat="1">
      <c r="I824" s="103"/>
      <c r="J824" s="103"/>
      <c r="L824" s="103"/>
    </row>
    <row r="825" spans="9:12" s="102" customFormat="1">
      <c r="I825" s="103"/>
      <c r="J825" s="103"/>
      <c r="L825" s="103"/>
    </row>
    <row r="826" spans="9:12" s="102" customFormat="1">
      <c r="I826" s="103"/>
      <c r="J826" s="103"/>
      <c r="L826" s="103"/>
    </row>
    <row r="827" spans="9:12" s="102" customFormat="1">
      <c r="I827" s="103"/>
      <c r="J827" s="103"/>
      <c r="L827" s="103"/>
    </row>
    <row r="828" spans="9:12" s="102" customFormat="1">
      <c r="I828" s="103"/>
      <c r="J828" s="103"/>
      <c r="L828" s="103"/>
    </row>
    <row r="829" spans="9:12" s="102" customFormat="1">
      <c r="I829" s="103"/>
      <c r="J829" s="103"/>
      <c r="L829" s="103"/>
    </row>
    <row r="830" spans="9:12" s="102" customFormat="1">
      <c r="I830" s="103"/>
      <c r="J830" s="103"/>
      <c r="L830" s="103"/>
    </row>
    <row r="831" spans="9:12" s="102" customFormat="1">
      <c r="I831" s="103"/>
      <c r="J831" s="103"/>
      <c r="L831" s="103"/>
    </row>
    <row r="832" spans="9:12" s="102" customFormat="1">
      <c r="I832" s="103"/>
      <c r="J832" s="103"/>
      <c r="L832" s="103"/>
    </row>
    <row r="833" spans="9:12" s="102" customFormat="1">
      <c r="I833" s="103"/>
      <c r="J833" s="103"/>
      <c r="L833" s="103"/>
    </row>
    <row r="834" spans="9:12" s="102" customFormat="1">
      <c r="I834" s="103"/>
      <c r="J834" s="103"/>
      <c r="L834" s="103"/>
    </row>
    <row r="835" spans="9:12" s="102" customFormat="1">
      <c r="I835" s="103"/>
      <c r="J835" s="103"/>
      <c r="L835" s="103"/>
    </row>
    <row r="836" spans="9:12" s="102" customFormat="1">
      <c r="I836" s="103"/>
      <c r="J836" s="103"/>
      <c r="L836" s="103"/>
    </row>
    <row r="837" spans="9:12" s="102" customFormat="1">
      <c r="I837" s="103"/>
      <c r="J837" s="103"/>
      <c r="L837" s="103"/>
    </row>
    <row r="838" spans="9:12" s="102" customFormat="1">
      <c r="I838" s="103"/>
      <c r="J838" s="103"/>
      <c r="L838" s="103"/>
    </row>
    <row r="839" spans="9:12" s="102" customFormat="1">
      <c r="I839" s="103"/>
      <c r="J839" s="103"/>
      <c r="L839" s="103"/>
    </row>
    <row r="840" spans="9:12" s="102" customFormat="1">
      <c r="I840" s="103"/>
      <c r="J840" s="103"/>
      <c r="L840" s="103"/>
    </row>
    <row r="841" spans="9:12" s="102" customFormat="1">
      <c r="I841" s="103"/>
      <c r="J841" s="103"/>
      <c r="L841" s="103"/>
    </row>
    <row r="842" spans="9:12" s="102" customFormat="1">
      <c r="I842" s="103"/>
      <c r="J842" s="103"/>
      <c r="L842" s="103"/>
    </row>
    <row r="843" spans="9:12" s="102" customFormat="1">
      <c r="I843" s="103"/>
      <c r="J843" s="103"/>
      <c r="L843" s="103"/>
    </row>
    <row r="844" spans="9:12" s="102" customFormat="1">
      <c r="I844" s="103"/>
      <c r="J844" s="103"/>
      <c r="L844" s="103"/>
    </row>
    <row r="845" spans="9:12" s="102" customFormat="1">
      <c r="I845" s="103"/>
      <c r="J845" s="103"/>
      <c r="L845" s="103"/>
    </row>
    <row r="846" spans="9:12" s="102" customFormat="1">
      <c r="I846" s="103"/>
      <c r="J846" s="103"/>
      <c r="L846" s="103"/>
    </row>
    <row r="847" spans="9:12" s="102" customFormat="1">
      <c r="I847" s="103"/>
      <c r="J847" s="103"/>
      <c r="L847" s="103"/>
    </row>
    <row r="848" spans="9:12" s="102" customFormat="1">
      <c r="I848" s="103"/>
      <c r="J848" s="103"/>
      <c r="L848" s="103"/>
    </row>
    <row r="849" spans="9:12" s="102" customFormat="1">
      <c r="I849" s="103"/>
      <c r="J849" s="103"/>
      <c r="L849" s="103"/>
    </row>
    <row r="850" spans="9:12" s="102" customFormat="1">
      <c r="I850" s="103"/>
      <c r="J850" s="103"/>
      <c r="L850" s="103"/>
    </row>
    <row r="851" spans="9:12" s="102" customFormat="1">
      <c r="I851" s="103"/>
      <c r="J851" s="103"/>
      <c r="L851" s="103"/>
    </row>
    <row r="852" spans="9:12" s="102" customFormat="1">
      <c r="I852" s="103"/>
      <c r="J852" s="103"/>
      <c r="L852" s="103"/>
    </row>
    <row r="853" spans="9:12" s="102" customFormat="1">
      <c r="I853" s="103"/>
      <c r="J853" s="103"/>
      <c r="L853" s="103"/>
    </row>
  </sheetData>
  <mergeCells count="4">
    <mergeCell ref="B3:I3"/>
    <mergeCell ref="C1:K1"/>
    <mergeCell ref="P19:Q19"/>
    <mergeCell ref="P15:Q15"/>
  </mergeCells>
  <phoneticPr fontId="27" type="noConversion"/>
  <printOptions horizontalCentered="1" verticalCentered="1"/>
  <pageMargins left="0.74803149606299213" right="0.74803149606299213" top="0.98425196850393704" bottom="0.98425196850393704" header="0" footer="0"/>
  <pageSetup paperSize="9" scale="95" pageOrder="overThenDown"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tabColor indexed="11"/>
  </sheetPr>
  <dimension ref="A1:IC3260"/>
  <sheetViews>
    <sheetView topLeftCell="A13" zoomScaleNormal="100" zoomScaleSheetLayoutView="100" workbookViewId="0">
      <selection activeCell="L34" sqref="L34"/>
    </sheetView>
  </sheetViews>
  <sheetFormatPr baseColWidth="10" defaultColWidth="11.42578125" defaultRowHeight="12.75"/>
  <cols>
    <col min="1" max="1" width="17.42578125" style="16" customWidth="1"/>
    <col min="2" max="2" width="23.85546875" style="17" customWidth="1"/>
    <col min="3" max="3" width="9.28515625" style="16" customWidth="1"/>
    <col min="4" max="4" width="7.85546875" style="16" customWidth="1"/>
    <col min="5" max="5" width="11.42578125" style="16" customWidth="1"/>
    <col min="6" max="6" width="8.7109375" style="18" customWidth="1"/>
    <col min="7" max="7" width="10.7109375" style="18" customWidth="1"/>
    <col min="8" max="8" width="10.85546875" style="18" customWidth="1"/>
    <col min="9" max="9" width="9" style="16" customWidth="1"/>
    <col min="10" max="10" width="9.140625" style="16" customWidth="1"/>
    <col min="11" max="11" width="6.42578125" style="16" customWidth="1"/>
    <col min="12" max="12" width="10.140625" style="18" customWidth="1"/>
    <col min="13" max="13" width="8.42578125" style="16" customWidth="1"/>
    <col min="14" max="14" width="10.85546875" style="307" customWidth="1"/>
    <col min="15" max="15" width="5" style="110" customWidth="1"/>
    <col min="16" max="16" width="12.28515625" style="112" bestFit="1" customWidth="1"/>
    <col min="17" max="17" width="8.28515625" style="112" bestFit="1" customWidth="1"/>
    <col min="18" max="237" width="11.42578125" style="110"/>
    <col min="238" max="16384" width="11.42578125" style="16"/>
  </cols>
  <sheetData>
    <row r="1" spans="1:237" s="19" customFormat="1" ht="21" customHeight="1" thickBot="1">
      <c r="A1" s="272"/>
      <c r="B1" s="273"/>
      <c r="C1" s="273"/>
      <c r="D1" s="274"/>
      <c r="E1" s="275" t="s">
        <v>556</v>
      </c>
      <c r="F1" s="276"/>
      <c r="G1" s="276"/>
      <c r="H1" s="276"/>
      <c r="I1" s="276"/>
      <c r="J1" s="276"/>
      <c r="K1" s="276"/>
      <c r="L1" s="277"/>
      <c r="M1" s="278"/>
      <c r="N1" s="303"/>
      <c r="O1" s="272"/>
      <c r="P1" s="2656"/>
      <c r="Q1" s="2656"/>
      <c r="R1" s="108"/>
      <c r="S1" s="108"/>
      <c r="T1" s="108"/>
      <c r="U1" s="108"/>
      <c r="V1" s="108"/>
      <c r="W1" s="108"/>
      <c r="X1" s="108"/>
      <c r="Y1" s="108"/>
      <c r="Z1" s="108"/>
      <c r="AA1" s="108"/>
      <c r="AB1" s="108"/>
      <c r="AC1" s="108"/>
      <c r="AD1" s="108"/>
      <c r="AE1" s="108"/>
      <c r="AF1" s="108"/>
      <c r="AG1" s="108"/>
      <c r="AH1" s="108"/>
      <c r="AI1" s="108"/>
      <c r="AJ1" s="108"/>
      <c r="AK1" s="108"/>
      <c r="AL1" s="108"/>
      <c r="AM1" s="108"/>
      <c r="AN1" s="108"/>
      <c r="AO1" s="108"/>
      <c r="AP1" s="108"/>
      <c r="AQ1" s="108"/>
      <c r="AR1" s="108"/>
      <c r="AS1" s="108"/>
      <c r="AT1" s="108"/>
      <c r="AU1" s="108"/>
      <c r="AV1" s="108"/>
      <c r="AW1" s="108"/>
      <c r="AX1" s="108"/>
      <c r="AY1" s="108"/>
      <c r="AZ1" s="108"/>
      <c r="BA1" s="108"/>
      <c r="BB1" s="108"/>
      <c r="BC1" s="108"/>
      <c r="BD1" s="108"/>
      <c r="BE1" s="108"/>
      <c r="BF1" s="108"/>
      <c r="BG1" s="108"/>
      <c r="BH1" s="108"/>
      <c r="BI1" s="108"/>
      <c r="BJ1" s="108"/>
      <c r="BK1" s="108"/>
      <c r="BL1" s="108"/>
      <c r="BM1" s="108"/>
      <c r="BN1" s="108"/>
      <c r="BO1" s="108"/>
      <c r="BP1" s="108"/>
      <c r="BQ1" s="108"/>
      <c r="BR1" s="108"/>
      <c r="BS1" s="108"/>
      <c r="BT1" s="108"/>
      <c r="BU1" s="108"/>
      <c r="BV1" s="108"/>
      <c r="BW1" s="108"/>
      <c r="BX1" s="108"/>
      <c r="BY1" s="108"/>
      <c r="BZ1" s="108"/>
      <c r="CA1" s="108"/>
      <c r="CB1" s="108"/>
      <c r="CC1" s="108"/>
      <c r="CD1" s="108"/>
      <c r="CE1" s="108"/>
      <c r="CF1" s="108"/>
      <c r="CG1" s="108"/>
      <c r="CH1" s="108"/>
      <c r="CI1" s="108"/>
      <c r="CJ1" s="108"/>
      <c r="CK1" s="108"/>
      <c r="CL1" s="108"/>
      <c r="CM1" s="108"/>
      <c r="CN1" s="108"/>
      <c r="CO1" s="108"/>
      <c r="CP1" s="108"/>
      <c r="CQ1" s="108"/>
      <c r="CR1" s="108"/>
      <c r="CS1" s="108"/>
      <c r="CT1" s="108"/>
      <c r="CU1" s="108"/>
      <c r="CV1" s="108"/>
      <c r="CW1" s="108"/>
      <c r="CX1" s="108"/>
      <c r="CY1" s="108"/>
      <c r="CZ1" s="108"/>
      <c r="DA1" s="108"/>
      <c r="DB1" s="108"/>
      <c r="DC1" s="108"/>
      <c r="DD1" s="108"/>
      <c r="DE1" s="108"/>
      <c r="DF1" s="108"/>
      <c r="DG1" s="108"/>
      <c r="DH1" s="108"/>
      <c r="DI1" s="108"/>
      <c r="DJ1" s="108"/>
      <c r="DK1" s="108"/>
      <c r="DL1" s="108"/>
      <c r="DM1" s="108"/>
      <c r="DN1" s="108"/>
      <c r="DO1" s="108"/>
      <c r="DP1" s="108"/>
      <c r="DQ1" s="108"/>
      <c r="DR1" s="108"/>
      <c r="DS1" s="108"/>
      <c r="DT1" s="108"/>
      <c r="DU1" s="108"/>
      <c r="DV1" s="108"/>
      <c r="DW1" s="108"/>
      <c r="DX1" s="108"/>
      <c r="DY1" s="108"/>
      <c r="DZ1" s="108"/>
      <c r="EA1" s="108"/>
      <c r="EB1" s="108"/>
      <c r="EC1" s="108"/>
      <c r="ED1" s="108"/>
      <c r="EE1" s="108"/>
      <c r="EF1" s="108"/>
      <c r="EG1" s="108"/>
      <c r="EH1" s="108"/>
      <c r="EI1" s="108"/>
      <c r="EJ1" s="108"/>
      <c r="EK1" s="108"/>
      <c r="EL1" s="108"/>
      <c r="EM1" s="108"/>
      <c r="EN1" s="108"/>
      <c r="EO1" s="108"/>
      <c r="EP1" s="108"/>
      <c r="EQ1" s="108"/>
      <c r="ER1" s="108"/>
      <c r="ES1" s="108"/>
      <c r="ET1" s="108"/>
      <c r="EU1" s="108"/>
      <c r="EV1" s="108"/>
      <c r="EW1" s="108"/>
      <c r="EX1" s="108"/>
      <c r="EY1" s="108"/>
      <c r="EZ1" s="108"/>
      <c r="FA1" s="108"/>
      <c r="FB1" s="108"/>
      <c r="FC1" s="108"/>
      <c r="FD1" s="108"/>
      <c r="FE1" s="108"/>
      <c r="FF1" s="108"/>
      <c r="FG1" s="108"/>
      <c r="FH1" s="108"/>
      <c r="FI1" s="108"/>
      <c r="FJ1" s="108"/>
      <c r="FK1" s="108"/>
      <c r="FL1" s="108"/>
      <c r="FM1" s="108"/>
      <c r="FN1" s="108"/>
      <c r="FO1" s="108"/>
      <c r="FP1" s="108"/>
      <c r="FQ1" s="108"/>
      <c r="FR1" s="108"/>
      <c r="FS1" s="108"/>
      <c r="FT1" s="108"/>
      <c r="FU1" s="108"/>
      <c r="FV1" s="108"/>
      <c r="FW1" s="108"/>
      <c r="FX1" s="108"/>
      <c r="FY1" s="108"/>
      <c r="FZ1" s="108"/>
      <c r="GA1" s="108"/>
      <c r="GB1" s="108"/>
      <c r="GC1" s="108"/>
      <c r="GD1" s="108"/>
      <c r="GE1" s="108"/>
      <c r="GF1" s="108"/>
      <c r="GG1" s="108"/>
      <c r="GH1" s="108"/>
      <c r="GI1" s="108"/>
      <c r="GJ1" s="108"/>
      <c r="GK1" s="108"/>
      <c r="GL1" s="108"/>
      <c r="GM1" s="108"/>
      <c r="GN1" s="108"/>
      <c r="GO1" s="108"/>
      <c r="GP1" s="108"/>
      <c r="GQ1" s="108"/>
      <c r="GR1" s="108"/>
      <c r="GS1" s="108"/>
      <c r="GT1" s="108"/>
      <c r="GU1" s="108"/>
      <c r="GV1" s="108"/>
      <c r="GW1" s="108"/>
      <c r="GX1" s="108"/>
      <c r="GY1" s="108"/>
      <c r="GZ1" s="108"/>
      <c r="HA1" s="108"/>
      <c r="HB1" s="108"/>
      <c r="HC1" s="108"/>
      <c r="HD1" s="108"/>
      <c r="HE1" s="108"/>
      <c r="HF1" s="108"/>
      <c r="HG1" s="108"/>
      <c r="HH1" s="108"/>
      <c r="HI1" s="108"/>
      <c r="HJ1" s="108"/>
      <c r="HK1" s="108"/>
      <c r="HL1" s="108"/>
      <c r="HM1" s="108"/>
      <c r="HN1" s="108"/>
      <c r="HO1" s="108"/>
      <c r="HP1" s="108"/>
      <c r="HQ1" s="108"/>
      <c r="HR1" s="108"/>
      <c r="HS1" s="108"/>
      <c r="HT1" s="108"/>
      <c r="HU1" s="108"/>
      <c r="HV1" s="108"/>
      <c r="HW1" s="108"/>
      <c r="HX1" s="108"/>
      <c r="HY1" s="108"/>
      <c r="HZ1" s="108"/>
      <c r="IA1" s="108"/>
      <c r="IB1" s="108"/>
      <c r="IC1" s="108"/>
    </row>
    <row r="2" spans="1:237" s="43" customFormat="1" ht="17.25" customHeight="1" thickBot="1">
      <c r="A2" s="272"/>
      <c r="B2" s="273"/>
      <c r="C2" s="273"/>
      <c r="D2" s="274"/>
      <c r="E2" s="279" t="s">
        <v>448</v>
      </c>
      <c r="F2" s="280"/>
      <c r="G2" s="280" t="s">
        <v>728</v>
      </c>
      <c r="H2" s="280"/>
      <c r="I2" s="280"/>
      <c r="J2" s="280"/>
      <c r="K2" s="281"/>
      <c r="L2" s="282"/>
      <c r="M2" s="278"/>
      <c r="N2" s="303"/>
      <c r="O2" s="272"/>
      <c r="P2" s="2668" t="s">
        <v>449</v>
      </c>
      <c r="Q2" s="266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S2" s="109"/>
      <c r="AT2" s="109"/>
      <c r="AU2" s="109"/>
      <c r="AV2" s="109"/>
      <c r="AW2" s="109"/>
      <c r="AX2" s="109"/>
      <c r="AY2" s="109"/>
      <c r="AZ2" s="109"/>
      <c r="BA2" s="109"/>
      <c r="BB2" s="109"/>
      <c r="BC2" s="109"/>
      <c r="BD2" s="109"/>
      <c r="BE2" s="109"/>
      <c r="BF2" s="109"/>
      <c r="BG2" s="109"/>
      <c r="BH2" s="109"/>
      <c r="BI2" s="109"/>
      <c r="BJ2" s="109"/>
      <c r="BK2" s="109"/>
      <c r="BL2" s="109"/>
      <c r="BM2" s="109"/>
      <c r="BN2" s="109"/>
      <c r="BO2" s="109"/>
      <c r="BP2" s="109"/>
      <c r="BQ2" s="109"/>
      <c r="BR2" s="109"/>
      <c r="BS2" s="109"/>
      <c r="BT2" s="109"/>
      <c r="BU2" s="109"/>
      <c r="BV2" s="109"/>
      <c r="BW2" s="109"/>
      <c r="BX2" s="109"/>
      <c r="BY2" s="109"/>
      <c r="BZ2" s="109"/>
      <c r="CA2" s="109"/>
      <c r="CB2" s="109"/>
      <c r="CC2" s="109"/>
      <c r="CD2" s="109"/>
      <c r="CE2" s="109"/>
      <c r="CF2" s="109"/>
      <c r="CG2" s="109"/>
      <c r="CH2" s="109"/>
      <c r="CI2" s="109"/>
      <c r="CJ2" s="109"/>
      <c r="CK2" s="109"/>
      <c r="CL2" s="109"/>
      <c r="CM2" s="109"/>
      <c r="CN2" s="109"/>
      <c r="CO2" s="109"/>
      <c r="CP2" s="109"/>
      <c r="CQ2" s="109"/>
      <c r="CR2" s="109"/>
      <c r="CS2" s="109"/>
      <c r="CT2" s="109"/>
      <c r="CU2" s="109"/>
      <c r="CV2" s="109"/>
      <c r="CW2" s="109"/>
      <c r="CX2" s="109"/>
      <c r="CY2" s="109"/>
      <c r="CZ2" s="109"/>
      <c r="DA2" s="109"/>
      <c r="DB2" s="109"/>
      <c r="DC2" s="109"/>
      <c r="DD2" s="109"/>
      <c r="DE2" s="109"/>
      <c r="DF2" s="109"/>
      <c r="DG2" s="109"/>
      <c r="DH2" s="109"/>
      <c r="DI2" s="109"/>
      <c r="DJ2" s="109"/>
      <c r="DK2" s="109"/>
      <c r="DL2" s="109"/>
      <c r="DM2" s="109"/>
      <c r="DN2" s="109"/>
      <c r="DO2" s="109"/>
      <c r="DP2" s="109"/>
      <c r="DQ2" s="109"/>
      <c r="DR2" s="109"/>
      <c r="DS2" s="109"/>
      <c r="DT2" s="109"/>
      <c r="DU2" s="109"/>
      <c r="DV2" s="109"/>
      <c r="DW2" s="109"/>
      <c r="DX2" s="109"/>
      <c r="DY2" s="109"/>
      <c r="DZ2" s="109"/>
      <c r="EA2" s="109"/>
      <c r="EB2" s="109"/>
      <c r="EC2" s="109"/>
      <c r="ED2" s="109"/>
      <c r="EE2" s="109"/>
      <c r="EF2" s="109"/>
      <c r="EG2" s="109"/>
      <c r="EH2" s="109"/>
      <c r="EI2" s="109"/>
      <c r="EJ2" s="109"/>
      <c r="EK2" s="109"/>
      <c r="EL2" s="109"/>
      <c r="EM2" s="109"/>
      <c r="EN2" s="109"/>
      <c r="EO2" s="109"/>
      <c r="EP2" s="109"/>
      <c r="EQ2" s="109"/>
      <c r="ER2" s="109"/>
      <c r="ES2" s="109"/>
      <c r="ET2" s="109"/>
      <c r="EU2" s="109"/>
      <c r="EV2" s="109"/>
      <c r="EW2" s="109"/>
      <c r="EX2" s="109"/>
      <c r="EY2" s="109"/>
      <c r="EZ2" s="109"/>
      <c r="FA2" s="109"/>
      <c r="FB2" s="109"/>
      <c r="FC2" s="109"/>
      <c r="FD2" s="109"/>
      <c r="FE2" s="109"/>
      <c r="FF2" s="109"/>
      <c r="FG2" s="109"/>
      <c r="FH2" s="109"/>
      <c r="FI2" s="109"/>
      <c r="FJ2" s="109"/>
      <c r="FK2" s="109"/>
      <c r="FL2" s="109"/>
      <c r="FM2" s="109"/>
      <c r="FN2" s="109"/>
      <c r="FO2" s="109"/>
      <c r="FP2" s="109"/>
      <c r="FQ2" s="109"/>
      <c r="FR2" s="109"/>
      <c r="FS2" s="109"/>
      <c r="FT2" s="109"/>
      <c r="FU2" s="109"/>
      <c r="FV2" s="109"/>
      <c r="FW2" s="109"/>
      <c r="FX2" s="109"/>
      <c r="FY2" s="109"/>
      <c r="FZ2" s="109"/>
      <c r="GA2" s="109"/>
      <c r="GB2" s="109"/>
      <c r="GC2" s="109"/>
      <c r="GD2" s="109"/>
      <c r="GE2" s="109"/>
      <c r="GF2" s="109"/>
      <c r="GG2" s="109"/>
      <c r="GH2" s="109"/>
      <c r="GI2" s="109"/>
      <c r="GJ2" s="109"/>
      <c r="GK2" s="109"/>
      <c r="GL2" s="109"/>
      <c r="GM2" s="109"/>
      <c r="GN2" s="109"/>
      <c r="GO2" s="109"/>
      <c r="GP2" s="109"/>
      <c r="GQ2" s="109"/>
      <c r="GR2" s="109"/>
      <c r="GS2" s="109"/>
      <c r="GT2" s="109"/>
      <c r="GU2" s="109"/>
      <c r="GV2" s="109"/>
      <c r="GW2" s="109"/>
      <c r="GX2" s="109"/>
      <c r="GY2" s="109"/>
      <c r="GZ2" s="109"/>
      <c r="HA2" s="109"/>
      <c r="HB2" s="109"/>
      <c r="HC2" s="109"/>
      <c r="HD2" s="109"/>
      <c r="HE2" s="109"/>
      <c r="HF2" s="109"/>
      <c r="HG2" s="109"/>
      <c r="HH2" s="109"/>
      <c r="HI2" s="109"/>
      <c r="HJ2" s="109"/>
      <c r="HK2" s="109"/>
      <c r="HL2" s="109"/>
      <c r="HM2" s="109"/>
      <c r="HN2" s="109"/>
      <c r="HO2" s="109"/>
      <c r="HP2" s="109"/>
      <c r="HQ2" s="109"/>
      <c r="HR2" s="109"/>
      <c r="HS2" s="109"/>
      <c r="HT2" s="109"/>
      <c r="HU2" s="109"/>
      <c r="HV2" s="109"/>
      <c r="HW2" s="109"/>
      <c r="HX2" s="109"/>
      <c r="HY2" s="109"/>
      <c r="HZ2" s="109"/>
      <c r="IA2" s="109"/>
      <c r="IB2" s="109"/>
      <c r="IC2" s="109"/>
    </row>
    <row r="3" spans="1:237" s="84" customFormat="1" ht="17.25" customHeight="1" thickBot="1">
      <c r="A3" s="272"/>
      <c r="B3" s="273"/>
      <c r="C3" s="273"/>
      <c r="D3" s="274"/>
      <c r="E3" s="283"/>
      <c r="F3" s="284"/>
      <c r="G3" s="285"/>
      <c r="H3" s="284"/>
      <c r="I3" s="284"/>
      <c r="J3" s="285"/>
      <c r="K3" s="285"/>
      <c r="L3" s="272"/>
      <c r="M3" s="278"/>
      <c r="N3" s="303"/>
      <c r="O3" s="272"/>
      <c r="P3" s="286" t="s">
        <v>309</v>
      </c>
      <c r="Q3" s="287" t="s">
        <v>310</v>
      </c>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09"/>
      <c r="DW3" s="109"/>
      <c r="DX3" s="109"/>
      <c r="DY3" s="109"/>
      <c r="DZ3" s="109"/>
      <c r="EA3" s="109"/>
      <c r="EB3" s="109"/>
      <c r="EC3" s="109"/>
      <c r="ED3" s="109"/>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09"/>
      <c r="FD3" s="109"/>
      <c r="FE3" s="109"/>
      <c r="FF3" s="109"/>
      <c r="FG3" s="109"/>
      <c r="FH3" s="109"/>
      <c r="FI3" s="109"/>
      <c r="FJ3" s="109"/>
      <c r="FK3" s="109"/>
      <c r="FL3" s="109"/>
      <c r="FM3" s="109"/>
      <c r="FN3" s="109"/>
      <c r="FO3" s="109"/>
      <c r="FP3" s="109"/>
      <c r="FQ3" s="109"/>
      <c r="FR3" s="109"/>
      <c r="FS3" s="109"/>
      <c r="FT3" s="109"/>
      <c r="FU3" s="109"/>
      <c r="FV3" s="109"/>
      <c r="FW3" s="109"/>
      <c r="FX3" s="109"/>
      <c r="FY3" s="109"/>
      <c r="FZ3" s="109"/>
      <c r="GA3" s="109"/>
      <c r="GB3" s="109"/>
      <c r="GC3" s="109"/>
      <c r="GD3" s="109"/>
      <c r="GE3" s="109"/>
      <c r="GF3" s="109"/>
      <c r="GG3" s="109"/>
      <c r="GH3" s="109"/>
      <c r="GI3" s="109"/>
      <c r="GJ3" s="109"/>
      <c r="GK3" s="109"/>
      <c r="GL3" s="109"/>
      <c r="GM3" s="109"/>
      <c r="GN3" s="109"/>
      <c r="GO3" s="109"/>
      <c r="GP3" s="109"/>
      <c r="GQ3" s="109"/>
      <c r="GR3" s="109"/>
      <c r="GS3" s="109"/>
      <c r="GT3" s="109"/>
      <c r="GU3" s="109"/>
      <c r="GV3" s="109"/>
      <c r="GW3" s="109"/>
      <c r="GX3" s="109"/>
      <c r="GY3" s="109"/>
      <c r="GZ3" s="109"/>
      <c r="HA3" s="109"/>
      <c r="HB3" s="109"/>
      <c r="HC3" s="109"/>
      <c r="HD3" s="109"/>
      <c r="HE3" s="109"/>
      <c r="HF3" s="109"/>
      <c r="HG3" s="109"/>
      <c r="HH3" s="109"/>
      <c r="HI3" s="109"/>
      <c r="HJ3" s="109"/>
      <c r="HK3" s="109"/>
      <c r="HL3" s="109"/>
      <c r="HM3" s="109"/>
      <c r="HN3" s="109"/>
      <c r="HO3" s="109"/>
      <c r="HP3" s="109"/>
      <c r="HQ3" s="109"/>
      <c r="HR3" s="109"/>
      <c r="HS3" s="109"/>
      <c r="HT3" s="109"/>
      <c r="HU3" s="109"/>
      <c r="HV3" s="109"/>
      <c r="HW3" s="109"/>
      <c r="HX3" s="109"/>
      <c r="HY3" s="109"/>
      <c r="HZ3" s="109"/>
      <c r="IA3" s="109"/>
      <c r="IB3" s="109"/>
      <c r="IC3" s="109"/>
    </row>
    <row r="4" spans="1:237" ht="13.5" thickBot="1">
      <c r="A4" s="288"/>
      <c r="B4" s="289"/>
      <c r="C4" s="289"/>
      <c r="D4" s="288"/>
      <c r="E4" s="2657" t="s">
        <v>308</v>
      </c>
      <c r="F4" s="2658"/>
      <c r="G4" s="2658"/>
      <c r="H4" s="2658"/>
      <c r="I4" s="2658"/>
      <c r="J4" s="2659"/>
      <c r="K4" s="2657" t="s">
        <v>68</v>
      </c>
      <c r="L4" s="2658"/>
      <c r="M4" s="2659"/>
      <c r="N4" s="304" t="s">
        <v>450</v>
      </c>
      <c r="O4" s="288"/>
      <c r="P4" s="290">
        <v>24</v>
      </c>
      <c r="Q4" s="291">
        <f>+CONVERT(P4,"in","m")</f>
        <v>0.60960000000000003</v>
      </c>
    </row>
    <row r="5" spans="1:237">
      <c r="A5" s="292" t="s">
        <v>554</v>
      </c>
      <c r="B5" s="293" t="s">
        <v>557</v>
      </c>
      <c r="C5" s="2660" t="s">
        <v>72</v>
      </c>
      <c r="D5" s="2662" t="s">
        <v>1035</v>
      </c>
      <c r="E5" s="2666" t="s">
        <v>1046</v>
      </c>
      <c r="F5" s="2664" t="s">
        <v>1042</v>
      </c>
      <c r="G5" s="294" t="s">
        <v>70</v>
      </c>
      <c r="H5" s="2664" t="s">
        <v>1036</v>
      </c>
      <c r="I5" s="294" t="s">
        <v>69</v>
      </c>
      <c r="J5" s="295" t="s">
        <v>313</v>
      </c>
      <c r="K5" s="2666" t="s">
        <v>312</v>
      </c>
      <c r="L5" s="294" t="s">
        <v>71</v>
      </c>
      <c r="M5" s="295" t="s">
        <v>313</v>
      </c>
      <c r="N5" s="2670" t="s">
        <v>1047</v>
      </c>
      <c r="O5" s="288"/>
      <c r="P5" s="296" t="s">
        <v>547</v>
      </c>
      <c r="Q5" s="297"/>
    </row>
    <row r="6" spans="1:237" ht="13.5" thickBot="1">
      <c r="A6" s="298" t="s">
        <v>555</v>
      </c>
      <c r="B6" s="299" t="s">
        <v>558</v>
      </c>
      <c r="C6" s="2661"/>
      <c r="D6" s="2663"/>
      <c r="E6" s="2667"/>
      <c r="F6" s="2665"/>
      <c r="G6" s="300" t="s">
        <v>74</v>
      </c>
      <c r="H6" s="2665"/>
      <c r="I6" s="300" t="s">
        <v>73</v>
      </c>
      <c r="J6" s="301" t="s">
        <v>75</v>
      </c>
      <c r="K6" s="2667"/>
      <c r="L6" s="300" t="s">
        <v>76</v>
      </c>
      <c r="M6" s="301" t="s">
        <v>77</v>
      </c>
      <c r="N6" s="2671"/>
      <c r="O6" s="288"/>
      <c r="P6" s="302" t="s">
        <v>548</v>
      </c>
      <c r="Q6" s="297"/>
    </row>
    <row r="7" spans="1:237" s="106" customFormat="1"/>
    <row r="8" spans="1:237" s="102" customFormat="1">
      <c r="B8" s="744"/>
      <c r="F8" s="745"/>
      <c r="G8" s="745"/>
      <c r="H8" s="745"/>
      <c r="L8" s="745"/>
      <c r="N8" s="746"/>
      <c r="P8" s="745"/>
      <c r="Q8" s="745"/>
    </row>
    <row r="9" spans="1:237" s="110" customFormat="1">
      <c r="A9" s="323"/>
      <c r="B9" s="309"/>
      <c r="C9" s="309"/>
      <c r="D9" s="382"/>
      <c r="E9" s="323"/>
      <c r="F9" s="309"/>
      <c r="G9" s="309"/>
      <c r="H9" s="323"/>
      <c r="I9" s="325"/>
      <c r="J9" s="325"/>
      <c r="K9" s="323"/>
      <c r="L9" s="323"/>
      <c r="M9" s="325"/>
      <c r="N9" s="477"/>
      <c r="O9" s="288"/>
      <c r="P9" s="297"/>
      <c r="Q9" s="297"/>
    </row>
    <row r="10" spans="1:237" s="102" customFormat="1" ht="15">
      <c r="A10" s="323"/>
      <c r="B10" s="723"/>
      <c r="C10" s="309"/>
      <c r="D10" s="382"/>
      <c r="E10" s="323"/>
      <c r="F10" s="309"/>
      <c r="G10" s="309"/>
      <c r="H10" s="323"/>
      <c r="I10" s="325"/>
      <c r="J10" s="325"/>
      <c r="K10" s="323"/>
      <c r="L10" s="323"/>
      <c r="M10" s="325"/>
      <c r="N10" s="722"/>
      <c r="O10" s="288"/>
      <c r="P10" s="297"/>
      <c r="Q10" s="297"/>
    </row>
    <row r="11" spans="1:237" s="106" customFormat="1" ht="13.5" thickBot="1"/>
    <row r="12" spans="1:237" s="199" customFormat="1" ht="15.75" customHeight="1">
      <c r="A12" s="2641" t="s">
        <v>2541</v>
      </c>
      <c r="B12" s="687" t="s">
        <v>2498</v>
      </c>
      <c r="C12" s="327"/>
      <c r="D12" s="328">
        <f t="shared" ref="D12:D18" si="0">IF(H12&lt;&gt;"",VLOOKUP(G12,base_barras,IF(H12="Desnuda",2,5)+F12-1,FALSE),"-")</f>
        <v>1960</v>
      </c>
      <c r="E12" s="329">
        <v>3</v>
      </c>
      <c r="F12" s="330">
        <v>2</v>
      </c>
      <c r="G12" s="331" t="s">
        <v>581</v>
      </c>
      <c r="H12" s="330" t="s">
        <v>1043</v>
      </c>
      <c r="I12" s="332">
        <v>0.61</v>
      </c>
      <c r="J12" s="333">
        <f t="shared" ref="J12:J18" si="1">IF(G12&lt;&gt;"",VLOOKUP(G12,precio_barras,9,FALSE),0)</f>
        <v>53.3</v>
      </c>
      <c r="K12" s="329">
        <v>0</v>
      </c>
      <c r="L12" s="343" t="str">
        <f t="shared" ref="L12:L18" si="2">IF(G12&lt;&gt;"",IF(VLOOKUP(G12,base_barras,10,FALSE)&lt;&gt;"",VLOOKUP(G12,base_barras,10,FALSE),"-"),"-")</f>
        <v>1/750</v>
      </c>
      <c r="M12" s="333">
        <f t="shared" ref="M12:M18" si="3">IF(L12&lt;&gt;"-",VLOOKUP(L12,precio_aislador,2,FALSE),0)</f>
        <v>1.9</v>
      </c>
      <c r="N12" s="360">
        <f>(I12*J12*F12+K12*M12)*E12*1.67*1.25</f>
        <v>407.22532499999994</v>
      </c>
      <c r="O12" s="288"/>
      <c r="P12" s="297"/>
      <c r="Q12" s="288"/>
      <c r="R12" s="102"/>
      <c r="S12" s="102"/>
      <c r="T12" s="102"/>
    </row>
    <row r="13" spans="1:237" s="199" customFormat="1" ht="14.25">
      <c r="A13" s="2642"/>
      <c r="B13" s="688" t="s">
        <v>13937</v>
      </c>
      <c r="C13" s="319"/>
      <c r="D13" s="312">
        <f t="shared" si="0"/>
        <v>2110</v>
      </c>
      <c r="E13" s="313">
        <v>3</v>
      </c>
      <c r="F13" s="314">
        <v>1</v>
      </c>
      <c r="G13" s="315" t="s">
        <v>470</v>
      </c>
      <c r="H13" s="689" t="str">
        <f>H12</f>
        <v>Pintada</v>
      </c>
      <c r="I13" s="690">
        <v>2</v>
      </c>
      <c r="J13" s="317">
        <f t="shared" si="1"/>
        <v>107</v>
      </c>
      <c r="K13" s="691">
        <v>4</v>
      </c>
      <c r="L13" s="318" t="str">
        <f t="shared" si="2"/>
        <v>1.5/1250</v>
      </c>
      <c r="M13" s="317">
        <f t="shared" si="3"/>
        <v>5.5</v>
      </c>
      <c r="N13" s="308">
        <f>(I13*J13*F13+K13*M13)*E13*1.67*1.25</f>
        <v>1477.9499999999998</v>
      </c>
      <c r="O13" s="288"/>
      <c r="P13" s="297"/>
      <c r="Q13" s="288"/>
      <c r="R13" s="102"/>
      <c r="S13" s="102"/>
      <c r="T13" s="102"/>
    </row>
    <row r="14" spans="1:237" s="199" customFormat="1" ht="15.75" customHeight="1">
      <c r="A14" s="2642"/>
      <c r="B14" s="692" t="s">
        <v>13938</v>
      </c>
      <c r="C14" s="693"/>
      <c r="D14" s="312">
        <f t="shared" si="0"/>
        <v>1020</v>
      </c>
      <c r="E14" s="313">
        <v>3</v>
      </c>
      <c r="F14" s="314">
        <v>1</v>
      </c>
      <c r="G14" s="315" t="s">
        <v>315</v>
      </c>
      <c r="H14" s="314" t="s">
        <v>1043</v>
      </c>
      <c r="I14" s="316">
        <v>0.61</v>
      </c>
      <c r="J14" s="317">
        <f t="shared" si="1"/>
        <v>44.400000000000006</v>
      </c>
      <c r="K14" s="694">
        <v>0</v>
      </c>
      <c r="L14" s="695" t="str">
        <f t="shared" si="2"/>
        <v>1/750</v>
      </c>
      <c r="M14" s="478">
        <f t="shared" si="3"/>
        <v>1.9</v>
      </c>
      <c r="N14" s="696">
        <f t="shared" ref="N14:N18" si="4">(I14*J14*F14+K14*M14)*E14*1.67*1.25</f>
        <v>169.61355</v>
      </c>
      <c r="O14" s="288"/>
      <c r="P14" s="297"/>
      <c r="Q14" s="288"/>
      <c r="R14" s="102"/>
      <c r="S14" s="102"/>
      <c r="T14" s="102"/>
    </row>
    <row r="15" spans="1:237" s="199" customFormat="1" ht="15.75" customHeight="1">
      <c r="A15" s="2642"/>
      <c r="B15" s="692" t="s">
        <v>13939</v>
      </c>
      <c r="C15" s="693"/>
      <c r="D15" s="312">
        <f t="shared" si="0"/>
        <v>1670</v>
      </c>
      <c r="E15" s="313">
        <v>3</v>
      </c>
      <c r="F15" s="314">
        <v>3</v>
      </c>
      <c r="G15" s="315" t="s">
        <v>314</v>
      </c>
      <c r="H15" s="314" t="s">
        <v>1043</v>
      </c>
      <c r="I15" s="316">
        <f t="shared" ref="I15" si="5">0.3+0.15+0.15</f>
        <v>0.6</v>
      </c>
      <c r="J15" s="317">
        <f t="shared" si="1"/>
        <v>26.6</v>
      </c>
      <c r="K15" s="694">
        <v>0</v>
      </c>
      <c r="L15" s="695" t="str">
        <f t="shared" si="2"/>
        <v>1/750</v>
      </c>
      <c r="M15" s="478">
        <f t="shared" si="3"/>
        <v>1.9</v>
      </c>
      <c r="N15" s="696">
        <f t="shared" si="4"/>
        <v>299.8485</v>
      </c>
      <c r="O15" s="288"/>
      <c r="P15" s="297"/>
      <c r="Q15" s="288"/>
      <c r="R15" s="102"/>
      <c r="S15" s="102"/>
      <c r="T15" s="102"/>
    </row>
    <row r="16" spans="1:237" s="199" customFormat="1" ht="15.75" customHeight="1">
      <c r="A16" s="2642"/>
      <c r="B16" s="692" t="s">
        <v>13940</v>
      </c>
      <c r="C16" s="693"/>
      <c r="D16" s="312">
        <f t="shared" si="0"/>
        <v>676</v>
      </c>
      <c r="E16" s="313">
        <v>3</v>
      </c>
      <c r="F16" s="314">
        <v>1</v>
      </c>
      <c r="G16" s="315" t="s">
        <v>314</v>
      </c>
      <c r="H16" s="314" t="s">
        <v>1043</v>
      </c>
      <c r="I16" s="316">
        <v>0.5</v>
      </c>
      <c r="J16" s="317">
        <f t="shared" si="1"/>
        <v>26.6</v>
      </c>
      <c r="K16" s="694">
        <v>2</v>
      </c>
      <c r="L16" s="695" t="str">
        <f t="shared" si="2"/>
        <v>1/750</v>
      </c>
      <c r="M16" s="478">
        <f t="shared" si="3"/>
        <v>1.9</v>
      </c>
      <c r="N16" s="696">
        <f t="shared" si="4"/>
        <v>107.08875</v>
      </c>
      <c r="O16" s="288"/>
      <c r="P16" s="297"/>
      <c r="Q16" s="288"/>
      <c r="R16" s="102"/>
      <c r="S16" s="102"/>
      <c r="T16" s="102"/>
    </row>
    <row r="17" spans="1:20" s="199" customFormat="1" ht="15.75" customHeight="1">
      <c r="A17" s="2642"/>
      <c r="B17" s="692" t="s">
        <v>436</v>
      </c>
      <c r="C17" s="693"/>
      <c r="D17" s="312">
        <f t="shared" ref="D17" si="6">IF(H17&lt;&gt;"",VLOOKUP(G17,base_barras,IF(H17="Desnuda",2,5)+F17-1,FALSE),"-")</f>
        <v>2110</v>
      </c>
      <c r="E17" s="313">
        <v>1</v>
      </c>
      <c r="F17" s="314">
        <v>1</v>
      </c>
      <c r="G17" s="315" t="s">
        <v>470</v>
      </c>
      <c r="H17" s="314" t="s">
        <v>1043</v>
      </c>
      <c r="I17" s="316">
        <v>2</v>
      </c>
      <c r="J17" s="317">
        <f t="shared" ref="J17" si="7">IF(G17&lt;&gt;"",VLOOKUP(G17,precio_barras,9,FALSE),0)</f>
        <v>107</v>
      </c>
      <c r="K17" s="694">
        <v>4</v>
      </c>
      <c r="L17" s="695" t="str">
        <f t="shared" ref="L17" si="8">IF(G17&lt;&gt;"",IF(VLOOKUP(G17,base_barras,10,FALSE)&lt;&gt;"",VLOOKUP(G17,base_barras,10,FALSE),"-"),"-")</f>
        <v>1.5/1250</v>
      </c>
      <c r="M17" s="478">
        <f t="shared" ref="M17" si="9">IF(L17&lt;&gt;"-",VLOOKUP(L17,precio_aislador,2,FALSE),0)</f>
        <v>5.5</v>
      </c>
      <c r="N17" s="696">
        <f t="shared" ref="N17" si="10">(I17*J17*F17+K17*M17)*E17*1.67*1.25</f>
        <v>492.65</v>
      </c>
      <c r="O17" s="288"/>
      <c r="P17" s="297"/>
      <c r="Q17" s="288"/>
      <c r="R17" s="102"/>
      <c r="S17" s="102"/>
      <c r="T17" s="102"/>
    </row>
    <row r="18" spans="1:20" s="199" customFormat="1" ht="15.75" customHeight="1" thickBot="1">
      <c r="A18" s="2643"/>
      <c r="B18" s="692" t="s">
        <v>35</v>
      </c>
      <c r="C18" s="693"/>
      <c r="D18" s="312">
        <f t="shared" si="0"/>
        <v>1240</v>
      </c>
      <c r="E18" s="313">
        <v>1</v>
      </c>
      <c r="F18" s="314">
        <v>1</v>
      </c>
      <c r="G18" s="315" t="s">
        <v>582</v>
      </c>
      <c r="H18" s="314" t="s">
        <v>1044</v>
      </c>
      <c r="I18" s="316">
        <v>1</v>
      </c>
      <c r="J18" s="317">
        <f t="shared" si="1"/>
        <v>71.100000000000009</v>
      </c>
      <c r="K18" s="694">
        <v>0</v>
      </c>
      <c r="L18" s="695" t="str">
        <f t="shared" si="2"/>
        <v>1/1000</v>
      </c>
      <c r="M18" s="478">
        <f t="shared" si="3"/>
        <v>2.7</v>
      </c>
      <c r="N18" s="696">
        <f t="shared" si="4"/>
        <v>148.42125000000001</v>
      </c>
      <c r="O18" s="288"/>
      <c r="P18" s="297"/>
      <c r="Q18" s="288"/>
      <c r="R18" s="102"/>
      <c r="S18" s="102"/>
      <c r="T18" s="102"/>
    </row>
    <row r="19" spans="1:20" s="129" customFormat="1" ht="22.5" customHeight="1" thickBot="1">
      <c r="A19" s="371"/>
      <c r="B19" s="373"/>
      <c r="C19" s="375"/>
      <c r="D19" s="383"/>
      <c r="E19" s="373"/>
      <c r="F19" s="373"/>
      <c r="G19" s="373"/>
      <c r="H19" s="373"/>
      <c r="I19" s="374"/>
      <c r="J19" s="374"/>
      <c r="K19" s="373"/>
      <c r="L19" s="373"/>
      <c r="M19" s="372"/>
      <c r="N19" s="699">
        <f>SUM(N12:N18)</f>
        <v>3102.7973749999996</v>
      </c>
      <c r="O19" s="288"/>
      <c r="P19" s="297"/>
      <c r="Q19" s="288"/>
      <c r="R19" s="102"/>
      <c r="S19" s="102"/>
      <c r="T19" s="102"/>
    </row>
    <row r="20" spans="1:20" s="102" customFormat="1" ht="8.25" customHeight="1" thickBot="1">
      <c r="A20" s="323"/>
      <c r="B20" s="323"/>
      <c r="C20" s="323"/>
      <c r="D20" s="382"/>
      <c r="E20" s="323"/>
      <c r="F20" s="325"/>
      <c r="G20" s="325"/>
      <c r="H20" s="325"/>
      <c r="I20" s="323"/>
      <c r="J20" s="323"/>
      <c r="K20" s="323"/>
      <c r="L20" s="325"/>
      <c r="M20" s="323"/>
      <c r="N20" s="309"/>
      <c r="O20" s="288"/>
      <c r="P20" s="297"/>
      <c r="Q20" s="288"/>
    </row>
    <row r="21" spans="1:20" s="199" customFormat="1" ht="15.75" customHeight="1">
      <c r="A21" s="2641" t="s">
        <v>14104</v>
      </c>
      <c r="B21" s="687" t="s">
        <v>2498</v>
      </c>
      <c r="C21" s="327"/>
      <c r="D21" s="328">
        <f t="shared" ref="D21:D27" si="11">IF(H21&lt;&gt;"",VLOOKUP(G21,base_barras,IF(H21="Desnuda",2,5)+F21-1,FALSE),"-")</f>
        <v>1180</v>
      </c>
      <c r="E21" s="329">
        <v>3</v>
      </c>
      <c r="F21" s="330">
        <v>1</v>
      </c>
      <c r="G21" s="331" t="s">
        <v>581</v>
      </c>
      <c r="H21" s="330" t="s">
        <v>1043</v>
      </c>
      <c r="I21" s="332">
        <v>0.61</v>
      </c>
      <c r="J21" s="333">
        <f t="shared" ref="J21:J27" si="12">IF(G21&lt;&gt;"",VLOOKUP(G21,precio_barras,9,FALSE),0)</f>
        <v>53.3</v>
      </c>
      <c r="K21" s="329">
        <v>0</v>
      </c>
      <c r="L21" s="343" t="str">
        <f t="shared" ref="L21:L27" si="13">IF(G21&lt;&gt;"",IF(VLOOKUP(G21,base_barras,10,FALSE)&lt;&gt;"",VLOOKUP(G21,base_barras,10,FALSE),"-"),"-")</f>
        <v>1/750</v>
      </c>
      <c r="M21" s="333">
        <f t="shared" ref="M21:M27" si="14">IF(L21&lt;&gt;"-",VLOOKUP(L21,precio_aislador,2,FALSE),0)</f>
        <v>1.9</v>
      </c>
      <c r="N21" s="360">
        <f>(I21*J21*F21+K21*M21)*E21*1.67*1.25</f>
        <v>203.61266249999997</v>
      </c>
      <c r="O21" s="288"/>
      <c r="P21" s="297"/>
      <c r="Q21" s="288"/>
      <c r="R21" s="102"/>
      <c r="S21" s="102"/>
      <c r="T21" s="102"/>
    </row>
    <row r="22" spans="1:20" s="199" customFormat="1" ht="14.25">
      <c r="A22" s="2642"/>
      <c r="B22" s="688" t="s">
        <v>13937</v>
      </c>
      <c r="C22" s="319"/>
      <c r="D22" s="312">
        <f t="shared" si="11"/>
        <v>1500</v>
      </c>
      <c r="E22" s="313">
        <v>3</v>
      </c>
      <c r="F22" s="314">
        <v>1</v>
      </c>
      <c r="G22" s="315" t="s">
        <v>582</v>
      </c>
      <c r="H22" s="689" t="str">
        <f>H21</f>
        <v>Pintada</v>
      </c>
      <c r="I22" s="690">
        <v>2</v>
      </c>
      <c r="J22" s="317">
        <f t="shared" si="12"/>
        <v>71.100000000000009</v>
      </c>
      <c r="K22" s="691">
        <v>4</v>
      </c>
      <c r="L22" s="318" t="str">
        <f t="shared" si="13"/>
        <v>1/1000</v>
      </c>
      <c r="M22" s="317">
        <f t="shared" si="14"/>
        <v>2.7</v>
      </c>
      <c r="N22" s="308">
        <f>(I22*J22*F22+K22*M22)*E22*1.67*1.25</f>
        <v>958.16250000000025</v>
      </c>
      <c r="O22" s="288"/>
      <c r="P22" s="297"/>
      <c r="Q22" s="288"/>
      <c r="R22" s="102"/>
      <c r="S22" s="102"/>
      <c r="T22" s="102"/>
    </row>
    <row r="23" spans="1:20" s="199" customFormat="1" ht="15.75" customHeight="1">
      <c r="A23" s="2642"/>
      <c r="B23" s="692" t="s">
        <v>13939</v>
      </c>
      <c r="C23" s="693"/>
      <c r="D23" s="312">
        <f t="shared" ref="D23" si="15">IF(H23&lt;&gt;"",VLOOKUP(G23,base_barras,IF(H23="Desnuda",2,5)+F23-1,FALSE),"-")</f>
        <v>1200</v>
      </c>
      <c r="E23" s="313">
        <v>3</v>
      </c>
      <c r="F23" s="314">
        <v>2</v>
      </c>
      <c r="G23" s="315" t="s">
        <v>314</v>
      </c>
      <c r="H23" s="314" t="s">
        <v>1043</v>
      </c>
      <c r="I23" s="316">
        <v>0.61</v>
      </c>
      <c r="J23" s="317">
        <f t="shared" ref="J23" si="16">IF(G23&lt;&gt;"",VLOOKUP(G23,precio_barras,9,FALSE),0)</f>
        <v>26.6</v>
      </c>
      <c r="K23" s="694">
        <v>0</v>
      </c>
      <c r="L23" s="695" t="str">
        <f t="shared" ref="L23" si="17">IF(G23&lt;&gt;"",IF(VLOOKUP(G23,base_barras,10,FALSE)&lt;&gt;"",VLOOKUP(G23,base_barras,10,FALSE),"-"),"-")</f>
        <v>1/750</v>
      </c>
      <c r="M23" s="478">
        <f t="shared" ref="M23" si="18">IF(L23&lt;&gt;"-",VLOOKUP(L23,precio_aislador,2,FALSE),0)</f>
        <v>1.9</v>
      </c>
      <c r="N23" s="696">
        <f t="shared" ref="N23" si="19">(I23*J23*F23+K23*M23)*E23*1.67*1.25</f>
        <v>203.23065</v>
      </c>
      <c r="O23" s="288"/>
      <c r="P23" s="297"/>
      <c r="Q23" s="288"/>
      <c r="R23" s="102"/>
      <c r="S23" s="102"/>
      <c r="T23" s="102"/>
    </row>
    <row r="24" spans="1:20" s="199" customFormat="1" ht="15.75" customHeight="1">
      <c r="A24" s="2642"/>
      <c r="B24" s="692" t="s">
        <v>14106</v>
      </c>
      <c r="C24" s="693"/>
      <c r="D24" s="312">
        <f t="shared" si="11"/>
        <v>394</v>
      </c>
      <c r="E24" s="313">
        <v>3</v>
      </c>
      <c r="F24" s="314">
        <v>2</v>
      </c>
      <c r="G24" s="315" t="s">
        <v>60</v>
      </c>
      <c r="H24" s="314" t="s">
        <v>1043</v>
      </c>
      <c r="I24" s="316">
        <v>0.61</v>
      </c>
      <c r="J24" s="317">
        <f t="shared" si="12"/>
        <v>5.3000000000000007</v>
      </c>
      <c r="K24" s="694">
        <v>0</v>
      </c>
      <c r="L24" s="695" t="str">
        <f t="shared" si="13"/>
        <v>-</v>
      </c>
      <c r="M24" s="478">
        <f t="shared" si="14"/>
        <v>0</v>
      </c>
      <c r="N24" s="696">
        <f t="shared" ref="N24:N27" si="20">(I24*J24*F24+K24*M24)*E24*1.67*1.25</f>
        <v>40.493324999999999</v>
      </c>
      <c r="O24" s="288"/>
      <c r="P24" s="297"/>
      <c r="Q24" s="288"/>
      <c r="R24" s="102"/>
      <c r="S24" s="102"/>
      <c r="T24" s="102"/>
    </row>
    <row r="25" spans="1:20" s="199" customFormat="1" ht="15.75" customHeight="1">
      <c r="A25" s="2642"/>
      <c r="B25" s="692" t="s">
        <v>14105</v>
      </c>
      <c r="C25" s="693"/>
      <c r="D25" s="312">
        <f t="shared" si="11"/>
        <v>850</v>
      </c>
      <c r="E25" s="313">
        <v>3</v>
      </c>
      <c r="F25" s="314">
        <v>1</v>
      </c>
      <c r="G25" s="315" t="s">
        <v>469</v>
      </c>
      <c r="H25" s="314" t="s">
        <v>1043</v>
      </c>
      <c r="I25" s="316">
        <v>0.6</v>
      </c>
      <c r="J25" s="317">
        <f t="shared" si="12"/>
        <v>35.6</v>
      </c>
      <c r="K25" s="694">
        <v>2</v>
      </c>
      <c r="L25" s="695" t="str">
        <f t="shared" si="13"/>
        <v>1/750</v>
      </c>
      <c r="M25" s="478">
        <f t="shared" si="14"/>
        <v>1.9</v>
      </c>
      <c r="N25" s="696">
        <f t="shared" si="20"/>
        <v>157.56450000000001</v>
      </c>
      <c r="O25" s="288"/>
      <c r="P25" s="297"/>
      <c r="Q25" s="288"/>
      <c r="R25" s="102"/>
      <c r="S25" s="102"/>
      <c r="T25" s="102"/>
    </row>
    <row r="26" spans="1:20" s="199" customFormat="1" ht="15.75" customHeight="1">
      <c r="A26" s="2642"/>
      <c r="B26" s="692" t="s">
        <v>436</v>
      </c>
      <c r="C26" s="693"/>
      <c r="D26" s="312">
        <f t="shared" si="11"/>
        <v>1180</v>
      </c>
      <c r="E26" s="313">
        <v>1</v>
      </c>
      <c r="F26" s="314">
        <v>1</v>
      </c>
      <c r="G26" s="315" t="s">
        <v>581</v>
      </c>
      <c r="H26" s="314" t="s">
        <v>1043</v>
      </c>
      <c r="I26" s="316">
        <v>2</v>
      </c>
      <c r="J26" s="317">
        <f t="shared" si="12"/>
        <v>53.3</v>
      </c>
      <c r="K26" s="694">
        <v>4</v>
      </c>
      <c r="L26" s="695" t="str">
        <f t="shared" si="13"/>
        <v>1/750</v>
      </c>
      <c r="M26" s="478">
        <f t="shared" si="14"/>
        <v>1.9</v>
      </c>
      <c r="N26" s="696">
        <f t="shared" si="20"/>
        <v>238.39249999999996</v>
      </c>
      <c r="O26" s="288"/>
      <c r="P26" s="297"/>
      <c r="Q26" s="288"/>
      <c r="R26" s="102"/>
      <c r="S26" s="102"/>
      <c r="T26" s="102"/>
    </row>
    <row r="27" spans="1:20" s="199" customFormat="1" ht="15.75" customHeight="1" thickBot="1">
      <c r="A27" s="2643"/>
      <c r="B27" s="692" t="s">
        <v>35</v>
      </c>
      <c r="C27" s="693"/>
      <c r="D27" s="312">
        <f t="shared" si="11"/>
        <v>573</v>
      </c>
      <c r="E27" s="313">
        <v>1</v>
      </c>
      <c r="F27" s="314">
        <v>1</v>
      </c>
      <c r="G27" s="315" t="s">
        <v>314</v>
      </c>
      <c r="H27" s="314" t="s">
        <v>1044</v>
      </c>
      <c r="I27" s="316">
        <v>1</v>
      </c>
      <c r="J27" s="317">
        <f t="shared" si="12"/>
        <v>26.6</v>
      </c>
      <c r="K27" s="694">
        <v>0</v>
      </c>
      <c r="L27" s="695" t="str">
        <f t="shared" si="13"/>
        <v>1/750</v>
      </c>
      <c r="M27" s="478">
        <f t="shared" si="14"/>
        <v>1.9</v>
      </c>
      <c r="N27" s="696">
        <f t="shared" si="20"/>
        <v>55.527499999999996</v>
      </c>
      <c r="O27" s="288"/>
      <c r="P27" s="297"/>
      <c r="Q27" s="288"/>
      <c r="R27" s="102"/>
      <c r="S27" s="102"/>
      <c r="T27" s="102"/>
    </row>
    <row r="28" spans="1:20" s="129" customFormat="1" ht="22.5" customHeight="1" thickBot="1">
      <c r="A28" s="371"/>
      <c r="B28" s="373"/>
      <c r="C28" s="375"/>
      <c r="D28" s="383"/>
      <c r="E28" s="373"/>
      <c r="F28" s="373"/>
      <c r="G28" s="373"/>
      <c r="H28" s="373"/>
      <c r="I28" s="374"/>
      <c r="J28" s="374"/>
      <c r="K28" s="373"/>
      <c r="L28" s="373"/>
      <c r="M28" s="372"/>
      <c r="N28" s="699">
        <f>SUM(N21:N27)</f>
        <v>1856.9836375</v>
      </c>
      <c r="O28" s="288"/>
      <c r="P28" s="297"/>
      <c r="Q28" s="288"/>
      <c r="R28" s="102"/>
      <c r="S28" s="102"/>
      <c r="T28" s="102"/>
    </row>
    <row r="29" spans="1:20" s="102" customFormat="1" ht="8.25" customHeight="1" thickBot="1">
      <c r="A29" s="323"/>
      <c r="B29" s="323"/>
      <c r="C29" s="323"/>
      <c r="D29" s="382"/>
      <c r="E29" s="323"/>
      <c r="F29" s="325"/>
      <c r="G29" s="325"/>
      <c r="H29" s="325"/>
      <c r="I29" s="323"/>
      <c r="J29" s="323"/>
      <c r="K29" s="323"/>
      <c r="L29" s="325"/>
      <c r="M29" s="323"/>
      <c r="N29" s="309"/>
      <c r="O29" s="288"/>
      <c r="P29" s="297"/>
      <c r="Q29" s="288"/>
    </row>
    <row r="30" spans="1:20" s="199" customFormat="1" ht="15.75" customHeight="1">
      <c r="A30" s="2641" t="s">
        <v>14150</v>
      </c>
      <c r="B30" s="687" t="s">
        <v>2498</v>
      </c>
      <c r="C30" s="327"/>
      <c r="D30" s="328">
        <f t="shared" ref="D30:D35" si="21">IF(H30&lt;&gt;"",VLOOKUP(G30,base_barras,IF(H30="Desnuda",2,5)+F30-1,FALSE),"-")</f>
        <v>1500</v>
      </c>
      <c r="E30" s="329">
        <v>4</v>
      </c>
      <c r="F30" s="330">
        <v>1</v>
      </c>
      <c r="G30" s="331" t="s">
        <v>582</v>
      </c>
      <c r="H30" s="330" t="s">
        <v>1043</v>
      </c>
      <c r="I30" s="332">
        <v>0.61</v>
      </c>
      <c r="J30" s="333">
        <f t="shared" ref="J30:J35" si="22">IF(G30&lt;&gt;"",VLOOKUP(G30,precio_barras,9,FALSE),0)</f>
        <v>71.100000000000009</v>
      </c>
      <c r="K30" s="329">
        <v>0</v>
      </c>
      <c r="L30" s="343" t="str">
        <f t="shared" ref="L30:L35" si="23">IF(G30&lt;&gt;"",IF(VLOOKUP(G30,base_barras,10,FALSE)&lt;&gt;"",VLOOKUP(G30,base_barras,10,FALSE),"-"),"-")</f>
        <v>1/1000</v>
      </c>
      <c r="M30" s="333">
        <f t="shared" ref="M30:M35" si="24">IF(L30&lt;&gt;"-",VLOOKUP(L30,precio_aislador,2,FALSE),0)</f>
        <v>2.7</v>
      </c>
      <c r="N30" s="360">
        <f>(I30*J30*F30+K30*M30)*E30*1.67*1.25</f>
        <v>362.14785000000001</v>
      </c>
      <c r="O30" s="288"/>
      <c r="P30" s="297"/>
      <c r="Q30" s="288"/>
      <c r="R30" s="102"/>
      <c r="S30" s="102"/>
      <c r="T30" s="102"/>
    </row>
    <row r="31" spans="1:20" s="199" customFormat="1" ht="14.25">
      <c r="A31" s="2642"/>
      <c r="B31" s="688" t="s">
        <v>13937</v>
      </c>
      <c r="C31" s="319"/>
      <c r="D31" s="312">
        <f t="shared" si="21"/>
        <v>1500</v>
      </c>
      <c r="E31" s="313">
        <v>8</v>
      </c>
      <c r="F31" s="314">
        <v>1</v>
      </c>
      <c r="G31" s="315" t="s">
        <v>582</v>
      </c>
      <c r="H31" s="689" t="str">
        <f>H30</f>
        <v>Pintada</v>
      </c>
      <c r="I31" s="690">
        <v>2.1</v>
      </c>
      <c r="J31" s="317">
        <f t="shared" si="22"/>
        <v>71.100000000000009</v>
      </c>
      <c r="K31" s="691">
        <v>4</v>
      </c>
      <c r="L31" s="318" t="str">
        <f t="shared" si="23"/>
        <v>1/1000</v>
      </c>
      <c r="M31" s="317">
        <f t="shared" si="24"/>
        <v>2.7</v>
      </c>
      <c r="N31" s="308">
        <f>(I31*J31*F31+K31*M31)*E31*1.67*1.25</f>
        <v>2673.8370000000004</v>
      </c>
      <c r="O31" s="288"/>
      <c r="P31" s="297"/>
      <c r="Q31" s="288"/>
      <c r="R31" s="102"/>
      <c r="S31" s="102"/>
      <c r="T31" s="102"/>
    </row>
    <row r="32" spans="1:20" s="199" customFormat="1" ht="15.75" customHeight="1">
      <c r="A32" s="2642"/>
      <c r="B32" s="692" t="s">
        <v>14151</v>
      </c>
      <c r="C32" s="693"/>
      <c r="D32" s="312">
        <f t="shared" ref="D32" si="25">IF(H32&lt;&gt;"",VLOOKUP(G32,base_barras,IF(H32="Desnuda",2,5)+F32-1,FALSE),"-")</f>
        <v>1500</v>
      </c>
      <c r="E32" s="313">
        <v>4</v>
      </c>
      <c r="F32" s="314">
        <v>1</v>
      </c>
      <c r="G32" s="315" t="s">
        <v>582</v>
      </c>
      <c r="H32" s="314" t="s">
        <v>1043</v>
      </c>
      <c r="I32" s="316">
        <v>1.8</v>
      </c>
      <c r="J32" s="317">
        <f t="shared" ref="J32" si="26">IF(G32&lt;&gt;"",VLOOKUP(G32,precio_barras,9,FALSE),0)</f>
        <v>71.100000000000009</v>
      </c>
      <c r="K32" s="694">
        <v>4</v>
      </c>
      <c r="L32" s="695" t="str">
        <f t="shared" ref="L32" si="27">IF(G32&lt;&gt;"",IF(VLOOKUP(G32,base_barras,10,FALSE)&lt;&gt;"",VLOOKUP(G32,base_barras,10,FALSE),"-"),"-")</f>
        <v>1/1000</v>
      </c>
      <c r="M32" s="478">
        <f t="shared" ref="M32" si="28">IF(L32&lt;&gt;"-",VLOOKUP(L32,precio_aislador,2,FALSE),0)</f>
        <v>2.7</v>
      </c>
      <c r="N32" s="696">
        <f t="shared" ref="N32" si="29">(I32*J32*F32+K32*M32)*E32*1.67*1.25</f>
        <v>1158.8130000000003</v>
      </c>
      <c r="O32" s="288"/>
      <c r="P32" s="297"/>
      <c r="Q32" s="288"/>
      <c r="R32" s="102"/>
      <c r="S32" s="102"/>
      <c r="T32" s="102"/>
    </row>
    <row r="33" spans="1:20" s="199" customFormat="1" ht="15.75" customHeight="1">
      <c r="A33" s="2642"/>
      <c r="B33" s="692" t="s">
        <v>14105</v>
      </c>
      <c r="C33" s="693"/>
      <c r="D33" s="312">
        <f t="shared" si="21"/>
        <v>1500</v>
      </c>
      <c r="E33" s="313">
        <v>4</v>
      </c>
      <c r="F33" s="314">
        <v>1</v>
      </c>
      <c r="G33" s="315" t="s">
        <v>582</v>
      </c>
      <c r="H33" s="314" t="s">
        <v>1043</v>
      </c>
      <c r="I33" s="316">
        <v>1</v>
      </c>
      <c r="J33" s="317">
        <f t="shared" si="22"/>
        <v>71.100000000000009</v>
      </c>
      <c r="K33" s="694">
        <v>2</v>
      </c>
      <c r="L33" s="695" t="str">
        <f t="shared" si="23"/>
        <v>1/1000</v>
      </c>
      <c r="M33" s="478">
        <f t="shared" si="24"/>
        <v>2.7</v>
      </c>
      <c r="N33" s="696">
        <f t="shared" ref="N33:N35" si="30">(I33*J33*F33+K33*M33)*E33*1.67*1.25</f>
        <v>638.77500000000009</v>
      </c>
      <c r="O33" s="288"/>
      <c r="P33" s="297"/>
      <c r="Q33" s="288"/>
      <c r="R33" s="102"/>
      <c r="S33" s="102"/>
      <c r="T33" s="102"/>
    </row>
    <row r="34" spans="1:20" s="199" customFormat="1" ht="15.75" customHeight="1">
      <c r="A34" s="2642"/>
      <c r="B34" s="692" t="s">
        <v>436</v>
      </c>
      <c r="C34" s="693"/>
      <c r="D34" s="312">
        <f t="shared" si="21"/>
        <v>1500</v>
      </c>
      <c r="E34" s="313">
        <v>1</v>
      </c>
      <c r="F34" s="314">
        <v>1</v>
      </c>
      <c r="G34" s="315" t="s">
        <v>582</v>
      </c>
      <c r="H34" s="314" t="s">
        <v>1043</v>
      </c>
      <c r="I34" s="316">
        <v>3</v>
      </c>
      <c r="J34" s="317">
        <f t="shared" si="22"/>
        <v>71.100000000000009</v>
      </c>
      <c r="K34" s="694">
        <v>6</v>
      </c>
      <c r="L34" s="695" t="str">
        <f t="shared" si="23"/>
        <v>1/1000</v>
      </c>
      <c r="M34" s="478">
        <f t="shared" si="24"/>
        <v>2.7</v>
      </c>
      <c r="N34" s="696">
        <f t="shared" si="30"/>
        <v>479.08124999999995</v>
      </c>
      <c r="O34" s="288"/>
      <c r="P34" s="297"/>
      <c r="Q34" s="288"/>
      <c r="R34" s="102"/>
      <c r="S34" s="102"/>
      <c r="T34" s="102"/>
    </row>
    <row r="35" spans="1:20" s="199" customFormat="1" ht="15.75" customHeight="1" thickBot="1">
      <c r="A35" s="2643"/>
      <c r="B35" s="692" t="s">
        <v>35</v>
      </c>
      <c r="C35" s="693"/>
      <c r="D35" s="312">
        <f t="shared" si="21"/>
        <v>985</v>
      </c>
      <c r="E35" s="313">
        <v>1</v>
      </c>
      <c r="F35" s="314">
        <v>1</v>
      </c>
      <c r="G35" s="315" t="s">
        <v>581</v>
      </c>
      <c r="H35" s="314" t="s">
        <v>1044</v>
      </c>
      <c r="I35" s="316">
        <v>2</v>
      </c>
      <c r="J35" s="317">
        <f t="shared" si="22"/>
        <v>53.3</v>
      </c>
      <c r="K35" s="694">
        <v>0</v>
      </c>
      <c r="L35" s="695" t="str">
        <f t="shared" si="23"/>
        <v>1/750</v>
      </c>
      <c r="M35" s="478">
        <f t="shared" si="24"/>
        <v>1.9</v>
      </c>
      <c r="N35" s="696">
        <f t="shared" si="30"/>
        <v>222.52749999999997</v>
      </c>
      <c r="O35" s="288"/>
      <c r="P35" s="297"/>
      <c r="Q35" s="288"/>
      <c r="R35" s="102"/>
      <c r="S35" s="102"/>
      <c r="T35" s="102"/>
    </row>
    <row r="36" spans="1:20" s="129" customFormat="1" ht="22.5" customHeight="1" thickBot="1">
      <c r="A36" s="371"/>
      <c r="B36" s="373"/>
      <c r="C36" s="375"/>
      <c r="D36" s="383"/>
      <c r="E36" s="373"/>
      <c r="F36" s="373"/>
      <c r="G36" s="373"/>
      <c r="H36" s="373"/>
      <c r="I36" s="374"/>
      <c r="J36" s="374"/>
      <c r="K36" s="373"/>
      <c r="L36" s="373"/>
      <c r="M36" s="372"/>
      <c r="N36" s="699">
        <f>SUM(N30:N35)</f>
        <v>5535.1816000000008</v>
      </c>
      <c r="O36" s="288"/>
      <c r="P36" s="297"/>
      <c r="Q36" s="288"/>
      <c r="R36" s="102"/>
      <c r="S36" s="102"/>
      <c r="T36" s="102"/>
    </row>
    <row r="37" spans="1:20" s="102" customFormat="1" ht="8.25" customHeight="1">
      <c r="A37" s="323"/>
      <c r="B37" s="323"/>
      <c r="C37" s="323"/>
      <c r="D37" s="382"/>
      <c r="E37" s="323"/>
      <c r="F37" s="325"/>
      <c r="G37" s="325"/>
      <c r="H37" s="325"/>
      <c r="I37" s="323"/>
      <c r="J37" s="323"/>
      <c r="K37" s="323"/>
      <c r="L37" s="325"/>
      <c r="M37" s="323"/>
      <c r="N37" s="309"/>
      <c r="O37" s="288"/>
      <c r="P37" s="297"/>
      <c r="Q37" s="288"/>
    </row>
    <row r="38" spans="1:20" s="102" customFormat="1" ht="8.25" customHeight="1" thickBot="1">
      <c r="A38" s="323"/>
      <c r="B38" s="323"/>
      <c r="C38" s="323"/>
      <c r="D38" s="382"/>
      <c r="E38" s="323"/>
      <c r="F38" s="325"/>
      <c r="G38" s="325"/>
      <c r="H38" s="325"/>
      <c r="I38" s="323"/>
      <c r="J38" s="323"/>
      <c r="K38" s="323"/>
      <c r="L38" s="325"/>
      <c r="M38" s="323"/>
      <c r="N38" s="309"/>
      <c r="O38" s="288"/>
      <c r="P38" s="297"/>
      <c r="Q38" s="288"/>
    </row>
    <row r="39" spans="1:20" s="102" customFormat="1" ht="12.75" customHeight="1">
      <c r="A39" s="2639" t="s">
        <v>2505</v>
      </c>
      <c r="B39" s="687" t="s">
        <v>2506</v>
      </c>
      <c r="C39" s="327"/>
      <c r="D39" s="328">
        <f>IF(H39&lt;&gt;"",VLOOKUP(G39,base_barras,IF(H39="Desnuda",2,5)+F39-1,FALSE),"-")</f>
        <v>3290</v>
      </c>
      <c r="E39" s="329">
        <v>4</v>
      </c>
      <c r="F39" s="330">
        <v>1</v>
      </c>
      <c r="G39" s="331" t="s">
        <v>584</v>
      </c>
      <c r="H39" s="330" t="s">
        <v>1043</v>
      </c>
      <c r="I39" s="332">
        <v>1.2</v>
      </c>
      <c r="J39" s="333">
        <f>IF(G39&lt;&gt;"",VLOOKUP(G39,precio_barras,9,FALSE),0)</f>
        <v>231.4</v>
      </c>
      <c r="K39" s="481">
        <v>2</v>
      </c>
      <c r="L39" s="343" t="str">
        <f>IF(G39&lt;&gt;"",IF(VLOOKUP(G39,base_barras,10,FALSE)&lt;&gt;"",VLOOKUP(G39,base_barras,10,FALSE),"-"),"-")</f>
        <v>1.5/1600</v>
      </c>
      <c r="M39" s="333">
        <f>IF(L39&lt;&gt;"-",VLOOKUP(L39,precio_aislador,2,FALSE),0)</f>
        <v>22</v>
      </c>
      <c r="N39" s="360">
        <f>(I39*J39*F39+K39*M39)*E39*1.67*1.25</f>
        <v>2686.0280000000002</v>
      </c>
      <c r="O39" s="288"/>
      <c r="P39" s="297"/>
      <c r="Q39" s="297"/>
    </row>
    <row r="40" spans="1:20" s="102" customFormat="1" ht="13.5" thickBot="1">
      <c r="A40" s="2644"/>
      <c r="B40" s="707" t="s">
        <v>2504</v>
      </c>
      <c r="C40" s="479"/>
      <c r="D40" s="364">
        <f>IF(H40&lt;&gt;"",VLOOKUP(G40,base_barras,IF(H40="Desnuda",2,5)+F40-1,FALSE),"-")</f>
        <v>3170</v>
      </c>
      <c r="E40" s="365">
        <v>4</v>
      </c>
      <c r="F40" s="366">
        <v>3</v>
      </c>
      <c r="G40" s="322" t="s">
        <v>582</v>
      </c>
      <c r="H40" s="366" t="s">
        <v>1043</v>
      </c>
      <c r="I40" s="367">
        <f>0.5+0.8+0.8+0.2</f>
        <v>2.3000000000000003</v>
      </c>
      <c r="J40" s="368">
        <f>IF(G40&lt;&gt;"",VLOOKUP(G40,precio_barras,9,FALSE),0)</f>
        <v>71.100000000000009</v>
      </c>
      <c r="K40" s="365">
        <v>3</v>
      </c>
      <c r="L40" s="369" t="str">
        <f>IF(G40&lt;&gt;"",IF(VLOOKUP(G40,base_barras,10,FALSE)&lt;&gt;"",VLOOKUP(G40,base_barras,10,FALSE),"-"),"-")</f>
        <v>1/1000</v>
      </c>
      <c r="M40" s="368">
        <f>IF(L40&lt;&gt;"-",VLOOKUP(L40,precio_aislador,2,FALSE),0)</f>
        <v>2.7</v>
      </c>
      <c r="N40" s="370">
        <f>(I40*J40*F40+K40*M40)*E40*1.67*1.25</f>
        <v>4164.0615000000007</v>
      </c>
      <c r="O40" s="288"/>
      <c r="P40" s="297"/>
      <c r="Q40" s="297"/>
    </row>
    <row r="41" spans="1:20" s="102" customFormat="1" ht="12.75" customHeight="1">
      <c r="A41" s="2644"/>
      <c r="B41" s="692" t="s">
        <v>2506</v>
      </c>
      <c r="C41" s="693"/>
      <c r="D41" s="697">
        <f>IF(H41&lt;&gt;"",VLOOKUP(G41,base_barras,IF(H41="Desnuda",2,5)+F41-1,FALSE),"-")</f>
        <v>3290</v>
      </c>
      <c r="E41" s="694">
        <v>4</v>
      </c>
      <c r="F41" s="655">
        <v>1</v>
      </c>
      <c r="G41" s="698" t="s">
        <v>584</v>
      </c>
      <c r="H41" s="655" t="s">
        <v>1043</v>
      </c>
      <c r="I41" s="398">
        <v>1.2</v>
      </c>
      <c r="J41" s="478">
        <f>IF(G41&lt;&gt;"",VLOOKUP(G41,precio_barras,9,FALSE),0)</f>
        <v>231.4</v>
      </c>
      <c r="K41" s="705">
        <v>2</v>
      </c>
      <c r="L41" s="695" t="str">
        <f>IF(G41&lt;&gt;"",IF(VLOOKUP(G41,base_barras,10,FALSE)&lt;&gt;"",VLOOKUP(G41,base_barras,10,FALSE),"-"),"-")</f>
        <v>1.5/1600</v>
      </c>
      <c r="M41" s="478">
        <f>IF(L41&lt;&gt;"-",VLOOKUP(L41,precio_aislador,2,FALSE),0)</f>
        <v>22</v>
      </c>
      <c r="N41" s="696">
        <f>(I41*J41*F41+K41*M41)*E41*1.67*1.25</f>
        <v>2686.0280000000002</v>
      </c>
      <c r="O41" s="288"/>
      <c r="P41" s="297"/>
      <c r="Q41" s="297"/>
    </row>
    <row r="42" spans="1:20" s="102" customFormat="1" ht="13.5" thickBot="1">
      <c r="A42" s="2640"/>
      <c r="B42" s="700" t="s">
        <v>2504</v>
      </c>
      <c r="C42" s="701"/>
      <c r="D42" s="708">
        <f>IF(H42&lt;&gt;"",VLOOKUP(G42,base_barras,IF(H42="Desnuda",2,5)+F42-1,FALSE),"-")</f>
        <v>3170</v>
      </c>
      <c r="E42" s="702">
        <v>4</v>
      </c>
      <c r="F42" s="709">
        <v>3</v>
      </c>
      <c r="G42" s="710" t="s">
        <v>582</v>
      </c>
      <c r="H42" s="709" t="s">
        <v>1043</v>
      </c>
      <c r="I42" s="711">
        <f>0.5+0.8+0.8+0.2</f>
        <v>2.3000000000000003</v>
      </c>
      <c r="J42" s="480">
        <f>IF(G42&lt;&gt;"",VLOOKUP(G42,precio_barras,9,FALSE),0)</f>
        <v>71.100000000000009</v>
      </c>
      <c r="K42" s="702">
        <v>3</v>
      </c>
      <c r="L42" s="703" t="str">
        <f>IF(G42&lt;&gt;"",IF(VLOOKUP(G42,base_barras,10,FALSE)&lt;&gt;"",VLOOKUP(G42,base_barras,10,FALSE),"-"),"-")</f>
        <v>1/1000</v>
      </c>
      <c r="M42" s="480">
        <f>IF(L42&lt;&gt;"-",VLOOKUP(L42,precio_aislador,2,FALSE),0)</f>
        <v>2.7</v>
      </c>
      <c r="N42" s="704">
        <f>(I42*J42*F42+K42*M42)*E42*1.67*1.25</f>
        <v>4164.0615000000007</v>
      </c>
      <c r="O42" s="288"/>
      <c r="P42" s="297"/>
      <c r="Q42" s="297"/>
    </row>
    <row r="43" spans="1:20" s="102" customFormat="1" ht="13.5" thickBot="1">
      <c r="A43" s="323"/>
      <c r="B43" s="323"/>
      <c r="C43" s="309"/>
      <c r="D43" s="382"/>
      <c r="E43" s="323"/>
      <c r="F43" s="309"/>
      <c r="G43" s="309"/>
      <c r="H43" s="323"/>
      <c r="I43" s="325"/>
      <c r="J43" s="325"/>
      <c r="K43" s="323"/>
      <c r="L43" s="323"/>
      <c r="M43" s="325"/>
      <c r="N43" s="706">
        <f>SUM(N39:N42)</f>
        <v>13700.179</v>
      </c>
      <c r="O43" s="288"/>
      <c r="P43" s="297"/>
      <c r="Q43" s="297"/>
    </row>
    <row r="44" spans="1:20" s="102" customFormat="1" ht="8.25" customHeight="1" thickBot="1">
      <c r="A44" s="323"/>
      <c r="B44" s="323"/>
      <c r="C44" s="323"/>
      <c r="D44" s="382"/>
      <c r="E44" s="323"/>
      <c r="F44" s="325"/>
      <c r="G44" s="325"/>
      <c r="H44" s="325"/>
      <c r="I44" s="323"/>
      <c r="J44" s="323"/>
      <c r="K44" s="323"/>
      <c r="L44" s="325"/>
      <c r="M44" s="323"/>
      <c r="N44" s="309"/>
      <c r="O44" s="288"/>
      <c r="P44" s="297"/>
      <c r="Q44" s="288"/>
    </row>
    <row r="45" spans="1:20" s="102" customFormat="1">
      <c r="A45" s="2629" t="s">
        <v>1228</v>
      </c>
      <c r="B45" s="687" t="s">
        <v>2498</v>
      </c>
      <c r="C45" s="327"/>
      <c r="D45" s="328">
        <f>IF(H45&lt;&gt;"",VLOOKUP(G45,base_barras,IF(H45="Desnuda",2,5)+F45-1,FALSE),"-")</f>
        <v>2850</v>
      </c>
      <c r="E45" s="481">
        <v>4</v>
      </c>
      <c r="F45" s="330">
        <v>2</v>
      </c>
      <c r="G45" s="331" t="s">
        <v>468</v>
      </c>
      <c r="H45" s="330" t="s">
        <v>1043</v>
      </c>
      <c r="I45" s="332">
        <f>0.2+0.2+0.2+0+0.2</f>
        <v>0.8</v>
      </c>
      <c r="J45" s="333">
        <f>IF(G45&lt;&gt;"",VLOOKUP(G45,precio_barras,9,FALSE),0)</f>
        <v>88.9</v>
      </c>
      <c r="K45" s="329">
        <v>0</v>
      </c>
      <c r="L45" s="343" t="str">
        <f>IF(G45&lt;&gt;"",IF(VLOOKUP(G45,base_barras,10,FALSE)&lt;&gt;"",VLOOKUP(G45,base_barras,10,FALSE),"-"),"-")</f>
        <v>1.5/1250</v>
      </c>
      <c r="M45" s="333">
        <f>IF(L45&lt;&gt;"-",VLOOKUP(L45,precio_aislador,2,FALSE),0)</f>
        <v>5.5</v>
      </c>
      <c r="N45" s="360">
        <f>(I45*J45*F45+K45*M45)*E45*1.67*1.25</f>
        <v>1187.7040000000002</v>
      </c>
      <c r="O45" s="288"/>
      <c r="P45" s="297"/>
      <c r="Q45" s="297"/>
    </row>
    <row r="46" spans="1:20" s="102" customFormat="1" ht="13.5" thickBot="1">
      <c r="A46" s="2635"/>
      <c r="B46" s="707"/>
      <c r="C46" s="479"/>
      <c r="D46" s="364" t="str">
        <f>IF(H46&lt;&gt;"",VLOOKUP(G46,base_barras,IF(H46="Desnuda",2,5)+F46-1,FALSE),"-")</f>
        <v>-</v>
      </c>
      <c r="E46" s="365"/>
      <c r="F46" s="366"/>
      <c r="G46" s="322"/>
      <c r="H46" s="366"/>
      <c r="I46" s="367"/>
      <c r="J46" s="480">
        <f>IF(G46&lt;&gt;"",VLOOKUP(G46,precio_barras,9,FALSE),0)</f>
        <v>0</v>
      </c>
      <c r="K46" s="365"/>
      <c r="L46" s="369" t="str">
        <f>IF(G46&lt;&gt;"",IF(VLOOKUP(G46,base_barras,10,FALSE)&lt;&gt;"",VLOOKUP(G46,base_barras,10,FALSE),"-"),"-")</f>
        <v>-</v>
      </c>
      <c r="M46" s="368">
        <f>IF(L46&lt;&gt;"-",VLOOKUP(L46,precio_aislador,2,FALSE),0)</f>
        <v>0</v>
      </c>
      <c r="N46" s="370">
        <f>(I46*J46*F46+K46*M46)*E46*1.67*1.25</f>
        <v>0</v>
      </c>
      <c r="O46" s="288"/>
      <c r="P46" s="297"/>
      <c r="Q46" s="297"/>
    </row>
    <row r="47" spans="1:20" s="102" customFormat="1" ht="13.5" thickBot="1">
      <c r="A47" s="323"/>
      <c r="B47" s="323"/>
      <c r="C47" s="309"/>
      <c r="D47" s="382"/>
      <c r="E47" s="323"/>
      <c r="F47" s="309"/>
      <c r="G47" s="309"/>
      <c r="H47" s="323"/>
      <c r="I47" s="325"/>
      <c r="J47" s="325"/>
      <c r="K47" s="323"/>
      <c r="L47" s="323"/>
      <c r="M47" s="325"/>
      <c r="N47" s="706">
        <f>SUM(N45:N46)</f>
        <v>1187.7040000000002</v>
      </c>
      <c r="O47" s="288"/>
      <c r="P47" s="297"/>
      <c r="Q47" s="297"/>
    </row>
    <row r="48" spans="1:20" s="102" customFormat="1" ht="8.25" customHeight="1" thickBot="1">
      <c r="A48" s="323"/>
      <c r="B48" s="323"/>
      <c r="C48" s="323"/>
      <c r="D48" s="382"/>
      <c r="E48" s="323"/>
      <c r="F48" s="325"/>
      <c r="G48" s="325"/>
      <c r="H48" s="325"/>
      <c r="I48" s="323"/>
      <c r="J48" s="323"/>
      <c r="K48" s="323"/>
      <c r="L48" s="325"/>
      <c r="M48" s="323"/>
      <c r="N48" s="309"/>
      <c r="O48" s="288"/>
      <c r="P48" s="297"/>
      <c r="Q48" s="288"/>
    </row>
    <row r="49" spans="1:20" s="102" customFormat="1">
      <c r="A49" s="2645" t="s">
        <v>2548</v>
      </c>
      <c r="B49" s="687" t="s">
        <v>2504</v>
      </c>
      <c r="C49" s="327"/>
      <c r="D49" s="328">
        <f>IF(H49&lt;&gt;"",VLOOKUP(G49,base_barras,IF(H49="Desnuda",2,5)+F49-1,FALSE),"-")</f>
        <v>3170</v>
      </c>
      <c r="E49" s="329">
        <v>4</v>
      </c>
      <c r="F49" s="330">
        <v>3</v>
      </c>
      <c r="G49" s="331" t="s">
        <v>582</v>
      </c>
      <c r="H49" s="330" t="s">
        <v>1043</v>
      </c>
      <c r="I49" s="332">
        <f>0.3+0.35</f>
        <v>0.64999999999999991</v>
      </c>
      <c r="J49" s="333">
        <f>IF(G49&lt;&gt;"",VLOOKUP(G49,precio_barras,9,FALSE),0)</f>
        <v>71.100000000000009</v>
      </c>
      <c r="K49" s="329">
        <v>0</v>
      </c>
      <c r="L49" s="343" t="str">
        <f>IF(G49&lt;&gt;"",IF(VLOOKUP(G49,base_barras,10,FALSE)&lt;&gt;"",VLOOKUP(G49,base_barras,10,FALSE),"-"),"-")</f>
        <v>1/1000</v>
      </c>
      <c r="M49" s="333">
        <f>IF(L49&lt;&gt;"-",VLOOKUP(L49,precio_aislador,2,FALSE),0)</f>
        <v>2.7</v>
      </c>
      <c r="N49" s="360">
        <f>(I49*J49*F49+K49*M49)*E49*1.67*1.25</f>
        <v>1157.6857499999999</v>
      </c>
      <c r="O49" s="288"/>
      <c r="P49" s="297"/>
      <c r="Q49" s="297"/>
    </row>
    <row r="50" spans="1:20" s="199" customFormat="1" ht="15.75" customHeight="1">
      <c r="A50" s="2646"/>
      <c r="B50" s="692" t="s">
        <v>2498</v>
      </c>
      <c r="C50" s="693"/>
      <c r="D50" s="697">
        <f>IF(H50&lt;&gt;"",VLOOKUP(G50,base_barras,IF(H50="Desnuda",2,5)+F50-1,FALSE),"-")</f>
        <v>2850</v>
      </c>
      <c r="E50" s="694">
        <v>4</v>
      </c>
      <c r="F50" s="655">
        <v>2</v>
      </c>
      <c r="G50" s="698" t="s">
        <v>468</v>
      </c>
      <c r="H50" s="655" t="s">
        <v>1043</v>
      </c>
      <c r="I50" s="398">
        <v>1.2</v>
      </c>
      <c r="J50" s="478">
        <f>IF(G50&lt;&gt;"",VLOOKUP(G50,precio_barras,9,FALSE),0)</f>
        <v>88.9</v>
      </c>
      <c r="K50" s="694">
        <v>2</v>
      </c>
      <c r="L50" s="695" t="str">
        <f>IF(G50&lt;&gt;"",IF(VLOOKUP(G50,base_barras,10,FALSE)&lt;&gt;"",VLOOKUP(G50,base_barras,10,FALSE),"-"),"-")</f>
        <v>1.5/1250</v>
      </c>
      <c r="M50" s="478">
        <f>IF(L50&lt;&gt;"-",VLOOKUP(L50,precio_aislador,2,FALSE),0)</f>
        <v>5.5</v>
      </c>
      <c r="N50" s="696">
        <f>(I50*J50*F50+K50*M50)*E50*1.67*1.25</f>
        <v>1873.4059999999999</v>
      </c>
      <c r="O50" s="288"/>
      <c r="P50" s="297"/>
      <c r="Q50" s="288"/>
      <c r="R50" s="102"/>
      <c r="S50" s="102"/>
      <c r="T50" s="102"/>
    </row>
    <row r="51" spans="1:20" s="199" customFormat="1" ht="15.75" customHeight="1" thickBot="1">
      <c r="A51" s="2646"/>
      <c r="B51" s="707" t="s">
        <v>2498</v>
      </c>
      <c r="C51" s="479"/>
      <c r="D51" s="364">
        <f>IF(H51&lt;&gt;"",VLOOKUP(G51,base_barras,IF(H51="Desnuda",2,5)+F51-1,FALSE),"-")</f>
        <v>2850</v>
      </c>
      <c r="E51" s="365">
        <v>4</v>
      </c>
      <c r="F51" s="366">
        <v>2</v>
      </c>
      <c r="G51" s="322" t="s">
        <v>468</v>
      </c>
      <c r="H51" s="366" t="s">
        <v>1043</v>
      </c>
      <c r="I51" s="367">
        <v>0.7</v>
      </c>
      <c r="J51" s="368">
        <f>IF(G51&lt;&gt;"",VLOOKUP(G51,precio_barras,9,FALSE),0)</f>
        <v>88.9</v>
      </c>
      <c r="K51" s="365">
        <v>1</v>
      </c>
      <c r="L51" s="369" t="str">
        <f>IF(G51&lt;&gt;"",IF(VLOOKUP(G51,base_barras,10,FALSE)&lt;&gt;"",VLOOKUP(G51,base_barras,10,FALSE),"-"),"-")</f>
        <v>1.5/1250</v>
      </c>
      <c r="M51" s="368">
        <f>IF(L51&lt;&gt;"-",VLOOKUP(L51,precio_aislador,2,FALSE),0)</f>
        <v>5.5</v>
      </c>
      <c r="N51" s="370">
        <f>(I51*J51*F51+K51*M51)*E51*1.67*1.25</f>
        <v>1085.1659999999997</v>
      </c>
      <c r="O51" s="288"/>
      <c r="P51" s="297"/>
      <c r="Q51" s="288"/>
      <c r="R51" s="102"/>
      <c r="S51" s="102"/>
      <c r="T51" s="102"/>
    </row>
    <row r="52" spans="1:20" s="102" customFormat="1">
      <c r="A52" s="2646"/>
      <c r="B52" s="692" t="s">
        <v>2504</v>
      </c>
      <c r="C52" s="693"/>
      <c r="D52" s="697">
        <f>IF(H52&lt;&gt;"",VLOOKUP(G52,base_barras,IF(H52="Desnuda",2,5)+F52-1,FALSE),"-")</f>
        <v>3170</v>
      </c>
      <c r="E52" s="694">
        <v>4</v>
      </c>
      <c r="F52" s="655">
        <v>3</v>
      </c>
      <c r="G52" s="698" t="s">
        <v>582</v>
      </c>
      <c r="H52" s="655" t="s">
        <v>1043</v>
      </c>
      <c r="I52" s="398">
        <f>0.3+0.35</f>
        <v>0.64999999999999991</v>
      </c>
      <c r="J52" s="478">
        <f>IF(G52&lt;&gt;"",VLOOKUP(G52,precio_barras,9,FALSE),0)</f>
        <v>71.100000000000009</v>
      </c>
      <c r="K52" s="694">
        <v>0</v>
      </c>
      <c r="L52" s="695" t="str">
        <f>IF(G52&lt;&gt;"",IF(VLOOKUP(G52,base_barras,10,FALSE)&lt;&gt;"",VLOOKUP(G52,base_barras,10,FALSE),"-"),"-")</f>
        <v>1/1000</v>
      </c>
      <c r="M52" s="478">
        <f>IF(L52&lt;&gt;"-",VLOOKUP(L52,precio_aislador,2,FALSE),0)</f>
        <v>2.7</v>
      </c>
      <c r="N52" s="696">
        <f>(I52*J52*F52+K52*M52)*E52*1.67*1.25</f>
        <v>1157.6857499999999</v>
      </c>
      <c r="O52" s="288"/>
      <c r="P52" s="297"/>
      <c r="Q52" s="297"/>
    </row>
    <row r="53" spans="1:20" s="199" customFormat="1" ht="15.75" customHeight="1" thickBot="1">
      <c r="A53" s="2647"/>
      <c r="B53" s="700" t="s">
        <v>2498</v>
      </c>
      <c r="C53" s="701"/>
      <c r="D53" s="708">
        <f>IF(H53&lt;&gt;"",VLOOKUP(G53,base_barras,IF(H53="Desnuda",2,5)+F53-1,FALSE),"-")</f>
        <v>2850</v>
      </c>
      <c r="E53" s="702">
        <v>4</v>
      </c>
      <c r="F53" s="709">
        <v>2</v>
      </c>
      <c r="G53" s="710" t="s">
        <v>468</v>
      </c>
      <c r="H53" s="709" t="s">
        <v>1043</v>
      </c>
      <c r="I53" s="711">
        <v>1.2</v>
      </c>
      <c r="J53" s="480">
        <f>IF(G53&lt;&gt;"",VLOOKUP(G53,precio_barras,9,FALSE),0)</f>
        <v>88.9</v>
      </c>
      <c r="K53" s="702">
        <v>2</v>
      </c>
      <c r="L53" s="703" t="str">
        <f>IF(G53&lt;&gt;"",IF(VLOOKUP(G53,base_barras,10,FALSE)&lt;&gt;"",VLOOKUP(G53,base_barras,10,FALSE),"-"),"-")</f>
        <v>1.5/1250</v>
      </c>
      <c r="M53" s="480">
        <f>IF(L53&lt;&gt;"-",VLOOKUP(L53,precio_aislador,2,FALSE),0)</f>
        <v>5.5</v>
      </c>
      <c r="N53" s="704">
        <f>(I53*J53*F53+K53*M53)*E53*1.67*1.25</f>
        <v>1873.4059999999999</v>
      </c>
      <c r="O53" s="288"/>
      <c r="P53" s="297"/>
      <c r="Q53" s="288"/>
      <c r="R53" s="102"/>
      <c r="S53" s="102"/>
      <c r="T53" s="102"/>
    </row>
    <row r="54" spans="1:20" s="102" customFormat="1" ht="13.5" thickBot="1">
      <c r="A54" s="323"/>
      <c r="B54" s="323"/>
      <c r="C54" s="309"/>
      <c r="D54" s="382"/>
      <c r="E54" s="323"/>
      <c r="F54" s="309"/>
      <c r="G54" s="309"/>
      <c r="H54" s="323"/>
      <c r="I54" s="325"/>
      <c r="J54" s="325"/>
      <c r="K54" s="323"/>
      <c r="L54" s="323"/>
      <c r="M54" s="325"/>
      <c r="N54" s="706">
        <f>SUM(N49:N53)</f>
        <v>7147.3494999999984</v>
      </c>
      <c r="O54" s="288"/>
      <c r="P54" s="297"/>
      <c r="Q54" s="297"/>
    </row>
    <row r="55" spans="1:20" s="102" customFormat="1" ht="8.25" customHeight="1" thickBot="1">
      <c r="A55" s="323"/>
      <c r="B55" s="323"/>
      <c r="C55" s="323"/>
      <c r="D55" s="382"/>
      <c r="E55" s="323"/>
      <c r="F55" s="325"/>
      <c r="G55" s="325"/>
      <c r="H55" s="325"/>
      <c r="I55" s="323"/>
      <c r="J55" s="323"/>
      <c r="K55" s="323"/>
      <c r="L55" s="325"/>
      <c r="M55" s="323"/>
      <c r="N55" s="309"/>
      <c r="O55" s="288"/>
      <c r="P55" s="297"/>
      <c r="Q55" s="288"/>
    </row>
    <row r="56" spans="1:20" s="102" customFormat="1">
      <c r="A56" s="2629" t="s">
        <v>1034</v>
      </c>
      <c r="B56" s="687" t="s">
        <v>2504</v>
      </c>
      <c r="C56" s="327"/>
      <c r="D56" s="328">
        <f>IF(H56&lt;&gt;"",VLOOKUP(G56,base_barras,IF(H56="Desnuda",2,5)+F56-1,FALSE),"-")</f>
        <v>3170</v>
      </c>
      <c r="E56" s="329">
        <v>4</v>
      </c>
      <c r="F56" s="330">
        <v>3</v>
      </c>
      <c r="G56" s="331" t="s">
        <v>582</v>
      </c>
      <c r="H56" s="330" t="s">
        <v>1043</v>
      </c>
      <c r="I56" s="332">
        <v>0</v>
      </c>
      <c r="J56" s="333">
        <f>IF(G56&lt;&gt;"",VLOOKUP(G56,precio_barras,9,FALSE),0)</f>
        <v>71.100000000000009</v>
      </c>
      <c r="K56" s="329">
        <v>0</v>
      </c>
      <c r="L56" s="343" t="str">
        <f>IF(G56&lt;&gt;"",IF(VLOOKUP(G56,base_barras,10,FALSE)&lt;&gt;"",VLOOKUP(G56,base_barras,10,FALSE),"-"),"-")</f>
        <v>1/1000</v>
      </c>
      <c r="M56" s="333">
        <f>IF(L56&lt;&gt;"-",VLOOKUP(L56,precio_aislador,2,FALSE),0)</f>
        <v>2.7</v>
      </c>
      <c r="N56" s="360">
        <f>(I56*J56*F56+K56*M56)*E56*1.67*1.25</f>
        <v>0</v>
      </c>
      <c r="O56" s="288"/>
      <c r="P56" s="297"/>
      <c r="Q56" s="297"/>
    </row>
    <row r="57" spans="1:20" s="102" customFormat="1" ht="13.5" thickBot="1">
      <c r="A57" s="2635"/>
      <c r="B57" s="700" t="s">
        <v>2504</v>
      </c>
      <c r="C57" s="701"/>
      <c r="D57" s="708">
        <f>IF(H57&lt;&gt;"",VLOOKUP(G57,base_barras,IF(H57="Desnuda",2,5)+F57-1,FALSE),"-")</f>
        <v>3170</v>
      </c>
      <c r="E57" s="702">
        <v>4</v>
      </c>
      <c r="F57" s="709">
        <v>3</v>
      </c>
      <c r="G57" s="710" t="s">
        <v>582</v>
      </c>
      <c r="H57" s="709" t="s">
        <v>1043</v>
      </c>
      <c r="I57" s="711">
        <v>0</v>
      </c>
      <c r="J57" s="480">
        <f>IF(G57&lt;&gt;"",VLOOKUP(G57,precio_barras,9,FALSE),0)</f>
        <v>71.100000000000009</v>
      </c>
      <c r="K57" s="702">
        <v>0</v>
      </c>
      <c r="L57" s="703" t="str">
        <f>IF(G57&lt;&gt;"",IF(VLOOKUP(G57,base_barras,10,FALSE)&lt;&gt;"",VLOOKUP(G57,base_barras,10,FALSE),"-"),"-")</f>
        <v>1/1000</v>
      </c>
      <c r="M57" s="480">
        <f>IF(L57&lt;&gt;"-",VLOOKUP(L57,precio_aislador,2,FALSE),0)</f>
        <v>2.7</v>
      </c>
      <c r="N57" s="704">
        <f>(I57*J57*F57+K57*M57)*E57*1.67*1.25</f>
        <v>0</v>
      </c>
      <c r="O57" s="288"/>
      <c r="P57" s="297"/>
      <c r="Q57" s="297"/>
    </row>
    <row r="58" spans="1:20" s="102" customFormat="1" ht="13.5" thickBot="1">
      <c r="A58" s="323"/>
      <c r="B58" s="323"/>
      <c r="C58" s="309"/>
      <c r="D58" s="382"/>
      <c r="E58" s="323"/>
      <c r="F58" s="309"/>
      <c r="G58" s="309"/>
      <c r="H58" s="323"/>
      <c r="I58" s="325"/>
      <c r="J58" s="325"/>
      <c r="K58" s="323"/>
      <c r="L58" s="323"/>
      <c r="M58" s="325"/>
      <c r="N58" s="706">
        <f>SUM(N56:N57)</f>
        <v>0</v>
      </c>
      <c r="O58" s="288"/>
      <c r="P58" s="297"/>
      <c r="Q58" s="297"/>
    </row>
    <row r="59" spans="1:20" s="110" customFormat="1">
      <c r="A59" s="323"/>
      <c r="B59" s="309"/>
      <c r="C59" s="309"/>
      <c r="D59" s="382"/>
      <c r="E59" s="323"/>
      <c r="F59" s="309"/>
      <c r="G59" s="309"/>
      <c r="H59" s="323"/>
      <c r="I59" s="325"/>
      <c r="J59" s="325"/>
      <c r="K59" s="323"/>
      <c r="L59" s="323"/>
      <c r="M59" s="325"/>
      <c r="N59" s="477"/>
      <c r="O59" s="288"/>
      <c r="P59" s="297"/>
      <c r="Q59" s="297"/>
    </row>
    <row r="60" spans="1:20" s="110" customFormat="1">
      <c r="A60" s="323"/>
      <c r="B60" s="485"/>
      <c r="C60" s="485"/>
      <c r="D60" s="486"/>
      <c r="E60" s="487"/>
      <c r="F60" s="485"/>
      <c r="G60" s="485"/>
      <c r="H60" s="487"/>
      <c r="I60" s="488"/>
      <c r="J60" s="488"/>
      <c r="K60" s="487"/>
      <c r="L60" s="487"/>
      <c r="M60" s="488"/>
      <c r="N60" s="489"/>
      <c r="O60" s="490"/>
      <c r="P60" s="491"/>
      <c r="Q60" s="297"/>
    </row>
    <row r="61" spans="1:20" s="110" customFormat="1">
      <c r="A61" s="323"/>
      <c r="B61" s="485"/>
      <c r="C61" s="485"/>
      <c r="D61" s="486"/>
      <c r="E61" s="487"/>
      <c r="F61" s="485"/>
      <c r="G61" s="485"/>
      <c r="H61" s="487"/>
      <c r="I61" s="488"/>
      <c r="J61" s="488"/>
      <c r="K61" s="487"/>
      <c r="L61" s="487"/>
      <c r="M61" s="488"/>
      <c r="N61" s="489"/>
      <c r="O61" s="490"/>
      <c r="P61" s="491"/>
      <c r="Q61" s="297"/>
    </row>
    <row r="62" spans="1:20" s="102" customFormat="1">
      <c r="A62" s="323"/>
      <c r="B62" s="309"/>
      <c r="C62" s="309"/>
      <c r="D62" s="382"/>
      <c r="E62" s="323"/>
      <c r="F62" s="309"/>
      <c r="G62" s="309"/>
      <c r="H62" s="323"/>
      <c r="I62" s="325"/>
      <c r="J62" s="325"/>
      <c r="K62" s="323"/>
      <c r="L62" s="323"/>
      <c r="M62" s="325"/>
      <c r="N62" s="722"/>
      <c r="O62" s="288"/>
      <c r="P62" s="297"/>
      <c r="Q62" s="297"/>
    </row>
    <row r="63" spans="1:20" s="102" customFormat="1" ht="13.5" thickBot="1">
      <c r="A63" s="323"/>
      <c r="B63" s="309"/>
      <c r="C63" s="309"/>
      <c r="D63" s="382"/>
      <c r="E63" s="323"/>
      <c r="F63" s="309"/>
      <c r="G63" s="309"/>
      <c r="H63" s="323"/>
      <c r="I63" s="325"/>
      <c r="J63" s="325"/>
      <c r="K63" s="323"/>
      <c r="L63" s="323"/>
      <c r="M63" s="325"/>
      <c r="N63" s="722"/>
      <c r="O63" s="288"/>
      <c r="P63" s="297"/>
      <c r="Q63" s="297"/>
    </row>
    <row r="64" spans="1:20" s="102" customFormat="1" ht="13.5" thickBot="1">
      <c r="A64" s="2654" t="s">
        <v>1034</v>
      </c>
      <c r="B64" s="687" t="s">
        <v>3592</v>
      </c>
      <c r="C64" s="327"/>
      <c r="D64" s="328">
        <f>IF(H64&lt;&gt;"",VLOOKUP(G64,base_barras,IF(H64="Desnuda",2,5)+F64-1,FALSE),"-")</f>
        <v>319</v>
      </c>
      <c r="E64" s="329">
        <v>3</v>
      </c>
      <c r="F64" s="330">
        <v>1</v>
      </c>
      <c r="G64" s="331" t="s">
        <v>61</v>
      </c>
      <c r="H64" s="330" t="s">
        <v>1043</v>
      </c>
      <c r="I64" s="332">
        <v>0.2</v>
      </c>
      <c r="J64" s="333">
        <f>IF(G64&lt;&gt;"",VLOOKUP(G64,precio_barras,9,FALSE),0)</f>
        <v>8.8000000000000007</v>
      </c>
      <c r="K64" s="329">
        <v>0</v>
      </c>
      <c r="L64" s="343" t="str">
        <f>IF(G64&lt;&gt;"",IF(VLOOKUP(G64,base_barras,10,FALSE)&lt;&gt;"",VLOOKUP(G64,base_barras,10,FALSE),"-"),"-")</f>
        <v>-</v>
      </c>
      <c r="M64" s="333">
        <f>IF(L64&lt;&gt;"-",VLOOKUP(L64,precio_aislador,2,FALSE),0)</f>
        <v>0</v>
      </c>
      <c r="N64" s="360">
        <f>(I64*J64*F64+K64*M64)*E64*1.67*1.25</f>
        <v>11.022000000000002</v>
      </c>
      <c r="O64" s="288"/>
      <c r="P64" s="297"/>
      <c r="Q64" s="297"/>
    </row>
    <row r="65" spans="1:20" s="102" customFormat="1" ht="13.5" thickBot="1">
      <c r="A65" s="2655"/>
      <c r="B65" s="712" t="s">
        <v>3593</v>
      </c>
      <c r="C65" s="701"/>
      <c r="D65" s="708">
        <f>IF(H65&lt;&gt;"",VLOOKUP(G65,base_barras,IF(H65="Desnuda",2,5)+F65-1,FALSE),"-")</f>
        <v>384</v>
      </c>
      <c r="E65" s="702">
        <v>3</v>
      </c>
      <c r="F65" s="709">
        <v>1</v>
      </c>
      <c r="G65" s="710" t="s">
        <v>63</v>
      </c>
      <c r="H65" s="709" t="s">
        <v>1043</v>
      </c>
      <c r="I65" s="711">
        <v>0.3</v>
      </c>
      <c r="J65" s="480">
        <f>IF(G65&lt;&gt;"",VLOOKUP(G65,precio_barras,9,FALSE),0)</f>
        <v>11.100000000000001</v>
      </c>
      <c r="K65" s="702">
        <v>0</v>
      </c>
      <c r="L65" s="703" t="str">
        <f>IF(G65&lt;&gt;"",IF(VLOOKUP(G65,base_barras,10,FALSE)&lt;&gt;"",VLOOKUP(G65,base_barras,10,FALSE),"-"),"-")</f>
        <v>0.5/400</v>
      </c>
      <c r="M65" s="480">
        <f>IF(L65&lt;&gt;"-",VLOOKUP(L65,precio_aislador,2,FALSE),0)</f>
        <v>1.2</v>
      </c>
      <c r="N65" s="704">
        <f>(I65*J65*F65+K65*M65)*E65*1.67*1.25</f>
        <v>20.854125000000003</v>
      </c>
      <c r="O65" s="288"/>
      <c r="P65" s="297"/>
      <c r="Q65" s="297"/>
    </row>
    <row r="66" spans="1:20" s="102" customFormat="1" ht="13.5" thickBot="1">
      <c r="A66" s="2655"/>
      <c r="B66" s="712" t="s">
        <v>3594</v>
      </c>
      <c r="C66" s="701"/>
      <c r="D66" s="708">
        <f t="shared" ref="D66:D71" si="31">IF(H66&lt;&gt;"",VLOOKUP(G66,base_barras,IF(H66="Desnuda",2,5)+F66-1,FALSE),"-")</f>
        <v>447</v>
      </c>
      <c r="E66" s="702">
        <v>3</v>
      </c>
      <c r="F66" s="709">
        <v>1</v>
      </c>
      <c r="G66" s="710" t="s">
        <v>579</v>
      </c>
      <c r="H66" s="709" t="s">
        <v>1043</v>
      </c>
      <c r="I66" s="711">
        <v>0.3</v>
      </c>
      <c r="J66" s="480">
        <f t="shared" ref="J66:J71" si="32">IF(G66&lt;&gt;"",VLOOKUP(G66,precio_barras,9,FALSE),0)</f>
        <v>13.3</v>
      </c>
      <c r="K66" s="702">
        <v>0</v>
      </c>
      <c r="L66" s="703" t="str">
        <f t="shared" ref="L66:L71" si="33">IF(G66&lt;&gt;"",IF(VLOOKUP(G66,base_barras,10,FALSE)&lt;&gt;"",VLOOKUP(G66,base_barras,10,FALSE),"-"),"-")</f>
        <v>0.5/400</v>
      </c>
      <c r="M66" s="480">
        <f t="shared" ref="M66:M71" si="34">IF(L66&lt;&gt;"-",VLOOKUP(L66,precio_aislador,2,FALSE),0)</f>
        <v>1.2</v>
      </c>
      <c r="N66" s="704">
        <f t="shared" ref="N66:N71" si="35">(I66*J66*F66+K66*M66)*E66*1.67*1.25</f>
        <v>24.987375</v>
      </c>
      <c r="O66" s="288"/>
      <c r="P66" s="297"/>
      <c r="Q66" s="297"/>
    </row>
    <row r="67" spans="1:20" s="102" customFormat="1" ht="13.5" thickBot="1">
      <c r="A67" s="2655"/>
      <c r="B67" s="712" t="s">
        <v>3595</v>
      </c>
      <c r="C67" s="701"/>
      <c r="D67" s="708">
        <f t="shared" si="31"/>
        <v>676</v>
      </c>
      <c r="E67" s="702">
        <v>3</v>
      </c>
      <c r="F67" s="709">
        <v>1</v>
      </c>
      <c r="G67" s="710" t="s">
        <v>314</v>
      </c>
      <c r="H67" s="709" t="s">
        <v>1043</v>
      </c>
      <c r="I67" s="711">
        <v>0.3</v>
      </c>
      <c r="J67" s="480">
        <f t="shared" si="32"/>
        <v>26.6</v>
      </c>
      <c r="K67" s="702">
        <v>0</v>
      </c>
      <c r="L67" s="703" t="str">
        <f t="shared" si="33"/>
        <v>1/750</v>
      </c>
      <c r="M67" s="480">
        <f t="shared" si="34"/>
        <v>1.9</v>
      </c>
      <c r="N67" s="704">
        <f t="shared" si="35"/>
        <v>49.97475</v>
      </c>
      <c r="O67" s="288"/>
      <c r="P67" s="297"/>
      <c r="Q67" s="297"/>
    </row>
    <row r="68" spans="1:20" s="102" customFormat="1" ht="13.5" thickBot="1">
      <c r="A68" s="2655"/>
      <c r="B68" s="712" t="s">
        <v>3596</v>
      </c>
      <c r="C68" s="701"/>
      <c r="D68" s="708">
        <f t="shared" si="31"/>
        <v>1020</v>
      </c>
      <c r="E68" s="702">
        <v>3</v>
      </c>
      <c r="F68" s="709">
        <v>1</v>
      </c>
      <c r="G68" s="710" t="s">
        <v>315</v>
      </c>
      <c r="H68" s="709" t="s">
        <v>1043</v>
      </c>
      <c r="I68" s="711">
        <v>0.3</v>
      </c>
      <c r="J68" s="480">
        <f t="shared" si="32"/>
        <v>44.400000000000006</v>
      </c>
      <c r="K68" s="702">
        <v>0</v>
      </c>
      <c r="L68" s="703" t="str">
        <f t="shared" si="33"/>
        <v>1/750</v>
      </c>
      <c r="M68" s="480">
        <f t="shared" si="34"/>
        <v>1.9</v>
      </c>
      <c r="N68" s="704">
        <f t="shared" si="35"/>
        <v>83.416500000000013</v>
      </c>
      <c r="O68" s="288"/>
      <c r="P68" s="297"/>
      <c r="Q68" s="297"/>
    </row>
    <row r="69" spans="1:20" s="102" customFormat="1" ht="13.5" thickBot="1">
      <c r="A69" s="2655"/>
      <c r="B69" s="712" t="s">
        <v>3597</v>
      </c>
      <c r="C69" s="701"/>
      <c r="D69" s="708">
        <f t="shared" si="31"/>
        <v>1180</v>
      </c>
      <c r="E69" s="702">
        <v>3</v>
      </c>
      <c r="F69" s="709">
        <v>1</v>
      </c>
      <c r="G69" s="710" t="s">
        <v>581</v>
      </c>
      <c r="H69" s="709" t="s">
        <v>1043</v>
      </c>
      <c r="I69" s="711">
        <v>0.35</v>
      </c>
      <c r="J69" s="480">
        <f t="shared" si="32"/>
        <v>53.3</v>
      </c>
      <c r="K69" s="1168">
        <v>1</v>
      </c>
      <c r="L69" s="703" t="str">
        <f t="shared" si="33"/>
        <v>1/750</v>
      </c>
      <c r="M69" s="480">
        <f t="shared" si="34"/>
        <v>1.9</v>
      </c>
      <c r="N69" s="704">
        <f t="shared" si="35"/>
        <v>128.72568749999996</v>
      </c>
      <c r="O69" s="288"/>
      <c r="P69" s="297"/>
      <c r="Q69" s="297"/>
    </row>
    <row r="70" spans="1:20" s="102" customFormat="1" ht="13.5" thickBot="1">
      <c r="A70" s="2655"/>
      <c r="B70" s="712" t="s">
        <v>3598</v>
      </c>
      <c r="C70" s="701"/>
      <c r="D70" s="708">
        <f>IF(H70&lt;&gt;"",VLOOKUP(G70,base_barras,IF(H70="Desnuda",2,5)+F70-1,FALSE),"-")</f>
        <v>1500</v>
      </c>
      <c r="E70" s="702">
        <v>3</v>
      </c>
      <c r="F70" s="709">
        <v>1</v>
      </c>
      <c r="G70" s="710" t="s">
        <v>582</v>
      </c>
      <c r="H70" s="709" t="s">
        <v>1043</v>
      </c>
      <c r="I70" s="711">
        <v>0.35</v>
      </c>
      <c r="J70" s="480">
        <f>IF(G70&lt;&gt;"",VLOOKUP(G70,precio_barras,9,FALSE),0)</f>
        <v>71.100000000000009</v>
      </c>
      <c r="K70" s="1168">
        <v>1</v>
      </c>
      <c r="L70" s="703" t="str">
        <f>IF(G70&lt;&gt;"",IF(VLOOKUP(G70,base_barras,10,FALSE)&lt;&gt;"",VLOOKUP(G70,base_barras,10,FALSE),"-"),"-")</f>
        <v>1/1000</v>
      </c>
      <c r="M70" s="480">
        <f>IF(L70&lt;&gt;"-",VLOOKUP(L70,precio_aislador,2,FALSE),0)</f>
        <v>2.7</v>
      </c>
      <c r="N70" s="704">
        <f>(I70*J70*F70+K70*M70)*E70*1.67*1.25</f>
        <v>172.75106249999996</v>
      </c>
      <c r="O70" s="288"/>
      <c r="P70" s="297"/>
      <c r="Q70" s="297"/>
    </row>
    <row r="71" spans="1:20" s="102" customFormat="1" ht="13.5" thickBot="1">
      <c r="A71" s="2655"/>
      <c r="B71" s="712" t="s">
        <v>3599</v>
      </c>
      <c r="C71" s="701"/>
      <c r="D71" s="708">
        <f t="shared" si="31"/>
        <v>1810</v>
      </c>
      <c r="E71" s="702">
        <v>3</v>
      </c>
      <c r="F71" s="709">
        <v>1</v>
      </c>
      <c r="G71" s="710" t="s">
        <v>468</v>
      </c>
      <c r="H71" s="709" t="s">
        <v>1043</v>
      </c>
      <c r="I71" s="711">
        <v>0.35</v>
      </c>
      <c r="J71" s="480">
        <f t="shared" si="32"/>
        <v>88.9</v>
      </c>
      <c r="K71" s="1168">
        <v>1</v>
      </c>
      <c r="L71" s="703" t="str">
        <f t="shared" si="33"/>
        <v>1.5/1250</v>
      </c>
      <c r="M71" s="480">
        <f t="shared" si="34"/>
        <v>5.5</v>
      </c>
      <c r="N71" s="704">
        <f t="shared" si="35"/>
        <v>229.30143749999996</v>
      </c>
      <c r="O71" s="288"/>
      <c r="P71" s="297"/>
      <c r="Q71" s="297"/>
    </row>
    <row r="72" spans="1:20" s="102" customFormat="1" ht="13.5" thickBot="1">
      <c r="A72" s="2655"/>
      <c r="B72" s="712" t="s">
        <v>3600</v>
      </c>
      <c r="C72" s="701"/>
      <c r="D72" s="708">
        <f>IF(H72&lt;&gt;"",VLOOKUP(G72,base_barras,IF(H72="Desnuda",2,5)+F72-1,FALSE),"-")</f>
        <v>2110</v>
      </c>
      <c r="E72" s="702">
        <v>3</v>
      </c>
      <c r="F72" s="709">
        <v>1</v>
      </c>
      <c r="G72" s="710" t="s">
        <v>470</v>
      </c>
      <c r="H72" s="709" t="s">
        <v>1043</v>
      </c>
      <c r="I72" s="711">
        <v>0.35</v>
      </c>
      <c r="J72" s="480">
        <f>IF(G72&lt;&gt;"",VLOOKUP(G72,precio_barras,9,FALSE),0)</f>
        <v>107</v>
      </c>
      <c r="K72" s="1168">
        <v>1</v>
      </c>
      <c r="L72" s="703" t="str">
        <f>IF(G72&lt;&gt;"",IF(VLOOKUP(G72,base_barras,10,FALSE)&lt;&gt;"",VLOOKUP(G72,base_barras,10,FALSE),"-"),"-")</f>
        <v>1.5/1250</v>
      </c>
      <c r="M72" s="480">
        <f>IF(L72&lt;&gt;"-",VLOOKUP(L72,precio_aislador,2,FALSE),0)</f>
        <v>5.5</v>
      </c>
      <c r="N72" s="704">
        <f>(I72*J72*F72+K72*M72)*E72*1.67*1.25</f>
        <v>268.97437500000001</v>
      </c>
      <c r="O72" s="288"/>
      <c r="P72" s="297"/>
      <c r="Q72" s="297"/>
    </row>
    <row r="73" spans="1:20" s="102" customFormat="1" ht="13.5" thickBot="1">
      <c r="A73" s="2655"/>
      <c r="B73" s="712" t="s">
        <v>3600</v>
      </c>
      <c r="C73" s="701"/>
      <c r="D73" s="708">
        <f>IF(H73&lt;&gt;"",VLOOKUP(G73,base_barras,IF(H73="Desnuda",2,5)+F73-1,FALSE),"-")</f>
        <v>2110</v>
      </c>
      <c r="E73" s="702">
        <v>3</v>
      </c>
      <c r="F73" s="709">
        <v>1</v>
      </c>
      <c r="G73" s="710" t="s">
        <v>470</v>
      </c>
      <c r="H73" s="709" t="s">
        <v>1043</v>
      </c>
      <c r="I73" s="711">
        <v>1.35</v>
      </c>
      <c r="J73" s="480">
        <f>IF(G73&lt;&gt;"",VLOOKUP(G73,precio_barras,9,FALSE),0)</f>
        <v>107</v>
      </c>
      <c r="K73" s="1168">
        <v>2</v>
      </c>
      <c r="L73" s="703" t="str">
        <f>IF(G73&lt;&gt;"",IF(VLOOKUP(G73,base_barras,10,FALSE)&lt;&gt;"",VLOOKUP(G73,base_barras,10,FALSE),"-"),"-")</f>
        <v>1.5/1250</v>
      </c>
      <c r="M73" s="480">
        <f>IF(L73&lt;&gt;"-",VLOOKUP(L73,precio_aislador,2,FALSE),0)</f>
        <v>5.5</v>
      </c>
      <c r="N73" s="704">
        <f>(I73*J73*F73+K73*M73)*E73*1.67*1.25</f>
        <v>973.50562500000001</v>
      </c>
      <c r="O73" s="288"/>
      <c r="P73" s="297"/>
      <c r="Q73" s="297"/>
    </row>
    <row r="74" spans="1:20" s="110" customFormat="1">
      <c r="A74" s="323"/>
      <c r="B74" s="309"/>
      <c r="C74" s="309"/>
      <c r="D74" s="382"/>
      <c r="E74" s="323"/>
      <c r="F74" s="309"/>
      <c r="G74" s="309"/>
      <c r="H74" s="323"/>
      <c r="I74" s="325"/>
      <c r="J74" s="325"/>
      <c r="K74" s="323"/>
      <c r="L74" s="323"/>
      <c r="M74" s="325"/>
      <c r="N74" s="477"/>
      <c r="O74" s="288"/>
      <c r="P74" s="297"/>
      <c r="Q74" s="297"/>
    </row>
    <row r="75" spans="1:20" s="102" customFormat="1" ht="15">
      <c r="A75" s="323"/>
      <c r="B75" s="723"/>
      <c r="C75" s="309"/>
      <c r="D75" s="382"/>
      <c r="E75" s="323"/>
      <c r="F75" s="309"/>
      <c r="G75" s="309"/>
      <c r="H75" s="323"/>
      <c r="I75" s="325"/>
      <c r="J75" s="325"/>
      <c r="K75" s="323"/>
      <c r="L75" s="323"/>
      <c r="M75" s="325"/>
      <c r="N75" s="722"/>
      <c r="O75" s="288"/>
      <c r="P75" s="297"/>
      <c r="Q75" s="297"/>
    </row>
    <row r="76" spans="1:20" s="129" customFormat="1" ht="22.5" customHeight="1">
      <c r="A76" s="323"/>
      <c r="B76" s="309"/>
      <c r="C76" s="309"/>
      <c r="D76" s="382"/>
      <c r="E76" s="323"/>
      <c r="F76" s="323"/>
      <c r="G76" s="323"/>
      <c r="H76" s="323"/>
      <c r="I76" s="325"/>
      <c r="J76" s="325"/>
      <c r="K76" s="323"/>
      <c r="L76" s="323"/>
      <c r="M76" s="325"/>
      <c r="N76" s="722"/>
      <c r="O76" s="288"/>
      <c r="P76" s="297"/>
      <c r="Q76" s="288"/>
      <c r="R76" s="102"/>
      <c r="S76" s="102"/>
      <c r="T76" s="102"/>
    </row>
    <row r="77" spans="1:20" s="110" customFormat="1">
      <c r="A77" s="323"/>
      <c r="B77" s="1165" t="s">
        <v>3540</v>
      </c>
      <c r="C77" s="485"/>
      <c r="D77" s="486"/>
      <c r="E77" s="487"/>
      <c r="F77" s="485"/>
      <c r="G77" s="485"/>
      <c r="H77" s="487"/>
      <c r="I77" s="488"/>
      <c r="J77" s="488"/>
      <c r="K77" s="487"/>
      <c r="L77" s="487"/>
      <c r="M77" s="488"/>
      <c r="N77" s="489"/>
      <c r="O77" s="490"/>
      <c r="P77" s="491"/>
      <c r="Q77" s="297"/>
    </row>
    <row r="78" spans="1:20" s="110" customFormat="1">
      <c r="A78" s="323"/>
      <c r="B78" s="485"/>
      <c r="C78" s="485"/>
      <c r="D78" s="486"/>
      <c r="E78" s="487"/>
      <c r="F78" s="485"/>
      <c r="G78" s="485"/>
      <c r="H78" s="487"/>
      <c r="I78" s="488"/>
      <c r="J78" s="488"/>
      <c r="K78" s="487"/>
      <c r="L78" s="487"/>
      <c r="M78" s="488"/>
      <c r="N78" s="489"/>
      <c r="O78" s="490"/>
      <c r="P78" s="491"/>
      <c r="Q78" s="297"/>
    </row>
    <row r="79" spans="1:20" s="110" customFormat="1">
      <c r="A79" s="323"/>
      <c r="B79" s="485"/>
      <c r="C79" s="485"/>
      <c r="D79" s="486"/>
      <c r="E79" s="487"/>
      <c r="F79" s="485"/>
      <c r="G79" s="485"/>
      <c r="H79" s="487"/>
      <c r="I79" s="488"/>
      <c r="J79" s="488"/>
      <c r="K79" s="487"/>
      <c r="L79" s="487"/>
      <c r="M79" s="488"/>
      <c r="N79" s="489"/>
      <c r="O79" s="490"/>
      <c r="P79" s="491"/>
      <c r="Q79" s="297"/>
    </row>
    <row r="80" spans="1:20" s="110" customFormat="1">
      <c r="A80" s="323"/>
      <c r="B80" s="309"/>
      <c r="C80" s="309"/>
      <c r="D80" s="382"/>
      <c r="E80" s="323"/>
      <c r="F80" s="309"/>
      <c r="G80" s="309"/>
      <c r="H80" s="323"/>
      <c r="I80" s="325"/>
      <c r="J80" s="325"/>
      <c r="K80" s="323"/>
      <c r="L80" s="323"/>
      <c r="M80" s="325"/>
      <c r="N80" s="477"/>
      <c r="O80" s="288"/>
      <c r="P80" s="297"/>
      <c r="Q80" s="297"/>
    </row>
    <row r="81" spans="1:20" s="106" customFormat="1" ht="13.5" thickBot="1"/>
    <row r="82" spans="1:20" s="199" customFormat="1" ht="15.75" customHeight="1">
      <c r="A82" s="2641" t="s">
        <v>4921</v>
      </c>
      <c r="B82" s="687" t="s">
        <v>2498</v>
      </c>
      <c r="C82" s="327"/>
      <c r="D82" s="328">
        <f t="shared" ref="D82" si="36">IF(H82&lt;&gt;"",VLOOKUP(G82,base_barras,IF(H82="Desnuda",2,5)+F82-1,FALSE),"-")</f>
        <v>676</v>
      </c>
      <c r="E82" s="329">
        <v>1</v>
      </c>
      <c r="F82" s="330">
        <v>1</v>
      </c>
      <c r="G82" s="331" t="s">
        <v>314</v>
      </c>
      <c r="H82" s="330" t="s">
        <v>1043</v>
      </c>
      <c r="I82" s="332">
        <v>1.2</v>
      </c>
      <c r="J82" s="333">
        <f t="shared" ref="J82:J83" si="37">IF(G82&lt;&gt;"",VLOOKUP(G82,precio_barras,9,FALSE),0)</f>
        <v>26.6</v>
      </c>
      <c r="K82" s="329">
        <v>2</v>
      </c>
      <c r="L82" s="343" t="str">
        <f t="shared" ref="L82" si="38">IF(G82&lt;&gt;"",IF(VLOOKUP(G82,base_barras,10,FALSE)&lt;&gt;"",VLOOKUP(G82,base_barras,10,FALSE),"-"),"-")</f>
        <v>1/750</v>
      </c>
      <c r="M82" s="333">
        <f t="shared" ref="M82" si="39">IF(L82&lt;&gt;"-",VLOOKUP(L82,precio_aislador,2,FALSE),0)</f>
        <v>1.9</v>
      </c>
      <c r="N82" s="360">
        <f t="shared" ref="N82" si="40">(I82*J82*F82+K82*M82)*E82*1.67*1.25</f>
        <v>74.565499999999986</v>
      </c>
      <c r="O82" s="288"/>
      <c r="P82" s="297"/>
      <c r="Q82" s="288"/>
      <c r="R82" s="102"/>
      <c r="S82" s="102"/>
      <c r="T82" s="102"/>
    </row>
    <row r="83" spans="1:20" s="199" customFormat="1" ht="14.25">
      <c r="A83" s="2642"/>
      <c r="B83" s="688" t="s">
        <v>802</v>
      </c>
      <c r="C83" s="319"/>
      <c r="D83" s="312">
        <f>IF(H83&lt;&gt;"",VLOOKUP(G83,base_barras,IF(H83="Desnuda",2,5)+F83-1,FALSE),"-")</f>
        <v>497</v>
      </c>
      <c r="E83" s="313">
        <v>1</v>
      </c>
      <c r="F83" s="314">
        <v>1</v>
      </c>
      <c r="G83" s="315" t="s">
        <v>62</v>
      </c>
      <c r="H83" s="689" t="str">
        <f>H82</f>
        <v>Pintada</v>
      </c>
      <c r="I83" s="690">
        <v>1.2</v>
      </c>
      <c r="J83" s="317">
        <f t="shared" si="37"/>
        <v>17.7</v>
      </c>
      <c r="K83" s="691">
        <v>0</v>
      </c>
      <c r="L83" s="318" t="str">
        <f>IF(G83&lt;&gt;"",IF(VLOOKUP(G83,base_barras,10,FALSE)&lt;&gt;"",VLOOKUP(G83,base_barras,10,FALSE),"-"),"-")</f>
        <v>-</v>
      </c>
      <c r="M83" s="317">
        <f>IF(L83&lt;&gt;"-",VLOOKUP(L83,precio_aislador,2,FALSE),0)</f>
        <v>0</v>
      </c>
      <c r="N83" s="308">
        <f>(I83*J83*F83+K83*M83)*E83*1.67*1.25</f>
        <v>44.338499999999996</v>
      </c>
      <c r="O83" s="288"/>
      <c r="P83" s="297"/>
      <c r="Q83" s="288"/>
      <c r="R83" s="102"/>
      <c r="S83" s="102"/>
      <c r="T83" s="102"/>
    </row>
    <row r="84" spans="1:20" s="199" customFormat="1" ht="15.75" customHeight="1">
      <c r="A84" s="2642"/>
      <c r="B84" s="692" t="s">
        <v>4922</v>
      </c>
      <c r="C84" s="693"/>
      <c r="D84" s="312">
        <f>IF(H84&lt;&gt;"",VLOOKUP(G84,base_barras,IF(H84="Desnuda",2,5)+F84-1,FALSE),"-")</f>
        <v>3170</v>
      </c>
      <c r="E84" s="313">
        <v>4</v>
      </c>
      <c r="F84" s="314">
        <v>3</v>
      </c>
      <c r="G84" s="315" t="s">
        <v>582</v>
      </c>
      <c r="H84" s="314" t="s">
        <v>1043</v>
      </c>
      <c r="I84" s="316">
        <v>0</v>
      </c>
      <c r="J84" s="317">
        <f>IF(G84&lt;&gt;"",VLOOKUP(G84,precio_barras,9,FALSE),0)</f>
        <v>71.100000000000009</v>
      </c>
      <c r="K84" s="694">
        <v>0</v>
      </c>
      <c r="L84" s="695" t="str">
        <f>IF(G84&lt;&gt;"",IF(VLOOKUP(G84,base_barras,10,FALSE)&lt;&gt;"",VLOOKUP(G84,base_barras,10,FALSE),"-"),"-")</f>
        <v>1/1000</v>
      </c>
      <c r="M84" s="478">
        <f>IF(L84&lt;&gt;"-",VLOOKUP(L84,precio_aislador,2,FALSE),0)</f>
        <v>2.7</v>
      </c>
      <c r="N84" s="696">
        <f>(I84*J84*F84+K84*M84)*E84*1.67*1.25</f>
        <v>0</v>
      </c>
      <c r="O84" s="288"/>
      <c r="P84" s="297"/>
      <c r="Q84" s="288"/>
      <c r="R84" s="102"/>
      <c r="S84" s="102"/>
      <c r="T84" s="102"/>
    </row>
    <row r="85" spans="1:20" s="199" customFormat="1" ht="15.75" customHeight="1" thickBot="1">
      <c r="A85" s="2642"/>
      <c r="B85" s="692" t="s">
        <v>4922</v>
      </c>
      <c r="C85" s="693"/>
      <c r="D85" s="312">
        <f>IF(H85&lt;&gt;"",VLOOKUP(G85,base_barras,IF(H85="Desnuda",2,5)+F85-1,FALSE),"-")</f>
        <v>3170</v>
      </c>
      <c r="E85" s="313">
        <v>4</v>
      </c>
      <c r="F85" s="314">
        <v>3</v>
      </c>
      <c r="G85" s="315" t="s">
        <v>582</v>
      </c>
      <c r="H85" s="314" t="s">
        <v>1043</v>
      </c>
      <c r="I85" s="316">
        <v>0</v>
      </c>
      <c r="J85" s="317">
        <f>IF(G85&lt;&gt;"",VLOOKUP(G85,precio_barras,9,FALSE),0)</f>
        <v>71.100000000000009</v>
      </c>
      <c r="K85" s="694">
        <v>0</v>
      </c>
      <c r="L85" s="695" t="str">
        <f>IF(G85&lt;&gt;"",IF(VLOOKUP(G85,base_barras,10,FALSE)&lt;&gt;"",VLOOKUP(G85,base_barras,10,FALSE),"-"),"-")</f>
        <v>1/1000</v>
      </c>
      <c r="M85" s="478">
        <f>IF(L85&lt;&gt;"-",VLOOKUP(L85,precio_aislador,2,FALSE),0)</f>
        <v>2.7</v>
      </c>
      <c r="N85" s="696">
        <f>(I85*J85*F85+K85*M85)*E85*1.67*1.25</f>
        <v>0</v>
      </c>
      <c r="O85" s="288"/>
      <c r="P85" s="297"/>
      <c r="Q85" s="288"/>
      <c r="R85" s="102"/>
      <c r="S85" s="102"/>
      <c r="T85" s="102"/>
    </row>
    <row r="86" spans="1:20" s="129" customFormat="1" ht="22.5" customHeight="1" thickBot="1">
      <c r="A86" s="371"/>
      <c r="B86" s="373"/>
      <c r="C86" s="375"/>
      <c r="D86" s="383"/>
      <c r="E86" s="373"/>
      <c r="F86" s="373"/>
      <c r="G86" s="373"/>
      <c r="H86" s="373"/>
      <c r="I86" s="374"/>
      <c r="J86" s="374"/>
      <c r="K86" s="373"/>
      <c r="L86" s="373"/>
      <c r="M86" s="372"/>
      <c r="N86" s="699">
        <f>SUM(N82:N85)</f>
        <v>118.90399999999998</v>
      </c>
      <c r="O86" s="288"/>
      <c r="P86" s="297"/>
      <c r="Q86" s="288"/>
      <c r="R86" s="102"/>
      <c r="S86" s="102"/>
      <c r="T86" s="102"/>
    </row>
    <row r="87" spans="1:20" s="102" customFormat="1" ht="8.25" customHeight="1" thickBot="1">
      <c r="A87" s="323"/>
      <c r="B87" s="323"/>
      <c r="C87" s="323"/>
      <c r="D87" s="382"/>
      <c r="E87" s="323"/>
      <c r="F87" s="325"/>
      <c r="G87" s="325"/>
      <c r="H87" s="325"/>
      <c r="I87" s="323"/>
      <c r="J87" s="323"/>
      <c r="K87" s="323"/>
      <c r="L87" s="325"/>
      <c r="M87" s="323"/>
      <c r="N87" s="309"/>
      <c r="O87" s="288"/>
      <c r="P87" s="297"/>
      <c r="Q87" s="288"/>
    </row>
    <row r="88" spans="1:20" s="102" customFormat="1" ht="12.75" customHeight="1">
      <c r="A88" s="2639" t="s">
        <v>2505</v>
      </c>
      <c r="B88" s="687" t="s">
        <v>2506</v>
      </c>
      <c r="C88" s="327"/>
      <c r="D88" s="328">
        <f t="shared" ref="D88:D89" si="41">IF(H88&lt;&gt;"",VLOOKUP(G88,base_barras,IF(H88="Desnuda",2,5)+F88-1,FALSE),"-")</f>
        <v>2850</v>
      </c>
      <c r="E88" s="329">
        <v>4</v>
      </c>
      <c r="F88" s="330">
        <v>2</v>
      </c>
      <c r="G88" s="331" t="s">
        <v>468</v>
      </c>
      <c r="H88" s="330" t="s">
        <v>1043</v>
      </c>
      <c r="I88" s="332">
        <v>1</v>
      </c>
      <c r="J88" s="333">
        <f t="shared" ref="J88:J89" si="42">IF(G88&lt;&gt;"",VLOOKUP(G88,precio_barras,9,FALSE),0)</f>
        <v>88.9</v>
      </c>
      <c r="K88" s="481">
        <v>2</v>
      </c>
      <c r="L88" s="343" t="str">
        <f t="shared" ref="L88:L89" si="43">IF(G88&lt;&gt;"",IF(VLOOKUP(G88,base_barras,10,FALSE)&lt;&gt;"",VLOOKUP(G88,base_barras,10,FALSE),"-"),"-")</f>
        <v>1.5/1250</v>
      </c>
      <c r="M88" s="333">
        <f t="shared" ref="M88:M89" si="44">IF(L88&lt;&gt;"-",VLOOKUP(L88,precio_aislador,2,FALSE),0)</f>
        <v>5.5</v>
      </c>
      <c r="N88" s="360">
        <f t="shared" ref="N88:N89" si="45">(I88*J88*F88+K88*M88)*E88*1.67*1.25</f>
        <v>1576.48</v>
      </c>
      <c r="O88" s="288"/>
      <c r="P88" s="297"/>
      <c r="Q88" s="297"/>
    </row>
    <row r="89" spans="1:20" s="102" customFormat="1" ht="13.5" thickBot="1">
      <c r="A89" s="2644"/>
      <c r="B89" s="692" t="s">
        <v>4922</v>
      </c>
      <c r="C89" s="479"/>
      <c r="D89" s="364">
        <f t="shared" si="41"/>
        <v>3170</v>
      </c>
      <c r="E89" s="365">
        <v>4</v>
      </c>
      <c r="F89" s="366">
        <v>3</v>
      </c>
      <c r="G89" s="322" t="s">
        <v>582</v>
      </c>
      <c r="H89" s="366" t="s">
        <v>1043</v>
      </c>
      <c r="I89" s="367">
        <f>0.5+0.8+0.8+0.2</f>
        <v>2.3000000000000003</v>
      </c>
      <c r="J89" s="368">
        <f t="shared" si="42"/>
        <v>71.100000000000009</v>
      </c>
      <c r="K89" s="365">
        <v>3</v>
      </c>
      <c r="L89" s="369" t="str">
        <f t="shared" si="43"/>
        <v>1/1000</v>
      </c>
      <c r="M89" s="368">
        <f t="shared" si="44"/>
        <v>2.7</v>
      </c>
      <c r="N89" s="370">
        <f t="shared" si="45"/>
        <v>4164.0615000000007</v>
      </c>
      <c r="O89" s="288"/>
      <c r="P89" s="297"/>
      <c r="Q89" s="297"/>
    </row>
    <row r="90" spans="1:20" s="102" customFormat="1" ht="12.75" customHeight="1">
      <c r="A90" s="2644"/>
      <c r="B90" s="692"/>
      <c r="C90" s="693"/>
      <c r="D90" s="697"/>
      <c r="E90" s="694"/>
      <c r="F90" s="655"/>
      <c r="G90" s="698"/>
      <c r="H90" s="655"/>
      <c r="I90" s="398"/>
      <c r="J90" s="478"/>
      <c r="K90" s="705"/>
      <c r="L90" s="695"/>
      <c r="M90" s="478"/>
      <c r="N90" s="696"/>
      <c r="O90" s="288"/>
      <c r="P90" s="297"/>
      <c r="Q90" s="297"/>
    </row>
    <row r="91" spans="1:20" s="102" customFormat="1" ht="13.5" thickBot="1">
      <c r="A91" s="2640"/>
      <c r="B91" s="700"/>
      <c r="C91" s="701"/>
      <c r="D91" s="708"/>
      <c r="E91" s="702"/>
      <c r="F91" s="709"/>
      <c r="G91" s="710"/>
      <c r="H91" s="709"/>
      <c r="I91" s="711"/>
      <c r="J91" s="480"/>
      <c r="K91" s="702"/>
      <c r="L91" s="703"/>
      <c r="M91" s="480"/>
      <c r="N91" s="704"/>
      <c r="O91" s="288"/>
      <c r="P91" s="297"/>
      <c r="Q91" s="297"/>
    </row>
    <row r="92" spans="1:20" s="102" customFormat="1" ht="13.5" thickBot="1">
      <c r="A92" s="323"/>
      <c r="B92" s="323"/>
      <c r="C92" s="309"/>
      <c r="D92" s="382"/>
      <c r="E92" s="323"/>
      <c r="F92" s="309"/>
      <c r="G92" s="309"/>
      <c r="H92" s="323"/>
      <c r="I92" s="325"/>
      <c r="J92" s="325"/>
      <c r="K92" s="323"/>
      <c r="L92" s="323"/>
      <c r="M92" s="325"/>
      <c r="N92" s="706">
        <f>SUM(N88:N91)</f>
        <v>5740.5415000000012</v>
      </c>
      <c r="O92" s="288"/>
      <c r="P92" s="297"/>
      <c r="Q92" s="297"/>
    </row>
    <row r="93" spans="1:20" s="102" customFormat="1" ht="8.25" customHeight="1" thickBot="1">
      <c r="A93" s="323"/>
      <c r="B93" s="323"/>
      <c r="C93" s="323"/>
      <c r="D93" s="382"/>
      <c r="E93" s="323"/>
      <c r="F93" s="325"/>
      <c r="G93" s="325"/>
      <c r="H93" s="325"/>
      <c r="I93" s="323"/>
      <c r="J93" s="323"/>
      <c r="K93" s="323"/>
      <c r="L93" s="325"/>
      <c r="M93" s="323"/>
      <c r="N93" s="309"/>
      <c r="O93" s="288"/>
      <c r="P93" s="297"/>
      <c r="Q93" s="288"/>
    </row>
    <row r="94" spans="1:20" s="102" customFormat="1">
      <c r="A94" s="2636" t="s">
        <v>4923</v>
      </c>
      <c r="B94" s="1610" t="s">
        <v>4922</v>
      </c>
      <c r="C94" s="331"/>
      <c r="D94" s="1611">
        <f t="shared" ref="D94" si="46">IF(H94&lt;&gt;"",VLOOKUP(G94,base_barras,IF(H94="Desnuda",2,5)+F94-1,FALSE),"-")</f>
        <v>3170</v>
      </c>
      <c r="E94" s="331">
        <v>4</v>
      </c>
      <c r="F94" s="330">
        <v>3</v>
      </c>
      <c r="G94" s="331" t="s">
        <v>582</v>
      </c>
      <c r="H94" s="330" t="s">
        <v>1043</v>
      </c>
      <c r="I94" s="332">
        <f>0.3+0.35</f>
        <v>0.64999999999999991</v>
      </c>
      <c r="J94" s="333">
        <f t="shared" ref="J94:J96" si="47">IF(G94&lt;&gt;"",VLOOKUP(G94,precio_barras,9,FALSE),0)</f>
        <v>71.100000000000009</v>
      </c>
      <c r="K94" s="329">
        <v>0</v>
      </c>
      <c r="L94" s="343" t="str">
        <f t="shared" ref="L94:L96" si="48">IF(G94&lt;&gt;"",IF(VLOOKUP(G94,base_barras,10,FALSE)&lt;&gt;"",VLOOKUP(G94,base_barras,10,FALSE),"-"),"-")</f>
        <v>1/1000</v>
      </c>
      <c r="M94" s="333">
        <f t="shared" ref="M94:M96" si="49">IF(L94&lt;&gt;"-",VLOOKUP(L94,precio_aislador,2,FALSE),0)</f>
        <v>2.7</v>
      </c>
      <c r="N94" s="360">
        <f t="shared" ref="N94:N96" si="50">(I94*J94*F94+K94*M94)*E94*1.67*1.25</f>
        <v>1157.6857499999999</v>
      </c>
      <c r="O94" s="288"/>
      <c r="P94" s="297"/>
      <c r="Q94" s="297"/>
    </row>
    <row r="95" spans="1:20" s="199" customFormat="1" ht="15.75" customHeight="1">
      <c r="A95" s="2653"/>
      <c r="B95" s="1612" t="s">
        <v>2498</v>
      </c>
      <c r="C95" s="315"/>
      <c r="D95" s="1613">
        <f t="shared" ref="D95:D96" si="51">IF(H95&lt;&gt;"",VLOOKUP(G95,base_barras,IF(H95="Desnuda",2,5)+F95-1,FALSE),"-")</f>
        <v>2850</v>
      </c>
      <c r="E95" s="315">
        <v>4</v>
      </c>
      <c r="F95" s="314">
        <v>2</v>
      </c>
      <c r="G95" s="315" t="s">
        <v>468</v>
      </c>
      <c r="H95" s="314" t="s">
        <v>1043</v>
      </c>
      <c r="I95" s="398">
        <v>0.8</v>
      </c>
      <c r="J95" s="478">
        <f t="shared" si="47"/>
        <v>88.9</v>
      </c>
      <c r="K95" s="694">
        <v>2</v>
      </c>
      <c r="L95" s="695" t="str">
        <f t="shared" si="48"/>
        <v>1.5/1250</v>
      </c>
      <c r="M95" s="478">
        <f t="shared" si="49"/>
        <v>5.5</v>
      </c>
      <c r="N95" s="696">
        <f t="shared" si="50"/>
        <v>1279.5540000000001</v>
      </c>
      <c r="O95" s="288"/>
      <c r="P95" s="297"/>
      <c r="Q95" s="288"/>
      <c r="R95" s="102"/>
      <c r="S95" s="102"/>
      <c r="T95" s="102"/>
    </row>
    <row r="96" spans="1:20" s="199" customFormat="1" ht="15.75" customHeight="1" thickBot="1">
      <c r="A96" s="2653"/>
      <c r="B96" s="1614" t="s">
        <v>2498</v>
      </c>
      <c r="C96" s="322"/>
      <c r="D96" s="1615">
        <f t="shared" si="51"/>
        <v>2850</v>
      </c>
      <c r="E96" s="322">
        <v>4</v>
      </c>
      <c r="F96" s="366">
        <v>2</v>
      </c>
      <c r="G96" s="322" t="s">
        <v>468</v>
      </c>
      <c r="H96" s="366" t="s">
        <v>1043</v>
      </c>
      <c r="I96" s="367">
        <v>0.7</v>
      </c>
      <c r="J96" s="368">
        <f t="shared" si="47"/>
        <v>88.9</v>
      </c>
      <c r="K96" s="365">
        <v>1</v>
      </c>
      <c r="L96" s="369" t="str">
        <f t="shared" si="48"/>
        <v>1.5/1250</v>
      </c>
      <c r="M96" s="368">
        <f t="shared" si="49"/>
        <v>5.5</v>
      </c>
      <c r="N96" s="370">
        <f t="shared" si="50"/>
        <v>1085.1659999999997</v>
      </c>
      <c r="O96" s="288"/>
      <c r="P96" s="297"/>
      <c r="Q96" s="288"/>
      <c r="R96" s="102"/>
      <c r="S96" s="102"/>
      <c r="T96" s="102"/>
    </row>
    <row r="97" spans="1:20" s="102" customFormat="1">
      <c r="A97" s="2646"/>
      <c r="B97" s="692"/>
      <c r="C97" s="693"/>
      <c r="D97" s="697"/>
      <c r="E97" s="694"/>
      <c r="F97" s="655"/>
      <c r="G97" s="698"/>
      <c r="H97" s="655"/>
      <c r="I97" s="398"/>
      <c r="J97" s="478"/>
      <c r="K97" s="694"/>
      <c r="L97" s="695"/>
      <c r="M97" s="478"/>
      <c r="N97" s="696"/>
      <c r="O97" s="288"/>
      <c r="P97" s="297"/>
      <c r="Q97" s="297"/>
    </row>
    <row r="98" spans="1:20" s="199" customFormat="1" ht="15.75" customHeight="1" thickBot="1">
      <c r="A98" s="2647"/>
      <c r="B98" s="700"/>
      <c r="C98" s="701"/>
      <c r="D98" s="708"/>
      <c r="E98" s="702"/>
      <c r="F98" s="709"/>
      <c r="G98" s="710"/>
      <c r="H98" s="709"/>
      <c r="I98" s="711"/>
      <c r="J98" s="480"/>
      <c r="K98" s="702"/>
      <c r="L98" s="703"/>
      <c r="M98" s="480"/>
      <c r="N98" s="704"/>
      <c r="O98" s="288"/>
      <c r="P98" s="297"/>
      <c r="Q98" s="288"/>
      <c r="R98" s="102"/>
      <c r="S98" s="102"/>
      <c r="T98" s="102"/>
    </row>
    <row r="99" spans="1:20" s="102" customFormat="1" ht="13.5" thickBot="1">
      <c r="A99" s="323"/>
      <c r="B99" s="323"/>
      <c r="C99" s="309"/>
      <c r="D99" s="382"/>
      <c r="E99" s="323"/>
      <c r="F99" s="309"/>
      <c r="G99" s="309"/>
      <c r="H99" s="323"/>
      <c r="I99" s="325"/>
      <c r="J99" s="325"/>
      <c r="K99" s="323"/>
      <c r="L99" s="323"/>
      <c r="M99" s="325"/>
      <c r="N99" s="706">
        <f>SUM(N94:N98)</f>
        <v>3522.4057499999994</v>
      </c>
      <c r="O99" s="288"/>
      <c r="P99" s="297"/>
      <c r="Q99" s="297"/>
    </row>
    <row r="100" spans="1:20" s="102" customFormat="1" ht="8.25" customHeight="1" thickBot="1">
      <c r="A100" s="323"/>
      <c r="B100" s="323"/>
      <c r="C100" s="323"/>
      <c r="D100" s="382"/>
      <c r="E100" s="323"/>
      <c r="F100" s="325"/>
      <c r="G100" s="325"/>
      <c r="H100" s="325"/>
      <c r="I100" s="323"/>
      <c r="J100" s="323"/>
      <c r="K100" s="323"/>
      <c r="L100" s="325"/>
      <c r="M100" s="323"/>
      <c r="N100" s="309"/>
      <c r="O100" s="288"/>
      <c r="P100" s="297"/>
      <c r="Q100" s="288"/>
    </row>
    <row r="101" spans="1:20" s="102" customFormat="1">
      <c r="A101" s="2629" t="s">
        <v>1228</v>
      </c>
      <c r="B101" s="687" t="s">
        <v>2498</v>
      </c>
      <c r="C101" s="327"/>
      <c r="D101" s="328">
        <f t="shared" ref="D101:D102" si="52">IF(H101&lt;&gt;"",VLOOKUP(G101,base_barras,IF(H101="Desnuda",2,5)+F101-1,FALSE),"-")</f>
        <v>2850</v>
      </c>
      <c r="E101" s="481">
        <v>4</v>
      </c>
      <c r="F101" s="330">
        <v>2</v>
      </c>
      <c r="G101" s="331" t="s">
        <v>468</v>
      </c>
      <c r="H101" s="330" t="s">
        <v>1043</v>
      </c>
      <c r="I101" s="332">
        <f>0.2</f>
        <v>0.2</v>
      </c>
      <c r="J101" s="333">
        <f t="shared" ref="J101" si="53">IF(G101&lt;&gt;"",VLOOKUP(G101,precio_barras,9,FALSE),0)</f>
        <v>88.9</v>
      </c>
      <c r="K101" s="329">
        <v>0</v>
      </c>
      <c r="L101" s="343" t="str">
        <f t="shared" ref="L101:L102" si="54">IF(G101&lt;&gt;"",IF(VLOOKUP(G101,base_barras,10,FALSE)&lt;&gt;"",VLOOKUP(G101,base_barras,10,FALSE),"-"),"-")</f>
        <v>1.5/1250</v>
      </c>
      <c r="M101" s="333">
        <f t="shared" ref="M101" si="55">IF(L101&lt;&gt;"-",VLOOKUP(L101,precio_aislador,2,FALSE),0)</f>
        <v>5.5</v>
      </c>
      <c r="N101" s="360">
        <f t="shared" ref="N101:N102" si="56">(I101*J101*F101+K101*M101)*E101*1.67*1.25</f>
        <v>296.92600000000004</v>
      </c>
      <c r="O101" s="288"/>
      <c r="P101" s="297"/>
      <c r="Q101" s="297"/>
    </row>
    <row r="102" spans="1:20" s="102" customFormat="1" ht="13.5" thickBot="1">
      <c r="A102" s="2635"/>
      <c r="B102" s="707"/>
      <c r="C102" s="479"/>
      <c r="D102" s="364" t="str">
        <f t="shared" si="52"/>
        <v>-</v>
      </c>
      <c r="E102" s="365"/>
      <c r="F102" s="366"/>
      <c r="G102" s="322"/>
      <c r="H102" s="366"/>
      <c r="I102" s="367"/>
      <c r="J102" s="480">
        <f>IF(G102&lt;&gt;"",VLOOKUP(G102,precio_barras,9,FALSE),0)</f>
        <v>0</v>
      </c>
      <c r="K102" s="365"/>
      <c r="L102" s="369" t="str">
        <f t="shared" si="54"/>
        <v>-</v>
      </c>
      <c r="M102" s="368">
        <f>IF(L102&lt;&gt;"-",VLOOKUP(L102,precio_aislador,2,FALSE),0)</f>
        <v>0</v>
      </c>
      <c r="N102" s="370">
        <f t="shared" si="56"/>
        <v>0</v>
      </c>
      <c r="O102" s="288"/>
      <c r="P102" s="297"/>
      <c r="Q102" s="297"/>
    </row>
    <row r="103" spans="1:20" s="102" customFormat="1" ht="13.5" thickBot="1">
      <c r="A103" s="323"/>
      <c r="B103" s="323"/>
      <c r="C103" s="309"/>
      <c r="D103" s="382"/>
      <c r="E103" s="323"/>
      <c r="F103" s="309"/>
      <c r="G103" s="309"/>
      <c r="H103" s="323"/>
      <c r="I103" s="325"/>
      <c r="J103" s="325"/>
      <c r="K103" s="323"/>
      <c r="L103" s="323"/>
      <c r="M103" s="325"/>
      <c r="N103" s="706">
        <f>SUM(N101:N102)</f>
        <v>296.92600000000004</v>
      </c>
      <c r="O103" s="288"/>
      <c r="P103" s="297"/>
      <c r="Q103" s="297"/>
    </row>
    <row r="104" spans="1:20" s="102" customFormat="1" ht="8.25" customHeight="1">
      <c r="A104" s="323"/>
      <c r="B104" s="323"/>
      <c r="C104" s="323"/>
      <c r="D104" s="382"/>
      <c r="E104" s="323"/>
      <c r="F104" s="325"/>
      <c r="G104" s="325"/>
      <c r="H104" s="325"/>
      <c r="I104" s="323"/>
      <c r="J104" s="323"/>
      <c r="K104" s="323"/>
      <c r="L104" s="325"/>
      <c r="M104" s="323"/>
      <c r="N104" s="309"/>
      <c r="O104" s="288"/>
      <c r="P104" s="297"/>
      <c r="Q104" s="288"/>
    </row>
    <row r="105" spans="1:20" s="102" customFormat="1">
      <c r="A105" s="323"/>
      <c r="B105" s="309"/>
      <c r="C105" s="309"/>
      <c r="D105" s="382"/>
      <c r="E105" s="323"/>
      <c r="F105" s="309"/>
      <c r="G105" s="309"/>
      <c r="H105" s="323"/>
      <c r="I105" s="325"/>
      <c r="J105" s="325"/>
      <c r="K105" s="323"/>
      <c r="L105" s="323"/>
      <c r="M105" s="325"/>
      <c r="N105" s="722"/>
      <c r="O105" s="288"/>
      <c r="P105" s="297"/>
      <c r="Q105" s="297"/>
    </row>
    <row r="106" spans="1:20" s="102" customFormat="1" ht="15">
      <c r="A106" s="323"/>
      <c r="B106" s="723" t="s">
        <v>2513</v>
      </c>
      <c r="C106" s="309"/>
      <c r="D106" s="382"/>
      <c r="E106" s="323"/>
      <c r="F106" s="309"/>
      <c r="G106" s="309"/>
      <c r="H106" s="323"/>
      <c r="I106" s="325"/>
      <c r="J106" s="325"/>
      <c r="K106" s="323"/>
      <c r="L106" s="323"/>
      <c r="M106" s="325"/>
      <c r="N106" s="722"/>
      <c r="O106" s="288"/>
      <c r="P106" s="297"/>
      <c r="Q106" s="297"/>
    </row>
    <row r="107" spans="1:20" s="106" customFormat="1" ht="13.5" thickBot="1"/>
    <row r="108" spans="1:20" s="199" customFormat="1" ht="15.75" customHeight="1">
      <c r="A108" s="2641" t="s">
        <v>4924</v>
      </c>
      <c r="B108" s="687" t="s">
        <v>2498</v>
      </c>
      <c r="C108" s="327"/>
      <c r="D108" s="328">
        <f t="shared" ref="D108" si="57">IF(H108&lt;&gt;"",VLOOKUP(G108,base_barras,IF(H108="Desnuda",2,5)+F108-1,FALSE),"-")</f>
        <v>2850</v>
      </c>
      <c r="E108" s="329">
        <v>4</v>
      </c>
      <c r="F108" s="330">
        <v>2</v>
      </c>
      <c r="G108" s="331" t="s">
        <v>468</v>
      </c>
      <c r="H108" s="330" t="s">
        <v>1043</v>
      </c>
      <c r="I108" s="332">
        <v>0.9</v>
      </c>
      <c r="J108" s="333">
        <f t="shared" ref="J108:J109" si="58">IF(G108&lt;&gt;"",VLOOKUP(G108,precio_barras,9,FALSE),0)</f>
        <v>88.9</v>
      </c>
      <c r="K108" s="329">
        <f>2</f>
        <v>2</v>
      </c>
      <c r="L108" s="343" t="str">
        <f t="shared" ref="L108" si="59">IF(G108&lt;&gt;"",IF(VLOOKUP(G108,base_barras,10,FALSE)&lt;&gt;"",VLOOKUP(G108,base_barras,10,FALSE),"-"),"-")</f>
        <v>1.5/1250</v>
      </c>
      <c r="M108" s="333">
        <f t="shared" ref="M108" si="60">IF(L108&lt;&gt;"-",VLOOKUP(L108,precio_aislador,2,FALSE),0)</f>
        <v>5.5</v>
      </c>
      <c r="N108" s="360">
        <f t="shared" ref="N108" si="61">(I108*J108*F108+K108*M108)*E108*1.67*1.25</f>
        <v>1428.0170000000001</v>
      </c>
      <c r="O108" s="288"/>
      <c r="P108" s="297"/>
      <c r="Q108" s="288"/>
      <c r="R108" s="102"/>
      <c r="S108" s="102"/>
      <c r="T108" s="102"/>
    </row>
    <row r="109" spans="1:20" s="199" customFormat="1" ht="14.25">
      <c r="A109" s="2642"/>
      <c r="B109" s="688" t="s">
        <v>802</v>
      </c>
      <c r="C109" s="319"/>
      <c r="D109" s="312">
        <f>IF(H109&lt;&gt;"",VLOOKUP(G109,base_barras,IF(H109="Desnuda",2,5)+F109-1,FALSE),"-")</f>
        <v>1810</v>
      </c>
      <c r="E109" s="313">
        <v>1</v>
      </c>
      <c r="F109" s="314">
        <v>1</v>
      </c>
      <c r="G109" s="315" t="s">
        <v>468</v>
      </c>
      <c r="H109" s="689" t="str">
        <f>H108</f>
        <v>Pintada</v>
      </c>
      <c r="I109" s="690">
        <f>I108</f>
        <v>0.9</v>
      </c>
      <c r="J109" s="317">
        <f t="shared" si="58"/>
        <v>88.9</v>
      </c>
      <c r="K109" s="691">
        <v>0</v>
      </c>
      <c r="L109" s="318" t="str">
        <f>IF(G109&lt;&gt;"",IF(VLOOKUP(G109,base_barras,10,FALSE)&lt;&gt;"",VLOOKUP(G109,base_barras,10,FALSE),"-"),"-")</f>
        <v>1.5/1250</v>
      </c>
      <c r="M109" s="317">
        <f>IF(L109&lt;&gt;"-",VLOOKUP(L109,precio_aislador,2,FALSE),0)</f>
        <v>5.5</v>
      </c>
      <c r="N109" s="308">
        <f>(I109*J109*F109+K109*M109)*E109*1.67*1.25</f>
        <v>167.02087500000002</v>
      </c>
      <c r="O109" s="288"/>
      <c r="P109" s="297"/>
      <c r="Q109" s="288"/>
      <c r="R109" s="102"/>
      <c r="S109" s="102"/>
      <c r="T109" s="102"/>
    </row>
    <row r="110" spans="1:20" s="199" customFormat="1" ht="15.75" customHeight="1">
      <c r="A110" s="2642"/>
      <c r="B110" s="692" t="s">
        <v>4922</v>
      </c>
      <c r="C110" s="693"/>
      <c r="D110" s="312">
        <f>IF(H110&lt;&gt;"",VLOOKUP(G110,base_barras,IF(H110="Desnuda",2,5)+F110-1,FALSE),"-")</f>
        <v>3170</v>
      </c>
      <c r="E110" s="313">
        <v>4</v>
      </c>
      <c r="F110" s="314">
        <v>3</v>
      </c>
      <c r="G110" s="315" t="s">
        <v>582</v>
      </c>
      <c r="H110" s="314" t="s">
        <v>1043</v>
      </c>
      <c r="I110" s="316">
        <v>0.61</v>
      </c>
      <c r="J110" s="317">
        <f>IF(G110&lt;&gt;"",VLOOKUP(G110,precio_barras,9,FALSE),0)</f>
        <v>71.100000000000009</v>
      </c>
      <c r="K110" s="694">
        <v>0</v>
      </c>
      <c r="L110" s="695" t="str">
        <f>IF(G110&lt;&gt;"",IF(VLOOKUP(G110,base_barras,10,FALSE)&lt;&gt;"",VLOOKUP(G110,base_barras,10,FALSE),"-"),"-")</f>
        <v>1/1000</v>
      </c>
      <c r="M110" s="478">
        <f>IF(L110&lt;&gt;"-",VLOOKUP(L110,precio_aislador,2,FALSE),0)</f>
        <v>2.7</v>
      </c>
      <c r="N110" s="696">
        <f>(I110*J110*F110+K110*M110)*E110*1.67*1.25</f>
        <v>1086.44355</v>
      </c>
      <c r="O110" s="288"/>
      <c r="P110" s="297"/>
      <c r="Q110" s="288"/>
      <c r="R110" s="102"/>
      <c r="S110" s="102"/>
      <c r="T110" s="102"/>
    </row>
    <row r="111" spans="1:20" s="199" customFormat="1" ht="15.75" customHeight="1" thickBot="1">
      <c r="A111" s="2642"/>
      <c r="B111" s="692" t="s">
        <v>4922</v>
      </c>
      <c r="C111" s="693"/>
      <c r="D111" s="312">
        <f>IF(H111&lt;&gt;"",VLOOKUP(G111,base_barras,IF(H111="Desnuda",2,5)+F111-1,FALSE),"-")</f>
        <v>3170</v>
      </c>
      <c r="E111" s="313">
        <v>4</v>
      </c>
      <c r="F111" s="314">
        <v>3</v>
      </c>
      <c r="G111" s="315" t="s">
        <v>582</v>
      </c>
      <c r="H111" s="314" t="s">
        <v>1043</v>
      </c>
      <c r="I111" s="316">
        <v>0.61</v>
      </c>
      <c r="J111" s="317">
        <f>IF(G111&lt;&gt;"",VLOOKUP(G111,precio_barras,9,FALSE),0)</f>
        <v>71.100000000000009</v>
      </c>
      <c r="K111" s="694">
        <v>0</v>
      </c>
      <c r="L111" s="695" t="str">
        <f>IF(G111&lt;&gt;"",IF(VLOOKUP(G111,base_barras,10,FALSE)&lt;&gt;"",VLOOKUP(G111,base_barras,10,FALSE),"-"),"-")</f>
        <v>1/1000</v>
      </c>
      <c r="M111" s="478">
        <f>IF(L111&lt;&gt;"-",VLOOKUP(L111,precio_aislador,2,FALSE),0)</f>
        <v>2.7</v>
      </c>
      <c r="N111" s="696">
        <f>(I111*J111*F111+K111*M111)*E111*1.67*1.25</f>
        <v>1086.44355</v>
      </c>
      <c r="O111" s="288"/>
      <c r="P111" s="297"/>
      <c r="Q111" s="288"/>
      <c r="R111" s="102"/>
      <c r="S111" s="102"/>
      <c r="T111" s="102"/>
    </row>
    <row r="112" spans="1:20" s="129" customFormat="1" ht="22.5" customHeight="1" thickBot="1">
      <c r="A112" s="371"/>
      <c r="B112" s="373"/>
      <c r="C112" s="375"/>
      <c r="D112" s="383"/>
      <c r="E112" s="373"/>
      <c r="F112" s="373"/>
      <c r="G112" s="373"/>
      <c r="H112" s="373"/>
      <c r="I112" s="374"/>
      <c r="J112" s="374"/>
      <c r="K112" s="373"/>
      <c r="L112" s="373"/>
      <c r="M112" s="372"/>
      <c r="N112" s="699">
        <f>SUM(N108:N111)</f>
        <v>3767.9249749999999</v>
      </c>
      <c r="O112" s="288"/>
      <c r="P112" s="297"/>
      <c r="Q112" s="288"/>
      <c r="R112" s="102"/>
      <c r="S112" s="102"/>
      <c r="T112" s="102"/>
    </row>
    <row r="113" spans="1:20" s="102" customFormat="1" ht="8.25" customHeight="1" thickBot="1">
      <c r="A113" s="323"/>
      <c r="B113" s="323"/>
      <c r="C113" s="323"/>
      <c r="D113" s="382"/>
      <c r="E113" s="323"/>
      <c r="F113" s="325"/>
      <c r="G113" s="325"/>
      <c r="H113" s="325"/>
      <c r="I113" s="323"/>
      <c r="J113" s="323"/>
      <c r="K113" s="323"/>
      <c r="L113" s="325"/>
      <c r="M113" s="323"/>
      <c r="N113" s="309"/>
      <c r="O113" s="288"/>
      <c r="P113" s="297"/>
      <c r="Q113" s="288"/>
    </row>
    <row r="114" spans="1:20" s="102" customFormat="1" ht="12.75" customHeight="1">
      <c r="A114" s="2639" t="s">
        <v>2502</v>
      </c>
      <c r="B114" s="687" t="s">
        <v>2503</v>
      </c>
      <c r="C114" s="327"/>
      <c r="D114" s="328">
        <f t="shared" ref="D114:D115" si="62">IF(H114&lt;&gt;"",VLOOKUP(G114,base_barras,IF(H114="Desnuda",2,5)+F114-1,FALSE),"-")</f>
        <v>2850</v>
      </c>
      <c r="E114" s="329">
        <v>4</v>
      </c>
      <c r="F114" s="330">
        <v>2</v>
      </c>
      <c r="G114" s="331" t="s">
        <v>468</v>
      </c>
      <c r="H114" s="330" t="s">
        <v>1043</v>
      </c>
      <c r="I114" s="332">
        <v>0.9</v>
      </c>
      <c r="J114" s="333">
        <f t="shared" ref="J114:J115" si="63">IF(G114&lt;&gt;"",VLOOKUP(G114,precio_barras,9,FALSE),0)</f>
        <v>88.9</v>
      </c>
      <c r="K114" s="481">
        <v>2</v>
      </c>
      <c r="L114" s="343" t="str">
        <f t="shared" ref="L114:L115" si="64">IF(G114&lt;&gt;"",IF(VLOOKUP(G114,base_barras,10,FALSE)&lt;&gt;"",VLOOKUP(G114,base_barras,10,FALSE),"-"),"-")</f>
        <v>1.5/1250</v>
      </c>
      <c r="M114" s="333">
        <f t="shared" ref="M114:M115" si="65">IF(L114&lt;&gt;"-",VLOOKUP(L114,precio_aislador,2,FALSE),0)</f>
        <v>5.5</v>
      </c>
      <c r="N114" s="360">
        <f t="shared" ref="N114:N115" si="66">(I114*J114*F114+K114*M114)*E114*1.67*1.25</f>
        <v>1428.0170000000001</v>
      </c>
      <c r="O114" s="288"/>
      <c r="P114" s="297"/>
      <c r="Q114" s="297"/>
    </row>
    <row r="115" spans="1:20" s="199" customFormat="1" ht="15.75" customHeight="1" thickBot="1">
      <c r="A115" s="2644"/>
      <c r="B115" s="692" t="s">
        <v>4922</v>
      </c>
      <c r="C115" s="701"/>
      <c r="D115" s="364">
        <f t="shared" si="62"/>
        <v>3170</v>
      </c>
      <c r="E115" s="365">
        <v>4</v>
      </c>
      <c r="F115" s="366">
        <v>3</v>
      </c>
      <c r="G115" s="322" t="s">
        <v>582</v>
      </c>
      <c r="H115" s="366" t="s">
        <v>1043</v>
      </c>
      <c r="I115" s="367">
        <f>0.2+0.5+0.5+0.2</f>
        <v>1.4</v>
      </c>
      <c r="J115" s="368">
        <f t="shared" si="63"/>
        <v>71.100000000000009</v>
      </c>
      <c r="K115" s="702">
        <v>0</v>
      </c>
      <c r="L115" s="703" t="str">
        <f t="shared" si="64"/>
        <v>1/1000</v>
      </c>
      <c r="M115" s="480">
        <f t="shared" si="65"/>
        <v>2.7</v>
      </c>
      <c r="N115" s="704">
        <f t="shared" si="66"/>
        <v>2493.4769999999999</v>
      </c>
      <c r="O115" s="288"/>
      <c r="P115" s="297"/>
      <c r="Q115" s="288"/>
      <c r="R115" s="102"/>
      <c r="S115" s="102"/>
      <c r="T115" s="102"/>
    </row>
    <row r="116" spans="1:20" s="102" customFormat="1" ht="12.75" customHeight="1">
      <c r="A116" s="2644"/>
      <c r="B116" s="692"/>
      <c r="C116" s="693"/>
      <c r="D116" s="697"/>
      <c r="E116" s="694"/>
      <c r="F116" s="655"/>
      <c r="G116" s="698"/>
      <c r="H116" s="655"/>
      <c r="I116" s="398"/>
      <c r="J116" s="478"/>
      <c r="K116" s="705"/>
      <c r="L116" s="695"/>
      <c r="M116" s="478"/>
      <c r="N116" s="696"/>
      <c r="O116" s="288"/>
      <c r="P116" s="297"/>
      <c r="Q116" s="297"/>
    </row>
    <row r="117" spans="1:20" s="199" customFormat="1" ht="15.75" customHeight="1" thickBot="1">
      <c r="A117" s="2640"/>
      <c r="B117" s="700"/>
      <c r="C117" s="701"/>
      <c r="D117" s="364"/>
      <c r="E117" s="365"/>
      <c r="F117" s="366"/>
      <c r="G117" s="322"/>
      <c r="H117" s="366"/>
      <c r="I117" s="367"/>
      <c r="J117" s="368"/>
      <c r="K117" s="702"/>
      <c r="L117" s="703"/>
      <c r="M117" s="480"/>
      <c r="N117" s="704"/>
      <c r="O117" s="288"/>
      <c r="P117" s="297"/>
      <c r="Q117" s="288"/>
      <c r="R117" s="102"/>
      <c r="S117" s="102"/>
      <c r="T117" s="102"/>
    </row>
    <row r="118" spans="1:20" s="102" customFormat="1" ht="13.5" thickBot="1">
      <c r="A118" s="323"/>
      <c r="B118" s="323"/>
      <c r="C118" s="309"/>
      <c r="D118" s="382"/>
      <c r="E118" s="323"/>
      <c r="F118" s="309"/>
      <c r="G118" s="309"/>
      <c r="H118" s="323"/>
      <c r="I118" s="325"/>
      <c r="J118" s="325"/>
      <c r="K118" s="323"/>
      <c r="L118" s="323"/>
      <c r="M118" s="325"/>
      <c r="N118" s="706">
        <f>SUM(N114:N117)</f>
        <v>3921.4939999999997</v>
      </c>
      <c r="O118" s="288"/>
      <c r="P118" s="297"/>
      <c r="Q118" s="297"/>
    </row>
    <row r="119" spans="1:20" s="102" customFormat="1" ht="8.25" customHeight="1">
      <c r="A119" s="323"/>
      <c r="B119" s="323"/>
      <c r="C119" s="323"/>
      <c r="D119" s="382"/>
      <c r="E119" s="323"/>
      <c r="F119" s="325"/>
      <c r="G119" s="325"/>
      <c r="H119" s="325"/>
      <c r="I119" s="323"/>
      <c r="J119" s="323"/>
      <c r="K119" s="323"/>
      <c r="L119" s="325"/>
      <c r="M119" s="323"/>
      <c r="N119" s="309"/>
      <c r="O119" s="288"/>
      <c r="P119" s="297"/>
      <c r="Q119" s="288"/>
    </row>
    <row r="120" spans="1:20" s="102" customFormat="1" ht="15">
      <c r="A120" s="323"/>
      <c r="B120" s="723" t="s">
        <v>2513</v>
      </c>
      <c r="C120" s="309"/>
      <c r="D120" s="382"/>
      <c r="E120" s="323"/>
      <c r="F120" s="309"/>
      <c r="G120" s="309"/>
      <c r="H120" s="323"/>
      <c r="I120" s="325"/>
      <c r="J120" s="325"/>
      <c r="K120" s="323"/>
      <c r="L120" s="323"/>
      <c r="M120" s="325"/>
      <c r="N120" s="722"/>
      <c r="O120" s="288"/>
      <c r="P120" s="297"/>
      <c r="Q120" s="297"/>
    </row>
    <row r="121" spans="1:20" s="106" customFormat="1" ht="13.5" thickBot="1"/>
    <row r="122" spans="1:20" s="199" customFormat="1" ht="15.75" customHeight="1">
      <c r="A122" s="2641" t="s">
        <v>4925</v>
      </c>
      <c r="B122" s="687" t="s">
        <v>2498</v>
      </c>
      <c r="C122" s="327"/>
      <c r="D122" s="328">
        <f t="shared" ref="D122" si="67">IF(H122&lt;&gt;"",VLOOKUP(G122,base_barras,IF(H122="Desnuda",2,5)+F122-1,FALSE),"-")</f>
        <v>2410</v>
      </c>
      <c r="E122" s="329">
        <v>4</v>
      </c>
      <c r="F122" s="330">
        <v>2</v>
      </c>
      <c r="G122" s="331" t="s">
        <v>582</v>
      </c>
      <c r="H122" s="330" t="s">
        <v>1043</v>
      </c>
      <c r="I122" s="332">
        <f>0.7+0.8</f>
        <v>1.5</v>
      </c>
      <c r="J122" s="333">
        <f t="shared" ref="J122:J123" si="68">IF(G122&lt;&gt;"",VLOOKUP(G122,precio_barras,9,FALSE),0)</f>
        <v>71.100000000000009</v>
      </c>
      <c r="K122" s="329">
        <f>2+2</f>
        <v>4</v>
      </c>
      <c r="L122" s="343" t="str">
        <f t="shared" ref="L122" si="69">IF(G122&lt;&gt;"",IF(VLOOKUP(G122,base_barras,10,FALSE)&lt;&gt;"",VLOOKUP(G122,base_barras,10,FALSE),"-"),"-")</f>
        <v>1/1000</v>
      </c>
      <c r="M122" s="333">
        <f t="shared" ref="M122" si="70">IF(L122&lt;&gt;"-",VLOOKUP(L122,precio_aislador,2,FALSE),0)</f>
        <v>2.7</v>
      </c>
      <c r="N122" s="360">
        <f t="shared" ref="N122" si="71">(I122*J122*F122+K122*M122)*E122*1.67*1.25</f>
        <v>1871.2350000000001</v>
      </c>
      <c r="O122" s="288"/>
      <c r="P122" s="297"/>
      <c r="Q122" s="288"/>
      <c r="R122" s="102"/>
      <c r="S122" s="102"/>
      <c r="T122" s="102"/>
    </row>
    <row r="123" spans="1:20" s="199" customFormat="1" ht="14.25">
      <c r="A123" s="2642"/>
      <c r="B123" s="688" t="s">
        <v>802</v>
      </c>
      <c r="C123" s="319"/>
      <c r="D123" s="312">
        <f>IF(H123&lt;&gt;"",VLOOKUP(G123,base_barras,IF(H123="Desnuda",2,5)+F123-1,FALSE),"-")</f>
        <v>1500</v>
      </c>
      <c r="E123" s="313">
        <v>1</v>
      </c>
      <c r="F123" s="314">
        <v>1</v>
      </c>
      <c r="G123" s="315" t="s">
        <v>582</v>
      </c>
      <c r="H123" s="689" t="str">
        <f>H122</f>
        <v>Pintada</v>
      </c>
      <c r="I123" s="690">
        <f>I122</f>
        <v>1.5</v>
      </c>
      <c r="J123" s="317">
        <f t="shared" si="68"/>
        <v>71.100000000000009</v>
      </c>
      <c r="K123" s="691">
        <v>0</v>
      </c>
      <c r="L123" s="318" t="str">
        <f>IF(G123&lt;&gt;"",IF(VLOOKUP(G123,base_barras,10,FALSE)&lt;&gt;"",VLOOKUP(G123,base_barras,10,FALSE),"-"),"-")</f>
        <v>1/1000</v>
      </c>
      <c r="M123" s="317">
        <f>IF(L123&lt;&gt;"-",VLOOKUP(L123,precio_aislador,2,FALSE),0)</f>
        <v>2.7</v>
      </c>
      <c r="N123" s="308">
        <f>(I123*J123*F123+K123*M123)*E123*1.67*1.25</f>
        <v>222.63187500000001</v>
      </c>
      <c r="O123" s="288"/>
      <c r="P123" s="297"/>
      <c r="Q123" s="288"/>
      <c r="R123" s="102"/>
      <c r="S123" s="102"/>
      <c r="T123" s="102"/>
    </row>
    <row r="124" spans="1:20" s="199" customFormat="1" ht="15.75" customHeight="1">
      <c r="A124" s="2642"/>
      <c r="B124" s="692" t="s">
        <v>4926</v>
      </c>
      <c r="C124" s="693"/>
      <c r="D124" s="312">
        <f t="shared" ref="D124:D129" si="72">IF(H124&lt;&gt;"",VLOOKUP(G124,base_barras,IF(H124="Desnuda",2,5)+F124-1,FALSE),"-")</f>
        <v>1960</v>
      </c>
      <c r="E124" s="313">
        <v>4</v>
      </c>
      <c r="F124" s="314">
        <v>2</v>
      </c>
      <c r="G124" s="315" t="s">
        <v>581</v>
      </c>
      <c r="H124" s="314" t="s">
        <v>1043</v>
      </c>
      <c r="I124" s="316">
        <v>0.61</v>
      </c>
      <c r="J124" s="317">
        <f t="shared" ref="J124:J129" si="73">IF(G124&lt;&gt;"",VLOOKUP(G124,precio_barras,9,FALSE),0)</f>
        <v>53.3</v>
      </c>
      <c r="K124" s="694">
        <v>0</v>
      </c>
      <c r="L124" s="695" t="str">
        <f t="shared" ref="L124:L129" si="74">IF(G124&lt;&gt;"",IF(VLOOKUP(G124,base_barras,10,FALSE)&lt;&gt;"",VLOOKUP(G124,base_barras,10,FALSE),"-"),"-")</f>
        <v>1/750</v>
      </c>
      <c r="M124" s="478">
        <f t="shared" ref="M124:M129" si="75">IF(L124&lt;&gt;"-",VLOOKUP(L124,precio_aislador,2,FALSE),0)</f>
        <v>1.9</v>
      </c>
      <c r="N124" s="696">
        <f t="shared" ref="N124:N129" si="76">(I124*J124*F124+K124*M124)*E124*1.67*1.25</f>
        <v>542.96709999999996</v>
      </c>
      <c r="O124" s="288"/>
      <c r="P124" s="297"/>
      <c r="Q124" s="288"/>
      <c r="R124" s="102"/>
      <c r="S124" s="102"/>
      <c r="T124" s="102"/>
    </row>
    <row r="125" spans="1:20" s="199" customFormat="1" ht="15.75" customHeight="1">
      <c r="A125" s="2642"/>
      <c r="B125" s="692" t="s">
        <v>4927</v>
      </c>
      <c r="C125" s="693"/>
      <c r="D125" s="312">
        <f t="shared" si="72"/>
        <v>676</v>
      </c>
      <c r="E125" s="313">
        <v>4</v>
      </c>
      <c r="F125" s="314">
        <v>1</v>
      </c>
      <c r="G125" s="315" t="s">
        <v>314</v>
      </c>
      <c r="H125" s="314" t="s">
        <v>1043</v>
      </c>
      <c r="I125" s="316">
        <v>0.61</v>
      </c>
      <c r="J125" s="317">
        <f t="shared" si="73"/>
        <v>26.6</v>
      </c>
      <c r="K125" s="694">
        <v>0</v>
      </c>
      <c r="L125" s="695" t="str">
        <f t="shared" si="74"/>
        <v>1/750</v>
      </c>
      <c r="M125" s="478">
        <f t="shared" si="75"/>
        <v>1.9</v>
      </c>
      <c r="N125" s="696">
        <f t="shared" si="76"/>
        <v>135.48709999999997</v>
      </c>
      <c r="O125" s="288"/>
      <c r="P125" s="297"/>
      <c r="Q125" s="288"/>
      <c r="R125" s="102"/>
      <c r="S125" s="102"/>
      <c r="T125" s="102"/>
    </row>
    <row r="126" spans="1:20" s="199" customFormat="1" ht="15.75" customHeight="1">
      <c r="A126" s="2642"/>
      <c r="B126" s="692" t="s">
        <v>4927</v>
      </c>
      <c r="C126" s="693"/>
      <c r="D126" s="312">
        <f t="shared" si="72"/>
        <v>676</v>
      </c>
      <c r="E126" s="313">
        <v>4</v>
      </c>
      <c r="F126" s="314">
        <v>1</v>
      </c>
      <c r="G126" s="315" t="s">
        <v>314</v>
      </c>
      <c r="H126" s="314" t="s">
        <v>1043</v>
      </c>
      <c r="I126" s="316">
        <v>0.61</v>
      </c>
      <c r="J126" s="317">
        <f t="shared" si="73"/>
        <v>26.6</v>
      </c>
      <c r="K126" s="694">
        <v>0</v>
      </c>
      <c r="L126" s="695" t="str">
        <f t="shared" si="74"/>
        <v>1/750</v>
      </c>
      <c r="M126" s="478">
        <f t="shared" si="75"/>
        <v>1.9</v>
      </c>
      <c r="N126" s="696">
        <f t="shared" si="76"/>
        <v>135.48709999999997</v>
      </c>
      <c r="O126" s="288"/>
      <c r="P126" s="297"/>
      <c r="Q126" s="288"/>
      <c r="R126" s="102"/>
      <c r="S126" s="102"/>
      <c r="T126" s="102"/>
    </row>
    <row r="127" spans="1:20" s="199" customFormat="1" ht="15.75" customHeight="1">
      <c r="A127" s="2642"/>
      <c r="B127" s="692" t="s">
        <v>4928</v>
      </c>
      <c r="C127" s="693"/>
      <c r="D127" s="312">
        <f t="shared" ref="D127" si="77">IF(H127&lt;&gt;"",VLOOKUP(G127,base_barras,IF(H127="Desnuda",2,5)+F127-1,FALSE),"-")</f>
        <v>850</v>
      </c>
      <c r="E127" s="313">
        <v>4</v>
      </c>
      <c r="F127" s="314">
        <v>1</v>
      </c>
      <c r="G127" s="315" t="s">
        <v>469</v>
      </c>
      <c r="H127" s="314" t="s">
        <v>1043</v>
      </c>
      <c r="I127" s="316">
        <v>0.61</v>
      </c>
      <c r="J127" s="317">
        <f t="shared" ref="J127" si="78">IF(G127&lt;&gt;"",VLOOKUP(G127,precio_barras,9,FALSE),0)</f>
        <v>35.6</v>
      </c>
      <c r="K127" s="694">
        <v>0</v>
      </c>
      <c r="L127" s="695" t="str">
        <f t="shared" ref="L127" si="79">IF(G127&lt;&gt;"",IF(VLOOKUP(G127,base_barras,10,FALSE)&lt;&gt;"",VLOOKUP(G127,base_barras,10,FALSE),"-"),"-")</f>
        <v>1/750</v>
      </c>
      <c r="M127" s="478">
        <f t="shared" ref="M127" si="80">IF(L127&lt;&gt;"-",VLOOKUP(L127,precio_aislador,2,FALSE),0)</f>
        <v>1.9</v>
      </c>
      <c r="N127" s="696">
        <f t="shared" si="76"/>
        <v>181.32859999999999</v>
      </c>
      <c r="O127" s="288"/>
      <c r="P127" s="297"/>
      <c r="Q127" s="288"/>
      <c r="R127" s="102"/>
      <c r="S127" s="102"/>
      <c r="T127" s="102"/>
    </row>
    <row r="128" spans="1:20" s="199" customFormat="1" ht="15.75" customHeight="1">
      <c r="A128" s="2642"/>
      <c r="B128" s="692" t="s">
        <v>4929</v>
      </c>
      <c r="C128" s="693"/>
      <c r="D128" s="312">
        <f t="shared" ref="D128" si="81">IF(H128&lt;&gt;"",VLOOKUP(G128,base_barras,IF(H128="Desnuda",2,5)+F128-1,FALSE),"-")</f>
        <v>850</v>
      </c>
      <c r="E128" s="313">
        <v>4</v>
      </c>
      <c r="F128" s="314">
        <v>1</v>
      </c>
      <c r="G128" s="315" t="s">
        <v>469</v>
      </c>
      <c r="H128" s="314" t="s">
        <v>1043</v>
      </c>
      <c r="I128" s="316">
        <v>0.61</v>
      </c>
      <c r="J128" s="317">
        <f t="shared" ref="J128" si="82">IF(G128&lt;&gt;"",VLOOKUP(G128,precio_barras,9,FALSE),0)</f>
        <v>35.6</v>
      </c>
      <c r="K128" s="694">
        <v>0</v>
      </c>
      <c r="L128" s="695" t="str">
        <f t="shared" ref="L128" si="83">IF(G128&lt;&gt;"",IF(VLOOKUP(G128,base_barras,10,FALSE)&lt;&gt;"",VLOOKUP(G128,base_barras,10,FALSE),"-"),"-")</f>
        <v>1/750</v>
      </c>
      <c r="M128" s="478">
        <f t="shared" ref="M128" si="84">IF(L128&lt;&gt;"-",VLOOKUP(L128,precio_aislador,2,FALSE),0)</f>
        <v>1.9</v>
      </c>
      <c r="N128" s="696">
        <f t="shared" si="76"/>
        <v>181.32859999999999</v>
      </c>
      <c r="O128" s="288"/>
      <c r="P128" s="297"/>
      <c r="Q128" s="288"/>
      <c r="R128" s="102"/>
      <c r="S128" s="102"/>
      <c r="T128" s="102"/>
    </row>
    <row r="129" spans="1:20" s="199" customFormat="1" ht="15.75" customHeight="1" thickBot="1">
      <c r="A129" s="2643"/>
      <c r="B129" s="688" t="s">
        <v>3468</v>
      </c>
      <c r="C129" s="311"/>
      <c r="D129" s="312">
        <f t="shared" si="72"/>
        <v>985</v>
      </c>
      <c r="E129" s="313">
        <v>4</v>
      </c>
      <c r="F129" s="314">
        <v>1</v>
      </c>
      <c r="G129" s="315" t="s">
        <v>581</v>
      </c>
      <c r="H129" s="314" t="s">
        <v>1044</v>
      </c>
      <c r="I129" s="316">
        <v>0.5</v>
      </c>
      <c r="J129" s="317">
        <f t="shared" si="73"/>
        <v>53.3</v>
      </c>
      <c r="K129" s="313">
        <v>0</v>
      </c>
      <c r="L129" s="318" t="str">
        <f t="shared" si="74"/>
        <v>1/750</v>
      </c>
      <c r="M129" s="317">
        <f t="shared" si="75"/>
        <v>1.9</v>
      </c>
      <c r="N129" s="308">
        <f t="shared" si="76"/>
        <v>222.52749999999997</v>
      </c>
      <c r="O129" s="288"/>
      <c r="P129" s="297"/>
      <c r="Q129" s="288"/>
      <c r="R129" s="102"/>
      <c r="S129" s="102"/>
      <c r="T129" s="102"/>
    </row>
    <row r="130" spans="1:20" s="129" customFormat="1" ht="22.5" customHeight="1" thickBot="1">
      <c r="A130" s="371"/>
      <c r="B130" s="373"/>
      <c r="C130" s="375"/>
      <c r="D130" s="383"/>
      <c r="E130" s="373"/>
      <c r="F130" s="373"/>
      <c r="G130" s="373"/>
      <c r="H130" s="373"/>
      <c r="I130" s="374"/>
      <c r="J130" s="374"/>
      <c r="K130" s="373"/>
      <c r="L130" s="373"/>
      <c r="M130" s="372"/>
      <c r="N130" s="699">
        <f>SUM(N122:N129)</f>
        <v>3492.9928749999995</v>
      </c>
      <c r="O130" s="288"/>
      <c r="P130" s="297"/>
      <c r="Q130" s="288"/>
      <c r="R130" s="102"/>
      <c r="S130" s="102"/>
      <c r="T130" s="102"/>
    </row>
    <row r="131" spans="1:20" s="102" customFormat="1" ht="8.25" customHeight="1" thickBot="1">
      <c r="A131" s="323"/>
      <c r="B131" s="323"/>
      <c r="C131" s="323"/>
      <c r="D131" s="382"/>
      <c r="E131" s="323"/>
      <c r="F131" s="325"/>
      <c r="G131" s="325"/>
      <c r="H131" s="325"/>
      <c r="I131" s="323"/>
      <c r="J131" s="323"/>
      <c r="K131" s="323"/>
      <c r="L131" s="325"/>
      <c r="M131" s="323"/>
      <c r="N131" s="309"/>
      <c r="O131" s="288"/>
      <c r="P131" s="297"/>
      <c r="Q131" s="288"/>
    </row>
    <row r="132" spans="1:20" s="102" customFormat="1" ht="12.75" customHeight="1">
      <c r="A132" s="2639" t="s">
        <v>2502</v>
      </c>
      <c r="B132" s="687" t="s">
        <v>2503</v>
      </c>
      <c r="C132" s="327"/>
      <c r="D132" s="328">
        <f t="shared" ref="D132:D133" si="85">IF(H132&lt;&gt;"",VLOOKUP(G132,base_barras,IF(H132="Desnuda",2,5)+F132-1,FALSE),"-")</f>
        <v>2850</v>
      </c>
      <c r="E132" s="329">
        <v>4</v>
      </c>
      <c r="F132" s="330">
        <v>2</v>
      </c>
      <c r="G132" s="331" t="s">
        <v>468</v>
      </c>
      <c r="H132" s="330" t="s">
        <v>1043</v>
      </c>
      <c r="I132" s="332">
        <f>0.8</f>
        <v>0.8</v>
      </c>
      <c r="J132" s="333">
        <f t="shared" ref="J132:J133" si="86">IF(G132&lt;&gt;"",VLOOKUP(G132,precio_barras,9,FALSE),0)</f>
        <v>88.9</v>
      </c>
      <c r="K132" s="481">
        <v>2</v>
      </c>
      <c r="L132" s="343" t="str">
        <f t="shared" ref="L132:L133" si="87">IF(G132&lt;&gt;"",IF(VLOOKUP(G132,base_barras,10,FALSE)&lt;&gt;"",VLOOKUP(G132,base_barras,10,FALSE),"-"),"-")</f>
        <v>1.5/1250</v>
      </c>
      <c r="M132" s="333">
        <f t="shared" ref="M132:M133" si="88">IF(L132&lt;&gt;"-",VLOOKUP(L132,precio_aislador,2,FALSE),0)</f>
        <v>5.5</v>
      </c>
      <c r="N132" s="360">
        <f t="shared" ref="N132:N133" si="89">(I132*J132*F132+K132*M132)*E132*1.67*1.25</f>
        <v>1279.5540000000001</v>
      </c>
      <c r="O132" s="288"/>
      <c r="P132" s="297"/>
      <c r="Q132" s="297"/>
    </row>
    <row r="133" spans="1:20" s="199" customFormat="1" ht="15.75" customHeight="1" thickBot="1">
      <c r="A133" s="2644"/>
      <c r="B133" s="700" t="s">
        <v>4930</v>
      </c>
      <c r="C133" s="701"/>
      <c r="D133" s="364">
        <f t="shared" si="85"/>
        <v>2410</v>
      </c>
      <c r="E133" s="365">
        <v>4</v>
      </c>
      <c r="F133" s="366">
        <v>2</v>
      </c>
      <c r="G133" s="322" t="s">
        <v>582</v>
      </c>
      <c r="H133" s="366" t="s">
        <v>1043</v>
      </c>
      <c r="I133" s="367">
        <f>0.2+0.5+0.5+0.2</f>
        <v>1.4</v>
      </c>
      <c r="J133" s="368">
        <f t="shared" si="86"/>
        <v>71.100000000000009</v>
      </c>
      <c r="K133" s="702">
        <v>0</v>
      </c>
      <c r="L133" s="703" t="str">
        <f t="shared" si="87"/>
        <v>1/1000</v>
      </c>
      <c r="M133" s="480">
        <f t="shared" si="88"/>
        <v>2.7</v>
      </c>
      <c r="N133" s="704">
        <f t="shared" si="89"/>
        <v>1662.318</v>
      </c>
      <c r="O133" s="288"/>
      <c r="P133" s="297"/>
      <c r="Q133" s="288"/>
      <c r="R133" s="102"/>
      <c r="S133" s="102"/>
      <c r="T133" s="102"/>
    </row>
    <row r="134" spans="1:20" s="102" customFormat="1" ht="12.75" customHeight="1">
      <c r="A134" s="2644"/>
      <c r="B134" s="692"/>
      <c r="C134" s="693"/>
      <c r="D134" s="697"/>
      <c r="E134" s="694"/>
      <c r="F134" s="655"/>
      <c r="G134" s="698"/>
      <c r="H134" s="655"/>
      <c r="I134" s="398"/>
      <c r="J134" s="478"/>
      <c r="K134" s="705"/>
      <c r="L134" s="695"/>
      <c r="M134" s="478"/>
      <c r="N134" s="696"/>
      <c r="O134" s="288"/>
      <c r="P134" s="297"/>
      <c r="Q134" s="297"/>
    </row>
    <row r="135" spans="1:20" s="199" customFormat="1" ht="15.75" customHeight="1" thickBot="1">
      <c r="A135" s="2640"/>
      <c r="B135" s="700"/>
      <c r="C135" s="701"/>
      <c r="D135" s="364"/>
      <c r="E135" s="365"/>
      <c r="F135" s="366"/>
      <c r="G135" s="322"/>
      <c r="H135" s="366"/>
      <c r="I135" s="367"/>
      <c r="J135" s="368"/>
      <c r="K135" s="702"/>
      <c r="L135" s="703"/>
      <c r="M135" s="480"/>
      <c r="N135" s="704"/>
      <c r="O135" s="288"/>
      <c r="P135" s="297"/>
      <c r="Q135" s="288"/>
      <c r="R135" s="102"/>
      <c r="S135" s="102"/>
      <c r="T135" s="102"/>
    </row>
    <row r="136" spans="1:20" s="102" customFormat="1" ht="13.5" thickBot="1">
      <c r="A136" s="323"/>
      <c r="B136" s="323"/>
      <c r="C136" s="309"/>
      <c r="D136" s="382"/>
      <c r="E136" s="323"/>
      <c r="F136" s="309"/>
      <c r="G136" s="309"/>
      <c r="H136" s="323"/>
      <c r="I136" s="325"/>
      <c r="J136" s="325"/>
      <c r="K136" s="323"/>
      <c r="L136" s="323"/>
      <c r="M136" s="325"/>
      <c r="N136" s="706">
        <f>SUM(N132:N135)</f>
        <v>2941.8720000000003</v>
      </c>
      <c r="O136" s="288"/>
      <c r="P136" s="297"/>
      <c r="Q136" s="297"/>
    </row>
    <row r="137" spans="1:20" s="102" customFormat="1" ht="8.25" customHeight="1" thickBot="1">
      <c r="A137" s="323"/>
      <c r="B137" s="323"/>
      <c r="C137" s="323"/>
      <c r="D137" s="382"/>
      <c r="E137" s="323"/>
      <c r="F137" s="325"/>
      <c r="G137" s="325"/>
      <c r="H137" s="325"/>
      <c r="I137" s="323"/>
      <c r="J137" s="323"/>
      <c r="K137" s="323"/>
      <c r="L137" s="325"/>
      <c r="M137" s="323"/>
      <c r="N137" s="309"/>
      <c r="O137" s="288"/>
      <c r="P137" s="297"/>
      <c r="Q137" s="288"/>
    </row>
    <row r="138" spans="1:20" s="102" customFormat="1" ht="12.75" customHeight="1">
      <c r="A138" s="2639" t="s">
        <v>2505</v>
      </c>
      <c r="B138" s="687"/>
      <c r="C138" s="327"/>
      <c r="D138" s="328"/>
      <c r="E138" s="329"/>
      <c r="F138" s="330"/>
      <c r="G138" s="331"/>
      <c r="H138" s="330"/>
      <c r="I138" s="332"/>
      <c r="J138" s="333"/>
      <c r="K138" s="481"/>
      <c r="L138" s="343"/>
      <c r="M138" s="333"/>
      <c r="N138" s="360"/>
      <c r="O138" s="288"/>
      <c r="P138" s="297"/>
      <c r="Q138" s="297"/>
    </row>
    <row r="139" spans="1:20" s="102" customFormat="1" ht="13.5" thickBot="1">
      <c r="A139" s="2644"/>
      <c r="B139" s="707"/>
      <c r="C139" s="479"/>
      <c r="D139" s="364"/>
      <c r="E139" s="365"/>
      <c r="F139" s="366"/>
      <c r="G139" s="322"/>
      <c r="H139" s="366"/>
      <c r="I139" s="367"/>
      <c r="J139" s="368"/>
      <c r="K139" s="365"/>
      <c r="L139" s="369"/>
      <c r="M139" s="368"/>
      <c r="N139" s="370"/>
      <c r="O139" s="288"/>
      <c r="P139" s="297"/>
      <c r="Q139" s="297"/>
    </row>
    <row r="140" spans="1:20" s="102" customFormat="1" ht="12.75" customHeight="1">
      <c r="A140" s="2644"/>
      <c r="B140" s="692"/>
      <c r="C140" s="693"/>
      <c r="D140" s="697"/>
      <c r="E140" s="694"/>
      <c r="F140" s="655"/>
      <c r="G140" s="698"/>
      <c r="H140" s="655"/>
      <c r="I140" s="398"/>
      <c r="J140" s="478"/>
      <c r="K140" s="705"/>
      <c r="L140" s="695"/>
      <c r="M140" s="478"/>
      <c r="N140" s="696"/>
      <c r="O140" s="288"/>
      <c r="P140" s="297"/>
      <c r="Q140" s="297"/>
    </row>
    <row r="141" spans="1:20" s="102" customFormat="1" ht="13.5" thickBot="1">
      <c r="A141" s="2640"/>
      <c r="B141" s="700"/>
      <c r="C141" s="701"/>
      <c r="D141" s="708"/>
      <c r="E141" s="702"/>
      <c r="F141" s="709"/>
      <c r="G141" s="710"/>
      <c r="H141" s="709"/>
      <c r="I141" s="711"/>
      <c r="J141" s="480"/>
      <c r="K141" s="702"/>
      <c r="L141" s="703"/>
      <c r="M141" s="480"/>
      <c r="N141" s="704"/>
      <c r="O141" s="288"/>
      <c r="P141" s="297"/>
      <c r="Q141" s="297"/>
    </row>
    <row r="142" spans="1:20" s="102" customFormat="1" ht="13.5" thickBot="1">
      <c r="A142" s="323"/>
      <c r="B142" s="323"/>
      <c r="C142" s="309"/>
      <c r="D142" s="382"/>
      <c r="E142" s="323"/>
      <c r="F142" s="309"/>
      <c r="G142" s="309"/>
      <c r="H142" s="323"/>
      <c r="I142" s="325"/>
      <c r="J142" s="325"/>
      <c r="K142" s="323"/>
      <c r="L142" s="323"/>
      <c r="M142" s="325"/>
      <c r="N142" s="706">
        <f>SUM(N138:N141)</f>
        <v>0</v>
      </c>
      <c r="O142" s="288"/>
      <c r="P142" s="297"/>
      <c r="Q142" s="297"/>
    </row>
    <row r="143" spans="1:20" s="102" customFormat="1" ht="8.25" customHeight="1" thickBot="1">
      <c r="A143" s="323"/>
      <c r="B143" s="323"/>
      <c r="C143" s="323"/>
      <c r="D143" s="382"/>
      <c r="E143" s="323"/>
      <c r="F143" s="325"/>
      <c r="G143" s="325"/>
      <c r="H143" s="325"/>
      <c r="I143" s="323"/>
      <c r="J143" s="323"/>
      <c r="K143" s="323"/>
      <c r="L143" s="325"/>
      <c r="M143" s="323"/>
      <c r="N143" s="309"/>
      <c r="O143" s="288"/>
      <c r="P143" s="297"/>
      <c r="Q143" s="288"/>
    </row>
    <row r="144" spans="1:20" s="102" customFormat="1">
      <c r="A144" s="2629" t="s">
        <v>1228</v>
      </c>
      <c r="B144" s="687" t="s">
        <v>2498</v>
      </c>
      <c r="C144" s="327"/>
      <c r="D144" s="328">
        <f t="shared" ref="D144:D145" si="90">IF(H144&lt;&gt;"",VLOOKUP(G144,base_barras,IF(H144="Desnuda",2,5)+F144-1,FALSE),"-")</f>
        <v>2410</v>
      </c>
      <c r="E144" s="481">
        <v>4</v>
      </c>
      <c r="F144" s="330">
        <v>2</v>
      </c>
      <c r="G144" s="331" t="s">
        <v>582</v>
      </c>
      <c r="H144" s="330" t="s">
        <v>1043</v>
      </c>
      <c r="I144" s="332">
        <f>0.2</f>
        <v>0.2</v>
      </c>
      <c r="J144" s="333">
        <f t="shared" ref="J144" si="91">IF(G144&lt;&gt;"",VLOOKUP(G144,precio_barras,9,FALSE),0)</f>
        <v>71.100000000000009</v>
      </c>
      <c r="K144" s="329">
        <v>0</v>
      </c>
      <c r="L144" s="343" t="str">
        <f t="shared" ref="L144:L145" si="92">IF(G144&lt;&gt;"",IF(VLOOKUP(G144,base_barras,10,FALSE)&lt;&gt;"",VLOOKUP(G144,base_barras,10,FALSE),"-"),"-")</f>
        <v>1/1000</v>
      </c>
      <c r="M144" s="333">
        <f t="shared" ref="M144" si="93">IF(L144&lt;&gt;"-",VLOOKUP(L144,precio_aislador,2,FALSE),0)</f>
        <v>2.7</v>
      </c>
      <c r="N144" s="360">
        <f t="shared" ref="N144:N145" si="94">(I144*J144*F144+K144*M144)*E144*1.67*1.25</f>
        <v>237.47400000000002</v>
      </c>
      <c r="O144" s="288"/>
      <c r="P144" s="297"/>
      <c r="Q144" s="297"/>
    </row>
    <row r="145" spans="1:20" s="102" customFormat="1" ht="13.5" thickBot="1">
      <c r="A145" s="2635"/>
      <c r="B145" s="707"/>
      <c r="C145" s="479"/>
      <c r="D145" s="364" t="str">
        <f t="shared" si="90"/>
        <v>-</v>
      </c>
      <c r="E145" s="365"/>
      <c r="F145" s="366"/>
      <c r="G145" s="322"/>
      <c r="H145" s="366"/>
      <c r="I145" s="367"/>
      <c r="J145" s="480">
        <f>IF(G145&lt;&gt;"",VLOOKUP(G145,precio_barras,9,FALSE),0)</f>
        <v>0</v>
      </c>
      <c r="K145" s="365"/>
      <c r="L145" s="369" t="str">
        <f t="shared" si="92"/>
        <v>-</v>
      </c>
      <c r="M145" s="368">
        <f>IF(L145&lt;&gt;"-",VLOOKUP(L145,precio_aislador,2,FALSE),0)</f>
        <v>0</v>
      </c>
      <c r="N145" s="370">
        <f t="shared" si="94"/>
        <v>0</v>
      </c>
      <c r="O145" s="288"/>
      <c r="P145" s="297"/>
      <c r="Q145" s="297"/>
    </row>
    <row r="146" spans="1:20" s="102" customFormat="1" ht="13.5" thickBot="1">
      <c r="A146" s="323"/>
      <c r="B146" s="323"/>
      <c r="C146" s="309"/>
      <c r="D146" s="382"/>
      <c r="E146" s="323"/>
      <c r="F146" s="309"/>
      <c r="G146" s="309"/>
      <c r="H146" s="323"/>
      <c r="I146" s="325"/>
      <c r="J146" s="325"/>
      <c r="K146" s="323"/>
      <c r="L146" s="323"/>
      <c r="M146" s="325"/>
      <c r="N146" s="706">
        <f>SUM(N144:N145)</f>
        <v>237.47400000000002</v>
      </c>
      <c r="O146" s="288"/>
      <c r="P146" s="297"/>
      <c r="Q146" s="297"/>
    </row>
    <row r="147" spans="1:20" s="102" customFormat="1" ht="8.25" customHeight="1" thickBot="1">
      <c r="A147" s="323"/>
      <c r="B147" s="323"/>
      <c r="C147" s="323"/>
      <c r="D147" s="382"/>
      <c r="E147" s="323"/>
      <c r="F147" s="325"/>
      <c r="G147" s="325"/>
      <c r="H147" s="325"/>
      <c r="I147" s="323"/>
      <c r="J147" s="323"/>
      <c r="K147" s="323"/>
      <c r="L147" s="325"/>
      <c r="M147" s="323"/>
      <c r="N147" s="309"/>
      <c r="O147" s="288"/>
      <c r="P147" s="297"/>
      <c r="Q147" s="288"/>
    </row>
    <row r="148" spans="1:20" s="102" customFormat="1">
      <c r="A148" s="2645" t="s">
        <v>2548</v>
      </c>
      <c r="B148" s="687"/>
      <c r="C148" s="327"/>
      <c r="D148" s="328"/>
      <c r="E148" s="329"/>
      <c r="F148" s="330"/>
      <c r="G148" s="331"/>
      <c r="H148" s="330"/>
      <c r="I148" s="332"/>
      <c r="J148" s="333"/>
      <c r="K148" s="329"/>
      <c r="L148" s="343"/>
      <c r="M148" s="333"/>
      <c r="N148" s="360"/>
      <c r="O148" s="288"/>
      <c r="P148" s="297"/>
      <c r="Q148" s="297"/>
    </row>
    <row r="149" spans="1:20" s="199" customFormat="1" ht="15.75" customHeight="1">
      <c r="A149" s="2646"/>
      <c r="B149" s="692"/>
      <c r="C149" s="693"/>
      <c r="D149" s="697"/>
      <c r="E149" s="694"/>
      <c r="F149" s="655"/>
      <c r="G149" s="698"/>
      <c r="H149" s="655"/>
      <c r="I149" s="398"/>
      <c r="J149" s="478"/>
      <c r="K149" s="694"/>
      <c r="L149" s="695"/>
      <c r="M149" s="478"/>
      <c r="N149" s="696"/>
      <c r="O149" s="288"/>
      <c r="P149" s="297"/>
      <c r="Q149" s="288"/>
      <c r="R149" s="102"/>
      <c r="S149" s="102"/>
      <c r="T149" s="102"/>
    </row>
    <row r="150" spans="1:20" s="199" customFormat="1" ht="15.75" customHeight="1" thickBot="1">
      <c r="A150" s="2646"/>
      <c r="B150" s="707"/>
      <c r="C150" s="479"/>
      <c r="D150" s="364"/>
      <c r="E150" s="365"/>
      <c r="F150" s="366"/>
      <c r="G150" s="322"/>
      <c r="H150" s="366"/>
      <c r="I150" s="367"/>
      <c r="J150" s="368"/>
      <c r="K150" s="365"/>
      <c r="L150" s="369"/>
      <c r="M150" s="368"/>
      <c r="N150" s="370"/>
      <c r="O150" s="288"/>
      <c r="P150" s="297"/>
      <c r="Q150" s="288"/>
      <c r="R150" s="102"/>
      <c r="S150" s="102"/>
      <c r="T150" s="102"/>
    </row>
    <row r="151" spans="1:20" s="102" customFormat="1">
      <c r="A151" s="2646"/>
      <c r="B151" s="692"/>
      <c r="C151" s="693"/>
      <c r="D151" s="697"/>
      <c r="E151" s="694"/>
      <c r="F151" s="655"/>
      <c r="G151" s="698"/>
      <c r="H151" s="655"/>
      <c r="I151" s="398"/>
      <c r="J151" s="478"/>
      <c r="K151" s="694"/>
      <c r="L151" s="695"/>
      <c r="M151" s="478"/>
      <c r="N151" s="696"/>
      <c r="O151" s="288"/>
      <c r="P151" s="297"/>
      <c r="Q151" s="297"/>
    </row>
    <row r="152" spans="1:20" s="199" customFormat="1" ht="15.75" customHeight="1" thickBot="1">
      <c r="A152" s="2647"/>
      <c r="B152" s="700"/>
      <c r="C152" s="701"/>
      <c r="D152" s="708"/>
      <c r="E152" s="702"/>
      <c r="F152" s="709"/>
      <c r="G152" s="710"/>
      <c r="H152" s="709"/>
      <c r="I152" s="711"/>
      <c r="J152" s="480"/>
      <c r="K152" s="702"/>
      <c r="L152" s="703"/>
      <c r="M152" s="480"/>
      <c r="N152" s="704"/>
      <c r="O152" s="288"/>
      <c r="P152" s="297"/>
      <c r="Q152" s="288"/>
      <c r="R152" s="102"/>
      <c r="S152" s="102"/>
      <c r="T152" s="102"/>
    </row>
    <row r="153" spans="1:20" s="102" customFormat="1" ht="13.5" thickBot="1">
      <c r="A153" s="323"/>
      <c r="B153" s="323"/>
      <c r="C153" s="309"/>
      <c r="D153" s="382"/>
      <c r="E153" s="323"/>
      <c r="F153" s="309"/>
      <c r="G153" s="309"/>
      <c r="H153" s="323"/>
      <c r="I153" s="325"/>
      <c r="J153" s="325"/>
      <c r="K153" s="323"/>
      <c r="L153" s="323"/>
      <c r="M153" s="325"/>
      <c r="N153" s="706">
        <f>SUM(N148:N152)</f>
        <v>0</v>
      </c>
      <c r="O153" s="288"/>
      <c r="P153" s="297"/>
      <c r="Q153" s="297"/>
    </row>
    <row r="154" spans="1:20" s="102" customFormat="1" ht="8.25" customHeight="1" thickBot="1">
      <c r="A154" s="323"/>
      <c r="B154" s="323"/>
      <c r="C154" s="323"/>
      <c r="D154" s="382"/>
      <c r="E154" s="323"/>
      <c r="F154" s="325"/>
      <c r="G154" s="325"/>
      <c r="H154" s="325"/>
      <c r="I154" s="323"/>
      <c r="J154" s="323"/>
      <c r="K154" s="323"/>
      <c r="L154" s="325"/>
      <c r="M154" s="323"/>
      <c r="N154" s="309"/>
      <c r="O154" s="288"/>
      <c r="P154" s="297"/>
      <c r="Q154" s="288"/>
    </row>
    <row r="155" spans="1:20" s="102" customFormat="1">
      <c r="A155" s="2629" t="s">
        <v>1034</v>
      </c>
      <c r="B155" s="687"/>
      <c r="C155" s="327"/>
      <c r="D155" s="328"/>
      <c r="E155" s="329"/>
      <c r="F155" s="330"/>
      <c r="G155" s="331"/>
      <c r="H155" s="330"/>
      <c r="I155" s="332"/>
      <c r="J155" s="333"/>
      <c r="K155" s="329"/>
      <c r="L155" s="343"/>
      <c r="M155" s="333"/>
      <c r="N155" s="360"/>
      <c r="O155" s="288"/>
      <c r="P155" s="297"/>
      <c r="Q155" s="297"/>
    </row>
    <row r="156" spans="1:20" s="102" customFormat="1" ht="13.5" thickBot="1">
      <c r="A156" s="2635"/>
      <c r="B156" s="700"/>
      <c r="C156" s="701"/>
      <c r="D156" s="708"/>
      <c r="E156" s="702"/>
      <c r="F156" s="709"/>
      <c r="G156" s="710"/>
      <c r="H156" s="709"/>
      <c r="I156" s="711"/>
      <c r="J156" s="480"/>
      <c r="K156" s="702"/>
      <c r="L156" s="703"/>
      <c r="M156" s="480"/>
      <c r="N156" s="704"/>
      <c r="O156" s="288"/>
      <c r="P156" s="297"/>
      <c r="Q156" s="297"/>
    </row>
    <row r="157" spans="1:20" s="102" customFormat="1" ht="13.5" thickBot="1">
      <c r="A157" s="323"/>
      <c r="B157" s="323"/>
      <c r="C157" s="309"/>
      <c r="D157" s="382"/>
      <c r="E157" s="323"/>
      <c r="F157" s="309"/>
      <c r="G157" s="309"/>
      <c r="H157" s="323"/>
      <c r="I157" s="325"/>
      <c r="J157" s="325"/>
      <c r="K157" s="323"/>
      <c r="L157" s="323"/>
      <c r="M157" s="325"/>
      <c r="N157" s="706">
        <f>SUM(N155:N156)</f>
        <v>0</v>
      </c>
      <c r="O157" s="288"/>
      <c r="P157" s="297"/>
      <c r="Q157" s="297"/>
    </row>
    <row r="158" spans="1:20" s="102" customFormat="1">
      <c r="A158" s="323"/>
      <c r="B158" s="309"/>
      <c r="C158" s="309"/>
      <c r="D158" s="382"/>
      <c r="E158" s="323"/>
      <c r="F158" s="309"/>
      <c r="G158" s="309"/>
      <c r="H158" s="323"/>
      <c r="I158" s="325"/>
      <c r="J158" s="325"/>
      <c r="K158" s="323"/>
      <c r="L158" s="323"/>
      <c r="M158" s="325"/>
      <c r="N158" s="722"/>
      <c r="O158" s="288"/>
      <c r="P158" s="297"/>
      <c r="Q158" s="297"/>
    </row>
    <row r="159" spans="1:20" s="102" customFormat="1" ht="15">
      <c r="A159" s="323"/>
      <c r="B159" s="723" t="s">
        <v>2513</v>
      </c>
      <c r="C159" s="309"/>
      <c r="D159" s="382"/>
      <c r="E159" s="323"/>
      <c r="F159" s="309"/>
      <c r="G159" s="309"/>
      <c r="H159" s="323"/>
      <c r="I159" s="325"/>
      <c r="J159" s="325"/>
      <c r="K159" s="323"/>
      <c r="L159" s="323"/>
      <c r="M159" s="325"/>
      <c r="N159" s="722"/>
      <c r="O159" s="288"/>
      <c r="P159" s="297"/>
      <c r="Q159" s="297"/>
    </row>
    <row r="160" spans="1:20" s="106" customFormat="1"/>
    <row r="161" spans="1:20" s="106" customFormat="1" ht="13.5" thickBot="1"/>
    <row r="162" spans="1:20" s="199" customFormat="1" ht="15.75" customHeight="1">
      <c r="A162" s="2641" t="s">
        <v>4931</v>
      </c>
      <c r="B162" s="687" t="s">
        <v>2498</v>
      </c>
      <c r="C162" s="327"/>
      <c r="D162" s="328">
        <f t="shared" ref="D162" si="95">IF(H162&lt;&gt;"",VLOOKUP(G162,base_barras,IF(H162="Desnuda",2,5)+F162-1,FALSE),"-")</f>
        <v>2410</v>
      </c>
      <c r="E162" s="329">
        <v>4</v>
      </c>
      <c r="F162" s="330">
        <v>2</v>
      </c>
      <c r="G162" s="331" t="s">
        <v>582</v>
      </c>
      <c r="H162" s="330" t="s">
        <v>1043</v>
      </c>
      <c r="I162" s="332">
        <f>0.8+0.7</f>
        <v>1.5</v>
      </c>
      <c r="J162" s="333">
        <f t="shared" ref="J162:J170" si="96">IF(G162&lt;&gt;"",VLOOKUP(G162,precio_barras,9,FALSE),0)</f>
        <v>71.100000000000009</v>
      </c>
      <c r="K162" s="329">
        <f>2+2</f>
        <v>4</v>
      </c>
      <c r="L162" s="343" t="str">
        <f t="shared" ref="L162" si="97">IF(G162&lt;&gt;"",IF(VLOOKUP(G162,base_barras,10,FALSE)&lt;&gt;"",VLOOKUP(G162,base_barras,10,FALSE),"-"),"-")</f>
        <v>1/1000</v>
      </c>
      <c r="M162" s="333">
        <f t="shared" ref="M162" si="98">IF(L162&lt;&gt;"-",VLOOKUP(L162,precio_aislador,2,FALSE),0)</f>
        <v>2.7</v>
      </c>
      <c r="N162" s="360">
        <f t="shared" ref="N162" si="99">(I162*J162*F162+K162*M162)*E162*1.67*1.25</f>
        <v>1871.2350000000001</v>
      </c>
      <c r="O162" s="288"/>
      <c r="P162" s="297"/>
      <c r="Q162" s="288"/>
      <c r="R162" s="102"/>
      <c r="S162" s="102"/>
      <c r="T162" s="102"/>
    </row>
    <row r="163" spans="1:20" s="199" customFormat="1" ht="14.25">
      <c r="A163" s="2642"/>
      <c r="B163" s="688" t="s">
        <v>802</v>
      </c>
      <c r="C163" s="319"/>
      <c r="D163" s="312">
        <f>IF(H163&lt;&gt;"",VLOOKUP(G163,base_barras,IF(H163="Desnuda",2,5)+F163-1,FALSE),"-")</f>
        <v>1500</v>
      </c>
      <c r="E163" s="313">
        <v>1</v>
      </c>
      <c r="F163" s="314">
        <v>1</v>
      </c>
      <c r="G163" s="315" t="s">
        <v>582</v>
      </c>
      <c r="H163" s="689" t="str">
        <f>H162</f>
        <v>Pintada</v>
      </c>
      <c r="I163" s="690">
        <f>I162</f>
        <v>1.5</v>
      </c>
      <c r="J163" s="317">
        <f t="shared" si="96"/>
        <v>71.100000000000009</v>
      </c>
      <c r="K163" s="691">
        <v>0</v>
      </c>
      <c r="L163" s="318" t="str">
        <f>IF(G163&lt;&gt;"",IF(VLOOKUP(G163,base_barras,10,FALSE)&lt;&gt;"",VLOOKUP(G163,base_barras,10,FALSE),"-"),"-")</f>
        <v>1/1000</v>
      </c>
      <c r="M163" s="317">
        <f>IF(L163&lt;&gt;"-",VLOOKUP(L163,precio_aislador,2,FALSE),0)</f>
        <v>2.7</v>
      </c>
      <c r="N163" s="308">
        <f>(I163*J163*F163+K163*M163)*E163*1.67*1.25</f>
        <v>222.63187500000001</v>
      </c>
      <c r="O163" s="288"/>
      <c r="P163" s="297"/>
      <c r="Q163" s="288"/>
      <c r="R163" s="102"/>
      <c r="S163" s="102"/>
      <c r="T163" s="102"/>
    </row>
    <row r="164" spans="1:20" s="199" customFormat="1" ht="15.75" customHeight="1">
      <c r="A164" s="2642"/>
      <c r="B164" s="692" t="s">
        <v>4926</v>
      </c>
      <c r="C164" s="693"/>
      <c r="D164" s="312">
        <f t="shared" ref="D164:D170" si="100">IF(H164&lt;&gt;"",VLOOKUP(G164,base_barras,IF(H164="Desnuda",2,5)+F164-1,FALSE),"-")</f>
        <v>2410</v>
      </c>
      <c r="E164" s="313">
        <v>4</v>
      </c>
      <c r="F164" s="314">
        <v>2</v>
      </c>
      <c r="G164" s="315" t="s">
        <v>582</v>
      </c>
      <c r="H164" s="314" t="s">
        <v>1043</v>
      </c>
      <c r="I164" s="316">
        <v>0.61</v>
      </c>
      <c r="J164" s="317">
        <f t="shared" si="96"/>
        <v>71.100000000000009</v>
      </c>
      <c r="K164" s="694">
        <v>0</v>
      </c>
      <c r="L164" s="695" t="str">
        <f t="shared" ref="L164:L170" si="101">IF(G164&lt;&gt;"",IF(VLOOKUP(G164,base_barras,10,FALSE)&lt;&gt;"",VLOOKUP(G164,base_barras,10,FALSE),"-"),"-")</f>
        <v>1/1000</v>
      </c>
      <c r="M164" s="478">
        <f t="shared" ref="M164:M170" si="102">IF(L164&lt;&gt;"-",VLOOKUP(L164,precio_aislador,2,FALSE),0)</f>
        <v>2.7</v>
      </c>
      <c r="N164" s="696">
        <f t="shared" ref="N164:N170" si="103">(I164*J164*F164+K164*M164)*E164*1.67*1.25</f>
        <v>724.29570000000001</v>
      </c>
      <c r="O164" s="288"/>
      <c r="P164" s="297"/>
      <c r="Q164" s="288"/>
      <c r="R164" s="102"/>
      <c r="S164" s="102"/>
      <c r="T164" s="102"/>
    </row>
    <row r="165" spans="1:20" s="199" customFormat="1" ht="15.75" customHeight="1">
      <c r="A165" s="2642"/>
      <c r="B165" s="692" t="s">
        <v>4927</v>
      </c>
      <c r="C165" s="693"/>
      <c r="D165" s="312">
        <f t="shared" si="100"/>
        <v>676</v>
      </c>
      <c r="E165" s="313">
        <v>4</v>
      </c>
      <c r="F165" s="314">
        <v>1</v>
      </c>
      <c r="G165" s="315" t="s">
        <v>314</v>
      </c>
      <c r="H165" s="314" t="s">
        <v>1043</v>
      </c>
      <c r="I165" s="316">
        <v>0.61</v>
      </c>
      <c r="J165" s="317">
        <f t="shared" si="96"/>
        <v>26.6</v>
      </c>
      <c r="K165" s="694">
        <v>0</v>
      </c>
      <c r="L165" s="695" t="str">
        <f t="shared" si="101"/>
        <v>1/750</v>
      </c>
      <c r="M165" s="478">
        <f t="shared" si="102"/>
        <v>1.9</v>
      </c>
      <c r="N165" s="696">
        <f t="shared" si="103"/>
        <v>135.48709999999997</v>
      </c>
      <c r="O165" s="288"/>
      <c r="P165" s="297"/>
      <c r="Q165" s="288"/>
      <c r="R165" s="102"/>
      <c r="S165" s="102"/>
      <c r="T165" s="102"/>
    </row>
    <row r="166" spans="1:20" s="199" customFormat="1" ht="15.75" customHeight="1">
      <c r="A166" s="2642"/>
      <c r="B166" s="692" t="s">
        <v>4927</v>
      </c>
      <c r="C166" s="693"/>
      <c r="D166" s="312">
        <f t="shared" si="100"/>
        <v>676</v>
      </c>
      <c r="E166" s="313">
        <v>4</v>
      </c>
      <c r="F166" s="314">
        <v>1</v>
      </c>
      <c r="G166" s="315" t="s">
        <v>314</v>
      </c>
      <c r="H166" s="314" t="s">
        <v>1043</v>
      </c>
      <c r="I166" s="316">
        <v>0.61</v>
      </c>
      <c r="J166" s="317">
        <f t="shared" si="96"/>
        <v>26.6</v>
      </c>
      <c r="K166" s="694">
        <v>0</v>
      </c>
      <c r="L166" s="695" t="str">
        <f t="shared" si="101"/>
        <v>1/750</v>
      </c>
      <c r="M166" s="478">
        <f t="shared" si="102"/>
        <v>1.9</v>
      </c>
      <c r="N166" s="696">
        <f t="shared" si="103"/>
        <v>135.48709999999997</v>
      </c>
      <c r="O166" s="288"/>
      <c r="P166" s="297"/>
      <c r="Q166" s="288"/>
      <c r="R166" s="102"/>
      <c r="S166" s="102"/>
      <c r="T166" s="102"/>
    </row>
    <row r="167" spans="1:20" s="199" customFormat="1" ht="15.75" customHeight="1">
      <c r="A167" s="2642"/>
      <c r="B167" s="692" t="s">
        <v>4927</v>
      </c>
      <c r="C167" s="693"/>
      <c r="D167" s="312">
        <f t="shared" si="100"/>
        <v>676</v>
      </c>
      <c r="E167" s="313">
        <v>4</v>
      </c>
      <c r="F167" s="314">
        <v>1</v>
      </c>
      <c r="G167" s="315" t="s">
        <v>314</v>
      </c>
      <c r="H167" s="314" t="s">
        <v>1043</v>
      </c>
      <c r="I167" s="316">
        <v>0.61</v>
      </c>
      <c r="J167" s="317">
        <f t="shared" si="96"/>
        <v>26.6</v>
      </c>
      <c r="K167" s="694">
        <v>0</v>
      </c>
      <c r="L167" s="695" t="str">
        <f t="shared" si="101"/>
        <v>1/750</v>
      </c>
      <c r="M167" s="478">
        <f t="shared" si="102"/>
        <v>1.9</v>
      </c>
      <c r="N167" s="696">
        <f t="shared" si="103"/>
        <v>135.48709999999997</v>
      </c>
      <c r="O167" s="288"/>
      <c r="P167" s="297"/>
      <c r="Q167" s="288"/>
      <c r="R167" s="102"/>
      <c r="S167" s="102"/>
      <c r="T167" s="102"/>
    </row>
    <row r="168" spans="1:20" s="199" customFormat="1" ht="15.75" customHeight="1">
      <c r="A168" s="2642"/>
      <c r="B168" s="692" t="s">
        <v>4927</v>
      </c>
      <c r="C168" s="693"/>
      <c r="D168" s="312">
        <f t="shared" ref="D168" si="104">IF(H168&lt;&gt;"",VLOOKUP(G168,base_barras,IF(H168="Desnuda",2,5)+F168-1,FALSE),"-")</f>
        <v>676</v>
      </c>
      <c r="E168" s="313">
        <v>4</v>
      </c>
      <c r="F168" s="314">
        <v>1</v>
      </c>
      <c r="G168" s="315" t="s">
        <v>314</v>
      </c>
      <c r="H168" s="314" t="s">
        <v>1043</v>
      </c>
      <c r="I168" s="316">
        <v>0.61</v>
      </c>
      <c r="J168" s="317">
        <f t="shared" ref="J168" si="105">IF(G168&lt;&gt;"",VLOOKUP(G168,precio_barras,9,FALSE),0)</f>
        <v>26.6</v>
      </c>
      <c r="K168" s="694">
        <v>0</v>
      </c>
      <c r="L168" s="695" t="str">
        <f t="shared" ref="L168" si="106">IF(G168&lt;&gt;"",IF(VLOOKUP(G168,base_barras,10,FALSE)&lt;&gt;"",VLOOKUP(G168,base_barras,10,FALSE),"-"),"-")</f>
        <v>1/750</v>
      </c>
      <c r="M168" s="478">
        <f t="shared" ref="M168" si="107">IF(L168&lt;&gt;"-",VLOOKUP(L168,precio_aislador,2,FALSE),0)</f>
        <v>1.9</v>
      </c>
      <c r="N168" s="696">
        <f t="shared" si="103"/>
        <v>135.48709999999997</v>
      </c>
      <c r="O168" s="288"/>
      <c r="P168" s="297"/>
      <c r="Q168" s="288"/>
      <c r="R168" s="102"/>
      <c r="S168" s="102"/>
      <c r="T168" s="102"/>
    </row>
    <row r="169" spans="1:20" s="199" customFormat="1" ht="15.75" customHeight="1">
      <c r="A169" s="2642"/>
      <c r="B169" s="692" t="s">
        <v>4927</v>
      </c>
      <c r="C169" s="693"/>
      <c r="D169" s="312">
        <f t="shared" si="100"/>
        <v>676</v>
      </c>
      <c r="E169" s="313">
        <v>4</v>
      </c>
      <c r="F169" s="314">
        <v>1</v>
      </c>
      <c r="G169" s="315" t="s">
        <v>314</v>
      </c>
      <c r="H169" s="314" t="s">
        <v>1043</v>
      </c>
      <c r="I169" s="316">
        <v>0.61</v>
      </c>
      <c r="J169" s="317">
        <f t="shared" si="96"/>
        <v>26.6</v>
      </c>
      <c r="K169" s="694">
        <v>0</v>
      </c>
      <c r="L169" s="695" t="str">
        <f t="shared" si="101"/>
        <v>1/750</v>
      </c>
      <c r="M169" s="478">
        <f t="shared" si="102"/>
        <v>1.9</v>
      </c>
      <c r="N169" s="696">
        <f t="shared" si="103"/>
        <v>135.48709999999997</v>
      </c>
      <c r="O169" s="288"/>
      <c r="P169" s="297"/>
      <c r="Q169" s="288"/>
      <c r="R169" s="102"/>
      <c r="S169" s="102"/>
      <c r="T169" s="102"/>
    </row>
    <row r="170" spans="1:20" s="199" customFormat="1" ht="15.75" customHeight="1" thickBot="1">
      <c r="A170" s="2643"/>
      <c r="B170" s="688" t="s">
        <v>3468</v>
      </c>
      <c r="C170" s="311"/>
      <c r="D170" s="312">
        <f t="shared" si="100"/>
        <v>985</v>
      </c>
      <c r="E170" s="313">
        <v>4</v>
      </c>
      <c r="F170" s="314">
        <v>1</v>
      </c>
      <c r="G170" s="315" t="s">
        <v>581</v>
      </c>
      <c r="H170" s="314" t="s">
        <v>1044</v>
      </c>
      <c r="I170" s="316">
        <v>0.5</v>
      </c>
      <c r="J170" s="317">
        <f t="shared" si="96"/>
        <v>53.3</v>
      </c>
      <c r="K170" s="313">
        <v>0</v>
      </c>
      <c r="L170" s="318" t="str">
        <f t="shared" si="101"/>
        <v>1/750</v>
      </c>
      <c r="M170" s="317">
        <f t="shared" si="102"/>
        <v>1.9</v>
      </c>
      <c r="N170" s="308">
        <f t="shared" si="103"/>
        <v>222.52749999999997</v>
      </c>
      <c r="O170" s="288"/>
      <c r="P170" s="297"/>
      <c r="Q170" s="288"/>
      <c r="R170" s="102"/>
      <c r="S170" s="102"/>
      <c r="T170" s="102"/>
    </row>
    <row r="171" spans="1:20" s="129" customFormat="1" ht="22.5" customHeight="1" thickBot="1">
      <c r="A171" s="371"/>
      <c r="B171" s="373"/>
      <c r="C171" s="375"/>
      <c r="D171" s="383"/>
      <c r="E171" s="373"/>
      <c r="F171" s="373"/>
      <c r="G171" s="373"/>
      <c r="H171" s="373"/>
      <c r="I171" s="374"/>
      <c r="J171" s="374"/>
      <c r="K171" s="373"/>
      <c r="L171" s="373"/>
      <c r="M171" s="372"/>
      <c r="N171" s="699">
        <f>SUM(N162:N170)</f>
        <v>3718.1255749999996</v>
      </c>
      <c r="O171" s="288"/>
      <c r="P171" s="297"/>
      <c r="Q171" s="288"/>
      <c r="R171" s="102"/>
      <c r="S171" s="102"/>
      <c r="T171" s="102"/>
    </row>
    <row r="172" spans="1:20" s="102" customFormat="1" ht="8.25" customHeight="1" thickBot="1">
      <c r="A172" s="323"/>
      <c r="B172" s="323"/>
      <c r="C172" s="323"/>
      <c r="D172" s="382"/>
      <c r="E172" s="323"/>
      <c r="F172" s="325"/>
      <c r="G172" s="325"/>
      <c r="H172" s="325"/>
      <c r="I172" s="323"/>
      <c r="J172" s="323"/>
      <c r="K172" s="323"/>
      <c r="L172" s="325"/>
      <c r="M172" s="323"/>
      <c r="N172" s="309"/>
      <c r="O172" s="288"/>
      <c r="P172" s="297"/>
      <c r="Q172" s="288"/>
    </row>
    <row r="173" spans="1:20" s="102" customFormat="1" ht="12.75" customHeight="1">
      <c r="A173" s="2639" t="s">
        <v>2502</v>
      </c>
      <c r="B173" s="687" t="s">
        <v>2503</v>
      </c>
      <c r="C173" s="327"/>
      <c r="D173" s="328">
        <f t="shared" ref="D173:D174" si="108">IF(H173&lt;&gt;"",VLOOKUP(G173,base_barras,IF(H173="Desnuda",2,5)+F173-1,FALSE),"-")</f>
        <v>2850</v>
      </c>
      <c r="E173" s="329">
        <v>4</v>
      </c>
      <c r="F173" s="330">
        <v>2</v>
      </c>
      <c r="G173" s="331" t="s">
        <v>468</v>
      </c>
      <c r="H173" s="330" t="s">
        <v>1043</v>
      </c>
      <c r="I173" s="332">
        <v>0.8</v>
      </c>
      <c r="J173" s="333">
        <f t="shared" ref="J173:J174" si="109">IF(G173&lt;&gt;"",VLOOKUP(G173,precio_barras,9,FALSE),0)</f>
        <v>88.9</v>
      </c>
      <c r="K173" s="481">
        <v>2</v>
      </c>
      <c r="L173" s="343" t="str">
        <f t="shared" ref="L173:L174" si="110">IF(G173&lt;&gt;"",IF(VLOOKUP(G173,base_barras,10,FALSE)&lt;&gt;"",VLOOKUP(G173,base_barras,10,FALSE),"-"),"-")</f>
        <v>1.5/1250</v>
      </c>
      <c r="M173" s="333">
        <f t="shared" ref="M173:M174" si="111">IF(L173&lt;&gt;"-",VLOOKUP(L173,precio_aislador,2,FALSE),0)</f>
        <v>5.5</v>
      </c>
      <c r="N173" s="360">
        <f t="shared" ref="N173:N174" si="112">(I173*J173*F173+K173*M173)*E173*1.67*1.25</f>
        <v>1279.5540000000001</v>
      </c>
      <c r="O173" s="288"/>
      <c r="P173" s="297"/>
      <c r="Q173" s="297"/>
    </row>
    <row r="174" spans="1:20" s="199" customFormat="1" ht="15.75" customHeight="1" thickBot="1">
      <c r="A174" s="2644"/>
      <c r="B174" s="700" t="s">
        <v>4930</v>
      </c>
      <c r="C174" s="701"/>
      <c r="D174" s="364">
        <f t="shared" si="108"/>
        <v>2410</v>
      </c>
      <c r="E174" s="365">
        <v>4</v>
      </c>
      <c r="F174" s="366">
        <v>2</v>
      </c>
      <c r="G174" s="322" t="s">
        <v>582</v>
      </c>
      <c r="H174" s="366" t="s">
        <v>1043</v>
      </c>
      <c r="I174" s="367">
        <f>0.2+0.5+0.5+0.2</f>
        <v>1.4</v>
      </c>
      <c r="J174" s="368">
        <f t="shared" si="109"/>
        <v>71.100000000000009</v>
      </c>
      <c r="K174" s="702">
        <v>0</v>
      </c>
      <c r="L174" s="703" t="str">
        <f t="shared" si="110"/>
        <v>1/1000</v>
      </c>
      <c r="M174" s="480">
        <f t="shared" si="111"/>
        <v>2.7</v>
      </c>
      <c r="N174" s="704">
        <f t="shared" si="112"/>
        <v>1662.318</v>
      </c>
      <c r="O174" s="288"/>
      <c r="P174" s="297"/>
      <c r="Q174" s="288"/>
      <c r="R174" s="102"/>
      <c r="S174" s="102"/>
      <c r="T174" s="102"/>
    </row>
    <row r="175" spans="1:20" s="102" customFormat="1" ht="12.75" customHeight="1">
      <c r="A175" s="2644"/>
      <c r="B175" s="692"/>
      <c r="C175" s="693"/>
      <c r="D175" s="697"/>
      <c r="E175" s="694"/>
      <c r="F175" s="655"/>
      <c r="G175" s="698"/>
      <c r="H175" s="655"/>
      <c r="I175" s="398"/>
      <c r="J175" s="478"/>
      <c r="K175" s="705"/>
      <c r="L175" s="695"/>
      <c r="M175" s="478"/>
      <c r="N175" s="696"/>
      <c r="O175" s="288"/>
      <c r="P175" s="297"/>
      <c r="Q175" s="297"/>
    </row>
    <row r="176" spans="1:20" s="199" customFormat="1" ht="15.75" customHeight="1" thickBot="1">
      <c r="A176" s="2640"/>
      <c r="B176" s="700"/>
      <c r="C176" s="701"/>
      <c r="D176" s="364"/>
      <c r="E176" s="365"/>
      <c r="F176" s="366"/>
      <c r="G176" s="322"/>
      <c r="H176" s="366"/>
      <c r="I176" s="367"/>
      <c r="J176" s="368"/>
      <c r="K176" s="702"/>
      <c r="L176" s="703"/>
      <c r="M176" s="480"/>
      <c r="N176" s="704"/>
      <c r="O176" s="288"/>
      <c r="P176" s="297"/>
      <c r="Q176" s="288"/>
      <c r="R176" s="102"/>
      <c r="S176" s="102"/>
      <c r="T176" s="102"/>
    </row>
    <row r="177" spans="1:20" s="102" customFormat="1" ht="13.5" thickBot="1">
      <c r="A177" s="323"/>
      <c r="B177" s="323"/>
      <c r="C177" s="309"/>
      <c r="D177" s="382"/>
      <c r="E177" s="323"/>
      <c r="F177" s="309"/>
      <c r="G177" s="309"/>
      <c r="H177" s="323"/>
      <c r="I177" s="325"/>
      <c r="J177" s="325"/>
      <c r="K177" s="323"/>
      <c r="L177" s="323"/>
      <c r="M177" s="325"/>
      <c r="N177" s="706">
        <f>SUM(N173:N176)</f>
        <v>2941.8720000000003</v>
      </c>
      <c r="O177" s="288"/>
      <c r="P177" s="297"/>
      <c r="Q177" s="297"/>
    </row>
    <row r="178" spans="1:20" s="102" customFormat="1" ht="8.25" customHeight="1">
      <c r="A178" s="323"/>
      <c r="B178" s="323"/>
      <c r="C178" s="323"/>
      <c r="D178" s="382"/>
      <c r="E178" s="323"/>
      <c r="F178" s="325"/>
      <c r="G178" s="325"/>
      <c r="H178" s="325"/>
      <c r="I178" s="323"/>
      <c r="J178" s="323"/>
      <c r="K178" s="323"/>
      <c r="L178" s="325"/>
      <c r="M178" s="323"/>
      <c r="N178" s="309"/>
      <c r="O178" s="288"/>
      <c r="P178" s="297"/>
      <c r="Q178" s="288"/>
    </row>
    <row r="179" spans="1:20" s="102" customFormat="1" ht="8.25" customHeight="1" thickBot="1">
      <c r="A179" s="323"/>
      <c r="B179" s="323"/>
      <c r="C179" s="323"/>
      <c r="D179" s="382"/>
      <c r="E179" s="323"/>
      <c r="F179" s="325"/>
      <c r="G179" s="325"/>
      <c r="H179" s="325"/>
      <c r="I179" s="323"/>
      <c r="J179" s="323"/>
      <c r="K179" s="323"/>
      <c r="L179" s="325"/>
      <c r="M179" s="323"/>
      <c r="N179" s="309"/>
      <c r="O179" s="288"/>
      <c r="P179" s="297"/>
      <c r="Q179" s="288"/>
    </row>
    <row r="180" spans="1:20" s="102" customFormat="1" ht="13.5" thickBot="1">
      <c r="A180" s="2629" t="s">
        <v>1228</v>
      </c>
      <c r="B180" s="687" t="s">
        <v>2498</v>
      </c>
      <c r="C180" s="327"/>
      <c r="D180" s="328">
        <f t="shared" ref="D180" si="113">IF(H180&lt;&gt;"",VLOOKUP(G180,base_barras,IF(H180="Desnuda",2,5)+F180-1,FALSE),"-")</f>
        <v>2850</v>
      </c>
      <c r="E180" s="481">
        <v>4</v>
      </c>
      <c r="F180" s="330">
        <v>2</v>
      </c>
      <c r="G180" s="331" t="s">
        <v>468</v>
      </c>
      <c r="H180" s="330" t="s">
        <v>1043</v>
      </c>
      <c r="I180" s="332">
        <f>0.2</f>
        <v>0.2</v>
      </c>
      <c r="J180" s="333">
        <f t="shared" ref="J180" si="114">IF(G180&lt;&gt;"",VLOOKUP(G180,precio_barras,9,FALSE),0)</f>
        <v>88.9</v>
      </c>
      <c r="K180" s="329">
        <v>0</v>
      </c>
      <c r="L180" s="343" t="str">
        <f t="shared" ref="L180" si="115">IF(G180&lt;&gt;"",IF(VLOOKUP(G180,base_barras,10,FALSE)&lt;&gt;"",VLOOKUP(G180,base_barras,10,FALSE),"-"),"-")</f>
        <v>1.5/1250</v>
      </c>
      <c r="M180" s="333">
        <f t="shared" ref="M180" si="116">IF(L180&lt;&gt;"-",VLOOKUP(L180,precio_aislador,2,FALSE),0)</f>
        <v>5.5</v>
      </c>
      <c r="N180" s="360">
        <f t="shared" ref="N180:N181" si="117">(I180*J180*F180+K180*M180)*E180*1.67*1.25</f>
        <v>296.92600000000004</v>
      </c>
      <c r="O180" s="288"/>
      <c r="P180" s="297"/>
      <c r="Q180" s="297"/>
    </row>
    <row r="181" spans="1:20" s="102" customFormat="1" ht="13.5" thickBot="1">
      <c r="A181" s="2635"/>
      <c r="B181" s="712" t="s">
        <v>2498</v>
      </c>
      <c r="C181" s="713"/>
      <c r="D181" s="714">
        <f t="shared" ref="D181" si="118">IF(H181&lt;&gt;"",VLOOKUP(G181,base_barras,IF(H181="Desnuda",2,5)+F181-1,FALSE),"-")</f>
        <v>2410</v>
      </c>
      <c r="E181" s="1616">
        <v>4</v>
      </c>
      <c r="F181" s="716">
        <v>2</v>
      </c>
      <c r="G181" s="717" t="s">
        <v>582</v>
      </c>
      <c r="H181" s="716" t="s">
        <v>1043</v>
      </c>
      <c r="I181" s="718">
        <f>0.2</f>
        <v>0.2</v>
      </c>
      <c r="J181" s="719">
        <f t="shared" ref="J181" si="119">IF(G181&lt;&gt;"",VLOOKUP(G181,precio_barras,9,FALSE),0)</f>
        <v>71.100000000000009</v>
      </c>
      <c r="K181" s="715">
        <v>0</v>
      </c>
      <c r="L181" s="720" t="str">
        <f t="shared" ref="L181" si="120">IF(G181&lt;&gt;"",IF(VLOOKUP(G181,base_barras,10,FALSE)&lt;&gt;"",VLOOKUP(G181,base_barras,10,FALSE),"-"),"-")</f>
        <v>1/1000</v>
      </c>
      <c r="M181" s="719">
        <f t="shared" ref="M181" si="121">IF(L181&lt;&gt;"-",VLOOKUP(L181,precio_aislador,2,FALSE),0)</f>
        <v>2.7</v>
      </c>
      <c r="N181" s="721">
        <f t="shared" si="117"/>
        <v>237.47400000000002</v>
      </c>
      <c r="O181" s="288"/>
      <c r="P181" s="297"/>
      <c r="Q181" s="297"/>
    </row>
    <row r="182" spans="1:20" s="102" customFormat="1" ht="13.5" thickBot="1">
      <c r="A182" s="323"/>
      <c r="B182" s="323"/>
      <c r="C182" s="309"/>
      <c r="D182" s="382"/>
      <c r="E182" s="323"/>
      <c r="F182" s="309"/>
      <c r="G182" s="309"/>
      <c r="H182" s="323"/>
      <c r="I182" s="325"/>
      <c r="J182" s="325"/>
      <c r="K182" s="323"/>
      <c r="L182" s="323"/>
      <c r="M182" s="325"/>
      <c r="N182" s="706">
        <f>SUM(N180:N181)</f>
        <v>534.40000000000009</v>
      </c>
      <c r="O182" s="288"/>
      <c r="P182" s="297"/>
      <c r="Q182" s="297"/>
    </row>
    <row r="183" spans="1:20" s="102" customFormat="1" ht="8.25" customHeight="1">
      <c r="A183" s="323"/>
      <c r="B183" s="323"/>
      <c r="C183" s="323"/>
      <c r="D183" s="382"/>
      <c r="E183" s="323"/>
      <c r="F183" s="325"/>
      <c r="G183" s="325"/>
      <c r="H183" s="325"/>
      <c r="I183" s="323"/>
      <c r="J183" s="323"/>
      <c r="K183" s="323"/>
      <c r="L183" s="325"/>
      <c r="M183" s="323"/>
      <c r="N183" s="309"/>
      <c r="O183" s="288"/>
      <c r="P183" s="297"/>
      <c r="Q183" s="288"/>
    </row>
    <row r="184" spans="1:20" s="102" customFormat="1">
      <c r="A184" s="323"/>
      <c r="B184" s="309"/>
      <c r="C184" s="309"/>
      <c r="D184" s="382"/>
      <c r="E184" s="323"/>
      <c r="F184" s="309"/>
      <c r="G184" s="309"/>
      <c r="H184" s="323"/>
      <c r="I184" s="325"/>
      <c r="J184" s="325"/>
      <c r="K184" s="323"/>
      <c r="L184" s="323"/>
      <c r="M184" s="325"/>
      <c r="N184" s="722"/>
      <c r="O184" s="288"/>
      <c r="P184" s="297"/>
      <c r="Q184" s="297"/>
    </row>
    <row r="185" spans="1:20" s="102" customFormat="1">
      <c r="A185" s="323"/>
      <c r="B185" s="309"/>
      <c r="C185" s="309"/>
      <c r="D185" s="382"/>
      <c r="E185" s="323"/>
      <c r="F185" s="309"/>
      <c r="G185" s="309"/>
      <c r="H185" s="323"/>
      <c r="I185" s="325"/>
      <c r="J185" s="325"/>
      <c r="K185" s="323"/>
      <c r="L185" s="323"/>
      <c r="M185" s="325"/>
      <c r="N185" s="722"/>
      <c r="O185" s="288"/>
      <c r="P185" s="297"/>
      <c r="Q185" s="297"/>
    </row>
    <row r="186" spans="1:20" s="102" customFormat="1" ht="15">
      <c r="A186" s="323"/>
      <c r="B186" s="723" t="s">
        <v>2513</v>
      </c>
      <c r="C186" s="309"/>
      <c r="D186" s="382"/>
      <c r="E186" s="323"/>
      <c r="F186" s="309"/>
      <c r="G186" s="309"/>
      <c r="H186" s="323"/>
      <c r="I186" s="325"/>
      <c r="J186" s="325"/>
      <c r="K186" s="323"/>
      <c r="L186" s="323"/>
      <c r="M186" s="325"/>
      <c r="N186" s="722"/>
      <c r="O186" s="288"/>
      <c r="P186" s="297"/>
      <c r="Q186" s="297"/>
    </row>
    <row r="187" spans="1:20" s="102" customFormat="1" ht="13.5" thickBot="1">
      <c r="A187" s="323"/>
      <c r="B187" s="323"/>
      <c r="C187" s="309"/>
      <c r="D187" s="382"/>
      <c r="E187" s="323"/>
      <c r="F187" s="309"/>
      <c r="G187" s="309"/>
      <c r="H187" s="323"/>
      <c r="I187" s="325"/>
      <c r="J187" s="325"/>
      <c r="K187" s="323"/>
      <c r="L187" s="323"/>
      <c r="M187" s="325"/>
      <c r="N187" s="722">
        <f>SUM(N184:N186)</f>
        <v>0</v>
      </c>
      <c r="O187" s="288"/>
      <c r="P187" s="297"/>
      <c r="Q187" s="297"/>
    </row>
    <row r="188" spans="1:20" s="102" customFormat="1">
      <c r="A188" s="2645" t="s">
        <v>4932</v>
      </c>
      <c r="B188" s="687" t="s">
        <v>4933</v>
      </c>
      <c r="C188" s="327"/>
      <c r="D188" s="328">
        <f t="shared" ref="D188:D190" si="122">IF(H188&lt;&gt;"",VLOOKUP(G188,base_barras,IF(H188="Desnuda",2,5)+F188-1,FALSE),"-")</f>
        <v>1470</v>
      </c>
      <c r="E188" s="329">
        <v>3</v>
      </c>
      <c r="F188" s="330">
        <v>2</v>
      </c>
      <c r="G188" s="331" t="s">
        <v>469</v>
      </c>
      <c r="H188" s="330" t="s">
        <v>1043</v>
      </c>
      <c r="I188" s="332">
        <f>0.3+0.35</f>
        <v>0.64999999999999991</v>
      </c>
      <c r="J188" s="333">
        <f t="shared" ref="J188:J190" si="123">IF(G188&lt;&gt;"",VLOOKUP(G188,precio_barras,9,FALSE),0)</f>
        <v>35.6</v>
      </c>
      <c r="K188" s="329">
        <v>0</v>
      </c>
      <c r="L188" s="343" t="str">
        <f t="shared" ref="L188:L190" si="124">IF(G188&lt;&gt;"",IF(VLOOKUP(G188,base_barras,10,FALSE)&lt;&gt;"",VLOOKUP(G188,base_barras,10,FALSE),"-"),"-")</f>
        <v>1/750</v>
      </c>
      <c r="M188" s="333">
        <f t="shared" ref="M188:M190" si="125">IF(L188&lt;&gt;"-",VLOOKUP(L188,precio_aislador,2,FALSE),0)</f>
        <v>1.9</v>
      </c>
      <c r="N188" s="360">
        <f t="shared" ref="N188:N190" si="126">(I188*J188*F188+K188*M188)*E188*1.67*1.25</f>
        <v>289.82849999999991</v>
      </c>
      <c r="O188" s="288"/>
      <c r="P188" s="297"/>
      <c r="Q188" s="297"/>
    </row>
    <row r="189" spans="1:20" s="199" customFormat="1" ht="15.75" customHeight="1">
      <c r="A189" s="2646"/>
      <c r="B189" s="692" t="s">
        <v>2498</v>
      </c>
      <c r="C189" s="693"/>
      <c r="D189" s="697">
        <f t="shared" si="122"/>
        <v>1500</v>
      </c>
      <c r="E189" s="694">
        <v>3</v>
      </c>
      <c r="F189" s="655">
        <v>1</v>
      </c>
      <c r="G189" s="698" t="s">
        <v>582</v>
      </c>
      <c r="H189" s="655" t="s">
        <v>1043</v>
      </c>
      <c r="I189" s="398">
        <v>0.8</v>
      </c>
      <c r="J189" s="478">
        <f t="shared" si="123"/>
        <v>71.100000000000009</v>
      </c>
      <c r="K189" s="694">
        <v>2</v>
      </c>
      <c r="L189" s="695" t="str">
        <f t="shared" si="124"/>
        <v>1/1000</v>
      </c>
      <c r="M189" s="478">
        <f t="shared" si="125"/>
        <v>2.7</v>
      </c>
      <c r="N189" s="696">
        <f t="shared" si="126"/>
        <v>390.02850000000001</v>
      </c>
      <c r="O189" s="288"/>
      <c r="P189" s="297"/>
      <c r="Q189" s="288"/>
      <c r="R189" s="102"/>
      <c r="S189" s="102"/>
      <c r="T189" s="102"/>
    </row>
    <row r="190" spans="1:20" s="199" customFormat="1" ht="15.75" customHeight="1" thickBot="1">
      <c r="A190" s="2646"/>
      <c r="B190" s="707" t="s">
        <v>2498</v>
      </c>
      <c r="C190" s="479"/>
      <c r="D190" s="364">
        <f t="shared" si="122"/>
        <v>1500</v>
      </c>
      <c r="E190" s="365">
        <v>3</v>
      </c>
      <c r="F190" s="366">
        <v>1</v>
      </c>
      <c r="G190" s="322" t="s">
        <v>582</v>
      </c>
      <c r="H190" s="366" t="s">
        <v>1043</v>
      </c>
      <c r="I190" s="367">
        <v>0.7</v>
      </c>
      <c r="J190" s="368">
        <f t="shared" si="123"/>
        <v>71.100000000000009</v>
      </c>
      <c r="K190" s="365">
        <v>1</v>
      </c>
      <c r="L190" s="369" t="str">
        <f t="shared" si="124"/>
        <v>1/1000</v>
      </c>
      <c r="M190" s="368">
        <f t="shared" si="125"/>
        <v>2.7</v>
      </c>
      <c r="N190" s="370">
        <f t="shared" si="126"/>
        <v>328.59337500000004</v>
      </c>
      <c r="O190" s="288"/>
      <c r="P190" s="297"/>
      <c r="Q190" s="288"/>
      <c r="R190" s="102"/>
      <c r="S190" s="102"/>
      <c r="T190" s="102"/>
    </row>
    <row r="191" spans="1:20" s="102" customFormat="1">
      <c r="A191" s="2646"/>
      <c r="B191" s="692"/>
      <c r="C191" s="693"/>
      <c r="D191" s="697"/>
      <c r="E191" s="694"/>
      <c r="F191" s="655"/>
      <c r="G191" s="698"/>
      <c r="H191" s="655"/>
      <c r="I191" s="398"/>
      <c r="J191" s="478"/>
      <c r="K191" s="694"/>
      <c r="L191" s="695"/>
      <c r="M191" s="478"/>
      <c r="N191" s="696"/>
      <c r="O191" s="288"/>
      <c r="P191" s="297"/>
      <c r="Q191" s="297"/>
    </row>
    <row r="192" spans="1:20" s="199" customFormat="1" ht="15.75" customHeight="1" thickBot="1">
      <c r="A192" s="2647"/>
      <c r="B192" s="700"/>
      <c r="C192" s="701"/>
      <c r="D192" s="708"/>
      <c r="E192" s="702"/>
      <c r="F192" s="709"/>
      <c r="G192" s="710"/>
      <c r="H192" s="709"/>
      <c r="I192" s="711"/>
      <c r="J192" s="480"/>
      <c r="K192" s="702"/>
      <c r="L192" s="703"/>
      <c r="M192" s="480"/>
      <c r="N192" s="704"/>
      <c r="O192" s="288"/>
      <c r="P192" s="297"/>
      <c r="Q192" s="288"/>
      <c r="R192" s="102"/>
      <c r="S192" s="102"/>
      <c r="T192" s="102"/>
    </row>
    <row r="193" spans="1:20" s="102" customFormat="1" ht="13.5" thickBot="1">
      <c r="A193" s="323"/>
      <c r="B193" s="323"/>
      <c r="C193" s="309"/>
      <c r="D193" s="382"/>
      <c r="E193" s="323"/>
      <c r="F193" s="309"/>
      <c r="G193" s="309"/>
      <c r="H193" s="323"/>
      <c r="I193" s="325"/>
      <c r="J193" s="325"/>
      <c r="K193" s="323"/>
      <c r="L193" s="323"/>
      <c r="M193" s="325"/>
      <c r="N193" s="706">
        <f>SUM(N188:N192)</f>
        <v>1008.450375</v>
      </c>
      <c r="O193" s="288"/>
      <c r="P193" s="297"/>
      <c r="Q193" s="297"/>
    </row>
    <row r="194" spans="1:20" s="102" customFormat="1" ht="8.25" customHeight="1">
      <c r="A194" s="323"/>
      <c r="B194" s="323"/>
      <c r="C194" s="323"/>
      <c r="D194" s="382"/>
      <c r="E194" s="323"/>
      <c r="F194" s="325"/>
      <c r="G194" s="325"/>
      <c r="H194" s="325"/>
      <c r="I194" s="323"/>
      <c r="J194" s="323"/>
      <c r="K194" s="323"/>
      <c r="L194" s="325"/>
      <c r="M194" s="323"/>
      <c r="N194" s="309"/>
      <c r="O194" s="288"/>
      <c r="P194" s="297"/>
      <c r="Q194" s="288"/>
    </row>
    <row r="195" spans="1:20" s="102" customFormat="1" ht="15">
      <c r="A195" s="323"/>
      <c r="B195" s="723"/>
      <c r="C195" s="309"/>
      <c r="D195" s="382"/>
      <c r="E195" s="323"/>
      <c r="F195" s="309"/>
      <c r="G195" s="309"/>
      <c r="H195" s="323"/>
      <c r="I195" s="325"/>
      <c r="J195" s="325"/>
      <c r="K195" s="323"/>
      <c r="L195" s="323"/>
      <c r="M195" s="325"/>
      <c r="N195" s="722"/>
      <c r="O195" s="288"/>
      <c r="P195" s="297"/>
      <c r="Q195" s="297"/>
    </row>
    <row r="196" spans="1:20" s="102" customFormat="1" ht="15">
      <c r="A196" s="323"/>
      <c r="B196" s="723" t="s">
        <v>2513</v>
      </c>
      <c r="C196" s="309"/>
      <c r="D196" s="382"/>
      <c r="E196" s="323"/>
      <c r="F196" s="309"/>
      <c r="G196" s="309"/>
      <c r="H196" s="323"/>
      <c r="I196" s="325"/>
      <c r="J196" s="325"/>
      <c r="K196" s="323"/>
      <c r="L196" s="323"/>
      <c r="M196" s="325"/>
      <c r="N196" s="722"/>
      <c r="O196" s="288"/>
      <c r="P196" s="297"/>
      <c r="Q196" s="297"/>
    </row>
    <row r="197" spans="1:20" s="106" customFormat="1" ht="13.5" thickBot="1"/>
    <row r="198" spans="1:20" s="199" customFormat="1" ht="15.75" customHeight="1">
      <c r="A198" s="2641" t="s">
        <v>4934</v>
      </c>
      <c r="B198" s="687" t="s">
        <v>2498</v>
      </c>
      <c r="C198" s="327"/>
      <c r="D198" s="328">
        <f t="shared" ref="D198" si="127">IF(H198&lt;&gt;"",VLOOKUP(G198,base_barras,IF(H198="Desnuda",2,5)+F198-1,FALSE),"-")</f>
        <v>2850</v>
      </c>
      <c r="E198" s="329">
        <v>4</v>
      </c>
      <c r="F198" s="330">
        <v>2</v>
      </c>
      <c r="G198" s="331" t="s">
        <v>468</v>
      </c>
      <c r="H198" s="330" t="s">
        <v>1043</v>
      </c>
      <c r="I198" s="332">
        <f>0.8+0.9</f>
        <v>1.7000000000000002</v>
      </c>
      <c r="J198" s="333">
        <f t="shared" ref="J198:J199" si="128">IF(G198&lt;&gt;"",VLOOKUP(G198,precio_barras,9,FALSE),0)</f>
        <v>88.9</v>
      </c>
      <c r="K198" s="329">
        <f>2+2</f>
        <v>4</v>
      </c>
      <c r="L198" s="343" t="str">
        <f t="shared" ref="L198" si="129">IF(G198&lt;&gt;"",IF(VLOOKUP(G198,base_barras,10,FALSE)&lt;&gt;"",VLOOKUP(G198,base_barras,10,FALSE),"-"),"-")</f>
        <v>1.5/1250</v>
      </c>
      <c r="M198" s="333">
        <f t="shared" ref="M198" si="130">IF(L198&lt;&gt;"-",VLOOKUP(L198,precio_aislador,2,FALSE),0)</f>
        <v>5.5</v>
      </c>
      <c r="N198" s="360">
        <f t="shared" ref="N198" si="131">(I198*J198*F198+K198*M198)*E198*1.67*1.25</f>
        <v>2707.5710000000004</v>
      </c>
      <c r="O198" s="288"/>
      <c r="P198" s="297"/>
      <c r="Q198" s="288"/>
      <c r="R198" s="102"/>
      <c r="S198" s="102"/>
      <c r="T198" s="102"/>
    </row>
    <row r="199" spans="1:20" s="199" customFormat="1" ht="14.25">
      <c r="A199" s="2642"/>
      <c r="B199" s="688" t="s">
        <v>802</v>
      </c>
      <c r="C199" s="319"/>
      <c r="D199" s="312">
        <f>IF(H199&lt;&gt;"",VLOOKUP(G199,base_barras,IF(H199="Desnuda",2,5)+F199-1,FALSE),"-")</f>
        <v>1810</v>
      </c>
      <c r="E199" s="313">
        <v>1</v>
      </c>
      <c r="F199" s="314">
        <v>1</v>
      </c>
      <c r="G199" s="315" t="s">
        <v>468</v>
      </c>
      <c r="H199" s="689" t="str">
        <f>H198</f>
        <v>Pintada</v>
      </c>
      <c r="I199" s="690">
        <f>I198</f>
        <v>1.7000000000000002</v>
      </c>
      <c r="J199" s="317">
        <f t="shared" si="128"/>
        <v>88.9</v>
      </c>
      <c r="K199" s="691">
        <v>0</v>
      </c>
      <c r="L199" s="318" t="str">
        <f>IF(G199&lt;&gt;"",IF(VLOOKUP(G199,base_barras,10,FALSE)&lt;&gt;"",VLOOKUP(G199,base_barras,10,FALSE),"-"),"-")</f>
        <v>1.5/1250</v>
      </c>
      <c r="M199" s="317">
        <f>IF(L199&lt;&gt;"-",VLOOKUP(L199,precio_aislador,2,FALSE),0)</f>
        <v>5.5</v>
      </c>
      <c r="N199" s="308">
        <f>(I199*J199*F199+K199*M199)*E199*1.67*1.25</f>
        <v>315.48387500000001</v>
      </c>
      <c r="O199" s="288"/>
      <c r="P199" s="297"/>
      <c r="Q199" s="288"/>
      <c r="R199" s="102"/>
      <c r="S199" s="102"/>
      <c r="T199" s="102"/>
    </row>
    <row r="200" spans="1:20" s="199" customFormat="1" ht="15.75" customHeight="1">
      <c r="A200" s="2642"/>
      <c r="B200" s="692" t="s">
        <v>4935</v>
      </c>
      <c r="C200" s="693"/>
      <c r="D200" s="312">
        <f>IF(H200&lt;&gt;"",VLOOKUP(G200,base_barras,IF(H200="Desnuda",2,5)+F200-1,FALSE),"-")</f>
        <v>3170</v>
      </c>
      <c r="E200" s="313">
        <v>4</v>
      </c>
      <c r="F200" s="314">
        <v>3</v>
      </c>
      <c r="G200" s="315" t="s">
        <v>582</v>
      </c>
      <c r="H200" s="314" t="s">
        <v>1043</v>
      </c>
      <c r="I200" s="316">
        <v>0.61</v>
      </c>
      <c r="J200" s="317">
        <f>IF(G200&lt;&gt;"",VLOOKUP(G200,precio_barras,9,FALSE),0)</f>
        <v>71.100000000000009</v>
      </c>
      <c r="K200" s="694">
        <v>0</v>
      </c>
      <c r="L200" s="695" t="str">
        <f>IF(G200&lt;&gt;"",IF(VLOOKUP(G200,base_barras,10,FALSE)&lt;&gt;"",VLOOKUP(G200,base_barras,10,FALSE),"-"),"-")</f>
        <v>1/1000</v>
      </c>
      <c r="M200" s="478">
        <f>IF(L200&lt;&gt;"-",VLOOKUP(L200,precio_aislador,2,FALSE),0)</f>
        <v>2.7</v>
      </c>
      <c r="N200" s="696">
        <f>(I200*J200*F200+K200*M200)*E200*1.67*1.25</f>
        <v>1086.44355</v>
      </c>
      <c r="O200" s="288"/>
      <c r="P200" s="297"/>
      <c r="Q200" s="288"/>
      <c r="R200" s="102"/>
      <c r="S200" s="102"/>
      <c r="T200" s="102"/>
    </row>
    <row r="201" spans="1:20" s="199" customFormat="1" ht="15.75" customHeight="1" thickBot="1">
      <c r="A201" s="2642"/>
      <c r="B201" s="692" t="s">
        <v>4935</v>
      </c>
      <c r="C201" s="693"/>
      <c r="D201" s="312">
        <f>IF(H201&lt;&gt;"",VLOOKUP(G201,base_barras,IF(H201="Desnuda",2,5)+F201-1,FALSE),"-")</f>
        <v>3170</v>
      </c>
      <c r="E201" s="313">
        <v>4</v>
      </c>
      <c r="F201" s="314">
        <v>3</v>
      </c>
      <c r="G201" s="315" t="s">
        <v>582</v>
      </c>
      <c r="H201" s="314" t="s">
        <v>1043</v>
      </c>
      <c r="I201" s="316">
        <v>0.61</v>
      </c>
      <c r="J201" s="317">
        <f>IF(G201&lt;&gt;"",VLOOKUP(G201,precio_barras,9,FALSE),0)</f>
        <v>71.100000000000009</v>
      </c>
      <c r="K201" s="694">
        <v>0</v>
      </c>
      <c r="L201" s="695" t="str">
        <f>IF(G201&lt;&gt;"",IF(VLOOKUP(G201,base_barras,10,FALSE)&lt;&gt;"",VLOOKUP(G201,base_barras,10,FALSE),"-"),"-")</f>
        <v>1/1000</v>
      </c>
      <c r="M201" s="478">
        <f>IF(L201&lt;&gt;"-",VLOOKUP(L201,precio_aislador,2,FALSE),0)</f>
        <v>2.7</v>
      </c>
      <c r="N201" s="696">
        <f>(I201*J201*F201+K201*M201)*E201*1.67*1.25</f>
        <v>1086.44355</v>
      </c>
      <c r="O201" s="288"/>
      <c r="P201" s="297"/>
      <c r="Q201" s="288"/>
      <c r="R201" s="102"/>
      <c r="S201" s="102"/>
      <c r="T201" s="102"/>
    </row>
    <row r="202" spans="1:20" s="129" customFormat="1" ht="22.5" customHeight="1" thickBot="1">
      <c r="A202" s="371"/>
      <c r="B202" s="373"/>
      <c r="C202" s="375"/>
      <c r="D202" s="383"/>
      <c r="E202" s="373"/>
      <c r="F202" s="373"/>
      <c r="G202" s="373"/>
      <c r="H202" s="373"/>
      <c r="I202" s="374"/>
      <c r="J202" s="374"/>
      <c r="K202" s="373"/>
      <c r="L202" s="373"/>
      <c r="M202" s="372"/>
      <c r="N202" s="699">
        <f>SUM(N198:N201)</f>
        <v>5195.9419749999997</v>
      </c>
      <c r="O202" s="288"/>
      <c r="P202" s="297"/>
      <c r="Q202" s="288"/>
      <c r="R202" s="102"/>
      <c r="S202" s="102"/>
      <c r="T202" s="102"/>
    </row>
    <row r="203" spans="1:20" s="102" customFormat="1" ht="8.25" customHeight="1" thickBot="1">
      <c r="A203" s="323"/>
      <c r="B203" s="323"/>
      <c r="C203" s="323"/>
      <c r="D203" s="382"/>
      <c r="E203" s="323"/>
      <c r="F203" s="325"/>
      <c r="G203" s="325"/>
      <c r="H203" s="325"/>
      <c r="I203" s="323"/>
      <c r="J203" s="323"/>
      <c r="K203" s="323"/>
      <c r="L203" s="325"/>
      <c r="M203" s="323"/>
      <c r="N203" s="309"/>
      <c r="O203" s="288"/>
      <c r="P203" s="297"/>
      <c r="Q203" s="288"/>
    </row>
    <row r="204" spans="1:20" s="102" customFormat="1" ht="12.75" customHeight="1">
      <c r="A204" s="2639" t="s">
        <v>2505</v>
      </c>
      <c r="B204" s="687" t="s">
        <v>2506</v>
      </c>
      <c r="C204" s="327"/>
      <c r="D204" s="328">
        <f t="shared" ref="D204:D205" si="132">IF(H204&lt;&gt;"",VLOOKUP(G204,base_barras,IF(H204="Desnuda",2,5)+F204-1,FALSE),"-")</f>
        <v>2850</v>
      </c>
      <c r="E204" s="329">
        <v>4</v>
      </c>
      <c r="F204" s="330">
        <v>2</v>
      </c>
      <c r="G204" s="331" t="s">
        <v>468</v>
      </c>
      <c r="H204" s="330" t="s">
        <v>1043</v>
      </c>
      <c r="I204" s="332">
        <v>1</v>
      </c>
      <c r="J204" s="333">
        <f t="shared" ref="J204:J205" si="133">IF(G204&lt;&gt;"",VLOOKUP(G204,precio_barras,9,FALSE),0)</f>
        <v>88.9</v>
      </c>
      <c r="K204" s="481">
        <v>2</v>
      </c>
      <c r="L204" s="343" t="str">
        <f t="shared" ref="L204:L205" si="134">IF(G204&lt;&gt;"",IF(VLOOKUP(G204,base_barras,10,FALSE)&lt;&gt;"",VLOOKUP(G204,base_barras,10,FALSE),"-"),"-")</f>
        <v>1.5/1250</v>
      </c>
      <c r="M204" s="333">
        <f t="shared" ref="M204:M205" si="135">IF(L204&lt;&gt;"-",VLOOKUP(L204,precio_aislador,2,FALSE),0)</f>
        <v>5.5</v>
      </c>
      <c r="N204" s="360">
        <f t="shared" ref="N204:N205" si="136">(I204*J204*F204+K204*M204)*E204*1.67*1.25</f>
        <v>1576.48</v>
      </c>
      <c r="O204" s="288"/>
      <c r="P204" s="297"/>
      <c r="Q204" s="297"/>
    </row>
    <row r="205" spans="1:20" s="102" customFormat="1" ht="13.5" thickBot="1">
      <c r="A205" s="2644"/>
      <c r="B205" s="692" t="s">
        <v>4935</v>
      </c>
      <c r="C205" s="479"/>
      <c r="D205" s="364">
        <f t="shared" si="132"/>
        <v>3170</v>
      </c>
      <c r="E205" s="365">
        <v>4</v>
      </c>
      <c r="F205" s="366">
        <v>3</v>
      </c>
      <c r="G205" s="322" t="s">
        <v>582</v>
      </c>
      <c r="H205" s="366" t="s">
        <v>1043</v>
      </c>
      <c r="I205" s="367">
        <f>0.5+0.8+0.8+0.2</f>
        <v>2.3000000000000003</v>
      </c>
      <c r="J205" s="368">
        <f t="shared" si="133"/>
        <v>71.100000000000009</v>
      </c>
      <c r="K205" s="365">
        <v>3</v>
      </c>
      <c r="L205" s="369" t="str">
        <f t="shared" si="134"/>
        <v>1/1000</v>
      </c>
      <c r="M205" s="368">
        <f t="shared" si="135"/>
        <v>2.7</v>
      </c>
      <c r="N205" s="370">
        <f t="shared" si="136"/>
        <v>4164.0615000000007</v>
      </c>
      <c r="O205" s="288"/>
      <c r="P205" s="297"/>
      <c r="Q205" s="297"/>
    </row>
    <row r="206" spans="1:20" s="102" customFormat="1" ht="12.75" customHeight="1">
      <c r="A206" s="2644"/>
      <c r="B206" s="692"/>
      <c r="C206" s="693"/>
      <c r="D206" s="697"/>
      <c r="E206" s="694"/>
      <c r="F206" s="655"/>
      <c r="G206" s="698"/>
      <c r="H206" s="655"/>
      <c r="I206" s="398"/>
      <c r="J206" s="478"/>
      <c r="K206" s="705"/>
      <c r="L206" s="695"/>
      <c r="M206" s="478"/>
      <c r="N206" s="696"/>
      <c r="O206" s="288"/>
      <c r="P206" s="297"/>
      <c r="Q206" s="297"/>
    </row>
    <row r="207" spans="1:20" s="102" customFormat="1" ht="13.5" thickBot="1">
      <c r="A207" s="2640"/>
      <c r="B207" s="700"/>
      <c r="C207" s="701"/>
      <c r="D207" s="708"/>
      <c r="E207" s="702"/>
      <c r="F207" s="709"/>
      <c r="G207" s="710"/>
      <c r="H207" s="709"/>
      <c r="I207" s="711"/>
      <c r="J207" s="480"/>
      <c r="K207" s="702"/>
      <c r="L207" s="703"/>
      <c r="M207" s="480"/>
      <c r="N207" s="704"/>
      <c r="O207" s="288"/>
      <c r="P207" s="297"/>
      <c r="Q207" s="297"/>
    </row>
    <row r="208" spans="1:20" s="102" customFormat="1" ht="13.5" thickBot="1">
      <c r="A208" s="323"/>
      <c r="B208" s="323"/>
      <c r="C208" s="309"/>
      <c r="D208" s="382"/>
      <c r="E208" s="323"/>
      <c r="F208" s="309"/>
      <c r="G208" s="309"/>
      <c r="H208" s="323"/>
      <c r="I208" s="325"/>
      <c r="J208" s="325"/>
      <c r="K208" s="323"/>
      <c r="L208" s="323"/>
      <c r="M208" s="325"/>
      <c r="N208" s="706">
        <f>SUM(N204:N207)</f>
        <v>5740.5415000000012</v>
      </c>
      <c r="O208" s="288"/>
      <c r="P208" s="297"/>
      <c r="Q208" s="297"/>
    </row>
    <row r="209" spans="1:20" s="102" customFormat="1" ht="8.25" customHeight="1" thickBot="1">
      <c r="A209" s="323"/>
      <c r="B209" s="323"/>
      <c r="C209" s="323"/>
      <c r="D209" s="382"/>
      <c r="E209" s="323"/>
      <c r="F209" s="325"/>
      <c r="G209" s="325"/>
      <c r="H209" s="325"/>
      <c r="I209" s="323"/>
      <c r="J209" s="323"/>
      <c r="K209" s="323"/>
      <c r="L209" s="325"/>
      <c r="M209" s="323"/>
      <c r="N209" s="309"/>
      <c r="O209" s="288"/>
      <c r="P209" s="297"/>
      <c r="Q209" s="288"/>
    </row>
    <row r="210" spans="1:20" s="102" customFormat="1">
      <c r="A210" s="2636" t="s">
        <v>4923</v>
      </c>
      <c r="B210" s="1610" t="s">
        <v>4922</v>
      </c>
      <c r="C210" s="331"/>
      <c r="D210" s="1611">
        <f t="shared" ref="D210:D212" si="137">IF(H210&lt;&gt;"",VLOOKUP(G210,base_barras,IF(H210="Desnuda",2,5)+F210-1,FALSE),"-")</f>
        <v>3170</v>
      </c>
      <c r="E210" s="331">
        <v>4</v>
      </c>
      <c r="F210" s="330">
        <v>3</v>
      </c>
      <c r="G210" s="331" t="s">
        <v>582</v>
      </c>
      <c r="H210" s="330" t="s">
        <v>1043</v>
      </c>
      <c r="I210" s="332">
        <f>0.3+0.35</f>
        <v>0.64999999999999991</v>
      </c>
      <c r="J210" s="333">
        <f t="shared" ref="J210:J212" si="138">IF(G210&lt;&gt;"",VLOOKUP(G210,precio_barras,9,FALSE),0)</f>
        <v>71.100000000000009</v>
      </c>
      <c r="K210" s="329">
        <v>0</v>
      </c>
      <c r="L210" s="343" t="str">
        <f t="shared" ref="L210:L212" si="139">IF(G210&lt;&gt;"",IF(VLOOKUP(G210,base_barras,10,FALSE)&lt;&gt;"",VLOOKUP(G210,base_barras,10,FALSE),"-"),"-")</f>
        <v>1/1000</v>
      </c>
      <c r="M210" s="333">
        <f t="shared" ref="M210:M212" si="140">IF(L210&lt;&gt;"-",VLOOKUP(L210,precio_aislador,2,FALSE),0)</f>
        <v>2.7</v>
      </c>
      <c r="N210" s="360">
        <f t="shared" ref="N210:N212" si="141">(I210*J210*F210+K210*M210)*E210*1.67*1.25</f>
        <v>1157.6857499999999</v>
      </c>
      <c r="O210" s="288"/>
      <c r="P210" s="297"/>
      <c r="Q210" s="297"/>
    </row>
    <row r="211" spans="1:20" s="199" customFormat="1" ht="15.75" customHeight="1">
      <c r="A211" s="2653"/>
      <c r="B211" s="1612" t="s">
        <v>2498</v>
      </c>
      <c r="C211" s="315"/>
      <c r="D211" s="1613">
        <f t="shared" si="137"/>
        <v>2850</v>
      </c>
      <c r="E211" s="315">
        <v>4</v>
      </c>
      <c r="F211" s="314">
        <v>2</v>
      </c>
      <c r="G211" s="315" t="s">
        <v>468</v>
      </c>
      <c r="H211" s="314" t="s">
        <v>1043</v>
      </c>
      <c r="I211" s="398">
        <v>0.8</v>
      </c>
      <c r="J211" s="478">
        <f t="shared" si="138"/>
        <v>88.9</v>
      </c>
      <c r="K211" s="694">
        <v>2</v>
      </c>
      <c r="L211" s="695" t="str">
        <f t="shared" si="139"/>
        <v>1.5/1250</v>
      </c>
      <c r="M211" s="478">
        <f t="shared" si="140"/>
        <v>5.5</v>
      </c>
      <c r="N211" s="696">
        <f t="shared" si="141"/>
        <v>1279.5540000000001</v>
      </c>
      <c r="O211" s="288"/>
      <c r="P211" s="297"/>
      <c r="Q211" s="288"/>
      <c r="R211" s="102"/>
      <c r="S211" s="102"/>
      <c r="T211" s="102"/>
    </row>
    <row r="212" spans="1:20" s="199" customFormat="1" ht="15.75" customHeight="1" thickBot="1">
      <c r="A212" s="2653"/>
      <c r="B212" s="1614" t="s">
        <v>2498</v>
      </c>
      <c r="C212" s="322"/>
      <c r="D212" s="1615">
        <f t="shared" si="137"/>
        <v>2850</v>
      </c>
      <c r="E212" s="322">
        <v>4</v>
      </c>
      <c r="F212" s="366">
        <v>2</v>
      </c>
      <c r="G212" s="322" t="s">
        <v>468</v>
      </c>
      <c r="H212" s="366" t="s">
        <v>1043</v>
      </c>
      <c r="I212" s="367">
        <v>0.7</v>
      </c>
      <c r="J212" s="368">
        <f t="shared" si="138"/>
        <v>88.9</v>
      </c>
      <c r="K212" s="365">
        <v>1</v>
      </c>
      <c r="L212" s="369" t="str">
        <f t="shared" si="139"/>
        <v>1.5/1250</v>
      </c>
      <c r="M212" s="368">
        <f t="shared" si="140"/>
        <v>5.5</v>
      </c>
      <c r="N212" s="370">
        <f t="shared" si="141"/>
        <v>1085.1659999999997</v>
      </c>
      <c r="O212" s="288"/>
      <c r="P212" s="297"/>
      <c r="Q212" s="288"/>
      <c r="R212" s="102"/>
      <c r="S212" s="102"/>
      <c r="T212" s="102"/>
    </row>
    <row r="213" spans="1:20" s="102" customFormat="1">
      <c r="A213" s="2646"/>
      <c r="B213" s="692"/>
      <c r="C213" s="693"/>
      <c r="D213" s="697"/>
      <c r="E213" s="694"/>
      <c r="F213" s="655"/>
      <c r="G213" s="698"/>
      <c r="H213" s="655"/>
      <c r="I213" s="398"/>
      <c r="J213" s="478"/>
      <c r="K213" s="694"/>
      <c r="L213" s="695"/>
      <c r="M213" s="478"/>
      <c r="N213" s="696"/>
      <c r="O213" s="288"/>
      <c r="P213" s="297"/>
      <c r="Q213" s="297"/>
    </row>
    <row r="214" spans="1:20" s="199" customFormat="1" ht="15.75" customHeight="1" thickBot="1">
      <c r="A214" s="2647"/>
      <c r="B214" s="700"/>
      <c r="C214" s="701"/>
      <c r="D214" s="708"/>
      <c r="E214" s="702"/>
      <c r="F214" s="709"/>
      <c r="G214" s="710"/>
      <c r="H214" s="709"/>
      <c r="I214" s="711"/>
      <c r="J214" s="480"/>
      <c r="K214" s="702"/>
      <c r="L214" s="703"/>
      <c r="M214" s="480"/>
      <c r="N214" s="704"/>
      <c r="O214" s="288"/>
      <c r="P214" s="297"/>
      <c r="Q214" s="288"/>
      <c r="R214" s="102"/>
      <c r="S214" s="102"/>
      <c r="T214" s="102"/>
    </row>
    <row r="215" spans="1:20" s="102" customFormat="1" ht="13.5" thickBot="1">
      <c r="A215" s="323"/>
      <c r="B215" s="323"/>
      <c r="C215" s="309"/>
      <c r="D215" s="382"/>
      <c r="E215" s="323"/>
      <c r="F215" s="309"/>
      <c r="G215" s="309"/>
      <c r="H215" s="323"/>
      <c r="I215" s="325"/>
      <c r="J215" s="325"/>
      <c r="K215" s="323"/>
      <c r="L215" s="323"/>
      <c r="M215" s="325"/>
      <c r="N215" s="706">
        <f>SUM(N210:N214)</f>
        <v>3522.4057499999994</v>
      </c>
      <c r="O215" s="288"/>
      <c r="P215" s="297"/>
      <c r="Q215" s="297"/>
    </row>
    <row r="216" spans="1:20" s="102" customFormat="1" ht="8.25" customHeight="1" thickBot="1">
      <c r="A216" s="323"/>
      <c r="B216" s="323"/>
      <c r="C216" s="323"/>
      <c r="D216" s="382"/>
      <c r="E216" s="323"/>
      <c r="F216" s="325"/>
      <c r="G216" s="325"/>
      <c r="H216" s="325"/>
      <c r="I216" s="323"/>
      <c r="J216" s="323"/>
      <c r="K216" s="323"/>
      <c r="L216" s="325"/>
      <c r="M216" s="323"/>
      <c r="N216" s="309"/>
      <c r="O216" s="288"/>
      <c r="P216" s="297"/>
      <c r="Q216" s="288"/>
    </row>
    <row r="217" spans="1:20" s="102" customFormat="1">
      <c r="A217" s="2629" t="s">
        <v>1228</v>
      </c>
      <c r="B217" s="687" t="s">
        <v>2498</v>
      </c>
      <c r="C217" s="327"/>
      <c r="D217" s="328">
        <f t="shared" ref="D217:D218" si="142">IF(H217&lt;&gt;"",VLOOKUP(G217,base_barras,IF(H217="Desnuda",2,5)+F217-1,FALSE),"-")</f>
        <v>2850</v>
      </c>
      <c r="E217" s="481">
        <v>4</v>
      </c>
      <c r="F217" s="330">
        <v>2</v>
      </c>
      <c r="G217" s="331" t="s">
        <v>468</v>
      </c>
      <c r="H217" s="330" t="s">
        <v>1043</v>
      </c>
      <c r="I217" s="332">
        <f>0.2</f>
        <v>0.2</v>
      </c>
      <c r="J217" s="333">
        <f t="shared" ref="J217" si="143">IF(G217&lt;&gt;"",VLOOKUP(G217,precio_barras,9,FALSE),0)</f>
        <v>88.9</v>
      </c>
      <c r="K217" s="329">
        <v>0</v>
      </c>
      <c r="L217" s="343" t="str">
        <f t="shared" ref="L217:L218" si="144">IF(G217&lt;&gt;"",IF(VLOOKUP(G217,base_barras,10,FALSE)&lt;&gt;"",VLOOKUP(G217,base_barras,10,FALSE),"-"),"-")</f>
        <v>1.5/1250</v>
      </c>
      <c r="M217" s="333">
        <f t="shared" ref="M217" si="145">IF(L217&lt;&gt;"-",VLOOKUP(L217,precio_aislador,2,FALSE),0)</f>
        <v>5.5</v>
      </c>
      <c r="N217" s="360">
        <f t="shared" ref="N217:N218" si="146">(I217*J217*F217+K217*M217)*E217*1.67*1.25</f>
        <v>296.92600000000004</v>
      </c>
      <c r="O217" s="288"/>
      <c r="P217" s="297"/>
      <c r="Q217" s="297"/>
    </row>
    <row r="218" spans="1:20" s="102" customFormat="1" ht="13.5" thickBot="1">
      <c r="A218" s="2635"/>
      <c r="B218" s="707"/>
      <c r="C218" s="479"/>
      <c r="D218" s="364" t="str">
        <f t="shared" si="142"/>
        <v>-</v>
      </c>
      <c r="E218" s="365"/>
      <c r="F218" s="366"/>
      <c r="G218" s="322"/>
      <c r="H218" s="366"/>
      <c r="I218" s="367"/>
      <c r="J218" s="480">
        <f>IF(G218&lt;&gt;"",VLOOKUP(G218,precio_barras,9,FALSE),0)</f>
        <v>0</v>
      </c>
      <c r="K218" s="365"/>
      <c r="L218" s="369" t="str">
        <f t="shared" si="144"/>
        <v>-</v>
      </c>
      <c r="M218" s="368">
        <f>IF(L218&lt;&gt;"-",VLOOKUP(L218,precio_aislador,2,FALSE),0)</f>
        <v>0</v>
      </c>
      <c r="N218" s="370">
        <f t="shared" si="146"/>
        <v>0</v>
      </c>
      <c r="O218" s="288"/>
      <c r="P218" s="297"/>
      <c r="Q218" s="297"/>
    </row>
    <row r="219" spans="1:20" s="102" customFormat="1" ht="13.5" thickBot="1">
      <c r="A219" s="323"/>
      <c r="B219" s="323"/>
      <c r="C219" s="309"/>
      <c r="D219" s="382"/>
      <c r="E219" s="323"/>
      <c r="F219" s="309"/>
      <c r="G219" s="309"/>
      <c r="H219" s="323"/>
      <c r="I219" s="325"/>
      <c r="J219" s="325"/>
      <c r="K219" s="323"/>
      <c r="L219" s="323"/>
      <c r="M219" s="325"/>
      <c r="N219" s="706">
        <f>SUM(N217:N218)</f>
        <v>296.92600000000004</v>
      </c>
      <c r="O219" s="288"/>
      <c r="P219" s="297"/>
      <c r="Q219" s="297"/>
    </row>
    <row r="220" spans="1:20" s="102" customFormat="1" ht="8.25" customHeight="1">
      <c r="A220" s="323"/>
      <c r="B220" s="323"/>
      <c r="C220" s="323"/>
      <c r="D220" s="382"/>
      <c r="E220" s="323"/>
      <c r="F220" s="325"/>
      <c r="G220" s="325"/>
      <c r="H220" s="325"/>
      <c r="I220" s="323"/>
      <c r="J220" s="323"/>
      <c r="K220" s="323"/>
      <c r="L220" s="325"/>
      <c r="M220" s="323"/>
      <c r="N220" s="309"/>
      <c r="O220" s="288"/>
      <c r="P220" s="297"/>
      <c r="Q220" s="288"/>
    </row>
    <row r="221" spans="1:20" s="102" customFormat="1">
      <c r="A221" s="323"/>
      <c r="B221" s="309"/>
      <c r="C221" s="309"/>
      <c r="D221" s="382"/>
      <c r="E221" s="323"/>
      <c r="F221" s="309"/>
      <c r="G221" s="309"/>
      <c r="H221" s="323"/>
      <c r="I221" s="325"/>
      <c r="J221" s="325"/>
      <c r="K221" s="323"/>
      <c r="L221" s="323"/>
      <c r="M221" s="325"/>
      <c r="N221" s="722"/>
      <c r="O221" s="288"/>
      <c r="P221" s="297"/>
      <c r="Q221" s="297"/>
    </row>
    <row r="222" spans="1:20" s="102" customFormat="1" ht="15">
      <c r="A222" s="323"/>
      <c r="B222" s="723" t="s">
        <v>2513</v>
      </c>
      <c r="C222" s="309"/>
      <c r="D222" s="382"/>
      <c r="E222" s="323"/>
      <c r="F222" s="309"/>
      <c r="G222" s="309"/>
      <c r="H222" s="323"/>
      <c r="I222" s="325"/>
      <c r="J222" s="325"/>
      <c r="K222" s="323"/>
      <c r="L222" s="323"/>
      <c r="M222" s="325"/>
      <c r="N222" s="722"/>
      <c r="O222" s="288"/>
      <c r="P222" s="297"/>
      <c r="Q222" s="297"/>
    </row>
    <row r="223" spans="1:20" s="106" customFormat="1" ht="13.5" thickBot="1"/>
    <row r="224" spans="1:20" s="199" customFormat="1" ht="15.75" customHeight="1">
      <c r="A224" s="2641" t="s">
        <v>4936</v>
      </c>
      <c r="B224" s="687" t="s">
        <v>2498</v>
      </c>
      <c r="C224" s="327"/>
      <c r="D224" s="328">
        <f t="shared" ref="D224" si="147">IF(H224&lt;&gt;"",VLOOKUP(G224,base_barras,IF(H224="Desnuda",2,5)+F224-1,FALSE),"-")</f>
        <v>2850</v>
      </c>
      <c r="E224" s="329">
        <v>4</v>
      </c>
      <c r="F224" s="330">
        <v>2</v>
      </c>
      <c r="G224" s="331" t="s">
        <v>468</v>
      </c>
      <c r="H224" s="330" t="s">
        <v>1043</v>
      </c>
      <c r="I224" s="332">
        <v>0.9</v>
      </c>
      <c r="J224" s="333">
        <f t="shared" ref="J224:J225" si="148">IF(G224&lt;&gt;"",VLOOKUP(G224,precio_barras,9,FALSE),0)</f>
        <v>88.9</v>
      </c>
      <c r="K224" s="329">
        <f>2</f>
        <v>2</v>
      </c>
      <c r="L224" s="343" t="str">
        <f t="shared" ref="L224" si="149">IF(G224&lt;&gt;"",IF(VLOOKUP(G224,base_barras,10,FALSE)&lt;&gt;"",VLOOKUP(G224,base_barras,10,FALSE),"-"),"-")</f>
        <v>1.5/1250</v>
      </c>
      <c r="M224" s="333">
        <f t="shared" ref="M224" si="150">IF(L224&lt;&gt;"-",VLOOKUP(L224,precio_aislador,2,FALSE),0)</f>
        <v>5.5</v>
      </c>
      <c r="N224" s="360">
        <f t="shared" ref="N224" si="151">(I224*J224*F224+K224*M224)*E224*1.67*1.25</f>
        <v>1428.0170000000001</v>
      </c>
      <c r="O224" s="288"/>
      <c r="P224" s="297"/>
      <c r="Q224" s="288"/>
      <c r="R224" s="102"/>
      <c r="S224" s="102"/>
      <c r="T224" s="102"/>
    </row>
    <row r="225" spans="1:20" s="199" customFormat="1" ht="14.25">
      <c r="A225" s="2642"/>
      <c r="B225" s="688" t="s">
        <v>802</v>
      </c>
      <c r="C225" s="319"/>
      <c r="D225" s="312">
        <f>IF(H225&lt;&gt;"",VLOOKUP(G225,base_barras,IF(H225="Desnuda",2,5)+F225-1,FALSE),"-")</f>
        <v>1810</v>
      </c>
      <c r="E225" s="313">
        <v>1</v>
      </c>
      <c r="F225" s="314">
        <v>1</v>
      </c>
      <c r="G225" s="315" t="s">
        <v>468</v>
      </c>
      <c r="H225" s="689" t="str">
        <f>H224</f>
        <v>Pintada</v>
      </c>
      <c r="I225" s="690">
        <f>I224</f>
        <v>0.9</v>
      </c>
      <c r="J225" s="317">
        <f t="shared" si="148"/>
        <v>88.9</v>
      </c>
      <c r="K225" s="691">
        <v>0</v>
      </c>
      <c r="L225" s="318" t="str">
        <f>IF(G225&lt;&gt;"",IF(VLOOKUP(G225,base_barras,10,FALSE)&lt;&gt;"",VLOOKUP(G225,base_barras,10,FALSE),"-"),"-")</f>
        <v>1.5/1250</v>
      </c>
      <c r="M225" s="317">
        <f>IF(L225&lt;&gt;"-",VLOOKUP(L225,precio_aislador,2,FALSE),0)</f>
        <v>5.5</v>
      </c>
      <c r="N225" s="308">
        <f>(I225*J225*F225+K225*M225)*E225*1.67*1.25</f>
        <v>167.02087500000002</v>
      </c>
      <c r="O225" s="288"/>
      <c r="P225" s="297"/>
      <c r="Q225" s="288"/>
      <c r="R225" s="102"/>
      <c r="S225" s="102"/>
      <c r="T225" s="102"/>
    </row>
    <row r="226" spans="1:20" s="199" customFormat="1" ht="15.75" customHeight="1">
      <c r="A226" s="2642"/>
      <c r="B226" s="692" t="s">
        <v>4935</v>
      </c>
      <c r="C226" s="693"/>
      <c r="D226" s="312">
        <f>IF(H226&lt;&gt;"",VLOOKUP(G226,base_barras,IF(H226="Desnuda",2,5)+F226-1,FALSE),"-")</f>
        <v>3170</v>
      </c>
      <c r="E226" s="313">
        <v>4</v>
      </c>
      <c r="F226" s="314">
        <v>3</v>
      </c>
      <c r="G226" s="315" t="s">
        <v>582</v>
      </c>
      <c r="H226" s="314" t="s">
        <v>1043</v>
      </c>
      <c r="I226" s="316">
        <v>0.61</v>
      </c>
      <c r="J226" s="317">
        <f>IF(G226&lt;&gt;"",VLOOKUP(G226,precio_barras,9,FALSE),0)</f>
        <v>71.100000000000009</v>
      </c>
      <c r="K226" s="694">
        <v>0</v>
      </c>
      <c r="L226" s="695" t="str">
        <f>IF(G226&lt;&gt;"",IF(VLOOKUP(G226,base_barras,10,FALSE)&lt;&gt;"",VLOOKUP(G226,base_barras,10,FALSE),"-"),"-")</f>
        <v>1/1000</v>
      </c>
      <c r="M226" s="478">
        <f>IF(L226&lt;&gt;"-",VLOOKUP(L226,precio_aislador,2,FALSE),0)</f>
        <v>2.7</v>
      </c>
      <c r="N226" s="696">
        <f>(I226*J226*F226+K226*M226)*E226*1.67*1.25</f>
        <v>1086.44355</v>
      </c>
      <c r="O226" s="288"/>
      <c r="P226" s="297"/>
      <c r="Q226" s="288"/>
      <c r="R226" s="102"/>
      <c r="S226" s="102"/>
      <c r="T226" s="102"/>
    </row>
    <row r="227" spans="1:20" s="199" customFormat="1" ht="15.75" customHeight="1" thickBot="1">
      <c r="A227" s="2642"/>
      <c r="B227" s="692" t="s">
        <v>4935</v>
      </c>
      <c r="C227" s="693"/>
      <c r="D227" s="312">
        <f>IF(H227&lt;&gt;"",VLOOKUP(G227,base_barras,IF(H227="Desnuda",2,5)+F227-1,FALSE),"-")</f>
        <v>3170</v>
      </c>
      <c r="E227" s="313">
        <v>4</v>
      </c>
      <c r="F227" s="314">
        <v>3</v>
      </c>
      <c r="G227" s="315" t="s">
        <v>582</v>
      </c>
      <c r="H227" s="314" t="s">
        <v>1043</v>
      </c>
      <c r="I227" s="316">
        <v>0.61</v>
      </c>
      <c r="J227" s="317">
        <f>IF(G227&lt;&gt;"",VLOOKUP(G227,precio_barras,9,FALSE),0)</f>
        <v>71.100000000000009</v>
      </c>
      <c r="K227" s="694">
        <v>0</v>
      </c>
      <c r="L227" s="695" t="str">
        <f>IF(G227&lt;&gt;"",IF(VLOOKUP(G227,base_barras,10,FALSE)&lt;&gt;"",VLOOKUP(G227,base_barras,10,FALSE),"-"),"-")</f>
        <v>1/1000</v>
      </c>
      <c r="M227" s="478">
        <f>IF(L227&lt;&gt;"-",VLOOKUP(L227,precio_aislador,2,FALSE),0)</f>
        <v>2.7</v>
      </c>
      <c r="N227" s="696">
        <f>(I227*J227*F227+K227*M227)*E227*1.67*1.25</f>
        <v>1086.44355</v>
      </c>
      <c r="O227" s="288"/>
      <c r="P227" s="297"/>
      <c r="Q227" s="288"/>
      <c r="R227" s="102"/>
      <c r="S227" s="102"/>
      <c r="T227" s="102"/>
    </row>
    <row r="228" spans="1:20" s="129" customFormat="1" ht="22.5" customHeight="1" thickBot="1">
      <c r="A228" s="371"/>
      <c r="B228" s="373"/>
      <c r="C228" s="375"/>
      <c r="D228" s="383"/>
      <c r="E228" s="373"/>
      <c r="F228" s="373"/>
      <c r="G228" s="373"/>
      <c r="H228" s="373"/>
      <c r="I228" s="374"/>
      <c r="J228" s="374"/>
      <c r="K228" s="373"/>
      <c r="L228" s="373"/>
      <c r="M228" s="372"/>
      <c r="N228" s="699">
        <f>SUM(N224:N227)</f>
        <v>3767.9249749999999</v>
      </c>
      <c r="O228" s="288"/>
      <c r="P228" s="297"/>
      <c r="Q228" s="288"/>
      <c r="R228" s="102"/>
      <c r="S228" s="102"/>
      <c r="T228" s="102"/>
    </row>
    <row r="229" spans="1:20" s="102" customFormat="1" ht="8.25" customHeight="1" thickBot="1">
      <c r="A229" s="323"/>
      <c r="B229" s="323"/>
      <c r="C229" s="323"/>
      <c r="D229" s="382"/>
      <c r="E229" s="323"/>
      <c r="F229" s="325"/>
      <c r="G229" s="325"/>
      <c r="H229" s="325"/>
      <c r="I229" s="323"/>
      <c r="J229" s="323"/>
      <c r="K229" s="323"/>
      <c r="L229" s="325"/>
      <c r="M229" s="323"/>
      <c r="N229" s="309"/>
      <c r="O229" s="288"/>
      <c r="P229" s="297"/>
      <c r="Q229" s="288"/>
    </row>
    <row r="230" spans="1:20" s="102" customFormat="1" ht="12.75" customHeight="1">
      <c r="A230" s="2639" t="s">
        <v>2502</v>
      </c>
      <c r="B230" s="687" t="s">
        <v>2503</v>
      </c>
      <c r="C230" s="327"/>
      <c r="D230" s="328">
        <f t="shared" ref="D230:D231" si="152">IF(H230&lt;&gt;"",VLOOKUP(G230,base_barras,IF(H230="Desnuda",2,5)+F230-1,FALSE),"-")</f>
        <v>3280</v>
      </c>
      <c r="E230" s="329">
        <v>4</v>
      </c>
      <c r="F230" s="330">
        <v>2</v>
      </c>
      <c r="G230" s="331" t="s">
        <v>470</v>
      </c>
      <c r="H230" s="330" t="s">
        <v>1043</v>
      </c>
      <c r="I230" s="332">
        <v>0.9</v>
      </c>
      <c r="J230" s="333">
        <f t="shared" ref="J230:J231" si="153">IF(G230&lt;&gt;"",VLOOKUP(G230,precio_barras,9,FALSE),0)</f>
        <v>107</v>
      </c>
      <c r="K230" s="481">
        <v>2</v>
      </c>
      <c r="L230" s="343" t="str">
        <f t="shared" ref="L230:L231" si="154">IF(G230&lt;&gt;"",IF(VLOOKUP(G230,base_barras,10,FALSE)&lt;&gt;"",VLOOKUP(G230,base_barras,10,FALSE),"-"),"-")</f>
        <v>1.5/1250</v>
      </c>
      <c r="M230" s="333">
        <f t="shared" ref="M230:M231" si="155">IF(L230&lt;&gt;"-",VLOOKUP(L230,precio_aislador,2,FALSE),0)</f>
        <v>5.5</v>
      </c>
      <c r="N230" s="360">
        <f t="shared" ref="N230:N231" si="156">(I230*J230*F230+K230*M230)*E230*1.67*1.25</f>
        <v>1700.06</v>
      </c>
      <c r="O230" s="288"/>
      <c r="P230" s="297"/>
      <c r="Q230" s="297"/>
    </row>
    <row r="231" spans="1:20" s="199" customFormat="1" ht="15.75" customHeight="1" thickBot="1">
      <c r="A231" s="2644"/>
      <c r="B231" s="692" t="s">
        <v>4935</v>
      </c>
      <c r="C231" s="701"/>
      <c r="D231" s="364">
        <f t="shared" si="152"/>
        <v>3720</v>
      </c>
      <c r="E231" s="365">
        <v>4</v>
      </c>
      <c r="F231" s="366">
        <v>3</v>
      </c>
      <c r="G231" s="322" t="s">
        <v>468</v>
      </c>
      <c r="H231" s="366" t="s">
        <v>1043</v>
      </c>
      <c r="I231" s="367">
        <f>0.2+0.5+0.5+0.2</f>
        <v>1.4</v>
      </c>
      <c r="J231" s="368">
        <f t="shared" si="153"/>
        <v>88.9</v>
      </c>
      <c r="K231" s="702">
        <v>0</v>
      </c>
      <c r="L231" s="703" t="str">
        <f t="shared" si="154"/>
        <v>1.5/1250</v>
      </c>
      <c r="M231" s="480">
        <f t="shared" si="155"/>
        <v>5.5</v>
      </c>
      <c r="N231" s="704">
        <f t="shared" si="156"/>
        <v>3117.723</v>
      </c>
      <c r="O231" s="288"/>
      <c r="P231" s="297"/>
      <c r="Q231" s="288"/>
      <c r="R231" s="102"/>
      <c r="S231" s="102"/>
      <c r="T231" s="102"/>
    </row>
    <row r="232" spans="1:20" s="102" customFormat="1" ht="12.75" customHeight="1">
      <c r="A232" s="2644"/>
      <c r="B232" s="692"/>
      <c r="C232" s="693"/>
      <c r="D232" s="697"/>
      <c r="E232" s="694"/>
      <c r="F232" s="655"/>
      <c r="G232" s="698"/>
      <c r="H232" s="655"/>
      <c r="I232" s="398"/>
      <c r="J232" s="478"/>
      <c r="K232" s="705"/>
      <c r="L232" s="695"/>
      <c r="M232" s="478"/>
      <c r="N232" s="696"/>
      <c r="O232" s="288"/>
      <c r="P232" s="297"/>
      <c r="Q232" s="297"/>
    </row>
    <row r="233" spans="1:20" s="199" customFormat="1" ht="15.75" customHeight="1" thickBot="1">
      <c r="A233" s="2640"/>
      <c r="B233" s="700"/>
      <c r="C233" s="701"/>
      <c r="D233" s="364"/>
      <c r="E233" s="365"/>
      <c r="F233" s="366"/>
      <c r="G233" s="322"/>
      <c r="H233" s="366"/>
      <c r="I233" s="367"/>
      <c r="J233" s="368"/>
      <c r="K233" s="702"/>
      <c r="L233" s="703"/>
      <c r="M233" s="480"/>
      <c r="N233" s="704"/>
      <c r="O233" s="288"/>
      <c r="P233" s="297"/>
      <c r="Q233" s="288"/>
      <c r="R233" s="102"/>
      <c r="S233" s="102"/>
      <c r="T233" s="102"/>
    </row>
    <row r="234" spans="1:20" s="102" customFormat="1" ht="13.5" thickBot="1">
      <c r="A234" s="323"/>
      <c r="B234" s="323"/>
      <c r="C234" s="309"/>
      <c r="D234" s="382"/>
      <c r="E234" s="323"/>
      <c r="F234" s="309"/>
      <c r="G234" s="309"/>
      <c r="H234" s="323"/>
      <c r="I234" s="325"/>
      <c r="J234" s="325"/>
      <c r="K234" s="323"/>
      <c r="L234" s="323"/>
      <c r="M234" s="325"/>
      <c r="N234" s="706">
        <f>SUM(N230:N233)</f>
        <v>4817.7829999999994</v>
      </c>
      <c r="O234" s="288"/>
      <c r="P234" s="297"/>
      <c r="Q234" s="297"/>
    </row>
    <row r="235" spans="1:20" s="102" customFormat="1" ht="8.25" customHeight="1">
      <c r="A235" s="323"/>
      <c r="B235" s="323"/>
      <c r="C235" s="323"/>
      <c r="D235" s="382"/>
      <c r="E235" s="323"/>
      <c r="F235" s="325"/>
      <c r="G235" s="325"/>
      <c r="H235" s="325"/>
      <c r="I235" s="323"/>
      <c r="J235" s="323"/>
      <c r="K235" s="323"/>
      <c r="L235" s="325"/>
      <c r="M235" s="323"/>
      <c r="N235" s="309"/>
      <c r="O235" s="288"/>
      <c r="P235" s="297"/>
      <c r="Q235" s="288"/>
    </row>
    <row r="236" spans="1:20" s="102" customFormat="1">
      <c r="A236" s="323"/>
      <c r="B236" s="309"/>
      <c r="C236" s="309"/>
      <c r="D236" s="382"/>
      <c r="E236" s="323"/>
      <c r="F236" s="309"/>
      <c r="G236" s="309"/>
      <c r="H236" s="323"/>
      <c r="I236" s="325"/>
      <c r="J236" s="325"/>
      <c r="K236" s="323"/>
      <c r="L236" s="323"/>
      <c r="M236" s="325"/>
      <c r="N236" s="722"/>
      <c r="O236" s="288"/>
      <c r="P236" s="297"/>
      <c r="Q236" s="297"/>
    </row>
    <row r="237" spans="1:20" s="102" customFormat="1" ht="15">
      <c r="A237" s="323"/>
      <c r="B237" s="723" t="s">
        <v>2513</v>
      </c>
      <c r="C237" s="309"/>
      <c r="D237" s="382"/>
      <c r="E237" s="323"/>
      <c r="F237" s="309"/>
      <c r="G237" s="309"/>
      <c r="H237" s="323"/>
      <c r="I237" s="325"/>
      <c r="J237" s="325"/>
      <c r="K237" s="323"/>
      <c r="L237" s="323"/>
      <c r="M237" s="325"/>
      <c r="N237" s="722"/>
      <c r="O237" s="288"/>
      <c r="P237" s="297"/>
      <c r="Q237" s="297"/>
    </row>
    <row r="238" spans="1:20" s="106" customFormat="1" ht="13.5" thickBot="1"/>
    <row r="239" spans="1:20" s="199" customFormat="1" ht="15.75" customHeight="1">
      <c r="A239" s="2641" t="s">
        <v>4937</v>
      </c>
      <c r="B239" s="687" t="s">
        <v>2498</v>
      </c>
      <c r="C239" s="327"/>
      <c r="D239" s="328">
        <f t="shared" ref="D239" si="157">IF(H239&lt;&gt;"",VLOOKUP(G239,base_barras,IF(H239="Desnuda",2,5)+F239-1,FALSE),"-")</f>
        <v>985</v>
      </c>
      <c r="E239" s="329">
        <v>3</v>
      </c>
      <c r="F239" s="330">
        <v>1</v>
      </c>
      <c r="G239" s="331" t="s">
        <v>581</v>
      </c>
      <c r="H239" s="330" t="s">
        <v>1044</v>
      </c>
      <c r="I239" s="332">
        <f>0.8+0.7</f>
        <v>1.5</v>
      </c>
      <c r="J239" s="333">
        <v>61</v>
      </c>
      <c r="K239" s="329">
        <v>0</v>
      </c>
      <c r="L239" s="343" t="str">
        <f t="shared" ref="L239" si="158">IF(G239&lt;&gt;"",IF(VLOOKUP(G239,base_barras,10,FALSE)&lt;&gt;"",VLOOKUP(G239,base_barras,10,FALSE),"-"),"-")</f>
        <v>1/750</v>
      </c>
      <c r="M239" s="333">
        <f t="shared" ref="M239" si="159">IF(L239&lt;&gt;"-",VLOOKUP(L239,precio_aislador,2,FALSE),0)</f>
        <v>1.9</v>
      </c>
      <c r="N239" s="360">
        <f>(I239*J239*F239+K239*M239)*E239*1.67*1.25</f>
        <v>573.01874999999995</v>
      </c>
      <c r="O239" s="288"/>
      <c r="P239" s="297"/>
      <c r="Q239" s="288"/>
      <c r="R239" s="102"/>
      <c r="S239" s="102"/>
      <c r="T239" s="102"/>
    </row>
    <row r="240" spans="1:20" s="199" customFormat="1" ht="14.25">
      <c r="A240" s="2642"/>
      <c r="B240" s="688" t="s">
        <v>802</v>
      </c>
      <c r="C240" s="319"/>
      <c r="D240" s="312">
        <f>IF(H240&lt;&gt;"",VLOOKUP(G240,base_barras,IF(H240="Desnuda",2,5)+F240-1,FALSE),"-")</f>
        <v>715</v>
      </c>
      <c r="E240" s="313">
        <v>1</v>
      </c>
      <c r="F240" s="314">
        <v>1</v>
      </c>
      <c r="G240" s="315" t="s">
        <v>469</v>
      </c>
      <c r="H240" s="689" t="str">
        <f>H239</f>
        <v>Desnuda</v>
      </c>
      <c r="I240" s="690">
        <f>I239</f>
        <v>1.5</v>
      </c>
      <c r="J240" s="317">
        <f t="shared" ref="J240:J245" si="160">IF(G240&lt;&gt;"",VLOOKUP(G240,precio_barras,9,FALSE),0)</f>
        <v>35.6</v>
      </c>
      <c r="K240" s="691">
        <v>0</v>
      </c>
      <c r="L240" s="318" t="str">
        <f>IF(G240&lt;&gt;"",IF(VLOOKUP(G240,base_barras,10,FALSE)&lt;&gt;"",VLOOKUP(G240,base_barras,10,FALSE),"-"),"-")</f>
        <v>1/750</v>
      </c>
      <c r="M240" s="317">
        <f>IF(L240&lt;&gt;"-",VLOOKUP(L240,precio_aislador,2,FALSE),0)</f>
        <v>1.9</v>
      </c>
      <c r="N240" s="308">
        <f>(I240*J240*F240+K240*M240)*E240*1.67*1.25</f>
        <v>111.47250000000001</v>
      </c>
      <c r="O240" s="288"/>
      <c r="P240" s="297"/>
      <c r="Q240" s="288"/>
      <c r="R240" s="102"/>
      <c r="S240" s="102"/>
      <c r="T240" s="102"/>
    </row>
    <row r="241" spans="1:20" s="199" customFormat="1" ht="15.75" customHeight="1">
      <c r="A241" s="2642"/>
      <c r="B241" s="692" t="s">
        <v>4922</v>
      </c>
      <c r="C241" s="693"/>
      <c r="D241" s="312">
        <f t="shared" ref="D241:D245" si="161">IF(H241&lt;&gt;"",VLOOKUP(G241,base_barras,IF(H241="Desnuda",2,5)+F241-1,FALSE),"-")</f>
        <v>3170</v>
      </c>
      <c r="E241" s="313">
        <v>4</v>
      </c>
      <c r="F241" s="314">
        <v>3</v>
      </c>
      <c r="G241" s="315" t="s">
        <v>582</v>
      </c>
      <c r="H241" s="314" t="s">
        <v>1043</v>
      </c>
      <c r="I241" s="316">
        <v>0.61</v>
      </c>
      <c r="J241" s="317">
        <f t="shared" si="160"/>
        <v>71.100000000000009</v>
      </c>
      <c r="K241" s="694">
        <v>0</v>
      </c>
      <c r="L241" s="695" t="str">
        <f t="shared" ref="L241:L245" si="162">IF(G241&lt;&gt;"",IF(VLOOKUP(G241,base_barras,10,FALSE)&lt;&gt;"",VLOOKUP(G241,base_barras,10,FALSE),"-"),"-")</f>
        <v>1/1000</v>
      </c>
      <c r="M241" s="478">
        <f t="shared" ref="M241:M245" si="163">IF(L241&lt;&gt;"-",VLOOKUP(L241,precio_aislador,2,FALSE),0)</f>
        <v>2.7</v>
      </c>
      <c r="N241" s="696">
        <f t="shared" ref="N241:N245" si="164">(I241*J241*F241+K241*M241)*E241*1.67*1.25</f>
        <v>1086.44355</v>
      </c>
      <c r="O241" s="288"/>
      <c r="P241" s="297"/>
      <c r="Q241" s="288"/>
      <c r="R241" s="102"/>
      <c r="S241" s="102"/>
      <c r="T241" s="102"/>
    </row>
    <row r="242" spans="1:20" s="199" customFormat="1" ht="15.75" customHeight="1">
      <c r="A242" s="2642"/>
      <c r="B242" s="692" t="s">
        <v>4938</v>
      </c>
      <c r="C242" s="693"/>
      <c r="D242" s="312">
        <f t="shared" si="161"/>
        <v>1180</v>
      </c>
      <c r="E242" s="313">
        <v>4</v>
      </c>
      <c r="F242" s="314">
        <v>1</v>
      </c>
      <c r="G242" s="315" t="s">
        <v>581</v>
      </c>
      <c r="H242" s="314" t="s">
        <v>1043</v>
      </c>
      <c r="I242" s="316">
        <v>0.61</v>
      </c>
      <c r="J242" s="317">
        <f t="shared" si="160"/>
        <v>53.3</v>
      </c>
      <c r="K242" s="694">
        <v>0</v>
      </c>
      <c r="L242" s="695" t="str">
        <f t="shared" si="162"/>
        <v>1/750</v>
      </c>
      <c r="M242" s="478">
        <f t="shared" si="163"/>
        <v>1.9</v>
      </c>
      <c r="N242" s="696">
        <f t="shared" si="164"/>
        <v>271.48354999999998</v>
      </c>
      <c r="O242" s="288"/>
      <c r="P242" s="297"/>
      <c r="Q242" s="288"/>
      <c r="R242" s="102"/>
      <c r="S242" s="102"/>
      <c r="T242" s="102"/>
    </row>
    <row r="243" spans="1:20" s="199" customFormat="1" ht="15.75" customHeight="1">
      <c r="A243" s="2642"/>
      <c r="B243" s="692" t="s">
        <v>4927</v>
      </c>
      <c r="C243" s="693"/>
      <c r="D243" s="312">
        <f t="shared" si="161"/>
        <v>676</v>
      </c>
      <c r="E243" s="313">
        <v>4</v>
      </c>
      <c r="F243" s="314">
        <v>1</v>
      </c>
      <c r="G243" s="315" t="s">
        <v>314</v>
      </c>
      <c r="H243" s="314" t="s">
        <v>1043</v>
      </c>
      <c r="I243" s="316">
        <v>0.61</v>
      </c>
      <c r="J243" s="317">
        <f t="shared" si="160"/>
        <v>26.6</v>
      </c>
      <c r="K243" s="694">
        <v>0</v>
      </c>
      <c r="L243" s="695" t="str">
        <f t="shared" si="162"/>
        <v>1/750</v>
      </c>
      <c r="M243" s="478">
        <f t="shared" si="163"/>
        <v>1.9</v>
      </c>
      <c r="N243" s="696">
        <f t="shared" si="164"/>
        <v>135.48709999999997</v>
      </c>
      <c r="O243" s="288"/>
      <c r="P243" s="297"/>
      <c r="Q243" s="288"/>
      <c r="R243" s="102"/>
      <c r="S243" s="102"/>
      <c r="T243" s="102"/>
    </row>
    <row r="244" spans="1:20" s="199" customFormat="1" ht="15.75" customHeight="1">
      <c r="A244" s="2642"/>
      <c r="B244" s="692" t="s">
        <v>4927</v>
      </c>
      <c r="C244" s="693"/>
      <c r="D244" s="312">
        <f t="shared" si="161"/>
        <v>676</v>
      </c>
      <c r="E244" s="313">
        <v>4</v>
      </c>
      <c r="F244" s="314">
        <v>1</v>
      </c>
      <c r="G244" s="315" t="s">
        <v>314</v>
      </c>
      <c r="H244" s="314" t="s">
        <v>1043</v>
      </c>
      <c r="I244" s="316">
        <v>0.61</v>
      </c>
      <c r="J244" s="317">
        <f t="shared" si="160"/>
        <v>26.6</v>
      </c>
      <c r="K244" s="694">
        <v>0</v>
      </c>
      <c r="L244" s="695" t="str">
        <f t="shared" si="162"/>
        <v>1/750</v>
      </c>
      <c r="M244" s="478">
        <f t="shared" si="163"/>
        <v>1.9</v>
      </c>
      <c r="N244" s="696">
        <f t="shared" si="164"/>
        <v>135.48709999999997</v>
      </c>
      <c r="O244" s="288"/>
      <c r="P244" s="297"/>
      <c r="Q244" s="288"/>
      <c r="R244" s="102"/>
      <c r="S244" s="102"/>
      <c r="T244" s="102"/>
    </row>
    <row r="245" spans="1:20" s="199" customFormat="1" ht="15.75" customHeight="1" thickBot="1">
      <c r="A245" s="2643"/>
      <c r="B245" s="688" t="s">
        <v>3468</v>
      </c>
      <c r="C245" s="311"/>
      <c r="D245" s="312">
        <f t="shared" si="161"/>
        <v>985</v>
      </c>
      <c r="E245" s="313">
        <v>4</v>
      </c>
      <c r="F245" s="314">
        <v>1</v>
      </c>
      <c r="G245" s="315" t="s">
        <v>581</v>
      </c>
      <c r="H245" s="314" t="s">
        <v>1044</v>
      </c>
      <c r="I245" s="316">
        <v>0.5</v>
      </c>
      <c r="J245" s="317">
        <f t="shared" si="160"/>
        <v>53.3</v>
      </c>
      <c r="K245" s="313">
        <v>0</v>
      </c>
      <c r="L245" s="318" t="str">
        <f t="shared" si="162"/>
        <v>1/750</v>
      </c>
      <c r="M245" s="317">
        <f t="shared" si="163"/>
        <v>1.9</v>
      </c>
      <c r="N245" s="308">
        <f t="shared" si="164"/>
        <v>222.52749999999997</v>
      </c>
      <c r="O245" s="288"/>
      <c r="P245" s="297"/>
      <c r="Q245" s="288"/>
      <c r="R245" s="102"/>
      <c r="S245" s="102"/>
      <c r="T245" s="102"/>
    </row>
    <row r="246" spans="1:20" s="129" customFormat="1" ht="22.5" customHeight="1" thickBot="1">
      <c r="A246" s="371"/>
      <c r="B246" s="373"/>
      <c r="C246" s="375"/>
      <c r="D246" s="383"/>
      <c r="E246" s="373"/>
      <c r="F246" s="373"/>
      <c r="G246" s="373"/>
      <c r="H246" s="373"/>
      <c r="I246" s="374"/>
      <c r="J246" s="374"/>
      <c r="K246" s="373"/>
      <c r="L246" s="373"/>
      <c r="M246" s="372"/>
      <c r="N246" s="699">
        <f>SUM(N239:N245)</f>
        <v>2535.9200499999997</v>
      </c>
      <c r="O246" s="288"/>
      <c r="P246" s="297"/>
      <c r="Q246" s="288"/>
      <c r="R246" s="102"/>
      <c r="S246" s="102"/>
      <c r="T246" s="102"/>
    </row>
    <row r="247" spans="1:20" s="102" customFormat="1" ht="8.25" customHeight="1" thickBot="1">
      <c r="A247" s="323"/>
      <c r="B247" s="323"/>
      <c r="C247" s="323"/>
      <c r="D247" s="382"/>
      <c r="E247" s="323"/>
      <c r="F247" s="325"/>
      <c r="G247" s="325"/>
      <c r="H247" s="325"/>
      <c r="I247" s="323"/>
      <c r="J247" s="323"/>
      <c r="K247" s="323"/>
      <c r="L247" s="325"/>
      <c r="M247" s="323"/>
      <c r="N247" s="309"/>
      <c r="O247" s="288"/>
      <c r="P247" s="297"/>
      <c r="Q247" s="288"/>
    </row>
    <row r="248" spans="1:20" s="102" customFormat="1" ht="12.75" customHeight="1">
      <c r="A248" s="2639" t="s">
        <v>2502</v>
      </c>
      <c r="B248" s="687" t="s">
        <v>2503</v>
      </c>
      <c r="C248" s="327"/>
      <c r="D248" s="328">
        <f t="shared" ref="D248:D249" si="165">IF(H248&lt;&gt;"",VLOOKUP(G248,base_barras,IF(H248="Desnuda",2,5)+F248-1,FALSE),"-")</f>
        <v>2850</v>
      </c>
      <c r="E248" s="329">
        <v>4</v>
      </c>
      <c r="F248" s="330">
        <v>2</v>
      </c>
      <c r="G248" s="331" t="s">
        <v>468</v>
      </c>
      <c r="H248" s="330" t="s">
        <v>1043</v>
      </c>
      <c r="I248" s="332">
        <v>0.8</v>
      </c>
      <c r="J248" s="333">
        <f t="shared" ref="J248:J249" si="166">IF(G248&lt;&gt;"",VLOOKUP(G248,precio_barras,9,FALSE),0)</f>
        <v>88.9</v>
      </c>
      <c r="K248" s="481">
        <v>2</v>
      </c>
      <c r="L248" s="343" t="str">
        <f t="shared" ref="L248:L249" si="167">IF(G248&lt;&gt;"",IF(VLOOKUP(G248,base_barras,10,FALSE)&lt;&gt;"",VLOOKUP(G248,base_barras,10,FALSE),"-"),"-")</f>
        <v>1.5/1250</v>
      </c>
      <c r="M248" s="333">
        <f t="shared" ref="M248:M249" si="168">IF(L248&lt;&gt;"-",VLOOKUP(L248,precio_aislador,2,FALSE),0)</f>
        <v>5.5</v>
      </c>
      <c r="N248" s="360">
        <f t="shared" ref="N248:N249" si="169">(I248*J248*F248+K248*M248)*E248*1.67*1.25</f>
        <v>1279.5540000000001</v>
      </c>
      <c r="O248" s="288"/>
      <c r="P248" s="297"/>
      <c r="Q248" s="297"/>
    </row>
    <row r="249" spans="1:20" s="199" customFormat="1" ht="15.75" customHeight="1" thickBot="1">
      <c r="A249" s="2644"/>
      <c r="B249" s="692" t="s">
        <v>4922</v>
      </c>
      <c r="C249" s="701"/>
      <c r="D249" s="364">
        <f t="shared" si="165"/>
        <v>3170</v>
      </c>
      <c r="E249" s="365">
        <v>4</v>
      </c>
      <c r="F249" s="366">
        <v>3</v>
      </c>
      <c r="G249" s="322" t="s">
        <v>582</v>
      </c>
      <c r="H249" s="366" t="s">
        <v>1043</v>
      </c>
      <c r="I249" s="367">
        <f>0.2+0.5+0.5+0.2</f>
        <v>1.4</v>
      </c>
      <c r="J249" s="368">
        <f t="shared" si="166"/>
        <v>71.100000000000009</v>
      </c>
      <c r="K249" s="702">
        <v>0</v>
      </c>
      <c r="L249" s="703" t="str">
        <f t="shared" si="167"/>
        <v>1/1000</v>
      </c>
      <c r="M249" s="480">
        <f t="shared" si="168"/>
        <v>2.7</v>
      </c>
      <c r="N249" s="704">
        <f t="shared" si="169"/>
        <v>2493.4769999999999</v>
      </c>
      <c r="O249" s="288"/>
      <c r="P249" s="297"/>
      <c r="Q249" s="288"/>
      <c r="R249" s="102"/>
      <c r="S249" s="102"/>
      <c r="T249" s="102"/>
    </row>
    <row r="250" spans="1:20" s="102" customFormat="1" ht="12.75" customHeight="1">
      <c r="A250" s="2644"/>
      <c r="B250" s="692"/>
      <c r="C250" s="693"/>
      <c r="D250" s="697"/>
      <c r="E250" s="694"/>
      <c r="F250" s="655"/>
      <c r="G250" s="698"/>
      <c r="H250" s="655"/>
      <c r="I250" s="398"/>
      <c r="J250" s="478"/>
      <c r="K250" s="705"/>
      <c r="L250" s="695"/>
      <c r="M250" s="478"/>
      <c r="N250" s="696"/>
      <c r="O250" s="288"/>
      <c r="P250" s="297"/>
      <c r="Q250" s="297"/>
    </row>
    <row r="251" spans="1:20" s="199" customFormat="1" ht="15.75" customHeight="1" thickBot="1">
      <c r="A251" s="2640"/>
      <c r="B251" s="700"/>
      <c r="C251" s="701"/>
      <c r="D251" s="364"/>
      <c r="E251" s="365"/>
      <c r="F251" s="366"/>
      <c r="G251" s="322"/>
      <c r="H251" s="366"/>
      <c r="I251" s="367"/>
      <c r="J251" s="368"/>
      <c r="K251" s="702"/>
      <c r="L251" s="703"/>
      <c r="M251" s="480"/>
      <c r="N251" s="704"/>
      <c r="O251" s="288"/>
      <c r="P251" s="297"/>
      <c r="Q251" s="288"/>
      <c r="R251" s="102"/>
      <c r="S251" s="102"/>
      <c r="T251" s="102"/>
    </row>
    <row r="252" spans="1:20" s="102" customFormat="1" ht="13.5" thickBot="1">
      <c r="A252" s="323"/>
      <c r="B252" s="323"/>
      <c r="C252" s="309"/>
      <c r="D252" s="382"/>
      <c r="E252" s="323"/>
      <c r="F252" s="309"/>
      <c r="G252" s="309"/>
      <c r="H252" s="323"/>
      <c r="I252" s="325"/>
      <c r="J252" s="325"/>
      <c r="K252" s="323"/>
      <c r="L252" s="323"/>
      <c r="M252" s="325"/>
      <c r="N252" s="706">
        <f>SUM(N248:N251)</f>
        <v>3773.0309999999999</v>
      </c>
      <c r="O252" s="288"/>
      <c r="P252" s="297"/>
      <c r="Q252" s="297"/>
    </row>
    <row r="253" spans="1:20" s="102" customFormat="1" ht="8.25" customHeight="1" thickBot="1">
      <c r="A253" s="323"/>
      <c r="B253" s="323"/>
      <c r="C253" s="323"/>
      <c r="D253" s="382"/>
      <c r="E253" s="323"/>
      <c r="F253" s="325"/>
      <c r="G253" s="325"/>
      <c r="H253" s="325"/>
      <c r="I253" s="323"/>
      <c r="J253" s="323"/>
      <c r="K253" s="323"/>
      <c r="L253" s="325"/>
      <c r="M253" s="323"/>
      <c r="N253" s="309"/>
      <c r="O253" s="288"/>
      <c r="P253" s="297"/>
      <c r="Q253" s="288"/>
    </row>
    <row r="254" spans="1:20" s="102" customFormat="1">
      <c r="A254" s="2629" t="s">
        <v>1228</v>
      </c>
      <c r="B254" s="687" t="s">
        <v>2498</v>
      </c>
      <c r="C254" s="327"/>
      <c r="D254" s="328">
        <f t="shared" ref="D254:D255" si="170">IF(H254&lt;&gt;"",VLOOKUP(G254,base_barras,IF(H254="Desnuda",2,5)+F254-1,FALSE),"-")</f>
        <v>2410</v>
      </c>
      <c r="E254" s="481">
        <v>4</v>
      </c>
      <c r="F254" s="330">
        <v>2</v>
      </c>
      <c r="G254" s="331" t="s">
        <v>582</v>
      </c>
      <c r="H254" s="330" t="s">
        <v>1043</v>
      </c>
      <c r="I254" s="332">
        <f>0.2</f>
        <v>0.2</v>
      </c>
      <c r="J254" s="333">
        <f t="shared" ref="J254" si="171">IF(G254&lt;&gt;"",VLOOKUP(G254,precio_barras,9,FALSE),0)</f>
        <v>71.100000000000009</v>
      </c>
      <c r="K254" s="329">
        <v>0</v>
      </c>
      <c r="L254" s="343" t="str">
        <f t="shared" ref="L254:L255" si="172">IF(G254&lt;&gt;"",IF(VLOOKUP(G254,base_barras,10,FALSE)&lt;&gt;"",VLOOKUP(G254,base_barras,10,FALSE),"-"),"-")</f>
        <v>1/1000</v>
      </c>
      <c r="M254" s="333">
        <f t="shared" ref="M254" si="173">IF(L254&lt;&gt;"-",VLOOKUP(L254,precio_aislador,2,FALSE),0)</f>
        <v>2.7</v>
      </c>
      <c r="N254" s="360">
        <f t="shared" ref="N254:N255" si="174">(I254*J254*F254+K254*M254)*E254*1.67*1.25</f>
        <v>237.47400000000002</v>
      </c>
      <c r="O254" s="288"/>
      <c r="P254" s="297"/>
      <c r="Q254" s="297"/>
    </row>
    <row r="255" spans="1:20" s="102" customFormat="1" ht="13.5" thickBot="1">
      <c r="A255" s="2635"/>
      <c r="B255" s="707"/>
      <c r="C255" s="479"/>
      <c r="D255" s="364" t="str">
        <f t="shared" si="170"/>
        <v>-</v>
      </c>
      <c r="E255" s="365"/>
      <c r="F255" s="366"/>
      <c r="G255" s="322"/>
      <c r="H255" s="366"/>
      <c r="I255" s="367"/>
      <c r="J255" s="480">
        <f>IF(G255&lt;&gt;"",VLOOKUP(G255,precio_barras,9,FALSE),0)</f>
        <v>0</v>
      </c>
      <c r="K255" s="365"/>
      <c r="L255" s="369" t="str">
        <f t="shared" si="172"/>
        <v>-</v>
      </c>
      <c r="M255" s="368">
        <f>IF(L255&lt;&gt;"-",VLOOKUP(L255,precio_aislador,2,FALSE),0)</f>
        <v>0</v>
      </c>
      <c r="N255" s="370">
        <f t="shared" si="174"/>
        <v>0</v>
      </c>
      <c r="O255" s="288"/>
      <c r="P255" s="297"/>
      <c r="Q255" s="297"/>
    </row>
    <row r="256" spans="1:20" s="102" customFormat="1" ht="13.5" thickBot="1">
      <c r="A256" s="323"/>
      <c r="B256" s="323"/>
      <c r="C256" s="309"/>
      <c r="D256" s="382"/>
      <c r="E256" s="323"/>
      <c r="F256" s="309"/>
      <c r="G256" s="309"/>
      <c r="H256" s="323"/>
      <c r="I256" s="325"/>
      <c r="J256" s="325"/>
      <c r="K256" s="323"/>
      <c r="L256" s="323"/>
      <c r="M256" s="325"/>
      <c r="N256" s="706">
        <f>SUM(N254:N255)</f>
        <v>237.47400000000002</v>
      </c>
      <c r="O256" s="288"/>
      <c r="P256" s="297"/>
      <c r="Q256" s="297"/>
    </row>
    <row r="257" spans="1:20" s="102" customFormat="1" ht="8.25" customHeight="1">
      <c r="A257" s="323"/>
      <c r="B257" s="323"/>
      <c r="C257" s="323"/>
      <c r="D257" s="382"/>
      <c r="E257" s="323"/>
      <c r="F257" s="325"/>
      <c r="G257" s="325"/>
      <c r="H257" s="325"/>
      <c r="I257" s="323"/>
      <c r="J257" s="323"/>
      <c r="K257" s="323"/>
      <c r="L257" s="325"/>
      <c r="M257" s="323"/>
      <c r="N257" s="309"/>
      <c r="O257" s="288"/>
      <c r="P257" s="297"/>
      <c r="Q257" s="288"/>
    </row>
    <row r="258" spans="1:20" s="102" customFormat="1">
      <c r="A258" s="323"/>
      <c r="B258" s="309"/>
      <c r="C258" s="309"/>
      <c r="D258" s="382"/>
      <c r="E258" s="323"/>
      <c r="F258" s="309"/>
      <c r="G258" s="309"/>
      <c r="H258" s="323"/>
      <c r="I258" s="325"/>
      <c r="J258" s="325"/>
      <c r="K258" s="323"/>
      <c r="L258" s="323"/>
      <c r="M258" s="325"/>
      <c r="N258" s="722"/>
      <c r="O258" s="288"/>
      <c r="P258" s="297"/>
      <c r="Q258" s="297"/>
    </row>
    <row r="259" spans="1:20" s="102" customFormat="1" ht="15">
      <c r="A259" s="323"/>
      <c r="B259" s="723" t="s">
        <v>2513</v>
      </c>
      <c r="C259" s="309"/>
      <c r="D259" s="382"/>
      <c r="E259" s="323"/>
      <c r="F259" s="309"/>
      <c r="G259" s="309"/>
      <c r="H259" s="323"/>
      <c r="I259" s="325"/>
      <c r="J259" s="325"/>
      <c r="K259" s="323"/>
      <c r="L259" s="323"/>
      <c r="M259" s="325"/>
      <c r="N259" s="722"/>
      <c r="O259" s="288"/>
      <c r="P259" s="297"/>
      <c r="Q259" s="297"/>
    </row>
    <row r="260" spans="1:20" s="106" customFormat="1"/>
    <row r="261" spans="1:20" s="106" customFormat="1" ht="13.5" thickBot="1"/>
    <row r="262" spans="1:20" s="199" customFormat="1" ht="15.75" customHeight="1">
      <c r="A262" s="2641" t="s">
        <v>4939</v>
      </c>
      <c r="B262" s="687" t="s">
        <v>2498</v>
      </c>
      <c r="C262" s="327"/>
      <c r="D262" s="328">
        <f t="shared" ref="D262" si="175">IF(H262&lt;&gt;"",VLOOKUP(G262,base_barras,IF(H262="Desnuda",2,5)+F262-1,FALSE),"-")</f>
        <v>1180</v>
      </c>
      <c r="E262" s="329">
        <v>3</v>
      </c>
      <c r="F262" s="330">
        <v>1</v>
      </c>
      <c r="G262" s="331" t="s">
        <v>581</v>
      </c>
      <c r="H262" s="330" t="s">
        <v>1043</v>
      </c>
      <c r="I262" s="332">
        <v>0.61</v>
      </c>
      <c r="J262" s="333">
        <f t="shared" ref="J262:J268" si="176">IF(G262&lt;&gt;"",VLOOKUP(G262,precio_barras,9,FALSE),0)</f>
        <v>53.3</v>
      </c>
      <c r="K262" s="329">
        <v>0</v>
      </c>
      <c r="L262" s="343" t="str">
        <f t="shared" ref="L262" si="177">IF(G262&lt;&gt;"",IF(VLOOKUP(G262,base_barras,10,FALSE)&lt;&gt;"",VLOOKUP(G262,base_barras,10,FALSE),"-"),"-")</f>
        <v>1/750</v>
      </c>
      <c r="M262" s="333">
        <f t="shared" ref="M262" si="178">IF(L262&lt;&gt;"-",VLOOKUP(L262,precio_aislador,2,FALSE),0)</f>
        <v>1.9</v>
      </c>
      <c r="N262" s="360">
        <f t="shared" ref="N262" si="179">(I262*J262*F262+K262*M262)*E262*1.67*1.25</f>
        <v>203.61266249999997</v>
      </c>
      <c r="O262" s="288"/>
      <c r="P262" s="297"/>
      <c r="Q262" s="288"/>
      <c r="R262" s="102"/>
      <c r="S262" s="102"/>
      <c r="T262" s="102"/>
    </row>
    <row r="263" spans="1:20" s="199" customFormat="1" ht="14.25">
      <c r="A263" s="2642"/>
      <c r="B263" s="688" t="s">
        <v>802</v>
      </c>
      <c r="C263" s="319"/>
      <c r="D263" s="312">
        <f>IF(H263&lt;&gt;"",VLOOKUP(G263,base_barras,IF(H263="Desnuda",2,5)+F263-1,FALSE),"-")</f>
        <v>1500</v>
      </c>
      <c r="E263" s="313">
        <v>1</v>
      </c>
      <c r="F263" s="314">
        <v>1</v>
      </c>
      <c r="G263" s="315" t="s">
        <v>582</v>
      </c>
      <c r="H263" s="689" t="str">
        <f>H262</f>
        <v>Pintada</v>
      </c>
      <c r="I263" s="690">
        <f>I262</f>
        <v>0.61</v>
      </c>
      <c r="J263" s="317">
        <f t="shared" si="176"/>
        <v>71.100000000000009</v>
      </c>
      <c r="K263" s="691">
        <v>0</v>
      </c>
      <c r="L263" s="318" t="str">
        <f>IF(G263&lt;&gt;"",IF(VLOOKUP(G263,base_barras,10,FALSE)&lt;&gt;"",VLOOKUP(G263,base_barras,10,FALSE),"-"),"-")</f>
        <v>1/1000</v>
      </c>
      <c r="M263" s="317">
        <f>IF(L263&lt;&gt;"-",VLOOKUP(L263,precio_aislador,2,FALSE),0)</f>
        <v>2.7</v>
      </c>
      <c r="N263" s="308">
        <f>(I263*J263*F263+K263*M263)*E263*1.67*1.25</f>
        <v>90.536962500000001</v>
      </c>
      <c r="O263" s="288"/>
      <c r="P263" s="297"/>
      <c r="Q263" s="288"/>
      <c r="R263" s="102"/>
      <c r="S263" s="102"/>
      <c r="T263" s="102"/>
    </row>
    <row r="264" spans="1:20" s="199" customFormat="1" ht="15.75" customHeight="1">
      <c r="A264" s="2642"/>
      <c r="B264" s="692" t="s">
        <v>4926</v>
      </c>
      <c r="C264" s="693"/>
      <c r="D264" s="312">
        <f t="shared" ref="D264:D268" si="180">IF(H264&lt;&gt;"",VLOOKUP(G264,base_barras,IF(H264="Desnuda",2,5)+F264-1,FALSE),"-")</f>
        <v>2410</v>
      </c>
      <c r="E264" s="313">
        <v>4</v>
      </c>
      <c r="F264" s="314">
        <v>2</v>
      </c>
      <c r="G264" s="315" t="s">
        <v>582</v>
      </c>
      <c r="H264" s="314" t="s">
        <v>1043</v>
      </c>
      <c r="I264" s="316">
        <v>0.61</v>
      </c>
      <c r="J264" s="317">
        <f t="shared" si="176"/>
        <v>71.100000000000009</v>
      </c>
      <c r="K264" s="694">
        <v>0</v>
      </c>
      <c r="L264" s="695" t="str">
        <f t="shared" ref="L264:L268" si="181">IF(G264&lt;&gt;"",IF(VLOOKUP(G264,base_barras,10,FALSE)&lt;&gt;"",VLOOKUP(G264,base_barras,10,FALSE),"-"),"-")</f>
        <v>1/1000</v>
      </c>
      <c r="M264" s="478">
        <f t="shared" ref="M264:M268" si="182">IF(L264&lt;&gt;"-",VLOOKUP(L264,precio_aislador,2,FALSE),0)</f>
        <v>2.7</v>
      </c>
      <c r="N264" s="696">
        <f t="shared" ref="N264:N268" si="183">(I264*J264*F264+K264*M264)*E264*1.67*1.25</f>
        <v>724.29570000000001</v>
      </c>
      <c r="O264" s="288"/>
      <c r="P264" s="297"/>
      <c r="Q264" s="288"/>
      <c r="R264" s="102"/>
      <c r="S264" s="102"/>
      <c r="T264" s="102"/>
    </row>
    <row r="265" spans="1:20" s="199" customFormat="1" ht="15.75" customHeight="1">
      <c r="A265" s="2642"/>
      <c r="B265" s="692" t="s">
        <v>4929</v>
      </c>
      <c r="C265" s="693"/>
      <c r="D265" s="312">
        <f t="shared" si="180"/>
        <v>1020</v>
      </c>
      <c r="E265" s="313">
        <v>4</v>
      </c>
      <c r="F265" s="314">
        <v>1</v>
      </c>
      <c r="G265" s="315" t="s">
        <v>315</v>
      </c>
      <c r="H265" s="314" t="s">
        <v>1043</v>
      </c>
      <c r="I265" s="316">
        <v>0.61</v>
      </c>
      <c r="J265" s="317">
        <f t="shared" si="176"/>
        <v>44.400000000000006</v>
      </c>
      <c r="K265" s="694">
        <v>0</v>
      </c>
      <c r="L265" s="695" t="str">
        <f t="shared" si="181"/>
        <v>1/750</v>
      </c>
      <c r="M265" s="478">
        <f t="shared" si="182"/>
        <v>1.9</v>
      </c>
      <c r="N265" s="696">
        <f t="shared" si="183"/>
        <v>226.1514</v>
      </c>
      <c r="O265" s="288"/>
      <c r="P265" s="297"/>
      <c r="Q265" s="288"/>
      <c r="R265" s="102"/>
      <c r="S265" s="102"/>
      <c r="T265" s="102"/>
    </row>
    <row r="266" spans="1:20" s="199" customFormat="1" ht="15.75" customHeight="1">
      <c r="A266" s="2642"/>
      <c r="B266" s="692" t="s">
        <v>4927</v>
      </c>
      <c r="C266" s="693"/>
      <c r="D266" s="312">
        <f t="shared" si="180"/>
        <v>676</v>
      </c>
      <c r="E266" s="313">
        <v>4</v>
      </c>
      <c r="F266" s="314">
        <v>1</v>
      </c>
      <c r="G266" s="315" t="s">
        <v>314</v>
      </c>
      <c r="H266" s="314" t="s">
        <v>1043</v>
      </c>
      <c r="I266" s="316">
        <v>0.61</v>
      </c>
      <c r="J266" s="317">
        <f t="shared" si="176"/>
        <v>26.6</v>
      </c>
      <c r="K266" s="694">
        <v>0</v>
      </c>
      <c r="L266" s="695" t="str">
        <f t="shared" si="181"/>
        <v>1/750</v>
      </c>
      <c r="M266" s="478">
        <f t="shared" si="182"/>
        <v>1.9</v>
      </c>
      <c r="N266" s="696">
        <f t="shared" si="183"/>
        <v>135.48709999999997</v>
      </c>
      <c r="O266" s="288"/>
      <c r="P266" s="297"/>
      <c r="Q266" s="288"/>
      <c r="R266" s="102"/>
      <c r="S266" s="102"/>
      <c r="T266" s="102"/>
    </row>
    <row r="267" spans="1:20" s="199" customFormat="1" ht="15.75" customHeight="1">
      <c r="A267" s="2642"/>
      <c r="B267" s="692" t="s">
        <v>4927</v>
      </c>
      <c r="C267" s="693"/>
      <c r="D267" s="312">
        <f t="shared" si="180"/>
        <v>676</v>
      </c>
      <c r="E267" s="313">
        <v>4</v>
      </c>
      <c r="F267" s="314">
        <v>1</v>
      </c>
      <c r="G267" s="315" t="s">
        <v>314</v>
      </c>
      <c r="H267" s="314" t="s">
        <v>1043</v>
      </c>
      <c r="I267" s="316">
        <v>0.61</v>
      </c>
      <c r="J267" s="317">
        <f t="shared" si="176"/>
        <v>26.6</v>
      </c>
      <c r="K267" s="694">
        <v>0</v>
      </c>
      <c r="L267" s="695" t="str">
        <f t="shared" si="181"/>
        <v>1/750</v>
      </c>
      <c r="M267" s="478">
        <f t="shared" si="182"/>
        <v>1.9</v>
      </c>
      <c r="N267" s="696">
        <f t="shared" si="183"/>
        <v>135.48709999999997</v>
      </c>
      <c r="O267" s="288"/>
      <c r="P267" s="297"/>
      <c r="Q267" s="288"/>
      <c r="R267" s="102"/>
      <c r="S267" s="102"/>
      <c r="T267" s="102"/>
    </row>
    <row r="268" spans="1:20" s="199" customFormat="1" ht="15.75" customHeight="1" thickBot="1">
      <c r="A268" s="2643"/>
      <c r="B268" s="688" t="s">
        <v>3468</v>
      </c>
      <c r="C268" s="311"/>
      <c r="D268" s="312">
        <f t="shared" si="180"/>
        <v>985</v>
      </c>
      <c r="E268" s="313">
        <v>4</v>
      </c>
      <c r="F268" s="314">
        <v>1</v>
      </c>
      <c r="G268" s="315" t="s">
        <v>581</v>
      </c>
      <c r="H268" s="314" t="s">
        <v>1044</v>
      </c>
      <c r="I268" s="316">
        <v>0.5</v>
      </c>
      <c r="J268" s="317">
        <f t="shared" si="176"/>
        <v>53.3</v>
      </c>
      <c r="K268" s="313">
        <v>0</v>
      </c>
      <c r="L268" s="318" t="str">
        <f t="shared" si="181"/>
        <v>1/750</v>
      </c>
      <c r="M268" s="317">
        <f t="shared" si="182"/>
        <v>1.9</v>
      </c>
      <c r="N268" s="308">
        <f t="shared" si="183"/>
        <v>222.52749999999997</v>
      </c>
      <c r="O268" s="288"/>
      <c r="P268" s="297"/>
      <c r="Q268" s="288"/>
      <c r="R268" s="102"/>
      <c r="S268" s="102"/>
      <c r="T268" s="102"/>
    </row>
    <row r="269" spans="1:20" s="129" customFormat="1" ht="22.5" customHeight="1" thickBot="1">
      <c r="A269" s="371"/>
      <c r="B269" s="373"/>
      <c r="C269" s="375"/>
      <c r="D269" s="383"/>
      <c r="E269" s="373"/>
      <c r="F269" s="373"/>
      <c r="G269" s="373"/>
      <c r="H269" s="373"/>
      <c r="I269" s="374"/>
      <c r="J269" s="374"/>
      <c r="K269" s="373"/>
      <c r="L269" s="373"/>
      <c r="M269" s="372"/>
      <c r="N269" s="699">
        <f>SUM(N262:N268)</f>
        <v>1738.0984249999999</v>
      </c>
      <c r="O269" s="288"/>
      <c r="P269" s="297"/>
      <c r="Q269" s="288"/>
      <c r="R269" s="102"/>
      <c r="S269" s="102"/>
      <c r="T269" s="102"/>
    </row>
    <row r="270" spans="1:20" s="102" customFormat="1" ht="8.25" customHeight="1" thickBot="1">
      <c r="A270" s="323"/>
      <c r="B270" s="323"/>
      <c r="C270" s="323"/>
      <c r="D270" s="382"/>
      <c r="E270" s="323"/>
      <c r="F270" s="325"/>
      <c r="G270" s="325"/>
      <c r="H270" s="325"/>
      <c r="I270" s="323"/>
      <c r="J270" s="323"/>
      <c r="K270" s="323"/>
      <c r="L270" s="325"/>
      <c r="M270" s="323"/>
      <c r="N270" s="309"/>
      <c r="O270" s="288"/>
      <c r="P270" s="297"/>
      <c r="Q270" s="288"/>
    </row>
    <row r="271" spans="1:20" s="102" customFormat="1" ht="12.75" customHeight="1">
      <c r="A271" s="2639" t="s">
        <v>2502</v>
      </c>
      <c r="B271" s="687" t="s">
        <v>2503</v>
      </c>
      <c r="C271" s="327"/>
      <c r="D271" s="328">
        <f t="shared" ref="D271:D272" si="184">IF(H271&lt;&gt;"",VLOOKUP(G271,base_barras,IF(H271="Desnuda",2,5)+F271-1,FALSE),"-")</f>
        <v>2850</v>
      </c>
      <c r="E271" s="329">
        <v>4</v>
      </c>
      <c r="F271" s="330">
        <v>2</v>
      </c>
      <c r="G271" s="331" t="s">
        <v>468</v>
      </c>
      <c r="H271" s="330" t="s">
        <v>1043</v>
      </c>
      <c r="I271" s="332">
        <v>0.8</v>
      </c>
      <c r="J271" s="333">
        <f t="shared" ref="J271:J272" si="185">IF(G271&lt;&gt;"",VLOOKUP(G271,precio_barras,9,FALSE),0)</f>
        <v>88.9</v>
      </c>
      <c r="K271" s="481">
        <v>2</v>
      </c>
      <c r="L271" s="343" t="str">
        <f t="shared" ref="L271:L272" si="186">IF(G271&lt;&gt;"",IF(VLOOKUP(G271,base_barras,10,FALSE)&lt;&gt;"",VLOOKUP(G271,base_barras,10,FALSE),"-"),"-")</f>
        <v>1.5/1250</v>
      </c>
      <c r="M271" s="333">
        <f t="shared" ref="M271:M272" si="187">IF(L271&lt;&gt;"-",VLOOKUP(L271,precio_aislador,2,FALSE),0)</f>
        <v>5.5</v>
      </c>
      <c r="N271" s="360">
        <f t="shared" ref="N271:N272" si="188">(I271*J271*F271+K271*M271)*E271*1.67*1.25</f>
        <v>1279.5540000000001</v>
      </c>
      <c r="O271" s="288"/>
      <c r="P271" s="297"/>
      <c r="Q271" s="297"/>
    </row>
    <row r="272" spans="1:20" s="199" customFormat="1" ht="15.75" customHeight="1" thickBot="1">
      <c r="A272" s="2644"/>
      <c r="B272" s="700" t="s">
        <v>4930</v>
      </c>
      <c r="C272" s="701"/>
      <c r="D272" s="364">
        <f t="shared" si="184"/>
        <v>2410</v>
      </c>
      <c r="E272" s="365">
        <v>4</v>
      </c>
      <c r="F272" s="366">
        <v>2</v>
      </c>
      <c r="G272" s="322" t="s">
        <v>582</v>
      </c>
      <c r="H272" s="366" t="s">
        <v>1043</v>
      </c>
      <c r="I272" s="367">
        <f>0.2+0.5+0.5+0.2</f>
        <v>1.4</v>
      </c>
      <c r="J272" s="368">
        <f t="shared" si="185"/>
        <v>71.100000000000009</v>
      </c>
      <c r="K272" s="702">
        <v>0</v>
      </c>
      <c r="L272" s="703" t="str">
        <f t="shared" si="186"/>
        <v>1/1000</v>
      </c>
      <c r="M272" s="480">
        <f t="shared" si="187"/>
        <v>2.7</v>
      </c>
      <c r="N272" s="704">
        <f t="shared" si="188"/>
        <v>1662.318</v>
      </c>
      <c r="O272" s="288"/>
      <c r="P272" s="297"/>
      <c r="Q272" s="288"/>
      <c r="R272" s="102"/>
      <c r="S272" s="102"/>
      <c r="T272" s="102"/>
    </row>
    <row r="273" spans="1:20" s="102" customFormat="1" ht="12.75" customHeight="1">
      <c r="A273" s="2644"/>
      <c r="B273" s="692"/>
      <c r="C273" s="693"/>
      <c r="D273" s="697"/>
      <c r="E273" s="694"/>
      <c r="F273" s="655"/>
      <c r="G273" s="698"/>
      <c r="H273" s="655"/>
      <c r="I273" s="398"/>
      <c r="J273" s="478"/>
      <c r="K273" s="705"/>
      <c r="L273" s="695"/>
      <c r="M273" s="478"/>
      <c r="N273" s="696"/>
      <c r="O273" s="288"/>
      <c r="P273" s="297"/>
      <c r="Q273" s="297"/>
    </row>
    <row r="274" spans="1:20" s="199" customFormat="1" ht="15.75" customHeight="1" thickBot="1">
      <c r="A274" s="2640"/>
      <c r="B274" s="700"/>
      <c r="C274" s="701"/>
      <c r="D274" s="364"/>
      <c r="E274" s="365"/>
      <c r="F274" s="366"/>
      <c r="G274" s="322"/>
      <c r="H274" s="366"/>
      <c r="I274" s="367"/>
      <c r="J274" s="368"/>
      <c r="K274" s="702"/>
      <c r="L274" s="703"/>
      <c r="M274" s="480"/>
      <c r="N274" s="704"/>
      <c r="O274" s="288"/>
      <c r="P274" s="297"/>
      <c r="Q274" s="288"/>
      <c r="R274" s="102"/>
      <c r="S274" s="102"/>
      <c r="T274" s="102"/>
    </row>
    <row r="275" spans="1:20" s="102" customFormat="1" ht="13.5" thickBot="1">
      <c r="A275" s="323"/>
      <c r="B275" s="323"/>
      <c r="C275" s="309"/>
      <c r="D275" s="382"/>
      <c r="E275" s="323"/>
      <c r="F275" s="309"/>
      <c r="G275" s="309"/>
      <c r="H275" s="323"/>
      <c r="I275" s="325"/>
      <c r="J275" s="325"/>
      <c r="K275" s="323"/>
      <c r="L275" s="323"/>
      <c r="M275" s="325"/>
      <c r="N275" s="706">
        <f>SUM(N271:N274)</f>
        <v>2941.8720000000003</v>
      </c>
      <c r="O275" s="288"/>
      <c r="P275" s="297"/>
      <c r="Q275" s="297"/>
    </row>
    <row r="276" spans="1:20" s="102" customFormat="1" ht="8.25" customHeight="1">
      <c r="A276" s="323"/>
      <c r="B276" s="323"/>
      <c r="C276" s="323"/>
      <c r="D276" s="382"/>
      <c r="E276" s="323"/>
      <c r="F276" s="325"/>
      <c r="G276" s="325"/>
      <c r="H276" s="325"/>
      <c r="I276" s="323"/>
      <c r="J276" s="323"/>
      <c r="K276" s="323"/>
      <c r="L276" s="325"/>
      <c r="M276" s="323"/>
      <c r="N276" s="309"/>
      <c r="O276" s="288"/>
      <c r="P276" s="297"/>
      <c r="Q276" s="288"/>
    </row>
    <row r="277" spans="1:20" s="102" customFormat="1" ht="8.25" customHeight="1" thickBot="1">
      <c r="A277" s="323"/>
      <c r="B277" s="323"/>
      <c r="C277" s="323"/>
      <c r="D277" s="382"/>
      <c r="E277" s="323"/>
      <c r="F277" s="325"/>
      <c r="G277" s="325"/>
      <c r="H277" s="325"/>
      <c r="I277" s="323"/>
      <c r="J277" s="323"/>
      <c r="K277" s="323"/>
      <c r="L277" s="325"/>
      <c r="M277" s="323"/>
      <c r="N277" s="309"/>
      <c r="O277" s="288"/>
      <c r="P277" s="297"/>
      <c r="Q277" s="288"/>
    </row>
    <row r="278" spans="1:20" s="102" customFormat="1" ht="13.5" thickBot="1">
      <c r="A278" s="2629" t="s">
        <v>1228</v>
      </c>
      <c r="B278" s="687" t="s">
        <v>2498</v>
      </c>
      <c r="C278" s="327"/>
      <c r="D278" s="328">
        <f t="shared" ref="D278:D279" si="189">IF(H278&lt;&gt;"",VLOOKUP(G278,base_barras,IF(H278="Desnuda",2,5)+F278-1,FALSE),"-")</f>
        <v>2850</v>
      </c>
      <c r="E278" s="481">
        <v>4</v>
      </c>
      <c r="F278" s="330">
        <v>2</v>
      </c>
      <c r="G278" s="331" t="s">
        <v>468</v>
      </c>
      <c r="H278" s="330" t="s">
        <v>1043</v>
      </c>
      <c r="I278" s="332">
        <f>0.2</f>
        <v>0.2</v>
      </c>
      <c r="J278" s="333">
        <f t="shared" ref="J278:J279" si="190">IF(G278&lt;&gt;"",VLOOKUP(G278,precio_barras,9,FALSE),0)</f>
        <v>88.9</v>
      </c>
      <c r="K278" s="329">
        <v>0</v>
      </c>
      <c r="L278" s="343" t="str">
        <f t="shared" ref="L278:L279" si="191">IF(G278&lt;&gt;"",IF(VLOOKUP(G278,base_barras,10,FALSE)&lt;&gt;"",VLOOKUP(G278,base_barras,10,FALSE),"-"),"-")</f>
        <v>1.5/1250</v>
      </c>
      <c r="M278" s="333">
        <f t="shared" ref="M278:M279" si="192">IF(L278&lt;&gt;"-",VLOOKUP(L278,precio_aislador,2,FALSE),0)</f>
        <v>5.5</v>
      </c>
      <c r="N278" s="360">
        <f t="shared" ref="N278:N279" si="193">(I278*J278*F278+K278*M278)*E278*1.67*1.25</f>
        <v>296.92600000000004</v>
      </c>
      <c r="O278" s="288"/>
      <c r="P278" s="297"/>
      <c r="Q278" s="297"/>
    </row>
    <row r="279" spans="1:20" s="102" customFormat="1" ht="13.5" thickBot="1">
      <c r="A279" s="2635"/>
      <c r="B279" s="712" t="s">
        <v>2498</v>
      </c>
      <c r="C279" s="713"/>
      <c r="D279" s="714">
        <f t="shared" si="189"/>
        <v>2410</v>
      </c>
      <c r="E279" s="1616">
        <v>4</v>
      </c>
      <c r="F279" s="716">
        <v>2</v>
      </c>
      <c r="G279" s="717" t="s">
        <v>582</v>
      </c>
      <c r="H279" s="716" t="s">
        <v>1043</v>
      </c>
      <c r="I279" s="718">
        <f>0.2</f>
        <v>0.2</v>
      </c>
      <c r="J279" s="719">
        <f t="shared" si="190"/>
        <v>71.100000000000009</v>
      </c>
      <c r="K279" s="715">
        <v>0</v>
      </c>
      <c r="L279" s="720" t="str">
        <f t="shared" si="191"/>
        <v>1/1000</v>
      </c>
      <c r="M279" s="719">
        <f t="shared" si="192"/>
        <v>2.7</v>
      </c>
      <c r="N279" s="721">
        <f t="shared" si="193"/>
        <v>237.47400000000002</v>
      </c>
      <c r="O279" s="288"/>
      <c r="P279" s="297"/>
      <c r="Q279" s="297"/>
    </row>
    <row r="280" spans="1:20" s="102" customFormat="1" ht="13.5" thickBot="1">
      <c r="A280" s="323"/>
      <c r="B280" s="323"/>
      <c r="C280" s="309"/>
      <c r="D280" s="382"/>
      <c r="E280" s="323"/>
      <c r="F280" s="309"/>
      <c r="G280" s="309"/>
      <c r="H280" s="323"/>
      <c r="I280" s="325"/>
      <c r="J280" s="325"/>
      <c r="K280" s="323"/>
      <c r="L280" s="323"/>
      <c r="M280" s="325"/>
      <c r="N280" s="706">
        <f>SUM(N278:N279)</f>
        <v>534.40000000000009</v>
      </c>
      <c r="O280" s="288"/>
      <c r="P280" s="297"/>
      <c r="Q280" s="297"/>
    </row>
    <row r="281" spans="1:20" s="102" customFormat="1" ht="8.25" customHeight="1">
      <c r="A281" s="323"/>
      <c r="B281" s="323"/>
      <c r="C281" s="323"/>
      <c r="D281" s="382"/>
      <c r="E281" s="323"/>
      <c r="F281" s="325"/>
      <c r="G281" s="325"/>
      <c r="H281" s="325"/>
      <c r="I281" s="323"/>
      <c r="J281" s="323"/>
      <c r="K281" s="323"/>
      <c r="L281" s="325"/>
      <c r="M281" s="323"/>
      <c r="N281" s="309"/>
      <c r="O281" s="288"/>
      <c r="P281" s="297"/>
      <c r="Q281" s="288"/>
    </row>
    <row r="282" spans="1:20" s="102" customFormat="1">
      <c r="A282" s="323"/>
      <c r="B282" s="309"/>
      <c r="C282" s="309"/>
      <c r="D282" s="382"/>
      <c r="E282" s="323"/>
      <c r="F282" s="309"/>
      <c r="G282" s="309"/>
      <c r="H282" s="323"/>
      <c r="I282" s="325"/>
      <c r="J282" s="325"/>
      <c r="K282" s="323"/>
      <c r="L282" s="323"/>
      <c r="M282" s="325"/>
      <c r="N282" s="722"/>
      <c r="O282" s="288"/>
      <c r="P282" s="297"/>
      <c r="Q282" s="297"/>
    </row>
    <row r="283" spans="1:20" s="106" customFormat="1"/>
    <row r="284" spans="1:20" s="106" customFormat="1"/>
    <row r="285" spans="1:20" s="106" customFormat="1"/>
    <row r="286" spans="1:20" s="106" customFormat="1"/>
    <row r="287" spans="1:20" s="102" customFormat="1" ht="15">
      <c r="A287" s="323"/>
      <c r="B287" s="723" t="s">
        <v>2513</v>
      </c>
      <c r="C287" s="309"/>
      <c r="D287" s="382"/>
      <c r="E287" s="323"/>
      <c r="F287" s="309"/>
      <c r="G287" s="309"/>
      <c r="H287" s="323"/>
      <c r="I287" s="325"/>
      <c r="J287" s="325"/>
      <c r="K287" s="323"/>
      <c r="L287" s="323"/>
      <c r="M287" s="325"/>
      <c r="N287" s="722"/>
      <c r="O287" s="288"/>
      <c r="P287" s="297"/>
      <c r="Q287" s="297"/>
    </row>
    <row r="288" spans="1:20" s="106" customFormat="1" ht="13.5" thickBot="1"/>
    <row r="289" spans="1:20" s="199" customFormat="1" ht="15.75" customHeight="1">
      <c r="A289" s="2641" t="s">
        <v>3644</v>
      </c>
      <c r="B289" s="687" t="s">
        <v>2498</v>
      </c>
      <c r="C289" s="327"/>
      <c r="D289" s="328">
        <f t="shared" ref="D289" si="194">IF(H289&lt;&gt;"",VLOOKUP(G289,base_barras,IF(H289="Desnuda",2,5)+F289-1,FALSE),"-")</f>
        <v>1810</v>
      </c>
      <c r="E289" s="329">
        <v>4</v>
      </c>
      <c r="F289" s="330">
        <v>1</v>
      </c>
      <c r="G289" s="331" t="s">
        <v>468</v>
      </c>
      <c r="H289" s="330" t="s">
        <v>1043</v>
      </c>
      <c r="I289" s="332">
        <f>0.9+0.9</f>
        <v>1.8</v>
      </c>
      <c r="J289" s="333">
        <f t="shared" ref="J289:J293" si="195">IF(G289&lt;&gt;"",VLOOKUP(G289,precio_barras,9,FALSE),0)</f>
        <v>88.9</v>
      </c>
      <c r="K289" s="329">
        <f>2+2</f>
        <v>4</v>
      </c>
      <c r="L289" s="343" t="str">
        <f t="shared" ref="L289" si="196">IF(G289&lt;&gt;"",IF(VLOOKUP(G289,base_barras,10,FALSE)&lt;&gt;"",VLOOKUP(G289,base_barras,10,FALSE),"-"),"-")</f>
        <v>1.5/1250</v>
      </c>
      <c r="M289" s="333">
        <f t="shared" ref="M289" si="197">IF(L289&lt;&gt;"-",VLOOKUP(L289,precio_aislador,2,FALSE),0)</f>
        <v>5.5</v>
      </c>
      <c r="N289" s="360">
        <f t="shared" ref="N289" si="198">(I289*J289*F289+K289*M289)*E289*1.67*1.25</f>
        <v>1519.8670000000002</v>
      </c>
      <c r="O289" s="288"/>
      <c r="P289" s="297"/>
      <c r="Q289" s="288"/>
      <c r="R289" s="102"/>
      <c r="S289" s="102"/>
      <c r="T289" s="102"/>
    </row>
    <row r="290" spans="1:20" s="199" customFormat="1" ht="14.25">
      <c r="A290" s="2642"/>
      <c r="B290" s="688" t="s">
        <v>802</v>
      </c>
      <c r="C290" s="319"/>
      <c r="D290" s="312">
        <f>IF(H290&lt;&gt;"",VLOOKUP(G290,base_barras,IF(H290="Desnuda",2,5)+F290-1,FALSE),"-")</f>
        <v>1020</v>
      </c>
      <c r="E290" s="313">
        <v>1</v>
      </c>
      <c r="F290" s="314">
        <v>1</v>
      </c>
      <c r="G290" s="315" t="s">
        <v>315</v>
      </c>
      <c r="H290" s="689" t="str">
        <f>H289</f>
        <v>Pintada</v>
      </c>
      <c r="I290" s="690">
        <f>I289</f>
        <v>1.8</v>
      </c>
      <c r="J290" s="317">
        <f t="shared" si="195"/>
        <v>44.400000000000006</v>
      </c>
      <c r="K290" s="691">
        <v>0</v>
      </c>
      <c r="L290" s="318" t="str">
        <f>IF(G290&lt;&gt;"",IF(VLOOKUP(G290,base_barras,10,FALSE)&lt;&gt;"",VLOOKUP(G290,base_barras,10,FALSE),"-"),"-")</f>
        <v>1/750</v>
      </c>
      <c r="M290" s="317">
        <f>IF(L290&lt;&gt;"-",VLOOKUP(L290,precio_aislador,2,FALSE),0)</f>
        <v>1.9</v>
      </c>
      <c r="N290" s="308">
        <f>(I290*J290*F290+K290*M290)*E290*1.67*1.25</f>
        <v>166.83300000000003</v>
      </c>
      <c r="O290" s="288"/>
      <c r="P290" s="297"/>
      <c r="Q290" s="288"/>
      <c r="R290" s="102"/>
      <c r="S290" s="102"/>
      <c r="T290" s="102"/>
    </row>
    <row r="291" spans="1:20" s="199" customFormat="1" ht="15.75" customHeight="1">
      <c r="A291" s="2642"/>
      <c r="B291" s="692" t="s">
        <v>3624</v>
      </c>
      <c r="C291" s="693"/>
      <c r="D291" s="312">
        <f t="shared" ref="D291:D293" si="199">IF(H291&lt;&gt;"",VLOOKUP(G291,base_barras,IF(H291="Desnuda",2,5)+F291-1,FALSE),"-")</f>
        <v>1960</v>
      </c>
      <c r="E291" s="313">
        <v>3</v>
      </c>
      <c r="F291" s="314">
        <v>2</v>
      </c>
      <c r="G291" s="315" t="s">
        <v>581</v>
      </c>
      <c r="H291" s="314" t="s">
        <v>1043</v>
      </c>
      <c r="I291" s="316">
        <v>0.61</v>
      </c>
      <c r="J291" s="317">
        <f t="shared" si="195"/>
        <v>53.3</v>
      </c>
      <c r="K291" s="694">
        <v>0</v>
      </c>
      <c r="L291" s="695" t="str">
        <f t="shared" ref="L291:L293" si="200">IF(G291&lt;&gt;"",IF(VLOOKUP(G291,base_barras,10,FALSE)&lt;&gt;"",VLOOKUP(G291,base_barras,10,FALSE),"-"),"-")</f>
        <v>1/750</v>
      </c>
      <c r="M291" s="478">
        <f t="shared" ref="M291:M293" si="201">IF(L291&lt;&gt;"-",VLOOKUP(L291,precio_aislador,2,FALSE),0)</f>
        <v>1.9</v>
      </c>
      <c r="N291" s="696">
        <f t="shared" ref="N291:N293" si="202">(I291*J291*F291+K291*M291)*E291*1.67*1.25</f>
        <v>407.22532499999994</v>
      </c>
      <c r="O291" s="288"/>
      <c r="P291" s="297"/>
      <c r="Q291" s="288"/>
      <c r="R291" s="102"/>
      <c r="S291" s="102"/>
      <c r="T291" s="102"/>
    </row>
    <row r="292" spans="1:20" s="199" customFormat="1" ht="15.75" customHeight="1">
      <c r="A292" s="2642"/>
      <c r="B292" s="688" t="s">
        <v>3468</v>
      </c>
      <c r="C292" s="311"/>
      <c r="D292" s="312">
        <f t="shared" si="199"/>
        <v>985</v>
      </c>
      <c r="E292" s="313">
        <v>3</v>
      </c>
      <c r="F292" s="314">
        <v>1</v>
      </c>
      <c r="G292" s="315" t="s">
        <v>581</v>
      </c>
      <c r="H292" s="314" t="s">
        <v>1044</v>
      </c>
      <c r="I292" s="316">
        <v>0.5</v>
      </c>
      <c r="J292" s="317">
        <f t="shared" si="195"/>
        <v>53.3</v>
      </c>
      <c r="K292" s="313">
        <v>0</v>
      </c>
      <c r="L292" s="318" t="str">
        <f t="shared" si="200"/>
        <v>1/750</v>
      </c>
      <c r="M292" s="317">
        <f t="shared" si="201"/>
        <v>1.9</v>
      </c>
      <c r="N292" s="308">
        <f t="shared" si="202"/>
        <v>166.89562499999997</v>
      </c>
      <c r="O292" s="288"/>
      <c r="P292" s="297"/>
      <c r="Q292" s="288"/>
      <c r="R292" s="102"/>
      <c r="S292" s="102"/>
      <c r="T292" s="102"/>
    </row>
    <row r="293" spans="1:20" s="199" customFormat="1" ht="15.75" customHeight="1" thickBot="1">
      <c r="A293" s="2643"/>
      <c r="B293" s="688" t="s">
        <v>3468</v>
      </c>
      <c r="C293" s="311"/>
      <c r="D293" s="312">
        <f t="shared" si="199"/>
        <v>985</v>
      </c>
      <c r="E293" s="313">
        <v>3</v>
      </c>
      <c r="F293" s="314">
        <v>1</v>
      </c>
      <c r="G293" s="315" t="s">
        <v>581</v>
      </c>
      <c r="H293" s="314" t="s">
        <v>1044</v>
      </c>
      <c r="I293" s="316">
        <v>0.5</v>
      </c>
      <c r="J293" s="317">
        <f t="shared" si="195"/>
        <v>53.3</v>
      </c>
      <c r="K293" s="313">
        <v>0</v>
      </c>
      <c r="L293" s="318" t="str">
        <f t="shared" si="200"/>
        <v>1/750</v>
      </c>
      <c r="M293" s="317">
        <f t="shared" si="201"/>
        <v>1.9</v>
      </c>
      <c r="N293" s="308">
        <f t="shared" si="202"/>
        <v>166.89562499999997</v>
      </c>
      <c r="O293" s="288"/>
      <c r="P293" s="297"/>
      <c r="Q293" s="288"/>
      <c r="R293" s="102"/>
      <c r="S293" s="102"/>
      <c r="T293" s="102"/>
    </row>
    <row r="294" spans="1:20" s="129" customFormat="1" ht="22.5" customHeight="1" thickBot="1">
      <c r="A294" s="371"/>
      <c r="B294" s="373"/>
      <c r="C294" s="375"/>
      <c r="D294" s="383"/>
      <c r="E294" s="373"/>
      <c r="F294" s="373"/>
      <c r="G294" s="373"/>
      <c r="H294" s="373"/>
      <c r="I294" s="374"/>
      <c r="J294" s="374"/>
      <c r="K294" s="373"/>
      <c r="L294" s="373"/>
      <c r="M294" s="372"/>
      <c r="N294" s="699">
        <f>SUM(N289:N293)</f>
        <v>2427.7165750000004</v>
      </c>
      <c r="O294" s="288"/>
      <c r="P294" s="297"/>
      <c r="Q294" s="288"/>
      <c r="R294" s="102"/>
      <c r="S294" s="102"/>
      <c r="T294" s="102"/>
    </row>
    <row r="295" spans="1:20" s="102" customFormat="1" ht="8.25" customHeight="1" thickBot="1">
      <c r="A295" s="323"/>
      <c r="B295" s="323"/>
      <c r="C295" s="323"/>
      <c r="D295" s="382"/>
      <c r="E295" s="323"/>
      <c r="F295" s="325"/>
      <c r="G295" s="325"/>
      <c r="H295" s="325"/>
      <c r="I295" s="323"/>
      <c r="J295" s="323"/>
      <c r="K295" s="323"/>
      <c r="L295" s="325"/>
      <c r="M295" s="323"/>
      <c r="N295" s="309"/>
      <c r="O295" s="288"/>
      <c r="P295" s="297"/>
      <c r="Q295" s="288"/>
    </row>
    <row r="296" spans="1:20" s="102" customFormat="1" ht="12.75" customHeight="1">
      <c r="A296" s="2639" t="s">
        <v>2502</v>
      </c>
      <c r="B296" s="687"/>
      <c r="C296" s="327"/>
      <c r="D296" s="328"/>
      <c r="E296" s="329"/>
      <c r="F296" s="330"/>
      <c r="G296" s="331"/>
      <c r="H296" s="330"/>
      <c r="I296" s="332"/>
      <c r="J296" s="333"/>
      <c r="K296" s="481"/>
      <c r="L296" s="343"/>
      <c r="M296" s="333"/>
      <c r="N296" s="360"/>
      <c r="O296" s="288"/>
      <c r="P296" s="297"/>
      <c r="Q296" s="297"/>
    </row>
    <row r="297" spans="1:20" s="199" customFormat="1" ht="15.75" customHeight="1" thickBot="1">
      <c r="A297" s="2644"/>
      <c r="B297" s="700"/>
      <c r="C297" s="701"/>
      <c r="D297" s="364"/>
      <c r="E297" s="365"/>
      <c r="F297" s="366"/>
      <c r="G297" s="322"/>
      <c r="H297" s="366"/>
      <c r="I297" s="367"/>
      <c r="J297" s="368"/>
      <c r="K297" s="702"/>
      <c r="L297" s="703"/>
      <c r="M297" s="480"/>
      <c r="N297" s="704"/>
      <c r="O297" s="288"/>
      <c r="P297" s="297"/>
      <c r="Q297" s="288"/>
      <c r="R297" s="102"/>
      <c r="S297" s="102"/>
      <c r="T297" s="102"/>
    </row>
    <row r="298" spans="1:20" s="102" customFormat="1" ht="12.75" customHeight="1">
      <c r="A298" s="2644"/>
      <c r="B298" s="692"/>
      <c r="C298" s="693"/>
      <c r="D298" s="697"/>
      <c r="E298" s="694"/>
      <c r="F298" s="655"/>
      <c r="G298" s="698"/>
      <c r="H298" s="655"/>
      <c r="I298" s="398"/>
      <c r="J298" s="478"/>
      <c r="K298" s="705"/>
      <c r="L298" s="695"/>
      <c r="M298" s="478"/>
      <c r="N298" s="696"/>
      <c r="O298" s="288"/>
      <c r="P298" s="297"/>
      <c r="Q298" s="297"/>
    </row>
    <row r="299" spans="1:20" s="199" customFormat="1" ht="15.75" customHeight="1" thickBot="1">
      <c r="A299" s="2640"/>
      <c r="B299" s="700"/>
      <c r="C299" s="701"/>
      <c r="D299" s="364"/>
      <c r="E299" s="365"/>
      <c r="F299" s="366"/>
      <c r="G299" s="322"/>
      <c r="H299" s="366"/>
      <c r="I299" s="367"/>
      <c r="J299" s="368"/>
      <c r="K299" s="702"/>
      <c r="L299" s="703"/>
      <c r="M299" s="480"/>
      <c r="N299" s="704"/>
      <c r="O299" s="288"/>
      <c r="P299" s="297"/>
      <c r="Q299" s="288"/>
      <c r="R299" s="102"/>
      <c r="S299" s="102"/>
      <c r="T299" s="102"/>
    </row>
    <row r="300" spans="1:20" s="102" customFormat="1" ht="13.5" thickBot="1">
      <c r="A300" s="323"/>
      <c r="B300" s="323"/>
      <c r="C300" s="309"/>
      <c r="D300" s="382"/>
      <c r="E300" s="323"/>
      <c r="F300" s="309"/>
      <c r="G300" s="309"/>
      <c r="H300" s="323"/>
      <c r="I300" s="325"/>
      <c r="J300" s="325"/>
      <c r="K300" s="323"/>
      <c r="L300" s="323"/>
      <c r="M300" s="325"/>
      <c r="N300" s="706">
        <f>SUM(N296:N299)</f>
        <v>0</v>
      </c>
      <c r="O300" s="288"/>
      <c r="P300" s="297"/>
      <c r="Q300" s="297"/>
    </row>
    <row r="301" spans="1:20" s="102" customFormat="1" ht="8.25" customHeight="1" thickBot="1">
      <c r="A301" s="323"/>
      <c r="B301" s="323"/>
      <c r="C301" s="323"/>
      <c r="D301" s="382"/>
      <c r="E301" s="323"/>
      <c r="F301" s="325"/>
      <c r="G301" s="325"/>
      <c r="H301" s="325"/>
      <c r="I301" s="323"/>
      <c r="J301" s="323"/>
      <c r="K301" s="323"/>
      <c r="L301" s="325"/>
      <c r="M301" s="323"/>
      <c r="N301" s="309"/>
      <c r="O301" s="288"/>
      <c r="P301" s="297"/>
      <c r="Q301" s="288"/>
    </row>
    <row r="302" spans="1:20" s="102" customFormat="1" ht="12.75" customHeight="1">
      <c r="A302" s="2639" t="s">
        <v>2505</v>
      </c>
      <c r="B302" s="687"/>
      <c r="C302" s="327"/>
      <c r="D302" s="328"/>
      <c r="E302" s="329"/>
      <c r="F302" s="330"/>
      <c r="G302" s="331"/>
      <c r="H302" s="330"/>
      <c r="I302" s="332"/>
      <c r="J302" s="333"/>
      <c r="K302" s="481"/>
      <c r="L302" s="343"/>
      <c r="M302" s="333"/>
      <c r="N302" s="360"/>
      <c r="O302" s="288"/>
      <c r="P302" s="297"/>
      <c r="Q302" s="297"/>
    </row>
    <row r="303" spans="1:20" s="102" customFormat="1" ht="13.5" thickBot="1">
      <c r="A303" s="2644"/>
      <c r="B303" s="707"/>
      <c r="C303" s="479"/>
      <c r="D303" s="364"/>
      <c r="E303" s="365"/>
      <c r="F303" s="366"/>
      <c r="G303" s="322"/>
      <c r="H303" s="366"/>
      <c r="I303" s="367"/>
      <c r="J303" s="368"/>
      <c r="K303" s="365"/>
      <c r="L303" s="369"/>
      <c r="M303" s="368"/>
      <c r="N303" s="370"/>
      <c r="O303" s="288"/>
      <c r="P303" s="297"/>
      <c r="Q303" s="297"/>
    </row>
    <row r="304" spans="1:20" s="102" customFormat="1" ht="12.75" customHeight="1">
      <c r="A304" s="2644"/>
      <c r="B304" s="692"/>
      <c r="C304" s="693"/>
      <c r="D304" s="697"/>
      <c r="E304" s="694"/>
      <c r="F304" s="655"/>
      <c r="G304" s="698"/>
      <c r="H304" s="655"/>
      <c r="I304" s="398"/>
      <c r="J304" s="478"/>
      <c r="K304" s="705"/>
      <c r="L304" s="695"/>
      <c r="M304" s="478"/>
      <c r="N304" s="696"/>
      <c r="O304" s="288"/>
      <c r="P304" s="297"/>
      <c r="Q304" s="297"/>
    </row>
    <row r="305" spans="1:20" s="102" customFormat="1" ht="13.5" thickBot="1">
      <c r="A305" s="2640"/>
      <c r="B305" s="700"/>
      <c r="C305" s="701"/>
      <c r="D305" s="708"/>
      <c r="E305" s="702"/>
      <c r="F305" s="709"/>
      <c r="G305" s="710"/>
      <c r="H305" s="709"/>
      <c r="I305" s="711"/>
      <c r="J305" s="480"/>
      <c r="K305" s="702"/>
      <c r="L305" s="703"/>
      <c r="M305" s="480"/>
      <c r="N305" s="704"/>
      <c r="O305" s="288"/>
      <c r="P305" s="297"/>
      <c r="Q305" s="297"/>
    </row>
    <row r="306" spans="1:20" s="102" customFormat="1" ht="13.5" thickBot="1">
      <c r="A306" s="323"/>
      <c r="B306" s="323"/>
      <c r="C306" s="309"/>
      <c r="D306" s="382"/>
      <c r="E306" s="323"/>
      <c r="F306" s="309"/>
      <c r="G306" s="309"/>
      <c r="H306" s="323"/>
      <c r="I306" s="325"/>
      <c r="J306" s="325"/>
      <c r="K306" s="323"/>
      <c r="L306" s="323"/>
      <c r="M306" s="325"/>
      <c r="N306" s="706">
        <f>SUM(N302:N305)</f>
        <v>0</v>
      </c>
      <c r="O306" s="288"/>
      <c r="P306" s="297"/>
      <c r="Q306" s="297"/>
    </row>
    <row r="307" spans="1:20" s="102" customFormat="1" ht="8.25" customHeight="1" thickBot="1">
      <c r="A307" s="323"/>
      <c r="B307" s="323"/>
      <c r="C307" s="323"/>
      <c r="D307" s="382"/>
      <c r="E307" s="323"/>
      <c r="F307" s="325"/>
      <c r="G307" s="325"/>
      <c r="H307" s="325"/>
      <c r="I307" s="323"/>
      <c r="J307" s="323"/>
      <c r="K307" s="323"/>
      <c r="L307" s="325"/>
      <c r="M307" s="323"/>
      <c r="N307" s="309"/>
      <c r="O307" s="288"/>
      <c r="P307" s="297"/>
      <c r="Q307" s="288"/>
    </row>
    <row r="308" spans="1:20" s="102" customFormat="1">
      <c r="A308" s="2629" t="s">
        <v>1228</v>
      </c>
      <c r="B308" s="687" t="s">
        <v>2498</v>
      </c>
      <c r="C308" s="327"/>
      <c r="D308" s="328">
        <f t="shared" ref="D308:D309" si="203">IF(H308&lt;&gt;"",VLOOKUP(G308,base_barras,IF(H308="Desnuda",2,5)+F308-1,FALSE),"-")</f>
        <v>1810</v>
      </c>
      <c r="E308" s="481">
        <v>4</v>
      </c>
      <c r="F308" s="330">
        <v>1</v>
      </c>
      <c r="G308" s="331" t="s">
        <v>468</v>
      </c>
      <c r="H308" s="330" t="s">
        <v>1043</v>
      </c>
      <c r="I308" s="332">
        <f>0.2</f>
        <v>0.2</v>
      </c>
      <c r="J308" s="333">
        <f t="shared" ref="J308" si="204">IF(G308&lt;&gt;"",VLOOKUP(G308,precio_barras,9,FALSE),0)</f>
        <v>88.9</v>
      </c>
      <c r="K308" s="329">
        <v>0</v>
      </c>
      <c r="L308" s="343" t="str">
        <f t="shared" ref="L308:L309" si="205">IF(G308&lt;&gt;"",IF(VLOOKUP(G308,base_barras,10,FALSE)&lt;&gt;"",VLOOKUP(G308,base_barras,10,FALSE),"-"),"-")</f>
        <v>1.5/1250</v>
      </c>
      <c r="M308" s="333">
        <f t="shared" ref="M308" si="206">IF(L308&lt;&gt;"-",VLOOKUP(L308,precio_aislador,2,FALSE),0)</f>
        <v>5.5</v>
      </c>
      <c r="N308" s="360">
        <f t="shared" ref="N308:N309" si="207">(I308*J308*F308+K308*M308)*E308*1.67*1.25</f>
        <v>148.46300000000002</v>
      </c>
      <c r="O308" s="288"/>
      <c r="P308" s="297"/>
      <c r="Q308" s="297"/>
    </row>
    <row r="309" spans="1:20" s="102" customFormat="1" ht="13.5" thickBot="1">
      <c r="A309" s="2635"/>
      <c r="B309" s="707"/>
      <c r="C309" s="479"/>
      <c r="D309" s="364" t="str">
        <f t="shared" si="203"/>
        <v>-</v>
      </c>
      <c r="E309" s="365"/>
      <c r="F309" s="366"/>
      <c r="G309" s="322"/>
      <c r="H309" s="366"/>
      <c r="I309" s="367"/>
      <c r="J309" s="480">
        <f>IF(G309&lt;&gt;"",VLOOKUP(G309,precio_barras,9,FALSE),0)</f>
        <v>0</v>
      </c>
      <c r="K309" s="365"/>
      <c r="L309" s="369" t="str">
        <f t="shared" si="205"/>
        <v>-</v>
      </c>
      <c r="M309" s="368">
        <f>IF(L309&lt;&gt;"-",VLOOKUP(L309,precio_aislador,2,FALSE),0)</f>
        <v>0</v>
      </c>
      <c r="N309" s="370">
        <f t="shared" si="207"/>
        <v>0</v>
      </c>
      <c r="O309" s="288"/>
      <c r="P309" s="297"/>
      <c r="Q309" s="297"/>
    </row>
    <row r="310" spans="1:20" s="102" customFormat="1" ht="13.5" thickBot="1">
      <c r="A310" s="323"/>
      <c r="B310" s="323"/>
      <c r="C310" s="309"/>
      <c r="D310" s="382"/>
      <c r="E310" s="323"/>
      <c r="F310" s="309"/>
      <c r="G310" s="309"/>
      <c r="H310" s="323"/>
      <c r="I310" s="325"/>
      <c r="J310" s="325"/>
      <c r="K310" s="323"/>
      <c r="L310" s="323"/>
      <c r="M310" s="325"/>
      <c r="N310" s="706">
        <f>SUM(N308:N309)</f>
        <v>148.46300000000002</v>
      </c>
      <c r="O310" s="288"/>
      <c r="P310" s="297"/>
      <c r="Q310" s="297"/>
    </row>
    <row r="311" spans="1:20" s="102" customFormat="1" ht="8.25" customHeight="1" thickBot="1">
      <c r="A311" s="323"/>
      <c r="B311" s="323"/>
      <c r="C311" s="323"/>
      <c r="D311" s="382"/>
      <c r="E311" s="323"/>
      <c r="F311" s="325"/>
      <c r="G311" s="325"/>
      <c r="H311" s="325"/>
      <c r="I311" s="323"/>
      <c r="J311" s="323"/>
      <c r="K311" s="323"/>
      <c r="L311" s="325"/>
      <c r="M311" s="323"/>
      <c r="N311" s="309"/>
      <c r="O311" s="288"/>
      <c r="P311" s="297"/>
      <c r="Q311" s="288"/>
    </row>
    <row r="312" spans="1:20" s="102" customFormat="1">
      <c r="A312" s="2645" t="s">
        <v>2548</v>
      </c>
      <c r="B312" s="687"/>
      <c r="C312" s="327"/>
      <c r="D312" s="328"/>
      <c r="E312" s="329"/>
      <c r="F312" s="330"/>
      <c r="G312" s="331"/>
      <c r="H312" s="330"/>
      <c r="I312" s="332"/>
      <c r="J312" s="333"/>
      <c r="K312" s="329"/>
      <c r="L312" s="343"/>
      <c r="M312" s="333"/>
      <c r="N312" s="360"/>
      <c r="O312" s="288"/>
      <c r="P312" s="297"/>
      <c r="Q312" s="297"/>
    </row>
    <row r="313" spans="1:20" s="199" customFormat="1" ht="15.75" customHeight="1">
      <c r="A313" s="2646"/>
      <c r="B313" s="692"/>
      <c r="C313" s="693"/>
      <c r="D313" s="697"/>
      <c r="E313" s="694"/>
      <c r="F313" s="655"/>
      <c r="G313" s="698"/>
      <c r="H313" s="655"/>
      <c r="I313" s="398"/>
      <c r="J313" s="478"/>
      <c r="K313" s="694"/>
      <c r="L313" s="695"/>
      <c r="M313" s="478"/>
      <c r="N313" s="696"/>
      <c r="O313" s="288"/>
      <c r="P313" s="297"/>
      <c r="Q313" s="288"/>
      <c r="R313" s="102"/>
      <c r="S313" s="102"/>
      <c r="T313" s="102"/>
    </row>
    <row r="314" spans="1:20" s="199" customFormat="1" ht="15.75" customHeight="1" thickBot="1">
      <c r="A314" s="2646"/>
      <c r="B314" s="707"/>
      <c r="C314" s="479"/>
      <c r="D314" s="364"/>
      <c r="E314" s="365"/>
      <c r="F314" s="366"/>
      <c r="G314" s="322"/>
      <c r="H314" s="366"/>
      <c r="I314" s="367"/>
      <c r="J314" s="368"/>
      <c r="K314" s="365"/>
      <c r="L314" s="369"/>
      <c r="M314" s="368"/>
      <c r="N314" s="370"/>
      <c r="O314" s="288"/>
      <c r="P314" s="297"/>
      <c r="Q314" s="288"/>
      <c r="R314" s="102"/>
      <c r="S314" s="102"/>
      <c r="T314" s="102"/>
    </row>
    <row r="315" spans="1:20" s="102" customFormat="1">
      <c r="A315" s="2646"/>
      <c r="B315" s="692"/>
      <c r="C315" s="693"/>
      <c r="D315" s="697"/>
      <c r="E315" s="694"/>
      <c r="F315" s="655"/>
      <c r="G315" s="698"/>
      <c r="H315" s="655"/>
      <c r="I315" s="398"/>
      <c r="J315" s="478"/>
      <c r="K315" s="694"/>
      <c r="L315" s="695"/>
      <c r="M315" s="478"/>
      <c r="N315" s="696"/>
      <c r="O315" s="288"/>
      <c r="P315" s="297"/>
      <c r="Q315" s="297"/>
    </row>
    <row r="316" spans="1:20" s="199" customFormat="1" ht="15.75" customHeight="1" thickBot="1">
      <c r="A316" s="2647"/>
      <c r="B316" s="700"/>
      <c r="C316" s="701"/>
      <c r="D316" s="708"/>
      <c r="E316" s="702"/>
      <c r="F316" s="709"/>
      <c r="G316" s="710"/>
      <c r="H316" s="709"/>
      <c r="I316" s="711"/>
      <c r="J316" s="480"/>
      <c r="K316" s="702"/>
      <c r="L316" s="703"/>
      <c r="M316" s="480"/>
      <c r="N316" s="704"/>
      <c r="O316" s="288"/>
      <c r="P316" s="297"/>
      <c r="Q316" s="288"/>
      <c r="R316" s="102"/>
      <c r="S316" s="102"/>
      <c r="T316" s="102"/>
    </row>
    <row r="317" spans="1:20" s="102" customFormat="1" ht="13.5" thickBot="1">
      <c r="A317" s="323"/>
      <c r="B317" s="323"/>
      <c r="C317" s="309"/>
      <c r="D317" s="382"/>
      <c r="E317" s="323"/>
      <c r="F317" s="309"/>
      <c r="G317" s="309"/>
      <c r="H317" s="323"/>
      <c r="I317" s="325"/>
      <c r="J317" s="325"/>
      <c r="K317" s="323"/>
      <c r="L317" s="323"/>
      <c r="M317" s="325"/>
      <c r="N317" s="706">
        <f>SUM(N312:N316)</f>
        <v>0</v>
      </c>
      <c r="O317" s="288"/>
      <c r="P317" s="297"/>
      <c r="Q317" s="297"/>
    </row>
    <row r="318" spans="1:20" s="102" customFormat="1" ht="8.25" customHeight="1" thickBot="1">
      <c r="A318" s="323"/>
      <c r="B318" s="323"/>
      <c r="C318" s="323"/>
      <c r="D318" s="382"/>
      <c r="E318" s="323"/>
      <c r="F318" s="325"/>
      <c r="G318" s="325"/>
      <c r="H318" s="325"/>
      <c r="I318" s="323"/>
      <c r="J318" s="323"/>
      <c r="K318" s="323"/>
      <c r="L318" s="325"/>
      <c r="M318" s="323"/>
      <c r="N318" s="309"/>
      <c r="O318" s="288"/>
      <c r="P318" s="297"/>
      <c r="Q318" s="288"/>
    </row>
    <row r="319" spans="1:20" s="102" customFormat="1">
      <c r="A319" s="2629" t="s">
        <v>1034</v>
      </c>
      <c r="B319" s="687"/>
      <c r="C319" s="327"/>
      <c r="D319" s="328"/>
      <c r="E319" s="329"/>
      <c r="F319" s="330"/>
      <c r="G319" s="331"/>
      <c r="H319" s="330"/>
      <c r="I319" s="332"/>
      <c r="J319" s="333"/>
      <c r="K319" s="329"/>
      <c r="L319" s="343"/>
      <c r="M319" s="333"/>
      <c r="N319" s="360"/>
      <c r="O319" s="288"/>
      <c r="P319" s="297"/>
      <c r="Q319" s="297"/>
    </row>
    <row r="320" spans="1:20" s="102" customFormat="1" ht="13.5" thickBot="1">
      <c r="A320" s="2635"/>
      <c r="B320" s="700"/>
      <c r="C320" s="701"/>
      <c r="D320" s="708"/>
      <c r="E320" s="702"/>
      <c r="F320" s="709"/>
      <c r="G320" s="710"/>
      <c r="H320" s="709"/>
      <c r="I320" s="711"/>
      <c r="J320" s="480"/>
      <c r="K320" s="702"/>
      <c r="L320" s="703"/>
      <c r="M320" s="480"/>
      <c r="N320" s="704"/>
      <c r="O320" s="288"/>
      <c r="P320" s="297"/>
      <c r="Q320" s="297"/>
    </row>
    <row r="321" spans="1:20" s="102" customFormat="1" ht="13.5" thickBot="1">
      <c r="A321" s="323"/>
      <c r="B321" s="323"/>
      <c r="C321" s="309"/>
      <c r="D321" s="382"/>
      <c r="E321" s="323"/>
      <c r="F321" s="309"/>
      <c r="G321" s="309"/>
      <c r="H321" s="323"/>
      <c r="I321" s="325"/>
      <c r="J321" s="325"/>
      <c r="K321" s="323"/>
      <c r="L321" s="323"/>
      <c r="M321" s="325"/>
      <c r="N321" s="706">
        <f>SUM(N319:N320)</f>
        <v>0</v>
      </c>
      <c r="O321" s="288"/>
      <c r="P321" s="297"/>
      <c r="Q321" s="297"/>
    </row>
    <row r="322" spans="1:20" s="102" customFormat="1">
      <c r="A322" s="323"/>
      <c r="B322" s="309"/>
      <c r="C322" s="309"/>
      <c r="D322" s="382"/>
      <c r="E322" s="323"/>
      <c r="F322" s="309"/>
      <c r="G322" s="309"/>
      <c r="H322" s="323"/>
      <c r="I322" s="325"/>
      <c r="J322" s="325"/>
      <c r="K322" s="323"/>
      <c r="L322" s="323"/>
      <c r="M322" s="325"/>
      <c r="N322" s="722"/>
      <c r="O322" s="288"/>
      <c r="P322" s="297"/>
      <c r="Q322" s="297"/>
    </row>
    <row r="323" spans="1:20" s="102" customFormat="1" ht="15">
      <c r="A323" s="323"/>
      <c r="B323" s="723" t="s">
        <v>2513</v>
      </c>
      <c r="C323" s="309"/>
      <c r="D323" s="382"/>
      <c r="E323" s="323"/>
      <c r="F323" s="309"/>
      <c r="G323" s="309"/>
      <c r="H323" s="323"/>
      <c r="I323" s="325"/>
      <c r="J323" s="325"/>
      <c r="K323" s="323"/>
      <c r="L323" s="323"/>
      <c r="M323" s="325"/>
      <c r="N323" s="722"/>
      <c r="O323" s="288"/>
      <c r="P323" s="297"/>
      <c r="Q323" s="297"/>
    </row>
    <row r="324" spans="1:20" s="106" customFormat="1" ht="13.5" thickBot="1"/>
    <row r="325" spans="1:20" s="199" customFormat="1" ht="15.75" customHeight="1">
      <c r="A325" s="2641" t="s">
        <v>3636</v>
      </c>
      <c r="B325" s="687" t="s">
        <v>2498</v>
      </c>
      <c r="C325" s="327"/>
      <c r="D325" s="328">
        <f t="shared" ref="D325" si="208">IF(H325&lt;&gt;"",VLOOKUP(G325,base_barras,IF(H325="Desnuda",2,5)+F325-1,FALSE),"-")</f>
        <v>1810</v>
      </c>
      <c r="E325" s="329">
        <v>4</v>
      </c>
      <c r="F325" s="330">
        <v>1</v>
      </c>
      <c r="G325" s="331" t="s">
        <v>468</v>
      </c>
      <c r="H325" s="330" t="s">
        <v>1043</v>
      </c>
      <c r="I325" s="332">
        <f>0.8+0.8</f>
        <v>1.6</v>
      </c>
      <c r="J325" s="333">
        <f t="shared" ref="J325:J329" si="209">IF(G325&lt;&gt;"",VLOOKUP(G325,precio_barras,9,FALSE),0)</f>
        <v>88.9</v>
      </c>
      <c r="K325" s="329">
        <f>2+2</f>
        <v>4</v>
      </c>
      <c r="L325" s="343" t="str">
        <f t="shared" ref="L325" si="210">IF(G325&lt;&gt;"",IF(VLOOKUP(G325,base_barras,10,FALSE)&lt;&gt;"",VLOOKUP(G325,base_barras,10,FALSE),"-"),"-")</f>
        <v>1.5/1250</v>
      </c>
      <c r="M325" s="333">
        <f t="shared" ref="M325" si="211">IF(L325&lt;&gt;"-",VLOOKUP(L325,precio_aislador,2,FALSE),0)</f>
        <v>5.5</v>
      </c>
      <c r="N325" s="360">
        <f t="shared" ref="N325" si="212">(I325*J325*F325+K325*M325)*E325*1.67*1.25</f>
        <v>1371.404</v>
      </c>
      <c r="O325" s="288"/>
      <c r="P325" s="297"/>
      <c r="Q325" s="288"/>
      <c r="R325" s="102"/>
      <c r="S325" s="102"/>
      <c r="T325" s="102"/>
    </row>
    <row r="326" spans="1:20" s="199" customFormat="1" ht="14.25">
      <c r="A326" s="2642"/>
      <c r="B326" s="688" t="s">
        <v>802</v>
      </c>
      <c r="C326" s="319"/>
      <c r="D326" s="312">
        <f>IF(H326&lt;&gt;"",VLOOKUP(G326,base_barras,IF(H326="Desnuda",2,5)+F326-1,FALSE),"-")</f>
        <v>1020</v>
      </c>
      <c r="E326" s="313">
        <v>1</v>
      </c>
      <c r="F326" s="314">
        <v>1</v>
      </c>
      <c r="G326" s="315" t="s">
        <v>315</v>
      </c>
      <c r="H326" s="689" t="str">
        <f>H325</f>
        <v>Pintada</v>
      </c>
      <c r="I326" s="690">
        <f>I325</f>
        <v>1.6</v>
      </c>
      <c r="J326" s="317">
        <f t="shared" si="209"/>
        <v>44.400000000000006</v>
      </c>
      <c r="K326" s="691">
        <v>0</v>
      </c>
      <c r="L326" s="318" t="str">
        <f>IF(G326&lt;&gt;"",IF(VLOOKUP(G326,base_barras,10,FALSE)&lt;&gt;"",VLOOKUP(G326,base_barras,10,FALSE),"-"),"-")</f>
        <v>1/750</v>
      </c>
      <c r="M326" s="317">
        <f>IF(L326&lt;&gt;"-",VLOOKUP(L326,precio_aislador,2,FALSE),0)</f>
        <v>1.9</v>
      </c>
      <c r="N326" s="308">
        <f>(I326*J326*F326+K326*M326)*E326*1.67*1.25</f>
        <v>148.29600000000002</v>
      </c>
      <c r="O326" s="288"/>
      <c r="P326" s="297"/>
      <c r="Q326" s="288"/>
      <c r="R326" s="102"/>
      <c r="S326" s="102"/>
      <c r="T326" s="102"/>
    </row>
    <row r="327" spans="1:20" s="199" customFormat="1" ht="15.75" customHeight="1">
      <c r="A327" s="2642"/>
      <c r="B327" s="692" t="s">
        <v>3624</v>
      </c>
      <c r="C327" s="693"/>
      <c r="D327" s="312">
        <f t="shared" ref="D327:D329" si="213">IF(H327&lt;&gt;"",VLOOKUP(G327,base_barras,IF(H327="Desnuda",2,5)+F327-1,FALSE),"-")</f>
        <v>1960</v>
      </c>
      <c r="E327" s="313">
        <v>3</v>
      </c>
      <c r="F327" s="314">
        <v>2</v>
      </c>
      <c r="G327" s="315" t="s">
        <v>581</v>
      </c>
      <c r="H327" s="314" t="s">
        <v>1043</v>
      </c>
      <c r="I327" s="316">
        <v>0.61</v>
      </c>
      <c r="J327" s="317">
        <f t="shared" si="209"/>
        <v>53.3</v>
      </c>
      <c r="K327" s="694">
        <v>0</v>
      </c>
      <c r="L327" s="695" t="str">
        <f t="shared" ref="L327:L329" si="214">IF(G327&lt;&gt;"",IF(VLOOKUP(G327,base_barras,10,FALSE)&lt;&gt;"",VLOOKUP(G327,base_barras,10,FALSE),"-"),"-")</f>
        <v>1/750</v>
      </c>
      <c r="M327" s="478">
        <f t="shared" ref="M327:M329" si="215">IF(L327&lt;&gt;"-",VLOOKUP(L327,precio_aislador,2,FALSE),0)</f>
        <v>1.9</v>
      </c>
      <c r="N327" s="696">
        <f t="shared" ref="N327:N329" si="216">(I327*J327*F327+K327*M327)*E327*1.67*1.25</f>
        <v>407.22532499999994</v>
      </c>
      <c r="O327" s="288"/>
      <c r="P327" s="297"/>
      <c r="Q327" s="288"/>
      <c r="R327" s="102"/>
      <c r="S327" s="102"/>
      <c r="T327" s="102"/>
    </row>
    <row r="328" spans="1:20" s="199" customFormat="1" ht="15.75" customHeight="1">
      <c r="A328" s="2642"/>
      <c r="B328" s="692" t="s">
        <v>3637</v>
      </c>
      <c r="C328" s="311"/>
      <c r="D328" s="312">
        <f t="shared" si="213"/>
        <v>985</v>
      </c>
      <c r="E328" s="313">
        <v>3</v>
      </c>
      <c r="F328" s="314">
        <v>1</v>
      </c>
      <c r="G328" s="315" t="s">
        <v>581</v>
      </c>
      <c r="H328" s="314" t="s">
        <v>1044</v>
      </c>
      <c r="I328" s="316">
        <v>0.61</v>
      </c>
      <c r="J328" s="317">
        <f t="shared" si="209"/>
        <v>53.3</v>
      </c>
      <c r="K328" s="313">
        <v>0</v>
      </c>
      <c r="L328" s="318" t="str">
        <f t="shared" si="214"/>
        <v>1/750</v>
      </c>
      <c r="M328" s="317">
        <f t="shared" si="215"/>
        <v>1.9</v>
      </c>
      <c r="N328" s="308">
        <f t="shared" si="216"/>
        <v>203.61266249999997</v>
      </c>
      <c r="O328" s="288"/>
      <c r="P328" s="297"/>
      <c r="Q328" s="288"/>
      <c r="R328" s="102"/>
      <c r="S328" s="102"/>
      <c r="T328" s="102"/>
    </row>
    <row r="329" spans="1:20" s="199" customFormat="1" ht="15.75" customHeight="1" thickBot="1">
      <c r="A329" s="2643"/>
      <c r="B329" s="688" t="s">
        <v>3468</v>
      </c>
      <c r="C329" s="311"/>
      <c r="D329" s="312">
        <f t="shared" si="213"/>
        <v>985</v>
      </c>
      <c r="E329" s="313">
        <v>3</v>
      </c>
      <c r="F329" s="314">
        <v>1</v>
      </c>
      <c r="G329" s="315" t="s">
        <v>581</v>
      </c>
      <c r="H329" s="314" t="s">
        <v>1044</v>
      </c>
      <c r="I329" s="316">
        <v>0.5</v>
      </c>
      <c r="J329" s="317">
        <f t="shared" si="209"/>
        <v>53.3</v>
      </c>
      <c r="K329" s="313">
        <v>0</v>
      </c>
      <c r="L329" s="318" t="str">
        <f t="shared" si="214"/>
        <v>1/750</v>
      </c>
      <c r="M329" s="317">
        <f t="shared" si="215"/>
        <v>1.9</v>
      </c>
      <c r="N329" s="308">
        <f t="shared" si="216"/>
        <v>166.89562499999997</v>
      </c>
      <c r="O329" s="288"/>
      <c r="P329" s="297"/>
      <c r="Q329" s="288"/>
      <c r="R329" s="102"/>
      <c r="S329" s="102"/>
      <c r="T329" s="102"/>
    </row>
    <row r="330" spans="1:20" s="129" customFormat="1" ht="22.5" customHeight="1" thickBot="1">
      <c r="A330" s="371"/>
      <c r="B330" s="373"/>
      <c r="C330" s="375"/>
      <c r="D330" s="383"/>
      <c r="E330" s="373"/>
      <c r="F330" s="373"/>
      <c r="G330" s="373"/>
      <c r="H330" s="373"/>
      <c r="I330" s="374"/>
      <c r="J330" s="374"/>
      <c r="K330" s="373"/>
      <c r="L330" s="373"/>
      <c r="M330" s="372"/>
      <c r="N330" s="699">
        <f>SUM(N325:N329)</f>
        <v>2297.4336125</v>
      </c>
      <c r="O330" s="288"/>
      <c r="P330" s="297"/>
      <c r="Q330" s="288"/>
      <c r="R330" s="102"/>
      <c r="S330" s="102"/>
      <c r="T330" s="102"/>
    </row>
    <row r="331" spans="1:20" s="102" customFormat="1" ht="8.25" customHeight="1" thickBot="1">
      <c r="A331" s="323"/>
      <c r="B331" s="323"/>
      <c r="C331" s="323"/>
      <c r="D331" s="382"/>
      <c r="E331" s="323"/>
      <c r="F331" s="325"/>
      <c r="G331" s="325"/>
      <c r="H331" s="325"/>
      <c r="I331" s="323"/>
      <c r="J331" s="323"/>
      <c r="K331" s="323"/>
      <c r="L331" s="325"/>
      <c r="M331" s="323"/>
      <c r="N331" s="309"/>
      <c r="O331" s="288"/>
      <c r="P331" s="297"/>
      <c r="Q331" s="288"/>
    </row>
    <row r="332" spans="1:20" s="102" customFormat="1" ht="12.75" customHeight="1">
      <c r="A332" s="2639" t="s">
        <v>2502</v>
      </c>
      <c r="B332" s="687"/>
      <c r="C332" s="327"/>
      <c r="D332" s="328"/>
      <c r="E332" s="329"/>
      <c r="F332" s="330"/>
      <c r="G332" s="331"/>
      <c r="H332" s="330"/>
      <c r="I332" s="332"/>
      <c r="J332" s="333"/>
      <c r="K332" s="481"/>
      <c r="L332" s="343"/>
      <c r="M332" s="333"/>
      <c r="N332" s="360"/>
      <c r="O332" s="288"/>
      <c r="P332" s="297"/>
      <c r="Q332" s="297"/>
    </row>
    <row r="333" spans="1:20" s="199" customFormat="1" ht="15.75" customHeight="1" thickBot="1">
      <c r="A333" s="2644"/>
      <c r="B333" s="700"/>
      <c r="C333" s="701"/>
      <c r="D333" s="364"/>
      <c r="E333" s="365"/>
      <c r="F333" s="366"/>
      <c r="G333" s="322"/>
      <c r="H333" s="366"/>
      <c r="I333" s="367"/>
      <c r="J333" s="368"/>
      <c r="K333" s="702"/>
      <c r="L333" s="703"/>
      <c r="M333" s="480"/>
      <c r="N333" s="704"/>
      <c r="O333" s="288"/>
      <c r="P333" s="297"/>
      <c r="Q333" s="288"/>
      <c r="R333" s="102"/>
      <c r="S333" s="102"/>
      <c r="T333" s="102"/>
    </row>
    <row r="334" spans="1:20" s="102" customFormat="1" ht="12.75" customHeight="1">
      <c r="A334" s="2644"/>
      <c r="B334" s="692"/>
      <c r="C334" s="693"/>
      <c r="D334" s="697"/>
      <c r="E334" s="694"/>
      <c r="F334" s="655"/>
      <c r="G334" s="698"/>
      <c r="H334" s="655"/>
      <c r="I334" s="398"/>
      <c r="J334" s="478"/>
      <c r="K334" s="705"/>
      <c r="L334" s="695"/>
      <c r="M334" s="478"/>
      <c r="N334" s="696"/>
      <c r="O334" s="288"/>
      <c r="P334" s="297"/>
      <c r="Q334" s="297"/>
    </row>
    <row r="335" spans="1:20" s="199" customFormat="1" ht="15.75" customHeight="1" thickBot="1">
      <c r="A335" s="2640"/>
      <c r="B335" s="700"/>
      <c r="C335" s="701"/>
      <c r="D335" s="364"/>
      <c r="E335" s="365"/>
      <c r="F335" s="366"/>
      <c r="G335" s="322"/>
      <c r="H335" s="366"/>
      <c r="I335" s="367"/>
      <c r="J335" s="368"/>
      <c r="K335" s="702"/>
      <c r="L335" s="703"/>
      <c r="M335" s="480"/>
      <c r="N335" s="704"/>
      <c r="O335" s="288"/>
      <c r="P335" s="297"/>
      <c r="Q335" s="288"/>
      <c r="R335" s="102"/>
      <c r="S335" s="102"/>
      <c r="T335" s="102"/>
    </row>
    <row r="336" spans="1:20" s="102" customFormat="1" ht="13.5" thickBot="1">
      <c r="A336" s="323"/>
      <c r="B336" s="323"/>
      <c r="C336" s="309"/>
      <c r="D336" s="382"/>
      <c r="E336" s="323"/>
      <c r="F336" s="309"/>
      <c r="G336" s="309"/>
      <c r="H336" s="323"/>
      <c r="I336" s="325"/>
      <c r="J336" s="325"/>
      <c r="K336" s="323"/>
      <c r="L336" s="323"/>
      <c r="M336" s="325"/>
      <c r="N336" s="706">
        <f>SUM(N332:N335)</f>
        <v>0</v>
      </c>
      <c r="O336" s="288"/>
      <c r="P336" s="297"/>
      <c r="Q336" s="297"/>
    </row>
    <row r="337" spans="1:20" s="102" customFormat="1" ht="8.25" customHeight="1" thickBot="1">
      <c r="A337" s="323"/>
      <c r="B337" s="323"/>
      <c r="C337" s="323"/>
      <c r="D337" s="382"/>
      <c r="E337" s="323"/>
      <c r="F337" s="325"/>
      <c r="G337" s="325"/>
      <c r="H337" s="325"/>
      <c r="I337" s="323"/>
      <c r="J337" s="323"/>
      <c r="K337" s="323"/>
      <c r="L337" s="325"/>
      <c r="M337" s="323"/>
      <c r="N337" s="309"/>
      <c r="O337" s="288"/>
      <c r="P337" s="297"/>
      <c r="Q337" s="288"/>
    </row>
    <row r="338" spans="1:20" s="102" customFormat="1" ht="12.75" customHeight="1">
      <c r="A338" s="2639" t="s">
        <v>2505</v>
      </c>
      <c r="B338" s="687"/>
      <c r="C338" s="327"/>
      <c r="D338" s="328"/>
      <c r="E338" s="329"/>
      <c r="F338" s="330"/>
      <c r="G338" s="331"/>
      <c r="H338" s="330"/>
      <c r="I338" s="332"/>
      <c r="J338" s="333"/>
      <c r="K338" s="481"/>
      <c r="L338" s="343"/>
      <c r="M338" s="333"/>
      <c r="N338" s="360"/>
      <c r="O338" s="288"/>
      <c r="P338" s="297"/>
      <c r="Q338" s="297"/>
    </row>
    <row r="339" spans="1:20" s="102" customFormat="1" ht="13.5" thickBot="1">
      <c r="A339" s="2644"/>
      <c r="B339" s="707"/>
      <c r="C339" s="479"/>
      <c r="D339" s="364"/>
      <c r="E339" s="365"/>
      <c r="F339" s="366"/>
      <c r="G339" s="322"/>
      <c r="H339" s="366"/>
      <c r="I339" s="367"/>
      <c r="J339" s="368"/>
      <c r="K339" s="365"/>
      <c r="L339" s="369"/>
      <c r="M339" s="368"/>
      <c r="N339" s="370"/>
      <c r="O339" s="288"/>
      <c r="P339" s="297"/>
      <c r="Q339" s="297"/>
    </row>
    <row r="340" spans="1:20" s="102" customFormat="1" ht="12.75" customHeight="1">
      <c r="A340" s="2644"/>
      <c r="B340" s="692"/>
      <c r="C340" s="693"/>
      <c r="D340" s="697"/>
      <c r="E340" s="694"/>
      <c r="F340" s="655"/>
      <c r="G340" s="698"/>
      <c r="H340" s="655"/>
      <c r="I340" s="398"/>
      <c r="J340" s="478"/>
      <c r="K340" s="705"/>
      <c r="L340" s="695"/>
      <c r="M340" s="478"/>
      <c r="N340" s="696"/>
      <c r="O340" s="288"/>
      <c r="P340" s="297"/>
      <c r="Q340" s="297"/>
    </row>
    <row r="341" spans="1:20" s="102" customFormat="1" ht="13.5" thickBot="1">
      <c r="A341" s="2640"/>
      <c r="B341" s="700"/>
      <c r="C341" s="701"/>
      <c r="D341" s="708"/>
      <c r="E341" s="702"/>
      <c r="F341" s="709"/>
      <c r="G341" s="710"/>
      <c r="H341" s="709"/>
      <c r="I341" s="711"/>
      <c r="J341" s="480"/>
      <c r="K341" s="702"/>
      <c r="L341" s="703"/>
      <c r="M341" s="480"/>
      <c r="N341" s="704"/>
      <c r="O341" s="288"/>
      <c r="P341" s="297"/>
      <c r="Q341" s="297"/>
    </row>
    <row r="342" spans="1:20" s="102" customFormat="1" ht="13.5" thickBot="1">
      <c r="A342" s="323"/>
      <c r="B342" s="323"/>
      <c r="C342" s="309"/>
      <c r="D342" s="382"/>
      <c r="E342" s="323"/>
      <c r="F342" s="309"/>
      <c r="G342" s="309"/>
      <c r="H342" s="323"/>
      <c r="I342" s="325"/>
      <c r="J342" s="325"/>
      <c r="K342" s="323"/>
      <c r="L342" s="323"/>
      <c r="M342" s="325"/>
      <c r="N342" s="706">
        <f>SUM(N338:N341)</f>
        <v>0</v>
      </c>
      <c r="O342" s="288"/>
      <c r="P342" s="297"/>
      <c r="Q342" s="297"/>
    </row>
    <row r="343" spans="1:20" s="102" customFormat="1" ht="8.25" customHeight="1" thickBot="1">
      <c r="A343" s="323"/>
      <c r="B343" s="323"/>
      <c r="C343" s="323"/>
      <c r="D343" s="382"/>
      <c r="E343" s="323"/>
      <c r="F343" s="325"/>
      <c r="G343" s="325"/>
      <c r="H343" s="325"/>
      <c r="I343" s="323"/>
      <c r="J343" s="323"/>
      <c r="K343" s="323"/>
      <c r="L343" s="325"/>
      <c r="M343" s="323"/>
      <c r="N343" s="309"/>
      <c r="O343" s="288"/>
      <c r="P343" s="297"/>
      <c r="Q343" s="288"/>
    </row>
    <row r="344" spans="1:20" s="102" customFormat="1">
      <c r="A344" s="2629" t="s">
        <v>1228</v>
      </c>
      <c r="B344" s="687" t="s">
        <v>2498</v>
      </c>
      <c r="C344" s="327"/>
      <c r="D344" s="328">
        <f t="shared" ref="D344:D345" si="217">IF(H344&lt;&gt;"",VLOOKUP(G344,base_barras,IF(H344="Desnuda",2,5)+F344-1,FALSE),"-")</f>
        <v>1810</v>
      </c>
      <c r="E344" s="481">
        <v>4</v>
      </c>
      <c r="F344" s="330">
        <v>1</v>
      </c>
      <c r="G344" s="331" t="s">
        <v>468</v>
      </c>
      <c r="H344" s="330" t="s">
        <v>1043</v>
      </c>
      <c r="I344" s="332">
        <f>0.2</f>
        <v>0.2</v>
      </c>
      <c r="J344" s="333">
        <f t="shared" ref="J344" si="218">IF(G344&lt;&gt;"",VLOOKUP(G344,precio_barras,9,FALSE),0)</f>
        <v>88.9</v>
      </c>
      <c r="K344" s="329">
        <v>0</v>
      </c>
      <c r="L344" s="343" t="str">
        <f t="shared" ref="L344:L345" si="219">IF(G344&lt;&gt;"",IF(VLOOKUP(G344,base_barras,10,FALSE)&lt;&gt;"",VLOOKUP(G344,base_barras,10,FALSE),"-"),"-")</f>
        <v>1.5/1250</v>
      </c>
      <c r="M344" s="333">
        <f t="shared" ref="M344" si="220">IF(L344&lt;&gt;"-",VLOOKUP(L344,precio_aislador,2,FALSE),0)</f>
        <v>5.5</v>
      </c>
      <c r="N344" s="360">
        <f t="shared" ref="N344:N345" si="221">(I344*J344*F344+K344*M344)*E344*1.67*1.25</f>
        <v>148.46300000000002</v>
      </c>
      <c r="O344" s="288"/>
      <c r="P344" s="297"/>
      <c r="Q344" s="297"/>
    </row>
    <row r="345" spans="1:20" s="102" customFormat="1" ht="13.5" thickBot="1">
      <c r="A345" s="2635"/>
      <c r="B345" s="707"/>
      <c r="C345" s="479"/>
      <c r="D345" s="364" t="str">
        <f t="shared" si="217"/>
        <v>-</v>
      </c>
      <c r="E345" s="365"/>
      <c r="F345" s="366"/>
      <c r="G345" s="322"/>
      <c r="H345" s="366"/>
      <c r="I345" s="367"/>
      <c r="J345" s="480">
        <f>IF(G345&lt;&gt;"",VLOOKUP(G345,precio_barras,9,FALSE),0)</f>
        <v>0</v>
      </c>
      <c r="K345" s="365"/>
      <c r="L345" s="369" t="str">
        <f t="shared" si="219"/>
        <v>-</v>
      </c>
      <c r="M345" s="368">
        <f>IF(L345&lt;&gt;"-",VLOOKUP(L345,precio_aislador,2,FALSE),0)</f>
        <v>0</v>
      </c>
      <c r="N345" s="370">
        <f t="shared" si="221"/>
        <v>0</v>
      </c>
      <c r="O345" s="288"/>
      <c r="P345" s="297"/>
      <c r="Q345" s="297"/>
    </row>
    <row r="346" spans="1:20" s="102" customFormat="1" ht="13.5" thickBot="1">
      <c r="A346" s="323"/>
      <c r="B346" s="323"/>
      <c r="C346" s="309"/>
      <c r="D346" s="382"/>
      <c r="E346" s="323"/>
      <c r="F346" s="309"/>
      <c r="G346" s="309"/>
      <c r="H346" s="323"/>
      <c r="I346" s="325"/>
      <c r="J346" s="325"/>
      <c r="K346" s="323"/>
      <c r="L346" s="323"/>
      <c r="M346" s="325"/>
      <c r="N346" s="706">
        <f>SUM(N344:N345)</f>
        <v>148.46300000000002</v>
      </c>
      <c r="O346" s="288"/>
      <c r="P346" s="297"/>
      <c r="Q346" s="297"/>
    </row>
    <row r="347" spans="1:20" s="102" customFormat="1" ht="8.25" customHeight="1" thickBot="1">
      <c r="A347" s="323"/>
      <c r="B347" s="323"/>
      <c r="C347" s="323"/>
      <c r="D347" s="382"/>
      <c r="E347" s="323"/>
      <c r="F347" s="325"/>
      <c r="G347" s="325"/>
      <c r="H347" s="325"/>
      <c r="I347" s="323"/>
      <c r="J347" s="323"/>
      <c r="K347" s="323"/>
      <c r="L347" s="325"/>
      <c r="M347" s="323"/>
      <c r="N347" s="309"/>
      <c r="O347" s="288"/>
      <c r="P347" s="297"/>
      <c r="Q347" s="288"/>
    </row>
    <row r="348" spans="1:20" s="102" customFormat="1">
      <c r="A348" s="2645" t="s">
        <v>2548</v>
      </c>
      <c r="B348" s="687"/>
      <c r="C348" s="327"/>
      <c r="D348" s="328"/>
      <c r="E348" s="329"/>
      <c r="F348" s="330"/>
      <c r="G348" s="331"/>
      <c r="H348" s="330"/>
      <c r="I348" s="332"/>
      <c r="J348" s="333"/>
      <c r="K348" s="329"/>
      <c r="L348" s="343"/>
      <c r="M348" s="333"/>
      <c r="N348" s="360"/>
      <c r="O348" s="288"/>
      <c r="P348" s="297"/>
      <c r="Q348" s="297"/>
    </row>
    <row r="349" spans="1:20" s="199" customFormat="1" ht="15.75" customHeight="1">
      <c r="A349" s="2646"/>
      <c r="B349" s="692"/>
      <c r="C349" s="693"/>
      <c r="D349" s="697"/>
      <c r="E349" s="694"/>
      <c r="F349" s="655"/>
      <c r="G349" s="698"/>
      <c r="H349" s="655"/>
      <c r="I349" s="398"/>
      <c r="J349" s="478"/>
      <c r="K349" s="694"/>
      <c r="L349" s="695"/>
      <c r="M349" s="478"/>
      <c r="N349" s="696"/>
      <c r="O349" s="288"/>
      <c r="P349" s="297"/>
      <c r="Q349" s="288"/>
      <c r="R349" s="102"/>
      <c r="S349" s="102"/>
      <c r="T349" s="102"/>
    </row>
    <row r="350" spans="1:20" s="199" customFormat="1" ht="15.75" customHeight="1" thickBot="1">
      <c r="A350" s="2646"/>
      <c r="B350" s="707"/>
      <c r="C350" s="479"/>
      <c r="D350" s="364"/>
      <c r="E350" s="365"/>
      <c r="F350" s="366"/>
      <c r="G350" s="322"/>
      <c r="H350" s="366"/>
      <c r="I350" s="367"/>
      <c r="J350" s="368"/>
      <c r="K350" s="365"/>
      <c r="L350" s="369"/>
      <c r="M350" s="368"/>
      <c r="N350" s="370"/>
      <c r="O350" s="288"/>
      <c r="P350" s="297"/>
      <c r="Q350" s="288"/>
      <c r="R350" s="102"/>
      <c r="S350" s="102"/>
      <c r="T350" s="102"/>
    </row>
    <row r="351" spans="1:20" s="102" customFormat="1">
      <c r="A351" s="2646"/>
      <c r="B351" s="692"/>
      <c r="C351" s="693"/>
      <c r="D351" s="697"/>
      <c r="E351" s="694"/>
      <c r="F351" s="655"/>
      <c r="G351" s="698"/>
      <c r="H351" s="655"/>
      <c r="I351" s="398"/>
      <c r="J351" s="478"/>
      <c r="K351" s="694"/>
      <c r="L351" s="695"/>
      <c r="M351" s="478"/>
      <c r="N351" s="696"/>
      <c r="O351" s="288"/>
      <c r="P351" s="297"/>
      <c r="Q351" s="297"/>
    </row>
    <row r="352" spans="1:20" s="199" customFormat="1" ht="15.75" customHeight="1" thickBot="1">
      <c r="A352" s="2647"/>
      <c r="B352" s="700"/>
      <c r="C352" s="701"/>
      <c r="D352" s="708"/>
      <c r="E352" s="702"/>
      <c r="F352" s="709"/>
      <c r="G352" s="710"/>
      <c r="H352" s="709"/>
      <c r="I352" s="711"/>
      <c r="J352" s="480"/>
      <c r="K352" s="702"/>
      <c r="L352" s="703"/>
      <c r="M352" s="480"/>
      <c r="N352" s="704"/>
      <c r="O352" s="288"/>
      <c r="P352" s="297"/>
      <c r="Q352" s="288"/>
      <c r="R352" s="102"/>
      <c r="S352" s="102"/>
      <c r="T352" s="102"/>
    </row>
    <row r="353" spans="1:20" s="102" customFormat="1" ht="13.5" thickBot="1">
      <c r="A353" s="323"/>
      <c r="B353" s="323"/>
      <c r="C353" s="309"/>
      <c r="D353" s="382"/>
      <c r="E353" s="323"/>
      <c r="F353" s="309"/>
      <c r="G353" s="309"/>
      <c r="H353" s="323"/>
      <c r="I353" s="325"/>
      <c r="J353" s="325"/>
      <c r="K353" s="323"/>
      <c r="L353" s="323"/>
      <c r="M353" s="325"/>
      <c r="N353" s="706">
        <f>SUM(N348:N352)</f>
        <v>0</v>
      </c>
      <c r="O353" s="288"/>
      <c r="P353" s="297"/>
      <c r="Q353" s="297"/>
    </row>
    <row r="354" spans="1:20" s="102" customFormat="1" ht="8.25" customHeight="1" thickBot="1">
      <c r="A354" s="323"/>
      <c r="B354" s="323"/>
      <c r="C354" s="323"/>
      <c r="D354" s="382"/>
      <c r="E354" s="323"/>
      <c r="F354" s="325"/>
      <c r="G354" s="325"/>
      <c r="H354" s="325"/>
      <c r="I354" s="323"/>
      <c r="J354" s="323"/>
      <c r="K354" s="323"/>
      <c r="L354" s="325"/>
      <c r="M354" s="323"/>
      <c r="N354" s="309"/>
      <c r="O354" s="288"/>
      <c r="P354" s="297"/>
      <c r="Q354" s="288"/>
    </row>
    <row r="355" spans="1:20" s="102" customFormat="1">
      <c r="A355" s="2629" t="s">
        <v>1034</v>
      </c>
      <c r="B355" s="687"/>
      <c r="C355" s="327"/>
      <c r="D355" s="328"/>
      <c r="E355" s="329"/>
      <c r="F355" s="330"/>
      <c r="G355" s="331"/>
      <c r="H355" s="330"/>
      <c r="I355" s="332"/>
      <c r="J355" s="333"/>
      <c r="K355" s="329"/>
      <c r="L355" s="343"/>
      <c r="M355" s="333"/>
      <c r="N355" s="360"/>
      <c r="O355" s="288"/>
      <c r="P355" s="297"/>
      <c r="Q355" s="297"/>
    </row>
    <row r="356" spans="1:20" s="102" customFormat="1" ht="13.5" thickBot="1">
      <c r="A356" s="2635"/>
      <c r="B356" s="700"/>
      <c r="C356" s="701"/>
      <c r="D356" s="708"/>
      <c r="E356" s="702"/>
      <c r="F356" s="709"/>
      <c r="G356" s="710"/>
      <c r="H356" s="709"/>
      <c r="I356" s="711"/>
      <c r="J356" s="480"/>
      <c r="K356" s="702"/>
      <c r="L356" s="703"/>
      <c r="M356" s="480"/>
      <c r="N356" s="704"/>
      <c r="O356" s="288"/>
      <c r="P356" s="297"/>
      <c r="Q356" s="297"/>
    </row>
    <row r="357" spans="1:20" s="102" customFormat="1" ht="13.5" thickBot="1">
      <c r="A357" s="323"/>
      <c r="B357" s="323"/>
      <c r="C357" s="309"/>
      <c r="D357" s="382"/>
      <c r="E357" s="323"/>
      <c r="F357" s="309"/>
      <c r="G357" s="309"/>
      <c r="H357" s="323"/>
      <c r="I357" s="325"/>
      <c r="J357" s="325"/>
      <c r="K357" s="323"/>
      <c r="L357" s="323"/>
      <c r="M357" s="325"/>
      <c r="N357" s="706">
        <f>SUM(N355:N356)</f>
        <v>0</v>
      </c>
      <c r="O357" s="288"/>
      <c r="P357" s="297"/>
      <c r="Q357" s="297"/>
    </row>
    <row r="358" spans="1:20" s="102" customFormat="1">
      <c r="A358" s="323"/>
      <c r="B358" s="309"/>
      <c r="C358" s="309"/>
      <c r="D358" s="382"/>
      <c r="E358" s="323"/>
      <c r="F358" s="309"/>
      <c r="G358" s="309"/>
      <c r="H358" s="323"/>
      <c r="I358" s="325"/>
      <c r="J358" s="325"/>
      <c r="K358" s="323"/>
      <c r="L358" s="323"/>
      <c r="M358" s="325"/>
      <c r="N358" s="722"/>
      <c r="O358" s="288"/>
      <c r="P358" s="297"/>
      <c r="Q358" s="297"/>
    </row>
    <row r="359" spans="1:20" s="102" customFormat="1" ht="15">
      <c r="A359" s="323"/>
      <c r="B359" s="723" t="s">
        <v>2513</v>
      </c>
      <c r="C359" s="309"/>
      <c r="D359" s="382"/>
      <c r="E359" s="323"/>
      <c r="F359" s="309"/>
      <c r="G359" s="309"/>
      <c r="H359" s="323"/>
      <c r="I359" s="325"/>
      <c r="J359" s="325"/>
      <c r="K359" s="323"/>
      <c r="L359" s="323"/>
      <c r="M359" s="325"/>
      <c r="N359" s="722"/>
      <c r="O359" s="288"/>
      <c r="P359" s="297"/>
      <c r="Q359" s="297"/>
    </row>
    <row r="360" spans="1:20" s="106" customFormat="1"/>
    <row r="361" spans="1:20" s="106" customFormat="1" ht="13.5" thickBot="1"/>
    <row r="362" spans="1:20" s="199" customFormat="1" ht="15.75" customHeight="1">
      <c r="A362" s="2641" t="s">
        <v>3684</v>
      </c>
      <c r="B362" s="687" t="s">
        <v>2498</v>
      </c>
      <c r="C362" s="327"/>
      <c r="D362" s="328">
        <f t="shared" ref="D362" si="222">IF(H362&lt;&gt;"",VLOOKUP(G362,base_barras,IF(H362="Desnuda",2,5)+F362-1,FALSE),"-")</f>
        <v>1810</v>
      </c>
      <c r="E362" s="329">
        <v>4</v>
      </c>
      <c r="F362" s="330">
        <v>1</v>
      </c>
      <c r="G362" s="331" t="s">
        <v>468</v>
      </c>
      <c r="H362" s="330" t="s">
        <v>1043</v>
      </c>
      <c r="I362" s="332">
        <f>0.8+0.9</f>
        <v>1.7000000000000002</v>
      </c>
      <c r="J362" s="333">
        <f t="shared" ref="J362:J366" si="223">IF(G362&lt;&gt;"",VLOOKUP(G362,precio_barras,9,FALSE),0)</f>
        <v>88.9</v>
      </c>
      <c r="K362" s="329">
        <f>2+2</f>
        <v>4</v>
      </c>
      <c r="L362" s="343" t="str">
        <f t="shared" ref="L362" si="224">IF(G362&lt;&gt;"",IF(VLOOKUP(G362,base_barras,10,FALSE)&lt;&gt;"",VLOOKUP(G362,base_barras,10,FALSE),"-"),"-")</f>
        <v>1.5/1250</v>
      </c>
      <c r="M362" s="333">
        <f t="shared" ref="M362" si="225">IF(L362&lt;&gt;"-",VLOOKUP(L362,precio_aislador,2,FALSE),0)</f>
        <v>5.5</v>
      </c>
      <c r="N362" s="360">
        <f t="shared" ref="N362" si="226">(I362*J362*F362+K362*M362)*E362*1.67*1.25</f>
        <v>1445.6355000000003</v>
      </c>
      <c r="O362" s="288"/>
      <c r="P362" s="297"/>
      <c r="Q362" s="288"/>
      <c r="R362" s="102"/>
      <c r="S362" s="102"/>
      <c r="T362" s="102"/>
    </row>
    <row r="363" spans="1:20" s="199" customFormat="1" ht="14.25">
      <c r="A363" s="2642"/>
      <c r="B363" s="688" t="s">
        <v>802</v>
      </c>
      <c r="C363" s="319"/>
      <c r="D363" s="312">
        <f>IF(H363&lt;&gt;"",VLOOKUP(G363,base_barras,IF(H363="Desnuda",2,5)+F363-1,FALSE),"-")</f>
        <v>1020</v>
      </c>
      <c r="E363" s="313">
        <v>1</v>
      </c>
      <c r="F363" s="314">
        <v>1</v>
      </c>
      <c r="G363" s="315" t="s">
        <v>315</v>
      </c>
      <c r="H363" s="689" t="str">
        <f>H362</f>
        <v>Pintada</v>
      </c>
      <c r="I363" s="690">
        <f>I362</f>
        <v>1.7000000000000002</v>
      </c>
      <c r="J363" s="317">
        <f t="shared" si="223"/>
        <v>44.400000000000006</v>
      </c>
      <c r="K363" s="691">
        <v>0</v>
      </c>
      <c r="L363" s="318" t="str">
        <f>IF(G363&lt;&gt;"",IF(VLOOKUP(G363,base_barras,10,FALSE)&lt;&gt;"",VLOOKUP(G363,base_barras,10,FALSE),"-"),"-")</f>
        <v>1/750</v>
      </c>
      <c r="M363" s="317">
        <f>IF(L363&lt;&gt;"-",VLOOKUP(L363,precio_aislador,2,FALSE),0)</f>
        <v>1.9</v>
      </c>
      <c r="N363" s="308">
        <f>(I363*J363*F363+K363*M363)*E363*1.67*1.25</f>
        <v>157.56450000000004</v>
      </c>
      <c r="O363" s="288"/>
      <c r="P363" s="297"/>
      <c r="Q363" s="288"/>
      <c r="R363" s="102"/>
      <c r="S363" s="102"/>
      <c r="T363" s="102"/>
    </row>
    <row r="364" spans="1:20" s="199" customFormat="1" ht="15.75" customHeight="1">
      <c r="A364" s="2642"/>
      <c r="B364" s="692" t="s">
        <v>3624</v>
      </c>
      <c r="C364" s="693"/>
      <c r="D364" s="312">
        <f t="shared" ref="D364:D366" si="227">IF(H364&lt;&gt;"",VLOOKUP(G364,base_barras,IF(H364="Desnuda",2,5)+F364-1,FALSE),"-")</f>
        <v>1960</v>
      </c>
      <c r="E364" s="313">
        <v>3</v>
      </c>
      <c r="F364" s="314">
        <v>2</v>
      </c>
      <c r="G364" s="315" t="s">
        <v>581</v>
      </c>
      <c r="H364" s="314" t="s">
        <v>1043</v>
      </c>
      <c r="I364" s="316">
        <v>0.61</v>
      </c>
      <c r="J364" s="317">
        <f t="shared" si="223"/>
        <v>53.3</v>
      </c>
      <c r="K364" s="694">
        <v>0</v>
      </c>
      <c r="L364" s="695" t="str">
        <f t="shared" ref="L364:L366" si="228">IF(G364&lt;&gt;"",IF(VLOOKUP(G364,base_barras,10,FALSE)&lt;&gt;"",VLOOKUP(G364,base_barras,10,FALSE),"-"),"-")</f>
        <v>1/750</v>
      </c>
      <c r="M364" s="478">
        <f t="shared" ref="M364:M366" si="229">IF(L364&lt;&gt;"-",VLOOKUP(L364,precio_aislador,2,FALSE),0)</f>
        <v>1.9</v>
      </c>
      <c r="N364" s="696">
        <f t="shared" ref="N364:N366" si="230">(I364*J364*F364+K364*M364)*E364*1.67*1.25</f>
        <v>407.22532499999994</v>
      </c>
      <c r="O364" s="288"/>
      <c r="P364" s="297"/>
      <c r="Q364" s="288"/>
      <c r="R364" s="102"/>
      <c r="S364" s="102"/>
      <c r="T364" s="102"/>
    </row>
    <row r="365" spans="1:20" s="199" customFormat="1" ht="15.75" customHeight="1">
      <c r="A365" s="2642"/>
      <c r="B365" s="692" t="s">
        <v>3565</v>
      </c>
      <c r="C365" s="311"/>
      <c r="D365" s="312">
        <f t="shared" si="227"/>
        <v>573</v>
      </c>
      <c r="E365" s="313">
        <v>3</v>
      </c>
      <c r="F365" s="314">
        <v>1</v>
      </c>
      <c r="G365" s="315" t="s">
        <v>314</v>
      </c>
      <c r="H365" s="314" t="s">
        <v>1044</v>
      </c>
      <c r="I365" s="316">
        <v>0.61</v>
      </c>
      <c r="J365" s="317">
        <f t="shared" si="223"/>
        <v>26.6</v>
      </c>
      <c r="K365" s="313">
        <v>0</v>
      </c>
      <c r="L365" s="318" t="str">
        <f t="shared" si="228"/>
        <v>1/750</v>
      </c>
      <c r="M365" s="317">
        <f t="shared" si="229"/>
        <v>1.9</v>
      </c>
      <c r="N365" s="308">
        <f t="shared" si="230"/>
        <v>101.615325</v>
      </c>
      <c r="O365" s="288"/>
      <c r="P365" s="297"/>
      <c r="Q365" s="288"/>
      <c r="R365" s="102"/>
      <c r="S365" s="102"/>
      <c r="T365" s="102"/>
    </row>
    <row r="366" spans="1:20" s="199" customFormat="1" ht="15.75" customHeight="1" thickBot="1">
      <c r="A366" s="2643"/>
      <c r="B366" s="688" t="s">
        <v>3468</v>
      </c>
      <c r="C366" s="311"/>
      <c r="D366" s="312">
        <f t="shared" si="227"/>
        <v>985</v>
      </c>
      <c r="E366" s="313">
        <v>3</v>
      </c>
      <c r="F366" s="314">
        <v>1</v>
      </c>
      <c r="G366" s="315" t="s">
        <v>581</v>
      </c>
      <c r="H366" s="314" t="s">
        <v>1044</v>
      </c>
      <c r="I366" s="316">
        <v>0.5</v>
      </c>
      <c r="J366" s="317">
        <f t="shared" si="223"/>
        <v>53.3</v>
      </c>
      <c r="K366" s="313">
        <v>0</v>
      </c>
      <c r="L366" s="318" t="str">
        <f t="shared" si="228"/>
        <v>1/750</v>
      </c>
      <c r="M366" s="317">
        <f t="shared" si="229"/>
        <v>1.9</v>
      </c>
      <c r="N366" s="308">
        <f t="shared" si="230"/>
        <v>166.89562499999997</v>
      </c>
      <c r="O366" s="288"/>
      <c r="P366" s="297"/>
      <c r="Q366" s="288"/>
      <c r="R366" s="102"/>
      <c r="S366" s="102"/>
      <c r="T366" s="102"/>
    </row>
    <row r="367" spans="1:20" s="129" customFormat="1" ht="22.5" customHeight="1" thickBot="1">
      <c r="A367" s="371"/>
      <c r="B367" s="373"/>
      <c r="C367" s="375"/>
      <c r="D367" s="383"/>
      <c r="E367" s="373"/>
      <c r="F367" s="373"/>
      <c r="G367" s="373"/>
      <c r="H367" s="373"/>
      <c r="I367" s="374"/>
      <c r="J367" s="374"/>
      <c r="K367" s="373"/>
      <c r="L367" s="373"/>
      <c r="M367" s="372"/>
      <c r="N367" s="699">
        <f>SUM(N362:N366)</f>
        <v>2278.9362750000005</v>
      </c>
      <c r="O367" s="288"/>
      <c r="P367" s="297"/>
      <c r="Q367" s="288"/>
      <c r="R367" s="102"/>
      <c r="S367" s="102"/>
      <c r="T367" s="102"/>
    </row>
    <row r="368" spans="1:20" s="102" customFormat="1" ht="8.25" customHeight="1" thickBot="1">
      <c r="A368" s="323"/>
      <c r="B368" s="323"/>
      <c r="C368" s="323"/>
      <c r="D368" s="382"/>
      <c r="E368" s="323"/>
      <c r="F368" s="325"/>
      <c r="G368" s="325"/>
      <c r="H368" s="325"/>
      <c r="I368" s="323"/>
      <c r="J368" s="323"/>
      <c r="K368" s="323"/>
      <c r="L368" s="325"/>
      <c r="M368" s="323"/>
      <c r="N368" s="309"/>
      <c r="O368" s="288"/>
      <c r="P368" s="297"/>
      <c r="Q368" s="288"/>
    </row>
    <row r="369" spans="1:20" s="102" customFormat="1" ht="12.75" customHeight="1">
      <c r="A369" s="2639" t="s">
        <v>2502</v>
      </c>
      <c r="B369" s="687"/>
      <c r="C369" s="327"/>
      <c r="D369" s="328"/>
      <c r="E369" s="329"/>
      <c r="F369" s="330"/>
      <c r="G369" s="331"/>
      <c r="H369" s="330"/>
      <c r="I369" s="332"/>
      <c r="J369" s="333"/>
      <c r="K369" s="481"/>
      <c r="L369" s="343"/>
      <c r="M369" s="333"/>
      <c r="N369" s="360"/>
      <c r="O369" s="288"/>
      <c r="P369" s="297"/>
      <c r="Q369" s="297"/>
    </row>
    <row r="370" spans="1:20" s="199" customFormat="1" ht="15.75" customHeight="1" thickBot="1">
      <c r="A370" s="2644"/>
      <c r="B370" s="700"/>
      <c r="C370" s="701"/>
      <c r="D370" s="364"/>
      <c r="E370" s="365"/>
      <c r="F370" s="366"/>
      <c r="G370" s="322"/>
      <c r="H370" s="366"/>
      <c r="I370" s="367"/>
      <c r="J370" s="368"/>
      <c r="K370" s="702"/>
      <c r="L370" s="703"/>
      <c r="M370" s="480"/>
      <c r="N370" s="704"/>
      <c r="O370" s="288"/>
      <c r="P370" s="297"/>
      <c r="Q370" s="288"/>
      <c r="R370" s="102"/>
      <c r="S370" s="102"/>
      <c r="T370" s="102"/>
    </row>
    <row r="371" spans="1:20" s="102" customFormat="1" ht="12.75" customHeight="1">
      <c r="A371" s="2644"/>
      <c r="B371" s="692"/>
      <c r="C371" s="693"/>
      <c r="D371" s="697"/>
      <c r="E371" s="694"/>
      <c r="F371" s="655"/>
      <c r="G371" s="698"/>
      <c r="H371" s="655"/>
      <c r="I371" s="398"/>
      <c r="J371" s="478"/>
      <c r="K371" s="705"/>
      <c r="L371" s="695"/>
      <c r="M371" s="478"/>
      <c r="N371" s="696"/>
      <c r="O371" s="288"/>
      <c r="P371" s="297"/>
      <c r="Q371" s="297"/>
    </row>
    <row r="372" spans="1:20" s="199" customFormat="1" ht="15.75" customHeight="1" thickBot="1">
      <c r="A372" s="2640"/>
      <c r="B372" s="700"/>
      <c r="C372" s="701"/>
      <c r="D372" s="364"/>
      <c r="E372" s="365"/>
      <c r="F372" s="366"/>
      <c r="G372" s="322"/>
      <c r="H372" s="366"/>
      <c r="I372" s="367"/>
      <c r="J372" s="368"/>
      <c r="K372" s="702"/>
      <c r="L372" s="703"/>
      <c r="M372" s="480"/>
      <c r="N372" s="704"/>
      <c r="O372" s="288"/>
      <c r="P372" s="297"/>
      <c r="Q372" s="288"/>
      <c r="R372" s="102"/>
      <c r="S372" s="102"/>
      <c r="T372" s="102"/>
    </row>
    <row r="373" spans="1:20" s="102" customFormat="1" ht="13.5" thickBot="1">
      <c r="A373" s="323"/>
      <c r="B373" s="323"/>
      <c r="C373" s="309"/>
      <c r="D373" s="382"/>
      <c r="E373" s="323"/>
      <c r="F373" s="309"/>
      <c r="G373" s="309"/>
      <c r="H373" s="323"/>
      <c r="I373" s="325"/>
      <c r="J373" s="325"/>
      <c r="K373" s="323"/>
      <c r="L373" s="323"/>
      <c r="M373" s="325"/>
      <c r="N373" s="706">
        <f>SUM(N369:N372)</f>
        <v>0</v>
      </c>
      <c r="O373" s="288"/>
      <c r="P373" s="297"/>
      <c r="Q373" s="297"/>
    </row>
    <row r="374" spans="1:20" s="102" customFormat="1" ht="8.25" customHeight="1" thickBot="1">
      <c r="A374" s="323"/>
      <c r="B374" s="323"/>
      <c r="C374" s="323"/>
      <c r="D374" s="382"/>
      <c r="E374" s="323"/>
      <c r="F374" s="325"/>
      <c r="G374" s="325"/>
      <c r="H374" s="325"/>
      <c r="I374" s="323"/>
      <c r="J374" s="323"/>
      <c r="K374" s="323"/>
      <c r="L374" s="325"/>
      <c r="M374" s="323"/>
      <c r="N374" s="309"/>
      <c r="O374" s="288"/>
      <c r="P374" s="297"/>
      <c r="Q374" s="288"/>
    </row>
    <row r="375" spans="1:20" s="102" customFormat="1" ht="12.75" customHeight="1">
      <c r="A375" s="2639" t="s">
        <v>2505</v>
      </c>
      <c r="B375" s="687"/>
      <c r="C375" s="327"/>
      <c r="D375" s="328"/>
      <c r="E375" s="329"/>
      <c r="F375" s="330"/>
      <c r="G375" s="331"/>
      <c r="H375" s="330"/>
      <c r="I375" s="332"/>
      <c r="J375" s="333"/>
      <c r="K375" s="481"/>
      <c r="L375" s="343"/>
      <c r="M375" s="333"/>
      <c r="N375" s="360"/>
      <c r="O375" s="288"/>
      <c r="P375" s="297"/>
      <c r="Q375" s="297"/>
    </row>
    <row r="376" spans="1:20" s="102" customFormat="1" ht="13.5" thickBot="1">
      <c r="A376" s="2644"/>
      <c r="B376" s="707"/>
      <c r="C376" s="479"/>
      <c r="D376" s="364"/>
      <c r="E376" s="365"/>
      <c r="F376" s="366"/>
      <c r="G376" s="322"/>
      <c r="H376" s="366"/>
      <c r="I376" s="367"/>
      <c r="J376" s="368"/>
      <c r="K376" s="365"/>
      <c r="L376" s="369"/>
      <c r="M376" s="368"/>
      <c r="N376" s="370"/>
      <c r="O376" s="288"/>
      <c r="P376" s="297"/>
      <c r="Q376" s="297"/>
    </row>
    <row r="377" spans="1:20" s="102" customFormat="1" ht="12.75" customHeight="1">
      <c r="A377" s="2644"/>
      <c r="B377" s="692"/>
      <c r="C377" s="693"/>
      <c r="D377" s="697"/>
      <c r="E377" s="694"/>
      <c r="F377" s="655"/>
      <c r="G377" s="698"/>
      <c r="H377" s="655"/>
      <c r="I377" s="398"/>
      <c r="J377" s="478"/>
      <c r="K377" s="705"/>
      <c r="L377" s="695"/>
      <c r="M377" s="478"/>
      <c r="N377" s="696"/>
      <c r="O377" s="288"/>
      <c r="P377" s="297"/>
      <c r="Q377" s="297"/>
    </row>
    <row r="378" spans="1:20" s="102" customFormat="1" ht="13.5" thickBot="1">
      <c r="A378" s="2640"/>
      <c r="B378" s="700"/>
      <c r="C378" s="701"/>
      <c r="D378" s="708"/>
      <c r="E378" s="702"/>
      <c r="F378" s="709"/>
      <c r="G378" s="710"/>
      <c r="H378" s="709"/>
      <c r="I378" s="711"/>
      <c r="J378" s="480"/>
      <c r="K378" s="702"/>
      <c r="L378" s="703"/>
      <c r="M378" s="480"/>
      <c r="N378" s="704"/>
      <c r="O378" s="288"/>
      <c r="P378" s="297"/>
      <c r="Q378" s="297"/>
    </row>
    <row r="379" spans="1:20" s="102" customFormat="1" ht="13.5" thickBot="1">
      <c r="A379" s="323"/>
      <c r="B379" s="323"/>
      <c r="C379" s="309"/>
      <c r="D379" s="382"/>
      <c r="E379" s="323"/>
      <c r="F379" s="309"/>
      <c r="G379" s="309"/>
      <c r="H379" s="323"/>
      <c r="I379" s="325"/>
      <c r="J379" s="325"/>
      <c r="K379" s="323"/>
      <c r="L379" s="323"/>
      <c r="M379" s="325"/>
      <c r="N379" s="706">
        <f>SUM(N375:N378)</f>
        <v>0</v>
      </c>
      <c r="O379" s="288"/>
      <c r="P379" s="297"/>
      <c r="Q379" s="297"/>
    </row>
    <row r="380" spans="1:20" s="102" customFormat="1" ht="8.25" customHeight="1" thickBot="1">
      <c r="A380" s="323"/>
      <c r="B380" s="323"/>
      <c r="C380" s="323"/>
      <c r="D380" s="382"/>
      <c r="E380" s="323"/>
      <c r="F380" s="325"/>
      <c r="G380" s="325"/>
      <c r="H380" s="325"/>
      <c r="I380" s="323"/>
      <c r="J380" s="323"/>
      <c r="K380" s="323"/>
      <c r="L380" s="325"/>
      <c r="M380" s="323"/>
      <c r="N380" s="309"/>
      <c r="O380" s="288"/>
      <c r="P380" s="297"/>
      <c r="Q380" s="288"/>
    </row>
    <row r="381" spans="1:20" s="102" customFormat="1">
      <c r="A381" s="2629" t="s">
        <v>1228</v>
      </c>
      <c r="B381" s="687" t="s">
        <v>2498</v>
      </c>
      <c r="C381" s="327"/>
      <c r="D381" s="328">
        <f t="shared" ref="D381:D382" si="231">IF(H381&lt;&gt;"",VLOOKUP(G381,base_barras,IF(H381="Desnuda",2,5)+F381-1,FALSE),"-")</f>
        <v>1810</v>
      </c>
      <c r="E381" s="481">
        <v>4</v>
      </c>
      <c r="F381" s="330">
        <v>1</v>
      </c>
      <c r="G381" s="331" t="s">
        <v>468</v>
      </c>
      <c r="H381" s="330" t="s">
        <v>1043</v>
      </c>
      <c r="I381" s="332">
        <f>0.2</f>
        <v>0.2</v>
      </c>
      <c r="J381" s="333">
        <f t="shared" ref="J381" si="232">IF(G381&lt;&gt;"",VLOOKUP(G381,precio_barras,9,FALSE),0)</f>
        <v>88.9</v>
      </c>
      <c r="K381" s="329">
        <v>0</v>
      </c>
      <c r="L381" s="343" t="str">
        <f t="shared" ref="L381:L382" si="233">IF(G381&lt;&gt;"",IF(VLOOKUP(G381,base_barras,10,FALSE)&lt;&gt;"",VLOOKUP(G381,base_barras,10,FALSE),"-"),"-")</f>
        <v>1.5/1250</v>
      </c>
      <c r="M381" s="333">
        <f t="shared" ref="M381" si="234">IF(L381&lt;&gt;"-",VLOOKUP(L381,precio_aislador,2,FALSE),0)</f>
        <v>5.5</v>
      </c>
      <c r="N381" s="360">
        <f t="shared" ref="N381:N382" si="235">(I381*J381*F381+K381*M381)*E381*1.67*1.25</f>
        <v>148.46300000000002</v>
      </c>
      <c r="O381" s="288"/>
      <c r="P381" s="297"/>
      <c r="Q381" s="297"/>
    </row>
    <row r="382" spans="1:20" s="102" customFormat="1" ht="13.5" thickBot="1">
      <c r="A382" s="2635"/>
      <c r="B382" s="707"/>
      <c r="C382" s="479"/>
      <c r="D382" s="364" t="str">
        <f t="shared" si="231"/>
        <v>-</v>
      </c>
      <c r="E382" s="365"/>
      <c r="F382" s="366"/>
      <c r="G382" s="322"/>
      <c r="H382" s="366"/>
      <c r="I382" s="367"/>
      <c r="J382" s="480">
        <f>IF(G382&lt;&gt;"",VLOOKUP(G382,precio_barras,9,FALSE),0)</f>
        <v>0</v>
      </c>
      <c r="K382" s="365"/>
      <c r="L382" s="369" t="str">
        <f t="shared" si="233"/>
        <v>-</v>
      </c>
      <c r="M382" s="368">
        <f>IF(L382&lt;&gt;"-",VLOOKUP(L382,precio_aislador,2,FALSE),0)</f>
        <v>0</v>
      </c>
      <c r="N382" s="370">
        <f t="shared" si="235"/>
        <v>0</v>
      </c>
      <c r="O382" s="288"/>
      <c r="P382" s="297"/>
      <c r="Q382" s="297"/>
    </row>
    <row r="383" spans="1:20" s="102" customFormat="1" ht="13.5" thickBot="1">
      <c r="A383" s="323"/>
      <c r="B383" s="323"/>
      <c r="C383" s="309"/>
      <c r="D383" s="382"/>
      <c r="E383" s="323"/>
      <c r="F383" s="309"/>
      <c r="G383" s="309"/>
      <c r="H383" s="323"/>
      <c r="I383" s="325"/>
      <c r="J383" s="325"/>
      <c r="K383" s="323"/>
      <c r="L383" s="323"/>
      <c r="M383" s="325"/>
      <c r="N383" s="706">
        <f>SUM(N381:N382)</f>
        <v>148.46300000000002</v>
      </c>
      <c r="O383" s="288"/>
      <c r="P383" s="297"/>
      <c r="Q383" s="297"/>
    </row>
    <row r="384" spans="1:20" s="102" customFormat="1" ht="8.25" customHeight="1" thickBot="1">
      <c r="A384" s="323"/>
      <c r="B384" s="323"/>
      <c r="C384" s="323"/>
      <c r="D384" s="382"/>
      <c r="E384" s="323"/>
      <c r="F384" s="325"/>
      <c r="G384" s="325"/>
      <c r="H384" s="325"/>
      <c r="I384" s="323"/>
      <c r="J384" s="323"/>
      <c r="K384" s="323"/>
      <c r="L384" s="325"/>
      <c r="M384" s="323"/>
      <c r="N384" s="309"/>
      <c r="O384" s="288"/>
      <c r="P384" s="297"/>
      <c r="Q384" s="288"/>
    </row>
    <row r="385" spans="1:20" s="102" customFormat="1">
      <c r="A385" s="2645" t="s">
        <v>2548</v>
      </c>
      <c r="B385" s="687"/>
      <c r="C385" s="327"/>
      <c r="D385" s="328"/>
      <c r="E385" s="329"/>
      <c r="F385" s="330"/>
      <c r="G385" s="331"/>
      <c r="H385" s="330"/>
      <c r="I385" s="332"/>
      <c r="J385" s="333"/>
      <c r="K385" s="329"/>
      <c r="L385" s="343"/>
      <c r="M385" s="333"/>
      <c r="N385" s="360"/>
      <c r="O385" s="288"/>
      <c r="P385" s="297"/>
      <c r="Q385" s="297"/>
    </row>
    <row r="386" spans="1:20" s="199" customFormat="1" ht="15.75" customHeight="1">
      <c r="A386" s="2646"/>
      <c r="B386" s="692"/>
      <c r="C386" s="693"/>
      <c r="D386" s="697"/>
      <c r="E386" s="694"/>
      <c r="F386" s="655"/>
      <c r="G386" s="698"/>
      <c r="H386" s="655"/>
      <c r="I386" s="398"/>
      <c r="J386" s="478"/>
      <c r="K386" s="694"/>
      <c r="L386" s="695"/>
      <c r="M386" s="478"/>
      <c r="N386" s="696"/>
      <c r="O386" s="288"/>
      <c r="P386" s="297"/>
      <c r="Q386" s="288"/>
      <c r="R386" s="102"/>
      <c r="S386" s="102"/>
      <c r="T386" s="102"/>
    </row>
    <row r="387" spans="1:20" s="199" customFormat="1" ht="15.75" customHeight="1" thickBot="1">
      <c r="A387" s="2646"/>
      <c r="B387" s="707"/>
      <c r="C387" s="479"/>
      <c r="D387" s="364"/>
      <c r="E387" s="365"/>
      <c r="F387" s="366"/>
      <c r="G387" s="322"/>
      <c r="H387" s="366"/>
      <c r="I387" s="367"/>
      <c r="J387" s="368"/>
      <c r="K387" s="365"/>
      <c r="L387" s="369"/>
      <c r="M387" s="368"/>
      <c r="N387" s="370"/>
      <c r="O387" s="288"/>
      <c r="P387" s="297"/>
      <c r="Q387" s="288"/>
      <c r="R387" s="102"/>
      <c r="S387" s="102"/>
      <c r="T387" s="102"/>
    </row>
    <row r="388" spans="1:20" s="102" customFormat="1">
      <c r="A388" s="2646"/>
      <c r="B388" s="692"/>
      <c r="C388" s="693"/>
      <c r="D388" s="697"/>
      <c r="E388" s="694"/>
      <c r="F388" s="655"/>
      <c r="G388" s="698"/>
      <c r="H388" s="655"/>
      <c r="I388" s="398"/>
      <c r="J388" s="478"/>
      <c r="K388" s="694"/>
      <c r="L388" s="695"/>
      <c r="M388" s="478"/>
      <c r="N388" s="696"/>
      <c r="O388" s="288"/>
      <c r="P388" s="297"/>
      <c r="Q388" s="297"/>
    </row>
    <row r="389" spans="1:20" s="199" customFormat="1" ht="15.75" customHeight="1" thickBot="1">
      <c r="A389" s="2647"/>
      <c r="B389" s="700"/>
      <c r="C389" s="701"/>
      <c r="D389" s="708"/>
      <c r="E389" s="702"/>
      <c r="F389" s="709"/>
      <c r="G389" s="710"/>
      <c r="H389" s="709"/>
      <c r="I389" s="711"/>
      <c r="J389" s="480"/>
      <c r="K389" s="702"/>
      <c r="L389" s="703"/>
      <c r="M389" s="480"/>
      <c r="N389" s="704"/>
      <c r="O389" s="288"/>
      <c r="P389" s="297"/>
      <c r="Q389" s="288"/>
      <c r="R389" s="102"/>
      <c r="S389" s="102"/>
      <c r="T389" s="102"/>
    </row>
    <row r="390" spans="1:20" s="102" customFormat="1" ht="13.5" thickBot="1">
      <c r="A390" s="323"/>
      <c r="B390" s="323"/>
      <c r="C390" s="309"/>
      <c r="D390" s="382"/>
      <c r="E390" s="323"/>
      <c r="F390" s="309"/>
      <c r="G390" s="309"/>
      <c r="H390" s="323"/>
      <c r="I390" s="325"/>
      <c r="J390" s="325"/>
      <c r="K390" s="323"/>
      <c r="L390" s="323"/>
      <c r="M390" s="325"/>
      <c r="N390" s="706">
        <f>SUM(N385:N389)</f>
        <v>0</v>
      </c>
      <c r="O390" s="288"/>
      <c r="P390" s="297"/>
      <c r="Q390" s="297"/>
    </row>
    <row r="391" spans="1:20" s="102" customFormat="1" ht="8.25" customHeight="1" thickBot="1">
      <c r="A391" s="323"/>
      <c r="B391" s="323"/>
      <c r="C391" s="323"/>
      <c r="D391" s="382"/>
      <c r="E391" s="323"/>
      <c r="F391" s="325"/>
      <c r="G391" s="325"/>
      <c r="H391" s="325"/>
      <c r="I391" s="323"/>
      <c r="J391" s="323"/>
      <c r="K391" s="323"/>
      <c r="L391" s="325"/>
      <c r="M391" s="323"/>
      <c r="N391" s="309"/>
      <c r="O391" s="288"/>
      <c r="P391" s="297"/>
      <c r="Q391" s="288"/>
    </row>
    <row r="392" spans="1:20" s="102" customFormat="1">
      <c r="A392" s="2629" t="s">
        <v>1034</v>
      </c>
      <c r="B392" s="687"/>
      <c r="C392" s="327"/>
      <c r="D392" s="328"/>
      <c r="E392" s="329"/>
      <c r="F392" s="330"/>
      <c r="G392" s="331"/>
      <c r="H392" s="330"/>
      <c r="I392" s="332"/>
      <c r="J392" s="333"/>
      <c r="K392" s="329"/>
      <c r="L392" s="343"/>
      <c r="M392" s="333"/>
      <c r="N392" s="360"/>
      <c r="O392" s="288"/>
      <c r="P392" s="297"/>
      <c r="Q392" s="297"/>
    </row>
    <row r="393" spans="1:20" s="102" customFormat="1" ht="13.5" thickBot="1">
      <c r="A393" s="2635"/>
      <c r="B393" s="700"/>
      <c r="C393" s="701"/>
      <c r="D393" s="708"/>
      <c r="E393" s="702"/>
      <c r="F393" s="709"/>
      <c r="G393" s="710"/>
      <c r="H393" s="709"/>
      <c r="I393" s="711"/>
      <c r="J393" s="480"/>
      <c r="K393" s="702"/>
      <c r="L393" s="703"/>
      <c r="M393" s="480"/>
      <c r="N393" s="704"/>
      <c r="O393" s="288"/>
      <c r="P393" s="297"/>
      <c r="Q393" s="297"/>
    </row>
    <row r="394" spans="1:20" s="102" customFormat="1" ht="13.5" thickBot="1">
      <c r="A394" s="323"/>
      <c r="B394" s="323"/>
      <c r="C394" s="309"/>
      <c r="D394" s="382"/>
      <c r="E394" s="323"/>
      <c r="F394" s="309"/>
      <c r="G394" s="309"/>
      <c r="H394" s="323"/>
      <c r="I394" s="325"/>
      <c r="J394" s="325"/>
      <c r="K394" s="323"/>
      <c r="L394" s="323"/>
      <c r="M394" s="325"/>
      <c r="N394" s="706">
        <f>SUM(N392:N393)</f>
        <v>0</v>
      </c>
      <c r="O394" s="288"/>
      <c r="P394" s="297"/>
      <c r="Q394" s="297"/>
    </row>
    <row r="395" spans="1:20" s="102" customFormat="1">
      <c r="A395" s="323"/>
      <c r="B395" s="309"/>
      <c r="C395" s="309"/>
      <c r="D395" s="382"/>
      <c r="E395" s="323"/>
      <c r="F395" s="309"/>
      <c r="G395" s="309"/>
      <c r="H395" s="323"/>
      <c r="I395" s="325"/>
      <c r="J395" s="325"/>
      <c r="K395" s="323"/>
      <c r="L395" s="323"/>
      <c r="M395" s="325"/>
      <c r="N395" s="722"/>
      <c r="O395" s="288"/>
      <c r="P395" s="297"/>
      <c r="Q395" s="297"/>
    </row>
    <row r="396" spans="1:20" s="102" customFormat="1" ht="15">
      <c r="A396" s="323"/>
      <c r="B396" s="723" t="s">
        <v>2513</v>
      </c>
      <c r="C396" s="309"/>
      <c r="D396" s="382"/>
      <c r="E396" s="323"/>
      <c r="F396" s="309"/>
      <c r="G396" s="309"/>
      <c r="H396" s="323"/>
      <c r="I396" s="325"/>
      <c r="J396" s="325"/>
      <c r="K396" s="323"/>
      <c r="L396" s="323"/>
      <c r="M396" s="325"/>
      <c r="N396" s="722"/>
      <c r="O396" s="288"/>
      <c r="P396" s="297"/>
      <c r="Q396" s="297"/>
    </row>
    <row r="397" spans="1:20" s="102" customFormat="1" ht="13.5" thickBot="1">
      <c r="A397" s="323"/>
      <c r="B397" s="309"/>
      <c r="C397" s="309"/>
      <c r="D397" s="382"/>
      <c r="E397" s="323"/>
      <c r="F397" s="309"/>
      <c r="G397" s="309"/>
      <c r="H397" s="323"/>
      <c r="I397" s="325"/>
      <c r="J397" s="325"/>
      <c r="K397" s="323"/>
      <c r="L397" s="323"/>
      <c r="M397" s="325"/>
      <c r="N397" s="722"/>
      <c r="O397" s="288"/>
      <c r="P397" s="297"/>
      <c r="Q397" s="297"/>
    </row>
    <row r="398" spans="1:20" s="199" customFormat="1" ht="15.75" customHeight="1">
      <c r="A398" s="2641" t="s">
        <v>3699</v>
      </c>
      <c r="B398" s="687" t="s">
        <v>2498</v>
      </c>
      <c r="C398" s="327"/>
      <c r="D398" s="328">
        <f t="shared" ref="D398" si="236">IF(H398&lt;&gt;"",VLOOKUP(G398,base_barras,IF(H398="Desnuda",2,5)+F398-1,FALSE),"-")</f>
        <v>1180</v>
      </c>
      <c r="E398" s="329">
        <v>4</v>
      </c>
      <c r="F398" s="330">
        <v>1</v>
      </c>
      <c r="G398" s="331" t="s">
        <v>581</v>
      </c>
      <c r="H398" s="330" t="s">
        <v>1043</v>
      </c>
      <c r="I398" s="332">
        <f>0.9+0.9</f>
        <v>1.8</v>
      </c>
      <c r="J398" s="333">
        <f t="shared" ref="J398:J402" si="237">IF(G398&lt;&gt;"",VLOOKUP(G398,precio_barras,9,FALSE),0)</f>
        <v>53.3</v>
      </c>
      <c r="K398" s="329">
        <f>2+2</f>
        <v>4</v>
      </c>
      <c r="L398" s="343" t="str">
        <f t="shared" ref="L398" si="238">IF(G398&lt;&gt;"",IF(VLOOKUP(G398,base_barras,10,FALSE)&lt;&gt;"",VLOOKUP(G398,base_barras,10,FALSE),"-"),"-")</f>
        <v>1/750</v>
      </c>
      <c r="M398" s="333">
        <f t="shared" ref="M398" si="239">IF(L398&lt;&gt;"-",VLOOKUP(L398,precio_aislador,2,FALSE),0)</f>
        <v>1.9</v>
      </c>
      <c r="N398" s="360">
        <f t="shared" ref="N398" si="240">(I398*J398*F398+K398*M398)*E398*1.67*1.25</f>
        <v>864.55899999999986</v>
      </c>
      <c r="O398" s="288"/>
      <c r="P398" s="297"/>
      <c r="Q398" s="288"/>
      <c r="R398" s="102"/>
      <c r="S398" s="102"/>
      <c r="T398" s="102"/>
    </row>
    <row r="399" spans="1:20" s="199" customFormat="1" ht="14.25">
      <c r="A399" s="2642"/>
      <c r="B399" s="688" t="s">
        <v>802</v>
      </c>
      <c r="C399" s="319"/>
      <c r="D399" s="312">
        <f>IF(H399&lt;&gt;"",VLOOKUP(G399,base_barras,IF(H399="Desnuda",2,5)+F399-1,FALSE),"-")</f>
        <v>447</v>
      </c>
      <c r="E399" s="313">
        <v>1</v>
      </c>
      <c r="F399" s="314">
        <v>1</v>
      </c>
      <c r="G399" s="315" t="s">
        <v>579</v>
      </c>
      <c r="H399" s="689" t="str">
        <f>H398</f>
        <v>Pintada</v>
      </c>
      <c r="I399" s="690">
        <f>I398</f>
        <v>1.8</v>
      </c>
      <c r="J399" s="317">
        <f t="shared" si="237"/>
        <v>13.3</v>
      </c>
      <c r="K399" s="691">
        <v>0</v>
      </c>
      <c r="L399" s="318" t="str">
        <f>IF(G399&lt;&gt;"",IF(VLOOKUP(G399,base_barras,10,FALSE)&lt;&gt;"",VLOOKUP(G399,base_barras,10,FALSE),"-"),"-")</f>
        <v>0.5/400</v>
      </c>
      <c r="M399" s="317">
        <f>IF(L399&lt;&gt;"-",VLOOKUP(L399,precio_aislador,2,FALSE),0)</f>
        <v>1.2</v>
      </c>
      <c r="N399" s="308">
        <f>(I399*J399*F399+K399*M399)*E399*1.67*1.25</f>
        <v>49.97475</v>
      </c>
      <c r="O399" s="288"/>
      <c r="P399" s="297"/>
      <c r="Q399" s="288"/>
      <c r="R399" s="102"/>
      <c r="S399" s="102"/>
      <c r="T399" s="102"/>
    </row>
    <row r="400" spans="1:20" s="199" customFormat="1" ht="15.75" customHeight="1">
      <c r="A400" s="2642"/>
      <c r="B400" s="692" t="s">
        <v>3637</v>
      </c>
      <c r="C400" s="693"/>
      <c r="D400" s="312">
        <f t="shared" ref="D400:D402" si="241">IF(H400&lt;&gt;"",VLOOKUP(G400,base_barras,IF(H400="Desnuda",2,5)+F400-1,FALSE),"-")</f>
        <v>1180</v>
      </c>
      <c r="E400" s="313">
        <v>3</v>
      </c>
      <c r="F400" s="314">
        <v>1</v>
      </c>
      <c r="G400" s="315" t="s">
        <v>581</v>
      </c>
      <c r="H400" s="314" t="s">
        <v>1043</v>
      </c>
      <c r="I400" s="316">
        <v>0.61</v>
      </c>
      <c r="J400" s="317">
        <f t="shared" si="237"/>
        <v>53.3</v>
      </c>
      <c r="K400" s="694">
        <v>0</v>
      </c>
      <c r="L400" s="695" t="str">
        <f t="shared" ref="L400:L402" si="242">IF(G400&lt;&gt;"",IF(VLOOKUP(G400,base_barras,10,FALSE)&lt;&gt;"",VLOOKUP(G400,base_barras,10,FALSE),"-"),"-")</f>
        <v>1/750</v>
      </c>
      <c r="M400" s="478">
        <f t="shared" ref="M400:M402" si="243">IF(L400&lt;&gt;"-",VLOOKUP(L400,precio_aislador,2,FALSE),0)</f>
        <v>1.9</v>
      </c>
      <c r="N400" s="696">
        <f t="shared" ref="N400:N402" si="244">(I400*J400*F400+K400*M400)*E400*1.67*1.25</f>
        <v>203.61266249999997</v>
      </c>
      <c r="O400" s="288"/>
      <c r="P400" s="297"/>
      <c r="Q400" s="288"/>
      <c r="R400" s="102"/>
      <c r="S400" s="102"/>
      <c r="T400" s="102"/>
    </row>
    <row r="401" spans="1:20" s="199" customFormat="1" ht="15.75" customHeight="1">
      <c r="A401" s="2642"/>
      <c r="B401" s="688" t="s">
        <v>3633</v>
      </c>
      <c r="C401" s="311"/>
      <c r="D401" s="312">
        <f t="shared" si="241"/>
        <v>573</v>
      </c>
      <c r="E401" s="313">
        <v>3</v>
      </c>
      <c r="F401" s="314">
        <v>1</v>
      </c>
      <c r="G401" s="315" t="s">
        <v>314</v>
      </c>
      <c r="H401" s="314" t="s">
        <v>1044</v>
      </c>
      <c r="I401" s="316">
        <v>0.5</v>
      </c>
      <c r="J401" s="317">
        <f t="shared" si="237"/>
        <v>26.6</v>
      </c>
      <c r="K401" s="313">
        <v>0</v>
      </c>
      <c r="L401" s="318" t="str">
        <f t="shared" si="242"/>
        <v>1/750</v>
      </c>
      <c r="M401" s="317">
        <f t="shared" si="243"/>
        <v>1.9</v>
      </c>
      <c r="N401" s="308">
        <f t="shared" si="244"/>
        <v>83.291250000000019</v>
      </c>
      <c r="O401" s="288"/>
      <c r="P401" s="297"/>
      <c r="Q401" s="288"/>
      <c r="R401" s="102"/>
      <c r="S401" s="102"/>
      <c r="T401" s="102"/>
    </row>
    <row r="402" spans="1:20" s="199" customFormat="1" ht="15.75" customHeight="1" thickBot="1">
      <c r="A402" s="2643"/>
      <c r="B402" s="688" t="s">
        <v>3633</v>
      </c>
      <c r="C402" s="311"/>
      <c r="D402" s="312">
        <f t="shared" si="241"/>
        <v>573</v>
      </c>
      <c r="E402" s="313">
        <v>3</v>
      </c>
      <c r="F402" s="314">
        <v>1</v>
      </c>
      <c r="G402" s="315" t="s">
        <v>314</v>
      </c>
      <c r="H402" s="314" t="s">
        <v>1044</v>
      </c>
      <c r="I402" s="316">
        <v>0.5</v>
      </c>
      <c r="J402" s="317">
        <f t="shared" si="237"/>
        <v>26.6</v>
      </c>
      <c r="K402" s="313">
        <v>0</v>
      </c>
      <c r="L402" s="318" t="str">
        <f t="shared" si="242"/>
        <v>1/750</v>
      </c>
      <c r="M402" s="317">
        <f t="shared" si="243"/>
        <v>1.9</v>
      </c>
      <c r="N402" s="308">
        <f t="shared" si="244"/>
        <v>83.291250000000019</v>
      </c>
      <c r="O402" s="288"/>
      <c r="P402" s="297"/>
      <c r="Q402" s="288"/>
      <c r="R402" s="102"/>
      <c r="S402" s="102"/>
      <c r="T402" s="102"/>
    </row>
    <row r="403" spans="1:20" s="129" customFormat="1" ht="22.5" customHeight="1" thickBot="1">
      <c r="A403" s="371"/>
      <c r="B403" s="373"/>
      <c r="C403" s="375"/>
      <c r="D403" s="383"/>
      <c r="E403" s="373"/>
      <c r="F403" s="373"/>
      <c r="G403" s="373"/>
      <c r="H403" s="373"/>
      <c r="I403" s="374"/>
      <c r="J403" s="374"/>
      <c r="K403" s="373"/>
      <c r="L403" s="373"/>
      <c r="M403" s="372"/>
      <c r="N403" s="699">
        <f>SUM(N398:N402)</f>
        <v>1284.7289124999998</v>
      </c>
      <c r="O403" s="288"/>
      <c r="P403" s="297"/>
      <c r="Q403" s="288"/>
      <c r="R403" s="102"/>
      <c r="S403" s="102"/>
      <c r="T403" s="102"/>
    </row>
    <row r="404" spans="1:20" s="102" customFormat="1" ht="8.25" customHeight="1" thickBot="1">
      <c r="A404" s="323"/>
      <c r="B404" s="323"/>
      <c r="C404" s="323"/>
      <c r="D404" s="382"/>
      <c r="E404" s="323"/>
      <c r="F404" s="325"/>
      <c r="G404" s="325"/>
      <c r="H404" s="325"/>
      <c r="I404" s="323"/>
      <c r="J404" s="323"/>
      <c r="K404" s="323"/>
      <c r="L404" s="325"/>
      <c r="M404" s="323"/>
      <c r="N404" s="309"/>
      <c r="O404" s="288"/>
      <c r="P404" s="297"/>
      <c r="Q404" s="288"/>
    </row>
    <row r="405" spans="1:20" s="102" customFormat="1" ht="12.75" customHeight="1">
      <c r="A405" s="2639" t="s">
        <v>2502</v>
      </c>
      <c r="B405" s="687"/>
      <c r="C405" s="327"/>
      <c r="D405" s="328"/>
      <c r="E405" s="329"/>
      <c r="F405" s="330"/>
      <c r="G405" s="331"/>
      <c r="H405" s="330"/>
      <c r="I405" s="332"/>
      <c r="J405" s="333"/>
      <c r="K405" s="481"/>
      <c r="L405" s="343"/>
      <c r="M405" s="333"/>
      <c r="N405" s="360"/>
      <c r="O405" s="288"/>
      <c r="P405" s="297"/>
      <c r="Q405" s="297"/>
    </row>
    <row r="406" spans="1:20" s="199" customFormat="1" ht="15.75" customHeight="1" thickBot="1">
      <c r="A406" s="2644"/>
      <c r="B406" s="700"/>
      <c r="C406" s="701"/>
      <c r="D406" s="364"/>
      <c r="E406" s="365"/>
      <c r="F406" s="366"/>
      <c r="G406" s="322"/>
      <c r="H406" s="366"/>
      <c r="I406" s="367"/>
      <c r="J406" s="368"/>
      <c r="K406" s="702"/>
      <c r="L406" s="703"/>
      <c r="M406" s="480"/>
      <c r="N406" s="704"/>
      <c r="O406" s="288"/>
      <c r="P406" s="297"/>
      <c r="Q406" s="288"/>
      <c r="R406" s="102"/>
      <c r="S406" s="102"/>
      <c r="T406" s="102"/>
    </row>
    <row r="407" spans="1:20" s="102" customFormat="1" ht="12.75" customHeight="1">
      <c r="A407" s="2644"/>
      <c r="B407" s="692"/>
      <c r="C407" s="693"/>
      <c r="D407" s="697"/>
      <c r="E407" s="694"/>
      <c r="F407" s="655"/>
      <c r="G407" s="698"/>
      <c r="H407" s="655"/>
      <c r="I407" s="398"/>
      <c r="J407" s="478"/>
      <c r="K407" s="705"/>
      <c r="L407" s="695"/>
      <c r="M407" s="478"/>
      <c r="N407" s="696"/>
      <c r="O407" s="288"/>
      <c r="P407" s="297"/>
      <c r="Q407" s="297"/>
    </row>
    <row r="408" spans="1:20" s="199" customFormat="1" ht="15.75" customHeight="1" thickBot="1">
      <c r="A408" s="2640"/>
      <c r="B408" s="700"/>
      <c r="C408" s="701"/>
      <c r="D408" s="364"/>
      <c r="E408" s="365"/>
      <c r="F408" s="366"/>
      <c r="G408" s="322"/>
      <c r="H408" s="366"/>
      <c r="I408" s="367"/>
      <c r="J408" s="368"/>
      <c r="K408" s="702"/>
      <c r="L408" s="703"/>
      <c r="M408" s="480"/>
      <c r="N408" s="704"/>
      <c r="O408" s="288"/>
      <c r="P408" s="297"/>
      <c r="Q408" s="288"/>
      <c r="R408" s="102"/>
      <c r="S408" s="102"/>
      <c r="T408" s="102"/>
    </row>
    <row r="409" spans="1:20" s="102" customFormat="1" ht="13.5" thickBot="1">
      <c r="A409" s="323"/>
      <c r="B409" s="323"/>
      <c r="C409" s="309"/>
      <c r="D409" s="382"/>
      <c r="E409" s="323"/>
      <c r="F409" s="309"/>
      <c r="G409" s="309"/>
      <c r="H409" s="323"/>
      <c r="I409" s="325"/>
      <c r="J409" s="325"/>
      <c r="K409" s="323"/>
      <c r="L409" s="323"/>
      <c r="M409" s="325"/>
      <c r="N409" s="706">
        <f>SUM(N405:N408)</f>
        <v>0</v>
      </c>
      <c r="O409" s="288"/>
      <c r="P409" s="297"/>
      <c r="Q409" s="297"/>
    </row>
    <row r="410" spans="1:20" s="102" customFormat="1" ht="8.25" customHeight="1" thickBot="1">
      <c r="A410" s="323"/>
      <c r="B410" s="323"/>
      <c r="C410" s="323"/>
      <c r="D410" s="382"/>
      <c r="E410" s="323"/>
      <c r="F410" s="325"/>
      <c r="G410" s="325"/>
      <c r="H410" s="325"/>
      <c r="I410" s="323"/>
      <c r="J410" s="323"/>
      <c r="K410" s="323"/>
      <c r="L410" s="325"/>
      <c r="M410" s="323"/>
      <c r="N410" s="309"/>
      <c r="O410" s="288"/>
      <c r="P410" s="297"/>
      <c r="Q410" s="288"/>
    </row>
    <row r="411" spans="1:20" s="102" customFormat="1" ht="12.75" customHeight="1">
      <c r="A411" s="2639" t="s">
        <v>2505</v>
      </c>
      <c r="B411" s="687"/>
      <c r="C411" s="327"/>
      <c r="D411" s="328"/>
      <c r="E411" s="329"/>
      <c r="F411" s="330"/>
      <c r="G411" s="331"/>
      <c r="H411" s="330"/>
      <c r="I411" s="332"/>
      <c r="J411" s="333"/>
      <c r="K411" s="481"/>
      <c r="L411" s="343"/>
      <c r="M411" s="333"/>
      <c r="N411" s="360"/>
      <c r="O411" s="288"/>
      <c r="P411" s="297"/>
      <c r="Q411" s="297"/>
    </row>
    <row r="412" spans="1:20" s="102" customFormat="1" ht="13.5" thickBot="1">
      <c r="A412" s="2644"/>
      <c r="B412" s="707"/>
      <c r="C412" s="479"/>
      <c r="D412" s="364"/>
      <c r="E412" s="365"/>
      <c r="F412" s="366"/>
      <c r="G412" s="322"/>
      <c r="H412" s="366"/>
      <c r="I412" s="367"/>
      <c r="J412" s="368"/>
      <c r="K412" s="365"/>
      <c r="L412" s="369"/>
      <c r="M412" s="368"/>
      <c r="N412" s="370"/>
      <c r="O412" s="288"/>
      <c r="P412" s="297"/>
      <c r="Q412" s="297"/>
    </row>
    <row r="413" spans="1:20" s="102" customFormat="1" ht="12.75" customHeight="1">
      <c r="A413" s="2644"/>
      <c r="B413" s="692"/>
      <c r="C413" s="693"/>
      <c r="D413" s="697"/>
      <c r="E413" s="694"/>
      <c r="F413" s="655"/>
      <c r="G413" s="698"/>
      <c r="H413" s="655"/>
      <c r="I413" s="398"/>
      <c r="J413" s="478"/>
      <c r="K413" s="705"/>
      <c r="L413" s="695"/>
      <c r="M413" s="478"/>
      <c r="N413" s="696"/>
      <c r="O413" s="288"/>
      <c r="P413" s="297"/>
      <c r="Q413" s="297"/>
    </row>
    <row r="414" spans="1:20" s="102" customFormat="1" ht="13.5" thickBot="1">
      <c r="A414" s="2640"/>
      <c r="B414" s="700"/>
      <c r="C414" s="701"/>
      <c r="D414" s="708"/>
      <c r="E414" s="702"/>
      <c r="F414" s="709"/>
      <c r="G414" s="710"/>
      <c r="H414" s="709"/>
      <c r="I414" s="711"/>
      <c r="J414" s="480"/>
      <c r="K414" s="702"/>
      <c r="L414" s="703"/>
      <c r="M414" s="480"/>
      <c r="N414" s="704"/>
      <c r="O414" s="288"/>
      <c r="P414" s="297"/>
      <c r="Q414" s="297"/>
    </row>
    <row r="415" spans="1:20" s="102" customFormat="1" ht="13.5" thickBot="1">
      <c r="A415" s="323"/>
      <c r="B415" s="323"/>
      <c r="C415" s="309"/>
      <c r="D415" s="382"/>
      <c r="E415" s="323"/>
      <c r="F415" s="309"/>
      <c r="G415" s="309"/>
      <c r="H415" s="323"/>
      <c r="I415" s="325"/>
      <c r="J415" s="325"/>
      <c r="K415" s="323"/>
      <c r="L415" s="323"/>
      <c r="M415" s="325"/>
      <c r="N415" s="706">
        <f>SUM(N411:N414)</f>
        <v>0</v>
      </c>
      <c r="O415" s="288"/>
      <c r="P415" s="297"/>
      <c r="Q415" s="297"/>
    </row>
    <row r="416" spans="1:20" s="102" customFormat="1" ht="8.25" customHeight="1" thickBot="1">
      <c r="A416" s="323"/>
      <c r="B416" s="323"/>
      <c r="C416" s="323"/>
      <c r="D416" s="382"/>
      <c r="E416" s="323"/>
      <c r="F416" s="325"/>
      <c r="G416" s="325"/>
      <c r="H416" s="325"/>
      <c r="I416" s="323"/>
      <c r="J416" s="323"/>
      <c r="K416" s="323"/>
      <c r="L416" s="325"/>
      <c r="M416" s="323"/>
      <c r="N416" s="309"/>
      <c r="O416" s="288"/>
      <c r="P416" s="297"/>
      <c r="Q416" s="288"/>
    </row>
    <row r="417" spans="1:20" s="102" customFormat="1">
      <c r="A417" s="2629" t="s">
        <v>1228</v>
      </c>
      <c r="B417" s="687" t="s">
        <v>2498</v>
      </c>
      <c r="C417" s="327"/>
      <c r="D417" s="328">
        <f t="shared" ref="D417:D418" si="245">IF(H417&lt;&gt;"",VLOOKUP(G417,base_barras,IF(H417="Desnuda",2,5)+F417-1,FALSE),"-")</f>
        <v>1180</v>
      </c>
      <c r="E417" s="481">
        <v>4</v>
      </c>
      <c r="F417" s="330">
        <v>1</v>
      </c>
      <c r="G417" s="331" t="s">
        <v>581</v>
      </c>
      <c r="H417" s="330" t="s">
        <v>1043</v>
      </c>
      <c r="I417" s="332">
        <f>0.2</f>
        <v>0.2</v>
      </c>
      <c r="J417" s="333">
        <f t="shared" ref="J417" si="246">IF(G417&lt;&gt;"",VLOOKUP(G417,precio_barras,9,FALSE),0)</f>
        <v>53.3</v>
      </c>
      <c r="K417" s="329">
        <v>0</v>
      </c>
      <c r="L417" s="343" t="str">
        <f t="shared" ref="L417:L418" si="247">IF(G417&lt;&gt;"",IF(VLOOKUP(G417,base_barras,10,FALSE)&lt;&gt;"",VLOOKUP(G417,base_barras,10,FALSE),"-"),"-")</f>
        <v>1/750</v>
      </c>
      <c r="M417" s="333">
        <f t="shared" ref="M417" si="248">IF(L417&lt;&gt;"-",VLOOKUP(L417,precio_aislador,2,FALSE),0)</f>
        <v>1.9</v>
      </c>
      <c r="N417" s="360">
        <f t="shared" ref="N417:N418" si="249">(I417*J417*F417+K417*M417)*E417*1.67*1.25</f>
        <v>89.010999999999996</v>
      </c>
      <c r="O417" s="288"/>
      <c r="P417" s="297"/>
      <c r="Q417" s="297"/>
    </row>
    <row r="418" spans="1:20" s="102" customFormat="1" ht="13.5" thickBot="1">
      <c r="A418" s="2635"/>
      <c r="B418" s="707"/>
      <c r="C418" s="479"/>
      <c r="D418" s="364" t="str">
        <f t="shared" si="245"/>
        <v>-</v>
      </c>
      <c r="E418" s="365"/>
      <c r="F418" s="366"/>
      <c r="G418" s="322"/>
      <c r="H418" s="366"/>
      <c r="I418" s="367"/>
      <c r="J418" s="480">
        <f>IF(G418&lt;&gt;"",VLOOKUP(G418,precio_barras,9,FALSE),0)</f>
        <v>0</v>
      </c>
      <c r="K418" s="365"/>
      <c r="L418" s="369" t="str">
        <f t="shared" si="247"/>
        <v>-</v>
      </c>
      <c r="M418" s="368">
        <f>IF(L418&lt;&gt;"-",VLOOKUP(L418,precio_aislador,2,FALSE),0)</f>
        <v>0</v>
      </c>
      <c r="N418" s="370">
        <f t="shared" si="249"/>
        <v>0</v>
      </c>
      <c r="O418" s="288"/>
      <c r="P418" s="297"/>
      <c r="Q418" s="297"/>
    </row>
    <row r="419" spans="1:20" s="102" customFormat="1" ht="13.5" thickBot="1">
      <c r="A419" s="323"/>
      <c r="B419" s="323"/>
      <c r="C419" s="309"/>
      <c r="D419" s="382"/>
      <c r="E419" s="323"/>
      <c r="F419" s="309"/>
      <c r="G419" s="309"/>
      <c r="H419" s="323"/>
      <c r="I419" s="325"/>
      <c r="J419" s="325"/>
      <c r="K419" s="323"/>
      <c r="L419" s="323"/>
      <c r="M419" s="325"/>
      <c r="N419" s="706">
        <f>SUM(N417:N418)</f>
        <v>89.010999999999996</v>
      </c>
      <c r="O419" s="288"/>
      <c r="P419" s="297"/>
      <c r="Q419" s="297"/>
    </row>
    <row r="420" spans="1:20" s="102" customFormat="1" ht="8.25" customHeight="1" thickBot="1">
      <c r="A420" s="323"/>
      <c r="B420" s="323"/>
      <c r="C420" s="323"/>
      <c r="D420" s="382"/>
      <c r="E420" s="323"/>
      <c r="F420" s="325"/>
      <c r="G420" s="325"/>
      <c r="H420" s="325"/>
      <c r="I420" s="323"/>
      <c r="J420" s="323"/>
      <c r="K420" s="323"/>
      <c r="L420" s="325"/>
      <c r="M420" s="323"/>
      <c r="N420" s="309"/>
      <c r="O420" s="288"/>
      <c r="P420" s="297"/>
      <c r="Q420" s="288"/>
    </row>
    <row r="421" spans="1:20" s="102" customFormat="1">
      <c r="A421" s="2645" t="s">
        <v>2548</v>
      </c>
      <c r="B421" s="687"/>
      <c r="C421" s="327"/>
      <c r="D421" s="328"/>
      <c r="E421" s="329"/>
      <c r="F421" s="330"/>
      <c r="G421" s="331"/>
      <c r="H421" s="330"/>
      <c r="I421" s="332"/>
      <c r="J421" s="333"/>
      <c r="K421" s="329"/>
      <c r="L421" s="343"/>
      <c r="M421" s="333"/>
      <c r="N421" s="360"/>
      <c r="O421" s="288"/>
      <c r="P421" s="297"/>
      <c r="Q421" s="297"/>
    </row>
    <row r="422" spans="1:20" s="199" customFormat="1" ht="15.75" customHeight="1">
      <c r="A422" s="2646"/>
      <c r="B422" s="692"/>
      <c r="C422" s="693"/>
      <c r="D422" s="697"/>
      <c r="E422" s="694"/>
      <c r="F422" s="655"/>
      <c r="G422" s="698"/>
      <c r="H422" s="655"/>
      <c r="I422" s="398"/>
      <c r="J422" s="478"/>
      <c r="K422" s="694"/>
      <c r="L422" s="695"/>
      <c r="M422" s="478"/>
      <c r="N422" s="696"/>
      <c r="O422" s="288"/>
      <c r="P422" s="297"/>
      <c r="Q422" s="288"/>
      <c r="R422" s="102"/>
      <c r="S422" s="102"/>
      <c r="T422" s="102"/>
    </row>
    <row r="423" spans="1:20" s="199" customFormat="1" ht="15.75" customHeight="1" thickBot="1">
      <c r="A423" s="2646"/>
      <c r="B423" s="707"/>
      <c r="C423" s="479"/>
      <c r="D423" s="364"/>
      <c r="E423" s="365"/>
      <c r="F423" s="366"/>
      <c r="G423" s="322"/>
      <c r="H423" s="366"/>
      <c r="I423" s="367"/>
      <c r="J423" s="368"/>
      <c r="K423" s="365"/>
      <c r="L423" s="369"/>
      <c r="M423" s="368"/>
      <c r="N423" s="370"/>
      <c r="O423" s="288"/>
      <c r="P423" s="297"/>
      <c r="Q423" s="288"/>
      <c r="R423" s="102"/>
      <c r="S423" s="102"/>
      <c r="T423" s="102"/>
    </row>
    <row r="424" spans="1:20" s="102" customFormat="1">
      <c r="A424" s="2646"/>
      <c r="B424" s="692"/>
      <c r="C424" s="693"/>
      <c r="D424" s="697"/>
      <c r="E424" s="694"/>
      <c r="F424" s="655"/>
      <c r="G424" s="698"/>
      <c r="H424" s="655"/>
      <c r="I424" s="398"/>
      <c r="J424" s="478"/>
      <c r="K424" s="694"/>
      <c r="L424" s="695"/>
      <c r="M424" s="478"/>
      <c r="N424" s="696"/>
      <c r="O424" s="288"/>
      <c r="P424" s="297"/>
      <c r="Q424" s="297"/>
    </row>
    <row r="425" spans="1:20" s="199" customFormat="1" ht="15.75" customHeight="1" thickBot="1">
      <c r="A425" s="2647"/>
      <c r="B425" s="700"/>
      <c r="C425" s="701"/>
      <c r="D425" s="708"/>
      <c r="E425" s="702"/>
      <c r="F425" s="709"/>
      <c r="G425" s="710"/>
      <c r="H425" s="709"/>
      <c r="I425" s="711"/>
      <c r="J425" s="480"/>
      <c r="K425" s="702"/>
      <c r="L425" s="703"/>
      <c r="M425" s="480"/>
      <c r="N425" s="704"/>
      <c r="O425" s="288"/>
      <c r="P425" s="297"/>
      <c r="Q425" s="288"/>
      <c r="R425" s="102"/>
      <c r="S425" s="102"/>
      <c r="T425" s="102"/>
    </row>
    <row r="426" spans="1:20" s="102" customFormat="1" ht="13.5" thickBot="1">
      <c r="A426" s="323"/>
      <c r="B426" s="323"/>
      <c r="C426" s="309"/>
      <c r="D426" s="382"/>
      <c r="E426" s="323"/>
      <c r="F426" s="309"/>
      <c r="G426" s="309"/>
      <c r="H426" s="323"/>
      <c r="I426" s="325"/>
      <c r="J426" s="325"/>
      <c r="K426" s="323"/>
      <c r="L426" s="323"/>
      <c r="M426" s="325"/>
      <c r="N426" s="706">
        <f>SUM(N421:N425)</f>
        <v>0</v>
      </c>
      <c r="O426" s="288"/>
      <c r="P426" s="297"/>
      <c r="Q426" s="297"/>
    </row>
    <row r="427" spans="1:20" s="102" customFormat="1" ht="8.25" customHeight="1" thickBot="1">
      <c r="A427" s="323"/>
      <c r="B427" s="323"/>
      <c r="C427" s="323"/>
      <c r="D427" s="382"/>
      <c r="E427" s="323"/>
      <c r="F427" s="325"/>
      <c r="G427" s="325"/>
      <c r="H427" s="325"/>
      <c r="I427" s="323"/>
      <c r="J427" s="323"/>
      <c r="K427" s="323"/>
      <c r="L427" s="325"/>
      <c r="M427" s="323"/>
      <c r="N427" s="309"/>
      <c r="O427" s="288"/>
      <c r="P427" s="297"/>
      <c r="Q427" s="288"/>
    </row>
    <row r="428" spans="1:20" s="102" customFormat="1">
      <c r="A428" s="2629" t="s">
        <v>1034</v>
      </c>
      <c r="B428" s="687"/>
      <c r="C428" s="327"/>
      <c r="D428" s="328"/>
      <c r="E428" s="329"/>
      <c r="F428" s="330"/>
      <c r="G428" s="331"/>
      <c r="H428" s="330"/>
      <c r="I428" s="332"/>
      <c r="J428" s="333"/>
      <c r="K428" s="329"/>
      <c r="L428" s="343"/>
      <c r="M428" s="333"/>
      <c r="N428" s="360"/>
      <c r="O428" s="288"/>
      <c r="P428" s="297"/>
      <c r="Q428" s="297"/>
    </row>
    <row r="429" spans="1:20" s="102" customFormat="1" ht="13.5" thickBot="1">
      <c r="A429" s="2635"/>
      <c r="B429" s="700"/>
      <c r="C429" s="701"/>
      <c r="D429" s="708"/>
      <c r="E429" s="702"/>
      <c r="F429" s="709"/>
      <c r="G429" s="710"/>
      <c r="H429" s="709"/>
      <c r="I429" s="711"/>
      <c r="J429" s="480"/>
      <c r="K429" s="702"/>
      <c r="L429" s="703"/>
      <c r="M429" s="480"/>
      <c r="N429" s="704"/>
      <c r="O429" s="288"/>
      <c r="P429" s="297"/>
      <c r="Q429" s="297"/>
    </row>
    <row r="430" spans="1:20" s="102" customFormat="1" ht="13.5" thickBot="1">
      <c r="A430" s="323"/>
      <c r="B430" s="323"/>
      <c r="C430" s="309"/>
      <c r="D430" s="382"/>
      <c r="E430" s="323"/>
      <c r="F430" s="309"/>
      <c r="G430" s="309"/>
      <c r="H430" s="323"/>
      <c r="I430" s="325"/>
      <c r="J430" s="325"/>
      <c r="K430" s="323"/>
      <c r="L430" s="323"/>
      <c r="M430" s="325"/>
      <c r="N430" s="706">
        <f>SUM(N428:N429)</f>
        <v>0</v>
      </c>
      <c r="O430" s="288"/>
      <c r="P430" s="297"/>
      <c r="Q430" s="297"/>
    </row>
    <row r="431" spans="1:20" s="102" customFormat="1">
      <c r="A431" s="323"/>
      <c r="B431" s="309"/>
      <c r="C431" s="309"/>
      <c r="D431" s="382"/>
      <c r="E431" s="323"/>
      <c r="F431" s="309"/>
      <c r="G431" s="309"/>
      <c r="H431" s="323"/>
      <c r="I431" s="325"/>
      <c r="J431" s="325"/>
      <c r="K431" s="323"/>
      <c r="L431" s="323"/>
      <c r="M431" s="325"/>
      <c r="N431" s="722"/>
      <c r="O431" s="288"/>
      <c r="P431" s="297"/>
      <c r="Q431" s="297"/>
    </row>
    <row r="432" spans="1:20" s="102" customFormat="1" ht="15">
      <c r="A432" s="323"/>
      <c r="B432" s="723" t="s">
        <v>2513</v>
      </c>
      <c r="C432" s="309"/>
      <c r="D432" s="382"/>
      <c r="E432" s="323"/>
      <c r="F432" s="309"/>
      <c r="G432" s="309"/>
      <c r="H432" s="323"/>
      <c r="I432" s="325"/>
      <c r="J432" s="325"/>
      <c r="K432" s="323"/>
      <c r="L432" s="323"/>
      <c r="M432" s="325"/>
      <c r="N432" s="722"/>
      <c r="O432" s="288"/>
      <c r="P432" s="297"/>
      <c r="Q432" s="297"/>
    </row>
    <row r="433" spans="1:20" s="106" customFormat="1"/>
    <row r="434" spans="1:20" s="106" customFormat="1" ht="13.5" thickBot="1"/>
    <row r="435" spans="1:20" s="199" customFormat="1" ht="15.75" customHeight="1">
      <c r="A435" s="2641" t="s">
        <v>3703</v>
      </c>
      <c r="B435" s="687" t="s">
        <v>2498</v>
      </c>
      <c r="C435" s="327"/>
      <c r="D435" s="328">
        <f t="shared" ref="D435" si="250">IF(H435&lt;&gt;"",VLOOKUP(G435,base_barras,IF(H435="Desnuda",2,5)+F435-1,FALSE),"-")</f>
        <v>4970</v>
      </c>
      <c r="E435" s="329">
        <v>4</v>
      </c>
      <c r="F435" s="330">
        <v>2</v>
      </c>
      <c r="G435" s="331" t="s">
        <v>584</v>
      </c>
      <c r="H435" s="330" t="s">
        <v>1043</v>
      </c>
      <c r="I435" s="332">
        <f>1.2+0.9+0.9+1.2</f>
        <v>4.2</v>
      </c>
      <c r="J435" s="333">
        <f t="shared" ref="J435:J436" si="251">IF(G435&lt;&gt;"",VLOOKUP(G435,precio_barras,9,FALSE),0)</f>
        <v>231.4</v>
      </c>
      <c r="K435" s="329">
        <f>2+2+2</f>
        <v>6</v>
      </c>
      <c r="L435" s="343" t="str">
        <f t="shared" ref="L435" si="252">IF(G435&lt;&gt;"",IF(VLOOKUP(G435,base_barras,10,FALSE)&lt;&gt;"",VLOOKUP(G435,base_barras,10,FALSE),"-"),"-")</f>
        <v>1.5/1600</v>
      </c>
      <c r="M435" s="333">
        <f t="shared" ref="M435" si="253">IF(L435&lt;&gt;"-",VLOOKUP(L435,precio_aislador,2,FALSE),0)</f>
        <v>22</v>
      </c>
      <c r="N435" s="360">
        <f t="shared" ref="N435" si="254">(I435*J435*F435+K435*M435)*E435*1.67*1.25</f>
        <v>17332.596000000001</v>
      </c>
      <c r="O435" s="288"/>
      <c r="P435" s="297"/>
      <c r="Q435" s="288"/>
      <c r="R435" s="102"/>
      <c r="S435" s="102"/>
      <c r="T435" s="102"/>
    </row>
    <row r="436" spans="1:20" s="199" customFormat="1" ht="14.25">
      <c r="A436" s="2642"/>
      <c r="B436" s="688" t="s">
        <v>802</v>
      </c>
      <c r="C436" s="319"/>
      <c r="D436" s="312">
        <f>IF(H436&lt;&gt;"",VLOOKUP(G436,base_barras,IF(H436="Desnuda",2,5)+F436-1,FALSE),"-")</f>
        <v>2850</v>
      </c>
      <c r="E436" s="313">
        <v>1</v>
      </c>
      <c r="F436" s="314">
        <v>2</v>
      </c>
      <c r="G436" s="315" t="s">
        <v>468</v>
      </c>
      <c r="H436" s="689" t="str">
        <f>H435</f>
        <v>Pintada</v>
      </c>
      <c r="I436" s="690">
        <f>I435</f>
        <v>4.2</v>
      </c>
      <c r="J436" s="317">
        <f t="shared" si="251"/>
        <v>88.9</v>
      </c>
      <c r="K436" s="691">
        <v>0</v>
      </c>
      <c r="L436" s="318" t="str">
        <f>IF(G436&lt;&gt;"",IF(VLOOKUP(G436,base_barras,10,FALSE)&lt;&gt;"",VLOOKUP(G436,base_barras,10,FALSE),"-"),"-")</f>
        <v>1.5/1250</v>
      </c>
      <c r="M436" s="317">
        <f>IF(L436&lt;&gt;"-",VLOOKUP(L436,precio_aislador,2,FALSE),0)</f>
        <v>5.5</v>
      </c>
      <c r="N436" s="308">
        <f>(I436*J436*F436+K436*M436)*E436*1.67*1.25</f>
        <v>1558.8615000000002</v>
      </c>
      <c r="O436" s="288"/>
      <c r="P436" s="297"/>
      <c r="Q436" s="288"/>
      <c r="R436" s="102"/>
      <c r="S436" s="102"/>
      <c r="T436" s="102"/>
    </row>
    <row r="437" spans="1:20" s="199" customFormat="1" ht="15.75" customHeight="1">
      <c r="A437" s="2642"/>
      <c r="B437" s="692" t="s">
        <v>3564</v>
      </c>
      <c r="C437" s="693"/>
      <c r="D437" s="312">
        <f>IF(H437&lt;&gt;"",VLOOKUP(G437,base_barras,IF(H437="Desnuda",2,5)+F437-1,FALSE),"-")</f>
        <v>5360</v>
      </c>
      <c r="E437" s="313">
        <v>3</v>
      </c>
      <c r="F437" s="314">
        <v>3</v>
      </c>
      <c r="G437" s="315" t="s">
        <v>583</v>
      </c>
      <c r="H437" s="314" t="s">
        <v>1043</v>
      </c>
      <c r="I437" s="316">
        <v>0.61</v>
      </c>
      <c r="J437" s="317">
        <f>IF(G437&lt;&gt;"",VLOOKUP(G437,precio_barras,9,FALSE),0)</f>
        <v>142</v>
      </c>
      <c r="K437" s="694">
        <v>0</v>
      </c>
      <c r="L437" s="695" t="str">
        <f>IF(G437&lt;&gt;"",IF(VLOOKUP(G437,base_barras,10,FALSE)&lt;&gt;"",VLOOKUP(G437,base_barras,10,FALSE),"-"),"-")</f>
        <v>1.5/1600</v>
      </c>
      <c r="M437" s="478">
        <f>IF(L437&lt;&gt;"-",VLOOKUP(L437,precio_aislador,2,FALSE),0)</f>
        <v>22</v>
      </c>
      <c r="N437" s="696">
        <f>(I437*J437*F437+K437*M437)*E437*1.67*1.25</f>
        <v>1627.3732500000001</v>
      </c>
      <c r="O437" s="288"/>
      <c r="P437" s="297"/>
      <c r="Q437" s="288"/>
      <c r="R437" s="102"/>
      <c r="S437" s="102"/>
      <c r="T437" s="102"/>
    </row>
    <row r="438" spans="1:20" s="199" customFormat="1" ht="15.75" customHeight="1">
      <c r="A438" s="2642"/>
      <c r="B438" s="692" t="s">
        <v>3563</v>
      </c>
      <c r="C438" s="693"/>
      <c r="D438" s="312">
        <f>IF(H438&lt;&gt;"",VLOOKUP(G438,base_barras,IF(H438="Desnuda",2,5)+F438-1,FALSE),"-")</f>
        <v>4270</v>
      </c>
      <c r="E438" s="313">
        <v>3</v>
      </c>
      <c r="F438" s="314">
        <v>3</v>
      </c>
      <c r="G438" s="315" t="s">
        <v>470</v>
      </c>
      <c r="H438" s="314" t="s">
        <v>1043</v>
      </c>
      <c r="I438" s="316">
        <v>0.61</v>
      </c>
      <c r="J438" s="317">
        <f>IF(G438&lt;&gt;"",VLOOKUP(G438,precio_barras,9,FALSE),0)</f>
        <v>107</v>
      </c>
      <c r="K438" s="694">
        <v>0</v>
      </c>
      <c r="L438" s="695" t="str">
        <f>IF(G438&lt;&gt;"",IF(VLOOKUP(G438,base_barras,10,FALSE)&lt;&gt;"",VLOOKUP(G438,base_barras,10,FALSE),"-"),"-")</f>
        <v>1.5/1250</v>
      </c>
      <c r="M438" s="478">
        <f>IF(L438&lt;&gt;"-",VLOOKUP(L438,precio_aislador,2,FALSE),0)</f>
        <v>5.5</v>
      </c>
      <c r="N438" s="696">
        <f>(I438*J438*F438+K438*M438)*E438*1.67*1.25</f>
        <v>1226.260125</v>
      </c>
      <c r="O438" s="288"/>
      <c r="P438" s="297"/>
      <c r="Q438" s="288"/>
      <c r="R438" s="102"/>
      <c r="S438" s="102"/>
      <c r="T438" s="102"/>
    </row>
    <row r="439" spans="1:20" s="199" customFormat="1" ht="15.75" customHeight="1">
      <c r="A439" s="2642"/>
      <c r="B439" s="692" t="s">
        <v>3704</v>
      </c>
      <c r="C439" s="693"/>
      <c r="D439" s="312">
        <f t="shared" ref="D439" si="255">IF(H439&lt;&gt;"",VLOOKUP(G439,base_barras,IF(H439="Desnuda",2,5)+F439-1,FALSE),"-")</f>
        <v>2410</v>
      </c>
      <c r="E439" s="313">
        <v>3</v>
      </c>
      <c r="F439" s="314">
        <v>2</v>
      </c>
      <c r="G439" s="315" t="s">
        <v>582</v>
      </c>
      <c r="H439" s="314" t="s">
        <v>1043</v>
      </c>
      <c r="I439" s="316">
        <v>0.61</v>
      </c>
      <c r="J439" s="317">
        <f t="shared" ref="J439" si="256">IF(G439&lt;&gt;"",VLOOKUP(G439,precio_barras,9,FALSE),0)</f>
        <v>71.100000000000009</v>
      </c>
      <c r="K439" s="694">
        <v>0</v>
      </c>
      <c r="L439" s="695" t="str">
        <f t="shared" ref="L439" si="257">IF(G439&lt;&gt;"",IF(VLOOKUP(G439,base_barras,10,FALSE)&lt;&gt;"",VLOOKUP(G439,base_barras,10,FALSE),"-"),"-")</f>
        <v>1/1000</v>
      </c>
      <c r="M439" s="478">
        <f t="shared" ref="M439" si="258">IF(L439&lt;&gt;"-",VLOOKUP(L439,precio_aislador,2,FALSE),0)</f>
        <v>2.7</v>
      </c>
      <c r="N439" s="696">
        <f t="shared" ref="N439:N444" si="259">(I439*J439*F439+K439*M439)*E439*1.67*1.25</f>
        <v>543.22177499999998</v>
      </c>
      <c r="O439" s="288"/>
      <c r="P439" s="297"/>
      <c r="Q439" s="288"/>
      <c r="R439" s="102"/>
      <c r="S439" s="102"/>
      <c r="T439" s="102"/>
    </row>
    <row r="440" spans="1:20" s="199" customFormat="1" ht="15.75" customHeight="1">
      <c r="A440" s="2642"/>
      <c r="B440" s="692" t="s">
        <v>3705</v>
      </c>
      <c r="C440" s="693"/>
      <c r="D440" s="312">
        <f t="shared" ref="D440" si="260">IF(H440&lt;&gt;"",VLOOKUP(G440,base_barras,IF(H440="Desnuda",2,5)+F440-1,FALSE),"-")</f>
        <v>1180</v>
      </c>
      <c r="E440" s="313">
        <v>3</v>
      </c>
      <c r="F440" s="314">
        <v>1</v>
      </c>
      <c r="G440" s="315" t="s">
        <v>581</v>
      </c>
      <c r="H440" s="314" t="s">
        <v>1043</v>
      </c>
      <c r="I440" s="316">
        <v>0.61</v>
      </c>
      <c r="J440" s="317">
        <f t="shared" ref="J440" si="261">IF(G440&lt;&gt;"",VLOOKUP(G440,precio_barras,9,FALSE),0)</f>
        <v>53.3</v>
      </c>
      <c r="K440" s="694">
        <v>0</v>
      </c>
      <c r="L440" s="695" t="str">
        <f t="shared" ref="L440" si="262">IF(G440&lt;&gt;"",IF(VLOOKUP(G440,base_barras,10,FALSE)&lt;&gt;"",VLOOKUP(G440,base_barras,10,FALSE),"-"),"-")</f>
        <v>1/750</v>
      </c>
      <c r="M440" s="478">
        <f t="shared" ref="M440" si="263">IF(L440&lt;&gt;"-",VLOOKUP(L440,precio_aislador,2,FALSE),0)</f>
        <v>1.9</v>
      </c>
      <c r="N440" s="696">
        <f t="shared" si="259"/>
        <v>203.61266249999997</v>
      </c>
      <c r="O440" s="288"/>
      <c r="P440" s="297"/>
      <c r="Q440" s="288"/>
      <c r="R440" s="102"/>
      <c r="S440" s="102"/>
      <c r="T440" s="102"/>
    </row>
    <row r="441" spans="1:20" s="199" customFormat="1" ht="15.75" customHeight="1">
      <c r="A441" s="2642"/>
      <c r="B441" s="692" t="s">
        <v>3562</v>
      </c>
      <c r="C441" s="693"/>
      <c r="D441" s="312">
        <f t="shared" ref="D441:D444" si="264">IF(H441&lt;&gt;"",VLOOKUP(G441,base_barras,IF(H441="Desnuda",2,5)+F441-1,FALSE),"-")</f>
        <v>1020</v>
      </c>
      <c r="E441" s="313">
        <v>3</v>
      </c>
      <c r="F441" s="314">
        <v>1</v>
      </c>
      <c r="G441" s="315" t="s">
        <v>315</v>
      </c>
      <c r="H441" s="314" t="s">
        <v>1043</v>
      </c>
      <c r="I441" s="316">
        <v>0.61</v>
      </c>
      <c r="J441" s="317">
        <f t="shared" ref="J441:J444" si="265">IF(G441&lt;&gt;"",VLOOKUP(G441,precio_barras,9,FALSE),0)</f>
        <v>44.400000000000006</v>
      </c>
      <c r="K441" s="694">
        <v>0</v>
      </c>
      <c r="L441" s="695" t="str">
        <f t="shared" ref="L441:L444" si="266">IF(G441&lt;&gt;"",IF(VLOOKUP(G441,base_barras,10,FALSE)&lt;&gt;"",VLOOKUP(G441,base_barras,10,FALSE),"-"),"-")</f>
        <v>1/750</v>
      </c>
      <c r="M441" s="478">
        <f t="shared" ref="M441:M444" si="267">IF(L441&lt;&gt;"-",VLOOKUP(L441,precio_aislador,2,FALSE),0)</f>
        <v>1.9</v>
      </c>
      <c r="N441" s="696">
        <f t="shared" si="259"/>
        <v>169.61355</v>
      </c>
      <c r="O441" s="288"/>
      <c r="P441" s="297"/>
      <c r="Q441" s="288"/>
      <c r="R441" s="102"/>
      <c r="S441" s="102"/>
      <c r="T441" s="102"/>
    </row>
    <row r="442" spans="1:20" s="199" customFormat="1" ht="15.75" customHeight="1">
      <c r="A442" s="2642"/>
      <c r="B442" s="692" t="s">
        <v>3565</v>
      </c>
      <c r="C442" s="693"/>
      <c r="D442" s="312">
        <f t="shared" si="264"/>
        <v>850</v>
      </c>
      <c r="E442" s="313">
        <v>3</v>
      </c>
      <c r="F442" s="314">
        <v>1</v>
      </c>
      <c r="G442" s="315" t="s">
        <v>469</v>
      </c>
      <c r="H442" s="314" t="s">
        <v>1043</v>
      </c>
      <c r="I442" s="316">
        <v>0.61</v>
      </c>
      <c r="J442" s="317">
        <f t="shared" si="265"/>
        <v>35.6</v>
      </c>
      <c r="K442" s="694">
        <v>0</v>
      </c>
      <c r="L442" s="695" t="str">
        <f t="shared" si="266"/>
        <v>1/750</v>
      </c>
      <c r="M442" s="478">
        <f t="shared" si="267"/>
        <v>1.9</v>
      </c>
      <c r="N442" s="696">
        <f t="shared" si="259"/>
        <v>135.99644999999998</v>
      </c>
      <c r="O442" s="288"/>
      <c r="P442" s="297"/>
      <c r="Q442" s="288"/>
      <c r="R442" s="102"/>
      <c r="S442" s="102"/>
      <c r="T442" s="102"/>
    </row>
    <row r="443" spans="1:20" s="199" customFormat="1" ht="15.75" customHeight="1">
      <c r="A443" s="2642"/>
      <c r="B443" s="688" t="s">
        <v>3633</v>
      </c>
      <c r="C443" s="311"/>
      <c r="D443" s="312">
        <f t="shared" ref="D443" si="268">IF(H443&lt;&gt;"",VLOOKUP(G443,base_barras,IF(H443="Desnuda",2,5)+F443-1,FALSE),"-")</f>
        <v>715</v>
      </c>
      <c r="E443" s="313">
        <v>3</v>
      </c>
      <c r="F443" s="314">
        <v>1</v>
      </c>
      <c r="G443" s="315" t="s">
        <v>469</v>
      </c>
      <c r="H443" s="314" t="s">
        <v>1044</v>
      </c>
      <c r="I443" s="316">
        <v>0.5</v>
      </c>
      <c r="J443" s="317">
        <f t="shared" ref="J443" si="269">IF(G443&lt;&gt;"",VLOOKUP(G443,precio_barras,9,FALSE),0)</f>
        <v>35.6</v>
      </c>
      <c r="K443" s="313">
        <v>0</v>
      </c>
      <c r="L443" s="318" t="str">
        <f t="shared" ref="L443" si="270">IF(G443&lt;&gt;"",IF(VLOOKUP(G443,base_barras,10,FALSE)&lt;&gt;"",VLOOKUP(G443,base_barras,10,FALSE),"-"),"-")</f>
        <v>1/750</v>
      </c>
      <c r="M443" s="317">
        <f t="shared" ref="M443" si="271">IF(L443&lt;&gt;"-",VLOOKUP(L443,precio_aislador,2,FALSE),0)</f>
        <v>1.9</v>
      </c>
      <c r="N443" s="308">
        <f t="shared" si="259"/>
        <v>111.47250000000001</v>
      </c>
      <c r="O443" s="288"/>
      <c r="P443" s="297"/>
      <c r="Q443" s="288"/>
      <c r="R443" s="102"/>
      <c r="S443" s="102"/>
      <c r="T443" s="102"/>
    </row>
    <row r="444" spans="1:20" s="199" customFormat="1" ht="15.75" customHeight="1" thickBot="1">
      <c r="A444" s="2643"/>
      <c r="B444" s="688" t="s">
        <v>3633</v>
      </c>
      <c r="C444" s="311"/>
      <c r="D444" s="312">
        <f t="shared" si="264"/>
        <v>715</v>
      </c>
      <c r="E444" s="313">
        <v>3</v>
      </c>
      <c r="F444" s="314">
        <v>1</v>
      </c>
      <c r="G444" s="315" t="s">
        <v>469</v>
      </c>
      <c r="H444" s="314" t="s">
        <v>1044</v>
      </c>
      <c r="I444" s="316">
        <v>0.5</v>
      </c>
      <c r="J444" s="317">
        <f t="shared" si="265"/>
        <v>35.6</v>
      </c>
      <c r="K444" s="313">
        <v>0</v>
      </c>
      <c r="L444" s="318" t="str">
        <f t="shared" si="266"/>
        <v>1/750</v>
      </c>
      <c r="M444" s="317">
        <f t="shared" si="267"/>
        <v>1.9</v>
      </c>
      <c r="N444" s="308">
        <f t="shared" si="259"/>
        <v>111.47250000000001</v>
      </c>
      <c r="O444" s="288"/>
      <c r="P444" s="297"/>
      <c r="Q444" s="288"/>
      <c r="R444" s="102"/>
      <c r="S444" s="102"/>
      <c r="T444" s="102"/>
    </row>
    <row r="445" spans="1:20" s="129" customFormat="1" ht="22.5" customHeight="1" thickBot="1">
      <c r="A445" s="371"/>
      <c r="B445" s="373"/>
      <c r="C445" s="375"/>
      <c r="D445" s="383"/>
      <c r="E445" s="373"/>
      <c r="F445" s="373"/>
      <c r="G445" s="373"/>
      <c r="H445" s="373"/>
      <c r="I445" s="374"/>
      <c r="J445" s="374"/>
      <c r="K445" s="373"/>
      <c r="L445" s="373"/>
      <c r="M445" s="372"/>
      <c r="N445" s="699">
        <f>SUM(N435:N444)</f>
        <v>23020.480312499996</v>
      </c>
      <c r="O445" s="288"/>
      <c r="P445" s="297"/>
      <c r="Q445" s="288"/>
      <c r="R445" s="102"/>
      <c r="S445" s="102"/>
      <c r="T445" s="102"/>
    </row>
    <row r="446" spans="1:20" s="102" customFormat="1" ht="8.25" customHeight="1" thickBot="1">
      <c r="A446" s="323"/>
      <c r="B446" s="323"/>
      <c r="C446" s="323"/>
      <c r="D446" s="382"/>
      <c r="E446" s="323"/>
      <c r="F446" s="325"/>
      <c r="G446" s="325"/>
      <c r="H446" s="325"/>
      <c r="I446" s="323"/>
      <c r="J446" s="323"/>
      <c r="K446" s="323"/>
      <c r="L446" s="325"/>
      <c r="M446" s="323"/>
      <c r="N446" s="309"/>
      <c r="O446" s="288"/>
      <c r="P446" s="297"/>
      <c r="Q446" s="288"/>
    </row>
    <row r="447" spans="1:20" s="102" customFormat="1" ht="12.75" customHeight="1">
      <c r="A447" s="2639" t="s">
        <v>2502</v>
      </c>
      <c r="B447" s="687" t="s">
        <v>2503</v>
      </c>
      <c r="C447" s="327"/>
      <c r="D447" s="328">
        <f t="shared" ref="D447:D448" si="272">IF(H447&lt;&gt;"",VLOOKUP(G447,base_barras,IF(H447="Desnuda",2,5)+F447-1,FALSE),"-")</f>
        <v>4970</v>
      </c>
      <c r="E447" s="329">
        <v>4</v>
      </c>
      <c r="F447" s="330">
        <v>2</v>
      </c>
      <c r="G447" s="331" t="s">
        <v>584</v>
      </c>
      <c r="H447" s="330" t="s">
        <v>1043</v>
      </c>
      <c r="I447" s="332">
        <v>1.2</v>
      </c>
      <c r="J447" s="333">
        <f t="shared" ref="J447:J448" si="273">IF(G447&lt;&gt;"",VLOOKUP(G447,precio_barras,9,FALSE),0)</f>
        <v>231.4</v>
      </c>
      <c r="K447" s="481">
        <v>2</v>
      </c>
      <c r="L447" s="343" t="str">
        <f t="shared" ref="L447:L448" si="274">IF(G447&lt;&gt;"",IF(VLOOKUP(G447,base_barras,10,FALSE)&lt;&gt;"",VLOOKUP(G447,base_barras,10,FALSE),"-"),"-")</f>
        <v>1.5/1600</v>
      </c>
      <c r="M447" s="333">
        <f t="shared" ref="M447:M448" si="275">IF(L447&lt;&gt;"-",VLOOKUP(L447,precio_aislador,2,FALSE),0)</f>
        <v>22</v>
      </c>
      <c r="N447" s="360">
        <f t="shared" ref="N447:N448" si="276">(I447*J447*F447+K447*M447)*E447*1.67*1.25</f>
        <v>5004.6559999999999</v>
      </c>
      <c r="O447" s="288"/>
      <c r="P447" s="297"/>
      <c r="Q447" s="297"/>
    </row>
    <row r="448" spans="1:20" s="199" customFormat="1" ht="15.75" customHeight="1" thickBot="1">
      <c r="A448" s="2644"/>
      <c r="B448" s="700" t="s">
        <v>3566</v>
      </c>
      <c r="C448" s="701"/>
      <c r="D448" s="364">
        <f t="shared" si="272"/>
        <v>5360</v>
      </c>
      <c r="E448" s="365">
        <v>4</v>
      </c>
      <c r="F448" s="366">
        <v>3</v>
      </c>
      <c r="G448" s="322" t="s">
        <v>583</v>
      </c>
      <c r="H448" s="366" t="s">
        <v>1043</v>
      </c>
      <c r="I448" s="367">
        <f>0.2+0.5+0.5+0.2</f>
        <v>1.4</v>
      </c>
      <c r="J448" s="368">
        <f t="shared" si="273"/>
        <v>142</v>
      </c>
      <c r="K448" s="702">
        <v>0</v>
      </c>
      <c r="L448" s="703" t="str">
        <f t="shared" si="274"/>
        <v>1.5/1600</v>
      </c>
      <c r="M448" s="480">
        <f t="shared" si="275"/>
        <v>22</v>
      </c>
      <c r="N448" s="704">
        <f t="shared" si="276"/>
        <v>4979.9399999999996</v>
      </c>
      <c r="O448" s="288"/>
      <c r="P448" s="297"/>
      <c r="Q448" s="288"/>
      <c r="R448" s="102"/>
      <c r="S448" s="102"/>
      <c r="T448" s="102"/>
    </row>
    <row r="449" spans="1:20" s="102" customFormat="1" ht="12.75" customHeight="1">
      <c r="A449" s="2644"/>
      <c r="B449" s="692"/>
      <c r="C449" s="693"/>
      <c r="D449" s="697"/>
      <c r="E449" s="694"/>
      <c r="F449" s="655"/>
      <c r="G449" s="698"/>
      <c r="H449" s="655"/>
      <c r="I449" s="398"/>
      <c r="J449" s="478"/>
      <c r="K449" s="705"/>
      <c r="L449" s="695"/>
      <c r="M449" s="478"/>
      <c r="N449" s="696"/>
      <c r="O449" s="288"/>
      <c r="P449" s="297"/>
      <c r="Q449" s="297"/>
    </row>
    <row r="450" spans="1:20" s="199" customFormat="1" ht="15.75" customHeight="1" thickBot="1">
      <c r="A450" s="2640"/>
      <c r="B450" s="700"/>
      <c r="C450" s="701"/>
      <c r="D450" s="364"/>
      <c r="E450" s="365"/>
      <c r="F450" s="366"/>
      <c r="G450" s="322"/>
      <c r="H450" s="366"/>
      <c r="I450" s="367"/>
      <c r="J450" s="368"/>
      <c r="K450" s="702"/>
      <c r="L450" s="703"/>
      <c r="M450" s="480"/>
      <c r="N450" s="704"/>
      <c r="O450" s="288"/>
      <c r="P450" s="297"/>
      <c r="Q450" s="288"/>
      <c r="R450" s="102"/>
      <c r="S450" s="102"/>
      <c r="T450" s="102"/>
    </row>
    <row r="451" spans="1:20" s="102" customFormat="1" ht="13.5" thickBot="1">
      <c r="A451" s="323"/>
      <c r="B451" s="323"/>
      <c r="C451" s="309"/>
      <c r="D451" s="382"/>
      <c r="E451" s="323"/>
      <c r="F451" s="309"/>
      <c r="G451" s="309"/>
      <c r="H451" s="323"/>
      <c r="I451" s="325"/>
      <c r="J451" s="325"/>
      <c r="K451" s="323"/>
      <c r="L451" s="323"/>
      <c r="M451" s="325"/>
      <c r="N451" s="706">
        <f>SUM(N447:N450)</f>
        <v>9984.5959999999995</v>
      </c>
      <c r="O451" s="288"/>
      <c r="P451" s="297"/>
      <c r="Q451" s="297"/>
    </row>
    <row r="452" spans="1:20" s="102" customFormat="1" ht="8.25" customHeight="1" thickBot="1">
      <c r="A452" s="323"/>
      <c r="B452" s="323"/>
      <c r="C452" s="323"/>
      <c r="D452" s="382"/>
      <c r="E452" s="323"/>
      <c r="F452" s="325"/>
      <c r="G452" s="325"/>
      <c r="H452" s="325"/>
      <c r="I452" s="323"/>
      <c r="J452" s="323"/>
      <c r="K452" s="323"/>
      <c r="L452" s="325"/>
      <c r="M452" s="323"/>
      <c r="N452" s="309"/>
      <c r="O452" s="288"/>
      <c r="P452" s="297"/>
      <c r="Q452" s="288"/>
    </row>
    <row r="453" spans="1:20" s="102" customFormat="1" ht="12.75" customHeight="1">
      <c r="A453" s="2639" t="s">
        <v>2505</v>
      </c>
      <c r="B453" s="687" t="s">
        <v>2506</v>
      </c>
      <c r="C453" s="327"/>
      <c r="D453" s="328">
        <f t="shared" ref="D453:D454" si="277">IF(H453&lt;&gt;"",VLOOKUP(G453,base_barras,IF(H453="Desnuda",2,5)+F453-1,FALSE),"-")</f>
        <v>4270</v>
      </c>
      <c r="E453" s="329">
        <v>4</v>
      </c>
      <c r="F453" s="330">
        <v>3</v>
      </c>
      <c r="G453" s="331" t="s">
        <v>470</v>
      </c>
      <c r="H453" s="330" t="s">
        <v>1043</v>
      </c>
      <c r="I453" s="332">
        <v>1.2</v>
      </c>
      <c r="J453" s="333">
        <f t="shared" ref="J453:J454" si="278">IF(G453&lt;&gt;"",VLOOKUP(G453,precio_barras,9,FALSE),0)</f>
        <v>107</v>
      </c>
      <c r="K453" s="481">
        <v>2</v>
      </c>
      <c r="L453" s="343" t="str">
        <f t="shared" ref="L453:L454" si="279">IF(G453&lt;&gt;"",IF(VLOOKUP(G453,base_barras,10,FALSE)&lt;&gt;"",VLOOKUP(G453,base_barras,10,FALSE),"-"),"-")</f>
        <v>1.5/1250</v>
      </c>
      <c r="M453" s="333">
        <f t="shared" ref="M453:M454" si="280">IF(L453&lt;&gt;"-",VLOOKUP(L453,precio_aislador,2,FALSE),0)</f>
        <v>5.5</v>
      </c>
      <c r="N453" s="360">
        <f t="shared" ref="N453:N454" si="281">(I453*J453*F453+K453*M453)*E453*1.67*1.25</f>
        <v>3308.27</v>
      </c>
      <c r="O453" s="288"/>
      <c r="P453" s="297"/>
      <c r="Q453" s="297"/>
    </row>
    <row r="454" spans="1:20" s="102" customFormat="1" ht="13.5" thickBot="1">
      <c r="A454" s="2644"/>
      <c r="B454" s="707" t="s">
        <v>3567</v>
      </c>
      <c r="C454" s="479"/>
      <c r="D454" s="364">
        <f t="shared" si="277"/>
        <v>4270</v>
      </c>
      <c r="E454" s="365">
        <v>4</v>
      </c>
      <c r="F454" s="366">
        <v>3</v>
      </c>
      <c r="G454" s="322" t="s">
        <v>470</v>
      </c>
      <c r="H454" s="366" t="s">
        <v>1043</v>
      </c>
      <c r="I454" s="367">
        <f>0.5+0.8+0.8+0.2</f>
        <v>2.3000000000000003</v>
      </c>
      <c r="J454" s="368">
        <f t="shared" si="278"/>
        <v>107</v>
      </c>
      <c r="K454" s="365">
        <v>3</v>
      </c>
      <c r="L454" s="369" t="str">
        <f t="shared" si="279"/>
        <v>1.5/1250</v>
      </c>
      <c r="M454" s="368">
        <f t="shared" si="280"/>
        <v>5.5</v>
      </c>
      <c r="N454" s="370">
        <f t="shared" si="281"/>
        <v>6302.58</v>
      </c>
      <c r="O454" s="288"/>
      <c r="P454" s="297"/>
      <c r="Q454" s="297"/>
    </row>
    <row r="455" spans="1:20" s="102" customFormat="1" ht="12.75" customHeight="1">
      <c r="A455" s="2644"/>
      <c r="B455" s="692"/>
      <c r="C455" s="693"/>
      <c r="D455" s="697"/>
      <c r="E455" s="694"/>
      <c r="F455" s="655"/>
      <c r="G455" s="698"/>
      <c r="H455" s="655"/>
      <c r="I455" s="398"/>
      <c r="J455" s="478"/>
      <c r="K455" s="705"/>
      <c r="L455" s="695"/>
      <c r="M455" s="478"/>
      <c r="N455" s="696"/>
      <c r="O455" s="288"/>
      <c r="P455" s="297"/>
      <c r="Q455" s="297"/>
    </row>
    <row r="456" spans="1:20" s="102" customFormat="1" ht="13.5" thickBot="1">
      <c r="A456" s="2640"/>
      <c r="B456" s="700"/>
      <c r="C456" s="701"/>
      <c r="D456" s="708"/>
      <c r="E456" s="702"/>
      <c r="F456" s="709"/>
      <c r="G456" s="710"/>
      <c r="H456" s="709"/>
      <c r="I456" s="711"/>
      <c r="J456" s="480"/>
      <c r="K456" s="702"/>
      <c r="L456" s="703"/>
      <c r="M456" s="480"/>
      <c r="N456" s="704"/>
      <c r="O456" s="288"/>
      <c r="P456" s="297"/>
      <c r="Q456" s="297"/>
    </row>
    <row r="457" spans="1:20" s="102" customFormat="1" ht="13.5" thickBot="1">
      <c r="A457" s="323"/>
      <c r="B457" s="323"/>
      <c r="C457" s="309"/>
      <c r="D457" s="382"/>
      <c r="E457" s="323"/>
      <c r="F457" s="309"/>
      <c r="G457" s="309"/>
      <c r="H457" s="323"/>
      <c r="I457" s="325"/>
      <c r="J457" s="325"/>
      <c r="K457" s="323"/>
      <c r="L457" s="323"/>
      <c r="M457" s="325"/>
      <c r="N457" s="706">
        <f>SUM(N453:N456)</f>
        <v>9610.85</v>
      </c>
      <c r="O457" s="288"/>
      <c r="P457" s="297"/>
      <c r="Q457" s="297"/>
    </row>
    <row r="458" spans="1:20" s="102" customFormat="1" ht="8.25" customHeight="1" thickBot="1">
      <c r="A458" s="323"/>
      <c r="B458" s="323"/>
      <c r="C458" s="323"/>
      <c r="D458" s="382"/>
      <c r="E458" s="323"/>
      <c r="F458" s="325"/>
      <c r="G458" s="325"/>
      <c r="H458" s="325"/>
      <c r="I458" s="323"/>
      <c r="J458" s="323"/>
      <c r="K458" s="323"/>
      <c r="L458" s="325"/>
      <c r="M458" s="323"/>
      <c r="N458" s="309"/>
      <c r="O458" s="288"/>
      <c r="P458" s="297"/>
      <c r="Q458" s="288"/>
    </row>
    <row r="459" spans="1:20" s="102" customFormat="1">
      <c r="A459" s="2629" t="s">
        <v>1228</v>
      </c>
      <c r="B459" s="687" t="s">
        <v>2498</v>
      </c>
      <c r="C459" s="327"/>
      <c r="D459" s="328">
        <f t="shared" ref="D459:D460" si="282">IF(H459&lt;&gt;"",VLOOKUP(G459,base_barras,IF(H459="Desnuda",2,5)+F459-1,FALSE),"-")</f>
        <v>4970</v>
      </c>
      <c r="E459" s="481">
        <v>4</v>
      </c>
      <c r="F459" s="330">
        <v>2</v>
      </c>
      <c r="G459" s="331" t="s">
        <v>584</v>
      </c>
      <c r="H459" s="330" t="s">
        <v>1043</v>
      </c>
      <c r="I459" s="332">
        <f>0.2+0.2+0.2</f>
        <v>0.60000000000000009</v>
      </c>
      <c r="J459" s="333">
        <f t="shared" ref="J459" si="283">IF(G459&lt;&gt;"",VLOOKUP(G459,precio_barras,9,FALSE),0)</f>
        <v>231.4</v>
      </c>
      <c r="K459" s="329">
        <v>0</v>
      </c>
      <c r="L459" s="343" t="str">
        <f t="shared" ref="L459:L460" si="284">IF(G459&lt;&gt;"",IF(VLOOKUP(G459,base_barras,10,FALSE)&lt;&gt;"",VLOOKUP(G459,base_barras,10,FALSE),"-"),"-")</f>
        <v>1.5/1600</v>
      </c>
      <c r="M459" s="333">
        <f t="shared" ref="M459" si="285">IF(L459&lt;&gt;"-",VLOOKUP(L459,precio_aislador,2,FALSE),0)</f>
        <v>22</v>
      </c>
      <c r="N459" s="360">
        <f t="shared" ref="N459:N460" si="286">(I459*J459*F459+K459*M459)*E459*1.67*1.25</f>
        <v>2318.6280000000006</v>
      </c>
      <c r="O459" s="288"/>
      <c r="P459" s="297"/>
      <c r="Q459" s="297"/>
    </row>
    <row r="460" spans="1:20" s="102" customFormat="1" ht="13.5" thickBot="1">
      <c r="A460" s="2635"/>
      <c r="B460" s="707"/>
      <c r="C460" s="479"/>
      <c r="D460" s="364" t="str">
        <f t="shared" si="282"/>
        <v>-</v>
      </c>
      <c r="E460" s="365"/>
      <c r="F460" s="366"/>
      <c r="G460" s="322"/>
      <c r="H460" s="366"/>
      <c r="I460" s="367"/>
      <c r="J460" s="480">
        <f>IF(G460&lt;&gt;"",VLOOKUP(G460,precio_barras,9,FALSE),0)</f>
        <v>0</v>
      </c>
      <c r="K460" s="365"/>
      <c r="L460" s="369" t="str">
        <f t="shared" si="284"/>
        <v>-</v>
      </c>
      <c r="M460" s="368">
        <f>IF(L460&lt;&gt;"-",VLOOKUP(L460,precio_aislador,2,FALSE),0)</f>
        <v>0</v>
      </c>
      <c r="N460" s="370">
        <f t="shared" si="286"/>
        <v>0</v>
      </c>
      <c r="O460" s="288"/>
      <c r="P460" s="297"/>
      <c r="Q460" s="297"/>
    </row>
    <row r="461" spans="1:20" s="102" customFormat="1" ht="13.5" thickBot="1">
      <c r="A461" s="323"/>
      <c r="B461" s="323"/>
      <c r="C461" s="309"/>
      <c r="D461" s="382"/>
      <c r="E461" s="323"/>
      <c r="F461" s="309"/>
      <c r="G461" s="309"/>
      <c r="H461" s="323"/>
      <c r="I461" s="325"/>
      <c r="J461" s="325"/>
      <c r="K461" s="323"/>
      <c r="L461" s="323"/>
      <c r="M461" s="325"/>
      <c r="N461" s="706">
        <f>SUM(N459:N460)</f>
        <v>2318.6280000000006</v>
      </c>
      <c r="O461" s="288"/>
      <c r="P461" s="297"/>
      <c r="Q461" s="297"/>
    </row>
    <row r="462" spans="1:20" s="102" customFormat="1" ht="8.25" customHeight="1" thickBot="1">
      <c r="A462" s="323"/>
      <c r="B462" s="323"/>
      <c r="C462" s="323"/>
      <c r="D462" s="382"/>
      <c r="E462" s="323"/>
      <c r="F462" s="325"/>
      <c r="G462" s="325"/>
      <c r="H462" s="325"/>
      <c r="I462" s="323"/>
      <c r="J462" s="323"/>
      <c r="K462" s="323"/>
      <c r="L462" s="325"/>
      <c r="M462" s="323"/>
      <c r="N462" s="309"/>
      <c r="O462" s="288"/>
      <c r="P462" s="297"/>
      <c r="Q462" s="288"/>
    </row>
    <row r="463" spans="1:20" s="102" customFormat="1">
      <c r="A463" s="2645" t="s">
        <v>2548</v>
      </c>
      <c r="B463" s="687"/>
      <c r="C463" s="327"/>
      <c r="D463" s="328"/>
      <c r="E463" s="329"/>
      <c r="F463" s="330"/>
      <c r="G463" s="331"/>
      <c r="H463" s="330"/>
      <c r="I463" s="332"/>
      <c r="J463" s="333"/>
      <c r="K463" s="329"/>
      <c r="L463" s="343"/>
      <c r="M463" s="333"/>
      <c r="N463" s="360"/>
      <c r="O463" s="288"/>
      <c r="P463" s="297"/>
      <c r="Q463" s="297"/>
    </row>
    <row r="464" spans="1:20" s="199" customFormat="1" ht="15.75" customHeight="1">
      <c r="A464" s="2646"/>
      <c r="B464" s="692"/>
      <c r="C464" s="693"/>
      <c r="D464" s="697"/>
      <c r="E464" s="694"/>
      <c r="F464" s="655"/>
      <c r="G464" s="698"/>
      <c r="H464" s="655"/>
      <c r="I464" s="398"/>
      <c r="J464" s="478"/>
      <c r="K464" s="694"/>
      <c r="L464" s="695"/>
      <c r="M464" s="478"/>
      <c r="N464" s="696"/>
      <c r="O464" s="288"/>
      <c r="P464" s="297"/>
      <c r="Q464" s="288"/>
      <c r="R464" s="102"/>
      <c r="S464" s="102"/>
      <c r="T464" s="102"/>
    </row>
    <row r="465" spans="1:20" s="199" customFormat="1" ht="15.75" customHeight="1" thickBot="1">
      <c r="A465" s="2646"/>
      <c r="B465" s="707"/>
      <c r="C465" s="479"/>
      <c r="D465" s="364"/>
      <c r="E465" s="365"/>
      <c r="F465" s="366"/>
      <c r="G465" s="322"/>
      <c r="H465" s="366"/>
      <c r="I465" s="367"/>
      <c r="J465" s="368"/>
      <c r="K465" s="365"/>
      <c r="L465" s="369"/>
      <c r="M465" s="368"/>
      <c r="N465" s="370"/>
      <c r="O465" s="288"/>
      <c r="P465" s="297"/>
      <c r="Q465" s="288"/>
      <c r="R465" s="102"/>
      <c r="S465" s="102"/>
      <c r="T465" s="102"/>
    </row>
    <row r="466" spans="1:20" s="102" customFormat="1">
      <c r="A466" s="2646"/>
      <c r="B466" s="692"/>
      <c r="C466" s="693"/>
      <c r="D466" s="697"/>
      <c r="E466" s="694"/>
      <c r="F466" s="655"/>
      <c r="G466" s="698"/>
      <c r="H466" s="655"/>
      <c r="I466" s="398"/>
      <c r="J466" s="478"/>
      <c r="K466" s="694"/>
      <c r="L466" s="695"/>
      <c r="M466" s="478"/>
      <c r="N466" s="696"/>
      <c r="O466" s="288"/>
      <c r="P466" s="297"/>
      <c r="Q466" s="297"/>
    </row>
    <row r="467" spans="1:20" s="199" customFormat="1" ht="15.75" customHeight="1" thickBot="1">
      <c r="A467" s="2647"/>
      <c r="B467" s="700"/>
      <c r="C467" s="701"/>
      <c r="D467" s="708"/>
      <c r="E467" s="702"/>
      <c r="F467" s="709"/>
      <c r="G467" s="710"/>
      <c r="H467" s="709"/>
      <c r="I467" s="711"/>
      <c r="J467" s="480"/>
      <c r="K467" s="702"/>
      <c r="L467" s="703"/>
      <c r="M467" s="480"/>
      <c r="N467" s="704"/>
      <c r="O467" s="288"/>
      <c r="P467" s="297"/>
      <c r="Q467" s="288"/>
      <c r="R467" s="102"/>
      <c r="S467" s="102"/>
      <c r="T467" s="102"/>
    </row>
    <row r="468" spans="1:20" s="102" customFormat="1" ht="13.5" thickBot="1">
      <c r="A468" s="323"/>
      <c r="B468" s="323"/>
      <c r="C468" s="309"/>
      <c r="D468" s="382"/>
      <c r="E468" s="323"/>
      <c r="F468" s="309"/>
      <c r="G468" s="309"/>
      <c r="H468" s="323"/>
      <c r="I468" s="325"/>
      <c r="J468" s="325"/>
      <c r="K468" s="323"/>
      <c r="L468" s="323"/>
      <c r="M468" s="325"/>
      <c r="N468" s="706">
        <f>SUM(N463:N467)</f>
        <v>0</v>
      </c>
      <c r="O468" s="288"/>
      <c r="P468" s="297"/>
      <c r="Q468" s="297"/>
    </row>
    <row r="469" spans="1:20" s="102" customFormat="1" ht="8.25" customHeight="1" thickBot="1">
      <c r="A469" s="323"/>
      <c r="B469" s="323"/>
      <c r="C469" s="323"/>
      <c r="D469" s="382"/>
      <c r="E469" s="323"/>
      <c r="F469" s="325"/>
      <c r="G469" s="325"/>
      <c r="H469" s="325"/>
      <c r="I469" s="323"/>
      <c r="J469" s="323"/>
      <c r="K469" s="323"/>
      <c r="L469" s="325"/>
      <c r="M469" s="323"/>
      <c r="N469" s="309"/>
      <c r="O469" s="288"/>
      <c r="P469" s="297"/>
      <c r="Q469" s="288"/>
    </row>
    <row r="470" spans="1:20" s="102" customFormat="1">
      <c r="A470" s="2629" t="s">
        <v>1034</v>
      </c>
      <c r="B470" s="687" t="s">
        <v>3561</v>
      </c>
      <c r="C470" s="327"/>
      <c r="D470" s="328">
        <f t="shared" ref="D470:D471" si="287">IF(H470&lt;&gt;"",VLOOKUP(G470,base_barras,IF(H470="Desnuda",2,5)+F470-1,FALSE),"-")</f>
        <v>850</v>
      </c>
      <c r="E470" s="329">
        <v>3</v>
      </c>
      <c r="F470" s="330">
        <v>1</v>
      </c>
      <c r="G470" s="331" t="s">
        <v>469</v>
      </c>
      <c r="H470" s="330" t="s">
        <v>1043</v>
      </c>
      <c r="I470" s="332">
        <v>0.3</v>
      </c>
      <c r="J470" s="333">
        <f t="shared" ref="J470:J471" si="288">IF(G470&lt;&gt;"",VLOOKUP(G470,precio_barras,9,FALSE),0)</f>
        <v>35.6</v>
      </c>
      <c r="K470" s="329">
        <v>1</v>
      </c>
      <c r="L470" s="343" t="str">
        <f t="shared" ref="L470:L471" si="289">IF(G470&lt;&gt;"",IF(VLOOKUP(G470,base_barras,10,FALSE)&lt;&gt;"",VLOOKUP(G470,base_barras,10,FALSE),"-"),"-")</f>
        <v>1/750</v>
      </c>
      <c r="M470" s="333">
        <f t="shared" ref="M470:M471" si="290">IF(L470&lt;&gt;"-",VLOOKUP(L470,precio_aislador,2,FALSE),0)</f>
        <v>1.9</v>
      </c>
      <c r="N470" s="360">
        <f t="shared" ref="N470:N471" si="291">(I470*J470*F470+K470*M470)*E470*1.67*1.25</f>
        <v>78.782250000000005</v>
      </c>
      <c r="O470" s="288"/>
      <c r="P470" s="297"/>
      <c r="Q470" s="297"/>
    </row>
    <row r="471" spans="1:20" s="102" customFormat="1" ht="13.5" thickBot="1">
      <c r="A471" s="2635"/>
      <c r="B471" s="700" t="s">
        <v>3625</v>
      </c>
      <c r="C471" s="701"/>
      <c r="D471" s="708">
        <f t="shared" si="287"/>
        <v>3170</v>
      </c>
      <c r="E471" s="702">
        <v>4</v>
      </c>
      <c r="F471" s="709">
        <v>3</v>
      </c>
      <c r="G471" s="710" t="s">
        <v>582</v>
      </c>
      <c r="H471" s="709" t="s">
        <v>1043</v>
      </c>
      <c r="I471" s="711">
        <v>0</v>
      </c>
      <c r="J471" s="480">
        <f t="shared" si="288"/>
        <v>71.100000000000009</v>
      </c>
      <c r="K471" s="702">
        <v>0</v>
      </c>
      <c r="L471" s="703" t="str">
        <f t="shared" si="289"/>
        <v>1/1000</v>
      </c>
      <c r="M471" s="480">
        <f t="shared" si="290"/>
        <v>2.7</v>
      </c>
      <c r="N471" s="704">
        <f t="shared" si="291"/>
        <v>0</v>
      </c>
      <c r="O471" s="288"/>
      <c r="P471" s="297"/>
      <c r="Q471" s="297"/>
    </row>
    <row r="472" spans="1:20" s="102" customFormat="1" ht="13.5" thickBot="1">
      <c r="A472" s="323"/>
      <c r="B472" s="323"/>
      <c r="C472" s="309"/>
      <c r="D472" s="382"/>
      <c r="E472" s="323"/>
      <c r="F472" s="309"/>
      <c r="G472" s="309"/>
      <c r="H472" s="323"/>
      <c r="I472" s="325"/>
      <c r="J472" s="325"/>
      <c r="K472" s="323"/>
      <c r="L472" s="323"/>
      <c r="M472" s="325"/>
      <c r="N472" s="706">
        <f>SUM(N470:N471)</f>
        <v>78.782250000000005</v>
      </c>
      <c r="O472" s="288"/>
      <c r="P472" s="297"/>
      <c r="Q472" s="297"/>
    </row>
    <row r="473" spans="1:20" s="102" customFormat="1">
      <c r="A473" s="323"/>
      <c r="B473" s="309"/>
      <c r="C473" s="309"/>
      <c r="D473" s="382"/>
      <c r="E473" s="323"/>
      <c r="F473" s="309"/>
      <c r="G473" s="309"/>
      <c r="H473" s="323"/>
      <c r="I473" s="325"/>
      <c r="J473" s="325"/>
      <c r="K473" s="323"/>
      <c r="L473" s="323"/>
      <c r="M473" s="325"/>
      <c r="N473" s="722"/>
      <c r="O473" s="288"/>
      <c r="P473" s="297"/>
      <c r="Q473" s="297"/>
    </row>
    <row r="474" spans="1:20" s="102" customFormat="1" ht="15">
      <c r="A474" s="323"/>
      <c r="B474" s="723" t="s">
        <v>2513</v>
      </c>
      <c r="C474" s="309"/>
      <c r="D474" s="382"/>
      <c r="E474" s="323"/>
      <c r="F474" s="309"/>
      <c r="G474" s="309"/>
      <c r="H474" s="323"/>
      <c r="I474" s="325"/>
      <c r="J474" s="325"/>
      <c r="K474" s="323"/>
      <c r="L474" s="323"/>
      <c r="M474" s="325"/>
      <c r="N474" s="722"/>
      <c r="O474" s="288"/>
      <c r="P474" s="297"/>
      <c r="Q474" s="297"/>
    </row>
    <row r="475" spans="1:20" s="106" customFormat="1"/>
    <row r="476" spans="1:20" s="106" customFormat="1" ht="13.5" thickBot="1"/>
    <row r="477" spans="1:20" s="199" customFormat="1" ht="15.75" customHeight="1">
      <c r="A477" s="2641" t="s">
        <v>3707</v>
      </c>
      <c r="B477" s="687" t="s">
        <v>2498</v>
      </c>
      <c r="C477" s="327"/>
      <c r="D477" s="328">
        <f t="shared" ref="D477" si="292">IF(H477&lt;&gt;"",VLOOKUP(G477,base_barras,IF(H477="Desnuda",2,5)+F477-1,FALSE),"-")</f>
        <v>2110</v>
      </c>
      <c r="E477" s="329">
        <v>4</v>
      </c>
      <c r="F477" s="330">
        <v>1</v>
      </c>
      <c r="G477" s="331" t="s">
        <v>470</v>
      </c>
      <c r="H477" s="330" t="s">
        <v>1043</v>
      </c>
      <c r="I477" s="332">
        <f>0.9+0.9</f>
        <v>1.8</v>
      </c>
      <c r="J477" s="333">
        <f t="shared" ref="J477:J482" si="293">IF(G477&lt;&gt;"",VLOOKUP(G477,precio_barras,9,FALSE),0)</f>
        <v>107</v>
      </c>
      <c r="K477" s="329">
        <f>2+2</f>
        <v>4</v>
      </c>
      <c r="L477" s="343" t="str">
        <f t="shared" ref="L477" si="294">IF(G477&lt;&gt;"",IF(VLOOKUP(G477,base_barras,10,FALSE)&lt;&gt;"",VLOOKUP(G477,base_barras,10,FALSE),"-"),"-")</f>
        <v>1.5/1250</v>
      </c>
      <c r="M477" s="333">
        <f t="shared" ref="M477" si="295">IF(L477&lt;&gt;"-",VLOOKUP(L477,precio_aislador,2,FALSE),0)</f>
        <v>5.5</v>
      </c>
      <c r="N477" s="360">
        <f t="shared" ref="N477" si="296">(I477*J477*F477+K477*M477)*E477*1.67*1.25</f>
        <v>1791.9099999999999</v>
      </c>
      <c r="O477" s="288"/>
      <c r="P477" s="297"/>
      <c r="Q477" s="288"/>
      <c r="R477" s="102"/>
      <c r="S477" s="102"/>
      <c r="T477" s="102"/>
    </row>
    <row r="478" spans="1:20" s="199" customFormat="1" ht="14.25">
      <c r="A478" s="2642"/>
      <c r="B478" s="688" t="s">
        <v>802</v>
      </c>
      <c r="C478" s="319"/>
      <c r="D478" s="312">
        <f>IF(H478&lt;&gt;"",VLOOKUP(G478,base_barras,IF(H478="Desnuda",2,5)+F478-1,FALSE),"-")</f>
        <v>0</v>
      </c>
      <c r="E478" s="313">
        <v>1</v>
      </c>
      <c r="F478" s="314">
        <v>1</v>
      </c>
      <c r="G478" s="315" t="s">
        <v>578</v>
      </c>
      <c r="H478" s="689" t="str">
        <f>H477</f>
        <v>Pintada</v>
      </c>
      <c r="I478" s="690">
        <f>I477</f>
        <v>1.8</v>
      </c>
      <c r="J478" s="317">
        <f t="shared" si="293"/>
        <v>22</v>
      </c>
      <c r="K478" s="691">
        <v>0</v>
      </c>
      <c r="L478" s="318" t="str">
        <f>IF(G478&lt;&gt;"",IF(VLOOKUP(G478,base_barras,10,FALSE)&lt;&gt;"",VLOOKUP(G478,base_barras,10,FALSE),"-"),"-")</f>
        <v>0.5/400</v>
      </c>
      <c r="M478" s="317">
        <f>IF(L478&lt;&gt;"-",VLOOKUP(L478,precio_aislador,2,FALSE),0)</f>
        <v>1.2</v>
      </c>
      <c r="N478" s="308">
        <f>(I478*J478*F478+K478*M478)*E478*1.67*1.25</f>
        <v>82.665000000000006</v>
      </c>
      <c r="O478" s="288"/>
      <c r="P478" s="297"/>
      <c r="Q478" s="288"/>
      <c r="R478" s="102"/>
      <c r="S478" s="102"/>
      <c r="T478" s="102"/>
    </row>
    <row r="479" spans="1:20" s="199" customFormat="1" ht="15.75" customHeight="1">
      <c r="A479" s="2642"/>
      <c r="B479" s="692" t="s">
        <v>3708</v>
      </c>
      <c r="C479" s="693"/>
      <c r="D479" s="312">
        <f t="shared" ref="D479" si="297">IF(H479&lt;&gt;"",VLOOKUP(G479,base_barras,IF(H479="Desnuda",2,5)+F479-1,FALSE),"-")</f>
        <v>2410</v>
      </c>
      <c r="E479" s="313">
        <v>3</v>
      </c>
      <c r="F479" s="314">
        <v>2</v>
      </c>
      <c r="G479" s="315" t="s">
        <v>582</v>
      </c>
      <c r="H479" s="314" t="s">
        <v>1043</v>
      </c>
      <c r="I479" s="316">
        <v>0.61</v>
      </c>
      <c r="J479" s="317">
        <f t="shared" si="293"/>
        <v>71.100000000000009</v>
      </c>
      <c r="K479" s="694">
        <v>0</v>
      </c>
      <c r="L479" s="695" t="str">
        <f t="shared" ref="L479" si="298">IF(G479&lt;&gt;"",IF(VLOOKUP(G479,base_barras,10,FALSE)&lt;&gt;"",VLOOKUP(G479,base_barras,10,FALSE),"-"),"-")</f>
        <v>1/1000</v>
      </c>
      <c r="M479" s="478">
        <f t="shared" ref="M479" si="299">IF(L479&lt;&gt;"-",VLOOKUP(L479,precio_aislador,2,FALSE),0)</f>
        <v>2.7</v>
      </c>
      <c r="N479" s="696">
        <f t="shared" ref="N479:N482" si="300">(I479*J479*F479+K479*M479)*E479*1.67*1.25</f>
        <v>543.22177499999998</v>
      </c>
      <c r="O479" s="288"/>
      <c r="P479" s="297"/>
      <c r="Q479" s="288"/>
      <c r="R479" s="102"/>
      <c r="S479" s="102"/>
      <c r="T479" s="102"/>
    </row>
    <row r="480" spans="1:20" s="199" customFormat="1" ht="15.75" customHeight="1">
      <c r="A480" s="2642"/>
      <c r="B480" s="692" t="s">
        <v>3709</v>
      </c>
      <c r="C480" s="693"/>
      <c r="D480" s="312">
        <f t="shared" ref="D480" si="301">IF(H480&lt;&gt;"",VLOOKUP(G480,base_barras,IF(H480="Desnuda",2,5)+F480-1,FALSE),"-")</f>
        <v>760</v>
      </c>
      <c r="E480" s="313">
        <v>3</v>
      </c>
      <c r="F480" s="314">
        <v>2</v>
      </c>
      <c r="G480" s="315" t="s">
        <v>579</v>
      </c>
      <c r="H480" s="314" t="s">
        <v>1043</v>
      </c>
      <c r="I480" s="316">
        <v>0.61</v>
      </c>
      <c r="J480" s="317">
        <f t="shared" ref="J480" si="302">IF(G480&lt;&gt;"",VLOOKUP(G480,precio_barras,9,FALSE),0)</f>
        <v>13.3</v>
      </c>
      <c r="K480" s="694">
        <v>0</v>
      </c>
      <c r="L480" s="695" t="str">
        <f t="shared" ref="L480" si="303">IF(G480&lt;&gt;"",IF(VLOOKUP(G480,base_barras,10,FALSE)&lt;&gt;"",VLOOKUP(G480,base_barras,10,FALSE),"-"),"-")</f>
        <v>0.5/400</v>
      </c>
      <c r="M480" s="478">
        <f t="shared" ref="M480" si="304">IF(L480&lt;&gt;"-",VLOOKUP(L480,precio_aislador,2,FALSE),0)</f>
        <v>1.2</v>
      </c>
      <c r="N480" s="696">
        <f t="shared" si="300"/>
        <v>101.615325</v>
      </c>
      <c r="O480" s="288"/>
      <c r="P480" s="297"/>
      <c r="Q480" s="288"/>
      <c r="R480" s="102"/>
      <c r="S480" s="102"/>
      <c r="T480" s="102"/>
    </row>
    <row r="481" spans="1:20" s="199" customFormat="1" ht="15.75" customHeight="1">
      <c r="A481" s="2642"/>
      <c r="B481" s="688" t="s">
        <v>3468</v>
      </c>
      <c r="C481" s="311"/>
      <c r="D481" s="312">
        <f t="shared" ref="D481:D482" si="305">IF(H481&lt;&gt;"",VLOOKUP(G481,base_barras,IF(H481="Desnuda",2,5)+F481-1,FALSE),"-")</f>
        <v>985</v>
      </c>
      <c r="E481" s="313">
        <v>3</v>
      </c>
      <c r="F481" s="314">
        <v>1</v>
      </c>
      <c r="G481" s="315" t="s">
        <v>581</v>
      </c>
      <c r="H481" s="314" t="s">
        <v>1044</v>
      </c>
      <c r="I481" s="316">
        <v>0.5</v>
      </c>
      <c r="J481" s="317">
        <f t="shared" si="293"/>
        <v>53.3</v>
      </c>
      <c r="K481" s="313">
        <v>0</v>
      </c>
      <c r="L481" s="318" t="str">
        <f t="shared" ref="L481:L482" si="306">IF(G481&lt;&gt;"",IF(VLOOKUP(G481,base_barras,10,FALSE)&lt;&gt;"",VLOOKUP(G481,base_barras,10,FALSE),"-"),"-")</f>
        <v>1/750</v>
      </c>
      <c r="M481" s="317">
        <f t="shared" ref="M481:M482" si="307">IF(L481&lt;&gt;"-",VLOOKUP(L481,precio_aislador,2,FALSE),0)</f>
        <v>1.9</v>
      </c>
      <c r="N481" s="308">
        <f t="shared" si="300"/>
        <v>166.89562499999997</v>
      </c>
      <c r="O481" s="288"/>
      <c r="P481" s="297"/>
      <c r="Q481" s="288"/>
      <c r="R481" s="102"/>
      <c r="S481" s="102"/>
      <c r="T481" s="102"/>
    </row>
    <row r="482" spans="1:20" s="199" customFormat="1" ht="15.75" customHeight="1" thickBot="1">
      <c r="A482" s="2643"/>
      <c r="B482" s="688" t="s">
        <v>3468</v>
      </c>
      <c r="C482" s="311"/>
      <c r="D482" s="312">
        <f t="shared" si="305"/>
        <v>985</v>
      </c>
      <c r="E482" s="313">
        <v>3</v>
      </c>
      <c r="F482" s="314">
        <v>1</v>
      </c>
      <c r="G482" s="315" t="s">
        <v>581</v>
      </c>
      <c r="H482" s="314" t="s">
        <v>1044</v>
      </c>
      <c r="I482" s="316">
        <v>0.5</v>
      </c>
      <c r="J482" s="317">
        <f t="shared" si="293"/>
        <v>53.3</v>
      </c>
      <c r="K482" s="313">
        <v>0</v>
      </c>
      <c r="L482" s="318" t="str">
        <f t="shared" si="306"/>
        <v>1/750</v>
      </c>
      <c r="M482" s="317">
        <f t="shared" si="307"/>
        <v>1.9</v>
      </c>
      <c r="N482" s="308">
        <f t="shared" si="300"/>
        <v>166.89562499999997</v>
      </c>
      <c r="O482" s="288"/>
      <c r="P482" s="297"/>
      <c r="Q482" s="288"/>
      <c r="R482" s="102"/>
      <c r="S482" s="102"/>
      <c r="T482" s="102"/>
    </row>
    <row r="483" spans="1:20" s="129" customFormat="1" ht="22.5" customHeight="1" thickBot="1">
      <c r="A483" s="371"/>
      <c r="B483" s="373"/>
      <c r="C483" s="375"/>
      <c r="D483" s="383"/>
      <c r="E483" s="373"/>
      <c r="F483" s="373"/>
      <c r="G483" s="373"/>
      <c r="H483" s="373"/>
      <c r="I483" s="374"/>
      <c r="J483" s="374"/>
      <c r="K483" s="373"/>
      <c r="L483" s="373"/>
      <c r="M483" s="372"/>
      <c r="N483" s="699">
        <f>SUM(N477:N482)</f>
        <v>2853.2033500000002</v>
      </c>
      <c r="O483" s="288"/>
      <c r="P483" s="297"/>
      <c r="Q483" s="288"/>
      <c r="R483" s="102"/>
      <c r="S483" s="102"/>
      <c r="T483" s="102"/>
    </row>
    <row r="484" spans="1:20" s="102" customFormat="1" ht="8.25" customHeight="1" thickBot="1">
      <c r="A484" s="323"/>
      <c r="B484" s="323"/>
      <c r="C484" s="323"/>
      <c r="D484" s="382"/>
      <c r="E484" s="323"/>
      <c r="F484" s="325"/>
      <c r="G484" s="325"/>
      <c r="H484" s="325"/>
      <c r="I484" s="323"/>
      <c r="J484" s="323"/>
      <c r="K484" s="323"/>
      <c r="L484" s="325"/>
      <c r="M484" s="323"/>
      <c r="N484" s="309"/>
      <c r="O484" s="288"/>
      <c r="P484" s="297"/>
      <c r="Q484" s="288"/>
    </row>
    <row r="485" spans="1:20" s="102" customFormat="1" ht="12.75" customHeight="1">
      <c r="A485" s="2639" t="s">
        <v>2502</v>
      </c>
      <c r="B485" s="687"/>
      <c r="C485" s="327"/>
      <c r="D485" s="328"/>
      <c r="E485" s="329"/>
      <c r="F485" s="330"/>
      <c r="G485" s="331"/>
      <c r="H485" s="330"/>
      <c r="I485" s="332"/>
      <c r="J485" s="333"/>
      <c r="K485" s="481"/>
      <c r="L485" s="343"/>
      <c r="M485" s="333"/>
      <c r="N485" s="360"/>
      <c r="O485" s="288"/>
      <c r="P485" s="297"/>
      <c r="Q485" s="297"/>
    </row>
    <row r="486" spans="1:20" s="199" customFormat="1" ht="15.75" customHeight="1" thickBot="1">
      <c r="A486" s="2644"/>
      <c r="B486" s="700"/>
      <c r="C486" s="701"/>
      <c r="D486" s="364"/>
      <c r="E486" s="365"/>
      <c r="F486" s="366"/>
      <c r="G486" s="322"/>
      <c r="H486" s="366"/>
      <c r="I486" s="367"/>
      <c r="J486" s="368"/>
      <c r="K486" s="702"/>
      <c r="L486" s="703"/>
      <c r="M486" s="480"/>
      <c r="N486" s="704"/>
      <c r="O486" s="288"/>
      <c r="P486" s="297"/>
      <c r="Q486" s="288"/>
      <c r="R486" s="102"/>
      <c r="S486" s="102"/>
      <c r="T486" s="102"/>
    </row>
    <row r="487" spans="1:20" s="102" customFormat="1" ht="12.75" customHeight="1">
      <c r="A487" s="2644"/>
      <c r="B487" s="692"/>
      <c r="C487" s="693"/>
      <c r="D487" s="697"/>
      <c r="E487" s="694"/>
      <c r="F487" s="655"/>
      <c r="G487" s="698"/>
      <c r="H487" s="655"/>
      <c r="I487" s="398"/>
      <c r="J487" s="478"/>
      <c r="K487" s="705"/>
      <c r="L487" s="695"/>
      <c r="M487" s="478"/>
      <c r="N487" s="696"/>
      <c r="O487" s="288"/>
      <c r="P487" s="297"/>
      <c r="Q487" s="297"/>
    </row>
    <row r="488" spans="1:20" s="199" customFormat="1" ht="15.75" customHeight="1" thickBot="1">
      <c r="A488" s="2640"/>
      <c r="B488" s="700"/>
      <c r="C488" s="701"/>
      <c r="D488" s="364"/>
      <c r="E488" s="365"/>
      <c r="F488" s="366"/>
      <c r="G488" s="322"/>
      <c r="H488" s="366"/>
      <c r="I488" s="367"/>
      <c r="J488" s="368"/>
      <c r="K488" s="702"/>
      <c r="L488" s="703"/>
      <c r="M488" s="480"/>
      <c r="N488" s="704"/>
      <c r="O488" s="288"/>
      <c r="P488" s="297"/>
      <c r="Q488" s="288"/>
      <c r="R488" s="102"/>
      <c r="S488" s="102"/>
      <c r="T488" s="102"/>
    </row>
    <row r="489" spans="1:20" s="102" customFormat="1" ht="13.5" thickBot="1">
      <c r="A489" s="323"/>
      <c r="B489" s="323"/>
      <c r="C489" s="309"/>
      <c r="D489" s="382"/>
      <c r="E489" s="323"/>
      <c r="F489" s="309"/>
      <c r="G489" s="309"/>
      <c r="H489" s="323"/>
      <c r="I489" s="325"/>
      <c r="J489" s="325"/>
      <c r="K489" s="323"/>
      <c r="L489" s="323"/>
      <c r="M489" s="325"/>
      <c r="N489" s="706">
        <f>SUM(N485:N488)</f>
        <v>0</v>
      </c>
      <c r="O489" s="288"/>
      <c r="P489" s="297"/>
      <c r="Q489" s="297"/>
    </row>
    <row r="490" spans="1:20" s="102" customFormat="1" ht="8.25" customHeight="1" thickBot="1">
      <c r="A490" s="323"/>
      <c r="B490" s="323"/>
      <c r="C490" s="323"/>
      <c r="D490" s="382"/>
      <c r="E490" s="323"/>
      <c r="F490" s="325"/>
      <c r="G490" s="325"/>
      <c r="H490" s="325"/>
      <c r="I490" s="323"/>
      <c r="J490" s="323"/>
      <c r="K490" s="323"/>
      <c r="L490" s="325"/>
      <c r="M490" s="323"/>
      <c r="N490" s="309"/>
      <c r="O490" s="288"/>
      <c r="P490" s="297"/>
      <c r="Q490" s="288"/>
    </row>
    <row r="491" spans="1:20" s="102" customFormat="1" ht="12.75" customHeight="1">
      <c r="A491" s="2639" t="s">
        <v>2505</v>
      </c>
      <c r="B491" s="687"/>
      <c r="C491" s="327"/>
      <c r="D491" s="328"/>
      <c r="E491" s="329"/>
      <c r="F491" s="330"/>
      <c r="G491" s="331"/>
      <c r="H491" s="330"/>
      <c r="I491" s="332"/>
      <c r="J491" s="333"/>
      <c r="K491" s="481"/>
      <c r="L491" s="343"/>
      <c r="M491" s="333"/>
      <c r="N491" s="360"/>
      <c r="O491" s="288"/>
      <c r="P491" s="297"/>
      <c r="Q491" s="297"/>
    </row>
    <row r="492" spans="1:20" s="102" customFormat="1" ht="13.5" thickBot="1">
      <c r="A492" s="2644"/>
      <c r="B492" s="707"/>
      <c r="C492" s="479"/>
      <c r="D492" s="364"/>
      <c r="E492" s="365"/>
      <c r="F492" s="366"/>
      <c r="G492" s="322"/>
      <c r="H492" s="366"/>
      <c r="I492" s="367"/>
      <c r="J492" s="368"/>
      <c r="K492" s="365"/>
      <c r="L492" s="369"/>
      <c r="M492" s="368"/>
      <c r="N492" s="370"/>
      <c r="O492" s="288"/>
      <c r="P492" s="297"/>
      <c r="Q492" s="297"/>
    </row>
    <row r="493" spans="1:20" s="102" customFormat="1" ht="12.75" customHeight="1">
      <c r="A493" s="2644"/>
      <c r="B493" s="692"/>
      <c r="C493" s="693"/>
      <c r="D493" s="697"/>
      <c r="E493" s="694"/>
      <c r="F493" s="655"/>
      <c r="G493" s="698"/>
      <c r="H493" s="655"/>
      <c r="I493" s="398"/>
      <c r="J493" s="478"/>
      <c r="K493" s="705"/>
      <c r="L493" s="695"/>
      <c r="M493" s="478"/>
      <c r="N493" s="696"/>
      <c r="O493" s="288"/>
      <c r="P493" s="297"/>
      <c r="Q493" s="297"/>
    </row>
    <row r="494" spans="1:20" s="102" customFormat="1" ht="13.5" thickBot="1">
      <c r="A494" s="2640"/>
      <c r="B494" s="700"/>
      <c r="C494" s="701"/>
      <c r="D494" s="708"/>
      <c r="E494" s="702"/>
      <c r="F494" s="709"/>
      <c r="G494" s="710"/>
      <c r="H494" s="709"/>
      <c r="I494" s="711"/>
      <c r="J494" s="480"/>
      <c r="K494" s="702"/>
      <c r="L494" s="703"/>
      <c r="M494" s="480"/>
      <c r="N494" s="704"/>
      <c r="O494" s="288"/>
      <c r="P494" s="297"/>
      <c r="Q494" s="297"/>
    </row>
    <row r="495" spans="1:20" s="102" customFormat="1" ht="13.5" thickBot="1">
      <c r="A495" s="323"/>
      <c r="B495" s="323"/>
      <c r="C495" s="309"/>
      <c r="D495" s="382"/>
      <c r="E495" s="323"/>
      <c r="F495" s="309"/>
      <c r="G495" s="309"/>
      <c r="H495" s="323"/>
      <c r="I495" s="325"/>
      <c r="J495" s="325"/>
      <c r="K495" s="323"/>
      <c r="L495" s="323"/>
      <c r="M495" s="325"/>
      <c r="N495" s="706">
        <f>SUM(N491:N494)</f>
        <v>0</v>
      </c>
      <c r="O495" s="288"/>
      <c r="P495" s="297"/>
      <c r="Q495" s="297"/>
    </row>
    <row r="496" spans="1:20" s="102" customFormat="1" ht="8.25" customHeight="1" thickBot="1">
      <c r="A496" s="323"/>
      <c r="B496" s="323"/>
      <c r="C496" s="323"/>
      <c r="D496" s="382"/>
      <c r="E496" s="323"/>
      <c r="F496" s="325"/>
      <c r="G496" s="325"/>
      <c r="H496" s="325"/>
      <c r="I496" s="323"/>
      <c r="J496" s="323"/>
      <c r="K496" s="323"/>
      <c r="L496" s="325"/>
      <c r="M496" s="323"/>
      <c r="N496" s="309"/>
      <c r="O496" s="288"/>
      <c r="P496" s="297"/>
      <c r="Q496" s="288"/>
    </row>
    <row r="497" spans="1:20" s="102" customFormat="1">
      <c r="A497" s="2629" t="s">
        <v>1228</v>
      </c>
      <c r="B497" s="687" t="s">
        <v>2498</v>
      </c>
      <c r="C497" s="327"/>
      <c r="D497" s="328">
        <f t="shared" ref="D497:D498" si="308">IF(H497&lt;&gt;"",VLOOKUP(G497,base_barras,IF(H497="Desnuda",2,5)+F497-1,FALSE),"-")</f>
        <v>2110</v>
      </c>
      <c r="E497" s="481">
        <v>4</v>
      </c>
      <c r="F497" s="330">
        <v>1</v>
      </c>
      <c r="G497" s="331" t="s">
        <v>470</v>
      </c>
      <c r="H497" s="330" t="s">
        <v>1043</v>
      </c>
      <c r="I497" s="332">
        <f>0.2</f>
        <v>0.2</v>
      </c>
      <c r="J497" s="333">
        <f t="shared" ref="J497" si="309">IF(G497&lt;&gt;"",VLOOKUP(G497,precio_barras,9,FALSE),0)</f>
        <v>107</v>
      </c>
      <c r="K497" s="329">
        <v>0</v>
      </c>
      <c r="L497" s="343" t="str">
        <f t="shared" ref="L497:L498" si="310">IF(G497&lt;&gt;"",IF(VLOOKUP(G497,base_barras,10,FALSE)&lt;&gt;"",VLOOKUP(G497,base_barras,10,FALSE),"-"),"-")</f>
        <v>1.5/1250</v>
      </c>
      <c r="M497" s="333">
        <f t="shared" ref="M497" si="311">IF(L497&lt;&gt;"-",VLOOKUP(L497,precio_aislador,2,FALSE),0)</f>
        <v>5.5</v>
      </c>
      <c r="N497" s="360">
        <f t="shared" ref="N497:N498" si="312">(I497*J497*F497+K497*M497)*E497*1.67*1.25</f>
        <v>178.69</v>
      </c>
      <c r="O497" s="288"/>
      <c r="P497" s="297"/>
      <c r="Q497" s="297"/>
    </row>
    <row r="498" spans="1:20" s="102" customFormat="1" ht="13.5" thickBot="1">
      <c r="A498" s="2635"/>
      <c r="B498" s="707"/>
      <c r="C498" s="479"/>
      <c r="D498" s="364" t="str">
        <f t="shared" si="308"/>
        <v>-</v>
      </c>
      <c r="E498" s="365"/>
      <c r="F498" s="366"/>
      <c r="G498" s="322"/>
      <c r="H498" s="366"/>
      <c r="I498" s="367"/>
      <c r="J498" s="480">
        <f>IF(G498&lt;&gt;"",VLOOKUP(G498,precio_barras,9,FALSE),0)</f>
        <v>0</v>
      </c>
      <c r="K498" s="365"/>
      <c r="L498" s="369" t="str">
        <f t="shared" si="310"/>
        <v>-</v>
      </c>
      <c r="M498" s="368">
        <f>IF(L498&lt;&gt;"-",VLOOKUP(L498,precio_aislador,2,FALSE),0)</f>
        <v>0</v>
      </c>
      <c r="N498" s="370">
        <f t="shared" si="312"/>
        <v>0</v>
      </c>
      <c r="O498" s="288"/>
      <c r="P498" s="297"/>
      <c r="Q498" s="297"/>
    </row>
    <row r="499" spans="1:20" s="102" customFormat="1" ht="13.5" thickBot="1">
      <c r="A499" s="323"/>
      <c r="B499" s="323"/>
      <c r="C499" s="309"/>
      <c r="D499" s="382"/>
      <c r="E499" s="323"/>
      <c r="F499" s="309"/>
      <c r="G499" s="309"/>
      <c r="H499" s="323"/>
      <c r="I499" s="325"/>
      <c r="J499" s="325"/>
      <c r="K499" s="323"/>
      <c r="L499" s="323"/>
      <c r="M499" s="325"/>
      <c r="N499" s="706">
        <f>SUM(N497:N498)</f>
        <v>178.69</v>
      </c>
      <c r="O499" s="288"/>
      <c r="P499" s="297"/>
      <c r="Q499" s="297"/>
    </row>
    <row r="500" spans="1:20" s="102" customFormat="1" ht="8.25" customHeight="1" thickBot="1">
      <c r="A500" s="323"/>
      <c r="B500" s="323"/>
      <c r="C500" s="323"/>
      <c r="D500" s="382"/>
      <c r="E500" s="323"/>
      <c r="F500" s="325"/>
      <c r="G500" s="325"/>
      <c r="H500" s="325"/>
      <c r="I500" s="323"/>
      <c r="J500" s="323"/>
      <c r="K500" s="323"/>
      <c r="L500" s="325"/>
      <c r="M500" s="323"/>
      <c r="N500" s="309"/>
      <c r="O500" s="288"/>
      <c r="P500" s="297"/>
      <c r="Q500" s="288"/>
    </row>
    <row r="501" spans="1:20" s="102" customFormat="1">
      <c r="A501" s="2645" t="s">
        <v>2548</v>
      </c>
      <c r="B501" s="687"/>
      <c r="C501" s="327"/>
      <c r="D501" s="328"/>
      <c r="E501" s="329"/>
      <c r="F501" s="330"/>
      <c r="G501" s="331"/>
      <c r="H501" s="330"/>
      <c r="I501" s="332"/>
      <c r="J501" s="333"/>
      <c r="K501" s="329"/>
      <c r="L501" s="343"/>
      <c r="M501" s="333"/>
      <c r="N501" s="360"/>
      <c r="O501" s="288"/>
      <c r="P501" s="297"/>
      <c r="Q501" s="297"/>
    </row>
    <row r="502" spans="1:20" s="199" customFormat="1" ht="15.75" customHeight="1">
      <c r="A502" s="2646"/>
      <c r="B502" s="692"/>
      <c r="C502" s="693"/>
      <c r="D502" s="697"/>
      <c r="E502" s="694"/>
      <c r="F502" s="655"/>
      <c r="G502" s="698"/>
      <c r="H502" s="655"/>
      <c r="I502" s="398"/>
      <c r="J502" s="478"/>
      <c r="K502" s="694"/>
      <c r="L502" s="695"/>
      <c r="M502" s="478"/>
      <c r="N502" s="696"/>
      <c r="O502" s="288"/>
      <c r="P502" s="297"/>
      <c r="Q502" s="288"/>
      <c r="R502" s="102"/>
      <c r="S502" s="102"/>
      <c r="T502" s="102"/>
    </row>
    <row r="503" spans="1:20" s="199" customFormat="1" ht="15.75" customHeight="1" thickBot="1">
      <c r="A503" s="2646"/>
      <c r="B503" s="707"/>
      <c r="C503" s="479"/>
      <c r="D503" s="364"/>
      <c r="E503" s="365"/>
      <c r="F503" s="366"/>
      <c r="G503" s="322"/>
      <c r="H503" s="366"/>
      <c r="I503" s="367"/>
      <c r="J503" s="368"/>
      <c r="K503" s="365"/>
      <c r="L503" s="369"/>
      <c r="M503" s="368"/>
      <c r="N503" s="370"/>
      <c r="O503" s="288"/>
      <c r="P503" s="297"/>
      <c r="Q503" s="288"/>
      <c r="R503" s="102"/>
      <c r="S503" s="102"/>
      <c r="T503" s="102"/>
    </row>
    <row r="504" spans="1:20" s="102" customFormat="1">
      <c r="A504" s="2646"/>
      <c r="B504" s="692"/>
      <c r="C504" s="693"/>
      <c r="D504" s="697"/>
      <c r="E504" s="694"/>
      <c r="F504" s="655"/>
      <c r="G504" s="698"/>
      <c r="H504" s="655"/>
      <c r="I504" s="398"/>
      <c r="J504" s="478"/>
      <c r="K504" s="694"/>
      <c r="L504" s="695"/>
      <c r="M504" s="478"/>
      <c r="N504" s="696"/>
      <c r="O504" s="288"/>
      <c r="P504" s="297"/>
      <c r="Q504" s="297"/>
    </row>
    <row r="505" spans="1:20" s="199" customFormat="1" ht="15.75" customHeight="1" thickBot="1">
      <c r="A505" s="2647"/>
      <c r="B505" s="700"/>
      <c r="C505" s="701"/>
      <c r="D505" s="708"/>
      <c r="E505" s="702"/>
      <c r="F505" s="709"/>
      <c r="G505" s="710"/>
      <c r="H505" s="709"/>
      <c r="I505" s="711"/>
      <c r="J505" s="480"/>
      <c r="K505" s="702"/>
      <c r="L505" s="703"/>
      <c r="M505" s="480"/>
      <c r="N505" s="704"/>
      <c r="O505" s="288"/>
      <c r="P505" s="297"/>
      <c r="Q505" s="288"/>
      <c r="R505" s="102"/>
      <c r="S505" s="102"/>
      <c r="T505" s="102"/>
    </row>
    <row r="506" spans="1:20" s="102" customFormat="1" ht="13.5" thickBot="1">
      <c r="A506" s="323"/>
      <c r="B506" s="323"/>
      <c r="C506" s="309"/>
      <c r="D506" s="382"/>
      <c r="E506" s="323"/>
      <c r="F506" s="309"/>
      <c r="G506" s="309"/>
      <c r="H506" s="323"/>
      <c r="I506" s="325"/>
      <c r="J506" s="325"/>
      <c r="K506" s="323"/>
      <c r="L506" s="323"/>
      <c r="M506" s="325"/>
      <c r="N506" s="706">
        <f>SUM(N501:N505)</f>
        <v>0</v>
      </c>
      <c r="O506" s="288"/>
      <c r="P506" s="297"/>
      <c r="Q506" s="297"/>
    </row>
    <row r="507" spans="1:20" s="102" customFormat="1" ht="8.25" customHeight="1" thickBot="1">
      <c r="A507" s="323"/>
      <c r="B507" s="323"/>
      <c r="C507" s="323"/>
      <c r="D507" s="382"/>
      <c r="E507" s="323"/>
      <c r="F507" s="325"/>
      <c r="G507" s="325"/>
      <c r="H507" s="325"/>
      <c r="I507" s="323"/>
      <c r="J507" s="323"/>
      <c r="K507" s="323"/>
      <c r="L507" s="325"/>
      <c r="M507" s="323"/>
      <c r="N507" s="309"/>
      <c r="O507" s="288"/>
      <c r="P507" s="297"/>
      <c r="Q507" s="288"/>
    </row>
    <row r="508" spans="1:20" s="102" customFormat="1">
      <c r="A508" s="2629" t="s">
        <v>1034</v>
      </c>
      <c r="B508" s="687"/>
      <c r="C508" s="327"/>
      <c r="D508" s="328"/>
      <c r="E508" s="329"/>
      <c r="F508" s="330"/>
      <c r="G508" s="331"/>
      <c r="H508" s="330"/>
      <c r="I508" s="332"/>
      <c r="J508" s="333"/>
      <c r="K508" s="329"/>
      <c r="L508" s="343"/>
      <c r="M508" s="333"/>
      <c r="N508" s="360"/>
      <c r="O508" s="288"/>
      <c r="P508" s="297"/>
      <c r="Q508" s="297"/>
    </row>
    <row r="509" spans="1:20" s="102" customFormat="1" ht="13.5" thickBot="1">
      <c r="A509" s="2635"/>
      <c r="B509" s="700"/>
      <c r="C509" s="701"/>
      <c r="D509" s="708"/>
      <c r="E509" s="702"/>
      <c r="F509" s="709"/>
      <c r="G509" s="710"/>
      <c r="H509" s="709"/>
      <c r="I509" s="711"/>
      <c r="J509" s="480"/>
      <c r="K509" s="702"/>
      <c r="L509" s="703"/>
      <c r="M509" s="480"/>
      <c r="N509" s="704"/>
      <c r="O509" s="288"/>
      <c r="P509" s="297"/>
      <c r="Q509" s="297"/>
    </row>
    <row r="510" spans="1:20" s="102" customFormat="1" ht="13.5" thickBot="1">
      <c r="A510" s="323"/>
      <c r="B510" s="323"/>
      <c r="C510" s="309"/>
      <c r="D510" s="382"/>
      <c r="E510" s="323"/>
      <c r="F510" s="309"/>
      <c r="G510" s="309"/>
      <c r="H510" s="323"/>
      <c r="I510" s="325"/>
      <c r="J510" s="325"/>
      <c r="K510" s="323"/>
      <c r="L510" s="323"/>
      <c r="M510" s="325"/>
      <c r="N510" s="706">
        <f>SUM(N508:N509)</f>
        <v>0</v>
      </c>
      <c r="O510" s="288"/>
      <c r="P510" s="297"/>
      <c r="Q510" s="297"/>
    </row>
    <row r="511" spans="1:20" s="102" customFormat="1">
      <c r="A511" s="323"/>
      <c r="B511" s="309"/>
      <c r="C511" s="309"/>
      <c r="D511" s="382"/>
      <c r="E511" s="323"/>
      <c r="F511" s="309"/>
      <c r="G511" s="309"/>
      <c r="H511" s="323"/>
      <c r="I511" s="325"/>
      <c r="J511" s="325"/>
      <c r="K511" s="323"/>
      <c r="L511" s="323"/>
      <c r="M511" s="325"/>
      <c r="N511" s="722"/>
      <c r="O511" s="288"/>
      <c r="P511" s="297"/>
      <c r="Q511" s="297"/>
    </row>
    <row r="512" spans="1:20" s="102" customFormat="1" ht="15">
      <c r="A512" s="323"/>
      <c r="B512" s="723" t="s">
        <v>2513</v>
      </c>
      <c r="C512" s="309"/>
      <c r="D512" s="382"/>
      <c r="E512" s="323"/>
      <c r="F512" s="309"/>
      <c r="G512" s="309"/>
      <c r="H512" s="323"/>
      <c r="I512" s="325"/>
      <c r="J512" s="325"/>
      <c r="K512" s="323"/>
      <c r="L512" s="323"/>
      <c r="M512" s="325"/>
      <c r="N512" s="722"/>
      <c r="O512" s="288"/>
      <c r="P512" s="297"/>
      <c r="Q512" s="297"/>
    </row>
    <row r="513" spans="1:17" s="106" customFormat="1"/>
    <row r="514" spans="1:17" s="106" customFormat="1"/>
    <row r="515" spans="1:17" s="102" customFormat="1" ht="15">
      <c r="A515" s="323"/>
      <c r="B515" s="723"/>
      <c r="C515" s="309"/>
      <c r="D515" s="382"/>
      <c r="E515" s="323"/>
      <c r="F515" s="309"/>
      <c r="G515" s="309"/>
      <c r="H515" s="323"/>
      <c r="I515" s="325"/>
      <c r="J515" s="325"/>
      <c r="K515" s="323"/>
      <c r="L515" s="323"/>
      <c r="M515" s="325"/>
      <c r="N515" s="722"/>
      <c r="O515" s="288"/>
      <c r="P515" s="297"/>
      <c r="Q515" s="297"/>
    </row>
    <row r="516" spans="1:17" s="102" customFormat="1">
      <c r="A516" s="323"/>
      <c r="B516" s="309"/>
      <c r="C516" s="309"/>
      <c r="D516" s="382"/>
      <c r="E516" s="323"/>
      <c r="F516" s="309"/>
      <c r="G516" s="309"/>
      <c r="H516" s="323"/>
      <c r="I516" s="325"/>
      <c r="J516" s="325"/>
      <c r="K516" s="323"/>
      <c r="L516" s="323"/>
      <c r="M516" s="325"/>
      <c r="N516" s="722"/>
      <c r="O516" s="288"/>
      <c r="P516" s="297"/>
      <c r="Q516" s="297"/>
    </row>
    <row r="517" spans="1:17" s="102" customFormat="1" ht="15">
      <c r="A517" s="323"/>
      <c r="B517" s="723"/>
      <c r="C517" s="309"/>
      <c r="D517" s="382"/>
      <c r="E517" s="323"/>
      <c r="F517" s="309"/>
      <c r="G517" s="309"/>
      <c r="H517" s="323"/>
      <c r="I517" s="325"/>
      <c r="J517" s="325"/>
      <c r="K517" s="323"/>
      <c r="L517" s="323"/>
      <c r="M517" s="325"/>
      <c r="N517" s="722"/>
      <c r="O517" s="288"/>
      <c r="P517" s="297"/>
      <c r="Q517" s="297"/>
    </row>
    <row r="518" spans="1:17" s="106" customFormat="1"/>
    <row r="519" spans="1:17" s="102" customFormat="1" ht="15">
      <c r="A519" s="323"/>
      <c r="B519" s="723"/>
      <c r="C519" s="309"/>
      <c r="D519" s="382"/>
      <c r="E519" s="323"/>
      <c r="F519" s="309"/>
      <c r="G519" s="309"/>
      <c r="H519" s="323"/>
      <c r="I519" s="325"/>
      <c r="J519" s="325"/>
      <c r="K519" s="323"/>
      <c r="L519" s="323"/>
      <c r="M519" s="325"/>
      <c r="N519" s="722"/>
      <c r="O519" s="288"/>
      <c r="P519" s="297"/>
      <c r="Q519" s="297"/>
    </row>
    <row r="520" spans="1:17" s="102" customFormat="1">
      <c r="A520" s="323"/>
      <c r="B520" s="309"/>
      <c r="C520" s="309"/>
      <c r="D520" s="382"/>
      <c r="E520" s="323"/>
      <c r="F520" s="309"/>
      <c r="G520" s="309"/>
      <c r="H520" s="323"/>
      <c r="I520" s="325"/>
      <c r="J520" s="325"/>
      <c r="K520" s="323"/>
      <c r="L520" s="323"/>
      <c r="M520" s="325"/>
      <c r="N520" s="722"/>
      <c r="O520" s="288"/>
      <c r="P520" s="297"/>
      <c r="Q520" s="297"/>
    </row>
    <row r="521" spans="1:17" s="102" customFormat="1" ht="15">
      <c r="A521" s="323"/>
      <c r="B521" s="723"/>
      <c r="C521" s="309"/>
      <c r="D521" s="382"/>
      <c r="E521" s="323"/>
      <c r="F521" s="309"/>
      <c r="G521" s="309"/>
      <c r="H521" s="323"/>
      <c r="I521" s="325"/>
      <c r="J521" s="325"/>
      <c r="K521" s="323"/>
      <c r="L521" s="323"/>
      <c r="M521" s="325"/>
      <c r="N521" s="722"/>
      <c r="O521" s="288"/>
      <c r="P521" s="297"/>
      <c r="Q521" s="297"/>
    </row>
    <row r="522" spans="1:17" s="106" customFormat="1"/>
    <row r="523" spans="1:17" s="102" customFormat="1" ht="15">
      <c r="A523" s="323"/>
      <c r="B523" s="723"/>
      <c r="C523" s="309"/>
      <c r="D523" s="382"/>
      <c r="E523" s="323"/>
      <c r="F523" s="309"/>
      <c r="G523" s="309"/>
      <c r="H523" s="323"/>
      <c r="I523" s="325"/>
      <c r="J523" s="325"/>
      <c r="K523" s="323"/>
      <c r="L523" s="323"/>
      <c r="M523" s="325"/>
      <c r="N523" s="722"/>
      <c r="O523" s="288"/>
      <c r="P523" s="297"/>
      <c r="Q523" s="297"/>
    </row>
    <row r="524" spans="1:17" s="102" customFormat="1">
      <c r="A524" s="323"/>
      <c r="B524" s="309"/>
      <c r="C524" s="309"/>
      <c r="D524" s="382"/>
      <c r="E524" s="323"/>
      <c r="F524" s="309"/>
      <c r="G524" s="309"/>
      <c r="H524" s="323"/>
      <c r="I524" s="325"/>
      <c r="J524" s="325"/>
      <c r="K524" s="323"/>
      <c r="L524" s="323"/>
      <c r="M524" s="325"/>
      <c r="N524" s="722"/>
      <c r="O524" s="288"/>
      <c r="P524" s="297"/>
      <c r="Q524" s="297"/>
    </row>
    <row r="525" spans="1:17" s="102" customFormat="1" ht="15">
      <c r="A525" s="323"/>
      <c r="B525" s="723"/>
      <c r="C525" s="309"/>
      <c r="D525" s="382"/>
      <c r="E525" s="323"/>
      <c r="F525" s="309"/>
      <c r="G525" s="309"/>
      <c r="H525" s="323"/>
      <c r="I525" s="325"/>
      <c r="J525" s="325"/>
      <c r="K525" s="323"/>
      <c r="L525" s="323"/>
      <c r="M525" s="325"/>
      <c r="N525" s="722"/>
      <c r="O525" s="288"/>
      <c r="P525" s="297"/>
      <c r="Q525" s="297"/>
    </row>
    <row r="526" spans="1:17" s="106" customFormat="1"/>
    <row r="527" spans="1:17" s="102" customFormat="1" ht="15">
      <c r="A527" s="323"/>
      <c r="B527" s="723"/>
      <c r="C527" s="309"/>
      <c r="D527" s="382"/>
      <c r="E527" s="323"/>
      <c r="F527" s="309"/>
      <c r="G527" s="309"/>
      <c r="H527" s="323"/>
      <c r="I527" s="325"/>
      <c r="J527" s="325"/>
      <c r="K527" s="323"/>
      <c r="L527" s="323"/>
      <c r="M527" s="325"/>
      <c r="N527" s="722"/>
      <c r="O527" s="288"/>
      <c r="P527" s="297"/>
      <c r="Q527" s="297"/>
    </row>
    <row r="528" spans="1:17" s="102" customFormat="1">
      <c r="A528" s="323"/>
      <c r="B528" s="309"/>
      <c r="C528" s="309"/>
      <c r="D528" s="382"/>
      <c r="E528" s="323"/>
      <c r="F528" s="309"/>
      <c r="G528" s="309"/>
      <c r="H528" s="323"/>
      <c r="I528" s="325"/>
      <c r="J528" s="325"/>
      <c r="K528" s="323"/>
      <c r="L528" s="323"/>
      <c r="M528" s="325"/>
      <c r="N528" s="722"/>
      <c r="O528" s="288"/>
      <c r="P528" s="297"/>
      <c r="Q528" s="297"/>
    </row>
    <row r="529" spans="1:20" s="102" customFormat="1" ht="15">
      <c r="A529" s="323"/>
      <c r="B529" s="723"/>
      <c r="C529" s="309"/>
      <c r="D529" s="382"/>
      <c r="E529" s="323"/>
      <c r="F529" s="309"/>
      <c r="G529" s="309"/>
      <c r="H529" s="323"/>
      <c r="I529" s="325"/>
      <c r="J529" s="325"/>
      <c r="K529" s="323"/>
      <c r="L529" s="323"/>
      <c r="M529" s="325"/>
      <c r="N529" s="722"/>
      <c r="O529" s="288"/>
      <c r="P529" s="297"/>
      <c r="Q529" s="297"/>
    </row>
    <row r="530" spans="1:20" s="106" customFormat="1" ht="13.5" thickBot="1"/>
    <row r="531" spans="1:20" s="199" customFormat="1" ht="15.75" customHeight="1">
      <c r="A531" s="2641" t="s">
        <v>3464</v>
      </c>
      <c r="B531" s="687" t="s">
        <v>2498</v>
      </c>
      <c r="C531" s="327"/>
      <c r="D531" s="328">
        <f t="shared" ref="D531:D532" si="313">IF(H531&lt;&gt;"",VLOOKUP(G531,base_barras,IF(H531="Desnuda",2,5)+F531-1,FALSE),"-")</f>
        <v>4270</v>
      </c>
      <c r="E531" s="329">
        <v>4</v>
      </c>
      <c r="F531" s="330">
        <v>3</v>
      </c>
      <c r="G531" s="331" t="s">
        <v>470</v>
      </c>
      <c r="H531" s="330" t="s">
        <v>1043</v>
      </c>
      <c r="I531" s="332">
        <f>1+1.2+0.4</f>
        <v>2.6</v>
      </c>
      <c r="J531" s="333">
        <f t="shared" ref="J531:J538" si="314">IF(G531&lt;&gt;"",VLOOKUP(G531,precio_barras,9,FALSE),0)</f>
        <v>107</v>
      </c>
      <c r="K531" s="329">
        <f>2+2+1</f>
        <v>5</v>
      </c>
      <c r="L531" s="343" t="str">
        <f t="shared" ref="L531:L532" si="315">IF(G531&lt;&gt;"",IF(VLOOKUP(G531,base_barras,10,FALSE)&lt;&gt;"",VLOOKUP(G531,base_barras,10,FALSE),"-"),"-")</f>
        <v>1.5/1250</v>
      </c>
      <c r="M531" s="333">
        <f t="shared" ref="M531:M532" si="316">IF(L531&lt;&gt;"-",VLOOKUP(L531,precio_aislador,2,FALSE),0)</f>
        <v>5.5</v>
      </c>
      <c r="N531" s="360">
        <f t="shared" ref="N531:N534" si="317">(I531*J531*F531+K531*M531)*E531*1.67*1.25</f>
        <v>7198.5349999999999</v>
      </c>
      <c r="O531" s="288"/>
      <c r="P531" s="297"/>
      <c r="Q531" s="288"/>
      <c r="R531" s="102"/>
      <c r="S531" s="102"/>
      <c r="T531" s="102"/>
    </row>
    <row r="532" spans="1:20" s="199" customFormat="1" ht="15.75" customHeight="1">
      <c r="A532" s="2642"/>
      <c r="B532" s="688" t="s">
        <v>3465</v>
      </c>
      <c r="C532" s="311"/>
      <c r="D532" s="312">
        <f t="shared" si="313"/>
        <v>1720</v>
      </c>
      <c r="E532" s="313">
        <v>4</v>
      </c>
      <c r="F532" s="314">
        <v>2</v>
      </c>
      <c r="G532" s="315" t="s">
        <v>315</v>
      </c>
      <c r="H532" s="314" t="s">
        <v>1043</v>
      </c>
      <c r="I532" s="316">
        <v>0.61</v>
      </c>
      <c r="J532" s="317">
        <f t="shared" si="314"/>
        <v>44.400000000000006</v>
      </c>
      <c r="K532" s="313">
        <v>0</v>
      </c>
      <c r="L532" s="318" t="str">
        <f t="shared" si="315"/>
        <v>1/750</v>
      </c>
      <c r="M532" s="317">
        <f t="shared" si="316"/>
        <v>1.9</v>
      </c>
      <c r="N532" s="308">
        <f t="shared" si="317"/>
        <v>452.30279999999999</v>
      </c>
      <c r="O532" s="288"/>
      <c r="P532" s="297"/>
      <c r="Q532" s="288"/>
      <c r="R532" s="102"/>
      <c r="S532" s="102"/>
      <c r="T532" s="102"/>
    </row>
    <row r="533" spans="1:20" s="199" customFormat="1" ht="15.75" customHeight="1">
      <c r="A533" s="2642"/>
      <c r="B533" s="688" t="s">
        <v>3466</v>
      </c>
      <c r="C533" s="311"/>
      <c r="D533" s="312">
        <f t="shared" ref="D533" si="318">IF(H533&lt;&gt;"",VLOOKUP(G533,base_barras,IF(H533="Desnuda",2,5)+F533-1,FALSE),"-")</f>
        <v>850</v>
      </c>
      <c r="E533" s="313">
        <v>4</v>
      </c>
      <c r="F533" s="314">
        <v>1</v>
      </c>
      <c r="G533" s="315" t="s">
        <v>469</v>
      </c>
      <c r="H533" s="314" t="s">
        <v>1043</v>
      </c>
      <c r="I533" s="316">
        <v>0.61</v>
      </c>
      <c r="J533" s="317">
        <f t="shared" ref="J533" si="319">IF(G533&lt;&gt;"",VLOOKUP(G533,precio_barras,9,FALSE),0)</f>
        <v>35.6</v>
      </c>
      <c r="K533" s="313">
        <v>0</v>
      </c>
      <c r="L533" s="318" t="str">
        <f t="shared" ref="L533" si="320">IF(G533&lt;&gt;"",IF(VLOOKUP(G533,base_barras,10,FALSE)&lt;&gt;"",VLOOKUP(G533,base_barras,10,FALSE),"-"),"-")</f>
        <v>1/750</v>
      </c>
      <c r="M533" s="317">
        <f t="shared" ref="M533" si="321">IF(L533&lt;&gt;"-",VLOOKUP(L533,precio_aislador,2,FALSE),0)</f>
        <v>1.9</v>
      </c>
      <c r="N533" s="308">
        <f t="shared" si="317"/>
        <v>181.32859999999999</v>
      </c>
      <c r="O533" s="288"/>
      <c r="P533" s="297"/>
      <c r="Q533" s="288"/>
      <c r="R533" s="102"/>
      <c r="S533" s="102"/>
      <c r="T533" s="102"/>
    </row>
    <row r="534" spans="1:20" s="199" customFormat="1" ht="15.75" customHeight="1">
      <c r="A534" s="2642"/>
      <c r="B534" s="688" t="s">
        <v>3467</v>
      </c>
      <c r="C534" s="311"/>
      <c r="D534" s="312">
        <f t="shared" ref="D534" si="322">IF(H534&lt;&gt;"",VLOOKUP(G534,base_barras,IF(H534="Desnuda",2,5)+F534-1,FALSE),"-")</f>
        <v>850</v>
      </c>
      <c r="E534" s="313">
        <v>3</v>
      </c>
      <c r="F534" s="314">
        <v>1</v>
      </c>
      <c r="G534" s="315" t="s">
        <v>469</v>
      </c>
      <c r="H534" s="314" t="s">
        <v>1043</v>
      </c>
      <c r="I534" s="316">
        <v>0.8</v>
      </c>
      <c r="J534" s="317">
        <f t="shared" ref="J534" si="323">IF(G534&lt;&gt;"",VLOOKUP(G534,precio_barras,9,FALSE),0)</f>
        <v>35.6</v>
      </c>
      <c r="K534" s="313">
        <v>0</v>
      </c>
      <c r="L534" s="318" t="str">
        <f t="shared" ref="L534" si="324">IF(G534&lt;&gt;"",IF(VLOOKUP(G534,base_barras,10,FALSE)&lt;&gt;"",VLOOKUP(G534,base_barras,10,FALSE),"-"),"-")</f>
        <v>1/750</v>
      </c>
      <c r="M534" s="317">
        <f t="shared" ref="M534" si="325">IF(L534&lt;&gt;"-",VLOOKUP(L534,precio_aislador,2,FALSE),0)</f>
        <v>1.9</v>
      </c>
      <c r="N534" s="308">
        <f t="shared" si="317"/>
        <v>178.35600000000002</v>
      </c>
      <c r="O534" s="288"/>
      <c r="P534" s="297"/>
      <c r="Q534" s="288"/>
      <c r="R534" s="102"/>
      <c r="S534" s="102"/>
      <c r="T534" s="102"/>
    </row>
    <row r="535" spans="1:20" s="199" customFormat="1" ht="14.25">
      <c r="A535" s="2642"/>
      <c r="B535" s="688" t="s">
        <v>802</v>
      </c>
      <c r="C535" s="319"/>
      <c r="D535" s="312">
        <f>IF(H535&lt;&gt;"",VLOOKUP(G535,base_barras,IF(H535="Desnuda",2,5)+F535-1,FALSE),"-")</f>
        <v>1810</v>
      </c>
      <c r="E535" s="313">
        <v>1</v>
      </c>
      <c r="F535" s="314">
        <v>1</v>
      </c>
      <c r="G535" s="315" t="s">
        <v>468</v>
      </c>
      <c r="H535" s="689" t="str">
        <f>H531</f>
        <v>Pintada</v>
      </c>
      <c r="I535" s="690">
        <f>I531</f>
        <v>2.6</v>
      </c>
      <c r="J535" s="317">
        <f t="shared" si="314"/>
        <v>88.9</v>
      </c>
      <c r="K535" s="691">
        <v>0</v>
      </c>
      <c r="L535" s="318" t="str">
        <f>IF(G535&lt;&gt;"",IF(VLOOKUP(G535,base_barras,10,FALSE)&lt;&gt;"",VLOOKUP(G535,base_barras,10,FALSE),"-"),"-")</f>
        <v>1.5/1250</v>
      </c>
      <c r="M535" s="317">
        <f>IF(L535&lt;&gt;"-",VLOOKUP(L535,precio_aislador,2,FALSE),0)</f>
        <v>5.5</v>
      </c>
      <c r="N535" s="308">
        <f>(I535*J535*F535+K535*M535)*E535*1.67*1.25</f>
        <v>482.50475</v>
      </c>
      <c r="O535" s="288"/>
      <c r="P535" s="297"/>
      <c r="Q535" s="288"/>
      <c r="R535" s="102"/>
      <c r="S535" s="102"/>
      <c r="T535" s="102"/>
    </row>
    <row r="536" spans="1:20" s="199" customFormat="1" ht="15.75" customHeight="1">
      <c r="A536" s="2642"/>
      <c r="B536" s="688" t="s">
        <v>3468</v>
      </c>
      <c r="C536" s="311"/>
      <c r="D536" s="312">
        <f t="shared" ref="D536" si="326">IF(H536&lt;&gt;"",VLOOKUP(G536,base_barras,IF(H536="Desnuda",2,5)+F536-1,FALSE),"-")</f>
        <v>985</v>
      </c>
      <c r="E536" s="313">
        <v>3</v>
      </c>
      <c r="F536" s="314">
        <v>1</v>
      </c>
      <c r="G536" s="315" t="s">
        <v>581</v>
      </c>
      <c r="H536" s="314" t="s">
        <v>1044</v>
      </c>
      <c r="I536" s="316">
        <v>0.5</v>
      </c>
      <c r="J536" s="317">
        <f t="shared" si="314"/>
        <v>53.3</v>
      </c>
      <c r="K536" s="313">
        <v>0</v>
      </c>
      <c r="L536" s="318" t="str">
        <f t="shared" ref="L536" si="327">IF(G536&lt;&gt;"",IF(VLOOKUP(G536,base_barras,10,FALSE)&lt;&gt;"",VLOOKUP(G536,base_barras,10,FALSE),"-"),"-")</f>
        <v>1/750</v>
      </c>
      <c r="M536" s="317">
        <f t="shared" ref="M536" si="328">IF(L536&lt;&gt;"-",VLOOKUP(L536,precio_aislador,2,FALSE),0)</f>
        <v>1.9</v>
      </c>
      <c r="N536" s="308">
        <f t="shared" ref="N536:N538" si="329">(I536*J536*F536+K536*M536)*E536*1.67*1.25</f>
        <v>166.89562499999997</v>
      </c>
      <c r="O536" s="288"/>
      <c r="P536" s="297"/>
      <c r="Q536" s="288"/>
      <c r="R536" s="102"/>
      <c r="S536" s="102"/>
      <c r="T536" s="102"/>
    </row>
    <row r="537" spans="1:20" s="199" customFormat="1" ht="15.75" customHeight="1">
      <c r="A537" s="2642"/>
      <c r="B537" s="688" t="s">
        <v>3468</v>
      </c>
      <c r="C537" s="311"/>
      <c r="D537" s="312">
        <f t="shared" ref="D537" si="330">IF(H537&lt;&gt;"",VLOOKUP(G537,base_barras,IF(H537="Desnuda",2,5)+F537-1,FALSE),"-")</f>
        <v>985</v>
      </c>
      <c r="E537" s="313">
        <v>3</v>
      </c>
      <c r="F537" s="314">
        <v>1</v>
      </c>
      <c r="G537" s="315" t="s">
        <v>581</v>
      </c>
      <c r="H537" s="314" t="s">
        <v>1044</v>
      </c>
      <c r="I537" s="316">
        <v>0.5</v>
      </c>
      <c r="J537" s="317">
        <f t="shared" ref="J537" si="331">IF(G537&lt;&gt;"",VLOOKUP(G537,precio_barras,9,FALSE),0)</f>
        <v>53.3</v>
      </c>
      <c r="K537" s="313">
        <v>0</v>
      </c>
      <c r="L537" s="318" t="str">
        <f t="shared" ref="L537" si="332">IF(G537&lt;&gt;"",IF(VLOOKUP(G537,base_barras,10,FALSE)&lt;&gt;"",VLOOKUP(G537,base_barras,10,FALSE),"-"),"-")</f>
        <v>1/750</v>
      </c>
      <c r="M537" s="317">
        <f t="shared" ref="M537" si="333">IF(L537&lt;&gt;"-",VLOOKUP(L537,precio_aislador,2,FALSE),0)</f>
        <v>1.9</v>
      </c>
      <c r="N537" s="308">
        <f t="shared" si="329"/>
        <v>166.89562499999997</v>
      </c>
      <c r="O537" s="288"/>
      <c r="P537" s="297"/>
      <c r="Q537" s="288"/>
      <c r="R537" s="102"/>
      <c r="S537" s="102"/>
      <c r="T537" s="102"/>
    </row>
    <row r="538" spans="1:20" s="199" customFormat="1" ht="15.75" customHeight="1" thickBot="1">
      <c r="A538" s="2643"/>
      <c r="B538" s="692" t="s">
        <v>3469</v>
      </c>
      <c r="C538" s="693"/>
      <c r="D538" s="312">
        <f t="shared" ref="D538" si="334">IF(H538&lt;&gt;"",VLOOKUP(G538,base_barras,IF(H538="Desnuda",2,5)+F538-1,FALSE),"-")</f>
        <v>715</v>
      </c>
      <c r="E538" s="313">
        <v>3</v>
      </c>
      <c r="F538" s="314">
        <v>1</v>
      </c>
      <c r="G538" s="315" t="s">
        <v>469</v>
      </c>
      <c r="H538" s="314" t="s">
        <v>1044</v>
      </c>
      <c r="I538" s="316">
        <v>0.5</v>
      </c>
      <c r="J538" s="317">
        <f t="shared" si="314"/>
        <v>35.6</v>
      </c>
      <c r="K538" s="694">
        <v>0</v>
      </c>
      <c r="L538" s="695" t="str">
        <f t="shared" ref="L538" si="335">IF(G538&lt;&gt;"",IF(VLOOKUP(G538,base_barras,10,FALSE)&lt;&gt;"",VLOOKUP(G538,base_barras,10,FALSE),"-"),"-")</f>
        <v>1/750</v>
      </c>
      <c r="M538" s="478">
        <f t="shared" ref="M538" si="336">IF(L538&lt;&gt;"-",VLOOKUP(L538,precio_aislador,2,FALSE),0)</f>
        <v>1.9</v>
      </c>
      <c r="N538" s="696">
        <f t="shared" si="329"/>
        <v>111.47250000000001</v>
      </c>
      <c r="O538" s="288"/>
      <c r="P538" s="297"/>
      <c r="Q538" s="288"/>
      <c r="R538" s="102"/>
      <c r="S538" s="102"/>
      <c r="T538" s="102"/>
    </row>
    <row r="539" spans="1:20" s="129" customFormat="1" ht="22.5" customHeight="1" thickBot="1">
      <c r="A539" s="371"/>
      <c r="B539" s="373"/>
      <c r="C539" s="375"/>
      <c r="D539" s="383"/>
      <c r="E539" s="373"/>
      <c r="F539" s="373"/>
      <c r="G539" s="373"/>
      <c r="H539" s="373"/>
      <c r="I539" s="374"/>
      <c r="J539" s="374"/>
      <c r="K539" s="373"/>
      <c r="L539" s="373"/>
      <c r="M539" s="372"/>
      <c r="N539" s="699">
        <f>SUM(N531:N538)</f>
        <v>8938.2908999999981</v>
      </c>
      <c r="O539" s="288"/>
      <c r="P539" s="297"/>
      <c r="Q539" s="288"/>
      <c r="R539" s="102"/>
      <c r="S539" s="102"/>
      <c r="T539" s="102"/>
    </row>
    <row r="540" spans="1:20" s="102" customFormat="1" ht="8.25" customHeight="1" thickBot="1">
      <c r="A540" s="323"/>
      <c r="B540" s="323"/>
      <c r="C540" s="323"/>
      <c r="D540" s="382"/>
      <c r="E540" s="323"/>
      <c r="F540" s="325"/>
      <c r="G540" s="325"/>
      <c r="H540" s="325"/>
      <c r="I540" s="323"/>
      <c r="J540" s="323"/>
      <c r="K540" s="323"/>
      <c r="L540" s="325"/>
      <c r="M540" s="323"/>
      <c r="N540" s="309"/>
      <c r="O540" s="288"/>
      <c r="P540" s="297"/>
      <c r="Q540" s="288"/>
    </row>
    <row r="541" spans="1:20" s="102" customFormat="1" ht="12.75" customHeight="1">
      <c r="A541" s="2639" t="s">
        <v>2502</v>
      </c>
      <c r="B541" s="687" t="s">
        <v>2503</v>
      </c>
      <c r="C541" s="327"/>
      <c r="D541" s="328">
        <f t="shared" ref="D541:D544" si="337">IF(H541&lt;&gt;"",VLOOKUP(G541,base_barras,IF(H541="Desnuda",2,5)+F541-1,FALSE),"-")</f>
        <v>3290</v>
      </c>
      <c r="E541" s="329">
        <v>3</v>
      </c>
      <c r="F541" s="330">
        <v>1</v>
      </c>
      <c r="G541" s="331" t="s">
        <v>584</v>
      </c>
      <c r="H541" s="330" t="s">
        <v>1043</v>
      </c>
      <c r="I541" s="332">
        <v>0</v>
      </c>
      <c r="J541" s="333">
        <f t="shared" ref="J541:J544" si="338">IF(G541&lt;&gt;"",VLOOKUP(G541,precio_barras,9,FALSE),0)</f>
        <v>231.4</v>
      </c>
      <c r="K541" s="481">
        <v>0</v>
      </c>
      <c r="L541" s="343" t="str">
        <f t="shared" ref="L541:L544" si="339">IF(G541&lt;&gt;"",IF(VLOOKUP(G541,base_barras,10,FALSE)&lt;&gt;"",VLOOKUP(G541,base_barras,10,FALSE),"-"),"-")</f>
        <v>1.5/1600</v>
      </c>
      <c r="M541" s="333">
        <f t="shared" ref="M541:M544" si="340">IF(L541&lt;&gt;"-",VLOOKUP(L541,precio_aislador,2,FALSE),0)</f>
        <v>22</v>
      </c>
      <c r="N541" s="360">
        <f t="shared" ref="N541:N544" si="341">(I541*J541*F541+K541*M541)*E541*1.67*1.25</f>
        <v>0</v>
      </c>
      <c r="O541" s="288"/>
      <c r="P541" s="297"/>
      <c r="Q541" s="297"/>
    </row>
    <row r="542" spans="1:20" s="199" customFormat="1" ht="15.75" customHeight="1" thickBot="1">
      <c r="A542" s="2644"/>
      <c r="B542" s="700" t="s">
        <v>2504</v>
      </c>
      <c r="C542" s="701"/>
      <c r="D542" s="364">
        <f t="shared" si="337"/>
        <v>3170</v>
      </c>
      <c r="E542" s="365">
        <v>3</v>
      </c>
      <c r="F542" s="366">
        <v>3</v>
      </c>
      <c r="G542" s="322" t="s">
        <v>582</v>
      </c>
      <c r="H542" s="366" t="s">
        <v>1043</v>
      </c>
      <c r="I542" s="367">
        <v>0</v>
      </c>
      <c r="J542" s="368">
        <f t="shared" si="338"/>
        <v>71.100000000000009</v>
      </c>
      <c r="K542" s="702">
        <v>0</v>
      </c>
      <c r="L542" s="703" t="str">
        <f t="shared" si="339"/>
        <v>1/1000</v>
      </c>
      <c r="M542" s="480">
        <f t="shared" si="340"/>
        <v>2.7</v>
      </c>
      <c r="N542" s="704">
        <f t="shared" si="341"/>
        <v>0</v>
      </c>
      <c r="O542" s="288"/>
      <c r="P542" s="297"/>
      <c r="Q542" s="288"/>
      <c r="R542" s="102"/>
      <c r="S542" s="102"/>
      <c r="T542" s="102"/>
    </row>
    <row r="543" spans="1:20" s="102" customFormat="1" ht="12.75" customHeight="1">
      <c r="A543" s="2644"/>
      <c r="B543" s="692" t="s">
        <v>2503</v>
      </c>
      <c r="C543" s="693"/>
      <c r="D543" s="697">
        <f t="shared" si="337"/>
        <v>3290</v>
      </c>
      <c r="E543" s="694">
        <v>3</v>
      </c>
      <c r="F543" s="655">
        <v>1</v>
      </c>
      <c r="G543" s="698" t="s">
        <v>584</v>
      </c>
      <c r="H543" s="655" t="s">
        <v>1043</v>
      </c>
      <c r="I543" s="398">
        <v>0</v>
      </c>
      <c r="J543" s="478">
        <f t="shared" si="338"/>
        <v>231.4</v>
      </c>
      <c r="K543" s="705">
        <v>0</v>
      </c>
      <c r="L543" s="695" t="str">
        <f t="shared" si="339"/>
        <v>1.5/1600</v>
      </c>
      <c r="M543" s="478">
        <f t="shared" si="340"/>
        <v>22</v>
      </c>
      <c r="N543" s="696">
        <f t="shared" si="341"/>
        <v>0</v>
      </c>
      <c r="O543" s="288"/>
      <c r="P543" s="297"/>
      <c r="Q543" s="297"/>
    </row>
    <row r="544" spans="1:20" s="199" customFormat="1" ht="15.75" customHeight="1" thickBot="1">
      <c r="A544" s="2640"/>
      <c r="B544" s="700" t="s">
        <v>2504</v>
      </c>
      <c r="C544" s="701"/>
      <c r="D544" s="364">
        <f t="shared" si="337"/>
        <v>3170</v>
      </c>
      <c r="E544" s="365">
        <v>3</v>
      </c>
      <c r="F544" s="366">
        <v>3</v>
      </c>
      <c r="G544" s="322" t="s">
        <v>582</v>
      </c>
      <c r="H544" s="366" t="s">
        <v>1043</v>
      </c>
      <c r="I544" s="367">
        <v>0</v>
      </c>
      <c r="J544" s="368">
        <f t="shared" si="338"/>
        <v>71.100000000000009</v>
      </c>
      <c r="K544" s="702">
        <v>0</v>
      </c>
      <c r="L544" s="703" t="str">
        <f t="shared" si="339"/>
        <v>1/1000</v>
      </c>
      <c r="M544" s="480">
        <f t="shared" si="340"/>
        <v>2.7</v>
      </c>
      <c r="N544" s="704">
        <f t="shared" si="341"/>
        <v>0</v>
      </c>
      <c r="O544" s="288"/>
      <c r="P544" s="297"/>
      <c r="Q544" s="288"/>
      <c r="R544" s="102"/>
      <c r="S544" s="102"/>
      <c r="T544" s="102"/>
    </row>
    <row r="545" spans="1:20" s="102" customFormat="1" ht="13.5" thickBot="1">
      <c r="A545" s="323"/>
      <c r="B545" s="323"/>
      <c r="C545" s="309"/>
      <c r="D545" s="382"/>
      <c r="E545" s="323"/>
      <c r="F545" s="309"/>
      <c r="G545" s="309"/>
      <c r="H545" s="323"/>
      <c r="I545" s="325"/>
      <c r="J545" s="325"/>
      <c r="K545" s="323"/>
      <c r="L545" s="323"/>
      <c r="M545" s="325"/>
      <c r="N545" s="706">
        <f>SUM(N541:N544)</f>
        <v>0</v>
      </c>
      <c r="O545" s="288"/>
      <c r="P545" s="297"/>
      <c r="Q545" s="297"/>
    </row>
    <row r="546" spans="1:20" s="102" customFormat="1" ht="8.25" customHeight="1" thickBot="1">
      <c r="A546" s="323"/>
      <c r="B546" s="323"/>
      <c r="C546" s="323"/>
      <c r="D546" s="382"/>
      <c r="E546" s="323"/>
      <c r="F546" s="325"/>
      <c r="G546" s="325"/>
      <c r="H546" s="325"/>
      <c r="I546" s="323"/>
      <c r="J546" s="323"/>
      <c r="K546" s="323"/>
      <c r="L546" s="325"/>
      <c r="M546" s="323"/>
      <c r="N546" s="309"/>
      <c r="O546" s="288"/>
      <c r="P546" s="297"/>
      <c r="Q546" s="288"/>
    </row>
    <row r="547" spans="1:20" s="102" customFormat="1" ht="12.75" customHeight="1">
      <c r="A547" s="2639" t="s">
        <v>2505</v>
      </c>
      <c r="B547" s="687" t="s">
        <v>2506</v>
      </c>
      <c r="C547" s="327"/>
      <c r="D547" s="328">
        <f t="shared" ref="D547:D550" si="342">IF(H547&lt;&gt;"",VLOOKUP(G547,base_barras,IF(H547="Desnuda",2,5)+F547-1,FALSE),"-")</f>
        <v>3290</v>
      </c>
      <c r="E547" s="329">
        <v>3</v>
      </c>
      <c r="F547" s="330">
        <v>1</v>
      </c>
      <c r="G547" s="331" t="s">
        <v>584</v>
      </c>
      <c r="H547" s="330" t="s">
        <v>1043</v>
      </c>
      <c r="I547" s="332">
        <v>0</v>
      </c>
      <c r="J547" s="333">
        <f t="shared" ref="J547:J550" si="343">IF(G547&lt;&gt;"",VLOOKUP(G547,precio_barras,9,FALSE),0)</f>
        <v>231.4</v>
      </c>
      <c r="K547" s="481">
        <v>0</v>
      </c>
      <c r="L547" s="343" t="str">
        <f t="shared" ref="L547:L550" si="344">IF(G547&lt;&gt;"",IF(VLOOKUP(G547,base_barras,10,FALSE)&lt;&gt;"",VLOOKUP(G547,base_barras,10,FALSE),"-"),"-")</f>
        <v>1.5/1600</v>
      </c>
      <c r="M547" s="333">
        <f t="shared" ref="M547:M550" si="345">IF(L547&lt;&gt;"-",VLOOKUP(L547,precio_aislador,2,FALSE),0)</f>
        <v>22</v>
      </c>
      <c r="N547" s="360">
        <f t="shared" ref="N547:N550" si="346">(I547*J547*F547+K547*M547)*E547*1.67*1.25</f>
        <v>0</v>
      </c>
      <c r="O547" s="288"/>
      <c r="P547" s="297"/>
      <c r="Q547" s="297"/>
    </row>
    <row r="548" spans="1:20" s="102" customFormat="1" ht="13.5" thickBot="1">
      <c r="A548" s="2644"/>
      <c r="B548" s="707" t="s">
        <v>2504</v>
      </c>
      <c r="C548" s="479"/>
      <c r="D548" s="364">
        <f t="shared" si="342"/>
        <v>3170</v>
      </c>
      <c r="E548" s="365">
        <v>3</v>
      </c>
      <c r="F548" s="366">
        <v>3</v>
      </c>
      <c r="G548" s="322" t="s">
        <v>582</v>
      </c>
      <c r="H548" s="366" t="s">
        <v>1043</v>
      </c>
      <c r="I548" s="367">
        <v>0</v>
      </c>
      <c r="J548" s="368">
        <f t="shared" si="343"/>
        <v>71.100000000000009</v>
      </c>
      <c r="K548" s="365">
        <v>0</v>
      </c>
      <c r="L548" s="369" t="str">
        <f t="shared" si="344"/>
        <v>1/1000</v>
      </c>
      <c r="M548" s="368">
        <f t="shared" si="345"/>
        <v>2.7</v>
      </c>
      <c r="N548" s="370">
        <f t="shared" si="346"/>
        <v>0</v>
      </c>
      <c r="O548" s="288"/>
      <c r="P548" s="297"/>
      <c r="Q548" s="297"/>
    </row>
    <row r="549" spans="1:20" s="102" customFormat="1" ht="12.75" customHeight="1">
      <c r="A549" s="2644"/>
      <c r="B549" s="692" t="s">
        <v>2506</v>
      </c>
      <c r="C549" s="693"/>
      <c r="D549" s="697">
        <f t="shared" si="342"/>
        <v>3290</v>
      </c>
      <c r="E549" s="694">
        <v>3</v>
      </c>
      <c r="F549" s="655">
        <v>1</v>
      </c>
      <c r="G549" s="698" t="s">
        <v>584</v>
      </c>
      <c r="H549" s="655" t="s">
        <v>1043</v>
      </c>
      <c r="I549" s="398">
        <v>0</v>
      </c>
      <c r="J549" s="478">
        <f t="shared" si="343"/>
        <v>231.4</v>
      </c>
      <c r="K549" s="705">
        <v>0</v>
      </c>
      <c r="L549" s="695" t="str">
        <f t="shared" si="344"/>
        <v>1.5/1600</v>
      </c>
      <c r="M549" s="478">
        <f t="shared" si="345"/>
        <v>22</v>
      </c>
      <c r="N549" s="696">
        <f t="shared" si="346"/>
        <v>0</v>
      </c>
      <c r="O549" s="288"/>
      <c r="P549" s="297"/>
      <c r="Q549" s="297"/>
    </row>
    <row r="550" spans="1:20" s="102" customFormat="1" ht="13.5" thickBot="1">
      <c r="A550" s="2640"/>
      <c r="B550" s="700" t="s">
        <v>2504</v>
      </c>
      <c r="C550" s="701"/>
      <c r="D550" s="708">
        <f t="shared" si="342"/>
        <v>3170</v>
      </c>
      <c r="E550" s="702">
        <v>3</v>
      </c>
      <c r="F550" s="709">
        <v>3</v>
      </c>
      <c r="G550" s="710" t="s">
        <v>582</v>
      </c>
      <c r="H550" s="709" t="s">
        <v>1043</v>
      </c>
      <c r="I550" s="711">
        <v>0</v>
      </c>
      <c r="J550" s="480">
        <f t="shared" si="343"/>
        <v>71.100000000000009</v>
      </c>
      <c r="K550" s="702">
        <v>0</v>
      </c>
      <c r="L550" s="703" t="str">
        <f t="shared" si="344"/>
        <v>1/1000</v>
      </c>
      <c r="M550" s="480">
        <f t="shared" si="345"/>
        <v>2.7</v>
      </c>
      <c r="N550" s="704">
        <f t="shared" si="346"/>
        <v>0</v>
      </c>
      <c r="O550" s="288"/>
      <c r="P550" s="297"/>
      <c r="Q550" s="297"/>
    </row>
    <row r="551" spans="1:20" s="102" customFormat="1" ht="13.5" thickBot="1">
      <c r="A551" s="323"/>
      <c r="B551" s="323"/>
      <c r="C551" s="309"/>
      <c r="D551" s="382"/>
      <c r="E551" s="323"/>
      <c r="F551" s="309"/>
      <c r="G551" s="309"/>
      <c r="H551" s="323"/>
      <c r="I551" s="325"/>
      <c r="J551" s="325"/>
      <c r="K551" s="323"/>
      <c r="L551" s="323"/>
      <c r="M551" s="325"/>
      <c r="N551" s="706">
        <f>SUM(N547:N550)</f>
        <v>0</v>
      </c>
      <c r="O551" s="288"/>
      <c r="P551" s="297"/>
      <c r="Q551" s="297"/>
    </row>
    <row r="552" spans="1:20" s="102" customFormat="1" ht="8.25" customHeight="1" thickBot="1">
      <c r="A552" s="323"/>
      <c r="B552" s="323"/>
      <c r="C552" s="323"/>
      <c r="D552" s="382"/>
      <c r="E552" s="323"/>
      <c r="F552" s="325"/>
      <c r="G552" s="325"/>
      <c r="H552" s="325"/>
      <c r="I552" s="323"/>
      <c r="J552" s="323"/>
      <c r="K552" s="323"/>
      <c r="L552" s="325"/>
      <c r="M552" s="323"/>
      <c r="N552" s="309"/>
      <c r="O552" s="288"/>
      <c r="P552" s="297"/>
      <c r="Q552" s="288"/>
    </row>
    <row r="553" spans="1:20" s="102" customFormat="1">
      <c r="A553" s="2645" t="s">
        <v>1228</v>
      </c>
      <c r="B553" s="687" t="s">
        <v>2507</v>
      </c>
      <c r="C553" s="327"/>
      <c r="D553" s="328">
        <f t="shared" ref="D553:D554" si="347">IF(H553&lt;&gt;"",VLOOKUP(G553,base_barras,IF(H553="Desnuda",2,5)+F553-1,FALSE),"-")</f>
        <v>4270</v>
      </c>
      <c r="E553" s="481">
        <v>4</v>
      </c>
      <c r="F553" s="330">
        <v>3</v>
      </c>
      <c r="G553" s="331" t="s">
        <v>470</v>
      </c>
      <c r="H553" s="330" t="s">
        <v>1043</v>
      </c>
      <c r="I553" s="332">
        <f>0.2+0.2</f>
        <v>0.4</v>
      </c>
      <c r="J553" s="333">
        <f t="shared" ref="J553" si="348">IF(G553&lt;&gt;"",VLOOKUP(G553,precio_barras,9,FALSE),0)</f>
        <v>107</v>
      </c>
      <c r="K553" s="329">
        <v>0</v>
      </c>
      <c r="L553" s="343" t="str">
        <f t="shared" ref="L553:L554" si="349">IF(G553&lt;&gt;"",IF(VLOOKUP(G553,base_barras,10,FALSE)&lt;&gt;"",VLOOKUP(G553,base_barras,10,FALSE),"-"),"-")</f>
        <v>1.5/1250</v>
      </c>
      <c r="M553" s="333">
        <f t="shared" ref="M553" si="350">IF(L553&lt;&gt;"-",VLOOKUP(L553,precio_aislador,2,FALSE),0)</f>
        <v>5.5</v>
      </c>
      <c r="N553" s="360">
        <f t="shared" ref="N553:N554" si="351">(I553*J553*F553+K553*M553)*E553*1.67*1.25</f>
        <v>1072.1399999999999</v>
      </c>
      <c r="O553" s="288"/>
      <c r="P553" s="297"/>
      <c r="Q553" s="297"/>
    </row>
    <row r="554" spans="1:20" s="102" customFormat="1" ht="13.5" thickBot="1">
      <c r="A554" s="2647"/>
      <c r="B554" s="707"/>
      <c r="C554" s="479"/>
      <c r="D554" s="364" t="str">
        <f t="shared" si="347"/>
        <v>-</v>
      </c>
      <c r="E554" s="365"/>
      <c r="F554" s="366"/>
      <c r="G554" s="322"/>
      <c r="H554" s="366"/>
      <c r="I554" s="367"/>
      <c r="J554" s="480">
        <f>IF(G554&lt;&gt;"",VLOOKUP(G554,precio_barras,9,FALSE),0)</f>
        <v>0</v>
      </c>
      <c r="K554" s="365"/>
      <c r="L554" s="369" t="str">
        <f t="shared" si="349"/>
        <v>-</v>
      </c>
      <c r="M554" s="368">
        <f>IF(L554&lt;&gt;"-",VLOOKUP(L554,precio_aislador,2,FALSE),0)</f>
        <v>0</v>
      </c>
      <c r="N554" s="370">
        <f t="shared" si="351"/>
        <v>0</v>
      </c>
      <c r="O554" s="288"/>
      <c r="P554" s="297"/>
      <c r="Q554" s="297"/>
    </row>
    <row r="555" spans="1:20" s="102" customFormat="1" ht="13.5" thickBot="1">
      <c r="A555" s="323"/>
      <c r="B555" s="323"/>
      <c r="C555" s="309"/>
      <c r="D555" s="382"/>
      <c r="E555" s="323"/>
      <c r="F555" s="309"/>
      <c r="G555" s="309"/>
      <c r="H555" s="323"/>
      <c r="I555" s="325"/>
      <c r="J555" s="325"/>
      <c r="K555" s="323"/>
      <c r="L555" s="323"/>
      <c r="M555" s="325"/>
      <c r="N555" s="706">
        <f>SUM(N553:N554)</f>
        <v>1072.1399999999999</v>
      </c>
      <c r="O555" s="288"/>
      <c r="P555" s="297"/>
      <c r="Q555" s="297"/>
    </row>
    <row r="556" spans="1:20" s="102" customFormat="1" ht="8.25" customHeight="1" thickBot="1">
      <c r="A556" s="323"/>
      <c r="B556" s="323"/>
      <c r="C556" s="323"/>
      <c r="D556" s="382"/>
      <c r="E556" s="323"/>
      <c r="F556" s="325"/>
      <c r="G556" s="325"/>
      <c r="H556" s="325"/>
      <c r="I556" s="323"/>
      <c r="J556" s="323"/>
      <c r="K556" s="323"/>
      <c r="L556" s="325"/>
      <c r="M556" s="323"/>
      <c r="N556" s="309"/>
      <c r="O556" s="288"/>
      <c r="P556" s="297"/>
      <c r="Q556" s="288"/>
    </row>
    <row r="557" spans="1:20" s="102" customFormat="1">
      <c r="A557" s="2639" t="s">
        <v>2548</v>
      </c>
      <c r="B557" s="687" t="s">
        <v>2504</v>
      </c>
      <c r="C557" s="327"/>
      <c r="D557" s="328">
        <f t="shared" ref="D557:D559" si="352">IF(H557&lt;&gt;"",VLOOKUP(G557,base_barras,IF(H557="Desnuda",2,5)+F557-1,FALSE),"-")</f>
        <v>2410</v>
      </c>
      <c r="E557" s="329">
        <v>3</v>
      </c>
      <c r="F557" s="330">
        <v>2</v>
      </c>
      <c r="G557" s="331" t="s">
        <v>582</v>
      </c>
      <c r="H557" s="330" t="s">
        <v>1043</v>
      </c>
      <c r="I557" s="332">
        <f>0.3+0.35</f>
        <v>0.64999999999999991</v>
      </c>
      <c r="J557" s="333">
        <f t="shared" ref="J557:J559" si="353">IF(G557&lt;&gt;"",VLOOKUP(G557,precio_barras,9,FALSE),0)</f>
        <v>71.100000000000009</v>
      </c>
      <c r="K557" s="329">
        <v>0</v>
      </c>
      <c r="L557" s="343" t="str">
        <f t="shared" ref="L557:L559" si="354">IF(G557&lt;&gt;"",IF(VLOOKUP(G557,base_barras,10,FALSE)&lt;&gt;"",VLOOKUP(G557,base_barras,10,FALSE),"-"),"-")</f>
        <v>1/1000</v>
      </c>
      <c r="M557" s="333">
        <f t="shared" ref="M557:M559" si="355">IF(L557&lt;&gt;"-",VLOOKUP(L557,precio_aislador,2,FALSE),0)</f>
        <v>2.7</v>
      </c>
      <c r="N557" s="360">
        <f t="shared" ref="N557:N559" si="356">(I557*J557*F557+K557*M557)*E557*1.67*1.25</f>
        <v>578.84287499999994</v>
      </c>
      <c r="O557" s="288"/>
      <c r="P557" s="297"/>
      <c r="Q557" s="297"/>
    </row>
    <row r="558" spans="1:20" s="199" customFormat="1" ht="15.75" customHeight="1">
      <c r="A558" s="2644"/>
      <c r="B558" s="692" t="s">
        <v>2498</v>
      </c>
      <c r="C558" s="693"/>
      <c r="D558" s="697">
        <f t="shared" si="352"/>
        <v>2110</v>
      </c>
      <c r="E558" s="694">
        <v>3</v>
      </c>
      <c r="F558" s="655">
        <v>1</v>
      </c>
      <c r="G558" s="698" t="s">
        <v>470</v>
      </c>
      <c r="H558" s="655" t="s">
        <v>1043</v>
      </c>
      <c r="I558" s="398">
        <v>1</v>
      </c>
      <c r="J558" s="478">
        <f t="shared" si="353"/>
        <v>107</v>
      </c>
      <c r="K558" s="694">
        <v>2</v>
      </c>
      <c r="L558" s="695" t="str">
        <f t="shared" si="354"/>
        <v>1.5/1250</v>
      </c>
      <c r="M558" s="478">
        <f t="shared" si="355"/>
        <v>5.5</v>
      </c>
      <c r="N558" s="696">
        <f t="shared" si="356"/>
        <v>738.97499999999991</v>
      </c>
      <c r="O558" s="288"/>
      <c r="P558" s="297"/>
      <c r="Q558" s="288"/>
      <c r="R558" s="102"/>
      <c r="S558" s="102"/>
      <c r="T558" s="102"/>
    </row>
    <row r="559" spans="1:20" s="199" customFormat="1" ht="15.75" customHeight="1" thickBot="1">
      <c r="A559" s="2640"/>
      <c r="B559" s="707" t="s">
        <v>2498</v>
      </c>
      <c r="C559" s="479"/>
      <c r="D559" s="364">
        <f t="shared" si="352"/>
        <v>2110</v>
      </c>
      <c r="E559" s="365">
        <v>3</v>
      </c>
      <c r="F559" s="366">
        <v>1</v>
      </c>
      <c r="G559" s="322" t="s">
        <v>470</v>
      </c>
      <c r="H559" s="366" t="s">
        <v>1043</v>
      </c>
      <c r="I559" s="367">
        <v>0.7</v>
      </c>
      <c r="J559" s="368">
        <f t="shared" si="353"/>
        <v>107</v>
      </c>
      <c r="K559" s="365">
        <v>1</v>
      </c>
      <c r="L559" s="369" t="str">
        <f t="shared" si="354"/>
        <v>1.5/1250</v>
      </c>
      <c r="M559" s="368">
        <f t="shared" si="355"/>
        <v>5.5</v>
      </c>
      <c r="N559" s="370">
        <f t="shared" si="356"/>
        <v>503.505</v>
      </c>
      <c r="O559" s="288"/>
      <c r="P559" s="297"/>
      <c r="Q559" s="288"/>
      <c r="R559" s="102"/>
      <c r="S559" s="102"/>
      <c r="T559" s="102"/>
    </row>
    <row r="560" spans="1:20" s="102" customFormat="1" ht="13.5" thickBot="1">
      <c r="A560" s="323"/>
      <c r="B560" s="323"/>
      <c r="C560" s="309"/>
      <c r="D560" s="382"/>
      <c r="E560" s="323"/>
      <c r="F560" s="309"/>
      <c r="G560" s="309"/>
      <c r="H560" s="323"/>
      <c r="I560" s="325"/>
      <c r="J560" s="325"/>
      <c r="K560" s="323"/>
      <c r="L560" s="323"/>
      <c r="M560" s="325"/>
      <c r="N560" s="706">
        <f>SUM(N557:N559)</f>
        <v>1821.3228749999998</v>
      </c>
      <c r="O560" s="288"/>
      <c r="P560" s="297"/>
      <c r="Q560" s="297"/>
    </row>
    <row r="561" spans="1:20" s="102" customFormat="1" ht="8.25" customHeight="1" thickBot="1">
      <c r="A561" s="323"/>
      <c r="B561" s="323"/>
      <c r="C561" s="323"/>
      <c r="D561" s="382"/>
      <c r="E561" s="323"/>
      <c r="F561" s="325"/>
      <c r="G561" s="325"/>
      <c r="H561" s="325"/>
      <c r="I561" s="323"/>
      <c r="J561" s="323"/>
      <c r="K561" s="323"/>
      <c r="L561" s="325"/>
      <c r="M561" s="323"/>
      <c r="N561" s="309"/>
      <c r="O561" s="288"/>
      <c r="P561" s="297"/>
      <c r="Q561" s="288"/>
    </row>
    <row r="562" spans="1:20" s="102" customFormat="1" ht="13.5" thickBot="1">
      <c r="A562" s="2645" t="s">
        <v>1034</v>
      </c>
      <c r="B562" s="687" t="s">
        <v>3460</v>
      </c>
      <c r="C562" s="327"/>
      <c r="D562" s="328">
        <f t="shared" ref="D562:D565" si="357">IF(H562&lt;&gt;"",VLOOKUP(G562,base_barras,IF(H562="Desnuda",2,5)+F562-1,FALSE),"-")</f>
        <v>3720</v>
      </c>
      <c r="E562" s="329">
        <v>4</v>
      </c>
      <c r="F562" s="330">
        <v>3</v>
      </c>
      <c r="G562" s="331" t="s">
        <v>468</v>
      </c>
      <c r="H562" s="330" t="s">
        <v>1043</v>
      </c>
      <c r="I562" s="332">
        <v>0.35</v>
      </c>
      <c r="J562" s="333">
        <f t="shared" ref="J562:J565" si="358">IF(G562&lt;&gt;"",VLOOKUP(G562,precio_barras,9,FALSE),0)</f>
        <v>88.9</v>
      </c>
      <c r="K562" s="329">
        <v>1</v>
      </c>
      <c r="L562" s="343" t="str">
        <f t="shared" ref="L562:L565" si="359">IF(G562&lt;&gt;"",IF(VLOOKUP(G562,base_barras,10,FALSE)&lt;&gt;"",VLOOKUP(G562,base_barras,10,FALSE),"-"),"-")</f>
        <v>1.5/1250</v>
      </c>
      <c r="M562" s="333">
        <f t="shared" ref="M562:M565" si="360">IF(L562&lt;&gt;"-",VLOOKUP(L562,precio_aislador,2,FALSE),0)</f>
        <v>5.5</v>
      </c>
      <c r="N562" s="360">
        <f t="shared" ref="N562:N565" si="361">(I562*J562*F562+K562*M562)*E562*1.67*1.25</f>
        <v>825.35574999999994</v>
      </c>
      <c r="O562" s="288"/>
      <c r="P562" s="297"/>
      <c r="Q562" s="297"/>
    </row>
    <row r="563" spans="1:20" s="102" customFormat="1" ht="13.5" thickBot="1">
      <c r="A563" s="2646"/>
      <c r="B563" s="687" t="s">
        <v>3461</v>
      </c>
      <c r="C563" s="713"/>
      <c r="D563" s="328">
        <f t="shared" si="357"/>
        <v>1720</v>
      </c>
      <c r="E563" s="329">
        <v>4</v>
      </c>
      <c r="F563" s="330">
        <v>2</v>
      </c>
      <c r="G563" s="331" t="s">
        <v>315</v>
      </c>
      <c r="H563" s="330" t="s">
        <v>1043</v>
      </c>
      <c r="I563" s="332">
        <v>0.35</v>
      </c>
      <c r="J563" s="333">
        <f t="shared" si="358"/>
        <v>44.400000000000006</v>
      </c>
      <c r="K563" s="329">
        <v>0</v>
      </c>
      <c r="L563" s="343" t="str">
        <f t="shared" si="359"/>
        <v>1/750</v>
      </c>
      <c r="M563" s="333">
        <f t="shared" si="360"/>
        <v>1.9</v>
      </c>
      <c r="N563" s="360">
        <f t="shared" si="361"/>
        <v>259.51800000000003</v>
      </c>
      <c r="O563" s="288"/>
      <c r="P563" s="297"/>
      <c r="Q563" s="297"/>
    </row>
    <row r="564" spans="1:20" s="102" customFormat="1" ht="13.5" thickBot="1">
      <c r="A564" s="2646"/>
      <c r="B564" s="687" t="s">
        <v>3462</v>
      </c>
      <c r="C564" s="713"/>
      <c r="D564" s="328">
        <f t="shared" si="357"/>
        <v>850</v>
      </c>
      <c r="E564" s="329">
        <v>4</v>
      </c>
      <c r="F564" s="330">
        <v>1</v>
      </c>
      <c r="G564" s="331" t="s">
        <v>469</v>
      </c>
      <c r="H564" s="330" t="s">
        <v>1043</v>
      </c>
      <c r="I564" s="332">
        <v>0.3</v>
      </c>
      <c r="J564" s="333">
        <f t="shared" si="358"/>
        <v>35.6</v>
      </c>
      <c r="K564" s="329">
        <v>0</v>
      </c>
      <c r="L564" s="343" t="str">
        <f t="shared" si="359"/>
        <v>1/750</v>
      </c>
      <c r="M564" s="333">
        <f t="shared" si="360"/>
        <v>1.9</v>
      </c>
      <c r="N564" s="360">
        <f t="shared" si="361"/>
        <v>89.177999999999997</v>
      </c>
      <c r="O564" s="288"/>
      <c r="P564" s="297"/>
      <c r="Q564" s="297"/>
    </row>
    <row r="565" spans="1:20" s="102" customFormat="1" ht="13.5" thickBot="1">
      <c r="A565" s="2647"/>
      <c r="B565" s="687" t="s">
        <v>2510</v>
      </c>
      <c r="C565" s="713"/>
      <c r="D565" s="328">
        <f t="shared" si="357"/>
        <v>676</v>
      </c>
      <c r="E565" s="329">
        <v>3</v>
      </c>
      <c r="F565" s="330">
        <v>1</v>
      </c>
      <c r="G565" s="331" t="s">
        <v>314</v>
      </c>
      <c r="H565" s="330" t="s">
        <v>1043</v>
      </c>
      <c r="I565" s="332">
        <v>0.3</v>
      </c>
      <c r="J565" s="333">
        <f t="shared" si="358"/>
        <v>26.6</v>
      </c>
      <c r="K565" s="329">
        <v>0</v>
      </c>
      <c r="L565" s="343" t="str">
        <f t="shared" si="359"/>
        <v>1/750</v>
      </c>
      <c r="M565" s="333">
        <f t="shared" si="360"/>
        <v>1.9</v>
      </c>
      <c r="N565" s="360">
        <f t="shared" si="361"/>
        <v>49.97475</v>
      </c>
      <c r="O565" s="288"/>
      <c r="P565" s="297"/>
      <c r="Q565" s="297"/>
    </row>
    <row r="566" spans="1:20" s="102" customFormat="1" ht="13.5" thickBot="1">
      <c r="A566" s="323"/>
      <c r="B566" s="323"/>
      <c r="C566" s="309"/>
      <c r="D566" s="382"/>
      <c r="E566" s="323"/>
      <c r="F566" s="309"/>
      <c r="G566" s="309"/>
      <c r="H566" s="323"/>
      <c r="I566" s="325"/>
      <c r="J566" s="325"/>
      <c r="K566" s="323"/>
      <c r="L566" s="323"/>
      <c r="M566" s="325"/>
      <c r="N566" s="706">
        <f>SUM(N562:N565)</f>
        <v>1224.0265000000002</v>
      </c>
      <c r="O566" s="288"/>
      <c r="P566" s="297"/>
      <c r="Q566" s="297"/>
    </row>
    <row r="567" spans="1:20" s="102" customFormat="1">
      <c r="A567" s="323"/>
      <c r="B567" s="309"/>
      <c r="C567" s="309"/>
      <c r="D567" s="382"/>
      <c r="E567" s="323"/>
      <c r="F567" s="309"/>
      <c r="G567" s="309"/>
      <c r="H567" s="323"/>
      <c r="I567" s="325"/>
      <c r="J567" s="325"/>
      <c r="K567" s="323"/>
      <c r="L567" s="323"/>
      <c r="M567" s="325"/>
      <c r="N567" s="722"/>
      <c r="O567" s="288"/>
      <c r="P567" s="297"/>
      <c r="Q567" s="297"/>
    </row>
    <row r="568" spans="1:20" s="102" customFormat="1" ht="15">
      <c r="A568" s="323"/>
      <c r="B568" s="723" t="s">
        <v>2513</v>
      </c>
      <c r="C568" s="309"/>
      <c r="D568" s="382"/>
      <c r="E568" s="323"/>
      <c r="F568" s="309"/>
      <c r="G568" s="309"/>
      <c r="H568" s="323"/>
      <c r="I568" s="325"/>
      <c r="J568" s="325"/>
      <c r="K568" s="323"/>
      <c r="L568" s="323"/>
      <c r="M568" s="325"/>
      <c r="N568" s="722"/>
      <c r="O568" s="288"/>
      <c r="P568" s="297"/>
      <c r="Q568" s="297"/>
    </row>
    <row r="569" spans="1:20" s="102" customFormat="1" ht="15">
      <c r="A569" s="323"/>
      <c r="B569" s="723"/>
      <c r="C569" s="309"/>
      <c r="D569" s="382"/>
      <c r="E569" s="323"/>
      <c r="F569" s="309"/>
      <c r="G569" s="309"/>
      <c r="H569" s="323"/>
      <c r="I569" s="325"/>
      <c r="J569" s="325"/>
      <c r="K569" s="323"/>
      <c r="L569" s="323"/>
      <c r="M569" s="325"/>
      <c r="N569" s="722"/>
      <c r="O569" s="288"/>
      <c r="P569" s="297"/>
      <c r="Q569" s="297"/>
    </row>
    <row r="570" spans="1:20" s="106" customFormat="1" ht="13.5" thickBot="1"/>
    <row r="571" spans="1:20" s="199" customFormat="1" ht="15.75" customHeight="1">
      <c r="A571" s="2641" t="s">
        <v>2698</v>
      </c>
      <c r="B571" s="687" t="s">
        <v>2498</v>
      </c>
      <c r="C571" s="327"/>
      <c r="D571" s="328">
        <f t="shared" ref="D571" si="362">IF(H571&lt;&gt;"",VLOOKUP(G571,base_barras,IF(H571="Desnuda",2,5)+F571-1,FALSE),"-")</f>
        <v>2410</v>
      </c>
      <c r="E571" s="329">
        <v>4</v>
      </c>
      <c r="F571" s="330">
        <v>2</v>
      </c>
      <c r="G571" s="331" t="s">
        <v>582</v>
      </c>
      <c r="H571" s="330" t="s">
        <v>1043</v>
      </c>
      <c r="I571" s="332">
        <f>1+1+1</f>
        <v>3</v>
      </c>
      <c r="J571" s="333">
        <f t="shared" ref="J571:J575" si="363">IF(G571&lt;&gt;"",VLOOKUP(G571,precio_barras,9,FALSE),0)</f>
        <v>71.100000000000009</v>
      </c>
      <c r="K571" s="329">
        <f>2+3+2</f>
        <v>7</v>
      </c>
      <c r="L571" s="343" t="str">
        <f t="shared" ref="L571" si="364">IF(G571&lt;&gt;"",IF(VLOOKUP(G571,base_barras,10,FALSE)&lt;&gt;"",VLOOKUP(G571,base_barras,10,FALSE),"-"),"-")</f>
        <v>1/1000</v>
      </c>
      <c r="M571" s="333">
        <f t="shared" ref="M571" si="365">IF(L571&lt;&gt;"-",VLOOKUP(L571,precio_aislador,2,FALSE),0)</f>
        <v>2.7</v>
      </c>
      <c r="N571" s="360">
        <f t="shared" ref="N571:N573" si="366">(I571*J571*F571+K571*M571)*E571*1.67*1.25</f>
        <v>3719.9250000000002</v>
      </c>
      <c r="O571" s="288"/>
      <c r="P571" s="297"/>
      <c r="Q571" s="288"/>
      <c r="R571" s="102"/>
      <c r="S571" s="102"/>
      <c r="T571" s="102"/>
    </row>
    <row r="572" spans="1:20" s="199" customFormat="1" ht="15.75" customHeight="1">
      <c r="A572" s="2642"/>
      <c r="B572" s="688" t="s">
        <v>2699</v>
      </c>
      <c r="C572" s="311"/>
      <c r="D572" s="312">
        <f t="shared" ref="D572" si="367">IF(H572&lt;&gt;"",VLOOKUP(G572,base_barras,IF(H572="Desnuda",2,5)+F572-1,FALSE),"-")</f>
        <v>676</v>
      </c>
      <c r="E572" s="313">
        <v>4</v>
      </c>
      <c r="F572" s="314">
        <v>1</v>
      </c>
      <c r="G572" s="315" t="s">
        <v>314</v>
      </c>
      <c r="H572" s="314" t="s">
        <v>1043</v>
      </c>
      <c r="I572" s="316">
        <v>0.61</v>
      </c>
      <c r="J572" s="317">
        <f t="shared" ref="J572" si="368">IF(G572&lt;&gt;"",VLOOKUP(G572,precio_barras,9,FALSE),0)</f>
        <v>26.6</v>
      </c>
      <c r="K572" s="313">
        <v>1</v>
      </c>
      <c r="L572" s="318" t="str">
        <f t="shared" ref="L572" si="369">IF(G572&lt;&gt;"",IF(VLOOKUP(G572,base_barras,10,FALSE)&lt;&gt;"",VLOOKUP(G572,base_barras,10,FALSE),"-"),"-")</f>
        <v>1/750</v>
      </c>
      <c r="M572" s="317">
        <f t="shared" ref="M572" si="370">IF(L572&lt;&gt;"-",VLOOKUP(L572,precio_aislador,2,FALSE),0)</f>
        <v>1.9</v>
      </c>
      <c r="N572" s="308">
        <f t="shared" si="366"/>
        <v>151.35209999999998</v>
      </c>
      <c r="O572" s="288"/>
      <c r="P572" s="297"/>
      <c r="Q572" s="288"/>
      <c r="R572" s="102"/>
      <c r="S572" s="102"/>
      <c r="T572" s="102"/>
    </row>
    <row r="573" spans="1:20" s="199" customFormat="1" ht="15.75" customHeight="1">
      <c r="A573" s="2642"/>
      <c r="B573" s="688" t="s">
        <v>2700</v>
      </c>
      <c r="C573" s="311"/>
      <c r="D573" s="312">
        <f t="shared" ref="D573" si="371">IF(H573&lt;&gt;"",VLOOKUP(G573,base_barras,IF(H573="Desnuda",2,5)+F573-1,FALSE),"-")</f>
        <v>676</v>
      </c>
      <c r="E573" s="313">
        <v>4</v>
      </c>
      <c r="F573" s="314">
        <v>1</v>
      </c>
      <c r="G573" s="315" t="s">
        <v>314</v>
      </c>
      <c r="H573" s="314" t="s">
        <v>1043</v>
      </c>
      <c r="I573" s="316">
        <v>0.61</v>
      </c>
      <c r="J573" s="317">
        <f t="shared" ref="J573" si="372">IF(G573&lt;&gt;"",VLOOKUP(G573,precio_barras,9,FALSE),0)</f>
        <v>26.6</v>
      </c>
      <c r="K573" s="313">
        <v>1</v>
      </c>
      <c r="L573" s="318" t="str">
        <f t="shared" ref="L573" si="373">IF(G573&lt;&gt;"",IF(VLOOKUP(G573,base_barras,10,FALSE)&lt;&gt;"",VLOOKUP(G573,base_barras,10,FALSE),"-"),"-")</f>
        <v>1/750</v>
      </c>
      <c r="M573" s="317">
        <f t="shared" ref="M573" si="374">IF(L573&lt;&gt;"-",VLOOKUP(L573,precio_aislador,2,FALSE),0)</f>
        <v>1.9</v>
      </c>
      <c r="N573" s="308">
        <f t="shared" si="366"/>
        <v>151.35209999999998</v>
      </c>
      <c r="O573" s="288"/>
      <c r="P573" s="297"/>
      <c r="Q573" s="288"/>
      <c r="R573" s="102"/>
      <c r="S573" s="102"/>
      <c r="T573" s="102"/>
    </row>
    <row r="574" spans="1:20" s="199" customFormat="1" ht="14.25">
      <c r="A574" s="2642"/>
      <c r="B574" s="688" t="s">
        <v>802</v>
      </c>
      <c r="C574" s="319"/>
      <c r="D574" s="312">
        <f>IF(H574&lt;&gt;"",VLOOKUP(G574,base_barras,IF(H574="Desnuda",2,5)+F574-1,FALSE),"-")</f>
        <v>1500</v>
      </c>
      <c r="E574" s="313">
        <v>1</v>
      </c>
      <c r="F574" s="314">
        <v>1</v>
      </c>
      <c r="G574" s="315" t="s">
        <v>582</v>
      </c>
      <c r="H574" s="689" t="str">
        <f>H571</f>
        <v>Pintada</v>
      </c>
      <c r="I574" s="690">
        <f>I571</f>
        <v>3</v>
      </c>
      <c r="J574" s="317">
        <f t="shared" si="363"/>
        <v>71.100000000000009</v>
      </c>
      <c r="K574" s="691">
        <v>0</v>
      </c>
      <c r="L574" s="318" t="str">
        <f>IF(G574&lt;&gt;"",IF(VLOOKUP(G574,base_barras,10,FALSE)&lt;&gt;"",VLOOKUP(G574,base_barras,10,FALSE),"-"),"-")</f>
        <v>1/1000</v>
      </c>
      <c r="M574" s="317">
        <f>IF(L574&lt;&gt;"-",VLOOKUP(L574,precio_aislador,2,FALSE),0)</f>
        <v>2.7</v>
      </c>
      <c r="N574" s="308">
        <f>(I574*J574*F574+K574*M574)*E574*1.67*1.25</f>
        <v>445.26375000000002</v>
      </c>
      <c r="O574" s="288"/>
      <c r="P574" s="297"/>
      <c r="Q574" s="288"/>
      <c r="R574" s="102"/>
      <c r="S574" s="102"/>
      <c r="T574" s="102"/>
    </row>
    <row r="575" spans="1:20" s="199" customFormat="1" ht="15.75" customHeight="1" thickBot="1">
      <c r="A575" s="2643"/>
      <c r="B575" s="692" t="s">
        <v>2708</v>
      </c>
      <c r="C575" s="693"/>
      <c r="D575" s="312">
        <f t="shared" ref="D575" si="375">IF(H575&lt;&gt;"",VLOOKUP(G575,base_barras,IF(H575="Desnuda",2,5)+F575-1,FALSE),"-")</f>
        <v>1740</v>
      </c>
      <c r="E575" s="313">
        <v>4</v>
      </c>
      <c r="F575" s="314">
        <v>1</v>
      </c>
      <c r="G575" s="315" t="s">
        <v>470</v>
      </c>
      <c r="H575" s="314" t="s">
        <v>1044</v>
      </c>
      <c r="I575" s="316">
        <v>0.5</v>
      </c>
      <c r="J575" s="317">
        <f t="shared" si="363"/>
        <v>107</v>
      </c>
      <c r="K575" s="694">
        <v>1</v>
      </c>
      <c r="L575" s="695" t="str">
        <f t="shared" ref="L575" si="376">IF(G575&lt;&gt;"",IF(VLOOKUP(G575,base_barras,10,FALSE)&lt;&gt;"",VLOOKUP(G575,base_barras,10,FALSE),"-"),"-")</f>
        <v>1.5/1250</v>
      </c>
      <c r="M575" s="478">
        <f t="shared" ref="M575" si="377">IF(L575&lt;&gt;"-",VLOOKUP(L575,precio_aislador,2,FALSE),0)</f>
        <v>5.5</v>
      </c>
      <c r="N575" s="696">
        <f t="shared" ref="N575" si="378">(I575*J575*F575+K575*M575)*E575*1.67*1.25</f>
        <v>492.65</v>
      </c>
      <c r="O575" s="288"/>
      <c r="P575" s="297"/>
      <c r="Q575" s="288"/>
      <c r="R575" s="102"/>
      <c r="S575" s="102"/>
      <c r="T575" s="102"/>
    </row>
    <row r="576" spans="1:20" s="129" customFormat="1" ht="22.5" customHeight="1" thickBot="1">
      <c r="A576" s="371"/>
      <c r="B576" s="373"/>
      <c r="C576" s="375"/>
      <c r="D576" s="383"/>
      <c r="E576" s="373"/>
      <c r="F576" s="373"/>
      <c r="G576" s="373"/>
      <c r="H576" s="373"/>
      <c r="I576" s="374"/>
      <c r="J576" s="374"/>
      <c r="K576" s="373"/>
      <c r="L576" s="373"/>
      <c r="M576" s="372"/>
      <c r="N576" s="699">
        <f>SUM(N571:N575)</f>
        <v>4960.54295</v>
      </c>
      <c r="O576" s="288"/>
      <c r="P576" s="297"/>
      <c r="Q576" s="288"/>
      <c r="R576" s="102"/>
      <c r="S576" s="102"/>
      <c r="T576" s="102"/>
    </row>
    <row r="577" spans="1:20" s="102" customFormat="1" ht="8.25" customHeight="1" thickBot="1">
      <c r="A577" s="323"/>
      <c r="B577" s="323"/>
      <c r="C577" s="323"/>
      <c r="D577" s="382"/>
      <c r="E577" s="323"/>
      <c r="F577" s="325"/>
      <c r="G577" s="325"/>
      <c r="H577" s="325"/>
      <c r="I577" s="323"/>
      <c r="J577" s="323"/>
      <c r="K577" s="323"/>
      <c r="L577" s="325"/>
      <c r="M577" s="323"/>
      <c r="N577" s="309"/>
      <c r="O577" s="288"/>
      <c r="P577" s="297"/>
      <c r="Q577" s="288"/>
    </row>
    <row r="578" spans="1:20" s="102" customFormat="1" ht="12.75" customHeight="1">
      <c r="A578" s="2639" t="s">
        <v>2502</v>
      </c>
      <c r="B578" s="687" t="s">
        <v>2503</v>
      </c>
      <c r="C578" s="327"/>
      <c r="D578" s="328">
        <f t="shared" ref="D578:D581" si="379">IF(H578&lt;&gt;"",VLOOKUP(G578,base_barras,IF(H578="Desnuda",2,5)+F578-1,FALSE),"-")</f>
        <v>3290</v>
      </c>
      <c r="E578" s="329">
        <v>3</v>
      </c>
      <c r="F578" s="330">
        <v>1</v>
      </c>
      <c r="G578" s="331" t="s">
        <v>584</v>
      </c>
      <c r="H578" s="330" t="s">
        <v>1043</v>
      </c>
      <c r="I578" s="332">
        <v>0</v>
      </c>
      <c r="J578" s="333">
        <f t="shared" ref="J578:J581" si="380">IF(G578&lt;&gt;"",VLOOKUP(G578,precio_barras,9,FALSE),0)</f>
        <v>231.4</v>
      </c>
      <c r="K578" s="481">
        <v>0</v>
      </c>
      <c r="L578" s="343" t="str">
        <f t="shared" ref="L578:L581" si="381">IF(G578&lt;&gt;"",IF(VLOOKUP(G578,base_barras,10,FALSE)&lt;&gt;"",VLOOKUP(G578,base_barras,10,FALSE),"-"),"-")</f>
        <v>1.5/1600</v>
      </c>
      <c r="M578" s="333">
        <f t="shared" ref="M578:M581" si="382">IF(L578&lt;&gt;"-",VLOOKUP(L578,precio_aislador,2,FALSE),0)</f>
        <v>22</v>
      </c>
      <c r="N578" s="360">
        <f t="shared" ref="N578:N581" si="383">(I578*J578*F578+K578*M578)*E578*1.67*1.25</f>
        <v>0</v>
      </c>
      <c r="O578" s="288"/>
      <c r="P578" s="297"/>
      <c r="Q578" s="297"/>
    </row>
    <row r="579" spans="1:20" s="199" customFormat="1" ht="15.75" customHeight="1" thickBot="1">
      <c r="A579" s="2644"/>
      <c r="B579" s="700" t="s">
        <v>2504</v>
      </c>
      <c r="C579" s="701"/>
      <c r="D579" s="364">
        <f t="shared" si="379"/>
        <v>3170</v>
      </c>
      <c r="E579" s="365">
        <v>3</v>
      </c>
      <c r="F579" s="366">
        <v>3</v>
      </c>
      <c r="G579" s="322" t="s">
        <v>582</v>
      </c>
      <c r="H579" s="366" t="s">
        <v>1043</v>
      </c>
      <c r="I579" s="367">
        <v>0</v>
      </c>
      <c r="J579" s="368">
        <f t="shared" si="380"/>
        <v>71.100000000000009</v>
      </c>
      <c r="K579" s="702">
        <v>0</v>
      </c>
      <c r="L579" s="703" t="str">
        <f t="shared" si="381"/>
        <v>1/1000</v>
      </c>
      <c r="M579" s="480">
        <f t="shared" si="382"/>
        <v>2.7</v>
      </c>
      <c r="N579" s="704">
        <f t="shared" si="383"/>
        <v>0</v>
      </c>
      <c r="O579" s="288"/>
      <c r="P579" s="297"/>
      <c r="Q579" s="288"/>
      <c r="R579" s="102"/>
      <c r="S579" s="102"/>
      <c r="T579" s="102"/>
    </row>
    <row r="580" spans="1:20" s="102" customFormat="1" ht="12.75" customHeight="1">
      <c r="A580" s="2644"/>
      <c r="B580" s="692" t="s">
        <v>2503</v>
      </c>
      <c r="C580" s="693"/>
      <c r="D580" s="697">
        <f t="shared" si="379"/>
        <v>3290</v>
      </c>
      <c r="E580" s="694">
        <v>3</v>
      </c>
      <c r="F580" s="655">
        <v>1</v>
      </c>
      <c r="G580" s="698" t="s">
        <v>584</v>
      </c>
      <c r="H580" s="655" t="s">
        <v>1043</v>
      </c>
      <c r="I580" s="398">
        <v>0</v>
      </c>
      <c r="J580" s="478">
        <f t="shared" si="380"/>
        <v>231.4</v>
      </c>
      <c r="K580" s="705">
        <v>0</v>
      </c>
      <c r="L580" s="695" t="str">
        <f t="shared" si="381"/>
        <v>1.5/1600</v>
      </c>
      <c r="M580" s="478">
        <f t="shared" si="382"/>
        <v>22</v>
      </c>
      <c r="N580" s="696">
        <f t="shared" si="383"/>
        <v>0</v>
      </c>
      <c r="O580" s="288"/>
      <c r="P580" s="297"/>
      <c r="Q580" s="297"/>
    </row>
    <row r="581" spans="1:20" s="199" customFormat="1" ht="15.75" customHeight="1" thickBot="1">
      <c r="A581" s="2640"/>
      <c r="B581" s="700" t="s">
        <v>2504</v>
      </c>
      <c r="C581" s="701"/>
      <c r="D581" s="364">
        <f t="shared" si="379"/>
        <v>3170</v>
      </c>
      <c r="E581" s="365">
        <v>3</v>
      </c>
      <c r="F581" s="366">
        <v>3</v>
      </c>
      <c r="G581" s="322" t="s">
        <v>582</v>
      </c>
      <c r="H581" s="366" t="s">
        <v>1043</v>
      </c>
      <c r="I581" s="367">
        <v>0</v>
      </c>
      <c r="J581" s="368">
        <f t="shared" si="380"/>
        <v>71.100000000000009</v>
      </c>
      <c r="K581" s="702">
        <v>0</v>
      </c>
      <c r="L581" s="703" t="str">
        <f t="shared" si="381"/>
        <v>1/1000</v>
      </c>
      <c r="M581" s="480">
        <f t="shared" si="382"/>
        <v>2.7</v>
      </c>
      <c r="N581" s="704">
        <f t="shared" si="383"/>
        <v>0</v>
      </c>
      <c r="O581" s="288"/>
      <c r="P581" s="297"/>
      <c r="Q581" s="288"/>
      <c r="R581" s="102"/>
      <c r="S581" s="102"/>
      <c r="T581" s="102"/>
    </row>
    <row r="582" spans="1:20" s="102" customFormat="1" ht="13.5" thickBot="1">
      <c r="A582" s="323"/>
      <c r="B582" s="323"/>
      <c r="C582" s="309"/>
      <c r="D582" s="382"/>
      <c r="E582" s="323"/>
      <c r="F582" s="309"/>
      <c r="G582" s="309"/>
      <c r="H582" s="323"/>
      <c r="I582" s="325"/>
      <c r="J582" s="325"/>
      <c r="K582" s="323"/>
      <c r="L582" s="323"/>
      <c r="M582" s="325"/>
      <c r="N582" s="706">
        <f>SUM(N578:N581)</f>
        <v>0</v>
      </c>
      <c r="O582" s="288"/>
      <c r="P582" s="297"/>
      <c r="Q582" s="297"/>
    </row>
    <row r="583" spans="1:20" s="102" customFormat="1" ht="8.25" customHeight="1" thickBot="1">
      <c r="A583" s="323"/>
      <c r="B583" s="323"/>
      <c r="C583" s="323"/>
      <c r="D583" s="382"/>
      <c r="E583" s="323"/>
      <c r="F583" s="325"/>
      <c r="G583" s="325"/>
      <c r="H583" s="325"/>
      <c r="I583" s="323"/>
      <c r="J583" s="323"/>
      <c r="K583" s="323"/>
      <c r="L583" s="325"/>
      <c r="M583" s="323"/>
      <c r="N583" s="309"/>
      <c r="O583" s="288"/>
      <c r="P583" s="297"/>
      <c r="Q583" s="288"/>
    </row>
    <row r="584" spans="1:20" s="102" customFormat="1" ht="12.75" customHeight="1">
      <c r="A584" s="2639" t="s">
        <v>2505</v>
      </c>
      <c r="B584" s="687" t="s">
        <v>2506</v>
      </c>
      <c r="C584" s="327"/>
      <c r="D584" s="328">
        <f t="shared" ref="D584:D587" si="384">IF(H584&lt;&gt;"",VLOOKUP(G584,base_barras,IF(H584="Desnuda",2,5)+F584-1,FALSE),"-")</f>
        <v>3290</v>
      </c>
      <c r="E584" s="329">
        <v>3</v>
      </c>
      <c r="F584" s="330">
        <v>1</v>
      </c>
      <c r="G584" s="331" t="s">
        <v>584</v>
      </c>
      <c r="H584" s="330" t="s">
        <v>1043</v>
      </c>
      <c r="I584" s="332">
        <v>0</v>
      </c>
      <c r="J584" s="333">
        <f t="shared" ref="J584:J587" si="385">IF(G584&lt;&gt;"",VLOOKUP(G584,precio_barras,9,FALSE),0)</f>
        <v>231.4</v>
      </c>
      <c r="K584" s="481">
        <v>0</v>
      </c>
      <c r="L584" s="343" t="str">
        <f t="shared" ref="L584:L587" si="386">IF(G584&lt;&gt;"",IF(VLOOKUP(G584,base_barras,10,FALSE)&lt;&gt;"",VLOOKUP(G584,base_barras,10,FALSE),"-"),"-")</f>
        <v>1.5/1600</v>
      </c>
      <c r="M584" s="333">
        <f t="shared" ref="M584:M587" si="387">IF(L584&lt;&gt;"-",VLOOKUP(L584,precio_aislador,2,FALSE),0)</f>
        <v>22</v>
      </c>
      <c r="N584" s="360">
        <f t="shared" ref="N584:N587" si="388">(I584*J584*F584+K584*M584)*E584*1.67*1.25</f>
        <v>0</v>
      </c>
      <c r="O584" s="288"/>
      <c r="P584" s="297"/>
      <c r="Q584" s="297"/>
    </row>
    <row r="585" spans="1:20" s="102" customFormat="1" ht="13.5" thickBot="1">
      <c r="A585" s="2644"/>
      <c r="B585" s="707" t="s">
        <v>2504</v>
      </c>
      <c r="C585" s="479"/>
      <c r="D585" s="364">
        <f t="shared" si="384"/>
        <v>3170</v>
      </c>
      <c r="E585" s="365">
        <v>3</v>
      </c>
      <c r="F585" s="366">
        <v>3</v>
      </c>
      <c r="G585" s="322" t="s">
        <v>582</v>
      </c>
      <c r="H585" s="366" t="s">
        <v>1043</v>
      </c>
      <c r="I585" s="367">
        <v>0</v>
      </c>
      <c r="J585" s="368">
        <f t="shared" si="385"/>
        <v>71.100000000000009</v>
      </c>
      <c r="K585" s="365">
        <v>0</v>
      </c>
      <c r="L585" s="369" t="str">
        <f t="shared" si="386"/>
        <v>1/1000</v>
      </c>
      <c r="M585" s="368">
        <f t="shared" si="387"/>
        <v>2.7</v>
      </c>
      <c r="N585" s="370">
        <f t="shared" si="388"/>
        <v>0</v>
      </c>
      <c r="O585" s="288"/>
      <c r="P585" s="297"/>
      <c r="Q585" s="297"/>
    </row>
    <row r="586" spans="1:20" s="102" customFormat="1" ht="12.75" customHeight="1">
      <c r="A586" s="2644"/>
      <c r="B586" s="692" t="s">
        <v>2506</v>
      </c>
      <c r="C586" s="693"/>
      <c r="D586" s="697">
        <f t="shared" si="384"/>
        <v>3290</v>
      </c>
      <c r="E586" s="694">
        <v>3</v>
      </c>
      <c r="F586" s="655">
        <v>1</v>
      </c>
      <c r="G586" s="698" t="s">
        <v>584</v>
      </c>
      <c r="H586" s="655" t="s">
        <v>1043</v>
      </c>
      <c r="I586" s="398">
        <v>0</v>
      </c>
      <c r="J586" s="478">
        <f t="shared" si="385"/>
        <v>231.4</v>
      </c>
      <c r="K586" s="705">
        <v>0</v>
      </c>
      <c r="L586" s="695" t="str">
        <f t="shared" si="386"/>
        <v>1.5/1600</v>
      </c>
      <c r="M586" s="478">
        <f t="shared" si="387"/>
        <v>22</v>
      </c>
      <c r="N586" s="696">
        <f t="shared" si="388"/>
        <v>0</v>
      </c>
      <c r="O586" s="288"/>
      <c r="P586" s="297"/>
      <c r="Q586" s="297"/>
    </row>
    <row r="587" spans="1:20" s="102" customFormat="1" ht="13.5" thickBot="1">
      <c r="A587" s="2640"/>
      <c r="B587" s="700" t="s">
        <v>2504</v>
      </c>
      <c r="C587" s="701"/>
      <c r="D587" s="708">
        <f t="shared" si="384"/>
        <v>3170</v>
      </c>
      <c r="E587" s="702">
        <v>3</v>
      </c>
      <c r="F587" s="709">
        <v>3</v>
      </c>
      <c r="G587" s="710" t="s">
        <v>582</v>
      </c>
      <c r="H587" s="709" t="s">
        <v>1043</v>
      </c>
      <c r="I587" s="711">
        <v>0</v>
      </c>
      <c r="J587" s="480">
        <f t="shared" si="385"/>
        <v>71.100000000000009</v>
      </c>
      <c r="K587" s="702">
        <v>0</v>
      </c>
      <c r="L587" s="703" t="str">
        <f t="shared" si="386"/>
        <v>1/1000</v>
      </c>
      <c r="M587" s="480">
        <f t="shared" si="387"/>
        <v>2.7</v>
      </c>
      <c r="N587" s="704">
        <f t="shared" si="388"/>
        <v>0</v>
      </c>
      <c r="O587" s="288"/>
      <c r="P587" s="297"/>
      <c r="Q587" s="297"/>
    </row>
    <row r="588" spans="1:20" s="102" customFormat="1" ht="13.5" thickBot="1">
      <c r="A588" s="323"/>
      <c r="B588" s="323"/>
      <c r="C588" s="309"/>
      <c r="D588" s="382"/>
      <c r="E588" s="323"/>
      <c r="F588" s="309"/>
      <c r="G588" s="309"/>
      <c r="H588" s="323"/>
      <c r="I588" s="325"/>
      <c r="J588" s="325"/>
      <c r="K588" s="323"/>
      <c r="L588" s="323"/>
      <c r="M588" s="325"/>
      <c r="N588" s="706">
        <f>SUM(N584:N587)</f>
        <v>0</v>
      </c>
      <c r="O588" s="288"/>
      <c r="P588" s="297"/>
      <c r="Q588" s="297"/>
    </row>
    <row r="589" spans="1:20" s="102" customFormat="1" ht="8.25" customHeight="1" thickBot="1">
      <c r="A589" s="323"/>
      <c r="B589" s="323"/>
      <c r="C589" s="323"/>
      <c r="D589" s="382"/>
      <c r="E589" s="323"/>
      <c r="F589" s="325"/>
      <c r="G589" s="325"/>
      <c r="H589" s="325"/>
      <c r="I589" s="323"/>
      <c r="J589" s="323"/>
      <c r="K589" s="323"/>
      <c r="L589" s="325"/>
      <c r="M589" s="323"/>
      <c r="N589" s="309"/>
      <c r="O589" s="288"/>
      <c r="P589" s="297"/>
      <c r="Q589" s="288"/>
    </row>
    <row r="590" spans="1:20" s="102" customFormat="1">
      <c r="A590" s="2645" t="s">
        <v>1228</v>
      </c>
      <c r="B590" s="687" t="s">
        <v>2507</v>
      </c>
      <c r="C590" s="327"/>
      <c r="D590" s="328">
        <f t="shared" ref="D590:D591" si="389">IF(H590&lt;&gt;"",VLOOKUP(G590,base_barras,IF(H590="Desnuda",2,5)+F590-1,FALSE),"-")</f>
        <v>2410</v>
      </c>
      <c r="E590" s="481">
        <v>4</v>
      </c>
      <c r="F590" s="330">
        <v>2</v>
      </c>
      <c r="G590" s="331" t="s">
        <v>582</v>
      </c>
      <c r="H590" s="330" t="s">
        <v>1043</v>
      </c>
      <c r="I590" s="332">
        <f>0.2+0.2</f>
        <v>0.4</v>
      </c>
      <c r="J590" s="333">
        <f t="shared" ref="J590" si="390">IF(G590&lt;&gt;"",VLOOKUP(G590,precio_barras,9,FALSE),0)</f>
        <v>71.100000000000009</v>
      </c>
      <c r="K590" s="329">
        <v>0</v>
      </c>
      <c r="L590" s="343" t="str">
        <f t="shared" ref="L590:L591" si="391">IF(G590&lt;&gt;"",IF(VLOOKUP(G590,base_barras,10,FALSE)&lt;&gt;"",VLOOKUP(G590,base_barras,10,FALSE),"-"),"-")</f>
        <v>1/1000</v>
      </c>
      <c r="M590" s="333">
        <f t="shared" ref="M590" si="392">IF(L590&lt;&gt;"-",VLOOKUP(L590,precio_aislador,2,FALSE),0)</f>
        <v>2.7</v>
      </c>
      <c r="N590" s="360">
        <f t="shared" ref="N590:N591" si="393">(I590*J590*F590+K590*M590)*E590*1.67*1.25</f>
        <v>474.94800000000004</v>
      </c>
      <c r="O590" s="288"/>
      <c r="P590" s="297"/>
      <c r="Q590" s="297"/>
    </row>
    <row r="591" spans="1:20" s="102" customFormat="1" ht="13.5" thickBot="1">
      <c r="A591" s="2647"/>
      <c r="B591" s="707"/>
      <c r="C591" s="479"/>
      <c r="D591" s="364" t="str">
        <f t="shared" si="389"/>
        <v>-</v>
      </c>
      <c r="E591" s="365"/>
      <c r="F591" s="366"/>
      <c r="G591" s="322"/>
      <c r="H591" s="366"/>
      <c r="I591" s="367"/>
      <c r="J591" s="480">
        <f>IF(G591&lt;&gt;"",VLOOKUP(G591,precio_barras,9,FALSE),0)</f>
        <v>0</v>
      </c>
      <c r="K591" s="365"/>
      <c r="L591" s="369" t="str">
        <f t="shared" si="391"/>
        <v>-</v>
      </c>
      <c r="M591" s="368">
        <f>IF(L591&lt;&gt;"-",VLOOKUP(L591,precio_aislador,2,FALSE),0)</f>
        <v>0</v>
      </c>
      <c r="N591" s="370">
        <f t="shared" si="393"/>
        <v>0</v>
      </c>
      <c r="O591" s="288"/>
      <c r="P591" s="297"/>
      <c r="Q591" s="297"/>
    </row>
    <row r="592" spans="1:20" s="102" customFormat="1" ht="13.5" thickBot="1">
      <c r="A592" s="323"/>
      <c r="B592" s="323"/>
      <c r="C592" s="309"/>
      <c r="D592" s="382"/>
      <c r="E592" s="323"/>
      <c r="F592" s="309"/>
      <c r="G592" s="309"/>
      <c r="H592" s="323"/>
      <c r="I592" s="325"/>
      <c r="J592" s="325"/>
      <c r="K592" s="323"/>
      <c r="L592" s="323"/>
      <c r="M592" s="325"/>
      <c r="N592" s="706">
        <f>SUM(N590:N591)</f>
        <v>474.94800000000004</v>
      </c>
      <c r="O592" s="288"/>
      <c r="P592" s="297"/>
      <c r="Q592" s="297"/>
    </row>
    <row r="593" spans="1:20" s="102" customFormat="1" ht="8.25" customHeight="1" thickBot="1">
      <c r="A593" s="323"/>
      <c r="B593" s="323"/>
      <c r="C593" s="323"/>
      <c r="D593" s="382"/>
      <c r="E593" s="323"/>
      <c r="F593" s="325"/>
      <c r="G593" s="325"/>
      <c r="H593" s="325"/>
      <c r="I593" s="323"/>
      <c r="J593" s="323"/>
      <c r="K593" s="323"/>
      <c r="L593" s="325"/>
      <c r="M593" s="323"/>
      <c r="N593" s="309"/>
      <c r="O593" s="288"/>
      <c r="P593" s="297"/>
      <c r="Q593" s="288"/>
    </row>
    <row r="594" spans="1:20" s="102" customFormat="1" ht="13.5" customHeight="1" thickBot="1">
      <c r="A594" s="2639" t="s">
        <v>2508</v>
      </c>
      <c r="B594" s="772" t="s">
        <v>2633</v>
      </c>
      <c r="C594" s="773"/>
      <c r="D594" s="774">
        <f t="shared" ref="D594" si="394">IF(H594&lt;&gt;"",VLOOKUP(G594,base_barras,IF(H594="Desnuda",2,5)+F594-1,FALSE),"-")</f>
        <v>1470</v>
      </c>
      <c r="E594" s="775">
        <v>4</v>
      </c>
      <c r="F594" s="776">
        <v>2</v>
      </c>
      <c r="G594" s="777" t="s">
        <v>469</v>
      </c>
      <c r="H594" s="776" t="s">
        <v>1043</v>
      </c>
      <c r="I594" s="778">
        <v>0</v>
      </c>
      <c r="J594" s="779">
        <f t="shared" ref="J594" si="395">IF(G594&lt;&gt;"",VLOOKUP(G594,precio_barras,9,FALSE),0)</f>
        <v>35.6</v>
      </c>
      <c r="K594" s="775">
        <v>0</v>
      </c>
      <c r="L594" s="780" t="str">
        <f t="shared" ref="L594" si="396">IF(G594&lt;&gt;"",IF(VLOOKUP(G594,base_barras,10,FALSE)&lt;&gt;"",VLOOKUP(G594,base_barras,10,FALSE),"-"),"-")</f>
        <v>1/750</v>
      </c>
      <c r="M594" s="779">
        <f t="shared" ref="M594" si="397">IF(L594&lt;&gt;"-",VLOOKUP(L594,precio_aislador,2,FALSE),0)</f>
        <v>1.9</v>
      </c>
      <c r="N594" s="781">
        <f t="shared" ref="N594:N595" si="398">(I594*J594*F594+K594*M594)*E594*1.67*1.25</f>
        <v>0</v>
      </c>
      <c r="O594" s="288"/>
      <c r="P594" s="297"/>
      <c r="Q594" s="297"/>
    </row>
    <row r="595" spans="1:20" s="199" customFormat="1" ht="15.75" customHeight="1" thickBot="1">
      <c r="A595" s="2640"/>
      <c r="B595" s="712" t="s">
        <v>2633</v>
      </c>
      <c r="C595" s="713"/>
      <c r="D595" s="714">
        <f t="shared" ref="D595" si="399">IF(H595&lt;&gt;"",VLOOKUP(G595,base_barras,IF(H595="Desnuda",2,5)+F595-1,FALSE),"-")</f>
        <v>1470</v>
      </c>
      <c r="E595" s="715">
        <v>4</v>
      </c>
      <c r="F595" s="716">
        <v>2</v>
      </c>
      <c r="G595" s="717" t="s">
        <v>469</v>
      </c>
      <c r="H595" s="716" t="s">
        <v>1043</v>
      </c>
      <c r="I595" s="718">
        <v>0</v>
      </c>
      <c r="J595" s="719">
        <f t="shared" ref="J595" si="400">IF(G595&lt;&gt;"",VLOOKUP(G595,precio_barras,9,FALSE),0)</f>
        <v>35.6</v>
      </c>
      <c r="K595" s="715">
        <v>0</v>
      </c>
      <c r="L595" s="720" t="str">
        <f t="shared" ref="L595" si="401">IF(G595&lt;&gt;"",IF(VLOOKUP(G595,base_barras,10,FALSE)&lt;&gt;"",VLOOKUP(G595,base_barras,10,FALSE),"-"),"-")</f>
        <v>1/750</v>
      </c>
      <c r="M595" s="719">
        <f t="shared" ref="M595" si="402">IF(L595&lt;&gt;"-",VLOOKUP(L595,precio_aislador,2,FALSE),0)</f>
        <v>1.9</v>
      </c>
      <c r="N595" s="721">
        <f t="shared" si="398"/>
        <v>0</v>
      </c>
      <c r="O595" s="288"/>
      <c r="P595" s="297"/>
      <c r="Q595" s="288"/>
      <c r="R595" s="102"/>
      <c r="S595" s="102"/>
      <c r="T595" s="102"/>
    </row>
    <row r="596" spans="1:20" s="102" customFormat="1" ht="13.5" thickBot="1">
      <c r="A596" s="323"/>
      <c r="B596" s="323"/>
      <c r="C596" s="309"/>
      <c r="D596" s="382"/>
      <c r="E596" s="323"/>
      <c r="F596" s="309"/>
      <c r="G596" s="309"/>
      <c r="H596" s="323"/>
      <c r="I596" s="325"/>
      <c r="J596" s="325"/>
      <c r="K596" s="323"/>
      <c r="L596" s="323"/>
      <c r="M596" s="325"/>
      <c r="N596" s="706">
        <f>SUM(N594:N595)</f>
        <v>0</v>
      </c>
      <c r="O596" s="288"/>
      <c r="P596" s="297"/>
      <c r="Q596" s="297"/>
    </row>
    <row r="597" spans="1:20" s="102" customFormat="1" ht="8.25" customHeight="1" thickBot="1">
      <c r="A597" s="323"/>
      <c r="B597" s="323"/>
      <c r="C597" s="323"/>
      <c r="D597" s="382"/>
      <c r="E597" s="323"/>
      <c r="F597" s="325"/>
      <c r="G597" s="325"/>
      <c r="H597" s="325"/>
      <c r="I597" s="323"/>
      <c r="J597" s="323"/>
      <c r="K597" s="323"/>
      <c r="L597" s="325"/>
      <c r="M597" s="323"/>
      <c r="N597" s="309"/>
      <c r="O597" s="288"/>
      <c r="P597" s="297"/>
      <c r="Q597" s="288"/>
    </row>
    <row r="598" spans="1:20" s="102" customFormat="1" ht="13.5" thickBot="1">
      <c r="A598" s="2645" t="s">
        <v>1034</v>
      </c>
      <c r="B598" s="687" t="s">
        <v>3507</v>
      </c>
      <c r="C598" s="713"/>
      <c r="D598" s="328">
        <f t="shared" ref="D598" si="403">IF(H598&lt;&gt;"",VLOOKUP(G598,base_barras,IF(H598="Desnuda",2,5)+F598-1,FALSE),"-")</f>
        <v>1720</v>
      </c>
      <c r="E598" s="329">
        <v>3</v>
      </c>
      <c r="F598" s="330">
        <v>2</v>
      </c>
      <c r="G598" s="331" t="s">
        <v>315</v>
      </c>
      <c r="H598" s="330" t="s">
        <v>1043</v>
      </c>
      <c r="I598" s="332">
        <v>0.35</v>
      </c>
      <c r="J598" s="333">
        <f t="shared" ref="J598" si="404">IF(G598&lt;&gt;"",VLOOKUP(G598,precio_barras,9,FALSE),0)</f>
        <v>44.400000000000006</v>
      </c>
      <c r="K598" s="329">
        <v>0</v>
      </c>
      <c r="L598" s="343" t="str">
        <f t="shared" ref="L598" si="405">IF(G598&lt;&gt;"",IF(VLOOKUP(G598,base_barras,10,FALSE)&lt;&gt;"",VLOOKUP(G598,base_barras,10,FALSE),"-"),"-")</f>
        <v>1/750</v>
      </c>
      <c r="M598" s="333">
        <f t="shared" ref="M598" si="406">IF(L598&lt;&gt;"-",VLOOKUP(L598,precio_aislador,2,FALSE),0)</f>
        <v>1.9</v>
      </c>
      <c r="N598" s="360">
        <f t="shared" ref="N598:N601" si="407">(I598*J598*F598+K598*M598)*E598*1.67*1.25</f>
        <v>194.63850000000002</v>
      </c>
      <c r="O598" s="288"/>
      <c r="P598" s="297"/>
      <c r="Q598" s="297"/>
    </row>
    <row r="599" spans="1:20" s="102" customFormat="1" ht="13.5" thickBot="1">
      <c r="A599" s="2646"/>
      <c r="B599" s="687" t="s">
        <v>3508</v>
      </c>
      <c r="C599" s="327"/>
      <c r="D599" s="328">
        <f t="shared" ref="D599" si="408">IF(H599&lt;&gt;"",VLOOKUP(G599,base_barras,IF(H599="Desnuda",2,5)+F599-1,FALSE),"-")</f>
        <v>1470</v>
      </c>
      <c r="E599" s="329">
        <v>3</v>
      </c>
      <c r="F599" s="330">
        <v>2</v>
      </c>
      <c r="G599" s="331" t="s">
        <v>469</v>
      </c>
      <c r="H599" s="330" t="s">
        <v>1043</v>
      </c>
      <c r="I599" s="332">
        <v>0.35</v>
      </c>
      <c r="J599" s="333">
        <f t="shared" ref="J599" si="409">IF(G599&lt;&gt;"",VLOOKUP(G599,precio_barras,9,FALSE),0)</f>
        <v>35.6</v>
      </c>
      <c r="K599" s="329">
        <v>0</v>
      </c>
      <c r="L599" s="343" t="str">
        <f t="shared" ref="L599" si="410">IF(G599&lt;&gt;"",IF(VLOOKUP(G599,base_barras,10,FALSE)&lt;&gt;"",VLOOKUP(G599,base_barras,10,FALSE),"-"),"-")</f>
        <v>1/750</v>
      </c>
      <c r="M599" s="333">
        <f t="shared" ref="M599" si="411">IF(L599&lt;&gt;"-",VLOOKUP(L599,precio_aislador,2,FALSE),0)</f>
        <v>1.9</v>
      </c>
      <c r="N599" s="360">
        <f t="shared" si="407"/>
        <v>156.06149999999997</v>
      </c>
      <c r="O599" s="288"/>
      <c r="P599" s="297"/>
      <c r="Q599" s="297"/>
    </row>
    <row r="600" spans="1:20" s="102" customFormat="1" ht="13.5" thickBot="1">
      <c r="A600" s="2646"/>
      <c r="B600" s="687" t="s">
        <v>2511</v>
      </c>
      <c r="C600" s="713"/>
      <c r="D600" s="328">
        <f t="shared" ref="D600" si="412">IF(H600&lt;&gt;"",VLOOKUP(G600,base_barras,IF(H600="Desnuda",2,5)+F600-1,FALSE),"-")</f>
        <v>850</v>
      </c>
      <c r="E600" s="329">
        <v>3</v>
      </c>
      <c r="F600" s="330">
        <v>1</v>
      </c>
      <c r="G600" s="331" t="s">
        <v>469</v>
      </c>
      <c r="H600" s="330" t="s">
        <v>1043</v>
      </c>
      <c r="I600" s="332">
        <v>0.3</v>
      </c>
      <c r="J600" s="333">
        <f t="shared" ref="J600" si="413">IF(G600&lt;&gt;"",VLOOKUP(G600,precio_barras,9,FALSE),0)</f>
        <v>35.6</v>
      </c>
      <c r="K600" s="329">
        <v>0</v>
      </c>
      <c r="L600" s="343" t="str">
        <f t="shared" ref="L600" si="414">IF(G600&lt;&gt;"",IF(VLOOKUP(G600,base_barras,10,FALSE)&lt;&gt;"",VLOOKUP(G600,base_barras,10,FALSE),"-"),"-")</f>
        <v>1/750</v>
      </c>
      <c r="M600" s="333">
        <f t="shared" ref="M600" si="415">IF(L600&lt;&gt;"-",VLOOKUP(L600,precio_aislador,2,FALSE),0)</f>
        <v>1.9</v>
      </c>
      <c r="N600" s="360">
        <f t="shared" si="407"/>
        <v>66.883499999999998</v>
      </c>
      <c r="O600" s="288"/>
      <c r="P600" s="297"/>
      <c r="Q600" s="297"/>
    </row>
    <row r="601" spans="1:20" s="102" customFormat="1" ht="13.5" thickBot="1">
      <c r="A601" s="2647"/>
      <c r="B601" s="712" t="s">
        <v>3509</v>
      </c>
      <c r="C601" s="713"/>
      <c r="D601" s="714">
        <f t="shared" ref="D601" si="416">IF(H601&lt;&gt;"",VLOOKUP(G601,base_barras,IF(H601="Desnuda",2,5)+F601-1,FALSE),"-")</f>
        <v>447</v>
      </c>
      <c r="E601" s="715">
        <v>3</v>
      </c>
      <c r="F601" s="716">
        <v>1</v>
      </c>
      <c r="G601" s="717" t="s">
        <v>579</v>
      </c>
      <c r="H601" s="716" t="s">
        <v>1043</v>
      </c>
      <c r="I601" s="718">
        <v>0.3</v>
      </c>
      <c r="J601" s="719">
        <f t="shared" ref="J601" si="417">IF(G601&lt;&gt;"",VLOOKUP(G601,precio_barras,9,FALSE),0)</f>
        <v>13.3</v>
      </c>
      <c r="K601" s="715">
        <v>0</v>
      </c>
      <c r="L601" s="720" t="str">
        <f t="shared" ref="L601" si="418">IF(G601&lt;&gt;"",IF(VLOOKUP(G601,base_barras,10,FALSE)&lt;&gt;"",VLOOKUP(G601,base_barras,10,FALSE),"-"),"-")</f>
        <v>0.5/400</v>
      </c>
      <c r="M601" s="719">
        <f t="shared" ref="M601" si="419">IF(L601&lt;&gt;"-",VLOOKUP(L601,precio_aislador,2,FALSE),0)</f>
        <v>1.2</v>
      </c>
      <c r="N601" s="721">
        <f t="shared" si="407"/>
        <v>24.987375</v>
      </c>
      <c r="O601" s="288"/>
      <c r="P601" s="297"/>
      <c r="Q601" s="297"/>
    </row>
    <row r="602" spans="1:20" s="102" customFormat="1" ht="13.5" thickBot="1">
      <c r="A602" s="323"/>
      <c r="B602" s="323"/>
      <c r="C602" s="309"/>
      <c r="D602" s="382"/>
      <c r="E602" s="323"/>
      <c r="F602" s="309"/>
      <c r="G602" s="309"/>
      <c r="H602" s="323"/>
      <c r="I602" s="325"/>
      <c r="J602" s="325"/>
      <c r="K602" s="323"/>
      <c r="L602" s="323"/>
      <c r="M602" s="325"/>
      <c r="N602" s="706">
        <f>SUM(N599:N601)</f>
        <v>247.93237499999998</v>
      </c>
      <c r="O602" s="288"/>
      <c r="P602" s="297"/>
      <c r="Q602" s="297"/>
    </row>
    <row r="603" spans="1:20" s="102" customFormat="1">
      <c r="A603" s="323"/>
      <c r="B603" s="309"/>
      <c r="C603" s="309"/>
      <c r="D603" s="382"/>
      <c r="E603" s="323"/>
      <c r="F603" s="309"/>
      <c r="G603" s="309"/>
      <c r="H603" s="323"/>
      <c r="I603" s="325"/>
      <c r="J603" s="325"/>
      <c r="K603" s="323"/>
      <c r="L603" s="323"/>
      <c r="M603" s="325"/>
      <c r="N603" s="722"/>
      <c r="O603" s="288"/>
      <c r="P603" s="297"/>
      <c r="Q603" s="297"/>
    </row>
    <row r="604" spans="1:20" s="102" customFormat="1" ht="15">
      <c r="A604" s="323"/>
      <c r="B604" s="723" t="s">
        <v>2513</v>
      </c>
      <c r="C604" s="309"/>
      <c r="D604" s="382"/>
      <c r="E604" s="323"/>
      <c r="F604" s="309"/>
      <c r="G604" s="309"/>
      <c r="H604" s="323"/>
      <c r="I604" s="325"/>
      <c r="J604" s="325"/>
      <c r="K604" s="323"/>
      <c r="L604" s="323"/>
      <c r="M604" s="325"/>
      <c r="N604" s="722"/>
      <c r="O604" s="288"/>
      <c r="P604" s="297"/>
      <c r="Q604" s="297"/>
    </row>
    <row r="605" spans="1:20" s="102" customFormat="1" ht="13.5" thickBot="1">
      <c r="A605" s="323"/>
      <c r="B605" s="309"/>
      <c r="C605" s="309"/>
      <c r="D605" s="382"/>
      <c r="E605" s="323"/>
      <c r="F605" s="309"/>
      <c r="G605" s="309"/>
      <c r="H605" s="323"/>
      <c r="I605" s="325"/>
      <c r="J605" s="325"/>
      <c r="K605" s="323"/>
      <c r="L605" s="323"/>
      <c r="M605" s="325"/>
      <c r="N605" s="722"/>
      <c r="O605" s="288"/>
      <c r="P605" s="297"/>
      <c r="Q605" s="297"/>
    </row>
    <row r="606" spans="1:20" s="199" customFormat="1" ht="15.75" customHeight="1">
      <c r="A606" s="2641" t="s">
        <v>2631</v>
      </c>
      <c r="B606" s="687" t="s">
        <v>2498</v>
      </c>
      <c r="C606" s="327"/>
      <c r="D606" s="328">
        <f t="shared" ref="D606" si="420">IF(H606&lt;&gt;"",VLOOKUP(G606,base_barras,IF(H606="Desnuda",2,5)+F606-1,FALSE),"-")</f>
        <v>1500</v>
      </c>
      <c r="E606" s="329">
        <v>4</v>
      </c>
      <c r="F606" s="330">
        <v>1</v>
      </c>
      <c r="G606" s="331" t="s">
        <v>582</v>
      </c>
      <c r="H606" s="330" t="s">
        <v>1043</v>
      </c>
      <c r="I606" s="332">
        <f>0.8+1.2</f>
        <v>2</v>
      </c>
      <c r="J606" s="333">
        <f t="shared" ref="J606:J608" si="421">IF(G606&lt;&gt;"",VLOOKUP(G606,precio_barras,9,FALSE),0)</f>
        <v>71.100000000000009</v>
      </c>
      <c r="K606" s="329">
        <f>2+3</f>
        <v>5</v>
      </c>
      <c r="L606" s="343" t="str">
        <f t="shared" ref="L606" si="422">IF(G606&lt;&gt;"",IF(VLOOKUP(G606,base_barras,10,FALSE)&lt;&gt;"",VLOOKUP(G606,base_barras,10,FALSE),"-"),"-")</f>
        <v>1/1000</v>
      </c>
      <c r="M606" s="333">
        <f t="shared" ref="M606" si="423">IF(L606&lt;&gt;"-",VLOOKUP(L606,precio_aislador,2,FALSE),0)</f>
        <v>2.7</v>
      </c>
      <c r="N606" s="360">
        <f t="shared" ref="N606" si="424">(I606*J606*F606+K606*M606)*E606*1.67*1.25</f>
        <v>1300.095</v>
      </c>
      <c r="O606" s="288"/>
      <c r="P606" s="297"/>
      <c r="Q606" s="288"/>
      <c r="R606" s="102"/>
      <c r="S606" s="102"/>
      <c r="T606" s="102"/>
    </row>
    <row r="607" spans="1:20" s="199" customFormat="1" ht="14.25">
      <c r="A607" s="2642"/>
      <c r="B607" s="688" t="s">
        <v>802</v>
      </c>
      <c r="C607" s="319"/>
      <c r="D607" s="312">
        <f>IF(H607&lt;&gt;"",VLOOKUP(G607,base_barras,IF(H607="Desnuda",2,5)+F607-1,FALSE),"-")</f>
        <v>850</v>
      </c>
      <c r="E607" s="313">
        <v>1</v>
      </c>
      <c r="F607" s="314">
        <v>1</v>
      </c>
      <c r="G607" s="315" t="s">
        <v>469</v>
      </c>
      <c r="H607" s="689" t="str">
        <f>H606</f>
        <v>Pintada</v>
      </c>
      <c r="I607" s="690">
        <f>I606</f>
        <v>2</v>
      </c>
      <c r="J607" s="317">
        <f t="shared" si="421"/>
        <v>35.6</v>
      </c>
      <c r="K607" s="691">
        <v>0</v>
      </c>
      <c r="L607" s="318" t="str">
        <f>IF(G607&lt;&gt;"",IF(VLOOKUP(G607,base_barras,10,FALSE)&lt;&gt;"",VLOOKUP(G607,base_barras,10,FALSE),"-"),"-")</f>
        <v>1/750</v>
      </c>
      <c r="M607" s="317">
        <f>IF(L607&lt;&gt;"-",VLOOKUP(L607,precio_aislador,2,FALSE),0)</f>
        <v>1.9</v>
      </c>
      <c r="N607" s="308">
        <f>(I607*J607*F607+K607*M607)*E607*1.67*1.25</f>
        <v>148.63</v>
      </c>
      <c r="O607" s="288"/>
      <c r="P607" s="297"/>
      <c r="Q607" s="288"/>
      <c r="R607" s="102"/>
      <c r="S607" s="102"/>
      <c r="T607" s="102"/>
    </row>
    <row r="608" spans="1:20" s="199" customFormat="1" ht="15.75" customHeight="1" thickBot="1">
      <c r="A608" s="2642"/>
      <c r="B608" s="692" t="s">
        <v>2632</v>
      </c>
      <c r="C608" s="693"/>
      <c r="D608" s="312">
        <f t="shared" ref="D608" si="425">IF(H608&lt;&gt;"",VLOOKUP(G608,base_barras,IF(H608="Desnuda",2,5)+F608-1,FALSE),"-")</f>
        <v>1240</v>
      </c>
      <c r="E608" s="313">
        <v>4</v>
      </c>
      <c r="F608" s="314">
        <v>1</v>
      </c>
      <c r="G608" s="315" t="s">
        <v>582</v>
      </c>
      <c r="H608" s="314" t="s">
        <v>1044</v>
      </c>
      <c r="I608" s="316">
        <v>0.5</v>
      </c>
      <c r="J608" s="317">
        <f t="shared" si="421"/>
        <v>71.100000000000009</v>
      </c>
      <c r="K608" s="694">
        <v>1</v>
      </c>
      <c r="L608" s="695" t="str">
        <f t="shared" ref="L608" si="426">IF(G608&lt;&gt;"",IF(VLOOKUP(G608,base_barras,10,FALSE)&lt;&gt;"",VLOOKUP(G608,base_barras,10,FALSE),"-"),"-")</f>
        <v>1/1000</v>
      </c>
      <c r="M608" s="478">
        <f t="shared" ref="M608" si="427">IF(L608&lt;&gt;"-",VLOOKUP(L608,precio_aislador,2,FALSE),0)</f>
        <v>2.7</v>
      </c>
      <c r="N608" s="696">
        <f t="shared" ref="N608" si="428">(I608*J608*F608+K608*M608)*E608*1.67*1.25</f>
        <v>319.38750000000005</v>
      </c>
      <c r="O608" s="288"/>
      <c r="P608" s="297"/>
      <c r="Q608" s="288"/>
      <c r="R608" s="102"/>
      <c r="S608" s="102"/>
      <c r="T608" s="102"/>
    </row>
    <row r="609" spans="1:20" s="129" customFormat="1" ht="22.5" customHeight="1" thickBot="1">
      <c r="A609" s="371"/>
      <c r="B609" s="373"/>
      <c r="C609" s="375"/>
      <c r="D609" s="383"/>
      <c r="E609" s="373"/>
      <c r="F609" s="373"/>
      <c r="G609" s="373"/>
      <c r="H609" s="373"/>
      <c r="I609" s="374"/>
      <c r="J609" s="374"/>
      <c r="K609" s="373"/>
      <c r="L609" s="373"/>
      <c r="M609" s="372"/>
      <c r="N609" s="699">
        <f>SUM(N606:N608)</f>
        <v>1768.1125</v>
      </c>
      <c r="O609" s="288"/>
      <c r="P609" s="297"/>
      <c r="Q609" s="288"/>
      <c r="R609" s="102"/>
      <c r="S609" s="102"/>
      <c r="T609" s="102"/>
    </row>
    <row r="610" spans="1:20" s="102" customFormat="1" ht="8.25" customHeight="1" thickBot="1">
      <c r="A610" s="323"/>
      <c r="B610" s="323"/>
      <c r="C610" s="323"/>
      <c r="D610" s="382"/>
      <c r="E610" s="323"/>
      <c r="F610" s="325"/>
      <c r="G610" s="325"/>
      <c r="H610" s="325"/>
      <c r="I610" s="323"/>
      <c r="J610" s="323"/>
      <c r="K610" s="323"/>
      <c r="L610" s="325"/>
      <c r="M610" s="323"/>
      <c r="N610" s="309"/>
      <c r="O610" s="288"/>
      <c r="P610" s="297"/>
      <c r="Q610" s="288"/>
    </row>
    <row r="611" spans="1:20" s="102" customFormat="1" ht="12.75" customHeight="1">
      <c r="A611" s="2639" t="s">
        <v>2502</v>
      </c>
      <c r="B611" s="687" t="s">
        <v>2503</v>
      </c>
      <c r="C611" s="327"/>
      <c r="D611" s="328">
        <f t="shared" ref="D611:D614" si="429">IF(H611&lt;&gt;"",VLOOKUP(G611,base_barras,IF(H611="Desnuda",2,5)+F611-1,FALSE),"-")</f>
        <v>3290</v>
      </c>
      <c r="E611" s="329">
        <v>3</v>
      </c>
      <c r="F611" s="330">
        <v>1</v>
      </c>
      <c r="G611" s="331" t="s">
        <v>584</v>
      </c>
      <c r="H611" s="330" t="s">
        <v>1043</v>
      </c>
      <c r="I611" s="332">
        <v>0</v>
      </c>
      <c r="J611" s="333">
        <f t="shared" ref="J611:J614" si="430">IF(G611&lt;&gt;"",VLOOKUP(G611,precio_barras,9,FALSE),0)</f>
        <v>231.4</v>
      </c>
      <c r="K611" s="481">
        <v>0</v>
      </c>
      <c r="L611" s="343" t="str">
        <f t="shared" ref="L611:L614" si="431">IF(G611&lt;&gt;"",IF(VLOOKUP(G611,base_barras,10,FALSE)&lt;&gt;"",VLOOKUP(G611,base_barras,10,FALSE),"-"),"-")</f>
        <v>1.5/1600</v>
      </c>
      <c r="M611" s="333">
        <f t="shared" ref="M611:M614" si="432">IF(L611&lt;&gt;"-",VLOOKUP(L611,precio_aislador,2,FALSE),0)</f>
        <v>22</v>
      </c>
      <c r="N611" s="360">
        <f t="shared" ref="N611:N614" si="433">(I611*J611*F611+K611*M611)*E611*1.67*1.25</f>
        <v>0</v>
      </c>
      <c r="O611" s="288"/>
      <c r="P611" s="297"/>
      <c r="Q611" s="297"/>
    </row>
    <row r="612" spans="1:20" s="199" customFormat="1" ht="15.75" customHeight="1" thickBot="1">
      <c r="A612" s="2644"/>
      <c r="B612" s="700" t="s">
        <v>2504</v>
      </c>
      <c r="C612" s="701"/>
      <c r="D612" s="364">
        <f t="shared" si="429"/>
        <v>3170</v>
      </c>
      <c r="E612" s="365">
        <v>3</v>
      </c>
      <c r="F612" s="366">
        <v>3</v>
      </c>
      <c r="G612" s="322" t="s">
        <v>582</v>
      </c>
      <c r="H612" s="366" t="s">
        <v>1043</v>
      </c>
      <c r="I612" s="367">
        <v>0</v>
      </c>
      <c r="J612" s="368">
        <f t="shared" si="430"/>
        <v>71.100000000000009</v>
      </c>
      <c r="K612" s="702">
        <v>0</v>
      </c>
      <c r="L612" s="703" t="str">
        <f t="shared" si="431"/>
        <v>1/1000</v>
      </c>
      <c r="M612" s="480">
        <f t="shared" si="432"/>
        <v>2.7</v>
      </c>
      <c r="N612" s="704">
        <f t="shared" si="433"/>
        <v>0</v>
      </c>
      <c r="O612" s="288"/>
      <c r="P612" s="297"/>
      <c r="Q612" s="288"/>
      <c r="R612" s="102"/>
      <c r="S612" s="102"/>
      <c r="T612" s="102"/>
    </row>
    <row r="613" spans="1:20" s="102" customFormat="1" ht="12.75" customHeight="1">
      <c r="A613" s="2644"/>
      <c r="B613" s="692" t="s">
        <v>2503</v>
      </c>
      <c r="C613" s="693"/>
      <c r="D613" s="697">
        <f t="shared" si="429"/>
        <v>3290</v>
      </c>
      <c r="E613" s="694">
        <v>3</v>
      </c>
      <c r="F613" s="655">
        <v>1</v>
      </c>
      <c r="G613" s="698" t="s">
        <v>584</v>
      </c>
      <c r="H613" s="655" t="s">
        <v>1043</v>
      </c>
      <c r="I613" s="398">
        <v>0</v>
      </c>
      <c r="J613" s="478">
        <f t="shared" si="430"/>
        <v>231.4</v>
      </c>
      <c r="K613" s="705">
        <v>0</v>
      </c>
      <c r="L613" s="695" t="str">
        <f t="shared" si="431"/>
        <v>1.5/1600</v>
      </c>
      <c r="M613" s="478">
        <f t="shared" si="432"/>
        <v>22</v>
      </c>
      <c r="N613" s="696">
        <f t="shared" si="433"/>
        <v>0</v>
      </c>
      <c r="O613" s="288"/>
      <c r="P613" s="297"/>
      <c r="Q613" s="297"/>
    </row>
    <row r="614" spans="1:20" s="199" customFormat="1" ht="15.75" customHeight="1" thickBot="1">
      <c r="A614" s="2640"/>
      <c r="B614" s="700" t="s">
        <v>2504</v>
      </c>
      <c r="C614" s="701"/>
      <c r="D614" s="364">
        <f t="shared" si="429"/>
        <v>3170</v>
      </c>
      <c r="E614" s="365">
        <v>3</v>
      </c>
      <c r="F614" s="366">
        <v>3</v>
      </c>
      <c r="G614" s="322" t="s">
        <v>582</v>
      </c>
      <c r="H614" s="366" t="s">
        <v>1043</v>
      </c>
      <c r="I614" s="367">
        <v>0</v>
      </c>
      <c r="J614" s="368">
        <f t="shared" si="430"/>
        <v>71.100000000000009</v>
      </c>
      <c r="K614" s="702">
        <v>0</v>
      </c>
      <c r="L614" s="703" t="str">
        <f t="shared" si="431"/>
        <v>1/1000</v>
      </c>
      <c r="M614" s="480">
        <f t="shared" si="432"/>
        <v>2.7</v>
      </c>
      <c r="N614" s="704">
        <f t="shared" si="433"/>
        <v>0</v>
      </c>
      <c r="O614" s="288"/>
      <c r="P614" s="297"/>
      <c r="Q614" s="288"/>
      <c r="R614" s="102"/>
      <c r="S614" s="102"/>
      <c r="T614" s="102"/>
    </row>
    <row r="615" spans="1:20" s="102" customFormat="1" ht="13.5" thickBot="1">
      <c r="A615" s="323"/>
      <c r="B615" s="323"/>
      <c r="C615" s="309"/>
      <c r="D615" s="382"/>
      <c r="E615" s="323"/>
      <c r="F615" s="309"/>
      <c r="G615" s="309"/>
      <c r="H615" s="323"/>
      <c r="I615" s="325"/>
      <c r="J615" s="325"/>
      <c r="K615" s="323"/>
      <c r="L615" s="323"/>
      <c r="M615" s="325"/>
      <c r="N615" s="706">
        <f>SUM(N611:N614)</f>
        <v>0</v>
      </c>
      <c r="O615" s="288"/>
      <c r="P615" s="297"/>
      <c r="Q615" s="297"/>
    </row>
    <row r="616" spans="1:20" s="102" customFormat="1" ht="8.25" customHeight="1" thickBot="1">
      <c r="A616" s="323"/>
      <c r="B616" s="323"/>
      <c r="C616" s="323"/>
      <c r="D616" s="382"/>
      <c r="E616" s="323"/>
      <c r="F616" s="325"/>
      <c r="G616" s="325"/>
      <c r="H616" s="325"/>
      <c r="I616" s="323"/>
      <c r="J616" s="323"/>
      <c r="K616" s="323"/>
      <c r="L616" s="325"/>
      <c r="M616" s="323"/>
      <c r="N616" s="309"/>
      <c r="O616" s="288"/>
      <c r="P616" s="297"/>
      <c r="Q616" s="288"/>
    </row>
    <row r="617" spans="1:20" s="102" customFormat="1" ht="12.75" customHeight="1">
      <c r="A617" s="2639" t="s">
        <v>2505</v>
      </c>
      <c r="B617" s="687" t="s">
        <v>2506</v>
      </c>
      <c r="C617" s="327"/>
      <c r="D617" s="328">
        <f t="shared" ref="D617:D620" si="434">IF(H617&lt;&gt;"",VLOOKUP(G617,base_barras,IF(H617="Desnuda",2,5)+F617-1,FALSE),"-")</f>
        <v>3290</v>
      </c>
      <c r="E617" s="329">
        <v>3</v>
      </c>
      <c r="F617" s="330">
        <v>1</v>
      </c>
      <c r="G617" s="331" t="s">
        <v>584</v>
      </c>
      <c r="H617" s="330" t="s">
        <v>1043</v>
      </c>
      <c r="I617" s="332">
        <v>0</v>
      </c>
      <c r="J617" s="333">
        <f t="shared" ref="J617:J620" si="435">IF(G617&lt;&gt;"",VLOOKUP(G617,precio_barras,9,FALSE),0)</f>
        <v>231.4</v>
      </c>
      <c r="K617" s="481">
        <v>0</v>
      </c>
      <c r="L617" s="343" t="str">
        <f t="shared" ref="L617:L620" si="436">IF(G617&lt;&gt;"",IF(VLOOKUP(G617,base_barras,10,FALSE)&lt;&gt;"",VLOOKUP(G617,base_barras,10,FALSE),"-"),"-")</f>
        <v>1.5/1600</v>
      </c>
      <c r="M617" s="333">
        <f t="shared" ref="M617:M620" si="437">IF(L617&lt;&gt;"-",VLOOKUP(L617,precio_aislador,2,FALSE),0)</f>
        <v>22</v>
      </c>
      <c r="N617" s="360">
        <f t="shared" ref="N617:N620" si="438">(I617*J617*F617+K617*M617)*E617*1.67*1.25</f>
        <v>0</v>
      </c>
      <c r="O617" s="288"/>
      <c r="P617" s="297"/>
      <c r="Q617" s="297"/>
    </row>
    <row r="618" spans="1:20" s="102" customFormat="1" ht="13.5" thickBot="1">
      <c r="A618" s="2644"/>
      <c r="B618" s="707" t="s">
        <v>2504</v>
      </c>
      <c r="C618" s="479"/>
      <c r="D618" s="364">
        <f t="shared" si="434"/>
        <v>3170</v>
      </c>
      <c r="E618" s="365">
        <v>3</v>
      </c>
      <c r="F618" s="366">
        <v>3</v>
      </c>
      <c r="G618" s="322" t="s">
        <v>582</v>
      </c>
      <c r="H618" s="366" t="s">
        <v>1043</v>
      </c>
      <c r="I618" s="367">
        <v>0</v>
      </c>
      <c r="J618" s="368">
        <f t="shared" si="435"/>
        <v>71.100000000000009</v>
      </c>
      <c r="K618" s="365">
        <v>0</v>
      </c>
      <c r="L618" s="369" t="str">
        <f t="shared" si="436"/>
        <v>1/1000</v>
      </c>
      <c r="M618" s="368">
        <f t="shared" si="437"/>
        <v>2.7</v>
      </c>
      <c r="N618" s="370">
        <f t="shared" si="438"/>
        <v>0</v>
      </c>
      <c r="O618" s="288"/>
      <c r="P618" s="297"/>
      <c r="Q618" s="297"/>
    </row>
    <row r="619" spans="1:20" s="102" customFormat="1" ht="12.75" customHeight="1">
      <c r="A619" s="2644"/>
      <c r="B619" s="692" t="s">
        <v>2506</v>
      </c>
      <c r="C619" s="693"/>
      <c r="D619" s="697">
        <f t="shared" si="434"/>
        <v>3290</v>
      </c>
      <c r="E619" s="694">
        <v>3</v>
      </c>
      <c r="F619" s="655">
        <v>1</v>
      </c>
      <c r="G619" s="698" t="s">
        <v>584</v>
      </c>
      <c r="H619" s="655" t="s">
        <v>1043</v>
      </c>
      <c r="I619" s="398">
        <v>0</v>
      </c>
      <c r="J619" s="478">
        <f t="shared" si="435"/>
        <v>231.4</v>
      </c>
      <c r="K619" s="705">
        <v>0</v>
      </c>
      <c r="L619" s="695" t="str">
        <f t="shared" si="436"/>
        <v>1.5/1600</v>
      </c>
      <c r="M619" s="478">
        <f t="shared" si="437"/>
        <v>22</v>
      </c>
      <c r="N619" s="696">
        <f t="shared" si="438"/>
        <v>0</v>
      </c>
      <c r="O619" s="288"/>
      <c r="P619" s="297"/>
      <c r="Q619" s="297"/>
    </row>
    <row r="620" spans="1:20" s="102" customFormat="1" ht="13.5" thickBot="1">
      <c r="A620" s="2640"/>
      <c r="B620" s="700" t="s">
        <v>2504</v>
      </c>
      <c r="C620" s="701"/>
      <c r="D620" s="708">
        <f t="shared" si="434"/>
        <v>3170</v>
      </c>
      <c r="E620" s="702">
        <v>3</v>
      </c>
      <c r="F620" s="709">
        <v>3</v>
      </c>
      <c r="G620" s="710" t="s">
        <v>582</v>
      </c>
      <c r="H620" s="709" t="s">
        <v>1043</v>
      </c>
      <c r="I620" s="711">
        <v>0</v>
      </c>
      <c r="J620" s="480">
        <f t="shared" si="435"/>
        <v>71.100000000000009</v>
      </c>
      <c r="K620" s="702">
        <v>0</v>
      </c>
      <c r="L620" s="703" t="str">
        <f t="shared" si="436"/>
        <v>1/1000</v>
      </c>
      <c r="M620" s="480">
        <f t="shared" si="437"/>
        <v>2.7</v>
      </c>
      <c r="N620" s="704">
        <f t="shared" si="438"/>
        <v>0</v>
      </c>
      <c r="O620" s="288"/>
      <c r="P620" s="297"/>
      <c r="Q620" s="297"/>
    </row>
    <row r="621" spans="1:20" s="102" customFormat="1" ht="13.5" thickBot="1">
      <c r="A621" s="323"/>
      <c r="B621" s="323"/>
      <c r="C621" s="309"/>
      <c r="D621" s="382"/>
      <c r="E621" s="323"/>
      <c r="F621" s="309"/>
      <c r="G621" s="309"/>
      <c r="H621" s="323"/>
      <c r="I621" s="325"/>
      <c r="J621" s="325"/>
      <c r="K621" s="323"/>
      <c r="L621" s="323"/>
      <c r="M621" s="325"/>
      <c r="N621" s="706">
        <f>SUM(N617:N620)</f>
        <v>0</v>
      </c>
      <c r="O621" s="288"/>
      <c r="P621" s="297"/>
      <c r="Q621" s="297"/>
    </row>
    <row r="622" spans="1:20" s="102" customFormat="1" ht="8.25" customHeight="1" thickBot="1">
      <c r="A622" s="323"/>
      <c r="B622" s="323"/>
      <c r="C622" s="323"/>
      <c r="D622" s="382"/>
      <c r="E622" s="323"/>
      <c r="F622" s="325"/>
      <c r="G622" s="325"/>
      <c r="H622" s="325"/>
      <c r="I622" s="323"/>
      <c r="J622" s="323"/>
      <c r="K622" s="323"/>
      <c r="L622" s="325"/>
      <c r="M622" s="323"/>
      <c r="N622" s="309"/>
      <c r="O622" s="288"/>
      <c r="P622" s="297"/>
      <c r="Q622" s="288"/>
    </row>
    <row r="623" spans="1:20" s="102" customFormat="1">
      <c r="A623" s="2629" t="s">
        <v>1228</v>
      </c>
      <c r="B623" s="687" t="s">
        <v>2507</v>
      </c>
      <c r="C623" s="327"/>
      <c r="D623" s="328">
        <f t="shared" ref="D623:D624" si="439">IF(H623&lt;&gt;"",VLOOKUP(G623,base_barras,IF(H623="Desnuda",2,5)+F623-1,FALSE),"-")</f>
        <v>1500</v>
      </c>
      <c r="E623" s="481">
        <v>4</v>
      </c>
      <c r="F623" s="330">
        <v>1</v>
      </c>
      <c r="G623" s="331" t="s">
        <v>582</v>
      </c>
      <c r="H623" s="330" t="s">
        <v>1043</v>
      </c>
      <c r="I623" s="332">
        <f>0.2</f>
        <v>0.2</v>
      </c>
      <c r="J623" s="333">
        <f t="shared" ref="J623" si="440">IF(G623&lt;&gt;"",VLOOKUP(G623,precio_barras,9,FALSE),0)</f>
        <v>71.100000000000009</v>
      </c>
      <c r="K623" s="329">
        <v>0</v>
      </c>
      <c r="L623" s="343" t="str">
        <f t="shared" ref="L623:L624" si="441">IF(G623&lt;&gt;"",IF(VLOOKUP(G623,base_barras,10,FALSE)&lt;&gt;"",VLOOKUP(G623,base_barras,10,FALSE),"-"),"-")</f>
        <v>1/1000</v>
      </c>
      <c r="M623" s="333">
        <f t="shared" ref="M623" si="442">IF(L623&lt;&gt;"-",VLOOKUP(L623,precio_aislador,2,FALSE),0)</f>
        <v>2.7</v>
      </c>
      <c r="N623" s="360">
        <f t="shared" ref="N623:N624" si="443">(I623*J623*F623+K623*M623)*E623*1.67*1.25</f>
        <v>118.73700000000001</v>
      </c>
      <c r="O623" s="288"/>
      <c r="P623" s="297"/>
      <c r="Q623" s="297"/>
    </row>
    <row r="624" spans="1:20" s="102" customFormat="1" ht="13.5" thickBot="1">
      <c r="A624" s="2635"/>
      <c r="B624" s="707"/>
      <c r="C624" s="479"/>
      <c r="D624" s="364" t="str">
        <f t="shared" si="439"/>
        <v>-</v>
      </c>
      <c r="E624" s="365"/>
      <c r="F624" s="366"/>
      <c r="G624" s="322"/>
      <c r="H624" s="366"/>
      <c r="I624" s="367"/>
      <c r="J624" s="480">
        <f>IF(G624&lt;&gt;"",VLOOKUP(G624,precio_barras,9,FALSE),0)</f>
        <v>0</v>
      </c>
      <c r="K624" s="365"/>
      <c r="L624" s="369" t="str">
        <f t="shared" si="441"/>
        <v>-</v>
      </c>
      <c r="M624" s="368">
        <f>IF(L624&lt;&gt;"-",VLOOKUP(L624,precio_aislador,2,FALSE),0)</f>
        <v>0</v>
      </c>
      <c r="N624" s="370">
        <f t="shared" si="443"/>
        <v>0</v>
      </c>
      <c r="O624" s="288"/>
      <c r="P624" s="297"/>
      <c r="Q624" s="297"/>
    </row>
    <row r="625" spans="1:20" s="102" customFormat="1" ht="13.5" thickBot="1">
      <c r="A625" s="323"/>
      <c r="B625" s="323"/>
      <c r="C625" s="309"/>
      <c r="D625" s="382"/>
      <c r="E625" s="323"/>
      <c r="F625" s="309"/>
      <c r="G625" s="309"/>
      <c r="H625" s="323"/>
      <c r="I625" s="325"/>
      <c r="J625" s="325"/>
      <c r="K625" s="323"/>
      <c r="L625" s="323"/>
      <c r="M625" s="325"/>
      <c r="N625" s="706">
        <f>SUM(N623:N624)</f>
        <v>118.73700000000001</v>
      </c>
      <c r="O625" s="288"/>
      <c r="P625" s="297"/>
      <c r="Q625" s="297"/>
    </row>
    <row r="626" spans="1:20" s="102" customFormat="1" ht="8.25" customHeight="1" thickBot="1">
      <c r="A626" s="323"/>
      <c r="B626" s="323"/>
      <c r="C626" s="323"/>
      <c r="D626" s="382"/>
      <c r="E626" s="323"/>
      <c r="F626" s="325"/>
      <c r="G626" s="325"/>
      <c r="H626" s="325"/>
      <c r="I626" s="323"/>
      <c r="J626" s="323"/>
      <c r="K626" s="323"/>
      <c r="L626" s="325"/>
      <c r="M626" s="323"/>
      <c r="N626" s="309"/>
      <c r="O626" s="288"/>
      <c r="P626" s="297"/>
      <c r="Q626" s="288"/>
    </row>
    <row r="627" spans="1:20" s="102" customFormat="1" ht="13.5" thickBot="1">
      <c r="A627" s="2639" t="s">
        <v>2508</v>
      </c>
      <c r="B627" s="772" t="s">
        <v>2633</v>
      </c>
      <c r="C627" s="773"/>
      <c r="D627" s="774">
        <f t="shared" ref="D627:D628" si="444">IF(H627&lt;&gt;"",VLOOKUP(G627,base_barras,IF(H627="Desnuda",2,5)+F627-1,FALSE),"-")</f>
        <v>1470</v>
      </c>
      <c r="E627" s="775">
        <v>4</v>
      </c>
      <c r="F627" s="776">
        <v>2</v>
      </c>
      <c r="G627" s="777" t="s">
        <v>469</v>
      </c>
      <c r="H627" s="776" t="s">
        <v>1043</v>
      </c>
      <c r="I627" s="778">
        <v>0.7</v>
      </c>
      <c r="J627" s="779">
        <f t="shared" ref="J627:J628" si="445">IF(G627&lt;&gt;"",VLOOKUP(G627,precio_barras,9,FALSE),0)</f>
        <v>35.6</v>
      </c>
      <c r="K627" s="775">
        <v>1</v>
      </c>
      <c r="L627" s="780" t="str">
        <f t="shared" ref="L627:L628" si="446">IF(G627&lt;&gt;"",IF(VLOOKUP(G627,base_barras,10,FALSE)&lt;&gt;"",VLOOKUP(G627,base_barras,10,FALSE),"-"),"-")</f>
        <v>1/750</v>
      </c>
      <c r="M627" s="779">
        <f t="shared" ref="M627:M628" si="447">IF(L627&lt;&gt;"-",VLOOKUP(L627,precio_aislador,2,FALSE),0)</f>
        <v>1.9</v>
      </c>
      <c r="N627" s="781">
        <f t="shared" ref="N627:N628" si="448">(I627*J627*F627+K627*M627)*E627*1.67*1.25</f>
        <v>432.02899999999994</v>
      </c>
      <c r="O627" s="288"/>
      <c r="P627" s="297"/>
      <c r="Q627" s="297"/>
    </row>
    <row r="628" spans="1:20" s="199" customFormat="1" ht="15.75" customHeight="1" thickBot="1">
      <c r="A628" s="2647"/>
      <c r="B628" s="712" t="s">
        <v>2633</v>
      </c>
      <c r="C628" s="713"/>
      <c r="D628" s="714">
        <f t="shared" si="444"/>
        <v>1470</v>
      </c>
      <c r="E628" s="715">
        <v>4</v>
      </c>
      <c r="F628" s="716">
        <v>2</v>
      </c>
      <c r="G628" s="717" t="s">
        <v>469</v>
      </c>
      <c r="H628" s="716" t="s">
        <v>1043</v>
      </c>
      <c r="I628" s="718">
        <v>0.7</v>
      </c>
      <c r="J628" s="719">
        <f t="shared" si="445"/>
        <v>35.6</v>
      </c>
      <c r="K628" s="715">
        <v>1</v>
      </c>
      <c r="L628" s="720" t="str">
        <f t="shared" si="446"/>
        <v>1/750</v>
      </c>
      <c r="M628" s="719">
        <f t="shared" si="447"/>
        <v>1.9</v>
      </c>
      <c r="N628" s="721">
        <f t="shared" si="448"/>
        <v>432.02899999999994</v>
      </c>
      <c r="O628" s="288"/>
      <c r="P628" s="297"/>
      <c r="Q628" s="288"/>
      <c r="R628" s="102"/>
      <c r="S628" s="102"/>
      <c r="T628" s="102"/>
    </row>
    <row r="629" spans="1:20" s="102" customFormat="1" ht="13.5" thickBot="1">
      <c r="A629" s="323"/>
      <c r="B629" s="323"/>
      <c r="C629" s="309"/>
      <c r="D629" s="382"/>
      <c r="E629" s="323"/>
      <c r="F629" s="309"/>
      <c r="G629" s="309"/>
      <c r="H629" s="323"/>
      <c r="I629" s="325"/>
      <c r="J629" s="325"/>
      <c r="K629" s="323"/>
      <c r="L629" s="323"/>
      <c r="M629" s="325"/>
      <c r="N629" s="706">
        <f>SUM(N627:N628)</f>
        <v>864.05799999999988</v>
      </c>
      <c r="O629" s="288"/>
      <c r="P629" s="297"/>
      <c r="Q629" s="297"/>
    </row>
    <row r="630" spans="1:20" s="102" customFormat="1" ht="8.25" customHeight="1" thickBot="1">
      <c r="A630" s="323"/>
      <c r="B630" s="323"/>
      <c r="C630" s="323"/>
      <c r="D630" s="382"/>
      <c r="E630" s="323"/>
      <c r="F630" s="325"/>
      <c r="G630" s="325"/>
      <c r="H630" s="325"/>
      <c r="I630" s="323"/>
      <c r="J630" s="323"/>
      <c r="K630" s="323"/>
      <c r="L630" s="325"/>
      <c r="M630" s="323"/>
      <c r="N630" s="309"/>
      <c r="O630" s="288"/>
      <c r="P630" s="297"/>
      <c r="Q630" s="288"/>
    </row>
    <row r="631" spans="1:20" s="102" customFormat="1" ht="13.5" thickBot="1">
      <c r="A631" s="2645" t="s">
        <v>1034</v>
      </c>
      <c r="B631" s="687" t="s">
        <v>3460</v>
      </c>
      <c r="C631" s="327"/>
      <c r="D631" s="328">
        <f t="shared" ref="D631:D633" si="449">IF(H631&lt;&gt;"",VLOOKUP(G631,base_barras,IF(H631="Desnuda",2,5)+F631-1,FALSE),"-")</f>
        <v>3720</v>
      </c>
      <c r="E631" s="329">
        <v>4</v>
      </c>
      <c r="F631" s="330">
        <v>3</v>
      </c>
      <c r="G631" s="331" t="s">
        <v>468</v>
      </c>
      <c r="H631" s="330" t="s">
        <v>1043</v>
      </c>
      <c r="I631" s="332">
        <v>0.35</v>
      </c>
      <c r="J631" s="333">
        <f t="shared" ref="J631:J633" si="450">IF(G631&lt;&gt;"",VLOOKUP(G631,precio_barras,9,FALSE),0)</f>
        <v>88.9</v>
      </c>
      <c r="K631" s="329">
        <v>1</v>
      </c>
      <c r="L631" s="343" t="str">
        <f t="shared" ref="L631:L633" si="451">IF(G631&lt;&gt;"",IF(VLOOKUP(G631,base_barras,10,FALSE)&lt;&gt;"",VLOOKUP(G631,base_barras,10,FALSE),"-"),"-")</f>
        <v>1.5/1250</v>
      </c>
      <c r="M631" s="333">
        <f t="shared" ref="M631:M633" si="452">IF(L631&lt;&gt;"-",VLOOKUP(L631,precio_aislador,2,FALSE),0)</f>
        <v>5.5</v>
      </c>
      <c r="N631" s="360">
        <f t="shared" ref="N631:N634" si="453">(I631*J631*F631+K631*M631)*E631*1.67*1.25</f>
        <v>825.35574999999994</v>
      </c>
      <c r="O631" s="288"/>
      <c r="P631" s="297"/>
      <c r="Q631" s="297"/>
    </row>
    <row r="632" spans="1:20" s="102" customFormat="1" ht="13.5" thickBot="1">
      <c r="A632" s="2646"/>
      <c r="B632" s="687" t="s">
        <v>3461</v>
      </c>
      <c r="C632" s="713"/>
      <c r="D632" s="328">
        <f t="shared" si="449"/>
        <v>1720</v>
      </c>
      <c r="E632" s="329">
        <v>4</v>
      </c>
      <c r="F632" s="330">
        <v>2</v>
      </c>
      <c r="G632" s="331" t="s">
        <v>315</v>
      </c>
      <c r="H632" s="330" t="s">
        <v>1043</v>
      </c>
      <c r="I632" s="332">
        <v>0.35</v>
      </c>
      <c r="J632" s="333">
        <f t="shared" si="450"/>
        <v>44.400000000000006</v>
      </c>
      <c r="K632" s="329">
        <v>0</v>
      </c>
      <c r="L632" s="343" t="str">
        <f t="shared" si="451"/>
        <v>1/750</v>
      </c>
      <c r="M632" s="333">
        <f t="shared" si="452"/>
        <v>1.9</v>
      </c>
      <c r="N632" s="360">
        <f t="shared" si="453"/>
        <v>259.51800000000003</v>
      </c>
      <c r="O632" s="288"/>
      <c r="P632" s="297"/>
      <c r="Q632" s="297"/>
    </row>
    <row r="633" spans="1:20" s="102" customFormat="1" ht="13.5" thickBot="1">
      <c r="A633" s="2646"/>
      <c r="B633" s="687" t="s">
        <v>3462</v>
      </c>
      <c r="C633" s="713"/>
      <c r="D633" s="328">
        <f t="shared" si="449"/>
        <v>850</v>
      </c>
      <c r="E633" s="329">
        <v>4</v>
      </c>
      <c r="F633" s="330">
        <v>1</v>
      </c>
      <c r="G633" s="331" t="s">
        <v>469</v>
      </c>
      <c r="H633" s="330" t="s">
        <v>1043</v>
      </c>
      <c r="I633" s="332">
        <v>0.3</v>
      </c>
      <c r="J633" s="333">
        <f t="shared" si="450"/>
        <v>35.6</v>
      </c>
      <c r="K633" s="329">
        <v>0</v>
      </c>
      <c r="L633" s="343" t="str">
        <f t="shared" si="451"/>
        <v>1/750</v>
      </c>
      <c r="M633" s="333">
        <f t="shared" si="452"/>
        <v>1.9</v>
      </c>
      <c r="N633" s="360">
        <f t="shared" si="453"/>
        <v>89.177999999999997</v>
      </c>
      <c r="O633" s="288"/>
      <c r="P633" s="297"/>
      <c r="Q633" s="297"/>
    </row>
    <row r="634" spans="1:20" s="102" customFormat="1" ht="13.5" thickBot="1">
      <c r="A634" s="2647"/>
      <c r="B634" s="687" t="s">
        <v>2510</v>
      </c>
      <c r="C634" s="713"/>
      <c r="D634" s="328">
        <f t="shared" ref="D634" si="454">IF(H634&lt;&gt;"",VLOOKUP(G634,base_barras,IF(H634="Desnuda",2,5)+F634-1,FALSE),"-")</f>
        <v>676</v>
      </c>
      <c r="E634" s="329">
        <v>3</v>
      </c>
      <c r="F634" s="330">
        <v>1</v>
      </c>
      <c r="G634" s="331" t="s">
        <v>314</v>
      </c>
      <c r="H634" s="330" t="s">
        <v>1043</v>
      </c>
      <c r="I634" s="332">
        <v>0.3</v>
      </c>
      <c r="J634" s="333">
        <f t="shared" ref="J634" si="455">IF(G634&lt;&gt;"",VLOOKUP(G634,precio_barras,9,FALSE),0)</f>
        <v>26.6</v>
      </c>
      <c r="K634" s="329">
        <v>0</v>
      </c>
      <c r="L634" s="343" t="str">
        <f t="shared" ref="L634" si="456">IF(G634&lt;&gt;"",IF(VLOOKUP(G634,base_barras,10,FALSE)&lt;&gt;"",VLOOKUP(G634,base_barras,10,FALSE),"-"),"-")</f>
        <v>1/750</v>
      </c>
      <c r="M634" s="333">
        <f t="shared" ref="M634" si="457">IF(L634&lt;&gt;"-",VLOOKUP(L634,precio_aislador,2,FALSE),0)</f>
        <v>1.9</v>
      </c>
      <c r="N634" s="360">
        <f t="shared" si="453"/>
        <v>49.97475</v>
      </c>
      <c r="O634" s="288"/>
      <c r="P634" s="297"/>
      <c r="Q634" s="297"/>
    </row>
    <row r="635" spans="1:20" s="102" customFormat="1" ht="13.5" thickBot="1">
      <c r="A635" s="323"/>
      <c r="B635" s="323"/>
      <c r="C635" s="309"/>
      <c r="D635" s="382"/>
      <c r="E635" s="323"/>
      <c r="F635" s="309"/>
      <c r="G635" s="309"/>
      <c r="H635" s="323"/>
      <c r="I635" s="325"/>
      <c r="J635" s="325"/>
      <c r="K635" s="323"/>
      <c r="L635" s="323"/>
      <c r="M635" s="325"/>
      <c r="N635" s="706">
        <f>SUM(N631:N634)</f>
        <v>1224.0265000000002</v>
      </c>
      <c r="O635" s="288"/>
      <c r="P635" s="297"/>
      <c r="Q635" s="297"/>
    </row>
    <row r="636" spans="1:20" s="102" customFormat="1">
      <c r="A636" s="323"/>
      <c r="B636" s="309"/>
      <c r="C636" s="309"/>
      <c r="D636" s="382"/>
      <c r="E636" s="323"/>
      <c r="F636" s="309"/>
      <c r="G636" s="309"/>
      <c r="H636" s="323"/>
      <c r="I636" s="325"/>
      <c r="J636" s="325"/>
      <c r="K636" s="323"/>
      <c r="L636" s="323"/>
      <c r="M636" s="325"/>
      <c r="N636" s="722"/>
      <c r="O636" s="288"/>
      <c r="P636" s="297"/>
      <c r="Q636" s="297"/>
    </row>
    <row r="637" spans="1:20" s="102" customFormat="1" ht="15">
      <c r="A637" s="323"/>
      <c r="B637" s="723" t="s">
        <v>2513</v>
      </c>
      <c r="C637" s="309"/>
      <c r="D637" s="382"/>
      <c r="E637" s="323"/>
      <c r="F637" s="309"/>
      <c r="G637" s="309"/>
      <c r="H637" s="323"/>
      <c r="I637" s="325"/>
      <c r="J637" s="325"/>
      <c r="K637" s="323"/>
      <c r="L637" s="323"/>
      <c r="M637" s="325"/>
      <c r="N637" s="722"/>
      <c r="O637" s="288"/>
      <c r="P637" s="297"/>
      <c r="Q637" s="297"/>
    </row>
    <row r="638" spans="1:20" s="129" customFormat="1" ht="22.5" customHeight="1" thickBot="1">
      <c r="A638" s="323"/>
      <c r="B638" s="309"/>
      <c r="C638" s="309"/>
      <c r="D638" s="382"/>
      <c r="E638" s="323"/>
      <c r="F638" s="323"/>
      <c r="G638" s="323"/>
      <c r="H638" s="323"/>
      <c r="I638" s="325"/>
      <c r="J638" s="325"/>
      <c r="K638" s="323"/>
      <c r="L638" s="323"/>
      <c r="M638" s="325"/>
      <c r="N638" s="722"/>
      <c r="O638" s="288"/>
      <c r="P638" s="297"/>
      <c r="Q638" s="288"/>
      <c r="R638" s="102"/>
      <c r="S638" s="102"/>
      <c r="T638" s="102"/>
    </row>
    <row r="639" spans="1:20" s="199" customFormat="1" ht="15.75" customHeight="1">
      <c r="A639" s="2650" t="s">
        <v>2705</v>
      </c>
      <c r="B639" s="687" t="s">
        <v>2498</v>
      </c>
      <c r="C639" s="327"/>
      <c r="D639" s="328">
        <f t="shared" ref="D639" si="458">IF(H639&lt;&gt;"",VLOOKUP(G639,base_barras,IF(H639="Desnuda",2,5)+F639-1,FALSE),"-")</f>
        <v>3720</v>
      </c>
      <c r="E639" s="329">
        <v>3</v>
      </c>
      <c r="F639" s="330">
        <v>3</v>
      </c>
      <c r="G639" s="331" t="s">
        <v>468</v>
      </c>
      <c r="H639" s="330" t="s">
        <v>1043</v>
      </c>
      <c r="I639" s="332">
        <f>1+1+1</f>
        <v>3</v>
      </c>
      <c r="J639" s="333">
        <f t="shared" ref="J639:J643" si="459">IF(G639&lt;&gt;"",VLOOKUP(G639,precio_barras,9,FALSE),0)</f>
        <v>88.9</v>
      </c>
      <c r="K639" s="329">
        <f>2+3+2</f>
        <v>7</v>
      </c>
      <c r="L639" s="343" t="str">
        <f t="shared" ref="L639" si="460">IF(G639&lt;&gt;"",IF(VLOOKUP(G639,base_barras,10,FALSE)&lt;&gt;"",VLOOKUP(G639,base_barras,10,FALSE),"-"),"-")</f>
        <v>1.5/1250</v>
      </c>
      <c r="M639" s="333">
        <f t="shared" ref="M639" si="461">IF(L639&lt;&gt;"-",VLOOKUP(L639,precio_aislador,2,FALSE),0)</f>
        <v>5.5</v>
      </c>
      <c r="N639" s="360">
        <f t="shared" ref="N639" si="462">(I639*J639*F639+K639*M639)*E639*1.67*1.25</f>
        <v>5251.7325000000001</v>
      </c>
      <c r="O639" s="288"/>
      <c r="P639" s="297"/>
      <c r="Q639" s="288"/>
      <c r="R639" s="102"/>
      <c r="S639" s="102"/>
      <c r="T639" s="102"/>
    </row>
    <row r="640" spans="1:20" s="199" customFormat="1" ht="15" thickBot="1">
      <c r="A640" s="2651"/>
      <c r="B640" s="824" t="s">
        <v>802</v>
      </c>
      <c r="C640" s="825"/>
      <c r="D640" s="826">
        <f>IF(H640&lt;&gt;"",VLOOKUP(G640,base_barras,IF(H640="Desnuda",2,5)+F640-1,FALSE),"-")</f>
        <v>1500</v>
      </c>
      <c r="E640" s="827">
        <v>1</v>
      </c>
      <c r="F640" s="828">
        <v>1</v>
      </c>
      <c r="G640" s="829" t="s">
        <v>582</v>
      </c>
      <c r="H640" s="830" t="str">
        <f>H639</f>
        <v>Pintada</v>
      </c>
      <c r="I640" s="831">
        <f>I639</f>
        <v>3</v>
      </c>
      <c r="J640" s="832">
        <f t="shared" si="459"/>
        <v>71.100000000000009</v>
      </c>
      <c r="K640" s="833">
        <v>0</v>
      </c>
      <c r="L640" s="834" t="str">
        <f>IF(G640&lt;&gt;"",IF(VLOOKUP(G640,base_barras,10,FALSE)&lt;&gt;"",VLOOKUP(G640,base_barras,10,FALSE),"-"),"-")</f>
        <v>1/1000</v>
      </c>
      <c r="M640" s="832">
        <f>IF(L640&lt;&gt;"-",VLOOKUP(L640,precio_aislador,2,FALSE),0)</f>
        <v>2.7</v>
      </c>
      <c r="N640" s="654">
        <f>(I640*J640*F640+K640*M640)*E640*1.67*1.25</f>
        <v>445.26375000000002</v>
      </c>
      <c r="O640" s="288"/>
      <c r="P640" s="297"/>
      <c r="Q640" s="288"/>
      <c r="R640" s="102"/>
      <c r="S640" s="102"/>
      <c r="T640" s="102"/>
    </row>
    <row r="641" spans="1:20" s="102" customFormat="1">
      <c r="A641" s="2651"/>
      <c r="B641" s="772" t="s">
        <v>2706</v>
      </c>
      <c r="C641" s="773"/>
      <c r="D641" s="774">
        <f t="shared" ref="D641" si="463">IF(H641&lt;&gt;"",VLOOKUP(G641,base_barras,IF(H641="Desnuda",2,5)+F641-1,FALSE),"-")</f>
        <v>7.11</v>
      </c>
      <c r="E641" s="775">
        <v>3</v>
      </c>
      <c r="F641" s="776">
        <v>4</v>
      </c>
      <c r="G641" s="777" t="s">
        <v>582</v>
      </c>
      <c r="H641" s="776" t="s">
        <v>1043</v>
      </c>
      <c r="I641" s="778">
        <v>0.61</v>
      </c>
      <c r="J641" s="779">
        <f t="shared" si="459"/>
        <v>71.100000000000009</v>
      </c>
      <c r="K641" s="775">
        <v>1</v>
      </c>
      <c r="L641" s="780" t="str">
        <f t="shared" ref="L641" si="464">IF(G641&lt;&gt;"",IF(VLOOKUP(G641,base_barras,10,FALSE)&lt;&gt;"",VLOOKUP(G641,base_barras,10,FALSE),"-"),"-")</f>
        <v>1/1000</v>
      </c>
      <c r="M641" s="779">
        <f t="shared" ref="M641" si="465">IF(L641&lt;&gt;"-",VLOOKUP(L641,precio_aislador,2,FALSE),0)</f>
        <v>2.7</v>
      </c>
      <c r="N641" s="781">
        <f t="shared" ref="N641:N643" si="466">(I641*J641*F641+K641*M641)*E641*1.67*1.25</f>
        <v>1103.3523</v>
      </c>
      <c r="O641" s="288"/>
      <c r="P641" s="297"/>
      <c r="Q641" s="297"/>
    </row>
    <row r="642" spans="1:20" s="199" customFormat="1" ht="15.75" customHeight="1">
      <c r="A642" s="2651"/>
      <c r="B642" s="688" t="s">
        <v>2707</v>
      </c>
      <c r="C642" s="311"/>
      <c r="D642" s="312">
        <f t="shared" ref="D642:D643" si="467">IF(H642&lt;&gt;"",VLOOKUP(G642,base_barras,IF(H642="Desnuda",2,5)+F642-1,FALSE),"-")</f>
        <v>1720</v>
      </c>
      <c r="E642" s="313">
        <v>3</v>
      </c>
      <c r="F642" s="314">
        <v>2</v>
      </c>
      <c r="G642" s="315" t="s">
        <v>315</v>
      </c>
      <c r="H642" s="314" t="s">
        <v>1043</v>
      </c>
      <c r="I642" s="316">
        <v>0.61</v>
      </c>
      <c r="J642" s="317">
        <f t="shared" si="459"/>
        <v>44.400000000000006</v>
      </c>
      <c r="K642" s="313">
        <v>1</v>
      </c>
      <c r="L642" s="318" t="str">
        <f t="shared" ref="L642:L643" si="468">IF(G642&lt;&gt;"",IF(VLOOKUP(G642,base_barras,10,FALSE)&lt;&gt;"",VLOOKUP(G642,base_barras,10,FALSE),"-"),"-")</f>
        <v>1/750</v>
      </c>
      <c r="M642" s="317">
        <f t="shared" ref="M642:M643" si="469">IF(L642&lt;&gt;"-",VLOOKUP(L642,precio_aislador,2,FALSE),0)</f>
        <v>1.9</v>
      </c>
      <c r="N642" s="308">
        <f t="shared" si="466"/>
        <v>351.12585000000001</v>
      </c>
      <c r="O642" s="288"/>
      <c r="P642" s="297"/>
      <c r="Q642" s="288"/>
      <c r="R642" s="102"/>
      <c r="S642" s="102"/>
      <c r="T642" s="102"/>
    </row>
    <row r="643" spans="1:20" s="199" customFormat="1" ht="15.75" customHeight="1" thickBot="1">
      <c r="A643" s="2652"/>
      <c r="B643" s="700" t="s">
        <v>2708</v>
      </c>
      <c r="C643" s="701"/>
      <c r="D643" s="708">
        <f t="shared" si="467"/>
        <v>1740</v>
      </c>
      <c r="E643" s="702">
        <v>3</v>
      </c>
      <c r="F643" s="709">
        <v>1</v>
      </c>
      <c r="G643" s="710" t="s">
        <v>470</v>
      </c>
      <c r="H643" s="709" t="s">
        <v>1044</v>
      </c>
      <c r="I643" s="711">
        <v>0.5</v>
      </c>
      <c r="J643" s="480">
        <f t="shared" si="459"/>
        <v>107</v>
      </c>
      <c r="K643" s="702">
        <v>1</v>
      </c>
      <c r="L643" s="703" t="str">
        <f t="shared" si="468"/>
        <v>1.5/1250</v>
      </c>
      <c r="M643" s="480">
        <f t="shared" si="469"/>
        <v>5.5</v>
      </c>
      <c r="N643" s="704">
        <f t="shared" si="466"/>
        <v>369.48749999999995</v>
      </c>
      <c r="O643" s="288"/>
      <c r="P643" s="297"/>
      <c r="Q643" s="288"/>
      <c r="R643" s="102"/>
      <c r="S643" s="102"/>
      <c r="T643" s="102"/>
    </row>
    <row r="644" spans="1:20" s="129" customFormat="1" ht="22.5" customHeight="1" thickBot="1">
      <c r="A644" s="371"/>
      <c r="B644" s="323"/>
      <c r="C644" s="309"/>
      <c r="D644" s="382"/>
      <c r="E644" s="323"/>
      <c r="F644" s="323"/>
      <c r="G644" s="323"/>
      <c r="H644" s="323"/>
      <c r="I644" s="325"/>
      <c r="J644" s="325"/>
      <c r="K644" s="323"/>
      <c r="L644" s="323"/>
      <c r="M644" s="738"/>
      <c r="N644" s="706">
        <f>SUM(N639:N643)</f>
        <v>7520.9619000000012</v>
      </c>
      <c r="O644" s="288"/>
      <c r="P644" s="297"/>
      <c r="Q644" s="288"/>
      <c r="R644" s="102"/>
      <c r="S644" s="102"/>
      <c r="T644" s="102"/>
    </row>
    <row r="645" spans="1:20" s="102" customFormat="1" ht="8.25" customHeight="1" thickBot="1">
      <c r="A645" s="323"/>
      <c r="B645" s="323"/>
      <c r="C645" s="323"/>
      <c r="D645" s="382"/>
      <c r="E645" s="323"/>
      <c r="F645" s="325"/>
      <c r="G645" s="325"/>
      <c r="H645" s="325"/>
      <c r="I645" s="323"/>
      <c r="J645" s="323"/>
      <c r="K645" s="323"/>
      <c r="L645" s="325"/>
      <c r="M645" s="323"/>
      <c r="N645" s="309"/>
      <c r="O645" s="288"/>
      <c r="P645" s="297"/>
      <c r="Q645" s="288"/>
    </row>
    <row r="646" spans="1:20" s="102" customFormat="1" ht="12.75" customHeight="1">
      <c r="A646" s="2639" t="s">
        <v>2502</v>
      </c>
      <c r="B646" s="687" t="s">
        <v>2503</v>
      </c>
      <c r="C646" s="327"/>
      <c r="D646" s="328">
        <f t="shared" ref="D646:D649" si="470">IF(H646&lt;&gt;"",VLOOKUP(G646,base_barras,IF(H646="Desnuda",2,5)+F646-1,FALSE),"-")</f>
        <v>3290</v>
      </c>
      <c r="E646" s="329">
        <v>3</v>
      </c>
      <c r="F646" s="330">
        <v>1</v>
      </c>
      <c r="G646" s="331" t="s">
        <v>584</v>
      </c>
      <c r="H646" s="330" t="s">
        <v>1043</v>
      </c>
      <c r="I646" s="332">
        <v>0</v>
      </c>
      <c r="J646" s="333">
        <f t="shared" ref="J646:J649" si="471">IF(G646&lt;&gt;"",VLOOKUP(G646,precio_barras,9,FALSE),0)</f>
        <v>231.4</v>
      </c>
      <c r="K646" s="481">
        <v>0</v>
      </c>
      <c r="L646" s="343" t="str">
        <f t="shared" ref="L646:L649" si="472">IF(G646&lt;&gt;"",IF(VLOOKUP(G646,base_barras,10,FALSE)&lt;&gt;"",VLOOKUP(G646,base_barras,10,FALSE),"-"),"-")</f>
        <v>1.5/1600</v>
      </c>
      <c r="M646" s="333">
        <f t="shared" ref="M646:M649" si="473">IF(L646&lt;&gt;"-",VLOOKUP(L646,precio_aislador,2,FALSE),0)</f>
        <v>22</v>
      </c>
      <c r="N646" s="360">
        <f t="shared" ref="N646:N649" si="474">(I646*J646*F646+K646*M646)*E646*1.67*1.25</f>
        <v>0</v>
      </c>
      <c r="O646" s="288"/>
      <c r="P646" s="297"/>
      <c r="Q646" s="297"/>
    </row>
    <row r="647" spans="1:20" s="199" customFormat="1" ht="15.75" customHeight="1" thickBot="1">
      <c r="A647" s="2644"/>
      <c r="B647" s="700" t="s">
        <v>2504</v>
      </c>
      <c r="C647" s="701"/>
      <c r="D647" s="364">
        <f t="shared" si="470"/>
        <v>3170</v>
      </c>
      <c r="E647" s="365">
        <v>3</v>
      </c>
      <c r="F647" s="366">
        <v>3</v>
      </c>
      <c r="G647" s="322" t="s">
        <v>582</v>
      </c>
      <c r="H647" s="366" t="s">
        <v>1043</v>
      </c>
      <c r="I647" s="367">
        <v>0</v>
      </c>
      <c r="J647" s="368">
        <f t="shared" si="471"/>
        <v>71.100000000000009</v>
      </c>
      <c r="K647" s="702">
        <v>0</v>
      </c>
      <c r="L647" s="703" t="str">
        <f t="shared" si="472"/>
        <v>1/1000</v>
      </c>
      <c r="M647" s="480">
        <f t="shared" si="473"/>
        <v>2.7</v>
      </c>
      <c r="N647" s="704">
        <f t="shared" si="474"/>
        <v>0</v>
      </c>
      <c r="O647" s="288"/>
      <c r="P647" s="297"/>
      <c r="Q647" s="288"/>
      <c r="R647" s="102"/>
      <c r="S647" s="102"/>
      <c r="T647" s="102"/>
    </row>
    <row r="648" spans="1:20" s="102" customFormat="1" ht="12.75" customHeight="1">
      <c r="A648" s="2644"/>
      <c r="B648" s="692" t="s">
        <v>2503</v>
      </c>
      <c r="C648" s="693"/>
      <c r="D648" s="697">
        <f t="shared" si="470"/>
        <v>3290</v>
      </c>
      <c r="E648" s="694">
        <v>3</v>
      </c>
      <c r="F648" s="655">
        <v>1</v>
      </c>
      <c r="G648" s="698" t="s">
        <v>584</v>
      </c>
      <c r="H648" s="655" t="s">
        <v>1043</v>
      </c>
      <c r="I648" s="398">
        <v>0</v>
      </c>
      <c r="J648" s="478">
        <f t="shared" si="471"/>
        <v>231.4</v>
      </c>
      <c r="K648" s="705">
        <v>0</v>
      </c>
      <c r="L648" s="695" t="str">
        <f t="shared" si="472"/>
        <v>1.5/1600</v>
      </c>
      <c r="M648" s="478">
        <f t="shared" si="473"/>
        <v>22</v>
      </c>
      <c r="N648" s="696">
        <f t="shared" si="474"/>
        <v>0</v>
      </c>
      <c r="O648" s="288"/>
      <c r="P648" s="297"/>
      <c r="Q648" s="297"/>
    </row>
    <row r="649" spans="1:20" s="199" customFormat="1" ht="15.75" customHeight="1" thickBot="1">
      <c r="A649" s="2640"/>
      <c r="B649" s="700" t="s">
        <v>2504</v>
      </c>
      <c r="C649" s="701"/>
      <c r="D649" s="364">
        <f t="shared" si="470"/>
        <v>3170</v>
      </c>
      <c r="E649" s="365">
        <v>3</v>
      </c>
      <c r="F649" s="366">
        <v>3</v>
      </c>
      <c r="G649" s="322" t="s">
        <v>582</v>
      </c>
      <c r="H649" s="366" t="s">
        <v>1043</v>
      </c>
      <c r="I649" s="367">
        <v>0</v>
      </c>
      <c r="J649" s="368">
        <f t="shared" si="471"/>
        <v>71.100000000000009</v>
      </c>
      <c r="K649" s="702">
        <v>0</v>
      </c>
      <c r="L649" s="703" t="str">
        <f t="shared" si="472"/>
        <v>1/1000</v>
      </c>
      <c r="M649" s="480">
        <f t="shared" si="473"/>
        <v>2.7</v>
      </c>
      <c r="N649" s="704">
        <f t="shared" si="474"/>
        <v>0</v>
      </c>
      <c r="O649" s="288"/>
      <c r="P649" s="297"/>
      <c r="Q649" s="288"/>
      <c r="R649" s="102"/>
      <c r="S649" s="102"/>
      <c r="T649" s="102"/>
    </row>
    <row r="650" spans="1:20" s="102" customFormat="1" ht="13.5" thickBot="1">
      <c r="A650" s="323"/>
      <c r="B650" s="323"/>
      <c r="C650" s="309"/>
      <c r="D650" s="382"/>
      <c r="E650" s="323"/>
      <c r="F650" s="309"/>
      <c r="G650" s="309"/>
      <c r="H650" s="323"/>
      <c r="I650" s="325"/>
      <c r="J650" s="325"/>
      <c r="K650" s="323"/>
      <c r="L650" s="323"/>
      <c r="M650" s="325"/>
      <c r="N650" s="741">
        <f>SUM(N646:N649)</f>
        <v>0</v>
      </c>
      <c r="O650" s="288"/>
      <c r="P650" s="297"/>
      <c r="Q650" s="297"/>
    </row>
    <row r="651" spans="1:20" s="102" customFormat="1" ht="8.25" customHeight="1" thickBot="1">
      <c r="A651" s="323"/>
      <c r="B651" s="323"/>
      <c r="C651" s="323"/>
      <c r="D651" s="382"/>
      <c r="E651" s="323"/>
      <c r="F651" s="325"/>
      <c r="G651" s="325"/>
      <c r="H651" s="325"/>
      <c r="I651" s="323"/>
      <c r="J651" s="323"/>
      <c r="K651" s="323"/>
      <c r="L651" s="325"/>
      <c r="M651" s="323"/>
      <c r="N651" s="309"/>
      <c r="O651" s="288"/>
      <c r="P651" s="297"/>
      <c r="Q651" s="288"/>
    </row>
    <row r="652" spans="1:20" s="102" customFormat="1" ht="12.75" customHeight="1">
      <c r="A652" s="2639" t="s">
        <v>2505</v>
      </c>
      <c r="B652" s="687" t="s">
        <v>2506</v>
      </c>
      <c r="C652" s="327"/>
      <c r="D652" s="328">
        <f t="shared" ref="D652:D655" si="475">IF(H652&lt;&gt;"",VLOOKUP(G652,base_barras,IF(H652="Desnuda",2,5)+F652-1,FALSE),"-")</f>
        <v>3290</v>
      </c>
      <c r="E652" s="329">
        <v>3</v>
      </c>
      <c r="F652" s="330">
        <v>1</v>
      </c>
      <c r="G652" s="331" t="s">
        <v>584</v>
      </c>
      <c r="H652" s="330" t="s">
        <v>1043</v>
      </c>
      <c r="I652" s="332">
        <v>0</v>
      </c>
      <c r="J652" s="333">
        <f t="shared" ref="J652:J655" si="476">IF(G652&lt;&gt;"",VLOOKUP(G652,precio_barras,9,FALSE),0)</f>
        <v>231.4</v>
      </c>
      <c r="K652" s="481">
        <v>0</v>
      </c>
      <c r="L652" s="343" t="str">
        <f t="shared" ref="L652:L655" si="477">IF(G652&lt;&gt;"",IF(VLOOKUP(G652,base_barras,10,FALSE)&lt;&gt;"",VLOOKUP(G652,base_barras,10,FALSE),"-"),"-")</f>
        <v>1.5/1600</v>
      </c>
      <c r="M652" s="333">
        <f t="shared" ref="M652:M655" si="478">IF(L652&lt;&gt;"-",VLOOKUP(L652,precio_aislador,2,FALSE),0)</f>
        <v>22</v>
      </c>
      <c r="N652" s="360">
        <f t="shared" ref="N652:N655" si="479">(I652*J652*F652+K652*M652)*E652*1.67*1.25</f>
        <v>0</v>
      </c>
      <c r="O652" s="288"/>
      <c r="P652" s="297"/>
      <c r="Q652" s="297"/>
    </row>
    <row r="653" spans="1:20" s="102" customFormat="1" ht="13.5" thickBot="1">
      <c r="A653" s="2644"/>
      <c r="B653" s="707" t="s">
        <v>2504</v>
      </c>
      <c r="C653" s="479"/>
      <c r="D653" s="364">
        <f t="shared" si="475"/>
        <v>3170</v>
      </c>
      <c r="E653" s="365">
        <v>3</v>
      </c>
      <c r="F653" s="366">
        <v>3</v>
      </c>
      <c r="G653" s="322" t="s">
        <v>582</v>
      </c>
      <c r="H653" s="366" t="s">
        <v>1043</v>
      </c>
      <c r="I653" s="367">
        <v>0</v>
      </c>
      <c r="J653" s="368">
        <f t="shared" si="476"/>
        <v>71.100000000000009</v>
      </c>
      <c r="K653" s="365">
        <v>0</v>
      </c>
      <c r="L653" s="369" t="str">
        <f t="shared" si="477"/>
        <v>1/1000</v>
      </c>
      <c r="M653" s="368">
        <f t="shared" si="478"/>
        <v>2.7</v>
      </c>
      <c r="N653" s="370">
        <f t="shared" si="479"/>
        <v>0</v>
      </c>
      <c r="O653" s="288"/>
      <c r="P653" s="297"/>
      <c r="Q653" s="297"/>
    </row>
    <row r="654" spans="1:20" s="102" customFormat="1" ht="12.75" customHeight="1">
      <c r="A654" s="2644"/>
      <c r="B654" s="692" t="s">
        <v>2506</v>
      </c>
      <c r="C654" s="693"/>
      <c r="D654" s="697">
        <f t="shared" si="475"/>
        <v>3290</v>
      </c>
      <c r="E654" s="694">
        <v>3</v>
      </c>
      <c r="F654" s="655">
        <v>1</v>
      </c>
      <c r="G654" s="698" t="s">
        <v>584</v>
      </c>
      <c r="H654" s="655" t="s">
        <v>1043</v>
      </c>
      <c r="I654" s="398">
        <v>0</v>
      </c>
      <c r="J654" s="478">
        <f t="shared" si="476"/>
        <v>231.4</v>
      </c>
      <c r="K654" s="705">
        <v>0</v>
      </c>
      <c r="L654" s="695" t="str">
        <f t="shared" si="477"/>
        <v>1.5/1600</v>
      </c>
      <c r="M654" s="478">
        <f t="shared" si="478"/>
        <v>22</v>
      </c>
      <c r="N654" s="696">
        <f t="shared" si="479"/>
        <v>0</v>
      </c>
      <c r="O654" s="288"/>
      <c r="P654" s="297"/>
      <c r="Q654" s="297"/>
    </row>
    <row r="655" spans="1:20" s="102" customFormat="1" ht="13.5" thickBot="1">
      <c r="A655" s="2640"/>
      <c r="B655" s="700" t="s">
        <v>2504</v>
      </c>
      <c r="C655" s="701"/>
      <c r="D655" s="708">
        <f t="shared" si="475"/>
        <v>3170</v>
      </c>
      <c r="E655" s="702">
        <v>3</v>
      </c>
      <c r="F655" s="709">
        <v>3</v>
      </c>
      <c r="G655" s="710" t="s">
        <v>582</v>
      </c>
      <c r="H655" s="709" t="s">
        <v>1043</v>
      </c>
      <c r="I655" s="711">
        <v>0</v>
      </c>
      <c r="J655" s="480">
        <f t="shared" si="476"/>
        <v>71.100000000000009</v>
      </c>
      <c r="K655" s="702">
        <v>0</v>
      </c>
      <c r="L655" s="703" t="str">
        <f t="shared" si="477"/>
        <v>1/1000</v>
      </c>
      <c r="M655" s="480">
        <f t="shared" si="478"/>
        <v>2.7</v>
      </c>
      <c r="N655" s="704">
        <f t="shared" si="479"/>
        <v>0</v>
      </c>
      <c r="O655" s="288"/>
      <c r="P655" s="297"/>
      <c r="Q655" s="297"/>
    </row>
    <row r="656" spans="1:20" s="102" customFormat="1" ht="13.5" thickBot="1">
      <c r="A656" s="323"/>
      <c r="B656" s="323"/>
      <c r="C656" s="309"/>
      <c r="D656" s="382"/>
      <c r="E656" s="323"/>
      <c r="F656" s="309"/>
      <c r="G656" s="309"/>
      <c r="H656" s="323"/>
      <c r="I656" s="325"/>
      <c r="J656" s="325"/>
      <c r="K656" s="323"/>
      <c r="L656" s="323"/>
      <c r="M656" s="325"/>
      <c r="N656" s="741">
        <f>SUM(N652:N655)</f>
        <v>0</v>
      </c>
      <c r="O656" s="288"/>
      <c r="P656" s="297"/>
      <c r="Q656" s="297"/>
    </row>
    <row r="657" spans="1:20" s="102" customFormat="1" ht="8.25" customHeight="1" thickBot="1">
      <c r="A657" s="323"/>
      <c r="B657" s="323"/>
      <c r="C657" s="323"/>
      <c r="D657" s="382"/>
      <c r="E657" s="323"/>
      <c r="F657" s="325"/>
      <c r="G657" s="325"/>
      <c r="H657" s="325"/>
      <c r="I657" s="323"/>
      <c r="J657" s="323"/>
      <c r="K657" s="323"/>
      <c r="L657" s="325"/>
      <c r="M657" s="323"/>
      <c r="N657" s="309"/>
      <c r="O657" s="288"/>
      <c r="P657" s="297"/>
      <c r="Q657" s="288"/>
    </row>
    <row r="658" spans="1:20" s="102" customFormat="1">
      <c r="A658" s="2629" t="s">
        <v>1228</v>
      </c>
      <c r="B658" s="687" t="s">
        <v>2507</v>
      </c>
      <c r="C658" s="327"/>
      <c r="D658" s="328">
        <f t="shared" ref="D658:D659" si="480">IF(H658&lt;&gt;"",VLOOKUP(G658,base_barras,IF(H658="Desnuda",2,5)+F658-1,FALSE),"-")</f>
        <v>3720</v>
      </c>
      <c r="E658" s="481">
        <v>3</v>
      </c>
      <c r="F658" s="330">
        <v>3</v>
      </c>
      <c r="G658" s="331" t="s">
        <v>468</v>
      </c>
      <c r="H658" s="330" t="s">
        <v>1043</v>
      </c>
      <c r="I658" s="332">
        <f>0.2+0.2</f>
        <v>0.4</v>
      </c>
      <c r="J658" s="333">
        <f t="shared" ref="J658" si="481">IF(G658&lt;&gt;"",VLOOKUP(G658,precio_barras,9,FALSE),0)</f>
        <v>88.9</v>
      </c>
      <c r="K658" s="329">
        <v>0</v>
      </c>
      <c r="L658" s="343" t="str">
        <f t="shared" ref="L658:L659" si="482">IF(G658&lt;&gt;"",IF(VLOOKUP(G658,base_barras,10,FALSE)&lt;&gt;"",VLOOKUP(G658,base_barras,10,FALSE),"-"),"-")</f>
        <v>1.5/1250</v>
      </c>
      <c r="M658" s="333">
        <f t="shared" ref="M658" si="483">IF(L658&lt;&gt;"-",VLOOKUP(L658,precio_aislador,2,FALSE),0)</f>
        <v>5.5</v>
      </c>
      <c r="N658" s="360">
        <f t="shared" ref="N658:N659" si="484">(I658*J658*F658+K658*M658)*E658*1.67*1.25</f>
        <v>668.08350000000007</v>
      </c>
      <c r="O658" s="288"/>
      <c r="P658" s="297"/>
      <c r="Q658" s="297"/>
    </row>
    <row r="659" spans="1:20" s="102" customFormat="1" ht="13.5" thickBot="1">
      <c r="A659" s="2635"/>
      <c r="B659" s="707"/>
      <c r="C659" s="479"/>
      <c r="D659" s="364" t="str">
        <f t="shared" si="480"/>
        <v>-</v>
      </c>
      <c r="E659" s="365"/>
      <c r="F659" s="366"/>
      <c r="G659" s="322"/>
      <c r="H659" s="366"/>
      <c r="I659" s="367"/>
      <c r="J659" s="480">
        <f>IF(G659&lt;&gt;"",VLOOKUP(G659,precio_barras,9,FALSE),0)</f>
        <v>0</v>
      </c>
      <c r="K659" s="365"/>
      <c r="L659" s="369" t="str">
        <f t="shared" si="482"/>
        <v>-</v>
      </c>
      <c r="M659" s="368">
        <f>IF(L659&lt;&gt;"-",VLOOKUP(L659,precio_aislador,2,FALSE),0)</f>
        <v>0</v>
      </c>
      <c r="N659" s="370">
        <f t="shared" si="484"/>
        <v>0</v>
      </c>
      <c r="O659" s="288"/>
      <c r="P659" s="297"/>
      <c r="Q659" s="297"/>
    </row>
    <row r="660" spans="1:20" s="102" customFormat="1" ht="13.5" thickBot="1">
      <c r="A660" s="323"/>
      <c r="B660" s="323"/>
      <c r="C660" s="309"/>
      <c r="D660" s="382"/>
      <c r="E660" s="323"/>
      <c r="F660" s="309"/>
      <c r="G660" s="309"/>
      <c r="H660" s="323"/>
      <c r="I660" s="325"/>
      <c r="J660" s="325"/>
      <c r="K660" s="323"/>
      <c r="L660" s="323"/>
      <c r="M660" s="325"/>
      <c r="N660" s="741">
        <f>SUM(N658:N659)</f>
        <v>668.08350000000007</v>
      </c>
      <c r="O660" s="288"/>
      <c r="P660" s="297"/>
      <c r="Q660" s="297"/>
    </row>
    <row r="661" spans="1:20" s="102" customFormat="1" ht="8.25" customHeight="1" thickBot="1">
      <c r="A661" s="323"/>
      <c r="B661" s="323"/>
      <c r="C661" s="323"/>
      <c r="D661" s="382"/>
      <c r="E661" s="323"/>
      <c r="F661" s="325"/>
      <c r="G661" s="325"/>
      <c r="H661" s="325"/>
      <c r="I661" s="323"/>
      <c r="J661" s="323"/>
      <c r="K661" s="323"/>
      <c r="L661" s="325"/>
      <c r="M661" s="323"/>
      <c r="N661" s="309"/>
      <c r="O661" s="288"/>
      <c r="P661" s="297"/>
      <c r="Q661" s="288"/>
    </row>
    <row r="662" spans="1:20" s="102" customFormat="1" ht="13.5" thickBot="1">
      <c r="A662" s="2639" t="s">
        <v>2508</v>
      </c>
      <c r="B662" s="772" t="s">
        <v>2703</v>
      </c>
      <c r="C662" s="773"/>
      <c r="D662" s="774">
        <f t="shared" ref="D662:D663" si="485">IF(H662&lt;&gt;"",VLOOKUP(G662,base_barras,IF(H662="Desnuda",2,5)+F662-1,FALSE),"-")</f>
        <v>2850</v>
      </c>
      <c r="E662" s="775">
        <v>3</v>
      </c>
      <c r="F662" s="776">
        <v>2</v>
      </c>
      <c r="G662" s="777" t="s">
        <v>468</v>
      </c>
      <c r="H662" s="776" t="s">
        <v>1043</v>
      </c>
      <c r="I662" s="778">
        <v>0</v>
      </c>
      <c r="J662" s="779">
        <f t="shared" ref="J662:J663" si="486">IF(G662&lt;&gt;"",VLOOKUP(G662,precio_barras,9,FALSE),0)</f>
        <v>88.9</v>
      </c>
      <c r="K662" s="775">
        <v>0</v>
      </c>
      <c r="L662" s="780" t="str">
        <f t="shared" ref="L662:L663" si="487">IF(G662&lt;&gt;"",IF(VLOOKUP(G662,base_barras,10,FALSE)&lt;&gt;"",VLOOKUP(G662,base_barras,10,FALSE),"-"),"-")</f>
        <v>1.5/1250</v>
      </c>
      <c r="M662" s="779">
        <f t="shared" ref="M662:M663" si="488">IF(L662&lt;&gt;"-",VLOOKUP(L662,precio_aislador,2,FALSE),0)</f>
        <v>5.5</v>
      </c>
      <c r="N662" s="781">
        <f t="shared" ref="N662:N663" si="489">(I662*J662*F662+K662*M662)*E662*1.67*1.25</f>
        <v>0</v>
      </c>
      <c r="O662" s="288"/>
      <c r="P662" s="297"/>
      <c r="Q662" s="297"/>
    </row>
    <row r="663" spans="1:20" s="199" customFormat="1" ht="15.75" customHeight="1" thickBot="1">
      <c r="A663" s="2647"/>
      <c r="B663" s="712" t="s">
        <v>2704</v>
      </c>
      <c r="C663" s="713"/>
      <c r="D663" s="714">
        <f t="shared" si="485"/>
        <v>1720</v>
      </c>
      <c r="E663" s="715">
        <v>3</v>
      </c>
      <c r="F663" s="716">
        <v>2</v>
      </c>
      <c r="G663" s="717" t="s">
        <v>315</v>
      </c>
      <c r="H663" s="716" t="s">
        <v>1043</v>
      </c>
      <c r="I663" s="718">
        <v>0</v>
      </c>
      <c r="J663" s="719">
        <f t="shared" si="486"/>
        <v>44.400000000000006</v>
      </c>
      <c r="K663" s="715">
        <v>0</v>
      </c>
      <c r="L663" s="720" t="str">
        <f t="shared" si="487"/>
        <v>1/750</v>
      </c>
      <c r="M663" s="719">
        <f t="shared" si="488"/>
        <v>1.9</v>
      </c>
      <c r="N663" s="721">
        <f t="shared" si="489"/>
        <v>0</v>
      </c>
      <c r="O663" s="288"/>
      <c r="P663" s="297"/>
      <c r="Q663" s="288"/>
      <c r="R663" s="102"/>
      <c r="S663" s="102"/>
      <c r="T663" s="102"/>
    </row>
    <row r="664" spans="1:20" s="102" customFormat="1" ht="13.5" thickBot="1">
      <c r="A664" s="323"/>
      <c r="B664" s="323"/>
      <c r="C664" s="309"/>
      <c r="D664" s="382"/>
      <c r="E664" s="323"/>
      <c r="F664" s="309"/>
      <c r="G664" s="309"/>
      <c r="H664" s="323"/>
      <c r="I664" s="325"/>
      <c r="J664" s="325"/>
      <c r="K664" s="323"/>
      <c r="L664" s="323"/>
      <c r="M664" s="325"/>
      <c r="N664" s="706">
        <f>SUM(N662:N663)</f>
        <v>0</v>
      </c>
      <c r="O664" s="288"/>
      <c r="P664" s="297"/>
      <c r="Q664" s="297"/>
    </row>
    <row r="665" spans="1:20" s="102" customFormat="1" ht="8.25" customHeight="1" thickBot="1">
      <c r="A665" s="323"/>
      <c r="B665" s="323"/>
      <c r="C665" s="323"/>
      <c r="D665" s="382"/>
      <c r="E665" s="323"/>
      <c r="F665" s="325"/>
      <c r="G665" s="325"/>
      <c r="H665" s="325"/>
      <c r="I665" s="323"/>
      <c r="J665" s="323"/>
      <c r="K665" s="323"/>
      <c r="L665" s="325"/>
      <c r="M665" s="323"/>
      <c r="N665" s="309"/>
      <c r="O665" s="288"/>
      <c r="P665" s="297"/>
      <c r="Q665" s="288"/>
    </row>
    <row r="666" spans="1:20" s="102" customFormat="1" ht="13.5" thickBot="1">
      <c r="A666" s="2645" t="s">
        <v>1034</v>
      </c>
      <c r="B666" s="687" t="s">
        <v>2709</v>
      </c>
      <c r="C666" s="327"/>
      <c r="D666" s="328">
        <f t="shared" ref="D666:D667" si="490">IF(H666&lt;&gt;"",VLOOKUP(G666,base_barras,IF(H666="Desnuda",2,5)+F666-1,FALSE),"-")</f>
        <v>7.11</v>
      </c>
      <c r="E666" s="329">
        <v>3</v>
      </c>
      <c r="F666" s="330">
        <v>4</v>
      </c>
      <c r="G666" s="331" t="s">
        <v>582</v>
      </c>
      <c r="H666" s="330" t="s">
        <v>1043</v>
      </c>
      <c r="I666" s="332">
        <v>0.3</v>
      </c>
      <c r="J666" s="333">
        <f t="shared" ref="J666:J667" si="491">IF(G666&lt;&gt;"",VLOOKUP(G666,precio_barras,9,FALSE),0)</f>
        <v>71.100000000000009</v>
      </c>
      <c r="K666" s="329">
        <v>0</v>
      </c>
      <c r="L666" s="343" t="str">
        <f t="shared" ref="L666:L667" si="492">IF(G666&lt;&gt;"",IF(VLOOKUP(G666,base_barras,10,FALSE)&lt;&gt;"",VLOOKUP(G666,base_barras,10,FALSE),"-"),"-")</f>
        <v>1/1000</v>
      </c>
      <c r="M666" s="333">
        <f t="shared" ref="M666:M667" si="493">IF(L666&lt;&gt;"-",VLOOKUP(L666,precio_aislador,2,FALSE),0)</f>
        <v>2.7</v>
      </c>
      <c r="N666" s="360">
        <f t="shared" ref="N666:N667" si="494">(I666*J666*F666+K666*M666)*E666*1.67*1.25</f>
        <v>534.31650000000002</v>
      </c>
      <c r="O666" s="288"/>
      <c r="P666" s="297"/>
      <c r="Q666" s="297"/>
    </row>
    <row r="667" spans="1:20" s="102" customFormat="1" ht="13.5" thickBot="1">
      <c r="A667" s="2647"/>
      <c r="B667" s="712"/>
      <c r="C667" s="713"/>
      <c r="D667" s="714">
        <f t="shared" si="490"/>
        <v>1720</v>
      </c>
      <c r="E667" s="715">
        <v>3</v>
      </c>
      <c r="F667" s="716">
        <v>2</v>
      </c>
      <c r="G667" s="717" t="s">
        <v>315</v>
      </c>
      <c r="H667" s="716" t="s">
        <v>1043</v>
      </c>
      <c r="I667" s="718">
        <v>0</v>
      </c>
      <c r="J667" s="719">
        <f t="shared" si="491"/>
        <v>44.400000000000006</v>
      </c>
      <c r="K667" s="715">
        <v>0</v>
      </c>
      <c r="L667" s="720" t="str">
        <f t="shared" si="492"/>
        <v>1/750</v>
      </c>
      <c r="M667" s="719">
        <f t="shared" si="493"/>
        <v>1.9</v>
      </c>
      <c r="N667" s="721">
        <f t="shared" si="494"/>
        <v>0</v>
      </c>
      <c r="O667" s="288"/>
      <c r="P667" s="297"/>
      <c r="Q667" s="297"/>
    </row>
    <row r="668" spans="1:20" s="102" customFormat="1" ht="13.5" thickBot="1">
      <c r="A668" s="323"/>
      <c r="B668" s="323"/>
      <c r="C668" s="309"/>
      <c r="D668" s="382"/>
      <c r="E668" s="323"/>
      <c r="F668" s="309"/>
      <c r="G668" s="309"/>
      <c r="H668" s="323"/>
      <c r="I668" s="325"/>
      <c r="J668" s="325"/>
      <c r="K668" s="323"/>
      <c r="L668" s="323"/>
      <c r="M668" s="325"/>
      <c r="N668" s="706">
        <f>SUM(N666:N667)</f>
        <v>534.31650000000002</v>
      </c>
      <c r="O668" s="288"/>
      <c r="P668" s="297"/>
      <c r="Q668" s="297"/>
    </row>
    <row r="669" spans="1:20" s="102" customFormat="1">
      <c r="A669" s="323"/>
      <c r="B669" s="309"/>
      <c r="C669" s="309"/>
      <c r="D669" s="382"/>
      <c r="E669" s="323"/>
      <c r="F669" s="309"/>
      <c r="G669" s="309"/>
      <c r="H669" s="323"/>
      <c r="I669" s="325"/>
      <c r="J669" s="325"/>
      <c r="K669" s="323"/>
      <c r="L669" s="323"/>
      <c r="M669" s="325"/>
      <c r="N669" s="722"/>
      <c r="O669" s="288"/>
      <c r="P669" s="297"/>
      <c r="Q669" s="297"/>
    </row>
    <row r="670" spans="1:20" s="102" customFormat="1">
      <c r="A670" s="323"/>
      <c r="B670" s="309"/>
      <c r="C670" s="309"/>
      <c r="D670" s="382"/>
      <c r="E670" s="323"/>
      <c r="F670" s="309"/>
      <c r="G670" s="309"/>
      <c r="H670" s="323"/>
      <c r="I670" s="325"/>
      <c r="J670" s="325"/>
      <c r="K670" s="323"/>
      <c r="L670" s="323"/>
      <c r="M670" s="325"/>
      <c r="N670" s="722"/>
      <c r="O670" s="288"/>
      <c r="P670" s="297"/>
      <c r="Q670" s="297"/>
    </row>
    <row r="671" spans="1:20" s="102" customFormat="1" ht="15">
      <c r="A671" s="323"/>
      <c r="B671" s="723" t="s">
        <v>2513</v>
      </c>
      <c r="C671" s="309"/>
      <c r="D671" s="382"/>
      <c r="E671" s="323"/>
      <c r="F671" s="309"/>
      <c r="G671" s="309"/>
      <c r="H671" s="323"/>
      <c r="I671" s="325"/>
      <c r="J671" s="325"/>
      <c r="K671" s="323"/>
      <c r="L671" s="323"/>
      <c r="M671" s="325"/>
      <c r="N671" s="722"/>
      <c r="O671" s="288"/>
      <c r="P671" s="297"/>
      <c r="Q671" s="297"/>
    </row>
    <row r="672" spans="1:20" s="129" customFormat="1" ht="22.5" customHeight="1" thickBot="1">
      <c r="A672" s="323"/>
      <c r="B672" s="309"/>
      <c r="C672" s="309"/>
      <c r="D672" s="382"/>
      <c r="E672" s="323"/>
      <c r="F672" s="323"/>
      <c r="G672" s="323"/>
      <c r="H672" s="323"/>
      <c r="I672" s="325"/>
      <c r="J672" s="325"/>
      <c r="K672" s="323"/>
      <c r="L672" s="323"/>
      <c r="M672" s="325"/>
      <c r="N672" s="722"/>
      <c r="O672" s="288"/>
      <c r="P672" s="297"/>
      <c r="Q672" s="288"/>
      <c r="R672" s="102"/>
      <c r="S672" s="102"/>
      <c r="T672" s="102"/>
    </row>
    <row r="673" spans="1:20" s="199" customFormat="1" ht="15.75" customHeight="1">
      <c r="A673" s="2650" t="s">
        <v>3305</v>
      </c>
      <c r="B673" s="687" t="s">
        <v>2498</v>
      </c>
      <c r="C673" s="327"/>
      <c r="D673" s="328">
        <f t="shared" ref="D673" si="495">IF(H673&lt;&gt;"",VLOOKUP(G673,base_barras,IF(H673="Desnuda",2,5)+F673-1,FALSE),"-")</f>
        <v>1810</v>
      </c>
      <c r="E673" s="329">
        <v>4</v>
      </c>
      <c r="F673" s="330">
        <v>1</v>
      </c>
      <c r="G673" s="331" t="s">
        <v>468</v>
      </c>
      <c r="H673" s="330" t="s">
        <v>1043</v>
      </c>
      <c r="I673" s="332">
        <f>1+1+0.8</f>
        <v>2.8</v>
      </c>
      <c r="J673" s="333">
        <f t="shared" ref="J673:J679" si="496">IF(G673&lt;&gt;"",VLOOKUP(G673,precio_barras,9,FALSE),0)</f>
        <v>88.9</v>
      </c>
      <c r="K673" s="329">
        <f>2+3+2</f>
        <v>7</v>
      </c>
      <c r="L673" s="343" t="str">
        <f t="shared" ref="L673" si="497">IF(G673&lt;&gt;"",IF(VLOOKUP(G673,base_barras,10,FALSE)&lt;&gt;"",VLOOKUP(G673,base_barras,10,FALSE),"-"),"-")</f>
        <v>1.5/1250</v>
      </c>
      <c r="M673" s="333">
        <f t="shared" ref="M673" si="498">IF(L673&lt;&gt;"-",VLOOKUP(L673,precio_aislador,2,FALSE),0)</f>
        <v>5.5</v>
      </c>
      <c r="N673" s="360">
        <f t="shared" ref="N673" si="499">(I673*J673*F673+K673*M673)*E673*1.67*1.25</f>
        <v>2399.9569999999994</v>
      </c>
      <c r="O673" s="288"/>
      <c r="P673" s="297"/>
      <c r="Q673" s="288"/>
      <c r="R673" s="102"/>
      <c r="S673" s="102"/>
      <c r="T673" s="102"/>
    </row>
    <row r="674" spans="1:20" s="199" customFormat="1" ht="15" thickBot="1">
      <c r="A674" s="2651"/>
      <c r="B674" s="824" t="s">
        <v>802</v>
      </c>
      <c r="C674" s="825"/>
      <c r="D674" s="826">
        <f>IF(H674&lt;&gt;"",VLOOKUP(G674,base_barras,IF(H674="Desnuda",2,5)+F674-1,FALSE),"-")</f>
        <v>1020</v>
      </c>
      <c r="E674" s="827">
        <v>1</v>
      </c>
      <c r="F674" s="828">
        <v>1</v>
      </c>
      <c r="G674" s="829" t="s">
        <v>315</v>
      </c>
      <c r="H674" s="830" t="str">
        <f>H673</f>
        <v>Pintada</v>
      </c>
      <c r="I674" s="831">
        <f>I673</f>
        <v>2.8</v>
      </c>
      <c r="J674" s="832">
        <f t="shared" si="496"/>
        <v>44.400000000000006</v>
      </c>
      <c r="K674" s="833">
        <v>0</v>
      </c>
      <c r="L674" s="834" t="str">
        <f>IF(G674&lt;&gt;"",IF(VLOOKUP(G674,base_barras,10,FALSE)&lt;&gt;"",VLOOKUP(G674,base_barras,10,FALSE),"-"),"-")</f>
        <v>1/750</v>
      </c>
      <c r="M674" s="832">
        <f>IF(L674&lt;&gt;"-",VLOOKUP(L674,precio_aislador,2,FALSE),0)</f>
        <v>1.9</v>
      </c>
      <c r="N674" s="654">
        <f>(I674*J674*F674+K674*M674)*E674*1.67*1.25</f>
        <v>259.51800000000003</v>
      </c>
      <c r="O674" s="288"/>
      <c r="P674" s="297"/>
      <c r="Q674" s="288"/>
      <c r="R674" s="102"/>
      <c r="S674" s="102"/>
      <c r="T674" s="102"/>
    </row>
    <row r="675" spans="1:20" s="102" customFormat="1">
      <c r="A675" s="2651"/>
      <c r="B675" s="772" t="s">
        <v>3306</v>
      </c>
      <c r="C675" s="773"/>
      <c r="D675" s="774">
        <f t="shared" ref="D675:D679" si="500">IF(H675&lt;&gt;"",VLOOKUP(G675,base_barras,IF(H675="Desnuda",2,5)+F675-1,FALSE),"-")</f>
        <v>1720</v>
      </c>
      <c r="E675" s="775">
        <v>3</v>
      </c>
      <c r="F675" s="776">
        <v>2</v>
      </c>
      <c r="G675" s="777" t="s">
        <v>315</v>
      </c>
      <c r="H675" s="776" t="s">
        <v>1043</v>
      </c>
      <c r="I675" s="778">
        <v>0.61</v>
      </c>
      <c r="J675" s="779">
        <f t="shared" si="496"/>
        <v>44.400000000000006</v>
      </c>
      <c r="K675" s="775">
        <v>1</v>
      </c>
      <c r="L675" s="780" t="str">
        <f t="shared" ref="L675:L679" si="501">IF(G675&lt;&gt;"",IF(VLOOKUP(G675,base_barras,10,FALSE)&lt;&gt;"",VLOOKUP(G675,base_barras,10,FALSE),"-"),"-")</f>
        <v>1/750</v>
      </c>
      <c r="M675" s="779">
        <f t="shared" ref="M675:M679" si="502">IF(L675&lt;&gt;"-",VLOOKUP(L675,precio_aislador,2,FALSE),0)</f>
        <v>1.9</v>
      </c>
      <c r="N675" s="781">
        <f t="shared" ref="N675:N679" si="503">(I675*J675*F675+K675*M675)*E675*1.67*1.25</f>
        <v>351.12585000000001</v>
      </c>
      <c r="O675" s="288"/>
      <c r="P675" s="297"/>
      <c r="Q675" s="297"/>
    </row>
    <row r="676" spans="1:20" s="199" customFormat="1" ht="15.75" customHeight="1">
      <c r="A676" s="2651"/>
      <c r="B676" s="688" t="s">
        <v>3307</v>
      </c>
      <c r="C676" s="311"/>
      <c r="D676" s="312">
        <f t="shared" si="500"/>
        <v>1180</v>
      </c>
      <c r="E676" s="313">
        <v>3</v>
      </c>
      <c r="F676" s="314">
        <v>1</v>
      </c>
      <c r="G676" s="315" t="s">
        <v>581</v>
      </c>
      <c r="H676" s="314" t="s">
        <v>1043</v>
      </c>
      <c r="I676" s="316">
        <v>0.61</v>
      </c>
      <c r="J676" s="317">
        <f t="shared" si="496"/>
        <v>53.3</v>
      </c>
      <c r="K676" s="313">
        <v>1</v>
      </c>
      <c r="L676" s="318" t="str">
        <f t="shared" si="501"/>
        <v>1/750</v>
      </c>
      <c r="M676" s="317">
        <f t="shared" si="502"/>
        <v>1.9</v>
      </c>
      <c r="N676" s="308">
        <f t="shared" si="503"/>
        <v>215.51141249999998</v>
      </c>
      <c r="O676" s="288"/>
      <c r="P676" s="297"/>
      <c r="Q676" s="288"/>
      <c r="R676" s="102"/>
      <c r="S676" s="102"/>
      <c r="T676" s="102"/>
    </row>
    <row r="677" spans="1:20" s="199" customFormat="1" ht="15.75" customHeight="1">
      <c r="A677" s="2651"/>
      <c r="B677" s="688" t="s">
        <v>3308</v>
      </c>
      <c r="C677" s="311"/>
      <c r="D677" s="312">
        <f t="shared" ref="D677" si="504">IF(H677&lt;&gt;"",VLOOKUP(G677,base_barras,IF(H677="Desnuda",2,5)+F677-1,FALSE),"-")</f>
        <v>676</v>
      </c>
      <c r="E677" s="313">
        <v>3</v>
      </c>
      <c r="F677" s="314">
        <v>1</v>
      </c>
      <c r="G677" s="315" t="s">
        <v>314</v>
      </c>
      <c r="H677" s="314" t="s">
        <v>1043</v>
      </c>
      <c r="I677" s="316">
        <v>0.61</v>
      </c>
      <c r="J677" s="317">
        <f t="shared" ref="J677" si="505">IF(G677&lt;&gt;"",VLOOKUP(G677,precio_barras,9,FALSE),0)</f>
        <v>26.6</v>
      </c>
      <c r="K677" s="313">
        <v>1</v>
      </c>
      <c r="L677" s="318" t="str">
        <f t="shared" ref="L677" si="506">IF(G677&lt;&gt;"",IF(VLOOKUP(G677,base_barras,10,FALSE)&lt;&gt;"",VLOOKUP(G677,base_barras,10,FALSE),"-"),"-")</f>
        <v>1/750</v>
      </c>
      <c r="M677" s="317">
        <f t="shared" ref="M677" si="507">IF(L677&lt;&gt;"-",VLOOKUP(L677,precio_aislador,2,FALSE),0)</f>
        <v>1.9</v>
      </c>
      <c r="N677" s="308">
        <f t="shared" si="503"/>
        <v>113.51407499999999</v>
      </c>
      <c r="O677" s="288"/>
      <c r="P677" s="297"/>
      <c r="Q677" s="288"/>
      <c r="R677" s="102"/>
      <c r="S677" s="102"/>
      <c r="T677" s="102"/>
    </row>
    <row r="678" spans="1:20" s="199" customFormat="1" ht="15.75" customHeight="1">
      <c r="A678" s="2651"/>
      <c r="B678" s="688" t="s">
        <v>3309</v>
      </c>
      <c r="C678" s="311"/>
      <c r="D678" s="312">
        <f t="shared" ref="D678" si="508">IF(H678&lt;&gt;"",VLOOKUP(G678,base_barras,IF(H678="Desnuda",2,5)+F678-1,FALSE),"-")</f>
        <v>676</v>
      </c>
      <c r="E678" s="313">
        <v>3</v>
      </c>
      <c r="F678" s="314">
        <v>1</v>
      </c>
      <c r="G678" s="315" t="s">
        <v>314</v>
      </c>
      <c r="H678" s="314" t="s">
        <v>1043</v>
      </c>
      <c r="I678" s="316">
        <v>0.61</v>
      </c>
      <c r="J678" s="317">
        <f t="shared" ref="J678" si="509">IF(G678&lt;&gt;"",VLOOKUP(G678,precio_barras,9,FALSE),0)</f>
        <v>26.6</v>
      </c>
      <c r="K678" s="313">
        <v>1</v>
      </c>
      <c r="L678" s="318" t="str">
        <f t="shared" ref="L678" si="510">IF(G678&lt;&gt;"",IF(VLOOKUP(G678,base_barras,10,FALSE)&lt;&gt;"",VLOOKUP(G678,base_barras,10,FALSE),"-"),"-")</f>
        <v>1/750</v>
      </c>
      <c r="M678" s="317">
        <f t="shared" ref="M678" si="511">IF(L678&lt;&gt;"-",VLOOKUP(L678,precio_aislador,2,FALSE),0)</f>
        <v>1.9</v>
      </c>
      <c r="N678" s="308">
        <f t="shared" si="503"/>
        <v>113.51407499999999</v>
      </c>
      <c r="O678" s="288"/>
      <c r="P678" s="297"/>
      <c r="Q678" s="288"/>
      <c r="R678" s="102"/>
      <c r="S678" s="102"/>
      <c r="T678" s="102"/>
    </row>
    <row r="679" spans="1:20" s="199" customFormat="1" ht="15.75" customHeight="1" thickBot="1">
      <c r="A679" s="2652"/>
      <c r="B679" s="700" t="s">
        <v>2501</v>
      </c>
      <c r="C679" s="701"/>
      <c r="D679" s="708">
        <f t="shared" si="500"/>
        <v>573</v>
      </c>
      <c r="E679" s="702">
        <v>3</v>
      </c>
      <c r="F679" s="709">
        <v>1</v>
      </c>
      <c r="G679" s="710" t="s">
        <v>314</v>
      </c>
      <c r="H679" s="709" t="s">
        <v>1044</v>
      </c>
      <c r="I679" s="711">
        <v>0.5</v>
      </c>
      <c r="J679" s="480">
        <f t="shared" si="496"/>
        <v>26.6</v>
      </c>
      <c r="K679" s="702">
        <v>1</v>
      </c>
      <c r="L679" s="703" t="str">
        <f t="shared" si="501"/>
        <v>1/750</v>
      </c>
      <c r="M679" s="480">
        <f t="shared" si="502"/>
        <v>1.9</v>
      </c>
      <c r="N679" s="704">
        <f t="shared" si="503"/>
        <v>95.19</v>
      </c>
      <c r="O679" s="288"/>
      <c r="P679" s="297"/>
      <c r="Q679" s="288"/>
      <c r="R679" s="102"/>
      <c r="S679" s="102"/>
      <c r="T679" s="102"/>
    </row>
    <row r="680" spans="1:20" s="129" customFormat="1" ht="22.5" customHeight="1" thickBot="1">
      <c r="A680" s="371"/>
      <c r="B680" s="323"/>
      <c r="C680" s="309"/>
      <c r="D680" s="382"/>
      <c r="E680" s="323"/>
      <c r="F680" s="323"/>
      <c r="G680" s="323"/>
      <c r="H680" s="323"/>
      <c r="I680" s="325"/>
      <c r="J680" s="325"/>
      <c r="K680" s="323"/>
      <c r="L680" s="323"/>
      <c r="M680" s="738"/>
      <c r="N680" s="706">
        <f>SUM(N673:N679)</f>
        <v>3548.3304124999995</v>
      </c>
      <c r="O680" s="288"/>
      <c r="P680" s="297"/>
      <c r="Q680" s="288"/>
      <c r="R680" s="102"/>
      <c r="S680" s="102"/>
      <c r="T680" s="102"/>
    </row>
    <row r="681" spans="1:20" s="102" customFormat="1" ht="8.25" customHeight="1" thickBot="1">
      <c r="A681" s="323"/>
      <c r="B681" s="323"/>
      <c r="C681" s="323"/>
      <c r="D681" s="382"/>
      <c r="E681" s="323"/>
      <c r="F681" s="325"/>
      <c r="G681" s="325"/>
      <c r="H681" s="325"/>
      <c r="I681" s="323"/>
      <c r="J681" s="323"/>
      <c r="K681" s="323"/>
      <c r="L681" s="325"/>
      <c r="M681" s="323"/>
      <c r="N681" s="309"/>
      <c r="O681" s="288"/>
      <c r="P681" s="297"/>
      <c r="Q681" s="288"/>
    </row>
    <row r="682" spans="1:20" s="102" customFormat="1" ht="12.75" customHeight="1">
      <c r="A682" s="2639" t="s">
        <v>2502</v>
      </c>
      <c r="B682" s="687" t="s">
        <v>2503</v>
      </c>
      <c r="C682" s="327"/>
      <c r="D682" s="328">
        <f t="shared" ref="D682:D685" si="512">IF(H682&lt;&gt;"",VLOOKUP(G682,base_barras,IF(H682="Desnuda",2,5)+F682-1,FALSE),"-")</f>
        <v>3290</v>
      </c>
      <c r="E682" s="329">
        <v>3</v>
      </c>
      <c r="F682" s="330">
        <v>1</v>
      </c>
      <c r="G682" s="331" t="s">
        <v>584</v>
      </c>
      <c r="H682" s="330" t="s">
        <v>1043</v>
      </c>
      <c r="I682" s="332">
        <v>0</v>
      </c>
      <c r="J682" s="333">
        <f t="shared" ref="J682:J685" si="513">IF(G682&lt;&gt;"",VLOOKUP(G682,precio_barras,9,FALSE),0)</f>
        <v>231.4</v>
      </c>
      <c r="K682" s="481">
        <v>0</v>
      </c>
      <c r="L682" s="343" t="str">
        <f t="shared" ref="L682:L685" si="514">IF(G682&lt;&gt;"",IF(VLOOKUP(G682,base_barras,10,FALSE)&lt;&gt;"",VLOOKUP(G682,base_barras,10,FALSE),"-"),"-")</f>
        <v>1.5/1600</v>
      </c>
      <c r="M682" s="333">
        <f t="shared" ref="M682:M685" si="515">IF(L682&lt;&gt;"-",VLOOKUP(L682,precio_aislador,2,FALSE),0)</f>
        <v>22</v>
      </c>
      <c r="N682" s="360">
        <f t="shared" ref="N682:N685" si="516">(I682*J682*F682+K682*M682)*E682*1.67*1.25</f>
        <v>0</v>
      </c>
      <c r="O682" s="288"/>
      <c r="P682" s="297"/>
      <c r="Q682" s="297"/>
    </row>
    <row r="683" spans="1:20" s="199" customFormat="1" ht="15.75" customHeight="1" thickBot="1">
      <c r="A683" s="2644"/>
      <c r="B683" s="700" t="s">
        <v>2504</v>
      </c>
      <c r="C683" s="701"/>
      <c r="D683" s="364">
        <f t="shared" si="512"/>
        <v>3170</v>
      </c>
      <c r="E683" s="365">
        <v>3</v>
      </c>
      <c r="F683" s="366">
        <v>3</v>
      </c>
      <c r="G683" s="322" t="s">
        <v>582</v>
      </c>
      <c r="H683" s="366" t="s">
        <v>1043</v>
      </c>
      <c r="I683" s="367">
        <v>0</v>
      </c>
      <c r="J683" s="368">
        <f t="shared" si="513"/>
        <v>71.100000000000009</v>
      </c>
      <c r="K683" s="702">
        <v>0</v>
      </c>
      <c r="L683" s="703" t="str">
        <f t="shared" si="514"/>
        <v>1/1000</v>
      </c>
      <c r="M683" s="480">
        <f t="shared" si="515"/>
        <v>2.7</v>
      </c>
      <c r="N683" s="704">
        <f t="shared" si="516"/>
        <v>0</v>
      </c>
      <c r="O683" s="288"/>
      <c r="P683" s="297"/>
      <c r="Q683" s="288"/>
      <c r="R683" s="102"/>
      <c r="S683" s="102"/>
      <c r="T683" s="102"/>
    </row>
    <row r="684" spans="1:20" s="102" customFormat="1" ht="12.75" customHeight="1">
      <c r="A684" s="2644"/>
      <c r="B684" s="692" t="s">
        <v>2503</v>
      </c>
      <c r="C684" s="693"/>
      <c r="D684" s="697">
        <f t="shared" si="512"/>
        <v>3290</v>
      </c>
      <c r="E684" s="694">
        <v>3</v>
      </c>
      <c r="F684" s="655">
        <v>1</v>
      </c>
      <c r="G684" s="698" t="s">
        <v>584</v>
      </c>
      <c r="H684" s="655" t="s">
        <v>1043</v>
      </c>
      <c r="I684" s="398">
        <v>0</v>
      </c>
      <c r="J684" s="478">
        <f t="shared" si="513"/>
        <v>231.4</v>
      </c>
      <c r="K684" s="705">
        <v>0</v>
      </c>
      <c r="L684" s="695" t="str">
        <f t="shared" si="514"/>
        <v>1.5/1600</v>
      </c>
      <c r="M684" s="478">
        <f t="shared" si="515"/>
        <v>22</v>
      </c>
      <c r="N684" s="696">
        <f t="shared" si="516"/>
        <v>0</v>
      </c>
      <c r="O684" s="288"/>
      <c r="P684" s="297"/>
      <c r="Q684" s="297"/>
    </row>
    <row r="685" spans="1:20" s="199" customFormat="1" ht="15.75" customHeight="1" thickBot="1">
      <c r="A685" s="2640"/>
      <c r="B685" s="700" t="s">
        <v>2504</v>
      </c>
      <c r="C685" s="701"/>
      <c r="D685" s="364">
        <f t="shared" si="512"/>
        <v>3170</v>
      </c>
      <c r="E685" s="365">
        <v>3</v>
      </c>
      <c r="F685" s="366">
        <v>3</v>
      </c>
      <c r="G685" s="322" t="s">
        <v>582</v>
      </c>
      <c r="H685" s="366" t="s">
        <v>1043</v>
      </c>
      <c r="I685" s="367">
        <v>0</v>
      </c>
      <c r="J685" s="368">
        <f t="shared" si="513"/>
        <v>71.100000000000009</v>
      </c>
      <c r="K685" s="702">
        <v>0</v>
      </c>
      <c r="L685" s="703" t="str">
        <f t="shared" si="514"/>
        <v>1/1000</v>
      </c>
      <c r="M685" s="480">
        <f t="shared" si="515"/>
        <v>2.7</v>
      </c>
      <c r="N685" s="704">
        <f t="shared" si="516"/>
        <v>0</v>
      </c>
      <c r="O685" s="288"/>
      <c r="P685" s="297"/>
      <c r="Q685" s="288"/>
      <c r="R685" s="102"/>
      <c r="S685" s="102"/>
      <c r="T685" s="102"/>
    </row>
    <row r="686" spans="1:20" s="102" customFormat="1" ht="13.5" thickBot="1">
      <c r="A686" s="323"/>
      <c r="B686" s="323"/>
      <c r="C686" s="309"/>
      <c r="D686" s="382"/>
      <c r="E686" s="323"/>
      <c r="F686" s="309"/>
      <c r="G686" s="309"/>
      <c r="H686" s="323"/>
      <c r="I686" s="325"/>
      <c r="J686" s="325"/>
      <c r="K686" s="323"/>
      <c r="L686" s="323"/>
      <c r="M686" s="325"/>
      <c r="N686" s="741">
        <f>SUM(N682:N685)</f>
        <v>0</v>
      </c>
      <c r="O686" s="288"/>
      <c r="P686" s="297"/>
      <c r="Q686" s="297"/>
    </row>
    <row r="687" spans="1:20" s="102" customFormat="1" ht="8.25" customHeight="1" thickBot="1">
      <c r="A687" s="323"/>
      <c r="B687" s="323"/>
      <c r="C687" s="323"/>
      <c r="D687" s="382"/>
      <c r="E687" s="323"/>
      <c r="F687" s="325"/>
      <c r="G687" s="325"/>
      <c r="H687" s="325"/>
      <c r="I687" s="323"/>
      <c r="J687" s="323"/>
      <c r="K687" s="323"/>
      <c r="L687" s="325"/>
      <c r="M687" s="323"/>
      <c r="N687" s="309"/>
      <c r="O687" s="288"/>
      <c r="P687" s="297"/>
      <c r="Q687" s="288"/>
    </row>
    <row r="688" spans="1:20" s="102" customFormat="1" ht="12.75" customHeight="1">
      <c r="A688" s="2639" t="s">
        <v>2505</v>
      </c>
      <c r="B688" s="687" t="s">
        <v>2506</v>
      </c>
      <c r="C688" s="327"/>
      <c r="D688" s="328">
        <f t="shared" ref="D688:D691" si="517">IF(H688&lt;&gt;"",VLOOKUP(G688,base_barras,IF(H688="Desnuda",2,5)+F688-1,FALSE),"-")</f>
        <v>3290</v>
      </c>
      <c r="E688" s="329">
        <v>3</v>
      </c>
      <c r="F688" s="330">
        <v>1</v>
      </c>
      <c r="G688" s="331" t="s">
        <v>584</v>
      </c>
      <c r="H688" s="330" t="s">
        <v>1043</v>
      </c>
      <c r="I688" s="332">
        <v>0</v>
      </c>
      <c r="J688" s="333">
        <f t="shared" ref="J688:J691" si="518">IF(G688&lt;&gt;"",VLOOKUP(G688,precio_barras,9,FALSE),0)</f>
        <v>231.4</v>
      </c>
      <c r="K688" s="481">
        <v>0</v>
      </c>
      <c r="L688" s="343" t="str">
        <f t="shared" ref="L688:L691" si="519">IF(G688&lt;&gt;"",IF(VLOOKUP(G688,base_barras,10,FALSE)&lt;&gt;"",VLOOKUP(G688,base_barras,10,FALSE),"-"),"-")</f>
        <v>1.5/1600</v>
      </c>
      <c r="M688" s="333">
        <f t="shared" ref="M688:M691" si="520">IF(L688&lt;&gt;"-",VLOOKUP(L688,precio_aislador,2,FALSE),0)</f>
        <v>22</v>
      </c>
      <c r="N688" s="360">
        <f t="shared" ref="N688:N691" si="521">(I688*J688*F688+K688*M688)*E688*1.67*1.25</f>
        <v>0</v>
      </c>
      <c r="O688" s="288"/>
      <c r="P688" s="297"/>
      <c r="Q688" s="297"/>
    </row>
    <row r="689" spans="1:20" s="102" customFormat="1" ht="13.5" thickBot="1">
      <c r="A689" s="2644"/>
      <c r="B689" s="707" t="s">
        <v>2504</v>
      </c>
      <c r="C689" s="479"/>
      <c r="D689" s="364">
        <f t="shared" si="517"/>
        <v>3170</v>
      </c>
      <c r="E689" s="365">
        <v>3</v>
      </c>
      <c r="F689" s="366">
        <v>3</v>
      </c>
      <c r="G689" s="322" t="s">
        <v>582</v>
      </c>
      <c r="H689" s="366" t="s">
        <v>1043</v>
      </c>
      <c r="I689" s="367">
        <v>0</v>
      </c>
      <c r="J689" s="368">
        <f t="shared" si="518"/>
        <v>71.100000000000009</v>
      </c>
      <c r="K689" s="365">
        <v>0</v>
      </c>
      <c r="L689" s="369" t="str">
        <f t="shared" si="519"/>
        <v>1/1000</v>
      </c>
      <c r="M689" s="368">
        <f t="shared" si="520"/>
        <v>2.7</v>
      </c>
      <c r="N689" s="370">
        <f t="shared" si="521"/>
        <v>0</v>
      </c>
      <c r="O689" s="288"/>
      <c r="P689" s="297"/>
      <c r="Q689" s="297"/>
    </row>
    <row r="690" spans="1:20" s="102" customFormat="1" ht="12.75" customHeight="1">
      <c r="A690" s="2644"/>
      <c r="B690" s="692" t="s">
        <v>2506</v>
      </c>
      <c r="C690" s="693"/>
      <c r="D690" s="697">
        <f t="shared" si="517"/>
        <v>3290</v>
      </c>
      <c r="E690" s="694">
        <v>3</v>
      </c>
      <c r="F690" s="655">
        <v>1</v>
      </c>
      <c r="G690" s="698" t="s">
        <v>584</v>
      </c>
      <c r="H690" s="655" t="s">
        <v>1043</v>
      </c>
      <c r="I690" s="398">
        <v>0</v>
      </c>
      <c r="J690" s="478">
        <f t="shared" si="518"/>
        <v>231.4</v>
      </c>
      <c r="K690" s="705">
        <v>0</v>
      </c>
      <c r="L690" s="695" t="str">
        <f t="shared" si="519"/>
        <v>1.5/1600</v>
      </c>
      <c r="M690" s="478">
        <f t="shared" si="520"/>
        <v>22</v>
      </c>
      <c r="N690" s="696">
        <f t="shared" si="521"/>
        <v>0</v>
      </c>
      <c r="O690" s="288"/>
      <c r="P690" s="297"/>
      <c r="Q690" s="297"/>
    </row>
    <row r="691" spans="1:20" s="102" customFormat="1" ht="13.5" thickBot="1">
      <c r="A691" s="2640"/>
      <c r="B691" s="700" t="s">
        <v>2504</v>
      </c>
      <c r="C691" s="701"/>
      <c r="D691" s="708">
        <f t="shared" si="517"/>
        <v>3170</v>
      </c>
      <c r="E691" s="702">
        <v>3</v>
      </c>
      <c r="F691" s="709">
        <v>3</v>
      </c>
      <c r="G691" s="710" t="s">
        <v>582</v>
      </c>
      <c r="H691" s="709" t="s">
        <v>1043</v>
      </c>
      <c r="I691" s="711">
        <v>0</v>
      </c>
      <c r="J691" s="480">
        <f t="shared" si="518"/>
        <v>71.100000000000009</v>
      </c>
      <c r="K691" s="702">
        <v>0</v>
      </c>
      <c r="L691" s="703" t="str">
        <f t="shared" si="519"/>
        <v>1/1000</v>
      </c>
      <c r="M691" s="480">
        <f t="shared" si="520"/>
        <v>2.7</v>
      </c>
      <c r="N691" s="704">
        <f t="shared" si="521"/>
        <v>0</v>
      </c>
      <c r="O691" s="288"/>
      <c r="P691" s="297"/>
      <c r="Q691" s="297"/>
    </row>
    <row r="692" spans="1:20" s="102" customFormat="1" ht="13.5" thickBot="1">
      <c r="A692" s="323"/>
      <c r="B692" s="323"/>
      <c r="C692" s="309"/>
      <c r="D692" s="382"/>
      <c r="E692" s="323"/>
      <c r="F692" s="309"/>
      <c r="G692" s="309"/>
      <c r="H692" s="323"/>
      <c r="I692" s="325"/>
      <c r="J692" s="325"/>
      <c r="K692" s="323"/>
      <c r="L692" s="323"/>
      <c r="M692" s="325"/>
      <c r="N692" s="741">
        <f>SUM(N688:N691)</f>
        <v>0</v>
      </c>
      <c r="O692" s="288"/>
      <c r="P692" s="297"/>
      <c r="Q692" s="297"/>
    </row>
    <row r="693" spans="1:20" s="102" customFormat="1" ht="8.25" customHeight="1" thickBot="1">
      <c r="A693" s="323"/>
      <c r="B693" s="323"/>
      <c r="C693" s="323"/>
      <c r="D693" s="382"/>
      <c r="E693" s="323"/>
      <c r="F693" s="325"/>
      <c r="G693" s="325"/>
      <c r="H693" s="325"/>
      <c r="I693" s="323"/>
      <c r="J693" s="323"/>
      <c r="K693" s="323"/>
      <c r="L693" s="325"/>
      <c r="M693" s="323"/>
      <c r="N693" s="309"/>
      <c r="O693" s="288"/>
      <c r="P693" s="297"/>
      <c r="Q693" s="288"/>
    </row>
    <row r="694" spans="1:20" s="102" customFormat="1">
      <c r="A694" s="2629" t="s">
        <v>1228</v>
      </c>
      <c r="B694" s="687" t="s">
        <v>2507</v>
      </c>
      <c r="C694" s="327"/>
      <c r="D694" s="328">
        <f t="shared" ref="D694:D695" si="522">IF(H694&lt;&gt;"",VLOOKUP(G694,base_barras,IF(H694="Desnuda",2,5)+F694-1,FALSE),"-")</f>
        <v>1810</v>
      </c>
      <c r="E694" s="481">
        <v>3</v>
      </c>
      <c r="F694" s="330">
        <v>1</v>
      </c>
      <c r="G694" s="331" t="s">
        <v>468</v>
      </c>
      <c r="H694" s="330" t="s">
        <v>1043</v>
      </c>
      <c r="I694" s="332">
        <f>0.2</f>
        <v>0.2</v>
      </c>
      <c r="J694" s="333">
        <f t="shared" ref="J694" si="523">IF(G694&lt;&gt;"",VLOOKUP(G694,precio_barras,9,FALSE),0)</f>
        <v>88.9</v>
      </c>
      <c r="K694" s="329">
        <v>0</v>
      </c>
      <c r="L694" s="343" t="str">
        <f t="shared" ref="L694:L695" si="524">IF(G694&lt;&gt;"",IF(VLOOKUP(G694,base_barras,10,FALSE)&lt;&gt;"",VLOOKUP(G694,base_barras,10,FALSE),"-"),"-")</f>
        <v>1.5/1250</v>
      </c>
      <c r="M694" s="333">
        <f t="shared" ref="M694" si="525">IF(L694&lt;&gt;"-",VLOOKUP(L694,precio_aislador,2,FALSE),0)</f>
        <v>5.5</v>
      </c>
      <c r="N694" s="360">
        <f t="shared" ref="N694:N695" si="526">(I694*J694*F694+K694*M694)*E694*1.67*1.25</f>
        <v>111.34725</v>
      </c>
      <c r="O694" s="288"/>
      <c r="P694" s="297"/>
      <c r="Q694" s="297"/>
    </row>
    <row r="695" spans="1:20" s="102" customFormat="1" ht="13.5" thickBot="1">
      <c r="A695" s="2635"/>
      <c r="B695" s="707"/>
      <c r="C695" s="479"/>
      <c r="D695" s="364" t="str">
        <f t="shared" si="522"/>
        <v>-</v>
      </c>
      <c r="E695" s="365"/>
      <c r="F695" s="366"/>
      <c r="G695" s="322"/>
      <c r="H695" s="366"/>
      <c r="I695" s="367"/>
      <c r="J695" s="480">
        <f>IF(G695&lt;&gt;"",VLOOKUP(G695,precio_barras,9,FALSE),0)</f>
        <v>0</v>
      </c>
      <c r="K695" s="365"/>
      <c r="L695" s="369" t="str">
        <f t="shared" si="524"/>
        <v>-</v>
      </c>
      <c r="M695" s="368">
        <f>IF(L695&lt;&gt;"-",VLOOKUP(L695,precio_aislador,2,FALSE),0)</f>
        <v>0</v>
      </c>
      <c r="N695" s="370">
        <f t="shared" si="526"/>
        <v>0</v>
      </c>
      <c r="O695" s="288"/>
      <c r="P695" s="297"/>
      <c r="Q695" s="297"/>
    </row>
    <row r="696" spans="1:20" s="102" customFormat="1" ht="13.5" thickBot="1">
      <c r="A696" s="323"/>
      <c r="B696" s="323"/>
      <c r="C696" s="309"/>
      <c r="D696" s="382"/>
      <c r="E696" s="323"/>
      <c r="F696" s="309"/>
      <c r="G696" s="309"/>
      <c r="H696" s="323"/>
      <c r="I696" s="325"/>
      <c r="J696" s="325"/>
      <c r="K696" s="323"/>
      <c r="L696" s="323"/>
      <c r="M696" s="325"/>
      <c r="N696" s="741">
        <f>SUM(N694:N695)</f>
        <v>111.34725</v>
      </c>
      <c r="O696" s="288"/>
      <c r="P696" s="297"/>
      <c r="Q696" s="297"/>
    </row>
    <row r="697" spans="1:20" s="102" customFormat="1" ht="8.25" customHeight="1" thickBot="1">
      <c r="A697" s="323"/>
      <c r="B697" s="323"/>
      <c r="C697" s="323"/>
      <c r="D697" s="382"/>
      <c r="E697" s="323"/>
      <c r="F697" s="325"/>
      <c r="G697" s="325"/>
      <c r="H697" s="325"/>
      <c r="I697" s="323"/>
      <c r="J697" s="323"/>
      <c r="K697" s="323"/>
      <c r="L697" s="325"/>
      <c r="M697" s="323"/>
      <c r="N697" s="309"/>
      <c r="O697" s="288"/>
      <c r="P697" s="297"/>
      <c r="Q697" s="288"/>
    </row>
    <row r="698" spans="1:20" s="102" customFormat="1" ht="13.5" thickBot="1">
      <c r="A698" s="2639" t="s">
        <v>2508</v>
      </c>
      <c r="B698" s="772" t="s">
        <v>2703</v>
      </c>
      <c r="C698" s="773"/>
      <c r="D698" s="774">
        <f t="shared" ref="D698:D699" si="527">IF(H698&lt;&gt;"",VLOOKUP(G698,base_barras,IF(H698="Desnuda",2,5)+F698-1,FALSE),"-")</f>
        <v>2850</v>
      </c>
      <c r="E698" s="775">
        <v>3</v>
      </c>
      <c r="F698" s="776">
        <v>2</v>
      </c>
      <c r="G698" s="777" t="s">
        <v>468</v>
      </c>
      <c r="H698" s="776" t="s">
        <v>1043</v>
      </c>
      <c r="I698" s="778">
        <v>0</v>
      </c>
      <c r="J698" s="779">
        <f t="shared" ref="J698:J699" si="528">IF(G698&lt;&gt;"",VLOOKUP(G698,precio_barras,9,FALSE),0)</f>
        <v>88.9</v>
      </c>
      <c r="K698" s="775">
        <v>0</v>
      </c>
      <c r="L698" s="780" t="str">
        <f t="shared" ref="L698:L699" si="529">IF(G698&lt;&gt;"",IF(VLOOKUP(G698,base_barras,10,FALSE)&lt;&gt;"",VLOOKUP(G698,base_barras,10,FALSE),"-"),"-")</f>
        <v>1.5/1250</v>
      </c>
      <c r="M698" s="779">
        <f t="shared" ref="M698:M699" si="530">IF(L698&lt;&gt;"-",VLOOKUP(L698,precio_aislador,2,FALSE),0)</f>
        <v>5.5</v>
      </c>
      <c r="N698" s="781">
        <f t="shared" ref="N698:N699" si="531">(I698*J698*F698+K698*M698)*E698*1.67*1.25</f>
        <v>0</v>
      </c>
      <c r="O698" s="288"/>
      <c r="P698" s="297"/>
      <c r="Q698" s="297"/>
    </row>
    <row r="699" spans="1:20" s="199" customFormat="1" ht="15.75" customHeight="1" thickBot="1">
      <c r="A699" s="2647"/>
      <c r="B699" s="712" t="s">
        <v>2704</v>
      </c>
      <c r="C699" s="713"/>
      <c r="D699" s="714">
        <f t="shared" si="527"/>
        <v>1720</v>
      </c>
      <c r="E699" s="715">
        <v>3</v>
      </c>
      <c r="F699" s="716">
        <v>2</v>
      </c>
      <c r="G699" s="717" t="s">
        <v>315</v>
      </c>
      <c r="H699" s="716" t="s">
        <v>1043</v>
      </c>
      <c r="I699" s="718">
        <v>0</v>
      </c>
      <c r="J699" s="719">
        <f t="shared" si="528"/>
        <v>44.400000000000006</v>
      </c>
      <c r="K699" s="715">
        <v>0</v>
      </c>
      <c r="L699" s="720" t="str">
        <f t="shared" si="529"/>
        <v>1/750</v>
      </c>
      <c r="M699" s="719">
        <f t="shared" si="530"/>
        <v>1.9</v>
      </c>
      <c r="N699" s="721">
        <f t="shared" si="531"/>
        <v>0</v>
      </c>
      <c r="O699" s="288"/>
      <c r="P699" s="297"/>
      <c r="Q699" s="288"/>
      <c r="R699" s="102"/>
      <c r="S699" s="102"/>
      <c r="T699" s="102"/>
    </row>
    <row r="700" spans="1:20" s="102" customFormat="1" ht="13.5" thickBot="1">
      <c r="A700" s="323"/>
      <c r="B700" s="323"/>
      <c r="C700" s="309"/>
      <c r="D700" s="382"/>
      <c r="E700" s="323"/>
      <c r="F700" s="309"/>
      <c r="G700" s="309"/>
      <c r="H700" s="323"/>
      <c r="I700" s="325"/>
      <c r="J700" s="325"/>
      <c r="K700" s="323"/>
      <c r="L700" s="323"/>
      <c r="M700" s="325"/>
      <c r="N700" s="706">
        <f>SUM(N698:N699)</f>
        <v>0</v>
      </c>
      <c r="O700" s="288"/>
      <c r="P700" s="297"/>
      <c r="Q700" s="297"/>
    </row>
    <row r="701" spans="1:20" s="102" customFormat="1" ht="8.25" customHeight="1" thickBot="1">
      <c r="A701" s="323"/>
      <c r="B701" s="323"/>
      <c r="C701" s="323"/>
      <c r="D701" s="382"/>
      <c r="E701" s="323"/>
      <c r="F701" s="325"/>
      <c r="G701" s="325"/>
      <c r="H701" s="325"/>
      <c r="I701" s="323"/>
      <c r="J701" s="323"/>
      <c r="K701" s="323"/>
      <c r="L701" s="325"/>
      <c r="M701" s="323"/>
      <c r="N701" s="309"/>
      <c r="O701" s="288"/>
      <c r="P701" s="297"/>
      <c r="Q701" s="288"/>
    </row>
    <row r="702" spans="1:20" s="102" customFormat="1" ht="13.5" thickBot="1">
      <c r="A702" s="2645" t="s">
        <v>1034</v>
      </c>
      <c r="B702" s="687" t="s">
        <v>2512</v>
      </c>
      <c r="C702" s="327"/>
      <c r="D702" s="328">
        <f t="shared" ref="D702:D703" si="532">IF(H702&lt;&gt;"",VLOOKUP(G702,base_barras,IF(H702="Desnuda",2,5)+F702-1,FALSE),"-")</f>
        <v>1720</v>
      </c>
      <c r="E702" s="329">
        <v>3</v>
      </c>
      <c r="F702" s="330">
        <v>2</v>
      </c>
      <c r="G702" s="331" t="s">
        <v>315</v>
      </c>
      <c r="H702" s="330" t="s">
        <v>1043</v>
      </c>
      <c r="I702" s="332">
        <v>0.3</v>
      </c>
      <c r="J702" s="333">
        <f t="shared" ref="J702:J703" si="533">IF(G702&lt;&gt;"",VLOOKUP(G702,precio_barras,9,FALSE),0)</f>
        <v>44.400000000000006</v>
      </c>
      <c r="K702" s="329">
        <v>0</v>
      </c>
      <c r="L702" s="343" t="str">
        <f t="shared" ref="L702:L703" si="534">IF(G702&lt;&gt;"",IF(VLOOKUP(G702,base_barras,10,FALSE)&lt;&gt;"",VLOOKUP(G702,base_barras,10,FALSE),"-"),"-")</f>
        <v>1/750</v>
      </c>
      <c r="M702" s="333">
        <f t="shared" ref="M702:M703" si="535">IF(L702&lt;&gt;"-",VLOOKUP(L702,precio_aislador,2,FALSE),0)</f>
        <v>1.9</v>
      </c>
      <c r="N702" s="360">
        <f t="shared" ref="N702:N703" si="536">(I702*J702*F702+K702*M702)*E702*1.67*1.25</f>
        <v>166.83300000000003</v>
      </c>
      <c r="O702" s="288"/>
      <c r="P702" s="297"/>
      <c r="Q702" s="297"/>
    </row>
    <row r="703" spans="1:20" s="102" customFormat="1" ht="13.5" thickBot="1">
      <c r="A703" s="2647"/>
      <c r="B703" s="712"/>
      <c r="C703" s="713"/>
      <c r="D703" s="714">
        <f t="shared" si="532"/>
        <v>1720</v>
      </c>
      <c r="E703" s="715">
        <v>3</v>
      </c>
      <c r="F703" s="716">
        <v>2</v>
      </c>
      <c r="G703" s="717" t="s">
        <v>315</v>
      </c>
      <c r="H703" s="716" t="s">
        <v>1043</v>
      </c>
      <c r="I703" s="718">
        <v>0</v>
      </c>
      <c r="J703" s="719">
        <f t="shared" si="533"/>
        <v>44.400000000000006</v>
      </c>
      <c r="K703" s="715">
        <v>0</v>
      </c>
      <c r="L703" s="720" t="str">
        <f t="shared" si="534"/>
        <v>1/750</v>
      </c>
      <c r="M703" s="719">
        <f t="shared" si="535"/>
        <v>1.9</v>
      </c>
      <c r="N703" s="721">
        <f t="shared" si="536"/>
        <v>0</v>
      </c>
      <c r="O703" s="288"/>
      <c r="P703" s="297"/>
      <c r="Q703" s="297"/>
    </row>
    <row r="704" spans="1:20" s="102" customFormat="1" ht="13.5" thickBot="1">
      <c r="A704" s="323"/>
      <c r="B704" s="323"/>
      <c r="C704" s="309"/>
      <c r="D704" s="382"/>
      <c r="E704" s="323"/>
      <c r="F704" s="309"/>
      <c r="G704" s="309"/>
      <c r="H704" s="323"/>
      <c r="I704" s="325"/>
      <c r="J704" s="325"/>
      <c r="K704" s="323"/>
      <c r="L704" s="323"/>
      <c r="M704" s="325"/>
      <c r="N704" s="706">
        <f>SUM(N702:N703)</f>
        <v>166.83300000000003</v>
      </c>
      <c r="O704" s="288"/>
      <c r="P704" s="297"/>
      <c r="Q704" s="297"/>
    </row>
    <row r="705" spans="1:20" s="102" customFormat="1">
      <c r="A705" s="323"/>
      <c r="B705" s="309"/>
      <c r="C705" s="309"/>
      <c r="D705" s="382"/>
      <c r="E705" s="323"/>
      <c r="F705" s="309"/>
      <c r="G705" s="309"/>
      <c r="H705" s="323"/>
      <c r="I705" s="325"/>
      <c r="J705" s="325"/>
      <c r="K705" s="323"/>
      <c r="L705" s="323"/>
      <c r="M705" s="325"/>
      <c r="N705" s="722"/>
      <c r="O705" s="288"/>
      <c r="P705" s="297"/>
      <c r="Q705" s="297"/>
    </row>
    <row r="706" spans="1:20" s="102" customFormat="1">
      <c r="A706" s="323"/>
      <c r="B706" s="309"/>
      <c r="C706" s="309"/>
      <c r="D706" s="382"/>
      <c r="E706" s="323"/>
      <c r="F706" s="309"/>
      <c r="G706" s="309"/>
      <c r="H706" s="323"/>
      <c r="I706" s="325"/>
      <c r="J706" s="325"/>
      <c r="K706" s="323"/>
      <c r="L706" s="323"/>
      <c r="M706" s="325"/>
      <c r="N706" s="722"/>
      <c r="O706" s="288"/>
      <c r="P706" s="297"/>
      <c r="Q706" s="297"/>
    </row>
    <row r="707" spans="1:20" s="102" customFormat="1" ht="15">
      <c r="A707" s="323"/>
      <c r="B707" s="723" t="s">
        <v>2513</v>
      </c>
      <c r="C707" s="309"/>
      <c r="D707" s="382"/>
      <c r="E707" s="323"/>
      <c r="F707" s="309"/>
      <c r="G707" s="309"/>
      <c r="H707" s="323"/>
      <c r="I707" s="325"/>
      <c r="J707" s="325"/>
      <c r="K707" s="323"/>
      <c r="L707" s="323"/>
      <c r="M707" s="325"/>
      <c r="N707" s="722"/>
      <c r="O707" s="288"/>
      <c r="P707" s="297"/>
      <c r="Q707" s="297"/>
    </row>
    <row r="708" spans="1:20" s="102" customFormat="1">
      <c r="A708" s="323"/>
      <c r="B708" s="309"/>
      <c r="C708" s="309"/>
      <c r="D708" s="382"/>
      <c r="E708" s="323"/>
      <c r="F708" s="309"/>
      <c r="G708" s="309"/>
      <c r="H708" s="323"/>
      <c r="I708" s="325"/>
      <c r="J708" s="325"/>
      <c r="K708" s="323"/>
      <c r="L708" s="323"/>
      <c r="M708" s="325"/>
      <c r="N708" s="722"/>
      <c r="O708" s="288"/>
      <c r="P708" s="297"/>
      <c r="Q708" s="297"/>
    </row>
    <row r="709" spans="1:20" s="102" customFormat="1">
      <c r="A709" s="323"/>
      <c r="B709" s="309"/>
      <c r="C709" s="309"/>
      <c r="D709" s="382"/>
      <c r="E709" s="323"/>
      <c r="F709" s="309"/>
      <c r="G709" s="309"/>
      <c r="H709" s="323"/>
      <c r="I709" s="325"/>
      <c r="J709" s="325"/>
      <c r="K709" s="323"/>
      <c r="L709" s="323"/>
      <c r="M709" s="325"/>
      <c r="N709" s="722"/>
      <c r="O709" s="288"/>
      <c r="P709" s="297"/>
      <c r="Q709" s="297"/>
    </row>
    <row r="710" spans="1:20" s="102" customFormat="1">
      <c r="A710" s="323"/>
      <c r="B710" s="309"/>
      <c r="C710" s="309"/>
      <c r="D710" s="382"/>
      <c r="E710" s="323"/>
      <c r="F710" s="309"/>
      <c r="G710" s="309"/>
      <c r="H710" s="323"/>
      <c r="I710" s="325"/>
      <c r="J710" s="325"/>
      <c r="K710" s="323"/>
      <c r="L710" s="323"/>
      <c r="M710" s="325"/>
      <c r="N710" s="722"/>
      <c r="O710" s="288"/>
      <c r="P710" s="297"/>
      <c r="Q710" s="297"/>
    </row>
    <row r="711" spans="1:20" s="102" customFormat="1">
      <c r="A711" s="323"/>
      <c r="B711" s="309"/>
      <c r="C711" s="309"/>
      <c r="D711" s="382"/>
      <c r="E711" s="323"/>
      <c r="F711" s="309"/>
      <c r="G711" s="309"/>
      <c r="H711" s="323"/>
      <c r="I711" s="325"/>
      <c r="J711" s="325"/>
      <c r="K711" s="323"/>
      <c r="L711" s="323"/>
      <c r="M711" s="325"/>
      <c r="N711" s="722"/>
      <c r="O711" s="288"/>
      <c r="P711" s="297"/>
      <c r="Q711" s="297"/>
    </row>
    <row r="712" spans="1:20" s="106" customFormat="1" ht="29.25" customHeight="1"/>
    <row r="713" spans="1:20" s="102" customFormat="1">
      <c r="A713" s="323"/>
      <c r="B713" s="663" t="s">
        <v>2640</v>
      </c>
      <c r="C713" s="485"/>
      <c r="D713" s="486"/>
      <c r="E713" s="487"/>
      <c r="F713" s="485"/>
      <c r="G713" s="485"/>
      <c r="H713" s="487"/>
      <c r="I713" s="488"/>
      <c r="J713" s="488"/>
      <c r="K713" s="487"/>
      <c r="L713" s="487"/>
      <c r="M713" s="488"/>
      <c r="N713" s="743"/>
      <c r="O713" s="490"/>
      <c r="P713" s="491"/>
      <c r="Q713" s="297"/>
    </row>
    <row r="714" spans="1:20" s="102" customFormat="1">
      <c r="A714" s="323"/>
      <c r="B714" s="485"/>
      <c r="C714" s="485"/>
      <c r="D714" s="486"/>
      <c r="E714" s="487"/>
      <c r="F714" s="485"/>
      <c r="G714" s="485"/>
      <c r="H714" s="487"/>
      <c r="I714" s="488"/>
      <c r="J714" s="488"/>
      <c r="K714" s="487"/>
      <c r="L714" s="487"/>
      <c r="M714" s="488"/>
      <c r="N714" s="743"/>
      <c r="O714" s="490"/>
      <c r="P714" s="491"/>
      <c r="Q714" s="297"/>
    </row>
    <row r="715" spans="1:20" s="102" customFormat="1">
      <c r="A715" s="323"/>
      <c r="B715" s="485"/>
      <c r="C715" s="485"/>
      <c r="D715" s="486"/>
      <c r="E715" s="487"/>
      <c r="F715" s="485"/>
      <c r="G715" s="485"/>
      <c r="H715" s="487"/>
      <c r="I715" s="488"/>
      <c r="J715" s="488"/>
      <c r="K715" s="487"/>
      <c r="L715" s="487"/>
      <c r="M715" s="488"/>
      <c r="N715" s="743"/>
      <c r="O715" s="490"/>
      <c r="P715" s="491"/>
      <c r="Q715" s="297"/>
    </row>
    <row r="716" spans="1:20" s="102" customFormat="1">
      <c r="A716" s="323"/>
      <c r="B716" s="309"/>
      <c r="C716" s="309"/>
      <c r="D716" s="382"/>
      <c r="E716" s="323"/>
      <c r="F716" s="309"/>
      <c r="G716" s="309"/>
      <c r="H716" s="323"/>
      <c r="I716" s="325"/>
      <c r="J716" s="325"/>
      <c r="K716" s="323"/>
      <c r="L716" s="323"/>
      <c r="M716" s="325"/>
      <c r="N716" s="722"/>
      <c r="O716" s="288"/>
      <c r="P716" s="297"/>
      <c r="Q716" s="297"/>
    </row>
    <row r="717" spans="1:20" s="102" customFormat="1">
      <c r="A717" s="323"/>
      <c r="B717" s="309"/>
      <c r="C717" s="309"/>
      <c r="D717" s="382"/>
      <c r="E717" s="323"/>
      <c r="F717" s="309"/>
      <c r="G717" s="309"/>
      <c r="H717" s="323"/>
      <c r="I717" s="325"/>
      <c r="J717" s="325"/>
      <c r="K717" s="323"/>
      <c r="L717" s="323"/>
      <c r="M717" s="325"/>
      <c r="N717" s="722"/>
      <c r="O717" s="288"/>
      <c r="P717" s="297"/>
      <c r="Q717" s="297"/>
    </row>
    <row r="718" spans="1:20" s="102" customFormat="1">
      <c r="A718" s="323"/>
      <c r="B718" s="309"/>
      <c r="C718" s="309"/>
      <c r="D718" s="382"/>
      <c r="E718" s="323"/>
      <c r="F718" s="309"/>
      <c r="G718" s="309"/>
      <c r="H718" s="323"/>
      <c r="I718" s="325"/>
      <c r="J718" s="325"/>
      <c r="K718" s="323"/>
      <c r="L718" s="323"/>
      <c r="M718" s="325"/>
      <c r="N718" s="722"/>
      <c r="O718" s="288"/>
      <c r="P718" s="297"/>
      <c r="Q718" s="297"/>
    </row>
    <row r="719" spans="1:20" s="106" customFormat="1" ht="13.5" thickBot="1"/>
    <row r="720" spans="1:20" s="199" customFormat="1" ht="15.75" customHeight="1">
      <c r="A720" s="2636" t="s">
        <v>1709</v>
      </c>
      <c r="B720" s="326" t="s">
        <v>1033</v>
      </c>
      <c r="C720" s="327"/>
      <c r="D720" s="328">
        <f t="shared" ref="D720:D725" si="537">IF(H720&lt;&gt;"",VLOOKUP(G720,base_barras,IF(H720="Desnuda",2,5)+F720-1,FALSE),"-")</f>
        <v>1500</v>
      </c>
      <c r="E720" s="329">
        <v>3</v>
      </c>
      <c r="F720" s="330">
        <v>1</v>
      </c>
      <c r="G720" s="331" t="s">
        <v>582</v>
      </c>
      <c r="H720" s="330" t="s">
        <v>1043</v>
      </c>
      <c r="I720" s="332">
        <f>0.8+0.8</f>
        <v>1.6</v>
      </c>
      <c r="J720" s="333">
        <f t="shared" ref="J720:J725" si="538">IF(G720&lt;&gt;"",VLOOKUP(G720,precio_barras,9,FALSE),0)</f>
        <v>71.100000000000009</v>
      </c>
      <c r="K720" s="329">
        <v>4</v>
      </c>
      <c r="L720" s="343" t="str">
        <f t="shared" ref="L720:L725" si="539">IF(G720&lt;&gt;"",IF(VLOOKUP(G720,base_barras,10,FALSE)&lt;&gt;"",VLOOKUP(G720,base_barras,10,FALSE),"-"),"-")</f>
        <v>1/1000</v>
      </c>
      <c r="M720" s="333">
        <f t="shared" ref="M720:M725" si="540">IF(L720&lt;&gt;"-",VLOOKUP(L720,precio_aislador,2,FALSE),0)</f>
        <v>2.7</v>
      </c>
      <c r="N720" s="360">
        <f t="shared" ref="N720:N725" si="541">(I720*J720*F720+K720*M720)*E720*1.67*1.25</f>
        <v>780.05700000000002</v>
      </c>
      <c r="O720" s="288"/>
      <c r="P720" s="297"/>
      <c r="Q720" s="288"/>
      <c r="R720" s="102"/>
      <c r="S720" s="102"/>
      <c r="T720" s="102"/>
    </row>
    <row r="721" spans="1:20" s="199" customFormat="1" ht="15.75" customHeight="1">
      <c r="A721" s="2627"/>
      <c r="B721" s="310" t="s">
        <v>1829</v>
      </c>
      <c r="C721" s="311"/>
      <c r="D721" s="312">
        <f t="shared" si="537"/>
        <v>1720</v>
      </c>
      <c r="E721" s="313">
        <v>3</v>
      </c>
      <c r="F721" s="314">
        <v>2</v>
      </c>
      <c r="G721" s="315" t="s">
        <v>315</v>
      </c>
      <c r="H721" s="314" t="s">
        <v>1043</v>
      </c>
      <c r="I721" s="316">
        <v>0.61</v>
      </c>
      <c r="J721" s="478">
        <f t="shared" si="538"/>
        <v>44.400000000000006</v>
      </c>
      <c r="K721" s="313">
        <v>0</v>
      </c>
      <c r="L721" s="318" t="str">
        <f t="shared" si="539"/>
        <v>1/750</v>
      </c>
      <c r="M721" s="317">
        <f t="shared" si="540"/>
        <v>1.9</v>
      </c>
      <c r="N721" s="308">
        <f t="shared" si="541"/>
        <v>339.22710000000001</v>
      </c>
      <c r="O721" s="288"/>
      <c r="P721" s="297"/>
      <c r="Q721" s="288"/>
      <c r="R721" s="102"/>
      <c r="S721" s="102"/>
      <c r="T721" s="102"/>
    </row>
    <row r="722" spans="1:20" s="199" customFormat="1" ht="15.75" customHeight="1">
      <c r="A722" s="2627"/>
      <c r="B722" s="310" t="s">
        <v>2577</v>
      </c>
      <c r="C722" s="311"/>
      <c r="D722" s="312">
        <f t="shared" si="537"/>
        <v>985</v>
      </c>
      <c r="E722" s="313">
        <v>3</v>
      </c>
      <c r="F722" s="314">
        <v>1</v>
      </c>
      <c r="G722" s="315" t="s">
        <v>581</v>
      </c>
      <c r="H722" s="314" t="s">
        <v>1044</v>
      </c>
      <c r="I722" s="316">
        <v>0.4</v>
      </c>
      <c r="J722" s="317">
        <f t="shared" si="538"/>
        <v>53.3</v>
      </c>
      <c r="K722" s="313">
        <v>0</v>
      </c>
      <c r="L722" s="318" t="str">
        <f t="shared" si="539"/>
        <v>1/750</v>
      </c>
      <c r="M722" s="317">
        <f t="shared" si="540"/>
        <v>1.9</v>
      </c>
      <c r="N722" s="308">
        <f t="shared" si="541"/>
        <v>133.51650000000001</v>
      </c>
      <c r="O722" s="288"/>
      <c r="P722" s="297"/>
      <c r="Q722" s="288"/>
      <c r="R722" s="102"/>
      <c r="S722" s="102"/>
      <c r="T722" s="102"/>
    </row>
    <row r="723" spans="1:20" s="199" customFormat="1" ht="15.75" customHeight="1">
      <c r="A723" s="2627"/>
      <c r="B723" s="310" t="s">
        <v>2577</v>
      </c>
      <c r="C723" s="311"/>
      <c r="D723" s="312">
        <f t="shared" si="537"/>
        <v>985</v>
      </c>
      <c r="E723" s="313">
        <v>3</v>
      </c>
      <c r="F723" s="314">
        <v>1</v>
      </c>
      <c r="G723" s="315" t="s">
        <v>581</v>
      </c>
      <c r="H723" s="314" t="s">
        <v>1044</v>
      </c>
      <c r="I723" s="316">
        <v>0.4</v>
      </c>
      <c r="J723" s="317">
        <f t="shared" si="538"/>
        <v>53.3</v>
      </c>
      <c r="K723" s="313">
        <v>0</v>
      </c>
      <c r="L723" s="318" t="str">
        <f t="shared" si="539"/>
        <v>1/750</v>
      </c>
      <c r="M723" s="317">
        <f t="shared" si="540"/>
        <v>1.9</v>
      </c>
      <c r="N723" s="308">
        <f t="shared" si="541"/>
        <v>133.51650000000001</v>
      </c>
      <c r="O723" s="288"/>
      <c r="P723" s="297"/>
      <c r="Q723" s="288"/>
      <c r="R723" s="102"/>
      <c r="S723" s="102"/>
      <c r="T723" s="102"/>
    </row>
    <row r="724" spans="1:20" s="199" customFormat="1" ht="14.25">
      <c r="A724" s="2627"/>
      <c r="B724" s="310" t="s">
        <v>801</v>
      </c>
      <c r="C724" s="319"/>
      <c r="D724" s="312">
        <f t="shared" si="537"/>
        <v>850</v>
      </c>
      <c r="E724" s="313">
        <v>1</v>
      </c>
      <c r="F724" s="314">
        <v>1</v>
      </c>
      <c r="G724" s="315" t="s">
        <v>469</v>
      </c>
      <c r="H724" s="314" t="s">
        <v>1043</v>
      </c>
      <c r="I724" s="316">
        <v>0</v>
      </c>
      <c r="J724" s="317">
        <f t="shared" si="538"/>
        <v>35.6</v>
      </c>
      <c r="K724" s="320">
        <v>0</v>
      </c>
      <c r="L724" s="318" t="str">
        <f t="shared" si="539"/>
        <v>1/750</v>
      </c>
      <c r="M724" s="317">
        <f t="shared" si="540"/>
        <v>1.9</v>
      </c>
      <c r="N724" s="308">
        <f t="shared" si="541"/>
        <v>0</v>
      </c>
      <c r="O724" s="288"/>
      <c r="P724" s="297"/>
      <c r="Q724" s="288"/>
      <c r="R724" s="102"/>
      <c r="S724" s="102"/>
      <c r="T724" s="102"/>
    </row>
    <row r="725" spans="1:20" s="199" customFormat="1" ht="15" thickBot="1">
      <c r="A725" s="2628"/>
      <c r="B725" s="321" t="s">
        <v>802</v>
      </c>
      <c r="C725" s="363"/>
      <c r="D725" s="364">
        <f t="shared" si="537"/>
        <v>850</v>
      </c>
      <c r="E725" s="365">
        <v>1</v>
      </c>
      <c r="F725" s="366">
        <v>1</v>
      </c>
      <c r="G725" s="322" t="s">
        <v>469</v>
      </c>
      <c r="H725" s="366" t="s">
        <v>1043</v>
      </c>
      <c r="I725" s="367">
        <f>I720</f>
        <v>1.6</v>
      </c>
      <c r="J725" s="368">
        <f t="shared" si="538"/>
        <v>35.6</v>
      </c>
      <c r="K725" s="395">
        <v>0</v>
      </c>
      <c r="L725" s="369" t="str">
        <f t="shared" si="539"/>
        <v>1/750</v>
      </c>
      <c r="M725" s="368">
        <f t="shared" si="540"/>
        <v>1.9</v>
      </c>
      <c r="N725" s="370">
        <f t="shared" si="541"/>
        <v>118.90400000000001</v>
      </c>
      <c r="O725" s="288"/>
      <c r="P725" s="297"/>
      <c r="Q725" s="288"/>
      <c r="R725" s="102"/>
      <c r="S725" s="102"/>
      <c r="T725" s="102"/>
    </row>
    <row r="726" spans="1:20" s="129" customFormat="1" ht="22.5" customHeight="1" thickBot="1">
      <c r="A726" s="371"/>
      <c r="B726" s="375"/>
      <c r="C726" s="375"/>
      <c r="D726" s="383"/>
      <c r="E726" s="373"/>
      <c r="F726" s="373"/>
      <c r="G726" s="373"/>
      <c r="H726" s="373"/>
      <c r="I726" s="374"/>
      <c r="J726" s="374"/>
      <c r="K726" s="373"/>
      <c r="L726" s="373"/>
      <c r="M726" s="372"/>
      <c r="N726" s="699">
        <f>SUM(N720:N725)</f>
        <v>1505.2211</v>
      </c>
      <c r="O726" s="288"/>
      <c r="P726" s="297"/>
      <c r="Q726" s="288"/>
      <c r="R726" s="102"/>
      <c r="S726" s="102"/>
      <c r="T726" s="102"/>
    </row>
    <row r="727" spans="1:20" s="102" customFormat="1" ht="8.25" customHeight="1" thickBot="1">
      <c r="A727" s="323"/>
      <c r="B727" s="309"/>
      <c r="C727" s="323"/>
      <c r="D727" s="382"/>
      <c r="E727" s="323"/>
      <c r="F727" s="325"/>
      <c r="G727" s="325"/>
      <c r="H727" s="325"/>
      <c r="I727" s="323"/>
      <c r="J727" s="323"/>
      <c r="K727" s="323"/>
      <c r="L727" s="325"/>
      <c r="M727" s="323"/>
      <c r="N727" s="309"/>
      <c r="O727" s="288"/>
      <c r="P727" s="297"/>
      <c r="Q727" s="288"/>
    </row>
    <row r="728" spans="1:20" s="102" customFormat="1">
      <c r="A728" s="2629" t="s">
        <v>1228</v>
      </c>
      <c r="B728" s="326" t="s">
        <v>1033</v>
      </c>
      <c r="C728" s="327"/>
      <c r="D728" s="328">
        <f>IF(H728&lt;&gt;"",VLOOKUP(G728,base_barras,IF(H728="Desnuda",2,5)+F728-1,FALSE),"-")</f>
        <v>1500</v>
      </c>
      <c r="E728" s="481">
        <v>3</v>
      </c>
      <c r="F728" s="330">
        <v>1</v>
      </c>
      <c r="G728" s="331" t="s">
        <v>582</v>
      </c>
      <c r="H728" s="330" t="s">
        <v>1043</v>
      </c>
      <c r="I728" s="332">
        <v>0.2</v>
      </c>
      <c r="J728" s="333">
        <f>IF(G728&lt;&gt;"",VLOOKUP(G728,precio_barras,9,FALSE),0)</f>
        <v>71.100000000000009</v>
      </c>
      <c r="K728" s="329">
        <v>0</v>
      </c>
      <c r="L728" s="343" t="str">
        <f>IF(G728&lt;&gt;"",IF(VLOOKUP(G728,base_barras,10,FALSE)&lt;&gt;"",VLOOKUP(G728,base_barras,10,FALSE),"-"),"-")</f>
        <v>1/1000</v>
      </c>
      <c r="M728" s="333">
        <f>IF(L728&lt;&gt;"-",VLOOKUP(L728,precio_aislador,2,FALSE),0)</f>
        <v>2.7</v>
      </c>
      <c r="N728" s="360">
        <f>(I728*J728*F728+K728*M728)*E728*1.67*1.25</f>
        <v>89.052750000000017</v>
      </c>
      <c r="O728" s="288"/>
      <c r="P728" s="297"/>
      <c r="Q728" s="297"/>
    </row>
    <row r="729" spans="1:20" s="102" customFormat="1" ht="13.5" thickBot="1">
      <c r="A729" s="2635"/>
      <c r="B729" s="321"/>
      <c r="C729" s="479"/>
      <c r="D729" s="364" t="str">
        <f>IF(H729&lt;&gt;"",VLOOKUP(G729,base_barras,IF(H729="Desnuda",2,5)+F729-1,FALSE),"-")</f>
        <v>-</v>
      </c>
      <c r="E729" s="365"/>
      <c r="F729" s="366"/>
      <c r="G729" s="322"/>
      <c r="H729" s="366"/>
      <c r="I729" s="367"/>
      <c r="J729" s="480">
        <f>IF(G729&lt;&gt;"",VLOOKUP(G729,precio_barras,9,FALSE),0)</f>
        <v>0</v>
      </c>
      <c r="K729" s="365"/>
      <c r="L729" s="369" t="str">
        <f>IF(G729&lt;&gt;"",IF(VLOOKUP(G729,base_barras,10,FALSE)&lt;&gt;"",VLOOKUP(G729,base_barras,10,FALSE),"-"),"-")</f>
        <v>-</v>
      </c>
      <c r="M729" s="368">
        <f>IF(L729&lt;&gt;"-",VLOOKUP(L729,precio_aislador,2,FALSE),0)</f>
        <v>0</v>
      </c>
      <c r="N729" s="370">
        <f>(I729*J729*F729+K729*M729)*E729*1.67*1.25</f>
        <v>0</v>
      </c>
      <c r="O729" s="288"/>
      <c r="P729" s="297"/>
      <c r="Q729" s="297"/>
    </row>
    <row r="730" spans="1:20" s="102" customFormat="1" ht="13.5" thickBot="1">
      <c r="A730" s="323"/>
      <c r="B730" s="309"/>
      <c r="C730" s="309"/>
      <c r="D730" s="382"/>
      <c r="E730" s="323"/>
      <c r="F730" s="309"/>
      <c r="G730" s="309"/>
      <c r="H730" s="323"/>
      <c r="I730" s="325"/>
      <c r="J730" s="325"/>
      <c r="K730" s="323"/>
      <c r="L730" s="323"/>
      <c r="M730" s="325"/>
      <c r="N730" s="706">
        <f>SUM(N728:N729)</f>
        <v>89.052750000000017</v>
      </c>
      <c r="O730" s="288"/>
      <c r="P730" s="297"/>
      <c r="Q730" s="297"/>
    </row>
    <row r="731" spans="1:20" s="102" customFormat="1" ht="15">
      <c r="A731" s="323"/>
      <c r="B731" s="723" t="s">
        <v>2513</v>
      </c>
      <c r="C731" s="309"/>
      <c r="D731" s="382"/>
      <c r="E731" s="323"/>
      <c r="F731" s="309"/>
      <c r="G731" s="309"/>
      <c r="H731" s="323"/>
      <c r="I731" s="325"/>
      <c r="J731" s="325"/>
      <c r="K731" s="323"/>
      <c r="L731" s="323"/>
      <c r="M731" s="325"/>
      <c r="N731" s="722"/>
      <c r="O731" s="288"/>
      <c r="P731" s="297"/>
      <c r="Q731" s="297"/>
    </row>
    <row r="732" spans="1:20" s="106" customFormat="1" ht="13.5" thickBot="1"/>
    <row r="733" spans="1:20" s="199" customFormat="1" ht="15.75" customHeight="1">
      <c r="A733" s="2636" t="s">
        <v>1710</v>
      </c>
      <c r="B733" s="326" t="s">
        <v>1033</v>
      </c>
      <c r="C733" s="327"/>
      <c r="D733" s="328">
        <f t="shared" ref="D733:D739" si="542">IF(H733&lt;&gt;"",VLOOKUP(G733,base_barras,IF(H733="Desnuda",2,5)+F733-1,FALSE),"-")</f>
        <v>1500</v>
      </c>
      <c r="E733" s="329">
        <v>3</v>
      </c>
      <c r="F733" s="330">
        <v>1</v>
      </c>
      <c r="G733" s="331" t="s">
        <v>582</v>
      </c>
      <c r="H733" s="330" t="s">
        <v>1043</v>
      </c>
      <c r="I733" s="332">
        <f>0.8+0.8</f>
        <v>1.6</v>
      </c>
      <c r="J733" s="333">
        <f t="shared" ref="J733:J739" si="543">IF(G733&lt;&gt;"",VLOOKUP(G733,precio_barras,9,FALSE),0)</f>
        <v>71.100000000000009</v>
      </c>
      <c r="K733" s="329">
        <v>4</v>
      </c>
      <c r="L733" s="343" t="str">
        <f t="shared" ref="L733:L739" si="544">IF(G733&lt;&gt;"",IF(VLOOKUP(G733,base_barras,10,FALSE)&lt;&gt;"",VLOOKUP(G733,base_barras,10,FALSE),"-"),"-")</f>
        <v>1/1000</v>
      </c>
      <c r="M733" s="333">
        <f t="shared" ref="M733:M739" si="545">IF(L733&lt;&gt;"-",VLOOKUP(L733,precio_aislador,2,FALSE),0)</f>
        <v>2.7</v>
      </c>
      <c r="N733" s="360">
        <f t="shared" ref="N733:N739" si="546">(I733*J733*F733+K733*M733)*E733*1.67*1.25</f>
        <v>780.05700000000002</v>
      </c>
      <c r="O733" s="288"/>
      <c r="P733" s="297"/>
      <c r="Q733" s="288"/>
      <c r="R733" s="102"/>
      <c r="S733" s="102"/>
      <c r="T733" s="102"/>
    </row>
    <row r="734" spans="1:20" s="199" customFormat="1" ht="15.75" customHeight="1">
      <c r="A734" s="2627"/>
      <c r="B734" s="310" t="s">
        <v>1829</v>
      </c>
      <c r="C734" s="311"/>
      <c r="D734" s="312">
        <f t="shared" si="542"/>
        <v>1720</v>
      </c>
      <c r="E734" s="313">
        <v>3</v>
      </c>
      <c r="F734" s="314">
        <v>2</v>
      </c>
      <c r="G734" s="315" t="s">
        <v>315</v>
      </c>
      <c r="H734" s="314" t="s">
        <v>1043</v>
      </c>
      <c r="I734" s="316">
        <v>0.61</v>
      </c>
      <c r="J734" s="478">
        <f t="shared" si="543"/>
        <v>44.400000000000006</v>
      </c>
      <c r="K734" s="313">
        <v>0</v>
      </c>
      <c r="L734" s="318" t="str">
        <f t="shared" si="544"/>
        <v>1/750</v>
      </c>
      <c r="M734" s="317">
        <f t="shared" si="545"/>
        <v>1.9</v>
      </c>
      <c r="N734" s="308">
        <f t="shared" si="546"/>
        <v>339.22710000000001</v>
      </c>
      <c r="O734" s="288"/>
      <c r="P734" s="297"/>
      <c r="Q734" s="288"/>
      <c r="R734" s="102"/>
      <c r="S734" s="102"/>
      <c r="T734" s="102"/>
    </row>
    <row r="735" spans="1:20" s="199" customFormat="1" ht="15.75" customHeight="1">
      <c r="A735" s="2627"/>
      <c r="B735" s="310" t="s">
        <v>2642</v>
      </c>
      <c r="C735" s="311"/>
      <c r="D735" s="312">
        <f t="shared" si="542"/>
        <v>573</v>
      </c>
      <c r="E735" s="313">
        <v>3</v>
      </c>
      <c r="F735" s="314">
        <v>1</v>
      </c>
      <c r="G735" s="315" t="s">
        <v>314</v>
      </c>
      <c r="H735" s="314" t="s">
        <v>1044</v>
      </c>
      <c r="I735" s="316">
        <v>0.61</v>
      </c>
      <c r="J735" s="317">
        <f t="shared" si="543"/>
        <v>26.6</v>
      </c>
      <c r="K735" s="313">
        <v>0</v>
      </c>
      <c r="L735" s="318" t="str">
        <f t="shared" si="544"/>
        <v>1/750</v>
      </c>
      <c r="M735" s="317">
        <f t="shared" si="545"/>
        <v>1.9</v>
      </c>
      <c r="N735" s="308">
        <f t="shared" si="546"/>
        <v>101.615325</v>
      </c>
      <c r="O735" s="288"/>
      <c r="P735" s="297"/>
      <c r="Q735" s="288"/>
      <c r="R735" s="102"/>
      <c r="S735" s="102"/>
      <c r="T735" s="102"/>
    </row>
    <row r="736" spans="1:20" s="199" customFormat="1" ht="15.75" customHeight="1">
      <c r="A736" s="2627"/>
      <c r="B736" s="310" t="s">
        <v>1713</v>
      </c>
      <c r="C736" s="311"/>
      <c r="D736" s="312">
        <f t="shared" ref="D736" si="547">IF(H736&lt;&gt;"",VLOOKUP(G736,base_barras,IF(H736="Desnuda",2,5)+F736-1,FALSE),"-")</f>
        <v>427</v>
      </c>
      <c r="E736" s="313">
        <v>3</v>
      </c>
      <c r="F736" s="314">
        <v>1</v>
      </c>
      <c r="G736" s="315" t="s">
        <v>62</v>
      </c>
      <c r="H736" s="314" t="s">
        <v>1044</v>
      </c>
      <c r="I736" s="316">
        <v>0.61</v>
      </c>
      <c r="J736" s="317">
        <f t="shared" ref="J736" si="548">IF(G736&lt;&gt;"",VLOOKUP(G736,precio_barras,9,FALSE),0)</f>
        <v>17.7</v>
      </c>
      <c r="K736" s="313">
        <v>0</v>
      </c>
      <c r="L736" s="318" t="str">
        <f t="shared" ref="L736" si="549">IF(G736&lt;&gt;"",IF(VLOOKUP(G736,base_barras,10,FALSE)&lt;&gt;"",VLOOKUP(G736,base_barras,10,FALSE),"-"),"-")</f>
        <v>-</v>
      </c>
      <c r="M736" s="317">
        <f t="shared" ref="M736" si="550">IF(L736&lt;&gt;"-",VLOOKUP(L736,precio_aislador,2,FALSE),0)</f>
        <v>0</v>
      </c>
      <c r="N736" s="308">
        <f t="shared" si="546"/>
        <v>67.616212499999989</v>
      </c>
      <c r="O736" s="288"/>
      <c r="P736" s="297"/>
      <c r="Q736" s="288"/>
      <c r="R736" s="102"/>
      <c r="S736" s="102"/>
      <c r="T736" s="102"/>
    </row>
    <row r="737" spans="1:20" s="199" customFormat="1" ht="15.75" customHeight="1">
      <c r="A737" s="2627"/>
      <c r="B737" s="310" t="s">
        <v>2577</v>
      </c>
      <c r="C737" s="311"/>
      <c r="D737" s="312">
        <f t="shared" si="542"/>
        <v>985</v>
      </c>
      <c r="E737" s="313">
        <v>3</v>
      </c>
      <c r="F737" s="314">
        <v>1</v>
      </c>
      <c r="G737" s="315" t="s">
        <v>581</v>
      </c>
      <c r="H737" s="314" t="s">
        <v>1044</v>
      </c>
      <c r="I737" s="316">
        <v>0.4</v>
      </c>
      <c r="J737" s="317">
        <f t="shared" si="543"/>
        <v>53.3</v>
      </c>
      <c r="K737" s="313">
        <v>0</v>
      </c>
      <c r="L737" s="318" t="str">
        <f t="shared" si="544"/>
        <v>1/750</v>
      </c>
      <c r="M737" s="317">
        <f t="shared" si="545"/>
        <v>1.9</v>
      </c>
      <c r="N737" s="308">
        <f t="shared" si="546"/>
        <v>133.51650000000001</v>
      </c>
      <c r="O737" s="288"/>
      <c r="P737" s="297"/>
      <c r="Q737" s="288"/>
      <c r="R737" s="102"/>
      <c r="S737" s="102"/>
      <c r="T737" s="102"/>
    </row>
    <row r="738" spans="1:20" s="199" customFormat="1" ht="14.25">
      <c r="A738" s="2627"/>
      <c r="B738" s="310" t="s">
        <v>801</v>
      </c>
      <c r="C738" s="319"/>
      <c r="D738" s="312">
        <f t="shared" si="542"/>
        <v>850</v>
      </c>
      <c r="E738" s="313">
        <v>1</v>
      </c>
      <c r="F738" s="314">
        <v>1</v>
      </c>
      <c r="G738" s="315" t="s">
        <v>469</v>
      </c>
      <c r="H738" s="314" t="s">
        <v>1043</v>
      </c>
      <c r="I738" s="316">
        <v>0</v>
      </c>
      <c r="J738" s="317">
        <f t="shared" si="543"/>
        <v>35.6</v>
      </c>
      <c r="K738" s="320">
        <v>0</v>
      </c>
      <c r="L738" s="318" t="str">
        <f t="shared" si="544"/>
        <v>1/750</v>
      </c>
      <c r="M738" s="317">
        <f t="shared" si="545"/>
        <v>1.9</v>
      </c>
      <c r="N738" s="308">
        <f t="shared" si="546"/>
        <v>0</v>
      </c>
      <c r="O738" s="288"/>
      <c r="P738" s="297"/>
      <c r="Q738" s="288"/>
      <c r="R738" s="102"/>
      <c r="S738" s="102"/>
      <c r="T738" s="102"/>
    </row>
    <row r="739" spans="1:20" s="199" customFormat="1" ht="15" thickBot="1">
      <c r="A739" s="2628"/>
      <c r="B739" s="321" t="s">
        <v>802</v>
      </c>
      <c r="C739" s="363"/>
      <c r="D739" s="364">
        <f t="shared" si="542"/>
        <v>850</v>
      </c>
      <c r="E739" s="365">
        <v>1</v>
      </c>
      <c r="F739" s="366">
        <v>1</v>
      </c>
      <c r="G739" s="322" t="s">
        <v>469</v>
      </c>
      <c r="H739" s="366" t="s">
        <v>1043</v>
      </c>
      <c r="I739" s="367">
        <f>I733</f>
        <v>1.6</v>
      </c>
      <c r="J739" s="368">
        <f t="shared" si="543"/>
        <v>35.6</v>
      </c>
      <c r="K739" s="395">
        <v>0</v>
      </c>
      <c r="L739" s="369" t="str">
        <f t="shared" si="544"/>
        <v>1/750</v>
      </c>
      <c r="M739" s="368">
        <f t="shared" si="545"/>
        <v>1.9</v>
      </c>
      <c r="N739" s="370">
        <f t="shared" si="546"/>
        <v>118.90400000000001</v>
      </c>
      <c r="O739" s="288"/>
      <c r="P739" s="297"/>
      <c r="Q739" s="288"/>
      <c r="R739" s="102"/>
      <c r="S739" s="102"/>
      <c r="T739" s="102"/>
    </row>
    <row r="740" spans="1:20" s="129" customFormat="1" ht="22.5" customHeight="1" thickBot="1">
      <c r="A740" s="371"/>
      <c r="B740" s="375"/>
      <c r="C740" s="375"/>
      <c r="D740" s="383"/>
      <c r="E740" s="373"/>
      <c r="F740" s="373"/>
      <c r="G740" s="373"/>
      <c r="H740" s="373"/>
      <c r="I740" s="374"/>
      <c r="J740" s="374"/>
      <c r="K740" s="373"/>
      <c r="L740" s="373"/>
      <c r="M740" s="372"/>
      <c r="N740" s="699">
        <f>SUM(N733:N739)</f>
        <v>1540.9361375000001</v>
      </c>
      <c r="O740" s="288"/>
      <c r="P740" s="297"/>
      <c r="Q740" s="288"/>
      <c r="R740" s="102"/>
      <c r="S740" s="102"/>
      <c r="T740" s="102"/>
    </row>
    <row r="741" spans="1:20" s="102" customFormat="1" ht="8.25" customHeight="1" thickBot="1">
      <c r="A741" s="323"/>
      <c r="B741" s="309"/>
      <c r="C741" s="323"/>
      <c r="D741" s="382"/>
      <c r="E741" s="323"/>
      <c r="F741" s="325"/>
      <c r="G741" s="325"/>
      <c r="H741" s="325"/>
      <c r="I741" s="323"/>
      <c r="J741" s="323"/>
      <c r="K741" s="323"/>
      <c r="L741" s="325"/>
      <c r="M741" s="323"/>
      <c r="N741" s="309"/>
      <c r="O741" s="288"/>
      <c r="P741" s="297"/>
      <c r="Q741" s="288"/>
    </row>
    <row r="742" spans="1:20" s="102" customFormat="1">
      <c r="A742" s="2629" t="s">
        <v>1228</v>
      </c>
      <c r="B742" s="326" t="s">
        <v>1033</v>
      </c>
      <c r="C742" s="327"/>
      <c r="D742" s="328">
        <f>IF(H742&lt;&gt;"",VLOOKUP(G742,base_barras,IF(H742="Desnuda",2,5)+F742-1,FALSE),"-")</f>
        <v>1500</v>
      </c>
      <c r="E742" s="481">
        <v>3</v>
      </c>
      <c r="F742" s="330">
        <v>1</v>
      </c>
      <c r="G742" s="331" t="s">
        <v>582</v>
      </c>
      <c r="H742" s="330" t="s">
        <v>1043</v>
      </c>
      <c r="I742" s="332">
        <v>0.2</v>
      </c>
      <c r="J742" s="333">
        <f>IF(G742&lt;&gt;"",VLOOKUP(G742,precio_barras,9,FALSE),0)</f>
        <v>71.100000000000009</v>
      </c>
      <c r="K742" s="329">
        <v>0</v>
      </c>
      <c r="L742" s="343" t="str">
        <f>IF(G742&lt;&gt;"",IF(VLOOKUP(G742,base_barras,10,FALSE)&lt;&gt;"",VLOOKUP(G742,base_barras,10,FALSE),"-"),"-")</f>
        <v>1/1000</v>
      </c>
      <c r="M742" s="333">
        <f>IF(L742&lt;&gt;"-",VLOOKUP(L742,precio_aislador,2,FALSE),0)</f>
        <v>2.7</v>
      </c>
      <c r="N742" s="360">
        <f>(I742*J742*F742+K742*M742)*E742*1.67*1.25</f>
        <v>89.052750000000017</v>
      </c>
      <c r="O742" s="288"/>
      <c r="P742" s="297"/>
      <c r="Q742" s="297"/>
    </row>
    <row r="743" spans="1:20" s="102" customFormat="1" ht="13.5" thickBot="1">
      <c r="A743" s="2635"/>
      <c r="B743" s="321"/>
      <c r="C743" s="479"/>
      <c r="D743" s="364" t="str">
        <f>IF(H743&lt;&gt;"",VLOOKUP(G743,base_barras,IF(H743="Desnuda",2,5)+F743-1,FALSE),"-")</f>
        <v>-</v>
      </c>
      <c r="E743" s="365"/>
      <c r="F743" s="366"/>
      <c r="G743" s="322"/>
      <c r="H743" s="366"/>
      <c r="I743" s="367"/>
      <c r="J743" s="480">
        <f>IF(G743&lt;&gt;"",VLOOKUP(G743,precio_barras,9,FALSE),0)</f>
        <v>0</v>
      </c>
      <c r="K743" s="365"/>
      <c r="L743" s="369" t="str">
        <f>IF(G743&lt;&gt;"",IF(VLOOKUP(G743,base_barras,10,FALSE)&lt;&gt;"",VLOOKUP(G743,base_barras,10,FALSE),"-"),"-")</f>
        <v>-</v>
      </c>
      <c r="M743" s="368">
        <f>IF(L743&lt;&gt;"-",VLOOKUP(L743,precio_aislador,2,FALSE),0)</f>
        <v>0</v>
      </c>
      <c r="N743" s="370">
        <f>(I743*J743*F743+K743*M743)*E743*1.67*1.25</f>
        <v>0</v>
      </c>
      <c r="O743" s="288"/>
      <c r="P743" s="297"/>
      <c r="Q743" s="297"/>
    </row>
    <row r="744" spans="1:20" s="102" customFormat="1" ht="13.5" thickBot="1">
      <c r="A744" s="323"/>
      <c r="B744" s="309"/>
      <c r="C744" s="309"/>
      <c r="D744" s="382"/>
      <c r="E744" s="323"/>
      <c r="F744" s="309"/>
      <c r="G744" s="309"/>
      <c r="H744" s="323"/>
      <c r="I744" s="325"/>
      <c r="J744" s="325"/>
      <c r="K744" s="323"/>
      <c r="L744" s="323"/>
      <c r="M744" s="325"/>
      <c r="N744" s="706">
        <f>SUM(N742:N743)</f>
        <v>89.052750000000017</v>
      </c>
      <c r="O744" s="288"/>
      <c r="P744" s="297"/>
      <c r="Q744" s="297"/>
    </row>
    <row r="745" spans="1:20" s="102" customFormat="1">
      <c r="A745" s="323"/>
      <c r="B745" s="309"/>
      <c r="C745" s="309"/>
      <c r="D745" s="382"/>
      <c r="E745" s="323"/>
      <c r="F745" s="309"/>
      <c r="G745" s="309"/>
      <c r="H745" s="323"/>
      <c r="I745" s="325"/>
      <c r="J745" s="325"/>
      <c r="K745" s="323"/>
      <c r="L745" s="323"/>
      <c r="M745" s="325"/>
      <c r="N745" s="722"/>
      <c r="O745" s="288"/>
      <c r="P745" s="297"/>
      <c r="Q745" s="297"/>
    </row>
    <row r="746" spans="1:20" s="102" customFormat="1" ht="15">
      <c r="A746" s="323"/>
      <c r="B746" s="723" t="s">
        <v>2513</v>
      </c>
      <c r="C746" s="309"/>
      <c r="D746" s="382"/>
      <c r="E746" s="323"/>
      <c r="F746" s="309"/>
      <c r="G746" s="309"/>
      <c r="H746" s="323"/>
      <c r="I746" s="325"/>
      <c r="J746" s="325"/>
      <c r="K746" s="323"/>
      <c r="L746" s="323"/>
      <c r="M746" s="325"/>
      <c r="N746" s="722"/>
      <c r="O746" s="288"/>
      <c r="P746" s="297"/>
      <c r="Q746" s="297"/>
    </row>
    <row r="747" spans="1:20" s="106" customFormat="1" ht="13.5" thickBot="1"/>
    <row r="748" spans="1:20" s="199" customFormat="1" ht="15.75" customHeight="1">
      <c r="A748" s="2636" t="s">
        <v>1820</v>
      </c>
      <c r="B748" s="326" t="s">
        <v>1033</v>
      </c>
      <c r="C748" s="327"/>
      <c r="D748" s="328">
        <f t="shared" ref="D748:D753" si="551">IF(H748&lt;&gt;"",VLOOKUP(G748,base_barras,IF(H748="Desnuda",2,5)+F748-1,FALSE),"-")</f>
        <v>1500</v>
      </c>
      <c r="E748" s="329">
        <v>3</v>
      </c>
      <c r="F748" s="330">
        <v>1</v>
      </c>
      <c r="G748" s="331" t="s">
        <v>582</v>
      </c>
      <c r="H748" s="330" t="s">
        <v>1043</v>
      </c>
      <c r="I748" s="332">
        <f>0.8+0.8</f>
        <v>1.6</v>
      </c>
      <c r="J748" s="333">
        <f t="shared" ref="J748:J753" si="552">IF(G748&lt;&gt;"",VLOOKUP(G748,precio_barras,9,FALSE),0)</f>
        <v>71.100000000000009</v>
      </c>
      <c r="K748" s="329">
        <v>4</v>
      </c>
      <c r="L748" s="343" t="str">
        <f t="shared" ref="L748:L753" si="553">IF(G748&lt;&gt;"",IF(VLOOKUP(G748,base_barras,10,FALSE)&lt;&gt;"",VLOOKUP(G748,base_barras,10,FALSE),"-"),"-")</f>
        <v>1/1000</v>
      </c>
      <c r="M748" s="333">
        <f t="shared" ref="M748:M753" si="554">IF(L748&lt;&gt;"-",VLOOKUP(L748,precio_aislador,2,FALSE),0)</f>
        <v>2.7</v>
      </c>
      <c r="N748" s="360">
        <f t="shared" ref="N748:N753" si="555">(I748*J748*F748+K748*M748)*E748*1.67*1.25</f>
        <v>780.05700000000002</v>
      </c>
      <c r="O748" s="288"/>
      <c r="P748" s="297"/>
      <c r="Q748" s="288"/>
      <c r="R748" s="102"/>
      <c r="S748" s="102"/>
      <c r="T748" s="102"/>
    </row>
    <row r="749" spans="1:20" s="199" customFormat="1" ht="15.75" customHeight="1">
      <c r="A749" s="2627"/>
      <c r="B749" s="310" t="s">
        <v>1829</v>
      </c>
      <c r="C749" s="311"/>
      <c r="D749" s="312">
        <f t="shared" si="551"/>
        <v>1720</v>
      </c>
      <c r="E749" s="313">
        <v>3</v>
      </c>
      <c r="F749" s="314">
        <v>2</v>
      </c>
      <c r="G749" s="315" t="s">
        <v>315</v>
      </c>
      <c r="H749" s="314" t="s">
        <v>1043</v>
      </c>
      <c r="I749" s="316">
        <v>0.61</v>
      </c>
      <c r="J749" s="478">
        <f t="shared" si="552"/>
        <v>44.400000000000006</v>
      </c>
      <c r="K749" s="313">
        <v>0</v>
      </c>
      <c r="L749" s="318" t="str">
        <f t="shared" si="553"/>
        <v>1/750</v>
      </c>
      <c r="M749" s="317">
        <f t="shared" si="554"/>
        <v>1.9</v>
      </c>
      <c r="N749" s="308">
        <f t="shared" si="555"/>
        <v>339.22710000000001</v>
      </c>
      <c r="O749" s="288"/>
      <c r="P749" s="297"/>
      <c r="Q749" s="288"/>
      <c r="R749" s="102"/>
      <c r="S749" s="102"/>
      <c r="T749" s="102"/>
    </row>
    <row r="750" spans="1:20" s="199" customFormat="1" ht="15.75" customHeight="1">
      <c r="A750" s="2627"/>
      <c r="B750" s="310" t="s">
        <v>2577</v>
      </c>
      <c r="C750" s="311"/>
      <c r="D750" s="312">
        <f t="shared" si="551"/>
        <v>985</v>
      </c>
      <c r="E750" s="313">
        <v>3</v>
      </c>
      <c r="F750" s="314">
        <v>1</v>
      </c>
      <c r="G750" s="315" t="s">
        <v>581</v>
      </c>
      <c r="H750" s="314" t="s">
        <v>1044</v>
      </c>
      <c r="I750" s="316">
        <v>0.4</v>
      </c>
      <c r="J750" s="317">
        <f t="shared" si="552"/>
        <v>53.3</v>
      </c>
      <c r="K750" s="313">
        <v>0</v>
      </c>
      <c r="L750" s="318" t="str">
        <f t="shared" si="553"/>
        <v>1/750</v>
      </c>
      <c r="M750" s="317">
        <f t="shared" si="554"/>
        <v>1.9</v>
      </c>
      <c r="N750" s="308">
        <f t="shared" si="555"/>
        <v>133.51650000000001</v>
      </c>
      <c r="O750" s="288"/>
      <c r="P750" s="297"/>
      <c r="Q750" s="288"/>
      <c r="R750" s="102"/>
      <c r="S750" s="102"/>
      <c r="T750" s="102"/>
    </row>
    <row r="751" spans="1:20" s="199" customFormat="1" ht="15.75" customHeight="1">
      <c r="A751" s="2627"/>
      <c r="B751" s="310" t="s">
        <v>2577</v>
      </c>
      <c r="C751" s="311"/>
      <c r="D751" s="312">
        <f t="shared" ref="D751" si="556">IF(H751&lt;&gt;"",VLOOKUP(G751,base_barras,IF(H751="Desnuda",2,5)+F751-1,FALSE),"-")</f>
        <v>985</v>
      </c>
      <c r="E751" s="313">
        <v>3</v>
      </c>
      <c r="F751" s="314">
        <v>1</v>
      </c>
      <c r="G751" s="315" t="s">
        <v>581</v>
      </c>
      <c r="H751" s="314" t="s">
        <v>1044</v>
      </c>
      <c r="I751" s="316">
        <v>0.4</v>
      </c>
      <c r="J751" s="317">
        <f t="shared" ref="J751" si="557">IF(G751&lt;&gt;"",VLOOKUP(G751,precio_barras,9,FALSE),0)</f>
        <v>53.3</v>
      </c>
      <c r="K751" s="313">
        <v>0</v>
      </c>
      <c r="L751" s="318" t="str">
        <f t="shared" ref="L751" si="558">IF(G751&lt;&gt;"",IF(VLOOKUP(G751,base_barras,10,FALSE)&lt;&gt;"",VLOOKUP(G751,base_barras,10,FALSE),"-"),"-")</f>
        <v>1/750</v>
      </c>
      <c r="M751" s="317">
        <f t="shared" ref="M751" si="559">IF(L751&lt;&gt;"-",VLOOKUP(L751,precio_aislador,2,FALSE),0)</f>
        <v>1.9</v>
      </c>
      <c r="N751" s="308">
        <f t="shared" si="555"/>
        <v>133.51650000000001</v>
      </c>
      <c r="O751" s="288"/>
      <c r="P751" s="297"/>
      <c r="Q751" s="288"/>
      <c r="R751" s="102"/>
      <c r="S751" s="102"/>
      <c r="T751" s="102"/>
    </row>
    <row r="752" spans="1:20" s="199" customFormat="1" ht="14.25">
      <c r="A752" s="2627"/>
      <c r="B752" s="310" t="s">
        <v>801</v>
      </c>
      <c r="C752" s="319"/>
      <c r="D752" s="312">
        <f t="shared" si="551"/>
        <v>850</v>
      </c>
      <c r="E752" s="313">
        <v>1</v>
      </c>
      <c r="F752" s="314">
        <v>1</v>
      </c>
      <c r="G752" s="315" t="s">
        <v>469</v>
      </c>
      <c r="H752" s="314" t="s">
        <v>1043</v>
      </c>
      <c r="I752" s="316">
        <v>0</v>
      </c>
      <c r="J752" s="317">
        <f t="shared" si="552"/>
        <v>35.6</v>
      </c>
      <c r="K752" s="320">
        <v>0</v>
      </c>
      <c r="L752" s="318" t="str">
        <f t="shared" si="553"/>
        <v>1/750</v>
      </c>
      <c r="M752" s="317">
        <f t="shared" si="554"/>
        <v>1.9</v>
      </c>
      <c r="N752" s="308">
        <f t="shared" si="555"/>
        <v>0</v>
      </c>
      <c r="O752" s="288"/>
      <c r="P752" s="297"/>
      <c r="Q752" s="288"/>
      <c r="R752" s="102"/>
      <c r="S752" s="102"/>
      <c r="T752" s="102"/>
    </row>
    <row r="753" spans="1:20" s="199" customFormat="1" ht="15" thickBot="1">
      <c r="A753" s="2628"/>
      <c r="B753" s="321" t="s">
        <v>802</v>
      </c>
      <c r="C753" s="363"/>
      <c r="D753" s="364">
        <f t="shared" si="551"/>
        <v>850</v>
      </c>
      <c r="E753" s="365">
        <v>1</v>
      </c>
      <c r="F753" s="366">
        <v>1</v>
      </c>
      <c r="G753" s="322" t="s">
        <v>469</v>
      </c>
      <c r="H753" s="366" t="s">
        <v>1043</v>
      </c>
      <c r="I753" s="367">
        <f>I748</f>
        <v>1.6</v>
      </c>
      <c r="J753" s="368">
        <f t="shared" si="552"/>
        <v>35.6</v>
      </c>
      <c r="K753" s="395">
        <v>0</v>
      </c>
      <c r="L753" s="369" t="str">
        <f t="shared" si="553"/>
        <v>1/750</v>
      </c>
      <c r="M753" s="368">
        <f t="shared" si="554"/>
        <v>1.9</v>
      </c>
      <c r="N753" s="370">
        <f t="shared" si="555"/>
        <v>118.90400000000001</v>
      </c>
      <c r="O753" s="288"/>
      <c r="P753" s="297"/>
      <c r="Q753" s="288"/>
      <c r="R753" s="102"/>
      <c r="S753" s="102"/>
      <c r="T753" s="102"/>
    </row>
    <row r="754" spans="1:20" s="129" customFormat="1" ht="22.5" customHeight="1" thickBot="1">
      <c r="A754" s="371"/>
      <c r="B754" s="375"/>
      <c r="C754" s="375"/>
      <c r="D754" s="383"/>
      <c r="E754" s="373"/>
      <c r="F754" s="373"/>
      <c r="G754" s="373"/>
      <c r="H754" s="373"/>
      <c r="I754" s="374"/>
      <c r="J754" s="374"/>
      <c r="K754" s="373"/>
      <c r="L754" s="373"/>
      <c r="M754" s="372"/>
      <c r="N754" s="699">
        <f>SUM(N748:N753)</f>
        <v>1505.2211</v>
      </c>
      <c r="O754" s="288"/>
      <c r="P754" s="297"/>
      <c r="Q754" s="288"/>
      <c r="R754" s="102"/>
      <c r="S754" s="102"/>
      <c r="T754" s="102"/>
    </row>
    <row r="755" spans="1:20" s="102" customFormat="1" ht="8.25" customHeight="1" thickBot="1">
      <c r="A755" s="323"/>
      <c r="B755" s="309"/>
      <c r="C755" s="323"/>
      <c r="D755" s="382"/>
      <c r="E755" s="323"/>
      <c r="F755" s="325"/>
      <c r="G755" s="325"/>
      <c r="H755" s="325"/>
      <c r="I755" s="323"/>
      <c r="J755" s="323"/>
      <c r="K755" s="323"/>
      <c r="L755" s="325"/>
      <c r="M755" s="323"/>
      <c r="N755" s="309"/>
      <c r="O755" s="288"/>
      <c r="P755" s="297"/>
      <c r="Q755" s="288"/>
    </row>
    <row r="756" spans="1:20" s="102" customFormat="1">
      <c r="A756" s="2629" t="s">
        <v>1228</v>
      </c>
      <c r="B756" s="326" t="s">
        <v>1033</v>
      </c>
      <c r="C756" s="327"/>
      <c r="D756" s="328">
        <f>IF(H756&lt;&gt;"",VLOOKUP(G756,base_barras,IF(H756="Desnuda",2,5)+F756-1,FALSE),"-")</f>
        <v>1500</v>
      </c>
      <c r="E756" s="481">
        <v>3</v>
      </c>
      <c r="F756" s="330">
        <v>1</v>
      </c>
      <c r="G756" s="331" t="s">
        <v>582</v>
      </c>
      <c r="H756" s="330" t="s">
        <v>1043</v>
      </c>
      <c r="I756" s="332">
        <v>0.2</v>
      </c>
      <c r="J756" s="333">
        <f>IF(G756&lt;&gt;"",VLOOKUP(G756,precio_barras,9,FALSE),0)</f>
        <v>71.100000000000009</v>
      </c>
      <c r="K756" s="329">
        <v>0</v>
      </c>
      <c r="L756" s="343" t="str">
        <f>IF(G756&lt;&gt;"",IF(VLOOKUP(G756,base_barras,10,FALSE)&lt;&gt;"",VLOOKUP(G756,base_barras,10,FALSE),"-"),"-")</f>
        <v>1/1000</v>
      </c>
      <c r="M756" s="333">
        <f>IF(L756&lt;&gt;"-",VLOOKUP(L756,precio_aislador,2,FALSE),0)</f>
        <v>2.7</v>
      </c>
      <c r="N756" s="360">
        <f>(I756*J756*F756+K756*M756)*E756*1.67*1.25</f>
        <v>89.052750000000017</v>
      </c>
      <c r="O756" s="288"/>
      <c r="P756" s="297"/>
      <c r="Q756" s="297"/>
    </row>
    <row r="757" spans="1:20" s="102" customFormat="1" ht="13.5" thickBot="1">
      <c r="A757" s="2635"/>
      <c r="B757" s="321"/>
      <c r="C757" s="479"/>
      <c r="D757" s="364" t="str">
        <f>IF(H757&lt;&gt;"",VLOOKUP(G757,base_barras,IF(H757="Desnuda",2,5)+F757-1,FALSE),"-")</f>
        <v>-</v>
      </c>
      <c r="E757" s="365"/>
      <c r="F757" s="366"/>
      <c r="G757" s="322"/>
      <c r="H757" s="366"/>
      <c r="I757" s="367"/>
      <c r="J757" s="480">
        <f>IF(G757&lt;&gt;"",VLOOKUP(G757,precio_barras,9,FALSE),0)</f>
        <v>0</v>
      </c>
      <c r="K757" s="365"/>
      <c r="L757" s="369" t="str">
        <f>IF(G757&lt;&gt;"",IF(VLOOKUP(G757,base_barras,10,FALSE)&lt;&gt;"",VLOOKUP(G757,base_barras,10,FALSE),"-"),"-")</f>
        <v>-</v>
      </c>
      <c r="M757" s="368">
        <f>IF(L757&lt;&gt;"-",VLOOKUP(L757,precio_aislador,2,FALSE),0)</f>
        <v>0</v>
      </c>
      <c r="N757" s="370">
        <f>(I757*J757*F757+K757*M757)*E757*1.67*1.25</f>
        <v>0</v>
      </c>
      <c r="O757" s="288"/>
      <c r="P757" s="297"/>
      <c r="Q757" s="297"/>
    </row>
    <row r="758" spans="1:20" s="102" customFormat="1" ht="13.5" thickBot="1">
      <c r="A758" s="323"/>
      <c r="B758" s="309"/>
      <c r="C758" s="309"/>
      <c r="D758" s="382"/>
      <c r="E758" s="323"/>
      <c r="F758" s="309"/>
      <c r="G758" s="309"/>
      <c r="H758" s="323"/>
      <c r="I758" s="325"/>
      <c r="J758" s="325"/>
      <c r="K758" s="323"/>
      <c r="L758" s="323"/>
      <c r="M758" s="325"/>
      <c r="N758" s="706">
        <f>SUM(N756:N757)</f>
        <v>89.052750000000017</v>
      </c>
      <c r="O758" s="288"/>
      <c r="P758" s="297"/>
      <c r="Q758" s="297"/>
    </row>
    <row r="759" spans="1:20" s="102" customFormat="1">
      <c r="A759" s="323"/>
      <c r="B759" s="309"/>
      <c r="C759" s="309"/>
      <c r="D759" s="382"/>
      <c r="E759" s="323"/>
      <c r="F759" s="309"/>
      <c r="G759" s="309"/>
      <c r="H759" s="323"/>
      <c r="I759" s="325"/>
      <c r="J759" s="325"/>
      <c r="K759" s="323"/>
      <c r="L759" s="323"/>
      <c r="M759" s="325"/>
      <c r="N759" s="722"/>
      <c r="O759" s="288"/>
      <c r="P759" s="297"/>
      <c r="Q759" s="297"/>
    </row>
    <row r="760" spans="1:20" s="106" customFormat="1" ht="29.25" customHeight="1"/>
    <row r="761" spans="1:20" s="102" customFormat="1" ht="15">
      <c r="A761" s="323"/>
      <c r="B761" s="723" t="s">
        <v>2513</v>
      </c>
      <c r="C761" s="309"/>
      <c r="D761" s="382"/>
      <c r="E761" s="323"/>
      <c r="F761" s="309"/>
      <c r="G761" s="309"/>
      <c r="H761" s="323"/>
      <c r="I761" s="325"/>
      <c r="J761" s="325"/>
      <c r="K761" s="323"/>
      <c r="L761" s="323"/>
      <c r="M761" s="325"/>
      <c r="N761" s="722"/>
      <c r="O761" s="288"/>
      <c r="P761" s="297"/>
      <c r="Q761" s="297"/>
    </row>
    <row r="762" spans="1:20" s="106" customFormat="1" ht="13.5" thickBot="1"/>
    <row r="763" spans="1:20" s="199" customFormat="1" ht="15.75" customHeight="1">
      <c r="A763" s="2636" t="s">
        <v>1822</v>
      </c>
      <c r="B763" s="326" t="s">
        <v>1033</v>
      </c>
      <c r="C763" s="327"/>
      <c r="D763" s="328">
        <f t="shared" ref="D763:D768" si="560">IF(H763&lt;&gt;"",VLOOKUP(G763,base_barras,IF(H763="Desnuda",2,5)+F763-1,FALSE),"-")</f>
        <v>1500</v>
      </c>
      <c r="E763" s="329">
        <v>3</v>
      </c>
      <c r="F763" s="330">
        <v>1</v>
      </c>
      <c r="G763" s="331" t="s">
        <v>582</v>
      </c>
      <c r="H763" s="330" t="s">
        <v>1043</v>
      </c>
      <c r="I763" s="332">
        <f>0.8+0.8</f>
        <v>1.6</v>
      </c>
      <c r="J763" s="333">
        <f t="shared" ref="J763:J768" si="561">IF(G763&lt;&gt;"",VLOOKUP(G763,precio_barras,9,FALSE),0)</f>
        <v>71.100000000000009</v>
      </c>
      <c r="K763" s="329">
        <v>4</v>
      </c>
      <c r="L763" s="343" t="str">
        <f t="shared" ref="L763:L768" si="562">IF(G763&lt;&gt;"",IF(VLOOKUP(G763,base_barras,10,FALSE)&lt;&gt;"",VLOOKUP(G763,base_barras,10,FALSE),"-"),"-")</f>
        <v>1/1000</v>
      </c>
      <c r="M763" s="333">
        <f t="shared" ref="M763:M768" si="563">IF(L763&lt;&gt;"-",VLOOKUP(L763,precio_aislador,2,FALSE),0)</f>
        <v>2.7</v>
      </c>
      <c r="N763" s="360">
        <f t="shared" ref="N763:N768" si="564">(I763*J763*F763+K763*M763)*E763*1.67*1.25</f>
        <v>780.05700000000002</v>
      </c>
      <c r="O763" s="288"/>
      <c r="P763" s="297"/>
      <c r="Q763" s="288"/>
      <c r="R763" s="102"/>
      <c r="S763" s="102"/>
      <c r="T763" s="102"/>
    </row>
    <row r="764" spans="1:20" s="199" customFormat="1" ht="15.75" customHeight="1">
      <c r="A764" s="2627"/>
      <c r="B764" s="310" t="s">
        <v>1829</v>
      </c>
      <c r="C764" s="311"/>
      <c r="D764" s="312">
        <f t="shared" si="560"/>
        <v>1720</v>
      </c>
      <c r="E764" s="313">
        <v>3</v>
      </c>
      <c r="F764" s="314">
        <v>2</v>
      </c>
      <c r="G764" s="315" t="s">
        <v>315</v>
      </c>
      <c r="H764" s="314" t="s">
        <v>1043</v>
      </c>
      <c r="I764" s="316">
        <v>0.61</v>
      </c>
      <c r="J764" s="478">
        <f t="shared" si="561"/>
        <v>44.400000000000006</v>
      </c>
      <c r="K764" s="313">
        <v>0</v>
      </c>
      <c r="L764" s="318" t="str">
        <f t="shared" si="562"/>
        <v>1/750</v>
      </c>
      <c r="M764" s="317">
        <f t="shared" si="563"/>
        <v>1.9</v>
      </c>
      <c r="N764" s="308">
        <f t="shared" si="564"/>
        <v>339.22710000000001</v>
      </c>
      <c r="O764" s="288"/>
      <c r="P764" s="297"/>
      <c r="Q764" s="288"/>
      <c r="R764" s="102"/>
      <c r="S764" s="102"/>
      <c r="T764" s="102"/>
    </row>
    <row r="765" spans="1:20" s="199" customFormat="1" ht="15.75" customHeight="1">
      <c r="A765" s="2627"/>
      <c r="B765" s="310" t="s">
        <v>2577</v>
      </c>
      <c r="C765" s="311"/>
      <c r="D765" s="312">
        <f t="shared" si="560"/>
        <v>985</v>
      </c>
      <c r="E765" s="313">
        <v>3</v>
      </c>
      <c r="F765" s="314">
        <v>1</v>
      </c>
      <c r="G765" s="315" t="s">
        <v>581</v>
      </c>
      <c r="H765" s="314" t="s">
        <v>1044</v>
      </c>
      <c r="I765" s="316">
        <v>0.4</v>
      </c>
      <c r="J765" s="317">
        <f t="shared" si="561"/>
        <v>53.3</v>
      </c>
      <c r="K765" s="313">
        <v>0</v>
      </c>
      <c r="L765" s="318" t="str">
        <f t="shared" si="562"/>
        <v>1/750</v>
      </c>
      <c r="M765" s="317">
        <f t="shared" si="563"/>
        <v>1.9</v>
      </c>
      <c r="N765" s="308">
        <f t="shared" si="564"/>
        <v>133.51650000000001</v>
      </c>
      <c r="O765" s="288"/>
      <c r="P765" s="297"/>
      <c r="Q765" s="288"/>
      <c r="R765" s="102"/>
      <c r="S765" s="102"/>
      <c r="T765" s="102"/>
    </row>
    <row r="766" spans="1:20" s="199" customFormat="1" ht="15.75" customHeight="1">
      <c r="A766" s="2627"/>
      <c r="B766" s="310" t="s">
        <v>2577</v>
      </c>
      <c r="C766" s="311"/>
      <c r="D766" s="312">
        <f t="shared" si="560"/>
        <v>985</v>
      </c>
      <c r="E766" s="313">
        <v>3</v>
      </c>
      <c r="F766" s="314">
        <v>1</v>
      </c>
      <c r="G766" s="315" t="s">
        <v>581</v>
      </c>
      <c r="H766" s="314" t="s">
        <v>1044</v>
      </c>
      <c r="I766" s="316">
        <v>0.4</v>
      </c>
      <c r="J766" s="317">
        <f t="shared" si="561"/>
        <v>53.3</v>
      </c>
      <c r="K766" s="313">
        <v>0</v>
      </c>
      <c r="L766" s="318" t="str">
        <f t="shared" si="562"/>
        <v>1/750</v>
      </c>
      <c r="M766" s="317">
        <f t="shared" si="563"/>
        <v>1.9</v>
      </c>
      <c r="N766" s="308">
        <f t="shared" si="564"/>
        <v>133.51650000000001</v>
      </c>
      <c r="O766" s="288"/>
      <c r="P766" s="297"/>
      <c r="Q766" s="288"/>
      <c r="R766" s="102"/>
      <c r="S766" s="102"/>
      <c r="T766" s="102"/>
    </row>
    <row r="767" spans="1:20" s="199" customFormat="1" ht="14.25">
      <c r="A767" s="2627"/>
      <c r="B767" s="310" t="s">
        <v>801</v>
      </c>
      <c r="C767" s="319"/>
      <c r="D767" s="312">
        <f t="shared" si="560"/>
        <v>850</v>
      </c>
      <c r="E767" s="313">
        <v>1</v>
      </c>
      <c r="F767" s="314">
        <v>1</v>
      </c>
      <c r="G767" s="315" t="s">
        <v>469</v>
      </c>
      <c r="H767" s="314" t="s">
        <v>1043</v>
      </c>
      <c r="I767" s="316">
        <v>0</v>
      </c>
      <c r="J767" s="317">
        <f t="shared" si="561"/>
        <v>35.6</v>
      </c>
      <c r="K767" s="320">
        <v>0</v>
      </c>
      <c r="L767" s="318" t="str">
        <f t="shared" si="562"/>
        <v>1/750</v>
      </c>
      <c r="M767" s="317">
        <f t="shared" si="563"/>
        <v>1.9</v>
      </c>
      <c r="N767" s="308">
        <f t="shared" si="564"/>
        <v>0</v>
      </c>
      <c r="O767" s="288"/>
      <c r="P767" s="297"/>
      <c r="Q767" s="288"/>
      <c r="R767" s="102"/>
      <c r="S767" s="102"/>
      <c r="T767" s="102"/>
    </row>
    <row r="768" spans="1:20" s="199" customFormat="1" ht="15" thickBot="1">
      <c r="A768" s="2628"/>
      <c r="B768" s="321" t="s">
        <v>802</v>
      </c>
      <c r="C768" s="363"/>
      <c r="D768" s="364">
        <f t="shared" si="560"/>
        <v>850</v>
      </c>
      <c r="E768" s="365">
        <v>1</v>
      </c>
      <c r="F768" s="366">
        <v>1</v>
      </c>
      <c r="G768" s="322" t="s">
        <v>469</v>
      </c>
      <c r="H768" s="366" t="s">
        <v>1043</v>
      </c>
      <c r="I768" s="367">
        <f>I763</f>
        <v>1.6</v>
      </c>
      <c r="J768" s="368">
        <f t="shared" si="561"/>
        <v>35.6</v>
      </c>
      <c r="K768" s="395">
        <v>0</v>
      </c>
      <c r="L768" s="369" t="str">
        <f t="shared" si="562"/>
        <v>1/750</v>
      </c>
      <c r="M768" s="368">
        <f t="shared" si="563"/>
        <v>1.9</v>
      </c>
      <c r="N768" s="370">
        <f t="shared" si="564"/>
        <v>118.90400000000001</v>
      </c>
      <c r="O768" s="288"/>
      <c r="P768" s="297"/>
      <c r="Q768" s="288"/>
      <c r="R768" s="102"/>
      <c r="S768" s="102"/>
      <c r="T768" s="102"/>
    </row>
    <row r="769" spans="1:20" s="129" customFormat="1" ht="22.5" customHeight="1" thickBot="1">
      <c r="A769" s="371"/>
      <c r="B769" s="375"/>
      <c r="C769" s="375"/>
      <c r="D769" s="383"/>
      <c r="E769" s="373"/>
      <c r="F769" s="373"/>
      <c r="G769" s="373"/>
      <c r="H769" s="373"/>
      <c r="I769" s="374"/>
      <c r="J769" s="374"/>
      <c r="K769" s="373"/>
      <c r="L769" s="373"/>
      <c r="M769" s="372"/>
      <c r="N769" s="699">
        <f>SUM(N763:N768)</f>
        <v>1505.2211</v>
      </c>
      <c r="O769" s="288"/>
      <c r="P769" s="297"/>
      <c r="Q769" s="288"/>
      <c r="R769" s="102"/>
      <c r="S769" s="102"/>
      <c r="T769" s="102"/>
    </row>
    <row r="770" spans="1:20" s="102" customFormat="1" ht="8.25" customHeight="1" thickBot="1">
      <c r="A770" s="323"/>
      <c r="B770" s="309"/>
      <c r="C770" s="323"/>
      <c r="D770" s="382"/>
      <c r="E770" s="323"/>
      <c r="F770" s="325"/>
      <c r="G770" s="325"/>
      <c r="H770" s="325"/>
      <c r="I770" s="323"/>
      <c r="J770" s="323"/>
      <c r="K770" s="323"/>
      <c r="L770" s="325"/>
      <c r="M770" s="323"/>
      <c r="N770" s="309"/>
      <c r="O770" s="288"/>
      <c r="P770" s="297"/>
      <c r="Q770" s="288"/>
    </row>
    <row r="771" spans="1:20" s="102" customFormat="1">
      <c r="A771" s="2629" t="s">
        <v>1228</v>
      </c>
      <c r="B771" s="326" t="s">
        <v>1033</v>
      </c>
      <c r="C771" s="327"/>
      <c r="D771" s="328">
        <f>IF(H771&lt;&gt;"",VLOOKUP(G771,base_barras,IF(H771="Desnuda",2,5)+F771-1,FALSE),"-")</f>
        <v>1500</v>
      </c>
      <c r="E771" s="481">
        <v>3</v>
      </c>
      <c r="F771" s="330">
        <v>1</v>
      </c>
      <c r="G771" s="331" t="s">
        <v>582</v>
      </c>
      <c r="H771" s="330" t="s">
        <v>1043</v>
      </c>
      <c r="I771" s="332">
        <v>0.2</v>
      </c>
      <c r="J771" s="333">
        <f>IF(G771&lt;&gt;"",VLOOKUP(G771,precio_barras,9,FALSE),0)</f>
        <v>71.100000000000009</v>
      </c>
      <c r="K771" s="329">
        <v>0</v>
      </c>
      <c r="L771" s="343" t="str">
        <f>IF(G771&lt;&gt;"",IF(VLOOKUP(G771,base_barras,10,FALSE)&lt;&gt;"",VLOOKUP(G771,base_barras,10,FALSE),"-"),"-")</f>
        <v>1/1000</v>
      </c>
      <c r="M771" s="333">
        <f>IF(L771&lt;&gt;"-",VLOOKUP(L771,precio_aislador,2,FALSE),0)</f>
        <v>2.7</v>
      </c>
      <c r="N771" s="360">
        <f>(I771*J771*F771+K771*M771)*E771*1.67*1.25</f>
        <v>89.052750000000017</v>
      </c>
      <c r="O771" s="288"/>
      <c r="P771" s="297"/>
      <c r="Q771" s="297"/>
    </row>
    <row r="772" spans="1:20" s="102" customFormat="1" ht="13.5" thickBot="1">
      <c r="A772" s="2635"/>
      <c r="B772" s="321"/>
      <c r="C772" s="479"/>
      <c r="D772" s="364" t="str">
        <f>IF(H772&lt;&gt;"",VLOOKUP(G772,base_barras,IF(H772="Desnuda",2,5)+F772-1,FALSE),"-")</f>
        <v>-</v>
      </c>
      <c r="E772" s="365"/>
      <c r="F772" s="366"/>
      <c r="G772" s="322"/>
      <c r="H772" s="366"/>
      <c r="I772" s="367"/>
      <c r="J772" s="480">
        <f>IF(G772&lt;&gt;"",VLOOKUP(G772,precio_barras,9,FALSE),0)</f>
        <v>0</v>
      </c>
      <c r="K772" s="365"/>
      <c r="L772" s="369" t="str">
        <f>IF(G772&lt;&gt;"",IF(VLOOKUP(G772,base_barras,10,FALSE)&lt;&gt;"",VLOOKUP(G772,base_barras,10,FALSE),"-"),"-")</f>
        <v>-</v>
      </c>
      <c r="M772" s="368">
        <f>IF(L772&lt;&gt;"-",VLOOKUP(L772,precio_aislador,2,FALSE),0)</f>
        <v>0</v>
      </c>
      <c r="N772" s="370">
        <f>(I772*J772*F772+K772*M772)*E772*1.67*1.25</f>
        <v>0</v>
      </c>
      <c r="O772" s="288"/>
      <c r="P772" s="297"/>
      <c r="Q772" s="297"/>
    </row>
    <row r="773" spans="1:20" s="102" customFormat="1" ht="13.5" thickBot="1">
      <c r="A773" s="323"/>
      <c r="B773" s="309"/>
      <c r="C773" s="309"/>
      <c r="D773" s="382"/>
      <c r="E773" s="323"/>
      <c r="F773" s="309"/>
      <c r="G773" s="309"/>
      <c r="H773" s="323"/>
      <c r="I773" s="325"/>
      <c r="J773" s="325"/>
      <c r="K773" s="323"/>
      <c r="L773" s="323"/>
      <c r="M773" s="325"/>
      <c r="N773" s="706">
        <f>SUM(N771:N772)</f>
        <v>89.052750000000017</v>
      </c>
      <c r="O773" s="288"/>
      <c r="P773" s="297"/>
      <c r="Q773" s="297"/>
    </row>
    <row r="774" spans="1:20" s="102" customFormat="1">
      <c r="A774" s="323"/>
      <c r="B774" s="309"/>
      <c r="C774" s="309"/>
      <c r="D774" s="382"/>
      <c r="E774" s="323"/>
      <c r="F774" s="309"/>
      <c r="G774" s="309"/>
      <c r="H774" s="323"/>
      <c r="I774" s="325"/>
      <c r="J774" s="325"/>
      <c r="K774" s="323"/>
      <c r="L774" s="323"/>
      <c r="M774" s="325"/>
      <c r="N774" s="722"/>
      <c r="O774" s="288"/>
      <c r="P774" s="297"/>
      <c r="Q774" s="297"/>
    </row>
    <row r="775" spans="1:20" s="102" customFormat="1" ht="15">
      <c r="A775" s="323"/>
      <c r="B775" s="723" t="s">
        <v>2513</v>
      </c>
      <c r="C775" s="309"/>
      <c r="D775" s="382"/>
      <c r="E775" s="323"/>
      <c r="F775" s="309"/>
      <c r="G775" s="309"/>
      <c r="H775" s="323"/>
      <c r="I775" s="325"/>
      <c r="J775" s="325"/>
      <c r="K775" s="323"/>
      <c r="L775" s="323"/>
      <c r="M775" s="325"/>
      <c r="N775" s="722"/>
      <c r="O775" s="288"/>
      <c r="P775" s="297"/>
      <c r="Q775" s="297"/>
    </row>
    <row r="776" spans="1:20" s="106" customFormat="1" ht="29.25" customHeight="1" thickBot="1"/>
    <row r="777" spans="1:20" s="199" customFormat="1" ht="15.75" customHeight="1">
      <c r="A777" s="2636" t="s">
        <v>1823</v>
      </c>
      <c r="B777" s="326" t="s">
        <v>1033</v>
      </c>
      <c r="C777" s="327"/>
      <c r="D777" s="328">
        <f t="shared" ref="D777:D780" si="565">IF(H777&lt;&gt;"",VLOOKUP(G777,base_barras,IF(H777="Desnuda",2,5)+F777-1,FALSE),"-")</f>
        <v>676</v>
      </c>
      <c r="E777" s="329">
        <v>4</v>
      </c>
      <c r="F777" s="330">
        <v>1</v>
      </c>
      <c r="G777" s="331" t="s">
        <v>314</v>
      </c>
      <c r="H777" s="330" t="s">
        <v>1043</v>
      </c>
      <c r="I777" s="332">
        <v>0</v>
      </c>
      <c r="J777" s="333">
        <f t="shared" ref="J777:J780" si="566">IF(G777&lt;&gt;"",VLOOKUP(G777,precio_barras,9,FALSE),0)</f>
        <v>26.6</v>
      </c>
      <c r="K777" s="329">
        <v>0</v>
      </c>
      <c r="L777" s="343" t="str">
        <f t="shared" ref="L777:L780" si="567">IF(G777&lt;&gt;"",IF(VLOOKUP(G777,base_barras,10,FALSE)&lt;&gt;"",VLOOKUP(G777,base_barras,10,FALSE),"-"),"-")</f>
        <v>1/750</v>
      </c>
      <c r="M777" s="333">
        <f t="shared" ref="M777:M780" si="568">IF(L777&lt;&gt;"-",VLOOKUP(L777,precio_aislador,2,FALSE),0)</f>
        <v>1.9</v>
      </c>
      <c r="N777" s="360">
        <f t="shared" ref="N777:N780" si="569">(I777*J777*F777+K777*M777)*E777*1.67*1.25</f>
        <v>0</v>
      </c>
      <c r="O777" s="288"/>
      <c r="P777" s="297"/>
      <c r="Q777" s="288"/>
      <c r="R777" s="102"/>
      <c r="S777" s="102"/>
      <c r="T777" s="102"/>
    </row>
    <row r="778" spans="1:20" s="199" customFormat="1" ht="15.75" customHeight="1">
      <c r="A778" s="2627"/>
      <c r="B778" s="310" t="s">
        <v>2573</v>
      </c>
      <c r="C778" s="311"/>
      <c r="D778" s="312">
        <f t="shared" si="565"/>
        <v>573</v>
      </c>
      <c r="E778" s="313">
        <v>4</v>
      </c>
      <c r="F778" s="314">
        <v>1</v>
      </c>
      <c r="G778" s="315" t="s">
        <v>314</v>
      </c>
      <c r="H778" s="314" t="s">
        <v>1044</v>
      </c>
      <c r="I778" s="316">
        <v>0.23</v>
      </c>
      <c r="J778" s="317">
        <f t="shared" si="566"/>
        <v>26.6</v>
      </c>
      <c r="K778" s="313">
        <v>0</v>
      </c>
      <c r="L778" s="318" t="str">
        <f t="shared" si="567"/>
        <v>1/750</v>
      </c>
      <c r="M778" s="317">
        <f t="shared" si="568"/>
        <v>1.9</v>
      </c>
      <c r="N778" s="308">
        <f t="shared" si="569"/>
        <v>51.085300000000004</v>
      </c>
      <c r="O778" s="288"/>
      <c r="P778" s="297"/>
      <c r="Q778" s="288"/>
      <c r="R778" s="102"/>
      <c r="S778" s="102"/>
      <c r="T778" s="102"/>
    </row>
    <row r="779" spans="1:20" s="199" customFormat="1" ht="14.25">
      <c r="A779" s="2627"/>
      <c r="B779" s="310" t="s">
        <v>801</v>
      </c>
      <c r="C779" s="319"/>
      <c r="D779" s="312">
        <f t="shared" si="565"/>
        <v>676</v>
      </c>
      <c r="E779" s="313">
        <v>1</v>
      </c>
      <c r="F779" s="314">
        <v>1</v>
      </c>
      <c r="G779" s="315" t="s">
        <v>314</v>
      </c>
      <c r="H779" s="314" t="s">
        <v>1043</v>
      </c>
      <c r="I779" s="316">
        <v>0.8</v>
      </c>
      <c r="J779" s="317">
        <f t="shared" si="566"/>
        <v>26.6</v>
      </c>
      <c r="K779" s="320">
        <v>2</v>
      </c>
      <c r="L779" s="318" t="str">
        <f t="shared" si="567"/>
        <v>1/750</v>
      </c>
      <c r="M779" s="317">
        <f t="shared" si="568"/>
        <v>1.9</v>
      </c>
      <c r="N779" s="308">
        <f t="shared" si="569"/>
        <v>52.354500000000002</v>
      </c>
      <c r="O779" s="288"/>
      <c r="P779" s="297"/>
      <c r="Q779" s="288"/>
      <c r="R779" s="102"/>
      <c r="S779" s="102"/>
      <c r="T779" s="102"/>
    </row>
    <row r="780" spans="1:20" s="199" customFormat="1" ht="15" thickBot="1">
      <c r="A780" s="2628"/>
      <c r="B780" s="321" t="s">
        <v>802</v>
      </c>
      <c r="C780" s="363"/>
      <c r="D780" s="364">
        <f t="shared" si="565"/>
        <v>497</v>
      </c>
      <c r="E780" s="365">
        <v>1</v>
      </c>
      <c r="F780" s="366">
        <v>1</v>
      </c>
      <c r="G780" s="322" t="s">
        <v>62</v>
      </c>
      <c r="H780" s="366" t="s">
        <v>1043</v>
      </c>
      <c r="I780" s="367">
        <v>0.8</v>
      </c>
      <c r="J780" s="368">
        <f t="shared" si="566"/>
        <v>17.7</v>
      </c>
      <c r="K780" s="395">
        <v>0</v>
      </c>
      <c r="L780" s="369" t="str">
        <f t="shared" si="567"/>
        <v>-</v>
      </c>
      <c r="M780" s="368">
        <f t="shared" si="568"/>
        <v>0</v>
      </c>
      <c r="N780" s="370">
        <f t="shared" si="569"/>
        <v>29.558999999999997</v>
      </c>
      <c r="O780" s="288"/>
      <c r="P780" s="297"/>
      <c r="Q780" s="288"/>
      <c r="R780" s="102"/>
      <c r="S780" s="102"/>
      <c r="T780" s="102"/>
    </row>
    <row r="781" spans="1:20" s="129" customFormat="1" ht="22.5" customHeight="1" thickBot="1">
      <c r="A781" s="371"/>
      <c r="B781" s="375"/>
      <c r="C781" s="375"/>
      <c r="D781" s="383"/>
      <c r="E781" s="373"/>
      <c r="F781" s="373"/>
      <c r="G781" s="373"/>
      <c r="H781" s="373"/>
      <c r="I781" s="374"/>
      <c r="J781" s="374"/>
      <c r="K781" s="373"/>
      <c r="L781" s="373"/>
      <c r="M781" s="372"/>
      <c r="N781" s="699">
        <f>SUM(N777:N780)</f>
        <v>132.99880000000002</v>
      </c>
      <c r="O781" s="288"/>
      <c r="P781" s="297"/>
      <c r="Q781" s="288"/>
      <c r="R781" s="102"/>
      <c r="S781" s="102"/>
      <c r="T781" s="102"/>
    </row>
    <row r="782" spans="1:20" s="102" customFormat="1" ht="8.25" customHeight="1" thickBot="1">
      <c r="A782" s="323"/>
      <c r="B782" s="309"/>
      <c r="C782" s="323"/>
      <c r="D782" s="382"/>
      <c r="E782" s="323"/>
      <c r="F782" s="325"/>
      <c r="G782" s="325"/>
      <c r="H782" s="325"/>
      <c r="I782" s="323"/>
      <c r="J782" s="323"/>
      <c r="K782" s="323"/>
      <c r="L782" s="325"/>
      <c r="M782" s="323"/>
      <c r="N782" s="309"/>
      <c r="O782" s="288"/>
      <c r="P782" s="297"/>
      <c r="Q782" s="288"/>
    </row>
    <row r="783" spans="1:20" s="102" customFormat="1">
      <c r="A783" s="2629" t="s">
        <v>1228</v>
      </c>
      <c r="B783" s="326" t="s">
        <v>1033</v>
      </c>
      <c r="C783" s="327"/>
      <c r="D783" s="328">
        <f>IF(H783&lt;&gt;"",VLOOKUP(G783,base_barras,IF(H783="Desnuda",2,5)+F783-1,FALSE),"-")</f>
        <v>1180</v>
      </c>
      <c r="E783" s="481">
        <f>3+1</f>
        <v>4</v>
      </c>
      <c r="F783" s="330">
        <v>1</v>
      </c>
      <c r="G783" s="331" t="s">
        <v>581</v>
      </c>
      <c r="H783" s="330" t="s">
        <v>1043</v>
      </c>
      <c r="I783" s="332">
        <v>0</v>
      </c>
      <c r="J783" s="362">
        <v>69.290000000000006</v>
      </c>
      <c r="K783" s="329">
        <v>0</v>
      </c>
      <c r="L783" s="343" t="str">
        <f>IF(G783&lt;&gt;"",IF(VLOOKUP(G783,base_barras,10,FALSE)&lt;&gt;"",VLOOKUP(G783,base_barras,10,FALSE),"-"),"-")</f>
        <v>1/750</v>
      </c>
      <c r="M783" s="333">
        <f>IF(L783&lt;&gt;"-",VLOOKUP(L783,precio_aislador,2,FALSE),0)</f>
        <v>1.9</v>
      </c>
      <c r="N783" s="360">
        <f>(I783*J783*F783+K783*M783)*E783*1.67*1.25</f>
        <v>0</v>
      </c>
      <c r="O783" s="288"/>
      <c r="P783" s="297"/>
      <c r="Q783" s="297"/>
    </row>
    <row r="784" spans="1:20" s="102" customFormat="1" ht="13.5" thickBot="1">
      <c r="A784" s="2635"/>
      <c r="B784" s="321"/>
      <c r="C784" s="479"/>
      <c r="D784" s="364" t="str">
        <f>IF(H784&lt;&gt;"",VLOOKUP(G784,base_barras,IF(H784="Desnuda",2,5)+F784-1,FALSE),"-")</f>
        <v>-</v>
      </c>
      <c r="E784" s="365"/>
      <c r="F784" s="366"/>
      <c r="G784" s="322"/>
      <c r="H784" s="366"/>
      <c r="I784" s="367"/>
      <c r="J784" s="819">
        <v>0</v>
      </c>
      <c r="K784" s="365"/>
      <c r="L784" s="369" t="str">
        <f>IF(G784&lt;&gt;"",IF(VLOOKUP(G784,base_barras,10,FALSE)&lt;&gt;"",VLOOKUP(G784,base_barras,10,FALSE),"-"),"-")</f>
        <v>-</v>
      </c>
      <c r="M784" s="368">
        <f>IF(L784&lt;&gt;"-",VLOOKUP(L784,precio_aislador,2,FALSE),0)</f>
        <v>0</v>
      </c>
      <c r="N784" s="370">
        <f>(I784*J784*F784+K784*M784)*E784*1.67*1.25</f>
        <v>0</v>
      </c>
      <c r="O784" s="288"/>
      <c r="P784" s="297"/>
      <c r="Q784" s="297"/>
    </row>
    <row r="785" spans="1:20" s="102" customFormat="1" ht="14.25" customHeight="1">
      <c r="A785" s="379"/>
      <c r="B785" s="380"/>
      <c r="C785" s="379"/>
      <c r="D785" s="379"/>
      <c r="E785" s="379"/>
      <c r="F785" s="381"/>
      <c r="G785" s="381"/>
      <c r="H785" s="381"/>
      <c r="I785" s="379"/>
      <c r="J785" s="379"/>
      <c r="K785" s="379"/>
      <c r="L785" s="381"/>
      <c r="M785" s="379"/>
      <c r="N785" s="305"/>
      <c r="O785" s="288"/>
      <c r="P785" s="297"/>
      <c r="Q785" s="297"/>
    </row>
    <row r="786" spans="1:20" s="102" customFormat="1" ht="14.25" customHeight="1">
      <c r="A786" s="379"/>
      <c r="B786" s="380"/>
      <c r="C786" s="379"/>
      <c r="D786" s="379"/>
      <c r="E786" s="379"/>
      <c r="F786" s="381"/>
      <c r="G786" s="381"/>
      <c r="H786" s="381"/>
      <c r="I786" s="379"/>
      <c r="J786" s="379"/>
      <c r="K786" s="379"/>
      <c r="L786" s="381"/>
      <c r="M786" s="379"/>
      <c r="N786" s="305"/>
      <c r="O786" s="288"/>
      <c r="P786" s="297"/>
      <c r="Q786" s="297"/>
    </row>
    <row r="787" spans="1:20" s="106" customFormat="1"/>
    <row r="788" spans="1:20" s="102" customFormat="1" ht="15">
      <c r="A788" s="323"/>
      <c r="B788" s="723" t="s">
        <v>2513</v>
      </c>
      <c r="C788" s="309"/>
      <c r="D788" s="382"/>
      <c r="E788" s="323"/>
      <c r="F788" s="309"/>
      <c r="G788" s="309"/>
      <c r="H788" s="323"/>
      <c r="I788" s="325"/>
      <c r="J788" s="325"/>
      <c r="K788" s="323"/>
      <c r="L788" s="323"/>
      <c r="M788" s="325"/>
      <c r="N788" s="722"/>
      <c r="O788" s="288"/>
      <c r="P788" s="297"/>
      <c r="Q788" s="297"/>
    </row>
    <row r="789" spans="1:20" s="106" customFormat="1" ht="29.25" customHeight="1" thickBot="1"/>
    <row r="790" spans="1:20" s="199" customFormat="1" ht="15.75" customHeight="1">
      <c r="A790" s="2636" t="s">
        <v>2685</v>
      </c>
      <c r="B790" s="326" t="s">
        <v>1033</v>
      </c>
      <c r="C790" s="327"/>
      <c r="D790" s="328">
        <f t="shared" ref="D790:D793" si="570">IF(H790&lt;&gt;"",VLOOKUP(G790,base_barras,IF(H790="Desnuda",2,5)+F790-1,FALSE),"-")</f>
        <v>676</v>
      </c>
      <c r="E790" s="329">
        <v>4</v>
      </c>
      <c r="F790" s="330">
        <v>1</v>
      </c>
      <c r="G790" s="331" t="s">
        <v>314</v>
      </c>
      <c r="H790" s="330" t="s">
        <v>1043</v>
      </c>
      <c r="I790" s="332">
        <v>0</v>
      </c>
      <c r="J790" s="333">
        <f t="shared" ref="J790:J793" si="571">IF(G790&lt;&gt;"",VLOOKUP(G790,precio_barras,9,FALSE),0)</f>
        <v>26.6</v>
      </c>
      <c r="K790" s="329">
        <v>0</v>
      </c>
      <c r="L790" s="343" t="str">
        <f t="shared" ref="L790:L793" si="572">IF(G790&lt;&gt;"",IF(VLOOKUP(G790,base_barras,10,FALSE)&lt;&gt;"",VLOOKUP(G790,base_barras,10,FALSE),"-"),"-")</f>
        <v>1/750</v>
      </c>
      <c r="M790" s="333">
        <f t="shared" ref="M790:M793" si="573">IF(L790&lt;&gt;"-",VLOOKUP(L790,precio_aislador,2,FALSE),0)</f>
        <v>1.9</v>
      </c>
      <c r="N790" s="360">
        <f t="shared" ref="N790:N793" si="574">(I790*J790*F790+K790*M790)*E790*1.67*1.25</f>
        <v>0</v>
      </c>
      <c r="O790" s="288"/>
      <c r="P790" s="297"/>
      <c r="Q790" s="288"/>
      <c r="R790" s="102"/>
      <c r="S790" s="102"/>
      <c r="T790" s="102"/>
    </row>
    <row r="791" spans="1:20" s="199" customFormat="1" ht="15.75" customHeight="1">
      <c r="A791" s="2627"/>
      <c r="B791" s="310" t="s">
        <v>2573</v>
      </c>
      <c r="C791" s="311"/>
      <c r="D791" s="312">
        <f t="shared" si="570"/>
        <v>573</v>
      </c>
      <c r="E791" s="313">
        <v>4</v>
      </c>
      <c r="F791" s="314">
        <v>1</v>
      </c>
      <c r="G791" s="315" t="s">
        <v>314</v>
      </c>
      <c r="H791" s="314" t="s">
        <v>1044</v>
      </c>
      <c r="I791" s="316">
        <v>0.23</v>
      </c>
      <c r="J791" s="317">
        <f t="shared" si="571"/>
        <v>26.6</v>
      </c>
      <c r="K791" s="313">
        <v>0</v>
      </c>
      <c r="L791" s="318" t="str">
        <f t="shared" si="572"/>
        <v>1/750</v>
      </c>
      <c r="M791" s="317">
        <f t="shared" si="573"/>
        <v>1.9</v>
      </c>
      <c r="N791" s="308">
        <f t="shared" si="574"/>
        <v>51.085300000000004</v>
      </c>
      <c r="O791" s="288"/>
      <c r="P791" s="297"/>
      <c r="Q791" s="288"/>
      <c r="R791" s="102"/>
      <c r="S791" s="102"/>
      <c r="T791" s="102"/>
    </row>
    <row r="792" spans="1:20" s="199" customFormat="1" ht="14.25">
      <c r="A792" s="2627"/>
      <c r="B792" s="310" t="s">
        <v>801</v>
      </c>
      <c r="C792" s="319"/>
      <c r="D792" s="312">
        <f t="shared" si="570"/>
        <v>676</v>
      </c>
      <c r="E792" s="313">
        <v>1</v>
      </c>
      <c r="F792" s="314">
        <v>1</v>
      </c>
      <c r="G792" s="315" t="s">
        <v>314</v>
      </c>
      <c r="H792" s="314" t="s">
        <v>1043</v>
      </c>
      <c r="I792" s="316">
        <v>0.8</v>
      </c>
      <c r="J792" s="317">
        <f t="shared" si="571"/>
        <v>26.6</v>
      </c>
      <c r="K792" s="320">
        <v>2</v>
      </c>
      <c r="L792" s="318" t="str">
        <f t="shared" si="572"/>
        <v>1/750</v>
      </c>
      <c r="M792" s="317">
        <f t="shared" si="573"/>
        <v>1.9</v>
      </c>
      <c r="N792" s="308">
        <f t="shared" si="574"/>
        <v>52.354500000000002</v>
      </c>
      <c r="O792" s="288"/>
      <c r="P792" s="297"/>
      <c r="Q792" s="288"/>
      <c r="R792" s="102"/>
      <c r="S792" s="102"/>
      <c r="T792" s="102"/>
    </row>
    <row r="793" spans="1:20" s="199" customFormat="1" ht="15" thickBot="1">
      <c r="A793" s="2628"/>
      <c r="B793" s="321" t="s">
        <v>802</v>
      </c>
      <c r="C793" s="363"/>
      <c r="D793" s="364">
        <f t="shared" si="570"/>
        <v>497</v>
      </c>
      <c r="E793" s="365">
        <v>1</v>
      </c>
      <c r="F793" s="366">
        <v>1</v>
      </c>
      <c r="G793" s="322" t="s">
        <v>62</v>
      </c>
      <c r="H793" s="366" t="s">
        <v>1043</v>
      </c>
      <c r="I793" s="367">
        <v>0.8</v>
      </c>
      <c r="J793" s="368">
        <f t="shared" si="571"/>
        <v>17.7</v>
      </c>
      <c r="K793" s="395">
        <v>0</v>
      </c>
      <c r="L793" s="369" t="str">
        <f t="shared" si="572"/>
        <v>-</v>
      </c>
      <c r="M793" s="368">
        <f t="shared" si="573"/>
        <v>0</v>
      </c>
      <c r="N793" s="370">
        <f t="shared" si="574"/>
        <v>29.558999999999997</v>
      </c>
      <c r="O793" s="288"/>
      <c r="P793" s="297"/>
      <c r="Q793" s="288"/>
      <c r="R793" s="102"/>
      <c r="S793" s="102"/>
      <c r="T793" s="102"/>
    </row>
    <row r="794" spans="1:20" s="129" customFormat="1" ht="22.5" customHeight="1" thickBot="1">
      <c r="A794" s="371"/>
      <c r="B794" s="375"/>
      <c r="C794" s="375"/>
      <c r="D794" s="383"/>
      <c r="E794" s="373"/>
      <c r="F794" s="373"/>
      <c r="G794" s="373"/>
      <c r="H794" s="373"/>
      <c r="I794" s="374"/>
      <c r="J794" s="374"/>
      <c r="K794" s="373"/>
      <c r="L794" s="373"/>
      <c r="M794" s="372"/>
      <c r="N794" s="699">
        <f>SUM(N790:N793)</f>
        <v>132.99880000000002</v>
      </c>
      <c r="O794" s="288"/>
      <c r="P794" s="297"/>
      <c r="Q794" s="288"/>
      <c r="R794" s="102"/>
      <c r="S794" s="102"/>
      <c r="T794" s="102"/>
    </row>
    <row r="795" spans="1:20" s="102" customFormat="1" ht="8.25" customHeight="1" thickBot="1">
      <c r="A795" s="323"/>
      <c r="B795" s="309"/>
      <c r="C795" s="323"/>
      <c r="D795" s="382"/>
      <c r="E795" s="323"/>
      <c r="F795" s="325"/>
      <c r="G795" s="325"/>
      <c r="H795" s="325"/>
      <c r="I795" s="323"/>
      <c r="J795" s="323"/>
      <c r="K795" s="323"/>
      <c r="L795" s="325"/>
      <c r="M795" s="323"/>
      <c r="N795" s="309"/>
      <c r="O795" s="288"/>
      <c r="P795" s="297"/>
      <c r="Q795" s="288"/>
    </row>
    <row r="796" spans="1:20" s="102" customFormat="1">
      <c r="A796" s="2629" t="s">
        <v>1228</v>
      </c>
      <c r="B796" s="326" t="s">
        <v>1033</v>
      </c>
      <c r="C796" s="327"/>
      <c r="D796" s="328">
        <f>IF(H796&lt;&gt;"",VLOOKUP(G796,base_barras,IF(H796="Desnuda",2,5)+F796-1,FALSE),"-")</f>
        <v>1180</v>
      </c>
      <c r="E796" s="481">
        <f>3+1</f>
        <v>4</v>
      </c>
      <c r="F796" s="330">
        <v>1</v>
      </c>
      <c r="G796" s="331" t="s">
        <v>581</v>
      </c>
      <c r="H796" s="330" t="s">
        <v>1043</v>
      </c>
      <c r="I796" s="332">
        <v>0</v>
      </c>
      <c r="J796" s="362">
        <v>69.290000000000006</v>
      </c>
      <c r="K796" s="329">
        <v>0</v>
      </c>
      <c r="L796" s="343" t="str">
        <f>IF(G796&lt;&gt;"",IF(VLOOKUP(G796,base_barras,10,FALSE)&lt;&gt;"",VLOOKUP(G796,base_barras,10,FALSE),"-"),"-")</f>
        <v>1/750</v>
      </c>
      <c r="M796" s="333">
        <f>IF(L796&lt;&gt;"-",VLOOKUP(L796,precio_aislador,2,FALSE),0)</f>
        <v>1.9</v>
      </c>
      <c r="N796" s="360">
        <f>(I796*J796*F796+K796*M796)*E796*1.67*1.25</f>
        <v>0</v>
      </c>
      <c r="O796" s="288"/>
      <c r="P796" s="297"/>
      <c r="Q796" s="297"/>
    </row>
    <row r="797" spans="1:20" s="102" customFormat="1" ht="13.5" thickBot="1">
      <c r="A797" s="2635"/>
      <c r="B797" s="321"/>
      <c r="C797" s="479"/>
      <c r="D797" s="364" t="str">
        <f>IF(H797&lt;&gt;"",VLOOKUP(G797,base_barras,IF(H797="Desnuda",2,5)+F797-1,FALSE),"-")</f>
        <v>-</v>
      </c>
      <c r="E797" s="365"/>
      <c r="F797" s="366"/>
      <c r="G797" s="322"/>
      <c r="H797" s="366"/>
      <c r="I797" s="367"/>
      <c r="J797" s="819">
        <v>0</v>
      </c>
      <c r="K797" s="365"/>
      <c r="L797" s="369" t="str">
        <f>IF(G797&lt;&gt;"",IF(VLOOKUP(G797,base_barras,10,FALSE)&lt;&gt;"",VLOOKUP(G797,base_barras,10,FALSE),"-"),"-")</f>
        <v>-</v>
      </c>
      <c r="M797" s="368">
        <f>IF(L797&lt;&gt;"-",VLOOKUP(L797,precio_aislador,2,FALSE),0)</f>
        <v>0</v>
      </c>
      <c r="N797" s="370">
        <f>(I797*J797*F797+K797*M797)*E797*1.67*1.25</f>
        <v>0</v>
      </c>
      <c r="O797" s="288"/>
      <c r="P797" s="297"/>
      <c r="Q797" s="297"/>
    </row>
    <row r="798" spans="1:20" s="102" customFormat="1" ht="14.25" customHeight="1">
      <c r="A798" s="379"/>
      <c r="B798" s="380"/>
      <c r="C798" s="379"/>
      <c r="D798" s="379"/>
      <c r="E798" s="379"/>
      <c r="F798" s="381"/>
      <c r="G798" s="381"/>
      <c r="H798" s="381"/>
      <c r="I798" s="379"/>
      <c r="J798" s="379"/>
      <c r="K798" s="379"/>
      <c r="L798" s="381"/>
      <c r="M798" s="379"/>
      <c r="N798" s="305"/>
      <c r="O798" s="288"/>
      <c r="P798" s="297"/>
      <c r="Q798" s="297"/>
    </row>
    <row r="799" spans="1:20" s="102" customFormat="1" ht="14.25" customHeight="1">
      <c r="A799" s="379"/>
      <c r="B799" s="380"/>
      <c r="C799" s="379"/>
      <c r="D799" s="379"/>
      <c r="E799" s="379"/>
      <c r="F799" s="381"/>
      <c r="G799" s="381"/>
      <c r="H799" s="381"/>
      <c r="I799" s="379"/>
      <c r="J799" s="379"/>
      <c r="K799" s="379"/>
      <c r="L799" s="381"/>
      <c r="M799" s="379"/>
      <c r="N799" s="305"/>
      <c r="O799" s="288"/>
      <c r="P799" s="297"/>
      <c r="Q799" s="297"/>
    </row>
    <row r="800" spans="1:20" s="106" customFormat="1"/>
    <row r="801" spans="1:20" s="102" customFormat="1" ht="15">
      <c r="A801" s="323"/>
      <c r="B801" s="723" t="s">
        <v>2513</v>
      </c>
      <c r="C801" s="309"/>
      <c r="D801" s="382"/>
      <c r="E801" s="323"/>
      <c r="F801" s="309"/>
      <c r="G801" s="309"/>
      <c r="H801" s="323"/>
      <c r="I801" s="325"/>
      <c r="J801" s="325"/>
      <c r="K801" s="323"/>
      <c r="L801" s="323"/>
      <c r="M801" s="325"/>
      <c r="N801" s="722"/>
      <c r="O801" s="288"/>
      <c r="P801" s="297"/>
      <c r="Q801" s="297"/>
    </row>
    <row r="802" spans="1:20" s="102" customFormat="1" ht="15">
      <c r="A802" s="323"/>
      <c r="B802" s="723"/>
      <c r="C802" s="309"/>
      <c r="D802" s="382"/>
      <c r="E802" s="323"/>
      <c r="F802" s="309"/>
      <c r="G802" s="309"/>
      <c r="H802" s="323"/>
      <c r="I802" s="325"/>
      <c r="J802" s="325"/>
      <c r="K802" s="323"/>
      <c r="L802" s="323"/>
      <c r="M802" s="325"/>
      <c r="N802" s="722"/>
      <c r="O802" s="288"/>
      <c r="P802" s="297"/>
      <c r="Q802" s="297"/>
    </row>
    <row r="803" spans="1:20" s="106" customFormat="1" ht="29.25" customHeight="1"/>
    <row r="804" spans="1:20" s="102" customFormat="1">
      <c r="A804" s="323"/>
      <c r="B804" s="663"/>
      <c r="C804" s="485"/>
      <c r="D804" s="486"/>
      <c r="E804" s="487"/>
      <c r="F804" s="485"/>
      <c r="G804" s="485"/>
      <c r="H804" s="487"/>
      <c r="I804" s="488"/>
      <c r="J804" s="488"/>
      <c r="K804" s="487"/>
      <c r="L804" s="487"/>
      <c r="M804" s="488"/>
      <c r="N804" s="743"/>
      <c r="O804" s="490"/>
      <c r="P804" s="491"/>
      <c r="Q804" s="297"/>
    </row>
    <row r="805" spans="1:20" s="102" customFormat="1">
      <c r="A805" s="323"/>
      <c r="B805" s="485"/>
      <c r="C805" s="485"/>
      <c r="D805" s="486"/>
      <c r="E805" s="487"/>
      <c r="F805" s="485"/>
      <c r="G805" s="485"/>
      <c r="H805" s="487"/>
      <c r="I805" s="488"/>
      <c r="J805" s="488"/>
      <c r="K805" s="487"/>
      <c r="L805" s="487"/>
      <c r="M805" s="488"/>
      <c r="N805" s="743"/>
      <c r="O805" s="490"/>
      <c r="P805" s="491"/>
      <c r="Q805" s="297"/>
    </row>
    <row r="806" spans="1:20" s="102" customFormat="1">
      <c r="A806" s="323"/>
      <c r="B806" s="485"/>
      <c r="C806" s="485"/>
      <c r="D806" s="486"/>
      <c r="E806" s="487"/>
      <c r="F806" s="485"/>
      <c r="G806" s="485"/>
      <c r="H806" s="487"/>
      <c r="I806" s="488"/>
      <c r="J806" s="488"/>
      <c r="K806" s="487"/>
      <c r="L806" s="487"/>
      <c r="M806" s="488"/>
      <c r="N806" s="743"/>
      <c r="O806" s="490"/>
      <c r="P806" s="491"/>
      <c r="Q806" s="297"/>
    </row>
    <row r="807" spans="1:20" s="102" customFormat="1">
      <c r="A807" s="323"/>
      <c r="B807" s="309"/>
      <c r="C807" s="309"/>
      <c r="D807" s="382"/>
      <c r="E807" s="323"/>
      <c r="F807" s="309"/>
      <c r="G807" s="309"/>
      <c r="H807" s="323"/>
      <c r="I807" s="325"/>
      <c r="J807" s="325"/>
      <c r="K807" s="323"/>
      <c r="L807" s="323"/>
      <c r="M807" s="325"/>
      <c r="N807" s="722"/>
      <c r="O807" s="288"/>
      <c r="P807" s="297"/>
      <c r="Q807" s="297"/>
    </row>
    <row r="808" spans="1:20" s="102" customFormat="1">
      <c r="A808" s="323"/>
      <c r="B808" s="309"/>
      <c r="C808" s="309"/>
      <c r="D808" s="382"/>
      <c r="E808" s="323"/>
      <c r="F808" s="309"/>
      <c r="G808" s="309"/>
      <c r="H808" s="323"/>
      <c r="I808" s="325"/>
      <c r="J808" s="325"/>
      <c r="K808" s="323"/>
      <c r="L808" s="323"/>
      <c r="M808" s="325"/>
      <c r="N808" s="722"/>
      <c r="O808" s="288"/>
      <c r="P808" s="297"/>
      <c r="Q808" s="297"/>
    </row>
    <row r="809" spans="1:20" s="102" customFormat="1">
      <c r="A809" s="323"/>
      <c r="B809" s="309"/>
      <c r="C809" s="309"/>
      <c r="D809" s="382"/>
      <c r="E809" s="323"/>
      <c r="F809" s="309"/>
      <c r="G809" s="309"/>
      <c r="H809" s="323"/>
      <c r="I809" s="325"/>
      <c r="J809" s="325"/>
      <c r="K809" s="323"/>
      <c r="L809" s="323"/>
      <c r="M809" s="325"/>
      <c r="N809" s="722"/>
      <c r="O809" s="288"/>
      <c r="P809" s="297"/>
      <c r="Q809" s="297"/>
    </row>
    <row r="810" spans="1:20" s="106" customFormat="1" ht="30.75" customHeight="1" thickBot="1"/>
    <row r="811" spans="1:20" s="199" customFormat="1" ht="15.75" customHeight="1">
      <c r="A811" s="2636" t="s">
        <v>1820</v>
      </c>
      <c r="B811" s="326" t="s">
        <v>1033</v>
      </c>
      <c r="C811" s="327"/>
      <c r="D811" s="328">
        <f t="shared" ref="D811:D817" si="575">IF(H811&lt;&gt;"",VLOOKUP(G811,base_barras,IF(H811="Desnuda",2,5)+F811-1,FALSE),"-")</f>
        <v>1180</v>
      </c>
      <c r="E811" s="329">
        <v>3</v>
      </c>
      <c r="F811" s="330">
        <v>1</v>
      </c>
      <c r="G811" s="331" t="s">
        <v>581</v>
      </c>
      <c r="H811" s="330" t="s">
        <v>1043</v>
      </c>
      <c r="I811" s="332">
        <f>0.8+0.8</f>
        <v>1.6</v>
      </c>
      <c r="J811" s="333">
        <f t="shared" ref="J811:J817" si="576">IF(G811&lt;&gt;"",VLOOKUP(G811,precio_barras,9,FALSE),0)</f>
        <v>53.3</v>
      </c>
      <c r="K811" s="329">
        <v>4</v>
      </c>
      <c r="L811" s="343" t="str">
        <f t="shared" ref="L811:L817" si="577">IF(G811&lt;&gt;"",IF(VLOOKUP(G811,base_barras,10,FALSE)&lt;&gt;"",VLOOKUP(G811,base_barras,10,FALSE),"-"),"-")</f>
        <v>1/750</v>
      </c>
      <c r="M811" s="333">
        <f t="shared" ref="M811:M817" si="578">IF(L811&lt;&gt;"-",VLOOKUP(L811,precio_aislador,2,FALSE),0)</f>
        <v>1.9</v>
      </c>
      <c r="N811" s="360">
        <f t="shared" ref="N811:N817" si="579">(I811*J811*F811+K811*M811)*E811*1.67*1.25</f>
        <v>581.66099999999994</v>
      </c>
      <c r="O811" s="288"/>
      <c r="P811" s="297"/>
      <c r="Q811" s="288"/>
      <c r="R811" s="102"/>
      <c r="S811" s="102"/>
      <c r="T811" s="102"/>
    </row>
    <row r="812" spans="1:20" s="199" customFormat="1" ht="15.75" customHeight="1">
      <c r="A812" s="2627"/>
      <c r="B812" s="310" t="s">
        <v>1711</v>
      </c>
      <c r="C812" s="311"/>
      <c r="D812" s="312">
        <f t="shared" si="575"/>
        <v>1180</v>
      </c>
      <c r="E812" s="313">
        <v>3</v>
      </c>
      <c r="F812" s="314">
        <v>1</v>
      </c>
      <c r="G812" s="315" t="s">
        <v>581</v>
      </c>
      <c r="H812" s="314" t="s">
        <v>1043</v>
      </c>
      <c r="I812" s="316">
        <v>0.61</v>
      </c>
      <c r="J812" s="478">
        <f t="shared" si="576"/>
        <v>53.3</v>
      </c>
      <c r="K812" s="313">
        <v>0</v>
      </c>
      <c r="L812" s="318" t="str">
        <f t="shared" si="577"/>
        <v>1/750</v>
      </c>
      <c r="M812" s="317">
        <f t="shared" si="578"/>
        <v>1.9</v>
      </c>
      <c r="N812" s="308">
        <f t="shared" si="579"/>
        <v>203.61266249999997</v>
      </c>
      <c r="O812" s="288"/>
      <c r="P812" s="297"/>
      <c r="Q812" s="288"/>
      <c r="R812" s="102"/>
      <c r="S812" s="102"/>
      <c r="T812" s="102"/>
    </row>
    <row r="813" spans="1:20" s="199" customFormat="1" ht="15.75" customHeight="1">
      <c r="A813" s="2627"/>
      <c r="B813" s="310" t="s">
        <v>1707</v>
      </c>
      <c r="C813" s="311"/>
      <c r="D813" s="312">
        <f t="shared" si="575"/>
        <v>573</v>
      </c>
      <c r="E813" s="313">
        <v>3</v>
      </c>
      <c r="F813" s="314">
        <v>1</v>
      </c>
      <c r="G813" s="315" t="s">
        <v>314</v>
      </c>
      <c r="H813" s="314" t="s">
        <v>1044</v>
      </c>
      <c r="I813" s="316">
        <v>0.3</v>
      </c>
      <c r="J813" s="317">
        <f t="shared" si="576"/>
        <v>26.6</v>
      </c>
      <c r="K813" s="313">
        <v>0</v>
      </c>
      <c r="L813" s="318" t="str">
        <f t="shared" si="577"/>
        <v>1/750</v>
      </c>
      <c r="M813" s="317">
        <f t="shared" si="578"/>
        <v>1.9</v>
      </c>
      <c r="N813" s="308">
        <f t="shared" si="579"/>
        <v>49.97475</v>
      </c>
      <c r="O813" s="288"/>
      <c r="P813" s="297"/>
      <c r="Q813" s="288"/>
      <c r="R813" s="102"/>
      <c r="S813" s="102"/>
      <c r="T813" s="102"/>
    </row>
    <row r="814" spans="1:20" s="199" customFormat="1" ht="15.75" customHeight="1">
      <c r="A814" s="2627"/>
      <c r="B814" s="310" t="s">
        <v>1707</v>
      </c>
      <c r="C814" s="311"/>
      <c r="D814" s="312">
        <f t="shared" si="575"/>
        <v>573</v>
      </c>
      <c r="E814" s="313">
        <v>3</v>
      </c>
      <c r="F814" s="314">
        <v>1</v>
      </c>
      <c r="G814" s="315" t="s">
        <v>314</v>
      </c>
      <c r="H814" s="314" t="s">
        <v>1044</v>
      </c>
      <c r="I814" s="316">
        <v>0.3</v>
      </c>
      <c r="J814" s="317">
        <f t="shared" si="576"/>
        <v>26.6</v>
      </c>
      <c r="K814" s="313">
        <v>0</v>
      </c>
      <c r="L814" s="318" t="str">
        <f t="shared" si="577"/>
        <v>1/750</v>
      </c>
      <c r="M814" s="317">
        <f t="shared" si="578"/>
        <v>1.9</v>
      </c>
      <c r="N814" s="308">
        <f t="shared" si="579"/>
        <v>49.97475</v>
      </c>
      <c r="O814" s="288"/>
      <c r="P814" s="297"/>
      <c r="Q814" s="288"/>
      <c r="R814" s="102"/>
      <c r="S814" s="102"/>
      <c r="T814" s="102"/>
    </row>
    <row r="815" spans="1:20" s="199" customFormat="1" ht="15.75" customHeight="1">
      <c r="A815" s="2627"/>
      <c r="B815" s="310" t="s">
        <v>1707</v>
      </c>
      <c r="C815" s="311"/>
      <c r="D815" s="312">
        <f t="shared" si="575"/>
        <v>573</v>
      </c>
      <c r="E815" s="313">
        <v>3</v>
      </c>
      <c r="F815" s="314">
        <v>1</v>
      </c>
      <c r="G815" s="315" t="s">
        <v>314</v>
      </c>
      <c r="H815" s="314" t="s">
        <v>1044</v>
      </c>
      <c r="I815" s="316">
        <v>0.3</v>
      </c>
      <c r="J815" s="317">
        <f t="shared" si="576"/>
        <v>26.6</v>
      </c>
      <c r="K815" s="313">
        <v>0</v>
      </c>
      <c r="L815" s="318" t="str">
        <f t="shared" si="577"/>
        <v>1/750</v>
      </c>
      <c r="M815" s="317">
        <f t="shared" si="578"/>
        <v>1.9</v>
      </c>
      <c r="N815" s="308">
        <f t="shared" si="579"/>
        <v>49.97475</v>
      </c>
      <c r="O815" s="288"/>
      <c r="P815" s="297"/>
      <c r="Q815" s="288"/>
      <c r="R815" s="102"/>
      <c r="S815" s="102"/>
      <c r="T815" s="102"/>
    </row>
    <row r="816" spans="1:20" s="199" customFormat="1" ht="14.25">
      <c r="A816" s="2627"/>
      <c r="B816" s="310" t="s">
        <v>801</v>
      </c>
      <c r="C816" s="319"/>
      <c r="D816" s="312">
        <f t="shared" si="575"/>
        <v>1180</v>
      </c>
      <c r="E816" s="313">
        <v>1</v>
      </c>
      <c r="F816" s="314">
        <v>1</v>
      </c>
      <c r="G816" s="315" t="s">
        <v>581</v>
      </c>
      <c r="H816" s="314" t="s">
        <v>1043</v>
      </c>
      <c r="I816" s="316">
        <f>I811</f>
        <v>1.6</v>
      </c>
      <c r="J816" s="317">
        <f t="shared" si="576"/>
        <v>53.3</v>
      </c>
      <c r="K816" s="320">
        <v>4</v>
      </c>
      <c r="L816" s="318" t="str">
        <f t="shared" si="577"/>
        <v>1/750</v>
      </c>
      <c r="M816" s="317">
        <f t="shared" si="578"/>
        <v>1.9</v>
      </c>
      <c r="N816" s="308">
        <f t="shared" si="579"/>
        <v>193.88699999999997</v>
      </c>
      <c r="O816" s="288"/>
      <c r="P816" s="297"/>
      <c r="Q816" s="288"/>
      <c r="R816" s="102"/>
      <c r="S816" s="102"/>
      <c r="T816" s="102"/>
    </row>
    <row r="817" spans="1:20" s="199" customFormat="1" ht="15" thickBot="1">
      <c r="A817" s="2628"/>
      <c r="B817" s="321" t="s">
        <v>802</v>
      </c>
      <c r="C817" s="363"/>
      <c r="D817" s="364">
        <f t="shared" si="575"/>
        <v>573</v>
      </c>
      <c r="E817" s="365">
        <v>1</v>
      </c>
      <c r="F817" s="366">
        <v>1</v>
      </c>
      <c r="G817" s="322" t="s">
        <v>580</v>
      </c>
      <c r="H817" s="366" t="s">
        <v>1043</v>
      </c>
      <c r="I817" s="367">
        <f>I811</f>
        <v>1.6</v>
      </c>
      <c r="J817" s="368">
        <f t="shared" si="576"/>
        <v>17.7</v>
      </c>
      <c r="K817" s="395">
        <v>0</v>
      </c>
      <c r="L817" s="369" t="str">
        <f t="shared" si="577"/>
        <v>1/750</v>
      </c>
      <c r="M817" s="368">
        <f t="shared" si="578"/>
        <v>1.9</v>
      </c>
      <c r="N817" s="370">
        <f t="shared" si="579"/>
        <v>59.117999999999995</v>
      </c>
      <c r="O817" s="288"/>
      <c r="P817" s="297"/>
      <c r="Q817" s="288"/>
      <c r="R817" s="102"/>
      <c r="S817" s="102"/>
      <c r="T817" s="102"/>
    </row>
    <row r="818" spans="1:20" s="129" customFormat="1" ht="22.5" customHeight="1" thickBot="1">
      <c r="A818" s="371"/>
      <c r="B818" s="375"/>
      <c r="C818" s="375"/>
      <c r="D818" s="383"/>
      <c r="E818" s="373"/>
      <c r="F818" s="373"/>
      <c r="G818" s="373"/>
      <c r="H818" s="373"/>
      <c r="I818" s="374"/>
      <c r="J818" s="374"/>
      <c r="K818" s="373"/>
      <c r="L818" s="373"/>
      <c r="M818" s="372"/>
      <c r="N818" s="699">
        <f>SUM(N811:N817)</f>
        <v>1188.2029124999997</v>
      </c>
      <c r="O818" s="288"/>
      <c r="P818" s="297"/>
      <c r="Q818" s="288"/>
      <c r="R818" s="102"/>
      <c r="S818" s="102"/>
      <c r="T818" s="102"/>
    </row>
    <row r="819" spans="1:20" s="102" customFormat="1" ht="8.25" customHeight="1" thickBot="1">
      <c r="A819" s="323"/>
      <c r="B819" s="309"/>
      <c r="C819" s="323"/>
      <c r="D819" s="382"/>
      <c r="E819" s="323"/>
      <c r="F819" s="325"/>
      <c r="G819" s="325"/>
      <c r="H819" s="325"/>
      <c r="I819" s="323"/>
      <c r="J819" s="323"/>
      <c r="K819" s="323"/>
      <c r="L819" s="325"/>
      <c r="M819" s="323"/>
      <c r="N819" s="309"/>
      <c r="O819" s="288"/>
      <c r="P819" s="297"/>
      <c r="Q819" s="288"/>
    </row>
    <row r="820" spans="1:20" s="102" customFormat="1">
      <c r="A820" s="2629" t="s">
        <v>1228</v>
      </c>
      <c r="B820" s="326" t="s">
        <v>1033</v>
      </c>
      <c r="C820" s="327"/>
      <c r="D820" s="328">
        <f>IF(H820&lt;&gt;"",VLOOKUP(G820,base_barras,IF(H820="Desnuda",2,5)+F820-1,FALSE),"-")</f>
        <v>1180</v>
      </c>
      <c r="E820" s="481">
        <f>3+1</f>
        <v>4</v>
      </c>
      <c r="F820" s="330">
        <v>1</v>
      </c>
      <c r="G820" s="331" t="s">
        <v>581</v>
      </c>
      <c r="H820" s="330" t="s">
        <v>1043</v>
      </c>
      <c r="I820" s="332">
        <v>0.2</v>
      </c>
      <c r="J820" s="333">
        <f>IF(G820&lt;&gt;"",VLOOKUP(G820,precio_barras,9,FALSE),0)</f>
        <v>53.3</v>
      </c>
      <c r="K820" s="329">
        <v>0</v>
      </c>
      <c r="L820" s="343" t="str">
        <f>IF(G820&lt;&gt;"",IF(VLOOKUP(G820,base_barras,10,FALSE)&lt;&gt;"",VLOOKUP(G820,base_barras,10,FALSE),"-"),"-")</f>
        <v>1/750</v>
      </c>
      <c r="M820" s="333">
        <f>IF(L820&lt;&gt;"-",VLOOKUP(L820,precio_aislador,2,FALSE),0)</f>
        <v>1.9</v>
      </c>
      <c r="N820" s="360">
        <f>(I820*J820*F820+K820*M820)*E820*1.67*1.25</f>
        <v>89.010999999999996</v>
      </c>
      <c r="O820" s="288"/>
      <c r="P820" s="297"/>
      <c r="Q820" s="297"/>
    </row>
    <row r="821" spans="1:20" s="102" customFormat="1" ht="13.5" thickBot="1">
      <c r="A821" s="2635"/>
      <c r="B821" s="321"/>
      <c r="C821" s="479"/>
      <c r="D821" s="364" t="str">
        <f>IF(H821&lt;&gt;"",VLOOKUP(G821,base_barras,IF(H821="Desnuda",2,5)+F821-1,FALSE),"-")</f>
        <v>-</v>
      </c>
      <c r="E821" s="365"/>
      <c r="F821" s="366"/>
      <c r="G821" s="322"/>
      <c r="H821" s="366"/>
      <c r="I821" s="367"/>
      <c r="J821" s="480">
        <f>IF(G821&lt;&gt;"",VLOOKUP(G821,precio_barras,9,FALSE),0)</f>
        <v>0</v>
      </c>
      <c r="K821" s="365"/>
      <c r="L821" s="369" t="str">
        <f>IF(G821&lt;&gt;"",IF(VLOOKUP(G821,base_barras,10,FALSE)&lt;&gt;"",VLOOKUP(G821,base_barras,10,FALSE),"-"),"-")</f>
        <v>-</v>
      </c>
      <c r="M821" s="368">
        <f>IF(L821&lt;&gt;"-",VLOOKUP(L821,precio_aislador,2,FALSE),0)</f>
        <v>0</v>
      </c>
      <c r="N821" s="370">
        <f>(I821*J821*F821+K821*M821)*E821*1.67*1.25</f>
        <v>0</v>
      </c>
      <c r="O821" s="288"/>
      <c r="P821" s="297"/>
      <c r="Q821" s="297"/>
    </row>
    <row r="822" spans="1:20" s="102" customFormat="1" ht="13.5" thickBot="1">
      <c r="A822" s="323"/>
      <c r="B822" s="309"/>
      <c r="C822" s="309"/>
      <c r="D822" s="382"/>
      <c r="E822" s="323"/>
      <c r="F822" s="309"/>
      <c r="G822" s="309"/>
      <c r="H822" s="323"/>
      <c r="I822" s="325"/>
      <c r="J822" s="325"/>
      <c r="K822" s="323"/>
      <c r="L822" s="323"/>
      <c r="M822" s="325"/>
      <c r="N822" s="706">
        <f>SUM(N820:N821)</f>
        <v>89.010999999999996</v>
      </c>
      <c r="O822" s="288"/>
      <c r="P822" s="297"/>
      <c r="Q822" s="297"/>
    </row>
    <row r="823" spans="1:20" s="106" customFormat="1"/>
    <row r="824" spans="1:20" s="102" customFormat="1">
      <c r="A824" s="323"/>
      <c r="B824" s="309"/>
      <c r="C824" s="309"/>
      <c r="D824" s="382"/>
      <c r="E824" s="323"/>
      <c r="F824" s="309"/>
      <c r="G824" s="309"/>
      <c r="H824" s="323"/>
      <c r="I824" s="325"/>
      <c r="J824" s="325"/>
      <c r="K824" s="323"/>
      <c r="L824" s="323"/>
      <c r="M824" s="325"/>
      <c r="N824" s="722"/>
      <c r="O824" s="288"/>
      <c r="P824" s="297"/>
      <c r="Q824" s="297"/>
    </row>
    <row r="825" spans="1:20" s="102" customFormat="1" ht="13.5" thickBot="1">
      <c r="A825" s="323"/>
      <c r="B825" s="309"/>
      <c r="C825" s="309"/>
      <c r="D825" s="382"/>
      <c r="E825" s="323"/>
      <c r="F825" s="309"/>
      <c r="G825" s="309"/>
      <c r="H825" s="323"/>
      <c r="I825" s="325"/>
      <c r="J825" s="325"/>
      <c r="K825" s="323"/>
      <c r="L825" s="323"/>
      <c r="M825" s="325"/>
      <c r="N825" s="722"/>
      <c r="O825" s="288"/>
      <c r="P825" s="297"/>
      <c r="Q825" s="297"/>
    </row>
    <row r="826" spans="1:20" s="199" customFormat="1" ht="15.75" customHeight="1">
      <c r="A826" s="2636" t="s">
        <v>1822</v>
      </c>
      <c r="B826" s="326" t="s">
        <v>1033</v>
      </c>
      <c r="C826" s="327"/>
      <c r="D826" s="328">
        <f t="shared" ref="D826:D833" si="580">IF(H826&lt;&gt;"",VLOOKUP(G826,base_barras,IF(H826="Desnuda",2,5)+F826-1,FALSE),"-")</f>
        <v>1180</v>
      </c>
      <c r="E826" s="329">
        <v>3</v>
      </c>
      <c r="F826" s="330">
        <v>1</v>
      </c>
      <c r="G826" s="331" t="s">
        <v>581</v>
      </c>
      <c r="H826" s="330" t="s">
        <v>1043</v>
      </c>
      <c r="I826" s="332">
        <f>0.8+0.8</f>
        <v>1.6</v>
      </c>
      <c r="J826" s="333">
        <f t="shared" ref="J826:J833" si="581">IF(G826&lt;&gt;"",VLOOKUP(G826,precio_barras,9,FALSE),0)</f>
        <v>53.3</v>
      </c>
      <c r="K826" s="329">
        <v>4</v>
      </c>
      <c r="L826" s="343" t="str">
        <f t="shared" ref="L826:L833" si="582">IF(G826&lt;&gt;"",IF(VLOOKUP(G826,base_barras,10,FALSE)&lt;&gt;"",VLOOKUP(G826,base_barras,10,FALSE),"-"),"-")</f>
        <v>1/750</v>
      </c>
      <c r="M826" s="333">
        <f t="shared" ref="M826:M833" si="583">IF(L826&lt;&gt;"-",VLOOKUP(L826,precio_aislador,2,FALSE),0)</f>
        <v>1.9</v>
      </c>
      <c r="N826" s="360">
        <f t="shared" ref="N826:N833" si="584">(I826*J826*F826+K826*M826)*E826*1.67*1.25</f>
        <v>581.66099999999994</v>
      </c>
      <c r="O826" s="288"/>
      <c r="P826" s="297"/>
      <c r="Q826" s="288"/>
      <c r="R826" s="102"/>
      <c r="S826" s="102"/>
      <c r="T826" s="102"/>
    </row>
    <row r="827" spans="1:20" s="199" customFormat="1" ht="15.75" customHeight="1">
      <c r="A827" s="2627"/>
      <c r="B827" s="310" t="s">
        <v>1711</v>
      </c>
      <c r="C827" s="311"/>
      <c r="D827" s="312">
        <f t="shared" si="580"/>
        <v>1180</v>
      </c>
      <c r="E827" s="313">
        <v>3</v>
      </c>
      <c r="F827" s="314">
        <v>1</v>
      </c>
      <c r="G827" s="315" t="s">
        <v>581</v>
      </c>
      <c r="H827" s="314" t="s">
        <v>1043</v>
      </c>
      <c r="I827" s="316">
        <v>0.61</v>
      </c>
      <c r="J827" s="478">
        <f t="shared" si="581"/>
        <v>53.3</v>
      </c>
      <c r="K827" s="313">
        <v>0</v>
      </c>
      <c r="L827" s="318" t="str">
        <f t="shared" si="582"/>
        <v>1/750</v>
      </c>
      <c r="M827" s="317">
        <f t="shared" si="583"/>
        <v>1.9</v>
      </c>
      <c r="N827" s="308">
        <f t="shared" si="584"/>
        <v>203.61266249999997</v>
      </c>
      <c r="O827" s="288"/>
      <c r="P827" s="297"/>
      <c r="Q827" s="288"/>
      <c r="R827" s="102"/>
      <c r="S827" s="102"/>
      <c r="T827" s="102"/>
    </row>
    <row r="828" spans="1:20" s="199" customFormat="1" ht="15.75" customHeight="1">
      <c r="A828" s="2627"/>
      <c r="B828" s="310" t="s">
        <v>1713</v>
      </c>
      <c r="C828" s="311"/>
      <c r="D828" s="312">
        <f t="shared" si="580"/>
        <v>327</v>
      </c>
      <c r="E828" s="313">
        <v>3</v>
      </c>
      <c r="F828" s="314">
        <v>1</v>
      </c>
      <c r="G828" s="315" t="s">
        <v>63</v>
      </c>
      <c r="H828" s="314" t="s">
        <v>1044</v>
      </c>
      <c r="I828" s="316">
        <v>0.3</v>
      </c>
      <c r="J828" s="317">
        <f t="shared" si="581"/>
        <v>11.100000000000001</v>
      </c>
      <c r="K828" s="313">
        <v>0</v>
      </c>
      <c r="L828" s="318" t="str">
        <f t="shared" si="582"/>
        <v>0.5/400</v>
      </c>
      <c r="M828" s="317">
        <f t="shared" si="583"/>
        <v>1.2</v>
      </c>
      <c r="N828" s="308">
        <f t="shared" si="584"/>
        <v>20.854125000000003</v>
      </c>
      <c r="O828" s="288"/>
      <c r="P828" s="297"/>
      <c r="Q828" s="288"/>
      <c r="R828" s="102"/>
      <c r="S828" s="102"/>
      <c r="T828" s="102"/>
    </row>
    <row r="829" spans="1:20" s="199" customFormat="1" ht="15.75" customHeight="1">
      <c r="A829" s="2627"/>
      <c r="B829" s="310" t="s">
        <v>1713</v>
      </c>
      <c r="C829" s="311"/>
      <c r="D829" s="312">
        <f>IF(H829&lt;&gt;"",VLOOKUP(G829,base_barras,IF(H829="Desnuda",2,5)+F829-1,FALSE),"-")</f>
        <v>327</v>
      </c>
      <c r="E829" s="313">
        <v>3</v>
      </c>
      <c r="F829" s="314">
        <v>1</v>
      </c>
      <c r="G829" s="315" t="s">
        <v>63</v>
      </c>
      <c r="H829" s="314" t="s">
        <v>1044</v>
      </c>
      <c r="I829" s="316">
        <v>0.3</v>
      </c>
      <c r="J829" s="317">
        <f t="shared" si="581"/>
        <v>11.100000000000001</v>
      </c>
      <c r="K829" s="313">
        <v>0</v>
      </c>
      <c r="L829" s="318" t="str">
        <f>IF(G829&lt;&gt;"",IF(VLOOKUP(G829,base_barras,10,FALSE)&lt;&gt;"",VLOOKUP(G829,base_barras,10,FALSE),"-"),"-")</f>
        <v>0.5/400</v>
      </c>
      <c r="M829" s="317">
        <f>IF(L829&lt;&gt;"-",VLOOKUP(L829,precio_aislador,2,FALSE),0)</f>
        <v>1.2</v>
      </c>
      <c r="N829" s="308">
        <f>(I829*J829*F829+K829*M829)*E829*1.67*1.25</f>
        <v>20.854125000000003</v>
      </c>
      <c r="O829" s="288"/>
      <c r="P829" s="297"/>
      <c r="Q829" s="288"/>
      <c r="R829" s="102"/>
      <c r="S829" s="102"/>
      <c r="T829" s="102"/>
    </row>
    <row r="830" spans="1:20" s="199" customFormat="1" ht="15.75" customHeight="1">
      <c r="A830" s="2627"/>
      <c r="B830" s="310" t="s">
        <v>1707</v>
      </c>
      <c r="C830" s="311"/>
      <c r="D830" s="312">
        <f t="shared" si="580"/>
        <v>573</v>
      </c>
      <c r="E830" s="313">
        <v>3</v>
      </c>
      <c r="F830" s="314">
        <v>1</v>
      </c>
      <c r="G830" s="315" t="s">
        <v>314</v>
      </c>
      <c r="H830" s="314" t="s">
        <v>1044</v>
      </c>
      <c r="I830" s="316">
        <v>0.3</v>
      </c>
      <c r="J830" s="317">
        <f t="shared" si="581"/>
        <v>26.6</v>
      </c>
      <c r="K830" s="313">
        <v>0</v>
      </c>
      <c r="L830" s="318" t="str">
        <f t="shared" si="582"/>
        <v>1/750</v>
      </c>
      <c r="M830" s="317">
        <f t="shared" si="583"/>
        <v>1.9</v>
      </c>
      <c r="N830" s="308">
        <f t="shared" si="584"/>
        <v>49.97475</v>
      </c>
      <c r="O830" s="288"/>
      <c r="P830" s="297"/>
      <c r="Q830" s="288"/>
      <c r="R830" s="102"/>
      <c r="S830" s="102"/>
      <c r="T830" s="102"/>
    </row>
    <row r="831" spans="1:20" s="199" customFormat="1" ht="15.75" customHeight="1">
      <c r="A831" s="2627"/>
      <c r="B831" s="310" t="s">
        <v>1707</v>
      </c>
      <c r="C831" s="311"/>
      <c r="D831" s="312">
        <f t="shared" si="580"/>
        <v>573</v>
      </c>
      <c r="E831" s="313">
        <v>3</v>
      </c>
      <c r="F831" s="314">
        <v>1</v>
      </c>
      <c r="G831" s="315" t="s">
        <v>314</v>
      </c>
      <c r="H831" s="314" t="s">
        <v>1044</v>
      </c>
      <c r="I831" s="316">
        <v>0.3</v>
      </c>
      <c r="J831" s="317">
        <f t="shared" si="581"/>
        <v>26.6</v>
      </c>
      <c r="K831" s="313">
        <v>0</v>
      </c>
      <c r="L831" s="318" t="str">
        <f t="shared" si="582"/>
        <v>1/750</v>
      </c>
      <c r="M831" s="317">
        <f t="shared" si="583"/>
        <v>1.9</v>
      </c>
      <c r="N831" s="308">
        <f t="shared" si="584"/>
        <v>49.97475</v>
      </c>
      <c r="O831" s="288"/>
      <c r="P831" s="297"/>
      <c r="Q831" s="288"/>
      <c r="R831" s="102"/>
      <c r="S831" s="102"/>
      <c r="T831" s="102"/>
    </row>
    <row r="832" spans="1:20" s="199" customFormat="1" ht="14.25">
      <c r="A832" s="2627"/>
      <c r="B832" s="310" t="s">
        <v>801</v>
      </c>
      <c r="C832" s="319"/>
      <c r="D832" s="312">
        <f t="shared" si="580"/>
        <v>1180</v>
      </c>
      <c r="E832" s="313">
        <v>1</v>
      </c>
      <c r="F832" s="314">
        <v>1</v>
      </c>
      <c r="G832" s="315" t="s">
        <v>581</v>
      </c>
      <c r="H832" s="314" t="s">
        <v>1043</v>
      </c>
      <c r="I832" s="316">
        <f>I826</f>
        <v>1.6</v>
      </c>
      <c r="J832" s="317">
        <f t="shared" si="581"/>
        <v>53.3</v>
      </c>
      <c r="K832" s="320">
        <v>4</v>
      </c>
      <c r="L832" s="318" t="str">
        <f t="shared" si="582"/>
        <v>1/750</v>
      </c>
      <c r="M832" s="317">
        <f t="shared" si="583"/>
        <v>1.9</v>
      </c>
      <c r="N832" s="308">
        <f t="shared" si="584"/>
        <v>193.88699999999997</v>
      </c>
      <c r="O832" s="288"/>
      <c r="P832" s="297"/>
      <c r="Q832" s="288"/>
      <c r="R832" s="102"/>
      <c r="S832" s="102"/>
      <c r="T832" s="102"/>
    </row>
    <row r="833" spans="1:20" s="199" customFormat="1" ht="15" thickBot="1">
      <c r="A833" s="2628"/>
      <c r="B833" s="321" t="s">
        <v>802</v>
      </c>
      <c r="C833" s="363"/>
      <c r="D833" s="364">
        <f t="shared" si="580"/>
        <v>573</v>
      </c>
      <c r="E833" s="365">
        <v>1</v>
      </c>
      <c r="F833" s="366">
        <v>1</v>
      </c>
      <c r="G833" s="322" t="s">
        <v>580</v>
      </c>
      <c r="H833" s="366" t="s">
        <v>1043</v>
      </c>
      <c r="I833" s="367">
        <f>I826</f>
        <v>1.6</v>
      </c>
      <c r="J833" s="368">
        <f t="shared" si="581"/>
        <v>17.7</v>
      </c>
      <c r="K833" s="395">
        <v>0</v>
      </c>
      <c r="L833" s="369" t="str">
        <f t="shared" si="582"/>
        <v>1/750</v>
      </c>
      <c r="M833" s="368">
        <f t="shared" si="583"/>
        <v>1.9</v>
      </c>
      <c r="N833" s="370">
        <f t="shared" si="584"/>
        <v>59.117999999999995</v>
      </c>
      <c r="O833" s="288"/>
      <c r="P833" s="297"/>
      <c r="Q833" s="288"/>
      <c r="R833" s="102"/>
      <c r="S833" s="102"/>
      <c r="T833" s="102"/>
    </row>
    <row r="834" spans="1:20" s="129" customFormat="1" ht="22.5" customHeight="1" thickBot="1">
      <c r="A834" s="371"/>
      <c r="B834" s="375"/>
      <c r="C834" s="375"/>
      <c r="D834" s="383"/>
      <c r="E834" s="373"/>
      <c r="F834" s="373"/>
      <c r="G834" s="373"/>
      <c r="H834" s="373"/>
      <c r="I834" s="374"/>
      <c r="J834" s="374"/>
      <c r="K834" s="373"/>
      <c r="L834" s="373"/>
      <c r="M834" s="372"/>
      <c r="N834" s="699">
        <f>SUM(N826:N833)</f>
        <v>1179.9364124999997</v>
      </c>
      <c r="O834" s="288"/>
      <c r="P834" s="297"/>
      <c r="Q834" s="288"/>
      <c r="R834" s="102"/>
      <c r="S834" s="102"/>
      <c r="T834" s="102"/>
    </row>
    <row r="835" spans="1:20" s="102" customFormat="1" ht="8.25" customHeight="1" thickBot="1">
      <c r="A835" s="323"/>
      <c r="B835" s="309"/>
      <c r="C835" s="323"/>
      <c r="D835" s="382"/>
      <c r="E835" s="323"/>
      <c r="F835" s="325"/>
      <c r="G835" s="325"/>
      <c r="H835" s="325"/>
      <c r="I835" s="323"/>
      <c r="J835" s="323"/>
      <c r="K835" s="323"/>
      <c r="L835" s="325"/>
      <c r="M835" s="323"/>
      <c r="N835" s="309"/>
      <c r="O835" s="288"/>
      <c r="P835" s="297"/>
      <c r="Q835" s="288"/>
    </row>
    <row r="836" spans="1:20" s="102" customFormat="1">
      <c r="A836" s="2629" t="s">
        <v>1228</v>
      </c>
      <c r="B836" s="310" t="s">
        <v>1033</v>
      </c>
      <c r="C836" s="327"/>
      <c r="D836" s="328">
        <f>IF(H836&lt;&gt;"",VLOOKUP(G836,base_barras,IF(H836="Desnuda",2,5)+F836-1,FALSE),"-")</f>
        <v>1180</v>
      </c>
      <c r="E836" s="481">
        <f>3+1</f>
        <v>4</v>
      </c>
      <c r="F836" s="330">
        <v>1</v>
      </c>
      <c r="G836" s="331" t="s">
        <v>581</v>
      </c>
      <c r="H836" s="330" t="s">
        <v>1043</v>
      </c>
      <c r="I836" s="332">
        <v>0.2</v>
      </c>
      <c r="J836" s="362">
        <v>69.290000000000006</v>
      </c>
      <c r="K836" s="329">
        <v>0</v>
      </c>
      <c r="L836" s="343" t="str">
        <f>IF(G836&lt;&gt;"",IF(VLOOKUP(G836,base_barras,10,FALSE)&lt;&gt;"",VLOOKUP(G836,base_barras,10,FALSE),"-"),"-")</f>
        <v>1/750</v>
      </c>
      <c r="M836" s="333">
        <f>IF(L836&lt;&gt;"-",VLOOKUP(L836,precio_aislador,2,FALSE),0)</f>
        <v>1.9</v>
      </c>
      <c r="N836" s="360">
        <f>(I836*J836*F836+K836*M836)*E836*1.67*1.25</f>
        <v>115.71430000000001</v>
      </c>
      <c r="O836" s="288"/>
      <c r="P836" s="297"/>
      <c r="Q836" s="297"/>
    </row>
    <row r="837" spans="1:20" s="102" customFormat="1">
      <c r="A837" s="2630"/>
      <c r="B837" s="310"/>
      <c r="C837" s="311"/>
      <c r="D837" s="312" t="str">
        <f>IF(H837&lt;&gt;"",VLOOKUP(G837,base_barras,IF(H837="Desnuda",2,5)+F837-1,FALSE),"-")</f>
        <v>-</v>
      </c>
      <c r="E837" s="313"/>
      <c r="F837" s="314"/>
      <c r="G837" s="315"/>
      <c r="H837" s="314"/>
      <c r="I837" s="316"/>
      <c r="J837" s="361">
        <v>0</v>
      </c>
      <c r="K837" s="313"/>
      <c r="L837" s="318" t="str">
        <f>IF(G837&lt;&gt;"",IF(VLOOKUP(G837,base_barras,10,FALSE)&lt;&gt;"",VLOOKUP(G837,base_barras,10,FALSE),"-"),"-")</f>
        <v>-</v>
      </c>
      <c r="M837" s="317">
        <f>IF(L837&lt;&gt;"-",VLOOKUP(L837,precio_aislador,2,FALSE),0)</f>
        <v>0</v>
      </c>
      <c r="N837" s="308">
        <f>(I837*J837*F837+K837*M837)*E837*1.67*1.25</f>
        <v>0</v>
      </c>
      <c r="O837" s="288"/>
      <c r="P837" s="297"/>
      <c r="Q837" s="297"/>
    </row>
    <row r="838" spans="1:20" s="102" customFormat="1" ht="13.5" thickBot="1">
      <c r="A838" s="323"/>
      <c r="B838" s="309"/>
      <c r="C838" s="309"/>
      <c r="D838" s="382"/>
      <c r="E838" s="323"/>
      <c r="F838" s="309"/>
      <c r="G838" s="309"/>
      <c r="H838" s="323"/>
      <c r="I838" s="325"/>
      <c r="J838" s="325"/>
      <c r="K838" s="323"/>
      <c r="L838" s="323"/>
      <c r="M838" s="325"/>
      <c r="N838" s="706">
        <f>SUM(N836:N837)</f>
        <v>115.71430000000001</v>
      </c>
      <c r="O838" s="288"/>
      <c r="P838" s="297"/>
      <c r="Q838" s="297"/>
    </row>
    <row r="839" spans="1:20" s="102" customFormat="1">
      <c r="A839" s="323"/>
      <c r="B839" s="309"/>
      <c r="C839" s="309"/>
      <c r="D839" s="382"/>
      <c r="E839" s="323"/>
      <c r="F839" s="309"/>
      <c r="G839" s="309"/>
      <c r="H839" s="323"/>
      <c r="I839" s="325"/>
      <c r="J839" s="325"/>
      <c r="K839" s="323"/>
      <c r="L839" s="323"/>
      <c r="M839" s="325"/>
      <c r="N839" s="722"/>
      <c r="O839" s="288"/>
      <c r="P839" s="297"/>
      <c r="Q839" s="297"/>
    </row>
    <row r="840" spans="1:20" s="102" customFormat="1" ht="13.5" thickBot="1">
      <c r="A840" s="323"/>
      <c r="B840" s="309"/>
      <c r="C840" s="309"/>
      <c r="D840" s="382"/>
      <c r="E840" s="323"/>
      <c r="F840" s="309"/>
      <c r="G840" s="309"/>
      <c r="H840" s="323"/>
      <c r="I840" s="325"/>
      <c r="J840" s="325"/>
      <c r="K840" s="323"/>
      <c r="L840" s="323"/>
      <c r="M840" s="325"/>
      <c r="N840" s="722"/>
      <c r="O840" s="288"/>
      <c r="P840" s="297"/>
      <c r="Q840" s="297"/>
    </row>
    <row r="841" spans="1:20" s="199" customFormat="1" ht="15.75" customHeight="1">
      <c r="A841" s="2636" t="s">
        <v>1823</v>
      </c>
      <c r="B841" s="326" t="s">
        <v>1033</v>
      </c>
      <c r="C841" s="327"/>
      <c r="D841" s="328">
        <f t="shared" ref="D841:D848" si="585">IF(H841&lt;&gt;"",VLOOKUP(G841,base_barras,IF(H841="Desnuda",2,5)+F841-1,FALSE),"-")</f>
        <v>1180</v>
      </c>
      <c r="E841" s="329">
        <v>3</v>
      </c>
      <c r="F841" s="330">
        <v>1</v>
      </c>
      <c r="G841" s="331" t="s">
        <v>581</v>
      </c>
      <c r="H841" s="330" t="s">
        <v>1043</v>
      </c>
      <c r="I841" s="332">
        <v>0</v>
      </c>
      <c r="J841" s="333">
        <f t="shared" ref="J841:J848" si="586">IF(G841&lt;&gt;"",VLOOKUP(G841,precio_barras,9,FALSE),0)</f>
        <v>53.3</v>
      </c>
      <c r="K841" s="329">
        <v>0</v>
      </c>
      <c r="L841" s="343" t="str">
        <f t="shared" ref="L841:L848" si="587">IF(G841&lt;&gt;"",IF(VLOOKUP(G841,base_barras,10,FALSE)&lt;&gt;"",VLOOKUP(G841,base_barras,10,FALSE),"-"),"-")</f>
        <v>1/750</v>
      </c>
      <c r="M841" s="333">
        <f t="shared" ref="M841:M848" si="588">IF(L841&lt;&gt;"-",VLOOKUP(L841,precio_aislador,2,FALSE),0)</f>
        <v>1.9</v>
      </c>
      <c r="N841" s="360">
        <f t="shared" ref="N841:N848" si="589">(I841*J841*F841+K841*M841)*E841*1.67*1.25</f>
        <v>0</v>
      </c>
      <c r="O841" s="288"/>
      <c r="P841" s="297"/>
      <c r="Q841" s="288"/>
      <c r="R841" s="102"/>
      <c r="S841" s="102"/>
      <c r="T841" s="102"/>
    </row>
    <row r="842" spans="1:20" s="199" customFormat="1" ht="15.75" customHeight="1">
      <c r="A842" s="2627"/>
      <c r="B842" s="310" t="s">
        <v>1711</v>
      </c>
      <c r="C842" s="311"/>
      <c r="D842" s="312">
        <f t="shared" si="585"/>
        <v>1180</v>
      </c>
      <c r="E842" s="313">
        <v>3</v>
      </c>
      <c r="F842" s="314">
        <v>1</v>
      </c>
      <c r="G842" s="315" t="s">
        <v>581</v>
      </c>
      <c r="H842" s="314" t="s">
        <v>1043</v>
      </c>
      <c r="I842" s="316">
        <v>0</v>
      </c>
      <c r="J842" s="478">
        <f t="shared" si="586"/>
        <v>53.3</v>
      </c>
      <c r="K842" s="313">
        <v>0</v>
      </c>
      <c r="L842" s="318" t="str">
        <f t="shared" si="587"/>
        <v>1/750</v>
      </c>
      <c r="M842" s="317">
        <f t="shared" si="588"/>
        <v>1.9</v>
      </c>
      <c r="N842" s="308">
        <f t="shared" si="589"/>
        <v>0</v>
      </c>
      <c r="O842" s="288"/>
      <c r="P842" s="297"/>
      <c r="Q842" s="288"/>
      <c r="R842" s="102"/>
      <c r="S842" s="102"/>
      <c r="T842" s="102"/>
    </row>
    <row r="843" spans="1:20" s="199" customFormat="1" ht="15.75" customHeight="1">
      <c r="A843" s="2627"/>
      <c r="B843" s="310" t="s">
        <v>1713</v>
      </c>
      <c r="C843" s="311"/>
      <c r="D843" s="312">
        <f t="shared" si="585"/>
        <v>327</v>
      </c>
      <c r="E843" s="313">
        <v>3</v>
      </c>
      <c r="F843" s="314">
        <v>1</v>
      </c>
      <c r="G843" s="315" t="s">
        <v>63</v>
      </c>
      <c r="H843" s="314" t="s">
        <v>1044</v>
      </c>
      <c r="I843" s="316">
        <v>0</v>
      </c>
      <c r="J843" s="317">
        <f t="shared" si="586"/>
        <v>11.100000000000001</v>
      </c>
      <c r="K843" s="313">
        <v>0</v>
      </c>
      <c r="L843" s="318" t="str">
        <f t="shared" si="587"/>
        <v>0.5/400</v>
      </c>
      <c r="M843" s="317">
        <f t="shared" si="588"/>
        <v>1.2</v>
      </c>
      <c r="N843" s="308">
        <f t="shared" si="589"/>
        <v>0</v>
      </c>
      <c r="O843" s="288"/>
      <c r="P843" s="297"/>
      <c r="Q843" s="288"/>
      <c r="R843" s="102"/>
      <c r="S843" s="102"/>
      <c r="T843" s="102"/>
    </row>
    <row r="844" spans="1:20" s="199" customFormat="1" ht="15.75" customHeight="1">
      <c r="A844" s="2627"/>
      <c r="B844" s="310" t="s">
        <v>1713</v>
      </c>
      <c r="C844" s="311"/>
      <c r="D844" s="312">
        <f t="shared" si="585"/>
        <v>327</v>
      </c>
      <c r="E844" s="313">
        <v>3</v>
      </c>
      <c r="F844" s="314">
        <v>1</v>
      </c>
      <c r="G844" s="315" t="s">
        <v>63</v>
      </c>
      <c r="H844" s="314" t="s">
        <v>1044</v>
      </c>
      <c r="I844" s="316">
        <v>0</v>
      </c>
      <c r="J844" s="317">
        <f t="shared" si="586"/>
        <v>11.100000000000001</v>
      </c>
      <c r="K844" s="313">
        <v>0</v>
      </c>
      <c r="L844" s="318" t="str">
        <f t="shared" si="587"/>
        <v>0.5/400</v>
      </c>
      <c r="M844" s="317">
        <f t="shared" si="588"/>
        <v>1.2</v>
      </c>
      <c r="N844" s="308">
        <f t="shared" si="589"/>
        <v>0</v>
      </c>
      <c r="O844" s="288"/>
      <c r="P844" s="297"/>
      <c r="Q844" s="288"/>
      <c r="R844" s="102"/>
      <c r="S844" s="102"/>
      <c r="T844" s="102"/>
    </row>
    <row r="845" spans="1:20" s="199" customFormat="1" ht="15.75" customHeight="1">
      <c r="A845" s="2627"/>
      <c r="B845" s="310" t="s">
        <v>1707</v>
      </c>
      <c r="C845" s="311"/>
      <c r="D845" s="312">
        <f t="shared" si="585"/>
        <v>573</v>
      </c>
      <c r="E845" s="313">
        <v>3</v>
      </c>
      <c r="F845" s="314">
        <v>1</v>
      </c>
      <c r="G845" s="315" t="s">
        <v>314</v>
      </c>
      <c r="H845" s="314" t="s">
        <v>1044</v>
      </c>
      <c r="I845" s="316">
        <v>0</v>
      </c>
      <c r="J845" s="317">
        <f t="shared" si="586"/>
        <v>26.6</v>
      </c>
      <c r="K845" s="313">
        <v>0</v>
      </c>
      <c r="L845" s="318" t="str">
        <f t="shared" si="587"/>
        <v>1/750</v>
      </c>
      <c r="M845" s="317">
        <f t="shared" si="588"/>
        <v>1.9</v>
      </c>
      <c r="N845" s="308">
        <f t="shared" si="589"/>
        <v>0</v>
      </c>
      <c r="O845" s="288"/>
      <c r="P845" s="297"/>
      <c r="Q845" s="288"/>
      <c r="R845" s="102"/>
      <c r="S845" s="102"/>
      <c r="T845" s="102"/>
    </row>
    <row r="846" spans="1:20" s="199" customFormat="1" ht="15.75" customHeight="1">
      <c r="A846" s="2627"/>
      <c r="B846" s="310" t="s">
        <v>1707</v>
      </c>
      <c r="C846" s="311"/>
      <c r="D846" s="312">
        <f t="shared" si="585"/>
        <v>573</v>
      </c>
      <c r="E846" s="313">
        <v>3</v>
      </c>
      <c r="F846" s="314">
        <v>1</v>
      </c>
      <c r="G846" s="315" t="s">
        <v>314</v>
      </c>
      <c r="H846" s="314" t="s">
        <v>1044</v>
      </c>
      <c r="I846" s="316">
        <v>0</v>
      </c>
      <c r="J846" s="317">
        <f t="shared" si="586"/>
        <v>26.6</v>
      </c>
      <c r="K846" s="313">
        <v>0</v>
      </c>
      <c r="L846" s="318" t="str">
        <f t="shared" si="587"/>
        <v>1/750</v>
      </c>
      <c r="M846" s="317">
        <f t="shared" si="588"/>
        <v>1.9</v>
      </c>
      <c r="N846" s="308">
        <f t="shared" si="589"/>
        <v>0</v>
      </c>
      <c r="O846" s="288"/>
      <c r="P846" s="297"/>
      <c r="Q846" s="288"/>
      <c r="R846" s="102"/>
      <c r="S846" s="102"/>
      <c r="T846" s="102"/>
    </row>
    <row r="847" spans="1:20" s="199" customFormat="1" ht="14.25">
      <c r="A847" s="2627"/>
      <c r="B847" s="310" t="s">
        <v>801</v>
      </c>
      <c r="C847" s="319"/>
      <c r="D847" s="312">
        <f t="shared" si="585"/>
        <v>676</v>
      </c>
      <c r="E847" s="313">
        <v>1</v>
      </c>
      <c r="F847" s="314">
        <v>1</v>
      </c>
      <c r="G847" s="315" t="s">
        <v>314</v>
      </c>
      <c r="H847" s="314" t="s">
        <v>1043</v>
      </c>
      <c r="I847" s="316">
        <v>0.8</v>
      </c>
      <c r="J847" s="317">
        <f t="shared" si="586"/>
        <v>26.6</v>
      </c>
      <c r="K847" s="320">
        <v>2</v>
      </c>
      <c r="L847" s="318" t="str">
        <f t="shared" si="587"/>
        <v>1/750</v>
      </c>
      <c r="M847" s="317">
        <f t="shared" si="588"/>
        <v>1.9</v>
      </c>
      <c r="N847" s="308">
        <f t="shared" si="589"/>
        <v>52.354500000000002</v>
      </c>
      <c r="O847" s="288"/>
      <c r="P847" s="297"/>
      <c r="Q847" s="288"/>
      <c r="R847" s="102"/>
      <c r="S847" s="102"/>
      <c r="T847" s="102"/>
    </row>
    <row r="848" spans="1:20" s="199" customFormat="1" ht="15" thickBot="1">
      <c r="A848" s="2628"/>
      <c r="B848" s="321" t="s">
        <v>802</v>
      </c>
      <c r="C848" s="363"/>
      <c r="D848" s="364">
        <f t="shared" si="585"/>
        <v>497</v>
      </c>
      <c r="E848" s="365">
        <v>1</v>
      </c>
      <c r="F848" s="366">
        <v>1</v>
      </c>
      <c r="G848" s="322" t="s">
        <v>62</v>
      </c>
      <c r="H848" s="366" t="s">
        <v>1043</v>
      </c>
      <c r="I848" s="367">
        <v>0.8</v>
      </c>
      <c r="J848" s="368">
        <f t="shared" si="586"/>
        <v>17.7</v>
      </c>
      <c r="K848" s="395">
        <v>0</v>
      </c>
      <c r="L848" s="369" t="str">
        <f t="shared" si="587"/>
        <v>-</v>
      </c>
      <c r="M848" s="368">
        <f t="shared" si="588"/>
        <v>0</v>
      </c>
      <c r="N848" s="370">
        <f t="shared" si="589"/>
        <v>29.558999999999997</v>
      </c>
      <c r="O848" s="288"/>
      <c r="P848" s="297"/>
      <c r="Q848" s="288"/>
      <c r="R848" s="102"/>
      <c r="S848" s="102"/>
      <c r="T848" s="102"/>
    </row>
    <row r="849" spans="1:20" s="129" customFormat="1" ht="22.5" customHeight="1" thickBot="1">
      <c r="A849" s="371"/>
      <c r="B849" s="375"/>
      <c r="C849" s="375"/>
      <c r="D849" s="383"/>
      <c r="E849" s="373"/>
      <c r="F849" s="373"/>
      <c r="G849" s="373"/>
      <c r="H849" s="373"/>
      <c r="I849" s="374"/>
      <c r="J849" s="374"/>
      <c r="K849" s="373"/>
      <c r="L849" s="373"/>
      <c r="M849" s="372"/>
      <c r="N849" s="699">
        <f>SUM(N841:N848)</f>
        <v>81.913499999999999</v>
      </c>
      <c r="O849" s="288"/>
      <c r="P849" s="297"/>
      <c r="Q849" s="288"/>
      <c r="R849" s="102"/>
      <c r="S849" s="102"/>
      <c r="T849" s="102"/>
    </row>
    <row r="850" spans="1:20" s="102" customFormat="1" ht="8.25" customHeight="1" thickBot="1">
      <c r="A850" s="323"/>
      <c r="B850" s="309"/>
      <c r="C850" s="323"/>
      <c r="D850" s="382"/>
      <c r="E850" s="323"/>
      <c r="F850" s="325"/>
      <c r="G850" s="325"/>
      <c r="H850" s="325"/>
      <c r="I850" s="323"/>
      <c r="J850" s="323"/>
      <c r="K850" s="323"/>
      <c r="L850" s="325"/>
      <c r="M850" s="323"/>
      <c r="N850" s="309"/>
      <c r="O850" s="288"/>
      <c r="P850" s="297"/>
      <c r="Q850" s="288"/>
    </row>
    <row r="851" spans="1:20" s="102" customFormat="1">
      <c r="A851" s="2629" t="s">
        <v>1228</v>
      </c>
      <c r="B851" s="310" t="s">
        <v>1033</v>
      </c>
      <c r="C851" s="327"/>
      <c r="D851" s="328">
        <f>IF(H851&lt;&gt;"",VLOOKUP(G851,base_barras,IF(H851="Desnuda",2,5)+F851-1,FALSE),"-")</f>
        <v>1180</v>
      </c>
      <c r="E851" s="481">
        <f>3+1</f>
        <v>4</v>
      </c>
      <c r="F851" s="330">
        <v>1</v>
      </c>
      <c r="G851" s="331" t="s">
        <v>581</v>
      </c>
      <c r="H851" s="330" t="s">
        <v>1043</v>
      </c>
      <c r="I851" s="332">
        <v>0</v>
      </c>
      <c r="J851" s="362">
        <v>69.290000000000006</v>
      </c>
      <c r="K851" s="329">
        <v>0</v>
      </c>
      <c r="L851" s="343" t="str">
        <f>IF(G851&lt;&gt;"",IF(VLOOKUP(G851,base_barras,10,FALSE)&lt;&gt;"",VLOOKUP(G851,base_barras,10,FALSE),"-"),"-")</f>
        <v>1/750</v>
      </c>
      <c r="M851" s="333">
        <f>IF(L851&lt;&gt;"-",VLOOKUP(L851,precio_aislador,2,FALSE),0)</f>
        <v>1.9</v>
      </c>
      <c r="N851" s="360">
        <f>(I851*J851*F851+K851*M851)*E851*1.67*1.25</f>
        <v>0</v>
      </c>
      <c r="O851" s="288"/>
      <c r="P851" s="297"/>
      <c r="Q851" s="297"/>
    </row>
    <row r="852" spans="1:20" s="102" customFormat="1">
      <c r="A852" s="2630"/>
      <c r="B852" s="310"/>
      <c r="C852" s="311"/>
      <c r="D852" s="312" t="str">
        <f>IF(H852&lt;&gt;"",VLOOKUP(G852,base_barras,IF(H852="Desnuda",2,5)+F852-1,FALSE),"-")</f>
        <v>-</v>
      </c>
      <c r="E852" s="313"/>
      <c r="F852" s="314"/>
      <c r="G852" s="315"/>
      <c r="H852" s="314"/>
      <c r="I852" s="316"/>
      <c r="J852" s="361">
        <v>0</v>
      </c>
      <c r="K852" s="313"/>
      <c r="L852" s="318" t="str">
        <f>IF(G852&lt;&gt;"",IF(VLOOKUP(G852,base_barras,10,FALSE)&lt;&gt;"",VLOOKUP(G852,base_barras,10,FALSE),"-"),"-")</f>
        <v>-</v>
      </c>
      <c r="M852" s="317">
        <f>IF(L852&lt;&gt;"-",VLOOKUP(L852,precio_aislador,2,FALSE),0)</f>
        <v>0</v>
      </c>
      <c r="N852" s="308">
        <f>(I852*J852*F852+K852*M852)*E852*1.67*1.25</f>
        <v>0</v>
      </c>
      <c r="O852" s="288"/>
      <c r="P852" s="297"/>
      <c r="Q852" s="297"/>
    </row>
    <row r="853" spans="1:20" s="102" customFormat="1" ht="14.25" customHeight="1">
      <c r="A853" s="379"/>
      <c r="B853" s="380"/>
      <c r="C853" s="379"/>
      <c r="D853" s="379"/>
      <c r="E853" s="379"/>
      <c r="F853" s="381"/>
      <c r="G853" s="381"/>
      <c r="H853" s="381"/>
      <c r="I853" s="379"/>
      <c r="J853" s="379"/>
      <c r="K853" s="379"/>
      <c r="L853" s="381"/>
      <c r="M853" s="379"/>
      <c r="N853" s="305"/>
      <c r="O853" s="288"/>
      <c r="P853" s="297"/>
      <c r="Q853" s="297"/>
    </row>
    <row r="854" spans="1:20" s="102" customFormat="1" ht="14.25" customHeight="1">
      <c r="A854" s="379"/>
      <c r="B854" s="380"/>
      <c r="C854" s="379"/>
      <c r="D854" s="379"/>
      <c r="E854" s="379"/>
      <c r="F854" s="381"/>
      <c r="G854" s="381"/>
      <c r="H854" s="381"/>
      <c r="I854" s="379"/>
      <c r="J854" s="379"/>
      <c r="K854" s="379"/>
      <c r="L854" s="381"/>
      <c r="M854" s="379"/>
      <c r="N854" s="305"/>
      <c r="O854" s="288"/>
      <c r="P854" s="297"/>
      <c r="Q854" s="297"/>
    </row>
    <row r="855" spans="1:20" s="199" customFormat="1" ht="15.75" customHeight="1">
      <c r="A855" s="2626" t="s">
        <v>1408</v>
      </c>
      <c r="B855" s="310" t="s">
        <v>1033</v>
      </c>
      <c r="C855" s="311"/>
      <c r="D855" s="312">
        <f>IF(H855&lt;&gt;"",VLOOKUP(G855,base_barras,IF(H855="Desnuda",2,5)+F855-1,FALSE),"-")</f>
        <v>1180</v>
      </c>
      <c r="E855" s="313">
        <v>4</v>
      </c>
      <c r="F855" s="314">
        <v>1</v>
      </c>
      <c r="G855" s="315" t="s">
        <v>581</v>
      </c>
      <c r="H855" s="314" t="s">
        <v>1043</v>
      </c>
      <c r="I855" s="316">
        <f>2/3*2</f>
        <v>1.3333333333333333</v>
      </c>
      <c r="J855" s="317">
        <f>IF(G855&lt;&gt;"",VLOOKUP(G855,precio_barras,9,FALSE),0)</f>
        <v>53.3</v>
      </c>
      <c r="K855" s="313">
        <v>2</v>
      </c>
      <c r="L855" s="318" t="str">
        <f>IF(G855&lt;&gt;"",IF(VLOOKUP(G855,base_barras,10,FALSE)&lt;&gt;"",VLOOKUP(G855,base_barras,10,FALSE),"-"),"-")</f>
        <v>1/750</v>
      </c>
      <c r="M855" s="317">
        <f>IF(L855&lt;&gt;"-",VLOOKUP(L855,precio_aislador,2,FALSE),0)</f>
        <v>1.9</v>
      </c>
      <c r="N855" s="308">
        <f>(I855*J855*F855+K855*M855)*E855*1.67*1.25</f>
        <v>625.13666666666654</v>
      </c>
      <c r="O855" s="288"/>
      <c r="P855" s="297"/>
      <c r="Q855" s="288"/>
      <c r="R855" s="102"/>
      <c r="S855" s="102"/>
      <c r="T855" s="102"/>
    </row>
    <row r="856" spans="1:20" s="199" customFormat="1" ht="14.25">
      <c r="A856" s="2627"/>
      <c r="B856" s="310"/>
      <c r="C856" s="319"/>
      <c r="D856" s="312" t="str">
        <f>IF(H856&lt;&gt;"",VLOOKUP(G856,base_barras,IF(H856="Desnuda",2,5)+F856-1,FALSE),"-")</f>
        <v>-</v>
      </c>
      <c r="E856" s="313"/>
      <c r="F856" s="314"/>
      <c r="G856" s="315"/>
      <c r="H856" s="314"/>
      <c r="I856" s="316"/>
      <c r="J856" s="317">
        <f>IF(G856&lt;&gt;"",VLOOKUP(G856,precio_barras,9,FALSE),0)</f>
        <v>0</v>
      </c>
      <c r="K856" s="313"/>
      <c r="L856" s="318" t="str">
        <f>IF(G856&lt;&gt;"",IF(VLOOKUP(G856,base_barras,10,FALSE)&lt;&gt;"",VLOOKUP(G856,base_barras,10,FALSE),"-"),"-")</f>
        <v>-</v>
      </c>
      <c r="M856" s="317">
        <f>IF(L856&lt;&gt;"-",VLOOKUP(L856,precio_aislador,2,FALSE),0)</f>
        <v>0</v>
      </c>
      <c r="N856" s="308">
        <f>(I856*J856*F856+K856*M856)*E856*1.67*1.25</f>
        <v>0</v>
      </c>
      <c r="O856" s="288"/>
      <c r="P856" s="297"/>
      <c r="Q856" s="288"/>
      <c r="R856" s="102"/>
      <c r="S856" s="102"/>
      <c r="T856" s="102"/>
    </row>
    <row r="857" spans="1:20" s="199" customFormat="1" ht="15" thickBot="1">
      <c r="A857" s="2628"/>
      <c r="B857" s="321" t="s">
        <v>802</v>
      </c>
      <c r="C857" s="363"/>
      <c r="D857" s="364">
        <f>IF(H857&lt;&gt;"",VLOOKUP(G857,base_barras,IF(H857="Desnuda",2,5)+F857-1,FALSE),"-")</f>
        <v>850</v>
      </c>
      <c r="E857" s="365">
        <v>1</v>
      </c>
      <c r="F857" s="366">
        <v>1</v>
      </c>
      <c r="G857" s="322" t="s">
        <v>469</v>
      </c>
      <c r="H857" s="366" t="s">
        <v>1043</v>
      </c>
      <c r="I857" s="367">
        <v>0.9</v>
      </c>
      <c r="J857" s="317">
        <f>IF(G857&lt;&gt;"",VLOOKUP(G857,precio_barras,9,FALSE),0)</f>
        <v>35.6</v>
      </c>
      <c r="K857" s="395">
        <v>0</v>
      </c>
      <c r="L857" s="369" t="str">
        <f>IF(G857&lt;&gt;"",IF(VLOOKUP(G857,base_barras,10,FALSE)&lt;&gt;"",VLOOKUP(G857,base_barras,10,FALSE),"-"),"-")</f>
        <v>1/750</v>
      </c>
      <c r="M857" s="368">
        <f>IF(L857&lt;&gt;"-",VLOOKUP(L857,precio_aislador,2,FALSE),0)</f>
        <v>1.9</v>
      </c>
      <c r="N857" s="370">
        <f>(I857*J857*F857+K857*M857)*E857*1.67*1.25</f>
        <v>66.883499999999998</v>
      </c>
      <c r="O857" s="288"/>
      <c r="P857" s="297"/>
      <c r="Q857" s="288"/>
      <c r="R857" s="102"/>
      <c r="S857" s="102"/>
      <c r="T857" s="102"/>
    </row>
    <row r="858" spans="1:20" s="129" customFormat="1" ht="22.5" customHeight="1" thickBot="1">
      <c r="A858" s="371"/>
      <c r="B858" s="375"/>
      <c r="C858" s="375"/>
      <c r="D858" s="383"/>
      <c r="E858" s="373"/>
      <c r="F858" s="373"/>
      <c r="G858" s="373"/>
      <c r="H858" s="373"/>
      <c r="I858" s="374"/>
      <c r="J858" s="374"/>
      <c r="K858" s="373"/>
      <c r="L858" s="373"/>
      <c r="M858" s="372"/>
      <c r="N858" s="699">
        <f>SUM(N855:N857)</f>
        <v>692.02016666666657</v>
      </c>
      <c r="O858" s="288"/>
      <c r="P858" s="297"/>
      <c r="Q858" s="288"/>
      <c r="R858" s="102"/>
      <c r="S858" s="102"/>
      <c r="T858" s="102"/>
    </row>
    <row r="859" spans="1:20" s="106" customFormat="1" ht="9" customHeight="1" thickBot="1"/>
    <row r="860" spans="1:20" s="102" customFormat="1" ht="13.5" thickBot="1">
      <c r="A860" s="2637" t="s">
        <v>1034</v>
      </c>
      <c r="B860" s="326" t="s">
        <v>804</v>
      </c>
      <c r="C860" s="327"/>
      <c r="D860" s="328">
        <f>IF(H860&lt;&gt;"",VLOOKUP(G860,base_barras,IF(H860="Desnuda",2,5)+F860-1,FALSE),"-")</f>
        <v>1290</v>
      </c>
      <c r="E860" s="329">
        <v>4</v>
      </c>
      <c r="F860" s="330">
        <v>2</v>
      </c>
      <c r="G860" s="331" t="s">
        <v>469</v>
      </c>
      <c r="H860" s="330" t="s">
        <v>1044</v>
      </c>
      <c r="I860" s="332">
        <v>0.2</v>
      </c>
      <c r="J860" s="317">
        <f>IF(G860&lt;&gt;"",VLOOKUP(G860,precio_barras,9,FALSE),0)</f>
        <v>35.6</v>
      </c>
      <c r="K860" s="329">
        <v>0</v>
      </c>
      <c r="L860" s="343" t="str">
        <f>IF(G860&lt;&gt;"",IF(VLOOKUP(G860,base_barras,10,FALSE)&lt;&gt;"",VLOOKUP(G860,base_barras,10,FALSE),"-"),"-")</f>
        <v>1/750</v>
      </c>
      <c r="M860" s="333">
        <f>IF(L860&lt;&gt;"-",VLOOKUP(L860,precio_aislador,2,FALSE),0)</f>
        <v>1.9</v>
      </c>
      <c r="N860" s="360">
        <f>(I860*J860*F860+K860*M860)*E860*1.67*1.25</f>
        <v>118.90400000000001</v>
      </c>
      <c r="O860" s="288"/>
      <c r="P860" s="297"/>
      <c r="Q860" s="297"/>
    </row>
    <row r="861" spans="1:20" s="102" customFormat="1">
      <c r="A861" s="2638"/>
      <c r="B861" s="326" t="s">
        <v>804</v>
      </c>
      <c r="C861" s="327"/>
      <c r="D861" s="328">
        <f>IF(H861&lt;&gt;"",VLOOKUP(G861,base_barras,IF(H861="Desnuda",2,5)+F861-1,FALSE),"-")</f>
        <v>1290</v>
      </c>
      <c r="E861" s="329">
        <v>4</v>
      </c>
      <c r="F861" s="330">
        <v>2</v>
      </c>
      <c r="G861" s="331" t="s">
        <v>469</v>
      </c>
      <c r="H861" s="330" t="s">
        <v>1044</v>
      </c>
      <c r="I861" s="332">
        <v>0.2</v>
      </c>
      <c r="J861" s="317">
        <f>IF(G861&lt;&gt;"",VLOOKUP(G861,precio_barras,9,FALSE),0)</f>
        <v>35.6</v>
      </c>
      <c r="K861" s="329">
        <v>0</v>
      </c>
      <c r="L861" s="343" t="str">
        <f>IF(G861&lt;&gt;"",IF(VLOOKUP(G861,base_barras,10,FALSE)&lt;&gt;"",VLOOKUP(G861,base_barras,10,FALSE),"-"),"-")</f>
        <v>1/750</v>
      </c>
      <c r="M861" s="333">
        <f>IF(L861&lt;&gt;"-",VLOOKUP(L861,precio_aislador,2,FALSE),0)</f>
        <v>1.9</v>
      </c>
      <c r="N861" s="360">
        <f>(I861*J861*F861+K861*M861)*E861*1.67*1.25</f>
        <v>118.90400000000001</v>
      </c>
      <c r="O861" s="288"/>
      <c r="P861" s="297"/>
      <c r="Q861" s="297"/>
    </row>
    <row r="862" spans="1:20" s="102" customFormat="1">
      <c r="A862" s="2638"/>
      <c r="B862" s="310"/>
      <c r="C862" s="311"/>
      <c r="D862" s="312" t="str">
        <f>IF(H862&lt;&gt;"",VLOOKUP(G862,base_barras,IF(H862="Desnuda",2,5)+F862-1,FALSE),"-")</f>
        <v>-</v>
      </c>
      <c r="E862" s="313"/>
      <c r="F862" s="314"/>
      <c r="G862" s="315"/>
      <c r="H862" s="314"/>
      <c r="I862" s="316"/>
      <c r="J862" s="317">
        <f>IF(G862&lt;&gt;"",VLOOKUP(G862,precio_barras,9,FALSE),0)</f>
        <v>0</v>
      </c>
      <c r="K862" s="313"/>
      <c r="L862" s="318" t="str">
        <f>IF(G862&lt;&gt;"",IF(VLOOKUP(G862,base_barras,10,FALSE)&lt;&gt;"",VLOOKUP(G862,base_barras,10,FALSE),"-"),"-")</f>
        <v>-</v>
      </c>
      <c r="M862" s="317">
        <f>IF(L862&lt;&gt;"-",VLOOKUP(L862,precio_aislador,2,FALSE),0)</f>
        <v>0</v>
      </c>
      <c r="N862" s="308">
        <f>(I862*J862*F862+K862*M862)*E862*1.67*1.25</f>
        <v>0</v>
      </c>
      <c r="O862" s="288"/>
      <c r="P862" s="297"/>
      <c r="Q862" s="297"/>
    </row>
    <row r="863" spans="1:20" s="102" customFormat="1" ht="13.5" thickBot="1">
      <c r="A863" s="2638"/>
      <c r="B863" s="310"/>
      <c r="C863" s="311"/>
      <c r="D863" s="312" t="str">
        <f>IF(H863&lt;&gt;"",VLOOKUP(G863,base_barras,IF(H863="Desnuda",2,5)+F863-1,FALSE),"-")</f>
        <v>-</v>
      </c>
      <c r="E863" s="313"/>
      <c r="F863" s="314"/>
      <c r="G863" s="315"/>
      <c r="H863" s="314"/>
      <c r="I863" s="316"/>
      <c r="J863" s="317">
        <f>IF(G863&lt;&gt;"",VLOOKUP(G863,precio_barras,9,FALSE),0)</f>
        <v>0</v>
      </c>
      <c r="K863" s="313"/>
      <c r="L863" s="318" t="str">
        <f>IF(G863&lt;&gt;"",IF(VLOOKUP(G863,base_barras,10,FALSE)&lt;&gt;"",VLOOKUP(G863,base_barras,10,FALSE),"-"),"-")</f>
        <v>-</v>
      </c>
      <c r="M863" s="317">
        <f>IF(L863&lt;&gt;"-",VLOOKUP(L863,precio_aislador,2,FALSE),0)</f>
        <v>0</v>
      </c>
      <c r="N863" s="308">
        <f>(I863*J863*F863+K863*M863)*E863*1.67*1.25</f>
        <v>0</v>
      </c>
      <c r="O863" s="288"/>
      <c r="P863" s="297"/>
      <c r="Q863" s="297"/>
    </row>
    <row r="864" spans="1:20" s="102" customFormat="1" ht="13.5" thickBot="1">
      <c r="A864" s="323"/>
      <c r="B864" s="309"/>
      <c r="C864" s="309"/>
      <c r="D864" s="324"/>
      <c r="E864" s="376"/>
      <c r="F864" s="377"/>
      <c r="G864" s="309"/>
      <c r="H864" s="323"/>
      <c r="I864" s="325"/>
      <c r="J864" s="378"/>
      <c r="K864" s="323"/>
      <c r="L864" s="323"/>
      <c r="M864" s="325"/>
      <c r="N864" s="741">
        <f>SUM(N860:N863)</f>
        <v>237.80800000000002</v>
      </c>
      <c r="O864" s="288"/>
      <c r="P864" s="297"/>
      <c r="Q864" s="297"/>
    </row>
    <row r="865" spans="1:20" s="106" customFormat="1"/>
    <row r="866" spans="1:20" s="106" customFormat="1"/>
    <row r="867" spans="1:20" s="102" customFormat="1">
      <c r="A867" s="288"/>
      <c r="B867" s="289"/>
      <c r="C867" s="288"/>
      <c r="D867" s="288"/>
      <c r="E867" s="288"/>
      <c r="F867" s="297"/>
      <c r="G867" s="297"/>
      <c r="H867" s="297"/>
      <c r="I867" s="288"/>
      <c r="J867" s="288"/>
      <c r="K867" s="288"/>
      <c r="L867" s="297"/>
      <c r="M867" s="288"/>
      <c r="N867" s="305"/>
      <c r="O867" s="288"/>
      <c r="P867" s="297"/>
      <c r="Q867" s="297"/>
    </row>
    <row r="868" spans="1:20" s="199" customFormat="1" ht="15.75" customHeight="1">
      <c r="A868" s="2626" t="s">
        <v>1314</v>
      </c>
      <c r="B868" s="310" t="s">
        <v>1033</v>
      </c>
      <c r="C868" s="311"/>
      <c r="D868" s="312">
        <f>IF(H868&lt;&gt;"",VLOOKUP(G868,base_barras,IF(H868="Desnuda",2,5)+F868-1,FALSE),"-")</f>
        <v>1180</v>
      </c>
      <c r="E868" s="313">
        <v>4</v>
      </c>
      <c r="F868" s="314">
        <v>1</v>
      </c>
      <c r="G868" s="315" t="s">
        <v>581</v>
      </c>
      <c r="H868" s="314" t="s">
        <v>1043</v>
      </c>
      <c r="I868" s="316">
        <f>0.9</f>
        <v>0.9</v>
      </c>
      <c r="J868" s="317">
        <f>IF(G868&lt;&gt;"",VLOOKUP(G868,precio_barras,9,FALSE),0)</f>
        <v>53.3</v>
      </c>
      <c r="K868" s="313">
        <v>2</v>
      </c>
      <c r="L868" s="318" t="str">
        <f>IF(G868&lt;&gt;"",IF(VLOOKUP(G868,base_barras,10,FALSE)&lt;&gt;"",VLOOKUP(G868,base_barras,10,FALSE),"-"),"-")</f>
        <v>1/750</v>
      </c>
      <c r="M868" s="317">
        <f>IF(L868&lt;&gt;"-",VLOOKUP(L868,precio_aislador,2,FALSE),0)</f>
        <v>1.9</v>
      </c>
      <c r="N868" s="308">
        <f>(I868*J868*F868+K868*M868)*E868*1.67*1.25</f>
        <v>432.27949999999993</v>
      </c>
      <c r="O868" s="288"/>
      <c r="P868" s="297"/>
      <c r="Q868" s="288"/>
      <c r="R868" s="102"/>
      <c r="S868" s="102"/>
      <c r="T868" s="102"/>
    </row>
    <row r="869" spans="1:20" s="199" customFormat="1" ht="14.25">
      <c r="A869" s="2627"/>
      <c r="B869" s="310"/>
      <c r="C869" s="319"/>
      <c r="D869" s="312" t="str">
        <f>IF(H869&lt;&gt;"",VLOOKUP(G869,base_barras,IF(H869="Desnuda",2,5)+F869-1,FALSE),"-")</f>
        <v>-</v>
      </c>
      <c r="E869" s="313"/>
      <c r="F869" s="314"/>
      <c r="G869" s="315"/>
      <c r="H869" s="314"/>
      <c r="I869" s="316"/>
      <c r="J869" s="317">
        <f>IF(G869&lt;&gt;"",VLOOKUP(G869,precio_barras,9,FALSE),0)</f>
        <v>0</v>
      </c>
      <c r="K869" s="313"/>
      <c r="L869" s="318" t="str">
        <f>IF(G869&lt;&gt;"",IF(VLOOKUP(G869,base_barras,10,FALSE)&lt;&gt;"",VLOOKUP(G869,base_barras,10,FALSE),"-"),"-")</f>
        <v>-</v>
      </c>
      <c r="M869" s="317">
        <f>IF(L869&lt;&gt;"-",VLOOKUP(L869,precio_aislador,2,FALSE),0)</f>
        <v>0</v>
      </c>
      <c r="N869" s="308">
        <f>(I869*J869*F869+K869*M869)*E869*1.67*1.25</f>
        <v>0</v>
      </c>
      <c r="O869" s="288"/>
      <c r="P869" s="297"/>
      <c r="Q869" s="288"/>
      <c r="R869" s="102"/>
      <c r="S869" s="102"/>
      <c r="T869" s="102"/>
    </row>
    <row r="870" spans="1:20" s="199" customFormat="1" ht="15" thickBot="1">
      <c r="A870" s="2628"/>
      <c r="B870" s="321" t="s">
        <v>802</v>
      </c>
      <c r="C870" s="363"/>
      <c r="D870" s="364">
        <f>IF(H870&lt;&gt;"",VLOOKUP(G870,base_barras,IF(H870="Desnuda",2,5)+F870-1,FALSE),"-")</f>
        <v>850</v>
      </c>
      <c r="E870" s="365">
        <v>1</v>
      </c>
      <c r="F870" s="366">
        <v>1</v>
      </c>
      <c r="G870" s="322" t="s">
        <v>469</v>
      </c>
      <c r="H870" s="366" t="s">
        <v>1043</v>
      </c>
      <c r="I870" s="367">
        <v>0.9</v>
      </c>
      <c r="J870" s="317">
        <f>IF(G870&lt;&gt;"",VLOOKUP(G870,precio_barras,9,FALSE),0)</f>
        <v>35.6</v>
      </c>
      <c r="K870" s="395">
        <v>0</v>
      </c>
      <c r="L870" s="369" t="str">
        <f>IF(G870&lt;&gt;"",IF(VLOOKUP(G870,base_barras,10,FALSE)&lt;&gt;"",VLOOKUP(G870,base_barras,10,FALSE),"-"),"-")</f>
        <v>1/750</v>
      </c>
      <c r="M870" s="368">
        <f>IF(L870&lt;&gt;"-",VLOOKUP(L870,precio_aislador,2,FALSE),0)</f>
        <v>1.9</v>
      </c>
      <c r="N870" s="370">
        <f>(I870*J870*F870+K870*M870)*E870*1.67*1.25</f>
        <v>66.883499999999998</v>
      </c>
      <c r="O870" s="288"/>
      <c r="P870" s="297"/>
      <c r="Q870" s="288"/>
      <c r="R870" s="102"/>
      <c r="S870" s="102"/>
      <c r="T870" s="102"/>
    </row>
    <row r="871" spans="1:20" s="129" customFormat="1" ht="22.5" customHeight="1" thickBot="1">
      <c r="A871" s="371"/>
      <c r="B871" s="375"/>
      <c r="C871" s="375"/>
      <c r="D871" s="383"/>
      <c r="E871" s="373"/>
      <c r="F871" s="373"/>
      <c r="G871" s="373"/>
      <c r="H871" s="373"/>
      <c r="I871" s="374"/>
      <c r="J871" s="374"/>
      <c r="K871" s="373"/>
      <c r="L871" s="373"/>
      <c r="M871" s="372"/>
      <c r="N871" s="699">
        <f>SUM(N868:N870)</f>
        <v>499.1629999999999</v>
      </c>
      <c r="O871" s="288"/>
      <c r="P871" s="297"/>
      <c r="Q871" s="288"/>
      <c r="R871" s="102"/>
      <c r="S871" s="102"/>
      <c r="T871" s="102"/>
    </row>
    <row r="872" spans="1:20" s="106" customFormat="1" ht="9" customHeight="1" thickBot="1"/>
    <row r="873" spans="1:20" s="102" customFormat="1" ht="13.5" thickBot="1">
      <c r="A873" s="2637" t="s">
        <v>1034</v>
      </c>
      <c r="B873" s="326" t="s">
        <v>804</v>
      </c>
      <c r="C873" s="327"/>
      <c r="D873" s="328">
        <f>IF(H873&lt;&gt;"",VLOOKUP(G873,base_barras,IF(H873="Desnuda",2,5)+F873-1,FALSE),"-")</f>
        <v>1290</v>
      </c>
      <c r="E873" s="329">
        <v>4</v>
      </c>
      <c r="F873" s="330">
        <v>2</v>
      </c>
      <c r="G873" s="331" t="s">
        <v>469</v>
      </c>
      <c r="H873" s="330" t="s">
        <v>1044</v>
      </c>
      <c r="I873" s="332">
        <v>0.2</v>
      </c>
      <c r="J873" s="317">
        <f>IF(G873&lt;&gt;"",VLOOKUP(G873,precio_barras,9,FALSE),0)</f>
        <v>35.6</v>
      </c>
      <c r="K873" s="329">
        <v>0</v>
      </c>
      <c r="L873" s="343" t="str">
        <f>IF(G873&lt;&gt;"",IF(VLOOKUP(G873,base_barras,10,FALSE)&lt;&gt;"",VLOOKUP(G873,base_barras,10,FALSE),"-"),"-")</f>
        <v>1/750</v>
      </c>
      <c r="M873" s="333">
        <f>IF(L873&lt;&gt;"-",VLOOKUP(L873,precio_aislador,2,FALSE),0)</f>
        <v>1.9</v>
      </c>
      <c r="N873" s="360">
        <f>(I873*J873*F873+K873*M873)*E873*1.67*1.25</f>
        <v>118.90400000000001</v>
      </c>
      <c r="O873" s="288"/>
      <c r="P873" s="297"/>
      <c r="Q873" s="297"/>
    </row>
    <row r="874" spans="1:20" s="102" customFormat="1" ht="13.5" thickBot="1">
      <c r="A874" s="2638"/>
      <c r="B874" s="326" t="s">
        <v>804</v>
      </c>
      <c r="C874" s="327"/>
      <c r="D874" s="328">
        <f>IF(H874&lt;&gt;"",VLOOKUP(G874,base_barras,IF(H874="Desnuda",2,5)+F874-1,FALSE),"-")</f>
        <v>1290</v>
      </c>
      <c r="E874" s="329">
        <v>4</v>
      </c>
      <c r="F874" s="330">
        <v>2</v>
      </c>
      <c r="G874" s="331" t="s">
        <v>469</v>
      </c>
      <c r="H874" s="330" t="s">
        <v>1044</v>
      </c>
      <c r="I874" s="332">
        <v>0.2</v>
      </c>
      <c r="J874" s="317">
        <f>IF(G874&lt;&gt;"",VLOOKUP(G874,precio_barras,9,FALSE),0)</f>
        <v>35.6</v>
      </c>
      <c r="K874" s="329">
        <v>0</v>
      </c>
      <c r="L874" s="343" t="str">
        <f>IF(G874&lt;&gt;"",IF(VLOOKUP(G874,base_barras,10,FALSE)&lt;&gt;"",VLOOKUP(G874,base_barras,10,FALSE),"-"),"-")</f>
        <v>1/750</v>
      </c>
      <c r="M874" s="333">
        <f>IF(L874&lt;&gt;"-",VLOOKUP(L874,precio_aislador,2,FALSE),0)</f>
        <v>1.9</v>
      </c>
      <c r="N874" s="360">
        <f>(I874*J874*F874+K874*M874)*E874*1.67*1.25</f>
        <v>118.90400000000001</v>
      </c>
      <c r="O874" s="288"/>
      <c r="P874" s="297"/>
      <c r="Q874" s="297"/>
    </row>
    <row r="875" spans="1:20" s="102" customFormat="1">
      <c r="A875" s="2638"/>
      <c r="B875" s="326" t="s">
        <v>804</v>
      </c>
      <c r="C875" s="327"/>
      <c r="D875" s="328">
        <f>IF(H875&lt;&gt;"",VLOOKUP(G875,base_barras,IF(H875="Desnuda",2,5)+F875-1,FALSE),"-")</f>
        <v>1290</v>
      </c>
      <c r="E875" s="329">
        <v>4</v>
      </c>
      <c r="F875" s="330">
        <v>2</v>
      </c>
      <c r="G875" s="331" t="s">
        <v>469</v>
      </c>
      <c r="H875" s="330" t="s">
        <v>1044</v>
      </c>
      <c r="I875" s="332">
        <v>0.2</v>
      </c>
      <c r="J875" s="317">
        <f>IF(G875&lt;&gt;"",VLOOKUP(G875,precio_barras,9,FALSE),0)</f>
        <v>35.6</v>
      </c>
      <c r="K875" s="329">
        <v>0</v>
      </c>
      <c r="L875" s="343" t="str">
        <f>IF(G875&lt;&gt;"",IF(VLOOKUP(G875,base_barras,10,FALSE)&lt;&gt;"",VLOOKUP(G875,base_barras,10,FALSE),"-"),"-")</f>
        <v>1/750</v>
      </c>
      <c r="M875" s="333">
        <f>IF(L875&lt;&gt;"-",VLOOKUP(L875,precio_aislador,2,FALSE),0)</f>
        <v>1.9</v>
      </c>
      <c r="N875" s="360">
        <f>(I875*J875*F875+K875*M875)*E875*1.67*1.25</f>
        <v>118.90400000000001</v>
      </c>
      <c r="O875" s="288"/>
      <c r="P875" s="297"/>
      <c r="Q875" s="297"/>
    </row>
    <row r="876" spans="1:20" s="102" customFormat="1" ht="13.5" thickBot="1">
      <c r="A876" s="2638"/>
      <c r="B876" s="310"/>
      <c r="C876" s="311"/>
      <c r="D876" s="312" t="str">
        <f>IF(H876&lt;&gt;"",VLOOKUP(G876,base_barras,IF(H876="Desnuda",2,5)+F876-1,FALSE),"-")</f>
        <v>-</v>
      </c>
      <c r="E876" s="313"/>
      <c r="F876" s="314"/>
      <c r="G876" s="315"/>
      <c r="H876" s="314"/>
      <c r="I876" s="316"/>
      <c r="J876" s="317">
        <f>IF(G876&lt;&gt;"",VLOOKUP(G876,precio_barras,9,FALSE),0)</f>
        <v>0</v>
      </c>
      <c r="K876" s="313"/>
      <c r="L876" s="318" t="str">
        <f>IF(G876&lt;&gt;"",IF(VLOOKUP(G876,base_barras,10,FALSE)&lt;&gt;"",VLOOKUP(G876,base_barras,10,FALSE),"-"),"-")</f>
        <v>-</v>
      </c>
      <c r="M876" s="317">
        <f>IF(L876&lt;&gt;"-",VLOOKUP(L876,precio_aislador,2,FALSE),0)</f>
        <v>0</v>
      </c>
      <c r="N876" s="308">
        <f>(I876*J876*F876+K876*M876)*E876*1.67*1.25</f>
        <v>0</v>
      </c>
      <c r="O876" s="288"/>
      <c r="P876" s="297"/>
      <c r="Q876" s="297"/>
    </row>
    <row r="877" spans="1:20" s="102" customFormat="1" ht="13.5" thickBot="1">
      <c r="A877" s="323"/>
      <c r="B877" s="309"/>
      <c r="C877" s="309"/>
      <c r="D877" s="324"/>
      <c r="E877" s="376"/>
      <c r="F877" s="377"/>
      <c r="G877" s="309"/>
      <c r="H877" s="323"/>
      <c r="I877" s="325"/>
      <c r="J877" s="378"/>
      <c r="K877" s="323"/>
      <c r="L877" s="323"/>
      <c r="M877" s="325"/>
      <c r="N877" s="741">
        <f>SUM(N873:N876)</f>
        <v>356.71200000000005</v>
      </c>
      <c r="O877" s="288"/>
      <c r="P877" s="297"/>
      <c r="Q877" s="297"/>
    </row>
    <row r="878" spans="1:20" s="102" customFormat="1" ht="21.75" customHeight="1">
      <c r="A878" s="288"/>
      <c r="B878" s="289"/>
      <c r="C878" s="288"/>
      <c r="D878" s="288"/>
      <c r="E878" s="288"/>
      <c r="F878" s="297"/>
      <c r="G878" s="297"/>
      <c r="H878" s="297"/>
      <c r="I878" s="288"/>
      <c r="J878" s="288"/>
      <c r="K878" s="288"/>
      <c r="L878" s="297"/>
      <c r="M878" s="288"/>
      <c r="N878" s="305"/>
      <c r="O878" s="288"/>
      <c r="P878" s="297"/>
      <c r="Q878" s="297"/>
    </row>
    <row r="879" spans="1:20" s="102" customFormat="1" ht="21.75" customHeight="1">
      <c r="A879" s="288"/>
      <c r="B879" s="289"/>
      <c r="C879" s="288"/>
      <c r="D879" s="288"/>
      <c r="E879" s="288"/>
      <c r="F879" s="297"/>
      <c r="G879" s="297"/>
      <c r="H879" s="297"/>
      <c r="I879" s="288"/>
      <c r="J879" s="288"/>
      <c r="K879" s="288"/>
      <c r="L879" s="297"/>
      <c r="M879" s="288"/>
      <c r="N879" s="305"/>
      <c r="O879" s="288"/>
      <c r="P879" s="297"/>
      <c r="Q879" s="297"/>
    </row>
    <row r="880" spans="1:20" s="199" customFormat="1" ht="15.75" customHeight="1">
      <c r="A880" s="2626" t="s">
        <v>1356</v>
      </c>
      <c r="B880" s="310" t="s">
        <v>1033</v>
      </c>
      <c r="C880" s="311"/>
      <c r="D880" s="312" t="str">
        <f>IF(H880&lt;&gt;"",VLOOKUP(G880,base_barras,IF(H880="Desnuda",2,5)+F880-1,FALSE),"-")</f>
        <v>-</v>
      </c>
      <c r="E880" s="313"/>
      <c r="F880" s="314"/>
      <c r="G880" s="315"/>
      <c r="H880" s="314"/>
      <c r="I880" s="316"/>
      <c r="J880" s="317">
        <f>IF(G880&lt;&gt;"",VLOOKUP(G880,precio_barras,9,FALSE),0)</f>
        <v>0</v>
      </c>
      <c r="K880" s="320">
        <v>2</v>
      </c>
      <c r="L880" s="318" t="str">
        <f>IF(G880&lt;&gt;"",IF(VLOOKUP(G880,base_barras,10,FALSE)&lt;&gt;"",VLOOKUP(G880,base_barras,10,FALSE),"-"),"-")</f>
        <v>-</v>
      </c>
      <c r="M880" s="317">
        <f>IF(L880&lt;&gt;"-",VLOOKUP(L880,precio_aislador,2,FALSE),0)</f>
        <v>0</v>
      </c>
      <c r="N880" s="308">
        <f>(I880*J880*F880+K880*M880)*E880*1.67*1.25</f>
        <v>0</v>
      </c>
      <c r="O880" s="288"/>
      <c r="P880" s="297"/>
      <c r="Q880" s="288"/>
      <c r="R880" s="102"/>
      <c r="S880" s="102"/>
      <c r="T880" s="102"/>
    </row>
    <row r="881" spans="1:20" s="199" customFormat="1" ht="15.75" customHeight="1">
      <c r="A881" s="2627"/>
      <c r="B881" s="310" t="s">
        <v>807</v>
      </c>
      <c r="C881" s="311"/>
      <c r="D881" s="312">
        <f>IF(H881&lt;&gt;"",VLOOKUP(G881,base_barras,IF(H881="Desnuda",2,5)+F881-1,FALSE),"-")</f>
        <v>676</v>
      </c>
      <c r="E881" s="313">
        <v>3</v>
      </c>
      <c r="F881" s="314">
        <v>1</v>
      </c>
      <c r="G881" s="315" t="s">
        <v>314</v>
      </c>
      <c r="H881" s="314" t="s">
        <v>1043</v>
      </c>
      <c r="I881" s="316">
        <v>0.61</v>
      </c>
      <c r="J881" s="317">
        <f>IF(G881&lt;&gt;"",VLOOKUP(G881,precio_barras,9,FALSE),0)</f>
        <v>26.6</v>
      </c>
      <c r="K881" s="313"/>
      <c r="L881" s="318" t="str">
        <f>IF(G881&lt;&gt;"",IF(VLOOKUP(G881,base_barras,10,FALSE)&lt;&gt;"",VLOOKUP(G881,base_barras,10,FALSE),"-"),"-")</f>
        <v>1/750</v>
      </c>
      <c r="M881" s="317">
        <f>IF(L881&lt;&gt;"-",VLOOKUP(L881,precio_aislador,2,FALSE),0)</f>
        <v>1.9</v>
      </c>
      <c r="N881" s="308">
        <f>(I881*J881*F881+K881*M881)*E881*1.67*1.25</f>
        <v>101.615325</v>
      </c>
      <c r="O881" s="288"/>
      <c r="P881" s="297"/>
      <c r="Q881" s="288"/>
      <c r="R881" s="102"/>
      <c r="S881" s="102"/>
      <c r="T881" s="102"/>
    </row>
    <row r="882" spans="1:20" s="199" customFormat="1" ht="15.75" customHeight="1">
      <c r="A882" s="2627"/>
      <c r="B882" s="310" t="s">
        <v>1357</v>
      </c>
      <c r="C882" s="311"/>
      <c r="D882" s="312">
        <f>IF(H882&lt;&gt;"",VLOOKUP(G882,base_barras,IF(H882="Desnuda",2,5)+F882-1,FALSE),"-")</f>
        <v>573</v>
      </c>
      <c r="E882" s="313">
        <v>3</v>
      </c>
      <c r="F882" s="314">
        <v>1</v>
      </c>
      <c r="G882" s="315" t="s">
        <v>314</v>
      </c>
      <c r="H882" s="314" t="s">
        <v>1044</v>
      </c>
      <c r="I882" s="316">
        <v>0.2</v>
      </c>
      <c r="J882" s="317">
        <f>IF(G882&lt;&gt;"",VLOOKUP(G882,precio_barras,9,FALSE),0)</f>
        <v>26.6</v>
      </c>
      <c r="K882" s="313"/>
      <c r="L882" s="318" t="str">
        <f>IF(G882&lt;&gt;"",IF(VLOOKUP(G882,base_barras,10,FALSE)&lt;&gt;"",VLOOKUP(G882,base_barras,10,FALSE),"-"),"-")</f>
        <v>1/750</v>
      </c>
      <c r="M882" s="317">
        <f>IF(L882&lt;&gt;"-",VLOOKUP(L882,precio_aislador,2,FALSE),0)</f>
        <v>1.9</v>
      </c>
      <c r="N882" s="308">
        <f>(I882*J882*F882+K882*M882)*E882*1.67*1.25</f>
        <v>33.316500000000005</v>
      </c>
      <c r="O882" s="288"/>
      <c r="P882" s="297"/>
      <c r="Q882" s="288"/>
      <c r="R882" s="102"/>
      <c r="S882" s="102"/>
      <c r="T882" s="102"/>
    </row>
    <row r="883" spans="1:20" s="199" customFormat="1" ht="14.25">
      <c r="A883" s="2627"/>
      <c r="B883" s="310" t="s">
        <v>801</v>
      </c>
      <c r="C883" s="319"/>
      <c r="D883" s="312">
        <f>IF(H883&lt;&gt;"",VLOOKUP(G883,base_barras,IF(H883="Desnuda",2,5)+F883-1,FALSE),"-")</f>
        <v>676</v>
      </c>
      <c r="E883" s="313">
        <v>1</v>
      </c>
      <c r="F883" s="314">
        <v>1</v>
      </c>
      <c r="G883" s="315" t="s">
        <v>314</v>
      </c>
      <c r="H883" s="314" t="s">
        <v>1043</v>
      </c>
      <c r="I883" s="316">
        <v>1</v>
      </c>
      <c r="J883" s="317">
        <f>IF(G883&lt;&gt;"",VLOOKUP(G883,precio_barras,9,FALSE),0)</f>
        <v>26.6</v>
      </c>
      <c r="K883" s="320">
        <v>2</v>
      </c>
      <c r="L883" s="318" t="str">
        <f>IF(G883&lt;&gt;"",IF(VLOOKUP(G883,base_barras,10,FALSE)&lt;&gt;"",VLOOKUP(G883,base_barras,10,FALSE),"-"),"-")</f>
        <v>1/750</v>
      </c>
      <c r="M883" s="317">
        <f>IF(L883&lt;&gt;"-",VLOOKUP(L883,precio_aislador,2,FALSE),0)</f>
        <v>1.9</v>
      </c>
      <c r="N883" s="308">
        <f>(I883*J883*F883+K883*M883)*E883*1.67*1.25</f>
        <v>63.46</v>
      </c>
      <c r="O883" s="288"/>
      <c r="P883" s="297"/>
      <c r="Q883" s="288"/>
      <c r="R883" s="102"/>
      <c r="S883" s="102"/>
      <c r="T883" s="102"/>
    </row>
    <row r="884" spans="1:20" s="199" customFormat="1" ht="15" thickBot="1">
      <c r="A884" s="2628"/>
      <c r="B884" s="321" t="s">
        <v>802</v>
      </c>
      <c r="C884" s="363"/>
      <c r="D884" s="364">
        <f>IF(H884&lt;&gt;"",VLOOKUP(G884,base_barras,IF(H884="Desnuda",2,5)+F884-1,FALSE),"-")</f>
        <v>447</v>
      </c>
      <c r="E884" s="365">
        <v>1</v>
      </c>
      <c r="F884" s="366">
        <v>1</v>
      </c>
      <c r="G884" s="322" t="s">
        <v>579</v>
      </c>
      <c r="H884" s="366" t="s">
        <v>1043</v>
      </c>
      <c r="I884" s="316">
        <v>1</v>
      </c>
      <c r="J884" s="317">
        <f>IF(G884&lt;&gt;"",VLOOKUP(G884,precio_barras,9,FALSE),0)</f>
        <v>13.3</v>
      </c>
      <c r="K884" s="395">
        <v>0</v>
      </c>
      <c r="L884" s="369" t="str">
        <f>IF(G884&lt;&gt;"",IF(VLOOKUP(G884,base_barras,10,FALSE)&lt;&gt;"",VLOOKUP(G884,base_barras,10,FALSE),"-"),"-")</f>
        <v>0.5/400</v>
      </c>
      <c r="M884" s="368">
        <f>IF(L884&lt;&gt;"-",VLOOKUP(L884,precio_aislador,2,FALSE),0)</f>
        <v>1.2</v>
      </c>
      <c r="N884" s="370">
        <f>(I884*J884*F884+K884*M884)*E884*1.67*1.25</f>
        <v>27.763749999999998</v>
      </c>
      <c r="O884" s="288"/>
      <c r="P884" s="297"/>
      <c r="Q884" s="288"/>
      <c r="R884" s="102"/>
      <c r="S884" s="102"/>
      <c r="T884" s="102"/>
    </row>
    <row r="885" spans="1:20" s="102" customFormat="1" ht="13.5" thickBot="1">
      <c r="A885" s="288"/>
      <c r="B885" s="289"/>
      <c r="C885" s="288"/>
      <c r="D885" s="288"/>
      <c r="E885" s="288"/>
      <c r="F885" s="297"/>
      <c r="G885" s="297"/>
      <c r="H885" s="297"/>
      <c r="I885" s="288"/>
      <c r="J885" s="288"/>
      <c r="K885" s="288"/>
      <c r="L885" s="297"/>
      <c r="M885" s="288"/>
      <c r="N885" s="741">
        <f>SUM(N880:N884)</f>
        <v>226.155575</v>
      </c>
      <c r="O885" s="288"/>
      <c r="P885" s="297"/>
      <c r="Q885" s="297"/>
    </row>
    <row r="886" spans="1:20" s="102" customFormat="1" ht="21.75" customHeight="1">
      <c r="A886" s="288"/>
      <c r="B886" s="289"/>
      <c r="C886" s="288"/>
      <c r="D886" s="288"/>
      <c r="E886" s="288"/>
      <c r="F886" s="297"/>
      <c r="G886" s="297"/>
      <c r="H886" s="297"/>
      <c r="I886" s="288"/>
      <c r="J886" s="288"/>
      <c r="K886" s="288"/>
      <c r="L886" s="297"/>
      <c r="M886" s="288"/>
      <c r="N886" s="305"/>
      <c r="O886" s="288"/>
      <c r="P886" s="297"/>
      <c r="Q886" s="297"/>
    </row>
    <row r="887" spans="1:20" s="102" customFormat="1" ht="21.75" customHeight="1">
      <c r="A887" s="288"/>
      <c r="B887" s="289"/>
      <c r="C887" s="288"/>
      <c r="D887" s="288"/>
      <c r="E887" s="288"/>
      <c r="F887" s="297"/>
      <c r="G887" s="297"/>
      <c r="H887" s="297"/>
      <c r="I887" s="288"/>
      <c r="J887" s="288"/>
      <c r="K887" s="288"/>
      <c r="L887" s="297"/>
      <c r="M887" s="288"/>
      <c r="N887" s="305"/>
      <c r="O887" s="288"/>
      <c r="P887" s="297"/>
      <c r="Q887" s="297"/>
    </row>
    <row r="888" spans="1:20" s="199" customFormat="1" ht="15.75" customHeight="1">
      <c r="A888" s="2626" t="s">
        <v>1359</v>
      </c>
      <c r="B888" s="310" t="s">
        <v>1033</v>
      </c>
      <c r="C888" s="311"/>
      <c r="D888" s="312" t="str">
        <f>IF(H888&lt;&gt;"",VLOOKUP(G888,base_barras,IF(H888="Desnuda",2,5)+F888-1,FALSE),"-")</f>
        <v>-</v>
      </c>
      <c r="E888" s="313"/>
      <c r="F888" s="314"/>
      <c r="G888" s="315"/>
      <c r="H888" s="314"/>
      <c r="I888" s="316"/>
      <c r="J888" s="317">
        <f>IF(G888&lt;&gt;"",VLOOKUP(G888,precio_barras,9,FALSE),0)</f>
        <v>0</v>
      </c>
      <c r="K888" s="320">
        <v>2</v>
      </c>
      <c r="L888" s="318" t="str">
        <f>IF(G888&lt;&gt;"",IF(VLOOKUP(G888,base_barras,10,FALSE)&lt;&gt;"",VLOOKUP(G888,base_barras,10,FALSE),"-"),"-")</f>
        <v>-</v>
      </c>
      <c r="M888" s="317">
        <f>IF(L888&lt;&gt;"-",VLOOKUP(L888,precio_aislador,2,FALSE),0)</f>
        <v>0</v>
      </c>
      <c r="N888" s="308">
        <f>(I888*J888*F888+K888*M888)*E888*1.67*1.25</f>
        <v>0</v>
      </c>
      <c r="O888" s="288"/>
      <c r="P888" s="297"/>
      <c r="Q888" s="288"/>
      <c r="R888" s="102"/>
      <c r="S888" s="102"/>
      <c r="T888" s="102"/>
    </row>
    <row r="889" spans="1:20" s="199" customFormat="1" ht="15.75" customHeight="1">
      <c r="A889" s="2627"/>
      <c r="B889" s="310" t="s">
        <v>806</v>
      </c>
      <c r="C889" s="311"/>
      <c r="D889" s="312">
        <f>IF(H889&lt;&gt;"",VLOOKUP(G889,base_barras,IF(H889="Desnuda",2,5)+F889-1,FALSE),"-")</f>
        <v>850</v>
      </c>
      <c r="E889" s="313">
        <v>3</v>
      </c>
      <c r="F889" s="314">
        <v>1</v>
      </c>
      <c r="G889" s="315" t="s">
        <v>469</v>
      </c>
      <c r="H889" s="314" t="s">
        <v>1043</v>
      </c>
      <c r="I889" s="316">
        <v>0.61</v>
      </c>
      <c r="J889" s="317">
        <f>IF(G889&lt;&gt;"",VLOOKUP(G889,precio_barras,9,FALSE),0)</f>
        <v>35.6</v>
      </c>
      <c r="K889" s="313"/>
      <c r="L889" s="318" t="str">
        <f>IF(G889&lt;&gt;"",IF(VLOOKUP(G889,base_barras,10,FALSE)&lt;&gt;"",VLOOKUP(G889,base_barras,10,FALSE),"-"),"-")</f>
        <v>1/750</v>
      </c>
      <c r="M889" s="317">
        <f>IF(L889&lt;&gt;"-",VLOOKUP(L889,precio_aislador,2,FALSE),0)</f>
        <v>1.9</v>
      </c>
      <c r="N889" s="308">
        <f>(I889*J889*F889+K889*M889)*E889*1.67*1.25</f>
        <v>135.99644999999998</v>
      </c>
      <c r="O889" s="288"/>
      <c r="P889" s="297"/>
      <c r="Q889" s="288"/>
      <c r="R889" s="102"/>
      <c r="S889" s="102"/>
      <c r="T889" s="102"/>
    </row>
    <row r="890" spans="1:20" s="199" customFormat="1" ht="15.75" customHeight="1">
      <c r="A890" s="2627"/>
      <c r="B890" s="310" t="s">
        <v>1358</v>
      </c>
      <c r="C890" s="311"/>
      <c r="D890" s="312">
        <f>IF(H890&lt;&gt;"",VLOOKUP(G890,base_barras,IF(H890="Desnuda",2,5)+F890-1,FALSE),"-")</f>
        <v>715</v>
      </c>
      <c r="E890" s="313">
        <v>3</v>
      </c>
      <c r="F890" s="314">
        <v>1</v>
      </c>
      <c r="G890" s="315" t="s">
        <v>469</v>
      </c>
      <c r="H890" s="314" t="s">
        <v>1044</v>
      </c>
      <c r="I890" s="316">
        <v>0.2</v>
      </c>
      <c r="J890" s="317">
        <f>IF(G890&lt;&gt;"",VLOOKUP(G890,precio_barras,9,FALSE),0)</f>
        <v>35.6</v>
      </c>
      <c r="K890" s="313"/>
      <c r="L890" s="318" t="str">
        <f>IF(G890&lt;&gt;"",IF(VLOOKUP(G890,base_barras,10,FALSE)&lt;&gt;"",VLOOKUP(G890,base_barras,10,FALSE),"-"),"-")</f>
        <v>1/750</v>
      </c>
      <c r="M890" s="317">
        <f>IF(L890&lt;&gt;"-",VLOOKUP(L890,precio_aislador,2,FALSE),0)</f>
        <v>1.9</v>
      </c>
      <c r="N890" s="308">
        <f>(I890*J890*F890+K890*M890)*E890*1.67*1.25</f>
        <v>44.589000000000006</v>
      </c>
      <c r="O890" s="288"/>
      <c r="P890" s="297"/>
      <c r="Q890" s="288"/>
      <c r="R890" s="102"/>
      <c r="S890" s="102"/>
      <c r="T890" s="102"/>
    </row>
    <row r="891" spans="1:20" s="199" customFormat="1" ht="14.25">
      <c r="A891" s="2627"/>
      <c r="B891" s="310" t="s">
        <v>801</v>
      </c>
      <c r="C891" s="319"/>
      <c r="D891" s="312">
        <f>IF(H891&lt;&gt;"",VLOOKUP(G891,base_barras,IF(H891="Desnuda",2,5)+F891-1,FALSE),"-")</f>
        <v>850</v>
      </c>
      <c r="E891" s="313">
        <v>1</v>
      </c>
      <c r="F891" s="314">
        <v>1</v>
      </c>
      <c r="G891" s="315" t="s">
        <v>469</v>
      </c>
      <c r="H891" s="314" t="s">
        <v>1043</v>
      </c>
      <c r="I891" s="316">
        <v>0.8</v>
      </c>
      <c r="J891" s="317">
        <f>IF(G891&lt;&gt;"",VLOOKUP(G891,precio_barras,9,FALSE),0)</f>
        <v>35.6</v>
      </c>
      <c r="K891" s="320">
        <v>2</v>
      </c>
      <c r="L891" s="318" t="str">
        <f>IF(G891&lt;&gt;"",IF(VLOOKUP(G891,base_barras,10,FALSE)&lt;&gt;"",VLOOKUP(G891,base_barras,10,FALSE),"-"),"-")</f>
        <v>1/750</v>
      </c>
      <c r="M891" s="317">
        <f>IF(L891&lt;&gt;"-",VLOOKUP(L891,precio_aislador,2,FALSE),0)</f>
        <v>1.9</v>
      </c>
      <c r="N891" s="308">
        <f>(I891*J891*F891+K891*M891)*E891*1.67*1.25</f>
        <v>67.384500000000003</v>
      </c>
      <c r="O891" s="288"/>
      <c r="P891" s="297"/>
      <c r="Q891" s="288"/>
      <c r="R891" s="102"/>
      <c r="S891" s="102"/>
      <c r="T891" s="102"/>
    </row>
    <row r="892" spans="1:20" s="199" customFormat="1" ht="15" thickBot="1">
      <c r="A892" s="2628"/>
      <c r="B892" s="321" t="s">
        <v>802</v>
      </c>
      <c r="C892" s="363"/>
      <c r="D892" s="364">
        <f>IF(H892&lt;&gt;"",VLOOKUP(G892,base_barras,IF(H892="Desnuda",2,5)+F892-1,FALSE),"-")</f>
        <v>676</v>
      </c>
      <c r="E892" s="365">
        <v>1</v>
      </c>
      <c r="F892" s="366">
        <v>1</v>
      </c>
      <c r="G892" s="322" t="s">
        <v>314</v>
      </c>
      <c r="H892" s="366" t="s">
        <v>1043</v>
      </c>
      <c r="I892" s="316">
        <v>0.8</v>
      </c>
      <c r="J892" s="317">
        <f>IF(G892&lt;&gt;"",VLOOKUP(G892,precio_barras,9,FALSE),0)</f>
        <v>26.6</v>
      </c>
      <c r="K892" s="395">
        <v>0</v>
      </c>
      <c r="L892" s="369" t="str">
        <f>IF(G892&lt;&gt;"",IF(VLOOKUP(G892,base_barras,10,FALSE)&lt;&gt;"",VLOOKUP(G892,base_barras,10,FALSE),"-"),"-")</f>
        <v>1/750</v>
      </c>
      <c r="M892" s="368">
        <f>IF(L892&lt;&gt;"-",VLOOKUP(L892,precio_aislador,2,FALSE),0)</f>
        <v>1.9</v>
      </c>
      <c r="N892" s="370">
        <f>(I892*J892*F892+K892*M892)*E892*1.67*1.25</f>
        <v>44.421999999999997</v>
      </c>
      <c r="O892" s="288"/>
      <c r="P892" s="297"/>
      <c r="Q892" s="288"/>
      <c r="R892" s="102"/>
      <c r="S892" s="102"/>
      <c r="T892" s="102"/>
    </row>
    <row r="893" spans="1:20" s="102" customFormat="1" ht="13.5" thickBot="1">
      <c r="A893" s="288"/>
      <c r="B893" s="289"/>
      <c r="C893" s="288"/>
      <c r="D893" s="288"/>
      <c r="E893" s="288"/>
      <c r="F893" s="297"/>
      <c r="G893" s="297"/>
      <c r="H893" s="297"/>
      <c r="I893" s="288"/>
      <c r="J893" s="288"/>
      <c r="K893" s="288"/>
      <c r="L893" s="297"/>
      <c r="M893" s="288"/>
      <c r="N893" s="741">
        <f>SUM(N888:N892)</f>
        <v>292.39194999999995</v>
      </c>
      <c r="O893" s="288"/>
      <c r="P893" s="297"/>
      <c r="Q893" s="297"/>
    </row>
    <row r="894" spans="1:20" s="102" customFormat="1" ht="21.75" customHeight="1">
      <c r="A894" s="288"/>
      <c r="B894" s="289"/>
      <c r="C894" s="288"/>
      <c r="D894" s="288"/>
      <c r="E894" s="288"/>
      <c r="F894" s="297"/>
      <c r="G894" s="297"/>
      <c r="H894" s="297"/>
      <c r="I894" s="288"/>
      <c r="J894" s="288"/>
      <c r="K894" s="288"/>
      <c r="L894" s="297"/>
      <c r="M894" s="288"/>
      <c r="N894" s="305"/>
      <c r="O894" s="288"/>
      <c r="P894" s="297"/>
      <c r="Q894" s="297"/>
    </row>
    <row r="895" spans="1:20" s="102" customFormat="1" ht="21.75" customHeight="1">
      <c r="A895" s="288"/>
      <c r="B895" s="289"/>
      <c r="C895" s="288"/>
      <c r="D895" s="288"/>
      <c r="E895" s="288"/>
      <c r="F895" s="297"/>
      <c r="G895" s="297"/>
      <c r="H895" s="297"/>
      <c r="I895" s="288"/>
      <c r="J895" s="288"/>
      <c r="K895" s="288"/>
      <c r="L895" s="297"/>
      <c r="M895" s="288"/>
      <c r="N895" s="305"/>
      <c r="O895" s="288"/>
      <c r="P895" s="297"/>
      <c r="Q895" s="297"/>
    </row>
    <row r="896" spans="1:20" s="199" customFormat="1" ht="15.75" customHeight="1">
      <c r="A896" s="2626" t="s">
        <v>1360</v>
      </c>
      <c r="B896" s="310" t="s">
        <v>1033</v>
      </c>
      <c r="C896" s="311"/>
      <c r="D896" s="312" t="str">
        <f>IF(H896&lt;&gt;"",VLOOKUP(G896,base_barras,IF(H896="Desnuda",2,5)+F896-1,FALSE),"-")</f>
        <v>-</v>
      </c>
      <c r="E896" s="313"/>
      <c r="F896" s="314"/>
      <c r="G896" s="315"/>
      <c r="H896" s="314"/>
      <c r="I896" s="316"/>
      <c r="J896" s="317">
        <f>IF(G896&lt;&gt;"",VLOOKUP(G896,precio_barras,9,FALSE),0)</f>
        <v>0</v>
      </c>
      <c r="K896" s="320">
        <v>2</v>
      </c>
      <c r="L896" s="318" t="str">
        <f>IF(G896&lt;&gt;"",IF(VLOOKUP(G896,base_barras,10,FALSE)&lt;&gt;"",VLOOKUP(G896,base_barras,10,FALSE),"-"),"-")</f>
        <v>-</v>
      </c>
      <c r="M896" s="317">
        <f>IF(L896&lt;&gt;"-",VLOOKUP(L896,precio_aislador,2,FALSE),0)</f>
        <v>0</v>
      </c>
      <c r="N896" s="308">
        <f>(I896*J896*F896+K896*M896)*E896*1.67*1.25</f>
        <v>0</v>
      </c>
      <c r="O896" s="288"/>
      <c r="P896" s="297"/>
      <c r="Q896" s="288"/>
      <c r="R896" s="102"/>
      <c r="S896" s="102"/>
      <c r="T896" s="102"/>
    </row>
    <row r="897" spans="1:20" s="199" customFormat="1" ht="15.75" customHeight="1">
      <c r="A897" s="2627"/>
      <c r="B897" s="310" t="s">
        <v>807</v>
      </c>
      <c r="C897" s="311"/>
      <c r="D897" s="312">
        <f>IF(H897&lt;&gt;"",VLOOKUP(G897,base_barras,IF(H897="Desnuda",2,5)+F897-1,FALSE),"-")</f>
        <v>676</v>
      </c>
      <c r="E897" s="313">
        <v>3</v>
      </c>
      <c r="F897" s="314">
        <v>1</v>
      </c>
      <c r="G897" s="315" t="s">
        <v>314</v>
      </c>
      <c r="H897" s="314" t="s">
        <v>1043</v>
      </c>
      <c r="I897" s="316">
        <v>0.61</v>
      </c>
      <c r="J897" s="317">
        <f>IF(G897&lt;&gt;"",VLOOKUP(G897,precio_barras,9,FALSE),0)</f>
        <v>26.6</v>
      </c>
      <c r="K897" s="313"/>
      <c r="L897" s="318" t="str">
        <f>IF(G897&lt;&gt;"",IF(VLOOKUP(G897,base_barras,10,FALSE)&lt;&gt;"",VLOOKUP(G897,base_barras,10,FALSE),"-"),"-")</f>
        <v>1/750</v>
      </c>
      <c r="M897" s="317">
        <f>IF(L897&lt;&gt;"-",VLOOKUP(L897,precio_aislador,2,FALSE),0)</f>
        <v>1.9</v>
      </c>
      <c r="N897" s="308">
        <f>(I897*J897*F897+K897*M897)*E897*1.67*1.25</f>
        <v>101.615325</v>
      </c>
      <c r="O897" s="288"/>
      <c r="P897" s="297"/>
      <c r="Q897" s="288"/>
      <c r="R897" s="102"/>
      <c r="S897" s="102"/>
      <c r="T897" s="102"/>
    </row>
    <row r="898" spans="1:20" s="199" customFormat="1" ht="15.75" customHeight="1">
      <c r="A898" s="2627"/>
      <c r="B898" s="310" t="s">
        <v>1357</v>
      </c>
      <c r="C898" s="311"/>
      <c r="D898" s="312">
        <f>IF(H898&lt;&gt;"",VLOOKUP(G898,base_barras,IF(H898="Desnuda",2,5)+F898-1,FALSE),"-")</f>
        <v>573</v>
      </c>
      <c r="E898" s="313">
        <v>3</v>
      </c>
      <c r="F898" s="314">
        <v>1</v>
      </c>
      <c r="G898" s="315" t="s">
        <v>314</v>
      </c>
      <c r="H898" s="314" t="s">
        <v>1044</v>
      </c>
      <c r="I898" s="316">
        <v>0.2</v>
      </c>
      <c r="J898" s="317">
        <f>IF(G898&lt;&gt;"",VLOOKUP(G898,precio_barras,9,FALSE),0)</f>
        <v>26.6</v>
      </c>
      <c r="K898" s="313"/>
      <c r="L898" s="318" t="str">
        <f>IF(G898&lt;&gt;"",IF(VLOOKUP(G898,base_barras,10,FALSE)&lt;&gt;"",VLOOKUP(G898,base_barras,10,FALSE),"-"),"-")</f>
        <v>1/750</v>
      </c>
      <c r="M898" s="317">
        <f>IF(L898&lt;&gt;"-",VLOOKUP(L898,precio_aislador,2,FALSE),0)</f>
        <v>1.9</v>
      </c>
      <c r="N898" s="308">
        <f>(I898*J898*F898+K898*M898)*E898*1.67*1.25</f>
        <v>33.316500000000005</v>
      </c>
      <c r="O898" s="288"/>
      <c r="P898" s="297"/>
      <c r="Q898" s="288"/>
      <c r="R898" s="102"/>
      <c r="S898" s="102"/>
      <c r="T898" s="102"/>
    </row>
    <row r="899" spans="1:20" s="199" customFormat="1" ht="14.25">
      <c r="A899" s="2627"/>
      <c r="B899" s="310" t="s">
        <v>801</v>
      </c>
      <c r="C899" s="319"/>
      <c r="D899" s="312">
        <f>IF(H899&lt;&gt;"",VLOOKUP(G899,base_barras,IF(H899="Desnuda",2,5)+F899-1,FALSE),"-")</f>
        <v>676</v>
      </c>
      <c r="E899" s="313">
        <v>1</v>
      </c>
      <c r="F899" s="314">
        <v>1</v>
      </c>
      <c r="G899" s="315" t="s">
        <v>314</v>
      </c>
      <c r="H899" s="314" t="s">
        <v>1043</v>
      </c>
      <c r="I899" s="316">
        <v>0.8</v>
      </c>
      <c r="J899" s="317">
        <f>IF(G899&lt;&gt;"",VLOOKUP(G899,precio_barras,9,FALSE),0)</f>
        <v>26.6</v>
      </c>
      <c r="K899" s="320">
        <v>2</v>
      </c>
      <c r="L899" s="318" t="str">
        <f>IF(G899&lt;&gt;"",IF(VLOOKUP(G899,base_barras,10,FALSE)&lt;&gt;"",VLOOKUP(G899,base_barras,10,FALSE),"-"),"-")</f>
        <v>1/750</v>
      </c>
      <c r="M899" s="317">
        <f>IF(L899&lt;&gt;"-",VLOOKUP(L899,precio_aislador,2,FALSE),0)</f>
        <v>1.9</v>
      </c>
      <c r="N899" s="308">
        <f>(I899*J899*F899+K899*M899)*E899*1.67*1.25</f>
        <v>52.354500000000002</v>
      </c>
      <c r="O899" s="288"/>
      <c r="P899" s="297"/>
      <c r="Q899" s="288"/>
      <c r="R899" s="102"/>
      <c r="S899" s="102"/>
      <c r="T899" s="102"/>
    </row>
    <row r="900" spans="1:20" s="199" customFormat="1" ht="15" thickBot="1">
      <c r="A900" s="2628"/>
      <c r="B900" s="321" t="s">
        <v>802</v>
      </c>
      <c r="C900" s="363"/>
      <c r="D900" s="364">
        <f>IF(H900&lt;&gt;"",VLOOKUP(G900,base_barras,IF(H900="Desnuda",2,5)+F900-1,FALSE),"-")</f>
        <v>447</v>
      </c>
      <c r="E900" s="365">
        <v>1</v>
      </c>
      <c r="F900" s="366">
        <v>1</v>
      </c>
      <c r="G900" s="322" t="s">
        <v>579</v>
      </c>
      <c r="H900" s="366" t="s">
        <v>1043</v>
      </c>
      <c r="I900" s="316">
        <v>0.8</v>
      </c>
      <c r="J900" s="317">
        <f>IF(G900&lt;&gt;"",VLOOKUP(G900,precio_barras,9,FALSE),0)</f>
        <v>13.3</v>
      </c>
      <c r="K900" s="395">
        <v>0</v>
      </c>
      <c r="L900" s="369" t="str">
        <f>IF(G900&lt;&gt;"",IF(VLOOKUP(G900,base_barras,10,FALSE)&lt;&gt;"",VLOOKUP(G900,base_barras,10,FALSE),"-"),"-")</f>
        <v>0.5/400</v>
      </c>
      <c r="M900" s="368">
        <f>IF(L900&lt;&gt;"-",VLOOKUP(L900,precio_aislador,2,FALSE),0)</f>
        <v>1.2</v>
      </c>
      <c r="N900" s="370">
        <f>(I900*J900*F900+K900*M900)*E900*1.67*1.25</f>
        <v>22.210999999999999</v>
      </c>
      <c r="O900" s="288"/>
      <c r="P900" s="297"/>
      <c r="Q900" s="288"/>
      <c r="R900" s="102"/>
      <c r="S900" s="102"/>
      <c r="T900" s="102"/>
    </row>
    <row r="901" spans="1:20" s="102" customFormat="1" ht="13.5" thickBot="1">
      <c r="A901" s="288"/>
      <c r="B901" s="289"/>
      <c r="C901" s="288"/>
      <c r="D901" s="288"/>
      <c r="E901" s="288"/>
      <c r="F901" s="297"/>
      <c r="G901" s="297"/>
      <c r="H901" s="297"/>
      <c r="I901" s="288"/>
      <c r="J901" s="288"/>
      <c r="K901" s="288"/>
      <c r="L901" s="297"/>
      <c r="M901" s="288"/>
      <c r="N901" s="741">
        <f>SUM(N896:N900)</f>
        <v>209.49732499999999</v>
      </c>
      <c r="O901" s="288"/>
      <c r="P901" s="297"/>
      <c r="Q901" s="297"/>
    </row>
    <row r="902" spans="1:20" s="102" customFormat="1">
      <c r="A902" s="288"/>
      <c r="B902" s="289"/>
      <c r="C902" s="288"/>
      <c r="D902" s="288"/>
      <c r="E902" s="288"/>
      <c r="F902" s="297"/>
      <c r="G902" s="297"/>
      <c r="H902" s="297"/>
      <c r="I902" s="288"/>
      <c r="J902" s="288"/>
      <c r="K902" s="288"/>
      <c r="L902" s="297"/>
      <c r="M902" s="288"/>
      <c r="N902" s="305"/>
      <c r="O902" s="288"/>
      <c r="P902" s="297"/>
      <c r="Q902" s="297"/>
    </row>
    <row r="903" spans="1:20" s="102" customFormat="1">
      <c r="A903" s="288"/>
      <c r="B903" s="289"/>
      <c r="C903" s="288"/>
      <c r="D903" s="288"/>
      <c r="E903" s="288"/>
      <c r="F903" s="297"/>
      <c r="G903" s="297"/>
      <c r="H903" s="297"/>
      <c r="I903" s="288"/>
      <c r="J903" s="288"/>
      <c r="K903" s="288"/>
      <c r="L903" s="297"/>
      <c r="M903" s="288"/>
      <c r="N903" s="305"/>
      <c r="O903" s="288"/>
      <c r="P903" s="297"/>
      <c r="Q903" s="297"/>
    </row>
    <row r="904" spans="1:20" s="102" customFormat="1">
      <c r="A904" s="288"/>
      <c r="B904" s="289"/>
      <c r="C904" s="288"/>
      <c r="D904" s="288"/>
      <c r="E904" s="288"/>
      <c r="F904" s="297"/>
      <c r="G904" s="297"/>
      <c r="H904" s="297"/>
      <c r="I904" s="288"/>
      <c r="J904" s="288"/>
      <c r="K904" s="288"/>
      <c r="L904" s="297"/>
      <c r="M904" s="288"/>
      <c r="N904" s="305"/>
      <c r="O904" s="288"/>
      <c r="P904" s="297"/>
      <c r="Q904" s="297"/>
    </row>
    <row r="905" spans="1:20" s="199" customFormat="1" ht="15.75" customHeight="1">
      <c r="A905" s="2626" t="s">
        <v>1361</v>
      </c>
      <c r="B905" s="310" t="s">
        <v>1033</v>
      </c>
      <c r="C905" s="311"/>
      <c r="D905" s="312">
        <f t="shared" ref="D905:D910" si="590">IF(H905&lt;&gt;"",VLOOKUP(G905,base_barras,IF(H905="Desnuda",2,5)+F905-1,FALSE),"-")</f>
        <v>1180</v>
      </c>
      <c r="E905" s="313">
        <v>3</v>
      </c>
      <c r="F905" s="314">
        <v>1</v>
      </c>
      <c r="G905" s="315" t="s">
        <v>581</v>
      </c>
      <c r="H905" s="314" t="s">
        <v>1043</v>
      </c>
      <c r="I905" s="316">
        <f>2*0.8</f>
        <v>1.6</v>
      </c>
      <c r="J905" s="317">
        <f t="shared" ref="J905:J910" si="591">IF(G905&lt;&gt;"",VLOOKUP(G905,precio_barras,9,FALSE),0)</f>
        <v>53.3</v>
      </c>
      <c r="K905" s="313">
        <v>4</v>
      </c>
      <c r="L905" s="318" t="str">
        <f t="shared" ref="L905:L910" si="592">IF(G905&lt;&gt;"",IF(VLOOKUP(G905,base_barras,10,FALSE)&lt;&gt;"",VLOOKUP(G905,base_barras,10,FALSE),"-"),"-")</f>
        <v>1/750</v>
      </c>
      <c r="M905" s="317">
        <f t="shared" ref="M905:M910" si="593">IF(L905&lt;&gt;"-",VLOOKUP(L905,precio_aislador,2,FALSE),0)</f>
        <v>1.9</v>
      </c>
      <c r="N905" s="308">
        <f t="shared" ref="N905:N910" si="594">(I905*J905*F905+K905*M905)*E905*1.67*1.25</f>
        <v>581.66099999999994</v>
      </c>
      <c r="O905" s="288"/>
      <c r="P905" s="297"/>
      <c r="Q905" s="288"/>
      <c r="R905" s="102"/>
      <c r="S905" s="102"/>
      <c r="T905" s="102"/>
    </row>
    <row r="906" spans="1:20" s="199" customFormat="1" ht="15.75" customHeight="1">
      <c r="A906" s="2627"/>
      <c r="B906" s="310" t="s">
        <v>805</v>
      </c>
      <c r="C906" s="311"/>
      <c r="D906" s="312">
        <f t="shared" si="590"/>
        <v>1470</v>
      </c>
      <c r="E906" s="313">
        <v>3</v>
      </c>
      <c r="F906" s="314">
        <v>2</v>
      </c>
      <c r="G906" s="315" t="s">
        <v>469</v>
      </c>
      <c r="H906" s="314" t="s">
        <v>1043</v>
      </c>
      <c r="I906" s="316">
        <v>0.61</v>
      </c>
      <c r="J906" s="317">
        <f t="shared" si="591"/>
        <v>35.6</v>
      </c>
      <c r="K906" s="313">
        <v>0</v>
      </c>
      <c r="L906" s="318" t="str">
        <f t="shared" si="592"/>
        <v>1/750</v>
      </c>
      <c r="M906" s="317">
        <f t="shared" si="593"/>
        <v>1.9</v>
      </c>
      <c r="N906" s="308">
        <f t="shared" si="594"/>
        <v>271.99289999999996</v>
      </c>
      <c r="O906" s="288"/>
      <c r="P906" s="297"/>
      <c r="Q906" s="288"/>
      <c r="R906" s="102"/>
      <c r="S906" s="102"/>
      <c r="T906" s="102"/>
    </row>
    <row r="907" spans="1:20" s="199" customFormat="1" ht="15.75" customHeight="1">
      <c r="A907" s="2627"/>
      <c r="B907" s="310" t="s">
        <v>805</v>
      </c>
      <c r="C907" s="311"/>
      <c r="D907" s="312">
        <f t="shared" si="590"/>
        <v>1470</v>
      </c>
      <c r="E907" s="313">
        <v>3</v>
      </c>
      <c r="F907" s="314">
        <v>2</v>
      </c>
      <c r="G907" s="315" t="s">
        <v>469</v>
      </c>
      <c r="H907" s="314" t="s">
        <v>1043</v>
      </c>
      <c r="I907" s="316">
        <v>0.61</v>
      </c>
      <c r="J907" s="317">
        <f t="shared" si="591"/>
        <v>35.6</v>
      </c>
      <c r="K907" s="313">
        <v>0</v>
      </c>
      <c r="L907" s="318" t="str">
        <f t="shared" si="592"/>
        <v>1/750</v>
      </c>
      <c r="M907" s="317">
        <f t="shared" si="593"/>
        <v>1.9</v>
      </c>
      <c r="N907" s="308">
        <f t="shared" si="594"/>
        <v>271.99289999999996</v>
      </c>
      <c r="O907" s="288"/>
      <c r="P907" s="297"/>
      <c r="Q907" s="288"/>
      <c r="R907" s="102"/>
      <c r="S907" s="102"/>
      <c r="T907" s="102"/>
    </row>
    <row r="908" spans="1:20" s="199" customFormat="1" ht="15.75" customHeight="1">
      <c r="A908" s="2627"/>
      <c r="B908" s="310" t="s">
        <v>1357</v>
      </c>
      <c r="C908" s="311"/>
      <c r="D908" s="312">
        <f t="shared" si="590"/>
        <v>573</v>
      </c>
      <c r="E908" s="313">
        <v>3</v>
      </c>
      <c r="F908" s="314">
        <v>1</v>
      </c>
      <c r="G908" s="315" t="s">
        <v>314</v>
      </c>
      <c r="H908" s="314" t="s">
        <v>1044</v>
      </c>
      <c r="I908" s="316">
        <v>0.2</v>
      </c>
      <c r="J908" s="317">
        <f t="shared" si="591"/>
        <v>26.6</v>
      </c>
      <c r="K908" s="313">
        <v>0</v>
      </c>
      <c r="L908" s="318" t="str">
        <f t="shared" si="592"/>
        <v>1/750</v>
      </c>
      <c r="M908" s="317">
        <f t="shared" si="593"/>
        <v>1.9</v>
      </c>
      <c r="N908" s="308">
        <f t="shared" si="594"/>
        <v>33.316500000000005</v>
      </c>
      <c r="O908" s="288"/>
      <c r="P908" s="297"/>
      <c r="Q908" s="288"/>
      <c r="R908" s="102"/>
      <c r="S908" s="102"/>
      <c r="T908" s="102"/>
    </row>
    <row r="909" spans="1:20" s="199" customFormat="1" ht="14.25">
      <c r="A909" s="2627"/>
      <c r="B909" s="310" t="s">
        <v>801</v>
      </c>
      <c r="C909" s="319"/>
      <c r="D909" s="312">
        <f t="shared" si="590"/>
        <v>1180</v>
      </c>
      <c r="E909" s="313">
        <v>1</v>
      </c>
      <c r="F909" s="314">
        <v>1</v>
      </c>
      <c r="G909" s="315" t="s">
        <v>581</v>
      </c>
      <c r="H909" s="314" t="s">
        <v>1043</v>
      </c>
      <c r="I909" s="396">
        <v>0.8</v>
      </c>
      <c r="J909" s="317">
        <f t="shared" si="591"/>
        <v>53.3</v>
      </c>
      <c r="K909" s="320">
        <v>4</v>
      </c>
      <c r="L909" s="318" t="str">
        <f t="shared" si="592"/>
        <v>1/750</v>
      </c>
      <c r="M909" s="317">
        <f t="shared" si="593"/>
        <v>1.9</v>
      </c>
      <c r="N909" s="308">
        <f t="shared" si="594"/>
        <v>104.876</v>
      </c>
      <c r="O909" s="288"/>
      <c r="P909" s="297"/>
      <c r="Q909" s="288"/>
      <c r="R909" s="102"/>
      <c r="S909" s="102"/>
      <c r="T909" s="102"/>
    </row>
    <row r="910" spans="1:20" s="199" customFormat="1" ht="15" thickBot="1">
      <c r="A910" s="2628"/>
      <c r="B910" s="321" t="s">
        <v>802</v>
      </c>
      <c r="C910" s="363"/>
      <c r="D910" s="364">
        <f t="shared" si="590"/>
        <v>850</v>
      </c>
      <c r="E910" s="365">
        <v>1</v>
      </c>
      <c r="F910" s="366">
        <v>1</v>
      </c>
      <c r="G910" s="322" t="s">
        <v>469</v>
      </c>
      <c r="H910" s="366" t="s">
        <v>1043</v>
      </c>
      <c r="I910" s="367">
        <v>1.6</v>
      </c>
      <c r="J910" s="317">
        <f t="shared" si="591"/>
        <v>35.6</v>
      </c>
      <c r="K910" s="395">
        <v>0</v>
      </c>
      <c r="L910" s="369" t="str">
        <f t="shared" si="592"/>
        <v>1/750</v>
      </c>
      <c r="M910" s="368">
        <f t="shared" si="593"/>
        <v>1.9</v>
      </c>
      <c r="N910" s="370">
        <f t="shared" si="594"/>
        <v>118.90400000000001</v>
      </c>
      <c r="O910" s="288"/>
      <c r="P910" s="297"/>
      <c r="Q910" s="288"/>
      <c r="R910" s="102"/>
      <c r="S910" s="102"/>
      <c r="T910" s="102"/>
    </row>
    <row r="911" spans="1:20" s="129" customFormat="1" ht="22.5" customHeight="1" thickBot="1">
      <c r="A911" s="371"/>
      <c r="B911" s="375"/>
      <c r="C911" s="375"/>
      <c r="D911" s="383"/>
      <c r="E911" s="373"/>
      <c r="F911" s="373"/>
      <c r="G911" s="373"/>
      <c r="H911" s="373"/>
      <c r="I911" s="374"/>
      <c r="J911" s="374"/>
      <c r="K911" s="373"/>
      <c r="L911" s="373"/>
      <c r="M911" s="372"/>
      <c r="N911" s="699">
        <f>SUM(N905:N910)</f>
        <v>1382.7432999999999</v>
      </c>
      <c r="O911" s="288"/>
      <c r="P911" s="297"/>
      <c r="Q911" s="288"/>
      <c r="R911" s="102"/>
      <c r="S911" s="102"/>
      <c r="T911" s="102"/>
    </row>
    <row r="912" spans="1:20" s="102" customFormat="1" ht="8.25" customHeight="1" thickBot="1">
      <c r="A912" s="323"/>
      <c r="B912" s="309"/>
      <c r="C912" s="323"/>
      <c r="D912" s="382"/>
      <c r="E912" s="323"/>
      <c r="F912" s="325"/>
      <c r="G912" s="325"/>
      <c r="H912" s="325"/>
      <c r="I912" s="323"/>
      <c r="J912" s="323"/>
      <c r="K912" s="323"/>
      <c r="L912" s="325"/>
      <c r="M912" s="323"/>
      <c r="N912" s="309"/>
      <c r="O912" s="288"/>
      <c r="P912" s="297"/>
      <c r="Q912" s="288"/>
    </row>
    <row r="913" spans="1:20" s="102" customFormat="1">
      <c r="A913" s="2629" t="s">
        <v>1228</v>
      </c>
      <c r="B913" s="310" t="s">
        <v>1033</v>
      </c>
      <c r="C913" s="311"/>
      <c r="D913" s="312">
        <f>IF(H913&lt;&gt;"",VLOOKUP(G913,base_barras,IF(H913="Desnuda",2,5)+F913-1,FALSE),"-")</f>
        <v>1180</v>
      </c>
      <c r="E913" s="313">
        <v>3</v>
      </c>
      <c r="F913" s="314">
        <v>1</v>
      </c>
      <c r="G913" s="315" t="s">
        <v>581</v>
      </c>
      <c r="H913" s="314" t="s">
        <v>1043</v>
      </c>
      <c r="I913" s="316">
        <v>0.2</v>
      </c>
      <c r="J913" s="317">
        <f>IF(G913&lt;&gt;"",VLOOKUP(G913,precio_barras,9,FALSE),0)</f>
        <v>53.3</v>
      </c>
      <c r="K913" s="313">
        <v>4</v>
      </c>
      <c r="L913" s="318" t="str">
        <f>IF(G913&lt;&gt;"",IF(VLOOKUP(G913,base_barras,10,FALSE)&lt;&gt;"",VLOOKUP(G913,base_barras,10,FALSE),"-"),"-")</f>
        <v>1/750</v>
      </c>
      <c r="M913" s="317">
        <f>IF(L913&lt;&gt;"-",VLOOKUP(L913,precio_aislador,2,FALSE),0)</f>
        <v>1.9</v>
      </c>
      <c r="N913" s="308">
        <f>(I913*J913*F913+K913*M913)*E913*1.67*1.25</f>
        <v>114.35324999999999</v>
      </c>
      <c r="O913" s="288"/>
      <c r="P913" s="297"/>
      <c r="Q913" s="297"/>
    </row>
    <row r="914" spans="1:20" s="102" customFormat="1">
      <c r="A914" s="2630"/>
      <c r="B914" s="310"/>
      <c r="C914" s="311"/>
      <c r="D914" s="312" t="str">
        <f>IF(H914&lt;&gt;"",VLOOKUP(G914,base_barras,IF(H914="Desnuda",2,5)+F914-1,FALSE),"-")</f>
        <v>-</v>
      </c>
      <c r="E914" s="313"/>
      <c r="F914" s="314"/>
      <c r="G914" s="315"/>
      <c r="H914" s="314"/>
      <c r="I914" s="316"/>
      <c r="J914" s="317">
        <f>IF(G914&lt;&gt;"",VLOOKUP(G914,precio_barras,9,FALSE),0)</f>
        <v>0</v>
      </c>
      <c r="K914" s="313"/>
      <c r="L914" s="318" t="str">
        <f>IF(G914&lt;&gt;"",IF(VLOOKUP(G914,base_barras,10,FALSE)&lt;&gt;"",VLOOKUP(G914,base_barras,10,FALSE),"-"),"-")</f>
        <v>-</v>
      </c>
      <c r="M914" s="317">
        <f>IF(L914&lt;&gt;"-",VLOOKUP(L914,precio_aislador,2,FALSE),0)</f>
        <v>0</v>
      </c>
      <c r="N914" s="308">
        <f>(I914*J914*F914+K914*M914)*E914*1.67*1.25</f>
        <v>0</v>
      </c>
      <c r="O914" s="288"/>
      <c r="P914" s="297"/>
      <c r="Q914" s="297"/>
    </row>
    <row r="915" spans="1:20" s="102" customFormat="1" ht="13.5" thickBot="1">
      <c r="A915" s="323"/>
      <c r="B915" s="309"/>
      <c r="C915" s="309"/>
      <c r="D915" s="382"/>
      <c r="E915" s="323"/>
      <c r="F915" s="309"/>
      <c r="G915" s="309"/>
      <c r="H915" s="323"/>
      <c r="I915" s="325"/>
      <c r="J915" s="325"/>
      <c r="K915" s="323"/>
      <c r="L915" s="323"/>
      <c r="M915" s="325"/>
      <c r="N915" s="706">
        <f>SUM(N913:N914)</f>
        <v>114.35324999999999</v>
      </c>
      <c r="O915" s="288"/>
      <c r="P915" s="297"/>
      <c r="Q915" s="297"/>
    </row>
    <row r="916" spans="1:20" s="102" customFormat="1">
      <c r="A916" s="288"/>
      <c r="B916" s="289"/>
      <c r="C916" s="288"/>
      <c r="D916" s="288"/>
      <c r="E916" s="288"/>
      <c r="F916" s="297"/>
      <c r="G916" s="297"/>
      <c r="H916" s="297"/>
      <c r="I916" s="288"/>
      <c r="J916" s="288"/>
      <c r="K916" s="288"/>
      <c r="L916" s="297"/>
      <c r="M916" s="288"/>
      <c r="N916" s="305"/>
      <c r="O916" s="288"/>
      <c r="P916" s="297"/>
      <c r="Q916" s="297"/>
    </row>
    <row r="917" spans="1:20" s="102" customFormat="1" ht="21.75" customHeight="1">
      <c r="A917" s="288"/>
      <c r="B917" s="289"/>
      <c r="C917" s="288"/>
      <c r="D917" s="288"/>
      <c r="E917" s="288"/>
      <c r="F917" s="297"/>
      <c r="G917" s="297"/>
      <c r="H917" s="297"/>
      <c r="I917" s="288"/>
      <c r="J917" s="288"/>
      <c r="K917" s="288"/>
      <c r="L917" s="297"/>
      <c r="M917" s="288"/>
      <c r="N917" s="305"/>
      <c r="O917" s="288"/>
      <c r="P917" s="297"/>
      <c r="Q917" s="297"/>
    </row>
    <row r="918" spans="1:20" s="102" customFormat="1" ht="21.75" customHeight="1">
      <c r="A918" s="288"/>
      <c r="B918" s="289"/>
      <c r="C918" s="288"/>
      <c r="D918" s="288"/>
      <c r="E918" s="288"/>
      <c r="F918" s="297"/>
      <c r="G918" s="297"/>
      <c r="H918" s="297"/>
      <c r="I918" s="288"/>
      <c r="J918" s="288"/>
      <c r="K918" s="288"/>
      <c r="L918" s="297"/>
      <c r="M918" s="288"/>
      <c r="N918" s="305"/>
      <c r="O918" s="288"/>
      <c r="P918" s="297"/>
      <c r="Q918" s="297"/>
    </row>
    <row r="919" spans="1:20" s="199" customFormat="1" ht="15.75" customHeight="1">
      <c r="A919" s="2626" t="s">
        <v>1362</v>
      </c>
      <c r="B919" s="310" t="s">
        <v>1033</v>
      </c>
      <c r="C919" s="311"/>
      <c r="D919" s="312" t="str">
        <f>IF(H919&lt;&gt;"",VLOOKUP(G919,base_barras,IF(H919="Desnuda",2,5)+F919-1,FALSE),"-")</f>
        <v>-</v>
      </c>
      <c r="E919" s="313"/>
      <c r="F919" s="314"/>
      <c r="G919" s="315"/>
      <c r="H919" s="314"/>
      <c r="I919" s="316"/>
      <c r="J919" s="317">
        <f>IF(G919&lt;&gt;"",VLOOKUP(G919,precio_barras,9,FALSE),0)</f>
        <v>0</v>
      </c>
      <c r="K919" s="320">
        <v>2</v>
      </c>
      <c r="L919" s="318" t="str">
        <f>IF(G919&lt;&gt;"",IF(VLOOKUP(G919,base_barras,10,FALSE)&lt;&gt;"",VLOOKUP(G919,base_barras,10,FALSE),"-"),"-")</f>
        <v>-</v>
      </c>
      <c r="M919" s="317">
        <f>IF(L919&lt;&gt;"-",VLOOKUP(L919,precio_aislador,2,FALSE),0)</f>
        <v>0</v>
      </c>
      <c r="N919" s="308">
        <f>(I919*J919*F919+K919*M919)*E919*1.67*1.25</f>
        <v>0</v>
      </c>
      <c r="O919" s="288"/>
      <c r="P919" s="297"/>
      <c r="Q919" s="288"/>
      <c r="R919" s="102"/>
      <c r="S919" s="102"/>
      <c r="T919" s="102"/>
    </row>
    <row r="920" spans="1:20" s="199" customFormat="1" ht="15.75" customHeight="1">
      <c r="A920" s="2627"/>
      <c r="B920" s="310" t="s">
        <v>805</v>
      </c>
      <c r="C920" s="311"/>
      <c r="D920" s="312">
        <f>IF(H920&lt;&gt;"",VLOOKUP(G920,base_barras,IF(H920="Desnuda",2,5)+F920-1,FALSE),"-")</f>
        <v>1200</v>
      </c>
      <c r="E920" s="313">
        <v>3</v>
      </c>
      <c r="F920" s="314">
        <v>2</v>
      </c>
      <c r="G920" s="315" t="s">
        <v>314</v>
      </c>
      <c r="H920" s="314" t="s">
        <v>1043</v>
      </c>
      <c r="I920" s="316">
        <v>0.61</v>
      </c>
      <c r="J920" s="317">
        <f>IF(G920&lt;&gt;"",VLOOKUP(G920,precio_barras,9,FALSE),0)</f>
        <v>26.6</v>
      </c>
      <c r="K920" s="313"/>
      <c r="L920" s="318" t="str">
        <f>IF(G920&lt;&gt;"",IF(VLOOKUP(G920,base_barras,10,FALSE)&lt;&gt;"",VLOOKUP(G920,base_barras,10,FALSE),"-"),"-")</f>
        <v>1/750</v>
      </c>
      <c r="M920" s="317">
        <f>IF(L920&lt;&gt;"-",VLOOKUP(L920,precio_aislador,2,FALSE),0)</f>
        <v>1.9</v>
      </c>
      <c r="N920" s="308">
        <f>(I920*J920*F920+K920*M920)*E920*1.67*1.25</f>
        <v>203.23065</v>
      </c>
      <c r="O920" s="288"/>
      <c r="P920" s="297"/>
      <c r="Q920" s="288"/>
      <c r="R920" s="102"/>
      <c r="S920" s="102"/>
      <c r="T920" s="102"/>
    </row>
    <row r="921" spans="1:20" s="199" customFormat="1" ht="15.75" customHeight="1">
      <c r="A921" s="2627"/>
      <c r="B921" s="310" t="s">
        <v>1363</v>
      </c>
      <c r="C921" s="311"/>
      <c r="D921" s="312">
        <f>IF(H921&lt;&gt;"",VLOOKUP(G921,base_barras,IF(H921="Desnuda",2,5)+F921-1,FALSE),"-")</f>
        <v>852</v>
      </c>
      <c r="E921" s="313">
        <v>3</v>
      </c>
      <c r="F921" s="314">
        <v>1</v>
      </c>
      <c r="G921" s="315" t="s">
        <v>315</v>
      </c>
      <c r="H921" s="314" t="s">
        <v>1044</v>
      </c>
      <c r="I921" s="316">
        <v>0.2</v>
      </c>
      <c r="J921" s="317">
        <f>IF(G921&lt;&gt;"",VLOOKUP(G921,precio_barras,9,FALSE),0)</f>
        <v>44.400000000000006</v>
      </c>
      <c r="K921" s="313"/>
      <c r="L921" s="318" t="str">
        <f>IF(G921&lt;&gt;"",IF(VLOOKUP(G921,base_barras,10,FALSE)&lt;&gt;"",VLOOKUP(G921,base_barras,10,FALSE),"-"),"-")</f>
        <v>1/750</v>
      </c>
      <c r="M921" s="317">
        <f>IF(L921&lt;&gt;"-",VLOOKUP(L921,precio_aislador,2,FALSE),0)</f>
        <v>1.9</v>
      </c>
      <c r="N921" s="308">
        <f>(I921*J921*F921+K921*M921)*E921*1.67*1.25</f>
        <v>55.610999999999997</v>
      </c>
      <c r="O921" s="288"/>
      <c r="P921" s="297"/>
      <c r="Q921" s="288"/>
      <c r="R921" s="102"/>
      <c r="S921" s="102"/>
      <c r="T921" s="102"/>
    </row>
    <row r="922" spans="1:20" s="199" customFormat="1" ht="14.25">
      <c r="A922" s="2627"/>
      <c r="B922" s="310" t="s">
        <v>801</v>
      </c>
      <c r="C922" s="319"/>
      <c r="D922" s="312">
        <f>IF(H922&lt;&gt;"",VLOOKUP(G922,base_barras,IF(H922="Desnuda",2,5)+F922-1,FALSE),"-")</f>
        <v>1180</v>
      </c>
      <c r="E922" s="313">
        <v>1</v>
      </c>
      <c r="F922" s="314">
        <v>1</v>
      </c>
      <c r="G922" s="315" t="s">
        <v>581</v>
      </c>
      <c r="H922" s="314" t="s">
        <v>1043</v>
      </c>
      <c r="I922" s="316">
        <v>0.8</v>
      </c>
      <c r="J922" s="317">
        <f>IF(G922&lt;&gt;"",VLOOKUP(G922,precio_barras,9,FALSE),0)</f>
        <v>53.3</v>
      </c>
      <c r="K922" s="320">
        <v>2</v>
      </c>
      <c r="L922" s="318" t="str">
        <f>IF(G922&lt;&gt;"",IF(VLOOKUP(G922,base_barras,10,FALSE)&lt;&gt;"",VLOOKUP(G922,base_barras,10,FALSE),"-"),"-")</f>
        <v>1/750</v>
      </c>
      <c r="M922" s="317">
        <f>IF(L922&lt;&gt;"-",VLOOKUP(L922,precio_aislador,2,FALSE),0)</f>
        <v>1.9</v>
      </c>
      <c r="N922" s="308">
        <f>(I922*J922*F922+K922*M922)*E922*1.67*1.25</f>
        <v>96.943499999999986</v>
      </c>
      <c r="O922" s="288"/>
      <c r="P922" s="297"/>
      <c r="Q922" s="288"/>
      <c r="R922" s="102"/>
      <c r="S922" s="102"/>
      <c r="T922" s="102"/>
    </row>
    <row r="923" spans="1:20" s="199" customFormat="1" ht="15" thickBot="1">
      <c r="A923" s="2628"/>
      <c r="B923" s="321" t="s">
        <v>802</v>
      </c>
      <c r="C923" s="363"/>
      <c r="D923" s="364">
        <f>IF(H923&lt;&gt;"",VLOOKUP(G923,base_barras,IF(H923="Desnuda",2,5)+F923-1,FALSE),"-")</f>
        <v>676</v>
      </c>
      <c r="E923" s="365">
        <v>1</v>
      </c>
      <c r="F923" s="366">
        <v>1</v>
      </c>
      <c r="G923" s="322" t="s">
        <v>314</v>
      </c>
      <c r="H923" s="366" t="s">
        <v>1043</v>
      </c>
      <c r="I923" s="316">
        <v>0.8</v>
      </c>
      <c r="J923" s="317">
        <f>IF(G923&lt;&gt;"",VLOOKUP(G923,precio_barras,9,FALSE),0)</f>
        <v>26.6</v>
      </c>
      <c r="K923" s="395">
        <v>0</v>
      </c>
      <c r="L923" s="369" t="str">
        <f>IF(G923&lt;&gt;"",IF(VLOOKUP(G923,base_barras,10,FALSE)&lt;&gt;"",VLOOKUP(G923,base_barras,10,FALSE),"-"),"-")</f>
        <v>1/750</v>
      </c>
      <c r="M923" s="368">
        <f>IF(L923&lt;&gt;"-",VLOOKUP(L923,precio_aislador,2,FALSE),0)</f>
        <v>1.9</v>
      </c>
      <c r="N923" s="370">
        <f>(I923*J923*F923+K923*M923)*E923*1.67*1.25</f>
        <v>44.421999999999997</v>
      </c>
      <c r="O923" s="288"/>
      <c r="P923" s="297"/>
      <c r="Q923" s="288"/>
      <c r="R923" s="102"/>
      <c r="S923" s="102"/>
      <c r="T923" s="102"/>
    </row>
    <row r="924" spans="1:20" s="102" customFormat="1" ht="13.5" thickBot="1">
      <c r="A924" s="288"/>
      <c r="B924" s="289"/>
      <c r="C924" s="288"/>
      <c r="D924" s="288"/>
      <c r="E924" s="288"/>
      <c r="F924" s="297"/>
      <c r="G924" s="297"/>
      <c r="H924" s="297"/>
      <c r="I924" s="288"/>
      <c r="J924" s="288"/>
      <c r="K924" s="288"/>
      <c r="L924" s="297"/>
      <c r="M924" s="288"/>
      <c r="N924" s="741">
        <f>SUM(N919:N923)</f>
        <v>400.20714999999996</v>
      </c>
      <c r="O924" s="288"/>
      <c r="P924" s="297"/>
      <c r="Q924" s="297"/>
    </row>
    <row r="925" spans="1:20" s="102" customFormat="1">
      <c r="A925" s="288"/>
      <c r="B925" s="289"/>
      <c r="C925" s="288"/>
      <c r="D925" s="288"/>
      <c r="E925" s="288"/>
      <c r="F925" s="297"/>
      <c r="G925" s="297"/>
      <c r="H925" s="297"/>
      <c r="I925" s="288"/>
      <c r="J925" s="288"/>
      <c r="K925" s="288"/>
      <c r="L925" s="297"/>
      <c r="M925" s="288"/>
      <c r="N925" s="305"/>
      <c r="O925" s="288"/>
      <c r="P925" s="297"/>
      <c r="Q925" s="297"/>
    </row>
    <row r="926" spans="1:20" s="102" customFormat="1">
      <c r="A926" s="288"/>
      <c r="B926" s="289"/>
      <c r="C926" s="288"/>
      <c r="D926" s="288"/>
      <c r="E926" s="288"/>
      <c r="F926" s="297"/>
      <c r="G926" s="297"/>
      <c r="H926" s="297"/>
      <c r="I926" s="288"/>
      <c r="J926" s="288"/>
      <c r="K926" s="288"/>
      <c r="L926" s="297"/>
      <c r="M926" s="288"/>
      <c r="N926" s="305"/>
      <c r="O926" s="288"/>
      <c r="P926" s="297"/>
      <c r="Q926" s="297"/>
    </row>
    <row r="927" spans="1:20" s="102" customFormat="1">
      <c r="A927" s="288"/>
      <c r="B927" s="289"/>
      <c r="C927" s="288"/>
      <c r="D927" s="288"/>
      <c r="E927" s="288"/>
      <c r="F927" s="297"/>
      <c r="G927" s="297"/>
      <c r="H927" s="297"/>
      <c r="I927" s="288"/>
      <c r="J927" s="288"/>
      <c r="K927" s="288"/>
      <c r="L927" s="297"/>
      <c r="M927" s="288"/>
      <c r="N927" s="305"/>
      <c r="O927" s="288"/>
      <c r="P927" s="297"/>
      <c r="Q927" s="297"/>
    </row>
    <row r="928" spans="1:20" s="106" customFormat="1"/>
    <row r="929" spans="1:20" s="199" customFormat="1" ht="15.75" customHeight="1">
      <c r="A929" s="2623" t="s">
        <v>1384</v>
      </c>
      <c r="B929" s="310" t="s">
        <v>1033</v>
      </c>
      <c r="C929" s="311"/>
      <c r="D929" s="312">
        <f t="shared" ref="D929:D936" si="595">IF(H929&lt;&gt;"",VLOOKUP(G929,base_barras,IF(H929="Desnuda",2,5)+F929-1,FALSE),"-")</f>
        <v>1180</v>
      </c>
      <c r="E929" s="313">
        <v>3</v>
      </c>
      <c r="F929" s="314">
        <v>1</v>
      </c>
      <c r="G929" s="315" t="s">
        <v>581</v>
      </c>
      <c r="H929" s="314" t="s">
        <v>1043</v>
      </c>
      <c r="I929" s="316">
        <v>2</v>
      </c>
      <c r="J929" s="317">
        <f t="shared" ref="J929:J936" si="596">IF(G929&lt;&gt;"",VLOOKUP(G929,precio_barras,9,FALSE),0)</f>
        <v>53.3</v>
      </c>
      <c r="K929" s="313">
        <v>2</v>
      </c>
      <c r="L929" s="318" t="str">
        <f t="shared" ref="L929:L936" si="597">IF(G929&lt;&gt;"",IF(VLOOKUP(G929,base_barras,10,FALSE)&lt;&gt;"",VLOOKUP(G929,base_barras,10,FALSE),"-"),"-")</f>
        <v>1/750</v>
      </c>
      <c r="M929" s="317">
        <f t="shared" ref="M929:M936" si="598">IF(L929&lt;&gt;"-",VLOOKUP(L929,precio_aislador,2,FALSE),0)</f>
        <v>1.9</v>
      </c>
      <c r="N929" s="308">
        <f t="shared" ref="N929:N936" si="599">(I929*J929*F929+K929*M929)*E929*1.67*1.25</f>
        <v>691.37999999999988</v>
      </c>
      <c r="O929" s="288"/>
      <c r="P929" s="297"/>
      <c r="Q929" s="288"/>
      <c r="R929" s="102"/>
      <c r="S929" s="102"/>
      <c r="T929" s="102"/>
    </row>
    <row r="930" spans="1:20" s="199" customFormat="1" ht="15.75" customHeight="1">
      <c r="A930" s="2624"/>
      <c r="B930" s="310" t="s">
        <v>805</v>
      </c>
      <c r="C930" s="311"/>
      <c r="D930" s="312">
        <f t="shared" si="595"/>
        <v>985</v>
      </c>
      <c r="E930" s="313">
        <v>3</v>
      </c>
      <c r="F930" s="314">
        <v>1</v>
      </c>
      <c r="G930" s="315" t="s">
        <v>581</v>
      </c>
      <c r="H930" s="314" t="s">
        <v>1044</v>
      </c>
      <c r="I930" s="316">
        <v>0.52</v>
      </c>
      <c r="J930" s="317">
        <f t="shared" si="596"/>
        <v>53.3</v>
      </c>
      <c r="K930" s="313">
        <v>2</v>
      </c>
      <c r="L930" s="318" t="str">
        <f t="shared" si="597"/>
        <v>1/750</v>
      </c>
      <c r="M930" s="317">
        <f t="shared" si="598"/>
        <v>1.9</v>
      </c>
      <c r="N930" s="308">
        <f t="shared" si="599"/>
        <v>197.36895000000001</v>
      </c>
      <c r="O930" s="288"/>
      <c r="P930" s="297"/>
      <c r="Q930" s="288"/>
      <c r="R930" s="102"/>
      <c r="S930" s="102"/>
      <c r="T930" s="102"/>
    </row>
    <row r="931" spans="1:20" s="199" customFormat="1" ht="15.75" customHeight="1">
      <c r="A931" s="2624"/>
      <c r="B931" s="310" t="s">
        <v>807</v>
      </c>
      <c r="C931" s="311"/>
      <c r="D931" s="312">
        <f t="shared" si="595"/>
        <v>676</v>
      </c>
      <c r="E931" s="313">
        <v>3</v>
      </c>
      <c r="F931" s="314">
        <v>1</v>
      </c>
      <c r="G931" s="315" t="s">
        <v>314</v>
      </c>
      <c r="H931" s="314" t="s">
        <v>1043</v>
      </c>
      <c r="I931" s="316">
        <v>0.61</v>
      </c>
      <c r="J931" s="317">
        <f t="shared" si="596"/>
        <v>26.6</v>
      </c>
      <c r="K931" s="313">
        <v>0</v>
      </c>
      <c r="L931" s="318" t="str">
        <f t="shared" si="597"/>
        <v>1/750</v>
      </c>
      <c r="M931" s="317">
        <f t="shared" si="598"/>
        <v>1.9</v>
      </c>
      <c r="N931" s="308">
        <f t="shared" si="599"/>
        <v>101.615325</v>
      </c>
      <c r="O931" s="288"/>
      <c r="P931" s="297"/>
      <c r="Q931" s="288"/>
      <c r="R931" s="102"/>
      <c r="S931" s="102"/>
      <c r="T931" s="102"/>
    </row>
    <row r="932" spans="1:20" s="199" customFormat="1" ht="15.75" customHeight="1">
      <c r="A932" s="2624"/>
      <c r="B932" s="310" t="s">
        <v>807</v>
      </c>
      <c r="C932" s="311"/>
      <c r="D932" s="312">
        <f t="shared" si="595"/>
        <v>676</v>
      </c>
      <c r="E932" s="313">
        <v>3</v>
      </c>
      <c r="F932" s="314">
        <v>1</v>
      </c>
      <c r="G932" s="315" t="s">
        <v>314</v>
      </c>
      <c r="H932" s="314" t="s">
        <v>1043</v>
      </c>
      <c r="I932" s="316">
        <v>0.61</v>
      </c>
      <c r="J932" s="317">
        <f t="shared" si="596"/>
        <v>26.6</v>
      </c>
      <c r="K932" s="313">
        <v>0</v>
      </c>
      <c r="L932" s="318" t="str">
        <f t="shared" si="597"/>
        <v>1/750</v>
      </c>
      <c r="M932" s="317">
        <f t="shared" si="598"/>
        <v>1.9</v>
      </c>
      <c r="N932" s="308">
        <f t="shared" si="599"/>
        <v>101.615325</v>
      </c>
      <c r="O932" s="288"/>
      <c r="P932" s="297"/>
      <c r="Q932" s="288"/>
      <c r="R932" s="102"/>
      <c r="S932" s="102"/>
      <c r="T932" s="102"/>
    </row>
    <row r="933" spans="1:20" s="199" customFormat="1" ht="15.75" customHeight="1">
      <c r="A933" s="2624"/>
      <c r="B933" s="310" t="s">
        <v>807</v>
      </c>
      <c r="C933" s="311"/>
      <c r="D933" s="312">
        <f t="shared" si="595"/>
        <v>676</v>
      </c>
      <c r="E933" s="313">
        <v>3</v>
      </c>
      <c r="F933" s="314">
        <v>1</v>
      </c>
      <c r="G933" s="315" t="s">
        <v>314</v>
      </c>
      <c r="H933" s="314" t="s">
        <v>1043</v>
      </c>
      <c r="I933" s="316">
        <v>0.61</v>
      </c>
      <c r="J933" s="317">
        <f t="shared" si="596"/>
        <v>26.6</v>
      </c>
      <c r="K933" s="313">
        <v>0</v>
      </c>
      <c r="L933" s="318" t="str">
        <f t="shared" si="597"/>
        <v>1/750</v>
      </c>
      <c r="M933" s="317">
        <f t="shared" si="598"/>
        <v>1.9</v>
      </c>
      <c r="N933" s="308">
        <f t="shared" si="599"/>
        <v>101.615325</v>
      </c>
      <c r="O933" s="288"/>
      <c r="P933" s="297"/>
      <c r="Q933" s="288"/>
      <c r="R933" s="102"/>
      <c r="S933" s="102"/>
      <c r="T933" s="102"/>
    </row>
    <row r="934" spans="1:20" s="199" customFormat="1" ht="15.75" customHeight="1">
      <c r="A934" s="2624"/>
      <c r="B934" s="310" t="s">
        <v>1358</v>
      </c>
      <c r="C934" s="311"/>
      <c r="D934" s="312">
        <f>IF(H934&lt;&gt;"",VLOOKUP(G934,base_barras,IF(H934="Desnuda",2,5)+F934-1,FALSE),"-")</f>
        <v>715</v>
      </c>
      <c r="E934" s="313">
        <v>3</v>
      </c>
      <c r="F934" s="314">
        <v>1</v>
      </c>
      <c r="G934" s="315" t="s">
        <v>469</v>
      </c>
      <c r="H934" s="314" t="s">
        <v>1044</v>
      </c>
      <c r="I934" s="316">
        <v>0.61</v>
      </c>
      <c r="J934" s="317">
        <f t="shared" si="596"/>
        <v>35.6</v>
      </c>
      <c r="K934" s="313">
        <v>0</v>
      </c>
      <c r="L934" s="318" t="str">
        <f>IF(G934&lt;&gt;"",IF(VLOOKUP(G934,base_barras,10,FALSE)&lt;&gt;"",VLOOKUP(G934,base_barras,10,FALSE),"-"),"-")</f>
        <v>1/750</v>
      </c>
      <c r="M934" s="317">
        <f>IF(L934&lt;&gt;"-",VLOOKUP(L934,precio_aislador,2,FALSE),0)</f>
        <v>1.9</v>
      </c>
      <c r="N934" s="308">
        <f>(I934*J934*F934+K934*M934)*E934*1.67*1.25</f>
        <v>135.99644999999998</v>
      </c>
      <c r="O934" s="288"/>
      <c r="P934" s="297"/>
      <c r="Q934" s="288"/>
      <c r="R934" s="102"/>
      <c r="S934" s="102"/>
      <c r="T934" s="102"/>
    </row>
    <row r="935" spans="1:20" s="199" customFormat="1" ht="14.25">
      <c r="A935" s="2624"/>
      <c r="B935" s="310" t="s">
        <v>801</v>
      </c>
      <c r="C935" s="319"/>
      <c r="D935" s="312">
        <f t="shared" si="595"/>
        <v>1180</v>
      </c>
      <c r="E935" s="313">
        <v>1</v>
      </c>
      <c r="F935" s="314">
        <v>1</v>
      </c>
      <c r="G935" s="315" t="s">
        <v>581</v>
      </c>
      <c r="H935" s="314" t="s">
        <v>1043</v>
      </c>
      <c r="I935" s="316">
        <v>2</v>
      </c>
      <c r="J935" s="317">
        <f t="shared" si="596"/>
        <v>53.3</v>
      </c>
      <c r="K935" s="320">
        <v>4</v>
      </c>
      <c r="L935" s="318" t="str">
        <f t="shared" si="597"/>
        <v>1/750</v>
      </c>
      <c r="M935" s="317">
        <f t="shared" si="598"/>
        <v>1.9</v>
      </c>
      <c r="N935" s="308">
        <f t="shared" si="599"/>
        <v>238.39249999999996</v>
      </c>
      <c r="O935" s="288"/>
      <c r="P935" s="297"/>
      <c r="Q935" s="288"/>
      <c r="R935" s="102"/>
      <c r="S935" s="102"/>
      <c r="T935" s="102"/>
    </row>
    <row r="936" spans="1:20" s="199" customFormat="1" ht="15" thickBot="1">
      <c r="A936" s="2625"/>
      <c r="B936" s="321" t="s">
        <v>802</v>
      </c>
      <c r="C936" s="363"/>
      <c r="D936" s="364">
        <f t="shared" si="595"/>
        <v>850</v>
      </c>
      <c r="E936" s="365">
        <v>1</v>
      </c>
      <c r="F936" s="366">
        <v>1</v>
      </c>
      <c r="G936" s="322" t="s">
        <v>469</v>
      </c>
      <c r="H936" s="366" t="s">
        <v>1043</v>
      </c>
      <c r="I936" s="316">
        <v>2</v>
      </c>
      <c r="J936" s="317">
        <f t="shared" si="596"/>
        <v>35.6</v>
      </c>
      <c r="K936" s="395">
        <v>0</v>
      </c>
      <c r="L936" s="369" t="str">
        <f t="shared" si="597"/>
        <v>1/750</v>
      </c>
      <c r="M936" s="368">
        <f t="shared" si="598"/>
        <v>1.9</v>
      </c>
      <c r="N936" s="370">
        <f t="shared" si="599"/>
        <v>148.63</v>
      </c>
      <c r="O936" s="288"/>
      <c r="P936" s="297"/>
      <c r="Q936" s="288"/>
      <c r="R936" s="102"/>
      <c r="S936" s="102"/>
      <c r="T936" s="102"/>
    </row>
    <row r="937" spans="1:20" s="129" customFormat="1" ht="22.5" customHeight="1" thickBot="1">
      <c r="A937" s="371"/>
      <c r="B937" s="375"/>
      <c r="C937" s="375"/>
      <c r="D937" s="383"/>
      <c r="E937" s="373"/>
      <c r="F937" s="373"/>
      <c r="G937" s="373"/>
      <c r="H937" s="373"/>
      <c r="I937" s="374"/>
      <c r="J937" s="374"/>
      <c r="K937" s="373"/>
      <c r="L937" s="373"/>
      <c r="M937" s="372"/>
      <c r="N937" s="699">
        <f>SUM(N929:N936)</f>
        <v>1716.613875</v>
      </c>
      <c r="O937" s="288"/>
      <c r="P937" s="297"/>
      <c r="Q937" s="288"/>
      <c r="R937" s="102"/>
      <c r="S937" s="102"/>
      <c r="T937" s="102"/>
    </row>
    <row r="938" spans="1:20" s="102" customFormat="1" ht="8.25" customHeight="1" thickBot="1">
      <c r="A938" s="323"/>
      <c r="B938" s="309"/>
      <c r="C938" s="323"/>
      <c r="D938" s="382"/>
      <c r="E938" s="323"/>
      <c r="F938" s="325"/>
      <c r="G938" s="325"/>
      <c r="H938" s="325"/>
      <c r="I938" s="323"/>
      <c r="J938" s="323"/>
      <c r="K938" s="323"/>
      <c r="L938" s="325"/>
      <c r="M938" s="323"/>
      <c r="N938" s="309"/>
      <c r="O938" s="288"/>
      <c r="P938" s="297"/>
      <c r="Q938" s="288"/>
    </row>
    <row r="939" spans="1:20" s="102" customFormat="1">
      <c r="A939" s="2631" t="s">
        <v>1228</v>
      </c>
      <c r="B939" s="310" t="s">
        <v>1033</v>
      </c>
      <c r="C939" s="327"/>
      <c r="D939" s="328">
        <f>IF(H939&lt;&gt;"",VLOOKUP(G939,base_barras,IF(H939="Desnuda",2,5)+F939-1,FALSE),"-")</f>
        <v>1180</v>
      </c>
      <c r="E939" s="329">
        <v>3</v>
      </c>
      <c r="F939" s="330">
        <v>1</v>
      </c>
      <c r="G939" s="331" t="s">
        <v>581</v>
      </c>
      <c r="H939" s="330" t="s">
        <v>1043</v>
      </c>
      <c r="I939" s="332">
        <v>0.2</v>
      </c>
      <c r="J939" s="317">
        <f>IF(G939&lt;&gt;"",VLOOKUP(G939,precio_barras,9,FALSE),0)</f>
        <v>53.3</v>
      </c>
      <c r="K939" s="329">
        <v>0</v>
      </c>
      <c r="L939" s="343" t="str">
        <f>IF(G939&lt;&gt;"",IF(VLOOKUP(G939,base_barras,10,FALSE)&lt;&gt;"",VLOOKUP(G939,base_barras,10,FALSE),"-"),"-")</f>
        <v>1/750</v>
      </c>
      <c r="M939" s="333">
        <f>IF(L939&lt;&gt;"-",VLOOKUP(L939,precio_aislador,2,FALSE),0)</f>
        <v>1.9</v>
      </c>
      <c r="N939" s="360">
        <f>(I939*J939*F939+K939*M939)*E939*1.67*1.25</f>
        <v>66.758250000000004</v>
      </c>
      <c r="O939" s="288"/>
      <c r="P939" s="297"/>
      <c r="Q939" s="297"/>
    </row>
    <row r="940" spans="1:20" s="102" customFormat="1">
      <c r="A940" s="2632"/>
      <c r="B940" s="310"/>
      <c r="C940" s="311"/>
      <c r="D940" s="312" t="str">
        <f>IF(H940&lt;&gt;"",VLOOKUP(G940,base_barras,IF(H940="Desnuda",2,5)+F940-1,FALSE),"-")</f>
        <v>-</v>
      </c>
      <c r="E940" s="313"/>
      <c r="F940" s="314"/>
      <c r="G940" s="315"/>
      <c r="H940" s="314"/>
      <c r="I940" s="316"/>
      <c r="J940" s="317">
        <f>IF(G940&lt;&gt;"",VLOOKUP(G940,precio_barras,9,FALSE),0)</f>
        <v>0</v>
      </c>
      <c r="K940" s="313"/>
      <c r="L940" s="318" t="str">
        <f>IF(G940&lt;&gt;"",IF(VLOOKUP(G940,base_barras,10,FALSE)&lt;&gt;"",VLOOKUP(G940,base_barras,10,FALSE),"-"),"-")</f>
        <v>-</v>
      </c>
      <c r="M940" s="317">
        <f>IF(L940&lt;&gt;"-",VLOOKUP(L940,precio_aislador,2,FALSE),0)</f>
        <v>0</v>
      </c>
      <c r="N940" s="308">
        <f>(I940*J940*F940+K940*M940)*E940*1.67*1.25</f>
        <v>0</v>
      </c>
      <c r="O940" s="288"/>
      <c r="P940" s="297"/>
      <c r="Q940" s="297"/>
    </row>
    <row r="941" spans="1:20" s="102" customFormat="1" ht="13.5" thickBot="1">
      <c r="A941" s="323"/>
      <c r="B941" s="309"/>
      <c r="C941" s="309"/>
      <c r="D941" s="382"/>
      <c r="E941" s="323"/>
      <c r="F941" s="309"/>
      <c r="G941" s="309"/>
      <c r="H941" s="323"/>
      <c r="I941" s="325"/>
      <c r="J941" s="325"/>
      <c r="K941" s="323"/>
      <c r="L941" s="323"/>
      <c r="M941" s="325"/>
      <c r="N941" s="706">
        <f>SUM(N939:N940)</f>
        <v>66.758250000000004</v>
      </c>
      <c r="O941" s="288"/>
      <c r="P941" s="297"/>
      <c r="Q941" s="297"/>
    </row>
    <row r="942" spans="1:20" s="106" customFormat="1" ht="9" customHeight="1" thickBot="1"/>
    <row r="943" spans="1:20" s="102" customFormat="1">
      <c r="A943" s="2633" t="s">
        <v>1034</v>
      </c>
      <c r="B943" s="326" t="s">
        <v>805</v>
      </c>
      <c r="C943" s="327"/>
      <c r="D943" s="328">
        <f>IF(H943&lt;&gt;"",VLOOKUP(G943,base_barras,IF(H943="Desnuda",2,5)+F943-1,FALSE),"-")</f>
        <v>1290</v>
      </c>
      <c r="E943" s="329">
        <v>3</v>
      </c>
      <c r="F943" s="330">
        <v>2</v>
      </c>
      <c r="G943" s="331" t="s">
        <v>469</v>
      </c>
      <c r="H943" s="330" t="s">
        <v>1044</v>
      </c>
      <c r="I943" s="332">
        <v>0.2</v>
      </c>
      <c r="J943" s="317">
        <f>IF(G943&lt;&gt;"",VLOOKUP(G943,precio_barras,9,FALSE),0)</f>
        <v>35.6</v>
      </c>
      <c r="K943" s="329">
        <v>0</v>
      </c>
      <c r="L943" s="343" t="str">
        <f>IF(G943&lt;&gt;"",IF(VLOOKUP(G943,base_barras,10,FALSE)&lt;&gt;"",VLOOKUP(G943,base_barras,10,FALSE),"-"),"-")</f>
        <v>1/750</v>
      </c>
      <c r="M943" s="333">
        <f>IF(L943&lt;&gt;"-",VLOOKUP(L943,precio_aislador,2,FALSE),0)</f>
        <v>1.9</v>
      </c>
      <c r="N943" s="360">
        <f>(I943*J943*F943+K943*M943)*E943*1.67*1.25</f>
        <v>89.178000000000011</v>
      </c>
      <c r="O943" s="288"/>
      <c r="P943" s="297"/>
      <c r="Q943" s="297"/>
    </row>
    <row r="944" spans="1:20" s="102" customFormat="1">
      <c r="A944" s="2634"/>
      <c r="B944" s="310"/>
      <c r="C944" s="311"/>
      <c r="D944" s="312" t="str">
        <f>IF(H944&lt;&gt;"",VLOOKUP(G944,base_barras,IF(H944="Desnuda",2,5)+F944-1,FALSE),"-")</f>
        <v>-</v>
      </c>
      <c r="E944" s="313"/>
      <c r="F944" s="314"/>
      <c r="G944" s="315"/>
      <c r="H944" s="314"/>
      <c r="I944" s="316"/>
      <c r="J944" s="317">
        <f>IF(G944&lt;&gt;"",VLOOKUP(G944,precio_barras,9,FALSE),0)</f>
        <v>0</v>
      </c>
      <c r="K944" s="313"/>
      <c r="L944" s="318" t="str">
        <f>IF(G944&lt;&gt;"",IF(VLOOKUP(G944,base_barras,10,FALSE)&lt;&gt;"",VLOOKUP(G944,base_barras,10,FALSE),"-"),"-")</f>
        <v>-</v>
      </c>
      <c r="M944" s="317">
        <f>IF(L944&lt;&gt;"-",VLOOKUP(L944,precio_aislador,2,FALSE),0)</f>
        <v>0</v>
      </c>
      <c r="N944" s="308">
        <f>(I944*J944*F944+K944*M944)*E944*1.67*1.25</f>
        <v>0</v>
      </c>
      <c r="O944" s="288"/>
      <c r="P944" s="297"/>
      <c r="Q944" s="297"/>
    </row>
    <row r="945" spans="1:20" s="102" customFormat="1">
      <c r="A945" s="2634"/>
      <c r="B945" s="310"/>
      <c r="C945" s="311"/>
      <c r="D945" s="312" t="str">
        <f>IF(H945&lt;&gt;"",VLOOKUP(G945,base_barras,IF(H945="Desnuda",2,5)+F945-1,FALSE),"-")</f>
        <v>-</v>
      </c>
      <c r="E945" s="313"/>
      <c r="F945" s="314"/>
      <c r="G945" s="315"/>
      <c r="H945" s="314"/>
      <c r="I945" s="316"/>
      <c r="J945" s="317">
        <f>IF(G945&lt;&gt;"",VLOOKUP(G945,precio_barras,9,FALSE),0)</f>
        <v>0</v>
      </c>
      <c r="K945" s="313"/>
      <c r="L945" s="318" t="str">
        <f>IF(G945&lt;&gt;"",IF(VLOOKUP(G945,base_barras,10,FALSE)&lt;&gt;"",VLOOKUP(G945,base_barras,10,FALSE),"-"),"-")</f>
        <v>-</v>
      </c>
      <c r="M945" s="317">
        <f>IF(L945&lt;&gt;"-",VLOOKUP(L945,precio_aislador,2,FALSE),0)</f>
        <v>0</v>
      </c>
      <c r="N945" s="308">
        <f>(I945*J945*F945+K945*M945)*E945*1.67*1.25</f>
        <v>0</v>
      </c>
      <c r="O945" s="288"/>
      <c r="P945" s="297"/>
      <c r="Q945" s="297"/>
    </row>
    <row r="946" spans="1:20" s="102" customFormat="1" ht="13.5" thickBot="1">
      <c r="A946" s="2634"/>
      <c r="B946" s="310"/>
      <c r="C946" s="311"/>
      <c r="D946" s="312" t="str">
        <f>IF(H946&lt;&gt;"",VLOOKUP(G946,base_barras,IF(H946="Desnuda",2,5)+F946-1,FALSE),"-")</f>
        <v>-</v>
      </c>
      <c r="E946" s="313"/>
      <c r="F946" s="314"/>
      <c r="G946" s="315"/>
      <c r="H946" s="314"/>
      <c r="I946" s="316"/>
      <c r="J946" s="317">
        <f>IF(G946&lt;&gt;"",VLOOKUP(G946,precio_barras,9,FALSE),0)</f>
        <v>0</v>
      </c>
      <c r="K946" s="313"/>
      <c r="L946" s="318" t="str">
        <f>IF(G946&lt;&gt;"",IF(VLOOKUP(G946,base_barras,10,FALSE)&lt;&gt;"",VLOOKUP(G946,base_barras,10,FALSE),"-"),"-")</f>
        <v>-</v>
      </c>
      <c r="M946" s="317">
        <f>IF(L946&lt;&gt;"-",VLOOKUP(L946,precio_aislador,2,FALSE),0)</f>
        <v>0</v>
      </c>
      <c r="N946" s="308">
        <f>(I946*J946*F946+K946*M946)*E946*1.67*1.25</f>
        <v>0</v>
      </c>
      <c r="O946" s="288"/>
      <c r="P946" s="297"/>
      <c r="Q946" s="297"/>
    </row>
    <row r="947" spans="1:20" s="102" customFormat="1" ht="13.5" thickBot="1">
      <c r="A947" s="323"/>
      <c r="B947" s="309"/>
      <c r="C947" s="309"/>
      <c r="D947" s="382"/>
      <c r="E947" s="323"/>
      <c r="F947" s="309"/>
      <c r="G947" s="309"/>
      <c r="H947" s="323"/>
      <c r="I947" s="325"/>
      <c r="J947" s="378"/>
      <c r="K947" s="323"/>
      <c r="L947" s="323"/>
      <c r="M947" s="325"/>
      <c r="N947" s="741">
        <f>SUM(N943:N946)</f>
        <v>89.178000000000011</v>
      </c>
      <c r="O947" s="288"/>
      <c r="P947" s="297"/>
      <c r="Q947" s="297"/>
    </row>
    <row r="948" spans="1:20" s="102" customFormat="1">
      <c r="A948" s="288"/>
      <c r="B948" s="289"/>
      <c r="C948" s="288"/>
      <c r="D948" s="288"/>
      <c r="E948" s="288"/>
      <c r="F948" s="297"/>
      <c r="G948" s="297"/>
      <c r="H948" s="297"/>
      <c r="I948" s="288"/>
      <c r="J948" s="288"/>
      <c r="K948" s="288"/>
      <c r="L948" s="297"/>
      <c r="M948" s="288"/>
      <c r="N948" s="305"/>
      <c r="O948" s="288"/>
      <c r="P948" s="297"/>
      <c r="Q948" s="297"/>
    </row>
    <row r="949" spans="1:20" s="102" customFormat="1">
      <c r="A949" s="288"/>
      <c r="B949" s="289"/>
      <c r="C949" s="288"/>
      <c r="D949" s="288"/>
      <c r="E949" s="288"/>
      <c r="F949" s="297"/>
      <c r="G949" s="297"/>
      <c r="H949" s="297"/>
      <c r="I949" s="288"/>
      <c r="J949" s="288"/>
      <c r="K949" s="288"/>
      <c r="L949" s="297"/>
      <c r="M949" s="288"/>
      <c r="N949" s="305"/>
      <c r="O949" s="288"/>
      <c r="P949" s="297"/>
      <c r="Q949" s="297"/>
    </row>
    <row r="950" spans="1:20" s="102" customFormat="1">
      <c r="A950" s="288"/>
      <c r="B950" s="289"/>
      <c r="C950" s="288"/>
      <c r="D950" s="288"/>
      <c r="E950" s="288"/>
      <c r="F950" s="297"/>
      <c r="G950" s="297"/>
      <c r="H950" s="297"/>
      <c r="I950" s="288"/>
      <c r="J950" s="288"/>
      <c r="K950" s="288"/>
      <c r="L950" s="297"/>
      <c r="M950" s="288"/>
      <c r="N950" s="305"/>
      <c r="O950" s="288"/>
      <c r="P950" s="297"/>
      <c r="Q950" s="297"/>
    </row>
    <row r="951" spans="1:20" s="102" customFormat="1">
      <c r="B951" s="744"/>
      <c r="F951" s="745"/>
      <c r="G951" s="745"/>
      <c r="H951" s="745"/>
      <c r="L951" s="745"/>
      <c r="N951" s="746"/>
      <c r="P951" s="745"/>
      <c r="Q951" s="745"/>
    </row>
    <row r="952" spans="1:20" s="199" customFormat="1" ht="15.75" customHeight="1">
      <c r="A952" s="2623" t="s">
        <v>1385</v>
      </c>
      <c r="B952" s="310" t="s">
        <v>1033</v>
      </c>
      <c r="C952" s="311"/>
      <c r="D952" s="312" t="str">
        <f>IF(H952&lt;&gt;"",VLOOKUP(G952,base_barras,IF(H952="Desnuda",2,5)+F952-1,FALSE),"-")</f>
        <v>-</v>
      </c>
      <c r="E952" s="313"/>
      <c r="F952" s="314"/>
      <c r="G952" s="315"/>
      <c r="H952" s="314"/>
      <c r="I952" s="316"/>
      <c r="J952" s="317">
        <v>0</v>
      </c>
      <c r="K952" s="320">
        <v>2</v>
      </c>
      <c r="L952" s="318" t="str">
        <f>IF(G952&lt;&gt;"",IF(VLOOKUP(G952,base_barras,10,FALSE)&lt;&gt;"",VLOOKUP(G952,base_barras,10,FALSE),"-"),"-")</f>
        <v>-</v>
      </c>
      <c r="M952" s="317">
        <f>IF(L952&lt;&gt;"-",VLOOKUP(L952,precio_aislador,2,FALSE),0)</f>
        <v>0</v>
      </c>
      <c r="N952" s="308">
        <f>(I952*J952*F952+K952*M952)*E952*1.67*1.25</f>
        <v>0</v>
      </c>
      <c r="O952" s="288"/>
      <c r="P952" s="297"/>
      <c r="Q952" s="288"/>
      <c r="R952" s="102"/>
      <c r="S952" s="102"/>
      <c r="T952" s="102"/>
    </row>
    <row r="953" spans="1:20" s="199" customFormat="1" ht="15.75" customHeight="1">
      <c r="A953" s="2624"/>
      <c r="B953" s="310" t="s">
        <v>1383</v>
      </c>
      <c r="C953" s="311"/>
      <c r="D953" s="312">
        <f>IF(H953&lt;&gt;"",VLOOKUP(G953,base_barras,IF(H953="Desnuda",2,5)+F953-1,FALSE),"-")</f>
        <v>676</v>
      </c>
      <c r="E953" s="313">
        <v>3</v>
      </c>
      <c r="F953" s="314">
        <v>1</v>
      </c>
      <c r="G953" s="315" t="s">
        <v>314</v>
      </c>
      <c r="H953" s="314" t="s">
        <v>1043</v>
      </c>
      <c r="I953" s="316">
        <v>0.61</v>
      </c>
      <c r="J953" s="317">
        <v>34.58</v>
      </c>
      <c r="K953" s="313"/>
      <c r="L953" s="318" t="str">
        <f>IF(G953&lt;&gt;"",IF(VLOOKUP(G953,base_barras,10,FALSE)&lt;&gt;"",VLOOKUP(G953,base_barras,10,FALSE),"-"),"-")</f>
        <v>1/750</v>
      </c>
      <c r="M953" s="317">
        <f>IF(L953&lt;&gt;"-",VLOOKUP(L953,precio_aislador,2,FALSE),0)</f>
        <v>1.9</v>
      </c>
      <c r="N953" s="308">
        <f>(I953*J953*F953+K953*M953)*E953*1.67*1.25</f>
        <v>132.09992249999996</v>
      </c>
      <c r="O953" s="288"/>
      <c r="P953" s="297"/>
      <c r="Q953" s="288"/>
      <c r="R953" s="102"/>
      <c r="S953" s="102"/>
      <c r="T953" s="102"/>
    </row>
    <row r="954" spans="1:20" s="199" customFormat="1" ht="15.75" customHeight="1">
      <c r="A954" s="2624"/>
      <c r="B954" s="310" t="s">
        <v>1386</v>
      </c>
      <c r="C954" s="311"/>
      <c r="D954" s="312">
        <f>IF(H954&lt;&gt;"",VLOOKUP(G954,base_barras,IF(H954="Desnuda",2,5)+F954-1,FALSE),"-")</f>
        <v>573</v>
      </c>
      <c r="E954" s="313">
        <v>3</v>
      </c>
      <c r="F954" s="314">
        <v>1</v>
      </c>
      <c r="G954" s="315" t="s">
        <v>314</v>
      </c>
      <c r="H954" s="314" t="s">
        <v>1044</v>
      </c>
      <c r="I954" s="316">
        <v>0.2</v>
      </c>
      <c r="J954" s="317">
        <v>34.58</v>
      </c>
      <c r="K954" s="313"/>
      <c r="L954" s="318" t="str">
        <f>IF(G954&lt;&gt;"",IF(VLOOKUP(G954,base_barras,10,FALSE)&lt;&gt;"",VLOOKUP(G954,base_barras,10,FALSE),"-"),"-")</f>
        <v>1/750</v>
      </c>
      <c r="M954" s="317">
        <f>IF(L954&lt;&gt;"-",VLOOKUP(L954,precio_aislador,2,FALSE),0)</f>
        <v>1.9</v>
      </c>
      <c r="N954" s="308">
        <f>(I954*J954*F954+K954*M954)*E954*1.67*1.25</f>
        <v>43.311450000000001</v>
      </c>
      <c r="O954" s="288"/>
      <c r="P954" s="297"/>
      <c r="Q954" s="288"/>
      <c r="R954" s="102"/>
      <c r="S954" s="102"/>
      <c r="T954" s="102"/>
    </row>
    <row r="955" spans="1:20" s="199" customFormat="1" ht="14.25">
      <c r="A955" s="2624"/>
      <c r="B955" s="310" t="s">
        <v>801</v>
      </c>
      <c r="C955" s="319"/>
      <c r="D955" s="312">
        <f>IF(H955&lt;&gt;"",VLOOKUP(G955,base_barras,IF(H955="Desnuda",2,5)+F955-1,FALSE),"-")</f>
        <v>676</v>
      </c>
      <c r="E955" s="313">
        <v>1</v>
      </c>
      <c r="F955" s="314">
        <v>1</v>
      </c>
      <c r="G955" s="315" t="s">
        <v>314</v>
      </c>
      <c r="H955" s="314" t="s">
        <v>1043</v>
      </c>
      <c r="I955" s="316">
        <v>0.8</v>
      </c>
      <c r="J955" s="317">
        <v>34.58</v>
      </c>
      <c r="K955" s="320">
        <v>2</v>
      </c>
      <c r="L955" s="318" t="str">
        <f>IF(G955&lt;&gt;"",IF(VLOOKUP(G955,base_barras,10,FALSE)&lt;&gt;"",VLOOKUP(G955,base_barras,10,FALSE),"-"),"-")</f>
        <v>1/750</v>
      </c>
      <c r="M955" s="317">
        <f>IF(L955&lt;&gt;"-",VLOOKUP(L955,precio_aislador,2,FALSE),0)</f>
        <v>1.9</v>
      </c>
      <c r="N955" s="308">
        <f>(I955*J955*F955+K955*M955)*E955*1.67*1.25</f>
        <v>65.681100000000001</v>
      </c>
      <c r="O955" s="288"/>
      <c r="P955" s="297"/>
      <c r="Q955" s="288"/>
      <c r="R955" s="102"/>
      <c r="S955" s="102"/>
      <c r="T955" s="102"/>
    </row>
    <row r="956" spans="1:20" s="199" customFormat="1" ht="15" thickBot="1">
      <c r="A956" s="2625"/>
      <c r="B956" s="321" t="s">
        <v>802</v>
      </c>
      <c r="C956" s="363"/>
      <c r="D956" s="364">
        <f>IF(H956&lt;&gt;"",VLOOKUP(G956,base_barras,IF(H956="Desnuda",2,5)+F956-1,FALSE),"-")</f>
        <v>447</v>
      </c>
      <c r="E956" s="365">
        <v>1</v>
      </c>
      <c r="F956" s="366">
        <v>1</v>
      </c>
      <c r="G956" s="322" t="s">
        <v>579</v>
      </c>
      <c r="H956" s="366" t="s">
        <v>1043</v>
      </c>
      <c r="I956" s="316">
        <v>0.8</v>
      </c>
      <c r="J956" s="368">
        <v>17.29</v>
      </c>
      <c r="K956" s="395">
        <v>0</v>
      </c>
      <c r="L956" s="369" t="str">
        <f>IF(G956&lt;&gt;"",IF(VLOOKUP(G956,base_barras,10,FALSE)&lt;&gt;"",VLOOKUP(G956,base_barras,10,FALSE),"-"),"-")</f>
        <v>0.5/400</v>
      </c>
      <c r="M956" s="368">
        <f>IF(L956&lt;&gt;"-",VLOOKUP(L956,precio_aislador,2,FALSE),0)</f>
        <v>1.2</v>
      </c>
      <c r="N956" s="370">
        <f>(I956*J956*F956+K956*M956)*E956*1.67*1.25</f>
        <v>28.874300000000002</v>
      </c>
      <c r="O956" s="288"/>
      <c r="P956" s="297"/>
      <c r="Q956" s="288"/>
      <c r="R956" s="102"/>
      <c r="S956" s="102"/>
      <c r="T956" s="102"/>
    </row>
    <row r="957" spans="1:20" s="102" customFormat="1" ht="13.5" thickBot="1">
      <c r="A957" s="288"/>
      <c r="B957" s="289"/>
      <c r="C957" s="288"/>
      <c r="D957" s="288"/>
      <c r="E957" s="288"/>
      <c r="F957" s="297"/>
      <c r="G957" s="297"/>
      <c r="H957" s="297"/>
      <c r="I957" s="288"/>
      <c r="J957" s="288"/>
      <c r="K957" s="288"/>
      <c r="L957" s="297"/>
      <c r="M957" s="288"/>
      <c r="N957" s="741">
        <f>SUM(N952:N956)</f>
        <v>269.96677249999999</v>
      </c>
      <c r="O957" s="288"/>
      <c r="P957" s="297"/>
      <c r="Q957" s="297"/>
    </row>
    <row r="958" spans="1:20" s="102" customFormat="1">
      <c r="B958" s="744"/>
      <c r="F958" s="745"/>
      <c r="G958" s="745"/>
      <c r="H958" s="745"/>
      <c r="L958" s="745"/>
      <c r="N958" s="746"/>
      <c r="P958" s="745"/>
      <c r="Q958" s="745"/>
    </row>
    <row r="959" spans="1:20" s="102" customFormat="1">
      <c r="B959" s="744"/>
      <c r="F959" s="745"/>
      <c r="G959" s="745"/>
      <c r="H959" s="745"/>
      <c r="L959" s="745"/>
      <c r="N959" s="746"/>
      <c r="P959" s="745"/>
      <c r="Q959" s="745"/>
    </row>
    <row r="960" spans="1:20" s="102" customFormat="1">
      <c r="B960" s="744"/>
      <c r="F960" s="745"/>
      <c r="G960" s="745"/>
      <c r="H960" s="745"/>
      <c r="L960" s="745"/>
      <c r="N960" s="746"/>
      <c r="P960" s="745"/>
      <c r="Q960" s="745"/>
    </row>
    <row r="961" spans="1:20" s="199" customFormat="1" ht="15.75" customHeight="1">
      <c r="A961" s="2623" t="s">
        <v>1395</v>
      </c>
      <c r="B961" s="310" t="s">
        <v>1033</v>
      </c>
      <c r="C961" s="311"/>
      <c r="D961" s="312" t="str">
        <f>IF(H961&lt;&gt;"",VLOOKUP(G961,base_barras,IF(H961="Desnuda",2,5)+F961-1,FALSE),"-")</f>
        <v>-</v>
      </c>
      <c r="E961" s="313"/>
      <c r="F961" s="314"/>
      <c r="G961" s="315"/>
      <c r="H961" s="314"/>
      <c r="I961" s="316"/>
      <c r="J961" s="317">
        <v>0</v>
      </c>
      <c r="K961" s="320">
        <v>2</v>
      </c>
      <c r="L961" s="318" t="str">
        <f>IF(G961&lt;&gt;"",IF(VLOOKUP(G961,base_barras,10,FALSE)&lt;&gt;"",VLOOKUP(G961,base_barras,10,FALSE),"-"),"-")</f>
        <v>-</v>
      </c>
      <c r="M961" s="317">
        <f>IF(L961&lt;&gt;"-",VLOOKUP(L961,precio_aislador,2,FALSE),0)</f>
        <v>0</v>
      </c>
      <c r="N961" s="308">
        <f>(I961*J961*F961+K961*M961)*E961*1.67*1.25</f>
        <v>0</v>
      </c>
      <c r="O961" s="288"/>
      <c r="P961" s="297"/>
      <c r="Q961" s="288"/>
      <c r="R961" s="102"/>
      <c r="S961" s="102"/>
      <c r="T961" s="102"/>
    </row>
    <row r="962" spans="1:20" s="199" customFormat="1" ht="15.75" customHeight="1">
      <c r="A962" s="2624"/>
      <c r="B962" s="310" t="s">
        <v>807</v>
      </c>
      <c r="C962" s="311"/>
      <c r="D962" s="312">
        <f>IF(H962&lt;&gt;"",VLOOKUP(G962,base_barras,IF(H962="Desnuda",2,5)+F962-1,FALSE),"-")</f>
        <v>573</v>
      </c>
      <c r="E962" s="313">
        <v>3</v>
      </c>
      <c r="F962" s="314">
        <v>1</v>
      </c>
      <c r="G962" s="315" t="s">
        <v>580</v>
      </c>
      <c r="H962" s="314" t="s">
        <v>1043</v>
      </c>
      <c r="I962" s="316">
        <v>0.61</v>
      </c>
      <c r="J962" s="317">
        <v>23.01</v>
      </c>
      <c r="K962" s="313">
        <v>0</v>
      </c>
      <c r="L962" s="318" t="str">
        <f>IF(G962&lt;&gt;"",IF(VLOOKUP(G962,base_barras,10,FALSE)&lt;&gt;"",VLOOKUP(G962,base_barras,10,FALSE),"-"),"-")</f>
        <v>1/750</v>
      </c>
      <c r="M962" s="317">
        <f>IF(L962&lt;&gt;"-",VLOOKUP(L962,precio_aislador,2,FALSE),0)</f>
        <v>1.9</v>
      </c>
      <c r="N962" s="308">
        <f>(I962*J962*F962+K962*M962)*E962*1.67*1.25</f>
        <v>87.901076249999988</v>
      </c>
      <c r="O962" s="288"/>
      <c r="P962" s="297"/>
      <c r="Q962" s="288"/>
      <c r="R962" s="102"/>
      <c r="S962" s="102"/>
      <c r="T962" s="102"/>
    </row>
    <row r="963" spans="1:20" s="199" customFormat="1" ht="15.75" customHeight="1">
      <c r="A963" s="2624"/>
      <c r="B963" s="310" t="s">
        <v>1357</v>
      </c>
      <c r="C963" s="311"/>
      <c r="D963" s="312">
        <f>IF(H963&lt;&gt;"",VLOOKUP(G963,base_barras,IF(H963="Desnuda",2,5)+F963-1,FALSE),"-")</f>
        <v>482</v>
      </c>
      <c r="E963" s="313">
        <v>3</v>
      </c>
      <c r="F963" s="314">
        <v>1</v>
      </c>
      <c r="G963" s="315" t="s">
        <v>580</v>
      </c>
      <c r="H963" s="314" t="s">
        <v>1044</v>
      </c>
      <c r="I963" s="316">
        <v>0.2</v>
      </c>
      <c r="J963" s="317">
        <v>23.01</v>
      </c>
      <c r="K963" s="313">
        <v>0</v>
      </c>
      <c r="L963" s="318" t="str">
        <f>IF(G963&lt;&gt;"",IF(VLOOKUP(G963,base_barras,10,FALSE)&lt;&gt;"",VLOOKUP(G963,base_barras,10,FALSE),"-"),"-")</f>
        <v>1/750</v>
      </c>
      <c r="M963" s="317">
        <f>IF(L963&lt;&gt;"-",VLOOKUP(L963,precio_aislador,2,FALSE),0)</f>
        <v>1.9</v>
      </c>
      <c r="N963" s="308">
        <f>(I963*J963*F963+K963*M963)*E963*1.67*1.25</f>
        <v>28.820025000000001</v>
      </c>
      <c r="O963" s="288"/>
      <c r="P963" s="297"/>
      <c r="Q963" s="288"/>
      <c r="R963" s="102"/>
      <c r="S963" s="102"/>
      <c r="T963" s="102"/>
    </row>
    <row r="964" spans="1:20" s="199" customFormat="1" ht="14.25">
      <c r="A964" s="2624"/>
      <c r="B964" s="310" t="s">
        <v>801</v>
      </c>
      <c r="C964" s="319"/>
      <c r="D964" s="312">
        <f>IF(H964&lt;&gt;"",VLOOKUP(G964,base_barras,IF(H964="Desnuda",2,5)+F964-1,FALSE),"-")</f>
        <v>573</v>
      </c>
      <c r="E964" s="313">
        <v>1</v>
      </c>
      <c r="F964" s="314">
        <v>1</v>
      </c>
      <c r="G964" s="315" t="s">
        <v>580</v>
      </c>
      <c r="H964" s="314" t="s">
        <v>1043</v>
      </c>
      <c r="I964" s="316">
        <v>0.8</v>
      </c>
      <c r="J964" s="317">
        <v>23.01</v>
      </c>
      <c r="K964" s="320">
        <v>2</v>
      </c>
      <c r="L964" s="318" t="str">
        <f>IF(G964&lt;&gt;"",IF(VLOOKUP(G964,base_barras,10,FALSE)&lt;&gt;"",VLOOKUP(G964,base_barras,10,FALSE),"-"),"-")</f>
        <v>1/750</v>
      </c>
      <c r="M964" s="317">
        <f>IF(L964&lt;&gt;"-",VLOOKUP(L964,precio_aislador,2,FALSE),0)</f>
        <v>1.9</v>
      </c>
      <c r="N964" s="308">
        <f>(I964*J964*F964+K964*M964)*E964*1.67*1.25</f>
        <v>46.359200000000001</v>
      </c>
      <c r="O964" s="288"/>
      <c r="P964" s="297"/>
      <c r="Q964" s="288"/>
      <c r="R964" s="102"/>
      <c r="S964" s="102"/>
      <c r="T964" s="102"/>
    </row>
    <row r="965" spans="1:20" s="199" customFormat="1" ht="15" thickBot="1">
      <c r="A965" s="2625"/>
      <c r="B965" s="321" t="s">
        <v>802</v>
      </c>
      <c r="C965" s="363"/>
      <c r="D965" s="364">
        <f>IF(H965&lt;&gt;"",VLOOKUP(G965,base_barras,IF(H965="Desnuda",2,5)+F965-1,FALSE),"-")</f>
        <v>447</v>
      </c>
      <c r="E965" s="365">
        <v>1</v>
      </c>
      <c r="F965" s="366">
        <v>1</v>
      </c>
      <c r="G965" s="322" t="s">
        <v>579</v>
      </c>
      <c r="H965" s="366" t="s">
        <v>1043</v>
      </c>
      <c r="I965" s="316">
        <v>0.8</v>
      </c>
      <c r="J965" s="368">
        <v>17.29</v>
      </c>
      <c r="K965" s="395">
        <v>0</v>
      </c>
      <c r="L965" s="369" t="str">
        <f>IF(G965&lt;&gt;"",IF(VLOOKUP(G965,base_barras,10,FALSE)&lt;&gt;"",VLOOKUP(G965,base_barras,10,FALSE),"-"),"-")</f>
        <v>0.5/400</v>
      </c>
      <c r="M965" s="368">
        <f>IF(L965&lt;&gt;"-",VLOOKUP(L965,precio_aislador,2,FALSE),0)</f>
        <v>1.2</v>
      </c>
      <c r="N965" s="370">
        <f>(I965*J965*F965+K965*M965)*E965*1.67*1.25</f>
        <v>28.874300000000002</v>
      </c>
      <c r="O965" s="288"/>
      <c r="P965" s="297"/>
      <c r="Q965" s="288"/>
      <c r="R965" s="102"/>
      <c r="S965" s="102"/>
      <c r="T965" s="102"/>
    </row>
    <row r="966" spans="1:20" s="102" customFormat="1" ht="13.5" thickBot="1">
      <c r="A966" s="288"/>
      <c r="B966" s="289"/>
      <c r="C966" s="288"/>
      <c r="D966" s="288"/>
      <c r="E966" s="288"/>
      <c r="F966" s="297"/>
      <c r="G966" s="297"/>
      <c r="H966" s="297"/>
      <c r="I966" s="288"/>
      <c r="J966" s="288"/>
      <c r="K966" s="288"/>
      <c r="L966" s="297"/>
      <c r="M966" s="288"/>
      <c r="N966" s="741">
        <f>SUM(N961:N965)</f>
        <v>191.95460125</v>
      </c>
      <c r="O966" s="288"/>
      <c r="P966" s="297"/>
      <c r="Q966" s="297"/>
    </row>
    <row r="967" spans="1:20" s="102" customFormat="1">
      <c r="B967" s="744"/>
      <c r="F967" s="745"/>
      <c r="G967" s="745"/>
      <c r="H967" s="745"/>
      <c r="L967" s="745"/>
      <c r="N967" s="746"/>
      <c r="P967" s="745"/>
      <c r="Q967" s="745"/>
    </row>
    <row r="968" spans="1:20" s="102" customFormat="1">
      <c r="B968" s="744"/>
      <c r="F968" s="745"/>
      <c r="G968" s="745"/>
      <c r="H968" s="745"/>
      <c r="L968" s="745"/>
      <c r="N968" s="746"/>
      <c r="P968" s="745"/>
      <c r="Q968" s="745"/>
    </row>
    <row r="969" spans="1:20" s="102" customFormat="1">
      <c r="B969" s="744"/>
      <c r="F969" s="745"/>
      <c r="G969" s="745"/>
      <c r="H969" s="745"/>
      <c r="L969" s="745"/>
      <c r="N969" s="746"/>
      <c r="P969" s="745"/>
      <c r="Q969" s="745"/>
    </row>
    <row r="970" spans="1:20" s="199" customFormat="1" ht="15.75" customHeight="1">
      <c r="A970" s="102"/>
      <c r="B970" s="310" t="s">
        <v>1033</v>
      </c>
      <c r="C970" s="311"/>
      <c r="D970" s="312">
        <f t="shared" ref="D970:D976" si="600">IF(H970&lt;&gt;"",VLOOKUP(G970,base_barras,IF(H970="Desnuda",2,5)+F970-1,FALSE),"-")</f>
        <v>319</v>
      </c>
      <c r="E970" s="313">
        <v>3</v>
      </c>
      <c r="F970" s="314">
        <v>1</v>
      </c>
      <c r="G970" s="315" t="s">
        <v>61</v>
      </c>
      <c r="H970" s="314" t="s">
        <v>1043</v>
      </c>
      <c r="I970" s="316">
        <v>0.8</v>
      </c>
      <c r="J970" s="317">
        <v>11.44</v>
      </c>
      <c r="K970" s="320">
        <v>4</v>
      </c>
      <c r="L970" s="318" t="str">
        <f t="shared" ref="L970:L976" si="601">IF(G970&lt;&gt;"",IF(VLOOKUP(G970,base_barras,10,FALSE)&lt;&gt;"",VLOOKUP(G970,base_barras,10,FALSE),"-"),"-")</f>
        <v>-</v>
      </c>
      <c r="M970" s="317">
        <f t="shared" ref="M970:M976" si="602">IF(L970&lt;&gt;"-",VLOOKUP(L970,precio_aislador,2,FALSE),0)</f>
        <v>0</v>
      </c>
      <c r="N970" s="308">
        <f t="shared" ref="N970:N976" si="603">(I970*J970*F970+K970*M970)*E970*1.67*1.25</f>
        <v>57.314399999999992</v>
      </c>
      <c r="O970" s="288"/>
      <c r="P970" s="297"/>
      <c r="Q970" s="288"/>
      <c r="R970" s="102"/>
      <c r="S970" s="102"/>
      <c r="T970" s="102"/>
    </row>
    <row r="971" spans="1:20" s="199" customFormat="1" ht="15.75" customHeight="1">
      <c r="A971" s="2623" t="s">
        <v>1409</v>
      </c>
      <c r="B971" s="310" t="s">
        <v>1383</v>
      </c>
      <c r="C971" s="311"/>
      <c r="D971" s="312">
        <f t="shared" si="600"/>
        <v>384</v>
      </c>
      <c r="E971" s="313">
        <v>3</v>
      </c>
      <c r="F971" s="314">
        <v>1</v>
      </c>
      <c r="G971" s="315" t="s">
        <v>63</v>
      </c>
      <c r="H971" s="314" t="s">
        <v>1043</v>
      </c>
      <c r="I971" s="398">
        <v>0.61</v>
      </c>
      <c r="J971" s="317">
        <v>14.430000000000001</v>
      </c>
      <c r="K971" s="313">
        <v>2</v>
      </c>
      <c r="L971" s="318" t="str">
        <f t="shared" si="601"/>
        <v>0.5/400</v>
      </c>
      <c r="M971" s="317">
        <f t="shared" si="602"/>
        <v>1.2</v>
      </c>
      <c r="N971" s="308">
        <f t="shared" si="603"/>
        <v>70.15440375</v>
      </c>
      <c r="O971" s="288"/>
      <c r="P971" s="297"/>
      <c r="Q971" s="288"/>
      <c r="R971" s="102"/>
      <c r="S971" s="102"/>
      <c r="T971" s="102"/>
    </row>
    <row r="972" spans="1:20" s="199" customFormat="1" ht="15.75" customHeight="1">
      <c r="A972" s="2624"/>
      <c r="B972" s="310" t="s">
        <v>1383</v>
      </c>
      <c r="C972" s="311"/>
      <c r="D972" s="312">
        <f t="shared" si="600"/>
        <v>384</v>
      </c>
      <c r="E972" s="313">
        <v>3</v>
      </c>
      <c r="F972" s="314">
        <v>1</v>
      </c>
      <c r="G972" s="315" t="s">
        <v>63</v>
      </c>
      <c r="H972" s="314" t="s">
        <v>1043</v>
      </c>
      <c r="I972" s="316">
        <v>0.61</v>
      </c>
      <c r="J972" s="317">
        <v>14.430000000000001</v>
      </c>
      <c r="K972" s="313">
        <v>2</v>
      </c>
      <c r="L972" s="318" t="str">
        <f t="shared" si="601"/>
        <v>0.5/400</v>
      </c>
      <c r="M972" s="317">
        <f t="shared" si="602"/>
        <v>1.2</v>
      </c>
      <c r="N972" s="308">
        <f t="shared" si="603"/>
        <v>70.15440375</v>
      </c>
      <c r="O972" s="288"/>
      <c r="P972" s="297"/>
      <c r="Q972" s="288"/>
      <c r="R972" s="102"/>
      <c r="S972" s="102"/>
      <c r="T972" s="102"/>
    </row>
    <row r="973" spans="1:20" s="199" customFormat="1" ht="15.75" customHeight="1">
      <c r="A973" s="2624"/>
      <c r="B973" s="310" t="s">
        <v>1383</v>
      </c>
      <c r="C973" s="311"/>
      <c r="D973" s="312">
        <f t="shared" si="600"/>
        <v>384</v>
      </c>
      <c r="E973" s="313">
        <v>3</v>
      </c>
      <c r="F973" s="314">
        <v>1</v>
      </c>
      <c r="G973" s="315" t="s">
        <v>63</v>
      </c>
      <c r="H973" s="314" t="s">
        <v>1043</v>
      </c>
      <c r="I973" s="316">
        <v>0.61</v>
      </c>
      <c r="J973" s="317">
        <v>14.430000000000001</v>
      </c>
      <c r="K973" s="313">
        <v>2</v>
      </c>
      <c r="L973" s="318" t="str">
        <f t="shared" si="601"/>
        <v>0.5/400</v>
      </c>
      <c r="M973" s="317">
        <f t="shared" si="602"/>
        <v>1.2</v>
      </c>
      <c r="N973" s="308">
        <f t="shared" si="603"/>
        <v>70.15440375</v>
      </c>
      <c r="O973" s="288"/>
      <c r="P973" s="297"/>
      <c r="Q973" s="288"/>
      <c r="R973" s="102"/>
      <c r="S973" s="102"/>
      <c r="T973" s="102"/>
    </row>
    <row r="974" spans="1:20" s="199" customFormat="1" ht="15.75" customHeight="1">
      <c r="A974" s="2624"/>
      <c r="B974" s="310" t="s">
        <v>1386</v>
      </c>
      <c r="C974" s="311"/>
      <c r="D974" s="312">
        <f t="shared" si="600"/>
        <v>327</v>
      </c>
      <c r="E974" s="313">
        <v>3</v>
      </c>
      <c r="F974" s="314">
        <v>1</v>
      </c>
      <c r="G974" s="315" t="s">
        <v>63</v>
      </c>
      <c r="H974" s="314" t="s">
        <v>1044</v>
      </c>
      <c r="I974" s="396">
        <v>0.4</v>
      </c>
      <c r="J974" s="317">
        <f>IF(G974&lt;&gt;"",VLOOKUP(G974,precio_barras,5,FALSE),0)</f>
        <v>384</v>
      </c>
      <c r="K974" s="313">
        <v>0</v>
      </c>
      <c r="L974" s="318" t="str">
        <f t="shared" si="601"/>
        <v>0.5/400</v>
      </c>
      <c r="M974" s="317">
        <f t="shared" si="602"/>
        <v>1.2</v>
      </c>
      <c r="N974" s="308">
        <f t="shared" si="603"/>
        <v>961.92000000000007</v>
      </c>
      <c r="O974" s="288"/>
      <c r="P974" s="297"/>
      <c r="Q974" s="288"/>
      <c r="R974" s="102"/>
      <c r="S974" s="102"/>
      <c r="T974" s="102"/>
    </row>
    <row r="975" spans="1:20" s="199" customFormat="1" ht="15" thickBot="1">
      <c r="A975" s="2624"/>
      <c r="B975" s="321" t="s">
        <v>801</v>
      </c>
      <c r="C975" s="363"/>
      <c r="D975" s="364">
        <f t="shared" si="600"/>
        <v>384</v>
      </c>
      <c r="E975" s="365">
        <v>1</v>
      </c>
      <c r="F975" s="366">
        <v>1</v>
      </c>
      <c r="G975" s="315" t="s">
        <v>63</v>
      </c>
      <c r="H975" s="366" t="s">
        <v>1043</v>
      </c>
      <c r="I975" s="367">
        <v>1.6</v>
      </c>
      <c r="J975" s="368">
        <v>14.430000000000001</v>
      </c>
      <c r="K975" s="399">
        <v>2</v>
      </c>
      <c r="L975" s="369" t="str">
        <f t="shared" si="601"/>
        <v>0.5/400</v>
      </c>
      <c r="M975" s="368">
        <f t="shared" si="602"/>
        <v>1.2</v>
      </c>
      <c r="N975" s="370">
        <f t="shared" si="603"/>
        <v>53.20620000000001</v>
      </c>
      <c r="O975" s="288"/>
      <c r="P975" s="297"/>
      <c r="Q975" s="288"/>
      <c r="R975" s="102"/>
      <c r="S975" s="102"/>
      <c r="T975" s="102"/>
    </row>
    <row r="976" spans="1:20" s="199" customFormat="1" ht="15" thickBot="1">
      <c r="A976" s="2625"/>
      <c r="B976" s="321" t="s">
        <v>802</v>
      </c>
      <c r="C976" s="363"/>
      <c r="D976" s="364">
        <f t="shared" si="600"/>
        <v>850</v>
      </c>
      <c r="E976" s="365">
        <v>1</v>
      </c>
      <c r="F976" s="366">
        <v>1</v>
      </c>
      <c r="G976" s="322" t="s">
        <v>469</v>
      </c>
      <c r="H976" s="366" t="s">
        <v>1043</v>
      </c>
      <c r="I976" s="367">
        <v>1.6</v>
      </c>
      <c r="J976" s="368">
        <f>IF(G976&lt;&gt;"",VLOOKUP(G976,precio_barras,5,FALSE),0)</f>
        <v>850</v>
      </c>
      <c r="K976" s="395">
        <v>0</v>
      </c>
      <c r="L976" s="369" t="str">
        <f t="shared" si="601"/>
        <v>1/750</v>
      </c>
      <c r="M976" s="368">
        <f t="shared" si="602"/>
        <v>1.9</v>
      </c>
      <c r="N976" s="370">
        <f t="shared" si="603"/>
        <v>2839</v>
      </c>
      <c r="O976" s="288"/>
      <c r="P976" s="297"/>
      <c r="Q976" s="288"/>
      <c r="R976" s="102"/>
      <c r="S976" s="102"/>
      <c r="T976" s="102"/>
    </row>
    <row r="977" spans="1:20" s="129" customFormat="1" ht="22.5" customHeight="1" thickBot="1">
      <c r="A977" s="371"/>
      <c r="B977" s="375"/>
      <c r="C977" s="375"/>
      <c r="D977" s="383"/>
      <c r="E977" s="373"/>
      <c r="F977" s="373"/>
      <c r="G977" s="373"/>
      <c r="H977" s="373"/>
      <c r="I977" s="374"/>
      <c r="J977" s="374"/>
      <c r="K977" s="373"/>
      <c r="L977" s="373"/>
      <c r="M977" s="372"/>
      <c r="N977" s="699">
        <f>SUM(N971:N976)</f>
        <v>4064.58941125</v>
      </c>
      <c r="O977" s="288"/>
      <c r="P977" s="297"/>
      <c r="Q977" s="288"/>
      <c r="R977" s="102"/>
      <c r="S977" s="102"/>
      <c r="T977" s="102"/>
    </row>
    <row r="978" spans="1:20" s="102" customFormat="1">
      <c r="B978" s="744"/>
      <c r="F978" s="745"/>
      <c r="G978" s="745"/>
      <c r="H978" s="745"/>
      <c r="L978" s="745"/>
      <c r="N978" s="746"/>
      <c r="P978" s="745"/>
      <c r="Q978" s="745"/>
    </row>
    <row r="979" spans="1:20" s="102" customFormat="1">
      <c r="B979" s="744"/>
      <c r="F979" s="745"/>
      <c r="G979" s="745"/>
      <c r="H979" s="745"/>
      <c r="L979" s="745"/>
      <c r="N979" s="746"/>
      <c r="P979" s="745"/>
      <c r="Q979" s="745"/>
    </row>
    <row r="980" spans="1:20" s="102" customFormat="1">
      <c r="B980" s="744"/>
      <c r="F980" s="745"/>
      <c r="G980" s="745"/>
      <c r="H980" s="745"/>
      <c r="L980" s="745"/>
      <c r="N980" s="746"/>
      <c r="P980" s="745"/>
      <c r="Q980" s="745"/>
    </row>
    <row r="981" spans="1:20" s="199" customFormat="1" ht="15.75" customHeight="1">
      <c r="A981" s="2623" t="s">
        <v>1410</v>
      </c>
      <c r="B981" s="310" t="s">
        <v>1033</v>
      </c>
      <c r="C981" s="311"/>
      <c r="D981" s="312">
        <f t="shared" ref="D981:D986" si="604">IF(H981&lt;&gt;"",VLOOKUP(G981,base_barras,IF(H981="Desnuda",2,5)+F981-1,FALSE),"-")</f>
        <v>850</v>
      </c>
      <c r="E981" s="313">
        <v>3</v>
      </c>
      <c r="F981" s="314">
        <v>1</v>
      </c>
      <c r="G981" s="315" t="s">
        <v>469</v>
      </c>
      <c r="H981" s="314" t="s">
        <v>1043</v>
      </c>
      <c r="I981" s="316">
        <v>1.2</v>
      </c>
      <c r="J981" s="317">
        <v>46.28</v>
      </c>
      <c r="K981" s="313">
        <v>2</v>
      </c>
      <c r="L981" s="318" t="str">
        <f t="shared" ref="L981:L986" si="605">IF(G981&lt;&gt;"",IF(VLOOKUP(G981,base_barras,10,FALSE)&lt;&gt;"",VLOOKUP(G981,base_barras,10,FALSE),"-"),"-")</f>
        <v>1/750</v>
      </c>
      <c r="M981" s="317">
        <f t="shared" ref="M981:M986" si="606">IF(L981&lt;&gt;"-",VLOOKUP(L981,precio_aislador,2,FALSE),0)</f>
        <v>1.9</v>
      </c>
      <c r="N981" s="308">
        <f t="shared" ref="N981:N986" si="607">(I981*J981*F981+K981*M981)*E981*1.67*1.25</f>
        <v>371.59169999999995</v>
      </c>
      <c r="O981" s="288"/>
      <c r="P981" s="297"/>
      <c r="Q981" s="288"/>
      <c r="R981" s="102"/>
      <c r="S981" s="102"/>
      <c r="T981" s="102"/>
    </row>
    <row r="982" spans="1:20" s="199" customFormat="1" ht="15.75" customHeight="1">
      <c r="A982" s="2624"/>
      <c r="B982" s="310" t="s">
        <v>1382</v>
      </c>
      <c r="C982" s="311"/>
      <c r="D982" s="312">
        <f t="shared" si="604"/>
        <v>384</v>
      </c>
      <c r="E982" s="313">
        <v>3</v>
      </c>
      <c r="F982" s="314">
        <v>1</v>
      </c>
      <c r="G982" s="315" t="s">
        <v>63</v>
      </c>
      <c r="H982" s="314" t="s">
        <v>1043</v>
      </c>
      <c r="I982" s="316">
        <v>0.61</v>
      </c>
      <c r="J982" s="317">
        <v>14.430000000000001</v>
      </c>
      <c r="K982" s="313">
        <v>0</v>
      </c>
      <c r="L982" s="318" t="str">
        <f t="shared" si="605"/>
        <v>0.5/400</v>
      </c>
      <c r="M982" s="317">
        <f t="shared" si="606"/>
        <v>1.2</v>
      </c>
      <c r="N982" s="308">
        <f t="shared" si="607"/>
        <v>55.124403749999999</v>
      </c>
      <c r="O982" s="288"/>
      <c r="P982" s="297"/>
      <c r="Q982" s="288"/>
      <c r="R982" s="102"/>
      <c r="S982" s="102"/>
      <c r="T982" s="102"/>
    </row>
    <row r="983" spans="1:20" s="199" customFormat="1" ht="15.75" customHeight="1">
      <c r="A983" s="2624"/>
      <c r="B983" s="310" t="s">
        <v>1383</v>
      </c>
      <c r="C983" s="311"/>
      <c r="D983" s="312">
        <f t="shared" si="604"/>
        <v>384</v>
      </c>
      <c r="E983" s="313">
        <v>3</v>
      </c>
      <c r="F983" s="314">
        <v>1</v>
      </c>
      <c r="G983" s="315" t="s">
        <v>63</v>
      </c>
      <c r="H983" s="314" t="s">
        <v>1043</v>
      </c>
      <c r="I983" s="316">
        <v>0.61</v>
      </c>
      <c r="J983" s="317">
        <v>14.430000000000001</v>
      </c>
      <c r="K983" s="313">
        <v>0</v>
      </c>
      <c r="L983" s="318" t="str">
        <f t="shared" si="605"/>
        <v>0.5/400</v>
      </c>
      <c r="M983" s="317">
        <f t="shared" si="606"/>
        <v>1.2</v>
      </c>
      <c r="N983" s="308">
        <f t="shared" si="607"/>
        <v>55.124403749999999</v>
      </c>
      <c r="O983" s="288"/>
      <c r="P983" s="297"/>
      <c r="Q983" s="288"/>
      <c r="R983" s="102"/>
      <c r="S983" s="102"/>
      <c r="T983" s="102"/>
    </row>
    <row r="984" spans="1:20" s="199" customFormat="1" ht="15.75" customHeight="1">
      <c r="A984" s="2624"/>
      <c r="B984" s="310" t="s">
        <v>1357</v>
      </c>
      <c r="C984" s="311"/>
      <c r="D984" s="312">
        <f t="shared" si="604"/>
        <v>573</v>
      </c>
      <c r="E984" s="313">
        <v>3</v>
      </c>
      <c r="F984" s="314">
        <v>1</v>
      </c>
      <c r="G984" s="315" t="s">
        <v>314</v>
      </c>
      <c r="H984" s="314" t="s">
        <v>1044</v>
      </c>
      <c r="I984" s="316">
        <v>0.61</v>
      </c>
      <c r="J984" s="317">
        <v>34.58</v>
      </c>
      <c r="K984" s="313">
        <v>0</v>
      </c>
      <c r="L984" s="318" t="str">
        <f t="shared" si="605"/>
        <v>1/750</v>
      </c>
      <c r="M984" s="317">
        <f t="shared" si="606"/>
        <v>1.9</v>
      </c>
      <c r="N984" s="308">
        <f t="shared" si="607"/>
        <v>132.09992249999996</v>
      </c>
      <c r="O984" s="288"/>
      <c r="P984" s="297"/>
      <c r="Q984" s="288"/>
      <c r="R984" s="102"/>
      <c r="S984" s="102"/>
      <c r="T984" s="102"/>
    </row>
    <row r="985" spans="1:20" s="199" customFormat="1" ht="14.25">
      <c r="A985" s="2624"/>
      <c r="B985" s="310" t="s">
        <v>801</v>
      </c>
      <c r="C985" s="319"/>
      <c r="D985" s="312">
        <f t="shared" si="604"/>
        <v>850</v>
      </c>
      <c r="E985" s="313">
        <v>1</v>
      </c>
      <c r="F985" s="314">
        <v>1</v>
      </c>
      <c r="G985" s="315" t="s">
        <v>469</v>
      </c>
      <c r="H985" s="314" t="s">
        <v>1043</v>
      </c>
      <c r="I985" s="316">
        <v>1.2</v>
      </c>
      <c r="J985" s="317">
        <v>46.28</v>
      </c>
      <c r="K985" s="320">
        <v>2</v>
      </c>
      <c r="L985" s="318" t="str">
        <f t="shared" si="605"/>
        <v>1/750</v>
      </c>
      <c r="M985" s="317">
        <f t="shared" si="606"/>
        <v>1.9</v>
      </c>
      <c r="N985" s="308">
        <f t="shared" si="607"/>
        <v>123.86389999999999</v>
      </c>
      <c r="O985" s="288"/>
      <c r="P985" s="297"/>
      <c r="Q985" s="288"/>
      <c r="R985" s="102"/>
      <c r="S985" s="102"/>
      <c r="T985" s="102"/>
    </row>
    <row r="986" spans="1:20" s="199" customFormat="1" ht="15" thickBot="1">
      <c r="A986" s="2625"/>
      <c r="B986" s="321" t="s">
        <v>802</v>
      </c>
      <c r="C986" s="363"/>
      <c r="D986" s="364">
        <f t="shared" si="604"/>
        <v>676</v>
      </c>
      <c r="E986" s="365">
        <v>1</v>
      </c>
      <c r="F986" s="366">
        <v>1</v>
      </c>
      <c r="G986" s="322" t="s">
        <v>314</v>
      </c>
      <c r="H986" s="366" t="s">
        <v>1043</v>
      </c>
      <c r="I986" s="316">
        <v>1.2</v>
      </c>
      <c r="J986" s="368">
        <v>34.58</v>
      </c>
      <c r="K986" s="395">
        <v>0</v>
      </c>
      <c r="L986" s="369" t="str">
        <f t="shared" si="605"/>
        <v>1/750</v>
      </c>
      <c r="M986" s="368">
        <f t="shared" si="606"/>
        <v>1.9</v>
      </c>
      <c r="N986" s="370">
        <f t="shared" si="607"/>
        <v>86.622899999999987</v>
      </c>
      <c r="O986" s="288"/>
      <c r="P986" s="297"/>
      <c r="Q986" s="288"/>
      <c r="R986" s="102"/>
      <c r="S986" s="102"/>
      <c r="T986" s="102"/>
    </row>
    <row r="987" spans="1:20" s="129" customFormat="1" ht="22.5" customHeight="1" thickBot="1">
      <c r="A987" s="371"/>
      <c r="B987" s="375"/>
      <c r="C987" s="375"/>
      <c r="D987" s="383"/>
      <c r="E987" s="373"/>
      <c r="F987" s="373"/>
      <c r="G987" s="373"/>
      <c r="H987" s="373"/>
      <c r="I987" s="374"/>
      <c r="J987" s="374"/>
      <c r="K987" s="373"/>
      <c r="L987" s="373"/>
      <c r="M987" s="372"/>
      <c r="N987" s="699">
        <f>SUM(N981:N986)</f>
        <v>824.42722999999978</v>
      </c>
      <c r="O987" s="288"/>
      <c r="P987" s="297"/>
      <c r="Q987" s="288"/>
      <c r="R987" s="102"/>
      <c r="S987" s="102"/>
      <c r="T987" s="102"/>
    </row>
    <row r="988" spans="1:20" s="102" customFormat="1">
      <c r="B988" s="744"/>
      <c r="F988" s="745"/>
      <c r="G988" s="745"/>
      <c r="H988" s="745"/>
      <c r="L988" s="745"/>
      <c r="N988" s="746"/>
      <c r="P988" s="745"/>
      <c r="Q988" s="745"/>
    </row>
    <row r="989" spans="1:20" s="102" customFormat="1">
      <c r="B989" s="744"/>
      <c r="F989" s="745"/>
      <c r="G989" s="745"/>
      <c r="H989" s="745"/>
      <c r="L989" s="745"/>
      <c r="N989" s="746"/>
      <c r="P989" s="745"/>
      <c r="Q989" s="745"/>
    </row>
    <row r="990" spans="1:20" s="199" customFormat="1" ht="15.75" customHeight="1">
      <c r="A990" s="102"/>
      <c r="B990" s="310" t="s">
        <v>1033</v>
      </c>
      <c r="C990" s="311"/>
      <c r="D990" s="312">
        <f t="shared" ref="D990:D996" si="608">IF(H990&lt;&gt;"",VLOOKUP(G990,base_barras,IF(H990="Desnuda",2,5)+F990-1,FALSE),"-")</f>
        <v>319</v>
      </c>
      <c r="E990" s="313">
        <v>3</v>
      </c>
      <c r="F990" s="314">
        <v>1</v>
      </c>
      <c r="G990" s="315" t="s">
        <v>61</v>
      </c>
      <c r="H990" s="314" t="s">
        <v>1043</v>
      </c>
      <c r="I990" s="316">
        <v>0.8</v>
      </c>
      <c r="J990" s="317">
        <v>11.44</v>
      </c>
      <c r="K990" s="320">
        <v>4</v>
      </c>
      <c r="L990" s="318" t="str">
        <f t="shared" ref="L990:L996" si="609">IF(G990&lt;&gt;"",IF(VLOOKUP(G990,base_barras,10,FALSE)&lt;&gt;"",VLOOKUP(G990,base_barras,10,FALSE),"-"),"-")</f>
        <v>-</v>
      </c>
      <c r="M990" s="317">
        <f t="shared" ref="M990:M996" si="610">IF(L990&lt;&gt;"-",VLOOKUP(L990,precio_aislador,2,FALSE),0)</f>
        <v>0</v>
      </c>
      <c r="N990" s="308">
        <f t="shared" ref="N990:N996" si="611">(I990*J990*F990+K990*M990)*E990*1.67*1.25</f>
        <v>57.314399999999992</v>
      </c>
      <c r="O990" s="288"/>
      <c r="P990" s="297"/>
      <c r="Q990" s="288"/>
      <c r="R990" s="102"/>
      <c r="S990" s="102"/>
      <c r="T990" s="102"/>
    </row>
    <row r="991" spans="1:20" s="199" customFormat="1" ht="15.75" customHeight="1">
      <c r="A991" s="2623" t="s">
        <v>1412</v>
      </c>
      <c r="B991" s="310" t="s">
        <v>1382</v>
      </c>
      <c r="C991" s="311"/>
      <c r="D991" s="312">
        <f t="shared" si="608"/>
        <v>384</v>
      </c>
      <c r="E991" s="313">
        <v>3</v>
      </c>
      <c r="F991" s="314">
        <v>1</v>
      </c>
      <c r="G991" s="315" t="s">
        <v>63</v>
      </c>
      <c r="H991" s="314" t="s">
        <v>1043</v>
      </c>
      <c r="I991" s="398">
        <v>0.61</v>
      </c>
      <c r="J991" s="317">
        <v>14.430000000000001</v>
      </c>
      <c r="K991" s="313">
        <v>2</v>
      </c>
      <c r="L991" s="318" t="str">
        <f t="shared" si="609"/>
        <v>0.5/400</v>
      </c>
      <c r="M991" s="317">
        <f t="shared" si="610"/>
        <v>1.2</v>
      </c>
      <c r="N991" s="308">
        <f t="shared" si="611"/>
        <v>70.15440375</v>
      </c>
      <c r="O991" s="288"/>
      <c r="P991" s="297"/>
      <c r="Q991" s="288"/>
      <c r="R991" s="102"/>
      <c r="S991" s="102"/>
      <c r="T991" s="102"/>
    </row>
    <row r="992" spans="1:20" s="199" customFormat="1" ht="15.75" customHeight="1">
      <c r="A992" s="2624"/>
      <c r="B992" s="310" t="s">
        <v>1382</v>
      </c>
      <c r="C992" s="311"/>
      <c r="D992" s="312">
        <f t="shared" si="608"/>
        <v>384</v>
      </c>
      <c r="E992" s="313">
        <v>3</v>
      </c>
      <c r="F992" s="314">
        <v>1</v>
      </c>
      <c r="G992" s="315" t="s">
        <v>63</v>
      </c>
      <c r="H992" s="314" t="s">
        <v>1043</v>
      </c>
      <c r="I992" s="316">
        <v>0.61</v>
      </c>
      <c r="J992" s="317">
        <v>14.430000000000001</v>
      </c>
      <c r="K992" s="313">
        <v>2</v>
      </c>
      <c r="L992" s="318" t="str">
        <f t="shared" si="609"/>
        <v>0.5/400</v>
      </c>
      <c r="M992" s="317">
        <f t="shared" si="610"/>
        <v>1.2</v>
      </c>
      <c r="N992" s="308">
        <f t="shared" si="611"/>
        <v>70.15440375</v>
      </c>
      <c r="O992" s="288"/>
      <c r="P992" s="297"/>
      <c r="Q992" s="288"/>
      <c r="R992" s="102"/>
      <c r="S992" s="102"/>
      <c r="T992" s="102"/>
    </row>
    <row r="993" spans="1:20" s="199" customFormat="1" ht="15.75" customHeight="1">
      <c r="A993" s="2624"/>
      <c r="B993" s="310" t="s">
        <v>1382</v>
      </c>
      <c r="C993" s="311"/>
      <c r="D993" s="312">
        <f t="shared" si="608"/>
        <v>384</v>
      </c>
      <c r="E993" s="313">
        <v>3</v>
      </c>
      <c r="F993" s="314">
        <v>1</v>
      </c>
      <c r="G993" s="315" t="s">
        <v>63</v>
      </c>
      <c r="H993" s="314" t="s">
        <v>1043</v>
      </c>
      <c r="I993" s="316">
        <v>0.61</v>
      </c>
      <c r="J993" s="317">
        <v>14.430000000000001</v>
      </c>
      <c r="K993" s="313">
        <v>2</v>
      </c>
      <c r="L993" s="318" t="str">
        <f t="shared" si="609"/>
        <v>0.5/400</v>
      </c>
      <c r="M993" s="317">
        <f t="shared" si="610"/>
        <v>1.2</v>
      </c>
      <c r="N993" s="308">
        <f t="shared" si="611"/>
        <v>70.15440375</v>
      </c>
      <c r="O993" s="288"/>
      <c r="P993" s="297"/>
      <c r="Q993" s="288"/>
      <c r="R993" s="102"/>
      <c r="S993" s="102"/>
      <c r="T993" s="102"/>
    </row>
    <row r="994" spans="1:20" s="199" customFormat="1" ht="15.75" customHeight="1">
      <c r="A994" s="2624"/>
      <c r="B994" s="310" t="s">
        <v>1411</v>
      </c>
      <c r="C994" s="311"/>
      <c r="D994" s="312">
        <f t="shared" si="608"/>
        <v>327</v>
      </c>
      <c r="E994" s="313">
        <v>3</v>
      </c>
      <c r="F994" s="314">
        <v>1</v>
      </c>
      <c r="G994" s="315" t="s">
        <v>63</v>
      </c>
      <c r="H994" s="314" t="s">
        <v>1044</v>
      </c>
      <c r="I994" s="396">
        <v>0.4</v>
      </c>
      <c r="J994" s="317">
        <v>14.430000000000001</v>
      </c>
      <c r="K994" s="313">
        <v>0</v>
      </c>
      <c r="L994" s="318" t="str">
        <f t="shared" si="609"/>
        <v>0.5/400</v>
      </c>
      <c r="M994" s="317">
        <f t="shared" si="610"/>
        <v>1.2</v>
      </c>
      <c r="N994" s="308">
        <f t="shared" si="611"/>
        <v>36.147150000000003</v>
      </c>
      <c r="O994" s="288"/>
      <c r="P994" s="297"/>
      <c r="Q994" s="288"/>
      <c r="R994" s="102"/>
      <c r="S994" s="102"/>
      <c r="T994" s="102"/>
    </row>
    <row r="995" spans="1:20" s="199" customFormat="1" ht="15" thickBot="1">
      <c r="A995" s="2624"/>
      <c r="B995" s="321" t="s">
        <v>801</v>
      </c>
      <c r="C995" s="363"/>
      <c r="D995" s="364">
        <f t="shared" si="608"/>
        <v>384</v>
      </c>
      <c r="E995" s="365">
        <v>1</v>
      </c>
      <c r="F995" s="366">
        <v>1</v>
      </c>
      <c r="G995" s="315" t="s">
        <v>63</v>
      </c>
      <c r="H995" s="366" t="s">
        <v>1043</v>
      </c>
      <c r="I995" s="367">
        <v>1.6</v>
      </c>
      <c r="J995" s="368">
        <v>14.430000000000001</v>
      </c>
      <c r="K995" s="399">
        <v>2</v>
      </c>
      <c r="L995" s="369" t="str">
        <f t="shared" si="609"/>
        <v>0.5/400</v>
      </c>
      <c r="M995" s="368">
        <f t="shared" si="610"/>
        <v>1.2</v>
      </c>
      <c r="N995" s="370">
        <f t="shared" si="611"/>
        <v>53.20620000000001</v>
      </c>
      <c r="O995" s="288"/>
      <c r="P995" s="297"/>
      <c r="Q995" s="288"/>
      <c r="R995" s="102"/>
      <c r="S995" s="102"/>
      <c r="T995" s="102"/>
    </row>
    <row r="996" spans="1:20" s="199" customFormat="1" ht="15" thickBot="1">
      <c r="A996" s="2625"/>
      <c r="B996" s="321" t="s">
        <v>802</v>
      </c>
      <c r="C996" s="363"/>
      <c r="D996" s="364">
        <f t="shared" si="608"/>
        <v>850</v>
      </c>
      <c r="E996" s="365">
        <v>1</v>
      </c>
      <c r="F996" s="366">
        <v>1</v>
      </c>
      <c r="G996" s="322" t="s">
        <v>469</v>
      </c>
      <c r="H996" s="366" t="s">
        <v>1043</v>
      </c>
      <c r="I996" s="367">
        <v>1.6</v>
      </c>
      <c r="J996" s="368">
        <v>46.28</v>
      </c>
      <c r="K996" s="395">
        <v>0</v>
      </c>
      <c r="L996" s="369" t="str">
        <f t="shared" si="609"/>
        <v>1/750</v>
      </c>
      <c r="M996" s="368">
        <f t="shared" si="610"/>
        <v>1.9</v>
      </c>
      <c r="N996" s="370">
        <f t="shared" si="611"/>
        <v>154.5752</v>
      </c>
      <c r="O996" s="288"/>
      <c r="P996" s="297"/>
      <c r="Q996" s="288"/>
      <c r="R996" s="102"/>
      <c r="S996" s="102"/>
      <c r="T996" s="102"/>
    </row>
    <row r="997" spans="1:20" s="129" customFormat="1" ht="22.5" customHeight="1" thickBot="1">
      <c r="A997" s="371"/>
      <c r="B997" s="375"/>
      <c r="C997" s="375"/>
      <c r="D997" s="383"/>
      <c r="E997" s="373"/>
      <c r="F997" s="373"/>
      <c r="G997" s="373"/>
      <c r="H997" s="373"/>
      <c r="I997" s="374"/>
      <c r="J997" s="374"/>
      <c r="K997" s="373"/>
      <c r="L997" s="373"/>
      <c r="M997" s="372"/>
      <c r="N997" s="699">
        <f>SUM(N991:N996)</f>
        <v>454.39176125</v>
      </c>
      <c r="O997" s="288"/>
      <c r="P997" s="297"/>
      <c r="Q997" s="288"/>
      <c r="R997" s="102"/>
      <c r="S997" s="102"/>
      <c r="T997" s="102"/>
    </row>
    <row r="998" spans="1:20" s="102" customFormat="1">
      <c r="B998" s="744"/>
      <c r="F998" s="745"/>
      <c r="G998" s="745"/>
      <c r="H998" s="745"/>
      <c r="L998" s="745"/>
      <c r="N998" s="746"/>
      <c r="P998" s="745"/>
      <c r="Q998" s="745"/>
    </row>
    <row r="999" spans="1:20" s="102" customFormat="1">
      <c r="B999" s="744"/>
      <c r="F999" s="745"/>
      <c r="G999" s="745"/>
      <c r="H999" s="745"/>
      <c r="L999" s="745"/>
      <c r="N999" s="746"/>
      <c r="P999" s="745"/>
      <c r="Q999" s="745"/>
    </row>
    <row r="1000" spans="1:20" s="102" customFormat="1">
      <c r="B1000" s="744"/>
      <c r="F1000" s="745"/>
      <c r="G1000" s="745"/>
      <c r="H1000" s="745"/>
      <c r="L1000" s="745"/>
      <c r="N1000" s="746"/>
      <c r="P1000" s="745"/>
      <c r="Q1000" s="745"/>
    </row>
    <row r="1001" spans="1:20" s="102" customFormat="1">
      <c r="B1001" s="744"/>
      <c r="F1001" s="745"/>
      <c r="G1001" s="745"/>
      <c r="H1001" s="745"/>
      <c r="L1001" s="745"/>
      <c r="N1001" s="746"/>
      <c r="P1001" s="745"/>
      <c r="Q1001" s="745"/>
    </row>
    <row r="1002" spans="1:20" s="102" customFormat="1">
      <c r="B1002" s="744"/>
      <c r="F1002" s="745"/>
      <c r="G1002" s="745"/>
      <c r="H1002" s="745"/>
      <c r="L1002" s="745"/>
      <c r="N1002" s="746"/>
      <c r="P1002" s="745"/>
      <c r="Q1002" s="745"/>
    </row>
    <row r="1003" spans="1:20" s="102" customFormat="1">
      <c r="B1003" s="744"/>
      <c r="F1003" s="745"/>
      <c r="G1003" s="745"/>
      <c r="H1003" s="745"/>
      <c r="L1003" s="745"/>
      <c r="N1003" s="746"/>
      <c r="P1003" s="745"/>
      <c r="Q1003" s="745"/>
    </row>
    <row r="1004" spans="1:20" s="102" customFormat="1">
      <c r="B1004" s="744"/>
      <c r="F1004" s="745"/>
      <c r="G1004" s="745"/>
      <c r="H1004" s="745"/>
      <c r="L1004" s="745"/>
      <c r="N1004" s="746"/>
      <c r="P1004" s="745"/>
      <c r="Q1004" s="745"/>
    </row>
    <row r="1005" spans="1:20" s="102" customFormat="1">
      <c r="B1005" s="744"/>
      <c r="F1005" s="745"/>
      <c r="G1005" s="745"/>
      <c r="H1005" s="745"/>
      <c r="L1005" s="745"/>
      <c r="N1005" s="746"/>
      <c r="P1005" s="745"/>
      <c r="Q1005" s="745"/>
    </row>
    <row r="1006" spans="1:20" s="102" customFormat="1">
      <c r="B1006" s="744"/>
      <c r="F1006" s="745"/>
      <c r="G1006" s="745"/>
      <c r="H1006" s="745"/>
      <c r="L1006" s="745"/>
      <c r="N1006" s="746"/>
      <c r="P1006" s="745"/>
      <c r="Q1006" s="745"/>
    </row>
    <row r="1007" spans="1:20" s="102" customFormat="1">
      <c r="B1007" s="744"/>
      <c r="F1007" s="745"/>
      <c r="G1007" s="745"/>
      <c r="H1007" s="745"/>
      <c r="L1007" s="745"/>
      <c r="N1007" s="746"/>
      <c r="P1007" s="745"/>
      <c r="Q1007" s="745"/>
    </row>
    <row r="1008" spans="1:20" s="102" customFormat="1">
      <c r="B1008" s="744"/>
      <c r="F1008" s="745"/>
      <c r="G1008" s="745"/>
      <c r="H1008" s="745"/>
      <c r="L1008" s="745"/>
      <c r="N1008" s="746"/>
      <c r="P1008" s="745"/>
      <c r="Q1008" s="745"/>
    </row>
    <row r="1009" spans="1:20" s="102" customFormat="1">
      <c r="B1009" s="744"/>
      <c r="F1009" s="745"/>
      <c r="G1009" s="745"/>
      <c r="H1009" s="745"/>
      <c r="L1009" s="745"/>
      <c r="N1009" s="746"/>
      <c r="P1009" s="745"/>
      <c r="Q1009" s="745"/>
    </row>
    <row r="1010" spans="1:20" s="102" customFormat="1">
      <c r="B1010" s="744"/>
      <c r="F1010" s="745"/>
      <c r="G1010" s="745"/>
      <c r="H1010" s="745"/>
      <c r="L1010" s="745"/>
      <c r="N1010" s="746"/>
      <c r="P1010" s="745"/>
      <c r="Q1010" s="745"/>
    </row>
    <row r="1011" spans="1:20" s="102" customFormat="1">
      <c r="B1011" s="744"/>
      <c r="F1011" s="745"/>
      <c r="G1011" s="745"/>
      <c r="H1011" s="745"/>
      <c r="L1011" s="745"/>
      <c r="N1011" s="746"/>
      <c r="P1011" s="745"/>
      <c r="Q1011" s="745"/>
    </row>
    <row r="1012" spans="1:20" s="102" customFormat="1">
      <c r="B1012" s="744"/>
      <c r="F1012" s="745"/>
      <c r="G1012" s="745"/>
      <c r="H1012" s="745"/>
      <c r="L1012" s="745"/>
      <c r="N1012" s="746"/>
      <c r="P1012" s="745"/>
      <c r="Q1012" s="745"/>
    </row>
    <row r="1013" spans="1:20" s="102" customFormat="1">
      <c r="B1013" s="744"/>
      <c r="F1013" s="745"/>
      <c r="G1013" s="745"/>
      <c r="H1013" s="745"/>
      <c r="L1013" s="745"/>
      <c r="N1013" s="746"/>
      <c r="P1013" s="745"/>
      <c r="Q1013" s="745"/>
    </row>
    <row r="1014" spans="1:20" s="102" customFormat="1">
      <c r="B1014" s="744"/>
      <c r="F1014" s="745"/>
      <c r="G1014" s="745"/>
      <c r="H1014" s="745"/>
      <c r="L1014" s="745"/>
      <c r="N1014" s="746"/>
      <c r="P1014" s="745"/>
      <c r="Q1014" s="745"/>
    </row>
    <row r="1015" spans="1:20" s="102" customFormat="1">
      <c r="B1015" s="744"/>
      <c r="F1015" s="745"/>
      <c r="G1015" s="745"/>
      <c r="H1015" s="745"/>
      <c r="L1015" s="745"/>
      <c r="N1015" s="746"/>
      <c r="P1015" s="745"/>
      <c r="Q1015" s="745"/>
    </row>
    <row r="1016" spans="1:20" s="102" customFormat="1">
      <c r="B1016" s="744"/>
      <c r="F1016" s="745"/>
      <c r="G1016" s="745"/>
      <c r="H1016" s="745"/>
      <c r="L1016" s="745"/>
      <c r="N1016" s="746"/>
      <c r="P1016" s="745"/>
      <c r="Q1016" s="745"/>
    </row>
    <row r="1017" spans="1:20" s="102" customFormat="1" ht="13.5" thickBot="1">
      <c r="B1017" s="744"/>
      <c r="F1017" s="745"/>
      <c r="G1017" s="745"/>
      <c r="H1017" s="745"/>
      <c r="L1017" s="745"/>
      <c r="N1017" s="746"/>
      <c r="P1017" s="745"/>
      <c r="Q1017" s="745"/>
    </row>
    <row r="1018" spans="1:20" s="199" customFormat="1" ht="15.75" customHeight="1">
      <c r="A1018" s="2648" t="s">
        <v>2483</v>
      </c>
      <c r="B1018" s="326" t="s">
        <v>1033</v>
      </c>
      <c r="C1018" s="329"/>
      <c r="D1018" s="328">
        <f>IF(H1018&lt;&gt;"",VLOOKUP(G1018,base_barras,IF(H1018="Desnuda",2,5)+F1018-1,FALSE),"-")</f>
        <v>573</v>
      </c>
      <c r="E1018" s="329">
        <v>3</v>
      </c>
      <c r="F1018" s="330">
        <v>1</v>
      </c>
      <c r="G1018" s="331" t="s">
        <v>314</v>
      </c>
      <c r="H1018" s="330" t="s">
        <v>1044</v>
      </c>
      <c r="I1018" s="332">
        <v>0.21</v>
      </c>
      <c r="J1018" s="333">
        <f>IF(G1018&lt;&gt;"",VLOOKUP(G1018,precio_barras,9,FALSE),0)</f>
        <v>26.6</v>
      </c>
      <c r="K1018" s="329">
        <v>2</v>
      </c>
      <c r="L1018" s="343" t="str">
        <f>IF(G1018&lt;&gt;"",IF(VLOOKUP(G1018,base_barras,10,FALSE)&lt;&gt;"",VLOOKUP(G1018,base_barras,10,FALSE),"-"),"-")</f>
        <v>1/750</v>
      </c>
      <c r="M1018" s="333">
        <f>IF(L1018&lt;&gt;"-",VLOOKUP(L1018,precio_aislador,2,FALSE),0)</f>
        <v>1.9</v>
      </c>
      <c r="N1018" s="360">
        <f>(I1018*J1018*F1018+K1018*M1018)*E1018*1.67*1.25</f>
        <v>58.779824999999988</v>
      </c>
      <c r="O1018" s="288"/>
      <c r="P1018" s="297"/>
      <c r="Q1018" s="288"/>
      <c r="R1018" s="102"/>
      <c r="S1018" s="102"/>
      <c r="T1018" s="102"/>
    </row>
    <row r="1019" spans="1:20" s="199" customFormat="1" ht="15.75" customHeight="1" thickBot="1">
      <c r="A1019" s="2649"/>
      <c r="B1019" s="310" t="s">
        <v>2482</v>
      </c>
      <c r="C1019" s="313"/>
      <c r="D1019" s="312">
        <f>IF(H1019&lt;&gt;"",VLOOKUP(G1019,base_barras,IF(H1019="Desnuda",2,5)+F1019-1,FALSE),"-")</f>
        <v>162</v>
      </c>
      <c r="E1019" s="313">
        <v>3</v>
      </c>
      <c r="F1019" s="314">
        <v>1</v>
      </c>
      <c r="G1019" s="315" t="s">
        <v>59</v>
      </c>
      <c r="H1019" s="655" t="s">
        <v>1044</v>
      </c>
      <c r="I1019" s="398">
        <v>0.2</v>
      </c>
      <c r="J1019" s="478">
        <f>IF(G1019&lt;&gt;"",VLOOKUP(G1019,precio_barras,9,FALSE),0)</f>
        <v>4</v>
      </c>
      <c r="K1019" s="313">
        <v>0</v>
      </c>
      <c r="L1019" s="318" t="str">
        <f>IF(G1019&lt;&gt;"",IF(VLOOKUP(G1019,base_barras,10,FALSE)&lt;&gt;"",VLOOKUP(G1019,base_barras,10,FALSE),"-"),"-")</f>
        <v>-</v>
      </c>
      <c r="M1019" s="317">
        <f>IF(L1019&lt;&gt;"-",VLOOKUP(L1019,precio_aislador,2,FALSE),0)</f>
        <v>0</v>
      </c>
      <c r="N1019" s="308">
        <f>(I1019*J1019*F1019+K1019*M1019)*E1019*1.67*1.25</f>
        <v>5.01</v>
      </c>
      <c r="O1019" s="288"/>
      <c r="P1019" s="297"/>
      <c r="Q1019" s="288"/>
      <c r="R1019" s="102"/>
      <c r="S1019" s="102"/>
      <c r="T1019" s="102"/>
    </row>
    <row r="1020" spans="1:20" s="199" customFormat="1" ht="15.75" customHeight="1">
      <c r="A1020" s="2648" t="s">
        <v>2481</v>
      </c>
      <c r="B1020" s="326" t="s">
        <v>1033</v>
      </c>
      <c r="C1020" s="329"/>
      <c r="D1020" s="328">
        <f>IF(H1020&lt;&gt;"",VLOOKUP(G1020,base_barras,IF(H1020="Desnuda",2,5)+F1020-1,FALSE),"-")</f>
        <v>573</v>
      </c>
      <c r="E1020" s="329">
        <v>3</v>
      </c>
      <c r="F1020" s="330">
        <v>1</v>
      </c>
      <c r="G1020" s="331" t="s">
        <v>314</v>
      </c>
      <c r="H1020" s="330" t="s">
        <v>1044</v>
      </c>
      <c r="I1020" s="332">
        <v>0.51</v>
      </c>
      <c r="J1020" s="333">
        <f>IF(G1020&lt;&gt;"",VLOOKUP(G1020,precio_barras,9,FALSE),0)</f>
        <v>26.6</v>
      </c>
      <c r="K1020" s="329">
        <v>2</v>
      </c>
      <c r="L1020" s="343" t="str">
        <f>IF(G1020&lt;&gt;"",IF(VLOOKUP(G1020,base_barras,10,FALSE)&lt;&gt;"",VLOOKUP(G1020,base_barras,10,FALSE),"-"),"-")</f>
        <v>1/750</v>
      </c>
      <c r="M1020" s="333">
        <f>IF(L1020&lt;&gt;"-",VLOOKUP(L1020,precio_aislador,2,FALSE),0)</f>
        <v>1.9</v>
      </c>
      <c r="N1020" s="360">
        <f>(I1020*J1020*F1020+K1020*M1020)*E1020*1.67*1.25</f>
        <v>108.75457499999999</v>
      </c>
      <c r="O1020" s="288"/>
      <c r="P1020" s="297"/>
      <c r="Q1020" s="288"/>
      <c r="R1020" s="102"/>
      <c r="S1020" s="102"/>
      <c r="T1020" s="102"/>
    </row>
    <row r="1021" spans="1:20" s="199" customFormat="1" ht="15.75" customHeight="1" thickBot="1">
      <c r="A1021" s="2649"/>
      <c r="B1021" s="310" t="s">
        <v>2482</v>
      </c>
      <c r="C1021" s="313"/>
      <c r="D1021" s="312">
        <f>IF(H1021&lt;&gt;"",VLOOKUP(G1021,base_barras,IF(H1021="Desnuda",2,5)+F1021-1,FALSE),"-")</f>
        <v>162</v>
      </c>
      <c r="E1021" s="313">
        <v>3</v>
      </c>
      <c r="F1021" s="314">
        <v>1</v>
      </c>
      <c r="G1021" s="315" t="s">
        <v>59</v>
      </c>
      <c r="H1021" s="655" t="s">
        <v>1044</v>
      </c>
      <c r="I1021" s="398">
        <v>0.2</v>
      </c>
      <c r="J1021" s="478">
        <f>IF(G1021&lt;&gt;"",VLOOKUP(G1021,precio_barras,9,FALSE),0)</f>
        <v>4</v>
      </c>
      <c r="K1021" s="313">
        <v>0</v>
      </c>
      <c r="L1021" s="318" t="str">
        <f>IF(G1021&lt;&gt;"",IF(VLOOKUP(G1021,base_barras,10,FALSE)&lt;&gt;"",VLOOKUP(G1021,base_barras,10,FALSE),"-"),"-")</f>
        <v>-</v>
      </c>
      <c r="M1021" s="317">
        <f>IF(L1021&lt;&gt;"-",VLOOKUP(L1021,precio_aislador,2,FALSE),0)</f>
        <v>0</v>
      </c>
      <c r="N1021" s="654">
        <f>(I1021*J1021*F1021+K1021*M1021)*E1021*1.67*1.25</f>
        <v>5.01</v>
      </c>
      <c r="O1021" s="288"/>
      <c r="P1021" s="297"/>
      <c r="Q1021" s="288"/>
      <c r="R1021" s="102"/>
      <c r="S1021" s="102"/>
      <c r="T1021" s="102"/>
    </row>
    <row r="1022" spans="1:20" s="129" customFormat="1" ht="22.5" customHeight="1" thickBot="1">
      <c r="A1022" s="371"/>
      <c r="B1022" s="375"/>
      <c r="C1022" s="375"/>
      <c r="D1022" s="383"/>
      <c r="E1022" s="373"/>
      <c r="F1022" s="373"/>
      <c r="G1022" s="373"/>
      <c r="H1022" s="373"/>
      <c r="I1022" s="374"/>
      <c r="J1022" s="374"/>
      <c r="K1022" s="373"/>
      <c r="L1022" s="373"/>
      <c r="M1022" s="372"/>
      <c r="N1022" s="741">
        <f>SUM(N1018:N1021)</f>
        <v>177.55439999999996</v>
      </c>
      <c r="O1022" s="288"/>
      <c r="P1022" s="297"/>
      <c r="Q1022" s="288"/>
      <c r="R1022" s="102"/>
      <c r="S1022" s="102"/>
      <c r="T1022" s="102"/>
    </row>
    <row r="1023" spans="1:20" s="102" customFormat="1" ht="13.5" thickBot="1">
      <c r="B1023" s="744"/>
      <c r="F1023" s="745"/>
      <c r="G1023" s="745"/>
      <c r="H1023" s="745"/>
      <c r="L1023" s="745"/>
      <c r="N1023" s="746"/>
      <c r="P1023" s="745"/>
      <c r="Q1023" s="745"/>
    </row>
    <row r="1024" spans="1:20" s="199" customFormat="1" ht="15.75" customHeight="1">
      <c r="A1024" s="2648" t="s">
        <v>2483</v>
      </c>
      <c r="B1024" s="326" t="s">
        <v>1033</v>
      </c>
      <c r="C1024" s="329"/>
      <c r="D1024" s="328">
        <f>IF(H1024&lt;&gt;"",VLOOKUP(G1024,base_barras,IF(H1024="Desnuda",2,5)+F1024-1,FALSE),"-")</f>
        <v>573</v>
      </c>
      <c r="E1024" s="329">
        <v>4</v>
      </c>
      <c r="F1024" s="330">
        <v>1</v>
      </c>
      <c r="G1024" s="331" t="s">
        <v>314</v>
      </c>
      <c r="H1024" s="330" t="s">
        <v>1044</v>
      </c>
      <c r="I1024" s="332">
        <v>0.21</v>
      </c>
      <c r="J1024" s="333">
        <f>IF(G1024&lt;&gt;"",VLOOKUP(G1024,precio_barras,9,FALSE),0)</f>
        <v>26.6</v>
      </c>
      <c r="K1024" s="329">
        <v>2</v>
      </c>
      <c r="L1024" s="343" t="str">
        <f>IF(G1024&lt;&gt;"",IF(VLOOKUP(G1024,base_barras,10,FALSE)&lt;&gt;"",VLOOKUP(G1024,base_barras,10,FALSE),"-"),"-")</f>
        <v>1/750</v>
      </c>
      <c r="M1024" s="333">
        <f>IF(L1024&lt;&gt;"-",VLOOKUP(L1024,precio_aislador,2,FALSE),0)</f>
        <v>1.9</v>
      </c>
      <c r="N1024" s="360">
        <f>(I1024*J1024*F1024+K1024*M1024)*E1024*1.67*1.25</f>
        <v>78.373099999999994</v>
      </c>
      <c r="O1024" s="288"/>
      <c r="P1024" s="297"/>
      <c r="Q1024" s="288"/>
      <c r="R1024" s="102"/>
      <c r="S1024" s="102"/>
      <c r="T1024" s="102"/>
    </row>
    <row r="1025" spans="1:20" s="199" customFormat="1" ht="15.75" customHeight="1" thickBot="1">
      <c r="A1025" s="2649"/>
      <c r="B1025" s="310" t="s">
        <v>2482</v>
      </c>
      <c r="C1025" s="313"/>
      <c r="D1025" s="312">
        <f>IF(H1025&lt;&gt;"",VLOOKUP(G1025,base_barras,IF(H1025="Desnuda",2,5)+F1025-1,FALSE),"-")</f>
        <v>162</v>
      </c>
      <c r="E1025" s="313">
        <v>4</v>
      </c>
      <c r="F1025" s="314">
        <v>1</v>
      </c>
      <c r="G1025" s="315" t="s">
        <v>59</v>
      </c>
      <c r="H1025" s="655" t="s">
        <v>1044</v>
      </c>
      <c r="I1025" s="398">
        <v>0.2</v>
      </c>
      <c r="J1025" s="478">
        <f>IF(G1025&lt;&gt;"",VLOOKUP(G1025,precio_barras,9,FALSE),0)</f>
        <v>4</v>
      </c>
      <c r="K1025" s="313">
        <v>0</v>
      </c>
      <c r="L1025" s="318" t="str">
        <f>IF(G1025&lt;&gt;"",IF(VLOOKUP(G1025,base_barras,10,FALSE)&lt;&gt;"",VLOOKUP(G1025,base_barras,10,FALSE),"-"),"-")</f>
        <v>-</v>
      </c>
      <c r="M1025" s="317">
        <f>IF(L1025&lt;&gt;"-",VLOOKUP(L1025,precio_aislador,2,FALSE),0)</f>
        <v>0</v>
      </c>
      <c r="N1025" s="308">
        <f>(I1025*J1025*F1025+K1025*M1025)*E1025*1.67*1.25</f>
        <v>6.6800000000000006</v>
      </c>
      <c r="O1025" s="288"/>
      <c r="P1025" s="297"/>
      <c r="Q1025" s="288"/>
      <c r="R1025" s="102"/>
      <c r="S1025" s="102"/>
      <c r="T1025" s="102"/>
    </row>
    <row r="1026" spans="1:20" s="199" customFormat="1" ht="15.75" customHeight="1">
      <c r="A1026" s="2648" t="s">
        <v>2481</v>
      </c>
      <c r="B1026" s="326" t="s">
        <v>1033</v>
      </c>
      <c r="C1026" s="329"/>
      <c r="D1026" s="328">
        <f>IF(H1026&lt;&gt;"",VLOOKUP(G1026,base_barras,IF(H1026="Desnuda",2,5)+F1026-1,FALSE),"-")</f>
        <v>573</v>
      </c>
      <c r="E1026" s="329">
        <v>4</v>
      </c>
      <c r="F1026" s="330">
        <v>1</v>
      </c>
      <c r="G1026" s="331" t="s">
        <v>314</v>
      </c>
      <c r="H1026" s="330" t="s">
        <v>1044</v>
      </c>
      <c r="I1026" s="332">
        <v>0.51</v>
      </c>
      <c r="J1026" s="333">
        <f>IF(G1026&lt;&gt;"",VLOOKUP(G1026,precio_barras,9,FALSE),0)</f>
        <v>26.6</v>
      </c>
      <c r="K1026" s="329">
        <v>2</v>
      </c>
      <c r="L1026" s="343" t="str">
        <f>IF(G1026&lt;&gt;"",IF(VLOOKUP(G1026,base_barras,10,FALSE)&lt;&gt;"",VLOOKUP(G1026,base_barras,10,FALSE),"-"),"-")</f>
        <v>1/750</v>
      </c>
      <c r="M1026" s="333">
        <f>IF(L1026&lt;&gt;"-",VLOOKUP(L1026,precio_aislador,2,FALSE),0)</f>
        <v>1.9</v>
      </c>
      <c r="N1026" s="360">
        <f>(I1026*J1026*F1026+K1026*M1026)*E1026*1.67*1.25</f>
        <v>145.00609999999998</v>
      </c>
      <c r="O1026" s="288"/>
      <c r="P1026" s="297"/>
      <c r="Q1026" s="288"/>
      <c r="R1026" s="102"/>
      <c r="S1026" s="102"/>
      <c r="T1026" s="102"/>
    </row>
    <row r="1027" spans="1:20" s="199" customFormat="1" ht="15.75" customHeight="1" thickBot="1">
      <c r="A1027" s="2649"/>
      <c r="B1027" s="310" t="s">
        <v>2482</v>
      </c>
      <c r="C1027" s="313"/>
      <c r="D1027" s="312">
        <f>IF(H1027&lt;&gt;"",VLOOKUP(G1027,base_barras,IF(H1027="Desnuda",2,5)+F1027-1,FALSE),"-")</f>
        <v>162</v>
      </c>
      <c r="E1027" s="313">
        <v>4</v>
      </c>
      <c r="F1027" s="314">
        <v>1</v>
      </c>
      <c r="G1027" s="315" t="s">
        <v>59</v>
      </c>
      <c r="H1027" s="655" t="s">
        <v>1044</v>
      </c>
      <c r="I1027" s="398">
        <v>0.2</v>
      </c>
      <c r="J1027" s="478">
        <f>IF(G1027&lt;&gt;"",VLOOKUP(G1027,precio_barras,9,FALSE),0)</f>
        <v>4</v>
      </c>
      <c r="K1027" s="313">
        <v>0</v>
      </c>
      <c r="L1027" s="318" t="str">
        <f>IF(G1027&lt;&gt;"",IF(VLOOKUP(G1027,base_barras,10,FALSE)&lt;&gt;"",VLOOKUP(G1027,base_barras,10,FALSE),"-"),"-")</f>
        <v>-</v>
      </c>
      <c r="M1027" s="317">
        <f>IF(L1027&lt;&gt;"-",VLOOKUP(L1027,precio_aislador,2,FALSE),0)</f>
        <v>0</v>
      </c>
      <c r="N1027" s="654">
        <f>(I1027*J1027*F1027+K1027*M1027)*E1027*1.67*1.25</f>
        <v>6.6800000000000006</v>
      </c>
      <c r="O1027" s="288"/>
      <c r="P1027" s="297"/>
      <c r="Q1027" s="288"/>
      <c r="R1027" s="102"/>
      <c r="S1027" s="102"/>
      <c r="T1027" s="102"/>
    </row>
    <row r="1028" spans="1:20" s="129" customFormat="1" ht="22.5" customHeight="1" thickBot="1">
      <c r="A1028" s="371"/>
      <c r="B1028" s="375"/>
      <c r="C1028" s="375"/>
      <c r="D1028" s="383"/>
      <c r="E1028" s="373"/>
      <c r="F1028" s="373"/>
      <c r="G1028" s="373"/>
      <c r="H1028" s="373"/>
      <c r="I1028" s="374"/>
      <c r="J1028" s="374"/>
      <c r="K1028" s="373"/>
      <c r="L1028" s="373"/>
      <c r="M1028" s="372"/>
      <c r="N1028" s="741">
        <f>SUM(N1024:N1027)</f>
        <v>236.73919999999998</v>
      </c>
      <c r="O1028" s="288"/>
      <c r="P1028" s="297"/>
      <c r="Q1028" s="288"/>
      <c r="R1028" s="102"/>
      <c r="S1028" s="102"/>
      <c r="T1028" s="102"/>
    </row>
    <row r="1029" spans="1:20" s="129" customFormat="1" ht="22.5" customHeight="1">
      <c r="A1029" s="323"/>
      <c r="B1029" s="309"/>
      <c r="C1029" s="309"/>
      <c r="D1029" s="382"/>
      <c r="E1029" s="323"/>
      <c r="F1029" s="323"/>
      <c r="G1029" s="323"/>
      <c r="H1029" s="323"/>
      <c r="I1029" s="325"/>
      <c r="J1029" s="325"/>
      <c r="K1029" s="323"/>
      <c r="L1029" s="323"/>
      <c r="M1029" s="325"/>
      <c r="N1029" s="722"/>
      <c r="O1029" s="288"/>
      <c r="P1029" s="297"/>
      <c r="Q1029" s="288"/>
      <c r="R1029" s="102"/>
      <c r="S1029" s="102"/>
      <c r="T1029" s="102"/>
    </row>
    <row r="1030" spans="1:20" s="129" customFormat="1" ht="22.5" customHeight="1">
      <c r="A1030" s="323"/>
      <c r="B1030" s="309"/>
      <c r="C1030" s="309"/>
      <c r="D1030" s="382"/>
      <c r="E1030" s="323"/>
      <c r="F1030" s="323"/>
      <c r="G1030" s="323"/>
      <c r="H1030" s="323"/>
      <c r="I1030" s="325"/>
      <c r="J1030" s="325"/>
      <c r="K1030" s="323"/>
      <c r="L1030" s="323"/>
      <c r="M1030" s="325"/>
      <c r="N1030" s="722"/>
      <c r="O1030" s="288"/>
      <c r="P1030" s="297"/>
      <c r="Q1030" s="288"/>
      <c r="R1030" s="102"/>
      <c r="S1030" s="102"/>
      <c r="T1030" s="102"/>
    </row>
    <row r="1031" spans="1:20" s="102" customFormat="1" ht="13.5" thickBot="1">
      <c r="B1031" s="744"/>
      <c r="F1031" s="745"/>
      <c r="G1031" s="745"/>
      <c r="H1031" s="745"/>
      <c r="L1031" s="745"/>
      <c r="N1031" s="746"/>
      <c r="P1031" s="745"/>
      <c r="Q1031" s="745"/>
    </row>
    <row r="1032" spans="1:20" s="199" customFormat="1" ht="15.75" customHeight="1">
      <c r="A1032" s="2648" t="s">
        <v>2484</v>
      </c>
      <c r="B1032" s="326" t="s">
        <v>1033</v>
      </c>
      <c r="C1032" s="329"/>
      <c r="D1032" s="328">
        <f>IF(H1032&lt;&gt;"",VLOOKUP(G1032,base_barras,IF(H1032="Desnuda",2,5)+F1032-1,FALSE),"-")</f>
        <v>985</v>
      </c>
      <c r="E1032" s="329">
        <v>3</v>
      </c>
      <c r="F1032" s="330">
        <v>1</v>
      </c>
      <c r="G1032" s="331" t="s">
        <v>581</v>
      </c>
      <c r="H1032" s="330" t="s">
        <v>1044</v>
      </c>
      <c r="I1032" s="332">
        <v>0.21</v>
      </c>
      <c r="J1032" s="333">
        <f>IF(G1032&lt;&gt;"",VLOOKUP(G1032,precio_barras,9,FALSE),0)</f>
        <v>53.3</v>
      </c>
      <c r="K1032" s="329">
        <v>2</v>
      </c>
      <c r="L1032" s="343" t="str">
        <f>IF(G1032&lt;&gt;"",IF(VLOOKUP(G1032,base_barras,10,FALSE)&lt;&gt;"",VLOOKUP(G1032,base_barras,10,FALSE),"-"),"-")</f>
        <v>1/750</v>
      </c>
      <c r="M1032" s="333">
        <f>IF(L1032&lt;&gt;"-",VLOOKUP(L1032,precio_aislador,2,FALSE),0)</f>
        <v>1.9</v>
      </c>
      <c r="N1032" s="360">
        <f>(I1032*J1032*F1032+K1032*M1032)*E1032*1.67*1.25</f>
        <v>93.893662500000005</v>
      </c>
      <c r="O1032" s="288"/>
      <c r="P1032" s="297"/>
      <c r="Q1032" s="288"/>
      <c r="R1032" s="102"/>
      <c r="S1032" s="102"/>
      <c r="T1032" s="102"/>
    </row>
    <row r="1033" spans="1:20" s="199" customFormat="1" ht="15.75" customHeight="1" thickBot="1">
      <c r="A1033" s="2649"/>
      <c r="B1033" s="310" t="s">
        <v>2482</v>
      </c>
      <c r="C1033" s="313"/>
      <c r="D1033" s="312">
        <f>IF(H1033&lt;&gt;"",VLOOKUP(G1033,base_barras,IF(H1033="Desnuda",2,5)+F1033-1,FALSE),"-")</f>
        <v>162</v>
      </c>
      <c r="E1033" s="313">
        <v>3</v>
      </c>
      <c r="F1033" s="314">
        <v>1</v>
      </c>
      <c r="G1033" s="315" t="s">
        <v>59</v>
      </c>
      <c r="H1033" s="655" t="s">
        <v>1044</v>
      </c>
      <c r="I1033" s="398">
        <v>0.2</v>
      </c>
      <c r="J1033" s="478">
        <f>IF(G1033&lt;&gt;"",VLOOKUP(G1033,precio_barras,9,FALSE),0)</f>
        <v>4</v>
      </c>
      <c r="K1033" s="313">
        <v>0</v>
      </c>
      <c r="L1033" s="318" t="str">
        <f>IF(G1033&lt;&gt;"",IF(VLOOKUP(G1033,base_barras,10,FALSE)&lt;&gt;"",VLOOKUP(G1033,base_barras,10,FALSE),"-"),"-")</f>
        <v>-</v>
      </c>
      <c r="M1033" s="317">
        <f>IF(L1033&lt;&gt;"-",VLOOKUP(L1033,precio_aislador,2,FALSE),0)</f>
        <v>0</v>
      </c>
      <c r="N1033" s="308">
        <f>(I1033*J1033*F1033+K1033*M1033)*E1033*1.67*1.25</f>
        <v>5.01</v>
      </c>
      <c r="O1033" s="288"/>
      <c r="P1033" s="297"/>
      <c r="Q1033" s="288"/>
      <c r="R1033" s="102"/>
      <c r="S1033" s="102"/>
      <c r="T1033" s="102"/>
    </row>
    <row r="1034" spans="1:20" s="199" customFormat="1" ht="15.75" customHeight="1">
      <c r="A1034" s="2648" t="s">
        <v>2485</v>
      </c>
      <c r="B1034" s="326" t="s">
        <v>1033</v>
      </c>
      <c r="C1034" s="329"/>
      <c r="D1034" s="328">
        <f>IF(H1034&lt;&gt;"",VLOOKUP(G1034,base_barras,IF(H1034="Desnuda",2,5)+F1034-1,FALSE),"-")</f>
        <v>985</v>
      </c>
      <c r="E1034" s="329">
        <v>3</v>
      </c>
      <c r="F1034" s="330">
        <v>1</v>
      </c>
      <c r="G1034" s="331" t="s">
        <v>581</v>
      </c>
      <c r="H1034" s="330" t="s">
        <v>1044</v>
      </c>
      <c r="I1034" s="332">
        <v>0.51</v>
      </c>
      <c r="J1034" s="333">
        <f>IF(G1034&lt;&gt;"",VLOOKUP(G1034,precio_barras,9,FALSE),0)</f>
        <v>53.3</v>
      </c>
      <c r="K1034" s="329">
        <v>2</v>
      </c>
      <c r="L1034" s="343" t="str">
        <f>IF(G1034&lt;&gt;"",IF(VLOOKUP(G1034,base_barras,10,FALSE)&lt;&gt;"",VLOOKUP(G1034,base_barras,10,FALSE),"-"),"-")</f>
        <v>1/750</v>
      </c>
      <c r="M1034" s="333">
        <f>IF(L1034&lt;&gt;"-",VLOOKUP(L1034,precio_aislador,2,FALSE),0)</f>
        <v>1.9</v>
      </c>
      <c r="N1034" s="360">
        <f>(I1034*J1034*F1034+K1034*M1034)*E1034*1.67*1.25</f>
        <v>194.0310375</v>
      </c>
      <c r="O1034" s="288"/>
      <c r="P1034" s="297"/>
      <c r="Q1034" s="288"/>
      <c r="R1034" s="102"/>
      <c r="S1034" s="102"/>
      <c r="T1034" s="102"/>
    </row>
    <row r="1035" spans="1:20" s="199" customFormat="1" ht="15.75" customHeight="1" thickBot="1">
      <c r="A1035" s="2649"/>
      <c r="B1035" s="310" t="s">
        <v>2482</v>
      </c>
      <c r="C1035" s="313"/>
      <c r="D1035" s="312">
        <f>IF(H1035&lt;&gt;"",VLOOKUP(G1035,base_barras,IF(H1035="Desnuda",2,5)+F1035-1,FALSE),"-")</f>
        <v>162</v>
      </c>
      <c r="E1035" s="313">
        <v>3</v>
      </c>
      <c r="F1035" s="314">
        <v>1</v>
      </c>
      <c r="G1035" s="315" t="s">
        <v>59</v>
      </c>
      <c r="H1035" s="655" t="s">
        <v>1044</v>
      </c>
      <c r="I1035" s="398">
        <v>0.2</v>
      </c>
      <c r="J1035" s="478">
        <f>IF(G1035&lt;&gt;"",VLOOKUP(G1035,precio_barras,9,FALSE),0)</f>
        <v>4</v>
      </c>
      <c r="K1035" s="313">
        <v>0</v>
      </c>
      <c r="L1035" s="318" t="str">
        <f>IF(G1035&lt;&gt;"",IF(VLOOKUP(G1035,base_barras,10,FALSE)&lt;&gt;"",VLOOKUP(G1035,base_barras,10,FALSE),"-"),"-")</f>
        <v>-</v>
      </c>
      <c r="M1035" s="317">
        <f>IF(L1035&lt;&gt;"-",VLOOKUP(L1035,precio_aislador,2,FALSE),0)</f>
        <v>0</v>
      </c>
      <c r="N1035" s="654">
        <f>(I1035*J1035*F1035+K1035*M1035)*E1035*1.67*1.25</f>
        <v>5.01</v>
      </c>
      <c r="O1035" s="288"/>
      <c r="P1035" s="297"/>
      <c r="Q1035" s="288"/>
      <c r="R1035" s="102"/>
      <c r="S1035" s="102"/>
      <c r="T1035" s="102"/>
    </row>
    <row r="1036" spans="1:20" s="129" customFormat="1" ht="22.5" customHeight="1" thickBot="1">
      <c r="A1036" s="371"/>
      <c r="B1036" s="375"/>
      <c r="C1036" s="375"/>
      <c r="D1036" s="383"/>
      <c r="E1036" s="373"/>
      <c r="F1036" s="373"/>
      <c r="G1036" s="373"/>
      <c r="H1036" s="373"/>
      <c r="I1036" s="374"/>
      <c r="J1036" s="374"/>
      <c r="K1036" s="373"/>
      <c r="L1036" s="373"/>
      <c r="M1036" s="372"/>
      <c r="N1036" s="741">
        <f>SUM(N1032:N1035)</f>
        <v>297.94470000000001</v>
      </c>
      <c r="O1036" s="288"/>
      <c r="P1036" s="297"/>
      <c r="Q1036" s="288"/>
      <c r="R1036" s="102"/>
      <c r="S1036" s="102"/>
      <c r="T1036" s="102"/>
    </row>
    <row r="1037" spans="1:20" s="102" customFormat="1" ht="13.5" thickBot="1">
      <c r="B1037" s="744"/>
      <c r="F1037" s="745"/>
      <c r="G1037" s="745"/>
      <c r="H1037" s="745"/>
      <c r="L1037" s="745"/>
      <c r="N1037" s="746"/>
      <c r="P1037" s="745"/>
      <c r="Q1037" s="745"/>
    </row>
    <row r="1038" spans="1:20" s="199" customFormat="1" ht="15.75" customHeight="1">
      <c r="A1038" s="2648" t="s">
        <v>2484</v>
      </c>
      <c r="B1038" s="326" t="s">
        <v>1033</v>
      </c>
      <c r="C1038" s="329"/>
      <c r="D1038" s="328">
        <f>IF(H1038&lt;&gt;"",VLOOKUP(G1038,base_barras,IF(H1038="Desnuda",2,5)+F1038-1,FALSE),"-")</f>
        <v>985</v>
      </c>
      <c r="E1038" s="329">
        <v>4</v>
      </c>
      <c r="F1038" s="330">
        <v>1</v>
      </c>
      <c r="G1038" s="331" t="s">
        <v>581</v>
      </c>
      <c r="H1038" s="330" t="s">
        <v>1044</v>
      </c>
      <c r="I1038" s="332">
        <v>0.21</v>
      </c>
      <c r="J1038" s="333">
        <f>IF(G1038&lt;&gt;"",VLOOKUP(G1038,precio_barras,9,FALSE),0)</f>
        <v>53.3</v>
      </c>
      <c r="K1038" s="329">
        <v>2</v>
      </c>
      <c r="L1038" s="343" t="str">
        <f>IF(G1038&lt;&gt;"",IF(VLOOKUP(G1038,base_barras,10,FALSE)&lt;&gt;"",VLOOKUP(G1038,base_barras,10,FALSE),"-"),"-")</f>
        <v>1/750</v>
      </c>
      <c r="M1038" s="333">
        <f>IF(L1038&lt;&gt;"-",VLOOKUP(L1038,precio_aislador,2,FALSE),0)</f>
        <v>1.9</v>
      </c>
      <c r="N1038" s="360">
        <f>(I1038*J1038*F1038+K1038*M1038)*E1038*1.67*1.25</f>
        <v>125.19154999999998</v>
      </c>
      <c r="O1038" s="288"/>
      <c r="P1038" s="297"/>
      <c r="Q1038" s="288"/>
      <c r="R1038" s="102"/>
      <c r="S1038" s="102"/>
      <c r="T1038" s="102"/>
    </row>
    <row r="1039" spans="1:20" s="199" customFormat="1" ht="15.75" customHeight="1" thickBot="1">
      <c r="A1039" s="2649"/>
      <c r="B1039" s="310" t="s">
        <v>2482</v>
      </c>
      <c r="C1039" s="313"/>
      <c r="D1039" s="312">
        <f>IF(H1039&lt;&gt;"",VLOOKUP(G1039,base_barras,IF(H1039="Desnuda",2,5)+F1039-1,FALSE),"-")</f>
        <v>162</v>
      </c>
      <c r="E1039" s="313">
        <v>4</v>
      </c>
      <c r="F1039" s="314">
        <v>1</v>
      </c>
      <c r="G1039" s="315" t="s">
        <v>59</v>
      </c>
      <c r="H1039" s="655" t="s">
        <v>1044</v>
      </c>
      <c r="I1039" s="398">
        <v>0.2</v>
      </c>
      <c r="J1039" s="478">
        <f>IF(G1039&lt;&gt;"",VLOOKUP(G1039,precio_barras,9,FALSE),0)</f>
        <v>4</v>
      </c>
      <c r="K1039" s="313">
        <v>0</v>
      </c>
      <c r="L1039" s="318" t="str">
        <f>IF(G1039&lt;&gt;"",IF(VLOOKUP(G1039,base_barras,10,FALSE)&lt;&gt;"",VLOOKUP(G1039,base_barras,10,FALSE),"-"),"-")</f>
        <v>-</v>
      </c>
      <c r="M1039" s="317">
        <f>IF(L1039&lt;&gt;"-",VLOOKUP(L1039,precio_aislador,2,FALSE),0)</f>
        <v>0</v>
      </c>
      <c r="N1039" s="308">
        <f>(I1039*J1039*F1039+K1039*M1039)*E1039*1.67*1.25</f>
        <v>6.6800000000000006</v>
      </c>
      <c r="O1039" s="288"/>
      <c r="P1039" s="297"/>
      <c r="Q1039" s="288"/>
      <c r="R1039" s="102"/>
      <c r="S1039" s="102"/>
      <c r="T1039" s="102"/>
    </row>
    <row r="1040" spans="1:20" s="199" customFormat="1" ht="15.75" customHeight="1">
      <c r="A1040" s="2648" t="s">
        <v>2485</v>
      </c>
      <c r="B1040" s="326" t="s">
        <v>1033</v>
      </c>
      <c r="C1040" s="329"/>
      <c r="D1040" s="328">
        <f>IF(H1040&lt;&gt;"",VLOOKUP(G1040,base_barras,IF(H1040="Desnuda",2,5)+F1040-1,FALSE),"-")</f>
        <v>985</v>
      </c>
      <c r="E1040" s="329">
        <v>4</v>
      </c>
      <c r="F1040" s="330">
        <v>1</v>
      </c>
      <c r="G1040" s="331" t="s">
        <v>581</v>
      </c>
      <c r="H1040" s="330" t="s">
        <v>1044</v>
      </c>
      <c r="I1040" s="332">
        <v>0.51</v>
      </c>
      <c r="J1040" s="333">
        <f>IF(G1040&lt;&gt;"",VLOOKUP(G1040,precio_barras,9,FALSE),0)</f>
        <v>53.3</v>
      </c>
      <c r="K1040" s="329">
        <v>2</v>
      </c>
      <c r="L1040" s="343" t="str">
        <f>IF(G1040&lt;&gt;"",IF(VLOOKUP(G1040,base_barras,10,FALSE)&lt;&gt;"",VLOOKUP(G1040,base_barras,10,FALSE),"-"),"-")</f>
        <v>1/750</v>
      </c>
      <c r="M1040" s="333">
        <f>IF(L1040&lt;&gt;"-",VLOOKUP(L1040,precio_aislador,2,FALSE),0)</f>
        <v>1.9</v>
      </c>
      <c r="N1040" s="360">
        <f>(I1040*J1040*F1040+K1040*M1040)*E1040*1.67*1.25</f>
        <v>258.70805000000001</v>
      </c>
      <c r="O1040" s="288"/>
      <c r="P1040" s="297"/>
      <c r="Q1040" s="288"/>
      <c r="R1040" s="102"/>
      <c r="S1040" s="102"/>
      <c r="T1040" s="102"/>
    </row>
    <row r="1041" spans="1:20" s="199" customFormat="1" ht="15.75" customHeight="1" thickBot="1">
      <c r="A1041" s="2649"/>
      <c r="B1041" s="310" t="s">
        <v>2482</v>
      </c>
      <c r="C1041" s="313"/>
      <c r="D1041" s="312">
        <f>IF(H1041&lt;&gt;"",VLOOKUP(G1041,base_barras,IF(H1041="Desnuda",2,5)+F1041-1,FALSE),"-")</f>
        <v>162</v>
      </c>
      <c r="E1041" s="313">
        <v>4</v>
      </c>
      <c r="F1041" s="314">
        <v>1</v>
      </c>
      <c r="G1041" s="315" t="s">
        <v>59</v>
      </c>
      <c r="H1041" s="655" t="s">
        <v>1044</v>
      </c>
      <c r="I1041" s="398">
        <v>0.2</v>
      </c>
      <c r="J1041" s="478">
        <f>IF(G1041&lt;&gt;"",VLOOKUP(G1041,precio_barras,9,FALSE),0)</f>
        <v>4</v>
      </c>
      <c r="K1041" s="313">
        <v>0</v>
      </c>
      <c r="L1041" s="318" t="str">
        <f>IF(G1041&lt;&gt;"",IF(VLOOKUP(G1041,base_barras,10,FALSE)&lt;&gt;"",VLOOKUP(G1041,base_barras,10,FALSE),"-"),"-")</f>
        <v>-</v>
      </c>
      <c r="M1041" s="317">
        <f>IF(L1041&lt;&gt;"-",VLOOKUP(L1041,precio_aislador,2,FALSE),0)</f>
        <v>0</v>
      </c>
      <c r="N1041" s="654">
        <f>(I1041*J1041*F1041+K1041*M1041)*E1041*1.67*1.25</f>
        <v>6.6800000000000006</v>
      </c>
      <c r="O1041" s="288"/>
      <c r="P1041" s="297"/>
      <c r="Q1041" s="288"/>
      <c r="R1041" s="102"/>
      <c r="S1041" s="102"/>
      <c r="T1041" s="102"/>
    </row>
    <row r="1042" spans="1:20" s="129" customFormat="1" ht="22.5" customHeight="1" thickBot="1">
      <c r="A1042" s="371"/>
      <c r="B1042" s="375"/>
      <c r="C1042" s="375"/>
      <c r="D1042" s="383"/>
      <c r="E1042" s="373"/>
      <c r="F1042" s="373"/>
      <c r="G1042" s="373"/>
      <c r="H1042" s="373"/>
      <c r="I1042" s="374"/>
      <c r="J1042" s="374"/>
      <c r="K1042" s="373"/>
      <c r="L1042" s="373"/>
      <c r="M1042" s="372"/>
      <c r="N1042" s="741">
        <f>SUM(N1038:N1041)</f>
        <v>397.25960000000003</v>
      </c>
      <c r="O1042" s="288"/>
      <c r="P1042" s="297"/>
      <c r="Q1042" s="288"/>
      <c r="R1042" s="102"/>
      <c r="S1042" s="102"/>
      <c r="T1042" s="102"/>
    </row>
    <row r="1043" spans="1:20" s="102" customFormat="1">
      <c r="B1043" s="744"/>
      <c r="F1043" s="745"/>
      <c r="G1043" s="745"/>
      <c r="H1043" s="745"/>
      <c r="L1043" s="745"/>
      <c r="N1043" s="746"/>
      <c r="P1043" s="745"/>
      <c r="Q1043" s="745"/>
    </row>
    <row r="1044" spans="1:20" s="102" customFormat="1">
      <c r="B1044" s="744"/>
      <c r="F1044" s="745"/>
      <c r="G1044" s="745"/>
      <c r="H1044" s="745"/>
      <c r="L1044" s="745"/>
      <c r="N1044" s="746"/>
      <c r="P1044" s="745"/>
      <c r="Q1044" s="745"/>
    </row>
    <row r="1045" spans="1:20" s="102" customFormat="1">
      <c r="B1045" s="744"/>
      <c r="F1045" s="745"/>
      <c r="G1045" s="745"/>
      <c r="H1045" s="745"/>
      <c r="L1045" s="745"/>
      <c r="N1045" s="746"/>
      <c r="P1045" s="745"/>
      <c r="Q1045" s="745"/>
    </row>
    <row r="1046" spans="1:20" s="102" customFormat="1">
      <c r="B1046" s="744"/>
      <c r="F1046" s="745"/>
      <c r="G1046" s="745"/>
      <c r="H1046" s="745"/>
      <c r="L1046" s="745"/>
      <c r="N1046" s="746"/>
      <c r="P1046" s="745"/>
      <c r="Q1046" s="745"/>
    </row>
    <row r="1047" spans="1:20" s="102" customFormat="1">
      <c r="B1047" s="744"/>
      <c r="F1047" s="745"/>
      <c r="G1047" s="745"/>
      <c r="H1047" s="745"/>
      <c r="L1047" s="745"/>
      <c r="N1047" s="746"/>
      <c r="P1047" s="745"/>
      <c r="Q1047" s="745"/>
    </row>
    <row r="1048" spans="1:20" s="102" customFormat="1" ht="13.5" thickBot="1">
      <c r="B1048" s="744"/>
      <c r="F1048" s="745"/>
      <c r="G1048" s="745"/>
      <c r="H1048" s="745"/>
      <c r="L1048" s="745"/>
      <c r="N1048" s="746"/>
      <c r="P1048" s="745"/>
      <c r="Q1048" s="745"/>
    </row>
    <row r="1049" spans="1:20" s="199" customFormat="1" ht="15.75" customHeight="1">
      <c r="A1049" s="2648" t="s">
        <v>2486</v>
      </c>
      <c r="B1049" s="326" t="s">
        <v>1033</v>
      </c>
      <c r="C1049" s="329"/>
      <c r="D1049" s="328">
        <f>IF(H1049&lt;&gt;"",VLOOKUP(G1049,base_barras,IF(H1049="Desnuda",2,5)+F1049-1,FALSE),"-")</f>
        <v>573</v>
      </c>
      <c r="E1049" s="329">
        <v>3</v>
      </c>
      <c r="F1049" s="330">
        <v>1</v>
      </c>
      <c r="G1049" s="331" t="s">
        <v>314</v>
      </c>
      <c r="H1049" s="330" t="s">
        <v>1044</v>
      </c>
      <c r="I1049" s="332">
        <v>0.24</v>
      </c>
      <c r="J1049" s="333">
        <f>IF(G1049&lt;&gt;"",VLOOKUP(G1049,precio_barras,9,FALSE),0)</f>
        <v>26.6</v>
      </c>
      <c r="K1049" s="329">
        <v>2</v>
      </c>
      <c r="L1049" s="343" t="str">
        <f>IF(G1049&lt;&gt;"",IF(VLOOKUP(G1049,base_barras,10,FALSE)&lt;&gt;"",VLOOKUP(G1049,base_barras,10,FALSE),"-"),"-")</f>
        <v>1/750</v>
      </c>
      <c r="M1049" s="333">
        <f>IF(L1049&lt;&gt;"-",VLOOKUP(L1049,precio_aislador,2,FALSE),0)</f>
        <v>1.9</v>
      </c>
      <c r="N1049" s="360">
        <f>(I1049*J1049*F1049+K1049*M1049)*E1049*1.67*1.25</f>
        <v>63.777300000000004</v>
      </c>
      <c r="O1049" s="288"/>
      <c r="P1049" s="297"/>
      <c r="Q1049" s="288"/>
      <c r="R1049" s="102"/>
      <c r="S1049" s="102"/>
      <c r="T1049" s="102"/>
    </row>
    <row r="1050" spans="1:20" s="199" customFormat="1" ht="15.75" customHeight="1" thickBot="1">
      <c r="A1050" s="2649"/>
      <c r="B1050" s="310" t="s">
        <v>2482</v>
      </c>
      <c r="C1050" s="313"/>
      <c r="D1050" s="312">
        <f>IF(H1050&lt;&gt;"",VLOOKUP(G1050,base_barras,IF(H1050="Desnuda",2,5)+F1050-1,FALSE),"-")</f>
        <v>204</v>
      </c>
      <c r="E1050" s="313">
        <v>3</v>
      </c>
      <c r="F1050" s="314">
        <v>1</v>
      </c>
      <c r="G1050" s="315" t="s">
        <v>60</v>
      </c>
      <c r="H1050" s="655" t="s">
        <v>1044</v>
      </c>
      <c r="I1050" s="398">
        <v>0.2</v>
      </c>
      <c r="J1050" s="478">
        <f>IF(G1050&lt;&gt;"",VLOOKUP(G1050,precio_barras,9,FALSE),0)</f>
        <v>5.3000000000000007</v>
      </c>
      <c r="K1050" s="313">
        <v>0</v>
      </c>
      <c r="L1050" s="318" t="str">
        <f>IF(G1050&lt;&gt;"",IF(VLOOKUP(G1050,base_barras,10,FALSE)&lt;&gt;"",VLOOKUP(G1050,base_barras,10,FALSE),"-"),"-")</f>
        <v>-</v>
      </c>
      <c r="M1050" s="317">
        <f>IF(L1050&lt;&gt;"-",VLOOKUP(L1050,precio_aislador,2,FALSE),0)</f>
        <v>0</v>
      </c>
      <c r="N1050" s="308">
        <f>(I1050*J1050*F1050+K1050*M1050)*E1050*1.67*1.25</f>
        <v>6.6382500000000011</v>
      </c>
      <c r="O1050" s="288"/>
      <c r="P1050" s="297"/>
      <c r="Q1050" s="288"/>
      <c r="R1050" s="102"/>
      <c r="S1050" s="102"/>
      <c r="T1050" s="102"/>
    </row>
    <row r="1051" spans="1:20" s="199" customFormat="1" ht="15.75" customHeight="1">
      <c r="A1051" s="2648" t="s">
        <v>2487</v>
      </c>
      <c r="B1051" s="326" t="s">
        <v>1033</v>
      </c>
      <c r="C1051" s="329"/>
      <c r="D1051" s="328">
        <f>IF(H1051&lt;&gt;"",VLOOKUP(G1051,base_barras,IF(H1051="Desnuda",2,5)+F1051-1,FALSE),"-")</f>
        <v>573</v>
      </c>
      <c r="E1051" s="329">
        <v>3</v>
      </c>
      <c r="F1051" s="330">
        <v>1</v>
      </c>
      <c r="G1051" s="331" t="s">
        <v>314</v>
      </c>
      <c r="H1051" s="330" t="s">
        <v>1044</v>
      </c>
      <c r="I1051" s="332">
        <v>0.66</v>
      </c>
      <c r="J1051" s="333">
        <f>IF(G1051&lt;&gt;"",VLOOKUP(G1051,precio_barras,9,FALSE),0)</f>
        <v>26.6</v>
      </c>
      <c r="K1051" s="329">
        <v>2</v>
      </c>
      <c r="L1051" s="343" t="str">
        <f>IF(G1051&lt;&gt;"",IF(VLOOKUP(G1051,base_barras,10,FALSE)&lt;&gt;"",VLOOKUP(G1051,base_barras,10,FALSE),"-"),"-")</f>
        <v>1/750</v>
      </c>
      <c r="M1051" s="333">
        <f>IF(L1051&lt;&gt;"-",VLOOKUP(L1051,precio_aislador,2,FALSE),0)</f>
        <v>1.9</v>
      </c>
      <c r="N1051" s="360">
        <f>(I1051*J1051*F1051+K1051*M1051)*E1051*1.67*1.25</f>
        <v>133.74195000000003</v>
      </c>
      <c r="O1051" s="288"/>
      <c r="P1051" s="297"/>
      <c r="Q1051" s="288"/>
      <c r="R1051" s="102"/>
      <c r="S1051" s="102"/>
      <c r="T1051" s="102"/>
    </row>
    <row r="1052" spans="1:20" s="199" customFormat="1" ht="15.75" customHeight="1" thickBot="1">
      <c r="A1052" s="2649"/>
      <c r="B1052" s="310" t="s">
        <v>2482</v>
      </c>
      <c r="C1052" s="313"/>
      <c r="D1052" s="312">
        <f>IF(H1052&lt;&gt;"",VLOOKUP(G1052,base_barras,IF(H1052="Desnuda",2,5)+F1052-1,FALSE),"-")</f>
        <v>204</v>
      </c>
      <c r="E1052" s="313">
        <v>3</v>
      </c>
      <c r="F1052" s="314">
        <v>1</v>
      </c>
      <c r="G1052" s="315" t="s">
        <v>60</v>
      </c>
      <c r="H1052" s="655" t="s">
        <v>1044</v>
      </c>
      <c r="I1052" s="398">
        <v>0.2</v>
      </c>
      <c r="J1052" s="478">
        <f>IF(G1052&lt;&gt;"",VLOOKUP(G1052,precio_barras,9,FALSE),0)</f>
        <v>5.3000000000000007</v>
      </c>
      <c r="K1052" s="313">
        <v>0</v>
      </c>
      <c r="L1052" s="318" t="str">
        <f>IF(G1052&lt;&gt;"",IF(VLOOKUP(G1052,base_barras,10,FALSE)&lt;&gt;"",VLOOKUP(G1052,base_barras,10,FALSE),"-"),"-")</f>
        <v>-</v>
      </c>
      <c r="M1052" s="317">
        <f>IF(L1052&lt;&gt;"-",VLOOKUP(L1052,precio_aislador,2,FALSE),0)</f>
        <v>0</v>
      </c>
      <c r="N1052" s="654">
        <f>(I1052*J1052*F1052+K1052*M1052)*E1052*1.67*1.25</f>
        <v>6.6382500000000011</v>
      </c>
      <c r="O1052" s="288"/>
      <c r="P1052" s="297"/>
      <c r="Q1052" s="288"/>
      <c r="R1052" s="102"/>
      <c r="S1052" s="102"/>
      <c r="T1052" s="102"/>
    </row>
    <row r="1053" spans="1:20" s="129" customFormat="1" ht="22.5" customHeight="1" thickBot="1">
      <c r="A1053" s="371"/>
      <c r="B1053" s="375"/>
      <c r="C1053" s="375"/>
      <c r="D1053" s="383"/>
      <c r="E1053" s="373"/>
      <c r="F1053" s="373"/>
      <c r="G1053" s="373"/>
      <c r="H1053" s="373"/>
      <c r="I1053" s="374"/>
      <c r="J1053" s="374"/>
      <c r="K1053" s="373"/>
      <c r="L1053" s="373"/>
      <c r="M1053" s="372"/>
      <c r="N1053" s="741">
        <f>SUM(N1049:N1052)</f>
        <v>210.79575000000003</v>
      </c>
      <c r="O1053" s="288"/>
      <c r="P1053" s="297"/>
      <c r="Q1053" s="288"/>
      <c r="R1053" s="102"/>
      <c r="S1053" s="102"/>
      <c r="T1053" s="102"/>
    </row>
    <row r="1054" spans="1:20" s="102" customFormat="1" ht="13.5" thickBot="1">
      <c r="B1054" s="744"/>
      <c r="F1054" s="745"/>
      <c r="G1054" s="745"/>
      <c r="H1054" s="745"/>
      <c r="L1054" s="745"/>
      <c r="N1054" s="746"/>
      <c r="P1054" s="745"/>
      <c r="Q1054" s="745"/>
    </row>
    <row r="1055" spans="1:20" s="199" customFormat="1" ht="15.75" customHeight="1">
      <c r="A1055" s="2648" t="s">
        <v>2486</v>
      </c>
      <c r="B1055" s="326" t="s">
        <v>1033</v>
      </c>
      <c r="C1055" s="329"/>
      <c r="D1055" s="328">
        <f>IF(H1055&lt;&gt;"",VLOOKUP(G1055,base_barras,IF(H1055="Desnuda",2,5)+F1055-1,FALSE),"-")</f>
        <v>573</v>
      </c>
      <c r="E1055" s="329">
        <v>4</v>
      </c>
      <c r="F1055" s="330">
        <v>1</v>
      </c>
      <c r="G1055" s="331" t="s">
        <v>314</v>
      </c>
      <c r="H1055" s="330" t="s">
        <v>1044</v>
      </c>
      <c r="I1055" s="332">
        <v>0.24</v>
      </c>
      <c r="J1055" s="333">
        <f>IF(G1055&lt;&gt;"",VLOOKUP(G1055,precio_barras,9,FALSE),0)</f>
        <v>26.6</v>
      </c>
      <c r="K1055" s="329">
        <v>2</v>
      </c>
      <c r="L1055" s="343" t="str">
        <f>IF(G1055&lt;&gt;"",IF(VLOOKUP(G1055,base_barras,10,FALSE)&lt;&gt;"",VLOOKUP(G1055,base_barras,10,FALSE),"-"),"-")</f>
        <v>1/750</v>
      </c>
      <c r="M1055" s="333">
        <f>IF(L1055&lt;&gt;"-",VLOOKUP(L1055,precio_aislador,2,FALSE),0)</f>
        <v>1.9</v>
      </c>
      <c r="N1055" s="360">
        <f>(I1055*J1055*F1055+K1055*M1055)*E1055*1.67*1.25</f>
        <v>85.036400000000015</v>
      </c>
      <c r="O1055" s="288"/>
      <c r="P1055" s="297"/>
      <c r="Q1055" s="288"/>
      <c r="R1055" s="102"/>
      <c r="S1055" s="102"/>
      <c r="T1055" s="102"/>
    </row>
    <row r="1056" spans="1:20" s="199" customFormat="1" ht="15.75" customHeight="1" thickBot="1">
      <c r="A1056" s="2649"/>
      <c r="B1056" s="310" t="s">
        <v>2482</v>
      </c>
      <c r="C1056" s="313"/>
      <c r="D1056" s="312">
        <f>IF(H1056&lt;&gt;"",VLOOKUP(G1056,base_barras,IF(H1056="Desnuda",2,5)+F1056-1,FALSE),"-")</f>
        <v>204</v>
      </c>
      <c r="E1056" s="313">
        <v>4</v>
      </c>
      <c r="F1056" s="314">
        <v>1</v>
      </c>
      <c r="G1056" s="315" t="s">
        <v>60</v>
      </c>
      <c r="H1056" s="655" t="s">
        <v>1044</v>
      </c>
      <c r="I1056" s="398">
        <v>0.2</v>
      </c>
      <c r="J1056" s="478">
        <f>IF(G1056&lt;&gt;"",VLOOKUP(G1056,precio_barras,9,FALSE),0)</f>
        <v>5.3000000000000007</v>
      </c>
      <c r="K1056" s="313">
        <v>0</v>
      </c>
      <c r="L1056" s="318" t="str">
        <f>IF(G1056&lt;&gt;"",IF(VLOOKUP(G1056,base_barras,10,FALSE)&lt;&gt;"",VLOOKUP(G1056,base_barras,10,FALSE),"-"),"-")</f>
        <v>-</v>
      </c>
      <c r="M1056" s="317">
        <f>IF(L1056&lt;&gt;"-",VLOOKUP(L1056,precio_aislador,2,FALSE),0)</f>
        <v>0</v>
      </c>
      <c r="N1056" s="308">
        <f>(I1056*J1056*F1056+K1056*M1056)*E1056*1.67*1.25</f>
        <v>8.8510000000000026</v>
      </c>
      <c r="O1056" s="288"/>
      <c r="P1056" s="297"/>
      <c r="Q1056" s="288"/>
      <c r="R1056" s="102"/>
      <c r="S1056" s="102"/>
      <c r="T1056" s="102"/>
    </row>
    <row r="1057" spans="1:20" s="199" customFormat="1" ht="15.75" customHeight="1">
      <c r="A1057" s="2648" t="s">
        <v>2487</v>
      </c>
      <c r="B1057" s="326" t="s">
        <v>1033</v>
      </c>
      <c r="C1057" s="329"/>
      <c r="D1057" s="328">
        <f>IF(H1057&lt;&gt;"",VLOOKUP(G1057,base_barras,IF(H1057="Desnuda",2,5)+F1057-1,FALSE),"-")</f>
        <v>573</v>
      </c>
      <c r="E1057" s="329">
        <v>4</v>
      </c>
      <c r="F1057" s="330">
        <v>1</v>
      </c>
      <c r="G1057" s="331" t="s">
        <v>314</v>
      </c>
      <c r="H1057" s="330" t="s">
        <v>1044</v>
      </c>
      <c r="I1057" s="332">
        <v>0.66</v>
      </c>
      <c r="J1057" s="333">
        <f>IF(G1057&lt;&gt;"",VLOOKUP(G1057,precio_barras,9,FALSE),0)</f>
        <v>26.6</v>
      </c>
      <c r="K1057" s="329">
        <v>2</v>
      </c>
      <c r="L1057" s="343" t="str">
        <f>IF(G1057&lt;&gt;"",IF(VLOOKUP(G1057,base_barras,10,FALSE)&lt;&gt;"",VLOOKUP(G1057,base_barras,10,FALSE),"-"),"-")</f>
        <v>1/750</v>
      </c>
      <c r="M1057" s="333">
        <f>IF(L1057&lt;&gt;"-",VLOOKUP(L1057,precio_aislador,2,FALSE),0)</f>
        <v>1.9</v>
      </c>
      <c r="N1057" s="360">
        <f>(I1057*J1057*F1057+K1057*M1057)*E1057*1.67*1.25</f>
        <v>178.32260000000002</v>
      </c>
      <c r="O1057" s="288"/>
      <c r="P1057" s="297"/>
      <c r="Q1057" s="288"/>
      <c r="R1057" s="102"/>
      <c r="S1057" s="102"/>
      <c r="T1057" s="102"/>
    </row>
    <row r="1058" spans="1:20" s="199" customFormat="1" ht="15.75" customHeight="1" thickBot="1">
      <c r="A1058" s="2649"/>
      <c r="B1058" s="310" t="s">
        <v>2482</v>
      </c>
      <c r="C1058" s="313"/>
      <c r="D1058" s="312">
        <f>IF(H1058&lt;&gt;"",VLOOKUP(G1058,base_barras,IF(H1058="Desnuda",2,5)+F1058-1,FALSE),"-")</f>
        <v>162</v>
      </c>
      <c r="E1058" s="313">
        <v>4</v>
      </c>
      <c r="F1058" s="314">
        <v>1</v>
      </c>
      <c r="G1058" s="315" t="s">
        <v>59</v>
      </c>
      <c r="H1058" s="655" t="s">
        <v>1044</v>
      </c>
      <c r="I1058" s="398">
        <v>0.2</v>
      </c>
      <c r="J1058" s="478">
        <f>IF(G1058&lt;&gt;"",VLOOKUP(G1058,precio_barras,9,FALSE),0)</f>
        <v>4</v>
      </c>
      <c r="K1058" s="313">
        <v>0</v>
      </c>
      <c r="L1058" s="318" t="str">
        <f>IF(G1058&lt;&gt;"",IF(VLOOKUP(G1058,base_barras,10,FALSE)&lt;&gt;"",VLOOKUP(G1058,base_barras,10,FALSE),"-"),"-")</f>
        <v>-</v>
      </c>
      <c r="M1058" s="317">
        <f>IF(L1058&lt;&gt;"-",VLOOKUP(L1058,precio_aislador,2,FALSE),0)</f>
        <v>0</v>
      </c>
      <c r="N1058" s="654">
        <f>(I1058*J1058*F1058+K1058*M1058)*E1058*1.67*1.25</f>
        <v>6.6800000000000006</v>
      </c>
      <c r="O1058" s="288"/>
      <c r="P1058" s="297"/>
      <c r="Q1058" s="288"/>
      <c r="R1058" s="102"/>
      <c r="S1058" s="102"/>
      <c r="T1058" s="102"/>
    </row>
    <row r="1059" spans="1:20" s="129" customFormat="1" ht="22.5" customHeight="1" thickBot="1">
      <c r="A1059" s="371"/>
      <c r="B1059" s="375"/>
      <c r="C1059" s="375"/>
      <c r="D1059" s="383"/>
      <c r="E1059" s="373"/>
      <c r="F1059" s="373"/>
      <c r="G1059" s="373"/>
      <c r="H1059" s="373"/>
      <c r="I1059" s="374"/>
      <c r="J1059" s="374"/>
      <c r="K1059" s="373"/>
      <c r="L1059" s="373"/>
      <c r="M1059" s="372"/>
      <c r="N1059" s="741">
        <f>SUM(N1055:N1058)</f>
        <v>278.89000000000004</v>
      </c>
      <c r="O1059" s="288"/>
      <c r="P1059" s="297"/>
      <c r="Q1059" s="288"/>
      <c r="R1059" s="102"/>
      <c r="S1059" s="102"/>
      <c r="T1059" s="102"/>
    </row>
    <row r="1060" spans="1:20" s="129" customFormat="1" ht="22.5" customHeight="1">
      <c r="A1060" s="323"/>
      <c r="B1060" s="309"/>
      <c r="C1060" s="309"/>
      <c r="D1060" s="382"/>
      <c r="E1060" s="323"/>
      <c r="F1060" s="323"/>
      <c r="G1060" s="323"/>
      <c r="H1060" s="323"/>
      <c r="I1060" s="325"/>
      <c r="J1060" s="325"/>
      <c r="K1060" s="323"/>
      <c r="L1060" s="323"/>
      <c r="M1060" s="325"/>
      <c r="N1060" s="722"/>
      <c r="O1060" s="288"/>
      <c r="P1060" s="297"/>
      <c r="Q1060" s="288"/>
      <c r="R1060" s="102"/>
      <c r="S1060" s="102"/>
      <c r="T1060" s="102"/>
    </row>
    <row r="1061" spans="1:20" s="129" customFormat="1" ht="22.5" customHeight="1" thickBot="1">
      <c r="A1061" s="323"/>
      <c r="B1061" s="309"/>
      <c r="C1061" s="309"/>
      <c r="D1061" s="382"/>
      <c r="E1061" s="323"/>
      <c r="F1061" s="323"/>
      <c r="G1061" s="323"/>
      <c r="H1061" s="323"/>
      <c r="I1061" s="325"/>
      <c r="J1061" s="325"/>
      <c r="K1061" s="323"/>
      <c r="L1061" s="323"/>
      <c r="M1061" s="325"/>
      <c r="N1061" s="722"/>
      <c r="O1061" s="288"/>
      <c r="P1061" s="297"/>
      <c r="Q1061" s="288"/>
      <c r="R1061" s="102"/>
      <c r="S1061" s="102"/>
      <c r="T1061" s="102"/>
    </row>
    <row r="1062" spans="1:20" s="199" customFormat="1" ht="15.75" customHeight="1">
      <c r="A1062" s="2648" t="s">
        <v>2488</v>
      </c>
      <c r="B1062" s="326" t="s">
        <v>1033</v>
      </c>
      <c r="C1062" s="329"/>
      <c r="D1062" s="328">
        <f>IF(H1062&lt;&gt;"",VLOOKUP(G1062,base_barras,IF(H1062="Desnuda",2,5)+F1062-1,FALSE),"-")</f>
        <v>985</v>
      </c>
      <c r="E1062" s="329">
        <v>3</v>
      </c>
      <c r="F1062" s="330">
        <v>1</v>
      </c>
      <c r="G1062" s="331" t="s">
        <v>581</v>
      </c>
      <c r="H1062" s="330" t="s">
        <v>1044</v>
      </c>
      <c r="I1062" s="332">
        <v>0.24</v>
      </c>
      <c r="J1062" s="333">
        <f>IF(G1062&lt;&gt;"",VLOOKUP(G1062,precio_barras,9,FALSE),0)</f>
        <v>53.3</v>
      </c>
      <c r="K1062" s="329">
        <v>2</v>
      </c>
      <c r="L1062" s="343" t="str">
        <f>IF(G1062&lt;&gt;"",IF(VLOOKUP(G1062,base_barras,10,FALSE)&lt;&gt;"",VLOOKUP(G1062,base_barras,10,FALSE),"-"),"-")</f>
        <v>1/750</v>
      </c>
      <c r="M1062" s="333">
        <f>IF(L1062&lt;&gt;"-",VLOOKUP(L1062,precio_aislador,2,FALSE),0)</f>
        <v>1.9</v>
      </c>
      <c r="N1062" s="360">
        <f>(I1062*J1062*F1062+K1062*M1062)*E1062*1.67*1.25</f>
        <v>103.9074</v>
      </c>
      <c r="O1062" s="288"/>
      <c r="P1062" s="297"/>
      <c r="Q1062" s="288"/>
      <c r="R1062" s="102"/>
      <c r="S1062" s="102"/>
      <c r="T1062" s="102"/>
    </row>
    <row r="1063" spans="1:20" s="199" customFormat="1" ht="15.75" customHeight="1" thickBot="1">
      <c r="A1063" s="2649"/>
      <c r="B1063" s="310" t="s">
        <v>2482</v>
      </c>
      <c r="C1063" s="313"/>
      <c r="D1063" s="312">
        <f>IF(H1063&lt;&gt;"",VLOOKUP(G1063,base_barras,IF(H1063="Desnuda",2,5)+F1063-1,FALSE),"-")</f>
        <v>204</v>
      </c>
      <c r="E1063" s="313">
        <v>3</v>
      </c>
      <c r="F1063" s="314">
        <v>1</v>
      </c>
      <c r="G1063" s="315" t="s">
        <v>60</v>
      </c>
      <c r="H1063" s="655" t="s">
        <v>1044</v>
      </c>
      <c r="I1063" s="398">
        <v>0.2</v>
      </c>
      <c r="J1063" s="478">
        <f>IF(G1063&lt;&gt;"",VLOOKUP(G1063,precio_barras,9,FALSE),0)</f>
        <v>5.3000000000000007</v>
      </c>
      <c r="K1063" s="313">
        <v>0</v>
      </c>
      <c r="L1063" s="318" t="str">
        <f>IF(G1063&lt;&gt;"",IF(VLOOKUP(G1063,base_barras,10,FALSE)&lt;&gt;"",VLOOKUP(G1063,base_barras,10,FALSE),"-"),"-")</f>
        <v>-</v>
      </c>
      <c r="M1063" s="317">
        <f>IF(L1063&lt;&gt;"-",VLOOKUP(L1063,precio_aislador,2,FALSE),0)</f>
        <v>0</v>
      </c>
      <c r="N1063" s="308">
        <f>(I1063*J1063*F1063+K1063*M1063)*E1063*1.67*1.25</f>
        <v>6.6382500000000011</v>
      </c>
      <c r="O1063" s="288"/>
      <c r="P1063" s="297"/>
      <c r="Q1063" s="288"/>
      <c r="R1063" s="102"/>
      <c r="S1063" s="102"/>
      <c r="T1063" s="102"/>
    </row>
    <row r="1064" spans="1:20" s="199" customFormat="1" ht="15.75" customHeight="1">
      <c r="A1064" s="2648" t="s">
        <v>2489</v>
      </c>
      <c r="B1064" s="326" t="s">
        <v>1033</v>
      </c>
      <c r="C1064" s="329"/>
      <c r="D1064" s="328">
        <f>IF(H1064&lt;&gt;"",VLOOKUP(G1064,base_barras,IF(H1064="Desnuda",2,5)+F1064-1,FALSE),"-")</f>
        <v>985</v>
      </c>
      <c r="E1064" s="329">
        <v>3</v>
      </c>
      <c r="F1064" s="330">
        <v>1</v>
      </c>
      <c r="G1064" s="331" t="s">
        <v>581</v>
      </c>
      <c r="H1064" s="330" t="s">
        <v>1044</v>
      </c>
      <c r="I1064" s="332">
        <v>0.66</v>
      </c>
      <c r="J1064" s="333">
        <f>IF(G1064&lt;&gt;"",VLOOKUP(G1064,precio_barras,9,FALSE),0)</f>
        <v>53.3</v>
      </c>
      <c r="K1064" s="329">
        <v>2</v>
      </c>
      <c r="L1064" s="343" t="str">
        <f>IF(G1064&lt;&gt;"",IF(VLOOKUP(G1064,base_barras,10,FALSE)&lt;&gt;"",VLOOKUP(G1064,base_barras,10,FALSE),"-"),"-")</f>
        <v>1/750</v>
      </c>
      <c r="M1064" s="333">
        <f>IF(L1064&lt;&gt;"-",VLOOKUP(L1064,precio_aislador,2,FALSE),0)</f>
        <v>1.9</v>
      </c>
      <c r="N1064" s="360">
        <f>(I1064*J1064*F1064+K1064*M1064)*E1064*1.67*1.25</f>
        <v>244.09972499999995</v>
      </c>
      <c r="O1064" s="288"/>
      <c r="P1064" s="297"/>
      <c r="Q1064" s="288"/>
      <c r="R1064" s="102"/>
      <c r="S1064" s="102"/>
      <c r="T1064" s="102"/>
    </row>
    <row r="1065" spans="1:20" s="199" customFormat="1" ht="15.75" customHeight="1" thickBot="1">
      <c r="A1065" s="2649"/>
      <c r="B1065" s="310" t="s">
        <v>2482</v>
      </c>
      <c r="C1065" s="313"/>
      <c r="D1065" s="312">
        <f>IF(H1065&lt;&gt;"",VLOOKUP(G1065,base_barras,IF(H1065="Desnuda",2,5)+F1065-1,FALSE),"-")</f>
        <v>204</v>
      </c>
      <c r="E1065" s="313">
        <v>3</v>
      </c>
      <c r="F1065" s="314">
        <v>1</v>
      </c>
      <c r="G1065" s="315" t="s">
        <v>60</v>
      </c>
      <c r="H1065" s="655" t="s">
        <v>1044</v>
      </c>
      <c r="I1065" s="398">
        <v>0.2</v>
      </c>
      <c r="J1065" s="478">
        <f>IF(G1065&lt;&gt;"",VLOOKUP(G1065,precio_barras,9,FALSE),0)</f>
        <v>5.3000000000000007</v>
      </c>
      <c r="K1065" s="313">
        <v>0</v>
      </c>
      <c r="L1065" s="318" t="str">
        <f>IF(G1065&lt;&gt;"",IF(VLOOKUP(G1065,base_barras,10,FALSE)&lt;&gt;"",VLOOKUP(G1065,base_barras,10,FALSE),"-"),"-")</f>
        <v>-</v>
      </c>
      <c r="M1065" s="317">
        <f>IF(L1065&lt;&gt;"-",VLOOKUP(L1065,precio_aislador,2,FALSE),0)</f>
        <v>0</v>
      </c>
      <c r="N1065" s="654">
        <f>(I1065*J1065*F1065+K1065*M1065)*E1065*1.67*1.25</f>
        <v>6.6382500000000011</v>
      </c>
      <c r="O1065" s="288"/>
      <c r="P1065" s="297"/>
      <c r="Q1065" s="288"/>
      <c r="R1065" s="102"/>
      <c r="S1065" s="102"/>
      <c r="T1065" s="102"/>
    </row>
    <row r="1066" spans="1:20" s="129" customFormat="1" ht="22.5" customHeight="1" thickBot="1">
      <c r="A1066" s="371"/>
      <c r="B1066" s="375"/>
      <c r="C1066" s="375"/>
      <c r="D1066" s="383"/>
      <c r="E1066" s="373"/>
      <c r="F1066" s="373"/>
      <c r="G1066" s="373"/>
      <c r="H1066" s="373"/>
      <c r="I1066" s="374"/>
      <c r="J1066" s="374"/>
      <c r="K1066" s="373"/>
      <c r="L1066" s="373"/>
      <c r="M1066" s="372"/>
      <c r="N1066" s="741">
        <f>SUM(N1062:N1065)</f>
        <v>361.28362499999997</v>
      </c>
      <c r="O1066" s="288"/>
      <c r="P1066" s="297"/>
      <c r="Q1066" s="288"/>
      <c r="R1066" s="102"/>
      <c r="S1066" s="102"/>
      <c r="T1066" s="102"/>
    </row>
    <row r="1067" spans="1:20" s="102" customFormat="1" ht="13.5" thickBot="1">
      <c r="B1067" s="744"/>
      <c r="F1067" s="745"/>
      <c r="G1067" s="745"/>
      <c r="H1067" s="745"/>
      <c r="L1067" s="745"/>
      <c r="N1067" s="746"/>
      <c r="P1067" s="745"/>
      <c r="Q1067" s="745"/>
    </row>
    <row r="1068" spans="1:20" s="199" customFormat="1" ht="15.75" customHeight="1">
      <c r="A1068" s="2648" t="s">
        <v>2488</v>
      </c>
      <c r="B1068" s="326" t="s">
        <v>1033</v>
      </c>
      <c r="C1068" s="329"/>
      <c r="D1068" s="328">
        <f>IF(H1068&lt;&gt;"",VLOOKUP(G1068,base_barras,IF(H1068="Desnuda",2,5)+F1068-1,FALSE),"-")</f>
        <v>985</v>
      </c>
      <c r="E1068" s="329">
        <v>4</v>
      </c>
      <c r="F1068" s="330">
        <v>1</v>
      </c>
      <c r="G1068" s="331" t="s">
        <v>581</v>
      </c>
      <c r="H1068" s="330" t="s">
        <v>1044</v>
      </c>
      <c r="I1068" s="332">
        <v>0.24</v>
      </c>
      <c r="J1068" s="333">
        <f>IF(G1068&lt;&gt;"",VLOOKUP(G1068,precio_barras,9,FALSE),0)</f>
        <v>53.3</v>
      </c>
      <c r="K1068" s="329">
        <v>2</v>
      </c>
      <c r="L1068" s="343" t="str">
        <f>IF(G1068&lt;&gt;"",IF(VLOOKUP(G1068,base_barras,10,FALSE)&lt;&gt;"",VLOOKUP(G1068,base_barras,10,FALSE),"-"),"-")</f>
        <v>1/750</v>
      </c>
      <c r="M1068" s="333">
        <f>IF(L1068&lt;&gt;"-",VLOOKUP(L1068,precio_aislador,2,FALSE),0)</f>
        <v>1.9</v>
      </c>
      <c r="N1068" s="360">
        <f>(I1068*J1068*F1068+K1068*M1068)*E1068*1.67*1.25</f>
        <v>138.54319999999998</v>
      </c>
      <c r="O1068" s="288"/>
      <c r="P1068" s="297"/>
      <c r="Q1068" s="288"/>
      <c r="R1068" s="102"/>
      <c r="S1068" s="102"/>
      <c r="T1068" s="102"/>
    </row>
    <row r="1069" spans="1:20" s="199" customFormat="1" ht="15.75" customHeight="1" thickBot="1">
      <c r="A1069" s="2649"/>
      <c r="B1069" s="310" t="s">
        <v>2482</v>
      </c>
      <c r="C1069" s="313"/>
      <c r="D1069" s="312">
        <f>IF(H1069&lt;&gt;"",VLOOKUP(G1069,base_barras,IF(H1069="Desnuda",2,5)+F1069-1,FALSE),"-")</f>
        <v>204</v>
      </c>
      <c r="E1069" s="313">
        <v>4</v>
      </c>
      <c r="F1069" s="314">
        <v>1</v>
      </c>
      <c r="G1069" s="315" t="s">
        <v>60</v>
      </c>
      <c r="H1069" s="655" t="s">
        <v>1044</v>
      </c>
      <c r="I1069" s="398">
        <v>0.2</v>
      </c>
      <c r="J1069" s="478">
        <f>IF(G1069&lt;&gt;"",VLOOKUP(G1069,precio_barras,9,FALSE),0)</f>
        <v>5.3000000000000007</v>
      </c>
      <c r="K1069" s="313">
        <v>0</v>
      </c>
      <c r="L1069" s="318" t="str">
        <f>IF(G1069&lt;&gt;"",IF(VLOOKUP(G1069,base_barras,10,FALSE)&lt;&gt;"",VLOOKUP(G1069,base_barras,10,FALSE),"-"),"-")</f>
        <v>-</v>
      </c>
      <c r="M1069" s="317">
        <f>IF(L1069&lt;&gt;"-",VLOOKUP(L1069,precio_aislador,2,FALSE),0)</f>
        <v>0</v>
      </c>
      <c r="N1069" s="308">
        <f>(I1069*J1069*F1069+K1069*M1069)*E1069*1.67*1.25</f>
        <v>8.8510000000000026</v>
      </c>
      <c r="O1069" s="288"/>
      <c r="P1069" s="297"/>
      <c r="Q1069" s="288"/>
      <c r="R1069" s="102"/>
      <c r="S1069" s="102"/>
      <c r="T1069" s="102"/>
    </row>
    <row r="1070" spans="1:20" s="199" customFormat="1" ht="15.75" customHeight="1">
      <c r="A1070" s="2648" t="s">
        <v>2489</v>
      </c>
      <c r="B1070" s="326" t="s">
        <v>1033</v>
      </c>
      <c r="C1070" s="329"/>
      <c r="D1070" s="328">
        <f>IF(H1070&lt;&gt;"",VLOOKUP(G1070,base_barras,IF(H1070="Desnuda",2,5)+F1070-1,FALSE),"-")</f>
        <v>985</v>
      </c>
      <c r="E1070" s="329">
        <v>4</v>
      </c>
      <c r="F1070" s="330">
        <v>1</v>
      </c>
      <c r="G1070" s="331" t="s">
        <v>581</v>
      </c>
      <c r="H1070" s="330" t="s">
        <v>1044</v>
      </c>
      <c r="I1070" s="332">
        <v>0.66</v>
      </c>
      <c r="J1070" s="333">
        <f>IF(G1070&lt;&gt;"",VLOOKUP(G1070,precio_barras,9,FALSE),0)</f>
        <v>53.3</v>
      </c>
      <c r="K1070" s="329">
        <v>2</v>
      </c>
      <c r="L1070" s="343" t="str">
        <f>IF(G1070&lt;&gt;"",IF(VLOOKUP(G1070,base_barras,10,FALSE)&lt;&gt;"",VLOOKUP(G1070,base_barras,10,FALSE),"-"),"-")</f>
        <v>1/750</v>
      </c>
      <c r="M1070" s="333">
        <f>IF(L1070&lt;&gt;"-",VLOOKUP(L1070,precio_aislador,2,FALSE),0)</f>
        <v>1.9</v>
      </c>
      <c r="N1070" s="360">
        <f>(I1070*J1070*F1070+K1070*M1070)*E1070*1.67*1.25</f>
        <v>325.46629999999993</v>
      </c>
      <c r="O1070" s="288"/>
      <c r="P1070" s="297"/>
      <c r="Q1070" s="288"/>
      <c r="R1070" s="102"/>
      <c r="S1070" s="102"/>
      <c r="T1070" s="102"/>
    </row>
    <row r="1071" spans="1:20" s="199" customFormat="1" ht="15.75" customHeight="1" thickBot="1">
      <c r="A1071" s="2649"/>
      <c r="B1071" s="310" t="s">
        <v>2482</v>
      </c>
      <c r="C1071" s="313"/>
      <c r="D1071" s="312">
        <f>IF(H1071&lt;&gt;"",VLOOKUP(G1071,base_barras,IF(H1071="Desnuda",2,5)+F1071-1,FALSE),"-")</f>
        <v>162</v>
      </c>
      <c r="E1071" s="313">
        <v>4</v>
      </c>
      <c r="F1071" s="314">
        <v>1</v>
      </c>
      <c r="G1071" s="315" t="s">
        <v>59</v>
      </c>
      <c r="H1071" s="655" t="s">
        <v>1044</v>
      </c>
      <c r="I1071" s="398">
        <v>0.2</v>
      </c>
      <c r="J1071" s="478">
        <f>IF(G1071&lt;&gt;"",VLOOKUP(G1071,precio_barras,9,FALSE),0)</f>
        <v>4</v>
      </c>
      <c r="K1071" s="313">
        <v>0</v>
      </c>
      <c r="L1071" s="318" t="str">
        <f>IF(G1071&lt;&gt;"",IF(VLOOKUP(G1071,base_barras,10,FALSE)&lt;&gt;"",VLOOKUP(G1071,base_barras,10,FALSE),"-"),"-")</f>
        <v>-</v>
      </c>
      <c r="M1071" s="317">
        <f>IF(L1071&lt;&gt;"-",VLOOKUP(L1071,precio_aislador,2,FALSE),0)</f>
        <v>0</v>
      </c>
      <c r="N1071" s="654">
        <f>(I1071*J1071*F1071+K1071*M1071)*E1071*1.67*1.25</f>
        <v>6.6800000000000006</v>
      </c>
      <c r="O1071" s="288"/>
      <c r="P1071" s="297"/>
      <c r="Q1071" s="288"/>
      <c r="R1071" s="102"/>
      <c r="S1071" s="102"/>
      <c r="T1071" s="102"/>
    </row>
    <row r="1072" spans="1:20" s="129" customFormat="1" ht="22.5" customHeight="1" thickBot="1">
      <c r="A1072" s="371"/>
      <c r="B1072" s="375"/>
      <c r="C1072" s="375"/>
      <c r="D1072" s="383"/>
      <c r="E1072" s="373"/>
      <c r="F1072" s="373"/>
      <c r="G1072" s="373"/>
      <c r="H1072" s="373"/>
      <c r="I1072" s="374"/>
      <c r="J1072" s="374"/>
      <c r="K1072" s="373"/>
      <c r="L1072" s="373"/>
      <c r="M1072" s="372"/>
      <c r="N1072" s="741">
        <f>SUM(N1068:N1071)</f>
        <v>479.54049999999989</v>
      </c>
      <c r="O1072" s="288"/>
      <c r="P1072" s="297"/>
      <c r="Q1072" s="288"/>
      <c r="R1072" s="102"/>
      <c r="S1072" s="102"/>
      <c r="T1072" s="102"/>
    </row>
    <row r="1073" spans="1:20" s="129" customFormat="1" ht="22.5" customHeight="1">
      <c r="A1073" s="323"/>
      <c r="B1073" s="309"/>
      <c r="C1073" s="309"/>
      <c r="D1073" s="382"/>
      <c r="E1073" s="323"/>
      <c r="F1073" s="323"/>
      <c r="G1073" s="323"/>
      <c r="H1073" s="323"/>
      <c r="I1073" s="325"/>
      <c r="J1073" s="325"/>
      <c r="K1073" s="323"/>
      <c r="L1073" s="323"/>
      <c r="M1073" s="325"/>
      <c r="N1073" s="722"/>
      <c r="O1073" s="288"/>
      <c r="P1073" s="297"/>
      <c r="Q1073" s="288"/>
      <c r="R1073" s="102"/>
      <c r="S1073" s="102"/>
      <c r="T1073" s="102"/>
    </row>
    <row r="1074" spans="1:20" s="129" customFormat="1" ht="22.5" customHeight="1">
      <c r="A1074" s="323"/>
      <c r="B1074" s="309"/>
      <c r="C1074" s="309"/>
      <c r="D1074" s="382"/>
      <c r="E1074" s="323"/>
      <c r="F1074" s="323"/>
      <c r="G1074" s="323"/>
      <c r="H1074" s="323"/>
      <c r="I1074" s="325"/>
      <c r="J1074" s="325"/>
      <c r="K1074" s="323"/>
      <c r="L1074" s="323"/>
      <c r="M1074" s="325"/>
      <c r="N1074" s="722"/>
      <c r="O1074" s="288"/>
      <c r="P1074" s="297"/>
      <c r="Q1074" s="288"/>
      <c r="R1074" s="102"/>
      <c r="S1074" s="102"/>
      <c r="T1074" s="102"/>
    </row>
    <row r="1075" spans="1:20" s="129" customFormat="1" ht="22.5" customHeight="1">
      <c r="A1075" s="323"/>
      <c r="B1075" s="309"/>
      <c r="C1075" s="309"/>
      <c r="D1075" s="382"/>
      <c r="E1075" s="323"/>
      <c r="F1075" s="323"/>
      <c r="G1075" s="323"/>
      <c r="H1075" s="323"/>
      <c r="I1075" s="325"/>
      <c r="J1075" s="325"/>
      <c r="K1075" s="323"/>
      <c r="L1075" s="323"/>
      <c r="M1075" s="325"/>
      <c r="N1075" s="722"/>
      <c r="O1075" s="288"/>
      <c r="P1075" s="297"/>
      <c r="Q1075" s="288"/>
      <c r="R1075" s="102"/>
      <c r="S1075" s="102"/>
      <c r="T1075" s="102"/>
    </row>
    <row r="1076" spans="1:20" s="129" customFormat="1" ht="22.5" customHeight="1">
      <c r="A1076" s="323"/>
      <c r="B1076" s="309"/>
      <c r="C1076" s="309"/>
      <c r="D1076" s="382"/>
      <c r="E1076" s="323"/>
      <c r="F1076" s="323"/>
      <c r="G1076" s="323"/>
      <c r="H1076" s="323"/>
      <c r="I1076" s="325"/>
      <c r="J1076" s="325"/>
      <c r="K1076" s="323"/>
      <c r="L1076" s="323"/>
      <c r="M1076" s="325"/>
      <c r="N1076" s="722"/>
      <c r="O1076" s="288"/>
      <c r="P1076" s="297"/>
      <c r="Q1076" s="288"/>
      <c r="R1076" s="102"/>
      <c r="S1076" s="102"/>
      <c r="T1076" s="102"/>
    </row>
    <row r="1077" spans="1:20" s="102" customFormat="1">
      <c r="B1077" s="744"/>
      <c r="F1077" s="745"/>
      <c r="G1077" s="745"/>
      <c r="H1077" s="745"/>
      <c r="L1077" s="745"/>
      <c r="N1077" s="746"/>
      <c r="P1077" s="745"/>
      <c r="Q1077" s="745"/>
    </row>
    <row r="1078" spans="1:20" s="102" customFormat="1" ht="13.5" thickBot="1">
      <c r="B1078" s="744"/>
      <c r="F1078" s="745"/>
      <c r="G1078" s="745"/>
      <c r="H1078" s="745"/>
      <c r="L1078" s="745"/>
      <c r="N1078" s="746"/>
      <c r="P1078" s="745"/>
      <c r="Q1078" s="745"/>
    </row>
    <row r="1079" spans="1:20" s="199" customFormat="1" ht="15.75" customHeight="1">
      <c r="A1079" s="2641" t="s">
        <v>2497</v>
      </c>
      <c r="B1079" s="687" t="s">
        <v>2498</v>
      </c>
      <c r="C1079" s="327"/>
      <c r="D1079" s="328">
        <f>IF(H1079&lt;&gt;"",VLOOKUP(G1079,base_barras,IF(H1079="Desnuda",2,5)+F1079-1,FALSE),"-")</f>
        <v>1960</v>
      </c>
      <c r="E1079" s="329">
        <v>3</v>
      </c>
      <c r="F1079" s="330">
        <v>2</v>
      </c>
      <c r="G1079" s="331" t="s">
        <v>581</v>
      </c>
      <c r="H1079" s="330" t="s">
        <v>1043</v>
      </c>
      <c r="I1079" s="332">
        <f>0.8+0.8</f>
        <v>1.6</v>
      </c>
      <c r="J1079" s="333">
        <f t="shared" ref="J1079:J1086" si="612">IF(G1079&lt;&gt;"",VLOOKUP(G1079,precio_barras,9,FALSE),0)</f>
        <v>53.3</v>
      </c>
      <c r="K1079" s="329">
        <f>2+2</f>
        <v>4</v>
      </c>
      <c r="L1079" s="343" t="str">
        <f>IF(G1079&lt;&gt;"",IF(VLOOKUP(G1079,base_barras,10,FALSE)&lt;&gt;"",VLOOKUP(G1079,base_barras,10,FALSE),"-"),"-")</f>
        <v>1/750</v>
      </c>
      <c r="M1079" s="333">
        <f>IF(L1079&lt;&gt;"-",VLOOKUP(L1079,precio_aislador,2,FALSE),0)</f>
        <v>1.9</v>
      </c>
      <c r="N1079" s="360">
        <f>(I1079*J1079*F1079+K1079*M1079)*E1079*1.67*1.25</f>
        <v>1115.7269999999999</v>
      </c>
      <c r="O1079" s="288"/>
      <c r="P1079" s="297"/>
      <c r="Q1079" s="288"/>
      <c r="R1079" s="102"/>
      <c r="S1079" s="102"/>
      <c r="T1079" s="102"/>
    </row>
    <row r="1080" spans="1:20" s="199" customFormat="1" ht="14.25">
      <c r="A1080" s="2642"/>
      <c r="B1080" s="688" t="s">
        <v>802</v>
      </c>
      <c r="C1080" s="319"/>
      <c r="D1080" s="312">
        <f>IF(H1080&lt;&gt;"",VLOOKUP(G1080,base_barras,IF(H1080="Desnuda",2,5)+F1080-1,FALSE),"-")</f>
        <v>850</v>
      </c>
      <c r="E1080" s="313">
        <v>1</v>
      </c>
      <c r="F1080" s="314">
        <v>1</v>
      </c>
      <c r="G1080" s="315" t="s">
        <v>469</v>
      </c>
      <c r="H1080" s="689" t="str">
        <f>H1079</f>
        <v>Pintada</v>
      </c>
      <c r="I1080" s="690">
        <f>I1079</f>
        <v>1.6</v>
      </c>
      <c r="J1080" s="317">
        <f t="shared" si="612"/>
        <v>35.6</v>
      </c>
      <c r="K1080" s="691">
        <v>0</v>
      </c>
      <c r="L1080" s="318" t="str">
        <f>IF(G1080&lt;&gt;"",IF(VLOOKUP(G1080,base_barras,10,FALSE)&lt;&gt;"",VLOOKUP(G1080,base_barras,10,FALSE),"-"),"-")</f>
        <v>1/750</v>
      </c>
      <c r="M1080" s="317">
        <f>IF(L1080&lt;&gt;"-",VLOOKUP(L1080,precio_aislador,2,FALSE),0)</f>
        <v>1.9</v>
      </c>
      <c r="N1080" s="308">
        <f>(I1080*J1080*F1080+K1080*M1080)*E1080*1.67*1.25</f>
        <v>118.90400000000001</v>
      </c>
      <c r="O1080" s="288"/>
      <c r="P1080" s="297"/>
      <c r="Q1080" s="288"/>
      <c r="R1080" s="102"/>
      <c r="S1080" s="102"/>
      <c r="T1080" s="102"/>
    </row>
    <row r="1081" spans="1:20" s="199" customFormat="1" ht="15.75" customHeight="1">
      <c r="A1081" s="2642"/>
      <c r="B1081" s="692" t="s">
        <v>2499</v>
      </c>
      <c r="C1081" s="693"/>
      <c r="D1081" s="312">
        <f t="shared" ref="D1081:D1086" si="613">IF(H1081&lt;&gt;"",VLOOKUP(G1081,base_barras,IF(H1081="Desnuda",2,5)+F1081-1,FALSE),"-")</f>
        <v>1960</v>
      </c>
      <c r="E1081" s="313">
        <v>3</v>
      </c>
      <c r="F1081" s="314">
        <v>2</v>
      </c>
      <c r="G1081" s="315" t="s">
        <v>581</v>
      </c>
      <c r="H1081" s="314" t="s">
        <v>1043</v>
      </c>
      <c r="I1081" s="316">
        <v>0.61</v>
      </c>
      <c r="J1081" s="317">
        <f t="shared" si="612"/>
        <v>53.3</v>
      </c>
      <c r="K1081" s="694">
        <v>0</v>
      </c>
      <c r="L1081" s="695" t="str">
        <f t="shared" ref="L1081:L1086" si="614">IF(G1081&lt;&gt;"",IF(VLOOKUP(G1081,base_barras,10,FALSE)&lt;&gt;"",VLOOKUP(G1081,base_barras,10,FALSE),"-"),"-")</f>
        <v>1/750</v>
      </c>
      <c r="M1081" s="478">
        <f t="shared" ref="M1081:M1086" si="615">IF(L1081&lt;&gt;"-",VLOOKUP(L1081,precio_aislador,2,FALSE),0)</f>
        <v>1.9</v>
      </c>
      <c r="N1081" s="696">
        <f t="shared" ref="N1081:N1086" si="616">(I1081*J1081*F1081+K1081*M1081)*E1081*1.67*1.25</f>
        <v>407.22532499999994</v>
      </c>
      <c r="O1081" s="288"/>
      <c r="P1081" s="297"/>
      <c r="Q1081" s="288"/>
      <c r="R1081" s="102"/>
      <c r="S1081" s="102"/>
      <c r="T1081" s="102"/>
    </row>
    <row r="1082" spans="1:20" s="199" customFormat="1" ht="15.75" customHeight="1">
      <c r="A1082" s="2642"/>
      <c r="B1082" s="692" t="s">
        <v>2500</v>
      </c>
      <c r="C1082" s="693"/>
      <c r="D1082" s="697">
        <f t="shared" si="613"/>
        <v>676</v>
      </c>
      <c r="E1082" s="694">
        <v>3</v>
      </c>
      <c r="F1082" s="655">
        <v>1</v>
      </c>
      <c r="G1082" s="698" t="s">
        <v>314</v>
      </c>
      <c r="H1082" s="655" t="s">
        <v>1043</v>
      </c>
      <c r="I1082" s="398">
        <v>0.61</v>
      </c>
      <c r="J1082" s="478">
        <f t="shared" si="612"/>
        <v>26.6</v>
      </c>
      <c r="K1082" s="694">
        <v>0</v>
      </c>
      <c r="L1082" s="695" t="str">
        <f t="shared" si="614"/>
        <v>1/750</v>
      </c>
      <c r="M1082" s="478">
        <f t="shared" si="615"/>
        <v>1.9</v>
      </c>
      <c r="N1082" s="696">
        <f t="shared" si="616"/>
        <v>101.615325</v>
      </c>
      <c r="O1082" s="288"/>
      <c r="P1082" s="297"/>
      <c r="Q1082" s="288"/>
      <c r="R1082" s="102"/>
      <c r="S1082" s="102"/>
      <c r="T1082" s="102"/>
    </row>
    <row r="1083" spans="1:20" s="199" customFormat="1" ht="15.75" customHeight="1">
      <c r="A1083" s="2642"/>
      <c r="B1083" s="692" t="s">
        <v>2500</v>
      </c>
      <c r="C1083" s="693"/>
      <c r="D1083" s="697">
        <f>IF(H1083&lt;&gt;"",VLOOKUP(G1083,base_barras,IF(H1083="Desnuda",2,5)+F1083-1,FALSE),"-")</f>
        <v>676</v>
      </c>
      <c r="E1083" s="694">
        <v>3</v>
      </c>
      <c r="F1083" s="655">
        <v>1</v>
      </c>
      <c r="G1083" s="698" t="s">
        <v>314</v>
      </c>
      <c r="H1083" s="655" t="s">
        <v>1043</v>
      </c>
      <c r="I1083" s="398">
        <v>0.61</v>
      </c>
      <c r="J1083" s="478">
        <f>IF(G1083&lt;&gt;"",VLOOKUP(G1083,precio_barras,9,FALSE),0)</f>
        <v>26.6</v>
      </c>
      <c r="K1083" s="694">
        <v>0</v>
      </c>
      <c r="L1083" s="695" t="str">
        <f>IF(G1083&lt;&gt;"",IF(VLOOKUP(G1083,base_barras,10,FALSE)&lt;&gt;"",VLOOKUP(G1083,base_barras,10,FALSE),"-"),"-")</f>
        <v>1/750</v>
      </c>
      <c r="M1083" s="478">
        <f>IF(L1083&lt;&gt;"-",VLOOKUP(L1083,precio_aislador,2,FALSE),0)</f>
        <v>1.9</v>
      </c>
      <c r="N1083" s="696">
        <f t="shared" si="616"/>
        <v>101.615325</v>
      </c>
      <c r="O1083" s="288"/>
      <c r="P1083" s="297"/>
      <c r="Q1083" s="288"/>
      <c r="R1083" s="102"/>
      <c r="S1083" s="102"/>
      <c r="T1083" s="102"/>
    </row>
    <row r="1084" spans="1:20" s="199" customFormat="1" ht="15.75" customHeight="1">
      <c r="A1084" s="2642"/>
      <c r="B1084" s="692" t="s">
        <v>2500</v>
      </c>
      <c r="C1084" s="693"/>
      <c r="D1084" s="697">
        <f>IF(H1084&lt;&gt;"",VLOOKUP(G1084,base_barras,IF(H1084="Desnuda",2,5)+F1084-1,FALSE),"-")</f>
        <v>676</v>
      </c>
      <c r="E1084" s="694">
        <v>3</v>
      </c>
      <c r="F1084" s="655">
        <v>1</v>
      </c>
      <c r="G1084" s="698" t="s">
        <v>314</v>
      </c>
      <c r="H1084" s="655" t="s">
        <v>1043</v>
      </c>
      <c r="I1084" s="398">
        <v>0.61</v>
      </c>
      <c r="J1084" s="478">
        <f>IF(G1084&lt;&gt;"",VLOOKUP(G1084,precio_barras,9,FALSE),0)</f>
        <v>26.6</v>
      </c>
      <c r="K1084" s="694">
        <v>0</v>
      </c>
      <c r="L1084" s="695" t="str">
        <f>IF(G1084&lt;&gt;"",IF(VLOOKUP(G1084,base_barras,10,FALSE)&lt;&gt;"",VLOOKUP(G1084,base_barras,10,FALSE),"-"),"-")</f>
        <v>1/750</v>
      </c>
      <c r="M1084" s="478">
        <f>IF(L1084&lt;&gt;"-",VLOOKUP(L1084,precio_aislador,2,FALSE),0)</f>
        <v>1.9</v>
      </c>
      <c r="N1084" s="696">
        <f t="shared" si="616"/>
        <v>101.615325</v>
      </c>
      <c r="O1084" s="288"/>
      <c r="P1084" s="297"/>
      <c r="Q1084" s="288"/>
      <c r="R1084" s="102"/>
      <c r="S1084" s="102"/>
      <c r="T1084" s="102"/>
    </row>
    <row r="1085" spans="1:20" s="199" customFormat="1" ht="15.75" customHeight="1">
      <c r="A1085" s="2642"/>
      <c r="B1085" s="692" t="s">
        <v>2500</v>
      </c>
      <c r="C1085" s="693"/>
      <c r="D1085" s="697">
        <f>IF(H1085&lt;&gt;"",VLOOKUP(G1085,base_barras,IF(H1085="Desnuda",2,5)+F1085-1,FALSE),"-")</f>
        <v>676</v>
      </c>
      <c r="E1085" s="694">
        <v>3</v>
      </c>
      <c r="F1085" s="655">
        <v>1</v>
      </c>
      <c r="G1085" s="698" t="s">
        <v>314</v>
      </c>
      <c r="H1085" s="655" t="s">
        <v>1043</v>
      </c>
      <c r="I1085" s="398">
        <v>0.61</v>
      </c>
      <c r="J1085" s="478">
        <f>IF(G1085&lt;&gt;"",VLOOKUP(G1085,precio_barras,9,FALSE),0)</f>
        <v>26.6</v>
      </c>
      <c r="K1085" s="694">
        <v>0</v>
      </c>
      <c r="L1085" s="695" t="str">
        <f>IF(G1085&lt;&gt;"",IF(VLOOKUP(G1085,base_barras,10,FALSE)&lt;&gt;"",VLOOKUP(G1085,base_barras,10,FALSE),"-"),"-")</f>
        <v>1/750</v>
      </c>
      <c r="M1085" s="478">
        <f>IF(L1085&lt;&gt;"-",VLOOKUP(L1085,precio_aislador,2,FALSE),0)</f>
        <v>1.9</v>
      </c>
      <c r="N1085" s="696">
        <f t="shared" si="616"/>
        <v>101.615325</v>
      </c>
      <c r="O1085" s="288"/>
      <c r="P1085" s="297"/>
      <c r="Q1085" s="288"/>
      <c r="R1085" s="102"/>
      <c r="S1085" s="102"/>
      <c r="T1085" s="102"/>
    </row>
    <row r="1086" spans="1:20" s="199" customFormat="1" ht="15.75" customHeight="1" thickBot="1">
      <c r="A1086" s="2642"/>
      <c r="B1086" s="692" t="s">
        <v>2501</v>
      </c>
      <c r="C1086" s="693"/>
      <c r="D1086" s="312">
        <f t="shared" si="613"/>
        <v>327</v>
      </c>
      <c r="E1086" s="313">
        <v>3</v>
      </c>
      <c r="F1086" s="314">
        <v>1</v>
      </c>
      <c r="G1086" s="315" t="s">
        <v>63</v>
      </c>
      <c r="H1086" s="314" t="s">
        <v>1044</v>
      </c>
      <c r="I1086" s="316">
        <v>0.4</v>
      </c>
      <c r="J1086" s="317">
        <f t="shared" si="612"/>
        <v>11.100000000000001</v>
      </c>
      <c r="K1086" s="694">
        <v>0</v>
      </c>
      <c r="L1086" s="695" t="str">
        <f t="shared" si="614"/>
        <v>0.5/400</v>
      </c>
      <c r="M1086" s="478">
        <f t="shared" si="615"/>
        <v>1.2</v>
      </c>
      <c r="N1086" s="696">
        <f t="shared" si="616"/>
        <v>27.805499999999999</v>
      </c>
      <c r="O1086" s="288"/>
      <c r="P1086" s="297"/>
      <c r="Q1086" s="288"/>
      <c r="R1086" s="102"/>
      <c r="S1086" s="102"/>
      <c r="T1086" s="102"/>
    </row>
    <row r="1087" spans="1:20" s="129" customFormat="1" ht="22.5" customHeight="1" thickBot="1">
      <c r="A1087" s="371"/>
      <c r="B1087" s="373"/>
      <c r="C1087" s="375"/>
      <c r="D1087" s="383"/>
      <c r="E1087" s="373"/>
      <c r="F1087" s="373"/>
      <c r="G1087" s="373"/>
      <c r="H1087" s="373"/>
      <c r="I1087" s="374"/>
      <c r="J1087" s="374"/>
      <c r="K1087" s="373"/>
      <c r="L1087" s="373"/>
      <c r="M1087" s="372"/>
      <c r="N1087" s="699">
        <f>SUM(N1079:N1086)</f>
        <v>2076.1231249999996</v>
      </c>
      <c r="O1087" s="288"/>
      <c r="P1087" s="297"/>
      <c r="Q1087" s="288"/>
      <c r="R1087" s="102"/>
      <c r="S1087" s="102"/>
      <c r="T1087" s="102"/>
    </row>
    <row r="1088" spans="1:20" s="102" customFormat="1" ht="8.25" customHeight="1" thickBot="1">
      <c r="A1088" s="323"/>
      <c r="B1088" s="323"/>
      <c r="C1088" s="323"/>
      <c r="D1088" s="382"/>
      <c r="E1088" s="323"/>
      <c r="F1088" s="325"/>
      <c r="G1088" s="325"/>
      <c r="H1088" s="325"/>
      <c r="I1088" s="323"/>
      <c r="J1088" s="323"/>
      <c r="K1088" s="323"/>
      <c r="L1088" s="325"/>
      <c r="M1088" s="323"/>
      <c r="N1088" s="309"/>
      <c r="O1088" s="288"/>
      <c r="P1088" s="297"/>
      <c r="Q1088" s="288"/>
    </row>
    <row r="1089" spans="1:20" s="102" customFormat="1" ht="12.75" customHeight="1">
      <c r="A1089" s="2639" t="s">
        <v>2502</v>
      </c>
      <c r="B1089" s="687" t="s">
        <v>2503</v>
      </c>
      <c r="C1089" s="327"/>
      <c r="D1089" s="328">
        <f>IF(H1089&lt;&gt;"",VLOOKUP(G1089,base_barras,IF(H1089="Desnuda",2,5)+F1089-1,FALSE),"-")</f>
        <v>3290</v>
      </c>
      <c r="E1089" s="329">
        <v>3</v>
      </c>
      <c r="F1089" s="330">
        <v>1</v>
      </c>
      <c r="G1089" s="331" t="s">
        <v>584</v>
      </c>
      <c r="H1089" s="330" t="s">
        <v>1043</v>
      </c>
      <c r="I1089" s="332">
        <v>0</v>
      </c>
      <c r="J1089" s="333">
        <f>IF(G1089&lt;&gt;"",VLOOKUP(G1089,precio_barras,9,FALSE),0)</f>
        <v>231.4</v>
      </c>
      <c r="K1089" s="481">
        <v>0</v>
      </c>
      <c r="L1089" s="343" t="str">
        <f>IF(G1089&lt;&gt;"",IF(VLOOKUP(G1089,base_barras,10,FALSE)&lt;&gt;"",VLOOKUP(G1089,base_barras,10,FALSE),"-"),"-")</f>
        <v>1.5/1600</v>
      </c>
      <c r="M1089" s="333">
        <f>IF(L1089&lt;&gt;"-",VLOOKUP(L1089,precio_aislador,2,FALSE),0)</f>
        <v>22</v>
      </c>
      <c r="N1089" s="360">
        <f>(I1089*J1089*F1089+K1089*M1089)*E1089*1.67*1.25</f>
        <v>0</v>
      </c>
      <c r="O1089" s="288"/>
      <c r="P1089" s="297"/>
      <c r="Q1089" s="297"/>
    </row>
    <row r="1090" spans="1:20" s="199" customFormat="1" ht="15.75" customHeight="1" thickBot="1">
      <c r="A1090" s="2644"/>
      <c r="B1090" s="700" t="s">
        <v>2504</v>
      </c>
      <c r="C1090" s="701"/>
      <c r="D1090" s="364">
        <f>IF(H1090&lt;&gt;"",VLOOKUP(G1090,base_barras,IF(H1090="Desnuda",2,5)+F1090-1,FALSE),"-")</f>
        <v>3170</v>
      </c>
      <c r="E1090" s="365">
        <v>3</v>
      </c>
      <c r="F1090" s="366">
        <v>3</v>
      </c>
      <c r="G1090" s="322" t="s">
        <v>582</v>
      </c>
      <c r="H1090" s="366" t="s">
        <v>1043</v>
      </c>
      <c r="I1090" s="367">
        <v>0</v>
      </c>
      <c r="J1090" s="368">
        <f>IF(G1090&lt;&gt;"",VLOOKUP(G1090,precio_barras,9,FALSE),0)</f>
        <v>71.100000000000009</v>
      </c>
      <c r="K1090" s="702">
        <v>0</v>
      </c>
      <c r="L1090" s="703" t="str">
        <f>IF(G1090&lt;&gt;"",IF(VLOOKUP(G1090,base_barras,10,FALSE)&lt;&gt;"",VLOOKUP(G1090,base_barras,10,FALSE),"-"),"-")</f>
        <v>1/1000</v>
      </c>
      <c r="M1090" s="480">
        <f>IF(L1090&lt;&gt;"-",VLOOKUP(L1090,precio_aislador,2,FALSE),0)</f>
        <v>2.7</v>
      </c>
      <c r="N1090" s="704">
        <f>(I1090*J1090*F1090+K1090*M1090)*E1090*1.67*1.25</f>
        <v>0</v>
      </c>
      <c r="O1090" s="288"/>
      <c r="P1090" s="297"/>
      <c r="Q1090" s="288"/>
      <c r="R1090" s="102"/>
      <c r="S1090" s="102"/>
      <c r="T1090" s="102"/>
    </row>
    <row r="1091" spans="1:20" s="102" customFormat="1" ht="12.75" customHeight="1">
      <c r="A1091" s="2644"/>
      <c r="B1091" s="692" t="s">
        <v>2503</v>
      </c>
      <c r="C1091" s="693"/>
      <c r="D1091" s="697">
        <f>IF(H1091&lt;&gt;"",VLOOKUP(G1091,base_barras,IF(H1091="Desnuda",2,5)+F1091-1,FALSE),"-")</f>
        <v>3290</v>
      </c>
      <c r="E1091" s="694">
        <v>3</v>
      </c>
      <c r="F1091" s="655">
        <v>1</v>
      </c>
      <c r="G1091" s="698" t="s">
        <v>584</v>
      </c>
      <c r="H1091" s="655" t="s">
        <v>1043</v>
      </c>
      <c r="I1091" s="398">
        <v>0</v>
      </c>
      <c r="J1091" s="478">
        <f>IF(G1091&lt;&gt;"",VLOOKUP(G1091,precio_barras,9,FALSE),0)</f>
        <v>231.4</v>
      </c>
      <c r="K1091" s="705">
        <v>0</v>
      </c>
      <c r="L1091" s="695" t="str">
        <f>IF(G1091&lt;&gt;"",IF(VLOOKUP(G1091,base_barras,10,FALSE)&lt;&gt;"",VLOOKUP(G1091,base_barras,10,FALSE),"-"),"-")</f>
        <v>1.5/1600</v>
      </c>
      <c r="M1091" s="478">
        <f>IF(L1091&lt;&gt;"-",VLOOKUP(L1091,precio_aislador,2,FALSE),0)</f>
        <v>22</v>
      </c>
      <c r="N1091" s="696">
        <f>(I1091*J1091*F1091+K1091*M1091)*E1091*1.67*1.25</f>
        <v>0</v>
      </c>
      <c r="O1091" s="288"/>
      <c r="P1091" s="297"/>
      <c r="Q1091" s="297"/>
    </row>
    <row r="1092" spans="1:20" s="199" customFormat="1" ht="15.75" customHeight="1" thickBot="1">
      <c r="A1092" s="2640"/>
      <c r="B1092" s="700" t="s">
        <v>2504</v>
      </c>
      <c r="C1092" s="701"/>
      <c r="D1092" s="364">
        <f>IF(H1092&lt;&gt;"",VLOOKUP(G1092,base_barras,IF(H1092="Desnuda",2,5)+F1092-1,FALSE),"-")</f>
        <v>3170</v>
      </c>
      <c r="E1092" s="365">
        <v>3</v>
      </c>
      <c r="F1092" s="366">
        <v>3</v>
      </c>
      <c r="G1092" s="322" t="s">
        <v>582</v>
      </c>
      <c r="H1092" s="366" t="s">
        <v>1043</v>
      </c>
      <c r="I1092" s="367">
        <v>0</v>
      </c>
      <c r="J1092" s="368">
        <f>IF(G1092&lt;&gt;"",VLOOKUP(G1092,precio_barras,9,FALSE),0)</f>
        <v>71.100000000000009</v>
      </c>
      <c r="K1092" s="702">
        <v>0</v>
      </c>
      <c r="L1092" s="703" t="str">
        <f>IF(G1092&lt;&gt;"",IF(VLOOKUP(G1092,base_barras,10,FALSE)&lt;&gt;"",VLOOKUP(G1092,base_barras,10,FALSE),"-"),"-")</f>
        <v>1/1000</v>
      </c>
      <c r="M1092" s="480">
        <f>IF(L1092&lt;&gt;"-",VLOOKUP(L1092,precio_aislador,2,FALSE),0)</f>
        <v>2.7</v>
      </c>
      <c r="N1092" s="704">
        <f>(I1092*J1092*F1092+K1092*M1092)*E1092*1.67*1.25</f>
        <v>0</v>
      </c>
      <c r="O1092" s="288"/>
      <c r="P1092" s="297"/>
      <c r="Q1092" s="288"/>
      <c r="R1092" s="102"/>
      <c r="S1092" s="102"/>
      <c r="T1092" s="102"/>
    </row>
    <row r="1093" spans="1:20" s="102" customFormat="1" ht="13.5" thickBot="1">
      <c r="A1093" s="323"/>
      <c r="B1093" s="323"/>
      <c r="C1093" s="309"/>
      <c r="D1093" s="382"/>
      <c r="E1093" s="323"/>
      <c r="F1093" s="309"/>
      <c r="G1093" s="309"/>
      <c r="H1093" s="323"/>
      <c r="I1093" s="325"/>
      <c r="J1093" s="325"/>
      <c r="K1093" s="323"/>
      <c r="L1093" s="323"/>
      <c r="M1093" s="325"/>
      <c r="N1093" s="706">
        <f>SUM(N1089:N1092)</f>
        <v>0</v>
      </c>
      <c r="O1093" s="288"/>
      <c r="P1093" s="297"/>
      <c r="Q1093" s="297"/>
    </row>
    <row r="1094" spans="1:20" s="102" customFormat="1" ht="8.25" customHeight="1" thickBot="1">
      <c r="A1094" s="323"/>
      <c r="B1094" s="323"/>
      <c r="C1094" s="323"/>
      <c r="D1094" s="382"/>
      <c r="E1094" s="323"/>
      <c r="F1094" s="325"/>
      <c r="G1094" s="325"/>
      <c r="H1094" s="325"/>
      <c r="I1094" s="323"/>
      <c r="J1094" s="323"/>
      <c r="K1094" s="323"/>
      <c r="L1094" s="325"/>
      <c r="M1094" s="323"/>
      <c r="N1094" s="309"/>
      <c r="O1094" s="288"/>
      <c r="P1094" s="297"/>
      <c r="Q1094" s="288"/>
    </row>
    <row r="1095" spans="1:20" s="102" customFormat="1" ht="12.75" customHeight="1">
      <c r="A1095" s="2639" t="s">
        <v>2505</v>
      </c>
      <c r="B1095" s="687" t="s">
        <v>2506</v>
      </c>
      <c r="C1095" s="327"/>
      <c r="D1095" s="328">
        <f>IF(H1095&lt;&gt;"",VLOOKUP(G1095,base_barras,IF(H1095="Desnuda",2,5)+F1095-1,FALSE),"-")</f>
        <v>3290</v>
      </c>
      <c r="E1095" s="329">
        <v>3</v>
      </c>
      <c r="F1095" s="330">
        <v>1</v>
      </c>
      <c r="G1095" s="331" t="s">
        <v>584</v>
      </c>
      <c r="H1095" s="330" t="s">
        <v>1043</v>
      </c>
      <c r="I1095" s="332">
        <v>0</v>
      </c>
      <c r="J1095" s="333">
        <f>IF(G1095&lt;&gt;"",VLOOKUP(G1095,precio_barras,9,FALSE),0)</f>
        <v>231.4</v>
      </c>
      <c r="K1095" s="481">
        <v>0</v>
      </c>
      <c r="L1095" s="343" t="str">
        <f>IF(G1095&lt;&gt;"",IF(VLOOKUP(G1095,base_barras,10,FALSE)&lt;&gt;"",VLOOKUP(G1095,base_barras,10,FALSE),"-"),"-")</f>
        <v>1.5/1600</v>
      </c>
      <c r="M1095" s="333">
        <f>IF(L1095&lt;&gt;"-",VLOOKUP(L1095,precio_aislador,2,FALSE),0)</f>
        <v>22</v>
      </c>
      <c r="N1095" s="360">
        <f>(I1095*J1095*F1095+K1095*M1095)*E1095*1.67*1.25</f>
        <v>0</v>
      </c>
      <c r="O1095" s="288"/>
      <c r="P1095" s="297"/>
      <c r="Q1095" s="297"/>
    </row>
    <row r="1096" spans="1:20" s="102" customFormat="1" ht="13.5" thickBot="1">
      <c r="A1096" s="2644"/>
      <c r="B1096" s="707" t="s">
        <v>2504</v>
      </c>
      <c r="C1096" s="479"/>
      <c r="D1096" s="364">
        <f>IF(H1096&lt;&gt;"",VLOOKUP(G1096,base_barras,IF(H1096="Desnuda",2,5)+F1096-1,FALSE),"-")</f>
        <v>3170</v>
      </c>
      <c r="E1096" s="365">
        <v>3</v>
      </c>
      <c r="F1096" s="366">
        <v>3</v>
      </c>
      <c r="G1096" s="322" t="s">
        <v>582</v>
      </c>
      <c r="H1096" s="366" t="s">
        <v>1043</v>
      </c>
      <c r="I1096" s="367">
        <v>0</v>
      </c>
      <c r="J1096" s="368">
        <f>IF(G1096&lt;&gt;"",VLOOKUP(G1096,precio_barras,9,FALSE),0)</f>
        <v>71.100000000000009</v>
      </c>
      <c r="K1096" s="365">
        <v>0</v>
      </c>
      <c r="L1096" s="369" t="str">
        <f>IF(G1096&lt;&gt;"",IF(VLOOKUP(G1096,base_barras,10,FALSE)&lt;&gt;"",VLOOKUP(G1096,base_barras,10,FALSE),"-"),"-")</f>
        <v>1/1000</v>
      </c>
      <c r="M1096" s="368">
        <f>IF(L1096&lt;&gt;"-",VLOOKUP(L1096,precio_aislador,2,FALSE),0)</f>
        <v>2.7</v>
      </c>
      <c r="N1096" s="370">
        <f>(I1096*J1096*F1096+K1096*M1096)*E1096*1.67*1.25</f>
        <v>0</v>
      </c>
      <c r="O1096" s="288"/>
      <c r="P1096" s="297"/>
      <c r="Q1096" s="297"/>
    </row>
    <row r="1097" spans="1:20" s="102" customFormat="1" ht="12.75" customHeight="1">
      <c r="A1097" s="2644"/>
      <c r="B1097" s="692" t="s">
        <v>2506</v>
      </c>
      <c r="C1097" s="693"/>
      <c r="D1097" s="697">
        <f>IF(H1097&lt;&gt;"",VLOOKUP(G1097,base_barras,IF(H1097="Desnuda",2,5)+F1097-1,FALSE),"-")</f>
        <v>3290</v>
      </c>
      <c r="E1097" s="694">
        <v>3</v>
      </c>
      <c r="F1097" s="655">
        <v>1</v>
      </c>
      <c r="G1097" s="698" t="s">
        <v>584</v>
      </c>
      <c r="H1097" s="655" t="s">
        <v>1043</v>
      </c>
      <c r="I1097" s="398">
        <v>0</v>
      </c>
      <c r="J1097" s="478">
        <f>IF(G1097&lt;&gt;"",VLOOKUP(G1097,precio_barras,9,FALSE),0)</f>
        <v>231.4</v>
      </c>
      <c r="K1097" s="705">
        <v>0</v>
      </c>
      <c r="L1097" s="695" t="str">
        <f>IF(G1097&lt;&gt;"",IF(VLOOKUP(G1097,base_barras,10,FALSE)&lt;&gt;"",VLOOKUP(G1097,base_barras,10,FALSE),"-"),"-")</f>
        <v>1.5/1600</v>
      </c>
      <c r="M1097" s="478">
        <f>IF(L1097&lt;&gt;"-",VLOOKUP(L1097,precio_aislador,2,FALSE),0)</f>
        <v>22</v>
      </c>
      <c r="N1097" s="696">
        <f>(I1097*J1097*F1097+K1097*M1097)*E1097*1.67*1.25</f>
        <v>0</v>
      </c>
      <c r="O1097" s="288"/>
      <c r="P1097" s="297"/>
      <c r="Q1097" s="297"/>
    </row>
    <row r="1098" spans="1:20" s="102" customFormat="1" ht="13.5" thickBot="1">
      <c r="A1098" s="2640"/>
      <c r="B1098" s="700" t="s">
        <v>2504</v>
      </c>
      <c r="C1098" s="701"/>
      <c r="D1098" s="708">
        <f>IF(H1098&lt;&gt;"",VLOOKUP(G1098,base_barras,IF(H1098="Desnuda",2,5)+F1098-1,FALSE),"-")</f>
        <v>3170</v>
      </c>
      <c r="E1098" s="702">
        <v>3</v>
      </c>
      <c r="F1098" s="709">
        <v>3</v>
      </c>
      <c r="G1098" s="710" t="s">
        <v>582</v>
      </c>
      <c r="H1098" s="709" t="s">
        <v>1043</v>
      </c>
      <c r="I1098" s="711">
        <v>0</v>
      </c>
      <c r="J1098" s="480">
        <f>IF(G1098&lt;&gt;"",VLOOKUP(G1098,precio_barras,9,FALSE),0)</f>
        <v>71.100000000000009</v>
      </c>
      <c r="K1098" s="702">
        <v>0</v>
      </c>
      <c r="L1098" s="703" t="str">
        <f>IF(G1098&lt;&gt;"",IF(VLOOKUP(G1098,base_barras,10,FALSE)&lt;&gt;"",VLOOKUP(G1098,base_barras,10,FALSE),"-"),"-")</f>
        <v>1/1000</v>
      </c>
      <c r="M1098" s="480">
        <f>IF(L1098&lt;&gt;"-",VLOOKUP(L1098,precio_aislador,2,FALSE),0)</f>
        <v>2.7</v>
      </c>
      <c r="N1098" s="704">
        <f>(I1098*J1098*F1098+K1098*M1098)*E1098*1.67*1.25</f>
        <v>0</v>
      </c>
      <c r="O1098" s="288"/>
      <c r="P1098" s="297"/>
      <c r="Q1098" s="297"/>
    </row>
    <row r="1099" spans="1:20" s="102" customFormat="1" ht="13.5" thickBot="1">
      <c r="A1099" s="323"/>
      <c r="B1099" s="323"/>
      <c r="C1099" s="309"/>
      <c r="D1099" s="382"/>
      <c r="E1099" s="323"/>
      <c r="F1099" s="309"/>
      <c r="G1099" s="309"/>
      <c r="H1099" s="323"/>
      <c r="I1099" s="325"/>
      <c r="J1099" s="325"/>
      <c r="K1099" s="323"/>
      <c r="L1099" s="323"/>
      <c r="M1099" s="325"/>
      <c r="N1099" s="706">
        <f>SUM(N1095:N1098)</f>
        <v>0</v>
      </c>
      <c r="O1099" s="288"/>
      <c r="P1099" s="297"/>
      <c r="Q1099" s="297"/>
    </row>
    <row r="1100" spans="1:20" s="102" customFormat="1" ht="8.25" customHeight="1" thickBot="1">
      <c r="A1100" s="323"/>
      <c r="B1100" s="323"/>
      <c r="C1100" s="323"/>
      <c r="D1100" s="382"/>
      <c r="E1100" s="323"/>
      <c r="F1100" s="325"/>
      <c r="G1100" s="325"/>
      <c r="H1100" s="325"/>
      <c r="I1100" s="323"/>
      <c r="J1100" s="323"/>
      <c r="K1100" s="323"/>
      <c r="L1100" s="325"/>
      <c r="M1100" s="323"/>
      <c r="N1100" s="309"/>
      <c r="O1100" s="288"/>
      <c r="P1100" s="297"/>
      <c r="Q1100" s="288"/>
    </row>
    <row r="1101" spans="1:20" s="102" customFormat="1">
      <c r="A1101" s="2629" t="s">
        <v>1228</v>
      </c>
      <c r="B1101" s="687" t="s">
        <v>2507</v>
      </c>
      <c r="C1101" s="327"/>
      <c r="D1101" s="328">
        <f>IF(H1101&lt;&gt;"",VLOOKUP(G1101,base_barras,IF(H1101="Desnuda",2,5)+F1101-1,FALSE),"-")</f>
        <v>1960</v>
      </c>
      <c r="E1101" s="481">
        <v>3</v>
      </c>
      <c r="F1101" s="330">
        <v>2</v>
      </c>
      <c r="G1101" s="331" t="s">
        <v>581</v>
      </c>
      <c r="H1101" s="330" t="s">
        <v>1043</v>
      </c>
      <c r="I1101" s="332">
        <f>0.2</f>
        <v>0.2</v>
      </c>
      <c r="J1101" s="333">
        <f>IF(G1101&lt;&gt;"",VLOOKUP(G1101,precio_barras,9,FALSE),0)</f>
        <v>53.3</v>
      </c>
      <c r="K1101" s="329">
        <v>0</v>
      </c>
      <c r="L1101" s="343" t="str">
        <f>IF(G1101&lt;&gt;"",IF(VLOOKUP(G1101,base_barras,10,FALSE)&lt;&gt;"",VLOOKUP(G1101,base_barras,10,FALSE),"-"),"-")</f>
        <v>1/750</v>
      </c>
      <c r="M1101" s="333">
        <f>IF(L1101&lt;&gt;"-",VLOOKUP(L1101,precio_aislador,2,FALSE),0)</f>
        <v>1.9</v>
      </c>
      <c r="N1101" s="360">
        <f>(I1101*J1101*F1101+K1101*M1101)*E1101*1.67*1.25</f>
        <v>133.51650000000001</v>
      </c>
      <c r="O1101" s="288"/>
      <c r="P1101" s="297"/>
      <c r="Q1101" s="297"/>
    </row>
    <row r="1102" spans="1:20" s="102" customFormat="1" ht="13.5" thickBot="1">
      <c r="A1102" s="2635"/>
      <c r="B1102" s="707"/>
      <c r="C1102" s="479"/>
      <c r="D1102" s="364" t="str">
        <f>IF(H1102&lt;&gt;"",VLOOKUP(G1102,base_barras,IF(H1102="Desnuda",2,5)+F1102-1,FALSE),"-")</f>
        <v>-</v>
      </c>
      <c r="E1102" s="365"/>
      <c r="F1102" s="366"/>
      <c r="G1102" s="322"/>
      <c r="H1102" s="366"/>
      <c r="I1102" s="367"/>
      <c r="J1102" s="480">
        <f>IF(G1102&lt;&gt;"",VLOOKUP(G1102,precio_barras,9,FALSE),0)</f>
        <v>0</v>
      </c>
      <c r="K1102" s="365"/>
      <c r="L1102" s="369" t="str">
        <f>IF(G1102&lt;&gt;"",IF(VLOOKUP(G1102,base_barras,10,FALSE)&lt;&gt;"",VLOOKUP(G1102,base_barras,10,FALSE),"-"),"-")</f>
        <v>-</v>
      </c>
      <c r="M1102" s="368">
        <f>IF(L1102&lt;&gt;"-",VLOOKUP(L1102,precio_aislador,2,FALSE),0)</f>
        <v>0</v>
      </c>
      <c r="N1102" s="370">
        <f>(I1102*J1102*F1102+K1102*M1102)*E1102*1.67*1.25</f>
        <v>0</v>
      </c>
      <c r="O1102" s="288"/>
      <c r="P1102" s="297"/>
      <c r="Q1102" s="297"/>
    </row>
    <row r="1103" spans="1:20" s="102" customFormat="1" ht="13.5" thickBot="1">
      <c r="A1103" s="323"/>
      <c r="B1103" s="323"/>
      <c r="C1103" s="309"/>
      <c r="D1103" s="382"/>
      <c r="E1103" s="323"/>
      <c r="F1103" s="309"/>
      <c r="G1103" s="309"/>
      <c r="H1103" s="323"/>
      <c r="I1103" s="325"/>
      <c r="J1103" s="325"/>
      <c r="K1103" s="323"/>
      <c r="L1103" s="323"/>
      <c r="M1103" s="325"/>
      <c r="N1103" s="706">
        <f>SUM(N1101:N1102)</f>
        <v>133.51650000000001</v>
      </c>
      <c r="O1103" s="288"/>
      <c r="P1103" s="297"/>
      <c r="Q1103" s="297"/>
    </row>
    <row r="1104" spans="1:20" s="102" customFormat="1" ht="8.25" customHeight="1" thickBot="1">
      <c r="A1104" s="323"/>
      <c r="B1104" s="323"/>
      <c r="C1104" s="323"/>
      <c r="D1104" s="382"/>
      <c r="E1104" s="323"/>
      <c r="F1104" s="325"/>
      <c r="G1104" s="325"/>
      <c r="H1104" s="325"/>
      <c r="I1104" s="323"/>
      <c r="J1104" s="323"/>
      <c r="K1104" s="323"/>
      <c r="L1104" s="325"/>
      <c r="M1104" s="323"/>
      <c r="N1104" s="309"/>
      <c r="O1104" s="288"/>
      <c r="P1104" s="297"/>
      <c r="Q1104" s="288"/>
    </row>
    <row r="1105" spans="1:20" s="102" customFormat="1">
      <c r="A1105" s="2639" t="s">
        <v>2508</v>
      </c>
      <c r="B1105" s="687" t="s">
        <v>2509</v>
      </c>
      <c r="C1105" s="327"/>
      <c r="D1105" s="328">
        <f>IF(H1105&lt;&gt;"",VLOOKUP(G1105,base_barras,IF(H1105="Desnuda",2,5)+F1105-1,FALSE),"-")</f>
        <v>676</v>
      </c>
      <c r="E1105" s="329">
        <v>3</v>
      </c>
      <c r="F1105" s="330">
        <v>1</v>
      </c>
      <c r="G1105" s="331" t="s">
        <v>314</v>
      </c>
      <c r="H1105" s="330" t="s">
        <v>1043</v>
      </c>
      <c r="I1105" s="332">
        <v>0</v>
      </c>
      <c r="J1105" s="333">
        <f>IF(G1105&lt;&gt;"",VLOOKUP(G1105,precio_barras,9,FALSE),0)</f>
        <v>26.6</v>
      </c>
      <c r="K1105" s="329">
        <v>0</v>
      </c>
      <c r="L1105" s="343" t="str">
        <f>IF(G1105&lt;&gt;"",IF(VLOOKUP(G1105,base_barras,10,FALSE)&lt;&gt;"",VLOOKUP(G1105,base_barras,10,FALSE),"-"),"-")</f>
        <v>1/750</v>
      </c>
      <c r="M1105" s="333">
        <f>IF(L1105&lt;&gt;"-",VLOOKUP(L1105,precio_aislador,2,FALSE),0)</f>
        <v>1.9</v>
      </c>
      <c r="N1105" s="360">
        <f>(I1105*J1105*F1105+K1105*M1105)*E1105*1.67*1.25</f>
        <v>0</v>
      </c>
      <c r="O1105" s="288"/>
      <c r="P1105" s="297"/>
      <c r="Q1105" s="297"/>
    </row>
    <row r="1106" spans="1:20" s="199" customFormat="1" ht="15.75" customHeight="1" thickBot="1">
      <c r="A1106" s="2647"/>
      <c r="B1106" s="700"/>
      <c r="C1106" s="701"/>
      <c r="D1106" s="708">
        <f>IF(H1106&lt;&gt;"",VLOOKUP(G1106,base_barras,IF(H1106="Desnuda",2,5)+F1106-1,FALSE),"-")</f>
        <v>1500</v>
      </c>
      <c r="E1106" s="702">
        <v>3</v>
      </c>
      <c r="F1106" s="709">
        <v>1</v>
      </c>
      <c r="G1106" s="710" t="s">
        <v>582</v>
      </c>
      <c r="H1106" s="709" t="s">
        <v>1043</v>
      </c>
      <c r="I1106" s="711">
        <v>0</v>
      </c>
      <c r="J1106" s="480">
        <f>IF(G1106&lt;&gt;"",VLOOKUP(G1106,precio_barras,9,FALSE),0)</f>
        <v>71.100000000000009</v>
      </c>
      <c r="K1106" s="702">
        <v>0</v>
      </c>
      <c r="L1106" s="703" t="str">
        <f>IF(G1106&lt;&gt;"",IF(VLOOKUP(G1106,base_barras,10,FALSE)&lt;&gt;"",VLOOKUP(G1106,base_barras,10,FALSE),"-"),"-")</f>
        <v>1/1000</v>
      </c>
      <c r="M1106" s="480">
        <f>IF(L1106&lt;&gt;"-",VLOOKUP(L1106,precio_aislador,2,FALSE),0)</f>
        <v>2.7</v>
      </c>
      <c r="N1106" s="704">
        <f>(I1106*J1106*F1106+K1106*M1106)*E1106*1.67*1.25</f>
        <v>0</v>
      </c>
      <c r="O1106" s="288"/>
      <c r="P1106" s="297"/>
      <c r="Q1106" s="288"/>
      <c r="R1106" s="102"/>
      <c r="S1106" s="102"/>
      <c r="T1106" s="102"/>
    </row>
    <row r="1107" spans="1:20" s="102" customFormat="1" ht="13.5" thickBot="1">
      <c r="A1107" s="323"/>
      <c r="B1107" s="323"/>
      <c r="C1107" s="309"/>
      <c r="D1107" s="382"/>
      <c r="E1107" s="323"/>
      <c r="F1107" s="309"/>
      <c r="G1107" s="309"/>
      <c r="H1107" s="323"/>
      <c r="I1107" s="325"/>
      <c r="J1107" s="325"/>
      <c r="K1107" s="323"/>
      <c r="L1107" s="323"/>
      <c r="M1107" s="325"/>
      <c r="N1107" s="706">
        <f>SUM(N1105:N1106)</f>
        <v>0</v>
      </c>
      <c r="O1107" s="288"/>
      <c r="P1107" s="297"/>
      <c r="Q1107" s="297"/>
    </row>
    <row r="1108" spans="1:20" s="102" customFormat="1" ht="8.25" customHeight="1" thickBot="1">
      <c r="A1108" s="323"/>
      <c r="B1108" s="323"/>
      <c r="C1108" s="323"/>
      <c r="D1108" s="382"/>
      <c r="E1108" s="323"/>
      <c r="F1108" s="325"/>
      <c r="G1108" s="325"/>
      <c r="H1108" s="325"/>
      <c r="I1108" s="323"/>
      <c r="J1108" s="323"/>
      <c r="K1108" s="323"/>
      <c r="L1108" s="325"/>
      <c r="M1108" s="323"/>
      <c r="N1108" s="309"/>
      <c r="O1108" s="288"/>
      <c r="P1108" s="297"/>
      <c r="Q1108" s="288"/>
    </row>
    <row r="1109" spans="1:20" s="102" customFormat="1" ht="13.5" thickBot="1">
      <c r="A1109" s="2645" t="s">
        <v>1034</v>
      </c>
      <c r="B1109" s="687" t="s">
        <v>2510</v>
      </c>
      <c r="C1109" s="327"/>
      <c r="D1109" s="328">
        <f>IF(H1109&lt;&gt;"",VLOOKUP(G1109,base_barras,IF(H1109="Desnuda",2,5)+F1109-1,FALSE),"-")</f>
        <v>676</v>
      </c>
      <c r="E1109" s="329">
        <v>3</v>
      </c>
      <c r="F1109" s="330">
        <v>1</v>
      </c>
      <c r="G1109" s="331" t="s">
        <v>314</v>
      </c>
      <c r="H1109" s="330" t="s">
        <v>1043</v>
      </c>
      <c r="I1109" s="332">
        <v>0.3</v>
      </c>
      <c r="J1109" s="333">
        <f>IF(G1109&lt;&gt;"",VLOOKUP(G1109,precio_barras,9,FALSE),0)</f>
        <v>26.6</v>
      </c>
      <c r="K1109" s="329">
        <v>0</v>
      </c>
      <c r="L1109" s="343" t="str">
        <f>IF(G1109&lt;&gt;"",IF(VLOOKUP(G1109,base_barras,10,FALSE)&lt;&gt;"",VLOOKUP(G1109,base_barras,10,FALSE),"-"),"-")</f>
        <v>1/750</v>
      </c>
      <c r="M1109" s="333">
        <f>IF(L1109&lt;&gt;"-",VLOOKUP(L1109,precio_aislador,2,FALSE),0)</f>
        <v>1.9</v>
      </c>
      <c r="N1109" s="360">
        <f>(I1109*J1109*F1109+K1109*M1109)*E1109*1.67*1.25</f>
        <v>49.97475</v>
      </c>
      <c r="O1109" s="288"/>
      <c r="P1109" s="297"/>
      <c r="Q1109" s="297"/>
    </row>
    <row r="1110" spans="1:20" s="102" customFormat="1" ht="13.5" thickBot="1">
      <c r="A1110" s="2646"/>
      <c r="B1110" s="712" t="s">
        <v>2511</v>
      </c>
      <c r="C1110" s="713"/>
      <c r="D1110" s="714">
        <f>IF(H1110&lt;&gt;"",VLOOKUP(G1110,base_barras,IF(H1110="Desnuda",2,5)+F1110-1,FALSE),"-")</f>
        <v>850</v>
      </c>
      <c r="E1110" s="715">
        <v>3</v>
      </c>
      <c r="F1110" s="716">
        <v>1</v>
      </c>
      <c r="G1110" s="717" t="s">
        <v>469</v>
      </c>
      <c r="H1110" s="716" t="s">
        <v>1043</v>
      </c>
      <c r="I1110" s="718">
        <v>0.3</v>
      </c>
      <c r="J1110" s="719">
        <f>IF(G1110&lt;&gt;"",VLOOKUP(G1110,precio_barras,9,FALSE),0)</f>
        <v>35.6</v>
      </c>
      <c r="K1110" s="715">
        <v>0</v>
      </c>
      <c r="L1110" s="720" t="str">
        <f>IF(G1110&lt;&gt;"",IF(VLOOKUP(G1110,base_barras,10,FALSE)&lt;&gt;"",VLOOKUP(G1110,base_barras,10,FALSE),"-"),"-")</f>
        <v>1/750</v>
      </c>
      <c r="M1110" s="719">
        <f>IF(L1110&lt;&gt;"-",VLOOKUP(L1110,precio_aislador,2,FALSE),0)</f>
        <v>1.9</v>
      </c>
      <c r="N1110" s="721">
        <f>(I1110*J1110*F1110+K1110*M1110)*E1110*1.67*1.25</f>
        <v>66.883499999999998</v>
      </c>
      <c r="O1110" s="288"/>
      <c r="P1110" s="297"/>
      <c r="Q1110" s="297"/>
    </row>
    <row r="1111" spans="1:20" s="102" customFormat="1" ht="13.5" thickBot="1">
      <c r="A1111" s="2647"/>
      <c r="B1111" s="712" t="s">
        <v>2512</v>
      </c>
      <c r="C1111" s="713"/>
      <c r="D1111" s="714">
        <f>IF(H1111&lt;&gt;"",VLOOKUP(G1111,base_barras,IF(H1111="Desnuda",2,5)+F1111-1,FALSE),"-")</f>
        <v>1960</v>
      </c>
      <c r="E1111" s="715">
        <v>3</v>
      </c>
      <c r="F1111" s="716">
        <v>2</v>
      </c>
      <c r="G1111" s="717" t="s">
        <v>581</v>
      </c>
      <c r="H1111" s="716" t="s">
        <v>1043</v>
      </c>
      <c r="I1111" s="718">
        <v>0.3</v>
      </c>
      <c r="J1111" s="719">
        <f>IF(G1111&lt;&gt;"",VLOOKUP(G1111,precio_barras,9,FALSE),0)</f>
        <v>53.3</v>
      </c>
      <c r="K1111" s="715">
        <v>0</v>
      </c>
      <c r="L1111" s="720" t="str">
        <f>IF(G1111&lt;&gt;"",IF(VLOOKUP(G1111,base_barras,10,FALSE)&lt;&gt;"",VLOOKUP(G1111,base_barras,10,FALSE),"-"),"-")</f>
        <v>1/750</v>
      </c>
      <c r="M1111" s="719">
        <f>IF(L1111&lt;&gt;"-",VLOOKUP(L1111,precio_aislador,2,FALSE),0)</f>
        <v>1.9</v>
      </c>
      <c r="N1111" s="721">
        <f>(I1111*J1111*F1111+K1111*M1111)*E1111*1.67*1.25</f>
        <v>200.27474999999998</v>
      </c>
      <c r="O1111" s="288"/>
      <c r="P1111" s="297"/>
      <c r="Q1111" s="297"/>
    </row>
    <row r="1112" spans="1:20" s="102" customFormat="1" ht="13.5" thickBot="1">
      <c r="A1112" s="323"/>
      <c r="B1112" s="323"/>
      <c r="C1112" s="309"/>
      <c r="D1112" s="382"/>
      <c r="E1112" s="323"/>
      <c r="F1112" s="309"/>
      <c r="G1112" s="309"/>
      <c r="H1112" s="323"/>
      <c r="I1112" s="325"/>
      <c r="J1112" s="325"/>
      <c r="K1112" s="323"/>
      <c r="L1112" s="323"/>
      <c r="M1112" s="325"/>
      <c r="N1112" s="706">
        <f>SUM(N1109:N1111)</f>
        <v>317.13299999999998</v>
      </c>
      <c r="O1112" s="288"/>
      <c r="P1112" s="297"/>
      <c r="Q1112" s="297"/>
    </row>
    <row r="1113" spans="1:20" s="102" customFormat="1">
      <c r="A1113" s="323"/>
      <c r="B1113" s="309"/>
      <c r="C1113" s="309"/>
      <c r="D1113" s="382"/>
      <c r="E1113" s="323"/>
      <c r="F1113" s="309"/>
      <c r="G1113" s="309"/>
      <c r="H1113" s="323"/>
      <c r="I1113" s="325"/>
      <c r="J1113" s="325"/>
      <c r="K1113" s="323"/>
      <c r="L1113" s="323"/>
      <c r="M1113" s="325"/>
      <c r="N1113" s="722"/>
      <c r="O1113" s="288"/>
      <c r="P1113" s="297"/>
      <c r="Q1113" s="297"/>
    </row>
    <row r="1114" spans="1:20" s="102" customFormat="1">
      <c r="A1114" s="323"/>
      <c r="B1114" s="309"/>
      <c r="C1114" s="309"/>
      <c r="D1114" s="382"/>
      <c r="E1114" s="323"/>
      <c r="F1114" s="309"/>
      <c r="G1114" s="309"/>
      <c r="H1114" s="323"/>
      <c r="I1114" s="325"/>
      <c r="J1114" s="325"/>
      <c r="K1114" s="323"/>
      <c r="L1114" s="323"/>
      <c r="M1114" s="325"/>
      <c r="N1114" s="722"/>
      <c r="O1114" s="288"/>
      <c r="P1114" s="297"/>
      <c r="Q1114" s="297"/>
    </row>
    <row r="1115" spans="1:20" s="102" customFormat="1" ht="15">
      <c r="A1115" s="323"/>
      <c r="B1115" s="723" t="s">
        <v>2513</v>
      </c>
      <c r="C1115" s="309"/>
      <c r="D1115" s="382"/>
      <c r="E1115" s="323"/>
      <c r="F1115" s="309"/>
      <c r="G1115" s="309"/>
      <c r="H1115" s="323"/>
      <c r="I1115" s="325"/>
      <c r="J1115" s="325"/>
      <c r="K1115" s="323"/>
      <c r="L1115" s="323"/>
      <c r="M1115" s="325"/>
      <c r="N1115" s="722"/>
      <c r="O1115" s="288"/>
      <c r="P1115" s="297"/>
      <c r="Q1115" s="297"/>
    </row>
    <row r="1116" spans="1:20" s="106" customFormat="1" ht="29.25" customHeight="1">
      <c r="B1116" s="724"/>
    </row>
    <row r="1117" spans="1:20" s="106" customFormat="1" ht="13.5" thickBot="1"/>
    <row r="1118" spans="1:20" s="199" customFormat="1" ht="15.75" customHeight="1">
      <c r="A1118" s="2641" t="s">
        <v>2514</v>
      </c>
      <c r="B1118" s="687" t="s">
        <v>2498</v>
      </c>
      <c r="C1118" s="327"/>
      <c r="D1118" s="328">
        <f t="shared" ref="D1118:D1129" si="617">IF(H1118&lt;&gt;"",VLOOKUP(G1118,base_barras,IF(H1118="Desnuda",2,5)+F1118-1,FALSE),"-")</f>
        <v>1500</v>
      </c>
      <c r="E1118" s="329">
        <v>4</v>
      </c>
      <c r="F1118" s="330">
        <v>1</v>
      </c>
      <c r="G1118" s="331" t="s">
        <v>582</v>
      </c>
      <c r="H1118" s="330" t="s">
        <v>1043</v>
      </c>
      <c r="I1118" s="332">
        <f>0.8+0.8</f>
        <v>1.6</v>
      </c>
      <c r="J1118" s="333">
        <f t="shared" ref="J1118:J1126" si="618">IF(G1118&lt;&gt;"",VLOOKUP(G1118,precio_barras,9,FALSE),0)</f>
        <v>71.100000000000009</v>
      </c>
      <c r="K1118" s="329">
        <f>2+2</f>
        <v>4</v>
      </c>
      <c r="L1118" s="343" t="str">
        <f t="shared" ref="L1118:L1129" si="619">IF(G1118&lt;&gt;"",IF(VLOOKUP(G1118,base_barras,10,FALSE)&lt;&gt;"",VLOOKUP(G1118,base_barras,10,FALSE),"-"),"-")</f>
        <v>1/1000</v>
      </c>
      <c r="M1118" s="333">
        <f t="shared" ref="M1118:M1129" si="620">IF(L1118&lt;&gt;"-",VLOOKUP(L1118,precio_aislador,2,FALSE),0)</f>
        <v>2.7</v>
      </c>
      <c r="N1118" s="360">
        <f>(I1118*J1118*F1118+K1118*M1118)*E1118*1.67*1.25</f>
        <v>1040.076</v>
      </c>
      <c r="O1118" s="288"/>
      <c r="P1118" s="297"/>
      <c r="Q1118" s="288"/>
      <c r="R1118" s="102"/>
      <c r="S1118" s="102"/>
      <c r="T1118" s="102"/>
    </row>
    <row r="1119" spans="1:20" s="199" customFormat="1" ht="15" thickBot="1">
      <c r="A1119" s="2642"/>
      <c r="B1119" s="688" t="s">
        <v>802</v>
      </c>
      <c r="C1119" s="319"/>
      <c r="D1119" s="312">
        <f t="shared" si="617"/>
        <v>850</v>
      </c>
      <c r="E1119" s="313">
        <v>1</v>
      </c>
      <c r="F1119" s="314">
        <v>1</v>
      </c>
      <c r="G1119" s="315" t="s">
        <v>469</v>
      </c>
      <c r="H1119" s="689" t="str">
        <f>H1118</f>
        <v>Pintada</v>
      </c>
      <c r="I1119" s="690">
        <f>I1118</f>
        <v>1.6</v>
      </c>
      <c r="J1119" s="317">
        <f t="shared" si="618"/>
        <v>35.6</v>
      </c>
      <c r="K1119" s="691">
        <v>0</v>
      </c>
      <c r="L1119" s="318" t="str">
        <f t="shared" si="619"/>
        <v>1/750</v>
      </c>
      <c r="M1119" s="317">
        <f t="shared" si="620"/>
        <v>1.9</v>
      </c>
      <c r="N1119" s="308">
        <f>(I1119*J1119*F1119+K1119*M1119)*E1119*1.67*1.25</f>
        <v>118.90400000000001</v>
      </c>
      <c r="O1119" s="288"/>
      <c r="P1119" s="297"/>
      <c r="Q1119" s="288"/>
      <c r="R1119" s="102"/>
      <c r="S1119" s="102"/>
      <c r="T1119" s="102"/>
    </row>
    <row r="1120" spans="1:20" s="199" customFormat="1" ht="15.75" customHeight="1">
      <c r="A1120" s="2642"/>
      <c r="B1120" s="687" t="s">
        <v>2498</v>
      </c>
      <c r="C1120" s="327"/>
      <c r="D1120" s="328">
        <f t="shared" si="617"/>
        <v>850</v>
      </c>
      <c r="E1120" s="329">
        <v>4</v>
      </c>
      <c r="F1120" s="330">
        <v>1</v>
      </c>
      <c r="G1120" s="331" t="s">
        <v>469</v>
      </c>
      <c r="H1120" s="330" t="s">
        <v>1043</v>
      </c>
      <c r="I1120" s="332">
        <f>0.8+0.8</f>
        <v>1.6</v>
      </c>
      <c r="J1120" s="333">
        <f>IF(G1120&lt;&gt;"",VLOOKUP(G1120,precio_barras,9,FALSE),0)</f>
        <v>35.6</v>
      </c>
      <c r="K1120" s="329">
        <f>2+2</f>
        <v>4</v>
      </c>
      <c r="L1120" s="343" t="str">
        <f t="shared" si="619"/>
        <v>1/750</v>
      </c>
      <c r="M1120" s="333">
        <f t="shared" si="620"/>
        <v>1.9</v>
      </c>
      <c r="N1120" s="360">
        <f>(I1120*J1120*F1120+K1120*M1120)*E1120*1.67*1.25</f>
        <v>539.07600000000002</v>
      </c>
      <c r="O1120" s="288"/>
      <c r="P1120" s="297"/>
      <c r="Q1120" s="288"/>
      <c r="R1120" s="102"/>
      <c r="S1120" s="102"/>
      <c r="T1120" s="102"/>
    </row>
    <row r="1121" spans="1:20" s="199" customFormat="1" ht="15" thickBot="1">
      <c r="A1121" s="2642"/>
      <c r="B1121" s="707" t="s">
        <v>802</v>
      </c>
      <c r="C1121" s="363"/>
      <c r="D1121" s="364">
        <f t="shared" si="617"/>
        <v>497</v>
      </c>
      <c r="E1121" s="365">
        <v>1</v>
      </c>
      <c r="F1121" s="366">
        <v>1</v>
      </c>
      <c r="G1121" s="322" t="s">
        <v>62</v>
      </c>
      <c r="H1121" s="725" t="str">
        <f>H1120</f>
        <v>Pintada</v>
      </c>
      <c r="I1121" s="726">
        <f>I1120</f>
        <v>1.6</v>
      </c>
      <c r="J1121" s="368">
        <f>IF(G1121&lt;&gt;"",VLOOKUP(G1121,precio_barras,9,FALSE),0)</f>
        <v>17.7</v>
      </c>
      <c r="K1121" s="395">
        <v>0</v>
      </c>
      <c r="L1121" s="369" t="str">
        <f t="shared" si="619"/>
        <v>-</v>
      </c>
      <c r="M1121" s="368">
        <f t="shared" si="620"/>
        <v>0</v>
      </c>
      <c r="N1121" s="370">
        <f>(I1121*J1121*F1121+K1121*M1121)*E1121*1.67*1.25</f>
        <v>59.117999999999995</v>
      </c>
      <c r="O1121" s="288"/>
      <c r="P1121" s="297"/>
      <c r="Q1121" s="288"/>
      <c r="R1121" s="102"/>
      <c r="S1121" s="102"/>
      <c r="T1121" s="102"/>
    </row>
    <row r="1122" spans="1:20" s="199" customFormat="1" ht="15.75" customHeight="1">
      <c r="A1122" s="2642"/>
      <c r="B1122" s="692" t="s">
        <v>2515</v>
      </c>
      <c r="C1122" s="693"/>
      <c r="D1122" s="312">
        <f t="shared" si="617"/>
        <v>1470</v>
      </c>
      <c r="E1122" s="313">
        <v>3</v>
      </c>
      <c r="F1122" s="314">
        <v>2</v>
      </c>
      <c r="G1122" s="315" t="s">
        <v>469</v>
      </c>
      <c r="H1122" s="314" t="s">
        <v>1043</v>
      </c>
      <c r="I1122" s="316">
        <v>0.61</v>
      </c>
      <c r="J1122" s="317">
        <f>IF(G1122&lt;&gt;"",VLOOKUP(G1122,precio_barras,9,FALSE),0)</f>
        <v>35.6</v>
      </c>
      <c r="K1122" s="694">
        <v>0</v>
      </c>
      <c r="L1122" s="695" t="str">
        <f t="shared" si="619"/>
        <v>1/750</v>
      </c>
      <c r="M1122" s="478">
        <f t="shared" si="620"/>
        <v>1.9</v>
      </c>
      <c r="N1122" s="696">
        <f t="shared" ref="N1122:N1129" si="621">(I1122*J1122*F1122+K1122*M1122)*E1122*1.67*1.25</f>
        <v>271.99289999999996</v>
      </c>
      <c r="O1122" s="288"/>
      <c r="P1122" s="297"/>
      <c r="Q1122" s="288"/>
      <c r="R1122" s="102"/>
      <c r="S1122" s="102"/>
      <c r="T1122" s="102"/>
    </row>
    <row r="1123" spans="1:20" s="199" customFormat="1" ht="15.75" customHeight="1">
      <c r="A1123" s="2642"/>
      <c r="B1123" s="692" t="s">
        <v>2516</v>
      </c>
      <c r="C1123" s="693"/>
      <c r="D1123" s="697">
        <f t="shared" si="617"/>
        <v>676</v>
      </c>
      <c r="E1123" s="694">
        <v>3</v>
      </c>
      <c r="F1123" s="655">
        <v>1</v>
      </c>
      <c r="G1123" s="698" t="s">
        <v>314</v>
      </c>
      <c r="H1123" s="655" t="s">
        <v>1043</v>
      </c>
      <c r="I1123" s="398">
        <v>0.61</v>
      </c>
      <c r="J1123" s="478">
        <f>IF(G1123&lt;&gt;"",VLOOKUP(G1123,precio_barras,9,FALSE),0)</f>
        <v>26.6</v>
      </c>
      <c r="K1123" s="694">
        <v>0</v>
      </c>
      <c r="L1123" s="695" t="str">
        <f t="shared" si="619"/>
        <v>1/750</v>
      </c>
      <c r="M1123" s="478">
        <f t="shared" si="620"/>
        <v>1.9</v>
      </c>
      <c r="N1123" s="696">
        <f t="shared" si="621"/>
        <v>101.615325</v>
      </c>
      <c r="O1123" s="288"/>
      <c r="P1123" s="297"/>
      <c r="Q1123" s="288"/>
      <c r="R1123" s="102"/>
      <c r="S1123" s="102"/>
      <c r="T1123" s="102"/>
    </row>
    <row r="1124" spans="1:20" s="199" customFormat="1" ht="15.75" customHeight="1">
      <c r="A1124" s="2642"/>
      <c r="B1124" s="692" t="s">
        <v>2517</v>
      </c>
      <c r="C1124" s="693"/>
      <c r="D1124" s="697">
        <f t="shared" si="617"/>
        <v>1020</v>
      </c>
      <c r="E1124" s="694">
        <v>3</v>
      </c>
      <c r="F1124" s="655">
        <v>1</v>
      </c>
      <c r="G1124" s="698" t="s">
        <v>315</v>
      </c>
      <c r="H1124" s="655" t="s">
        <v>1043</v>
      </c>
      <c r="I1124" s="398">
        <v>0.61</v>
      </c>
      <c r="J1124" s="478">
        <f>IF(G1124&lt;&gt;"",VLOOKUP(G1124,precio_barras,9,FALSE),0)</f>
        <v>44.400000000000006</v>
      </c>
      <c r="K1124" s="694">
        <v>0</v>
      </c>
      <c r="L1124" s="695" t="str">
        <f t="shared" si="619"/>
        <v>1/750</v>
      </c>
      <c r="M1124" s="478">
        <f t="shared" si="620"/>
        <v>1.9</v>
      </c>
      <c r="N1124" s="696">
        <f t="shared" si="621"/>
        <v>169.61355</v>
      </c>
      <c r="O1124" s="288"/>
      <c r="P1124" s="297"/>
      <c r="Q1124" s="288"/>
      <c r="R1124" s="102"/>
      <c r="S1124" s="102"/>
      <c r="T1124" s="102"/>
    </row>
    <row r="1125" spans="1:20" s="199" customFormat="1" ht="15.75" customHeight="1">
      <c r="A1125" s="2642"/>
      <c r="B1125" s="692" t="s">
        <v>2518</v>
      </c>
      <c r="C1125" s="693"/>
      <c r="D1125" s="312">
        <f t="shared" si="617"/>
        <v>327</v>
      </c>
      <c r="E1125" s="313">
        <v>3</v>
      </c>
      <c r="F1125" s="314">
        <v>1</v>
      </c>
      <c r="G1125" s="315" t="s">
        <v>63</v>
      </c>
      <c r="H1125" s="314" t="s">
        <v>1044</v>
      </c>
      <c r="I1125" s="316">
        <v>0.4</v>
      </c>
      <c r="J1125" s="317">
        <f t="shared" si="618"/>
        <v>11.100000000000001</v>
      </c>
      <c r="K1125" s="694">
        <v>0</v>
      </c>
      <c r="L1125" s="695" t="str">
        <f t="shared" si="619"/>
        <v>0.5/400</v>
      </c>
      <c r="M1125" s="478">
        <f t="shared" si="620"/>
        <v>1.2</v>
      </c>
      <c r="N1125" s="696">
        <f t="shared" si="621"/>
        <v>27.805499999999999</v>
      </c>
      <c r="O1125" s="288"/>
      <c r="P1125" s="297"/>
      <c r="Q1125" s="288"/>
      <c r="R1125" s="102"/>
      <c r="S1125" s="102"/>
      <c r="T1125" s="102"/>
    </row>
    <row r="1126" spans="1:20" s="199" customFormat="1" ht="15.75" customHeight="1">
      <c r="A1126" s="2642"/>
      <c r="B1126" s="692" t="s">
        <v>2519</v>
      </c>
      <c r="C1126" s="693"/>
      <c r="D1126" s="697">
        <f t="shared" si="617"/>
        <v>924</v>
      </c>
      <c r="E1126" s="694">
        <v>3</v>
      </c>
      <c r="F1126" s="655">
        <v>2</v>
      </c>
      <c r="G1126" s="698" t="s">
        <v>62</v>
      </c>
      <c r="H1126" s="655" t="s">
        <v>1043</v>
      </c>
      <c r="I1126" s="398">
        <v>0.61</v>
      </c>
      <c r="J1126" s="478">
        <f t="shared" si="618"/>
        <v>17.7</v>
      </c>
      <c r="K1126" s="694">
        <v>0</v>
      </c>
      <c r="L1126" s="695" t="str">
        <f t="shared" si="619"/>
        <v>-</v>
      </c>
      <c r="M1126" s="478">
        <f t="shared" si="620"/>
        <v>0</v>
      </c>
      <c r="N1126" s="696">
        <f t="shared" si="621"/>
        <v>135.23242499999998</v>
      </c>
      <c r="O1126" s="288"/>
      <c r="P1126" s="297"/>
      <c r="Q1126" s="288"/>
      <c r="R1126" s="102"/>
      <c r="S1126" s="102"/>
      <c r="T1126" s="102"/>
    </row>
    <row r="1127" spans="1:20" s="199" customFormat="1" ht="15.75" customHeight="1">
      <c r="A1127" s="2642"/>
      <c r="B1127" s="692" t="s">
        <v>2519</v>
      </c>
      <c r="C1127" s="693"/>
      <c r="D1127" s="697">
        <f t="shared" si="617"/>
        <v>924</v>
      </c>
      <c r="E1127" s="694">
        <v>3</v>
      </c>
      <c r="F1127" s="655">
        <v>2</v>
      </c>
      <c r="G1127" s="698" t="s">
        <v>62</v>
      </c>
      <c r="H1127" s="655" t="s">
        <v>1043</v>
      </c>
      <c r="I1127" s="398">
        <v>0.61</v>
      </c>
      <c r="J1127" s="478">
        <f>IF(G1127&lt;&gt;"",VLOOKUP(G1127,precio_barras,9,FALSE),0)</f>
        <v>17.7</v>
      </c>
      <c r="K1127" s="694">
        <v>0</v>
      </c>
      <c r="L1127" s="695" t="str">
        <f t="shared" si="619"/>
        <v>-</v>
      </c>
      <c r="M1127" s="478">
        <f t="shared" si="620"/>
        <v>0</v>
      </c>
      <c r="N1127" s="696">
        <f t="shared" si="621"/>
        <v>135.23242499999998</v>
      </c>
      <c r="O1127" s="288"/>
      <c r="P1127" s="297"/>
      <c r="Q1127" s="288"/>
      <c r="R1127" s="102"/>
      <c r="S1127" s="102"/>
      <c r="T1127" s="102"/>
    </row>
    <row r="1128" spans="1:20" s="199" customFormat="1" ht="15.75" customHeight="1">
      <c r="A1128" s="2642"/>
      <c r="B1128" s="692" t="s">
        <v>2518</v>
      </c>
      <c r="C1128" s="693"/>
      <c r="D1128" s="312">
        <f t="shared" si="617"/>
        <v>327</v>
      </c>
      <c r="E1128" s="313">
        <v>3</v>
      </c>
      <c r="F1128" s="314">
        <v>1</v>
      </c>
      <c r="G1128" s="315" t="s">
        <v>63</v>
      </c>
      <c r="H1128" s="314" t="s">
        <v>1044</v>
      </c>
      <c r="I1128" s="316">
        <v>0.4</v>
      </c>
      <c r="J1128" s="317">
        <f>IF(G1128&lt;&gt;"",VLOOKUP(G1128,precio_barras,9,FALSE),0)</f>
        <v>11.100000000000001</v>
      </c>
      <c r="K1128" s="694">
        <v>0</v>
      </c>
      <c r="L1128" s="695" t="str">
        <f t="shared" si="619"/>
        <v>0.5/400</v>
      </c>
      <c r="M1128" s="478">
        <f t="shared" si="620"/>
        <v>1.2</v>
      </c>
      <c r="N1128" s="696">
        <f t="shared" si="621"/>
        <v>27.805499999999999</v>
      </c>
      <c r="O1128" s="288"/>
      <c r="P1128" s="297"/>
      <c r="Q1128" s="288"/>
      <c r="R1128" s="102"/>
      <c r="S1128" s="102"/>
      <c r="T1128" s="102"/>
    </row>
    <row r="1129" spans="1:20" s="199" customFormat="1" ht="15.75" customHeight="1" thickBot="1">
      <c r="A1129" s="2642"/>
      <c r="B1129" s="692" t="s">
        <v>2518</v>
      </c>
      <c r="C1129" s="693"/>
      <c r="D1129" s="312">
        <f t="shared" si="617"/>
        <v>327</v>
      </c>
      <c r="E1129" s="313">
        <v>3</v>
      </c>
      <c r="F1129" s="314">
        <v>1</v>
      </c>
      <c r="G1129" s="315" t="s">
        <v>63</v>
      </c>
      <c r="H1129" s="314" t="s">
        <v>1044</v>
      </c>
      <c r="I1129" s="316">
        <v>0.4</v>
      </c>
      <c r="J1129" s="317">
        <f>IF(G1129&lt;&gt;"",VLOOKUP(G1129,precio_barras,9,FALSE),0)</f>
        <v>11.100000000000001</v>
      </c>
      <c r="K1129" s="694">
        <v>0</v>
      </c>
      <c r="L1129" s="695" t="str">
        <f t="shared" si="619"/>
        <v>0.5/400</v>
      </c>
      <c r="M1129" s="478">
        <f t="shared" si="620"/>
        <v>1.2</v>
      </c>
      <c r="N1129" s="696">
        <f t="shared" si="621"/>
        <v>27.805499999999999</v>
      </c>
      <c r="O1129" s="288"/>
      <c r="P1129" s="297"/>
      <c r="Q1129" s="288"/>
      <c r="R1129" s="102"/>
      <c r="S1129" s="102"/>
      <c r="T1129" s="102"/>
    </row>
    <row r="1130" spans="1:20" s="129" customFormat="1" ht="22.5" customHeight="1" thickBot="1">
      <c r="A1130" s="371"/>
      <c r="B1130" s="373"/>
      <c r="C1130" s="375"/>
      <c r="D1130" s="383"/>
      <c r="E1130" s="373"/>
      <c r="F1130" s="373"/>
      <c r="G1130" s="373"/>
      <c r="H1130" s="373"/>
      <c r="I1130" s="374"/>
      <c r="J1130" s="374"/>
      <c r="K1130" s="373"/>
      <c r="L1130" s="373"/>
      <c r="M1130" s="372"/>
      <c r="N1130" s="699">
        <f>SUM(N1118:N1129)</f>
        <v>2654.2771250000001</v>
      </c>
      <c r="O1130" s="288"/>
      <c r="P1130" s="297"/>
      <c r="Q1130" s="288"/>
      <c r="R1130" s="102"/>
      <c r="S1130" s="102"/>
      <c r="T1130" s="102"/>
    </row>
    <row r="1131" spans="1:20" s="102" customFormat="1" ht="8.25" customHeight="1" thickBot="1">
      <c r="A1131" s="323"/>
      <c r="B1131" s="323"/>
      <c r="C1131" s="323"/>
      <c r="D1131" s="382"/>
      <c r="E1131" s="323"/>
      <c r="F1131" s="325"/>
      <c r="G1131" s="325"/>
      <c r="H1131" s="325"/>
      <c r="I1131" s="323"/>
      <c r="J1131" s="323"/>
      <c r="K1131" s="323"/>
      <c r="L1131" s="325"/>
      <c r="M1131" s="323"/>
      <c r="N1131" s="309"/>
      <c r="O1131" s="288"/>
      <c r="P1131" s="297"/>
      <c r="Q1131" s="288"/>
    </row>
    <row r="1132" spans="1:20" s="102" customFormat="1" ht="12.75" customHeight="1">
      <c r="A1132" s="2639" t="s">
        <v>2502</v>
      </c>
      <c r="B1132" s="687" t="s">
        <v>2503</v>
      </c>
      <c r="C1132" s="327"/>
      <c r="D1132" s="328">
        <f>IF(H1132&lt;&gt;"",VLOOKUP(G1132,base_barras,IF(H1132="Desnuda",2,5)+F1132-1,FALSE),"-")</f>
        <v>3290</v>
      </c>
      <c r="E1132" s="329">
        <v>3</v>
      </c>
      <c r="F1132" s="330">
        <v>1</v>
      </c>
      <c r="G1132" s="331" t="s">
        <v>584</v>
      </c>
      <c r="H1132" s="330" t="s">
        <v>1043</v>
      </c>
      <c r="I1132" s="332">
        <v>0</v>
      </c>
      <c r="J1132" s="333">
        <f>IF(G1132&lt;&gt;"",VLOOKUP(G1132,precio_barras,9,FALSE),0)</f>
        <v>231.4</v>
      </c>
      <c r="K1132" s="481">
        <v>0</v>
      </c>
      <c r="L1132" s="343" t="str">
        <f>IF(G1132&lt;&gt;"",IF(VLOOKUP(G1132,base_barras,10,FALSE)&lt;&gt;"",VLOOKUP(G1132,base_barras,10,FALSE),"-"),"-")</f>
        <v>1.5/1600</v>
      </c>
      <c r="M1132" s="333">
        <f>IF(L1132&lt;&gt;"-",VLOOKUP(L1132,precio_aislador,2,FALSE),0)</f>
        <v>22</v>
      </c>
      <c r="N1132" s="360">
        <f>(I1132*J1132*F1132+K1132*M1132)*E1132*1.67*1.25</f>
        <v>0</v>
      </c>
      <c r="O1132" s="288"/>
      <c r="P1132" s="297"/>
      <c r="Q1132" s="297"/>
    </row>
    <row r="1133" spans="1:20" s="199" customFormat="1" ht="15.75" customHeight="1" thickBot="1">
      <c r="A1133" s="2644"/>
      <c r="B1133" s="700" t="s">
        <v>2504</v>
      </c>
      <c r="C1133" s="701"/>
      <c r="D1133" s="364">
        <f>IF(H1133&lt;&gt;"",VLOOKUP(G1133,base_barras,IF(H1133="Desnuda",2,5)+F1133-1,FALSE),"-")</f>
        <v>3170</v>
      </c>
      <c r="E1133" s="365">
        <v>3</v>
      </c>
      <c r="F1133" s="366">
        <v>3</v>
      </c>
      <c r="G1133" s="322" t="s">
        <v>582</v>
      </c>
      <c r="H1133" s="366" t="s">
        <v>1043</v>
      </c>
      <c r="I1133" s="367">
        <v>0</v>
      </c>
      <c r="J1133" s="368">
        <f>IF(G1133&lt;&gt;"",VLOOKUP(G1133,precio_barras,9,FALSE),0)</f>
        <v>71.100000000000009</v>
      </c>
      <c r="K1133" s="702">
        <v>0</v>
      </c>
      <c r="L1133" s="703" t="str">
        <f>IF(G1133&lt;&gt;"",IF(VLOOKUP(G1133,base_barras,10,FALSE)&lt;&gt;"",VLOOKUP(G1133,base_barras,10,FALSE),"-"),"-")</f>
        <v>1/1000</v>
      </c>
      <c r="M1133" s="480">
        <f>IF(L1133&lt;&gt;"-",VLOOKUP(L1133,precio_aislador,2,FALSE),0)</f>
        <v>2.7</v>
      </c>
      <c r="N1133" s="704">
        <f>(I1133*J1133*F1133+K1133*M1133)*E1133*1.67*1.25</f>
        <v>0</v>
      </c>
      <c r="O1133" s="288"/>
      <c r="P1133" s="297"/>
      <c r="Q1133" s="288"/>
      <c r="R1133" s="102"/>
      <c r="S1133" s="102"/>
      <c r="T1133" s="102"/>
    </row>
    <row r="1134" spans="1:20" s="102" customFormat="1" ht="12.75" customHeight="1">
      <c r="A1134" s="2644"/>
      <c r="B1134" s="692" t="s">
        <v>2503</v>
      </c>
      <c r="C1134" s="693"/>
      <c r="D1134" s="697">
        <f>IF(H1134&lt;&gt;"",VLOOKUP(G1134,base_barras,IF(H1134="Desnuda",2,5)+F1134-1,FALSE),"-")</f>
        <v>3290</v>
      </c>
      <c r="E1134" s="694">
        <v>3</v>
      </c>
      <c r="F1134" s="655">
        <v>1</v>
      </c>
      <c r="G1134" s="698" t="s">
        <v>584</v>
      </c>
      <c r="H1134" s="655" t="s">
        <v>1043</v>
      </c>
      <c r="I1134" s="398">
        <v>0</v>
      </c>
      <c r="J1134" s="478">
        <f>IF(G1134&lt;&gt;"",VLOOKUP(G1134,precio_barras,9,FALSE),0)</f>
        <v>231.4</v>
      </c>
      <c r="K1134" s="705">
        <v>0</v>
      </c>
      <c r="L1134" s="695" t="str">
        <f>IF(G1134&lt;&gt;"",IF(VLOOKUP(G1134,base_barras,10,FALSE)&lt;&gt;"",VLOOKUP(G1134,base_barras,10,FALSE),"-"),"-")</f>
        <v>1.5/1600</v>
      </c>
      <c r="M1134" s="478">
        <f>IF(L1134&lt;&gt;"-",VLOOKUP(L1134,precio_aislador,2,FALSE),0)</f>
        <v>22</v>
      </c>
      <c r="N1134" s="696">
        <f>(I1134*J1134*F1134+K1134*M1134)*E1134*1.67*1.25</f>
        <v>0</v>
      </c>
      <c r="O1134" s="288"/>
      <c r="P1134" s="297"/>
      <c r="Q1134" s="297"/>
    </row>
    <row r="1135" spans="1:20" s="199" customFormat="1" ht="15.75" customHeight="1" thickBot="1">
      <c r="A1135" s="2640"/>
      <c r="B1135" s="700" t="s">
        <v>2504</v>
      </c>
      <c r="C1135" s="701"/>
      <c r="D1135" s="364">
        <f>IF(H1135&lt;&gt;"",VLOOKUP(G1135,base_barras,IF(H1135="Desnuda",2,5)+F1135-1,FALSE),"-")</f>
        <v>3170</v>
      </c>
      <c r="E1135" s="365">
        <v>3</v>
      </c>
      <c r="F1135" s="366">
        <v>3</v>
      </c>
      <c r="G1135" s="322" t="s">
        <v>582</v>
      </c>
      <c r="H1135" s="366" t="s">
        <v>1043</v>
      </c>
      <c r="I1135" s="367">
        <v>0</v>
      </c>
      <c r="J1135" s="368">
        <f>IF(G1135&lt;&gt;"",VLOOKUP(G1135,precio_barras,9,FALSE),0)</f>
        <v>71.100000000000009</v>
      </c>
      <c r="K1135" s="702">
        <v>0</v>
      </c>
      <c r="L1135" s="703" t="str">
        <f>IF(G1135&lt;&gt;"",IF(VLOOKUP(G1135,base_barras,10,FALSE)&lt;&gt;"",VLOOKUP(G1135,base_barras,10,FALSE),"-"),"-")</f>
        <v>1/1000</v>
      </c>
      <c r="M1135" s="480">
        <f>IF(L1135&lt;&gt;"-",VLOOKUP(L1135,precio_aislador,2,FALSE),0)</f>
        <v>2.7</v>
      </c>
      <c r="N1135" s="704">
        <f>(I1135*J1135*F1135+K1135*M1135)*E1135*1.67*1.25</f>
        <v>0</v>
      </c>
      <c r="O1135" s="288"/>
      <c r="P1135" s="297"/>
      <c r="Q1135" s="288"/>
      <c r="R1135" s="102"/>
      <c r="S1135" s="102"/>
      <c r="T1135" s="102"/>
    </row>
    <row r="1136" spans="1:20" s="102" customFormat="1" ht="13.5" thickBot="1">
      <c r="A1136" s="323"/>
      <c r="B1136" s="323"/>
      <c r="C1136" s="309"/>
      <c r="D1136" s="382"/>
      <c r="E1136" s="323"/>
      <c r="F1136" s="309"/>
      <c r="G1136" s="309"/>
      <c r="H1136" s="323"/>
      <c r="I1136" s="325"/>
      <c r="J1136" s="325"/>
      <c r="K1136" s="323"/>
      <c r="L1136" s="323"/>
      <c r="M1136" s="325"/>
      <c r="N1136" s="706">
        <f>SUM(N1132:N1135)</f>
        <v>0</v>
      </c>
      <c r="O1136" s="288"/>
      <c r="P1136" s="297"/>
      <c r="Q1136" s="297"/>
    </row>
    <row r="1137" spans="1:20" s="102" customFormat="1" ht="8.25" customHeight="1" thickBot="1">
      <c r="A1137" s="323"/>
      <c r="B1137" s="323"/>
      <c r="C1137" s="323"/>
      <c r="D1137" s="382"/>
      <c r="E1137" s="323"/>
      <c r="F1137" s="325"/>
      <c r="G1137" s="325"/>
      <c r="H1137" s="325"/>
      <c r="I1137" s="323"/>
      <c r="J1137" s="323"/>
      <c r="K1137" s="323"/>
      <c r="L1137" s="325"/>
      <c r="M1137" s="323"/>
      <c r="N1137" s="309"/>
      <c r="O1137" s="288"/>
      <c r="P1137" s="297"/>
      <c r="Q1137" s="288"/>
    </row>
    <row r="1138" spans="1:20" s="102" customFormat="1" ht="12.75" customHeight="1">
      <c r="A1138" s="2639" t="s">
        <v>2505</v>
      </c>
      <c r="B1138" s="687" t="s">
        <v>2506</v>
      </c>
      <c r="C1138" s="327"/>
      <c r="D1138" s="328">
        <f>IF(H1138&lt;&gt;"",VLOOKUP(G1138,base_barras,IF(H1138="Desnuda",2,5)+F1138-1,FALSE),"-")</f>
        <v>3290</v>
      </c>
      <c r="E1138" s="329">
        <v>3</v>
      </c>
      <c r="F1138" s="330">
        <v>1</v>
      </c>
      <c r="G1138" s="331" t="s">
        <v>584</v>
      </c>
      <c r="H1138" s="330" t="s">
        <v>1043</v>
      </c>
      <c r="I1138" s="332">
        <v>0</v>
      </c>
      <c r="J1138" s="333">
        <f>IF(G1138&lt;&gt;"",VLOOKUP(G1138,precio_barras,9,FALSE),0)</f>
        <v>231.4</v>
      </c>
      <c r="K1138" s="481">
        <v>0</v>
      </c>
      <c r="L1138" s="343" t="str">
        <f>IF(G1138&lt;&gt;"",IF(VLOOKUP(G1138,base_barras,10,FALSE)&lt;&gt;"",VLOOKUP(G1138,base_barras,10,FALSE),"-"),"-")</f>
        <v>1.5/1600</v>
      </c>
      <c r="M1138" s="333">
        <f>IF(L1138&lt;&gt;"-",VLOOKUP(L1138,precio_aislador,2,FALSE),0)</f>
        <v>22</v>
      </c>
      <c r="N1138" s="360">
        <f>(I1138*J1138*F1138+K1138*M1138)*E1138*1.67*1.25</f>
        <v>0</v>
      </c>
      <c r="O1138" s="288"/>
      <c r="P1138" s="297"/>
      <c r="Q1138" s="297"/>
    </row>
    <row r="1139" spans="1:20" s="102" customFormat="1" ht="13.5" thickBot="1">
      <c r="A1139" s="2644"/>
      <c r="B1139" s="707" t="s">
        <v>2504</v>
      </c>
      <c r="C1139" s="479"/>
      <c r="D1139" s="364">
        <f>IF(H1139&lt;&gt;"",VLOOKUP(G1139,base_barras,IF(H1139="Desnuda",2,5)+F1139-1,FALSE),"-")</f>
        <v>3170</v>
      </c>
      <c r="E1139" s="365">
        <v>3</v>
      </c>
      <c r="F1139" s="366">
        <v>3</v>
      </c>
      <c r="G1139" s="322" t="s">
        <v>582</v>
      </c>
      <c r="H1139" s="366" t="s">
        <v>1043</v>
      </c>
      <c r="I1139" s="367">
        <v>0</v>
      </c>
      <c r="J1139" s="368">
        <f>IF(G1139&lt;&gt;"",VLOOKUP(G1139,precio_barras,9,FALSE),0)</f>
        <v>71.100000000000009</v>
      </c>
      <c r="K1139" s="365">
        <v>0</v>
      </c>
      <c r="L1139" s="369" t="str">
        <f>IF(G1139&lt;&gt;"",IF(VLOOKUP(G1139,base_barras,10,FALSE)&lt;&gt;"",VLOOKUP(G1139,base_barras,10,FALSE),"-"),"-")</f>
        <v>1/1000</v>
      </c>
      <c r="M1139" s="368">
        <f>IF(L1139&lt;&gt;"-",VLOOKUP(L1139,precio_aislador,2,FALSE),0)</f>
        <v>2.7</v>
      </c>
      <c r="N1139" s="370">
        <f>(I1139*J1139*F1139+K1139*M1139)*E1139*1.67*1.25</f>
        <v>0</v>
      </c>
      <c r="O1139" s="288"/>
      <c r="P1139" s="297"/>
      <c r="Q1139" s="297"/>
    </row>
    <row r="1140" spans="1:20" s="102" customFormat="1" ht="12.75" customHeight="1">
      <c r="A1140" s="2644"/>
      <c r="B1140" s="692" t="s">
        <v>2506</v>
      </c>
      <c r="C1140" s="693"/>
      <c r="D1140" s="697">
        <f>IF(H1140&lt;&gt;"",VLOOKUP(G1140,base_barras,IF(H1140="Desnuda",2,5)+F1140-1,FALSE),"-")</f>
        <v>3290</v>
      </c>
      <c r="E1140" s="694">
        <v>3</v>
      </c>
      <c r="F1140" s="655">
        <v>1</v>
      </c>
      <c r="G1140" s="698" t="s">
        <v>584</v>
      </c>
      <c r="H1140" s="655" t="s">
        <v>1043</v>
      </c>
      <c r="I1140" s="398">
        <v>0</v>
      </c>
      <c r="J1140" s="478">
        <f>IF(G1140&lt;&gt;"",VLOOKUP(G1140,precio_barras,9,FALSE),0)</f>
        <v>231.4</v>
      </c>
      <c r="K1140" s="705">
        <v>0</v>
      </c>
      <c r="L1140" s="695" t="str">
        <f>IF(G1140&lt;&gt;"",IF(VLOOKUP(G1140,base_barras,10,FALSE)&lt;&gt;"",VLOOKUP(G1140,base_barras,10,FALSE),"-"),"-")</f>
        <v>1.5/1600</v>
      </c>
      <c r="M1140" s="478">
        <f>IF(L1140&lt;&gt;"-",VLOOKUP(L1140,precio_aislador,2,FALSE),0)</f>
        <v>22</v>
      </c>
      <c r="N1140" s="696">
        <f>(I1140*J1140*F1140+K1140*M1140)*E1140*1.67*1.25</f>
        <v>0</v>
      </c>
      <c r="O1140" s="288"/>
      <c r="P1140" s="297"/>
      <c r="Q1140" s="297"/>
    </row>
    <row r="1141" spans="1:20" s="102" customFormat="1" ht="13.5" thickBot="1">
      <c r="A1141" s="2640"/>
      <c r="B1141" s="700" t="s">
        <v>2504</v>
      </c>
      <c r="C1141" s="701"/>
      <c r="D1141" s="708">
        <f>IF(H1141&lt;&gt;"",VLOOKUP(G1141,base_barras,IF(H1141="Desnuda",2,5)+F1141-1,FALSE),"-")</f>
        <v>3170</v>
      </c>
      <c r="E1141" s="702">
        <v>3</v>
      </c>
      <c r="F1141" s="709">
        <v>3</v>
      </c>
      <c r="G1141" s="710" t="s">
        <v>582</v>
      </c>
      <c r="H1141" s="709" t="s">
        <v>1043</v>
      </c>
      <c r="I1141" s="711">
        <v>0</v>
      </c>
      <c r="J1141" s="480">
        <f>IF(G1141&lt;&gt;"",VLOOKUP(G1141,precio_barras,9,FALSE),0)</f>
        <v>71.100000000000009</v>
      </c>
      <c r="K1141" s="702">
        <v>0</v>
      </c>
      <c r="L1141" s="703" t="str">
        <f>IF(G1141&lt;&gt;"",IF(VLOOKUP(G1141,base_barras,10,FALSE)&lt;&gt;"",VLOOKUP(G1141,base_barras,10,FALSE),"-"),"-")</f>
        <v>1/1000</v>
      </c>
      <c r="M1141" s="480">
        <f>IF(L1141&lt;&gt;"-",VLOOKUP(L1141,precio_aislador,2,FALSE),0)</f>
        <v>2.7</v>
      </c>
      <c r="N1141" s="704">
        <f>(I1141*J1141*F1141+K1141*M1141)*E1141*1.67*1.25</f>
        <v>0</v>
      </c>
      <c r="O1141" s="288"/>
      <c r="P1141" s="297"/>
      <c r="Q1141" s="297"/>
    </row>
    <row r="1142" spans="1:20" s="102" customFormat="1" ht="13.5" thickBot="1">
      <c r="A1142" s="323"/>
      <c r="B1142" s="323"/>
      <c r="C1142" s="309"/>
      <c r="D1142" s="382"/>
      <c r="E1142" s="323"/>
      <c r="F1142" s="309"/>
      <c r="G1142" s="309"/>
      <c r="H1142" s="323"/>
      <c r="I1142" s="325"/>
      <c r="J1142" s="325"/>
      <c r="K1142" s="323"/>
      <c r="L1142" s="323"/>
      <c r="M1142" s="325"/>
      <c r="N1142" s="706">
        <f>SUM(N1138:N1141)</f>
        <v>0</v>
      </c>
      <c r="O1142" s="288"/>
      <c r="P1142" s="297"/>
      <c r="Q1142" s="297"/>
    </row>
    <row r="1143" spans="1:20" s="102" customFormat="1" ht="8.25" customHeight="1" thickBot="1">
      <c r="A1143" s="323"/>
      <c r="B1143" s="323"/>
      <c r="C1143" s="323"/>
      <c r="D1143" s="382"/>
      <c r="E1143" s="323"/>
      <c r="F1143" s="325"/>
      <c r="G1143" s="325"/>
      <c r="H1143" s="325"/>
      <c r="I1143" s="323"/>
      <c r="J1143" s="323"/>
      <c r="K1143" s="323"/>
      <c r="L1143" s="325"/>
      <c r="M1143" s="323"/>
      <c r="N1143" s="309"/>
      <c r="O1143" s="288"/>
      <c r="P1143" s="297"/>
      <c r="Q1143" s="288"/>
    </row>
    <row r="1144" spans="1:20" s="102" customFormat="1">
      <c r="A1144" s="2629" t="s">
        <v>1228</v>
      </c>
      <c r="B1144" s="687" t="s">
        <v>2498</v>
      </c>
      <c r="C1144" s="327"/>
      <c r="D1144" s="328">
        <f>IF(H1144&lt;&gt;"",VLOOKUP(G1144,base_barras,IF(H1144="Desnuda",2,5)+F1144-1,FALSE),"-")</f>
        <v>2850</v>
      </c>
      <c r="E1144" s="481">
        <v>3</v>
      </c>
      <c r="F1144" s="330">
        <v>2</v>
      </c>
      <c r="G1144" s="331" t="s">
        <v>468</v>
      </c>
      <c r="H1144" s="330" t="s">
        <v>1043</v>
      </c>
      <c r="I1144" s="332">
        <f>0.2+0.2</f>
        <v>0.4</v>
      </c>
      <c r="J1144" s="333">
        <f>IF(G1144&lt;&gt;"",VLOOKUP(G1144,precio_barras,9,FALSE),0)</f>
        <v>88.9</v>
      </c>
      <c r="K1144" s="329">
        <v>0</v>
      </c>
      <c r="L1144" s="343" t="str">
        <f>IF(G1144&lt;&gt;"",IF(VLOOKUP(G1144,base_barras,10,FALSE)&lt;&gt;"",VLOOKUP(G1144,base_barras,10,FALSE),"-"),"-")</f>
        <v>1.5/1250</v>
      </c>
      <c r="M1144" s="333">
        <f>IF(L1144&lt;&gt;"-",VLOOKUP(L1144,precio_aislador,2,FALSE),0)</f>
        <v>5.5</v>
      </c>
      <c r="N1144" s="360">
        <f>(I1144*J1144*F1144+K1144*M1144)*E1144*1.67*1.25</f>
        <v>445.38900000000001</v>
      </c>
      <c r="O1144" s="288"/>
      <c r="P1144" s="297"/>
      <c r="Q1144" s="297"/>
    </row>
    <row r="1145" spans="1:20" s="102" customFormat="1" ht="13.5" thickBot="1">
      <c r="A1145" s="2635"/>
      <c r="B1145" s="707"/>
      <c r="C1145" s="479"/>
      <c r="D1145" s="364" t="str">
        <f>IF(H1145&lt;&gt;"",VLOOKUP(G1145,base_barras,IF(H1145="Desnuda",2,5)+F1145-1,FALSE),"-")</f>
        <v>-</v>
      </c>
      <c r="E1145" s="365"/>
      <c r="F1145" s="366"/>
      <c r="G1145" s="322"/>
      <c r="H1145" s="366"/>
      <c r="I1145" s="367"/>
      <c r="J1145" s="480">
        <f>IF(G1145&lt;&gt;"",VLOOKUP(G1145,precio_barras,9,FALSE),0)</f>
        <v>0</v>
      </c>
      <c r="K1145" s="365"/>
      <c r="L1145" s="369" t="str">
        <f>IF(G1145&lt;&gt;"",IF(VLOOKUP(G1145,base_barras,10,FALSE)&lt;&gt;"",VLOOKUP(G1145,base_barras,10,FALSE),"-"),"-")</f>
        <v>-</v>
      </c>
      <c r="M1145" s="368">
        <f>IF(L1145&lt;&gt;"-",VLOOKUP(L1145,precio_aislador,2,FALSE),0)</f>
        <v>0</v>
      </c>
      <c r="N1145" s="370">
        <f>(I1145*J1145*F1145+K1145*M1145)*E1145*1.67*1.25</f>
        <v>0</v>
      </c>
      <c r="O1145" s="288"/>
      <c r="P1145" s="297"/>
      <c r="Q1145" s="297"/>
    </row>
    <row r="1146" spans="1:20" s="102" customFormat="1" ht="13.5" thickBot="1">
      <c r="A1146" s="323"/>
      <c r="B1146" s="323"/>
      <c r="C1146" s="309"/>
      <c r="D1146" s="382"/>
      <c r="E1146" s="323"/>
      <c r="F1146" s="309"/>
      <c r="G1146" s="309"/>
      <c r="H1146" s="323"/>
      <c r="I1146" s="325"/>
      <c r="J1146" s="325"/>
      <c r="K1146" s="323"/>
      <c r="L1146" s="323"/>
      <c r="M1146" s="325"/>
      <c r="N1146" s="706">
        <f>SUM(N1144:N1145)</f>
        <v>445.38900000000001</v>
      </c>
      <c r="O1146" s="288"/>
      <c r="P1146" s="297"/>
      <c r="Q1146" s="297"/>
    </row>
    <row r="1147" spans="1:20" s="102" customFormat="1" ht="8.25" customHeight="1" thickBot="1">
      <c r="A1147" s="323"/>
      <c r="B1147" s="323"/>
      <c r="C1147" s="323"/>
      <c r="D1147" s="382"/>
      <c r="E1147" s="323"/>
      <c r="F1147" s="325"/>
      <c r="G1147" s="325"/>
      <c r="H1147" s="325"/>
      <c r="I1147" s="323"/>
      <c r="J1147" s="323"/>
      <c r="K1147" s="323"/>
      <c r="L1147" s="325"/>
      <c r="M1147" s="323"/>
      <c r="N1147" s="309"/>
      <c r="O1147" s="288"/>
      <c r="P1147" s="297"/>
      <c r="Q1147" s="288"/>
    </row>
    <row r="1148" spans="1:20" s="102" customFormat="1">
      <c r="A1148" s="2639" t="s">
        <v>2508</v>
      </c>
      <c r="B1148" s="687" t="s">
        <v>2520</v>
      </c>
      <c r="C1148" s="327"/>
      <c r="D1148" s="328">
        <f>IF(H1148&lt;&gt;"",VLOOKUP(G1148,base_barras,IF(H1148="Desnuda",2,5)+F1148-1,FALSE),"-")</f>
        <v>924</v>
      </c>
      <c r="E1148" s="329">
        <v>3</v>
      </c>
      <c r="F1148" s="330">
        <v>2</v>
      </c>
      <c r="G1148" s="331" t="s">
        <v>62</v>
      </c>
      <c r="H1148" s="330" t="s">
        <v>1043</v>
      </c>
      <c r="I1148" s="332">
        <f>0.3+0.35</f>
        <v>0.64999999999999991</v>
      </c>
      <c r="J1148" s="333">
        <f>IF(G1148&lt;&gt;"",VLOOKUP(G1148,precio_barras,9,FALSE),0)</f>
        <v>17.7</v>
      </c>
      <c r="K1148" s="329">
        <v>0</v>
      </c>
      <c r="L1148" s="343" t="str">
        <f>IF(G1148&lt;&gt;"",IF(VLOOKUP(G1148,base_barras,10,FALSE)&lt;&gt;"",VLOOKUP(G1148,base_barras,10,FALSE),"-"),"-")</f>
        <v>-</v>
      </c>
      <c r="M1148" s="333">
        <f>IF(L1148&lt;&gt;"-",VLOOKUP(L1148,precio_aislador,2,FALSE),0)</f>
        <v>0</v>
      </c>
      <c r="N1148" s="360">
        <f>(I1148*J1148*F1148+K1148*M1148)*E1148*1.67*1.25</f>
        <v>144.10012499999996</v>
      </c>
      <c r="O1148" s="288"/>
      <c r="P1148" s="297"/>
      <c r="Q1148" s="297"/>
    </row>
    <row r="1149" spans="1:20" s="199" customFormat="1" ht="15.75" customHeight="1">
      <c r="A1149" s="2644"/>
      <c r="B1149" s="692" t="s">
        <v>2498</v>
      </c>
      <c r="C1149" s="693"/>
      <c r="D1149" s="697">
        <f>IF(H1149&lt;&gt;"",VLOOKUP(G1149,base_barras,IF(H1149="Desnuda",2,5)+F1149-1,FALSE),"-")</f>
        <v>850</v>
      </c>
      <c r="E1149" s="694">
        <v>3</v>
      </c>
      <c r="F1149" s="655">
        <v>1</v>
      </c>
      <c r="G1149" s="698" t="s">
        <v>469</v>
      </c>
      <c r="H1149" s="655" t="s">
        <v>1043</v>
      </c>
      <c r="I1149" s="398">
        <v>1.2</v>
      </c>
      <c r="J1149" s="478">
        <f>IF(G1149&lt;&gt;"",VLOOKUP(G1149,precio_barras,9,FALSE),0)</f>
        <v>35.6</v>
      </c>
      <c r="K1149" s="694">
        <v>2</v>
      </c>
      <c r="L1149" s="695" t="str">
        <f>IF(G1149&lt;&gt;"",IF(VLOOKUP(G1149,base_barras,10,FALSE)&lt;&gt;"",VLOOKUP(G1149,base_barras,10,FALSE),"-"),"-")</f>
        <v>1/750</v>
      </c>
      <c r="M1149" s="478">
        <f>IF(L1149&lt;&gt;"-",VLOOKUP(L1149,precio_aislador,2,FALSE),0)</f>
        <v>1.9</v>
      </c>
      <c r="N1149" s="696">
        <f>(I1149*J1149*F1149+K1149*M1149)*E1149*1.67*1.25</f>
        <v>291.33150000000001</v>
      </c>
      <c r="O1149" s="288"/>
      <c r="P1149" s="297"/>
      <c r="Q1149" s="288"/>
      <c r="R1149" s="102"/>
      <c r="S1149" s="102"/>
      <c r="T1149" s="102"/>
    </row>
    <row r="1150" spans="1:20" s="199" customFormat="1" ht="15.75" customHeight="1" thickBot="1">
      <c r="A1150" s="2644"/>
      <c r="B1150" s="707" t="s">
        <v>2498</v>
      </c>
      <c r="C1150" s="479"/>
      <c r="D1150" s="364">
        <f>IF(H1150&lt;&gt;"",VLOOKUP(G1150,base_barras,IF(H1150="Desnuda",2,5)+F1150-1,FALSE),"-")</f>
        <v>850</v>
      </c>
      <c r="E1150" s="365">
        <v>3</v>
      </c>
      <c r="F1150" s="366">
        <v>1</v>
      </c>
      <c r="G1150" s="322" t="s">
        <v>469</v>
      </c>
      <c r="H1150" s="366" t="s">
        <v>1043</v>
      </c>
      <c r="I1150" s="367">
        <v>0.7</v>
      </c>
      <c r="J1150" s="368">
        <f>IF(G1150&lt;&gt;"",VLOOKUP(G1150,precio_barras,9,FALSE),0)</f>
        <v>35.6</v>
      </c>
      <c r="K1150" s="365">
        <v>1</v>
      </c>
      <c r="L1150" s="369" t="str">
        <f>IF(G1150&lt;&gt;"",IF(VLOOKUP(G1150,base_barras,10,FALSE)&lt;&gt;"",VLOOKUP(G1150,base_barras,10,FALSE),"-"),"-")</f>
        <v>1/750</v>
      </c>
      <c r="M1150" s="368">
        <f>IF(L1150&lt;&gt;"-",VLOOKUP(L1150,precio_aislador,2,FALSE),0)</f>
        <v>1.9</v>
      </c>
      <c r="N1150" s="370">
        <f>(I1150*J1150*F1150+K1150*M1150)*E1150*1.67*1.25</f>
        <v>167.96024999999997</v>
      </c>
      <c r="O1150" s="288"/>
      <c r="P1150" s="297"/>
      <c r="Q1150" s="288"/>
      <c r="R1150" s="102"/>
      <c r="S1150" s="102"/>
      <c r="T1150" s="102"/>
    </row>
    <row r="1151" spans="1:20" s="102" customFormat="1">
      <c r="A1151" s="2644"/>
      <c r="B1151" s="692" t="s">
        <v>2504</v>
      </c>
      <c r="C1151" s="693"/>
      <c r="D1151" s="697">
        <f>IF(H1151&lt;&gt;"",VLOOKUP(G1151,base_barras,IF(H1151="Desnuda",2,5)+F1151-1,FALSE),"-")</f>
        <v>3170</v>
      </c>
      <c r="E1151" s="694">
        <v>3</v>
      </c>
      <c r="F1151" s="655">
        <v>3</v>
      </c>
      <c r="G1151" s="698" t="s">
        <v>582</v>
      </c>
      <c r="H1151" s="655" t="s">
        <v>1043</v>
      </c>
      <c r="I1151" s="398">
        <v>0</v>
      </c>
      <c r="J1151" s="478">
        <f>IF(G1151&lt;&gt;"",VLOOKUP(G1151,precio_barras,9,FALSE),0)</f>
        <v>71.100000000000009</v>
      </c>
      <c r="K1151" s="694">
        <v>0</v>
      </c>
      <c r="L1151" s="695" t="str">
        <f>IF(G1151&lt;&gt;"",IF(VLOOKUP(G1151,base_barras,10,FALSE)&lt;&gt;"",VLOOKUP(G1151,base_barras,10,FALSE),"-"),"-")</f>
        <v>1/1000</v>
      </c>
      <c r="M1151" s="478">
        <f>IF(L1151&lt;&gt;"-",VLOOKUP(L1151,precio_aislador,2,FALSE),0)</f>
        <v>2.7</v>
      </c>
      <c r="N1151" s="696">
        <f>(I1151*J1151*F1151+K1151*M1151)*E1151*1.67*1.25</f>
        <v>0</v>
      </c>
      <c r="O1151" s="288"/>
      <c r="P1151" s="297"/>
      <c r="Q1151" s="297"/>
    </row>
    <row r="1152" spans="1:20" s="199" customFormat="1" ht="15.75" customHeight="1" thickBot="1">
      <c r="A1152" s="2640"/>
      <c r="B1152" s="700" t="s">
        <v>2498</v>
      </c>
      <c r="C1152" s="701"/>
      <c r="D1152" s="708">
        <f>IF(H1152&lt;&gt;"",VLOOKUP(G1152,base_barras,IF(H1152="Desnuda",2,5)+F1152-1,FALSE),"-")</f>
        <v>2850</v>
      </c>
      <c r="E1152" s="702">
        <v>3</v>
      </c>
      <c r="F1152" s="709">
        <v>2</v>
      </c>
      <c r="G1152" s="710" t="s">
        <v>468</v>
      </c>
      <c r="H1152" s="709" t="s">
        <v>1043</v>
      </c>
      <c r="I1152" s="711">
        <v>0</v>
      </c>
      <c r="J1152" s="480">
        <f>IF(G1152&lt;&gt;"",VLOOKUP(G1152,precio_barras,9,FALSE),0)</f>
        <v>88.9</v>
      </c>
      <c r="K1152" s="702">
        <v>0</v>
      </c>
      <c r="L1152" s="703" t="str">
        <f>IF(G1152&lt;&gt;"",IF(VLOOKUP(G1152,base_barras,10,FALSE)&lt;&gt;"",VLOOKUP(G1152,base_barras,10,FALSE),"-"),"-")</f>
        <v>1.5/1250</v>
      </c>
      <c r="M1152" s="480">
        <f>IF(L1152&lt;&gt;"-",VLOOKUP(L1152,precio_aislador,2,FALSE),0)</f>
        <v>5.5</v>
      </c>
      <c r="N1152" s="704">
        <f>(I1152*J1152*F1152+K1152*M1152)*E1152*1.67*1.25</f>
        <v>0</v>
      </c>
      <c r="O1152" s="288"/>
      <c r="P1152" s="297"/>
      <c r="Q1152" s="288"/>
      <c r="R1152" s="102"/>
      <c r="S1152" s="102"/>
      <c r="T1152" s="102"/>
    </row>
    <row r="1153" spans="1:20" s="102" customFormat="1" ht="13.5" thickBot="1">
      <c r="A1153" s="323"/>
      <c r="B1153" s="323"/>
      <c r="C1153" s="309"/>
      <c r="D1153" s="382"/>
      <c r="E1153" s="323"/>
      <c r="F1153" s="309"/>
      <c r="G1153" s="309"/>
      <c r="H1153" s="323"/>
      <c r="I1153" s="325"/>
      <c r="J1153" s="325"/>
      <c r="K1153" s="323"/>
      <c r="L1153" s="323"/>
      <c r="M1153" s="325"/>
      <c r="N1153" s="706">
        <f>SUM(N1148:N1152)</f>
        <v>603.39187499999991</v>
      </c>
      <c r="O1153" s="288"/>
      <c r="P1153" s="297"/>
      <c r="Q1153" s="297"/>
    </row>
    <row r="1154" spans="1:20" s="102" customFormat="1" ht="8.25" customHeight="1" thickBot="1">
      <c r="A1154" s="323"/>
      <c r="B1154" s="323"/>
      <c r="C1154" s="323"/>
      <c r="D1154" s="382"/>
      <c r="E1154" s="323"/>
      <c r="F1154" s="325"/>
      <c r="G1154" s="325"/>
      <c r="H1154" s="325"/>
      <c r="I1154" s="323"/>
      <c r="J1154" s="323"/>
      <c r="K1154" s="323"/>
      <c r="L1154" s="325"/>
      <c r="M1154" s="323"/>
      <c r="N1154" s="309"/>
      <c r="O1154" s="288"/>
      <c r="P1154" s="297"/>
      <c r="Q1154" s="288"/>
    </row>
    <row r="1155" spans="1:20" s="102" customFormat="1">
      <c r="A1155" s="2629" t="s">
        <v>1034</v>
      </c>
      <c r="B1155" s="687" t="s">
        <v>2504</v>
      </c>
      <c r="C1155" s="327"/>
      <c r="D1155" s="328">
        <f>IF(H1155&lt;&gt;"",VLOOKUP(G1155,base_barras,IF(H1155="Desnuda",2,5)+F1155-1,FALSE),"-")</f>
        <v>3170</v>
      </c>
      <c r="E1155" s="329">
        <v>3</v>
      </c>
      <c r="F1155" s="330">
        <v>3</v>
      </c>
      <c r="G1155" s="331" t="s">
        <v>582</v>
      </c>
      <c r="H1155" s="330" t="s">
        <v>1043</v>
      </c>
      <c r="I1155" s="332">
        <v>0</v>
      </c>
      <c r="J1155" s="333">
        <f>IF(G1155&lt;&gt;"",VLOOKUP(G1155,precio_barras,9,FALSE),0)</f>
        <v>71.100000000000009</v>
      </c>
      <c r="K1155" s="329">
        <v>0</v>
      </c>
      <c r="L1155" s="343" t="str">
        <f>IF(G1155&lt;&gt;"",IF(VLOOKUP(G1155,base_barras,10,FALSE)&lt;&gt;"",VLOOKUP(G1155,base_barras,10,FALSE),"-"),"-")</f>
        <v>1/1000</v>
      </c>
      <c r="M1155" s="333">
        <f>IF(L1155&lt;&gt;"-",VLOOKUP(L1155,precio_aislador,2,FALSE),0)</f>
        <v>2.7</v>
      </c>
      <c r="N1155" s="360">
        <f>(I1155*J1155*F1155+K1155*M1155)*E1155*1.67*1.25</f>
        <v>0</v>
      </c>
      <c r="O1155" s="288"/>
      <c r="P1155" s="297"/>
      <c r="Q1155" s="297"/>
    </row>
    <row r="1156" spans="1:20" s="102" customFormat="1" ht="13.5" thickBot="1">
      <c r="A1156" s="2635"/>
      <c r="B1156" s="700" t="s">
        <v>2504</v>
      </c>
      <c r="C1156" s="701"/>
      <c r="D1156" s="708">
        <f>IF(H1156&lt;&gt;"",VLOOKUP(G1156,base_barras,IF(H1156="Desnuda",2,5)+F1156-1,FALSE),"-")</f>
        <v>3170</v>
      </c>
      <c r="E1156" s="702">
        <v>3</v>
      </c>
      <c r="F1156" s="709">
        <v>3</v>
      </c>
      <c r="G1156" s="710" t="s">
        <v>582</v>
      </c>
      <c r="H1156" s="709" t="s">
        <v>1043</v>
      </c>
      <c r="I1156" s="711">
        <v>0</v>
      </c>
      <c r="J1156" s="480">
        <f>IF(G1156&lt;&gt;"",VLOOKUP(G1156,precio_barras,9,FALSE),0)</f>
        <v>71.100000000000009</v>
      </c>
      <c r="K1156" s="702">
        <v>0</v>
      </c>
      <c r="L1156" s="703" t="str">
        <f>IF(G1156&lt;&gt;"",IF(VLOOKUP(G1156,base_barras,10,FALSE)&lt;&gt;"",VLOOKUP(G1156,base_barras,10,FALSE),"-"),"-")</f>
        <v>1/1000</v>
      </c>
      <c r="M1156" s="480">
        <f>IF(L1156&lt;&gt;"-",VLOOKUP(L1156,precio_aislador,2,FALSE),0)</f>
        <v>2.7</v>
      </c>
      <c r="N1156" s="704">
        <f>(I1156*J1156*F1156+K1156*M1156)*E1156*1.67*1.25</f>
        <v>0</v>
      </c>
      <c r="O1156" s="288"/>
      <c r="P1156" s="297"/>
      <c r="Q1156" s="297"/>
    </row>
    <row r="1157" spans="1:20" s="102" customFormat="1" ht="13.5" thickBot="1">
      <c r="A1157" s="323"/>
      <c r="B1157" s="323"/>
      <c r="C1157" s="309"/>
      <c r="D1157" s="382"/>
      <c r="E1157" s="323"/>
      <c r="F1157" s="309"/>
      <c r="G1157" s="309"/>
      <c r="H1157" s="323"/>
      <c r="I1157" s="325"/>
      <c r="J1157" s="325"/>
      <c r="K1157" s="323"/>
      <c r="L1157" s="323"/>
      <c r="M1157" s="325"/>
      <c r="N1157" s="706">
        <f>SUM(N1155:N1156)</f>
        <v>0</v>
      </c>
      <c r="O1157" s="288"/>
      <c r="P1157" s="297"/>
      <c r="Q1157" s="297"/>
    </row>
    <row r="1158" spans="1:20" s="102" customFormat="1">
      <c r="A1158" s="323"/>
      <c r="B1158" s="309"/>
      <c r="C1158" s="309"/>
      <c r="D1158" s="382"/>
      <c r="E1158" s="323"/>
      <c r="F1158" s="309"/>
      <c r="G1158" s="309"/>
      <c r="H1158" s="323"/>
      <c r="I1158" s="325"/>
      <c r="J1158" s="325"/>
      <c r="K1158" s="323"/>
      <c r="L1158" s="323"/>
      <c r="M1158" s="325"/>
      <c r="N1158" s="722"/>
      <c r="O1158" s="288"/>
      <c r="P1158" s="297"/>
      <c r="Q1158" s="297"/>
    </row>
    <row r="1159" spans="1:20" s="102" customFormat="1">
      <c r="A1159" s="323"/>
      <c r="B1159" s="309"/>
      <c r="C1159" s="309"/>
      <c r="D1159" s="382"/>
      <c r="E1159" s="323"/>
      <c r="F1159" s="309"/>
      <c r="G1159" s="309"/>
      <c r="H1159" s="323"/>
      <c r="I1159" s="325"/>
      <c r="J1159" s="325"/>
      <c r="K1159" s="323"/>
      <c r="L1159" s="323"/>
      <c r="M1159" s="325"/>
      <c r="N1159" s="722"/>
      <c r="O1159" s="288"/>
      <c r="P1159" s="297"/>
      <c r="Q1159" s="297"/>
    </row>
    <row r="1160" spans="1:20" s="102" customFormat="1" ht="15">
      <c r="A1160" s="323"/>
      <c r="B1160" s="723" t="s">
        <v>2513</v>
      </c>
      <c r="C1160" s="309"/>
      <c r="D1160" s="382"/>
      <c r="E1160" s="323"/>
      <c r="F1160" s="309"/>
      <c r="G1160" s="309"/>
      <c r="H1160" s="323"/>
      <c r="I1160" s="325"/>
      <c r="J1160" s="325"/>
      <c r="K1160" s="323"/>
      <c r="L1160" s="323"/>
      <c r="M1160" s="325"/>
      <c r="N1160" s="722"/>
      <c r="O1160" s="288"/>
      <c r="P1160" s="297"/>
      <c r="Q1160" s="297"/>
    </row>
    <row r="1161" spans="1:20" s="106" customFormat="1" ht="29.25" customHeight="1">
      <c r="B1161" s="724"/>
    </row>
    <row r="1162" spans="1:20" s="106" customFormat="1" ht="13.5" thickBot="1"/>
    <row r="1163" spans="1:20" s="199" customFormat="1" ht="15.75" customHeight="1">
      <c r="A1163" s="2641" t="s">
        <v>2521</v>
      </c>
      <c r="B1163" s="687" t="s">
        <v>2522</v>
      </c>
      <c r="C1163" s="327"/>
      <c r="D1163" s="328">
        <f>IF(H1163&lt;&gt;"",VLOOKUP(G1163,base_barras,IF(H1163="Desnuda",2,5)+F1163-1,FALSE),"-")</f>
        <v>2040</v>
      </c>
      <c r="E1163" s="329">
        <v>1</v>
      </c>
      <c r="F1163" s="330">
        <v>0</v>
      </c>
      <c r="G1163" s="331" t="s">
        <v>315</v>
      </c>
      <c r="H1163" s="330" t="s">
        <v>1043</v>
      </c>
      <c r="I1163" s="332">
        <v>0.8</v>
      </c>
      <c r="J1163" s="333">
        <f t="shared" ref="J1163:J1175" si="622">IF(G1163&lt;&gt;"",VLOOKUP(G1163,precio_barras,9,FALSE),0)</f>
        <v>44.400000000000006</v>
      </c>
      <c r="K1163" s="329">
        <v>0</v>
      </c>
      <c r="L1163" s="343" t="str">
        <f>IF(G1163&lt;&gt;"",IF(VLOOKUP(G1163,base_barras,10,FALSE)&lt;&gt;"",VLOOKUP(G1163,base_barras,10,FALSE),"-"),"-")</f>
        <v>1/750</v>
      </c>
      <c r="M1163" s="333">
        <f>IF(L1163&lt;&gt;"-",VLOOKUP(L1163,precio_aislador,2,FALSE),0)</f>
        <v>1.9</v>
      </c>
      <c r="N1163" s="360">
        <f>(I1163*J1163*F1163+K1163*M1163)*E1163*1.67*1.25</f>
        <v>0</v>
      </c>
      <c r="O1163" s="288"/>
      <c r="P1163" s="297"/>
      <c r="Q1163" s="288"/>
      <c r="R1163" s="102"/>
      <c r="S1163" s="102"/>
      <c r="T1163" s="102"/>
    </row>
    <row r="1164" spans="1:20" s="199" customFormat="1" ht="15" thickBot="1">
      <c r="A1164" s="2642"/>
      <c r="B1164" s="688" t="s">
        <v>802</v>
      </c>
      <c r="C1164" s="319"/>
      <c r="D1164" s="312">
        <f>IF(H1164&lt;&gt;"",VLOOKUP(G1164,base_barras,IF(H1164="Desnuda",2,5)+F1164-1,FALSE),"-")</f>
        <v>497</v>
      </c>
      <c r="E1164" s="313">
        <v>1</v>
      </c>
      <c r="F1164" s="314">
        <v>1</v>
      </c>
      <c r="G1164" s="315" t="s">
        <v>62</v>
      </c>
      <c r="H1164" s="689" t="str">
        <f>H1163</f>
        <v>Pintada</v>
      </c>
      <c r="I1164" s="690">
        <f>I1163</f>
        <v>0.8</v>
      </c>
      <c r="J1164" s="317">
        <f t="shared" si="622"/>
        <v>17.7</v>
      </c>
      <c r="K1164" s="691">
        <v>0</v>
      </c>
      <c r="L1164" s="318" t="str">
        <f>IF(G1164&lt;&gt;"",IF(VLOOKUP(G1164,base_barras,10,FALSE)&lt;&gt;"",VLOOKUP(G1164,base_barras,10,FALSE),"-"),"-")</f>
        <v>-</v>
      </c>
      <c r="M1164" s="317">
        <f>IF(L1164&lt;&gt;"-",VLOOKUP(L1164,precio_aislador,2,FALSE),0)</f>
        <v>0</v>
      </c>
      <c r="N1164" s="308">
        <f>(I1164*J1164*F1164+K1164*M1164)*E1164*1.67*1.25</f>
        <v>29.558999999999997</v>
      </c>
      <c r="O1164" s="288"/>
      <c r="P1164" s="297"/>
      <c r="Q1164" s="288"/>
      <c r="R1164" s="102"/>
      <c r="S1164" s="102"/>
      <c r="T1164" s="102"/>
    </row>
    <row r="1165" spans="1:20" s="199" customFormat="1" ht="15.75" customHeight="1">
      <c r="A1165" s="2642"/>
      <c r="B1165" s="687" t="s">
        <v>2498</v>
      </c>
      <c r="C1165" s="327"/>
      <c r="D1165" s="328">
        <f>IF(H1165&lt;&gt;"",VLOOKUP(G1165,base_barras,IF(H1165="Desnuda",2,5)+F1165-1,FALSE),"-")</f>
        <v>850</v>
      </c>
      <c r="E1165" s="329">
        <v>4</v>
      </c>
      <c r="F1165" s="330">
        <v>1</v>
      </c>
      <c r="G1165" s="331" t="s">
        <v>469</v>
      </c>
      <c r="H1165" s="330" t="s">
        <v>1043</v>
      </c>
      <c r="I1165" s="332">
        <v>0</v>
      </c>
      <c r="J1165" s="333">
        <f t="shared" si="622"/>
        <v>35.6</v>
      </c>
      <c r="K1165" s="329">
        <v>0</v>
      </c>
      <c r="L1165" s="343" t="str">
        <f>IF(G1165&lt;&gt;"",IF(VLOOKUP(G1165,base_barras,10,FALSE)&lt;&gt;"",VLOOKUP(G1165,base_barras,10,FALSE),"-"),"-")</f>
        <v>1/750</v>
      </c>
      <c r="M1165" s="333">
        <f>IF(L1165&lt;&gt;"-",VLOOKUP(L1165,precio_aislador,2,FALSE),0)</f>
        <v>1.9</v>
      </c>
      <c r="N1165" s="360">
        <f>(I1165*J1165*F1165+K1165*M1165)*E1165*1.67*1.25</f>
        <v>0</v>
      </c>
      <c r="O1165" s="288"/>
      <c r="P1165" s="297"/>
      <c r="Q1165" s="288"/>
      <c r="R1165" s="102"/>
      <c r="S1165" s="102"/>
      <c r="T1165" s="102"/>
    </row>
    <row r="1166" spans="1:20" s="199" customFormat="1" ht="15" thickBot="1">
      <c r="A1166" s="2642"/>
      <c r="B1166" s="707" t="s">
        <v>802</v>
      </c>
      <c r="C1166" s="363"/>
      <c r="D1166" s="364">
        <f>IF(H1166&lt;&gt;"",VLOOKUP(G1166,base_barras,IF(H1166="Desnuda",2,5)+F1166-1,FALSE),"-")</f>
        <v>497</v>
      </c>
      <c r="E1166" s="365">
        <v>1</v>
      </c>
      <c r="F1166" s="366">
        <v>1</v>
      </c>
      <c r="G1166" s="322" t="s">
        <v>62</v>
      </c>
      <c r="H1166" s="725" t="str">
        <f>H1165</f>
        <v>Pintada</v>
      </c>
      <c r="I1166" s="726">
        <v>0</v>
      </c>
      <c r="J1166" s="368">
        <f t="shared" si="622"/>
        <v>17.7</v>
      </c>
      <c r="K1166" s="395">
        <v>0</v>
      </c>
      <c r="L1166" s="369" t="str">
        <f>IF(G1166&lt;&gt;"",IF(VLOOKUP(G1166,base_barras,10,FALSE)&lt;&gt;"",VLOOKUP(G1166,base_barras,10,FALSE),"-"),"-")</f>
        <v>-</v>
      </c>
      <c r="M1166" s="368">
        <f>IF(L1166&lt;&gt;"-",VLOOKUP(L1166,precio_aislador,2,FALSE),0)</f>
        <v>0</v>
      </c>
      <c r="N1166" s="370">
        <f>(I1166*J1166*F1166+K1166*M1166)*E1166*1.67*1.25</f>
        <v>0</v>
      </c>
      <c r="O1166" s="288"/>
      <c r="P1166" s="297"/>
      <c r="Q1166" s="288"/>
      <c r="R1166" s="102"/>
      <c r="S1166" s="102"/>
      <c r="T1166" s="102"/>
    </row>
    <row r="1167" spans="1:20" s="199" customFormat="1" ht="15.75" customHeight="1">
      <c r="A1167" s="2642"/>
      <c r="B1167" s="692" t="s">
        <v>2515</v>
      </c>
      <c r="C1167" s="693"/>
      <c r="D1167" s="312">
        <f t="shared" ref="D1167:D1175" si="623">IF(H1167&lt;&gt;"",VLOOKUP(G1167,base_barras,IF(H1167="Desnuda",2,5)+F1167-1,FALSE),"-")</f>
        <v>1470</v>
      </c>
      <c r="E1167" s="313">
        <v>3</v>
      </c>
      <c r="F1167" s="314">
        <v>2</v>
      </c>
      <c r="G1167" s="315" t="s">
        <v>469</v>
      </c>
      <c r="H1167" s="314" t="s">
        <v>1043</v>
      </c>
      <c r="I1167" s="316">
        <v>0</v>
      </c>
      <c r="J1167" s="317">
        <f t="shared" si="622"/>
        <v>35.6</v>
      </c>
      <c r="K1167" s="694">
        <v>0</v>
      </c>
      <c r="L1167" s="695" t="str">
        <f t="shared" ref="L1167:L1175" si="624">IF(G1167&lt;&gt;"",IF(VLOOKUP(G1167,base_barras,10,FALSE)&lt;&gt;"",VLOOKUP(G1167,base_barras,10,FALSE),"-"),"-")</f>
        <v>1/750</v>
      </c>
      <c r="M1167" s="478">
        <f t="shared" ref="M1167:M1175" si="625">IF(L1167&lt;&gt;"-",VLOOKUP(L1167,precio_aislador,2,FALSE),0)</f>
        <v>1.9</v>
      </c>
      <c r="N1167" s="696">
        <f t="shared" ref="N1167:N1175" si="626">(I1167*J1167*F1167+K1167*M1167)*E1167*1.67*1.25</f>
        <v>0</v>
      </c>
      <c r="O1167" s="288"/>
      <c r="P1167" s="297"/>
      <c r="Q1167" s="288"/>
      <c r="R1167" s="102"/>
      <c r="S1167" s="102"/>
      <c r="T1167" s="102"/>
    </row>
    <row r="1168" spans="1:20" s="199" customFormat="1" ht="15.75" customHeight="1">
      <c r="A1168" s="2642"/>
      <c r="B1168" s="692" t="s">
        <v>2516</v>
      </c>
      <c r="C1168" s="693"/>
      <c r="D1168" s="697">
        <f t="shared" si="623"/>
        <v>676</v>
      </c>
      <c r="E1168" s="694">
        <v>3</v>
      </c>
      <c r="F1168" s="655">
        <v>1</v>
      </c>
      <c r="G1168" s="698" t="s">
        <v>314</v>
      </c>
      <c r="H1168" s="655" t="s">
        <v>1043</v>
      </c>
      <c r="I1168" s="398">
        <v>0</v>
      </c>
      <c r="J1168" s="478">
        <f t="shared" si="622"/>
        <v>26.6</v>
      </c>
      <c r="K1168" s="694">
        <v>0</v>
      </c>
      <c r="L1168" s="695" t="str">
        <f t="shared" si="624"/>
        <v>1/750</v>
      </c>
      <c r="M1168" s="478">
        <f t="shared" si="625"/>
        <v>1.9</v>
      </c>
      <c r="N1168" s="696">
        <f t="shared" si="626"/>
        <v>0</v>
      </c>
      <c r="O1168" s="288"/>
      <c r="P1168" s="297"/>
      <c r="Q1168" s="288"/>
      <c r="R1168" s="102"/>
      <c r="S1168" s="102"/>
      <c r="T1168" s="102"/>
    </row>
    <row r="1169" spans="1:20" s="199" customFormat="1" ht="15.75" customHeight="1">
      <c r="A1169" s="2642"/>
      <c r="B1169" s="692" t="s">
        <v>2516</v>
      </c>
      <c r="C1169" s="693"/>
      <c r="D1169" s="697">
        <f t="shared" si="623"/>
        <v>676</v>
      </c>
      <c r="E1169" s="694">
        <v>3</v>
      </c>
      <c r="F1169" s="655">
        <v>1</v>
      </c>
      <c r="G1169" s="698" t="s">
        <v>314</v>
      </c>
      <c r="H1169" s="655" t="s">
        <v>1043</v>
      </c>
      <c r="I1169" s="398">
        <v>0</v>
      </c>
      <c r="J1169" s="478">
        <f t="shared" si="622"/>
        <v>26.6</v>
      </c>
      <c r="K1169" s="694">
        <v>0</v>
      </c>
      <c r="L1169" s="695" t="str">
        <f t="shared" si="624"/>
        <v>1/750</v>
      </c>
      <c r="M1169" s="478">
        <f t="shared" si="625"/>
        <v>1.9</v>
      </c>
      <c r="N1169" s="696">
        <f t="shared" si="626"/>
        <v>0</v>
      </c>
      <c r="O1169" s="288"/>
      <c r="P1169" s="297"/>
      <c r="Q1169" s="288"/>
      <c r="R1169" s="102"/>
      <c r="S1169" s="102"/>
      <c r="T1169" s="102"/>
    </row>
    <row r="1170" spans="1:20" s="199" customFormat="1" ht="15.75" customHeight="1">
      <c r="A1170" s="2642"/>
      <c r="B1170" s="692" t="s">
        <v>2516</v>
      </c>
      <c r="C1170" s="693"/>
      <c r="D1170" s="697">
        <f t="shared" si="623"/>
        <v>676</v>
      </c>
      <c r="E1170" s="694">
        <v>3</v>
      </c>
      <c r="F1170" s="655">
        <v>1</v>
      </c>
      <c r="G1170" s="698" t="s">
        <v>314</v>
      </c>
      <c r="H1170" s="655" t="s">
        <v>1043</v>
      </c>
      <c r="I1170" s="398">
        <v>0</v>
      </c>
      <c r="J1170" s="478">
        <f t="shared" si="622"/>
        <v>26.6</v>
      </c>
      <c r="K1170" s="694">
        <v>0</v>
      </c>
      <c r="L1170" s="695" t="str">
        <f t="shared" si="624"/>
        <v>1/750</v>
      </c>
      <c r="M1170" s="478">
        <f t="shared" si="625"/>
        <v>1.9</v>
      </c>
      <c r="N1170" s="696">
        <f t="shared" si="626"/>
        <v>0</v>
      </c>
      <c r="O1170" s="288"/>
      <c r="P1170" s="297"/>
      <c r="Q1170" s="288"/>
      <c r="R1170" s="102"/>
      <c r="S1170" s="102"/>
      <c r="T1170" s="102"/>
    </row>
    <row r="1171" spans="1:20" s="199" customFormat="1" ht="15.75" customHeight="1">
      <c r="A1171" s="2642"/>
      <c r="B1171" s="692" t="s">
        <v>2501</v>
      </c>
      <c r="C1171" s="693"/>
      <c r="D1171" s="312">
        <f t="shared" si="623"/>
        <v>573</v>
      </c>
      <c r="E1171" s="313">
        <v>3</v>
      </c>
      <c r="F1171" s="314">
        <v>1</v>
      </c>
      <c r="G1171" s="315" t="s">
        <v>314</v>
      </c>
      <c r="H1171" s="314" t="s">
        <v>1044</v>
      </c>
      <c r="I1171" s="316">
        <v>0</v>
      </c>
      <c r="J1171" s="317">
        <f t="shared" si="622"/>
        <v>26.6</v>
      </c>
      <c r="K1171" s="694">
        <v>0</v>
      </c>
      <c r="L1171" s="695" t="str">
        <f t="shared" si="624"/>
        <v>1/750</v>
      </c>
      <c r="M1171" s="478">
        <f t="shared" si="625"/>
        <v>1.9</v>
      </c>
      <c r="N1171" s="696">
        <f t="shared" si="626"/>
        <v>0</v>
      </c>
      <c r="O1171" s="288"/>
      <c r="P1171" s="297"/>
      <c r="Q1171" s="288"/>
      <c r="R1171" s="102"/>
      <c r="S1171" s="102"/>
      <c r="T1171" s="102"/>
    </row>
    <row r="1172" spans="1:20" s="199" customFormat="1" ht="15.75" customHeight="1">
      <c r="A1172" s="2642"/>
      <c r="B1172" s="692" t="s">
        <v>2519</v>
      </c>
      <c r="C1172" s="693"/>
      <c r="D1172" s="697">
        <f t="shared" si="623"/>
        <v>924</v>
      </c>
      <c r="E1172" s="694">
        <v>3</v>
      </c>
      <c r="F1172" s="655">
        <v>2</v>
      </c>
      <c r="G1172" s="698" t="s">
        <v>62</v>
      </c>
      <c r="H1172" s="655" t="s">
        <v>1043</v>
      </c>
      <c r="I1172" s="398">
        <v>0</v>
      </c>
      <c r="J1172" s="478">
        <f t="shared" si="622"/>
        <v>17.7</v>
      </c>
      <c r="K1172" s="694">
        <v>0</v>
      </c>
      <c r="L1172" s="695" t="str">
        <f t="shared" si="624"/>
        <v>-</v>
      </c>
      <c r="M1172" s="478">
        <f t="shared" si="625"/>
        <v>0</v>
      </c>
      <c r="N1172" s="696">
        <f t="shared" si="626"/>
        <v>0</v>
      </c>
      <c r="O1172" s="288"/>
      <c r="P1172" s="297"/>
      <c r="Q1172" s="288"/>
      <c r="R1172" s="102"/>
      <c r="S1172" s="102"/>
      <c r="T1172" s="102"/>
    </row>
    <row r="1173" spans="1:20" s="199" customFormat="1" ht="15.75" customHeight="1">
      <c r="A1173" s="2642"/>
      <c r="B1173" s="692" t="s">
        <v>2519</v>
      </c>
      <c r="C1173" s="693"/>
      <c r="D1173" s="697">
        <f t="shared" si="623"/>
        <v>924</v>
      </c>
      <c r="E1173" s="694">
        <v>3</v>
      </c>
      <c r="F1173" s="655">
        <v>2</v>
      </c>
      <c r="G1173" s="698" t="s">
        <v>62</v>
      </c>
      <c r="H1173" s="655" t="s">
        <v>1043</v>
      </c>
      <c r="I1173" s="398">
        <v>0</v>
      </c>
      <c r="J1173" s="478">
        <f t="shared" si="622"/>
        <v>17.7</v>
      </c>
      <c r="K1173" s="694">
        <v>0</v>
      </c>
      <c r="L1173" s="695" t="str">
        <f t="shared" si="624"/>
        <v>-</v>
      </c>
      <c r="M1173" s="478">
        <f t="shared" si="625"/>
        <v>0</v>
      </c>
      <c r="N1173" s="696">
        <f t="shared" si="626"/>
        <v>0</v>
      </c>
      <c r="O1173" s="288"/>
      <c r="P1173" s="297"/>
      <c r="Q1173" s="288"/>
      <c r="R1173" s="102"/>
      <c r="S1173" s="102"/>
      <c r="T1173" s="102"/>
    </row>
    <row r="1174" spans="1:20" s="199" customFormat="1" ht="15.75" customHeight="1">
      <c r="A1174" s="2642"/>
      <c r="B1174" s="692" t="s">
        <v>2501</v>
      </c>
      <c r="C1174" s="693"/>
      <c r="D1174" s="312">
        <f t="shared" si="623"/>
        <v>573</v>
      </c>
      <c r="E1174" s="313">
        <v>3</v>
      </c>
      <c r="F1174" s="314">
        <v>1</v>
      </c>
      <c r="G1174" s="315" t="s">
        <v>314</v>
      </c>
      <c r="H1174" s="314" t="s">
        <v>1044</v>
      </c>
      <c r="I1174" s="316">
        <v>0</v>
      </c>
      <c r="J1174" s="317">
        <f t="shared" si="622"/>
        <v>26.6</v>
      </c>
      <c r="K1174" s="694">
        <v>0</v>
      </c>
      <c r="L1174" s="695" t="str">
        <f t="shared" si="624"/>
        <v>1/750</v>
      </c>
      <c r="M1174" s="478">
        <f t="shared" si="625"/>
        <v>1.9</v>
      </c>
      <c r="N1174" s="696">
        <f t="shared" si="626"/>
        <v>0</v>
      </c>
      <c r="O1174" s="288"/>
      <c r="P1174" s="297"/>
      <c r="Q1174" s="288"/>
      <c r="R1174" s="102"/>
      <c r="S1174" s="102"/>
      <c r="T1174" s="102"/>
    </row>
    <row r="1175" spans="1:20" s="199" customFormat="1" ht="15.75" customHeight="1" thickBot="1">
      <c r="A1175" s="2642"/>
      <c r="B1175" s="692" t="s">
        <v>2501</v>
      </c>
      <c r="C1175" s="693"/>
      <c r="D1175" s="312">
        <f t="shared" si="623"/>
        <v>573</v>
      </c>
      <c r="E1175" s="313">
        <v>3</v>
      </c>
      <c r="F1175" s="314">
        <v>1</v>
      </c>
      <c r="G1175" s="315" t="s">
        <v>314</v>
      </c>
      <c r="H1175" s="314" t="s">
        <v>1044</v>
      </c>
      <c r="I1175" s="316">
        <v>0</v>
      </c>
      <c r="J1175" s="317">
        <f t="shared" si="622"/>
        <v>26.6</v>
      </c>
      <c r="K1175" s="694">
        <v>0</v>
      </c>
      <c r="L1175" s="695" t="str">
        <f t="shared" si="624"/>
        <v>1/750</v>
      </c>
      <c r="M1175" s="478">
        <f t="shared" si="625"/>
        <v>1.9</v>
      </c>
      <c r="N1175" s="696">
        <f t="shared" si="626"/>
        <v>0</v>
      </c>
      <c r="O1175" s="288"/>
      <c r="P1175" s="297"/>
      <c r="Q1175" s="288"/>
      <c r="R1175" s="102"/>
      <c r="S1175" s="102"/>
      <c r="T1175" s="102"/>
    </row>
    <row r="1176" spans="1:20" s="129" customFormat="1" ht="22.5" customHeight="1" thickBot="1">
      <c r="A1176" s="371"/>
      <c r="B1176" s="373"/>
      <c r="C1176" s="375"/>
      <c r="D1176" s="383"/>
      <c r="E1176" s="373"/>
      <c r="F1176" s="373"/>
      <c r="G1176" s="373"/>
      <c r="H1176" s="373"/>
      <c r="I1176" s="374"/>
      <c r="J1176" s="374"/>
      <c r="K1176" s="373"/>
      <c r="L1176" s="373"/>
      <c r="M1176" s="372"/>
      <c r="N1176" s="699">
        <f>SUM(N1163:N1175)</f>
        <v>29.558999999999997</v>
      </c>
      <c r="O1176" s="288"/>
      <c r="P1176" s="297"/>
      <c r="Q1176" s="288"/>
      <c r="R1176" s="102"/>
      <c r="S1176" s="102"/>
      <c r="T1176" s="102"/>
    </row>
    <row r="1177" spans="1:20" s="102" customFormat="1" ht="8.25" customHeight="1" thickBot="1">
      <c r="A1177" s="323"/>
      <c r="B1177" s="323"/>
      <c r="C1177" s="323"/>
      <c r="D1177" s="382"/>
      <c r="E1177" s="323"/>
      <c r="F1177" s="325"/>
      <c r="G1177" s="325"/>
      <c r="H1177" s="325"/>
      <c r="I1177" s="323"/>
      <c r="J1177" s="323"/>
      <c r="K1177" s="323"/>
      <c r="L1177" s="325"/>
      <c r="M1177" s="323"/>
      <c r="N1177" s="309"/>
      <c r="O1177" s="288"/>
      <c r="P1177" s="297"/>
      <c r="Q1177" s="288"/>
    </row>
    <row r="1178" spans="1:20" s="102" customFormat="1" ht="12.75" customHeight="1">
      <c r="A1178" s="2639" t="s">
        <v>2502</v>
      </c>
      <c r="B1178" s="687" t="s">
        <v>2503</v>
      </c>
      <c r="C1178" s="327"/>
      <c r="D1178" s="328">
        <f>IF(H1178&lt;&gt;"",VLOOKUP(G1178,base_barras,IF(H1178="Desnuda",2,5)+F1178-1,FALSE),"-")</f>
        <v>3290</v>
      </c>
      <c r="E1178" s="329">
        <v>3</v>
      </c>
      <c r="F1178" s="330">
        <v>1</v>
      </c>
      <c r="G1178" s="331" t="s">
        <v>584</v>
      </c>
      <c r="H1178" s="330" t="s">
        <v>1043</v>
      </c>
      <c r="I1178" s="332">
        <v>0</v>
      </c>
      <c r="J1178" s="333">
        <f>IF(G1178&lt;&gt;"",VLOOKUP(G1178,precio_barras,9,FALSE),0)</f>
        <v>231.4</v>
      </c>
      <c r="K1178" s="481">
        <v>0</v>
      </c>
      <c r="L1178" s="343" t="str">
        <f>IF(G1178&lt;&gt;"",IF(VLOOKUP(G1178,base_barras,10,FALSE)&lt;&gt;"",VLOOKUP(G1178,base_barras,10,FALSE),"-"),"-")</f>
        <v>1.5/1600</v>
      </c>
      <c r="M1178" s="333">
        <f>IF(L1178&lt;&gt;"-",VLOOKUP(L1178,precio_aislador,2,FALSE),0)</f>
        <v>22</v>
      </c>
      <c r="N1178" s="360">
        <f>(I1178*J1178*F1178+K1178*M1178)*E1178*1.67*1.25</f>
        <v>0</v>
      </c>
      <c r="O1178" s="288"/>
      <c r="P1178" s="297"/>
      <c r="Q1178" s="297"/>
    </row>
    <row r="1179" spans="1:20" s="199" customFormat="1" ht="15.75" customHeight="1" thickBot="1">
      <c r="A1179" s="2644"/>
      <c r="B1179" s="700" t="s">
        <v>2504</v>
      </c>
      <c r="C1179" s="701"/>
      <c r="D1179" s="364">
        <f>IF(H1179&lt;&gt;"",VLOOKUP(G1179,base_barras,IF(H1179="Desnuda",2,5)+F1179-1,FALSE),"-")</f>
        <v>3170</v>
      </c>
      <c r="E1179" s="365">
        <v>3</v>
      </c>
      <c r="F1179" s="366">
        <v>3</v>
      </c>
      <c r="G1179" s="322" t="s">
        <v>582</v>
      </c>
      <c r="H1179" s="366" t="s">
        <v>1043</v>
      </c>
      <c r="I1179" s="367">
        <v>0</v>
      </c>
      <c r="J1179" s="368">
        <f>IF(G1179&lt;&gt;"",VLOOKUP(G1179,precio_barras,9,FALSE),0)</f>
        <v>71.100000000000009</v>
      </c>
      <c r="K1179" s="702">
        <v>0</v>
      </c>
      <c r="L1179" s="703" t="str">
        <f>IF(G1179&lt;&gt;"",IF(VLOOKUP(G1179,base_barras,10,FALSE)&lt;&gt;"",VLOOKUP(G1179,base_barras,10,FALSE),"-"),"-")</f>
        <v>1/1000</v>
      </c>
      <c r="M1179" s="480">
        <f>IF(L1179&lt;&gt;"-",VLOOKUP(L1179,precio_aislador,2,FALSE),0)</f>
        <v>2.7</v>
      </c>
      <c r="N1179" s="704">
        <f>(I1179*J1179*F1179+K1179*M1179)*E1179*1.67*1.25</f>
        <v>0</v>
      </c>
      <c r="O1179" s="288"/>
      <c r="P1179" s="297"/>
      <c r="Q1179" s="288"/>
      <c r="R1179" s="102"/>
      <c r="S1179" s="102"/>
      <c r="T1179" s="102"/>
    </row>
    <row r="1180" spans="1:20" s="102" customFormat="1" ht="12.75" customHeight="1">
      <c r="A1180" s="2644"/>
      <c r="B1180" s="692" t="s">
        <v>2503</v>
      </c>
      <c r="C1180" s="693"/>
      <c r="D1180" s="697">
        <f>IF(H1180&lt;&gt;"",VLOOKUP(G1180,base_barras,IF(H1180="Desnuda",2,5)+F1180-1,FALSE),"-")</f>
        <v>3290</v>
      </c>
      <c r="E1180" s="694">
        <v>3</v>
      </c>
      <c r="F1180" s="655">
        <v>1</v>
      </c>
      <c r="G1180" s="698" t="s">
        <v>584</v>
      </c>
      <c r="H1180" s="655" t="s">
        <v>1043</v>
      </c>
      <c r="I1180" s="398">
        <v>0</v>
      </c>
      <c r="J1180" s="478">
        <f>IF(G1180&lt;&gt;"",VLOOKUP(G1180,precio_barras,9,FALSE),0)</f>
        <v>231.4</v>
      </c>
      <c r="K1180" s="705">
        <v>0</v>
      </c>
      <c r="L1180" s="695" t="str">
        <f>IF(G1180&lt;&gt;"",IF(VLOOKUP(G1180,base_barras,10,FALSE)&lt;&gt;"",VLOOKUP(G1180,base_barras,10,FALSE),"-"),"-")</f>
        <v>1.5/1600</v>
      </c>
      <c r="M1180" s="478">
        <f>IF(L1180&lt;&gt;"-",VLOOKUP(L1180,precio_aislador,2,FALSE),0)</f>
        <v>22</v>
      </c>
      <c r="N1180" s="696">
        <f>(I1180*J1180*F1180+K1180*M1180)*E1180*1.67*1.25</f>
        <v>0</v>
      </c>
      <c r="O1180" s="288"/>
      <c r="P1180" s="297"/>
      <c r="Q1180" s="297"/>
    </row>
    <row r="1181" spans="1:20" s="199" customFormat="1" ht="15.75" customHeight="1" thickBot="1">
      <c r="A1181" s="2640"/>
      <c r="B1181" s="700" t="s">
        <v>2504</v>
      </c>
      <c r="C1181" s="701"/>
      <c r="D1181" s="364">
        <f>IF(H1181&lt;&gt;"",VLOOKUP(G1181,base_barras,IF(H1181="Desnuda",2,5)+F1181-1,FALSE),"-")</f>
        <v>3170</v>
      </c>
      <c r="E1181" s="365">
        <v>3</v>
      </c>
      <c r="F1181" s="366">
        <v>3</v>
      </c>
      <c r="G1181" s="322" t="s">
        <v>582</v>
      </c>
      <c r="H1181" s="366" t="s">
        <v>1043</v>
      </c>
      <c r="I1181" s="367">
        <v>0</v>
      </c>
      <c r="J1181" s="368">
        <f>IF(G1181&lt;&gt;"",VLOOKUP(G1181,precio_barras,9,FALSE),0)</f>
        <v>71.100000000000009</v>
      </c>
      <c r="K1181" s="702">
        <v>0</v>
      </c>
      <c r="L1181" s="703" t="str">
        <f>IF(G1181&lt;&gt;"",IF(VLOOKUP(G1181,base_barras,10,FALSE)&lt;&gt;"",VLOOKUP(G1181,base_barras,10,FALSE),"-"),"-")</f>
        <v>1/1000</v>
      </c>
      <c r="M1181" s="480">
        <f>IF(L1181&lt;&gt;"-",VLOOKUP(L1181,precio_aislador,2,FALSE),0)</f>
        <v>2.7</v>
      </c>
      <c r="N1181" s="704">
        <f>(I1181*J1181*F1181+K1181*M1181)*E1181*1.67*1.25</f>
        <v>0</v>
      </c>
      <c r="O1181" s="288"/>
      <c r="P1181" s="297"/>
      <c r="Q1181" s="288"/>
      <c r="R1181" s="102"/>
      <c r="S1181" s="102"/>
      <c r="T1181" s="102"/>
    </row>
    <row r="1182" spans="1:20" s="102" customFormat="1" ht="13.5" thickBot="1">
      <c r="A1182" s="323"/>
      <c r="B1182" s="323"/>
      <c r="C1182" s="309"/>
      <c r="D1182" s="382"/>
      <c r="E1182" s="323"/>
      <c r="F1182" s="309"/>
      <c r="G1182" s="309"/>
      <c r="H1182" s="323"/>
      <c r="I1182" s="325"/>
      <c r="J1182" s="325"/>
      <c r="K1182" s="323"/>
      <c r="L1182" s="323"/>
      <c r="M1182" s="325"/>
      <c r="N1182" s="706">
        <f>SUM(N1178:N1181)</f>
        <v>0</v>
      </c>
      <c r="O1182" s="288"/>
      <c r="P1182" s="297"/>
      <c r="Q1182" s="297"/>
    </row>
    <row r="1183" spans="1:20" s="102" customFormat="1" ht="8.25" customHeight="1" thickBot="1">
      <c r="A1183" s="323"/>
      <c r="B1183" s="323"/>
      <c r="C1183" s="323"/>
      <c r="D1183" s="382"/>
      <c r="E1183" s="323"/>
      <c r="F1183" s="325"/>
      <c r="G1183" s="325"/>
      <c r="H1183" s="325"/>
      <c r="I1183" s="323"/>
      <c r="J1183" s="323"/>
      <c r="K1183" s="323"/>
      <c r="L1183" s="325"/>
      <c r="M1183" s="323"/>
      <c r="N1183" s="309"/>
      <c r="O1183" s="288"/>
      <c r="P1183" s="297"/>
      <c r="Q1183" s="288"/>
    </row>
    <row r="1184" spans="1:20" s="102" customFormat="1" ht="12.75" customHeight="1">
      <c r="A1184" s="2639" t="s">
        <v>2505</v>
      </c>
      <c r="B1184" s="687" t="s">
        <v>2506</v>
      </c>
      <c r="C1184" s="327"/>
      <c r="D1184" s="328">
        <f>IF(H1184&lt;&gt;"",VLOOKUP(G1184,base_barras,IF(H1184="Desnuda",2,5)+F1184-1,FALSE),"-")</f>
        <v>3290</v>
      </c>
      <c r="E1184" s="329">
        <v>3</v>
      </c>
      <c r="F1184" s="330">
        <v>1</v>
      </c>
      <c r="G1184" s="331" t="s">
        <v>584</v>
      </c>
      <c r="H1184" s="330" t="s">
        <v>1043</v>
      </c>
      <c r="I1184" s="332">
        <v>0</v>
      </c>
      <c r="J1184" s="333">
        <f>IF(G1184&lt;&gt;"",VLOOKUP(G1184,precio_barras,9,FALSE),0)</f>
        <v>231.4</v>
      </c>
      <c r="K1184" s="481">
        <v>0</v>
      </c>
      <c r="L1184" s="343" t="str">
        <f>IF(G1184&lt;&gt;"",IF(VLOOKUP(G1184,base_barras,10,FALSE)&lt;&gt;"",VLOOKUP(G1184,base_barras,10,FALSE),"-"),"-")</f>
        <v>1.5/1600</v>
      </c>
      <c r="M1184" s="333">
        <f>IF(L1184&lt;&gt;"-",VLOOKUP(L1184,precio_aislador,2,FALSE),0)</f>
        <v>22</v>
      </c>
      <c r="N1184" s="360">
        <f>(I1184*J1184*F1184+K1184*M1184)*E1184*1.67*1.25</f>
        <v>0</v>
      </c>
      <c r="O1184" s="288"/>
      <c r="P1184" s="297"/>
      <c r="Q1184" s="297"/>
    </row>
    <row r="1185" spans="1:20" s="102" customFormat="1" ht="13.5" thickBot="1">
      <c r="A1185" s="2644"/>
      <c r="B1185" s="707" t="s">
        <v>2504</v>
      </c>
      <c r="C1185" s="479"/>
      <c r="D1185" s="364">
        <f>IF(H1185&lt;&gt;"",VLOOKUP(G1185,base_barras,IF(H1185="Desnuda",2,5)+F1185-1,FALSE),"-")</f>
        <v>3170</v>
      </c>
      <c r="E1185" s="365">
        <v>3</v>
      </c>
      <c r="F1185" s="366">
        <v>3</v>
      </c>
      <c r="G1185" s="322" t="s">
        <v>582</v>
      </c>
      <c r="H1185" s="366" t="s">
        <v>1043</v>
      </c>
      <c r="I1185" s="367">
        <v>0</v>
      </c>
      <c r="J1185" s="368">
        <f>IF(G1185&lt;&gt;"",VLOOKUP(G1185,precio_barras,9,FALSE),0)</f>
        <v>71.100000000000009</v>
      </c>
      <c r="K1185" s="365">
        <v>0</v>
      </c>
      <c r="L1185" s="369" t="str">
        <f>IF(G1185&lt;&gt;"",IF(VLOOKUP(G1185,base_barras,10,FALSE)&lt;&gt;"",VLOOKUP(G1185,base_barras,10,FALSE),"-"),"-")</f>
        <v>1/1000</v>
      </c>
      <c r="M1185" s="368">
        <f>IF(L1185&lt;&gt;"-",VLOOKUP(L1185,precio_aislador,2,FALSE),0)</f>
        <v>2.7</v>
      </c>
      <c r="N1185" s="370">
        <f>(I1185*J1185*F1185+K1185*M1185)*E1185*1.67*1.25</f>
        <v>0</v>
      </c>
      <c r="O1185" s="288"/>
      <c r="P1185" s="297"/>
      <c r="Q1185" s="297"/>
    </row>
    <row r="1186" spans="1:20" s="102" customFormat="1" ht="12.75" customHeight="1">
      <c r="A1186" s="2644"/>
      <c r="B1186" s="692" t="s">
        <v>2506</v>
      </c>
      <c r="C1186" s="693"/>
      <c r="D1186" s="697">
        <f>IF(H1186&lt;&gt;"",VLOOKUP(G1186,base_barras,IF(H1186="Desnuda",2,5)+F1186-1,FALSE),"-")</f>
        <v>3290</v>
      </c>
      <c r="E1186" s="694">
        <v>3</v>
      </c>
      <c r="F1186" s="655">
        <v>1</v>
      </c>
      <c r="G1186" s="698" t="s">
        <v>584</v>
      </c>
      <c r="H1186" s="655" t="s">
        <v>1043</v>
      </c>
      <c r="I1186" s="398">
        <v>0</v>
      </c>
      <c r="J1186" s="478">
        <f>IF(G1186&lt;&gt;"",VLOOKUP(G1186,precio_barras,9,FALSE),0)</f>
        <v>231.4</v>
      </c>
      <c r="K1186" s="705">
        <v>0</v>
      </c>
      <c r="L1186" s="695" t="str">
        <f>IF(G1186&lt;&gt;"",IF(VLOOKUP(G1186,base_barras,10,FALSE)&lt;&gt;"",VLOOKUP(G1186,base_barras,10,FALSE),"-"),"-")</f>
        <v>1.5/1600</v>
      </c>
      <c r="M1186" s="478">
        <f>IF(L1186&lt;&gt;"-",VLOOKUP(L1186,precio_aislador,2,FALSE),0)</f>
        <v>22</v>
      </c>
      <c r="N1186" s="696">
        <f>(I1186*J1186*F1186+K1186*M1186)*E1186*1.67*1.25</f>
        <v>0</v>
      </c>
      <c r="O1186" s="288"/>
      <c r="P1186" s="297"/>
      <c r="Q1186" s="297"/>
    </row>
    <row r="1187" spans="1:20" s="102" customFormat="1" ht="13.5" thickBot="1">
      <c r="A1187" s="2640"/>
      <c r="B1187" s="700" t="s">
        <v>2504</v>
      </c>
      <c r="C1187" s="701"/>
      <c r="D1187" s="708">
        <f>IF(H1187&lt;&gt;"",VLOOKUP(G1187,base_barras,IF(H1187="Desnuda",2,5)+F1187-1,FALSE),"-")</f>
        <v>3170</v>
      </c>
      <c r="E1187" s="702">
        <v>3</v>
      </c>
      <c r="F1187" s="709">
        <v>3</v>
      </c>
      <c r="G1187" s="710" t="s">
        <v>582</v>
      </c>
      <c r="H1187" s="709" t="s">
        <v>1043</v>
      </c>
      <c r="I1187" s="711">
        <v>0</v>
      </c>
      <c r="J1187" s="480">
        <f>IF(G1187&lt;&gt;"",VLOOKUP(G1187,precio_barras,9,FALSE),0)</f>
        <v>71.100000000000009</v>
      </c>
      <c r="K1187" s="702">
        <v>0</v>
      </c>
      <c r="L1187" s="703" t="str">
        <f>IF(G1187&lt;&gt;"",IF(VLOOKUP(G1187,base_barras,10,FALSE)&lt;&gt;"",VLOOKUP(G1187,base_barras,10,FALSE),"-"),"-")</f>
        <v>1/1000</v>
      </c>
      <c r="M1187" s="480">
        <f>IF(L1187&lt;&gt;"-",VLOOKUP(L1187,precio_aislador,2,FALSE),0)</f>
        <v>2.7</v>
      </c>
      <c r="N1187" s="704">
        <f>(I1187*J1187*F1187+K1187*M1187)*E1187*1.67*1.25</f>
        <v>0</v>
      </c>
      <c r="O1187" s="288"/>
      <c r="P1187" s="297"/>
      <c r="Q1187" s="297"/>
    </row>
    <row r="1188" spans="1:20" s="102" customFormat="1" ht="13.5" thickBot="1">
      <c r="A1188" s="323"/>
      <c r="B1188" s="323"/>
      <c r="C1188" s="309"/>
      <c r="D1188" s="382"/>
      <c r="E1188" s="323"/>
      <c r="F1188" s="309"/>
      <c r="G1188" s="309"/>
      <c r="H1188" s="323"/>
      <c r="I1188" s="325"/>
      <c r="J1188" s="325"/>
      <c r="K1188" s="323"/>
      <c r="L1188" s="323"/>
      <c r="M1188" s="325"/>
      <c r="N1188" s="706">
        <f>SUM(N1184:N1187)</f>
        <v>0</v>
      </c>
      <c r="O1188" s="288"/>
      <c r="P1188" s="297"/>
      <c r="Q1188" s="297"/>
    </row>
    <row r="1189" spans="1:20" s="102" customFormat="1" ht="8.25" customHeight="1" thickBot="1">
      <c r="A1189" s="323"/>
      <c r="B1189" s="323"/>
      <c r="C1189" s="323"/>
      <c r="D1189" s="382"/>
      <c r="E1189" s="323"/>
      <c r="F1189" s="325"/>
      <c r="G1189" s="325"/>
      <c r="H1189" s="325"/>
      <c r="I1189" s="323"/>
      <c r="J1189" s="323"/>
      <c r="K1189" s="323"/>
      <c r="L1189" s="325"/>
      <c r="M1189" s="323"/>
      <c r="N1189" s="309"/>
      <c r="O1189" s="288"/>
      <c r="P1189" s="297"/>
      <c r="Q1189" s="288"/>
    </row>
    <row r="1190" spans="1:20" s="102" customFormat="1">
      <c r="A1190" s="2629" t="s">
        <v>1228</v>
      </c>
      <c r="B1190" s="687" t="s">
        <v>2498</v>
      </c>
      <c r="C1190" s="327"/>
      <c r="D1190" s="328">
        <f>IF(H1190&lt;&gt;"",VLOOKUP(G1190,base_barras,IF(H1190="Desnuda",2,5)+F1190-1,FALSE),"-")</f>
        <v>2850</v>
      </c>
      <c r="E1190" s="481">
        <v>3</v>
      </c>
      <c r="F1190" s="330">
        <v>2</v>
      </c>
      <c r="G1190" s="331" t="s">
        <v>468</v>
      </c>
      <c r="H1190" s="330" t="s">
        <v>1043</v>
      </c>
      <c r="I1190" s="332">
        <v>0</v>
      </c>
      <c r="J1190" s="333">
        <f>IF(G1190&lt;&gt;"",VLOOKUP(G1190,precio_barras,9,FALSE),0)</f>
        <v>88.9</v>
      </c>
      <c r="K1190" s="329">
        <v>0</v>
      </c>
      <c r="L1190" s="343" t="str">
        <f>IF(G1190&lt;&gt;"",IF(VLOOKUP(G1190,base_barras,10,FALSE)&lt;&gt;"",VLOOKUP(G1190,base_barras,10,FALSE),"-"),"-")</f>
        <v>1.5/1250</v>
      </c>
      <c r="M1190" s="333">
        <f>IF(L1190&lt;&gt;"-",VLOOKUP(L1190,precio_aislador,2,FALSE),0)</f>
        <v>5.5</v>
      </c>
      <c r="N1190" s="360">
        <f>(I1190*J1190*F1190+K1190*M1190)*E1190*1.67*1.25</f>
        <v>0</v>
      </c>
      <c r="O1190" s="288"/>
      <c r="P1190" s="297"/>
      <c r="Q1190" s="297"/>
    </row>
    <row r="1191" spans="1:20" s="102" customFormat="1" ht="13.5" thickBot="1">
      <c r="A1191" s="2635"/>
      <c r="B1191" s="707"/>
      <c r="C1191" s="479"/>
      <c r="D1191" s="364" t="str">
        <f>IF(H1191&lt;&gt;"",VLOOKUP(G1191,base_barras,IF(H1191="Desnuda",2,5)+F1191-1,FALSE),"-")</f>
        <v>-</v>
      </c>
      <c r="E1191" s="365"/>
      <c r="F1191" s="366"/>
      <c r="G1191" s="322"/>
      <c r="H1191" s="366"/>
      <c r="I1191" s="367"/>
      <c r="J1191" s="480">
        <f>IF(G1191&lt;&gt;"",VLOOKUP(G1191,precio_barras,9,FALSE),0)</f>
        <v>0</v>
      </c>
      <c r="K1191" s="365"/>
      <c r="L1191" s="369" t="str">
        <f>IF(G1191&lt;&gt;"",IF(VLOOKUP(G1191,base_barras,10,FALSE)&lt;&gt;"",VLOOKUP(G1191,base_barras,10,FALSE),"-"),"-")</f>
        <v>-</v>
      </c>
      <c r="M1191" s="368">
        <f>IF(L1191&lt;&gt;"-",VLOOKUP(L1191,precio_aislador,2,FALSE),0)</f>
        <v>0</v>
      </c>
      <c r="N1191" s="370">
        <f>(I1191*J1191*F1191+K1191*M1191)*E1191*1.67*1.25</f>
        <v>0</v>
      </c>
      <c r="O1191" s="288"/>
      <c r="P1191" s="297"/>
      <c r="Q1191" s="297"/>
    </row>
    <row r="1192" spans="1:20" s="102" customFormat="1" ht="13.5" thickBot="1">
      <c r="A1192" s="323"/>
      <c r="B1192" s="323"/>
      <c r="C1192" s="309"/>
      <c r="D1192" s="382"/>
      <c r="E1192" s="323"/>
      <c r="F1192" s="309"/>
      <c r="G1192" s="309"/>
      <c r="H1192" s="323"/>
      <c r="I1192" s="325"/>
      <c r="J1192" s="325"/>
      <c r="K1192" s="323"/>
      <c r="L1192" s="323"/>
      <c r="M1192" s="325"/>
      <c r="N1192" s="706">
        <f>SUM(N1190:N1191)</f>
        <v>0</v>
      </c>
      <c r="O1192" s="288"/>
      <c r="P1192" s="297"/>
      <c r="Q1192" s="297"/>
    </row>
    <row r="1193" spans="1:20" s="102" customFormat="1" ht="8.25" customHeight="1" thickBot="1">
      <c r="A1193" s="323"/>
      <c r="B1193" s="323"/>
      <c r="C1193" s="323"/>
      <c r="D1193" s="382"/>
      <c r="E1193" s="323"/>
      <c r="F1193" s="325"/>
      <c r="G1193" s="325"/>
      <c r="H1193" s="325"/>
      <c r="I1193" s="323"/>
      <c r="J1193" s="323"/>
      <c r="K1193" s="323"/>
      <c r="L1193" s="325"/>
      <c r="M1193" s="323"/>
      <c r="N1193" s="309"/>
      <c r="O1193" s="288"/>
      <c r="P1193" s="297"/>
      <c r="Q1193" s="288"/>
    </row>
    <row r="1194" spans="1:20" s="102" customFormat="1">
      <c r="A1194" s="2639" t="s">
        <v>2508</v>
      </c>
      <c r="B1194" s="687" t="s">
        <v>2507</v>
      </c>
      <c r="C1194" s="327"/>
      <c r="D1194" s="328">
        <f>IF(H1194&lt;&gt;"",VLOOKUP(G1194,base_barras,IF(H1194="Desnuda",2,5)+F1194-1,FALSE),"-")</f>
        <v>1020</v>
      </c>
      <c r="E1194" s="329">
        <v>3</v>
      </c>
      <c r="F1194" s="330">
        <v>1</v>
      </c>
      <c r="G1194" s="331" t="s">
        <v>315</v>
      </c>
      <c r="H1194" s="330" t="s">
        <v>1043</v>
      </c>
      <c r="I1194" s="332">
        <v>0.8</v>
      </c>
      <c r="J1194" s="333">
        <f>IF(G1194&lt;&gt;"",VLOOKUP(G1194,precio_barras,9,FALSE),0)</f>
        <v>44.400000000000006</v>
      </c>
      <c r="K1194" s="329">
        <v>0</v>
      </c>
      <c r="L1194" s="343" t="str">
        <f>IF(G1194&lt;&gt;"",IF(VLOOKUP(G1194,base_barras,10,FALSE)&lt;&gt;"",VLOOKUP(G1194,base_barras,10,FALSE),"-"),"-")</f>
        <v>1/750</v>
      </c>
      <c r="M1194" s="333">
        <f>IF(L1194&lt;&gt;"-",VLOOKUP(L1194,precio_aislador,2,FALSE),0)</f>
        <v>1.9</v>
      </c>
      <c r="N1194" s="360">
        <f>(I1194*J1194*F1194+K1194*M1194)*E1194*1.67*1.25</f>
        <v>222.44399999999999</v>
      </c>
      <c r="O1194" s="288"/>
      <c r="P1194" s="297"/>
      <c r="Q1194" s="297"/>
    </row>
    <row r="1195" spans="1:20" s="199" customFormat="1" ht="15.75" customHeight="1">
      <c r="A1195" s="2644"/>
      <c r="B1195" s="692"/>
      <c r="C1195" s="693"/>
      <c r="D1195" s="697">
        <f>IF(H1195&lt;&gt;"",VLOOKUP(G1195,base_barras,IF(H1195="Desnuda",2,5)+F1195-1,FALSE),"-")</f>
        <v>850</v>
      </c>
      <c r="E1195" s="694">
        <v>3</v>
      </c>
      <c r="F1195" s="655">
        <v>1</v>
      </c>
      <c r="G1195" s="698" t="s">
        <v>469</v>
      </c>
      <c r="H1195" s="655" t="s">
        <v>1043</v>
      </c>
      <c r="I1195" s="398"/>
      <c r="J1195" s="478">
        <f>IF(G1195&lt;&gt;"",VLOOKUP(G1195,precio_barras,9,FALSE),0)</f>
        <v>35.6</v>
      </c>
      <c r="K1195" s="694">
        <v>0</v>
      </c>
      <c r="L1195" s="695" t="str">
        <f>IF(G1195&lt;&gt;"",IF(VLOOKUP(G1195,base_barras,10,FALSE)&lt;&gt;"",VLOOKUP(G1195,base_barras,10,FALSE),"-"),"-")</f>
        <v>1/750</v>
      </c>
      <c r="M1195" s="478">
        <f>IF(L1195&lt;&gt;"-",VLOOKUP(L1195,precio_aislador,2,FALSE),0)</f>
        <v>1.9</v>
      </c>
      <c r="N1195" s="696">
        <f>(I1195*J1195*F1195+K1195*M1195)*E1195*1.67*1.25</f>
        <v>0</v>
      </c>
      <c r="O1195" s="288"/>
      <c r="P1195" s="297"/>
      <c r="Q1195" s="288"/>
      <c r="R1195" s="102"/>
      <c r="S1195" s="102"/>
      <c r="T1195" s="102"/>
    </row>
    <row r="1196" spans="1:20" s="199" customFormat="1" ht="15.75" customHeight="1" thickBot="1">
      <c r="A1196" s="2644"/>
      <c r="B1196" s="707"/>
      <c r="C1196" s="479"/>
      <c r="D1196" s="364">
        <f>IF(H1196&lt;&gt;"",VLOOKUP(G1196,base_barras,IF(H1196="Desnuda",2,5)+F1196-1,FALSE),"-")</f>
        <v>850</v>
      </c>
      <c r="E1196" s="365">
        <v>3</v>
      </c>
      <c r="F1196" s="366">
        <v>1</v>
      </c>
      <c r="G1196" s="322" t="s">
        <v>469</v>
      </c>
      <c r="H1196" s="366" t="s">
        <v>1043</v>
      </c>
      <c r="I1196" s="367"/>
      <c r="J1196" s="368">
        <f>IF(G1196&lt;&gt;"",VLOOKUP(G1196,precio_barras,9,FALSE),0)</f>
        <v>35.6</v>
      </c>
      <c r="K1196" s="365">
        <v>0</v>
      </c>
      <c r="L1196" s="369" t="str">
        <f>IF(G1196&lt;&gt;"",IF(VLOOKUP(G1196,base_barras,10,FALSE)&lt;&gt;"",VLOOKUP(G1196,base_barras,10,FALSE),"-"),"-")</f>
        <v>1/750</v>
      </c>
      <c r="M1196" s="368">
        <f>IF(L1196&lt;&gt;"-",VLOOKUP(L1196,precio_aislador,2,FALSE),0)</f>
        <v>1.9</v>
      </c>
      <c r="N1196" s="370">
        <f>(I1196*J1196*F1196+K1196*M1196)*E1196*1.67*1.25</f>
        <v>0</v>
      </c>
      <c r="O1196" s="288"/>
      <c r="P1196" s="297"/>
      <c r="Q1196" s="288"/>
      <c r="R1196" s="102"/>
      <c r="S1196" s="102"/>
      <c r="T1196" s="102"/>
    </row>
    <row r="1197" spans="1:20" s="102" customFormat="1">
      <c r="A1197" s="2644"/>
      <c r="B1197" s="692"/>
      <c r="C1197" s="693"/>
      <c r="D1197" s="697">
        <f>IF(H1197&lt;&gt;"",VLOOKUP(G1197,base_barras,IF(H1197="Desnuda",2,5)+F1197-1,FALSE),"-")</f>
        <v>3170</v>
      </c>
      <c r="E1197" s="694">
        <v>3</v>
      </c>
      <c r="F1197" s="655">
        <v>3</v>
      </c>
      <c r="G1197" s="698" t="s">
        <v>582</v>
      </c>
      <c r="H1197" s="655" t="s">
        <v>1043</v>
      </c>
      <c r="I1197" s="398"/>
      <c r="J1197" s="478">
        <f>IF(G1197&lt;&gt;"",VLOOKUP(G1197,precio_barras,9,FALSE),0)</f>
        <v>71.100000000000009</v>
      </c>
      <c r="K1197" s="694">
        <v>0</v>
      </c>
      <c r="L1197" s="695" t="str">
        <f>IF(G1197&lt;&gt;"",IF(VLOOKUP(G1197,base_barras,10,FALSE)&lt;&gt;"",VLOOKUP(G1197,base_barras,10,FALSE),"-"),"-")</f>
        <v>1/1000</v>
      </c>
      <c r="M1197" s="478">
        <f>IF(L1197&lt;&gt;"-",VLOOKUP(L1197,precio_aislador,2,FALSE),0)</f>
        <v>2.7</v>
      </c>
      <c r="N1197" s="696">
        <f>(I1197*J1197*F1197+K1197*M1197)*E1197*1.67*1.25</f>
        <v>0</v>
      </c>
      <c r="O1197" s="288"/>
      <c r="P1197" s="297"/>
      <c r="Q1197" s="297"/>
    </row>
    <row r="1198" spans="1:20" s="199" customFormat="1" ht="15.75" customHeight="1" thickBot="1">
      <c r="A1198" s="2640"/>
      <c r="B1198" s="700"/>
      <c r="C1198" s="701"/>
      <c r="D1198" s="708">
        <f>IF(H1198&lt;&gt;"",VLOOKUP(G1198,base_barras,IF(H1198="Desnuda",2,5)+F1198-1,FALSE),"-")</f>
        <v>2850</v>
      </c>
      <c r="E1198" s="702">
        <v>3</v>
      </c>
      <c r="F1198" s="709">
        <v>2</v>
      </c>
      <c r="G1198" s="710" t="s">
        <v>468</v>
      </c>
      <c r="H1198" s="709" t="s">
        <v>1043</v>
      </c>
      <c r="I1198" s="711"/>
      <c r="J1198" s="480">
        <f>IF(G1198&lt;&gt;"",VLOOKUP(G1198,precio_barras,9,FALSE),0)</f>
        <v>88.9</v>
      </c>
      <c r="K1198" s="702">
        <v>0</v>
      </c>
      <c r="L1198" s="703" t="str">
        <f>IF(G1198&lt;&gt;"",IF(VLOOKUP(G1198,base_barras,10,FALSE)&lt;&gt;"",VLOOKUP(G1198,base_barras,10,FALSE),"-"),"-")</f>
        <v>1.5/1250</v>
      </c>
      <c r="M1198" s="480">
        <f>IF(L1198&lt;&gt;"-",VLOOKUP(L1198,precio_aislador,2,FALSE),0)</f>
        <v>5.5</v>
      </c>
      <c r="N1198" s="704">
        <f>(I1198*J1198*F1198+K1198*M1198)*E1198*1.67*1.25</f>
        <v>0</v>
      </c>
      <c r="O1198" s="288"/>
      <c r="P1198" s="297"/>
      <c r="Q1198" s="288"/>
      <c r="R1198" s="102"/>
      <c r="S1198" s="102"/>
      <c r="T1198" s="102"/>
    </row>
    <row r="1199" spans="1:20" s="102" customFormat="1" ht="13.5" thickBot="1">
      <c r="A1199" s="323"/>
      <c r="B1199" s="323"/>
      <c r="C1199" s="309"/>
      <c r="D1199" s="382"/>
      <c r="E1199" s="323"/>
      <c r="F1199" s="309"/>
      <c r="G1199" s="309"/>
      <c r="H1199" s="323"/>
      <c r="I1199" s="325"/>
      <c r="J1199" s="325"/>
      <c r="K1199" s="323"/>
      <c r="L1199" s="323"/>
      <c r="M1199" s="325"/>
      <c r="N1199" s="706">
        <f>SUM(N1194:N1198)</f>
        <v>222.44399999999999</v>
      </c>
      <c r="O1199" s="288"/>
      <c r="P1199" s="297"/>
      <c r="Q1199" s="297"/>
    </row>
    <row r="1200" spans="1:20" s="102" customFormat="1" ht="8.25" customHeight="1" thickBot="1">
      <c r="A1200" s="323"/>
      <c r="B1200" s="323"/>
      <c r="C1200" s="323"/>
      <c r="D1200" s="382"/>
      <c r="E1200" s="323"/>
      <c r="F1200" s="325"/>
      <c r="G1200" s="325"/>
      <c r="H1200" s="325"/>
      <c r="I1200" s="323"/>
      <c r="J1200" s="323"/>
      <c r="K1200" s="323"/>
      <c r="L1200" s="325"/>
      <c r="M1200" s="323"/>
      <c r="N1200" s="309"/>
      <c r="O1200" s="288"/>
      <c r="P1200" s="297"/>
      <c r="Q1200" s="288"/>
    </row>
    <row r="1201" spans="1:20" s="102" customFormat="1">
      <c r="A1201" s="2629" t="s">
        <v>1034</v>
      </c>
      <c r="B1201" s="687" t="s">
        <v>2504</v>
      </c>
      <c r="C1201" s="327"/>
      <c r="D1201" s="328">
        <f>IF(H1201&lt;&gt;"",VLOOKUP(G1201,base_barras,IF(H1201="Desnuda",2,5)+F1201-1,FALSE),"-")</f>
        <v>3170</v>
      </c>
      <c r="E1201" s="329">
        <v>3</v>
      </c>
      <c r="F1201" s="330">
        <v>3</v>
      </c>
      <c r="G1201" s="331" t="s">
        <v>582</v>
      </c>
      <c r="H1201" s="330" t="s">
        <v>1043</v>
      </c>
      <c r="I1201" s="332">
        <v>0</v>
      </c>
      <c r="J1201" s="333">
        <f>IF(G1201&lt;&gt;"",VLOOKUP(G1201,precio_barras,9,FALSE),0)</f>
        <v>71.100000000000009</v>
      </c>
      <c r="K1201" s="329">
        <v>0</v>
      </c>
      <c r="L1201" s="343" t="str">
        <f>IF(G1201&lt;&gt;"",IF(VLOOKUP(G1201,base_barras,10,FALSE)&lt;&gt;"",VLOOKUP(G1201,base_barras,10,FALSE),"-"),"-")</f>
        <v>1/1000</v>
      </c>
      <c r="M1201" s="333">
        <f>IF(L1201&lt;&gt;"-",VLOOKUP(L1201,precio_aislador,2,FALSE),0)</f>
        <v>2.7</v>
      </c>
      <c r="N1201" s="360">
        <f>(I1201*J1201*F1201+K1201*M1201)*E1201*1.67*1.25</f>
        <v>0</v>
      </c>
      <c r="O1201" s="288"/>
      <c r="P1201" s="297"/>
      <c r="Q1201" s="297"/>
    </row>
    <row r="1202" spans="1:20" s="102" customFormat="1" ht="13.5" thickBot="1">
      <c r="A1202" s="2635"/>
      <c r="B1202" s="700" t="s">
        <v>2504</v>
      </c>
      <c r="C1202" s="701"/>
      <c r="D1202" s="708">
        <f>IF(H1202&lt;&gt;"",VLOOKUP(G1202,base_barras,IF(H1202="Desnuda",2,5)+F1202-1,FALSE),"-")</f>
        <v>3170</v>
      </c>
      <c r="E1202" s="702">
        <v>3</v>
      </c>
      <c r="F1202" s="709">
        <v>3</v>
      </c>
      <c r="G1202" s="710" t="s">
        <v>582</v>
      </c>
      <c r="H1202" s="709" t="s">
        <v>1043</v>
      </c>
      <c r="I1202" s="711">
        <v>0</v>
      </c>
      <c r="J1202" s="480">
        <f>IF(G1202&lt;&gt;"",VLOOKUP(G1202,precio_barras,9,FALSE),0)</f>
        <v>71.100000000000009</v>
      </c>
      <c r="K1202" s="702">
        <v>0</v>
      </c>
      <c r="L1202" s="703" t="str">
        <f>IF(G1202&lt;&gt;"",IF(VLOOKUP(G1202,base_barras,10,FALSE)&lt;&gt;"",VLOOKUP(G1202,base_barras,10,FALSE),"-"),"-")</f>
        <v>1/1000</v>
      </c>
      <c r="M1202" s="480">
        <f>IF(L1202&lt;&gt;"-",VLOOKUP(L1202,precio_aislador,2,FALSE),0)</f>
        <v>2.7</v>
      </c>
      <c r="N1202" s="704">
        <f>(I1202*J1202*F1202+K1202*M1202)*E1202*1.67*1.25</f>
        <v>0</v>
      </c>
      <c r="O1202" s="288"/>
      <c r="P1202" s="297"/>
      <c r="Q1202" s="297"/>
    </row>
    <row r="1203" spans="1:20" s="102" customFormat="1" ht="13.5" thickBot="1">
      <c r="A1203" s="323"/>
      <c r="B1203" s="323"/>
      <c r="C1203" s="309"/>
      <c r="D1203" s="382"/>
      <c r="E1203" s="323"/>
      <c r="F1203" s="309"/>
      <c r="G1203" s="309"/>
      <c r="H1203" s="323"/>
      <c r="I1203" s="325"/>
      <c r="J1203" s="325"/>
      <c r="K1203" s="323"/>
      <c r="L1203" s="323"/>
      <c r="M1203" s="325"/>
      <c r="N1203" s="706">
        <f>SUM(N1201:N1202)</f>
        <v>0</v>
      </c>
      <c r="O1203" s="288"/>
      <c r="P1203" s="297"/>
      <c r="Q1203" s="297"/>
    </row>
    <row r="1204" spans="1:20" s="102" customFormat="1">
      <c r="A1204" s="323"/>
      <c r="B1204" s="309"/>
      <c r="C1204" s="309"/>
      <c r="D1204" s="382"/>
      <c r="E1204" s="323"/>
      <c r="F1204" s="309"/>
      <c r="G1204" s="309"/>
      <c r="H1204" s="323"/>
      <c r="I1204" s="325"/>
      <c r="J1204" s="325"/>
      <c r="K1204" s="323"/>
      <c r="L1204" s="323"/>
      <c r="M1204" s="325"/>
      <c r="N1204" s="722"/>
      <c r="O1204" s="288"/>
      <c r="P1204" s="297"/>
      <c r="Q1204" s="297"/>
    </row>
    <row r="1205" spans="1:20" s="102" customFormat="1">
      <c r="A1205" s="323"/>
      <c r="B1205" s="309"/>
      <c r="C1205" s="309"/>
      <c r="D1205" s="382"/>
      <c r="E1205" s="323"/>
      <c r="F1205" s="309"/>
      <c r="G1205" s="309"/>
      <c r="H1205" s="323"/>
      <c r="I1205" s="325"/>
      <c r="J1205" s="325"/>
      <c r="K1205" s="323"/>
      <c r="L1205" s="323"/>
      <c r="M1205" s="325"/>
      <c r="N1205" s="722"/>
      <c r="O1205" s="288"/>
      <c r="P1205" s="297"/>
      <c r="Q1205" s="297"/>
    </row>
    <row r="1206" spans="1:20" s="102" customFormat="1" ht="15">
      <c r="A1206" s="323"/>
      <c r="B1206" s="723" t="s">
        <v>2513</v>
      </c>
      <c r="C1206" s="309"/>
      <c r="D1206" s="382"/>
      <c r="E1206" s="323"/>
      <c r="F1206" s="309"/>
      <c r="G1206" s="309"/>
      <c r="H1206" s="323"/>
      <c r="I1206" s="325"/>
      <c r="J1206" s="325"/>
      <c r="K1206" s="323"/>
      <c r="L1206" s="323"/>
      <c r="M1206" s="325"/>
      <c r="N1206" s="722"/>
      <c r="O1206" s="288"/>
      <c r="P1206" s="297"/>
      <c r="Q1206" s="297"/>
    </row>
    <row r="1207" spans="1:20" s="106" customFormat="1" ht="29.25" customHeight="1">
      <c r="B1207" s="724"/>
    </row>
    <row r="1208" spans="1:20" s="106" customFormat="1" ht="13.5" thickBot="1"/>
    <row r="1209" spans="1:20" s="199" customFormat="1" ht="15.75" customHeight="1">
      <c r="A1209" s="2641" t="s">
        <v>2523</v>
      </c>
      <c r="B1209" s="687" t="s">
        <v>2522</v>
      </c>
      <c r="C1209" s="327"/>
      <c r="D1209" s="328">
        <f>IF(H1209&lt;&gt;"",VLOOKUP(G1209,base_barras,IF(H1209="Desnuda",2,5)+F1209-1,FALSE),"-")</f>
        <v>2040</v>
      </c>
      <c r="E1209" s="329">
        <v>1</v>
      </c>
      <c r="F1209" s="330">
        <v>0</v>
      </c>
      <c r="G1209" s="331" t="s">
        <v>315</v>
      </c>
      <c r="H1209" s="330" t="s">
        <v>1043</v>
      </c>
      <c r="I1209" s="332">
        <v>0.8</v>
      </c>
      <c r="J1209" s="333">
        <f t="shared" ref="J1209:J1221" si="627">IF(G1209&lt;&gt;"",VLOOKUP(G1209,precio_barras,9,FALSE),0)</f>
        <v>44.400000000000006</v>
      </c>
      <c r="K1209" s="329">
        <v>0</v>
      </c>
      <c r="L1209" s="343" t="str">
        <f>IF(G1209&lt;&gt;"",IF(VLOOKUP(G1209,base_barras,10,FALSE)&lt;&gt;"",VLOOKUP(G1209,base_barras,10,FALSE),"-"),"-")</f>
        <v>1/750</v>
      </c>
      <c r="M1209" s="333">
        <f>IF(L1209&lt;&gt;"-",VLOOKUP(L1209,precio_aislador,2,FALSE),0)</f>
        <v>1.9</v>
      </c>
      <c r="N1209" s="360">
        <f>(I1209*J1209*F1209+K1209*M1209)*E1209*1.67*1.25</f>
        <v>0</v>
      </c>
      <c r="O1209" s="288"/>
      <c r="P1209" s="297"/>
      <c r="Q1209" s="288"/>
      <c r="R1209" s="102"/>
      <c r="S1209" s="102"/>
      <c r="T1209" s="102"/>
    </row>
    <row r="1210" spans="1:20" s="199" customFormat="1" ht="15" thickBot="1">
      <c r="A1210" s="2642"/>
      <c r="B1210" s="688" t="s">
        <v>802</v>
      </c>
      <c r="C1210" s="319"/>
      <c r="D1210" s="312">
        <f>IF(H1210&lt;&gt;"",VLOOKUP(G1210,base_barras,IF(H1210="Desnuda",2,5)+F1210-1,FALSE),"-")</f>
        <v>497</v>
      </c>
      <c r="E1210" s="313">
        <v>1</v>
      </c>
      <c r="F1210" s="314">
        <v>1</v>
      </c>
      <c r="G1210" s="315" t="s">
        <v>62</v>
      </c>
      <c r="H1210" s="689" t="str">
        <f>H1209</f>
        <v>Pintada</v>
      </c>
      <c r="I1210" s="690">
        <f>I1209</f>
        <v>0.8</v>
      </c>
      <c r="J1210" s="317">
        <f t="shared" si="627"/>
        <v>17.7</v>
      </c>
      <c r="K1210" s="691">
        <v>0</v>
      </c>
      <c r="L1210" s="318" t="str">
        <f>IF(G1210&lt;&gt;"",IF(VLOOKUP(G1210,base_barras,10,FALSE)&lt;&gt;"",VLOOKUP(G1210,base_barras,10,FALSE),"-"),"-")</f>
        <v>-</v>
      </c>
      <c r="M1210" s="317">
        <f>IF(L1210&lt;&gt;"-",VLOOKUP(L1210,precio_aislador,2,FALSE),0)</f>
        <v>0</v>
      </c>
      <c r="N1210" s="308">
        <f>(I1210*J1210*F1210+K1210*M1210)*E1210*1.67*1.25</f>
        <v>29.558999999999997</v>
      </c>
      <c r="O1210" s="288"/>
      <c r="P1210" s="297"/>
      <c r="Q1210" s="288"/>
      <c r="R1210" s="102"/>
      <c r="S1210" s="102"/>
      <c r="T1210" s="102"/>
    </row>
    <row r="1211" spans="1:20" s="199" customFormat="1" ht="15.75" customHeight="1">
      <c r="A1211" s="2642"/>
      <c r="B1211" s="687" t="s">
        <v>2498</v>
      </c>
      <c r="C1211" s="327"/>
      <c r="D1211" s="328">
        <f>IF(H1211&lt;&gt;"",VLOOKUP(G1211,base_barras,IF(H1211="Desnuda",2,5)+F1211-1,FALSE),"-")</f>
        <v>850</v>
      </c>
      <c r="E1211" s="329">
        <v>4</v>
      </c>
      <c r="F1211" s="330">
        <v>1</v>
      </c>
      <c r="G1211" s="331" t="s">
        <v>469</v>
      </c>
      <c r="H1211" s="330" t="s">
        <v>1043</v>
      </c>
      <c r="I1211" s="332">
        <v>0</v>
      </c>
      <c r="J1211" s="333">
        <f t="shared" si="627"/>
        <v>35.6</v>
      </c>
      <c r="K1211" s="329">
        <v>0</v>
      </c>
      <c r="L1211" s="343" t="str">
        <f>IF(G1211&lt;&gt;"",IF(VLOOKUP(G1211,base_barras,10,FALSE)&lt;&gt;"",VLOOKUP(G1211,base_barras,10,FALSE),"-"),"-")</f>
        <v>1/750</v>
      </c>
      <c r="M1211" s="333">
        <f>IF(L1211&lt;&gt;"-",VLOOKUP(L1211,precio_aislador,2,FALSE),0)</f>
        <v>1.9</v>
      </c>
      <c r="N1211" s="360">
        <f>(I1211*J1211*F1211+K1211*M1211)*E1211*1.67*1.25</f>
        <v>0</v>
      </c>
      <c r="O1211" s="288"/>
      <c r="P1211" s="297"/>
      <c r="Q1211" s="288"/>
      <c r="R1211" s="102"/>
      <c r="S1211" s="102"/>
      <c r="T1211" s="102"/>
    </row>
    <row r="1212" spans="1:20" s="199" customFormat="1" ht="15" thickBot="1">
      <c r="A1212" s="2642"/>
      <c r="B1212" s="707" t="s">
        <v>802</v>
      </c>
      <c r="C1212" s="363"/>
      <c r="D1212" s="364">
        <f>IF(H1212&lt;&gt;"",VLOOKUP(G1212,base_barras,IF(H1212="Desnuda",2,5)+F1212-1,FALSE),"-")</f>
        <v>497</v>
      </c>
      <c r="E1212" s="365">
        <v>1</v>
      </c>
      <c r="F1212" s="366">
        <v>1</v>
      </c>
      <c r="G1212" s="322" t="s">
        <v>62</v>
      </c>
      <c r="H1212" s="725" t="str">
        <f>H1211</f>
        <v>Pintada</v>
      </c>
      <c r="I1212" s="726">
        <v>0</v>
      </c>
      <c r="J1212" s="368">
        <f t="shared" si="627"/>
        <v>17.7</v>
      </c>
      <c r="K1212" s="395">
        <v>0</v>
      </c>
      <c r="L1212" s="369" t="str">
        <f>IF(G1212&lt;&gt;"",IF(VLOOKUP(G1212,base_barras,10,FALSE)&lt;&gt;"",VLOOKUP(G1212,base_barras,10,FALSE),"-"),"-")</f>
        <v>-</v>
      </c>
      <c r="M1212" s="368">
        <f>IF(L1212&lt;&gt;"-",VLOOKUP(L1212,precio_aislador,2,FALSE),0)</f>
        <v>0</v>
      </c>
      <c r="N1212" s="370">
        <f>(I1212*J1212*F1212+K1212*M1212)*E1212*1.67*1.25</f>
        <v>0</v>
      </c>
      <c r="O1212" s="288"/>
      <c r="P1212" s="297"/>
      <c r="Q1212" s="288"/>
      <c r="R1212" s="102"/>
      <c r="S1212" s="102"/>
      <c r="T1212" s="102"/>
    </row>
    <row r="1213" spans="1:20" s="199" customFormat="1" ht="15.75" customHeight="1">
      <c r="A1213" s="2642"/>
      <c r="B1213" s="692" t="s">
        <v>2515</v>
      </c>
      <c r="C1213" s="693"/>
      <c r="D1213" s="312">
        <f t="shared" ref="D1213:D1221" si="628">IF(H1213&lt;&gt;"",VLOOKUP(G1213,base_barras,IF(H1213="Desnuda",2,5)+F1213-1,FALSE),"-")</f>
        <v>1470</v>
      </c>
      <c r="E1213" s="313">
        <v>3</v>
      </c>
      <c r="F1213" s="314">
        <v>2</v>
      </c>
      <c r="G1213" s="315" t="s">
        <v>469</v>
      </c>
      <c r="H1213" s="314" t="s">
        <v>1043</v>
      </c>
      <c r="I1213" s="316">
        <v>0</v>
      </c>
      <c r="J1213" s="317">
        <f t="shared" si="627"/>
        <v>35.6</v>
      </c>
      <c r="K1213" s="694">
        <v>0</v>
      </c>
      <c r="L1213" s="695" t="str">
        <f t="shared" ref="L1213:L1221" si="629">IF(G1213&lt;&gt;"",IF(VLOOKUP(G1213,base_barras,10,FALSE)&lt;&gt;"",VLOOKUP(G1213,base_barras,10,FALSE),"-"),"-")</f>
        <v>1/750</v>
      </c>
      <c r="M1213" s="478">
        <f t="shared" ref="M1213:M1221" si="630">IF(L1213&lt;&gt;"-",VLOOKUP(L1213,precio_aislador,2,FALSE),0)</f>
        <v>1.9</v>
      </c>
      <c r="N1213" s="696">
        <f t="shared" ref="N1213:N1221" si="631">(I1213*J1213*F1213+K1213*M1213)*E1213*1.67*1.25</f>
        <v>0</v>
      </c>
      <c r="O1213" s="288"/>
      <c r="P1213" s="297"/>
      <c r="Q1213" s="288"/>
      <c r="R1213" s="102"/>
      <c r="S1213" s="102"/>
      <c r="T1213" s="102"/>
    </row>
    <row r="1214" spans="1:20" s="199" customFormat="1" ht="15.75" customHeight="1">
      <c r="A1214" s="2642"/>
      <c r="B1214" s="692" t="s">
        <v>2516</v>
      </c>
      <c r="C1214" s="693"/>
      <c r="D1214" s="697">
        <f t="shared" si="628"/>
        <v>676</v>
      </c>
      <c r="E1214" s="694">
        <v>3</v>
      </c>
      <c r="F1214" s="655">
        <v>1</v>
      </c>
      <c r="G1214" s="698" t="s">
        <v>314</v>
      </c>
      <c r="H1214" s="655" t="s">
        <v>1043</v>
      </c>
      <c r="I1214" s="398">
        <v>0</v>
      </c>
      <c r="J1214" s="478">
        <f t="shared" si="627"/>
        <v>26.6</v>
      </c>
      <c r="K1214" s="694">
        <v>0</v>
      </c>
      <c r="L1214" s="695" t="str">
        <f t="shared" si="629"/>
        <v>1/750</v>
      </c>
      <c r="M1214" s="478">
        <f t="shared" si="630"/>
        <v>1.9</v>
      </c>
      <c r="N1214" s="696">
        <f t="shared" si="631"/>
        <v>0</v>
      </c>
      <c r="O1214" s="288"/>
      <c r="P1214" s="297"/>
      <c r="Q1214" s="288"/>
      <c r="R1214" s="102"/>
      <c r="S1214" s="102"/>
      <c r="T1214" s="102"/>
    </row>
    <row r="1215" spans="1:20" s="199" customFormat="1" ht="15.75" customHeight="1">
      <c r="A1215" s="2642"/>
      <c r="B1215" s="692" t="s">
        <v>2516</v>
      </c>
      <c r="C1215" s="693"/>
      <c r="D1215" s="697">
        <f t="shared" si="628"/>
        <v>676</v>
      </c>
      <c r="E1215" s="694">
        <v>3</v>
      </c>
      <c r="F1215" s="655">
        <v>1</v>
      </c>
      <c r="G1215" s="698" t="s">
        <v>314</v>
      </c>
      <c r="H1215" s="655" t="s">
        <v>1043</v>
      </c>
      <c r="I1215" s="398">
        <v>0</v>
      </c>
      <c r="J1215" s="478">
        <f t="shared" si="627"/>
        <v>26.6</v>
      </c>
      <c r="K1215" s="694">
        <v>0</v>
      </c>
      <c r="L1215" s="695" t="str">
        <f t="shared" si="629"/>
        <v>1/750</v>
      </c>
      <c r="M1215" s="478">
        <f t="shared" si="630"/>
        <v>1.9</v>
      </c>
      <c r="N1215" s="696">
        <f t="shared" si="631"/>
        <v>0</v>
      </c>
      <c r="O1215" s="288"/>
      <c r="P1215" s="297"/>
      <c r="Q1215" s="288"/>
      <c r="R1215" s="102"/>
      <c r="S1215" s="102"/>
      <c r="T1215" s="102"/>
    </row>
    <row r="1216" spans="1:20" s="199" customFormat="1" ht="15.75" customHeight="1">
      <c r="A1216" s="2642"/>
      <c r="B1216" s="692" t="s">
        <v>2516</v>
      </c>
      <c r="C1216" s="693"/>
      <c r="D1216" s="697">
        <f t="shared" si="628"/>
        <v>676</v>
      </c>
      <c r="E1216" s="694">
        <v>3</v>
      </c>
      <c r="F1216" s="655">
        <v>1</v>
      </c>
      <c r="G1216" s="698" t="s">
        <v>314</v>
      </c>
      <c r="H1216" s="655" t="s">
        <v>1043</v>
      </c>
      <c r="I1216" s="398">
        <v>0</v>
      </c>
      <c r="J1216" s="478">
        <f t="shared" si="627"/>
        <v>26.6</v>
      </c>
      <c r="K1216" s="694">
        <v>0</v>
      </c>
      <c r="L1216" s="695" t="str">
        <f t="shared" si="629"/>
        <v>1/750</v>
      </c>
      <c r="M1216" s="478">
        <f t="shared" si="630"/>
        <v>1.9</v>
      </c>
      <c r="N1216" s="696">
        <f t="shared" si="631"/>
        <v>0</v>
      </c>
      <c r="O1216" s="288"/>
      <c r="P1216" s="297"/>
      <c r="Q1216" s="288"/>
      <c r="R1216" s="102"/>
      <c r="S1216" s="102"/>
      <c r="T1216" s="102"/>
    </row>
    <row r="1217" spans="1:20" s="199" customFormat="1" ht="15.75" customHeight="1">
      <c r="A1217" s="2642"/>
      <c r="B1217" s="692" t="s">
        <v>2501</v>
      </c>
      <c r="C1217" s="693"/>
      <c r="D1217" s="312">
        <f t="shared" si="628"/>
        <v>573</v>
      </c>
      <c r="E1217" s="313">
        <v>3</v>
      </c>
      <c r="F1217" s="314">
        <v>1</v>
      </c>
      <c r="G1217" s="315" t="s">
        <v>314</v>
      </c>
      <c r="H1217" s="314" t="s">
        <v>1044</v>
      </c>
      <c r="I1217" s="316">
        <v>0</v>
      </c>
      <c r="J1217" s="317">
        <f t="shared" si="627"/>
        <v>26.6</v>
      </c>
      <c r="K1217" s="694">
        <v>0</v>
      </c>
      <c r="L1217" s="695" t="str">
        <f t="shared" si="629"/>
        <v>1/750</v>
      </c>
      <c r="M1217" s="478">
        <f t="shared" si="630"/>
        <v>1.9</v>
      </c>
      <c r="N1217" s="696">
        <f t="shared" si="631"/>
        <v>0</v>
      </c>
      <c r="O1217" s="288"/>
      <c r="P1217" s="297"/>
      <c r="Q1217" s="288"/>
      <c r="R1217" s="102"/>
      <c r="S1217" s="102"/>
      <c r="T1217" s="102"/>
    </row>
    <row r="1218" spans="1:20" s="199" customFormat="1" ht="15.75" customHeight="1">
      <c r="A1218" s="2642"/>
      <c r="B1218" s="692" t="s">
        <v>2519</v>
      </c>
      <c r="C1218" s="693"/>
      <c r="D1218" s="697">
        <f t="shared" si="628"/>
        <v>924</v>
      </c>
      <c r="E1218" s="694">
        <v>3</v>
      </c>
      <c r="F1218" s="655">
        <v>2</v>
      </c>
      <c r="G1218" s="698" t="s">
        <v>62</v>
      </c>
      <c r="H1218" s="655" t="s">
        <v>1043</v>
      </c>
      <c r="I1218" s="398">
        <v>0</v>
      </c>
      <c r="J1218" s="478">
        <f t="shared" si="627"/>
        <v>17.7</v>
      </c>
      <c r="K1218" s="694">
        <v>0</v>
      </c>
      <c r="L1218" s="695" t="str">
        <f t="shared" si="629"/>
        <v>-</v>
      </c>
      <c r="M1218" s="478">
        <f t="shared" si="630"/>
        <v>0</v>
      </c>
      <c r="N1218" s="696">
        <f t="shared" si="631"/>
        <v>0</v>
      </c>
      <c r="O1218" s="288"/>
      <c r="P1218" s="297"/>
      <c r="Q1218" s="288"/>
      <c r="R1218" s="102"/>
      <c r="S1218" s="102"/>
      <c r="T1218" s="102"/>
    </row>
    <row r="1219" spans="1:20" s="199" customFormat="1" ht="15.75" customHeight="1">
      <c r="A1219" s="2642"/>
      <c r="B1219" s="692" t="s">
        <v>2519</v>
      </c>
      <c r="C1219" s="693"/>
      <c r="D1219" s="697">
        <f t="shared" si="628"/>
        <v>924</v>
      </c>
      <c r="E1219" s="694">
        <v>3</v>
      </c>
      <c r="F1219" s="655">
        <v>2</v>
      </c>
      <c r="G1219" s="698" t="s">
        <v>62</v>
      </c>
      <c r="H1219" s="655" t="s">
        <v>1043</v>
      </c>
      <c r="I1219" s="398">
        <v>0</v>
      </c>
      <c r="J1219" s="478">
        <f t="shared" si="627"/>
        <v>17.7</v>
      </c>
      <c r="K1219" s="694">
        <v>0</v>
      </c>
      <c r="L1219" s="695" t="str">
        <f t="shared" si="629"/>
        <v>-</v>
      </c>
      <c r="M1219" s="478">
        <f t="shared" si="630"/>
        <v>0</v>
      </c>
      <c r="N1219" s="696">
        <f t="shared" si="631"/>
        <v>0</v>
      </c>
      <c r="O1219" s="288"/>
      <c r="P1219" s="297"/>
      <c r="Q1219" s="288"/>
      <c r="R1219" s="102"/>
      <c r="S1219" s="102"/>
      <c r="T1219" s="102"/>
    </row>
    <row r="1220" spans="1:20" s="199" customFormat="1" ht="15.75" customHeight="1">
      <c r="A1220" s="2642"/>
      <c r="B1220" s="692" t="s">
        <v>2501</v>
      </c>
      <c r="C1220" s="693"/>
      <c r="D1220" s="312">
        <f t="shared" si="628"/>
        <v>573</v>
      </c>
      <c r="E1220" s="313">
        <v>3</v>
      </c>
      <c r="F1220" s="314">
        <v>1</v>
      </c>
      <c r="G1220" s="315" t="s">
        <v>314</v>
      </c>
      <c r="H1220" s="314" t="s">
        <v>1044</v>
      </c>
      <c r="I1220" s="316">
        <v>0</v>
      </c>
      <c r="J1220" s="317">
        <f t="shared" si="627"/>
        <v>26.6</v>
      </c>
      <c r="K1220" s="694">
        <v>0</v>
      </c>
      <c r="L1220" s="695" t="str">
        <f t="shared" si="629"/>
        <v>1/750</v>
      </c>
      <c r="M1220" s="478">
        <f t="shared" si="630"/>
        <v>1.9</v>
      </c>
      <c r="N1220" s="696">
        <f t="shared" si="631"/>
        <v>0</v>
      </c>
      <c r="O1220" s="288"/>
      <c r="P1220" s="297"/>
      <c r="Q1220" s="288"/>
      <c r="R1220" s="102"/>
      <c r="S1220" s="102"/>
      <c r="T1220" s="102"/>
    </row>
    <row r="1221" spans="1:20" s="199" customFormat="1" ht="15.75" customHeight="1" thickBot="1">
      <c r="A1221" s="2642"/>
      <c r="B1221" s="692" t="s">
        <v>2501</v>
      </c>
      <c r="C1221" s="693"/>
      <c r="D1221" s="312">
        <f t="shared" si="628"/>
        <v>573</v>
      </c>
      <c r="E1221" s="313">
        <v>3</v>
      </c>
      <c r="F1221" s="314">
        <v>1</v>
      </c>
      <c r="G1221" s="315" t="s">
        <v>314</v>
      </c>
      <c r="H1221" s="314" t="s">
        <v>1044</v>
      </c>
      <c r="I1221" s="316">
        <v>0</v>
      </c>
      <c r="J1221" s="317">
        <f t="shared" si="627"/>
        <v>26.6</v>
      </c>
      <c r="K1221" s="694">
        <v>0</v>
      </c>
      <c r="L1221" s="695" t="str">
        <f t="shared" si="629"/>
        <v>1/750</v>
      </c>
      <c r="M1221" s="478">
        <f t="shared" si="630"/>
        <v>1.9</v>
      </c>
      <c r="N1221" s="696">
        <f t="shared" si="631"/>
        <v>0</v>
      </c>
      <c r="O1221" s="288"/>
      <c r="P1221" s="297"/>
      <c r="Q1221" s="288"/>
      <c r="R1221" s="102"/>
      <c r="S1221" s="102"/>
      <c r="T1221" s="102"/>
    </row>
    <row r="1222" spans="1:20" s="129" customFormat="1" ht="22.5" customHeight="1" thickBot="1">
      <c r="A1222" s="371"/>
      <c r="B1222" s="373"/>
      <c r="C1222" s="375"/>
      <c r="D1222" s="383"/>
      <c r="E1222" s="373"/>
      <c r="F1222" s="373"/>
      <c r="G1222" s="373"/>
      <c r="H1222" s="373"/>
      <c r="I1222" s="374"/>
      <c r="J1222" s="374"/>
      <c r="K1222" s="373"/>
      <c r="L1222" s="373"/>
      <c r="M1222" s="372"/>
      <c r="N1222" s="699">
        <f>SUM(N1209:N1221)</f>
        <v>29.558999999999997</v>
      </c>
      <c r="O1222" s="288"/>
      <c r="P1222" s="297"/>
      <c r="Q1222" s="288"/>
      <c r="R1222" s="102"/>
      <c r="S1222" s="102"/>
      <c r="T1222" s="102"/>
    </row>
    <row r="1223" spans="1:20" s="102" customFormat="1" ht="8.25" customHeight="1" thickBot="1">
      <c r="A1223" s="323"/>
      <c r="B1223" s="323"/>
      <c r="C1223" s="323"/>
      <c r="D1223" s="382"/>
      <c r="E1223" s="323"/>
      <c r="F1223" s="325"/>
      <c r="G1223" s="325"/>
      <c r="H1223" s="325"/>
      <c r="I1223" s="323"/>
      <c r="J1223" s="323"/>
      <c r="K1223" s="323"/>
      <c r="L1223" s="325"/>
      <c r="M1223" s="323"/>
      <c r="N1223" s="309"/>
      <c r="O1223" s="288"/>
      <c r="P1223" s="297"/>
      <c r="Q1223" s="288"/>
    </row>
    <row r="1224" spans="1:20" s="102" customFormat="1" ht="12.75" customHeight="1">
      <c r="A1224" s="2639" t="s">
        <v>2502</v>
      </c>
      <c r="B1224" s="687" t="s">
        <v>2503</v>
      </c>
      <c r="C1224" s="327"/>
      <c r="D1224" s="328">
        <f>IF(H1224&lt;&gt;"",VLOOKUP(G1224,base_barras,IF(H1224="Desnuda",2,5)+F1224-1,FALSE),"-")</f>
        <v>3290</v>
      </c>
      <c r="E1224" s="329">
        <v>3</v>
      </c>
      <c r="F1224" s="330">
        <v>1</v>
      </c>
      <c r="G1224" s="331" t="s">
        <v>584</v>
      </c>
      <c r="H1224" s="330" t="s">
        <v>1043</v>
      </c>
      <c r="I1224" s="332">
        <v>0</v>
      </c>
      <c r="J1224" s="333">
        <f>IF(G1224&lt;&gt;"",VLOOKUP(G1224,precio_barras,9,FALSE),0)</f>
        <v>231.4</v>
      </c>
      <c r="K1224" s="481">
        <v>0</v>
      </c>
      <c r="L1224" s="343" t="str">
        <f>IF(G1224&lt;&gt;"",IF(VLOOKUP(G1224,base_barras,10,FALSE)&lt;&gt;"",VLOOKUP(G1224,base_barras,10,FALSE),"-"),"-")</f>
        <v>1.5/1600</v>
      </c>
      <c r="M1224" s="333">
        <f>IF(L1224&lt;&gt;"-",VLOOKUP(L1224,precio_aislador,2,FALSE),0)</f>
        <v>22</v>
      </c>
      <c r="N1224" s="360">
        <f>(I1224*J1224*F1224+K1224*M1224)*E1224*1.67*1.25</f>
        <v>0</v>
      </c>
      <c r="O1224" s="288"/>
      <c r="P1224" s="297"/>
      <c r="Q1224" s="297"/>
    </row>
    <row r="1225" spans="1:20" s="199" customFormat="1" ht="15.75" customHeight="1" thickBot="1">
      <c r="A1225" s="2644"/>
      <c r="B1225" s="700" t="s">
        <v>2504</v>
      </c>
      <c r="C1225" s="701"/>
      <c r="D1225" s="364">
        <f>IF(H1225&lt;&gt;"",VLOOKUP(G1225,base_barras,IF(H1225="Desnuda",2,5)+F1225-1,FALSE),"-")</f>
        <v>3170</v>
      </c>
      <c r="E1225" s="365">
        <v>3</v>
      </c>
      <c r="F1225" s="366">
        <v>3</v>
      </c>
      <c r="G1225" s="322" t="s">
        <v>582</v>
      </c>
      <c r="H1225" s="366" t="s">
        <v>1043</v>
      </c>
      <c r="I1225" s="367">
        <v>0</v>
      </c>
      <c r="J1225" s="368">
        <f>IF(G1225&lt;&gt;"",VLOOKUP(G1225,precio_barras,9,FALSE),0)</f>
        <v>71.100000000000009</v>
      </c>
      <c r="K1225" s="702">
        <v>0</v>
      </c>
      <c r="L1225" s="703" t="str">
        <f>IF(G1225&lt;&gt;"",IF(VLOOKUP(G1225,base_barras,10,FALSE)&lt;&gt;"",VLOOKUP(G1225,base_barras,10,FALSE),"-"),"-")</f>
        <v>1/1000</v>
      </c>
      <c r="M1225" s="480">
        <f>IF(L1225&lt;&gt;"-",VLOOKUP(L1225,precio_aislador,2,FALSE),0)</f>
        <v>2.7</v>
      </c>
      <c r="N1225" s="704">
        <f>(I1225*J1225*F1225+K1225*M1225)*E1225*1.67*1.25</f>
        <v>0</v>
      </c>
      <c r="O1225" s="288"/>
      <c r="P1225" s="297"/>
      <c r="Q1225" s="288"/>
      <c r="R1225" s="102"/>
      <c r="S1225" s="102"/>
      <c r="T1225" s="102"/>
    </row>
    <row r="1226" spans="1:20" s="102" customFormat="1" ht="12.75" customHeight="1">
      <c r="A1226" s="2644"/>
      <c r="B1226" s="692" t="s">
        <v>2503</v>
      </c>
      <c r="C1226" s="693"/>
      <c r="D1226" s="697">
        <f>IF(H1226&lt;&gt;"",VLOOKUP(G1226,base_barras,IF(H1226="Desnuda",2,5)+F1226-1,FALSE),"-")</f>
        <v>3290</v>
      </c>
      <c r="E1226" s="694">
        <v>3</v>
      </c>
      <c r="F1226" s="655">
        <v>1</v>
      </c>
      <c r="G1226" s="698" t="s">
        <v>584</v>
      </c>
      <c r="H1226" s="655" t="s">
        <v>1043</v>
      </c>
      <c r="I1226" s="398">
        <v>0</v>
      </c>
      <c r="J1226" s="478">
        <f>IF(G1226&lt;&gt;"",VLOOKUP(G1226,precio_barras,9,FALSE),0)</f>
        <v>231.4</v>
      </c>
      <c r="K1226" s="705">
        <v>0</v>
      </c>
      <c r="L1226" s="695" t="str">
        <f>IF(G1226&lt;&gt;"",IF(VLOOKUP(G1226,base_barras,10,FALSE)&lt;&gt;"",VLOOKUP(G1226,base_barras,10,FALSE),"-"),"-")</f>
        <v>1.5/1600</v>
      </c>
      <c r="M1226" s="478">
        <f>IF(L1226&lt;&gt;"-",VLOOKUP(L1226,precio_aislador,2,FALSE),0)</f>
        <v>22</v>
      </c>
      <c r="N1226" s="696">
        <f>(I1226*J1226*F1226+K1226*M1226)*E1226*1.67*1.25</f>
        <v>0</v>
      </c>
      <c r="O1226" s="288"/>
      <c r="P1226" s="297"/>
      <c r="Q1226" s="297"/>
    </row>
    <row r="1227" spans="1:20" s="199" customFormat="1" ht="15.75" customHeight="1" thickBot="1">
      <c r="A1227" s="2640"/>
      <c r="B1227" s="700" t="s">
        <v>2504</v>
      </c>
      <c r="C1227" s="701"/>
      <c r="D1227" s="364">
        <f>IF(H1227&lt;&gt;"",VLOOKUP(G1227,base_barras,IF(H1227="Desnuda",2,5)+F1227-1,FALSE),"-")</f>
        <v>3170</v>
      </c>
      <c r="E1227" s="365">
        <v>3</v>
      </c>
      <c r="F1227" s="366">
        <v>3</v>
      </c>
      <c r="G1227" s="322" t="s">
        <v>582</v>
      </c>
      <c r="H1227" s="366" t="s">
        <v>1043</v>
      </c>
      <c r="I1227" s="367">
        <v>0</v>
      </c>
      <c r="J1227" s="368">
        <f>IF(G1227&lt;&gt;"",VLOOKUP(G1227,precio_barras,9,FALSE),0)</f>
        <v>71.100000000000009</v>
      </c>
      <c r="K1227" s="702">
        <v>0</v>
      </c>
      <c r="L1227" s="703" t="str">
        <f>IF(G1227&lt;&gt;"",IF(VLOOKUP(G1227,base_barras,10,FALSE)&lt;&gt;"",VLOOKUP(G1227,base_barras,10,FALSE),"-"),"-")</f>
        <v>1/1000</v>
      </c>
      <c r="M1227" s="480">
        <f>IF(L1227&lt;&gt;"-",VLOOKUP(L1227,precio_aislador,2,FALSE),0)</f>
        <v>2.7</v>
      </c>
      <c r="N1227" s="704">
        <f>(I1227*J1227*F1227+K1227*M1227)*E1227*1.67*1.25</f>
        <v>0</v>
      </c>
      <c r="O1227" s="288"/>
      <c r="P1227" s="297"/>
      <c r="Q1227" s="288"/>
      <c r="R1227" s="102"/>
      <c r="S1227" s="102"/>
      <c r="T1227" s="102"/>
    </row>
    <row r="1228" spans="1:20" s="102" customFormat="1" ht="13.5" thickBot="1">
      <c r="A1228" s="323"/>
      <c r="B1228" s="323"/>
      <c r="C1228" s="309"/>
      <c r="D1228" s="382"/>
      <c r="E1228" s="323"/>
      <c r="F1228" s="309"/>
      <c r="G1228" s="309"/>
      <c r="H1228" s="323"/>
      <c r="I1228" s="325"/>
      <c r="J1228" s="325"/>
      <c r="K1228" s="323"/>
      <c r="L1228" s="323"/>
      <c r="M1228" s="325"/>
      <c r="N1228" s="706">
        <f>SUM(N1224:N1227)</f>
        <v>0</v>
      </c>
      <c r="O1228" s="288"/>
      <c r="P1228" s="297"/>
      <c r="Q1228" s="297"/>
    </row>
    <row r="1229" spans="1:20" s="102" customFormat="1" ht="8.25" customHeight="1" thickBot="1">
      <c r="A1229" s="323"/>
      <c r="B1229" s="323"/>
      <c r="C1229" s="323"/>
      <c r="D1229" s="382"/>
      <c r="E1229" s="323"/>
      <c r="F1229" s="325"/>
      <c r="G1229" s="325"/>
      <c r="H1229" s="325"/>
      <c r="I1229" s="323"/>
      <c r="J1229" s="323"/>
      <c r="K1229" s="323"/>
      <c r="L1229" s="325"/>
      <c r="M1229" s="323"/>
      <c r="N1229" s="309"/>
      <c r="O1229" s="288"/>
      <c r="P1229" s="297"/>
      <c r="Q1229" s="288"/>
    </row>
    <row r="1230" spans="1:20" s="102" customFormat="1" ht="12.75" customHeight="1">
      <c r="A1230" s="2639" t="s">
        <v>2505</v>
      </c>
      <c r="B1230" s="687" t="s">
        <v>2506</v>
      </c>
      <c r="C1230" s="327"/>
      <c r="D1230" s="328">
        <f>IF(H1230&lt;&gt;"",VLOOKUP(G1230,base_barras,IF(H1230="Desnuda",2,5)+F1230-1,FALSE),"-")</f>
        <v>3290</v>
      </c>
      <c r="E1230" s="329">
        <v>3</v>
      </c>
      <c r="F1230" s="330">
        <v>1</v>
      </c>
      <c r="G1230" s="331" t="s">
        <v>584</v>
      </c>
      <c r="H1230" s="330" t="s">
        <v>1043</v>
      </c>
      <c r="I1230" s="332">
        <v>0</v>
      </c>
      <c r="J1230" s="333">
        <f>IF(G1230&lt;&gt;"",VLOOKUP(G1230,precio_barras,9,FALSE),0)</f>
        <v>231.4</v>
      </c>
      <c r="K1230" s="481">
        <v>0</v>
      </c>
      <c r="L1230" s="343" t="str">
        <f>IF(G1230&lt;&gt;"",IF(VLOOKUP(G1230,base_barras,10,FALSE)&lt;&gt;"",VLOOKUP(G1230,base_barras,10,FALSE),"-"),"-")</f>
        <v>1.5/1600</v>
      </c>
      <c r="M1230" s="333">
        <f>IF(L1230&lt;&gt;"-",VLOOKUP(L1230,precio_aislador,2,FALSE),0)</f>
        <v>22</v>
      </c>
      <c r="N1230" s="360">
        <f>(I1230*J1230*F1230+K1230*M1230)*E1230*1.67*1.25</f>
        <v>0</v>
      </c>
      <c r="O1230" s="288"/>
      <c r="P1230" s="297"/>
      <c r="Q1230" s="297"/>
    </row>
    <row r="1231" spans="1:20" s="102" customFormat="1" ht="13.5" thickBot="1">
      <c r="A1231" s="2644"/>
      <c r="B1231" s="707" t="s">
        <v>2504</v>
      </c>
      <c r="C1231" s="479"/>
      <c r="D1231" s="364">
        <f>IF(H1231&lt;&gt;"",VLOOKUP(G1231,base_barras,IF(H1231="Desnuda",2,5)+F1231-1,FALSE),"-")</f>
        <v>3170</v>
      </c>
      <c r="E1231" s="365">
        <v>3</v>
      </c>
      <c r="F1231" s="366">
        <v>3</v>
      </c>
      <c r="G1231" s="322" t="s">
        <v>582</v>
      </c>
      <c r="H1231" s="366" t="s">
        <v>1043</v>
      </c>
      <c r="I1231" s="367">
        <v>0</v>
      </c>
      <c r="J1231" s="368">
        <f>IF(G1231&lt;&gt;"",VLOOKUP(G1231,precio_barras,9,FALSE),0)</f>
        <v>71.100000000000009</v>
      </c>
      <c r="K1231" s="365">
        <v>0</v>
      </c>
      <c r="L1231" s="369" t="str">
        <f>IF(G1231&lt;&gt;"",IF(VLOOKUP(G1231,base_barras,10,FALSE)&lt;&gt;"",VLOOKUP(G1231,base_barras,10,FALSE),"-"),"-")</f>
        <v>1/1000</v>
      </c>
      <c r="M1231" s="368">
        <f>IF(L1231&lt;&gt;"-",VLOOKUP(L1231,precio_aislador,2,FALSE),0)</f>
        <v>2.7</v>
      </c>
      <c r="N1231" s="370">
        <f>(I1231*J1231*F1231+K1231*M1231)*E1231*1.67*1.25</f>
        <v>0</v>
      </c>
      <c r="O1231" s="288"/>
      <c r="P1231" s="297"/>
      <c r="Q1231" s="297"/>
    </row>
    <row r="1232" spans="1:20" s="102" customFormat="1" ht="12.75" customHeight="1">
      <c r="A1232" s="2644"/>
      <c r="B1232" s="692" t="s">
        <v>2506</v>
      </c>
      <c r="C1232" s="693"/>
      <c r="D1232" s="697">
        <f>IF(H1232&lt;&gt;"",VLOOKUP(G1232,base_barras,IF(H1232="Desnuda",2,5)+F1232-1,FALSE),"-")</f>
        <v>3290</v>
      </c>
      <c r="E1232" s="694">
        <v>3</v>
      </c>
      <c r="F1232" s="655">
        <v>1</v>
      </c>
      <c r="G1232" s="698" t="s">
        <v>584</v>
      </c>
      <c r="H1232" s="655" t="s">
        <v>1043</v>
      </c>
      <c r="I1232" s="398">
        <v>0</v>
      </c>
      <c r="J1232" s="478">
        <f>IF(G1232&lt;&gt;"",VLOOKUP(G1232,precio_barras,9,FALSE),0)</f>
        <v>231.4</v>
      </c>
      <c r="K1232" s="705">
        <v>0</v>
      </c>
      <c r="L1232" s="695" t="str">
        <f>IF(G1232&lt;&gt;"",IF(VLOOKUP(G1232,base_barras,10,FALSE)&lt;&gt;"",VLOOKUP(G1232,base_barras,10,FALSE),"-"),"-")</f>
        <v>1.5/1600</v>
      </c>
      <c r="M1232" s="478">
        <f>IF(L1232&lt;&gt;"-",VLOOKUP(L1232,precio_aislador,2,FALSE),0)</f>
        <v>22</v>
      </c>
      <c r="N1232" s="696">
        <f>(I1232*J1232*F1232+K1232*M1232)*E1232*1.67*1.25</f>
        <v>0</v>
      </c>
      <c r="O1232" s="288"/>
      <c r="P1232" s="297"/>
      <c r="Q1232" s="297"/>
    </row>
    <row r="1233" spans="1:20" s="102" customFormat="1" ht="13.5" thickBot="1">
      <c r="A1233" s="2640"/>
      <c r="B1233" s="700" t="s">
        <v>2504</v>
      </c>
      <c r="C1233" s="701"/>
      <c r="D1233" s="708">
        <f>IF(H1233&lt;&gt;"",VLOOKUP(G1233,base_barras,IF(H1233="Desnuda",2,5)+F1233-1,FALSE),"-")</f>
        <v>3170</v>
      </c>
      <c r="E1233" s="702">
        <v>3</v>
      </c>
      <c r="F1233" s="709">
        <v>3</v>
      </c>
      <c r="G1233" s="710" t="s">
        <v>582</v>
      </c>
      <c r="H1233" s="709" t="s">
        <v>1043</v>
      </c>
      <c r="I1233" s="711">
        <v>0</v>
      </c>
      <c r="J1233" s="480">
        <f>IF(G1233&lt;&gt;"",VLOOKUP(G1233,precio_barras,9,FALSE),0)</f>
        <v>71.100000000000009</v>
      </c>
      <c r="K1233" s="702">
        <v>0</v>
      </c>
      <c r="L1233" s="703" t="str">
        <f>IF(G1233&lt;&gt;"",IF(VLOOKUP(G1233,base_barras,10,FALSE)&lt;&gt;"",VLOOKUP(G1233,base_barras,10,FALSE),"-"),"-")</f>
        <v>1/1000</v>
      </c>
      <c r="M1233" s="480">
        <f>IF(L1233&lt;&gt;"-",VLOOKUP(L1233,precio_aislador,2,FALSE),0)</f>
        <v>2.7</v>
      </c>
      <c r="N1233" s="704">
        <f>(I1233*J1233*F1233+K1233*M1233)*E1233*1.67*1.25</f>
        <v>0</v>
      </c>
      <c r="O1233" s="288"/>
      <c r="P1233" s="297"/>
      <c r="Q1233" s="297"/>
    </row>
    <row r="1234" spans="1:20" s="102" customFormat="1" ht="13.5" thickBot="1">
      <c r="A1234" s="323"/>
      <c r="B1234" s="323"/>
      <c r="C1234" s="309"/>
      <c r="D1234" s="382"/>
      <c r="E1234" s="323"/>
      <c r="F1234" s="309"/>
      <c r="G1234" s="309"/>
      <c r="H1234" s="323"/>
      <c r="I1234" s="325"/>
      <c r="J1234" s="325"/>
      <c r="K1234" s="323"/>
      <c r="L1234" s="323"/>
      <c r="M1234" s="325"/>
      <c r="N1234" s="706">
        <f>SUM(N1230:N1233)</f>
        <v>0</v>
      </c>
      <c r="O1234" s="288"/>
      <c r="P1234" s="297"/>
      <c r="Q1234" s="297"/>
    </row>
    <row r="1235" spans="1:20" s="102" customFormat="1" ht="8.25" customHeight="1" thickBot="1">
      <c r="A1235" s="323"/>
      <c r="B1235" s="323"/>
      <c r="C1235" s="323"/>
      <c r="D1235" s="382"/>
      <c r="E1235" s="323"/>
      <c r="F1235" s="325"/>
      <c r="G1235" s="325"/>
      <c r="H1235" s="325"/>
      <c r="I1235" s="323"/>
      <c r="J1235" s="323"/>
      <c r="K1235" s="323"/>
      <c r="L1235" s="325"/>
      <c r="M1235" s="323"/>
      <c r="N1235" s="309"/>
      <c r="O1235" s="288"/>
      <c r="P1235" s="297"/>
      <c r="Q1235" s="288"/>
    </row>
    <row r="1236" spans="1:20" s="102" customFormat="1">
      <c r="A1236" s="2645" t="s">
        <v>1228</v>
      </c>
      <c r="B1236" s="687" t="s">
        <v>2498</v>
      </c>
      <c r="C1236" s="327"/>
      <c r="D1236" s="328">
        <f>IF(H1236&lt;&gt;"",VLOOKUP(G1236,base_barras,IF(H1236="Desnuda",2,5)+F1236-1,FALSE),"-")</f>
        <v>2850</v>
      </c>
      <c r="E1236" s="481">
        <v>3</v>
      </c>
      <c r="F1236" s="330">
        <v>2</v>
      </c>
      <c r="G1236" s="331" t="s">
        <v>468</v>
      </c>
      <c r="H1236" s="330" t="s">
        <v>1043</v>
      </c>
      <c r="I1236" s="332">
        <v>0</v>
      </c>
      <c r="J1236" s="333">
        <f>IF(G1236&lt;&gt;"",VLOOKUP(G1236,precio_barras,9,FALSE),0)</f>
        <v>88.9</v>
      </c>
      <c r="K1236" s="329">
        <v>0</v>
      </c>
      <c r="L1236" s="343" t="str">
        <f>IF(G1236&lt;&gt;"",IF(VLOOKUP(G1236,base_barras,10,FALSE)&lt;&gt;"",VLOOKUP(G1236,base_barras,10,FALSE),"-"),"-")</f>
        <v>1.5/1250</v>
      </c>
      <c r="M1236" s="333">
        <f>IF(L1236&lt;&gt;"-",VLOOKUP(L1236,precio_aislador,2,FALSE),0)</f>
        <v>5.5</v>
      </c>
      <c r="N1236" s="360">
        <f>(I1236*J1236*F1236+K1236*M1236)*E1236*1.67*1.25</f>
        <v>0</v>
      </c>
      <c r="O1236" s="288"/>
      <c r="P1236" s="297"/>
      <c r="Q1236" s="297"/>
    </row>
    <row r="1237" spans="1:20" s="102" customFormat="1" ht="13.5" thickBot="1">
      <c r="A1237" s="2647"/>
      <c r="B1237" s="707"/>
      <c r="C1237" s="479"/>
      <c r="D1237" s="364" t="str">
        <f>IF(H1237&lt;&gt;"",VLOOKUP(G1237,base_barras,IF(H1237="Desnuda",2,5)+F1237-1,FALSE),"-")</f>
        <v>-</v>
      </c>
      <c r="E1237" s="365"/>
      <c r="F1237" s="366"/>
      <c r="G1237" s="322"/>
      <c r="H1237" s="366"/>
      <c r="I1237" s="367"/>
      <c r="J1237" s="480">
        <f>IF(G1237&lt;&gt;"",VLOOKUP(G1237,precio_barras,9,FALSE),0)</f>
        <v>0</v>
      </c>
      <c r="K1237" s="365"/>
      <c r="L1237" s="369" t="str">
        <f>IF(G1237&lt;&gt;"",IF(VLOOKUP(G1237,base_barras,10,FALSE)&lt;&gt;"",VLOOKUP(G1237,base_barras,10,FALSE),"-"),"-")</f>
        <v>-</v>
      </c>
      <c r="M1237" s="368">
        <f>IF(L1237&lt;&gt;"-",VLOOKUP(L1237,precio_aislador,2,FALSE),0)</f>
        <v>0</v>
      </c>
      <c r="N1237" s="370">
        <f>(I1237*J1237*F1237+K1237*M1237)*E1237*1.67*1.25</f>
        <v>0</v>
      </c>
      <c r="O1237" s="288"/>
      <c r="P1237" s="297"/>
      <c r="Q1237" s="297"/>
    </row>
    <row r="1238" spans="1:20" s="102" customFormat="1" ht="13.5" thickBot="1">
      <c r="A1238" s="323"/>
      <c r="B1238" s="323"/>
      <c r="C1238" s="309"/>
      <c r="D1238" s="382"/>
      <c r="E1238" s="323"/>
      <c r="F1238" s="309"/>
      <c r="G1238" s="309"/>
      <c r="H1238" s="323"/>
      <c r="I1238" s="325"/>
      <c r="J1238" s="325"/>
      <c r="K1238" s="323"/>
      <c r="L1238" s="323"/>
      <c r="M1238" s="325"/>
      <c r="N1238" s="706">
        <f>SUM(N1236:N1237)</f>
        <v>0</v>
      </c>
      <c r="O1238" s="288"/>
      <c r="P1238" s="297"/>
      <c r="Q1238" s="297"/>
    </row>
    <row r="1239" spans="1:20" s="102" customFormat="1" ht="8.25" customHeight="1" thickBot="1">
      <c r="A1239" s="323"/>
      <c r="B1239" s="323"/>
      <c r="C1239" s="323"/>
      <c r="D1239" s="382"/>
      <c r="E1239" s="323"/>
      <c r="F1239" s="325"/>
      <c r="G1239" s="325"/>
      <c r="H1239" s="325"/>
      <c r="I1239" s="323"/>
      <c r="J1239" s="323"/>
      <c r="K1239" s="323"/>
      <c r="L1239" s="325"/>
      <c r="M1239" s="323"/>
      <c r="N1239" s="309"/>
      <c r="O1239" s="288"/>
      <c r="P1239" s="297"/>
      <c r="Q1239" s="288"/>
    </row>
    <row r="1240" spans="1:20" s="102" customFormat="1" ht="12.75" customHeight="1" thickBot="1">
      <c r="A1240" s="2639" t="s">
        <v>2508</v>
      </c>
      <c r="B1240" s="687" t="s">
        <v>2507</v>
      </c>
      <c r="C1240" s="327"/>
      <c r="D1240" s="328">
        <f>IF(H1240&lt;&gt;"",VLOOKUP(G1240,base_barras,IF(H1240="Desnuda",2,5)+F1240-1,FALSE),"-")</f>
        <v>1020</v>
      </c>
      <c r="E1240" s="329">
        <v>3</v>
      </c>
      <c r="F1240" s="330">
        <v>1</v>
      </c>
      <c r="G1240" s="331" t="s">
        <v>315</v>
      </c>
      <c r="H1240" s="330" t="s">
        <v>1043</v>
      </c>
      <c r="I1240" s="332">
        <v>0.23</v>
      </c>
      <c r="J1240" s="333">
        <f>IF(G1240&lt;&gt;"",VLOOKUP(G1240,precio_barras,9,FALSE),0)</f>
        <v>44.400000000000006</v>
      </c>
      <c r="K1240" s="329">
        <v>0</v>
      </c>
      <c r="L1240" s="343" t="str">
        <f>IF(G1240&lt;&gt;"",IF(VLOOKUP(G1240,base_barras,10,FALSE)&lt;&gt;"",VLOOKUP(G1240,base_barras,10,FALSE),"-"),"-")</f>
        <v>1/750</v>
      </c>
      <c r="M1240" s="333">
        <f>IF(L1240&lt;&gt;"-",VLOOKUP(L1240,precio_aislador,2,FALSE),0)</f>
        <v>1.9</v>
      </c>
      <c r="N1240" s="360">
        <f>(I1240*J1240*F1240+K1240*M1240)*E1240*1.67*1.25</f>
        <v>63.952650000000006</v>
      </c>
      <c r="O1240" s="288"/>
      <c r="P1240" s="297"/>
      <c r="Q1240" s="297"/>
    </row>
    <row r="1241" spans="1:20" s="199" customFormat="1" ht="15.75" customHeight="1">
      <c r="A1241" s="2644"/>
      <c r="B1241" s="687" t="s">
        <v>2507</v>
      </c>
      <c r="C1241" s="327"/>
      <c r="D1241" s="328">
        <f>IF(H1241&lt;&gt;"",VLOOKUP(G1241,base_barras,IF(H1241="Desnuda",2,5)+F1241-1,FALSE),"-")</f>
        <v>1020</v>
      </c>
      <c r="E1241" s="329">
        <v>3</v>
      </c>
      <c r="F1241" s="330">
        <v>1</v>
      </c>
      <c r="G1241" s="331" t="s">
        <v>315</v>
      </c>
      <c r="H1241" s="330" t="s">
        <v>1043</v>
      </c>
      <c r="I1241" s="332">
        <v>0.23</v>
      </c>
      <c r="J1241" s="333">
        <f>IF(G1241&lt;&gt;"",VLOOKUP(G1241,precio_barras,9,FALSE),0)</f>
        <v>44.400000000000006</v>
      </c>
      <c r="K1241" s="329">
        <v>1</v>
      </c>
      <c r="L1241" s="343" t="str">
        <f>IF(G1241&lt;&gt;"",IF(VLOOKUP(G1241,base_barras,10,FALSE)&lt;&gt;"",VLOOKUP(G1241,base_barras,10,FALSE),"-"),"-")</f>
        <v>1/750</v>
      </c>
      <c r="M1241" s="333">
        <f>IF(L1241&lt;&gt;"-",VLOOKUP(L1241,precio_aislador,2,FALSE),0)</f>
        <v>1.9</v>
      </c>
      <c r="N1241" s="360">
        <f>(I1241*J1241*F1241+K1241*M1241)*E1241*1.67*1.25</f>
        <v>75.851400000000012</v>
      </c>
      <c r="O1241" s="288"/>
      <c r="P1241" s="297"/>
      <c r="Q1241" s="288"/>
      <c r="R1241" s="102"/>
      <c r="S1241" s="102"/>
      <c r="T1241" s="102"/>
    </row>
    <row r="1242" spans="1:20" s="199" customFormat="1" ht="15.75" customHeight="1" thickBot="1">
      <c r="A1242" s="2644"/>
      <c r="B1242" s="707"/>
      <c r="C1242" s="479"/>
      <c r="D1242" s="364">
        <f>IF(H1242&lt;&gt;"",VLOOKUP(G1242,base_barras,IF(H1242="Desnuda",2,5)+F1242-1,FALSE),"-")</f>
        <v>850</v>
      </c>
      <c r="E1242" s="365">
        <v>3</v>
      </c>
      <c r="F1242" s="366">
        <v>1</v>
      </c>
      <c r="G1242" s="322" t="s">
        <v>469</v>
      </c>
      <c r="H1242" s="366" t="s">
        <v>1043</v>
      </c>
      <c r="I1242" s="367"/>
      <c r="J1242" s="368">
        <f>IF(G1242&lt;&gt;"",VLOOKUP(G1242,precio_barras,9,FALSE),0)</f>
        <v>35.6</v>
      </c>
      <c r="K1242" s="365">
        <v>0</v>
      </c>
      <c r="L1242" s="369" t="str">
        <f>IF(G1242&lt;&gt;"",IF(VLOOKUP(G1242,base_barras,10,FALSE)&lt;&gt;"",VLOOKUP(G1242,base_barras,10,FALSE),"-"),"-")</f>
        <v>1/750</v>
      </c>
      <c r="M1242" s="368">
        <f>IF(L1242&lt;&gt;"-",VLOOKUP(L1242,precio_aislador,2,FALSE),0)</f>
        <v>1.9</v>
      </c>
      <c r="N1242" s="370">
        <f>(I1242*J1242*F1242+K1242*M1242)*E1242*1.67*1.25</f>
        <v>0</v>
      </c>
      <c r="O1242" s="288"/>
      <c r="P1242" s="297"/>
      <c r="Q1242" s="288"/>
      <c r="R1242" s="102"/>
      <c r="S1242" s="102"/>
      <c r="T1242" s="102"/>
    </row>
    <row r="1243" spans="1:20" s="102" customFormat="1">
      <c r="A1243" s="2644"/>
      <c r="B1243" s="692"/>
      <c r="C1243" s="693"/>
      <c r="D1243" s="697">
        <f>IF(H1243&lt;&gt;"",VLOOKUP(G1243,base_barras,IF(H1243="Desnuda",2,5)+F1243-1,FALSE),"-")</f>
        <v>3170</v>
      </c>
      <c r="E1243" s="694">
        <v>3</v>
      </c>
      <c r="F1243" s="655">
        <v>3</v>
      </c>
      <c r="G1243" s="698" t="s">
        <v>582</v>
      </c>
      <c r="H1243" s="655" t="s">
        <v>1043</v>
      </c>
      <c r="I1243" s="398"/>
      <c r="J1243" s="478">
        <f>IF(G1243&lt;&gt;"",VLOOKUP(G1243,precio_barras,9,FALSE),0)</f>
        <v>71.100000000000009</v>
      </c>
      <c r="K1243" s="694">
        <v>0</v>
      </c>
      <c r="L1243" s="695" t="str">
        <f>IF(G1243&lt;&gt;"",IF(VLOOKUP(G1243,base_barras,10,FALSE)&lt;&gt;"",VLOOKUP(G1243,base_barras,10,FALSE),"-"),"-")</f>
        <v>1/1000</v>
      </c>
      <c r="M1243" s="478">
        <f>IF(L1243&lt;&gt;"-",VLOOKUP(L1243,precio_aislador,2,FALSE),0)</f>
        <v>2.7</v>
      </c>
      <c r="N1243" s="696">
        <f>(I1243*J1243*F1243+K1243*M1243)*E1243*1.67*1.25</f>
        <v>0</v>
      </c>
      <c r="O1243" s="288"/>
      <c r="P1243" s="297"/>
      <c r="Q1243" s="297"/>
    </row>
    <row r="1244" spans="1:20" s="199" customFormat="1" ht="15.75" customHeight="1" thickBot="1">
      <c r="A1244" s="2640"/>
      <c r="B1244" s="700"/>
      <c r="C1244" s="701"/>
      <c r="D1244" s="708">
        <f>IF(H1244&lt;&gt;"",VLOOKUP(G1244,base_barras,IF(H1244="Desnuda",2,5)+F1244-1,FALSE),"-")</f>
        <v>2850</v>
      </c>
      <c r="E1244" s="702">
        <v>3</v>
      </c>
      <c r="F1244" s="709">
        <v>2</v>
      </c>
      <c r="G1244" s="710" t="s">
        <v>468</v>
      </c>
      <c r="H1244" s="709" t="s">
        <v>1043</v>
      </c>
      <c r="I1244" s="711"/>
      <c r="J1244" s="480">
        <f>IF(G1244&lt;&gt;"",VLOOKUP(G1244,precio_barras,9,FALSE),0)</f>
        <v>88.9</v>
      </c>
      <c r="K1244" s="702">
        <v>0</v>
      </c>
      <c r="L1244" s="703" t="str">
        <f>IF(G1244&lt;&gt;"",IF(VLOOKUP(G1244,base_barras,10,FALSE)&lt;&gt;"",VLOOKUP(G1244,base_barras,10,FALSE),"-"),"-")</f>
        <v>1.5/1250</v>
      </c>
      <c r="M1244" s="480">
        <f>IF(L1244&lt;&gt;"-",VLOOKUP(L1244,precio_aislador,2,FALSE),0)</f>
        <v>5.5</v>
      </c>
      <c r="N1244" s="704">
        <f>(I1244*J1244*F1244+K1244*M1244)*E1244*1.67*1.25</f>
        <v>0</v>
      </c>
      <c r="O1244" s="288"/>
      <c r="P1244" s="297"/>
      <c r="Q1244" s="288"/>
      <c r="R1244" s="102"/>
      <c r="S1244" s="102"/>
      <c r="T1244" s="102"/>
    </row>
    <row r="1245" spans="1:20" s="102" customFormat="1" ht="13.5" thickBot="1">
      <c r="A1245" s="323"/>
      <c r="B1245" s="323"/>
      <c r="C1245" s="309"/>
      <c r="D1245" s="382"/>
      <c r="E1245" s="323"/>
      <c r="F1245" s="309"/>
      <c r="G1245" s="309"/>
      <c r="H1245" s="323"/>
      <c r="I1245" s="325"/>
      <c r="J1245" s="325"/>
      <c r="K1245" s="323"/>
      <c r="L1245" s="323"/>
      <c r="M1245" s="325"/>
      <c r="N1245" s="706">
        <f>SUM(N1240:N1244)</f>
        <v>139.80405000000002</v>
      </c>
      <c r="O1245" s="288"/>
      <c r="P1245" s="297"/>
      <c r="Q1245" s="297"/>
    </row>
    <row r="1246" spans="1:20" s="102" customFormat="1" ht="8.25" customHeight="1" thickBot="1">
      <c r="A1246" s="323"/>
      <c r="B1246" s="323"/>
      <c r="C1246" s="323"/>
      <c r="D1246" s="382"/>
      <c r="E1246" s="323"/>
      <c r="F1246" s="325"/>
      <c r="G1246" s="325"/>
      <c r="H1246" s="325"/>
      <c r="I1246" s="323"/>
      <c r="J1246" s="323"/>
      <c r="K1246" s="323"/>
      <c r="L1246" s="325"/>
      <c r="M1246" s="323"/>
      <c r="N1246" s="309"/>
      <c r="O1246" s="288"/>
      <c r="P1246" s="297"/>
      <c r="Q1246" s="288"/>
    </row>
    <row r="1247" spans="1:20" s="102" customFormat="1">
      <c r="A1247" s="2645" t="s">
        <v>1034</v>
      </c>
      <c r="B1247" s="687" t="s">
        <v>2504</v>
      </c>
      <c r="C1247" s="327"/>
      <c r="D1247" s="328">
        <f>IF(H1247&lt;&gt;"",VLOOKUP(G1247,base_barras,IF(H1247="Desnuda",2,5)+F1247-1,FALSE),"-")</f>
        <v>3170</v>
      </c>
      <c r="E1247" s="329">
        <v>3</v>
      </c>
      <c r="F1247" s="330">
        <v>3</v>
      </c>
      <c r="G1247" s="331" t="s">
        <v>582</v>
      </c>
      <c r="H1247" s="330" t="s">
        <v>1043</v>
      </c>
      <c r="I1247" s="332">
        <v>0</v>
      </c>
      <c r="J1247" s="333">
        <f>IF(G1247&lt;&gt;"",VLOOKUP(G1247,precio_barras,9,FALSE),0)</f>
        <v>71.100000000000009</v>
      </c>
      <c r="K1247" s="329">
        <v>0</v>
      </c>
      <c r="L1247" s="343" t="str">
        <f>IF(G1247&lt;&gt;"",IF(VLOOKUP(G1247,base_barras,10,FALSE)&lt;&gt;"",VLOOKUP(G1247,base_barras,10,FALSE),"-"),"-")</f>
        <v>1/1000</v>
      </c>
      <c r="M1247" s="333">
        <f>IF(L1247&lt;&gt;"-",VLOOKUP(L1247,precio_aislador,2,FALSE),0)</f>
        <v>2.7</v>
      </c>
      <c r="N1247" s="360">
        <f>(I1247*J1247*F1247+K1247*M1247)*E1247*1.67*1.25</f>
        <v>0</v>
      </c>
      <c r="O1247" s="288"/>
      <c r="P1247" s="297"/>
      <c r="Q1247" s="297"/>
    </row>
    <row r="1248" spans="1:20" s="102" customFormat="1" ht="13.5" thickBot="1">
      <c r="A1248" s="2647"/>
      <c r="B1248" s="700" t="s">
        <v>2504</v>
      </c>
      <c r="C1248" s="701"/>
      <c r="D1248" s="708">
        <f>IF(H1248&lt;&gt;"",VLOOKUP(G1248,base_barras,IF(H1248="Desnuda",2,5)+F1248-1,FALSE),"-")</f>
        <v>3170</v>
      </c>
      <c r="E1248" s="702">
        <v>3</v>
      </c>
      <c r="F1248" s="709">
        <v>3</v>
      </c>
      <c r="G1248" s="710" t="s">
        <v>582</v>
      </c>
      <c r="H1248" s="709" t="s">
        <v>1043</v>
      </c>
      <c r="I1248" s="711">
        <v>0</v>
      </c>
      <c r="J1248" s="480">
        <f>IF(G1248&lt;&gt;"",VLOOKUP(G1248,precio_barras,9,FALSE),0)</f>
        <v>71.100000000000009</v>
      </c>
      <c r="K1248" s="702">
        <v>0</v>
      </c>
      <c r="L1248" s="703" t="str">
        <f>IF(G1248&lt;&gt;"",IF(VLOOKUP(G1248,base_barras,10,FALSE)&lt;&gt;"",VLOOKUP(G1248,base_barras,10,FALSE),"-"),"-")</f>
        <v>1/1000</v>
      </c>
      <c r="M1248" s="480">
        <f>IF(L1248&lt;&gt;"-",VLOOKUP(L1248,precio_aislador,2,FALSE),0)</f>
        <v>2.7</v>
      </c>
      <c r="N1248" s="704">
        <f>(I1248*J1248*F1248+K1248*M1248)*E1248*1.67*1.25</f>
        <v>0</v>
      </c>
      <c r="O1248" s="288"/>
      <c r="P1248" s="297"/>
      <c r="Q1248" s="297"/>
    </row>
    <row r="1249" spans="1:20" s="102" customFormat="1" ht="13.5" thickBot="1">
      <c r="A1249" s="323"/>
      <c r="B1249" s="323"/>
      <c r="C1249" s="309"/>
      <c r="D1249" s="382"/>
      <c r="E1249" s="323"/>
      <c r="F1249" s="309"/>
      <c r="G1249" s="309"/>
      <c r="H1249" s="323"/>
      <c r="I1249" s="325"/>
      <c r="J1249" s="325"/>
      <c r="K1249" s="323"/>
      <c r="L1249" s="323"/>
      <c r="M1249" s="325"/>
      <c r="N1249" s="706">
        <f>SUM(N1247:N1248)</f>
        <v>0</v>
      </c>
      <c r="O1249" s="288"/>
      <c r="P1249" s="297"/>
      <c r="Q1249" s="297"/>
    </row>
    <row r="1250" spans="1:20" s="102" customFormat="1">
      <c r="A1250" s="323"/>
      <c r="B1250" s="309"/>
      <c r="C1250" s="309"/>
      <c r="D1250" s="382"/>
      <c r="E1250" s="323"/>
      <c r="F1250" s="309"/>
      <c r="G1250" s="309"/>
      <c r="H1250" s="323"/>
      <c r="I1250" s="325"/>
      <c r="J1250" s="325"/>
      <c r="K1250" s="323"/>
      <c r="L1250" s="323"/>
      <c r="M1250" s="325"/>
      <c r="N1250" s="722"/>
      <c r="O1250" s="288"/>
      <c r="P1250" s="297"/>
      <c r="Q1250" s="297"/>
    </row>
    <row r="1251" spans="1:20" s="102" customFormat="1">
      <c r="A1251" s="323"/>
      <c r="B1251" s="309"/>
      <c r="C1251" s="309"/>
      <c r="D1251" s="382"/>
      <c r="E1251" s="323"/>
      <c r="F1251" s="309"/>
      <c r="G1251" s="309"/>
      <c r="H1251" s="323"/>
      <c r="I1251" s="325"/>
      <c r="J1251" s="325"/>
      <c r="K1251" s="323"/>
      <c r="L1251" s="323"/>
      <c r="M1251" s="325"/>
      <c r="N1251" s="722"/>
      <c r="O1251" s="288"/>
      <c r="P1251" s="297"/>
      <c r="Q1251" s="297"/>
    </row>
    <row r="1252" spans="1:20" s="102" customFormat="1" ht="15">
      <c r="A1252" s="323"/>
      <c r="B1252" s="723" t="s">
        <v>2513</v>
      </c>
      <c r="C1252" s="309"/>
      <c r="D1252" s="382"/>
      <c r="E1252" s="323"/>
      <c r="F1252" s="309"/>
      <c r="G1252" s="309"/>
      <c r="H1252" s="323"/>
      <c r="I1252" s="325"/>
      <c r="J1252" s="325"/>
      <c r="K1252" s="323"/>
      <c r="L1252" s="323"/>
      <c r="M1252" s="325"/>
      <c r="N1252" s="722"/>
      <c r="O1252" s="288"/>
      <c r="P1252" s="297"/>
      <c r="Q1252" s="297"/>
    </row>
    <row r="1253" spans="1:20" s="106" customFormat="1" ht="29.25" customHeight="1">
      <c r="B1253" s="724"/>
    </row>
    <row r="1254" spans="1:20" s="106" customFormat="1" ht="13.5" thickBot="1"/>
    <row r="1255" spans="1:20" s="199" customFormat="1" ht="15.75" customHeight="1">
      <c r="A1255" s="2641" t="s">
        <v>2514</v>
      </c>
      <c r="B1255" s="687" t="s">
        <v>2498</v>
      </c>
      <c r="C1255" s="327"/>
      <c r="D1255" s="328">
        <f t="shared" ref="D1255:D1260" si="632">IF(H1255&lt;&gt;"",VLOOKUP(G1255,base_barras,IF(H1255="Desnuda",2,5)+F1255-1,FALSE),"-")</f>
        <v>1020</v>
      </c>
      <c r="E1255" s="329">
        <v>4</v>
      </c>
      <c r="F1255" s="330">
        <v>1</v>
      </c>
      <c r="G1255" s="331" t="s">
        <v>315</v>
      </c>
      <c r="H1255" s="330" t="s">
        <v>1043</v>
      </c>
      <c r="I1255" s="332">
        <v>0.8</v>
      </c>
      <c r="J1255" s="333">
        <f t="shared" ref="J1255:J1260" si="633">IF(G1255&lt;&gt;"",VLOOKUP(G1255,precio_barras,9,FALSE),0)</f>
        <v>44.400000000000006</v>
      </c>
      <c r="K1255" s="329">
        <v>2</v>
      </c>
      <c r="L1255" s="343" t="str">
        <f t="shared" ref="L1255:L1260" si="634">IF(G1255&lt;&gt;"",IF(VLOOKUP(G1255,base_barras,10,FALSE)&lt;&gt;"",VLOOKUP(G1255,base_barras,10,FALSE),"-"),"-")</f>
        <v>1/750</v>
      </c>
      <c r="M1255" s="333">
        <f t="shared" ref="M1255:M1260" si="635">IF(L1255&lt;&gt;"-",VLOOKUP(L1255,precio_aislador,2,FALSE),0)</f>
        <v>1.9</v>
      </c>
      <c r="N1255" s="360">
        <f t="shared" ref="N1255:N1260" si="636">(I1255*J1255*F1255+K1255*M1255)*E1255*1.67*1.25</f>
        <v>328.322</v>
      </c>
      <c r="O1255" s="288"/>
      <c r="P1255" s="297"/>
      <c r="Q1255" s="288"/>
      <c r="R1255" s="102"/>
      <c r="S1255" s="102"/>
      <c r="T1255" s="102"/>
    </row>
    <row r="1256" spans="1:20" s="199" customFormat="1" ht="14.25">
      <c r="A1256" s="2642"/>
      <c r="B1256" s="688" t="s">
        <v>802</v>
      </c>
      <c r="C1256" s="319"/>
      <c r="D1256" s="312">
        <f t="shared" si="632"/>
        <v>447</v>
      </c>
      <c r="E1256" s="313">
        <v>1</v>
      </c>
      <c r="F1256" s="314">
        <v>1</v>
      </c>
      <c r="G1256" s="315" t="s">
        <v>579</v>
      </c>
      <c r="H1256" s="689" t="str">
        <f>H1255</f>
        <v>Pintada</v>
      </c>
      <c r="I1256" s="690">
        <f>I1255</f>
        <v>0.8</v>
      </c>
      <c r="J1256" s="317">
        <f t="shared" si="633"/>
        <v>13.3</v>
      </c>
      <c r="K1256" s="691">
        <v>0</v>
      </c>
      <c r="L1256" s="318" t="str">
        <f t="shared" si="634"/>
        <v>0.5/400</v>
      </c>
      <c r="M1256" s="317">
        <f t="shared" si="635"/>
        <v>1.2</v>
      </c>
      <c r="N1256" s="308">
        <f t="shared" si="636"/>
        <v>22.210999999999999</v>
      </c>
      <c r="O1256" s="288"/>
      <c r="P1256" s="297"/>
      <c r="Q1256" s="288"/>
      <c r="R1256" s="102"/>
      <c r="S1256" s="102"/>
      <c r="T1256" s="102"/>
    </row>
    <row r="1257" spans="1:20" s="199" customFormat="1" ht="15.75" customHeight="1">
      <c r="A1257" s="2642"/>
      <c r="B1257" s="692" t="s">
        <v>2519</v>
      </c>
      <c r="C1257" s="693"/>
      <c r="D1257" s="697">
        <f t="shared" si="632"/>
        <v>676</v>
      </c>
      <c r="E1257" s="694">
        <v>3</v>
      </c>
      <c r="F1257" s="655">
        <v>1</v>
      </c>
      <c r="G1257" s="698" t="s">
        <v>314</v>
      </c>
      <c r="H1257" s="655" t="s">
        <v>1043</v>
      </c>
      <c r="I1257" s="398">
        <v>0.61</v>
      </c>
      <c r="J1257" s="478">
        <f>IF(G1257&lt;&gt;"",VLOOKUP(G1257,precio_barras,9,FALSE),0)</f>
        <v>26.6</v>
      </c>
      <c r="K1257" s="694">
        <v>0</v>
      </c>
      <c r="L1257" s="695" t="str">
        <f t="shared" si="634"/>
        <v>1/750</v>
      </c>
      <c r="M1257" s="478">
        <f t="shared" si="635"/>
        <v>1.9</v>
      </c>
      <c r="N1257" s="696">
        <f t="shared" si="636"/>
        <v>101.615325</v>
      </c>
      <c r="O1257" s="288"/>
      <c r="P1257" s="297"/>
      <c r="Q1257" s="288"/>
      <c r="R1257" s="102"/>
      <c r="S1257" s="102"/>
      <c r="T1257" s="102"/>
    </row>
    <row r="1258" spans="1:20" s="199" customFormat="1" ht="15.75" customHeight="1">
      <c r="A1258" s="2642"/>
      <c r="B1258" s="692" t="s">
        <v>2516</v>
      </c>
      <c r="C1258" s="693"/>
      <c r="D1258" s="697">
        <f t="shared" si="632"/>
        <v>676</v>
      </c>
      <c r="E1258" s="694">
        <v>3</v>
      </c>
      <c r="F1258" s="655">
        <v>1</v>
      </c>
      <c r="G1258" s="698" t="s">
        <v>314</v>
      </c>
      <c r="H1258" s="655" t="s">
        <v>1043</v>
      </c>
      <c r="I1258" s="398">
        <v>0.61</v>
      </c>
      <c r="J1258" s="478">
        <f t="shared" si="633"/>
        <v>26.6</v>
      </c>
      <c r="K1258" s="694">
        <v>0</v>
      </c>
      <c r="L1258" s="695" t="str">
        <f t="shared" si="634"/>
        <v>1/750</v>
      </c>
      <c r="M1258" s="478">
        <f t="shared" si="635"/>
        <v>1.9</v>
      </c>
      <c r="N1258" s="696">
        <f t="shared" si="636"/>
        <v>101.615325</v>
      </c>
      <c r="O1258" s="288"/>
      <c r="P1258" s="297"/>
      <c r="Q1258" s="288"/>
      <c r="R1258" s="102"/>
      <c r="S1258" s="102"/>
      <c r="T1258" s="102"/>
    </row>
    <row r="1259" spans="1:20" s="199" customFormat="1" ht="15.75" customHeight="1">
      <c r="A1259" s="2642"/>
      <c r="B1259" s="692" t="s">
        <v>2516</v>
      </c>
      <c r="C1259" s="693"/>
      <c r="D1259" s="697">
        <f t="shared" si="632"/>
        <v>676</v>
      </c>
      <c r="E1259" s="694">
        <v>3</v>
      </c>
      <c r="F1259" s="655">
        <v>1</v>
      </c>
      <c r="G1259" s="698" t="s">
        <v>314</v>
      </c>
      <c r="H1259" s="655" t="s">
        <v>1043</v>
      </c>
      <c r="I1259" s="398">
        <v>0.61</v>
      </c>
      <c r="J1259" s="478">
        <f t="shared" si="633"/>
        <v>26.6</v>
      </c>
      <c r="K1259" s="694">
        <v>0</v>
      </c>
      <c r="L1259" s="695" t="str">
        <f t="shared" si="634"/>
        <v>1/750</v>
      </c>
      <c r="M1259" s="478">
        <f t="shared" si="635"/>
        <v>1.9</v>
      </c>
      <c r="N1259" s="696">
        <f t="shared" si="636"/>
        <v>101.615325</v>
      </c>
      <c r="O1259" s="288"/>
      <c r="P1259" s="297"/>
      <c r="Q1259" s="288"/>
      <c r="R1259" s="102"/>
      <c r="S1259" s="102"/>
      <c r="T1259" s="102"/>
    </row>
    <row r="1260" spans="1:20" s="199" customFormat="1" ht="15.75" customHeight="1" thickBot="1">
      <c r="A1260" s="2642"/>
      <c r="B1260" s="692" t="s">
        <v>2501</v>
      </c>
      <c r="C1260" s="693"/>
      <c r="D1260" s="312">
        <f t="shared" si="632"/>
        <v>573</v>
      </c>
      <c r="E1260" s="313">
        <v>3</v>
      </c>
      <c r="F1260" s="314">
        <v>1</v>
      </c>
      <c r="G1260" s="315" t="s">
        <v>314</v>
      </c>
      <c r="H1260" s="314" t="s">
        <v>1044</v>
      </c>
      <c r="I1260" s="316">
        <v>0.4</v>
      </c>
      <c r="J1260" s="317">
        <f t="shared" si="633"/>
        <v>26.6</v>
      </c>
      <c r="K1260" s="694">
        <v>0</v>
      </c>
      <c r="L1260" s="695" t="str">
        <f t="shared" si="634"/>
        <v>1/750</v>
      </c>
      <c r="M1260" s="478">
        <f t="shared" si="635"/>
        <v>1.9</v>
      </c>
      <c r="N1260" s="696">
        <f t="shared" si="636"/>
        <v>66.63300000000001</v>
      </c>
      <c r="O1260" s="288"/>
      <c r="P1260" s="297"/>
      <c r="Q1260" s="288"/>
      <c r="R1260" s="102"/>
      <c r="S1260" s="102"/>
      <c r="T1260" s="102"/>
    </row>
    <row r="1261" spans="1:20" s="129" customFormat="1" ht="22.5" customHeight="1" thickBot="1">
      <c r="A1261" s="371"/>
      <c r="B1261" s="373"/>
      <c r="C1261" s="375"/>
      <c r="D1261" s="383"/>
      <c r="E1261" s="373"/>
      <c r="F1261" s="373"/>
      <c r="G1261" s="373"/>
      <c r="H1261" s="373"/>
      <c r="I1261" s="374"/>
      <c r="J1261" s="374"/>
      <c r="K1261" s="373"/>
      <c r="L1261" s="373"/>
      <c r="M1261" s="372"/>
      <c r="N1261" s="699">
        <f>SUM(N1255:N1260)</f>
        <v>722.01197500000001</v>
      </c>
      <c r="O1261" s="288"/>
      <c r="P1261" s="297"/>
      <c r="Q1261" s="288"/>
      <c r="R1261" s="102"/>
      <c r="S1261" s="102"/>
      <c r="T1261" s="102"/>
    </row>
    <row r="1262" spans="1:20" s="102" customFormat="1" ht="8.25" customHeight="1" thickBot="1">
      <c r="A1262" s="323"/>
      <c r="B1262" s="323"/>
      <c r="C1262" s="323"/>
      <c r="D1262" s="382"/>
      <c r="E1262" s="323"/>
      <c r="F1262" s="325"/>
      <c r="G1262" s="325"/>
      <c r="H1262" s="325"/>
      <c r="I1262" s="323"/>
      <c r="J1262" s="323"/>
      <c r="K1262" s="323"/>
      <c r="L1262" s="325"/>
      <c r="M1262" s="323"/>
      <c r="N1262" s="309"/>
      <c r="O1262" s="288"/>
      <c r="P1262" s="297"/>
      <c r="Q1262" s="288"/>
    </row>
    <row r="1263" spans="1:20" s="102" customFormat="1" ht="12.75" customHeight="1">
      <c r="A1263" s="2639" t="s">
        <v>2502</v>
      </c>
      <c r="B1263" s="687" t="s">
        <v>2503</v>
      </c>
      <c r="C1263" s="327"/>
      <c r="D1263" s="328">
        <f>IF(H1263&lt;&gt;"",VLOOKUP(G1263,base_barras,IF(H1263="Desnuda",2,5)+F1263-1,FALSE),"-")</f>
        <v>3290</v>
      </c>
      <c r="E1263" s="329">
        <v>3</v>
      </c>
      <c r="F1263" s="330">
        <v>1</v>
      </c>
      <c r="G1263" s="331" t="s">
        <v>584</v>
      </c>
      <c r="H1263" s="330" t="s">
        <v>1043</v>
      </c>
      <c r="I1263" s="332">
        <v>0</v>
      </c>
      <c r="J1263" s="333">
        <f>IF(G1263&lt;&gt;"",VLOOKUP(G1263,precio_barras,9,FALSE),0)</f>
        <v>231.4</v>
      </c>
      <c r="K1263" s="481">
        <v>0</v>
      </c>
      <c r="L1263" s="343" t="str">
        <f>IF(G1263&lt;&gt;"",IF(VLOOKUP(G1263,base_barras,10,FALSE)&lt;&gt;"",VLOOKUP(G1263,base_barras,10,FALSE),"-"),"-")</f>
        <v>1.5/1600</v>
      </c>
      <c r="M1263" s="333">
        <f>IF(L1263&lt;&gt;"-",VLOOKUP(L1263,precio_aislador,2,FALSE),0)</f>
        <v>22</v>
      </c>
      <c r="N1263" s="360">
        <f>(I1263*J1263*F1263+K1263*M1263)*E1263*1.67*1.25</f>
        <v>0</v>
      </c>
      <c r="O1263" s="288"/>
      <c r="P1263" s="297"/>
      <c r="Q1263" s="297"/>
    </row>
    <row r="1264" spans="1:20" s="199" customFormat="1" ht="15.75" customHeight="1" thickBot="1">
      <c r="A1264" s="2644"/>
      <c r="B1264" s="700" t="s">
        <v>2504</v>
      </c>
      <c r="C1264" s="701"/>
      <c r="D1264" s="364">
        <f>IF(H1264&lt;&gt;"",VLOOKUP(G1264,base_barras,IF(H1264="Desnuda",2,5)+F1264-1,FALSE),"-")</f>
        <v>3170</v>
      </c>
      <c r="E1264" s="365">
        <v>3</v>
      </c>
      <c r="F1264" s="366">
        <v>3</v>
      </c>
      <c r="G1264" s="322" t="s">
        <v>582</v>
      </c>
      <c r="H1264" s="366" t="s">
        <v>1043</v>
      </c>
      <c r="I1264" s="367">
        <v>0</v>
      </c>
      <c r="J1264" s="368">
        <f>IF(G1264&lt;&gt;"",VLOOKUP(G1264,precio_barras,9,FALSE),0)</f>
        <v>71.100000000000009</v>
      </c>
      <c r="K1264" s="702">
        <v>0</v>
      </c>
      <c r="L1264" s="703" t="str">
        <f>IF(G1264&lt;&gt;"",IF(VLOOKUP(G1264,base_barras,10,FALSE)&lt;&gt;"",VLOOKUP(G1264,base_barras,10,FALSE),"-"),"-")</f>
        <v>1/1000</v>
      </c>
      <c r="M1264" s="480">
        <f>IF(L1264&lt;&gt;"-",VLOOKUP(L1264,precio_aislador,2,FALSE),0)</f>
        <v>2.7</v>
      </c>
      <c r="N1264" s="704">
        <f>(I1264*J1264*F1264+K1264*M1264)*E1264*1.67*1.25</f>
        <v>0</v>
      </c>
      <c r="O1264" s="288"/>
      <c r="P1264" s="297"/>
      <c r="Q1264" s="288"/>
      <c r="R1264" s="102"/>
      <c r="S1264" s="102"/>
      <c r="T1264" s="102"/>
    </row>
    <row r="1265" spans="1:20" s="102" customFormat="1" ht="12.75" customHeight="1">
      <c r="A1265" s="2644"/>
      <c r="B1265" s="692" t="s">
        <v>2503</v>
      </c>
      <c r="C1265" s="693"/>
      <c r="D1265" s="697">
        <f>IF(H1265&lt;&gt;"",VLOOKUP(G1265,base_barras,IF(H1265="Desnuda",2,5)+F1265-1,FALSE),"-")</f>
        <v>3290</v>
      </c>
      <c r="E1265" s="694">
        <v>3</v>
      </c>
      <c r="F1265" s="655">
        <v>1</v>
      </c>
      <c r="G1265" s="698" t="s">
        <v>584</v>
      </c>
      <c r="H1265" s="655" t="s">
        <v>1043</v>
      </c>
      <c r="I1265" s="398">
        <v>0</v>
      </c>
      <c r="J1265" s="478">
        <f>IF(G1265&lt;&gt;"",VLOOKUP(G1265,precio_barras,9,FALSE),0)</f>
        <v>231.4</v>
      </c>
      <c r="K1265" s="705">
        <v>0</v>
      </c>
      <c r="L1265" s="695" t="str">
        <f>IF(G1265&lt;&gt;"",IF(VLOOKUP(G1265,base_barras,10,FALSE)&lt;&gt;"",VLOOKUP(G1265,base_barras,10,FALSE),"-"),"-")</f>
        <v>1.5/1600</v>
      </c>
      <c r="M1265" s="478">
        <f>IF(L1265&lt;&gt;"-",VLOOKUP(L1265,precio_aislador,2,FALSE),0)</f>
        <v>22</v>
      </c>
      <c r="N1265" s="696">
        <f>(I1265*J1265*F1265+K1265*M1265)*E1265*1.67*1.25</f>
        <v>0</v>
      </c>
      <c r="O1265" s="288"/>
      <c r="P1265" s="297"/>
      <c r="Q1265" s="297"/>
    </row>
    <row r="1266" spans="1:20" s="199" customFormat="1" ht="15.75" customHeight="1" thickBot="1">
      <c r="A1266" s="2640"/>
      <c r="B1266" s="700" t="s">
        <v>2504</v>
      </c>
      <c r="C1266" s="701"/>
      <c r="D1266" s="364">
        <f>IF(H1266&lt;&gt;"",VLOOKUP(G1266,base_barras,IF(H1266="Desnuda",2,5)+F1266-1,FALSE),"-")</f>
        <v>3170</v>
      </c>
      <c r="E1266" s="365">
        <v>3</v>
      </c>
      <c r="F1266" s="366">
        <v>3</v>
      </c>
      <c r="G1266" s="322" t="s">
        <v>582</v>
      </c>
      <c r="H1266" s="366" t="s">
        <v>1043</v>
      </c>
      <c r="I1266" s="367">
        <v>0</v>
      </c>
      <c r="J1266" s="368">
        <f>IF(G1266&lt;&gt;"",VLOOKUP(G1266,precio_barras,9,FALSE),0)</f>
        <v>71.100000000000009</v>
      </c>
      <c r="K1266" s="702">
        <v>0</v>
      </c>
      <c r="L1266" s="703" t="str">
        <f>IF(G1266&lt;&gt;"",IF(VLOOKUP(G1266,base_barras,10,FALSE)&lt;&gt;"",VLOOKUP(G1266,base_barras,10,FALSE),"-"),"-")</f>
        <v>1/1000</v>
      </c>
      <c r="M1266" s="480">
        <f>IF(L1266&lt;&gt;"-",VLOOKUP(L1266,precio_aislador,2,FALSE),0)</f>
        <v>2.7</v>
      </c>
      <c r="N1266" s="704">
        <f>(I1266*J1266*F1266+K1266*M1266)*E1266*1.67*1.25</f>
        <v>0</v>
      </c>
      <c r="O1266" s="288"/>
      <c r="P1266" s="297"/>
      <c r="Q1266" s="288"/>
      <c r="R1266" s="102"/>
      <c r="S1266" s="102"/>
      <c r="T1266" s="102"/>
    </row>
    <row r="1267" spans="1:20" s="102" customFormat="1" ht="13.5" thickBot="1">
      <c r="A1267" s="323"/>
      <c r="B1267" s="323"/>
      <c r="C1267" s="309"/>
      <c r="D1267" s="382"/>
      <c r="E1267" s="323"/>
      <c r="F1267" s="309"/>
      <c r="G1267" s="309"/>
      <c r="H1267" s="323"/>
      <c r="I1267" s="325"/>
      <c r="J1267" s="325"/>
      <c r="K1267" s="323"/>
      <c r="L1267" s="323"/>
      <c r="M1267" s="325"/>
      <c r="N1267" s="706">
        <f>SUM(N1263:N1266)</f>
        <v>0</v>
      </c>
      <c r="O1267" s="288"/>
      <c r="P1267" s="297"/>
      <c r="Q1267" s="297"/>
    </row>
    <row r="1268" spans="1:20" s="102" customFormat="1" ht="8.25" customHeight="1" thickBot="1">
      <c r="A1268" s="323"/>
      <c r="B1268" s="323"/>
      <c r="C1268" s="323"/>
      <c r="D1268" s="382"/>
      <c r="E1268" s="323"/>
      <c r="F1268" s="325"/>
      <c r="G1268" s="325"/>
      <c r="H1268" s="325"/>
      <c r="I1268" s="323"/>
      <c r="J1268" s="323"/>
      <c r="K1268" s="323"/>
      <c r="L1268" s="325"/>
      <c r="M1268" s="323"/>
      <c r="N1268" s="309"/>
      <c r="O1268" s="288"/>
      <c r="P1268" s="297"/>
      <c r="Q1268" s="288"/>
    </row>
    <row r="1269" spans="1:20" s="102" customFormat="1" ht="12.75" customHeight="1">
      <c r="A1269" s="2639" t="s">
        <v>2505</v>
      </c>
      <c r="B1269" s="687" t="s">
        <v>2506</v>
      </c>
      <c r="C1269" s="327"/>
      <c r="D1269" s="328">
        <f>IF(H1269&lt;&gt;"",VLOOKUP(G1269,base_barras,IF(H1269="Desnuda",2,5)+F1269-1,FALSE),"-")</f>
        <v>3290</v>
      </c>
      <c r="E1269" s="329">
        <v>3</v>
      </c>
      <c r="F1269" s="330">
        <v>1</v>
      </c>
      <c r="G1269" s="331" t="s">
        <v>584</v>
      </c>
      <c r="H1269" s="330" t="s">
        <v>1043</v>
      </c>
      <c r="I1269" s="332">
        <v>0</v>
      </c>
      <c r="J1269" s="333">
        <f>IF(G1269&lt;&gt;"",VLOOKUP(G1269,precio_barras,9,FALSE),0)</f>
        <v>231.4</v>
      </c>
      <c r="K1269" s="481">
        <v>0</v>
      </c>
      <c r="L1269" s="343" t="str">
        <f>IF(G1269&lt;&gt;"",IF(VLOOKUP(G1269,base_barras,10,FALSE)&lt;&gt;"",VLOOKUP(G1269,base_barras,10,FALSE),"-"),"-")</f>
        <v>1.5/1600</v>
      </c>
      <c r="M1269" s="333">
        <f>IF(L1269&lt;&gt;"-",VLOOKUP(L1269,precio_aislador,2,FALSE),0)</f>
        <v>22</v>
      </c>
      <c r="N1269" s="360">
        <f>(I1269*J1269*F1269+K1269*M1269)*E1269*1.67*1.25</f>
        <v>0</v>
      </c>
      <c r="O1269" s="288"/>
      <c r="P1269" s="297"/>
      <c r="Q1269" s="297"/>
    </row>
    <row r="1270" spans="1:20" s="102" customFormat="1" ht="13.5" thickBot="1">
      <c r="A1270" s="2644"/>
      <c r="B1270" s="707" t="s">
        <v>2504</v>
      </c>
      <c r="C1270" s="479"/>
      <c r="D1270" s="364">
        <f>IF(H1270&lt;&gt;"",VLOOKUP(G1270,base_barras,IF(H1270="Desnuda",2,5)+F1270-1,FALSE),"-")</f>
        <v>3170</v>
      </c>
      <c r="E1270" s="365">
        <v>3</v>
      </c>
      <c r="F1270" s="366">
        <v>3</v>
      </c>
      <c r="G1270" s="322" t="s">
        <v>582</v>
      </c>
      <c r="H1270" s="366" t="s">
        <v>1043</v>
      </c>
      <c r="I1270" s="367">
        <v>0</v>
      </c>
      <c r="J1270" s="368">
        <f>IF(G1270&lt;&gt;"",VLOOKUP(G1270,precio_barras,9,FALSE),0)</f>
        <v>71.100000000000009</v>
      </c>
      <c r="K1270" s="365">
        <v>0</v>
      </c>
      <c r="L1270" s="369" t="str">
        <f>IF(G1270&lt;&gt;"",IF(VLOOKUP(G1270,base_barras,10,FALSE)&lt;&gt;"",VLOOKUP(G1270,base_barras,10,FALSE),"-"),"-")</f>
        <v>1/1000</v>
      </c>
      <c r="M1270" s="368">
        <f>IF(L1270&lt;&gt;"-",VLOOKUP(L1270,precio_aislador,2,FALSE),0)</f>
        <v>2.7</v>
      </c>
      <c r="N1270" s="370">
        <f>(I1270*J1270*F1270+K1270*M1270)*E1270*1.67*1.25</f>
        <v>0</v>
      </c>
      <c r="O1270" s="288"/>
      <c r="P1270" s="297"/>
      <c r="Q1270" s="297"/>
    </row>
    <row r="1271" spans="1:20" s="102" customFormat="1" ht="12.75" customHeight="1">
      <c r="A1271" s="2644"/>
      <c r="B1271" s="692" t="s">
        <v>2506</v>
      </c>
      <c r="C1271" s="693"/>
      <c r="D1271" s="697">
        <f>IF(H1271&lt;&gt;"",VLOOKUP(G1271,base_barras,IF(H1271="Desnuda",2,5)+F1271-1,FALSE),"-")</f>
        <v>3290</v>
      </c>
      <c r="E1271" s="694">
        <v>3</v>
      </c>
      <c r="F1271" s="655">
        <v>1</v>
      </c>
      <c r="G1271" s="698" t="s">
        <v>584</v>
      </c>
      <c r="H1271" s="655" t="s">
        <v>1043</v>
      </c>
      <c r="I1271" s="398">
        <v>0</v>
      </c>
      <c r="J1271" s="478">
        <f>IF(G1271&lt;&gt;"",VLOOKUP(G1271,precio_barras,9,FALSE),0)</f>
        <v>231.4</v>
      </c>
      <c r="K1271" s="705">
        <v>0</v>
      </c>
      <c r="L1271" s="695" t="str">
        <f>IF(G1271&lt;&gt;"",IF(VLOOKUP(G1271,base_barras,10,FALSE)&lt;&gt;"",VLOOKUP(G1271,base_barras,10,FALSE),"-"),"-")</f>
        <v>1.5/1600</v>
      </c>
      <c r="M1271" s="478">
        <f>IF(L1271&lt;&gt;"-",VLOOKUP(L1271,precio_aislador,2,FALSE),0)</f>
        <v>22</v>
      </c>
      <c r="N1271" s="696">
        <f>(I1271*J1271*F1271+K1271*M1271)*E1271*1.67*1.25</f>
        <v>0</v>
      </c>
      <c r="O1271" s="288"/>
      <c r="P1271" s="297"/>
      <c r="Q1271" s="297"/>
    </row>
    <row r="1272" spans="1:20" s="102" customFormat="1" ht="13.5" thickBot="1">
      <c r="A1272" s="2640"/>
      <c r="B1272" s="700" t="s">
        <v>2504</v>
      </c>
      <c r="C1272" s="701"/>
      <c r="D1272" s="708">
        <f>IF(H1272&lt;&gt;"",VLOOKUP(G1272,base_barras,IF(H1272="Desnuda",2,5)+F1272-1,FALSE),"-")</f>
        <v>3170</v>
      </c>
      <c r="E1272" s="702">
        <v>3</v>
      </c>
      <c r="F1272" s="709">
        <v>3</v>
      </c>
      <c r="G1272" s="710" t="s">
        <v>582</v>
      </c>
      <c r="H1272" s="709" t="s">
        <v>1043</v>
      </c>
      <c r="I1272" s="711">
        <v>0</v>
      </c>
      <c r="J1272" s="480">
        <f>IF(G1272&lt;&gt;"",VLOOKUP(G1272,precio_barras,9,FALSE),0)</f>
        <v>71.100000000000009</v>
      </c>
      <c r="K1272" s="702">
        <v>0</v>
      </c>
      <c r="L1272" s="703" t="str">
        <f>IF(G1272&lt;&gt;"",IF(VLOOKUP(G1272,base_barras,10,FALSE)&lt;&gt;"",VLOOKUP(G1272,base_barras,10,FALSE),"-"),"-")</f>
        <v>1/1000</v>
      </c>
      <c r="M1272" s="480">
        <f>IF(L1272&lt;&gt;"-",VLOOKUP(L1272,precio_aislador,2,FALSE),0)</f>
        <v>2.7</v>
      </c>
      <c r="N1272" s="704">
        <f>(I1272*J1272*F1272+K1272*M1272)*E1272*1.67*1.25</f>
        <v>0</v>
      </c>
      <c r="O1272" s="288"/>
      <c r="P1272" s="297"/>
      <c r="Q1272" s="297"/>
    </row>
    <row r="1273" spans="1:20" s="102" customFormat="1" ht="13.5" thickBot="1">
      <c r="A1273" s="323"/>
      <c r="B1273" s="323"/>
      <c r="C1273" s="309"/>
      <c r="D1273" s="382"/>
      <c r="E1273" s="323"/>
      <c r="F1273" s="309"/>
      <c r="G1273" s="309"/>
      <c r="H1273" s="323"/>
      <c r="I1273" s="325"/>
      <c r="J1273" s="325"/>
      <c r="K1273" s="323"/>
      <c r="L1273" s="323"/>
      <c r="M1273" s="325"/>
      <c r="N1273" s="706">
        <f>SUM(N1269:N1272)</f>
        <v>0</v>
      </c>
      <c r="O1273" s="288"/>
      <c r="P1273" s="297"/>
      <c r="Q1273" s="297"/>
    </row>
    <row r="1274" spans="1:20" s="102" customFormat="1" ht="8.25" customHeight="1" thickBot="1">
      <c r="A1274" s="323"/>
      <c r="B1274" s="323"/>
      <c r="C1274" s="323"/>
      <c r="D1274" s="382"/>
      <c r="E1274" s="323"/>
      <c r="F1274" s="325"/>
      <c r="G1274" s="325"/>
      <c r="H1274" s="325"/>
      <c r="I1274" s="323"/>
      <c r="J1274" s="323"/>
      <c r="K1274" s="323"/>
      <c r="L1274" s="325"/>
      <c r="M1274" s="323"/>
      <c r="N1274" s="309"/>
      <c r="O1274" s="288"/>
      <c r="P1274" s="297"/>
      <c r="Q1274" s="288"/>
    </row>
    <row r="1275" spans="1:20" s="102" customFormat="1">
      <c r="A1275" s="2629" t="s">
        <v>1228</v>
      </c>
      <c r="B1275" s="687" t="s">
        <v>2498</v>
      </c>
      <c r="C1275" s="327"/>
      <c r="D1275" s="328">
        <f>IF(H1275&lt;&gt;"",VLOOKUP(G1275,base_barras,IF(H1275="Desnuda",2,5)+F1275-1,FALSE),"-")</f>
        <v>2850</v>
      </c>
      <c r="E1275" s="481">
        <v>3</v>
      </c>
      <c r="F1275" s="330">
        <v>2</v>
      </c>
      <c r="G1275" s="331" t="s">
        <v>468</v>
      </c>
      <c r="H1275" s="330" t="s">
        <v>1043</v>
      </c>
      <c r="I1275" s="332">
        <v>0</v>
      </c>
      <c r="J1275" s="333">
        <f>IF(G1275&lt;&gt;"",VLOOKUP(G1275,precio_barras,9,FALSE),0)</f>
        <v>88.9</v>
      </c>
      <c r="K1275" s="329">
        <v>0</v>
      </c>
      <c r="L1275" s="343" t="str">
        <f>IF(G1275&lt;&gt;"",IF(VLOOKUP(G1275,base_barras,10,FALSE)&lt;&gt;"",VLOOKUP(G1275,base_barras,10,FALSE),"-"),"-")</f>
        <v>1.5/1250</v>
      </c>
      <c r="M1275" s="333">
        <f>IF(L1275&lt;&gt;"-",VLOOKUP(L1275,precio_aislador,2,FALSE),0)</f>
        <v>5.5</v>
      </c>
      <c r="N1275" s="360">
        <f>(I1275*J1275*F1275+K1275*M1275)*E1275*1.67*1.25</f>
        <v>0</v>
      </c>
      <c r="O1275" s="288"/>
      <c r="P1275" s="297"/>
      <c r="Q1275" s="297"/>
    </row>
    <row r="1276" spans="1:20" s="102" customFormat="1" ht="13.5" thickBot="1">
      <c r="A1276" s="2635"/>
      <c r="B1276" s="707"/>
      <c r="C1276" s="479"/>
      <c r="D1276" s="364" t="str">
        <f>IF(H1276&lt;&gt;"",VLOOKUP(G1276,base_barras,IF(H1276="Desnuda",2,5)+F1276-1,FALSE),"-")</f>
        <v>-</v>
      </c>
      <c r="E1276" s="365"/>
      <c r="F1276" s="366"/>
      <c r="G1276" s="322"/>
      <c r="H1276" s="366"/>
      <c r="I1276" s="367"/>
      <c r="J1276" s="480">
        <f>IF(G1276&lt;&gt;"",VLOOKUP(G1276,precio_barras,9,FALSE),0)</f>
        <v>0</v>
      </c>
      <c r="K1276" s="365"/>
      <c r="L1276" s="369" t="str">
        <f>IF(G1276&lt;&gt;"",IF(VLOOKUP(G1276,base_barras,10,FALSE)&lt;&gt;"",VLOOKUP(G1276,base_barras,10,FALSE),"-"),"-")</f>
        <v>-</v>
      </c>
      <c r="M1276" s="368">
        <f>IF(L1276&lt;&gt;"-",VLOOKUP(L1276,precio_aislador,2,FALSE),0)</f>
        <v>0</v>
      </c>
      <c r="N1276" s="370">
        <f>(I1276*J1276*F1276+K1276*M1276)*E1276*1.67*1.25</f>
        <v>0</v>
      </c>
      <c r="O1276" s="288"/>
      <c r="P1276" s="297"/>
      <c r="Q1276" s="297"/>
    </row>
    <row r="1277" spans="1:20" s="102" customFormat="1" ht="13.5" thickBot="1">
      <c r="A1277" s="323"/>
      <c r="B1277" s="323"/>
      <c r="C1277" s="309"/>
      <c r="D1277" s="382"/>
      <c r="E1277" s="323"/>
      <c r="F1277" s="309"/>
      <c r="G1277" s="309"/>
      <c r="H1277" s="323"/>
      <c r="I1277" s="325"/>
      <c r="J1277" s="325"/>
      <c r="K1277" s="323"/>
      <c r="L1277" s="323"/>
      <c r="M1277" s="325"/>
      <c r="N1277" s="706">
        <f>SUM(N1275:N1276)</f>
        <v>0</v>
      </c>
      <c r="O1277" s="288"/>
      <c r="P1277" s="297"/>
      <c r="Q1277" s="297"/>
    </row>
    <row r="1278" spans="1:20" s="102" customFormat="1" ht="8.25" customHeight="1" thickBot="1">
      <c r="A1278" s="323"/>
      <c r="B1278" s="323"/>
      <c r="C1278" s="323"/>
      <c r="D1278" s="382"/>
      <c r="E1278" s="323"/>
      <c r="F1278" s="325"/>
      <c r="G1278" s="325"/>
      <c r="H1278" s="325"/>
      <c r="I1278" s="323"/>
      <c r="J1278" s="323"/>
      <c r="K1278" s="323"/>
      <c r="L1278" s="325"/>
      <c r="M1278" s="323"/>
      <c r="N1278" s="309"/>
      <c r="O1278" s="288"/>
      <c r="P1278" s="297"/>
      <c r="Q1278" s="288"/>
    </row>
    <row r="1279" spans="1:20" s="102" customFormat="1">
      <c r="A1279" s="2639" t="s">
        <v>2508</v>
      </c>
      <c r="B1279" s="687" t="s">
        <v>2520</v>
      </c>
      <c r="C1279" s="327"/>
      <c r="D1279" s="328">
        <f>IF(H1279&lt;&gt;"",VLOOKUP(G1279,base_barras,IF(H1279="Desnuda",2,5)+F1279-1,FALSE),"-")</f>
        <v>924</v>
      </c>
      <c r="E1279" s="329">
        <v>3</v>
      </c>
      <c r="F1279" s="330">
        <v>2</v>
      </c>
      <c r="G1279" s="331" t="s">
        <v>62</v>
      </c>
      <c r="H1279" s="330" t="s">
        <v>1043</v>
      </c>
      <c r="I1279" s="332">
        <v>0</v>
      </c>
      <c r="J1279" s="333">
        <f>IF(G1279&lt;&gt;"",VLOOKUP(G1279,precio_barras,9,FALSE),0)</f>
        <v>17.7</v>
      </c>
      <c r="K1279" s="329">
        <v>0</v>
      </c>
      <c r="L1279" s="343" t="str">
        <f>IF(G1279&lt;&gt;"",IF(VLOOKUP(G1279,base_barras,10,FALSE)&lt;&gt;"",VLOOKUP(G1279,base_barras,10,FALSE),"-"),"-")</f>
        <v>-</v>
      </c>
      <c r="M1279" s="333">
        <f>IF(L1279&lt;&gt;"-",VLOOKUP(L1279,precio_aislador,2,FALSE),0)</f>
        <v>0</v>
      </c>
      <c r="N1279" s="360">
        <f>(I1279*J1279*F1279+K1279*M1279)*E1279*1.67*1.25</f>
        <v>0</v>
      </c>
      <c r="O1279" s="288"/>
      <c r="P1279" s="297"/>
      <c r="Q1279" s="297"/>
    </row>
    <row r="1280" spans="1:20" s="199" customFormat="1" ht="15.75" customHeight="1">
      <c r="A1280" s="2644"/>
      <c r="B1280" s="692" t="s">
        <v>2498</v>
      </c>
      <c r="C1280" s="693"/>
      <c r="D1280" s="697">
        <f>IF(H1280&lt;&gt;"",VLOOKUP(G1280,base_barras,IF(H1280="Desnuda",2,5)+F1280-1,FALSE),"-")</f>
        <v>850</v>
      </c>
      <c r="E1280" s="694">
        <v>3</v>
      </c>
      <c r="F1280" s="655">
        <v>1</v>
      </c>
      <c r="G1280" s="698" t="s">
        <v>469</v>
      </c>
      <c r="H1280" s="655" t="s">
        <v>1043</v>
      </c>
      <c r="I1280" s="398">
        <v>0</v>
      </c>
      <c r="J1280" s="478">
        <f>IF(G1280&lt;&gt;"",VLOOKUP(G1280,precio_barras,9,FALSE),0)</f>
        <v>35.6</v>
      </c>
      <c r="K1280" s="694">
        <v>0</v>
      </c>
      <c r="L1280" s="695" t="str">
        <f>IF(G1280&lt;&gt;"",IF(VLOOKUP(G1280,base_barras,10,FALSE)&lt;&gt;"",VLOOKUP(G1280,base_barras,10,FALSE),"-"),"-")</f>
        <v>1/750</v>
      </c>
      <c r="M1280" s="478">
        <f>IF(L1280&lt;&gt;"-",VLOOKUP(L1280,precio_aislador,2,FALSE),0)</f>
        <v>1.9</v>
      </c>
      <c r="N1280" s="696">
        <f>(I1280*J1280*F1280+K1280*M1280)*E1280*1.67*1.25</f>
        <v>0</v>
      </c>
      <c r="O1280" s="288"/>
      <c r="P1280" s="297"/>
      <c r="Q1280" s="288"/>
      <c r="R1280" s="102"/>
      <c r="S1280" s="102"/>
      <c r="T1280" s="102"/>
    </row>
    <row r="1281" spans="1:20" s="199" customFormat="1" ht="15.75" customHeight="1" thickBot="1">
      <c r="A1281" s="2644"/>
      <c r="B1281" s="707" t="s">
        <v>2498</v>
      </c>
      <c r="C1281" s="479"/>
      <c r="D1281" s="364">
        <f>IF(H1281&lt;&gt;"",VLOOKUP(G1281,base_barras,IF(H1281="Desnuda",2,5)+F1281-1,FALSE),"-")</f>
        <v>850</v>
      </c>
      <c r="E1281" s="365">
        <v>3</v>
      </c>
      <c r="F1281" s="366">
        <v>1</v>
      </c>
      <c r="G1281" s="322" t="s">
        <v>469</v>
      </c>
      <c r="H1281" s="366" t="s">
        <v>1043</v>
      </c>
      <c r="I1281" s="367">
        <v>0</v>
      </c>
      <c r="J1281" s="368">
        <f>IF(G1281&lt;&gt;"",VLOOKUP(G1281,precio_barras,9,FALSE),0)</f>
        <v>35.6</v>
      </c>
      <c r="K1281" s="365">
        <v>0</v>
      </c>
      <c r="L1281" s="369" t="str">
        <f>IF(G1281&lt;&gt;"",IF(VLOOKUP(G1281,base_barras,10,FALSE)&lt;&gt;"",VLOOKUP(G1281,base_barras,10,FALSE),"-"),"-")</f>
        <v>1/750</v>
      </c>
      <c r="M1281" s="368">
        <f>IF(L1281&lt;&gt;"-",VLOOKUP(L1281,precio_aislador,2,FALSE),0)</f>
        <v>1.9</v>
      </c>
      <c r="N1281" s="370">
        <f>(I1281*J1281*F1281+K1281*M1281)*E1281*1.67*1.25</f>
        <v>0</v>
      </c>
      <c r="O1281" s="288"/>
      <c r="P1281" s="297"/>
      <c r="Q1281" s="288"/>
      <c r="R1281" s="102"/>
      <c r="S1281" s="102"/>
      <c r="T1281" s="102"/>
    </row>
    <row r="1282" spans="1:20" s="102" customFormat="1">
      <c r="A1282" s="2644"/>
      <c r="B1282" s="692" t="s">
        <v>2504</v>
      </c>
      <c r="C1282" s="693"/>
      <c r="D1282" s="697">
        <f>IF(H1282&lt;&gt;"",VLOOKUP(G1282,base_barras,IF(H1282="Desnuda",2,5)+F1282-1,FALSE),"-")</f>
        <v>3170</v>
      </c>
      <c r="E1282" s="694">
        <v>3</v>
      </c>
      <c r="F1282" s="655">
        <v>3</v>
      </c>
      <c r="G1282" s="698" t="s">
        <v>582</v>
      </c>
      <c r="H1282" s="655" t="s">
        <v>1043</v>
      </c>
      <c r="I1282" s="398">
        <v>0</v>
      </c>
      <c r="J1282" s="478">
        <f>IF(G1282&lt;&gt;"",VLOOKUP(G1282,precio_barras,9,FALSE),0)</f>
        <v>71.100000000000009</v>
      </c>
      <c r="K1282" s="694">
        <v>0</v>
      </c>
      <c r="L1282" s="695" t="str">
        <f>IF(G1282&lt;&gt;"",IF(VLOOKUP(G1282,base_barras,10,FALSE)&lt;&gt;"",VLOOKUP(G1282,base_barras,10,FALSE),"-"),"-")</f>
        <v>1/1000</v>
      </c>
      <c r="M1282" s="478">
        <f>IF(L1282&lt;&gt;"-",VLOOKUP(L1282,precio_aislador,2,FALSE),0)</f>
        <v>2.7</v>
      </c>
      <c r="N1282" s="696">
        <f>(I1282*J1282*F1282+K1282*M1282)*E1282*1.67*1.25</f>
        <v>0</v>
      </c>
      <c r="O1282" s="288"/>
      <c r="P1282" s="297"/>
      <c r="Q1282" s="297"/>
    </row>
    <row r="1283" spans="1:20" s="199" customFormat="1" ht="15.75" customHeight="1" thickBot="1">
      <c r="A1283" s="2640"/>
      <c r="B1283" s="700" t="s">
        <v>2498</v>
      </c>
      <c r="C1283" s="701"/>
      <c r="D1283" s="708">
        <f>IF(H1283&lt;&gt;"",VLOOKUP(G1283,base_barras,IF(H1283="Desnuda",2,5)+F1283-1,FALSE),"-")</f>
        <v>2850</v>
      </c>
      <c r="E1283" s="702">
        <v>3</v>
      </c>
      <c r="F1283" s="709">
        <v>2</v>
      </c>
      <c r="G1283" s="710" t="s">
        <v>468</v>
      </c>
      <c r="H1283" s="709" t="s">
        <v>1043</v>
      </c>
      <c r="I1283" s="711">
        <v>0</v>
      </c>
      <c r="J1283" s="480">
        <f>IF(G1283&lt;&gt;"",VLOOKUP(G1283,precio_barras,9,FALSE),0)</f>
        <v>88.9</v>
      </c>
      <c r="K1283" s="702">
        <v>0</v>
      </c>
      <c r="L1283" s="703" t="str">
        <f>IF(G1283&lt;&gt;"",IF(VLOOKUP(G1283,base_barras,10,FALSE)&lt;&gt;"",VLOOKUP(G1283,base_barras,10,FALSE),"-"),"-")</f>
        <v>1.5/1250</v>
      </c>
      <c r="M1283" s="480">
        <f>IF(L1283&lt;&gt;"-",VLOOKUP(L1283,precio_aislador,2,FALSE),0)</f>
        <v>5.5</v>
      </c>
      <c r="N1283" s="704">
        <f>(I1283*J1283*F1283+K1283*M1283)*E1283*1.67*1.25</f>
        <v>0</v>
      </c>
      <c r="O1283" s="288"/>
      <c r="P1283" s="297"/>
      <c r="Q1283" s="288"/>
      <c r="R1283" s="102"/>
      <c r="S1283" s="102"/>
      <c r="T1283" s="102"/>
    </row>
    <row r="1284" spans="1:20" s="102" customFormat="1" ht="13.5" thickBot="1">
      <c r="A1284" s="323"/>
      <c r="B1284" s="323"/>
      <c r="C1284" s="309"/>
      <c r="D1284" s="382"/>
      <c r="E1284" s="323"/>
      <c r="F1284" s="309"/>
      <c r="G1284" s="309"/>
      <c r="H1284" s="323"/>
      <c r="I1284" s="325"/>
      <c r="J1284" s="325"/>
      <c r="K1284" s="323"/>
      <c r="L1284" s="323"/>
      <c r="M1284" s="325"/>
      <c r="N1284" s="706">
        <f>SUM(N1279:N1283)</f>
        <v>0</v>
      </c>
      <c r="O1284" s="288"/>
      <c r="P1284" s="297"/>
      <c r="Q1284" s="297"/>
    </row>
    <row r="1285" spans="1:20" s="102" customFormat="1" ht="8.25" customHeight="1" thickBot="1">
      <c r="A1285" s="323"/>
      <c r="B1285" s="323"/>
      <c r="C1285" s="323"/>
      <c r="D1285" s="382"/>
      <c r="E1285" s="323"/>
      <c r="F1285" s="325"/>
      <c r="G1285" s="325"/>
      <c r="H1285" s="325"/>
      <c r="I1285" s="323"/>
      <c r="J1285" s="323"/>
      <c r="K1285" s="323"/>
      <c r="L1285" s="325"/>
      <c r="M1285" s="323"/>
      <c r="N1285" s="309"/>
      <c r="O1285" s="288"/>
      <c r="P1285" s="297"/>
      <c r="Q1285" s="288"/>
    </row>
    <row r="1286" spans="1:20" s="102" customFormat="1">
      <c r="A1286" s="2629" t="s">
        <v>1034</v>
      </c>
      <c r="B1286" s="687" t="s">
        <v>2504</v>
      </c>
      <c r="C1286" s="327"/>
      <c r="D1286" s="328">
        <f>IF(H1286&lt;&gt;"",VLOOKUP(G1286,base_barras,IF(H1286="Desnuda",2,5)+F1286-1,FALSE),"-")</f>
        <v>3170</v>
      </c>
      <c r="E1286" s="329">
        <v>3</v>
      </c>
      <c r="F1286" s="330">
        <v>3</v>
      </c>
      <c r="G1286" s="331" t="s">
        <v>582</v>
      </c>
      <c r="H1286" s="330" t="s">
        <v>1043</v>
      </c>
      <c r="I1286" s="332">
        <v>0</v>
      </c>
      <c r="J1286" s="333">
        <f>IF(G1286&lt;&gt;"",VLOOKUP(G1286,precio_barras,9,FALSE),0)</f>
        <v>71.100000000000009</v>
      </c>
      <c r="K1286" s="329">
        <v>0</v>
      </c>
      <c r="L1286" s="343" t="str">
        <f>IF(G1286&lt;&gt;"",IF(VLOOKUP(G1286,base_barras,10,FALSE)&lt;&gt;"",VLOOKUP(G1286,base_barras,10,FALSE),"-"),"-")</f>
        <v>1/1000</v>
      </c>
      <c r="M1286" s="333">
        <f>IF(L1286&lt;&gt;"-",VLOOKUP(L1286,precio_aislador,2,FALSE),0)</f>
        <v>2.7</v>
      </c>
      <c r="N1286" s="360">
        <f>(I1286*J1286*F1286+K1286*M1286)*E1286*1.67*1.25</f>
        <v>0</v>
      </c>
      <c r="O1286" s="288"/>
      <c r="P1286" s="297"/>
      <c r="Q1286" s="297"/>
    </row>
    <row r="1287" spans="1:20" s="102" customFormat="1" ht="13.5" thickBot="1">
      <c r="A1287" s="2635"/>
      <c r="B1287" s="700" t="s">
        <v>2504</v>
      </c>
      <c r="C1287" s="701"/>
      <c r="D1287" s="708">
        <f>IF(H1287&lt;&gt;"",VLOOKUP(G1287,base_barras,IF(H1287="Desnuda",2,5)+F1287-1,FALSE),"-")</f>
        <v>3170</v>
      </c>
      <c r="E1287" s="702">
        <v>3</v>
      </c>
      <c r="F1287" s="709">
        <v>3</v>
      </c>
      <c r="G1287" s="710" t="s">
        <v>582</v>
      </c>
      <c r="H1287" s="709" t="s">
        <v>1043</v>
      </c>
      <c r="I1287" s="711">
        <v>0</v>
      </c>
      <c r="J1287" s="480">
        <f>IF(G1287&lt;&gt;"",VLOOKUP(G1287,precio_barras,9,FALSE),0)</f>
        <v>71.100000000000009</v>
      </c>
      <c r="K1287" s="702">
        <v>0</v>
      </c>
      <c r="L1287" s="703" t="str">
        <f>IF(G1287&lt;&gt;"",IF(VLOOKUP(G1287,base_barras,10,FALSE)&lt;&gt;"",VLOOKUP(G1287,base_barras,10,FALSE),"-"),"-")</f>
        <v>1/1000</v>
      </c>
      <c r="M1287" s="480">
        <f>IF(L1287&lt;&gt;"-",VLOOKUP(L1287,precio_aislador,2,FALSE),0)</f>
        <v>2.7</v>
      </c>
      <c r="N1287" s="704">
        <f>(I1287*J1287*F1287+K1287*M1287)*E1287*1.67*1.25</f>
        <v>0</v>
      </c>
      <c r="O1287" s="288"/>
      <c r="P1287" s="297"/>
      <c r="Q1287" s="297"/>
    </row>
    <row r="1288" spans="1:20" s="102" customFormat="1" ht="13.5" thickBot="1">
      <c r="A1288" s="323"/>
      <c r="B1288" s="323"/>
      <c r="C1288" s="309"/>
      <c r="D1288" s="382"/>
      <c r="E1288" s="323"/>
      <c r="F1288" s="309"/>
      <c r="G1288" s="309"/>
      <c r="H1288" s="323"/>
      <c r="I1288" s="325"/>
      <c r="J1288" s="325"/>
      <c r="K1288" s="323"/>
      <c r="L1288" s="323"/>
      <c r="M1288" s="325"/>
      <c r="N1288" s="706">
        <f>SUM(N1286:N1287)</f>
        <v>0</v>
      </c>
      <c r="O1288" s="288"/>
      <c r="P1288" s="297"/>
      <c r="Q1288" s="297"/>
    </row>
    <row r="1289" spans="1:20" s="102" customFormat="1">
      <c r="A1289" s="323"/>
      <c r="B1289" s="309"/>
      <c r="C1289" s="309"/>
      <c r="D1289" s="382"/>
      <c r="E1289" s="323"/>
      <c r="F1289" s="309"/>
      <c r="G1289" s="309"/>
      <c r="H1289" s="323"/>
      <c r="I1289" s="325"/>
      <c r="J1289" s="325"/>
      <c r="K1289" s="323"/>
      <c r="L1289" s="323"/>
      <c r="M1289" s="325"/>
      <c r="N1289" s="722"/>
      <c r="O1289" s="288"/>
      <c r="P1289" s="297"/>
      <c r="Q1289" s="297"/>
    </row>
    <row r="1290" spans="1:20" s="102" customFormat="1">
      <c r="A1290" s="323"/>
      <c r="B1290" s="309"/>
      <c r="C1290" s="309"/>
      <c r="D1290" s="382"/>
      <c r="E1290" s="323"/>
      <c r="F1290" s="309"/>
      <c r="G1290" s="309"/>
      <c r="H1290" s="323"/>
      <c r="I1290" s="325"/>
      <c r="J1290" s="325"/>
      <c r="K1290" s="323"/>
      <c r="L1290" s="323"/>
      <c r="M1290" s="325"/>
      <c r="N1290" s="722"/>
      <c r="O1290" s="288"/>
      <c r="P1290" s="297"/>
      <c r="Q1290" s="297"/>
    </row>
    <row r="1291" spans="1:20" s="102" customFormat="1" ht="15">
      <c r="A1291" s="323"/>
      <c r="B1291" s="723" t="s">
        <v>2513</v>
      </c>
      <c r="C1291" s="309"/>
      <c r="D1291" s="382"/>
      <c r="E1291" s="323"/>
      <c r="F1291" s="309"/>
      <c r="G1291" s="309"/>
      <c r="H1291" s="323"/>
      <c r="I1291" s="325"/>
      <c r="J1291" s="325"/>
      <c r="K1291" s="323"/>
      <c r="L1291" s="323"/>
      <c r="M1291" s="325"/>
      <c r="N1291" s="722"/>
      <c r="O1291" s="288"/>
      <c r="P1291" s="297"/>
      <c r="Q1291" s="297"/>
    </row>
    <row r="1292" spans="1:20" s="102" customFormat="1" ht="15">
      <c r="A1292" s="323"/>
      <c r="B1292" s="723" t="s">
        <v>2513</v>
      </c>
      <c r="C1292" s="309"/>
      <c r="D1292" s="382"/>
      <c r="E1292" s="323"/>
      <c r="F1292" s="309"/>
      <c r="G1292" s="309"/>
      <c r="H1292" s="323"/>
      <c r="I1292" s="325"/>
      <c r="J1292" s="325"/>
      <c r="K1292" s="323"/>
      <c r="L1292" s="323"/>
      <c r="M1292" s="325"/>
      <c r="N1292" s="722"/>
      <c r="O1292" s="288"/>
      <c r="P1292" s="297"/>
      <c r="Q1292" s="297"/>
    </row>
    <row r="1293" spans="1:20" s="106" customFormat="1" ht="29.25" customHeight="1">
      <c r="B1293" s="724"/>
    </row>
    <row r="1294" spans="1:20" s="106" customFormat="1" ht="29.25" customHeight="1">
      <c r="B1294" s="724"/>
    </row>
    <row r="1295" spans="1:20" s="106" customFormat="1" ht="13.5" thickBot="1"/>
    <row r="1296" spans="1:20" s="199" customFormat="1" ht="15.75" customHeight="1">
      <c r="A1296" s="2641" t="s">
        <v>2524</v>
      </c>
      <c r="B1296" s="687" t="s">
        <v>2507</v>
      </c>
      <c r="C1296" s="327"/>
      <c r="D1296" s="328">
        <f>IF(H1296&lt;&gt;"",VLOOKUP(G1296,base_barras,IF(H1296="Desnuda",2,5)+F1296-1,FALSE),"-")</f>
        <v>1500</v>
      </c>
      <c r="E1296" s="329">
        <v>3</v>
      </c>
      <c r="F1296" s="330">
        <v>1</v>
      </c>
      <c r="G1296" s="331" t="s">
        <v>582</v>
      </c>
      <c r="H1296" s="330" t="s">
        <v>1043</v>
      </c>
      <c r="I1296" s="332">
        <f>0.8+0.8</f>
        <v>1.6</v>
      </c>
      <c r="J1296" s="333">
        <f>IF(G1296&lt;&gt;"",VLOOKUP(G1296,precio_barras,9,FALSE),0)</f>
        <v>71.100000000000009</v>
      </c>
      <c r="K1296" s="329">
        <f>2+2</f>
        <v>4</v>
      </c>
      <c r="L1296" s="343" t="str">
        <f>IF(G1296&lt;&gt;"",IF(VLOOKUP(G1296,base_barras,10,FALSE)&lt;&gt;"",VLOOKUP(G1296,base_barras,10,FALSE),"-"),"-")</f>
        <v>1/1000</v>
      </c>
      <c r="M1296" s="333">
        <f>IF(L1296&lt;&gt;"-",VLOOKUP(L1296,precio_aislador,2,FALSE),0)</f>
        <v>2.7</v>
      </c>
      <c r="N1296" s="360">
        <f>(I1296*J1296*F1296+K1296*M1296)*E1296*1.67*1.25</f>
        <v>780.05700000000002</v>
      </c>
      <c r="O1296" s="288"/>
      <c r="P1296" s="297"/>
      <c r="Q1296" s="288"/>
      <c r="R1296" s="102"/>
      <c r="S1296" s="102"/>
      <c r="T1296" s="102"/>
    </row>
    <row r="1297" spans="1:20" s="199" customFormat="1" ht="14.25">
      <c r="A1297" s="2642"/>
      <c r="B1297" s="688" t="s">
        <v>802</v>
      </c>
      <c r="C1297" s="319"/>
      <c r="D1297" s="312">
        <f>IF(H1297&lt;&gt;"",VLOOKUP(G1297,base_barras,IF(H1297="Desnuda",2,5)+F1297-1,FALSE),"-")</f>
        <v>850</v>
      </c>
      <c r="E1297" s="313">
        <v>1</v>
      </c>
      <c r="F1297" s="314">
        <v>1</v>
      </c>
      <c r="G1297" s="315" t="s">
        <v>469</v>
      </c>
      <c r="H1297" s="689" t="str">
        <f>H1296</f>
        <v>Pintada</v>
      </c>
      <c r="I1297" s="690">
        <f>I1296</f>
        <v>1.6</v>
      </c>
      <c r="J1297" s="317">
        <f>IF(G1297&lt;&gt;"",VLOOKUP(G1297,precio_barras,9,FALSE),0)</f>
        <v>35.6</v>
      </c>
      <c r="K1297" s="691">
        <v>0</v>
      </c>
      <c r="L1297" s="318" t="str">
        <f>IF(G1297&lt;&gt;"",IF(VLOOKUP(G1297,base_barras,10,FALSE)&lt;&gt;"",VLOOKUP(G1297,base_barras,10,FALSE),"-"),"-")</f>
        <v>1/750</v>
      </c>
      <c r="M1297" s="317">
        <f>IF(L1297&lt;&gt;"-",VLOOKUP(L1297,precio_aislador,2,FALSE),0)</f>
        <v>1.9</v>
      </c>
      <c r="N1297" s="308">
        <f>(I1297*J1297*F1297+K1297*M1297)*E1297*1.67*1.25</f>
        <v>118.90400000000001</v>
      </c>
      <c r="O1297" s="288"/>
      <c r="P1297" s="297"/>
      <c r="Q1297" s="288"/>
      <c r="R1297" s="102"/>
      <c r="S1297" s="102"/>
      <c r="T1297" s="102"/>
    </row>
    <row r="1298" spans="1:20" s="199" customFormat="1" ht="15.75" customHeight="1">
      <c r="A1298" s="2642"/>
      <c r="B1298" s="692" t="s">
        <v>2515</v>
      </c>
      <c r="C1298" s="693"/>
      <c r="D1298" s="312">
        <f>IF(H1298&lt;&gt;"",VLOOKUP(G1298,base_barras,IF(H1298="Desnuda",2,5)+F1298-1,FALSE),"-")</f>
        <v>1470</v>
      </c>
      <c r="E1298" s="313">
        <v>3</v>
      </c>
      <c r="F1298" s="314">
        <v>2</v>
      </c>
      <c r="G1298" s="315" t="s">
        <v>469</v>
      </c>
      <c r="H1298" s="314" t="s">
        <v>1043</v>
      </c>
      <c r="I1298" s="316">
        <v>0.61</v>
      </c>
      <c r="J1298" s="317">
        <f>IF(G1298&lt;&gt;"",VLOOKUP(G1298,precio_barras,9,FALSE),0)</f>
        <v>35.6</v>
      </c>
      <c r="K1298" s="694">
        <v>0</v>
      </c>
      <c r="L1298" s="695" t="str">
        <f>IF(G1298&lt;&gt;"",IF(VLOOKUP(G1298,base_barras,10,FALSE)&lt;&gt;"",VLOOKUP(G1298,base_barras,10,FALSE),"-"),"-")</f>
        <v>1/750</v>
      </c>
      <c r="M1298" s="478">
        <f>IF(L1298&lt;&gt;"-",VLOOKUP(L1298,precio_aislador,2,FALSE),0)</f>
        <v>1.9</v>
      </c>
      <c r="N1298" s="696">
        <f>(I1298*J1298*F1298+K1298*M1298)*E1298*1.67*1.25</f>
        <v>271.99289999999996</v>
      </c>
      <c r="O1298" s="288"/>
      <c r="P1298" s="297"/>
      <c r="Q1298" s="288"/>
      <c r="R1298" s="102"/>
      <c r="S1298" s="102"/>
      <c r="T1298" s="102"/>
    </row>
    <row r="1299" spans="1:20" s="199" customFormat="1" ht="15.75" customHeight="1">
      <c r="A1299" s="2642"/>
      <c r="B1299" s="692" t="s">
        <v>2525</v>
      </c>
      <c r="C1299" s="693"/>
      <c r="D1299" s="312">
        <f>IF(H1299&lt;&gt;"",VLOOKUP(G1299,base_barras,IF(H1299="Desnuda",2,5)+F1299-1,FALSE),"-")</f>
        <v>1180</v>
      </c>
      <c r="E1299" s="313">
        <v>3</v>
      </c>
      <c r="F1299" s="314">
        <v>1</v>
      </c>
      <c r="G1299" s="315" t="s">
        <v>581</v>
      </c>
      <c r="H1299" s="314" t="s">
        <v>1043</v>
      </c>
      <c r="I1299" s="316">
        <v>0.61</v>
      </c>
      <c r="J1299" s="317">
        <f>IF(G1299&lt;&gt;"",VLOOKUP(G1299,precio_barras,9,FALSE),0)</f>
        <v>53.3</v>
      </c>
      <c r="K1299" s="694">
        <v>0</v>
      </c>
      <c r="L1299" s="695" t="str">
        <f>IF(G1299&lt;&gt;"",IF(VLOOKUP(G1299,base_barras,10,FALSE)&lt;&gt;"",VLOOKUP(G1299,base_barras,10,FALSE),"-"),"-")</f>
        <v>1/750</v>
      </c>
      <c r="M1299" s="478">
        <f>IF(L1299&lt;&gt;"-",VLOOKUP(L1299,precio_aislador,2,FALSE),0)</f>
        <v>1.9</v>
      </c>
      <c r="N1299" s="696">
        <f>(I1299*J1299*F1299+K1299*M1299)*E1299*1.67*1.25</f>
        <v>203.61266249999997</v>
      </c>
      <c r="O1299" s="288"/>
      <c r="P1299" s="297"/>
      <c r="Q1299" s="288"/>
      <c r="R1299" s="102"/>
      <c r="S1299" s="102"/>
      <c r="T1299" s="102"/>
    </row>
    <row r="1300" spans="1:20" s="199" customFormat="1" ht="15.75" customHeight="1" thickBot="1">
      <c r="A1300" s="2642"/>
      <c r="B1300" s="692" t="s">
        <v>2501</v>
      </c>
      <c r="C1300" s="693"/>
      <c r="D1300" s="312">
        <f>IF(H1300&lt;&gt;"",VLOOKUP(G1300,base_barras,IF(H1300="Desnuda",2,5)+F1300-1,FALSE),"-")</f>
        <v>573</v>
      </c>
      <c r="E1300" s="313">
        <v>3</v>
      </c>
      <c r="F1300" s="314">
        <v>1</v>
      </c>
      <c r="G1300" s="315" t="s">
        <v>314</v>
      </c>
      <c r="H1300" s="314" t="s">
        <v>1044</v>
      </c>
      <c r="I1300" s="316">
        <v>0.4</v>
      </c>
      <c r="J1300" s="317">
        <f>IF(G1300&lt;&gt;"",VLOOKUP(G1300,precio_barras,9,FALSE),0)</f>
        <v>26.6</v>
      </c>
      <c r="K1300" s="694">
        <v>0</v>
      </c>
      <c r="L1300" s="695" t="str">
        <f>IF(G1300&lt;&gt;"",IF(VLOOKUP(G1300,base_barras,10,FALSE)&lt;&gt;"",VLOOKUP(G1300,base_barras,10,FALSE),"-"),"-")</f>
        <v>1/750</v>
      </c>
      <c r="M1300" s="478">
        <f>IF(L1300&lt;&gt;"-",VLOOKUP(L1300,precio_aislador,2,FALSE),0)</f>
        <v>1.9</v>
      </c>
      <c r="N1300" s="696">
        <f>(I1300*J1300*F1300+K1300*M1300)*E1300*1.67*1.25</f>
        <v>66.63300000000001</v>
      </c>
      <c r="O1300" s="288"/>
      <c r="P1300" s="297"/>
      <c r="Q1300" s="288"/>
      <c r="R1300" s="102"/>
      <c r="S1300" s="102"/>
      <c r="T1300" s="102"/>
    </row>
    <row r="1301" spans="1:20" s="129" customFormat="1" ht="22.5" customHeight="1" thickBot="1">
      <c r="A1301" s="371"/>
      <c r="B1301" s="373"/>
      <c r="C1301" s="375"/>
      <c r="D1301" s="383"/>
      <c r="E1301" s="373"/>
      <c r="F1301" s="373"/>
      <c r="G1301" s="373"/>
      <c r="H1301" s="373"/>
      <c r="I1301" s="374"/>
      <c r="J1301" s="374"/>
      <c r="K1301" s="373"/>
      <c r="L1301" s="373"/>
      <c r="M1301" s="372"/>
      <c r="N1301" s="699">
        <f>SUM(N1296:N1300)</f>
        <v>1441.1995625</v>
      </c>
      <c r="O1301" s="288"/>
      <c r="P1301" s="297"/>
      <c r="Q1301" s="288"/>
      <c r="R1301" s="102"/>
      <c r="S1301" s="102"/>
      <c r="T1301" s="102"/>
    </row>
    <row r="1302" spans="1:20" s="102" customFormat="1" ht="8.25" customHeight="1" thickBot="1">
      <c r="A1302" s="323"/>
      <c r="B1302" s="323"/>
      <c r="C1302" s="323"/>
      <c r="D1302" s="382"/>
      <c r="E1302" s="323"/>
      <c r="F1302" s="325"/>
      <c r="G1302" s="325"/>
      <c r="H1302" s="325"/>
      <c r="I1302" s="323"/>
      <c r="J1302" s="323"/>
      <c r="K1302" s="323"/>
      <c r="L1302" s="325"/>
      <c r="M1302" s="323"/>
      <c r="N1302" s="309"/>
      <c r="O1302" s="288"/>
      <c r="P1302" s="297"/>
      <c r="Q1302" s="288"/>
    </row>
    <row r="1303" spans="1:20" s="102" customFormat="1" ht="12.75" customHeight="1">
      <c r="A1303" s="2639" t="s">
        <v>2502</v>
      </c>
      <c r="B1303" s="687" t="s">
        <v>2503</v>
      </c>
      <c r="C1303" s="327"/>
      <c r="D1303" s="328">
        <f>IF(H1303&lt;&gt;"",VLOOKUP(G1303,base_barras,IF(H1303="Desnuda",2,5)+F1303-1,FALSE),"-")</f>
        <v>3290</v>
      </c>
      <c r="E1303" s="329">
        <v>4</v>
      </c>
      <c r="F1303" s="330">
        <v>1</v>
      </c>
      <c r="G1303" s="331" t="s">
        <v>584</v>
      </c>
      <c r="H1303" s="330" t="s">
        <v>1043</v>
      </c>
      <c r="I1303" s="332">
        <v>0</v>
      </c>
      <c r="J1303" s="333">
        <f>IF(G1303&lt;&gt;"",VLOOKUP(G1303,precio_barras,9,FALSE),0)</f>
        <v>231.4</v>
      </c>
      <c r="K1303" s="481">
        <v>0</v>
      </c>
      <c r="L1303" s="343" t="str">
        <f>IF(G1303&lt;&gt;"",IF(VLOOKUP(G1303,base_barras,10,FALSE)&lt;&gt;"",VLOOKUP(G1303,base_barras,10,FALSE),"-"),"-")</f>
        <v>1.5/1600</v>
      </c>
      <c r="M1303" s="333">
        <f>IF(L1303&lt;&gt;"-",VLOOKUP(L1303,precio_aislador,2,FALSE),0)</f>
        <v>22</v>
      </c>
      <c r="N1303" s="360">
        <f>(I1303*J1303*F1303+K1303*M1303)*E1303*1.67*1.25</f>
        <v>0</v>
      </c>
      <c r="O1303" s="288"/>
      <c r="P1303" s="297"/>
      <c r="Q1303" s="297"/>
    </row>
    <row r="1304" spans="1:20" s="199" customFormat="1" ht="15.75" customHeight="1" thickBot="1">
      <c r="A1304" s="2644"/>
      <c r="B1304" s="700" t="s">
        <v>2504</v>
      </c>
      <c r="C1304" s="701"/>
      <c r="D1304" s="364">
        <f>IF(H1304&lt;&gt;"",VLOOKUP(G1304,base_barras,IF(H1304="Desnuda",2,5)+F1304-1,FALSE),"-")</f>
        <v>3170</v>
      </c>
      <c r="E1304" s="365">
        <v>4</v>
      </c>
      <c r="F1304" s="366">
        <v>3</v>
      </c>
      <c r="G1304" s="322" t="s">
        <v>582</v>
      </c>
      <c r="H1304" s="366" t="s">
        <v>1043</v>
      </c>
      <c r="I1304" s="367">
        <v>0</v>
      </c>
      <c r="J1304" s="368">
        <f>IF(G1304&lt;&gt;"",VLOOKUP(G1304,precio_barras,9,FALSE),0)</f>
        <v>71.100000000000009</v>
      </c>
      <c r="K1304" s="702">
        <v>0</v>
      </c>
      <c r="L1304" s="703" t="str">
        <f>IF(G1304&lt;&gt;"",IF(VLOOKUP(G1304,base_barras,10,FALSE)&lt;&gt;"",VLOOKUP(G1304,base_barras,10,FALSE),"-"),"-")</f>
        <v>1/1000</v>
      </c>
      <c r="M1304" s="480">
        <f>IF(L1304&lt;&gt;"-",VLOOKUP(L1304,precio_aislador,2,FALSE),0)</f>
        <v>2.7</v>
      </c>
      <c r="N1304" s="704">
        <f>(I1304*J1304*F1304+K1304*M1304)*E1304*1.67*1.25</f>
        <v>0</v>
      </c>
      <c r="O1304" s="288"/>
      <c r="P1304" s="297"/>
      <c r="Q1304" s="288"/>
      <c r="R1304" s="102"/>
      <c r="S1304" s="102"/>
      <c r="T1304" s="102"/>
    </row>
    <row r="1305" spans="1:20" s="102" customFormat="1" ht="12.75" customHeight="1">
      <c r="A1305" s="2644"/>
      <c r="B1305" s="692" t="s">
        <v>2503</v>
      </c>
      <c r="C1305" s="693"/>
      <c r="D1305" s="697">
        <f>IF(H1305&lt;&gt;"",VLOOKUP(G1305,base_barras,IF(H1305="Desnuda",2,5)+F1305-1,FALSE),"-")</f>
        <v>3290</v>
      </c>
      <c r="E1305" s="694">
        <v>4</v>
      </c>
      <c r="F1305" s="655">
        <v>1</v>
      </c>
      <c r="G1305" s="698" t="s">
        <v>584</v>
      </c>
      <c r="H1305" s="655" t="s">
        <v>1043</v>
      </c>
      <c r="I1305" s="398">
        <v>0</v>
      </c>
      <c r="J1305" s="478">
        <f>IF(G1305&lt;&gt;"",VLOOKUP(G1305,precio_barras,9,FALSE),0)</f>
        <v>231.4</v>
      </c>
      <c r="K1305" s="705">
        <v>0</v>
      </c>
      <c r="L1305" s="695" t="str">
        <f>IF(G1305&lt;&gt;"",IF(VLOOKUP(G1305,base_barras,10,FALSE)&lt;&gt;"",VLOOKUP(G1305,base_barras,10,FALSE),"-"),"-")</f>
        <v>1.5/1600</v>
      </c>
      <c r="M1305" s="478">
        <f>IF(L1305&lt;&gt;"-",VLOOKUP(L1305,precio_aislador,2,FALSE),0)</f>
        <v>22</v>
      </c>
      <c r="N1305" s="696">
        <f>(I1305*J1305*F1305+K1305*M1305)*E1305*1.67*1.25</f>
        <v>0</v>
      </c>
      <c r="O1305" s="288"/>
      <c r="P1305" s="297"/>
      <c r="Q1305" s="297"/>
    </row>
    <row r="1306" spans="1:20" s="199" customFormat="1" ht="15.75" customHeight="1" thickBot="1">
      <c r="A1306" s="2640"/>
      <c r="B1306" s="700" t="s">
        <v>2504</v>
      </c>
      <c r="C1306" s="701"/>
      <c r="D1306" s="364">
        <f>IF(H1306&lt;&gt;"",VLOOKUP(G1306,base_barras,IF(H1306="Desnuda",2,5)+F1306-1,FALSE),"-")</f>
        <v>3170</v>
      </c>
      <c r="E1306" s="365">
        <v>4</v>
      </c>
      <c r="F1306" s="366">
        <v>3</v>
      </c>
      <c r="G1306" s="322" t="s">
        <v>582</v>
      </c>
      <c r="H1306" s="366" t="s">
        <v>1043</v>
      </c>
      <c r="I1306" s="367">
        <v>0</v>
      </c>
      <c r="J1306" s="368">
        <f>IF(G1306&lt;&gt;"",VLOOKUP(G1306,precio_barras,9,FALSE),0)</f>
        <v>71.100000000000009</v>
      </c>
      <c r="K1306" s="702">
        <v>0</v>
      </c>
      <c r="L1306" s="703" t="str">
        <f>IF(G1306&lt;&gt;"",IF(VLOOKUP(G1306,base_barras,10,FALSE)&lt;&gt;"",VLOOKUP(G1306,base_barras,10,FALSE),"-"),"-")</f>
        <v>1/1000</v>
      </c>
      <c r="M1306" s="480">
        <f>IF(L1306&lt;&gt;"-",VLOOKUP(L1306,precio_aislador,2,FALSE),0)</f>
        <v>2.7</v>
      </c>
      <c r="N1306" s="704">
        <f>(I1306*J1306*F1306+K1306*M1306)*E1306*1.67*1.25</f>
        <v>0</v>
      </c>
      <c r="O1306" s="288"/>
      <c r="P1306" s="297"/>
      <c r="Q1306" s="288"/>
      <c r="R1306" s="102"/>
      <c r="S1306" s="102"/>
      <c r="T1306" s="102"/>
    </row>
    <row r="1307" spans="1:20" s="102" customFormat="1" ht="13.5" thickBot="1">
      <c r="A1307" s="323"/>
      <c r="B1307" s="323"/>
      <c r="C1307" s="309"/>
      <c r="D1307" s="382"/>
      <c r="E1307" s="323"/>
      <c r="F1307" s="309"/>
      <c r="G1307" s="309"/>
      <c r="H1307" s="323"/>
      <c r="I1307" s="325"/>
      <c r="J1307" s="325"/>
      <c r="K1307" s="323"/>
      <c r="L1307" s="323"/>
      <c r="M1307" s="325"/>
      <c r="N1307" s="706">
        <f>SUM(N1303:N1306)</f>
        <v>0</v>
      </c>
      <c r="O1307" s="288"/>
      <c r="P1307" s="297"/>
      <c r="Q1307" s="297"/>
    </row>
    <row r="1308" spans="1:20" s="102" customFormat="1" ht="8.25" customHeight="1" thickBot="1">
      <c r="A1308" s="323"/>
      <c r="B1308" s="323"/>
      <c r="C1308" s="323"/>
      <c r="D1308" s="382"/>
      <c r="E1308" s="323"/>
      <c r="F1308" s="325"/>
      <c r="G1308" s="325"/>
      <c r="H1308" s="325"/>
      <c r="I1308" s="323"/>
      <c r="J1308" s="323"/>
      <c r="K1308" s="323"/>
      <c r="L1308" s="325"/>
      <c r="M1308" s="323"/>
      <c r="N1308" s="309"/>
      <c r="O1308" s="288"/>
      <c r="P1308" s="297"/>
      <c r="Q1308" s="288"/>
    </row>
    <row r="1309" spans="1:20" s="102" customFormat="1" ht="12.75" customHeight="1">
      <c r="A1309" s="2639" t="s">
        <v>2505</v>
      </c>
      <c r="B1309" s="687" t="s">
        <v>2506</v>
      </c>
      <c r="C1309" s="327"/>
      <c r="D1309" s="328">
        <f>IF(H1309&lt;&gt;"",VLOOKUP(G1309,base_barras,IF(H1309="Desnuda",2,5)+F1309-1,FALSE),"-")</f>
        <v>3290</v>
      </c>
      <c r="E1309" s="329">
        <v>4</v>
      </c>
      <c r="F1309" s="330">
        <v>1</v>
      </c>
      <c r="G1309" s="331" t="s">
        <v>584</v>
      </c>
      <c r="H1309" s="330" t="s">
        <v>1043</v>
      </c>
      <c r="I1309" s="332">
        <v>0</v>
      </c>
      <c r="J1309" s="333">
        <f>IF(G1309&lt;&gt;"",VLOOKUP(G1309,precio_barras,9,FALSE),0)</f>
        <v>231.4</v>
      </c>
      <c r="K1309" s="481">
        <v>0</v>
      </c>
      <c r="L1309" s="343" t="str">
        <f>IF(G1309&lt;&gt;"",IF(VLOOKUP(G1309,base_barras,10,FALSE)&lt;&gt;"",VLOOKUP(G1309,base_barras,10,FALSE),"-"),"-")</f>
        <v>1.5/1600</v>
      </c>
      <c r="M1309" s="333">
        <f>IF(L1309&lt;&gt;"-",VLOOKUP(L1309,precio_aislador,2,FALSE),0)</f>
        <v>22</v>
      </c>
      <c r="N1309" s="360">
        <f>(I1309*J1309*F1309+K1309*M1309)*E1309*1.67*1.25</f>
        <v>0</v>
      </c>
      <c r="O1309" s="288"/>
      <c r="P1309" s="297"/>
      <c r="Q1309" s="297"/>
    </row>
    <row r="1310" spans="1:20" s="102" customFormat="1" ht="13.5" thickBot="1">
      <c r="A1310" s="2644"/>
      <c r="B1310" s="707" t="s">
        <v>2504</v>
      </c>
      <c r="C1310" s="479"/>
      <c r="D1310" s="364">
        <f>IF(H1310&lt;&gt;"",VLOOKUP(G1310,base_barras,IF(H1310="Desnuda",2,5)+F1310-1,FALSE),"-")</f>
        <v>3170</v>
      </c>
      <c r="E1310" s="365">
        <v>4</v>
      </c>
      <c r="F1310" s="366">
        <v>3</v>
      </c>
      <c r="G1310" s="322" t="s">
        <v>582</v>
      </c>
      <c r="H1310" s="366" t="s">
        <v>1043</v>
      </c>
      <c r="I1310" s="367">
        <v>0</v>
      </c>
      <c r="J1310" s="368">
        <f>IF(G1310&lt;&gt;"",VLOOKUP(G1310,precio_barras,9,FALSE),0)</f>
        <v>71.100000000000009</v>
      </c>
      <c r="K1310" s="365">
        <v>0</v>
      </c>
      <c r="L1310" s="369" t="str">
        <f>IF(G1310&lt;&gt;"",IF(VLOOKUP(G1310,base_barras,10,FALSE)&lt;&gt;"",VLOOKUP(G1310,base_barras,10,FALSE),"-"),"-")</f>
        <v>1/1000</v>
      </c>
      <c r="M1310" s="368">
        <f>IF(L1310&lt;&gt;"-",VLOOKUP(L1310,precio_aislador,2,FALSE),0)</f>
        <v>2.7</v>
      </c>
      <c r="N1310" s="370">
        <f>(I1310*J1310*F1310+K1310*M1310)*E1310*1.67*1.25</f>
        <v>0</v>
      </c>
      <c r="O1310" s="288"/>
      <c r="P1310" s="297"/>
      <c r="Q1310" s="297"/>
    </row>
    <row r="1311" spans="1:20" s="102" customFormat="1" ht="12.75" customHeight="1">
      <c r="A1311" s="2644"/>
      <c r="B1311" s="692" t="s">
        <v>2506</v>
      </c>
      <c r="C1311" s="693"/>
      <c r="D1311" s="697">
        <f>IF(H1311&lt;&gt;"",VLOOKUP(G1311,base_barras,IF(H1311="Desnuda",2,5)+F1311-1,FALSE),"-")</f>
        <v>3290</v>
      </c>
      <c r="E1311" s="694">
        <v>4</v>
      </c>
      <c r="F1311" s="655">
        <v>1</v>
      </c>
      <c r="G1311" s="698" t="s">
        <v>584</v>
      </c>
      <c r="H1311" s="655" t="s">
        <v>1043</v>
      </c>
      <c r="I1311" s="398">
        <v>0</v>
      </c>
      <c r="J1311" s="478">
        <f>IF(G1311&lt;&gt;"",VLOOKUP(G1311,precio_barras,9,FALSE),0)</f>
        <v>231.4</v>
      </c>
      <c r="K1311" s="705">
        <v>0</v>
      </c>
      <c r="L1311" s="695" t="str">
        <f>IF(G1311&lt;&gt;"",IF(VLOOKUP(G1311,base_barras,10,FALSE)&lt;&gt;"",VLOOKUP(G1311,base_barras,10,FALSE),"-"),"-")</f>
        <v>1.5/1600</v>
      </c>
      <c r="M1311" s="478">
        <f>IF(L1311&lt;&gt;"-",VLOOKUP(L1311,precio_aislador,2,FALSE),0)</f>
        <v>22</v>
      </c>
      <c r="N1311" s="696">
        <f>(I1311*J1311*F1311+K1311*M1311)*E1311*1.67*1.25</f>
        <v>0</v>
      </c>
      <c r="O1311" s="288"/>
      <c r="P1311" s="297"/>
      <c r="Q1311" s="297"/>
    </row>
    <row r="1312" spans="1:20" s="102" customFormat="1" ht="13.5" thickBot="1">
      <c r="A1312" s="2640"/>
      <c r="B1312" s="700" t="s">
        <v>2504</v>
      </c>
      <c r="C1312" s="701"/>
      <c r="D1312" s="708">
        <f>IF(H1312&lt;&gt;"",VLOOKUP(G1312,base_barras,IF(H1312="Desnuda",2,5)+F1312-1,FALSE),"-")</f>
        <v>3170</v>
      </c>
      <c r="E1312" s="702">
        <v>4</v>
      </c>
      <c r="F1312" s="709">
        <v>3</v>
      </c>
      <c r="G1312" s="710" t="s">
        <v>582</v>
      </c>
      <c r="H1312" s="709" t="s">
        <v>1043</v>
      </c>
      <c r="I1312" s="711">
        <v>0</v>
      </c>
      <c r="J1312" s="480">
        <f>IF(G1312&lt;&gt;"",VLOOKUP(G1312,precio_barras,9,FALSE),0)</f>
        <v>71.100000000000009</v>
      </c>
      <c r="K1312" s="702">
        <v>0</v>
      </c>
      <c r="L1312" s="703" t="str">
        <f>IF(G1312&lt;&gt;"",IF(VLOOKUP(G1312,base_barras,10,FALSE)&lt;&gt;"",VLOOKUP(G1312,base_barras,10,FALSE),"-"),"-")</f>
        <v>1/1000</v>
      </c>
      <c r="M1312" s="480">
        <f>IF(L1312&lt;&gt;"-",VLOOKUP(L1312,precio_aislador,2,FALSE),0)</f>
        <v>2.7</v>
      </c>
      <c r="N1312" s="704">
        <f>(I1312*J1312*F1312+K1312*M1312)*E1312*1.67*1.25</f>
        <v>0</v>
      </c>
      <c r="O1312" s="288"/>
      <c r="P1312" s="297"/>
      <c r="Q1312" s="297"/>
    </row>
    <row r="1313" spans="1:20" s="102" customFormat="1" ht="13.5" thickBot="1">
      <c r="A1313" s="323"/>
      <c r="B1313" s="323"/>
      <c r="C1313" s="309"/>
      <c r="D1313" s="382"/>
      <c r="E1313" s="323"/>
      <c r="F1313" s="309"/>
      <c r="G1313" s="309"/>
      <c r="H1313" s="323"/>
      <c r="I1313" s="325"/>
      <c r="J1313" s="325"/>
      <c r="K1313" s="323"/>
      <c r="L1313" s="323"/>
      <c r="M1313" s="325"/>
      <c r="N1313" s="706">
        <f>SUM(N1309:N1312)</f>
        <v>0</v>
      </c>
      <c r="O1313" s="288"/>
      <c r="P1313" s="297"/>
      <c r="Q1313" s="297"/>
    </row>
    <row r="1314" spans="1:20" s="102" customFormat="1" ht="8.25" customHeight="1" thickBot="1">
      <c r="A1314" s="323"/>
      <c r="B1314" s="323"/>
      <c r="C1314" s="323"/>
      <c r="D1314" s="382"/>
      <c r="E1314" s="323"/>
      <c r="F1314" s="325"/>
      <c r="G1314" s="325"/>
      <c r="H1314" s="325"/>
      <c r="I1314" s="323"/>
      <c r="J1314" s="323"/>
      <c r="K1314" s="323"/>
      <c r="L1314" s="325"/>
      <c r="M1314" s="323"/>
      <c r="N1314" s="309"/>
      <c r="O1314" s="288"/>
      <c r="P1314" s="297"/>
      <c r="Q1314" s="288"/>
    </row>
    <row r="1315" spans="1:20" s="102" customFormat="1">
      <c r="A1315" s="2629" t="s">
        <v>1228</v>
      </c>
      <c r="B1315" s="687" t="s">
        <v>2507</v>
      </c>
      <c r="C1315" s="327"/>
      <c r="D1315" s="328">
        <f>IF(H1315&lt;&gt;"",VLOOKUP(G1315,base_barras,IF(H1315="Desnuda",2,5)+F1315-1,FALSE),"-")</f>
        <v>1500</v>
      </c>
      <c r="E1315" s="481">
        <v>3</v>
      </c>
      <c r="F1315" s="330">
        <v>1</v>
      </c>
      <c r="G1315" s="331" t="s">
        <v>582</v>
      </c>
      <c r="H1315" s="330" t="s">
        <v>1043</v>
      </c>
      <c r="I1315" s="332">
        <f>0.2</f>
        <v>0.2</v>
      </c>
      <c r="J1315" s="333">
        <f>IF(G1315&lt;&gt;"",VLOOKUP(G1315,precio_barras,9,FALSE),0)</f>
        <v>71.100000000000009</v>
      </c>
      <c r="K1315" s="329">
        <v>0</v>
      </c>
      <c r="L1315" s="343" t="str">
        <f>IF(G1315&lt;&gt;"",IF(VLOOKUP(G1315,base_barras,10,FALSE)&lt;&gt;"",VLOOKUP(G1315,base_barras,10,FALSE),"-"),"-")</f>
        <v>1/1000</v>
      </c>
      <c r="M1315" s="333">
        <f>IF(L1315&lt;&gt;"-",VLOOKUP(L1315,precio_aislador,2,FALSE),0)</f>
        <v>2.7</v>
      </c>
      <c r="N1315" s="360">
        <f>(I1315*J1315*F1315+K1315*M1315)*E1315*1.67*1.25</f>
        <v>89.052750000000017</v>
      </c>
      <c r="O1315" s="288"/>
      <c r="P1315" s="297"/>
      <c r="Q1315" s="297"/>
    </row>
    <row r="1316" spans="1:20" s="102" customFormat="1" ht="13.5" thickBot="1">
      <c r="A1316" s="2635"/>
      <c r="B1316" s="707"/>
      <c r="C1316" s="479"/>
      <c r="D1316" s="364" t="str">
        <f>IF(H1316&lt;&gt;"",VLOOKUP(G1316,base_barras,IF(H1316="Desnuda",2,5)+F1316-1,FALSE),"-")</f>
        <v>-</v>
      </c>
      <c r="E1316" s="365"/>
      <c r="F1316" s="366"/>
      <c r="G1316" s="322"/>
      <c r="H1316" s="366"/>
      <c r="I1316" s="367"/>
      <c r="J1316" s="480">
        <f>IF(G1316&lt;&gt;"",VLOOKUP(G1316,precio_barras,9,FALSE),0)</f>
        <v>0</v>
      </c>
      <c r="K1316" s="365"/>
      <c r="L1316" s="369" t="str">
        <f>IF(G1316&lt;&gt;"",IF(VLOOKUP(G1316,base_barras,10,FALSE)&lt;&gt;"",VLOOKUP(G1316,base_barras,10,FALSE),"-"),"-")</f>
        <v>-</v>
      </c>
      <c r="M1316" s="368">
        <f>IF(L1316&lt;&gt;"-",VLOOKUP(L1316,precio_aislador,2,FALSE),0)</f>
        <v>0</v>
      </c>
      <c r="N1316" s="370">
        <f>(I1316*J1316*F1316+K1316*M1316)*E1316*1.67*1.25</f>
        <v>0</v>
      </c>
      <c r="O1316" s="288"/>
      <c r="P1316" s="297"/>
      <c r="Q1316" s="297"/>
    </row>
    <row r="1317" spans="1:20" s="102" customFormat="1" ht="13.5" thickBot="1">
      <c r="A1317" s="323"/>
      <c r="B1317" s="323"/>
      <c r="C1317" s="309"/>
      <c r="D1317" s="382"/>
      <c r="E1317" s="323"/>
      <c r="F1317" s="309"/>
      <c r="G1317" s="309"/>
      <c r="H1317" s="323"/>
      <c r="I1317" s="325"/>
      <c r="J1317" s="325"/>
      <c r="K1317" s="323"/>
      <c r="L1317" s="323"/>
      <c r="M1317" s="325"/>
      <c r="N1317" s="706">
        <f>SUM(N1315:N1316)</f>
        <v>89.052750000000017</v>
      </c>
      <c r="O1317" s="288"/>
      <c r="P1317" s="297"/>
      <c r="Q1317" s="297"/>
    </row>
    <row r="1318" spans="1:20" s="102" customFormat="1" ht="8.25" customHeight="1" thickBot="1">
      <c r="A1318" s="323"/>
      <c r="B1318" s="323"/>
      <c r="C1318" s="323"/>
      <c r="D1318" s="382"/>
      <c r="E1318" s="323"/>
      <c r="F1318" s="325"/>
      <c r="G1318" s="325"/>
      <c r="H1318" s="325"/>
      <c r="I1318" s="323"/>
      <c r="J1318" s="323"/>
      <c r="K1318" s="323"/>
      <c r="L1318" s="325"/>
      <c r="M1318" s="323"/>
      <c r="N1318" s="309"/>
      <c r="O1318" s="288"/>
      <c r="P1318" s="297"/>
      <c r="Q1318" s="288"/>
    </row>
    <row r="1319" spans="1:20" s="102" customFormat="1">
      <c r="A1319" s="2639" t="s">
        <v>2508</v>
      </c>
      <c r="B1319" s="687" t="s">
        <v>2504</v>
      </c>
      <c r="C1319" s="327"/>
      <c r="D1319" s="328">
        <f>IF(H1319&lt;&gt;"",VLOOKUP(G1319,base_barras,IF(H1319="Desnuda",2,5)+F1319-1,FALSE),"-")</f>
        <v>3170</v>
      </c>
      <c r="E1319" s="329">
        <v>4</v>
      </c>
      <c r="F1319" s="330">
        <v>3</v>
      </c>
      <c r="G1319" s="331" t="s">
        <v>582</v>
      </c>
      <c r="H1319" s="330" t="s">
        <v>1043</v>
      </c>
      <c r="I1319" s="332">
        <v>0</v>
      </c>
      <c r="J1319" s="333">
        <f>IF(G1319&lt;&gt;"",VLOOKUP(G1319,precio_barras,9,FALSE),0)</f>
        <v>71.100000000000009</v>
      </c>
      <c r="K1319" s="329">
        <v>0</v>
      </c>
      <c r="L1319" s="343" t="str">
        <f>IF(G1319&lt;&gt;"",IF(VLOOKUP(G1319,base_barras,10,FALSE)&lt;&gt;"",VLOOKUP(G1319,base_barras,10,FALSE),"-"),"-")</f>
        <v>1/1000</v>
      </c>
      <c r="M1319" s="333">
        <f>IF(L1319&lt;&gt;"-",VLOOKUP(L1319,precio_aislador,2,FALSE),0)</f>
        <v>2.7</v>
      </c>
      <c r="N1319" s="360">
        <f>(I1319*J1319*F1319+K1319*M1319)*E1319*1.67*1.25</f>
        <v>0</v>
      </c>
      <c r="O1319" s="288"/>
      <c r="P1319" s="297"/>
      <c r="Q1319" s="297"/>
    </row>
    <row r="1320" spans="1:20" s="199" customFormat="1" ht="15.75" customHeight="1">
      <c r="A1320" s="2646"/>
      <c r="B1320" s="692" t="s">
        <v>2498</v>
      </c>
      <c r="C1320" s="693"/>
      <c r="D1320" s="697">
        <f>IF(H1320&lt;&gt;"",VLOOKUP(G1320,base_barras,IF(H1320="Desnuda",2,5)+F1320-1,FALSE),"-")</f>
        <v>2850</v>
      </c>
      <c r="E1320" s="694">
        <v>4</v>
      </c>
      <c r="F1320" s="655">
        <v>2</v>
      </c>
      <c r="G1320" s="698" t="s">
        <v>468</v>
      </c>
      <c r="H1320" s="655" t="s">
        <v>1043</v>
      </c>
      <c r="I1320" s="398">
        <v>0</v>
      </c>
      <c r="J1320" s="478">
        <f>IF(G1320&lt;&gt;"",VLOOKUP(G1320,precio_barras,9,FALSE),0)</f>
        <v>88.9</v>
      </c>
      <c r="K1320" s="694">
        <v>0</v>
      </c>
      <c r="L1320" s="695" t="str">
        <f>IF(G1320&lt;&gt;"",IF(VLOOKUP(G1320,base_barras,10,FALSE)&lt;&gt;"",VLOOKUP(G1320,base_barras,10,FALSE),"-"),"-")</f>
        <v>1.5/1250</v>
      </c>
      <c r="M1320" s="478">
        <f>IF(L1320&lt;&gt;"-",VLOOKUP(L1320,precio_aislador,2,FALSE),0)</f>
        <v>5.5</v>
      </c>
      <c r="N1320" s="696">
        <f>(I1320*J1320*F1320+K1320*M1320)*E1320*1.67*1.25</f>
        <v>0</v>
      </c>
      <c r="O1320" s="288"/>
      <c r="P1320" s="297"/>
      <c r="Q1320" s="288"/>
      <c r="R1320" s="102"/>
      <c r="S1320" s="102"/>
      <c r="T1320" s="102"/>
    </row>
    <row r="1321" spans="1:20" s="199" customFormat="1" ht="15.75" customHeight="1" thickBot="1">
      <c r="A1321" s="2646"/>
      <c r="B1321" s="707" t="s">
        <v>2498</v>
      </c>
      <c r="C1321" s="479"/>
      <c r="D1321" s="364">
        <f>IF(H1321&lt;&gt;"",VLOOKUP(G1321,base_barras,IF(H1321="Desnuda",2,5)+F1321-1,FALSE),"-")</f>
        <v>2850</v>
      </c>
      <c r="E1321" s="365">
        <v>4</v>
      </c>
      <c r="F1321" s="366">
        <v>2</v>
      </c>
      <c r="G1321" s="322" t="s">
        <v>468</v>
      </c>
      <c r="H1321" s="366" t="s">
        <v>1043</v>
      </c>
      <c r="I1321" s="367">
        <v>0</v>
      </c>
      <c r="J1321" s="368">
        <f>IF(G1321&lt;&gt;"",VLOOKUP(G1321,precio_barras,9,FALSE),0)</f>
        <v>88.9</v>
      </c>
      <c r="K1321" s="365">
        <v>0</v>
      </c>
      <c r="L1321" s="369" t="str">
        <f>IF(G1321&lt;&gt;"",IF(VLOOKUP(G1321,base_barras,10,FALSE)&lt;&gt;"",VLOOKUP(G1321,base_barras,10,FALSE),"-"),"-")</f>
        <v>1.5/1250</v>
      </c>
      <c r="M1321" s="368">
        <f>IF(L1321&lt;&gt;"-",VLOOKUP(L1321,precio_aislador,2,FALSE),0)</f>
        <v>5.5</v>
      </c>
      <c r="N1321" s="370">
        <f>(I1321*J1321*F1321+K1321*M1321)*E1321*1.67*1.25</f>
        <v>0</v>
      </c>
      <c r="O1321" s="288"/>
      <c r="P1321" s="297"/>
      <c r="Q1321" s="288"/>
      <c r="R1321" s="102"/>
      <c r="S1321" s="102"/>
      <c r="T1321" s="102"/>
    </row>
    <row r="1322" spans="1:20" s="102" customFormat="1">
      <c r="A1322" s="2646"/>
      <c r="B1322" s="692" t="s">
        <v>2504</v>
      </c>
      <c r="C1322" s="693"/>
      <c r="D1322" s="697">
        <f>IF(H1322&lt;&gt;"",VLOOKUP(G1322,base_barras,IF(H1322="Desnuda",2,5)+F1322-1,FALSE),"-")</f>
        <v>3170</v>
      </c>
      <c r="E1322" s="694">
        <v>4</v>
      </c>
      <c r="F1322" s="655">
        <v>3</v>
      </c>
      <c r="G1322" s="698" t="s">
        <v>582</v>
      </c>
      <c r="H1322" s="655" t="s">
        <v>1043</v>
      </c>
      <c r="I1322" s="398">
        <v>0</v>
      </c>
      <c r="J1322" s="478">
        <f>IF(G1322&lt;&gt;"",VLOOKUP(G1322,precio_barras,9,FALSE),0)</f>
        <v>71.100000000000009</v>
      </c>
      <c r="K1322" s="694">
        <v>0</v>
      </c>
      <c r="L1322" s="695" t="str">
        <f>IF(G1322&lt;&gt;"",IF(VLOOKUP(G1322,base_barras,10,FALSE)&lt;&gt;"",VLOOKUP(G1322,base_barras,10,FALSE),"-"),"-")</f>
        <v>1/1000</v>
      </c>
      <c r="M1322" s="478">
        <f>IF(L1322&lt;&gt;"-",VLOOKUP(L1322,precio_aislador,2,FALSE),0)</f>
        <v>2.7</v>
      </c>
      <c r="N1322" s="696">
        <f>(I1322*J1322*F1322+K1322*M1322)*E1322*1.67*1.25</f>
        <v>0</v>
      </c>
      <c r="O1322" s="288"/>
      <c r="P1322" s="297"/>
      <c r="Q1322" s="297"/>
    </row>
    <row r="1323" spans="1:20" s="199" customFormat="1" ht="15.75" customHeight="1" thickBot="1">
      <c r="A1323" s="2647"/>
      <c r="B1323" s="700" t="s">
        <v>2498</v>
      </c>
      <c r="C1323" s="701"/>
      <c r="D1323" s="708">
        <f>IF(H1323&lt;&gt;"",VLOOKUP(G1323,base_barras,IF(H1323="Desnuda",2,5)+F1323-1,FALSE),"-")</f>
        <v>2850</v>
      </c>
      <c r="E1323" s="702">
        <v>4</v>
      </c>
      <c r="F1323" s="709">
        <v>2</v>
      </c>
      <c r="G1323" s="710" t="s">
        <v>468</v>
      </c>
      <c r="H1323" s="709" t="s">
        <v>1043</v>
      </c>
      <c r="I1323" s="711">
        <v>0</v>
      </c>
      <c r="J1323" s="480">
        <f>IF(G1323&lt;&gt;"",VLOOKUP(G1323,precio_barras,9,FALSE),0)</f>
        <v>88.9</v>
      </c>
      <c r="K1323" s="702">
        <v>0</v>
      </c>
      <c r="L1323" s="703" t="str">
        <f>IF(G1323&lt;&gt;"",IF(VLOOKUP(G1323,base_barras,10,FALSE)&lt;&gt;"",VLOOKUP(G1323,base_barras,10,FALSE),"-"),"-")</f>
        <v>1.5/1250</v>
      </c>
      <c r="M1323" s="480">
        <f>IF(L1323&lt;&gt;"-",VLOOKUP(L1323,precio_aislador,2,FALSE),0)</f>
        <v>5.5</v>
      </c>
      <c r="N1323" s="704">
        <f>(I1323*J1323*F1323+K1323*M1323)*E1323*1.67*1.25</f>
        <v>0</v>
      </c>
      <c r="O1323" s="288"/>
      <c r="P1323" s="297"/>
      <c r="Q1323" s="288"/>
      <c r="R1323" s="102"/>
      <c r="S1323" s="102"/>
      <c r="T1323" s="102"/>
    </row>
    <row r="1324" spans="1:20" s="102" customFormat="1" ht="13.5" thickBot="1">
      <c r="A1324" s="323"/>
      <c r="B1324" s="323"/>
      <c r="C1324" s="309"/>
      <c r="D1324" s="382"/>
      <c r="E1324" s="323"/>
      <c r="F1324" s="309"/>
      <c r="G1324" s="309"/>
      <c r="H1324" s="323"/>
      <c r="I1324" s="325"/>
      <c r="J1324" s="325"/>
      <c r="K1324" s="323"/>
      <c r="L1324" s="323"/>
      <c r="M1324" s="325"/>
      <c r="N1324" s="706">
        <f>SUM(N1319:N1323)</f>
        <v>0</v>
      </c>
      <c r="O1324" s="288"/>
      <c r="P1324" s="297"/>
      <c r="Q1324" s="297"/>
    </row>
    <row r="1325" spans="1:20" s="102" customFormat="1" ht="8.25" customHeight="1" thickBot="1">
      <c r="A1325" s="323"/>
      <c r="B1325" s="323"/>
      <c r="C1325" s="323"/>
      <c r="D1325" s="382"/>
      <c r="E1325" s="323"/>
      <c r="F1325" s="325"/>
      <c r="G1325" s="325"/>
      <c r="H1325" s="325"/>
      <c r="I1325" s="323"/>
      <c r="J1325" s="323"/>
      <c r="K1325" s="323"/>
      <c r="L1325" s="325"/>
      <c r="M1325" s="323"/>
      <c r="N1325" s="309"/>
      <c r="O1325" s="288"/>
      <c r="P1325" s="297"/>
      <c r="Q1325" s="288"/>
    </row>
    <row r="1326" spans="1:20" s="102" customFormat="1">
      <c r="A1326" s="2629" t="s">
        <v>1034</v>
      </c>
      <c r="B1326" s="687" t="s">
        <v>2504</v>
      </c>
      <c r="C1326" s="327"/>
      <c r="D1326" s="328">
        <f>IF(H1326&lt;&gt;"",VLOOKUP(G1326,base_barras,IF(H1326="Desnuda",2,5)+F1326-1,FALSE),"-")</f>
        <v>3170</v>
      </c>
      <c r="E1326" s="329">
        <v>4</v>
      </c>
      <c r="F1326" s="330">
        <v>3</v>
      </c>
      <c r="G1326" s="331" t="s">
        <v>582</v>
      </c>
      <c r="H1326" s="330" t="s">
        <v>1043</v>
      </c>
      <c r="I1326" s="332">
        <v>0</v>
      </c>
      <c r="J1326" s="333">
        <f>IF(G1326&lt;&gt;"",VLOOKUP(G1326,precio_barras,9,FALSE),0)</f>
        <v>71.100000000000009</v>
      </c>
      <c r="K1326" s="329">
        <v>0</v>
      </c>
      <c r="L1326" s="343" t="str">
        <f>IF(G1326&lt;&gt;"",IF(VLOOKUP(G1326,base_barras,10,FALSE)&lt;&gt;"",VLOOKUP(G1326,base_barras,10,FALSE),"-"),"-")</f>
        <v>1/1000</v>
      </c>
      <c r="M1326" s="333">
        <f>IF(L1326&lt;&gt;"-",VLOOKUP(L1326,precio_aislador,2,FALSE),0)</f>
        <v>2.7</v>
      </c>
      <c r="N1326" s="360">
        <f>(I1326*J1326*F1326+K1326*M1326)*E1326*1.67*1.25</f>
        <v>0</v>
      </c>
      <c r="O1326" s="288"/>
      <c r="P1326" s="297"/>
      <c r="Q1326" s="297"/>
    </row>
    <row r="1327" spans="1:20" s="102" customFormat="1" ht="13.5" thickBot="1">
      <c r="A1327" s="2635"/>
      <c r="B1327" s="700" t="s">
        <v>2504</v>
      </c>
      <c r="C1327" s="701"/>
      <c r="D1327" s="708">
        <f>IF(H1327&lt;&gt;"",VLOOKUP(G1327,base_barras,IF(H1327="Desnuda",2,5)+F1327-1,FALSE),"-")</f>
        <v>3170</v>
      </c>
      <c r="E1327" s="702">
        <v>4</v>
      </c>
      <c r="F1327" s="709">
        <v>3</v>
      </c>
      <c r="G1327" s="710" t="s">
        <v>582</v>
      </c>
      <c r="H1327" s="709" t="s">
        <v>1043</v>
      </c>
      <c r="I1327" s="711">
        <v>0</v>
      </c>
      <c r="J1327" s="480">
        <f>IF(G1327&lt;&gt;"",VLOOKUP(G1327,precio_barras,9,FALSE),0)</f>
        <v>71.100000000000009</v>
      </c>
      <c r="K1327" s="702">
        <v>0</v>
      </c>
      <c r="L1327" s="703" t="str">
        <f>IF(G1327&lt;&gt;"",IF(VLOOKUP(G1327,base_barras,10,FALSE)&lt;&gt;"",VLOOKUP(G1327,base_barras,10,FALSE),"-"),"-")</f>
        <v>1/1000</v>
      </c>
      <c r="M1327" s="480">
        <f>IF(L1327&lt;&gt;"-",VLOOKUP(L1327,precio_aislador,2,FALSE),0)</f>
        <v>2.7</v>
      </c>
      <c r="N1327" s="704">
        <f>(I1327*J1327*F1327+K1327*M1327)*E1327*1.67*1.25</f>
        <v>0</v>
      </c>
      <c r="O1327" s="288"/>
      <c r="P1327" s="297"/>
      <c r="Q1327" s="297"/>
    </row>
    <row r="1328" spans="1:20" s="102" customFormat="1" ht="13.5" thickBot="1">
      <c r="A1328" s="323"/>
      <c r="B1328" s="323"/>
      <c r="C1328" s="309"/>
      <c r="D1328" s="382"/>
      <c r="E1328" s="323"/>
      <c r="F1328" s="309"/>
      <c r="G1328" s="309"/>
      <c r="H1328" s="323"/>
      <c r="I1328" s="325"/>
      <c r="J1328" s="325"/>
      <c r="K1328" s="323"/>
      <c r="L1328" s="323"/>
      <c r="M1328" s="325"/>
      <c r="N1328" s="706">
        <f>SUM(N1326:N1327)</f>
        <v>0</v>
      </c>
      <c r="O1328" s="288"/>
      <c r="P1328" s="297"/>
      <c r="Q1328" s="297"/>
    </row>
    <row r="1329" spans="1:20" s="102" customFormat="1">
      <c r="A1329" s="323"/>
      <c r="B1329" s="309"/>
      <c r="C1329" s="309"/>
      <c r="D1329" s="382"/>
      <c r="E1329" s="323"/>
      <c r="F1329" s="309"/>
      <c r="G1329" s="309"/>
      <c r="H1329" s="323"/>
      <c r="I1329" s="325"/>
      <c r="J1329" s="325"/>
      <c r="K1329" s="323"/>
      <c r="L1329" s="323"/>
      <c r="M1329" s="325"/>
      <c r="N1329" s="722"/>
      <c r="O1329" s="288"/>
      <c r="P1329" s="297"/>
      <c r="Q1329" s="297"/>
    </row>
    <row r="1330" spans="1:20" s="102" customFormat="1">
      <c r="A1330" s="323"/>
      <c r="B1330" s="309"/>
      <c r="C1330" s="309"/>
      <c r="D1330" s="382"/>
      <c r="E1330" s="323"/>
      <c r="F1330" s="309"/>
      <c r="G1330" s="309"/>
      <c r="H1330" s="323"/>
      <c r="I1330" s="325"/>
      <c r="J1330" s="325"/>
      <c r="K1330" s="323"/>
      <c r="L1330" s="323"/>
      <c r="M1330" s="325"/>
      <c r="N1330" s="722"/>
      <c r="O1330" s="288"/>
      <c r="P1330" s="297"/>
      <c r="Q1330" s="297"/>
    </row>
    <row r="1331" spans="1:20" s="102" customFormat="1" ht="15">
      <c r="A1331" s="323"/>
      <c r="B1331" s="723" t="s">
        <v>2513</v>
      </c>
      <c r="C1331" s="309"/>
      <c r="D1331" s="382"/>
      <c r="E1331" s="323"/>
      <c r="F1331" s="309"/>
      <c r="G1331" s="309"/>
      <c r="H1331" s="323"/>
      <c r="I1331" s="325"/>
      <c r="J1331" s="325"/>
      <c r="K1331" s="323"/>
      <c r="L1331" s="323"/>
      <c r="M1331" s="325"/>
      <c r="N1331" s="722"/>
      <c r="O1331" s="288"/>
      <c r="P1331" s="297"/>
      <c r="Q1331" s="297"/>
    </row>
    <row r="1332" spans="1:20" s="106" customFormat="1" ht="29.25" customHeight="1">
      <c r="B1332" s="724"/>
    </row>
    <row r="1333" spans="1:20" s="106" customFormat="1" ht="13.5" thickBot="1"/>
    <row r="1334" spans="1:20" s="199" customFormat="1" ht="15.75" customHeight="1">
      <c r="A1334" s="2641" t="s">
        <v>2526</v>
      </c>
      <c r="B1334" s="687" t="s">
        <v>2507</v>
      </c>
      <c r="C1334" s="327"/>
      <c r="D1334" s="328">
        <f t="shared" ref="D1334:D1339" si="637">IF(H1334&lt;&gt;"",VLOOKUP(G1334,base_barras,IF(H1334="Desnuda",2,5)+F1334-1,FALSE),"-")</f>
        <v>1180</v>
      </c>
      <c r="E1334" s="329">
        <v>3</v>
      </c>
      <c r="F1334" s="330">
        <v>1</v>
      </c>
      <c r="G1334" s="331" t="s">
        <v>581</v>
      </c>
      <c r="H1334" s="330" t="s">
        <v>1043</v>
      </c>
      <c r="I1334" s="332">
        <v>0.8</v>
      </c>
      <c r="J1334" s="333">
        <f t="shared" ref="J1334:J1339" si="638">IF(G1334&lt;&gt;"",VLOOKUP(G1334,precio_barras,9,FALSE),0)</f>
        <v>53.3</v>
      </c>
      <c r="K1334" s="329">
        <v>2</v>
      </c>
      <c r="L1334" s="343" t="str">
        <f t="shared" ref="L1334:L1339" si="639">IF(G1334&lt;&gt;"",IF(VLOOKUP(G1334,base_barras,10,FALSE)&lt;&gt;"",VLOOKUP(G1334,base_barras,10,FALSE),"-"),"-")</f>
        <v>1/750</v>
      </c>
      <c r="M1334" s="333">
        <f t="shared" ref="M1334:M1339" si="640">IF(L1334&lt;&gt;"-",VLOOKUP(L1334,precio_aislador,2,FALSE),0)</f>
        <v>1.9</v>
      </c>
      <c r="N1334" s="360">
        <f t="shared" ref="N1334:N1339" si="641">(I1334*J1334*F1334+K1334*M1334)*E1334*1.67*1.25</f>
        <v>290.83049999999997</v>
      </c>
      <c r="O1334" s="288"/>
      <c r="P1334" s="297"/>
      <c r="Q1334" s="288"/>
      <c r="R1334" s="102"/>
      <c r="S1334" s="102"/>
      <c r="T1334" s="102"/>
    </row>
    <row r="1335" spans="1:20" s="199" customFormat="1" ht="14.25">
      <c r="A1335" s="2642"/>
      <c r="B1335" s="688" t="s">
        <v>802</v>
      </c>
      <c r="C1335" s="319"/>
      <c r="D1335" s="312">
        <f t="shared" si="637"/>
        <v>676</v>
      </c>
      <c r="E1335" s="313">
        <v>1</v>
      </c>
      <c r="F1335" s="314">
        <v>1</v>
      </c>
      <c r="G1335" s="315" t="s">
        <v>314</v>
      </c>
      <c r="H1335" s="689" t="str">
        <f>H1334</f>
        <v>Pintada</v>
      </c>
      <c r="I1335" s="690">
        <f>I1334</f>
        <v>0.8</v>
      </c>
      <c r="J1335" s="317">
        <f t="shared" si="638"/>
        <v>26.6</v>
      </c>
      <c r="K1335" s="691">
        <v>0</v>
      </c>
      <c r="L1335" s="318" t="str">
        <f t="shared" si="639"/>
        <v>1/750</v>
      </c>
      <c r="M1335" s="317">
        <f t="shared" si="640"/>
        <v>1.9</v>
      </c>
      <c r="N1335" s="308">
        <f t="shared" si="641"/>
        <v>44.421999999999997</v>
      </c>
      <c r="O1335" s="288"/>
      <c r="P1335" s="297"/>
      <c r="Q1335" s="288"/>
      <c r="R1335" s="102"/>
      <c r="S1335" s="102"/>
      <c r="T1335" s="102"/>
    </row>
    <row r="1336" spans="1:20" s="199" customFormat="1" ht="15.75" customHeight="1">
      <c r="A1336" s="2642"/>
      <c r="B1336" s="692" t="s">
        <v>2527</v>
      </c>
      <c r="C1336" s="693"/>
      <c r="D1336" s="312">
        <f t="shared" si="637"/>
        <v>1180</v>
      </c>
      <c r="E1336" s="313">
        <v>3</v>
      </c>
      <c r="F1336" s="314">
        <v>1</v>
      </c>
      <c r="G1336" s="315" t="s">
        <v>581</v>
      </c>
      <c r="H1336" s="314" t="s">
        <v>1043</v>
      </c>
      <c r="I1336" s="316">
        <v>0.61</v>
      </c>
      <c r="J1336" s="317">
        <f t="shared" si="638"/>
        <v>53.3</v>
      </c>
      <c r="K1336" s="694">
        <v>0</v>
      </c>
      <c r="L1336" s="695" t="str">
        <f t="shared" si="639"/>
        <v>1/750</v>
      </c>
      <c r="M1336" s="478">
        <f t="shared" si="640"/>
        <v>1.9</v>
      </c>
      <c r="N1336" s="696">
        <f t="shared" si="641"/>
        <v>203.61266249999997</v>
      </c>
      <c r="O1336" s="288"/>
      <c r="P1336" s="297"/>
      <c r="Q1336" s="288"/>
      <c r="R1336" s="102"/>
      <c r="S1336" s="102"/>
      <c r="T1336" s="102"/>
    </row>
    <row r="1337" spans="1:20" s="199" customFormat="1" ht="15.75" customHeight="1">
      <c r="A1337" s="2642"/>
      <c r="B1337" s="692" t="s">
        <v>2527</v>
      </c>
      <c r="C1337" s="693"/>
      <c r="D1337" s="312">
        <f t="shared" si="637"/>
        <v>1180</v>
      </c>
      <c r="E1337" s="313">
        <v>3</v>
      </c>
      <c r="F1337" s="314">
        <v>1</v>
      </c>
      <c r="G1337" s="315" t="s">
        <v>581</v>
      </c>
      <c r="H1337" s="314" t="s">
        <v>1043</v>
      </c>
      <c r="I1337" s="316">
        <v>0.61</v>
      </c>
      <c r="J1337" s="317">
        <f>IF(G1337&lt;&gt;"",VLOOKUP(G1337,precio_barras,9,FALSE),0)</f>
        <v>53.3</v>
      </c>
      <c r="K1337" s="694">
        <v>0</v>
      </c>
      <c r="L1337" s="695" t="str">
        <f t="shared" si="639"/>
        <v>1/750</v>
      </c>
      <c r="M1337" s="478">
        <f t="shared" si="640"/>
        <v>1.9</v>
      </c>
      <c r="N1337" s="696">
        <f t="shared" si="641"/>
        <v>203.61266249999997</v>
      </c>
      <c r="O1337" s="288"/>
      <c r="P1337" s="297"/>
      <c r="Q1337" s="288"/>
      <c r="R1337" s="102"/>
      <c r="S1337" s="102"/>
      <c r="T1337" s="102"/>
    </row>
    <row r="1338" spans="1:20" s="199" customFormat="1" ht="15.75" customHeight="1">
      <c r="A1338" s="2642"/>
      <c r="B1338" s="692" t="s">
        <v>2528</v>
      </c>
      <c r="C1338" s="693"/>
      <c r="D1338" s="312">
        <f t="shared" si="637"/>
        <v>1470</v>
      </c>
      <c r="E1338" s="313">
        <v>3</v>
      </c>
      <c r="F1338" s="314">
        <v>2</v>
      </c>
      <c r="G1338" s="315" t="s">
        <v>469</v>
      </c>
      <c r="H1338" s="314" t="s">
        <v>1043</v>
      </c>
      <c r="I1338" s="316">
        <v>0.61</v>
      </c>
      <c r="J1338" s="317">
        <f>IF(G1338&lt;&gt;"",VLOOKUP(G1338,precio_barras,9,FALSE),0)</f>
        <v>35.6</v>
      </c>
      <c r="K1338" s="694">
        <v>0</v>
      </c>
      <c r="L1338" s="695" t="str">
        <f t="shared" si="639"/>
        <v>1/750</v>
      </c>
      <c r="M1338" s="478">
        <f t="shared" si="640"/>
        <v>1.9</v>
      </c>
      <c r="N1338" s="696">
        <f t="shared" si="641"/>
        <v>271.99289999999996</v>
      </c>
      <c r="O1338" s="288"/>
      <c r="P1338" s="297"/>
      <c r="Q1338" s="288"/>
      <c r="R1338" s="102"/>
      <c r="S1338" s="102"/>
      <c r="T1338" s="102"/>
    </row>
    <row r="1339" spans="1:20" s="199" customFormat="1" ht="15.75" customHeight="1" thickBot="1">
      <c r="A1339" s="2642"/>
      <c r="B1339" s="692" t="s">
        <v>2529</v>
      </c>
      <c r="C1339" s="693"/>
      <c r="D1339" s="312">
        <f t="shared" si="637"/>
        <v>1470</v>
      </c>
      <c r="E1339" s="313">
        <v>3</v>
      </c>
      <c r="F1339" s="314">
        <v>2</v>
      </c>
      <c r="G1339" s="315" t="s">
        <v>469</v>
      </c>
      <c r="H1339" s="314" t="s">
        <v>1043</v>
      </c>
      <c r="I1339" s="316">
        <v>0.8</v>
      </c>
      <c r="J1339" s="317">
        <f t="shared" si="638"/>
        <v>35.6</v>
      </c>
      <c r="K1339" s="694">
        <v>0</v>
      </c>
      <c r="L1339" s="695" t="str">
        <f t="shared" si="639"/>
        <v>1/750</v>
      </c>
      <c r="M1339" s="478">
        <f t="shared" si="640"/>
        <v>1.9</v>
      </c>
      <c r="N1339" s="696">
        <f t="shared" si="641"/>
        <v>356.71200000000005</v>
      </c>
      <c r="O1339" s="288"/>
      <c r="P1339" s="297"/>
      <c r="Q1339" s="288"/>
      <c r="R1339" s="102"/>
      <c r="S1339" s="102"/>
      <c r="T1339" s="102"/>
    </row>
    <row r="1340" spans="1:20" s="129" customFormat="1" ht="22.5" customHeight="1" thickBot="1">
      <c r="A1340" s="371"/>
      <c r="B1340" s="373"/>
      <c r="C1340" s="375"/>
      <c r="D1340" s="383"/>
      <c r="E1340" s="373"/>
      <c r="F1340" s="373"/>
      <c r="G1340" s="373"/>
      <c r="H1340" s="373"/>
      <c r="I1340" s="374"/>
      <c r="J1340" s="374"/>
      <c r="K1340" s="373"/>
      <c r="L1340" s="373"/>
      <c r="M1340" s="372"/>
      <c r="N1340" s="699">
        <f>SUM(N1334:N1339)</f>
        <v>1371.1827249999999</v>
      </c>
      <c r="O1340" s="288"/>
      <c r="P1340" s="297"/>
      <c r="Q1340" s="288"/>
      <c r="R1340" s="102"/>
      <c r="S1340" s="102"/>
      <c r="T1340" s="102"/>
    </row>
    <row r="1341" spans="1:20" s="102" customFormat="1" ht="8.25" customHeight="1" thickBot="1">
      <c r="A1341" s="323"/>
      <c r="B1341" s="323"/>
      <c r="C1341" s="323"/>
      <c r="D1341" s="382"/>
      <c r="E1341" s="323"/>
      <c r="F1341" s="325"/>
      <c r="G1341" s="325"/>
      <c r="H1341" s="325"/>
      <c r="I1341" s="323"/>
      <c r="J1341" s="323"/>
      <c r="K1341" s="323"/>
      <c r="L1341" s="325"/>
      <c r="M1341" s="323"/>
      <c r="N1341" s="309"/>
      <c r="O1341" s="288"/>
      <c r="P1341" s="297"/>
      <c r="Q1341" s="288"/>
    </row>
    <row r="1342" spans="1:20" s="102" customFormat="1" ht="12.75" customHeight="1">
      <c r="A1342" s="2639" t="s">
        <v>2502</v>
      </c>
      <c r="B1342" s="687" t="s">
        <v>2503</v>
      </c>
      <c r="C1342" s="327"/>
      <c r="D1342" s="328">
        <f>IF(H1342&lt;&gt;"",VLOOKUP(G1342,base_barras,IF(H1342="Desnuda",2,5)+F1342-1,FALSE),"-")</f>
        <v>3290</v>
      </c>
      <c r="E1342" s="329">
        <v>4</v>
      </c>
      <c r="F1342" s="330">
        <v>1</v>
      </c>
      <c r="G1342" s="331" t="s">
        <v>584</v>
      </c>
      <c r="H1342" s="330" t="s">
        <v>1043</v>
      </c>
      <c r="I1342" s="332">
        <v>0</v>
      </c>
      <c r="J1342" s="333">
        <f>IF(G1342&lt;&gt;"",VLOOKUP(G1342,precio_barras,9,FALSE),0)</f>
        <v>231.4</v>
      </c>
      <c r="K1342" s="481">
        <v>0</v>
      </c>
      <c r="L1342" s="343" t="str">
        <f>IF(G1342&lt;&gt;"",IF(VLOOKUP(G1342,base_barras,10,FALSE)&lt;&gt;"",VLOOKUP(G1342,base_barras,10,FALSE),"-"),"-")</f>
        <v>1.5/1600</v>
      </c>
      <c r="M1342" s="333">
        <f>IF(L1342&lt;&gt;"-",VLOOKUP(L1342,precio_aislador,2,FALSE),0)</f>
        <v>22</v>
      </c>
      <c r="N1342" s="360">
        <f>(I1342*J1342*F1342+K1342*M1342)*E1342*1.67*1.25</f>
        <v>0</v>
      </c>
      <c r="O1342" s="288"/>
      <c r="P1342" s="297"/>
      <c r="Q1342" s="297"/>
    </row>
    <row r="1343" spans="1:20" s="199" customFormat="1" ht="15.75" customHeight="1" thickBot="1">
      <c r="A1343" s="2644"/>
      <c r="B1343" s="700" t="s">
        <v>2504</v>
      </c>
      <c r="C1343" s="701"/>
      <c r="D1343" s="364">
        <f>IF(H1343&lt;&gt;"",VLOOKUP(G1343,base_barras,IF(H1343="Desnuda",2,5)+F1343-1,FALSE),"-")</f>
        <v>3170</v>
      </c>
      <c r="E1343" s="365">
        <v>4</v>
      </c>
      <c r="F1343" s="366">
        <v>3</v>
      </c>
      <c r="G1343" s="322" t="s">
        <v>582</v>
      </c>
      <c r="H1343" s="366" t="s">
        <v>1043</v>
      </c>
      <c r="I1343" s="367">
        <v>0</v>
      </c>
      <c r="J1343" s="368">
        <f>IF(G1343&lt;&gt;"",VLOOKUP(G1343,precio_barras,9,FALSE),0)</f>
        <v>71.100000000000009</v>
      </c>
      <c r="K1343" s="702">
        <v>0</v>
      </c>
      <c r="L1343" s="703" t="str">
        <f>IF(G1343&lt;&gt;"",IF(VLOOKUP(G1343,base_barras,10,FALSE)&lt;&gt;"",VLOOKUP(G1343,base_barras,10,FALSE),"-"),"-")</f>
        <v>1/1000</v>
      </c>
      <c r="M1343" s="480">
        <f>IF(L1343&lt;&gt;"-",VLOOKUP(L1343,precio_aislador,2,FALSE),0)</f>
        <v>2.7</v>
      </c>
      <c r="N1343" s="704">
        <f>(I1343*J1343*F1343+K1343*M1343)*E1343*1.67*1.25</f>
        <v>0</v>
      </c>
      <c r="O1343" s="288"/>
      <c r="P1343" s="297"/>
      <c r="Q1343" s="288"/>
      <c r="R1343" s="102"/>
      <c r="S1343" s="102"/>
      <c r="T1343" s="102"/>
    </row>
    <row r="1344" spans="1:20" s="102" customFormat="1" ht="12.75" customHeight="1">
      <c r="A1344" s="2644"/>
      <c r="B1344" s="692" t="s">
        <v>2503</v>
      </c>
      <c r="C1344" s="693"/>
      <c r="D1344" s="697">
        <f>IF(H1344&lt;&gt;"",VLOOKUP(G1344,base_barras,IF(H1344="Desnuda",2,5)+F1344-1,FALSE),"-")</f>
        <v>3290</v>
      </c>
      <c r="E1344" s="694">
        <v>4</v>
      </c>
      <c r="F1344" s="655">
        <v>1</v>
      </c>
      <c r="G1344" s="698" t="s">
        <v>584</v>
      </c>
      <c r="H1344" s="655" t="s">
        <v>1043</v>
      </c>
      <c r="I1344" s="398">
        <v>0</v>
      </c>
      <c r="J1344" s="478">
        <f>IF(G1344&lt;&gt;"",VLOOKUP(G1344,precio_barras,9,FALSE),0)</f>
        <v>231.4</v>
      </c>
      <c r="K1344" s="705">
        <v>0</v>
      </c>
      <c r="L1344" s="695" t="str">
        <f>IF(G1344&lt;&gt;"",IF(VLOOKUP(G1344,base_barras,10,FALSE)&lt;&gt;"",VLOOKUP(G1344,base_barras,10,FALSE),"-"),"-")</f>
        <v>1.5/1600</v>
      </c>
      <c r="M1344" s="478">
        <f>IF(L1344&lt;&gt;"-",VLOOKUP(L1344,precio_aislador,2,FALSE),0)</f>
        <v>22</v>
      </c>
      <c r="N1344" s="696">
        <f>(I1344*J1344*F1344+K1344*M1344)*E1344*1.67*1.25</f>
        <v>0</v>
      </c>
      <c r="O1344" s="288"/>
      <c r="P1344" s="297"/>
      <c r="Q1344" s="297"/>
    </row>
    <row r="1345" spans="1:20" s="199" customFormat="1" ht="15.75" customHeight="1" thickBot="1">
      <c r="A1345" s="2640"/>
      <c r="B1345" s="700" t="s">
        <v>2504</v>
      </c>
      <c r="C1345" s="701"/>
      <c r="D1345" s="364">
        <f>IF(H1345&lt;&gt;"",VLOOKUP(G1345,base_barras,IF(H1345="Desnuda",2,5)+F1345-1,FALSE),"-")</f>
        <v>3170</v>
      </c>
      <c r="E1345" s="365">
        <v>4</v>
      </c>
      <c r="F1345" s="366">
        <v>3</v>
      </c>
      <c r="G1345" s="322" t="s">
        <v>582</v>
      </c>
      <c r="H1345" s="366" t="s">
        <v>1043</v>
      </c>
      <c r="I1345" s="367">
        <v>0</v>
      </c>
      <c r="J1345" s="368">
        <f>IF(G1345&lt;&gt;"",VLOOKUP(G1345,precio_barras,9,FALSE),0)</f>
        <v>71.100000000000009</v>
      </c>
      <c r="K1345" s="702">
        <v>0</v>
      </c>
      <c r="L1345" s="703" t="str">
        <f>IF(G1345&lt;&gt;"",IF(VLOOKUP(G1345,base_barras,10,FALSE)&lt;&gt;"",VLOOKUP(G1345,base_barras,10,FALSE),"-"),"-")</f>
        <v>1/1000</v>
      </c>
      <c r="M1345" s="480">
        <f>IF(L1345&lt;&gt;"-",VLOOKUP(L1345,precio_aislador,2,FALSE),0)</f>
        <v>2.7</v>
      </c>
      <c r="N1345" s="704">
        <f>(I1345*J1345*F1345+K1345*M1345)*E1345*1.67*1.25</f>
        <v>0</v>
      </c>
      <c r="O1345" s="288"/>
      <c r="P1345" s="297"/>
      <c r="Q1345" s="288"/>
      <c r="R1345" s="102"/>
      <c r="S1345" s="102"/>
      <c r="T1345" s="102"/>
    </row>
    <row r="1346" spans="1:20" s="102" customFormat="1" ht="13.5" thickBot="1">
      <c r="A1346" s="323"/>
      <c r="B1346" s="323"/>
      <c r="C1346" s="309"/>
      <c r="D1346" s="382"/>
      <c r="E1346" s="323"/>
      <c r="F1346" s="309"/>
      <c r="G1346" s="309"/>
      <c r="H1346" s="323"/>
      <c r="I1346" s="325"/>
      <c r="J1346" s="325"/>
      <c r="K1346" s="323"/>
      <c r="L1346" s="323"/>
      <c r="M1346" s="325"/>
      <c r="N1346" s="706">
        <f>SUM(N1342:N1345)</f>
        <v>0</v>
      </c>
      <c r="O1346" s="288"/>
      <c r="P1346" s="297"/>
      <c r="Q1346" s="297"/>
    </row>
    <row r="1347" spans="1:20" s="102" customFormat="1" ht="8.25" customHeight="1" thickBot="1">
      <c r="A1347" s="323"/>
      <c r="B1347" s="323"/>
      <c r="C1347" s="323"/>
      <c r="D1347" s="382"/>
      <c r="E1347" s="323"/>
      <c r="F1347" s="325"/>
      <c r="G1347" s="325"/>
      <c r="H1347" s="325"/>
      <c r="I1347" s="323"/>
      <c r="J1347" s="323"/>
      <c r="K1347" s="323"/>
      <c r="L1347" s="325"/>
      <c r="M1347" s="323"/>
      <c r="N1347" s="309"/>
      <c r="O1347" s="288"/>
      <c r="P1347" s="297"/>
      <c r="Q1347" s="288"/>
    </row>
    <row r="1348" spans="1:20" s="102" customFormat="1" ht="12.75" customHeight="1">
      <c r="A1348" s="2639" t="s">
        <v>2505</v>
      </c>
      <c r="B1348" s="687" t="s">
        <v>2506</v>
      </c>
      <c r="C1348" s="327"/>
      <c r="D1348" s="328">
        <f>IF(H1348&lt;&gt;"",VLOOKUP(G1348,base_barras,IF(H1348="Desnuda",2,5)+F1348-1,FALSE),"-")</f>
        <v>3290</v>
      </c>
      <c r="E1348" s="329">
        <v>4</v>
      </c>
      <c r="F1348" s="330">
        <v>1</v>
      </c>
      <c r="G1348" s="331" t="s">
        <v>584</v>
      </c>
      <c r="H1348" s="330" t="s">
        <v>1043</v>
      </c>
      <c r="I1348" s="332">
        <v>0</v>
      </c>
      <c r="J1348" s="333">
        <f>IF(G1348&lt;&gt;"",VLOOKUP(G1348,precio_barras,9,FALSE),0)</f>
        <v>231.4</v>
      </c>
      <c r="K1348" s="481">
        <v>0</v>
      </c>
      <c r="L1348" s="343" t="str">
        <f>IF(G1348&lt;&gt;"",IF(VLOOKUP(G1348,base_barras,10,FALSE)&lt;&gt;"",VLOOKUP(G1348,base_barras,10,FALSE),"-"),"-")</f>
        <v>1.5/1600</v>
      </c>
      <c r="M1348" s="333">
        <f>IF(L1348&lt;&gt;"-",VLOOKUP(L1348,precio_aislador,2,FALSE),0)</f>
        <v>22</v>
      </c>
      <c r="N1348" s="360">
        <f>(I1348*J1348*F1348+K1348*M1348)*E1348*1.67*1.25</f>
        <v>0</v>
      </c>
      <c r="O1348" s="288"/>
      <c r="P1348" s="297"/>
      <c r="Q1348" s="297"/>
    </row>
    <row r="1349" spans="1:20" s="102" customFormat="1" ht="13.5" thickBot="1">
      <c r="A1349" s="2644"/>
      <c r="B1349" s="707" t="s">
        <v>2504</v>
      </c>
      <c r="C1349" s="479"/>
      <c r="D1349" s="364">
        <f>IF(H1349&lt;&gt;"",VLOOKUP(G1349,base_barras,IF(H1349="Desnuda",2,5)+F1349-1,FALSE),"-")</f>
        <v>3170</v>
      </c>
      <c r="E1349" s="365">
        <v>4</v>
      </c>
      <c r="F1349" s="366">
        <v>3</v>
      </c>
      <c r="G1349" s="322" t="s">
        <v>582</v>
      </c>
      <c r="H1349" s="366" t="s">
        <v>1043</v>
      </c>
      <c r="I1349" s="367">
        <v>0</v>
      </c>
      <c r="J1349" s="368">
        <f>IF(G1349&lt;&gt;"",VLOOKUP(G1349,precio_barras,9,FALSE),0)</f>
        <v>71.100000000000009</v>
      </c>
      <c r="K1349" s="365">
        <v>0</v>
      </c>
      <c r="L1349" s="369" t="str">
        <f>IF(G1349&lt;&gt;"",IF(VLOOKUP(G1349,base_barras,10,FALSE)&lt;&gt;"",VLOOKUP(G1349,base_barras,10,FALSE),"-"),"-")</f>
        <v>1/1000</v>
      </c>
      <c r="M1349" s="368">
        <f>IF(L1349&lt;&gt;"-",VLOOKUP(L1349,precio_aislador,2,FALSE),0)</f>
        <v>2.7</v>
      </c>
      <c r="N1349" s="370">
        <f>(I1349*J1349*F1349+K1349*M1349)*E1349*1.67*1.25</f>
        <v>0</v>
      </c>
      <c r="O1349" s="288"/>
      <c r="P1349" s="297"/>
      <c r="Q1349" s="297"/>
    </row>
    <row r="1350" spans="1:20" s="102" customFormat="1" ht="12.75" customHeight="1">
      <c r="A1350" s="2644"/>
      <c r="B1350" s="692" t="s">
        <v>2506</v>
      </c>
      <c r="C1350" s="693"/>
      <c r="D1350" s="697">
        <f>IF(H1350&lt;&gt;"",VLOOKUP(G1350,base_barras,IF(H1350="Desnuda",2,5)+F1350-1,FALSE),"-")</f>
        <v>3290</v>
      </c>
      <c r="E1350" s="694">
        <v>4</v>
      </c>
      <c r="F1350" s="655">
        <v>1</v>
      </c>
      <c r="G1350" s="698" t="s">
        <v>584</v>
      </c>
      <c r="H1350" s="655" t="s">
        <v>1043</v>
      </c>
      <c r="I1350" s="398">
        <v>0</v>
      </c>
      <c r="J1350" s="478">
        <f>IF(G1350&lt;&gt;"",VLOOKUP(G1350,precio_barras,9,FALSE),0)</f>
        <v>231.4</v>
      </c>
      <c r="K1350" s="705">
        <v>0</v>
      </c>
      <c r="L1350" s="695" t="str">
        <f>IF(G1350&lt;&gt;"",IF(VLOOKUP(G1350,base_barras,10,FALSE)&lt;&gt;"",VLOOKUP(G1350,base_barras,10,FALSE),"-"),"-")</f>
        <v>1.5/1600</v>
      </c>
      <c r="M1350" s="478">
        <f>IF(L1350&lt;&gt;"-",VLOOKUP(L1350,precio_aislador,2,FALSE),0)</f>
        <v>22</v>
      </c>
      <c r="N1350" s="696">
        <f>(I1350*J1350*F1350+K1350*M1350)*E1350*1.67*1.25</f>
        <v>0</v>
      </c>
      <c r="O1350" s="288"/>
      <c r="P1350" s="297"/>
      <c r="Q1350" s="297"/>
    </row>
    <row r="1351" spans="1:20" s="102" customFormat="1" ht="13.5" thickBot="1">
      <c r="A1351" s="2640"/>
      <c r="B1351" s="700" t="s">
        <v>2504</v>
      </c>
      <c r="C1351" s="701"/>
      <c r="D1351" s="708">
        <f>IF(H1351&lt;&gt;"",VLOOKUP(G1351,base_barras,IF(H1351="Desnuda",2,5)+F1351-1,FALSE),"-")</f>
        <v>3170</v>
      </c>
      <c r="E1351" s="702">
        <v>4</v>
      </c>
      <c r="F1351" s="709">
        <v>3</v>
      </c>
      <c r="G1351" s="710" t="s">
        <v>582</v>
      </c>
      <c r="H1351" s="709" t="s">
        <v>1043</v>
      </c>
      <c r="I1351" s="711">
        <v>0</v>
      </c>
      <c r="J1351" s="480">
        <f>IF(G1351&lt;&gt;"",VLOOKUP(G1351,precio_barras,9,FALSE),0)</f>
        <v>71.100000000000009</v>
      </c>
      <c r="K1351" s="702">
        <v>0</v>
      </c>
      <c r="L1351" s="703" t="str">
        <f>IF(G1351&lt;&gt;"",IF(VLOOKUP(G1351,base_barras,10,FALSE)&lt;&gt;"",VLOOKUP(G1351,base_barras,10,FALSE),"-"),"-")</f>
        <v>1/1000</v>
      </c>
      <c r="M1351" s="480">
        <f>IF(L1351&lt;&gt;"-",VLOOKUP(L1351,precio_aislador,2,FALSE),0)</f>
        <v>2.7</v>
      </c>
      <c r="N1351" s="704">
        <f>(I1351*J1351*F1351+K1351*M1351)*E1351*1.67*1.25</f>
        <v>0</v>
      </c>
      <c r="O1351" s="288"/>
      <c r="P1351" s="297"/>
      <c r="Q1351" s="297"/>
    </row>
    <row r="1352" spans="1:20" s="102" customFormat="1" ht="13.5" thickBot="1">
      <c r="A1352" s="323"/>
      <c r="B1352" s="323"/>
      <c r="C1352" s="309"/>
      <c r="D1352" s="382"/>
      <c r="E1352" s="323"/>
      <c r="F1352" s="309"/>
      <c r="G1352" s="309"/>
      <c r="H1352" s="323"/>
      <c r="I1352" s="325"/>
      <c r="J1352" s="325"/>
      <c r="K1352" s="323"/>
      <c r="L1352" s="323"/>
      <c r="M1352" s="325"/>
      <c r="N1352" s="706">
        <f>SUM(N1348:N1351)</f>
        <v>0</v>
      </c>
      <c r="O1352" s="288"/>
      <c r="P1352" s="297"/>
      <c r="Q1352" s="297"/>
    </row>
    <row r="1353" spans="1:20" s="102" customFormat="1" ht="8.25" customHeight="1" thickBot="1">
      <c r="A1353" s="323"/>
      <c r="B1353" s="323"/>
      <c r="C1353" s="323"/>
      <c r="D1353" s="382"/>
      <c r="E1353" s="323"/>
      <c r="F1353" s="325"/>
      <c r="G1353" s="325"/>
      <c r="H1353" s="325"/>
      <c r="I1353" s="323"/>
      <c r="J1353" s="323"/>
      <c r="K1353" s="323"/>
      <c r="L1353" s="325"/>
      <c r="M1353" s="323"/>
      <c r="N1353" s="309"/>
      <c r="O1353" s="288"/>
      <c r="P1353" s="297"/>
      <c r="Q1353" s="288"/>
    </row>
    <row r="1354" spans="1:20" s="102" customFormat="1">
      <c r="A1354" s="2629" t="s">
        <v>1228</v>
      </c>
      <c r="B1354" s="687" t="s">
        <v>2507</v>
      </c>
      <c r="C1354" s="327"/>
      <c r="D1354" s="328">
        <f>IF(H1354&lt;&gt;"",VLOOKUP(G1354,base_barras,IF(H1354="Desnuda",2,5)+F1354-1,FALSE),"-")</f>
        <v>1500</v>
      </c>
      <c r="E1354" s="481">
        <v>3</v>
      </c>
      <c r="F1354" s="330">
        <v>1</v>
      </c>
      <c r="G1354" s="331" t="s">
        <v>582</v>
      </c>
      <c r="H1354" s="330" t="s">
        <v>1043</v>
      </c>
      <c r="I1354" s="332">
        <v>0</v>
      </c>
      <c r="J1354" s="333">
        <f>IF(G1354&lt;&gt;"",VLOOKUP(G1354,precio_barras,9,FALSE),0)</f>
        <v>71.100000000000009</v>
      </c>
      <c r="K1354" s="329">
        <v>0</v>
      </c>
      <c r="L1354" s="343" t="str">
        <f>IF(G1354&lt;&gt;"",IF(VLOOKUP(G1354,base_barras,10,FALSE)&lt;&gt;"",VLOOKUP(G1354,base_barras,10,FALSE),"-"),"-")</f>
        <v>1/1000</v>
      </c>
      <c r="M1354" s="333">
        <f>IF(L1354&lt;&gt;"-",VLOOKUP(L1354,precio_aislador,2,FALSE),0)</f>
        <v>2.7</v>
      </c>
      <c r="N1354" s="360">
        <f>(I1354*J1354*F1354+K1354*M1354)*E1354*1.67*1.25</f>
        <v>0</v>
      </c>
      <c r="O1354" s="288"/>
      <c r="P1354" s="297"/>
      <c r="Q1354" s="297"/>
    </row>
    <row r="1355" spans="1:20" s="102" customFormat="1" ht="13.5" thickBot="1">
      <c r="A1355" s="2635"/>
      <c r="B1355" s="707"/>
      <c r="C1355" s="479"/>
      <c r="D1355" s="364" t="str">
        <f>IF(H1355&lt;&gt;"",VLOOKUP(G1355,base_barras,IF(H1355="Desnuda",2,5)+F1355-1,FALSE),"-")</f>
        <v>-</v>
      </c>
      <c r="E1355" s="365"/>
      <c r="F1355" s="366"/>
      <c r="G1355" s="322"/>
      <c r="H1355" s="366"/>
      <c r="I1355" s="367"/>
      <c r="J1355" s="480">
        <f>IF(G1355&lt;&gt;"",VLOOKUP(G1355,precio_barras,9,FALSE),0)</f>
        <v>0</v>
      </c>
      <c r="K1355" s="365"/>
      <c r="L1355" s="369" t="str">
        <f>IF(G1355&lt;&gt;"",IF(VLOOKUP(G1355,base_barras,10,FALSE)&lt;&gt;"",VLOOKUP(G1355,base_barras,10,FALSE),"-"),"-")</f>
        <v>-</v>
      </c>
      <c r="M1355" s="368">
        <f>IF(L1355&lt;&gt;"-",VLOOKUP(L1355,precio_aislador,2,FALSE),0)</f>
        <v>0</v>
      </c>
      <c r="N1355" s="370">
        <f>(I1355*J1355*F1355+K1355*M1355)*E1355*1.67*1.25</f>
        <v>0</v>
      </c>
      <c r="O1355" s="288"/>
      <c r="P1355" s="297"/>
      <c r="Q1355" s="297"/>
    </row>
    <row r="1356" spans="1:20" s="102" customFormat="1" ht="13.5" thickBot="1">
      <c r="A1356" s="323"/>
      <c r="B1356" s="323"/>
      <c r="C1356" s="309"/>
      <c r="D1356" s="382"/>
      <c r="E1356" s="323"/>
      <c r="F1356" s="309"/>
      <c r="G1356" s="309"/>
      <c r="H1356" s="323"/>
      <c r="I1356" s="325"/>
      <c r="J1356" s="325"/>
      <c r="K1356" s="323"/>
      <c r="L1356" s="323"/>
      <c r="M1356" s="325"/>
      <c r="N1356" s="706">
        <f>SUM(N1354:N1355)</f>
        <v>0</v>
      </c>
      <c r="O1356" s="288"/>
      <c r="P1356" s="297"/>
      <c r="Q1356" s="297"/>
    </row>
    <row r="1357" spans="1:20" s="102" customFormat="1" ht="8.25" customHeight="1" thickBot="1">
      <c r="A1357" s="323"/>
      <c r="B1357" s="323"/>
      <c r="C1357" s="323"/>
      <c r="D1357" s="382"/>
      <c r="E1357" s="323"/>
      <c r="F1357" s="325"/>
      <c r="G1357" s="325"/>
      <c r="H1357" s="325"/>
      <c r="I1357" s="323"/>
      <c r="J1357" s="323"/>
      <c r="K1357" s="323"/>
      <c r="L1357" s="325"/>
      <c r="M1357" s="323"/>
      <c r="N1357" s="309"/>
      <c r="O1357" s="288"/>
      <c r="P1357" s="297"/>
      <c r="Q1357" s="288"/>
    </row>
    <row r="1358" spans="1:20" s="102" customFormat="1">
      <c r="A1358" s="2639" t="s">
        <v>2508</v>
      </c>
      <c r="B1358" s="687" t="s">
        <v>2504</v>
      </c>
      <c r="C1358" s="327"/>
      <c r="D1358" s="328">
        <f>IF(H1358&lt;&gt;"",VLOOKUP(G1358,base_barras,IF(H1358="Desnuda",2,5)+F1358-1,FALSE),"-")</f>
        <v>3170</v>
      </c>
      <c r="E1358" s="329">
        <v>4</v>
      </c>
      <c r="F1358" s="330">
        <v>3</v>
      </c>
      <c r="G1358" s="331" t="s">
        <v>582</v>
      </c>
      <c r="H1358" s="330" t="s">
        <v>1043</v>
      </c>
      <c r="I1358" s="332">
        <v>0</v>
      </c>
      <c r="J1358" s="333">
        <f>IF(G1358&lt;&gt;"",VLOOKUP(G1358,precio_barras,9,FALSE),0)</f>
        <v>71.100000000000009</v>
      </c>
      <c r="K1358" s="329">
        <v>0</v>
      </c>
      <c r="L1358" s="343" t="str">
        <f>IF(G1358&lt;&gt;"",IF(VLOOKUP(G1358,base_barras,10,FALSE)&lt;&gt;"",VLOOKUP(G1358,base_barras,10,FALSE),"-"),"-")</f>
        <v>1/1000</v>
      </c>
      <c r="M1358" s="333">
        <f>IF(L1358&lt;&gt;"-",VLOOKUP(L1358,precio_aislador,2,FALSE),0)</f>
        <v>2.7</v>
      </c>
      <c r="N1358" s="360">
        <f>(I1358*J1358*F1358+K1358*M1358)*E1358*1.67*1.25</f>
        <v>0</v>
      </c>
      <c r="O1358" s="288"/>
      <c r="P1358" s="297"/>
      <c r="Q1358" s="297"/>
    </row>
    <row r="1359" spans="1:20" s="199" customFormat="1" ht="15.75" customHeight="1">
      <c r="A1359" s="2646"/>
      <c r="B1359" s="692" t="s">
        <v>2498</v>
      </c>
      <c r="C1359" s="693"/>
      <c r="D1359" s="697">
        <f>IF(H1359&lt;&gt;"",VLOOKUP(G1359,base_barras,IF(H1359="Desnuda",2,5)+F1359-1,FALSE),"-")</f>
        <v>2850</v>
      </c>
      <c r="E1359" s="694">
        <v>4</v>
      </c>
      <c r="F1359" s="655">
        <v>2</v>
      </c>
      <c r="G1359" s="698" t="s">
        <v>468</v>
      </c>
      <c r="H1359" s="655" t="s">
        <v>1043</v>
      </c>
      <c r="I1359" s="398">
        <v>0</v>
      </c>
      <c r="J1359" s="478">
        <f>IF(G1359&lt;&gt;"",VLOOKUP(G1359,precio_barras,9,FALSE),0)</f>
        <v>88.9</v>
      </c>
      <c r="K1359" s="694">
        <v>0</v>
      </c>
      <c r="L1359" s="695" t="str">
        <f>IF(G1359&lt;&gt;"",IF(VLOOKUP(G1359,base_barras,10,FALSE)&lt;&gt;"",VLOOKUP(G1359,base_barras,10,FALSE),"-"),"-")</f>
        <v>1.5/1250</v>
      </c>
      <c r="M1359" s="478">
        <f>IF(L1359&lt;&gt;"-",VLOOKUP(L1359,precio_aislador,2,FALSE),0)</f>
        <v>5.5</v>
      </c>
      <c r="N1359" s="696">
        <f>(I1359*J1359*F1359+K1359*M1359)*E1359*1.67*1.25</f>
        <v>0</v>
      </c>
      <c r="O1359" s="288"/>
      <c r="P1359" s="297"/>
      <c r="Q1359" s="288"/>
      <c r="R1359" s="102"/>
      <c r="S1359" s="102"/>
      <c r="T1359" s="102"/>
    </row>
    <row r="1360" spans="1:20" s="199" customFormat="1" ht="15.75" customHeight="1" thickBot="1">
      <c r="A1360" s="2646"/>
      <c r="B1360" s="707" t="s">
        <v>2498</v>
      </c>
      <c r="C1360" s="479"/>
      <c r="D1360" s="364">
        <f>IF(H1360&lt;&gt;"",VLOOKUP(G1360,base_barras,IF(H1360="Desnuda",2,5)+F1360-1,FALSE),"-")</f>
        <v>2850</v>
      </c>
      <c r="E1360" s="365">
        <v>4</v>
      </c>
      <c r="F1360" s="366">
        <v>2</v>
      </c>
      <c r="G1360" s="322" t="s">
        <v>468</v>
      </c>
      <c r="H1360" s="366" t="s">
        <v>1043</v>
      </c>
      <c r="I1360" s="367">
        <v>0</v>
      </c>
      <c r="J1360" s="368">
        <f>IF(G1360&lt;&gt;"",VLOOKUP(G1360,precio_barras,9,FALSE),0)</f>
        <v>88.9</v>
      </c>
      <c r="K1360" s="365">
        <v>0</v>
      </c>
      <c r="L1360" s="369" t="str">
        <f>IF(G1360&lt;&gt;"",IF(VLOOKUP(G1360,base_barras,10,FALSE)&lt;&gt;"",VLOOKUP(G1360,base_barras,10,FALSE),"-"),"-")</f>
        <v>1.5/1250</v>
      </c>
      <c r="M1360" s="368">
        <f>IF(L1360&lt;&gt;"-",VLOOKUP(L1360,precio_aislador,2,FALSE),0)</f>
        <v>5.5</v>
      </c>
      <c r="N1360" s="370">
        <f>(I1360*J1360*F1360+K1360*M1360)*E1360*1.67*1.25</f>
        <v>0</v>
      </c>
      <c r="O1360" s="288"/>
      <c r="P1360" s="297"/>
      <c r="Q1360" s="288"/>
      <c r="R1360" s="102"/>
      <c r="S1360" s="102"/>
      <c r="T1360" s="102"/>
    </row>
    <row r="1361" spans="1:20" s="102" customFormat="1">
      <c r="A1361" s="2646"/>
      <c r="B1361" s="692" t="s">
        <v>2504</v>
      </c>
      <c r="C1361" s="693"/>
      <c r="D1361" s="697">
        <f>IF(H1361&lt;&gt;"",VLOOKUP(G1361,base_barras,IF(H1361="Desnuda",2,5)+F1361-1,FALSE),"-")</f>
        <v>3170</v>
      </c>
      <c r="E1361" s="694">
        <v>4</v>
      </c>
      <c r="F1361" s="655">
        <v>3</v>
      </c>
      <c r="G1361" s="698" t="s">
        <v>582</v>
      </c>
      <c r="H1361" s="655" t="s">
        <v>1043</v>
      </c>
      <c r="I1361" s="398">
        <v>0</v>
      </c>
      <c r="J1361" s="478">
        <f>IF(G1361&lt;&gt;"",VLOOKUP(G1361,precio_barras,9,FALSE),0)</f>
        <v>71.100000000000009</v>
      </c>
      <c r="K1361" s="694">
        <v>0</v>
      </c>
      <c r="L1361" s="695" t="str">
        <f>IF(G1361&lt;&gt;"",IF(VLOOKUP(G1361,base_barras,10,FALSE)&lt;&gt;"",VLOOKUP(G1361,base_barras,10,FALSE),"-"),"-")</f>
        <v>1/1000</v>
      </c>
      <c r="M1361" s="478">
        <f>IF(L1361&lt;&gt;"-",VLOOKUP(L1361,precio_aislador,2,FALSE),0)</f>
        <v>2.7</v>
      </c>
      <c r="N1361" s="696">
        <f>(I1361*J1361*F1361+K1361*M1361)*E1361*1.67*1.25</f>
        <v>0</v>
      </c>
      <c r="O1361" s="288"/>
      <c r="P1361" s="297"/>
      <c r="Q1361" s="297"/>
    </row>
    <row r="1362" spans="1:20" s="199" customFormat="1" ht="15.75" customHeight="1" thickBot="1">
      <c r="A1362" s="2647"/>
      <c r="B1362" s="700" t="s">
        <v>2498</v>
      </c>
      <c r="C1362" s="701"/>
      <c r="D1362" s="708">
        <f>IF(H1362&lt;&gt;"",VLOOKUP(G1362,base_barras,IF(H1362="Desnuda",2,5)+F1362-1,FALSE),"-")</f>
        <v>2850</v>
      </c>
      <c r="E1362" s="702">
        <v>4</v>
      </c>
      <c r="F1362" s="709">
        <v>2</v>
      </c>
      <c r="G1362" s="710" t="s">
        <v>468</v>
      </c>
      <c r="H1362" s="709" t="s">
        <v>1043</v>
      </c>
      <c r="I1362" s="711">
        <v>0</v>
      </c>
      <c r="J1362" s="480">
        <f>IF(G1362&lt;&gt;"",VLOOKUP(G1362,precio_barras,9,FALSE),0)</f>
        <v>88.9</v>
      </c>
      <c r="K1362" s="702">
        <v>0</v>
      </c>
      <c r="L1362" s="703" t="str">
        <f>IF(G1362&lt;&gt;"",IF(VLOOKUP(G1362,base_barras,10,FALSE)&lt;&gt;"",VLOOKUP(G1362,base_barras,10,FALSE),"-"),"-")</f>
        <v>1.5/1250</v>
      </c>
      <c r="M1362" s="480">
        <f>IF(L1362&lt;&gt;"-",VLOOKUP(L1362,precio_aislador,2,FALSE),0)</f>
        <v>5.5</v>
      </c>
      <c r="N1362" s="704">
        <f>(I1362*J1362*F1362+K1362*M1362)*E1362*1.67*1.25</f>
        <v>0</v>
      </c>
      <c r="O1362" s="288"/>
      <c r="P1362" s="297"/>
      <c r="Q1362" s="288"/>
      <c r="R1362" s="102"/>
      <c r="S1362" s="102"/>
      <c r="T1362" s="102"/>
    </row>
    <row r="1363" spans="1:20" s="102" customFormat="1" ht="13.5" thickBot="1">
      <c r="A1363" s="323"/>
      <c r="B1363" s="323"/>
      <c r="C1363" s="309"/>
      <c r="D1363" s="382"/>
      <c r="E1363" s="323"/>
      <c r="F1363" s="309"/>
      <c r="G1363" s="309"/>
      <c r="H1363" s="323"/>
      <c r="I1363" s="325"/>
      <c r="J1363" s="325"/>
      <c r="K1363" s="323"/>
      <c r="L1363" s="323"/>
      <c r="M1363" s="325"/>
      <c r="N1363" s="706">
        <f>SUM(N1358:N1362)</f>
        <v>0</v>
      </c>
      <c r="O1363" s="288"/>
      <c r="P1363" s="297"/>
      <c r="Q1363" s="297"/>
    </row>
    <row r="1364" spans="1:20" s="102" customFormat="1" ht="8.25" customHeight="1" thickBot="1">
      <c r="A1364" s="323"/>
      <c r="B1364" s="323"/>
      <c r="C1364" s="323"/>
      <c r="D1364" s="382"/>
      <c r="E1364" s="323"/>
      <c r="F1364" s="325"/>
      <c r="G1364" s="325"/>
      <c r="H1364" s="325"/>
      <c r="I1364" s="323"/>
      <c r="J1364" s="323"/>
      <c r="K1364" s="323"/>
      <c r="L1364" s="325"/>
      <c r="M1364" s="323"/>
      <c r="N1364" s="309"/>
      <c r="O1364" s="288"/>
      <c r="P1364" s="297"/>
      <c r="Q1364" s="288"/>
    </row>
    <row r="1365" spans="1:20" s="102" customFormat="1">
      <c r="A1365" s="2629" t="s">
        <v>1034</v>
      </c>
      <c r="B1365" s="687" t="s">
        <v>2530</v>
      </c>
      <c r="C1365" s="327"/>
      <c r="D1365" s="328">
        <f>IF(H1365&lt;&gt;"",VLOOKUP(G1365,base_barras,IF(H1365="Desnuda",2,5)+F1365-1,FALSE),"-")</f>
        <v>1470</v>
      </c>
      <c r="E1365" s="329">
        <v>3</v>
      </c>
      <c r="F1365" s="330">
        <v>2</v>
      </c>
      <c r="G1365" s="331" t="s">
        <v>469</v>
      </c>
      <c r="H1365" s="330" t="s">
        <v>1043</v>
      </c>
      <c r="I1365" s="332">
        <v>0.3</v>
      </c>
      <c r="J1365" s="333">
        <f>IF(G1365&lt;&gt;"",VLOOKUP(G1365,precio_barras,9,FALSE),0)</f>
        <v>35.6</v>
      </c>
      <c r="K1365" s="329">
        <v>0</v>
      </c>
      <c r="L1365" s="343" t="str">
        <f>IF(G1365&lt;&gt;"",IF(VLOOKUP(G1365,base_barras,10,FALSE)&lt;&gt;"",VLOOKUP(G1365,base_barras,10,FALSE),"-"),"-")</f>
        <v>1/750</v>
      </c>
      <c r="M1365" s="333">
        <f>IF(L1365&lt;&gt;"-",VLOOKUP(L1365,precio_aislador,2,FALSE),0)</f>
        <v>1.9</v>
      </c>
      <c r="N1365" s="360">
        <f>(I1365*J1365*F1365+K1365*M1365)*E1365*1.67*1.25</f>
        <v>133.767</v>
      </c>
      <c r="O1365" s="288"/>
      <c r="P1365" s="297"/>
      <c r="Q1365" s="297"/>
    </row>
    <row r="1366" spans="1:20" s="102" customFormat="1" ht="13.5" thickBot="1">
      <c r="A1366" s="2635"/>
      <c r="B1366" s="700" t="s">
        <v>2531</v>
      </c>
      <c r="C1366" s="701"/>
      <c r="D1366" s="708">
        <f>IF(H1366&lt;&gt;"",VLOOKUP(G1366,base_barras,IF(H1366="Desnuda",2,5)+F1366-1,FALSE),"-")</f>
        <v>1470</v>
      </c>
      <c r="E1366" s="702">
        <v>3</v>
      </c>
      <c r="F1366" s="709">
        <v>2</v>
      </c>
      <c r="G1366" s="710" t="s">
        <v>469</v>
      </c>
      <c r="H1366" s="709" t="s">
        <v>1043</v>
      </c>
      <c r="I1366" s="711">
        <v>0.3</v>
      </c>
      <c r="J1366" s="480">
        <f>IF(G1366&lt;&gt;"",VLOOKUP(G1366,precio_barras,9,FALSE),0)</f>
        <v>35.6</v>
      </c>
      <c r="K1366" s="702">
        <v>0</v>
      </c>
      <c r="L1366" s="703" t="str">
        <f>IF(G1366&lt;&gt;"",IF(VLOOKUP(G1366,base_barras,10,FALSE)&lt;&gt;"",VLOOKUP(G1366,base_barras,10,FALSE),"-"),"-")</f>
        <v>1/750</v>
      </c>
      <c r="M1366" s="480">
        <f>IF(L1366&lt;&gt;"-",VLOOKUP(L1366,precio_aislador,2,FALSE),0)</f>
        <v>1.9</v>
      </c>
      <c r="N1366" s="704">
        <f>(I1366*J1366*F1366+K1366*M1366)*E1366*1.67*1.25</f>
        <v>133.767</v>
      </c>
      <c r="O1366" s="288"/>
      <c r="P1366" s="297"/>
      <c r="Q1366" s="297"/>
    </row>
    <row r="1367" spans="1:20" s="102" customFormat="1" ht="13.5" thickBot="1">
      <c r="A1367" s="323"/>
      <c r="B1367" s="323"/>
      <c r="C1367" s="309"/>
      <c r="D1367" s="382"/>
      <c r="E1367" s="323"/>
      <c r="F1367" s="309"/>
      <c r="G1367" s="309"/>
      <c r="H1367" s="323"/>
      <c r="I1367" s="325"/>
      <c r="J1367" s="325"/>
      <c r="K1367" s="323"/>
      <c r="L1367" s="323"/>
      <c r="M1367" s="325"/>
      <c r="N1367" s="706">
        <f>SUM(N1365:N1366)</f>
        <v>267.53399999999999</v>
      </c>
      <c r="O1367" s="288"/>
      <c r="P1367" s="297"/>
      <c r="Q1367" s="297"/>
    </row>
    <row r="1368" spans="1:20" s="102" customFormat="1">
      <c r="A1368" s="323"/>
      <c r="B1368" s="309"/>
      <c r="C1368" s="309"/>
      <c r="D1368" s="382"/>
      <c r="E1368" s="323"/>
      <c r="F1368" s="309"/>
      <c r="G1368" s="309"/>
      <c r="H1368" s="323"/>
      <c r="I1368" s="325"/>
      <c r="J1368" s="325"/>
      <c r="K1368" s="323"/>
      <c r="L1368" s="323"/>
      <c r="M1368" s="325"/>
      <c r="N1368" s="722"/>
      <c r="O1368" s="288"/>
      <c r="P1368" s="297"/>
      <c r="Q1368" s="297"/>
    </row>
    <row r="1369" spans="1:20" s="102" customFormat="1">
      <c r="A1369" s="323"/>
      <c r="B1369" s="309"/>
      <c r="C1369" s="309"/>
      <c r="D1369" s="382"/>
      <c r="E1369" s="323"/>
      <c r="F1369" s="309"/>
      <c r="G1369" s="309"/>
      <c r="H1369" s="323"/>
      <c r="I1369" s="325"/>
      <c r="J1369" s="325"/>
      <c r="K1369" s="323"/>
      <c r="L1369" s="323"/>
      <c r="M1369" s="325"/>
      <c r="N1369" s="722"/>
      <c r="O1369" s="288"/>
      <c r="P1369" s="297"/>
      <c r="Q1369" s="297"/>
    </row>
    <row r="1370" spans="1:20" s="102" customFormat="1" ht="15">
      <c r="A1370" s="323"/>
      <c r="B1370" s="723" t="s">
        <v>2513</v>
      </c>
      <c r="C1370" s="309"/>
      <c r="D1370" s="382"/>
      <c r="E1370" s="323"/>
      <c r="F1370" s="309"/>
      <c r="G1370" s="309"/>
      <c r="H1370" s="323"/>
      <c r="I1370" s="325"/>
      <c r="J1370" s="325"/>
      <c r="K1370" s="323"/>
      <c r="L1370" s="323"/>
      <c r="M1370" s="325"/>
      <c r="N1370" s="722"/>
      <c r="O1370" s="288"/>
      <c r="P1370" s="297"/>
      <c r="Q1370" s="297"/>
    </row>
    <row r="1371" spans="1:20" s="106" customFormat="1" ht="29.25" customHeight="1">
      <c r="B1371" s="724"/>
    </row>
    <row r="1372" spans="1:20" s="106" customFormat="1" ht="13.5" thickBot="1"/>
    <row r="1373" spans="1:20" s="199" customFormat="1" ht="15.75" customHeight="1">
      <c r="A1373" s="2641" t="s">
        <v>2532</v>
      </c>
      <c r="B1373" s="687" t="s">
        <v>2507</v>
      </c>
      <c r="C1373" s="327"/>
      <c r="D1373" s="328">
        <f>IF(H1373&lt;&gt;"",VLOOKUP(G1373,base_barras,IF(H1373="Desnuda",2,5)+F1373-1,FALSE),"-")</f>
        <v>1180</v>
      </c>
      <c r="E1373" s="329">
        <v>3</v>
      </c>
      <c r="F1373" s="330">
        <v>1</v>
      </c>
      <c r="G1373" s="331" t="s">
        <v>581</v>
      </c>
      <c r="H1373" s="330" t="s">
        <v>1043</v>
      </c>
      <c r="I1373" s="332">
        <v>0</v>
      </c>
      <c r="J1373" s="333">
        <f>IF(G1373&lt;&gt;"",VLOOKUP(G1373,precio_barras,9,FALSE),0)</f>
        <v>53.3</v>
      </c>
      <c r="K1373" s="329">
        <v>0</v>
      </c>
      <c r="L1373" s="343" t="str">
        <f>IF(G1373&lt;&gt;"",IF(VLOOKUP(G1373,base_barras,10,FALSE)&lt;&gt;"",VLOOKUP(G1373,base_barras,10,FALSE),"-"),"-")</f>
        <v>1/750</v>
      </c>
      <c r="M1373" s="333">
        <f>IF(L1373&lt;&gt;"-",VLOOKUP(L1373,precio_aislador,2,FALSE),0)</f>
        <v>1.9</v>
      </c>
      <c r="N1373" s="360">
        <f>(I1373*J1373*F1373+K1373*M1373)*E1373*1.67*1.25</f>
        <v>0</v>
      </c>
      <c r="O1373" s="288"/>
      <c r="P1373" s="297"/>
      <c r="Q1373" s="288"/>
      <c r="R1373" s="102"/>
      <c r="S1373" s="102"/>
      <c r="T1373" s="102"/>
    </row>
    <row r="1374" spans="1:20" s="199" customFormat="1" ht="14.25">
      <c r="A1374" s="2642"/>
      <c r="B1374" s="688" t="s">
        <v>802</v>
      </c>
      <c r="C1374" s="319"/>
      <c r="D1374" s="312">
        <f>IF(H1374&lt;&gt;"",VLOOKUP(G1374,base_barras,IF(H1374="Desnuda",2,5)+F1374-1,FALSE),"-")</f>
        <v>676</v>
      </c>
      <c r="E1374" s="313">
        <v>1</v>
      </c>
      <c r="F1374" s="314">
        <v>1</v>
      </c>
      <c r="G1374" s="315" t="s">
        <v>314</v>
      </c>
      <c r="H1374" s="689" t="str">
        <f>H1373</f>
        <v>Pintada</v>
      </c>
      <c r="I1374" s="727">
        <v>0.8</v>
      </c>
      <c r="J1374" s="317">
        <f>IF(G1374&lt;&gt;"",VLOOKUP(G1374,precio_barras,9,FALSE),0)</f>
        <v>26.6</v>
      </c>
      <c r="K1374" s="691">
        <v>0</v>
      </c>
      <c r="L1374" s="318" t="str">
        <f>IF(G1374&lt;&gt;"",IF(VLOOKUP(G1374,base_barras,10,FALSE)&lt;&gt;"",VLOOKUP(G1374,base_barras,10,FALSE),"-"),"-")</f>
        <v>1/750</v>
      </c>
      <c r="M1374" s="317">
        <f>IF(L1374&lt;&gt;"-",VLOOKUP(L1374,precio_aislador,2,FALSE),0)</f>
        <v>1.9</v>
      </c>
      <c r="N1374" s="308">
        <f>(I1374*J1374*F1374+K1374*M1374)*E1374*1.67*1.25</f>
        <v>44.421999999999997</v>
      </c>
      <c r="O1374" s="288"/>
      <c r="P1374" s="297"/>
      <c r="Q1374" s="288"/>
      <c r="R1374" s="102"/>
      <c r="S1374" s="102"/>
      <c r="T1374" s="102"/>
    </row>
    <row r="1375" spans="1:20" s="199" customFormat="1" ht="15.75" customHeight="1" thickBot="1">
      <c r="A1375" s="2642"/>
      <c r="B1375" s="692" t="s">
        <v>2501</v>
      </c>
      <c r="C1375" s="693"/>
      <c r="D1375" s="312">
        <f>IF(H1375&lt;&gt;"",VLOOKUP(G1375,base_barras,IF(H1375="Desnuda",2,5)+F1375-1,FALSE),"-")</f>
        <v>985</v>
      </c>
      <c r="E1375" s="313">
        <v>3</v>
      </c>
      <c r="F1375" s="314">
        <v>1</v>
      </c>
      <c r="G1375" s="315" t="s">
        <v>581</v>
      </c>
      <c r="H1375" s="314" t="s">
        <v>1044</v>
      </c>
      <c r="I1375" s="316">
        <f>1.2</f>
        <v>1.2</v>
      </c>
      <c r="J1375" s="317">
        <f>IF(G1375&lt;&gt;"",VLOOKUP(G1375,precio_barras,9,FALSE),0)</f>
        <v>53.3</v>
      </c>
      <c r="K1375" s="694">
        <v>0</v>
      </c>
      <c r="L1375" s="695" t="str">
        <f>IF(G1375&lt;&gt;"",IF(VLOOKUP(G1375,base_barras,10,FALSE)&lt;&gt;"",VLOOKUP(G1375,base_barras,10,FALSE),"-"),"-")</f>
        <v>1/750</v>
      </c>
      <c r="M1375" s="478">
        <f>IF(L1375&lt;&gt;"-",VLOOKUP(L1375,precio_aislador,2,FALSE),0)</f>
        <v>1.9</v>
      </c>
      <c r="N1375" s="696">
        <f>(I1375*J1375*F1375+K1375*M1375)*E1375*1.67*1.25</f>
        <v>400.54949999999997</v>
      </c>
      <c r="O1375" s="288"/>
      <c r="P1375" s="297"/>
      <c r="Q1375" s="288"/>
      <c r="R1375" s="102"/>
      <c r="S1375" s="102"/>
      <c r="T1375" s="102"/>
    </row>
    <row r="1376" spans="1:20" s="129" customFormat="1" ht="22.5" customHeight="1" thickBot="1">
      <c r="A1376" s="371"/>
      <c r="B1376" s="373"/>
      <c r="C1376" s="375"/>
      <c r="D1376" s="383"/>
      <c r="E1376" s="373"/>
      <c r="F1376" s="373"/>
      <c r="G1376" s="373"/>
      <c r="H1376" s="373"/>
      <c r="I1376" s="374"/>
      <c r="J1376" s="374"/>
      <c r="K1376" s="373"/>
      <c r="L1376" s="373"/>
      <c r="M1376" s="372"/>
      <c r="N1376" s="699">
        <f>SUM(N1373:N1375)</f>
        <v>444.97149999999999</v>
      </c>
      <c r="O1376" s="288"/>
      <c r="P1376" s="297"/>
      <c r="Q1376" s="288"/>
      <c r="R1376" s="102"/>
      <c r="S1376" s="102"/>
      <c r="T1376" s="102"/>
    </row>
    <row r="1377" spans="1:20" s="102" customFormat="1" ht="8.25" customHeight="1" thickBot="1">
      <c r="A1377" s="323"/>
      <c r="B1377" s="323"/>
      <c r="C1377" s="323"/>
      <c r="D1377" s="382"/>
      <c r="E1377" s="323"/>
      <c r="F1377" s="325"/>
      <c r="G1377" s="325"/>
      <c r="H1377" s="325"/>
      <c r="I1377" s="323"/>
      <c r="J1377" s="323"/>
      <c r="K1377" s="323"/>
      <c r="L1377" s="325"/>
      <c r="M1377" s="323"/>
      <c r="N1377" s="309"/>
      <c r="O1377" s="288"/>
      <c r="P1377" s="297"/>
      <c r="Q1377" s="288"/>
    </row>
    <row r="1378" spans="1:20" s="102" customFormat="1" ht="12.75" customHeight="1">
      <c r="A1378" s="2639" t="s">
        <v>2502</v>
      </c>
      <c r="B1378" s="687" t="s">
        <v>2503</v>
      </c>
      <c r="C1378" s="327"/>
      <c r="D1378" s="328">
        <f>IF(H1378&lt;&gt;"",VLOOKUP(G1378,base_barras,IF(H1378="Desnuda",2,5)+F1378-1,FALSE),"-")</f>
        <v>3290</v>
      </c>
      <c r="E1378" s="329">
        <v>4</v>
      </c>
      <c r="F1378" s="330">
        <v>1</v>
      </c>
      <c r="G1378" s="331" t="s">
        <v>584</v>
      </c>
      <c r="H1378" s="330" t="s">
        <v>1043</v>
      </c>
      <c r="I1378" s="332">
        <v>0</v>
      </c>
      <c r="J1378" s="333">
        <f>IF(G1378&lt;&gt;"",VLOOKUP(G1378,precio_barras,9,FALSE),0)</f>
        <v>231.4</v>
      </c>
      <c r="K1378" s="481">
        <v>0</v>
      </c>
      <c r="L1378" s="343" t="str">
        <f>IF(G1378&lt;&gt;"",IF(VLOOKUP(G1378,base_barras,10,FALSE)&lt;&gt;"",VLOOKUP(G1378,base_barras,10,FALSE),"-"),"-")</f>
        <v>1.5/1600</v>
      </c>
      <c r="M1378" s="333">
        <f>IF(L1378&lt;&gt;"-",VLOOKUP(L1378,precio_aislador,2,FALSE),0)</f>
        <v>22</v>
      </c>
      <c r="N1378" s="360">
        <f>(I1378*J1378*F1378+K1378*M1378)*E1378*1.67*1.25</f>
        <v>0</v>
      </c>
      <c r="O1378" s="288"/>
      <c r="P1378" s="297"/>
      <c r="Q1378" s="297"/>
    </row>
    <row r="1379" spans="1:20" s="199" customFormat="1" ht="15.75" customHeight="1" thickBot="1">
      <c r="A1379" s="2644"/>
      <c r="B1379" s="700" t="s">
        <v>2504</v>
      </c>
      <c r="C1379" s="701"/>
      <c r="D1379" s="364">
        <f>IF(H1379&lt;&gt;"",VLOOKUP(G1379,base_barras,IF(H1379="Desnuda",2,5)+F1379-1,FALSE),"-")</f>
        <v>3170</v>
      </c>
      <c r="E1379" s="365">
        <v>4</v>
      </c>
      <c r="F1379" s="366">
        <v>3</v>
      </c>
      <c r="G1379" s="322" t="s">
        <v>582</v>
      </c>
      <c r="H1379" s="366" t="s">
        <v>1043</v>
      </c>
      <c r="I1379" s="367">
        <v>0</v>
      </c>
      <c r="J1379" s="368">
        <f>IF(G1379&lt;&gt;"",VLOOKUP(G1379,precio_barras,9,FALSE),0)</f>
        <v>71.100000000000009</v>
      </c>
      <c r="K1379" s="702">
        <v>0</v>
      </c>
      <c r="L1379" s="703" t="str">
        <f>IF(G1379&lt;&gt;"",IF(VLOOKUP(G1379,base_barras,10,FALSE)&lt;&gt;"",VLOOKUP(G1379,base_barras,10,FALSE),"-"),"-")</f>
        <v>1/1000</v>
      </c>
      <c r="M1379" s="480">
        <f>IF(L1379&lt;&gt;"-",VLOOKUP(L1379,precio_aislador,2,FALSE),0)</f>
        <v>2.7</v>
      </c>
      <c r="N1379" s="704">
        <f>(I1379*J1379*F1379+K1379*M1379)*E1379*1.67*1.25</f>
        <v>0</v>
      </c>
      <c r="O1379" s="288"/>
      <c r="P1379" s="297"/>
      <c r="Q1379" s="288"/>
      <c r="R1379" s="102"/>
      <c r="S1379" s="102"/>
      <c r="T1379" s="102"/>
    </row>
    <row r="1380" spans="1:20" s="102" customFormat="1" ht="12.75" customHeight="1">
      <c r="A1380" s="2644"/>
      <c r="B1380" s="692" t="s">
        <v>2503</v>
      </c>
      <c r="C1380" s="693"/>
      <c r="D1380" s="697">
        <f>IF(H1380&lt;&gt;"",VLOOKUP(G1380,base_barras,IF(H1380="Desnuda",2,5)+F1380-1,FALSE),"-")</f>
        <v>3290</v>
      </c>
      <c r="E1380" s="694">
        <v>4</v>
      </c>
      <c r="F1380" s="655">
        <v>1</v>
      </c>
      <c r="G1380" s="698" t="s">
        <v>584</v>
      </c>
      <c r="H1380" s="655" t="s">
        <v>1043</v>
      </c>
      <c r="I1380" s="398">
        <v>0</v>
      </c>
      <c r="J1380" s="478">
        <f>IF(G1380&lt;&gt;"",VLOOKUP(G1380,precio_barras,9,FALSE),0)</f>
        <v>231.4</v>
      </c>
      <c r="K1380" s="705">
        <v>0</v>
      </c>
      <c r="L1380" s="695" t="str">
        <f>IF(G1380&lt;&gt;"",IF(VLOOKUP(G1380,base_barras,10,FALSE)&lt;&gt;"",VLOOKUP(G1380,base_barras,10,FALSE),"-"),"-")</f>
        <v>1.5/1600</v>
      </c>
      <c r="M1380" s="478">
        <f>IF(L1380&lt;&gt;"-",VLOOKUP(L1380,precio_aislador,2,FALSE),0)</f>
        <v>22</v>
      </c>
      <c r="N1380" s="696">
        <f>(I1380*J1380*F1380+K1380*M1380)*E1380*1.67*1.25</f>
        <v>0</v>
      </c>
      <c r="O1380" s="288"/>
      <c r="P1380" s="297"/>
      <c r="Q1380" s="297"/>
    </row>
    <row r="1381" spans="1:20" s="199" customFormat="1" ht="15.75" customHeight="1" thickBot="1">
      <c r="A1381" s="2640"/>
      <c r="B1381" s="700" t="s">
        <v>2504</v>
      </c>
      <c r="C1381" s="701"/>
      <c r="D1381" s="364">
        <f>IF(H1381&lt;&gt;"",VLOOKUP(G1381,base_barras,IF(H1381="Desnuda",2,5)+F1381-1,FALSE),"-")</f>
        <v>3170</v>
      </c>
      <c r="E1381" s="365">
        <v>4</v>
      </c>
      <c r="F1381" s="366">
        <v>3</v>
      </c>
      <c r="G1381" s="322" t="s">
        <v>582</v>
      </c>
      <c r="H1381" s="366" t="s">
        <v>1043</v>
      </c>
      <c r="I1381" s="367">
        <v>0</v>
      </c>
      <c r="J1381" s="368">
        <f>IF(G1381&lt;&gt;"",VLOOKUP(G1381,precio_barras,9,FALSE),0)</f>
        <v>71.100000000000009</v>
      </c>
      <c r="K1381" s="702">
        <v>0</v>
      </c>
      <c r="L1381" s="703" t="str">
        <f>IF(G1381&lt;&gt;"",IF(VLOOKUP(G1381,base_barras,10,FALSE)&lt;&gt;"",VLOOKUP(G1381,base_barras,10,FALSE),"-"),"-")</f>
        <v>1/1000</v>
      </c>
      <c r="M1381" s="480">
        <f>IF(L1381&lt;&gt;"-",VLOOKUP(L1381,precio_aislador,2,FALSE),0)</f>
        <v>2.7</v>
      </c>
      <c r="N1381" s="704">
        <f>(I1381*J1381*F1381+K1381*M1381)*E1381*1.67*1.25</f>
        <v>0</v>
      </c>
      <c r="O1381" s="288"/>
      <c r="P1381" s="297"/>
      <c r="Q1381" s="288"/>
      <c r="R1381" s="102"/>
      <c r="S1381" s="102"/>
      <c r="T1381" s="102"/>
    </row>
    <row r="1382" spans="1:20" s="102" customFormat="1" ht="13.5" thickBot="1">
      <c r="A1382" s="323"/>
      <c r="B1382" s="323"/>
      <c r="C1382" s="309"/>
      <c r="D1382" s="382"/>
      <c r="E1382" s="323"/>
      <c r="F1382" s="309"/>
      <c r="G1382" s="309"/>
      <c r="H1382" s="323"/>
      <c r="I1382" s="325"/>
      <c r="J1382" s="325"/>
      <c r="K1382" s="323"/>
      <c r="L1382" s="323"/>
      <c r="M1382" s="325"/>
      <c r="N1382" s="706">
        <f>SUM(N1378:N1381)</f>
        <v>0</v>
      </c>
      <c r="O1382" s="288"/>
      <c r="P1382" s="297"/>
      <c r="Q1382" s="297"/>
    </row>
    <row r="1383" spans="1:20" s="102" customFormat="1" ht="8.25" customHeight="1" thickBot="1">
      <c r="A1383" s="323"/>
      <c r="B1383" s="323"/>
      <c r="C1383" s="323"/>
      <c r="D1383" s="382"/>
      <c r="E1383" s="323"/>
      <c r="F1383" s="325"/>
      <c r="G1383" s="325"/>
      <c r="H1383" s="325"/>
      <c r="I1383" s="323"/>
      <c r="J1383" s="323"/>
      <c r="K1383" s="323"/>
      <c r="L1383" s="325"/>
      <c r="M1383" s="323"/>
      <c r="N1383" s="309"/>
      <c r="O1383" s="288"/>
      <c r="P1383" s="297"/>
      <c r="Q1383" s="288"/>
    </row>
    <row r="1384" spans="1:20" s="102" customFormat="1" ht="12.75" customHeight="1">
      <c r="A1384" s="2639" t="s">
        <v>2505</v>
      </c>
      <c r="B1384" s="687" t="s">
        <v>2506</v>
      </c>
      <c r="C1384" s="327"/>
      <c r="D1384" s="328">
        <f>IF(H1384&lt;&gt;"",VLOOKUP(G1384,base_barras,IF(H1384="Desnuda",2,5)+F1384-1,FALSE),"-")</f>
        <v>3290</v>
      </c>
      <c r="E1384" s="329">
        <v>4</v>
      </c>
      <c r="F1384" s="330">
        <v>1</v>
      </c>
      <c r="G1384" s="331" t="s">
        <v>584</v>
      </c>
      <c r="H1384" s="330" t="s">
        <v>1043</v>
      </c>
      <c r="I1384" s="332">
        <v>0</v>
      </c>
      <c r="J1384" s="333">
        <f>IF(G1384&lt;&gt;"",VLOOKUP(G1384,precio_barras,9,FALSE),0)</f>
        <v>231.4</v>
      </c>
      <c r="K1384" s="481">
        <v>0</v>
      </c>
      <c r="L1384" s="343" t="str">
        <f>IF(G1384&lt;&gt;"",IF(VLOOKUP(G1384,base_barras,10,FALSE)&lt;&gt;"",VLOOKUP(G1384,base_barras,10,FALSE),"-"),"-")</f>
        <v>1.5/1600</v>
      </c>
      <c r="M1384" s="333">
        <f>IF(L1384&lt;&gt;"-",VLOOKUP(L1384,precio_aislador,2,FALSE),0)</f>
        <v>22</v>
      </c>
      <c r="N1384" s="360">
        <f>(I1384*J1384*F1384+K1384*M1384)*E1384*1.67*1.25</f>
        <v>0</v>
      </c>
      <c r="O1384" s="288"/>
      <c r="P1384" s="297"/>
      <c r="Q1384" s="297"/>
    </row>
    <row r="1385" spans="1:20" s="102" customFormat="1" ht="13.5" thickBot="1">
      <c r="A1385" s="2644"/>
      <c r="B1385" s="707" t="s">
        <v>2504</v>
      </c>
      <c r="C1385" s="479"/>
      <c r="D1385" s="364">
        <f>IF(H1385&lt;&gt;"",VLOOKUP(G1385,base_barras,IF(H1385="Desnuda",2,5)+F1385-1,FALSE),"-")</f>
        <v>3170</v>
      </c>
      <c r="E1385" s="365">
        <v>4</v>
      </c>
      <c r="F1385" s="366">
        <v>3</v>
      </c>
      <c r="G1385" s="322" t="s">
        <v>582</v>
      </c>
      <c r="H1385" s="366" t="s">
        <v>1043</v>
      </c>
      <c r="I1385" s="367">
        <v>0</v>
      </c>
      <c r="J1385" s="368">
        <f>IF(G1385&lt;&gt;"",VLOOKUP(G1385,precio_barras,9,FALSE),0)</f>
        <v>71.100000000000009</v>
      </c>
      <c r="K1385" s="365">
        <v>0</v>
      </c>
      <c r="L1385" s="369" t="str">
        <f>IF(G1385&lt;&gt;"",IF(VLOOKUP(G1385,base_barras,10,FALSE)&lt;&gt;"",VLOOKUP(G1385,base_barras,10,FALSE),"-"),"-")</f>
        <v>1/1000</v>
      </c>
      <c r="M1385" s="368">
        <f>IF(L1385&lt;&gt;"-",VLOOKUP(L1385,precio_aislador,2,FALSE),0)</f>
        <v>2.7</v>
      </c>
      <c r="N1385" s="370">
        <f>(I1385*J1385*F1385+K1385*M1385)*E1385*1.67*1.25</f>
        <v>0</v>
      </c>
      <c r="O1385" s="288"/>
      <c r="P1385" s="297"/>
      <c r="Q1385" s="297"/>
    </row>
    <row r="1386" spans="1:20" s="102" customFormat="1" ht="12.75" customHeight="1">
      <c r="A1386" s="2644"/>
      <c r="B1386" s="692" t="s">
        <v>2506</v>
      </c>
      <c r="C1386" s="693"/>
      <c r="D1386" s="697">
        <f>IF(H1386&lt;&gt;"",VLOOKUP(G1386,base_barras,IF(H1386="Desnuda",2,5)+F1386-1,FALSE),"-")</f>
        <v>3290</v>
      </c>
      <c r="E1386" s="694">
        <v>4</v>
      </c>
      <c r="F1386" s="655">
        <v>1</v>
      </c>
      <c r="G1386" s="698" t="s">
        <v>584</v>
      </c>
      <c r="H1386" s="655" t="s">
        <v>1043</v>
      </c>
      <c r="I1386" s="398">
        <v>0</v>
      </c>
      <c r="J1386" s="478">
        <f>IF(G1386&lt;&gt;"",VLOOKUP(G1386,precio_barras,9,FALSE),0)</f>
        <v>231.4</v>
      </c>
      <c r="K1386" s="705">
        <v>0</v>
      </c>
      <c r="L1386" s="695" t="str">
        <f>IF(G1386&lt;&gt;"",IF(VLOOKUP(G1386,base_barras,10,FALSE)&lt;&gt;"",VLOOKUP(G1386,base_barras,10,FALSE),"-"),"-")</f>
        <v>1.5/1600</v>
      </c>
      <c r="M1386" s="478">
        <f>IF(L1386&lt;&gt;"-",VLOOKUP(L1386,precio_aislador,2,FALSE),0)</f>
        <v>22</v>
      </c>
      <c r="N1386" s="696">
        <f>(I1386*J1386*F1386+K1386*M1386)*E1386*1.67*1.25</f>
        <v>0</v>
      </c>
      <c r="O1386" s="288"/>
      <c r="P1386" s="297"/>
      <c r="Q1386" s="297"/>
    </row>
    <row r="1387" spans="1:20" s="102" customFormat="1" ht="13.5" thickBot="1">
      <c r="A1387" s="2640"/>
      <c r="B1387" s="700" t="s">
        <v>2504</v>
      </c>
      <c r="C1387" s="701"/>
      <c r="D1387" s="708">
        <f>IF(H1387&lt;&gt;"",VLOOKUP(G1387,base_barras,IF(H1387="Desnuda",2,5)+F1387-1,FALSE),"-")</f>
        <v>3170</v>
      </c>
      <c r="E1387" s="702">
        <v>4</v>
      </c>
      <c r="F1387" s="709">
        <v>3</v>
      </c>
      <c r="G1387" s="710" t="s">
        <v>582</v>
      </c>
      <c r="H1387" s="709" t="s">
        <v>1043</v>
      </c>
      <c r="I1387" s="711">
        <v>0</v>
      </c>
      <c r="J1387" s="480">
        <f>IF(G1387&lt;&gt;"",VLOOKUP(G1387,precio_barras,9,FALSE),0)</f>
        <v>71.100000000000009</v>
      </c>
      <c r="K1387" s="702">
        <v>0</v>
      </c>
      <c r="L1387" s="703" t="str">
        <f>IF(G1387&lt;&gt;"",IF(VLOOKUP(G1387,base_barras,10,FALSE)&lt;&gt;"",VLOOKUP(G1387,base_barras,10,FALSE),"-"),"-")</f>
        <v>1/1000</v>
      </c>
      <c r="M1387" s="480">
        <f>IF(L1387&lt;&gt;"-",VLOOKUP(L1387,precio_aislador,2,FALSE),0)</f>
        <v>2.7</v>
      </c>
      <c r="N1387" s="704">
        <f>(I1387*J1387*F1387+K1387*M1387)*E1387*1.67*1.25</f>
        <v>0</v>
      </c>
      <c r="O1387" s="288"/>
      <c r="P1387" s="297"/>
      <c r="Q1387" s="297"/>
    </row>
    <row r="1388" spans="1:20" s="102" customFormat="1" ht="13.5" thickBot="1">
      <c r="A1388" s="323"/>
      <c r="B1388" s="323"/>
      <c r="C1388" s="309"/>
      <c r="D1388" s="382"/>
      <c r="E1388" s="323"/>
      <c r="F1388" s="309"/>
      <c r="G1388" s="309"/>
      <c r="H1388" s="323"/>
      <c r="I1388" s="325"/>
      <c r="J1388" s="325"/>
      <c r="K1388" s="323"/>
      <c r="L1388" s="323"/>
      <c r="M1388" s="325"/>
      <c r="N1388" s="706">
        <f>SUM(N1384:N1387)</f>
        <v>0</v>
      </c>
      <c r="O1388" s="288"/>
      <c r="P1388" s="297"/>
      <c r="Q1388" s="297"/>
    </row>
    <row r="1389" spans="1:20" s="102" customFormat="1" ht="8.25" customHeight="1" thickBot="1">
      <c r="A1389" s="323"/>
      <c r="B1389" s="323"/>
      <c r="C1389" s="323"/>
      <c r="D1389" s="382"/>
      <c r="E1389" s="323"/>
      <c r="F1389" s="325"/>
      <c r="G1389" s="325"/>
      <c r="H1389" s="325"/>
      <c r="I1389" s="323"/>
      <c r="J1389" s="323"/>
      <c r="K1389" s="323"/>
      <c r="L1389" s="325"/>
      <c r="M1389" s="323"/>
      <c r="N1389" s="309"/>
      <c r="O1389" s="288"/>
      <c r="P1389" s="297"/>
      <c r="Q1389" s="288"/>
    </row>
    <row r="1390" spans="1:20" s="102" customFormat="1">
      <c r="A1390" s="2629" t="s">
        <v>1228</v>
      </c>
      <c r="B1390" s="687" t="s">
        <v>2507</v>
      </c>
      <c r="C1390" s="327"/>
      <c r="D1390" s="328">
        <f>IF(H1390&lt;&gt;"",VLOOKUP(G1390,base_barras,IF(H1390="Desnuda",2,5)+F1390-1,FALSE),"-")</f>
        <v>1500</v>
      </c>
      <c r="E1390" s="481">
        <v>3</v>
      </c>
      <c r="F1390" s="330">
        <v>1</v>
      </c>
      <c r="G1390" s="331" t="s">
        <v>582</v>
      </c>
      <c r="H1390" s="330" t="s">
        <v>1043</v>
      </c>
      <c r="I1390" s="332">
        <v>0</v>
      </c>
      <c r="J1390" s="333">
        <f>IF(G1390&lt;&gt;"",VLOOKUP(G1390,precio_barras,9,FALSE),0)</f>
        <v>71.100000000000009</v>
      </c>
      <c r="K1390" s="329">
        <v>0</v>
      </c>
      <c r="L1390" s="343" t="str">
        <f>IF(G1390&lt;&gt;"",IF(VLOOKUP(G1390,base_barras,10,FALSE)&lt;&gt;"",VLOOKUP(G1390,base_barras,10,FALSE),"-"),"-")</f>
        <v>1/1000</v>
      </c>
      <c r="M1390" s="333">
        <f>IF(L1390&lt;&gt;"-",VLOOKUP(L1390,precio_aislador,2,FALSE),0)</f>
        <v>2.7</v>
      </c>
      <c r="N1390" s="360">
        <f>(I1390*J1390*F1390+K1390*M1390)*E1390*1.67*1.25</f>
        <v>0</v>
      </c>
      <c r="O1390" s="288"/>
      <c r="P1390" s="297"/>
      <c r="Q1390" s="297"/>
    </row>
    <row r="1391" spans="1:20" s="102" customFormat="1" ht="13.5" thickBot="1">
      <c r="A1391" s="2635"/>
      <c r="B1391" s="707"/>
      <c r="C1391" s="479"/>
      <c r="D1391" s="364" t="str">
        <f>IF(H1391&lt;&gt;"",VLOOKUP(G1391,base_barras,IF(H1391="Desnuda",2,5)+F1391-1,FALSE),"-")</f>
        <v>-</v>
      </c>
      <c r="E1391" s="365"/>
      <c r="F1391" s="366"/>
      <c r="G1391" s="322"/>
      <c r="H1391" s="366"/>
      <c r="I1391" s="367"/>
      <c r="J1391" s="480">
        <f>IF(G1391&lt;&gt;"",VLOOKUP(G1391,precio_barras,9,FALSE),0)</f>
        <v>0</v>
      </c>
      <c r="K1391" s="365"/>
      <c r="L1391" s="369" t="str">
        <f>IF(G1391&lt;&gt;"",IF(VLOOKUP(G1391,base_barras,10,FALSE)&lt;&gt;"",VLOOKUP(G1391,base_barras,10,FALSE),"-"),"-")</f>
        <v>-</v>
      </c>
      <c r="M1391" s="368">
        <f>IF(L1391&lt;&gt;"-",VLOOKUP(L1391,precio_aislador,2,FALSE),0)</f>
        <v>0</v>
      </c>
      <c r="N1391" s="370">
        <f>(I1391*J1391*F1391+K1391*M1391)*E1391*1.67*1.25</f>
        <v>0</v>
      </c>
      <c r="O1391" s="288"/>
      <c r="P1391" s="297"/>
      <c r="Q1391" s="297"/>
    </row>
    <row r="1392" spans="1:20" s="102" customFormat="1" ht="13.5" thickBot="1">
      <c r="A1392" s="323"/>
      <c r="B1392" s="323"/>
      <c r="C1392" s="309"/>
      <c r="D1392" s="382"/>
      <c r="E1392" s="323"/>
      <c r="F1392" s="309"/>
      <c r="G1392" s="309"/>
      <c r="H1392" s="323"/>
      <c r="I1392" s="325"/>
      <c r="J1392" s="325"/>
      <c r="K1392" s="323"/>
      <c r="L1392" s="323"/>
      <c r="M1392" s="325"/>
      <c r="N1392" s="706">
        <f>SUM(N1390:N1391)</f>
        <v>0</v>
      </c>
      <c r="O1392" s="288"/>
      <c r="P1392" s="297"/>
      <c r="Q1392" s="297"/>
    </row>
    <row r="1393" spans="1:20" s="102" customFormat="1" ht="8.25" customHeight="1" thickBot="1">
      <c r="A1393" s="323"/>
      <c r="B1393" s="323"/>
      <c r="C1393" s="323"/>
      <c r="D1393" s="382"/>
      <c r="E1393" s="323"/>
      <c r="F1393" s="325"/>
      <c r="G1393" s="325"/>
      <c r="H1393" s="325"/>
      <c r="I1393" s="323"/>
      <c r="J1393" s="323"/>
      <c r="K1393" s="323"/>
      <c r="L1393" s="325"/>
      <c r="M1393" s="323"/>
      <c r="N1393" s="309"/>
      <c r="O1393" s="288"/>
      <c r="P1393" s="297"/>
      <c r="Q1393" s="288"/>
    </row>
    <row r="1394" spans="1:20" s="102" customFormat="1">
      <c r="A1394" s="2639" t="s">
        <v>2508</v>
      </c>
      <c r="B1394" s="687" t="s">
        <v>2504</v>
      </c>
      <c r="C1394" s="327"/>
      <c r="D1394" s="328">
        <f>IF(H1394&lt;&gt;"",VLOOKUP(G1394,base_barras,IF(H1394="Desnuda",2,5)+F1394-1,FALSE),"-")</f>
        <v>3170</v>
      </c>
      <c r="E1394" s="329">
        <v>4</v>
      </c>
      <c r="F1394" s="330">
        <v>3</v>
      </c>
      <c r="G1394" s="331" t="s">
        <v>582</v>
      </c>
      <c r="H1394" s="330" t="s">
        <v>1043</v>
      </c>
      <c r="I1394" s="332">
        <v>0</v>
      </c>
      <c r="J1394" s="333">
        <f>IF(G1394&lt;&gt;"",VLOOKUP(G1394,precio_barras,9,FALSE),0)</f>
        <v>71.100000000000009</v>
      </c>
      <c r="K1394" s="329">
        <v>0</v>
      </c>
      <c r="L1394" s="343" t="str">
        <f>IF(G1394&lt;&gt;"",IF(VLOOKUP(G1394,base_barras,10,FALSE)&lt;&gt;"",VLOOKUP(G1394,base_barras,10,FALSE),"-"),"-")</f>
        <v>1/1000</v>
      </c>
      <c r="M1394" s="333">
        <f>IF(L1394&lt;&gt;"-",VLOOKUP(L1394,precio_aislador,2,FALSE),0)</f>
        <v>2.7</v>
      </c>
      <c r="N1394" s="360">
        <f>(I1394*J1394*F1394+K1394*M1394)*E1394*1.67*1.25</f>
        <v>0</v>
      </c>
      <c r="O1394" s="288"/>
      <c r="P1394" s="297"/>
      <c r="Q1394" s="297"/>
    </row>
    <row r="1395" spans="1:20" s="199" customFormat="1" ht="15.75" customHeight="1">
      <c r="A1395" s="2646"/>
      <c r="B1395" s="692" t="s">
        <v>2498</v>
      </c>
      <c r="C1395" s="693"/>
      <c r="D1395" s="697">
        <f>IF(H1395&lt;&gt;"",VLOOKUP(G1395,base_barras,IF(H1395="Desnuda",2,5)+F1395-1,FALSE),"-")</f>
        <v>2850</v>
      </c>
      <c r="E1395" s="694">
        <v>4</v>
      </c>
      <c r="F1395" s="655">
        <v>2</v>
      </c>
      <c r="G1395" s="698" t="s">
        <v>468</v>
      </c>
      <c r="H1395" s="655" t="s">
        <v>1043</v>
      </c>
      <c r="I1395" s="398">
        <v>0</v>
      </c>
      <c r="J1395" s="478">
        <f>IF(G1395&lt;&gt;"",VLOOKUP(G1395,precio_barras,9,FALSE),0)</f>
        <v>88.9</v>
      </c>
      <c r="K1395" s="694">
        <v>0</v>
      </c>
      <c r="L1395" s="695" t="str">
        <f>IF(G1395&lt;&gt;"",IF(VLOOKUP(G1395,base_barras,10,FALSE)&lt;&gt;"",VLOOKUP(G1395,base_barras,10,FALSE),"-"),"-")</f>
        <v>1.5/1250</v>
      </c>
      <c r="M1395" s="478">
        <f>IF(L1395&lt;&gt;"-",VLOOKUP(L1395,precio_aislador,2,FALSE),0)</f>
        <v>5.5</v>
      </c>
      <c r="N1395" s="696">
        <f>(I1395*J1395*F1395+K1395*M1395)*E1395*1.67*1.25</f>
        <v>0</v>
      </c>
      <c r="O1395" s="288"/>
      <c r="P1395" s="297"/>
      <c r="Q1395" s="288"/>
      <c r="R1395" s="102"/>
      <c r="S1395" s="102"/>
      <c r="T1395" s="102"/>
    </row>
    <row r="1396" spans="1:20" s="199" customFormat="1" ht="15.75" customHeight="1" thickBot="1">
      <c r="A1396" s="2646"/>
      <c r="B1396" s="707" t="s">
        <v>2498</v>
      </c>
      <c r="C1396" s="479"/>
      <c r="D1396" s="364">
        <f>IF(H1396&lt;&gt;"",VLOOKUP(G1396,base_barras,IF(H1396="Desnuda",2,5)+F1396-1,FALSE),"-")</f>
        <v>2850</v>
      </c>
      <c r="E1396" s="365">
        <v>4</v>
      </c>
      <c r="F1396" s="366">
        <v>2</v>
      </c>
      <c r="G1396" s="322" t="s">
        <v>468</v>
      </c>
      <c r="H1396" s="366" t="s">
        <v>1043</v>
      </c>
      <c r="I1396" s="367">
        <v>0</v>
      </c>
      <c r="J1396" s="368">
        <f>IF(G1396&lt;&gt;"",VLOOKUP(G1396,precio_barras,9,FALSE),0)</f>
        <v>88.9</v>
      </c>
      <c r="K1396" s="365">
        <v>0</v>
      </c>
      <c r="L1396" s="369" t="str">
        <f>IF(G1396&lt;&gt;"",IF(VLOOKUP(G1396,base_barras,10,FALSE)&lt;&gt;"",VLOOKUP(G1396,base_barras,10,FALSE),"-"),"-")</f>
        <v>1.5/1250</v>
      </c>
      <c r="M1396" s="368">
        <f>IF(L1396&lt;&gt;"-",VLOOKUP(L1396,precio_aislador,2,FALSE),0)</f>
        <v>5.5</v>
      </c>
      <c r="N1396" s="370">
        <f>(I1396*J1396*F1396+K1396*M1396)*E1396*1.67*1.25</f>
        <v>0</v>
      </c>
      <c r="O1396" s="288"/>
      <c r="P1396" s="297"/>
      <c r="Q1396" s="288"/>
      <c r="R1396" s="102"/>
      <c r="S1396" s="102"/>
      <c r="T1396" s="102"/>
    </row>
    <row r="1397" spans="1:20" s="102" customFormat="1">
      <c r="A1397" s="2646"/>
      <c r="B1397" s="692" t="s">
        <v>2504</v>
      </c>
      <c r="C1397" s="693"/>
      <c r="D1397" s="697">
        <f>IF(H1397&lt;&gt;"",VLOOKUP(G1397,base_barras,IF(H1397="Desnuda",2,5)+F1397-1,FALSE),"-")</f>
        <v>3170</v>
      </c>
      <c r="E1397" s="694">
        <v>4</v>
      </c>
      <c r="F1397" s="655">
        <v>3</v>
      </c>
      <c r="G1397" s="698" t="s">
        <v>582</v>
      </c>
      <c r="H1397" s="655" t="s">
        <v>1043</v>
      </c>
      <c r="I1397" s="398">
        <v>0</v>
      </c>
      <c r="J1397" s="478">
        <f>IF(G1397&lt;&gt;"",VLOOKUP(G1397,precio_barras,9,FALSE),0)</f>
        <v>71.100000000000009</v>
      </c>
      <c r="K1397" s="694">
        <v>0</v>
      </c>
      <c r="L1397" s="695" t="str">
        <f>IF(G1397&lt;&gt;"",IF(VLOOKUP(G1397,base_barras,10,FALSE)&lt;&gt;"",VLOOKUP(G1397,base_barras,10,FALSE),"-"),"-")</f>
        <v>1/1000</v>
      </c>
      <c r="M1397" s="478">
        <f>IF(L1397&lt;&gt;"-",VLOOKUP(L1397,precio_aislador,2,FALSE),0)</f>
        <v>2.7</v>
      </c>
      <c r="N1397" s="696">
        <f>(I1397*J1397*F1397+K1397*M1397)*E1397*1.67*1.25</f>
        <v>0</v>
      </c>
      <c r="O1397" s="288"/>
      <c r="P1397" s="297"/>
      <c r="Q1397" s="297"/>
    </row>
    <row r="1398" spans="1:20" s="199" customFormat="1" ht="15.75" customHeight="1" thickBot="1">
      <c r="A1398" s="2647"/>
      <c r="B1398" s="700" t="s">
        <v>2498</v>
      </c>
      <c r="C1398" s="701"/>
      <c r="D1398" s="708">
        <f>IF(H1398&lt;&gt;"",VLOOKUP(G1398,base_barras,IF(H1398="Desnuda",2,5)+F1398-1,FALSE),"-")</f>
        <v>2850</v>
      </c>
      <c r="E1398" s="702">
        <v>4</v>
      </c>
      <c r="F1398" s="709">
        <v>2</v>
      </c>
      <c r="G1398" s="710" t="s">
        <v>468</v>
      </c>
      <c r="H1398" s="709" t="s">
        <v>1043</v>
      </c>
      <c r="I1398" s="711">
        <v>0</v>
      </c>
      <c r="J1398" s="480">
        <f>IF(G1398&lt;&gt;"",VLOOKUP(G1398,precio_barras,9,FALSE),0)</f>
        <v>88.9</v>
      </c>
      <c r="K1398" s="702">
        <v>0</v>
      </c>
      <c r="L1398" s="703" t="str">
        <f>IF(G1398&lt;&gt;"",IF(VLOOKUP(G1398,base_barras,10,FALSE)&lt;&gt;"",VLOOKUP(G1398,base_barras,10,FALSE),"-"),"-")</f>
        <v>1.5/1250</v>
      </c>
      <c r="M1398" s="480">
        <f>IF(L1398&lt;&gt;"-",VLOOKUP(L1398,precio_aislador,2,FALSE),0)</f>
        <v>5.5</v>
      </c>
      <c r="N1398" s="704">
        <f>(I1398*J1398*F1398+K1398*M1398)*E1398*1.67*1.25</f>
        <v>0</v>
      </c>
      <c r="O1398" s="288"/>
      <c r="P1398" s="297"/>
      <c r="Q1398" s="288"/>
      <c r="R1398" s="102"/>
      <c r="S1398" s="102"/>
      <c r="T1398" s="102"/>
    </row>
    <row r="1399" spans="1:20" s="102" customFormat="1" ht="13.5" thickBot="1">
      <c r="A1399" s="323"/>
      <c r="B1399" s="323"/>
      <c r="C1399" s="309"/>
      <c r="D1399" s="382"/>
      <c r="E1399" s="323"/>
      <c r="F1399" s="309"/>
      <c r="G1399" s="309"/>
      <c r="H1399" s="323"/>
      <c r="I1399" s="325"/>
      <c r="J1399" s="325"/>
      <c r="K1399" s="323"/>
      <c r="L1399" s="323"/>
      <c r="M1399" s="325"/>
      <c r="N1399" s="706">
        <f>SUM(N1394:N1398)</f>
        <v>0</v>
      </c>
      <c r="O1399" s="288"/>
      <c r="P1399" s="297"/>
      <c r="Q1399" s="297"/>
    </row>
    <row r="1400" spans="1:20" s="102" customFormat="1" ht="8.25" customHeight="1" thickBot="1">
      <c r="A1400" s="323"/>
      <c r="B1400" s="323"/>
      <c r="C1400" s="323"/>
      <c r="D1400" s="382"/>
      <c r="E1400" s="323"/>
      <c r="F1400" s="325"/>
      <c r="G1400" s="325"/>
      <c r="H1400" s="325"/>
      <c r="I1400" s="323"/>
      <c r="J1400" s="323"/>
      <c r="K1400" s="323"/>
      <c r="L1400" s="325"/>
      <c r="M1400" s="323"/>
      <c r="N1400" s="309"/>
      <c r="O1400" s="288"/>
      <c r="P1400" s="297"/>
      <c r="Q1400" s="288"/>
    </row>
    <row r="1401" spans="1:20" s="199" customFormat="1" ht="14.25" customHeight="1">
      <c r="A1401" s="2629" t="s">
        <v>1034</v>
      </c>
      <c r="B1401" s="687" t="s">
        <v>2525</v>
      </c>
      <c r="C1401" s="327"/>
      <c r="D1401" s="328">
        <f>IF(H1401&lt;&gt;"",VLOOKUP(G1401,base_barras,IF(H1401="Desnuda",2,5)+F1401-1,FALSE),"-")</f>
        <v>1180</v>
      </c>
      <c r="E1401" s="329">
        <v>3</v>
      </c>
      <c r="F1401" s="330">
        <v>1</v>
      </c>
      <c r="G1401" s="331" t="s">
        <v>581</v>
      </c>
      <c r="H1401" s="330" t="s">
        <v>1043</v>
      </c>
      <c r="I1401" s="332">
        <f>0.45</f>
        <v>0.45</v>
      </c>
      <c r="J1401" s="333">
        <f>IF(G1401&lt;&gt;"",VLOOKUP(G1401,precio_barras,9,FALSE),0)</f>
        <v>53.3</v>
      </c>
      <c r="K1401" s="329">
        <v>1</v>
      </c>
      <c r="L1401" s="343" t="str">
        <f>IF(G1401&lt;&gt;"",IF(VLOOKUP(G1401,base_barras,10,FALSE)&lt;&gt;"",VLOOKUP(G1401,base_barras,10,FALSE),"-"),"-")</f>
        <v>1/750</v>
      </c>
      <c r="M1401" s="333">
        <f>IF(L1401&lt;&gt;"-",VLOOKUP(L1401,precio_aislador,2,FALSE),0)</f>
        <v>1.9</v>
      </c>
      <c r="N1401" s="360">
        <f>(I1401*J1401*F1401+K1401*M1401)*E1401*1.67*1.25</f>
        <v>162.10481250000001</v>
      </c>
      <c r="O1401" s="288"/>
      <c r="P1401" s="297"/>
      <c r="Q1401" s="288"/>
      <c r="R1401" s="102"/>
      <c r="S1401" s="102"/>
      <c r="T1401" s="102"/>
    </row>
    <row r="1402" spans="1:20" s="102" customFormat="1" ht="14.25" customHeight="1" thickBot="1">
      <c r="A1402" s="2635"/>
      <c r="B1402" s="700" t="s">
        <v>2531</v>
      </c>
      <c r="C1402" s="701"/>
      <c r="D1402" s="708">
        <f>IF(H1402&lt;&gt;"",VLOOKUP(G1402,base_barras,IF(H1402="Desnuda",2,5)+F1402-1,FALSE),"-")</f>
        <v>850</v>
      </c>
      <c r="E1402" s="702">
        <v>3</v>
      </c>
      <c r="F1402" s="709">
        <v>1</v>
      </c>
      <c r="G1402" s="710" t="s">
        <v>469</v>
      </c>
      <c r="H1402" s="709" t="s">
        <v>1043</v>
      </c>
      <c r="I1402" s="711">
        <v>0</v>
      </c>
      <c r="J1402" s="480">
        <f>IF(G1402&lt;&gt;"",VLOOKUP(G1402,precio_barras,9,FALSE),0)</f>
        <v>35.6</v>
      </c>
      <c r="K1402" s="702">
        <v>0</v>
      </c>
      <c r="L1402" s="703" t="str">
        <f>IF(G1402&lt;&gt;"",IF(VLOOKUP(G1402,base_barras,10,FALSE)&lt;&gt;"",VLOOKUP(G1402,base_barras,10,FALSE),"-"),"-")</f>
        <v>1/750</v>
      </c>
      <c r="M1402" s="480">
        <f>IF(L1402&lt;&gt;"-",VLOOKUP(L1402,precio_aislador,2,FALSE),0)</f>
        <v>1.9</v>
      </c>
      <c r="N1402" s="704">
        <f>(I1402*J1402*F1402+K1402*M1402)*E1402*1.67*1.25</f>
        <v>0</v>
      </c>
      <c r="O1402" s="288"/>
      <c r="P1402" s="297"/>
      <c r="Q1402" s="297"/>
    </row>
    <row r="1403" spans="1:20" s="102" customFormat="1" ht="13.5" thickBot="1">
      <c r="A1403" s="323"/>
      <c r="B1403" s="323"/>
      <c r="C1403" s="309"/>
      <c r="D1403" s="382"/>
      <c r="E1403" s="323"/>
      <c r="F1403" s="309"/>
      <c r="G1403" s="309"/>
      <c r="H1403" s="323"/>
      <c r="I1403" s="325"/>
      <c r="J1403" s="325"/>
      <c r="K1403" s="323"/>
      <c r="L1403" s="323"/>
      <c r="M1403" s="325"/>
      <c r="N1403" s="706">
        <f>SUM(N1401:N1402)</f>
        <v>162.10481250000001</v>
      </c>
      <c r="O1403" s="288"/>
      <c r="P1403" s="297"/>
      <c r="Q1403" s="297"/>
    </row>
    <row r="1404" spans="1:20" s="102" customFormat="1">
      <c r="A1404" s="323"/>
      <c r="B1404" s="309"/>
      <c r="C1404" s="309"/>
      <c r="D1404" s="382"/>
      <c r="E1404" s="323"/>
      <c r="F1404" s="309"/>
      <c r="G1404" s="309"/>
      <c r="H1404" s="323"/>
      <c r="I1404" s="325"/>
      <c r="J1404" s="325"/>
      <c r="K1404" s="323"/>
      <c r="L1404" s="323"/>
      <c r="M1404" s="325"/>
      <c r="N1404" s="722"/>
      <c r="O1404" s="288"/>
      <c r="P1404" s="297"/>
      <c r="Q1404" s="297"/>
    </row>
    <row r="1405" spans="1:20" s="102" customFormat="1">
      <c r="A1405" s="323"/>
      <c r="B1405" s="309"/>
      <c r="C1405" s="309"/>
      <c r="D1405" s="382"/>
      <c r="E1405" s="323"/>
      <c r="F1405" s="309"/>
      <c r="G1405" s="309"/>
      <c r="H1405" s="323"/>
      <c r="I1405" s="325"/>
      <c r="J1405" s="325"/>
      <c r="K1405" s="323"/>
      <c r="L1405" s="323"/>
      <c r="M1405" s="325"/>
      <c r="N1405" s="722"/>
      <c r="O1405" s="288"/>
      <c r="P1405" s="297"/>
      <c r="Q1405" s="297"/>
    </row>
    <row r="1406" spans="1:20" s="102" customFormat="1" ht="15">
      <c r="A1406" s="323"/>
      <c r="B1406" s="723" t="s">
        <v>2513</v>
      </c>
      <c r="C1406" s="309"/>
      <c r="D1406" s="382"/>
      <c r="E1406" s="323"/>
      <c r="F1406" s="309"/>
      <c r="G1406" s="309"/>
      <c r="H1406" s="323"/>
      <c r="I1406" s="325"/>
      <c r="J1406" s="325"/>
      <c r="K1406" s="323"/>
      <c r="L1406" s="323"/>
      <c r="M1406" s="325"/>
      <c r="N1406" s="722"/>
      <c r="O1406" s="288"/>
      <c r="P1406" s="297"/>
      <c r="Q1406" s="297"/>
    </row>
    <row r="1407" spans="1:20" s="106" customFormat="1" ht="29.25" customHeight="1">
      <c r="B1407" s="724"/>
    </row>
    <row r="1408" spans="1:20" s="106" customFormat="1" ht="13.5" thickBot="1"/>
    <row r="1409" spans="1:20" s="199" customFormat="1" ht="15.75" customHeight="1">
      <c r="A1409" s="2641" t="s">
        <v>2533</v>
      </c>
      <c r="B1409" s="687" t="s">
        <v>2507</v>
      </c>
      <c r="C1409" s="327"/>
      <c r="D1409" s="328">
        <f>IF(H1409&lt;&gt;"",VLOOKUP(G1409,base_barras,IF(H1409="Desnuda",2,5)+F1409-1,FALSE),"-")</f>
        <v>850</v>
      </c>
      <c r="E1409" s="329">
        <v>3</v>
      </c>
      <c r="F1409" s="330">
        <v>1</v>
      </c>
      <c r="G1409" s="331" t="s">
        <v>469</v>
      </c>
      <c r="H1409" s="330" t="s">
        <v>1043</v>
      </c>
      <c r="I1409" s="332">
        <v>0</v>
      </c>
      <c r="J1409" s="333">
        <f>IF(G1409&lt;&gt;"",VLOOKUP(G1409,precio_barras,9,FALSE),0)</f>
        <v>35.6</v>
      </c>
      <c r="K1409" s="329">
        <v>0</v>
      </c>
      <c r="L1409" s="343" t="str">
        <f>IF(G1409&lt;&gt;"",IF(VLOOKUP(G1409,base_barras,10,FALSE)&lt;&gt;"",VLOOKUP(G1409,base_barras,10,FALSE),"-"),"-")</f>
        <v>1/750</v>
      </c>
      <c r="M1409" s="333">
        <f>IF(L1409&lt;&gt;"-",VLOOKUP(L1409,precio_aislador,2,FALSE),0)</f>
        <v>1.9</v>
      </c>
      <c r="N1409" s="360">
        <f>(I1409*J1409*F1409+K1409*M1409)*E1409*1.67*1.25</f>
        <v>0</v>
      </c>
      <c r="O1409" s="288"/>
      <c r="P1409" s="297"/>
      <c r="Q1409" s="288"/>
      <c r="R1409" s="102"/>
      <c r="S1409" s="102"/>
      <c r="T1409" s="102"/>
    </row>
    <row r="1410" spans="1:20" s="199" customFormat="1" ht="14.25">
      <c r="A1410" s="2642"/>
      <c r="B1410" s="688" t="s">
        <v>802</v>
      </c>
      <c r="C1410" s="319"/>
      <c r="D1410" s="312">
        <f>IF(H1410&lt;&gt;"",VLOOKUP(G1410,base_barras,IF(H1410="Desnuda",2,5)+F1410-1,FALSE),"-")</f>
        <v>497</v>
      </c>
      <c r="E1410" s="313">
        <v>1</v>
      </c>
      <c r="F1410" s="314">
        <v>1</v>
      </c>
      <c r="G1410" s="315" t="s">
        <v>62</v>
      </c>
      <c r="H1410" s="689" t="str">
        <f>H1409</f>
        <v>Pintada</v>
      </c>
      <c r="I1410" s="690">
        <v>0.8</v>
      </c>
      <c r="J1410" s="317">
        <f>IF(G1410&lt;&gt;"",VLOOKUP(G1410,precio_barras,9,FALSE),0)</f>
        <v>17.7</v>
      </c>
      <c r="K1410" s="691">
        <v>0</v>
      </c>
      <c r="L1410" s="318" t="str">
        <f>IF(G1410&lt;&gt;"",IF(VLOOKUP(G1410,base_barras,10,FALSE)&lt;&gt;"",VLOOKUP(G1410,base_barras,10,FALSE),"-"),"-")</f>
        <v>-</v>
      </c>
      <c r="M1410" s="317">
        <f>IF(L1410&lt;&gt;"-",VLOOKUP(L1410,precio_aislador,2,FALSE),0)</f>
        <v>0</v>
      </c>
      <c r="N1410" s="308">
        <f>(I1410*J1410*F1410+K1410*M1410)*E1410*1.67*1.25</f>
        <v>29.558999999999997</v>
      </c>
      <c r="O1410" s="288"/>
      <c r="P1410" s="297"/>
      <c r="Q1410" s="288"/>
      <c r="R1410" s="102"/>
      <c r="S1410" s="102"/>
      <c r="T1410" s="102"/>
    </row>
    <row r="1411" spans="1:20" s="199" customFormat="1" ht="15.75" customHeight="1" thickBot="1">
      <c r="A1411" s="2642"/>
      <c r="B1411" s="692" t="s">
        <v>2501</v>
      </c>
      <c r="C1411" s="693"/>
      <c r="D1411" s="312">
        <f>IF(H1411&lt;&gt;"",VLOOKUP(G1411,base_barras,IF(H1411="Desnuda",2,5)+F1411-1,FALSE),"-")</f>
        <v>715</v>
      </c>
      <c r="E1411" s="313">
        <v>3</v>
      </c>
      <c r="F1411" s="314">
        <v>1</v>
      </c>
      <c r="G1411" s="315" t="s">
        <v>469</v>
      </c>
      <c r="H1411" s="314" t="s">
        <v>1044</v>
      </c>
      <c r="I1411" s="316">
        <v>0.2</v>
      </c>
      <c r="J1411" s="317">
        <f>IF(G1411&lt;&gt;"",VLOOKUP(G1411,precio_barras,9,FALSE),0)</f>
        <v>35.6</v>
      </c>
      <c r="K1411" s="694">
        <v>0</v>
      </c>
      <c r="L1411" s="695" t="str">
        <f>IF(G1411&lt;&gt;"",IF(VLOOKUP(G1411,base_barras,10,FALSE)&lt;&gt;"",VLOOKUP(G1411,base_barras,10,FALSE),"-"),"-")</f>
        <v>1/750</v>
      </c>
      <c r="M1411" s="478">
        <f>IF(L1411&lt;&gt;"-",VLOOKUP(L1411,precio_aislador,2,FALSE),0)</f>
        <v>1.9</v>
      </c>
      <c r="N1411" s="696">
        <f>(I1411*J1411*F1411+K1411*M1411)*E1411*1.67*1.25</f>
        <v>44.589000000000006</v>
      </c>
      <c r="O1411" s="288"/>
      <c r="P1411" s="297"/>
      <c r="Q1411" s="288"/>
      <c r="R1411" s="102"/>
      <c r="S1411" s="102"/>
      <c r="T1411" s="102"/>
    </row>
    <row r="1412" spans="1:20" s="129" customFormat="1" ht="22.5" customHeight="1" thickBot="1">
      <c r="A1412" s="371"/>
      <c r="B1412" s="373"/>
      <c r="C1412" s="375"/>
      <c r="D1412" s="383"/>
      <c r="E1412" s="373"/>
      <c r="F1412" s="373"/>
      <c r="G1412" s="373"/>
      <c r="H1412" s="373"/>
      <c r="I1412" s="374"/>
      <c r="J1412" s="374"/>
      <c r="K1412" s="373"/>
      <c r="L1412" s="373"/>
      <c r="M1412" s="372"/>
      <c r="N1412" s="699">
        <f>SUM(N1409:N1411)</f>
        <v>74.147999999999996</v>
      </c>
      <c r="O1412" s="288"/>
      <c r="P1412" s="297"/>
      <c r="Q1412" s="288"/>
      <c r="R1412" s="102"/>
      <c r="S1412" s="102"/>
      <c r="T1412" s="102"/>
    </row>
    <row r="1413" spans="1:20" s="102" customFormat="1" ht="8.25" customHeight="1" thickBot="1">
      <c r="A1413" s="323"/>
      <c r="B1413" s="323"/>
      <c r="C1413" s="323"/>
      <c r="D1413" s="382"/>
      <c r="E1413" s="323"/>
      <c r="F1413" s="325"/>
      <c r="G1413" s="325"/>
      <c r="H1413" s="325"/>
      <c r="I1413" s="323"/>
      <c r="J1413" s="323"/>
      <c r="K1413" s="323"/>
      <c r="L1413" s="325"/>
      <c r="M1413" s="323"/>
      <c r="N1413" s="309"/>
      <c r="O1413" s="288"/>
      <c r="P1413" s="297"/>
      <c r="Q1413" s="288"/>
    </row>
    <row r="1414" spans="1:20" s="102" customFormat="1" ht="12.75" customHeight="1">
      <c r="A1414" s="2639" t="s">
        <v>2502</v>
      </c>
      <c r="B1414" s="687" t="s">
        <v>2503</v>
      </c>
      <c r="C1414" s="327"/>
      <c r="D1414" s="328">
        <f>IF(H1414&lt;&gt;"",VLOOKUP(G1414,base_barras,IF(H1414="Desnuda",2,5)+F1414-1,FALSE),"-")</f>
        <v>3290</v>
      </c>
      <c r="E1414" s="329">
        <v>4</v>
      </c>
      <c r="F1414" s="330">
        <v>1</v>
      </c>
      <c r="G1414" s="331" t="s">
        <v>584</v>
      </c>
      <c r="H1414" s="330" t="s">
        <v>1043</v>
      </c>
      <c r="I1414" s="332">
        <v>0</v>
      </c>
      <c r="J1414" s="333">
        <f>IF(G1414&lt;&gt;"",VLOOKUP(G1414,precio_barras,9,FALSE),0)</f>
        <v>231.4</v>
      </c>
      <c r="K1414" s="481">
        <v>0</v>
      </c>
      <c r="L1414" s="343" t="str">
        <f>IF(G1414&lt;&gt;"",IF(VLOOKUP(G1414,base_barras,10,FALSE)&lt;&gt;"",VLOOKUP(G1414,base_barras,10,FALSE),"-"),"-")</f>
        <v>1.5/1600</v>
      </c>
      <c r="M1414" s="333">
        <f>IF(L1414&lt;&gt;"-",VLOOKUP(L1414,precio_aislador,2,FALSE),0)</f>
        <v>22</v>
      </c>
      <c r="N1414" s="360">
        <f>(I1414*J1414*F1414+K1414*M1414)*E1414*1.67*1.25</f>
        <v>0</v>
      </c>
      <c r="O1414" s="288"/>
      <c r="P1414" s="297"/>
      <c r="Q1414" s="297"/>
    </row>
    <row r="1415" spans="1:20" s="199" customFormat="1" ht="15.75" customHeight="1" thickBot="1">
      <c r="A1415" s="2644"/>
      <c r="B1415" s="700" t="s">
        <v>2504</v>
      </c>
      <c r="C1415" s="701"/>
      <c r="D1415" s="364">
        <f>IF(H1415&lt;&gt;"",VLOOKUP(G1415,base_barras,IF(H1415="Desnuda",2,5)+F1415-1,FALSE),"-")</f>
        <v>3170</v>
      </c>
      <c r="E1415" s="365">
        <v>4</v>
      </c>
      <c r="F1415" s="366">
        <v>3</v>
      </c>
      <c r="G1415" s="322" t="s">
        <v>582</v>
      </c>
      <c r="H1415" s="366" t="s">
        <v>1043</v>
      </c>
      <c r="I1415" s="367">
        <v>0</v>
      </c>
      <c r="J1415" s="368">
        <f>IF(G1415&lt;&gt;"",VLOOKUP(G1415,precio_barras,9,FALSE),0)</f>
        <v>71.100000000000009</v>
      </c>
      <c r="K1415" s="702">
        <v>0</v>
      </c>
      <c r="L1415" s="703" t="str">
        <f>IF(G1415&lt;&gt;"",IF(VLOOKUP(G1415,base_barras,10,FALSE)&lt;&gt;"",VLOOKUP(G1415,base_barras,10,FALSE),"-"),"-")</f>
        <v>1/1000</v>
      </c>
      <c r="M1415" s="480">
        <f>IF(L1415&lt;&gt;"-",VLOOKUP(L1415,precio_aislador,2,FALSE),0)</f>
        <v>2.7</v>
      </c>
      <c r="N1415" s="704">
        <f>(I1415*J1415*F1415+K1415*M1415)*E1415*1.67*1.25</f>
        <v>0</v>
      </c>
      <c r="O1415" s="288"/>
      <c r="P1415" s="297"/>
      <c r="Q1415" s="288"/>
      <c r="R1415" s="102"/>
      <c r="S1415" s="102"/>
      <c r="T1415" s="102"/>
    </row>
    <row r="1416" spans="1:20" s="102" customFormat="1" ht="12.75" customHeight="1">
      <c r="A1416" s="2644"/>
      <c r="B1416" s="692" t="s">
        <v>2503</v>
      </c>
      <c r="C1416" s="693"/>
      <c r="D1416" s="697">
        <f>IF(H1416&lt;&gt;"",VLOOKUP(G1416,base_barras,IF(H1416="Desnuda",2,5)+F1416-1,FALSE),"-")</f>
        <v>3290</v>
      </c>
      <c r="E1416" s="694">
        <v>4</v>
      </c>
      <c r="F1416" s="655">
        <v>1</v>
      </c>
      <c r="G1416" s="698" t="s">
        <v>584</v>
      </c>
      <c r="H1416" s="655" t="s">
        <v>1043</v>
      </c>
      <c r="I1416" s="398">
        <v>0</v>
      </c>
      <c r="J1416" s="478">
        <f>IF(G1416&lt;&gt;"",VLOOKUP(G1416,precio_barras,9,FALSE),0)</f>
        <v>231.4</v>
      </c>
      <c r="K1416" s="705">
        <v>0</v>
      </c>
      <c r="L1416" s="695" t="str">
        <f>IF(G1416&lt;&gt;"",IF(VLOOKUP(G1416,base_barras,10,FALSE)&lt;&gt;"",VLOOKUP(G1416,base_barras,10,FALSE),"-"),"-")</f>
        <v>1.5/1600</v>
      </c>
      <c r="M1416" s="478">
        <f>IF(L1416&lt;&gt;"-",VLOOKUP(L1416,precio_aislador,2,FALSE),0)</f>
        <v>22</v>
      </c>
      <c r="N1416" s="696">
        <f>(I1416*J1416*F1416+K1416*M1416)*E1416*1.67*1.25</f>
        <v>0</v>
      </c>
      <c r="O1416" s="288"/>
      <c r="P1416" s="297"/>
      <c r="Q1416" s="297"/>
    </row>
    <row r="1417" spans="1:20" s="199" customFormat="1" ht="15.75" customHeight="1" thickBot="1">
      <c r="A1417" s="2640"/>
      <c r="B1417" s="700" t="s">
        <v>2504</v>
      </c>
      <c r="C1417" s="701"/>
      <c r="D1417" s="364">
        <f>IF(H1417&lt;&gt;"",VLOOKUP(G1417,base_barras,IF(H1417="Desnuda",2,5)+F1417-1,FALSE),"-")</f>
        <v>3170</v>
      </c>
      <c r="E1417" s="365">
        <v>4</v>
      </c>
      <c r="F1417" s="366">
        <v>3</v>
      </c>
      <c r="G1417" s="322" t="s">
        <v>582</v>
      </c>
      <c r="H1417" s="366" t="s">
        <v>1043</v>
      </c>
      <c r="I1417" s="367">
        <v>0</v>
      </c>
      <c r="J1417" s="368">
        <f>IF(G1417&lt;&gt;"",VLOOKUP(G1417,precio_barras,9,FALSE),0)</f>
        <v>71.100000000000009</v>
      </c>
      <c r="K1417" s="702">
        <v>0</v>
      </c>
      <c r="L1417" s="703" t="str">
        <f>IF(G1417&lt;&gt;"",IF(VLOOKUP(G1417,base_barras,10,FALSE)&lt;&gt;"",VLOOKUP(G1417,base_barras,10,FALSE),"-"),"-")</f>
        <v>1/1000</v>
      </c>
      <c r="M1417" s="480">
        <f>IF(L1417&lt;&gt;"-",VLOOKUP(L1417,precio_aislador,2,FALSE),0)</f>
        <v>2.7</v>
      </c>
      <c r="N1417" s="704">
        <f>(I1417*J1417*F1417+K1417*M1417)*E1417*1.67*1.25</f>
        <v>0</v>
      </c>
      <c r="O1417" s="288"/>
      <c r="P1417" s="297"/>
      <c r="Q1417" s="288"/>
      <c r="R1417" s="102"/>
      <c r="S1417" s="102"/>
      <c r="T1417" s="102"/>
    </row>
    <row r="1418" spans="1:20" s="102" customFormat="1" ht="13.5" thickBot="1">
      <c r="A1418" s="323"/>
      <c r="B1418" s="323"/>
      <c r="C1418" s="309"/>
      <c r="D1418" s="382"/>
      <c r="E1418" s="323"/>
      <c r="F1418" s="309"/>
      <c r="G1418" s="309"/>
      <c r="H1418" s="323"/>
      <c r="I1418" s="325"/>
      <c r="J1418" s="325"/>
      <c r="K1418" s="323"/>
      <c r="L1418" s="323"/>
      <c r="M1418" s="325"/>
      <c r="N1418" s="706">
        <f>SUM(N1414:N1417)</f>
        <v>0</v>
      </c>
      <c r="O1418" s="288"/>
      <c r="P1418" s="297"/>
      <c r="Q1418" s="297"/>
    </row>
    <row r="1419" spans="1:20" s="102" customFormat="1" ht="8.25" customHeight="1" thickBot="1">
      <c r="A1419" s="323"/>
      <c r="B1419" s="323"/>
      <c r="C1419" s="323"/>
      <c r="D1419" s="382"/>
      <c r="E1419" s="323"/>
      <c r="F1419" s="325"/>
      <c r="G1419" s="325"/>
      <c r="H1419" s="325"/>
      <c r="I1419" s="323"/>
      <c r="J1419" s="323"/>
      <c r="K1419" s="323"/>
      <c r="L1419" s="325"/>
      <c r="M1419" s="323"/>
      <c r="N1419" s="309"/>
      <c r="O1419" s="288"/>
      <c r="P1419" s="297"/>
      <c r="Q1419" s="288"/>
    </row>
    <row r="1420" spans="1:20" s="102" customFormat="1" ht="12.75" customHeight="1">
      <c r="A1420" s="2639" t="s">
        <v>2505</v>
      </c>
      <c r="B1420" s="687" t="s">
        <v>2506</v>
      </c>
      <c r="C1420" s="327"/>
      <c r="D1420" s="328">
        <f>IF(H1420&lt;&gt;"",VLOOKUP(G1420,base_barras,IF(H1420="Desnuda",2,5)+F1420-1,FALSE),"-")</f>
        <v>3290</v>
      </c>
      <c r="E1420" s="329">
        <v>4</v>
      </c>
      <c r="F1420" s="330">
        <v>1</v>
      </c>
      <c r="G1420" s="331" t="s">
        <v>584</v>
      </c>
      <c r="H1420" s="330" t="s">
        <v>1043</v>
      </c>
      <c r="I1420" s="332">
        <v>0</v>
      </c>
      <c r="J1420" s="333">
        <f>IF(G1420&lt;&gt;"",VLOOKUP(G1420,precio_barras,9,FALSE),0)</f>
        <v>231.4</v>
      </c>
      <c r="K1420" s="481">
        <v>0</v>
      </c>
      <c r="L1420" s="343" t="str">
        <f>IF(G1420&lt;&gt;"",IF(VLOOKUP(G1420,base_barras,10,FALSE)&lt;&gt;"",VLOOKUP(G1420,base_barras,10,FALSE),"-"),"-")</f>
        <v>1.5/1600</v>
      </c>
      <c r="M1420" s="333">
        <f>IF(L1420&lt;&gt;"-",VLOOKUP(L1420,precio_aislador,2,FALSE),0)</f>
        <v>22</v>
      </c>
      <c r="N1420" s="360">
        <f>(I1420*J1420*F1420+K1420*M1420)*E1420*1.67*1.25</f>
        <v>0</v>
      </c>
      <c r="O1420" s="288"/>
      <c r="P1420" s="297"/>
      <c r="Q1420" s="297"/>
    </row>
    <row r="1421" spans="1:20" s="102" customFormat="1" ht="13.5" thickBot="1">
      <c r="A1421" s="2644"/>
      <c r="B1421" s="707" t="s">
        <v>2504</v>
      </c>
      <c r="C1421" s="479"/>
      <c r="D1421" s="364">
        <f>IF(H1421&lt;&gt;"",VLOOKUP(G1421,base_barras,IF(H1421="Desnuda",2,5)+F1421-1,FALSE),"-")</f>
        <v>3170</v>
      </c>
      <c r="E1421" s="365">
        <v>4</v>
      </c>
      <c r="F1421" s="366">
        <v>3</v>
      </c>
      <c r="G1421" s="322" t="s">
        <v>582</v>
      </c>
      <c r="H1421" s="366" t="s">
        <v>1043</v>
      </c>
      <c r="I1421" s="367">
        <v>0</v>
      </c>
      <c r="J1421" s="368">
        <f>IF(G1421&lt;&gt;"",VLOOKUP(G1421,precio_barras,9,FALSE),0)</f>
        <v>71.100000000000009</v>
      </c>
      <c r="K1421" s="365">
        <v>0</v>
      </c>
      <c r="L1421" s="369" t="str">
        <f>IF(G1421&lt;&gt;"",IF(VLOOKUP(G1421,base_barras,10,FALSE)&lt;&gt;"",VLOOKUP(G1421,base_barras,10,FALSE),"-"),"-")</f>
        <v>1/1000</v>
      </c>
      <c r="M1421" s="368">
        <f>IF(L1421&lt;&gt;"-",VLOOKUP(L1421,precio_aislador,2,FALSE),0)</f>
        <v>2.7</v>
      </c>
      <c r="N1421" s="370">
        <f>(I1421*J1421*F1421+K1421*M1421)*E1421*1.67*1.25</f>
        <v>0</v>
      </c>
      <c r="O1421" s="288"/>
      <c r="P1421" s="297"/>
      <c r="Q1421" s="297"/>
    </row>
    <row r="1422" spans="1:20" s="102" customFormat="1" ht="12.75" customHeight="1">
      <c r="A1422" s="2644"/>
      <c r="B1422" s="692" t="s">
        <v>2506</v>
      </c>
      <c r="C1422" s="693"/>
      <c r="D1422" s="697">
        <f>IF(H1422&lt;&gt;"",VLOOKUP(G1422,base_barras,IF(H1422="Desnuda",2,5)+F1422-1,FALSE),"-")</f>
        <v>3290</v>
      </c>
      <c r="E1422" s="694">
        <v>4</v>
      </c>
      <c r="F1422" s="655">
        <v>1</v>
      </c>
      <c r="G1422" s="698" t="s">
        <v>584</v>
      </c>
      <c r="H1422" s="655" t="s">
        <v>1043</v>
      </c>
      <c r="I1422" s="398">
        <v>0</v>
      </c>
      <c r="J1422" s="478">
        <f>IF(G1422&lt;&gt;"",VLOOKUP(G1422,precio_barras,9,FALSE),0)</f>
        <v>231.4</v>
      </c>
      <c r="K1422" s="705">
        <v>0</v>
      </c>
      <c r="L1422" s="695" t="str">
        <f>IF(G1422&lt;&gt;"",IF(VLOOKUP(G1422,base_barras,10,FALSE)&lt;&gt;"",VLOOKUP(G1422,base_barras,10,FALSE),"-"),"-")</f>
        <v>1.5/1600</v>
      </c>
      <c r="M1422" s="478">
        <f>IF(L1422&lt;&gt;"-",VLOOKUP(L1422,precio_aislador,2,FALSE),0)</f>
        <v>22</v>
      </c>
      <c r="N1422" s="696">
        <f>(I1422*J1422*F1422+K1422*M1422)*E1422*1.67*1.25</f>
        <v>0</v>
      </c>
      <c r="O1422" s="288"/>
      <c r="P1422" s="297"/>
      <c r="Q1422" s="297"/>
    </row>
    <row r="1423" spans="1:20" s="102" customFormat="1" ht="13.5" thickBot="1">
      <c r="A1423" s="2640"/>
      <c r="B1423" s="700" t="s">
        <v>2504</v>
      </c>
      <c r="C1423" s="701"/>
      <c r="D1423" s="708">
        <f>IF(H1423&lt;&gt;"",VLOOKUP(G1423,base_barras,IF(H1423="Desnuda",2,5)+F1423-1,FALSE),"-")</f>
        <v>3170</v>
      </c>
      <c r="E1423" s="702">
        <v>4</v>
      </c>
      <c r="F1423" s="709">
        <v>3</v>
      </c>
      <c r="G1423" s="710" t="s">
        <v>582</v>
      </c>
      <c r="H1423" s="709" t="s">
        <v>1043</v>
      </c>
      <c r="I1423" s="711">
        <v>0</v>
      </c>
      <c r="J1423" s="480">
        <f>IF(G1423&lt;&gt;"",VLOOKUP(G1423,precio_barras,9,FALSE),0)</f>
        <v>71.100000000000009</v>
      </c>
      <c r="K1423" s="702">
        <v>0</v>
      </c>
      <c r="L1423" s="703" t="str">
        <f>IF(G1423&lt;&gt;"",IF(VLOOKUP(G1423,base_barras,10,FALSE)&lt;&gt;"",VLOOKUP(G1423,base_barras,10,FALSE),"-"),"-")</f>
        <v>1/1000</v>
      </c>
      <c r="M1423" s="480">
        <f>IF(L1423&lt;&gt;"-",VLOOKUP(L1423,precio_aislador,2,FALSE),0)</f>
        <v>2.7</v>
      </c>
      <c r="N1423" s="704">
        <f>(I1423*J1423*F1423+K1423*M1423)*E1423*1.67*1.25</f>
        <v>0</v>
      </c>
      <c r="O1423" s="288"/>
      <c r="P1423" s="297"/>
      <c r="Q1423" s="297"/>
    </row>
    <row r="1424" spans="1:20" s="102" customFormat="1" ht="13.5" thickBot="1">
      <c r="A1424" s="323"/>
      <c r="B1424" s="323"/>
      <c r="C1424" s="309"/>
      <c r="D1424" s="382"/>
      <c r="E1424" s="323"/>
      <c r="F1424" s="309"/>
      <c r="G1424" s="309"/>
      <c r="H1424" s="323"/>
      <c r="I1424" s="325"/>
      <c r="J1424" s="325"/>
      <c r="K1424" s="323"/>
      <c r="L1424" s="323"/>
      <c r="M1424" s="325"/>
      <c r="N1424" s="706">
        <f>SUM(N1420:N1423)</f>
        <v>0</v>
      </c>
      <c r="O1424" s="288"/>
      <c r="P1424" s="297"/>
      <c r="Q1424" s="297"/>
    </row>
    <row r="1425" spans="1:20" s="102" customFormat="1" ht="8.25" customHeight="1" thickBot="1">
      <c r="A1425" s="323"/>
      <c r="B1425" s="323"/>
      <c r="C1425" s="323"/>
      <c r="D1425" s="382"/>
      <c r="E1425" s="323"/>
      <c r="F1425" s="325"/>
      <c r="G1425" s="325"/>
      <c r="H1425" s="325"/>
      <c r="I1425" s="323"/>
      <c r="J1425" s="323"/>
      <c r="K1425" s="323"/>
      <c r="L1425" s="325"/>
      <c r="M1425" s="323"/>
      <c r="N1425" s="309"/>
      <c r="O1425" s="288"/>
      <c r="P1425" s="297"/>
      <c r="Q1425" s="288"/>
    </row>
    <row r="1426" spans="1:20" s="102" customFormat="1">
      <c r="A1426" s="2629" t="s">
        <v>1228</v>
      </c>
      <c r="B1426" s="687" t="s">
        <v>2507</v>
      </c>
      <c r="C1426" s="327"/>
      <c r="D1426" s="328">
        <f>IF(H1426&lt;&gt;"",VLOOKUP(G1426,base_barras,IF(H1426="Desnuda",2,5)+F1426-1,FALSE),"-")</f>
        <v>1500</v>
      </c>
      <c r="E1426" s="481">
        <v>3</v>
      </c>
      <c r="F1426" s="330">
        <v>1</v>
      </c>
      <c r="G1426" s="331" t="s">
        <v>582</v>
      </c>
      <c r="H1426" s="330" t="s">
        <v>1043</v>
      </c>
      <c r="I1426" s="332">
        <v>0</v>
      </c>
      <c r="J1426" s="333">
        <f>IF(G1426&lt;&gt;"",VLOOKUP(G1426,precio_barras,9,FALSE),0)</f>
        <v>71.100000000000009</v>
      </c>
      <c r="K1426" s="329">
        <v>0</v>
      </c>
      <c r="L1426" s="343" t="str">
        <f>IF(G1426&lt;&gt;"",IF(VLOOKUP(G1426,base_barras,10,FALSE)&lt;&gt;"",VLOOKUP(G1426,base_barras,10,FALSE),"-"),"-")</f>
        <v>1/1000</v>
      </c>
      <c r="M1426" s="333">
        <f>IF(L1426&lt;&gt;"-",VLOOKUP(L1426,precio_aislador,2,FALSE),0)</f>
        <v>2.7</v>
      </c>
      <c r="N1426" s="360">
        <f>(I1426*J1426*F1426+K1426*M1426)*E1426*1.67*1.25</f>
        <v>0</v>
      </c>
      <c r="O1426" s="288"/>
      <c r="P1426" s="297"/>
      <c r="Q1426" s="297"/>
    </row>
    <row r="1427" spans="1:20" s="102" customFormat="1" ht="13.5" thickBot="1">
      <c r="A1427" s="2635"/>
      <c r="B1427" s="707"/>
      <c r="C1427" s="479"/>
      <c r="D1427" s="364" t="str">
        <f>IF(H1427&lt;&gt;"",VLOOKUP(G1427,base_barras,IF(H1427="Desnuda",2,5)+F1427-1,FALSE),"-")</f>
        <v>-</v>
      </c>
      <c r="E1427" s="365"/>
      <c r="F1427" s="366"/>
      <c r="G1427" s="322"/>
      <c r="H1427" s="366"/>
      <c r="I1427" s="367"/>
      <c r="J1427" s="480">
        <f>IF(G1427&lt;&gt;"",VLOOKUP(G1427,precio_barras,9,FALSE),0)</f>
        <v>0</v>
      </c>
      <c r="K1427" s="365"/>
      <c r="L1427" s="369" t="str">
        <f>IF(G1427&lt;&gt;"",IF(VLOOKUP(G1427,base_barras,10,FALSE)&lt;&gt;"",VLOOKUP(G1427,base_barras,10,FALSE),"-"),"-")</f>
        <v>-</v>
      </c>
      <c r="M1427" s="368">
        <f>IF(L1427&lt;&gt;"-",VLOOKUP(L1427,precio_aislador,2,FALSE),0)</f>
        <v>0</v>
      </c>
      <c r="N1427" s="370">
        <f>(I1427*J1427*F1427+K1427*M1427)*E1427*1.67*1.25</f>
        <v>0</v>
      </c>
      <c r="O1427" s="288"/>
      <c r="P1427" s="297"/>
      <c r="Q1427" s="297"/>
    </row>
    <row r="1428" spans="1:20" s="102" customFormat="1" ht="13.5" thickBot="1">
      <c r="A1428" s="323"/>
      <c r="B1428" s="323"/>
      <c r="C1428" s="309"/>
      <c r="D1428" s="382"/>
      <c r="E1428" s="323"/>
      <c r="F1428" s="309"/>
      <c r="G1428" s="309"/>
      <c r="H1428" s="323"/>
      <c r="I1428" s="325"/>
      <c r="J1428" s="325"/>
      <c r="K1428" s="323"/>
      <c r="L1428" s="323"/>
      <c r="M1428" s="325"/>
      <c r="N1428" s="706">
        <f>SUM(N1426:N1427)</f>
        <v>0</v>
      </c>
      <c r="O1428" s="288"/>
      <c r="P1428" s="297"/>
      <c r="Q1428" s="297"/>
    </row>
    <row r="1429" spans="1:20" s="102" customFormat="1" ht="8.25" customHeight="1" thickBot="1">
      <c r="A1429" s="323"/>
      <c r="B1429" s="323"/>
      <c r="C1429" s="323"/>
      <c r="D1429" s="382"/>
      <c r="E1429" s="323"/>
      <c r="F1429" s="325"/>
      <c r="G1429" s="325"/>
      <c r="H1429" s="325"/>
      <c r="I1429" s="323"/>
      <c r="J1429" s="323"/>
      <c r="K1429" s="323"/>
      <c r="L1429" s="325"/>
      <c r="M1429" s="323"/>
      <c r="N1429" s="309"/>
      <c r="O1429" s="288"/>
      <c r="P1429" s="297"/>
      <c r="Q1429" s="288"/>
    </row>
    <row r="1430" spans="1:20" s="102" customFormat="1">
      <c r="A1430" s="2639" t="s">
        <v>2508</v>
      </c>
      <c r="B1430" s="687" t="s">
        <v>2504</v>
      </c>
      <c r="C1430" s="327"/>
      <c r="D1430" s="328">
        <f>IF(H1430&lt;&gt;"",VLOOKUP(G1430,base_barras,IF(H1430="Desnuda",2,5)+F1430-1,FALSE),"-")</f>
        <v>3170</v>
      </c>
      <c r="E1430" s="329">
        <v>4</v>
      </c>
      <c r="F1430" s="330">
        <v>3</v>
      </c>
      <c r="G1430" s="331" t="s">
        <v>582</v>
      </c>
      <c r="H1430" s="330" t="s">
        <v>1043</v>
      </c>
      <c r="I1430" s="332">
        <v>0</v>
      </c>
      <c r="J1430" s="333">
        <f>IF(G1430&lt;&gt;"",VLOOKUP(G1430,precio_barras,9,FALSE),0)</f>
        <v>71.100000000000009</v>
      </c>
      <c r="K1430" s="329">
        <v>0</v>
      </c>
      <c r="L1430" s="343" t="str">
        <f>IF(G1430&lt;&gt;"",IF(VLOOKUP(G1430,base_barras,10,FALSE)&lt;&gt;"",VLOOKUP(G1430,base_barras,10,FALSE),"-"),"-")</f>
        <v>1/1000</v>
      </c>
      <c r="M1430" s="333">
        <f>IF(L1430&lt;&gt;"-",VLOOKUP(L1430,precio_aislador,2,FALSE),0)</f>
        <v>2.7</v>
      </c>
      <c r="N1430" s="360">
        <f>(I1430*J1430*F1430+K1430*M1430)*E1430*1.67*1.25</f>
        <v>0</v>
      </c>
      <c r="O1430" s="288"/>
      <c r="P1430" s="297"/>
      <c r="Q1430" s="297"/>
    </row>
    <row r="1431" spans="1:20" s="199" customFormat="1" ht="15.75" customHeight="1">
      <c r="A1431" s="2646"/>
      <c r="B1431" s="692" t="s">
        <v>2498</v>
      </c>
      <c r="C1431" s="693"/>
      <c r="D1431" s="697">
        <f>IF(H1431&lt;&gt;"",VLOOKUP(G1431,base_barras,IF(H1431="Desnuda",2,5)+F1431-1,FALSE),"-")</f>
        <v>2850</v>
      </c>
      <c r="E1431" s="694">
        <v>4</v>
      </c>
      <c r="F1431" s="655">
        <v>2</v>
      </c>
      <c r="G1431" s="698" t="s">
        <v>468</v>
      </c>
      <c r="H1431" s="655" t="s">
        <v>1043</v>
      </c>
      <c r="I1431" s="398">
        <v>0</v>
      </c>
      <c r="J1431" s="478">
        <f>IF(G1431&lt;&gt;"",VLOOKUP(G1431,precio_barras,9,FALSE),0)</f>
        <v>88.9</v>
      </c>
      <c r="K1431" s="694">
        <v>0</v>
      </c>
      <c r="L1431" s="695" t="str">
        <f>IF(G1431&lt;&gt;"",IF(VLOOKUP(G1431,base_barras,10,FALSE)&lt;&gt;"",VLOOKUP(G1431,base_barras,10,FALSE),"-"),"-")</f>
        <v>1.5/1250</v>
      </c>
      <c r="M1431" s="478">
        <f>IF(L1431&lt;&gt;"-",VLOOKUP(L1431,precio_aislador,2,FALSE),0)</f>
        <v>5.5</v>
      </c>
      <c r="N1431" s="696">
        <f>(I1431*J1431*F1431+K1431*M1431)*E1431*1.67*1.25</f>
        <v>0</v>
      </c>
      <c r="O1431" s="288"/>
      <c r="P1431" s="297"/>
      <c r="Q1431" s="288"/>
      <c r="R1431" s="102"/>
      <c r="S1431" s="102"/>
      <c r="T1431" s="102"/>
    </row>
    <row r="1432" spans="1:20" s="199" customFormat="1" ht="15.75" customHeight="1" thickBot="1">
      <c r="A1432" s="2646"/>
      <c r="B1432" s="707" t="s">
        <v>2498</v>
      </c>
      <c r="C1432" s="479"/>
      <c r="D1432" s="364">
        <f>IF(H1432&lt;&gt;"",VLOOKUP(G1432,base_barras,IF(H1432="Desnuda",2,5)+F1432-1,FALSE),"-")</f>
        <v>2850</v>
      </c>
      <c r="E1432" s="365">
        <v>4</v>
      </c>
      <c r="F1432" s="366">
        <v>2</v>
      </c>
      <c r="G1432" s="322" t="s">
        <v>468</v>
      </c>
      <c r="H1432" s="366" t="s">
        <v>1043</v>
      </c>
      <c r="I1432" s="367">
        <v>0</v>
      </c>
      <c r="J1432" s="368">
        <f>IF(G1432&lt;&gt;"",VLOOKUP(G1432,precio_barras,9,FALSE),0)</f>
        <v>88.9</v>
      </c>
      <c r="K1432" s="365">
        <v>0</v>
      </c>
      <c r="L1432" s="369" t="str">
        <f>IF(G1432&lt;&gt;"",IF(VLOOKUP(G1432,base_barras,10,FALSE)&lt;&gt;"",VLOOKUP(G1432,base_barras,10,FALSE),"-"),"-")</f>
        <v>1.5/1250</v>
      </c>
      <c r="M1432" s="368">
        <f>IF(L1432&lt;&gt;"-",VLOOKUP(L1432,precio_aislador,2,FALSE),0)</f>
        <v>5.5</v>
      </c>
      <c r="N1432" s="370">
        <f>(I1432*J1432*F1432+K1432*M1432)*E1432*1.67*1.25</f>
        <v>0</v>
      </c>
      <c r="O1432" s="288"/>
      <c r="P1432" s="297"/>
      <c r="Q1432" s="288"/>
      <c r="R1432" s="102"/>
      <c r="S1432" s="102"/>
      <c r="T1432" s="102"/>
    </row>
    <row r="1433" spans="1:20" s="102" customFormat="1">
      <c r="A1433" s="2646"/>
      <c r="B1433" s="692" t="s">
        <v>2504</v>
      </c>
      <c r="C1433" s="693"/>
      <c r="D1433" s="697">
        <f>IF(H1433&lt;&gt;"",VLOOKUP(G1433,base_barras,IF(H1433="Desnuda",2,5)+F1433-1,FALSE),"-")</f>
        <v>3170</v>
      </c>
      <c r="E1433" s="694">
        <v>4</v>
      </c>
      <c r="F1433" s="655">
        <v>3</v>
      </c>
      <c r="G1433" s="698" t="s">
        <v>582</v>
      </c>
      <c r="H1433" s="655" t="s">
        <v>1043</v>
      </c>
      <c r="I1433" s="398">
        <v>0</v>
      </c>
      <c r="J1433" s="478">
        <f>IF(G1433&lt;&gt;"",VLOOKUP(G1433,precio_barras,9,FALSE),0)</f>
        <v>71.100000000000009</v>
      </c>
      <c r="K1433" s="694">
        <v>0</v>
      </c>
      <c r="L1433" s="695" t="str">
        <f>IF(G1433&lt;&gt;"",IF(VLOOKUP(G1433,base_barras,10,FALSE)&lt;&gt;"",VLOOKUP(G1433,base_barras,10,FALSE),"-"),"-")</f>
        <v>1/1000</v>
      </c>
      <c r="M1433" s="478">
        <f>IF(L1433&lt;&gt;"-",VLOOKUP(L1433,precio_aislador,2,FALSE),0)</f>
        <v>2.7</v>
      </c>
      <c r="N1433" s="696">
        <f>(I1433*J1433*F1433+K1433*M1433)*E1433*1.67*1.25</f>
        <v>0</v>
      </c>
      <c r="O1433" s="288"/>
      <c r="P1433" s="297"/>
      <c r="Q1433" s="297"/>
    </row>
    <row r="1434" spans="1:20" s="199" customFormat="1" ht="15.75" customHeight="1" thickBot="1">
      <c r="A1434" s="2647"/>
      <c r="B1434" s="700" t="s">
        <v>2498</v>
      </c>
      <c r="C1434" s="701"/>
      <c r="D1434" s="708">
        <f>IF(H1434&lt;&gt;"",VLOOKUP(G1434,base_barras,IF(H1434="Desnuda",2,5)+F1434-1,FALSE),"-")</f>
        <v>2850</v>
      </c>
      <c r="E1434" s="702">
        <v>4</v>
      </c>
      <c r="F1434" s="709">
        <v>2</v>
      </c>
      <c r="G1434" s="710" t="s">
        <v>468</v>
      </c>
      <c r="H1434" s="709" t="s">
        <v>1043</v>
      </c>
      <c r="I1434" s="711">
        <v>0</v>
      </c>
      <c r="J1434" s="480">
        <f>IF(G1434&lt;&gt;"",VLOOKUP(G1434,precio_barras,9,FALSE),0)</f>
        <v>88.9</v>
      </c>
      <c r="K1434" s="702">
        <v>0</v>
      </c>
      <c r="L1434" s="703" t="str">
        <f>IF(G1434&lt;&gt;"",IF(VLOOKUP(G1434,base_barras,10,FALSE)&lt;&gt;"",VLOOKUP(G1434,base_barras,10,FALSE),"-"),"-")</f>
        <v>1.5/1250</v>
      </c>
      <c r="M1434" s="480">
        <f>IF(L1434&lt;&gt;"-",VLOOKUP(L1434,precio_aislador,2,FALSE),0)</f>
        <v>5.5</v>
      </c>
      <c r="N1434" s="704">
        <f>(I1434*J1434*F1434+K1434*M1434)*E1434*1.67*1.25</f>
        <v>0</v>
      </c>
      <c r="O1434" s="288"/>
      <c r="P1434" s="297"/>
      <c r="Q1434" s="288"/>
      <c r="R1434" s="102"/>
      <c r="S1434" s="102"/>
      <c r="T1434" s="102"/>
    </row>
    <row r="1435" spans="1:20" s="102" customFormat="1" ht="13.5" thickBot="1">
      <c r="A1435" s="323"/>
      <c r="B1435" s="323"/>
      <c r="C1435" s="309"/>
      <c r="D1435" s="382"/>
      <c r="E1435" s="323"/>
      <c r="F1435" s="309"/>
      <c r="G1435" s="309"/>
      <c r="H1435" s="323"/>
      <c r="I1435" s="325"/>
      <c r="J1435" s="325"/>
      <c r="K1435" s="323"/>
      <c r="L1435" s="323"/>
      <c r="M1435" s="325"/>
      <c r="N1435" s="706">
        <f>SUM(N1430:N1434)</f>
        <v>0</v>
      </c>
      <c r="O1435" s="288"/>
      <c r="P1435" s="297"/>
      <c r="Q1435" s="297"/>
    </row>
    <row r="1436" spans="1:20" s="102" customFormat="1" ht="8.25" customHeight="1" thickBot="1">
      <c r="A1436" s="323"/>
      <c r="B1436" s="323"/>
      <c r="C1436" s="323"/>
      <c r="D1436" s="382"/>
      <c r="E1436" s="323"/>
      <c r="F1436" s="325"/>
      <c r="G1436" s="325"/>
      <c r="H1436" s="325"/>
      <c r="I1436" s="323"/>
      <c r="J1436" s="323"/>
      <c r="K1436" s="323"/>
      <c r="L1436" s="325"/>
      <c r="M1436" s="323"/>
      <c r="N1436" s="309"/>
      <c r="O1436" s="288"/>
      <c r="P1436" s="297"/>
      <c r="Q1436" s="288"/>
    </row>
    <row r="1437" spans="1:20" s="199" customFormat="1" ht="14.25" customHeight="1">
      <c r="A1437" s="2629" t="s">
        <v>1034</v>
      </c>
      <c r="B1437" s="687" t="s">
        <v>2525</v>
      </c>
      <c r="C1437" s="327"/>
      <c r="D1437" s="328">
        <f>IF(H1437&lt;&gt;"",VLOOKUP(G1437,base_barras,IF(H1437="Desnuda",2,5)+F1437-1,FALSE),"-")</f>
        <v>1180</v>
      </c>
      <c r="E1437" s="329">
        <v>3</v>
      </c>
      <c r="F1437" s="330">
        <v>1</v>
      </c>
      <c r="G1437" s="331" t="s">
        <v>581</v>
      </c>
      <c r="H1437" s="330" t="s">
        <v>1043</v>
      </c>
      <c r="I1437" s="332">
        <v>0</v>
      </c>
      <c r="J1437" s="333">
        <f>IF(G1437&lt;&gt;"",VLOOKUP(G1437,precio_barras,9,FALSE),0)</f>
        <v>53.3</v>
      </c>
      <c r="K1437" s="329">
        <v>0</v>
      </c>
      <c r="L1437" s="343" t="str">
        <f>IF(G1437&lt;&gt;"",IF(VLOOKUP(G1437,base_barras,10,FALSE)&lt;&gt;"",VLOOKUP(G1437,base_barras,10,FALSE),"-"),"-")</f>
        <v>1/750</v>
      </c>
      <c r="M1437" s="333">
        <f>IF(L1437&lt;&gt;"-",VLOOKUP(L1437,precio_aislador,2,FALSE),0)</f>
        <v>1.9</v>
      </c>
      <c r="N1437" s="360">
        <f>(I1437*J1437*F1437+K1437*M1437)*E1437*1.67*1.25</f>
        <v>0</v>
      </c>
      <c r="O1437" s="288"/>
      <c r="P1437" s="297"/>
      <c r="Q1437" s="288"/>
      <c r="R1437" s="102"/>
      <c r="S1437" s="102"/>
      <c r="T1437" s="102"/>
    </row>
    <row r="1438" spans="1:20" s="102" customFormat="1" ht="14.25" customHeight="1" thickBot="1">
      <c r="A1438" s="2635"/>
      <c r="B1438" s="700" t="s">
        <v>2531</v>
      </c>
      <c r="C1438" s="701"/>
      <c r="D1438" s="708">
        <f>IF(H1438&lt;&gt;"",VLOOKUP(G1438,base_barras,IF(H1438="Desnuda",2,5)+F1438-1,FALSE),"-")</f>
        <v>850</v>
      </c>
      <c r="E1438" s="702">
        <v>3</v>
      </c>
      <c r="F1438" s="709">
        <v>1</v>
      </c>
      <c r="G1438" s="710" t="s">
        <v>469</v>
      </c>
      <c r="H1438" s="709" t="s">
        <v>1043</v>
      </c>
      <c r="I1438" s="711">
        <v>0</v>
      </c>
      <c r="J1438" s="480">
        <f>IF(G1438&lt;&gt;"",VLOOKUP(G1438,precio_barras,9,FALSE),0)</f>
        <v>35.6</v>
      </c>
      <c r="K1438" s="702">
        <v>0</v>
      </c>
      <c r="L1438" s="703" t="str">
        <f>IF(G1438&lt;&gt;"",IF(VLOOKUP(G1438,base_barras,10,FALSE)&lt;&gt;"",VLOOKUP(G1438,base_barras,10,FALSE),"-"),"-")</f>
        <v>1/750</v>
      </c>
      <c r="M1438" s="480">
        <f>IF(L1438&lt;&gt;"-",VLOOKUP(L1438,precio_aislador,2,FALSE),0)</f>
        <v>1.9</v>
      </c>
      <c r="N1438" s="704">
        <f>(I1438*J1438*F1438+K1438*M1438)*E1438*1.67*1.25</f>
        <v>0</v>
      </c>
      <c r="O1438" s="288"/>
      <c r="P1438" s="297"/>
      <c r="Q1438" s="297"/>
    </row>
    <row r="1439" spans="1:20" s="102" customFormat="1" ht="13.5" thickBot="1">
      <c r="A1439" s="323"/>
      <c r="B1439" s="323"/>
      <c r="C1439" s="309"/>
      <c r="D1439" s="382"/>
      <c r="E1439" s="323"/>
      <c r="F1439" s="309"/>
      <c r="G1439" s="309"/>
      <c r="H1439" s="323"/>
      <c r="I1439" s="325"/>
      <c r="J1439" s="325"/>
      <c r="K1439" s="323"/>
      <c r="L1439" s="323"/>
      <c r="M1439" s="325"/>
      <c r="N1439" s="706">
        <f>SUM(N1437:N1438)</f>
        <v>0</v>
      </c>
      <c r="O1439" s="288"/>
      <c r="P1439" s="297"/>
      <c r="Q1439" s="297"/>
    </row>
    <row r="1440" spans="1:20" s="102" customFormat="1">
      <c r="A1440" s="323"/>
      <c r="B1440" s="309"/>
      <c r="C1440" s="309"/>
      <c r="D1440" s="382"/>
      <c r="E1440" s="323"/>
      <c r="F1440" s="309"/>
      <c r="G1440" s="309"/>
      <c r="H1440" s="323"/>
      <c r="I1440" s="325"/>
      <c r="J1440" s="325"/>
      <c r="K1440" s="323"/>
      <c r="L1440" s="323"/>
      <c r="M1440" s="325"/>
      <c r="N1440" s="722"/>
      <c r="O1440" s="288"/>
      <c r="P1440" s="297"/>
      <c r="Q1440" s="297"/>
    </row>
    <row r="1441" spans="1:20" s="102" customFormat="1">
      <c r="A1441" s="323"/>
      <c r="B1441" s="309"/>
      <c r="C1441" s="309"/>
      <c r="D1441" s="382"/>
      <c r="E1441" s="323"/>
      <c r="F1441" s="309"/>
      <c r="G1441" s="309"/>
      <c r="H1441" s="323"/>
      <c r="I1441" s="325"/>
      <c r="J1441" s="325"/>
      <c r="K1441" s="323"/>
      <c r="L1441" s="323"/>
      <c r="M1441" s="325"/>
      <c r="N1441" s="722"/>
      <c r="O1441" s="288"/>
      <c r="P1441" s="297"/>
      <c r="Q1441" s="297"/>
    </row>
    <row r="1442" spans="1:20" s="102" customFormat="1" ht="15">
      <c r="A1442" s="323"/>
      <c r="B1442" s="723" t="s">
        <v>2513</v>
      </c>
      <c r="C1442" s="309"/>
      <c r="D1442" s="382"/>
      <c r="E1442" s="323"/>
      <c r="F1442" s="309"/>
      <c r="G1442" s="309"/>
      <c r="H1442" s="323"/>
      <c r="I1442" s="325"/>
      <c r="J1442" s="325"/>
      <c r="K1442" s="323"/>
      <c r="L1442" s="323"/>
      <c r="M1442" s="325"/>
      <c r="N1442" s="722"/>
      <c r="O1442" s="288"/>
      <c r="P1442" s="297"/>
      <c r="Q1442" s="297"/>
    </row>
    <row r="1443" spans="1:20" s="106" customFormat="1" ht="29.25" customHeight="1">
      <c r="B1443" s="724"/>
    </row>
    <row r="1444" spans="1:20" s="106" customFormat="1" ht="13.5" thickBot="1"/>
    <row r="1445" spans="1:20" s="199" customFormat="1" ht="15.75" customHeight="1">
      <c r="A1445" s="2641" t="s">
        <v>2534</v>
      </c>
      <c r="B1445" s="687" t="s">
        <v>2498</v>
      </c>
      <c r="C1445" s="327"/>
      <c r="D1445" s="328">
        <f>IF(H1445&lt;&gt;"",VLOOKUP(G1445,base_barras,IF(H1445="Desnuda",2,5)+F1445-1,FALSE),"-")</f>
        <v>676</v>
      </c>
      <c r="E1445" s="728">
        <v>1</v>
      </c>
      <c r="F1445" s="330">
        <v>1</v>
      </c>
      <c r="G1445" s="331" t="s">
        <v>314</v>
      </c>
      <c r="H1445" s="330" t="s">
        <v>1043</v>
      </c>
      <c r="I1445" s="332">
        <v>0.8</v>
      </c>
      <c r="J1445" s="333">
        <f>IF(G1445&lt;&gt;"",VLOOKUP(G1445,precio_barras,9,FALSE),0)</f>
        <v>26.6</v>
      </c>
      <c r="K1445" s="329">
        <v>0</v>
      </c>
      <c r="L1445" s="343" t="str">
        <f>IF(G1445&lt;&gt;"",IF(VLOOKUP(G1445,base_barras,10,FALSE)&lt;&gt;"",VLOOKUP(G1445,base_barras,10,FALSE),"-"),"-")</f>
        <v>1/750</v>
      </c>
      <c r="M1445" s="333">
        <f>IF(L1445&lt;&gt;"-",VLOOKUP(L1445,precio_aislador,2,FALSE),0)</f>
        <v>1.9</v>
      </c>
      <c r="N1445" s="360">
        <f>(I1445*J1445*F1445+K1445*M1445)*E1445*1.67*1.25</f>
        <v>44.421999999999997</v>
      </c>
      <c r="O1445" s="288"/>
      <c r="P1445" s="297"/>
      <c r="Q1445" s="288"/>
      <c r="R1445" s="102"/>
      <c r="S1445" s="102"/>
      <c r="T1445" s="102"/>
    </row>
    <row r="1446" spans="1:20" s="199" customFormat="1" ht="14.25">
      <c r="A1446" s="2642"/>
      <c r="B1446" s="688" t="s">
        <v>802</v>
      </c>
      <c r="C1446" s="319"/>
      <c r="D1446" s="312">
        <f>IF(H1446&lt;&gt;"",VLOOKUP(G1446,base_barras,IF(H1446="Desnuda",2,5)+F1446-1,FALSE),"-")</f>
        <v>497</v>
      </c>
      <c r="E1446" s="313">
        <v>1</v>
      </c>
      <c r="F1446" s="314">
        <v>1</v>
      </c>
      <c r="G1446" s="315" t="s">
        <v>62</v>
      </c>
      <c r="H1446" s="689" t="str">
        <f>H1445</f>
        <v>Pintada</v>
      </c>
      <c r="I1446" s="690">
        <v>0.8</v>
      </c>
      <c r="J1446" s="317">
        <f>IF(G1446&lt;&gt;"",VLOOKUP(G1446,precio_barras,9,FALSE),0)</f>
        <v>17.7</v>
      </c>
      <c r="K1446" s="691">
        <v>0</v>
      </c>
      <c r="L1446" s="318" t="str">
        <f>IF(G1446&lt;&gt;"",IF(VLOOKUP(G1446,base_barras,10,FALSE)&lt;&gt;"",VLOOKUP(G1446,base_barras,10,FALSE),"-"),"-")</f>
        <v>-</v>
      </c>
      <c r="M1446" s="317">
        <f>IF(L1446&lt;&gt;"-",VLOOKUP(L1446,precio_aislador,2,FALSE),0)</f>
        <v>0</v>
      </c>
      <c r="N1446" s="308">
        <f>(I1446*J1446*F1446+K1446*M1446)*E1446*1.67*1.25</f>
        <v>29.558999999999997</v>
      </c>
      <c r="O1446" s="288"/>
      <c r="P1446" s="297"/>
      <c r="Q1446" s="288"/>
      <c r="R1446" s="102"/>
      <c r="S1446" s="102"/>
      <c r="T1446" s="102"/>
    </row>
    <row r="1447" spans="1:20" s="199" customFormat="1" ht="15.75" customHeight="1" thickBot="1">
      <c r="A1447" s="2642"/>
      <c r="B1447" s="692" t="s">
        <v>2501</v>
      </c>
      <c r="C1447" s="693"/>
      <c r="D1447" s="312">
        <f>IF(H1447&lt;&gt;"",VLOOKUP(G1447,base_barras,IF(H1447="Desnuda",2,5)+F1447-1,FALSE),"-")</f>
        <v>573</v>
      </c>
      <c r="E1447" s="313">
        <v>3</v>
      </c>
      <c r="F1447" s="314">
        <v>1</v>
      </c>
      <c r="G1447" s="315" t="s">
        <v>314</v>
      </c>
      <c r="H1447" s="314" t="s">
        <v>1044</v>
      </c>
      <c r="I1447" s="316">
        <v>0.2</v>
      </c>
      <c r="J1447" s="317">
        <f>IF(G1447&lt;&gt;"",VLOOKUP(G1447,precio_barras,9,FALSE),0)</f>
        <v>26.6</v>
      </c>
      <c r="K1447" s="694">
        <v>0</v>
      </c>
      <c r="L1447" s="695" t="str">
        <f>IF(G1447&lt;&gt;"",IF(VLOOKUP(G1447,base_barras,10,FALSE)&lt;&gt;"",VLOOKUP(G1447,base_barras,10,FALSE),"-"),"-")</f>
        <v>1/750</v>
      </c>
      <c r="M1447" s="478">
        <f>IF(L1447&lt;&gt;"-",VLOOKUP(L1447,precio_aislador,2,FALSE),0)</f>
        <v>1.9</v>
      </c>
      <c r="N1447" s="696">
        <f>(I1447*J1447*F1447+K1447*M1447)*E1447*1.67*1.25</f>
        <v>33.316500000000005</v>
      </c>
      <c r="O1447" s="288"/>
      <c r="P1447" s="297"/>
      <c r="Q1447" s="288"/>
      <c r="R1447" s="102"/>
      <c r="S1447" s="102"/>
      <c r="T1447" s="102"/>
    </row>
    <row r="1448" spans="1:20" s="129" customFormat="1" ht="22.5" customHeight="1" thickBot="1">
      <c r="A1448" s="371"/>
      <c r="B1448" s="373"/>
      <c r="C1448" s="375"/>
      <c r="D1448" s="383"/>
      <c r="E1448" s="373"/>
      <c r="F1448" s="373"/>
      <c r="G1448" s="373"/>
      <c r="H1448" s="373"/>
      <c r="I1448" s="374"/>
      <c r="J1448" s="374"/>
      <c r="K1448" s="373"/>
      <c r="L1448" s="373"/>
      <c r="M1448" s="372"/>
      <c r="N1448" s="699">
        <f>SUM(N1445:N1447)</f>
        <v>107.2975</v>
      </c>
      <c r="O1448" s="288"/>
      <c r="P1448" s="297"/>
      <c r="Q1448" s="288"/>
      <c r="R1448" s="102"/>
      <c r="S1448" s="102"/>
      <c r="T1448" s="102"/>
    </row>
    <row r="1449" spans="1:20" s="102" customFormat="1" ht="8.25" customHeight="1" thickBot="1">
      <c r="A1449" s="323"/>
      <c r="B1449" s="323"/>
      <c r="C1449" s="323"/>
      <c r="D1449" s="382"/>
      <c r="E1449" s="323"/>
      <c r="F1449" s="325"/>
      <c r="G1449" s="325"/>
      <c r="H1449" s="325"/>
      <c r="I1449" s="323"/>
      <c r="J1449" s="323"/>
      <c r="K1449" s="323"/>
      <c r="L1449" s="325"/>
      <c r="M1449" s="323"/>
      <c r="N1449" s="309"/>
      <c r="O1449" s="288"/>
      <c r="P1449" s="297"/>
      <c r="Q1449" s="288"/>
    </row>
    <row r="1450" spans="1:20" s="102" customFormat="1" ht="12.75" customHeight="1">
      <c r="A1450" s="2639" t="s">
        <v>2502</v>
      </c>
      <c r="B1450" s="687" t="s">
        <v>2503</v>
      </c>
      <c r="C1450" s="327"/>
      <c r="D1450" s="328">
        <f>IF(H1450&lt;&gt;"",VLOOKUP(G1450,base_barras,IF(H1450="Desnuda",2,5)+F1450-1,FALSE),"-")</f>
        <v>3290</v>
      </c>
      <c r="E1450" s="329">
        <v>4</v>
      </c>
      <c r="F1450" s="330">
        <v>1</v>
      </c>
      <c r="G1450" s="331" t="s">
        <v>584</v>
      </c>
      <c r="H1450" s="330" t="s">
        <v>1043</v>
      </c>
      <c r="I1450" s="332">
        <v>0</v>
      </c>
      <c r="J1450" s="333">
        <f>IF(G1450&lt;&gt;"",VLOOKUP(G1450,precio_barras,9,FALSE),0)</f>
        <v>231.4</v>
      </c>
      <c r="K1450" s="481">
        <v>0</v>
      </c>
      <c r="L1450" s="343" t="str">
        <f>IF(G1450&lt;&gt;"",IF(VLOOKUP(G1450,base_barras,10,FALSE)&lt;&gt;"",VLOOKUP(G1450,base_barras,10,FALSE),"-"),"-")</f>
        <v>1.5/1600</v>
      </c>
      <c r="M1450" s="333">
        <f>IF(L1450&lt;&gt;"-",VLOOKUP(L1450,precio_aislador,2,FALSE),0)</f>
        <v>22</v>
      </c>
      <c r="N1450" s="360">
        <f>(I1450*J1450*F1450+K1450*M1450)*E1450*1.67*1.25</f>
        <v>0</v>
      </c>
      <c r="O1450" s="288"/>
      <c r="P1450" s="297"/>
      <c r="Q1450" s="297"/>
    </row>
    <row r="1451" spans="1:20" s="199" customFormat="1" ht="15.75" customHeight="1" thickBot="1">
      <c r="A1451" s="2644"/>
      <c r="B1451" s="700" t="s">
        <v>2504</v>
      </c>
      <c r="C1451" s="701"/>
      <c r="D1451" s="364">
        <f>IF(H1451&lt;&gt;"",VLOOKUP(G1451,base_barras,IF(H1451="Desnuda",2,5)+F1451-1,FALSE),"-")</f>
        <v>3170</v>
      </c>
      <c r="E1451" s="365">
        <v>4</v>
      </c>
      <c r="F1451" s="366">
        <v>3</v>
      </c>
      <c r="G1451" s="322" t="s">
        <v>582</v>
      </c>
      <c r="H1451" s="366" t="s">
        <v>1043</v>
      </c>
      <c r="I1451" s="367">
        <v>0</v>
      </c>
      <c r="J1451" s="368">
        <f>IF(G1451&lt;&gt;"",VLOOKUP(G1451,precio_barras,9,FALSE),0)</f>
        <v>71.100000000000009</v>
      </c>
      <c r="K1451" s="702">
        <v>0</v>
      </c>
      <c r="L1451" s="703" t="str">
        <f>IF(G1451&lt;&gt;"",IF(VLOOKUP(G1451,base_barras,10,FALSE)&lt;&gt;"",VLOOKUP(G1451,base_barras,10,FALSE),"-"),"-")</f>
        <v>1/1000</v>
      </c>
      <c r="M1451" s="480">
        <f>IF(L1451&lt;&gt;"-",VLOOKUP(L1451,precio_aislador,2,FALSE),0)</f>
        <v>2.7</v>
      </c>
      <c r="N1451" s="704">
        <f>(I1451*J1451*F1451+K1451*M1451)*E1451*1.67*1.25</f>
        <v>0</v>
      </c>
      <c r="O1451" s="288"/>
      <c r="P1451" s="297"/>
      <c r="Q1451" s="288"/>
      <c r="R1451" s="102"/>
      <c r="S1451" s="102"/>
      <c r="T1451" s="102"/>
    </row>
    <row r="1452" spans="1:20" s="102" customFormat="1" ht="12.75" customHeight="1">
      <c r="A1452" s="2644"/>
      <c r="B1452" s="692" t="s">
        <v>2503</v>
      </c>
      <c r="C1452" s="693"/>
      <c r="D1452" s="697">
        <f>IF(H1452&lt;&gt;"",VLOOKUP(G1452,base_barras,IF(H1452="Desnuda",2,5)+F1452-1,FALSE),"-")</f>
        <v>3290</v>
      </c>
      <c r="E1452" s="694">
        <v>4</v>
      </c>
      <c r="F1452" s="655">
        <v>1</v>
      </c>
      <c r="G1452" s="698" t="s">
        <v>584</v>
      </c>
      <c r="H1452" s="655" t="s">
        <v>1043</v>
      </c>
      <c r="I1452" s="398">
        <v>0</v>
      </c>
      <c r="J1452" s="478">
        <f>IF(G1452&lt;&gt;"",VLOOKUP(G1452,precio_barras,9,FALSE),0)</f>
        <v>231.4</v>
      </c>
      <c r="K1452" s="705">
        <v>0</v>
      </c>
      <c r="L1452" s="695" t="str">
        <f>IF(G1452&lt;&gt;"",IF(VLOOKUP(G1452,base_barras,10,FALSE)&lt;&gt;"",VLOOKUP(G1452,base_barras,10,FALSE),"-"),"-")</f>
        <v>1.5/1600</v>
      </c>
      <c r="M1452" s="478">
        <f>IF(L1452&lt;&gt;"-",VLOOKUP(L1452,precio_aislador,2,FALSE),0)</f>
        <v>22</v>
      </c>
      <c r="N1452" s="696">
        <f>(I1452*J1452*F1452+K1452*M1452)*E1452*1.67*1.25</f>
        <v>0</v>
      </c>
      <c r="O1452" s="288"/>
      <c r="P1452" s="297"/>
      <c r="Q1452" s="297"/>
    </row>
    <row r="1453" spans="1:20" s="199" customFormat="1" ht="15.75" customHeight="1" thickBot="1">
      <c r="A1453" s="2640"/>
      <c r="B1453" s="700" t="s">
        <v>2504</v>
      </c>
      <c r="C1453" s="701"/>
      <c r="D1453" s="364">
        <f>IF(H1453&lt;&gt;"",VLOOKUP(G1453,base_barras,IF(H1453="Desnuda",2,5)+F1453-1,FALSE),"-")</f>
        <v>3170</v>
      </c>
      <c r="E1453" s="365">
        <v>4</v>
      </c>
      <c r="F1453" s="366">
        <v>3</v>
      </c>
      <c r="G1453" s="322" t="s">
        <v>582</v>
      </c>
      <c r="H1453" s="366" t="s">
        <v>1043</v>
      </c>
      <c r="I1453" s="367">
        <v>0</v>
      </c>
      <c r="J1453" s="368">
        <f>IF(G1453&lt;&gt;"",VLOOKUP(G1453,precio_barras,9,FALSE),0)</f>
        <v>71.100000000000009</v>
      </c>
      <c r="K1453" s="702">
        <v>0</v>
      </c>
      <c r="L1453" s="703" t="str">
        <f>IF(G1453&lt;&gt;"",IF(VLOOKUP(G1453,base_barras,10,FALSE)&lt;&gt;"",VLOOKUP(G1453,base_barras,10,FALSE),"-"),"-")</f>
        <v>1/1000</v>
      </c>
      <c r="M1453" s="480">
        <f>IF(L1453&lt;&gt;"-",VLOOKUP(L1453,precio_aislador,2,FALSE),0)</f>
        <v>2.7</v>
      </c>
      <c r="N1453" s="704">
        <f>(I1453*J1453*F1453+K1453*M1453)*E1453*1.67*1.25</f>
        <v>0</v>
      </c>
      <c r="O1453" s="288"/>
      <c r="P1453" s="297"/>
      <c r="Q1453" s="288"/>
      <c r="R1453" s="102"/>
      <c r="S1453" s="102"/>
      <c r="T1453" s="102"/>
    </row>
    <row r="1454" spans="1:20" s="102" customFormat="1" ht="13.5" thickBot="1">
      <c r="A1454" s="323"/>
      <c r="B1454" s="323"/>
      <c r="C1454" s="309"/>
      <c r="D1454" s="382"/>
      <c r="E1454" s="323"/>
      <c r="F1454" s="309"/>
      <c r="G1454" s="309"/>
      <c r="H1454" s="323"/>
      <c r="I1454" s="325"/>
      <c r="J1454" s="325"/>
      <c r="K1454" s="323"/>
      <c r="L1454" s="323"/>
      <c r="M1454" s="325"/>
      <c r="N1454" s="706">
        <f>SUM(N1450:N1453)</f>
        <v>0</v>
      </c>
      <c r="O1454" s="288"/>
      <c r="P1454" s="297"/>
      <c r="Q1454" s="297"/>
    </row>
    <row r="1455" spans="1:20" s="102" customFormat="1" ht="8.25" customHeight="1" thickBot="1">
      <c r="A1455" s="323"/>
      <c r="B1455" s="323"/>
      <c r="C1455" s="323"/>
      <c r="D1455" s="382"/>
      <c r="E1455" s="323"/>
      <c r="F1455" s="325"/>
      <c r="G1455" s="325"/>
      <c r="H1455" s="325"/>
      <c r="I1455" s="323"/>
      <c r="J1455" s="323"/>
      <c r="K1455" s="323"/>
      <c r="L1455" s="325"/>
      <c r="M1455" s="323"/>
      <c r="N1455" s="309"/>
      <c r="O1455" s="288"/>
      <c r="P1455" s="297"/>
      <c r="Q1455" s="288"/>
    </row>
    <row r="1456" spans="1:20" s="102" customFormat="1" ht="12.75" customHeight="1">
      <c r="A1456" s="2639" t="s">
        <v>2505</v>
      </c>
      <c r="B1456" s="687" t="s">
        <v>2506</v>
      </c>
      <c r="C1456" s="327"/>
      <c r="D1456" s="328">
        <f>IF(H1456&lt;&gt;"",VLOOKUP(G1456,base_barras,IF(H1456="Desnuda",2,5)+F1456-1,FALSE),"-")</f>
        <v>3290</v>
      </c>
      <c r="E1456" s="329">
        <v>4</v>
      </c>
      <c r="F1456" s="330">
        <v>1</v>
      </c>
      <c r="G1456" s="331" t="s">
        <v>584</v>
      </c>
      <c r="H1456" s="330" t="s">
        <v>1043</v>
      </c>
      <c r="I1456" s="332">
        <v>0</v>
      </c>
      <c r="J1456" s="333">
        <f>IF(G1456&lt;&gt;"",VLOOKUP(G1456,precio_barras,9,FALSE),0)</f>
        <v>231.4</v>
      </c>
      <c r="K1456" s="481">
        <v>0</v>
      </c>
      <c r="L1456" s="343" t="str">
        <f>IF(G1456&lt;&gt;"",IF(VLOOKUP(G1456,base_barras,10,FALSE)&lt;&gt;"",VLOOKUP(G1456,base_barras,10,FALSE),"-"),"-")</f>
        <v>1.5/1600</v>
      </c>
      <c r="M1456" s="333">
        <f>IF(L1456&lt;&gt;"-",VLOOKUP(L1456,precio_aislador,2,FALSE),0)</f>
        <v>22</v>
      </c>
      <c r="N1456" s="360">
        <f>(I1456*J1456*F1456+K1456*M1456)*E1456*1.67*1.25</f>
        <v>0</v>
      </c>
      <c r="O1456" s="288"/>
      <c r="P1456" s="297"/>
      <c r="Q1456" s="297"/>
    </row>
    <row r="1457" spans="1:20" s="102" customFormat="1" ht="13.5" thickBot="1">
      <c r="A1457" s="2644"/>
      <c r="B1457" s="707" t="s">
        <v>2504</v>
      </c>
      <c r="C1457" s="479"/>
      <c r="D1457" s="364">
        <f>IF(H1457&lt;&gt;"",VLOOKUP(G1457,base_barras,IF(H1457="Desnuda",2,5)+F1457-1,FALSE),"-")</f>
        <v>3170</v>
      </c>
      <c r="E1457" s="365">
        <v>4</v>
      </c>
      <c r="F1457" s="366">
        <v>3</v>
      </c>
      <c r="G1457" s="322" t="s">
        <v>582</v>
      </c>
      <c r="H1457" s="366" t="s">
        <v>1043</v>
      </c>
      <c r="I1457" s="367">
        <v>0</v>
      </c>
      <c r="J1457" s="368">
        <f>IF(G1457&lt;&gt;"",VLOOKUP(G1457,precio_barras,9,FALSE),0)</f>
        <v>71.100000000000009</v>
      </c>
      <c r="K1457" s="365">
        <v>0</v>
      </c>
      <c r="L1457" s="369" t="str">
        <f>IF(G1457&lt;&gt;"",IF(VLOOKUP(G1457,base_barras,10,FALSE)&lt;&gt;"",VLOOKUP(G1457,base_barras,10,FALSE),"-"),"-")</f>
        <v>1/1000</v>
      </c>
      <c r="M1457" s="368">
        <f>IF(L1457&lt;&gt;"-",VLOOKUP(L1457,precio_aislador,2,FALSE),0)</f>
        <v>2.7</v>
      </c>
      <c r="N1457" s="370">
        <f>(I1457*J1457*F1457+K1457*M1457)*E1457*1.67*1.25</f>
        <v>0</v>
      </c>
      <c r="O1457" s="288"/>
      <c r="P1457" s="297"/>
      <c r="Q1457" s="297"/>
    </row>
    <row r="1458" spans="1:20" s="102" customFormat="1" ht="12.75" customHeight="1">
      <c r="A1458" s="2644"/>
      <c r="B1458" s="692" t="s">
        <v>2506</v>
      </c>
      <c r="C1458" s="693"/>
      <c r="D1458" s="697">
        <f>IF(H1458&lt;&gt;"",VLOOKUP(G1458,base_barras,IF(H1458="Desnuda",2,5)+F1458-1,FALSE),"-")</f>
        <v>3290</v>
      </c>
      <c r="E1458" s="694">
        <v>4</v>
      </c>
      <c r="F1458" s="655">
        <v>1</v>
      </c>
      <c r="G1458" s="698" t="s">
        <v>584</v>
      </c>
      <c r="H1458" s="655" t="s">
        <v>1043</v>
      </c>
      <c r="I1458" s="398">
        <v>0</v>
      </c>
      <c r="J1458" s="478">
        <f>IF(G1458&lt;&gt;"",VLOOKUP(G1458,precio_barras,9,FALSE),0)</f>
        <v>231.4</v>
      </c>
      <c r="K1458" s="705">
        <v>0</v>
      </c>
      <c r="L1458" s="695" t="str">
        <f>IF(G1458&lt;&gt;"",IF(VLOOKUP(G1458,base_barras,10,FALSE)&lt;&gt;"",VLOOKUP(G1458,base_barras,10,FALSE),"-"),"-")</f>
        <v>1.5/1600</v>
      </c>
      <c r="M1458" s="478">
        <f>IF(L1458&lt;&gt;"-",VLOOKUP(L1458,precio_aislador,2,FALSE),0)</f>
        <v>22</v>
      </c>
      <c r="N1458" s="696">
        <f>(I1458*J1458*F1458+K1458*M1458)*E1458*1.67*1.25</f>
        <v>0</v>
      </c>
      <c r="O1458" s="288"/>
      <c r="P1458" s="297"/>
      <c r="Q1458" s="297"/>
    </row>
    <row r="1459" spans="1:20" s="102" customFormat="1" ht="13.5" thickBot="1">
      <c r="A1459" s="2640"/>
      <c r="B1459" s="700" t="s">
        <v>2504</v>
      </c>
      <c r="C1459" s="701"/>
      <c r="D1459" s="708">
        <f>IF(H1459&lt;&gt;"",VLOOKUP(G1459,base_barras,IF(H1459="Desnuda",2,5)+F1459-1,FALSE),"-")</f>
        <v>3170</v>
      </c>
      <c r="E1459" s="702">
        <v>4</v>
      </c>
      <c r="F1459" s="709">
        <v>3</v>
      </c>
      <c r="G1459" s="710" t="s">
        <v>582</v>
      </c>
      <c r="H1459" s="709" t="s">
        <v>1043</v>
      </c>
      <c r="I1459" s="711">
        <v>0</v>
      </c>
      <c r="J1459" s="480">
        <f>IF(G1459&lt;&gt;"",VLOOKUP(G1459,precio_barras,9,FALSE),0)</f>
        <v>71.100000000000009</v>
      </c>
      <c r="K1459" s="702">
        <v>0</v>
      </c>
      <c r="L1459" s="703" t="str">
        <f>IF(G1459&lt;&gt;"",IF(VLOOKUP(G1459,base_barras,10,FALSE)&lt;&gt;"",VLOOKUP(G1459,base_barras,10,FALSE),"-"),"-")</f>
        <v>1/1000</v>
      </c>
      <c r="M1459" s="480">
        <f>IF(L1459&lt;&gt;"-",VLOOKUP(L1459,precio_aislador,2,FALSE),0)</f>
        <v>2.7</v>
      </c>
      <c r="N1459" s="704">
        <f>(I1459*J1459*F1459+K1459*M1459)*E1459*1.67*1.25</f>
        <v>0</v>
      </c>
      <c r="O1459" s="288"/>
      <c r="P1459" s="297"/>
      <c r="Q1459" s="297"/>
    </row>
    <row r="1460" spans="1:20" s="102" customFormat="1" ht="13.5" thickBot="1">
      <c r="A1460" s="323"/>
      <c r="B1460" s="323"/>
      <c r="C1460" s="309"/>
      <c r="D1460" s="382"/>
      <c r="E1460" s="323"/>
      <c r="F1460" s="309"/>
      <c r="G1460" s="309"/>
      <c r="H1460" s="323"/>
      <c r="I1460" s="325"/>
      <c r="J1460" s="325"/>
      <c r="K1460" s="323"/>
      <c r="L1460" s="323"/>
      <c r="M1460" s="325"/>
      <c r="N1460" s="706">
        <f>SUM(N1456:N1459)</f>
        <v>0</v>
      </c>
      <c r="O1460" s="288"/>
      <c r="P1460" s="297"/>
      <c r="Q1460" s="297"/>
    </row>
    <row r="1461" spans="1:20" s="102" customFormat="1" ht="8.25" customHeight="1" thickBot="1">
      <c r="A1461" s="323"/>
      <c r="B1461" s="323"/>
      <c r="C1461" s="323"/>
      <c r="D1461" s="382"/>
      <c r="E1461" s="323"/>
      <c r="F1461" s="325"/>
      <c r="G1461" s="325"/>
      <c r="H1461" s="325"/>
      <c r="I1461" s="323"/>
      <c r="J1461" s="323"/>
      <c r="K1461" s="323"/>
      <c r="L1461" s="325"/>
      <c r="M1461" s="323"/>
      <c r="N1461" s="309"/>
      <c r="O1461" s="288"/>
      <c r="P1461" s="297"/>
      <c r="Q1461" s="288"/>
    </row>
    <row r="1462" spans="1:20" s="102" customFormat="1">
      <c r="A1462" s="2629" t="s">
        <v>1228</v>
      </c>
      <c r="B1462" s="687" t="s">
        <v>2507</v>
      </c>
      <c r="C1462" s="327"/>
      <c r="D1462" s="328">
        <f>IF(H1462&lt;&gt;"",VLOOKUP(G1462,base_barras,IF(H1462="Desnuda",2,5)+F1462-1,FALSE),"-")</f>
        <v>1500</v>
      </c>
      <c r="E1462" s="481">
        <v>3</v>
      </c>
      <c r="F1462" s="330">
        <v>1</v>
      </c>
      <c r="G1462" s="331" t="s">
        <v>582</v>
      </c>
      <c r="H1462" s="330" t="s">
        <v>1043</v>
      </c>
      <c r="I1462" s="332">
        <v>0</v>
      </c>
      <c r="J1462" s="333">
        <f>IF(G1462&lt;&gt;"",VLOOKUP(G1462,precio_barras,9,FALSE),0)</f>
        <v>71.100000000000009</v>
      </c>
      <c r="K1462" s="329">
        <v>0</v>
      </c>
      <c r="L1462" s="343" t="str">
        <f>IF(G1462&lt;&gt;"",IF(VLOOKUP(G1462,base_barras,10,FALSE)&lt;&gt;"",VLOOKUP(G1462,base_barras,10,FALSE),"-"),"-")</f>
        <v>1/1000</v>
      </c>
      <c r="M1462" s="333">
        <f>IF(L1462&lt;&gt;"-",VLOOKUP(L1462,precio_aislador,2,FALSE),0)</f>
        <v>2.7</v>
      </c>
      <c r="N1462" s="360">
        <f>(I1462*J1462*F1462+K1462*M1462)*E1462*1.67*1.25</f>
        <v>0</v>
      </c>
      <c r="O1462" s="288"/>
      <c r="P1462" s="297"/>
      <c r="Q1462" s="297"/>
    </row>
    <row r="1463" spans="1:20" s="102" customFormat="1" ht="13.5" thickBot="1">
      <c r="A1463" s="2635"/>
      <c r="B1463" s="707"/>
      <c r="C1463" s="479"/>
      <c r="D1463" s="364" t="str">
        <f>IF(H1463&lt;&gt;"",VLOOKUP(G1463,base_barras,IF(H1463="Desnuda",2,5)+F1463-1,FALSE),"-")</f>
        <v>-</v>
      </c>
      <c r="E1463" s="365"/>
      <c r="F1463" s="366"/>
      <c r="G1463" s="322"/>
      <c r="H1463" s="366"/>
      <c r="I1463" s="367"/>
      <c r="J1463" s="480">
        <f>IF(G1463&lt;&gt;"",VLOOKUP(G1463,precio_barras,9,FALSE),0)</f>
        <v>0</v>
      </c>
      <c r="K1463" s="365"/>
      <c r="L1463" s="369" t="str">
        <f>IF(G1463&lt;&gt;"",IF(VLOOKUP(G1463,base_barras,10,FALSE)&lt;&gt;"",VLOOKUP(G1463,base_barras,10,FALSE),"-"),"-")</f>
        <v>-</v>
      </c>
      <c r="M1463" s="368">
        <f>IF(L1463&lt;&gt;"-",VLOOKUP(L1463,precio_aislador,2,FALSE),0)</f>
        <v>0</v>
      </c>
      <c r="N1463" s="370">
        <f>(I1463*J1463*F1463+K1463*M1463)*E1463*1.67*1.25</f>
        <v>0</v>
      </c>
      <c r="O1463" s="288"/>
      <c r="P1463" s="297"/>
      <c r="Q1463" s="297"/>
    </row>
    <row r="1464" spans="1:20" s="102" customFormat="1" ht="13.5" thickBot="1">
      <c r="A1464" s="323"/>
      <c r="B1464" s="323"/>
      <c r="C1464" s="309"/>
      <c r="D1464" s="382"/>
      <c r="E1464" s="323"/>
      <c r="F1464" s="309"/>
      <c r="G1464" s="309"/>
      <c r="H1464" s="323"/>
      <c r="I1464" s="325"/>
      <c r="J1464" s="325"/>
      <c r="K1464" s="323"/>
      <c r="L1464" s="323"/>
      <c r="M1464" s="325"/>
      <c r="N1464" s="706">
        <f>SUM(N1462:N1463)</f>
        <v>0</v>
      </c>
      <c r="O1464" s="288"/>
      <c r="P1464" s="297"/>
      <c r="Q1464" s="297"/>
    </row>
    <row r="1465" spans="1:20" s="102" customFormat="1" ht="8.25" customHeight="1" thickBot="1">
      <c r="A1465" s="323"/>
      <c r="B1465" s="323"/>
      <c r="C1465" s="323"/>
      <c r="D1465" s="382"/>
      <c r="E1465" s="323"/>
      <c r="F1465" s="325"/>
      <c r="G1465" s="325"/>
      <c r="H1465" s="325"/>
      <c r="I1465" s="323"/>
      <c r="J1465" s="323"/>
      <c r="K1465" s="323"/>
      <c r="L1465" s="325"/>
      <c r="M1465" s="323"/>
      <c r="N1465" s="309"/>
      <c r="O1465" s="288"/>
      <c r="P1465" s="297"/>
      <c r="Q1465" s="288"/>
    </row>
    <row r="1466" spans="1:20" s="102" customFormat="1">
      <c r="A1466" s="2639" t="s">
        <v>2508</v>
      </c>
      <c r="B1466" s="687" t="s">
        <v>2504</v>
      </c>
      <c r="C1466" s="327"/>
      <c r="D1466" s="328">
        <f>IF(H1466&lt;&gt;"",VLOOKUP(G1466,base_barras,IF(H1466="Desnuda",2,5)+F1466-1,FALSE),"-")</f>
        <v>3170</v>
      </c>
      <c r="E1466" s="329">
        <v>4</v>
      </c>
      <c r="F1466" s="330">
        <v>3</v>
      </c>
      <c r="G1466" s="331" t="s">
        <v>582</v>
      </c>
      <c r="H1466" s="330" t="s">
        <v>1043</v>
      </c>
      <c r="I1466" s="332">
        <v>0</v>
      </c>
      <c r="J1466" s="333">
        <f>IF(G1466&lt;&gt;"",VLOOKUP(G1466,precio_barras,9,FALSE),0)</f>
        <v>71.100000000000009</v>
      </c>
      <c r="K1466" s="329">
        <v>0</v>
      </c>
      <c r="L1466" s="343" t="str">
        <f>IF(G1466&lt;&gt;"",IF(VLOOKUP(G1466,base_barras,10,FALSE)&lt;&gt;"",VLOOKUP(G1466,base_barras,10,FALSE),"-"),"-")</f>
        <v>1/1000</v>
      </c>
      <c r="M1466" s="333">
        <f>IF(L1466&lt;&gt;"-",VLOOKUP(L1466,precio_aislador,2,FALSE),0)</f>
        <v>2.7</v>
      </c>
      <c r="N1466" s="360">
        <f>(I1466*J1466*F1466+K1466*M1466)*E1466*1.67*1.25</f>
        <v>0</v>
      </c>
      <c r="O1466" s="288"/>
      <c r="P1466" s="297"/>
      <c r="Q1466" s="297"/>
    </row>
    <row r="1467" spans="1:20" s="199" customFormat="1" ht="15.75" customHeight="1">
      <c r="A1467" s="2646"/>
      <c r="B1467" s="692" t="s">
        <v>2498</v>
      </c>
      <c r="C1467" s="693"/>
      <c r="D1467" s="697">
        <f>IF(H1467&lt;&gt;"",VLOOKUP(G1467,base_barras,IF(H1467="Desnuda",2,5)+F1467-1,FALSE),"-")</f>
        <v>2850</v>
      </c>
      <c r="E1467" s="694">
        <v>4</v>
      </c>
      <c r="F1467" s="655">
        <v>2</v>
      </c>
      <c r="G1467" s="698" t="s">
        <v>468</v>
      </c>
      <c r="H1467" s="655" t="s">
        <v>1043</v>
      </c>
      <c r="I1467" s="398">
        <v>0</v>
      </c>
      <c r="J1467" s="478">
        <f>IF(G1467&lt;&gt;"",VLOOKUP(G1467,precio_barras,9,FALSE),0)</f>
        <v>88.9</v>
      </c>
      <c r="K1467" s="694">
        <v>0</v>
      </c>
      <c r="L1467" s="695" t="str">
        <f>IF(G1467&lt;&gt;"",IF(VLOOKUP(G1467,base_barras,10,FALSE)&lt;&gt;"",VLOOKUP(G1467,base_barras,10,FALSE),"-"),"-")</f>
        <v>1.5/1250</v>
      </c>
      <c r="M1467" s="478">
        <f>IF(L1467&lt;&gt;"-",VLOOKUP(L1467,precio_aislador,2,FALSE),0)</f>
        <v>5.5</v>
      </c>
      <c r="N1467" s="696">
        <f>(I1467*J1467*F1467+K1467*M1467)*E1467*1.67*1.25</f>
        <v>0</v>
      </c>
      <c r="O1467" s="288"/>
      <c r="P1467" s="297"/>
      <c r="Q1467" s="288"/>
      <c r="R1467" s="102"/>
      <c r="S1467" s="102"/>
      <c r="T1467" s="102"/>
    </row>
    <row r="1468" spans="1:20" s="199" customFormat="1" ht="15.75" customHeight="1" thickBot="1">
      <c r="A1468" s="2646"/>
      <c r="B1468" s="707" t="s">
        <v>2498</v>
      </c>
      <c r="C1468" s="479"/>
      <c r="D1468" s="364">
        <f>IF(H1468&lt;&gt;"",VLOOKUP(G1468,base_barras,IF(H1468="Desnuda",2,5)+F1468-1,FALSE),"-")</f>
        <v>2850</v>
      </c>
      <c r="E1468" s="365">
        <v>4</v>
      </c>
      <c r="F1468" s="366">
        <v>2</v>
      </c>
      <c r="G1468" s="322" t="s">
        <v>468</v>
      </c>
      <c r="H1468" s="366" t="s">
        <v>1043</v>
      </c>
      <c r="I1468" s="367">
        <v>0</v>
      </c>
      <c r="J1468" s="368">
        <f>IF(G1468&lt;&gt;"",VLOOKUP(G1468,precio_barras,9,FALSE),0)</f>
        <v>88.9</v>
      </c>
      <c r="K1468" s="365">
        <v>0</v>
      </c>
      <c r="L1468" s="369" t="str">
        <f>IF(G1468&lt;&gt;"",IF(VLOOKUP(G1468,base_barras,10,FALSE)&lt;&gt;"",VLOOKUP(G1468,base_barras,10,FALSE),"-"),"-")</f>
        <v>1.5/1250</v>
      </c>
      <c r="M1468" s="368">
        <f>IF(L1468&lt;&gt;"-",VLOOKUP(L1468,precio_aislador,2,FALSE),0)</f>
        <v>5.5</v>
      </c>
      <c r="N1468" s="370">
        <f>(I1468*J1468*F1468+K1468*M1468)*E1468*1.67*1.25</f>
        <v>0</v>
      </c>
      <c r="O1468" s="288"/>
      <c r="P1468" s="297"/>
      <c r="Q1468" s="288"/>
      <c r="R1468" s="102"/>
      <c r="S1468" s="102"/>
      <c r="T1468" s="102"/>
    </row>
    <row r="1469" spans="1:20" s="102" customFormat="1">
      <c r="A1469" s="2646"/>
      <c r="B1469" s="692" t="s">
        <v>2504</v>
      </c>
      <c r="C1469" s="693"/>
      <c r="D1469" s="697">
        <f>IF(H1469&lt;&gt;"",VLOOKUP(G1469,base_barras,IF(H1469="Desnuda",2,5)+F1469-1,FALSE),"-")</f>
        <v>3170</v>
      </c>
      <c r="E1469" s="694">
        <v>4</v>
      </c>
      <c r="F1469" s="655">
        <v>3</v>
      </c>
      <c r="G1469" s="698" t="s">
        <v>582</v>
      </c>
      <c r="H1469" s="655" t="s">
        <v>1043</v>
      </c>
      <c r="I1469" s="398">
        <v>0</v>
      </c>
      <c r="J1469" s="478">
        <f>IF(G1469&lt;&gt;"",VLOOKUP(G1469,precio_barras,9,FALSE),0)</f>
        <v>71.100000000000009</v>
      </c>
      <c r="K1469" s="694">
        <v>0</v>
      </c>
      <c r="L1469" s="695" t="str">
        <f>IF(G1469&lt;&gt;"",IF(VLOOKUP(G1469,base_barras,10,FALSE)&lt;&gt;"",VLOOKUP(G1469,base_barras,10,FALSE),"-"),"-")</f>
        <v>1/1000</v>
      </c>
      <c r="M1469" s="478">
        <f>IF(L1469&lt;&gt;"-",VLOOKUP(L1469,precio_aislador,2,FALSE),0)</f>
        <v>2.7</v>
      </c>
      <c r="N1469" s="696">
        <f>(I1469*J1469*F1469+K1469*M1469)*E1469*1.67*1.25</f>
        <v>0</v>
      </c>
      <c r="O1469" s="288"/>
      <c r="P1469" s="297"/>
      <c r="Q1469" s="297"/>
    </row>
    <row r="1470" spans="1:20" s="199" customFormat="1" ht="15.75" customHeight="1" thickBot="1">
      <c r="A1470" s="2647"/>
      <c r="B1470" s="700" t="s">
        <v>2498</v>
      </c>
      <c r="C1470" s="701"/>
      <c r="D1470" s="708">
        <f>IF(H1470&lt;&gt;"",VLOOKUP(G1470,base_barras,IF(H1470="Desnuda",2,5)+F1470-1,FALSE),"-")</f>
        <v>2850</v>
      </c>
      <c r="E1470" s="702">
        <v>4</v>
      </c>
      <c r="F1470" s="709">
        <v>2</v>
      </c>
      <c r="G1470" s="710" t="s">
        <v>468</v>
      </c>
      <c r="H1470" s="709" t="s">
        <v>1043</v>
      </c>
      <c r="I1470" s="711">
        <v>0</v>
      </c>
      <c r="J1470" s="480">
        <f>IF(G1470&lt;&gt;"",VLOOKUP(G1470,precio_barras,9,FALSE),0)</f>
        <v>88.9</v>
      </c>
      <c r="K1470" s="702">
        <v>0</v>
      </c>
      <c r="L1470" s="703" t="str">
        <f>IF(G1470&lt;&gt;"",IF(VLOOKUP(G1470,base_barras,10,FALSE)&lt;&gt;"",VLOOKUP(G1470,base_barras,10,FALSE),"-"),"-")</f>
        <v>1.5/1250</v>
      </c>
      <c r="M1470" s="480">
        <f>IF(L1470&lt;&gt;"-",VLOOKUP(L1470,precio_aislador,2,FALSE),0)</f>
        <v>5.5</v>
      </c>
      <c r="N1470" s="704">
        <f>(I1470*J1470*F1470+K1470*M1470)*E1470*1.67*1.25</f>
        <v>0</v>
      </c>
      <c r="O1470" s="288"/>
      <c r="P1470" s="297"/>
      <c r="Q1470" s="288"/>
      <c r="R1470" s="102"/>
      <c r="S1470" s="102"/>
      <c r="T1470" s="102"/>
    </row>
    <row r="1471" spans="1:20" s="102" customFormat="1" ht="13.5" thickBot="1">
      <c r="A1471" s="323"/>
      <c r="B1471" s="323"/>
      <c r="C1471" s="309"/>
      <c r="D1471" s="382"/>
      <c r="E1471" s="323"/>
      <c r="F1471" s="309"/>
      <c r="G1471" s="309"/>
      <c r="H1471" s="323"/>
      <c r="I1471" s="325"/>
      <c r="J1471" s="325"/>
      <c r="K1471" s="323"/>
      <c r="L1471" s="323"/>
      <c r="M1471" s="325"/>
      <c r="N1471" s="706">
        <f>SUM(N1466:N1470)</f>
        <v>0</v>
      </c>
      <c r="O1471" s="288"/>
      <c r="P1471" s="297"/>
      <c r="Q1471" s="297"/>
    </row>
    <row r="1472" spans="1:20" s="102" customFormat="1" ht="8.25" customHeight="1" thickBot="1">
      <c r="A1472" s="323"/>
      <c r="B1472" s="323"/>
      <c r="C1472" s="323"/>
      <c r="D1472" s="382"/>
      <c r="E1472" s="323"/>
      <c r="F1472" s="325"/>
      <c r="G1472" s="325"/>
      <c r="H1472" s="325"/>
      <c r="I1472" s="323"/>
      <c r="J1472" s="323"/>
      <c r="K1472" s="323"/>
      <c r="L1472" s="325"/>
      <c r="M1472" s="323"/>
      <c r="N1472" s="309"/>
      <c r="O1472" s="288"/>
      <c r="P1472" s="297"/>
      <c r="Q1472" s="288"/>
    </row>
    <row r="1473" spans="1:20" s="199" customFormat="1" ht="14.25" customHeight="1">
      <c r="A1473" s="2629" t="s">
        <v>1034</v>
      </c>
      <c r="B1473" s="687" t="s">
        <v>2525</v>
      </c>
      <c r="C1473" s="327"/>
      <c r="D1473" s="328">
        <f>IF(H1473&lt;&gt;"",VLOOKUP(G1473,base_barras,IF(H1473="Desnuda",2,5)+F1473-1,FALSE),"-")</f>
        <v>1180</v>
      </c>
      <c r="E1473" s="329">
        <v>3</v>
      </c>
      <c r="F1473" s="330">
        <v>1</v>
      </c>
      <c r="G1473" s="331" t="s">
        <v>581</v>
      </c>
      <c r="H1473" s="330" t="s">
        <v>1043</v>
      </c>
      <c r="I1473" s="332">
        <v>0</v>
      </c>
      <c r="J1473" s="333">
        <f>IF(G1473&lt;&gt;"",VLOOKUP(G1473,precio_barras,9,FALSE),0)</f>
        <v>53.3</v>
      </c>
      <c r="K1473" s="329">
        <v>0</v>
      </c>
      <c r="L1473" s="343" t="str">
        <f>IF(G1473&lt;&gt;"",IF(VLOOKUP(G1473,base_barras,10,FALSE)&lt;&gt;"",VLOOKUP(G1473,base_barras,10,FALSE),"-"),"-")</f>
        <v>1/750</v>
      </c>
      <c r="M1473" s="333">
        <f>IF(L1473&lt;&gt;"-",VLOOKUP(L1473,precio_aislador,2,FALSE),0)</f>
        <v>1.9</v>
      </c>
      <c r="N1473" s="360">
        <f>(I1473*J1473*F1473+K1473*M1473)*E1473*1.67*1.25</f>
        <v>0</v>
      </c>
      <c r="O1473" s="288"/>
      <c r="P1473" s="297"/>
      <c r="Q1473" s="288"/>
      <c r="R1473" s="102"/>
      <c r="S1473" s="102"/>
      <c r="T1473" s="102"/>
    </row>
    <row r="1474" spans="1:20" s="102" customFormat="1" ht="14.25" customHeight="1" thickBot="1">
      <c r="A1474" s="2635"/>
      <c r="B1474" s="700" t="s">
        <v>2531</v>
      </c>
      <c r="C1474" s="701"/>
      <c r="D1474" s="708">
        <f>IF(H1474&lt;&gt;"",VLOOKUP(G1474,base_barras,IF(H1474="Desnuda",2,5)+F1474-1,FALSE),"-")</f>
        <v>850</v>
      </c>
      <c r="E1474" s="702">
        <v>3</v>
      </c>
      <c r="F1474" s="709">
        <v>1</v>
      </c>
      <c r="G1474" s="710" t="s">
        <v>469</v>
      </c>
      <c r="H1474" s="709" t="s">
        <v>1043</v>
      </c>
      <c r="I1474" s="711">
        <v>0</v>
      </c>
      <c r="J1474" s="480">
        <f>IF(G1474&lt;&gt;"",VLOOKUP(G1474,precio_barras,9,FALSE),0)</f>
        <v>35.6</v>
      </c>
      <c r="K1474" s="702">
        <v>0</v>
      </c>
      <c r="L1474" s="703" t="str">
        <f>IF(G1474&lt;&gt;"",IF(VLOOKUP(G1474,base_barras,10,FALSE)&lt;&gt;"",VLOOKUP(G1474,base_barras,10,FALSE),"-"),"-")</f>
        <v>1/750</v>
      </c>
      <c r="M1474" s="480">
        <f>IF(L1474&lt;&gt;"-",VLOOKUP(L1474,precio_aislador,2,FALSE),0)</f>
        <v>1.9</v>
      </c>
      <c r="N1474" s="704">
        <f>(I1474*J1474*F1474+K1474*M1474)*E1474*1.67*1.25</f>
        <v>0</v>
      </c>
      <c r="O1474" s="288"/>
      <c r="P1474" s="297"/>
      <c r="Q1474" s="297"/>
    </row>
    <row r="1475" spans="1:20" s="102" customFormat="1" ht="13.5" thickBot="1">
      <c r="A1475" s="323"/>
      <c r="B1475" s="323"/>
      <c r="C1475" s="309"/>
      <c r="D1475" s="382"/>
      <c r="E1475" s="323"/>
      <c r="F1475" s="309"/>
      <c r="G1475" s="309"/>
      <c r="H1475" s="323"/>
      <c r="I1475" s="325"/>
      <c r="J1475" s="325"/>
      <c r="K1475" s="323"/>
      <c r="L1475" s="323"/>
      <c r="M1475" s="325"/>
      <c r="N1475" s="706">
        <f>SUM(N1473:N1474)</f>
        <v>0</v>
      </c>
      <c r="O1475" s="288"/>
      <c r="P1475" s="297"/>
      <c r="Q1475" s="297"/>
    </row>
    <row r="1476" spans="1:20" s="102" customFormat="1">
      <c r="A1476" s="323"/>
      <c r="B1476" s="309"/>
      <c r="C1476" s="309"/>
      <c r="D1476" s="382"/>
      <c r="E1476" s="323"/>
      <c r="F1476" s="309"/>
      <c r="G1476" s="309"/>
      <c r="H1476" s="323"/>
      <c r="I1476" s="325"/>
      <c r="J1476" s="325"/>
      <c r="K1476" s="323"/>
      <c r="L1476" s="323"/>
      <c r="M1476" s="325"/>
      <c r="N1476" s="722"/>
      <c r="O1476" s="288"/>
      <c r="P1476" s="297"/>
      <c r="Q1476" s="297"/>
    </row>
    <row r="1477" spans="1:20" s="102" customFormat="1">
      <c r="A1477" s="323"/>
      <c r="B1477" s="309"/>
      <c r="C1477" s="309"/>
      <c r="D1477" s="382"/>
      <c r="E1477" s="323"/>
      <c r="F1477" s="309"/>
      <c r="G1477" s="309"/>
      <c r="H1477" s="323"/>
      <c r="I1477" s="325"/>
      <c r="J1477" s="325"/>
      <c r="K1477" s="323"/>
      <c r="L1477" s="323"/>
      <c r="M1477" s="325"/>
      <c r="N1477" s="722"/>
      <c r="O1477" s="288"/>
      <c r="P1477" s="297"/>
      <c r="Q1477" s="297"/>
    </row>
    <row r="1478" spans="1:20" s="102" customFormat="1" ht="15">
      <c r="A1478" s="323"/>
      <c r="B1478" s="723" t="s">
        <v>2513</v>
      </c>
      <c r="C1478" s="309"/>
      <c r="D1478" s="382"/>
      <c r="E1478" s="323"/>
      <c r="F1478" s="309"/>
      <c r="G1478" s="309"/>
      <c r="H1478" s="323"/>
      <c r="I1478" s="325"/>
      <c r="J1478" s="325"/>
      <c r="K1478" s="323"/>
      <c r="L1478" s="323"/>
      <c r="M1478" s="325"/>
      <c r="N1478" s="722"/>
      <c r="O1478" s="288"/>
      <c r="P1478" s="297"/>
      <c r="Q1478" s="297"/>
    </row>
    <row r="1479" spans="1:20" s="106" customFormat="1" ht="29.25" customHeight="1">
      <c r="B1479" s="724"/>
    </row>
    <row r="1480" spans="1:20" s="106" customFormat="1" ht="13.5" thickBot="1"/>
    <row r="1481" spans="1:20" s="199" customFormat="1" ht="15.75" customHeight="1">
      <c r="A1481" s="2641" t="s">
        <v>2535</v>
      </c>
      <c r="B1481" s="687" t="s">
        <v>2498</v>
      </c>
      <c r="C1481" s="327"/>
      <c r="D1481" s="328">
        <f t="shared" ref="D1481:D1487" si="642">IF(H1481&lt;&gt;"",VLOOKUP(G1481,base_barras,IF(H1481="Desnuda",2,5)+F1481-1,FALSE),"-")</f>
        <v>1180</v>
      </c>
      <c r="E1481" s="329">
        <v>4</v>
      </c>
      <c r="F1481" s="330">
        <v>1</v>
      </c>
      <c r="G1481" s="331" t="s">
        <v>581</v>
      </c>
      <c r="H1481" s="330" t="s">
        <v>1043</v>
      </c>
      <c r="I1481" s="332">
        <f>0.8+0.8</f>
        <v>1.6</v>
      </c>
      <c r="J1481" s="333">
        <f t="shared" ref="J1481:J1487" si="643">IF(G1481&lt;&gt;"",VLOOKUP(G1481,precio_barras,9,FALSE),0)</f>
        <v>53.3</v>
      </c>
      <c r="K1481" s="329">
        <f>2+2</f>
        <v>4</v>
      </c>
      <c r="L1481" s="343" t="str">
        <f t="shared" ref="L1481:L1487" si="644">IF(G1481&lt;&gt;"",IF(VLOOKUP(G1481,base_barras,10,FALSE)&lt;&gt;"",VLOOKUP(G1481,base_barras,10,FALSE),"-"),"-")</f>
        <v>1/750</v>
      </c>
      <c r="M1481" s="333">
        <f t="shared" ref="M1481:M1487" si="645">IF(L1481&lt;&gt;"-",VLOOKUP(L1481,precio_aislador,2,FALSE),0)</f>
        <v>1.9</v>
      </c>
      <c r="N1481" s="360">
        <f t="shared" ref="N1481:N1487" si="646">(I1481*J1481*F1481+K1481*M1481)*E1481*1.67*1.25</f>
        <v>775.54799999999989</v>
      </c>
      <c r="O1481" s="288"/>
      <c r="P1481" s="297"/>
      <c r="Q1481" s="288"/>
      <c r="R1481" s="102"/>
      <c r="S1481" s="102"/>
      <c r="T1481" s="102"/>
    </row>
    <row r="1482" spans="1:20" s="199" customFormat="1" ht="14.25">
      <c r="A1482" s="2642"/>
      <c r="B1482" s="688" t="s">
        <v>802</v>
      </c>
      <c r="C1482" s="319"/>
      <c r="D1482" s="312">
        <f t="shared" si="642"/>
        <v>676</v>
      </c>
      <c r="E1482" s="313">
        <v>1</v>
      </c>
      <c r="F1482" s="314">
        <v>1</v>
      </c>
      <c r="G1482" s="315" t="s">
        <v>314</v>
      </c>
      <c r="H1482" s="689" t="str">
        <f>H1481</f>
        <v>Pintada</v>
      </c>
      <c r="I1482" s="690">
        <v>0.8</v>
      </c>
      <c r="J1482" s="317">
        <f t="shared" si="643"/>
        <v>26.6</v>
      </c>
      <c r="K1482" s="691">
        <v>0</v>
      </c>
      <c r="L1482" s="318" t="str">
        <f t="shared" si="644"/>
        <v>1/750</v>
      </c>
      <c r="M1482" s="317">
        <f t="shared" si="645"/>
        <v>1.9</v>
      </c>
      <c r="N1482" s="308">
        <f t="shared" si="646"/>
        <v>44.421999999999997</v>
      </c>
      <c r="O1482" s="288"/>
      <c r="P1482" s="297"/>
      <c r="Q1482" s="288"/>
      <c r="R1482" s="102"/>
      <c r="S1482" s="102"/>
      <c r="T1482" s="102"/>
    </row>
    <row r="1483" spans="1:20" s="199" customFormat="1" ht="15.75" customHeight="1">
      <c r="A1483" s="2642"/>
      <c r="B1483" s="729" t="s">
        <v>2536</v>
      </c>
      <c r="C1483" s="693"/>
      <c r="D1483" s="312">
        <f t="shared" si="642"/>
        <v>1180</v>
      </c>
      <c r="E1483" s="313">
        <v>3</v>
      </c>
      <c r="F1483" s="314">
        <v>1</v>
      </c>
      <c r="G1483" s="315" t="s">
        <v>581</v>
      </c>
      <c r="H1483" s="314" t="s">
        <v>1043</v>
      </c>
      <c r="I1483" s="316">
        <v>0.61</v>
      </c>
      <c r="J1483" s="317">
        <f t="shared" si="643"/>
        <v>53.3</v>
      </c>
      <c r="K1483" s="694">
        <v>0</v>
      </c>
      <c r="L1483" s="695" t="str">
        <f t="shared" si="644"/>
        <v>1/750</v>
      </c>
      <c r="M1483" s="478">
        <f t="shared" si="645"/>
        <v>1.9</v>
      </c>
      <c r="N1483" s="696">
        <f t="shared" si="646"/>
        <v>203.61266249999997</v>
      </c>
      <c r="O1483" s="288"/>
      <c r="P1483" s="297"/>
      <c r="Q1483" s="288"/>
      <c r="R1483" s="102"/>
      <c r="S1483" s="102"/>
      <c r="T1483" s="102"/>
    </row>
    <row r="1484" spans="1:20" s="199" customFormat="1" ht="15.75" customHeight="1">
      <c r="A1484" s="2642"/>
      <c r="B1484" s="729" t="s">
        <v>2537</v>
      </c>
      <c r="C1484" s="693"/>
      <c r="D1484" s="312">
        <f t="shared" si="642"/>
        <v>715</v>
      </c>
      <c r="E1484" s="313">
        <v>3</v>
      </c>
      <c r="F1484" s="314">
        <v>1</v>
      </c>
      <c r="G1484" s="315" t="s">
        <v>469</v>
      </c>
      <c r="H1484" s="314" t="s">
        <v>1044</v>
      </c>
      <c r="I1484" s="316">
        <v>0.3</v>
      </c>
      <c r="J1484" s="317">
        <f t="shared" si="643"/>
        <v>35.6</v>
      </c>
      <c r="K1484" s="694">
        <v>0</v>
      </c>
      <c r="L1484" s="695" t="str">
        <f t="shared" si="644"/>
        <v>1/750</v>
      </c>
      <c r="M1484" s="478">
        <f t="shared" si="645"/>
        <v>1.9</v>
      </c>
      <c r="N1484" s="696">
        <f t="shared" si="646"/>
        <v>66.883499999999998</v>
      </c>
      <c r="O1484" s="288"/>
      <c r="P1484" s="297"/>
      <c r="Q1484" s="288"/>
      <c r="R1484" s="102"/>
      <c r="S1484" s="102"/>
      <c r="T1484" s="102"/>
    </row>
    <row r="1485" spans="1:20" s="199" customFormat="1" ht="15.75" customHeight="1">
      <c r="A1485" s="2642"/>
      <c r="B1485" s="729" t="s">
        <v>2537</v>
      </c>
      <c r="C1485" s="693"/>
      <c r="D1485" s="312">
        <f t="shared" si="642"/>
        <v>676</v>
      </c>
      <c r="E1485" s="313">
        <v>3</v>
      </c>
      <c r="F1485" s="314">
        <v>1</v>
      </c>
      <c r="G1485" s="315" t="s">
        <v>314</v>
      </c>
      <c r="H1485" s="314" t="s">
        <v>1043</v>
      </c>
      <c r="I1485" s="316">
        <v>0.61</v>
      </c>
      <c r="J1485" s="317">
        <f t="shared" si="643"/>
        <v>26.6</v>
      </c>
      <c r="K1485" s="694">
        <v>0</v>
      </c>
      <c r="L1485" s="695" t="str">
        <f t="shared" si="644"/>
        <v>1/750</v>
      </c>
      <c r="M1485" s="478">
        <f t="shared" si="645"/>
        <v>1.9</v>
      </c>
      <c r="N1485" s="696">
        <f t="shared" si="646"/>
        <v>101.615325</v>
      </c>
      <c r="O1485" s="288"/>
      <c r="P1485" s="297"/>
      <c r="Q1485" s="288"/>
      <c r="R1485" s="102"/>
      <c r="S1485" s="102"/>
      <c r="T1485" s="102"/>
    </row>
    <row r="1486" spans="1:20" s="199" customFormat="1" ht="15.75" customHeight="1">
      <c r="A1486" s="2642"/>
      <c r="B1486" s="729" t="s">
        <v>2538</v>
      </c>
      <c r="C1486" s="693"/>
      <c r="D1486" s="312">
        <f t="shared" si="642"/>
        <v>497</v>
      </c>
      <c r="E1486" s="313">
        <v>3</v>
      </c>
      <c r="F1486" s="314">
        <v>1</v>
      </c>
      <c r="G1486" s="315" t="s">
        <v>62</v>
      </c>
      <c r="H1486" s="314" t="s">
        <v>1043</v>
      </c>
      <c r="I1486" s="316">
        <v>0.61</v>
      </c>
      <c r="J1486" s="317">
        <f t="shared" si="643"/>
        <v>17.7</v>
      </c>
      <c r="K1486" s="694">
        <v>0</v>
      </c>
      <c r="L1486" s="695" t="str">
        <f t="shared" si="644"/>
        <v>-</v>
      </c>
      <c r="M1486" s="478">
        <f t="shared" si="645"/>
        <v>0</v>
      </c>
      <c r="N1486" s="696">
        <f t="shared" si="646"/>
        <v>67.616212499999989</v>
      </c>
      <c r="O1486" s="288"/>
      <c r="P1486" s="297"/>
      <c r="Q1486" s="288"/>
      <c r="R1486" s="102"/>
      <c r="S1486" s="102"/>
      <c r="T1486" s="102"/>
    </row>
    <row r="1487" spans="1:20" s="199" customFormat="1" ht="15.75" customHeight="1" thickBot="1">
      <c r="A1487" s="2642"/>
      <c r="B1487" s="692" t="s">
        <v>2501</v>
      </c>
      <c r="C1487" s="693"/>
      <c r="D1487" s="312">
        <f t="shared" si="642"/>
        <v>573</v>
      </c>
      <c r="E1487" s="313">
        <v>3</v>
      </c>
      <c r="F1487" s="314">
        <v>1</v>
      </c>
      <c r="G1487" s="315" t="s">
        <v>314</v>
      </c>
      <c r="H1487" s="314" t="s">
        <v>1044</v>
      </c>
      <c r="I1487" s="316">
        <v>0.4</v>
      </c>
      <c r="J1487" s="317">
        <f t="shared" si="643"/>
        <v>26.6</v>
      </c>
      <c r="K1487" s="694">
        <v>0</v>
      </c>
      <c r="L1487" s="695" t="str">
        <f t="shared" si="644"/>
        <v>1/750</v>
      </c>
      <c r="M1487" s="478">
        <f t="shared" si="645"/>
        <v>1.9</v>
      </c>
      <c r="N1487" s="696">
        <f t="shared" si="646"/>
        <v>66.63300000000001</v>
      </c>
      <c r="O1487" s="288"/>
      <c r="P1487" s="297"/>
      <c r="Q1487" s="288"/>
      <c r="R1487" s="102"/>
      <c r="S1487" s="102"/>
      <c r="T1487" s="102"/>
    </row>
    <row r="1488" spans="1:20" s="129" customFormat="1" ht="22.5" customHeight="1" thickBot="1">
      <c r="A1488" s="371"/>
      <c r="B1488" s="373"/>
      <c r="C1488" s="375"/>
      <c r="D1488" s="383"/>
      <c r="E1488" s="373"/>
      <c r="F1488" s="373"/>
      <c r="G1488" s="373"/>
      <c r="H1488" s="373"/>
      <c r="I1488" s="374"/>
      <c r="J1488" s="374"/>
      <c r="K1488" s="373"/>
      <c r="L1488" s="373"/>
      <c r="M1488" s="372"/>
      <c r="N1488" s="699">
        <f>SUM(N1481:N1487)</f>
        <v>1326.3307</v>
      </c>
      <c r="O1488" s="288"/>
      <c r="P1488" s="297"/>
      <c r="Q1488" s="288"/>
      <c r="R1488" s="102"/>
      <c r="S1488" s="102"/>
      <c r="T1488" s="102"/>
    </row>
    <row r="1489" spans="1:20" s="102" customFormat="1" ht="8.25" customHeight="1" thickBot="1">
      <c r="A1489" s="323"/>
      <c r="B1489" s="323"/>
      <c r="C1489" s="323"/>
      <c r="D1489" s="382"/>
      <c r="E1489" s="323"/>
      <c r="F1489" s="325"/>
      <c r="G1489" s="325"/>
      <c r="H1489" s="325"/>
      <c r="I1489" s="323"/>
      <c r="J1489" s="323"/>
      <c r="K1489" s="323"/>
      <c r="L1489" s="325"/>
      <c r="M1489" s="323"/>
      <c r="N1489" s="309"/>
      <c r="O1489" s="288"/>
      <c r="P1489" s="297"/>
      <c r="Q1489" s="288"/>
    </row>
    <row r="1490" spans="1:20" s="102" customFormat="1" ht="12.75" customHeight="1">
      <c r="A1490" s="2639" t="s">
        <v>2502</v>
      </c>
      <c r="B1490" s="687" t="s">
        <v>2503</v>
      </c>
      <c r="C1490" s="327"/>
      <c r="D1490" s="328">
        <f>IF(H1490&lt;&gt;"",VLOOKUP(G1490,base_barras,IF(H1490="Desnuda",2,5)+F1490-1,FALSE),"-")</f>
        <v>3290</v>
      </c>
      <c r="E1490" s="329">
        <v>4</v>
      </c>
      <c r="F1490" s="330">
        <v>1</v>
      </c>
      <c r="G1490" s="331" t="s">
        <v>584</v>
      </c>
      <c r="H1490" s="330" t="s">
        <v>1043</v>
      </c>
      <c r="I1490" s="332">
        <v>0</v>
      </c>
      <c r="J1490" s="333">
        <f>IF(G1490&lt;&gt;"",VLOOKUP(G1490,precio_barras,9,FALSE),0)</f>
        <v>231.4</v>
      </c>
      <c r="K1490" s="481">
        <v>0</v>
      </c>
      <c r="L1490" s="343" t="str">
        <f>IF(G1490&lt;&gt;"",IF(VLOOKUP(G1490,base_barras,10,FALSE)&lt;&gt;"",VLOOKUP(G1490,base_barras,10,FALSE),"-"),"-")</f>
        <v>1.5/1600</v>
      </c>
      <c r="M1490" s="333">
        <f>IF(L1490&lt;&gt;"-",VLOOKUP(L1490,precio_aislador,2,FALSE),0)</f>
        <v>22</v>
      </c>
      <c r="N1490" s="360">
        <f>(I1490*J1490*F1490+K1490*M1490)*E1490*1.67*1.25</f>
        <v>0</v>
      </c>
      <c r="O1490" s="288"/>
      <c r="P1490" s="297"/>
      <c r="Q1490" s="297"/>
    </row>
    <row r="1491" spans="1:20" s="199" customFormat="1" ht="15.75" customHeight="1" thickBot="1">
      <c r="A1491" s="2644"/>
      <c r="B1491" s="700" t="s">
        <v>2504</v>
      </c>
      <c r="C1491" s="701"/>
      <c r="D1491" s="364">
        <f>IF(H1491&lt;&gt;"",VLOOKUP(G1491,base_barras,IF(H1491="Desnuda",2,5)+F1491-1,FALSE),"-")</f>
        <v>3170</v>
      </c>
      <c r="E1491" s="365">
        <v>4</v>
      </c>
      <c r="F1491" s="366">
        <v>3</v>
      </c>
      <c r="G1491" s="322" t="s">
        <v>582</v>
      </c>
      <c r="H1491" s="366" t="s">
        <v>1043</v>
      </c>
      <c r="I1491" s="367">
        <v>0</v>
      </c>
      <c r="J1491" s="368">
        <f>IF(G1491&lt;&gt;"",VLOOKUP(G1491,precio_barras,9,FALSE),0)</f>
        <v>71.100000000000009</v>
      </c>
      <c r="K1491" s="702">
        <v>0</v>
      </c>
      <c r="L1491" s="703" t="str">
        <f>IF(G1491&lt;&gt;"",IF(VLOOKUP(G1491,base_barras,10,FALSE)&lt;&gt;"",VLOOKUP(G1491,base_barras,10,FALSE),"-"),"-")</f>
        <v>1/1000</v>
      </c>
      <c r="M1491" s="480">
        <f>IF(L1491&lt;&gt;"-",VLOOKUP(L1491,precio_aislador,2,FALSE),0)</f>
        <v>2.7</v>
      </c>
      <c r="N1491" s="704">
        <f>(I1491*J1491*F1491+K1491*M1491)*E1491*1.67*1.25</f>
        <v>0</v>
      </c>
      <c r="O1491" s="288"/>
      <c r="P1491" s="297"/>
      <c r="Q1491" s="288"/>
      <c r="R1491" s="102"/>
      <c r="S1491" s="102"/>
      <c r="T1491" s="102"/>
    </row>
    <row r="1492" spans="1:20" s="102" customFormat="1" ht="12.75" customHeight="1">
      <c r="A1492" s="2644"/>
      <c r="B1492" s="692" t="s">
        <v>2503</v>
      </c>
      <c r="C1492" s="693"/>
      <c r="D1492" s="697">
        <f>IF(H1492&lt;&gt;"",VLOOKUP(G1492,base_barras,IF(H1492="Desnuda",2,5)+F1492-1,FALSE),"-")</f>
        <v>3290</v>
      </c>
      <c r="E1492" s="694">
        <v>4</v>
      </c>
      <c r="F1492" s="655">
        <v>1</v>
      </c>
      <c r="G1492" s="698" t="s">
        <v>584</v>
      </c>
      <c r="H1492" s="655" t="s">
        <v>1043</v>
      </c>
      <c r="I1492" s="398">
        <v>0</v>
      </c>
      <c r="J1492" s="478">
        <f>IF(G1492&lt;&gt;"",VLOOKUP(G1492,precio_barras,9,FALSE),0)</f>
        <v>231.4</v>
      </c>
      <c r="K1492" s="705">
        <v>0</v>
      </c>
      <c r="L1492" s="695" t="str">
        <f>IF(G1492&lt;&gt;"",IF(VLOOKUP(G1492,base_barras,10,FALSE)&lt;&gt;"",VLOOKUP(G1492,base_barras,10,FALSE),"-"),"-")</f>
        <v>1.5/1600</v>
      </c>
      <c r="M1492" s="478">
        <f>IF(L1492&lt;&gt;"-",VLOOKUP(L1492,precio_aislador,2,FALSE),0)</f>
        <v>22</v>
      </c>
      <c r="N1492" s="696">
        <f>(I1492*J1492*F1492+K1492*M1492)*E1492*1.67*1.25</f>
        <v>0</v>
      </c>
      <c r="O1492" s="288"/>
      <c r="P1492" s="297"/>
      <c r="Q1492" s="297"/>
    </row>
    <row r="1493" spans="1:20" s="199" customFormat="1" ht="15.75" customHeight="1" thickBot="1">
      <c r="A1493" s="2640"/>
      <c r="B1493" s="700" t="s">
        <v>2504</v>
      </c>
      <c r="C1493" s="701"/>
      <c r="D1493" s="364">
        <f>IF(H1493&lt;&gt;"",VLOOKUP(G1493,base_barras,IF(H1493="Desnuda",2,5)+F1493-1,FALSE),"-")</f>
        <v>3170</v>
      </c>
      <c r="E1493" s="365">
        <v>4</v>
      </c>
      <c r="F1493" s="366">
        <v>3</v>
      </c>
      <c r="G1493" s="322" t="s">
        <v>582</v>
      </c>
      <c r="H1493" s="366" t="s">
        <v>1043</v>
      </c>
      <c r="I1493" s="367">
        <v>0</v>
      </c>
      <c r="J1493" s="368">
        <f>IF(G1493&lt;&gt;"",VLOOKUP(G1493,precio_barras,9,FALSE),0)</f>
        <v>71.100000000000009</v>
      </c>
      <c r="K1493" s="702">
        <v>0</v>
      </c>
      <c r="L1493" s="703" t="str">
        <f>IF(G1493&lt;&gt;"",IF(VLOOKUP(G1493,base_barras,10,FALSE)&lt;&gt;"",VLOOKUP(G1493,base_barras,10,FALSE),"-"),"-")</f>
        <v>1/1000</v>
      </c>
      <c r="M1493" s="480">
        <f>IF(L1493&lt;&gt;"-",VLOOKUP(L1493,precio_aislador,2,FALSE),0)</f>
        <v>2.7</v>
      </c>
      <c r="N1493" s="704">
        <f>(I1493*J1493*F1493+K1493*M1493)*E1493*1.67*1.25</f>
        <v>0</v>
      </c>
      <c r="O1493" s="288"/>
      <c r="P1493" s="297"/>
      <c r="Q1493" s="288"/>
      <c r="R1493" s="102"/>
      <c r="S1493" s="102"/>
      <c r="T1493" s="102"/>
    </row>
    <row r="1494" spans="1:20" s="102" customFormat="1" ht="13.5" thickBot="1">
      <c r="A1494" s="323"/>
      <c r="B1494" s="323"/>
      <c r="C1494" s="309"/>
      <c r="D1494" s="382"/>
      <c r="E1494" s="323"/>
      <c r="F1494" s="309"/>
      <c r="G1494" s="309"/>
      <c r="H1494" s="323"/>
      <c r="I1494" s="325"/>
      <c r="J1494" s="325"/>
      <c r="K1494" s="323"/>
      <c r="L1494" s="323"/>
      <c r="M1494" s="325"/>
      <c r="N1494" s="706">
        <f>SUM(N1490:N1493)</f>
        <v>0</v>
      </c>
      <c r="O1494" s="288"/>
      <c r="P1494" s="297"/>
      <c r="Q1494" s="297"/>
    </row>
    <row r="1495" spans="1:20" s="102" customFormat="1" ht="8.25" customHeight="1" thickBot="1">
      <c r="A1495" s="323"/>
      <c r="B1495" s="323"/>
      <c r="C1495" s="323"/>
      <c r="D1495" s="382"/>
      <c r="E1495" s="323"/>
      <c r="F1495" s="325"/>
      <c r="G1495" s="325"/>
      <c r="H1495" s="325"/>
      <c r="I1495" s="323"/>
      <c r="J1495" s="323"/>
      <c r="K1495" s="323"/>
      <c r="L1495" s="325"/>
      <c r="M1495" s="323"/>
      <c r="N1495" s="309"/>
      <c r="O1495" s="288"/>
      <c r="P1495" s="297"/>
      <c r="Q1495" s="288"/>
    </row>
    <row r="1496" spans="1:20" s="102" customFormat="1" ht="12.75" customHeight="1">
      <c r="A1496" s="2639" t="s">
        <v>2505</v>
      </c>
      <c r="B1496" s="687" t="s">
        <v>2506</v>
      </c>
      <c r="C1496" s="327"/>
      <c r="D1496" s="328">
        <f>IF(H1496&lt;&gt;"",VLOOKUP(G1496,base_barras,IF(H1496="Desnuda",2,5)+F1496-1,FALSE),"-")</f>
        <v>3290</v>
      </c>
      <c r="E1496" s="329">
        <v>4</v>
      </c>
      <c r="F1496" s="330">
        <v>1</v>
      </c>
      <c r="G1496" s="331" t="s">
        <v>584</v>
      </c>
      <c r="H1496" s="330" t="s">
        <v>1043</v>
      </c>
      <c r="I1496" s="332">
        <v>0</v>
      </c>
      <c r="J1496" s="333">
        <f>IF(G1496&lt;&gt;"",VLOOKUP(G1496,precio_barras,9,FALSE),0)</f>
        <v>231.4</v>
      </c>
      <c r="K1496" s="481">
        <v>0</v>
      </c>
      <c r="L1496" s="343" t="str">
        <f>IF(G1496&lt;&gt;"",IF(VLOOKUP(G1496,base_barras,10,FALSE)&lt;&gt;"",VLOOKUP(G1496,base_barras,10,FALSE),"-"),"-")</f>
        <v>1.5/1600</v>
      </c>
      <c r="M1496" s="333">
        <f>IF(L1496&lt;&gt;"-",VLOOKUP(L1496,precio_aislador,2,FALSE),0)</f>
        <v>22</v>
      </c>
      <c r="N1496" s="360">
        <f>(I1496*J1496*F1496+K1496*M1496)*E1496*1.67*1.25</f>
        <v>0</v>
      </c>
      <c r="O1496" s="288"/>
      <c r="P1496" s="297"/>
      <c r="Q1496" s="297"/>
    </row>
    <row r="1497" spans="1:20" s="102" customFormat="1" ht="13.5" thickBot="1">
      <c r="A1497" s="2644"/>
      <c r="B1497" s="707" t="s">
        <v>2504</v>
      </c>
      <c r="C1497" s="479"/>
      <c r="D1497" s="364">
        <f>IF(H1497&lt;&gt;"",VLOOKUP(G1497,base_barras,IF(H1497="Desnuda",2,5)+F1497-1,FALSE),"-")</f>
        <v>3170</v>
      </c>
      <c r="E1497" s="365">
        <v>4</v>
      </c>
      <c r="F1497" s="366">
        <v>3</v>
      </c>
      <c r="G1497" s="322" t="s">
        <v>582</v>
      </c>
      <c r="H1497" s="366" t="s">
        <v>1043</v>
      </c>
      <c r="I1497" s="367">
        <v>0</v>
      </c>
      <c r="J1497" s="368">
        <f>IF(G1497&lt;&gt;"",VLOOKUP(G1497,precio_barras,9,FALSE),0)</f>
        <v>71.100000000000009</v>
      </c>
      <c r="K1497" s="365">
        <v>0</v>
      </c>
      <c r="L1497" s="369" t="str">
        <f>IF(G1497&lt;&gt;"",IF(VLOOKUP(G1497,base_barras,10,FALSE)&lt;&gt;"",VLOOKUP(G1497,base_barras,10,FALSE),"-"),"-")</f>
        <v>1/1000</v>
      </c>
      <c r="M1497" s="368">
        <f>IF(L1497&lt;&gt;"-",VLOOKUP(L1497,precio_aislador,2,FALSE),0)</f>
        <v>2.7</v>
      </c>
      <c r="N1497" s="370">
        <f>(I1497*J1497*F1497+K1497*M1497)*E1497*1.67*1.25</f>
        <v>0</v>
      </c>
      <c r="O1497" s="288"/>
      <c r="P1497" s="297"/>
      <c r="Q1497" s="297"/>
    </row>
    <row r="1498" spans="1:20" s="102" customFormat="1" ht="12.75" customHeight="1">
      <c r="A1498" s="2644"/>
      <c r="B1498" s="692" t="s">
        <v>2506</v>
      </c>
      <c r="C1498" s="693"/>
      <c r="D1498" s="697">
        <f>IF(H1498&lt;&gt;"",VLOOKUP(G1498,base_barras,IF(H1498="Desnuda",2,5)+F1498-1,FALSE),"-")</f>
        <v>3290</v>
      </c>
      <c r="E1498" s="694">
        <v>4</v>
      </c>
      <c r="F1498" s="655">
        <v>1</v>
      </c>
      <c r="G1498" s="698" t="s">
        <v>584</v>
      </c>
      <c r="H1498" s="655" t="s">
        <v>1043</v>
      </c>
      <c r="I1498" s="398">
        <v>0</v>
      </c>
      <c r="J1498" s="478">
        <f>IF(G1498&lt;&gt;"",VLOOKUP(G1498,precio_barras,9,FALSE),0)</f>
        <v>231.4</v>
      </c>
      <c r="K1498" s="705">
        <v>0</v>
      </c>
      <c r="L1498" s="695" t="str">
        <f>IF(G1498&lt;&gt;"",IF(VLOOKUP(G1498,base_barras,10,FALSE)&lt;&gt;"",VLOOKUP(G1498,base_barras,10,FALSE),"-"),"-")</f>
        <v>1.5/1600</v>
      </c>
      <c r="M1498" s="478">
        <f>IF(L1498&lt;&gt;"-",VLOOKUP(L1498,precio_aislador,2,FALSE),0)</f>
        <v>22</v>
      </c>
      <c r="N1498" s="696">
        <f>(I1498*J1498*F1498+K1498*M1498)*E1498*1.67*1.25</f>
        <v>0</v>
      </c>
      <c r="O1498" s="288"/>
      <c r="P1498" s="297"/>
      <c r="Q1498" s="297"/>
    </row>
    <row r="1499" spans="1:20" s="102" customFormat="1" ht="13.5" thickBot="1">
      <c r="A1499" s="2640"/>
      <c r="B1499" s="700" t="s">
        <v>2504</v>
      </c>
      <c r="C1499" s="701"/>
      <c r="D1499" s="708">
        <f>IF(H1499&lt;&gt;"",VLOOKUP(G1499,base_barras,IF(H1499="Desnuda",2,5)+F1499-1,FALSE),"-")</f>
        <v>3170</v>
      </c>
      <c r="E1499" s="702">
        <v>4</v>
      </c>
      <c r="F1499" s="709">
        <v>3</v>
      </c>
      <c r="G1499" s="710" t="s">
        <v>582</v>
      </c>
      <c r="H1499" s="709" t="s">
        <v>1043</v>
      </c>
      <c r="I1499" s="711">
        <v>0</v>
      </c>
      <c r="J1499" s="480">
        <f>IF(G1499&lt;&gt;"",VLOOKUP(G1499,precio_barras,9,FALSE),0)</f>
        <v>71.100000000000009</v>
      </c>
      <c r="K1499" s="702">
        <v>0</v>
      </c>
      <c r="L1499" s="703" t="str">
        <f>IF(G1499&lt;&gt;"",IF(VLOOKUP(G1499,base_barras,10,FALSE)&lt;&gt;"",VLOOKUP(G1499,base_barras,10,FALSE),"-"),"-")</f>
        <v>1/1000</v>
      </c>
      <c r="M1499" s="480">
        <f>IF(L1499&lt;&gt;"-",VLOOKUP(L1499,precio_aislador,2,FALSE),0)</f>
        <v>2.7</v>
      </c>
      <c r="N1499" s="704">
        <f>(I1499*J1499*F1499+K1499*M1499)*E1499*1.67*1.25</f>
        <v>0</v>
      </c>
      <c r="O1499" s="288"/>
      <c r="P1499" s="297"/>
      <c r="Q1499" s="297"/>
    </row>
    <row r="1500" spans="1:20" s="102" customFormat="1" ht="13.5" thickBot="1">
      <c r="A1500" s="323"/>
      <c r="B1500" s="323"/>
      <c r="C1500" s="309"/>
      <c r="D1500" s="382"/>
      <c r="E1500" s="323"/>
      <c r="F1500" s="309"/>
      <c r="G1500" s="309"/>
      <c r="H1500" s="323"/>
      <c r="I1500" s="325"/>
      <c r="J1500" s="325"/>
      <c r="K1500" s="323"/>
      <c r="L1500" s="323"/>
      <c r="M1500" s="325"/>
      <c r="N1500" s="706">
        <f>SUM(N1496:N1499)</f>
        <v>0</v>
      </c>
      <c r="O1500" s="288"/>
      <c r="P1500" s="297"/>
      <c r="Q1500" s="297"/>
    </row>
    <row r="1501" spans="1:20" s="102" customFormat="1" ht="8.25" customHeight="1" thickBot="1">
      <c r="A1501" s="323"/>
      <c r="B1501" s="323"/>
      <c r="C1501" s="323"/>
      <c r="D1501" s="382"/>
      <c r="E1501" s="323"/>
      <c r="F1501" s="325"/>
      <c r="G1501" s="325"/>
      <c r="H1501" s="325"/>
      <c r="I1501" s="323"/>
      <c r="J1501" s="323"/>
      <c r="K1501" s="323"/>
      <c r="L1501" s="325"/>
      <c r="M1501" s="323"/>
      <c r="N1501" s="309"/>
      <c r="O1501" s="288"/>
      <c r="P1501" s="297"/>
      <c r="Q1501" s="288"/>
    </row>
    <row r="1502" spans="1:20" s="102" customFormat="1">
      <c r="A1502" s="2629" t="s">
        <v>1228</v>
      </c>
      <c r="B1502" s="687" t="s">
        <v>2507</v>
      </c>
      <c r="C1502" s="327"/>
      <c r="D1502" s="328">
        <f>IF(H1502&lt;&gt;"",VLOOKUP(G1502,base_barras,IF(H1502="Desnuda",2,5)+F1502-1,FALSE),"-")</f>
        <v>1500</v>
      </c>
      <c r="E1502" s="481">
        <v>3</v>
      </c>
      <c r="F1502" s="330">
        <v>1</v>
      </c>
      <c r="G1502" s="331" t="s">
        <v>582</v>
      </c>
      <c r="H1502" s="330" t="s">
        <v>1043</v>
      </c>
      <c r="I1502" s="332">
        <v>0</v>
      </c>
      <c r="J1502" s="333">
        <f>IF(G1502&lt;&gt;"",VLOOKUP(G1502,precio_barras,9,FALSE),0)</f>
        <v>71.100000000000009</v>
      </c>
      <c r="K1502" s="329">
        <v>0</v>
      </c>
      <c r="L1502" s="343" t="str">
        <f>IF(G1502&lt;&gt;"",IF(VLOOKUP(G1502,base_barras,10,FALSE)&lt;&gt;"",VLOOKUP(G1502,base_barras,10,FALSE),"-"),"-")</f>
        <v>1/1000</v>
      </c>
      <c r="M1502" s="333">
        <f>IF(L1502&lt;&gt;"-",VLOOKUP(L1502,precio_aislador,2,FALSE),0)</f>
        <v>2.7</v>
      </c>
      <c r="N1502" s="360">
        <f>(I1502*J1502*F1502+K1502*M1502)*E1502*1.67*1.25</f>
        <v>0</v>
      </c>
      <c r="O1502" s="288"/>
      <c r="P1502" s="297"/>
      <c r="Q1502" s="297"/>
    </row>
    <row r="1503" spans="1:20" s="102" customFormat="1" ht="13.5" thickBot="1">
      <c r="A1503" s="2635"/>
      <c r="B1503" s="707"/>
      <c r="C1503" s="479"/>
      <c r="D1503" s="364" t="str">
        <f>IF(H1503&lt;&gt;"",VLOOKUP(G1503,base_barras,IF(H1503="Desnuda",2,5)+F1503-1,FALSE),"-")</f>
        <v>-</v>
      </c>
      <c r="E1503" s="365"/>
      <c r="F1503" s="366"/>
      <c r="G1503" s="322"/>
      <c r="H1503" s="366"/>
      <c r="I1503" s="367"/>
      <c r="J1503" s="480">
        <f>IF(G1503&lt;&gt;"",VLOOKUP(G1503,precio_barras,9,FALSE),0)</f>
        <v>0</v>
      </c>
      <c r="K1503" s="365"/>
      <c r="L1503" s="369" t="str">
        <f>IF(G1503&lt;&gt;"",IF(VLOOKUP(G1503,base_barras,10,FALSE)&lt;&gt;"",VLOOKUP(G1503,base_barras,10,FALSE),"-"),"-")</f>
        <v>-</v>
      </c>
      <c r="M1503" s="368">
        <f>IF(L1503&lt;&gt;"-",VLOOKUP(L1503,precio_aislador,2,FALSE),0)</f>
        <v>0</v>
      </c>
      <c r="N1503" s="370">
        <f>(I1503*J1503*F1503+K1503*M1503)*E1503*1.67*1.25</f>
        <v>0</v>
      </c>
      <c r="O1503" s="288"/>
      <c r="P1503" s="297"/>
      <c r="Q1503" s="297"/>
    </row>
    <row r="1504" spans="1:20" s="102" customFormat="1" ht="13.5" thickBot="1">
      <c r="A1504" s="323"/>
      <c r="B1504" s="323"/>
      <c r="C1504" s="309"/>
      <c r="D1504" s="382"/>
      <c r="E1504" s="323"/>
      <c r="F1504" s="309"/>
      <c r="G1504" s="309"/>
      <c r="H1504" s="323"/>
      <c r="I1504" s="325"/>
      <c r="J1504" s="325"/>
      <c r="K1504" s="323"/>
      <c r="L1504" s="323"/>
      <c r="M1504" s="325"/>
      <c r="N1504" s="706">
        <f>SUM(N1502:N1503)</f>
        <v>0</v>
      </c>
      <c r="O1504" s="288"/>
      <c r="P1504" s="297"/>
      <c r="Q1504" s="297"/>
    </row>
    <row r="1505" spans="1:20" s="102" customFormat="1" ht="8.25" customHeight="1" thickBot="1">
      <c r="A1505" s="323"/>
      <c r="B1505" s="323"/>
      <c r="C1505" s="323"/>
      <c r="D1505" s="382"/>
      <c r="E1505" s="323"/>
      <c r="F1505" s="325"/>
      <c r="G1505" s="325"/>
      <c r="H1505" s="325"/>
      <c r="I1505" s="323"/>
      <c r="J1505" s="323"/>
      <c r="K1505" s="323"/>
      <c r="L1505" s="325"/>
      <c r="M1505" s="323"/>
      <c r="N1505" s="309"/>
      <c r="O1505" s="288"/>
      <c r="P1505" s="297"/>
      <c r="Q1505" s="288"/>
    </row>
    <row r="1506" spans="1:20" s="102" customFormat="1">
      <c r="A1506" s="2639" t="s">
        <v>2508</v>
      </c>
      <c r="B1506" s="687" t="s">
        <v>2504</v>
      </c>
      <c r="C1506" s="327"/>
      <c r="D1506" s="328">
        <f>IF(H1506&lt;&gt;"",VLOOKUP(G1506,base_barras,IF(H1506="Desnuda",2,5)+F1506-1,FALSE),"-")</f>
        <v>3170</v>
      </c>
      <c r="E1506" s="329">
        <v>4</v>
      </c>
      <c r="F1506" s="330">
        <v>3</v>
      </c>
      <c r="G1506" s="331" t="s">
        <v>582</v>
      </c>
      <c r="H1506" s="330" t="s">
        <v>1043</v>
      </c>
      <c r="I1506" s="332">
        <v>0</v>
      </c>
      <c r="J1506" s="333">
        <f>IF(G1506&lt;&gt;"",VLOOKUP(G1506,precio_barras,9,FALSE),0)</f>
        <v>71.100000000000009</v>
      </c>
      <c r="K1506" s="329">
        <v>0</v>
      </c>
      <c r="L1506" s="343" t="str">
        <f>IF(G1506&lt;&gt;"",IF(VLOOKUP(G1506,base_barras,10,FALSE)&lt;&gt;"",VLOOKUP(G1506,base_barras,10,FALSE),"-"),"-")</f>
        <v>1/1000</v>
      </c>
      <c r="M1506" s="333">
        <f>IF(L1506&lt;&gt;"-",VLOOKUP(L1506,precio_aislador,2,FALSE),0)</f>
        <v>2.7</v>
      </c>
      <c r="N1506" s="360">
        <f>(I1506*J1506*F1506+K1506*M1506)*E1506*1.67*1.25</f>
        <v>0</v>
      </c>
      <c r="O1506" s="288"/>
      <c r="P1506" s="297"/>
      <c r="Q1506" s="297"/>
    </row>
    <row r="1507" spans="1:20" s="199" customFormat="1" ht="15.75" customHeight="1">
      <c r="A1507" s="2646"/>
      <c r="B1507" s="692" t="s">
        <v>2498</v>
      </c>
      <c r="C1507" s="693"/>
      <c r="D1507" s="697">
        <f>IF(H1507&lt;&gt;"",VLOOKUP(G1507,base_barras,IF(H1507="Desnuda",2,5)+F1507-1,FALSE),"-")</f>
        <v>2850</v>
      </c>
      <c r="E1507" s="694">
        <v>4</v>
      </c>
      <c r="F1507" s="655">
        <v>2</v>
      </c>
      <c r="G1507" s="698" t="s">
        <v>468</v>
      </c>
      <c r="H1507" s="655" t="s">
        <v>1043</v>
      </c>
      <c r="I1507" s="398">
        <v>0</v>
      </c>
      <c r="J1507" s="478">
        <f>IF(G1507&lt;&gt;"",VLOOKUP(G1507,precio_barras,9,FALSE),0)</f>
        <v>88.9</v>
      </c>
      <c r="K1507" s="694">
        <v>0</v>
      </c>
      <c r="L1507" s="695" t="str">
        <f>IF(G1507&lt;&gt;"",IF(VLOOKUP(G1507,base_barras,10,FALSE)&lt;&gt;"",VLOOKUP(G1507,base_barras,10,FALSE),"-"),"-")</f>
        <v>1.5/1250</v>
      </c>
      <c r="M1507" s="478">
        <f>IF(L1507&lt;&gt;"-",VLOOKUP(L1507,precio_aislador,2,FALSE),0)</f>
        <v>5.5</v>
      </c>
      <c r="N1507" s="696">
        <f>(I1507*J1507*F1507+K1507*M1507)*E1507*1.67*1.25</f>
        <v>0</v>
      </c>
      <c r="O1507" s="288"/>
      <c r="P1507" s="297"/>
      <c r="Q1507" s="288"/>
      <c r="R1507" s="102"/>
      <c r="S1507" s="102"/>
      <c r="T1507" s="102"/>
    </row>
    <row r="1508" spans="1:20" s="199" customFormat="1" ht="15.75" customHeight="1" thickBot="1">
      <c r="A1508" s="2646"/>
      <c r="B1508" s="707" t="s">
        <v>2498</v>
      </c>
      <c r="C1508" s="479"/>
      <c r="D1508" s="364">
        <f>IF(H1508&lt;&gt;"",VLOOKUP(G1508,base_barras,IF(H1508="Desnuda",2,5)+F1508-1,FALSE),"-")</f>
        <v>2850</v>
      </c>
      <c r="E1508" s="365">
        <v>4</v>
      </c>
      <c r="F1508" s="366">
        <v>2</v>
      </c>
      <c r="G1508" s="322" t="s">
        <v>468</v>
      </c>
      <c r="H1508" s="366" t="s">
        <v>1043</v>
      </c>
      <c r="I1508" s="367">
        <v>0</v>
      </c>
      <c r="J1508" s="368">
        <f>IF(G1508&lt;&gt;"",VLOOKUP(G1508,precio_barras,9,FALSE),0)</f>
        <v>88.9</v>
      </c>
      <c r="K1508" s="365">
        <v>0</v>
      </c>
      <c r="L1508" s="369" t="str">
        <f>IF(G1508&lt;&gt;"",IF(VLOOKUP(G1508,base_barras,10,FALSE)&lt;&gt;"",VLOOKUP(G1508,base_barras,10,FALSE),"-"),"-")</f>
        <v>1.5/1250</v>
      </c>
      <c r="M1508" s="368">
        <f>IF(L1508&lt;&gt;"-",VLOOKUP(L1508,precio_aislador,2,FALSE),0)</f>
        <v>5.5</v>
      </c>
      <c r="N1508" s="370">
        <f>(I1508*J1508*F1508+K1508*M1508)*E1508*1.67*1.25</f>
        <v>0</v>
      </c>
      <c r="O1508" s="288"/>
      <c r="P1508" s="297"/>
      <c r="Q1508" s="288"/>
      <c r="R1508" s="102"/>
      <c r="S1508" s="102"/>
      <c r="T1508" s="102"/>
    </row>
    <row r="1509" spans="1:20" s="102" customFormat="1">
      <c r="A1509" s="2646"/>
      <c r="B1509" s="692" t="s">
        <v>2504</v>
      </c>
      <c r="C1509" s="693"/>
      <c r="D1509" s="697">
        <f>IF(H1509&lt;&gt;"",VLOOKUP(G1509,base_barras,IF(H1509="Desnuda",2,5)+F1509-1,FALSE),"-")</f>
        <v>3170</v>
      </c>
      <c r="E1509" s="694">
        <v>4</v>
      </c>
      <c r="F1509" s="655">
        <v>3</v>
      </c>
      <c r="G1509" s="698" t="s">
        <v>582</v>
      </c>
      <c r="H1509" s="655" t="s">
        <v>1043</v>
      </c>
      <c r="I1509" s="398">
        <v>0</v>
      </c>
      <c r="J1509" s="478">
        <f>IF(G1509&lt;&gt;"",VLOOKUP(G1509,precio_barras,9,FALSE),0)</f>
        <v>71.100000000000009</v>
      </c>
      <c r="K1509" s="694">
        <v>0</v>
      </c>
      <c r="L1509" s="695" t="str">
        <f>IF(G1509&lt;&gt;"",IF(VLOOKUP(G1509,base_barras,10,FALSE)&lt;&gt;"",VLOOKUP(G1509,base_barras,10,FALSE),"-"),"-")</f>
        <v>1/1000</v>
      </c>
      <c r="M1509" s="478">
        <f>IF(L1509&lt;&gt;"-",VLOOKUP(L1509,precio_aislador,2,FALSE),0)</f>
        <v>2.7</v>
      </c>
      <c r="N1509" s="696">
        <f>(I1509*J1509*F1509+K1509*M1509)*E1509*1.67*1.25</f>
        <v>0</v>
      </c>
      <c r="O1509" s="288"/>
      <c r="P1509" s="297"/>
      <c r="Q1509" s="297"/>
    </row>
    <row r="1510" spans="1:20" s="199" customFormat="1" ht="15.75" customHeight="1" thickBot="1">
      <c r="A1510" s="2647"/>
      <c r="B1510" s="700" t="s">
        <v>2498</v>
      </c>
      <c r="C1510" s="701"/>
      <c r="D1510" s="708">
        <f>IF(H1510&lt;&gt;"",VLOOKUP(G1510,base_barras,IF(H1510="Desnuda",2,5)+F1510-1,FALSE),"-")</f>
        <v>2850</v>
      </c>
      <c r="E1510" s="702">
        <v>4</v>
      </c>
      <c r="F1510" s="709">
        <v>2</v>
      </c>
      <c r="G1510" s="710" t="s">
        <v>468</v>
      </c>
      <c r="H1510" s="709" t="s">
        <v>1043</v>
      </c>
      <c r="I1510" s="711">
        <v>0</v>
      </c>
      <c r="J1510" s="480">
        <f>IF(G1510&lt;&gt;"",VLOOKUP(G1510,precio_barras,9,FALSE),0)</f>
        <v>88.9</v>
      </c>
      <c r="K1510" s="702">
        <v>0</v>
      </c>
      <c r="L1510" s="703" t="str">
        <f>IF(G1510&lt;&gt;"",IF(VLOOKUP(G1510,base_barras,10,FALSE)&lt;&gt;"",VLOOKUP(G1510,base_barras,10,FALSE),"-"),"-")</f>
        <v>1.5/1250</v>
      </c>
      <c r="M1510" s="480">
        <f>IF(L1510&lt;&gt;"-",VLOOKUP(L1510,precio_aislador,2,FALSE),0)</f>
        <v>5.5</v>
      </c>
      <c r="N1510" s="704">
        <f>(I1510*J1510*F1510+K1510*M1510)*E1510*1.67*1.25</f>
        <v>0</v>
      </c>
      <c r="O1510" s="288"/>
      <c r="P1510" s="297"/>
      <c r="Q1510" s="288"/>
      <c r="R1510" s="102"/>
      <c r="S1510" s="102"/>
      <c r="T1510" s="102"/>
    </row>
    <row r="1511" spans="1:20" s="102" customFormat="1" ht="13.5" thickBot="1">
      <c r="A1511" s="323"/>
      <c r="B1511" s="323"/>
      <c r="C1511" s="309"/>
      <c r="D1511" s="382"/>
      <c r="E1511" s="323"/>
      <c r="F1511" s="309"/>
      <c r="G1511" s="309"/>
      <c r="H1511" s="323"/>
      <c r="I1511" s="325"/>
      <c r="J1511" s="325"/>
      <c r="K1511" s="323"/>
      <c r="L1511" s="323"/>
      <c r="M1511" s="325"/>
      <c r="N1511" s="706">
        <f>SUM(N1506:N1510)</f>
        <v>0</v>
      </c>
      <c r="O1511" s="288"/>
      <c r="P1511" s="297"/>
      <c r="Q1511" s="297"/>
    </row>
    <row r="1512" spans="1:20" s="102" customFormat="1" ht="8.25" customHeight="1" thickBot="1">
      <c r="A1512" s="323"/>
      <c r="B1512" s="323"/>
      <c r="C1512" s="323"/>
      <c r="D1512" s="382"/>
      <c r="E1512" s="323"/>
      <c r="F1512" s="325"/>
      <c r="G1512" s="325"/>
      <c r="H1512" s="325"/>
      <c r="I1512" s="323"/>
      <c r="J1512" s="323"/>
      <c r="K1512" s="323"/>
      <c r="L1512" s="325"/>
      <c r="M1512" s="323"/>
      <c r="N1512" s="309"/>
      <c r="O1512" s="288"/>
      <c r="P1512" s="297"/>
      <c r="Q1512" s="288"/>
    </row>
    <row r="1513" spans="1:20" s="199" customFormat="1" ht="14.25" customHeight="1">
      <c r="A1513" s="2629" t="s">
        <v>1034</v>
      </c>
      <c r="B1513" s="687" t="s">
        <v>2525</v>
      </c>
      <c r="C1513" s="327"/>
      <c r="D1513" s="328">
        <f>IF(H1513&lt;&gt;"",VLOOKUP(G1513,base_barras,IF(H1513="Desnuda",2,5)+F1513-1,FALSE),"-")</f>
        <v>1180</v>
      </c>
      <c r="E1513" s="329">
        <v>3</v>
      </c>
      <c r="F1513" s="330">
        <v>1</v>
      </c>
      <c r="G1513" s="331" t="s">
        <v>581</v>
      </c>
      <c r="H1513" s="330" t="s">
        <v>1043</v>
      </c>
      <c r="I1513" s="332">
        <v>0</v>
      </c>
      <c r="J1513" s="333">
        <f>IF(G1513&lt;&gt;"",VLOOKUP(G1513,precio_barras,9,FALSE),0)</f>
        <v>53.3</v>
      </c>
      <c r="K1513" s="329">
        <v>0</v>
      </c>
      <c r="L1513" s="343" t="str">
        <f>IF(G1513&lt;&gt;"",IF(VLOOKUP(G1513,base_barras,10,FALSE)&lt;&gt;"",VLOOKUP(G1513,base_barras,10,FALSE),"-"),"-")</f>
        <v>1/750</v>
      </c>
      <c r="M1513" s="333">
        <f>IF(L1513&lt;&gt;"-",VLOOKUP(L1513,precio_aislador,2,FALSE),0)</f>
        <v>1.9</v>
      </c>
      <c r="N1513" s="360">
        <f>(I1513*J1513*F1513+K1513*M1513)*E1513*1.67*1.25</f>
        <v>0</v>
      </c>
      <c r="O1513" s="288"/>
      <c r="P1513" s="297"/>
      <c r="Q1513" s="288"/>
      <c r="R1513" s="102"/>
      <c r="S1513" s="102"/>
      <c r="T1513" s="102"/>
    </row>
    <row r="1514" spans="1:20" s="102" customFormat="1" ht="14.25" customHeight="1" thickBot="1">
      <c r="A1514" s="2635"/>
      <c r="B1514" s="700" t="s">
        <v>2531</v>
      </c>
      <c r="C1514" s="701"/>
      <c r="D1514" s="708">
        <f>IF(H1514&lt;&gt;"",VLOOKUP(G1514,base_barras,IF(H1514="Desnuda",2,5)+F1514-1,FALSE),"-")</f>
        <v>850</v>
      </c>
      <c r="E1514" s="702">
        <v>3</v>
      </c>
      <c r="F1514" s="709">
        <v>1</v>
      </c>
      <c r="G1514" s="710" t="s">
        <v>469</v>
      </c>
      <c r="H1514" s="709" t="s">
        <v>1043</v>
      </c>
      <c r="I1514" s="711">
        <v>0</v>
      </c>
      <c r="J1514" s="480">
        <f>IF(G1514&lt;&gt;"",VLOOKUP(G1514,precio_barras,9,FALSE),0)</f>
        <v>35.6</v>
      </c>
      <c r="K1514" s="702">
        <v>0</v>
      </c>
      <c r="L1514" s="703" t="str">
        <f>IF(G1514&lt;&gt;"",IF(VLOOKUP(G1514,base_barras,10,FALSE)&lt;&gt;"",VLOOKUP(G1514,base_barras,10,FALSE),"-"),"-")</f>
        <v>1/750</v>
      </c>
      <c r="M1514" s="480">
        <f>IF(L1514&lt;&gt;"-",VLOOKUP(L1514,precio_aislador,2,FALSE),0)</f>
        <v>1.9</v>
      </c>
      <c r="N1514" s="704">
        <f>(I1514*J1514*F1514+K1514*M1514)*E1514*1.67*1.25</f>
        <v>0</v>
      </c>
      <c r="O1514" s="288"/>
      <c r="P1514" s="297"/>
      <c r="Q1514" s="297"/>
    </row>
    <row r="1515" spans="1:20" s="102" customFormat="1" ht="13.5" thickBot="1">
      <c r="A1515" s="323"/>
      <c r="B1515" s="323"/>
      <c r="C1515" s="309"/>
      <c r="D1515" s="382"/>
      <c r="E1515" s="323"/>
      <c r="F1515" s="309"/>
      <c r="G1515" s="309"/>
      <c r="H1515" s="323"/>
      <c r="I1515" s="325"/>
      <c r="J1515" s="325"/>
      <c r="K1515" s="323"/>
      <c r="L1515" s="323"/>
      <c r="M1515" s="325"/>
      <c r="N1515" s="706">
        <f>SUM(N1513:N1514)</f>
        <v>0</v>
      </c>
      <c r="O1515" s="288"/>
      <c r="P1515" s="297"/>
      <c r="Q1515" s="297"/>
    </row>
    <row r="1516" spans="1:20" s="102" customFormat="1">
      <c r="A1516" s="323"/>
      <c r="B1516" s="309"/>
      <c r="C1516" s="309"/>
      <c r="D1516" s="382"/>
      <c r="E1516" s="323"/>
      <c r="F1516" s="309"/>
      <c r="G1516" s="309"/>
      <c r="H1516" s="323"/>
      <c r="I1516" s="325"/>
      <c r="J1516" s="325"/>
      <c r="K1516" s="323"/>
      <c r="L1516" s="323"/>
      <c r="M1516" s="325"/>
      <c r="N1516" s="722"/>
      <c r="O1516" s="288"/>
      <c r="P1516" s="297"/>
      <c r="Q1516" s="297"/>
    </row>
    <row r="1517" spans="1:20" s="102" customFormat="1">
      <c r="A1517" s="323"/>
      <c r="B1517" s="309"/>
      <c r="C1517" s="309"/>
      <c r="D1517" s="382"/>
      <c r="E1517" s="323"/>
      <c r="F1517" s="309"/>
      <c r="G1517" s="309"/>
      <c r="H1517" s="323"/>
      <c r="I1517" s="325"/>
      <c r="J1517" s="325"/>
      <c r="K1517" s="323"/>
      <c r="L1517" s="323"/>
      <c r="M1517" s="325"/>
      <c r="N1517" s="722"/>
      <c r="O1517" s="288"/>
      <c r="P1517" s="297"/>
      <c r="Q1517" s="297"/>
    </row>
    <row r="1518" spans="1:20" s="102" customFormat="1" ht="15">
      <c r="A1518" s="323"/>
      <c r="B1518" s="723" t="s">
        <v>2513</v>
      </c>
      <c r="C1518" s="309"/>
      <c r="D1518" s="382"/>
      <c r="E1518" s="323"/>
      <c r="F1518" s="309"/>
      <c r="G1518" s="309"/>
      <c r="H1518" s="323"/>
      <c r="I1518" s="325"/>
      <c r="J1518" s="325"/>
      <c r="K1518" s="323"/>
      <c r="L1518" s="323"/>
      <c r="M1518" s="325"/>
      <c r="N1518" s="722"/>
      <c r="O1518" s="288"/>
      <c r="P1518" s="297"/>
      <c r="Q1518" s="297"/>
    </row>
    <row r="1519" spans="1:20" s="102" customFormat="1" ht="15">
      <c r="A1519" s="323"/>
      <c r="B1519" s="723"/>
      <c r="C1519" s="309"/>
      <c r="D1519" s="382"/>
      <c r="E1519" s="323"/>
      <c r="F1519" s="309"/>
      <c r="G1519" s="309"/>
      <c r="H1519" s="323"/>
      <c r="I1519" s="325"/>
      <c r="J1519" s="325"/>
      <c r="K1519" s="323"/>
      <c r="L1519" s="323"/>
      <c r="M1519" s="325"/>
      <c r="N1519" s="722"/>
      <c r="O1519" s="288"/>
      <c r="P1519" s="297"/>
      <c r="Q1519" s="297"/>
    </row>
    <row r="1520" spans="1:20" s="102" customFormat="1" ht="15">
      <c r="A1520" s="323"/>
      <c r="B1520" s="723"/>
      <c r="C1520" s="309"/>
      <c r="D1520" s="382"/>
      <c r="E1520" s="323"/>
      <c r="F1520" s="309"/>
      <c r="G1520" s="309"/>
      <c r="H1520" s="323"/>
      <c r="I1520" s="325"/>
      <c r="J1520" s="325"/>
      <c r="K1520" s="323"/>
      <c r="L1520" s="323"/>
      <c r="M1520" s="325"/>
      <c r="N1520" s="722"/>
      <c r="O1520" s="288"/>
      <c r="P1520" s="297"/>
      <c r="Q1520" s="297"/>
    </row>
    <row r="1521" spans="1:20" s="102" customFormat="1" ht="15">
      <c r="A1521" s="323"/>
      <c r="B1521" s="723"/>
      <c r="C1521" s="309"/>
      <c r="D1521" s="382"/>
      <c r="E1521" s="323"/>
      <c r="F1521" s="309"/>
      <c r="G1521" s="309"/>
      <c r="H1521" s="323"/>
      <c r="I1521" s="325"/>
      <c r="J1521" s="325"/>
      <c r="K1521" s="323"/>
      <c r="L1521" s="323"/>
      <c r="M1521" s="325"/>
      <c r="N1521" s="722"/>
      <c r="O1521" s="288"/>
      <c r="P1521" s="297"/>
      <c r="Q1521" s="297"/>
    </row>
    <row r="1522" spans="1:20" s="102" customFormat="1" ht="15">
      <c r="A1522" s="323"/>
      <c r="B1522" s="723"/>
      <c r="C1522" s="309"/>
      <c r="D1522" s="382"/>
      <c r="E1522" s="323"/>
      <c r="F1522" s="309"/>
      <c r="G1522" s="309"/>
      <c r="H1522" s="323"/>
      <c r="I1522" s="325"/>
      <c r="J1522" s="325"/>
      <c r="K1522" s="323"/>
      <c r="L1522" s="323"/>
      <c r="M1522" s="325"/>
      <c r="N1522" s="722"/>
      <c r="O1522" s="288"/>
      <c r="P1522" s="297"/>
      <c r="Q1522" s="297"/>
    </row>
    <row r="1523" spans="1:20" s="102" customFormat="1" ht="15">
      <c r="A1523" s="323"/>
      <c r="B1523" s="723"/>
      <c r="C1523" s="309"/>
      <c r="D1523" s="382"/>
      <c r="E1523" s="323"/>
      <c r="F1523" s="309"/>
      <c r="G1523" s="309"/>
      <c r="H1523" s="323"/>
      <c r="I1523" s="325"/>
      <c r="J1523" s="325"/>
      <c r="K1523" s="323"/>
      <c r="L1523" s="323"/>
      <c r="M1523" s="325"/>
      <c r="N1523" s="722"/>
      <c r="O1523" s="288"/>
      <c r="P1523" s="297"/>
      <c r="Q1523" s="297"/>
    </row>
    <row r="1524" spans="1:20" s="102" customFormat="1" ht="15">
      <c r="A1524" s="323"/>
      <c r="B1524" s="723"/>
      <c r="C1524" s="309"/>
      <c r="D1524" s="382"/>
      <c r="E1524" s="323"/>
      <c r="F1524" s="309"/>
      <c r="G1524" s="309"/>
      <c r="H1524" s="323"/>
      <c r="I1524" s="325"/>
      <c r="J1524" s="325"/>
      <c r="K1524" s="323"/>
      <c r="L1524" s="323"/>
      <c r="M1524" s="325"/>
      <c r="N1524" s="722"/>
      <c r="O1524" s="288"/>
      <c r="P1524" s="297"/>
      <c r="Q1524" s="297"/>
    </row>
    <row r="1525" spans="1:20" s="102" customFormat="1" ht="15">
      <c r="A1525" s="323"/>
      <c r="B1525" s="723"/>
      <c r="C1525" s="309"/>
      <c r="D1525" s="382"/>
      <c r="E1525" s="323"/>
      <c r="F1525" s="309"/>
      <c r="G1525" s="309"/>
      <c r="H1525" s="323"/>
      <c r="I1525" s="325"/>
      <c r="J1525" s="325"/>
      <c r="K1525" s="323"/>
      <c r="L1525" s="323"/>
      <c r="M1525" s="325"/>
      <c r="N1525" s="722"/>
      <c r="O1525" s="288"/>
      <c r="P1525" s="297"/>
      <c r="Q1525" s="297"/>
    </row>
    <row r="1526" spans="1:20" s="102" customFormat="1" ht="15">
      <c r="A1526" s="323"/>
      <c r="B1526" s="723"/>
      <c r="C1526" s="309"/>
      <c r="D1526" s="382"/>
      <c r="E1526" s="323"/>
      <c r="F1526" s="309"/>
      <c r="G1526" s="309"/>
      <c r="H1526" s="323"/>
      <c r="I1526" s="325"/>
      <c r="J1526" s="325"/>
      <c r="K1526" s="323"/>
      <c r="L1526" s="323"/>
      <c r="M1526" s="325"/>
      <c r="N1526" s="722"/>
      <c r="O1526" s="288"/>
      <c r="P1526" s="297"/>
      <c r="Q1526" s="297"/>
    </row>
    <row r="1527" spans="1:20" s="102" customFormat="1" ht="15">
      <c r="A1527" s="323"/>
      <c r="B1527" s="723"/>
      <c r="C1527" s="309"/>
      <c r="D1527" s="382"/>
      <c r="E1527" s="323"/>
      <c r="F1527" s="309"/>
      <c r="G1527" s="309"/>
      <c r="H1527" s="323"/>
      <c r="I1527" s="325"/>
      <c r="J1527" s="325"/>
      <c r="K1527" s="323"/>
      <c r="L1527" s="323"/>
      <c r="M1527" s="325"/>
      <c r="N1527" s="722"/>
      <c r="O1527" s="288"/>
      <c r="P1527" s="297"/>
      <c r="Q1527" s="297"/>
    </row>
    <row r="1528" spans="1:20" s="102" customFormat="1" ht="15">
      <c r="A1528" s="323"/>
      <c r="B1528" s="723"/>
      <c r="C1528" s="309"/>
      <c r="D1528" s="382"/>
      <c r="E1528" s="323"/>
      <c r="F1528" s="309"/>
      <c r="G1528" s="309"/>
      <c r="H1528" s="323"/>
      <c r="I1528" s="325"/>
      <c r="J1528" s="325"/>
      <c r="K1528" s="323"/>
      <c r="L1528" s="323"/>
      <c r="M1528" s="325"/>
      <c r="N1528" s="722"/>
      <c r="O1528" s="288"/>
      <c r="P1528" s="297"/>
      <c r="Q1528" s="297"/>
    </row>
    <row r="1529" spans="1:20" s="102" customFormat="1" ht="15">
      <c r="A1529" s="323"/>
      <c r="B1529" s="723"/>
      <c r="C1529" s="309"/>
      <c r="D1529" s="382"/>
      <c r="E1529" s="323"/>
      <c r="F1529" s="309"/>
      <c r="G1529" s="309"/>
      <c r="H1529" s="323"/>
      <c r="I1529" s="325"/>
      <c r="J1529" s="325"/>
      <c r="K1529" s="323"/>
      <c r="L1529" s="323"/>
      <c r="M1529" s="325"/>
      <c r="N1529" s="722"/>
      <c r="O1529" s="288"/>
      <c r="P1529" s="297"/>
      <c r="Q1529" s="297"/>
    </row>
    <row r="1530" spans="1:20" s="102" customFormat="1" ht="15">
      <c r="A1530" s="323"/>
      <c r="B1530" s="723"/>
      <c r="C1530" s="309"/>
      <c r="D1530" s="382"/>
      <c r="E1530" s="323"/>
      <c r="F1530" s="309"/>
      <c r="G1530" s="309"/>
      <c r="H1530" s="323"/>
      <c r="I1530" s="325"/>
      <c r="J1530" s="325"/>
      <c r="K1530" s="323"/>
      <c r="L1530" s="323"/>
      <c r="M1530" s="325"/>
      <c r="N1530" s="722"/>
      <c r="O1530" s="288"/>
      <c r="P1530" s="297"/>
      <c r="Q1530" s="297"/>
    </row>
    <row r="1531" spans="1:20" s="102" customFormat="1" ht="15">
      <c r="A1531" s="323"/>
      <c r="B1531" s="723"/>
      <c r="C1531" s="309"/>
      <c r="D1531" s="382"/>
      <c r="E1531" s="323"/>
      <c r="F1531" s="309"/>
      <c r="G1531" s="309"/>
      <c r="H1531" s="323"/>
      <c r="I1531" s="325"/>
      <c r="J1531" s="325"/>
      <c r="K1531" s="323"/>
      <c r="L1531" s="323"/>
      <c r="M1531" s="325"/>
      <c r="N1531" s="722"/>
      <c r="O1531" s="288"/>
      <c r="P1531" s="297"/>
      <c r="Q1531" s="297"/>
    </row>
    <row r="1532" spans="1:20" s="102" customFormat="1" ht="15">
      <c r="A1532" s="323"/>
      <c r="B1532" s="723"/>
      <c r="C1532" s="309"/>
      <c r="D1532" s="382"/>
      <c r="E1532" s="323"/>
      <c r="F1532" s="309"/>
      <c r="G1532" s="309"/>
      <c r="H1532" s="323"/>
      <c r="I1532" s="325"/>
      <c r="J1532" s="325"/>
      <c r="K1532" s="323"/>
      <c r="L1532" s="323"/>
      <c r="M1532" s="325"/>
      <c r="N1532" s="722"/>
      <c r="O1532" s="288"/>
      <c r="P1532" s="297"/>
      <c r="Q1532" s="297"/>
    </row>
    <row r="1533" spans="1:20" s="102" customFormat="1">
      <c r="A1533" s="323"/>
      <c r="B1533" s="309"/>
      <c r="C1533" s="309"/>
      <c r="D1533" s="382"/>
      <c r="E1533" s="323"/>
      <c r="F1533" s="309"/>
      <c r="G1533" s="309"/>
      <c r="H1533" s="323"/>
      <c r="I1533" s="325"/>
      <c r="J1533" s="325"/>
      <c r="K1533" s="323"/>
      <c r="L1533" s="323"/>
      <c r="M1533" s="325"/>
      <c r="N1533" s="722"/>
      <c r="O1533" s="288"/>
      <c r="P1533" s="297"/>
      <c r="Q1533" s="297"/>
    </row>
    <row r="1534" spans="1:20" s="106" customFormat="1" ht="13.5" thickBot="1"/>
    <row r="1535" spans="1:20" s="199" customFormat="1" ht="15.75" customHeight="1">
      <c r="A1535" s="2641" t="s">
        <v>2539</v>
      </c>
      <c r="B1535" s="730" t="s">
        <v>2498</v>
      </c>
      <c r="C1535" s="327"/>
      <c r="D1535" s="328">
        <f>IF(H1535&lt;&gt;"",VLOOKUP(G1535,base_barras,IF(H1535="Desnuda",2,5)+F1535-1,FALSE),"-")</f>
        <v>4970</v>
      </c>
      <c r="E1535" s="329">
        <v>4</v>
      </c>
      <c r="F1535" s="731">
        <v>2</v>
      </c>
      <c r="G1535" s="331" t="s">
        <v>584</v>
      </c>
      <c r="H1535" s="330" t="s">
        <v>1043</v>
      </c>
      <c r="I1535" s="332">
        <f>1.2+0+1.2+0+1.2</f>
        <v>3.5999999999999996</v>
      </c>
      <c r="J1535" s="333">
        <f>IF(G1535&lt;&gt;"",VLOOKUP(G1535,precio_barras,9,FALSE),0)</f>
        <v>231.4</v>
      </c>
      <c r="K1535" s="329">
        <f>2+0+2+0+2</f>
        <v>6</v>
      </c>
      <c r="L1535" s="343" t="str">
        <f>IF(G1535&lt;&gt;"",IF(VLOOKUP(G1535,base_barras,10,FALSE)&lt;&gt;"",VLOOKUP(G1535,base_barras,10,FALSE),"-"),"-")</f>
        <v>1.5/1600</v>
      </c>
      <c r="M1535" s="333">
        <f>IF(L1535&lt;&gt;"-",VLOOKUP(L1535,precio_aislador,2,FALSE),0)</f>
        <v>22</v>
      </c>
      <c r="N1535" s="360">
        <f>(I1535*J1535*F1535+K1535*M1535)*E1535*1.67*1.25</f>
        <v>15013.968000000001</v>
      </c>
      <c r="O1535" s="288"/>
      <c r="P1535" s="297"/>
      <c r="Q1535" s="288"/>
      <c r="R1535" s="102"/>
      <c r="S1535" s="102"/>
      <c r="T1535" s="102"/>
    </row>
    <row r="1536" spans="1:20" s="199" customFormat="1" ht="14.25">
      <c r="A1536" s="2642"/>
      <c r="B1536" s="732" t="s">
        <v>802</v>
      </c>
      <c r="C1536" s="319"/>
      <c r="D1536" s="312">
        <f>IF(H1536&lt;&gt;"",VLOOKUP(G1536,base_barras,IF(H1536="Desnuda",2,5)+F1536-1,FALSE),"-")</f>
        <v>1500</v>
      </c>
      <c r="E1536" s="313">
        <v>1</v>
      </c>
      <c r="F1536" s="314">
        <v>1</v>
      </c>
      <c r="G1536" s="315" t="s">
        <v>582</v>
      </c>
      <c r="H1536" s="689" t="str">
        <f>H1535</f>
        <v>Pintada</v>
      </c>
      <c r="I1536" s="690">
        <f>I1535</f>
        <v>3.5999999999999996</v>
      </c>
      <c r="J1536" s="317">
        <f>IF(G1536&lt;&gt;"",VLOOKUP(G1536,precio_barras,9,FALSE),0)</f>
        <v>71.100000000000009</v>
      </c>
      <c r="K1536" s="691">
        <v>0</v>
      </c>
      <c r="L1536" s="318" t="str">
        <f>IF(G1536&lt;&gt;"",IF(VLOOKUP(G1536,base_barras,10,FALSE)&lt;&gt;"",VLOOKUP(G1536,base_barras,10,FALSE),"-"),"-")</f>
        <v>1/1000</v>
      </c>
      <c r="M1536" s="317">
        <f>IF(L1536&lt;&gt;"-",VLOOKUP(L1536,precio_aislador,2,FALSE),0)</f>
        <v>2.7</v>
      </c>
      <c r="N1536" s="308">
        <f>(I1536*J1536*F1536+K1536*M1536)*E1536*1.67*1.25</f>
        <v>534.31650000000002</v>
      </c>
      <c r="O1536" s="288"/>
      <c r="P1536" s="297"/>
      <c r="Q1536" s="288"/>
      <c r="R1536" s="102"/>
      <c r="S1536" s="102"/>
      <c r="T1536" s="102"/>
    </row>
    <row r="1537" spans="1:20" s="199" customFormat="1" ht="15.75" customHeight="1">
      <c r="A1537" s="2642"/>
      <c r="B1537" s="729" t="s">
        <v>2504</v>
      </c>
      <c r="C1537" s="693"/>
      <c r="D1537" s="312">
        <f>IF(H1537&lt;&gt;"",VLOOKUP(G1537,base_barras,IF(H1537="Desnuda",2,5)+F1537-1,FALSE),"-")</f>
        <v>3170</v>
      </c>
      <c r="E1537" s="313">
        <v>4</v>
      </c>
      <c r="F1537" s="314">
        <v>3</v>
      </c>
      <c r="G1537" s="315" t="s">
        <v>582</v>
      </c>
      <c r="H1537" s="314" t="s">
        <v>1043</v>
      </c>
      <c r="I1537" s="316">
        <f>0.2+0.5+0.5+0.2</f>
        <v>1.4</v>
      </c>
      <c r="J1537" s="317">
        <f>IF(G1537&lt;&gt;"",VLOOKUP(G1537,precio_barras,9,FALSE),0)</f>
        <v>71.100000000000009</v>
      </c>
      <c r="K1537" s="694">
        <v>0</v>
      </c>
      <c r="L1537" s="695" t="str">
        <f>IF(G1537&lt;&gt;"",IF(VLOOKUP(G1537,base_barras,10,FALSE)&lt;&gt;"",VLOOKUP(G1537,base_barras,10,FALSE),"-"),"-")</f>
        <v>1/1000</v>
      </c>
      <c r="M1537" s="478">
        <f>IF(L1537&lt;&gt;"-",VLOOKUP(L1537,precio_aislador,2,FALSE),0)</f>
        <v>2.7</v>
      </c>
      <c r="N1537" s="696">
        <f>(I1537*J1537*F1537+K1537*M1537)*E1537*1.67*1.25</f>
        <v>2493.4769999999999</v>
      </c>
      <c r="O1537" s="288"/>
      <c r="P1537" s="297"/>
      <c r="Q1537" s="288"/>
      <c r="R1537" s="102"/>
      <c r="S1537" s="102"/>
      <c r="T1537" s="102"/>
    </row>
    <row r="1538" spans="1:20" s="199" customFormat="1" ht="15.75" customHeight="1">
      <c r="A1538" s="2642"/>
      <c r="B1538" s="729" t="s">
        <v>2504</v>
      </c>
      <c r="C1538" s="693"/>
      <c r="D1538" s="312">
        <f>IF(H1538&lt;&gt;"",VLOOKUP(G1538,base_barras,IF(H1538="Desnuda",2,5)+F1538-1,FALSE),"-")</f>
        <v>3170</v>
      </c>
      <c r="E1538" s="313">
        <v>4</v>
      </c>
      <c r="F1538" s="314">
        <v>3</v>
      </c>
      <c r="G1538" s="315" t="s">
        <v>582</v>
      </c>
      <c r="H1538" s="314" t="s">
        <v>1043</v>
      </c>
      <c r="I1538" s="316">
        <f>0.2+0.5+0.5+0.2</f>
        <v>1.4</v>
      </c>
      <c r="J1538" s="317">
        <f>IF(G1538&lt;&gt;"",VLOOKUP(G1538,precio_barras,9,FALSE),0)</f>
        <v>71.100000000000009</v>
      </c>
      <c r="K1538" s="694">
        <v>0</v>
      </c>
      <c r="L1538" s="695" t="str">
        <f>IF(G1538&lt;&gt;"",IF(VLOOKUP(G1538,base_barras,10,FALSE)&lt;&gt;"",VLOOKUP(G1538,base_barras,10,FALSE),"-"),"-")</f>
        <v>1/1000</v>
      </c>
      <c r="M1538" s="478">
        <f>IF(L1538&lt;&gt;"-",VLOOKUP(L1538,precio_aislador,2,FALSE),0)</f>
        <v>2.7</v>
      </c>
      <c r="N1538" s="696">
        <f>(I1538*J1538*F1538+K1538*M1538)*E1538*1.67*1.25</f>
        <v>2493.4769999999999</v>
      </c>
      <c r="O1538" s="288"/>
      <c r="P1538" s="297"/>
      <c r="Q1538" s="288"/>
      <c r="R1538" s="102"/>
      <c r="S1538" s="102"/>
      <c r="T1538" s="102"/>
    </row>
    <row r="1539" spans="1:20" s="199" customFormat="1" ht="15.75" customHeight="1" thickBot="1">
      <c r="A1539" s="2642"/>
      <c r="B1539" s="729" t="s">
        <v>2504</v>
      </c>
      <c r="C1539" s="693"/>
      <c r="D1539" s="312">
        <f>IF(H1539&lt;&gt;"",VLOOKUP(G1539,base_barras,IF(H1539="Desnuda",2,5)+F1539-1,FALSE),"-")</f>
        <v>3170</v>
      </c>
      <c r="E1539" s="313">
        <v>4</v>
      </c>
      <c r="F1539" s="314">
        <v>3</v>
      </c>
      <c r="G1539" s="315" t="s">
        <v>582</v>
      </c>
      <c r="H1539" s="314" t="s">
        <v>1043</v>
      </c>
      <c r="I1539" s="316">
        <f>0.2+0.5+0.5+0.2</f>
        <v>1.4</v>
      </c>
      <c r="J1539" s="317">
        <f>IF(G1539&lt;&gt;"",VLOOKUP(G1539,precio_barras,9,FALSE),0)</f>
        <v>71.100000000000009</v>
      </c>
      <c r="K1539" s="694">
        <v>0</v>
      </c>
      <c r="L1539" s="695" t="str">
        <f>IF(G1539&lt;&gt;"",IF(VLOOKUP(G1539,base_barras,10,FALSE)&lt;&gt;"",VLOOKUP(G1539,base_barras,10,FALSE),"-"),"-")</f>
        <v>1/1000</v>
      </c>
      <c r="M1539" s="478">
        <f>IF(L1539&lt;&gt;"-",VLOOKUP(L1539,precio_aislador,2,FALSE),0)</f>
        <v>2.7</v>
      </c>
      <c r="N1539" s="696">
        <f>(I1539*J1539*F1539+K1539*M1539)*E1539*1.67*1.25</f>
        <v>2493.4769999999999</v>
      </c>
      <c r="O1539" s="288"/>
      <c r="P1539" s="297"/>
      <c r="Q1539" s="288"/>
      <c r="R1539" s="102"/>
      <c r="S1539" s="102"/>
      <c r="T1539" s="102"/>
    </row>
    <row r="1540" spans="1:20" s="129" customFormat="1" ht="22.5" customHeight="1" thickBot="1">
      <c r="A1540" s="371"/>
      <c r="B1540" s="733"/>
      <c r="C1540" s="375"/>
      <c r="D1540" s="383"/>
      <c r="E1540" s="373"/>
      <c r="F1540" s="373"/>
      <c r="G1540" s="373"/>
      <c r="H1540" s="373"/>
      <c r="I1540" s="374"/>
      <c r="J1540" s="374"/>
      <c r="K1540" s="373"/>
      <c r="L1540" s="373"/>
      <c r="M1540" s="372"/>
      <c r="N1540" s="699">
        <f>SUM(N1535:N1539)</f>
        <v>23028.715499999998</v>
      </c>
      <c r="O1540" s="288"/>
      <c r="P1540" s="297"/>
      <c r="Q1540" s="288"/>
      <c r="R1540" s="102"/>
      <c r="S1540" s="102"/>
      <c r="T1540" s="102"/>
    </row>
    <row r="1541" spans="1:20" s="102" customFormat="1" ht="8.25" customHeight="1" thickBot="1">
      <c r="A1541" s="323"/>
      <c r="B1541" s="734"/>
      <c r="C1541" s="323"/>
      <c r="D1541" s="382"/>
      <c r="E1541" s="323"/>
      <c r="F1541" s="325"/>
      <c r="G1541" s="325"/>
      <c r="H1541" s="325"/>
      <c r="I1541" s="323"/>
      <c r="J1541" s="323"/>
      <c r="K1541" s="323"/>
      <c r="L1541" s="325"/>
      <c r="M1541" s="323"/>
      <c r="N1541" s="309"/>
      <c r="O1541" s="288"/>
      <c r="P1541" s="297"/>
      <c r="Q1541" s="288"/>
    </row>
    <row r="1542" spans="1:20" s="102" customFormat="1" ht="12.75" customHeight="1">
      <c r="A1542" s="2639" t="s">
        <v>2502</v>
      </c>
      <c r="B1542" s="730" t="s">
        <v>2503</v>
      </c>
      <c r="C1542" s="327"/>
      <c r="D1542" s="328">
        <f>IF(H1542&lt;&gt;"",VLOOKUP(G1542,base_barras,IF(H1542="Desnuda",2,5)+F1542-1,FALSE),"-")</f>
        <v>4970</v>
      </c>
      <c r="E1542" s="329">
        <v>4</v>
      </c>
      <c r="F1542" s="731">
        <v>2</v>
      </c>
      <c r="G1542" s="331" t="s">
        <v>584</v>
      </c>
      <c r="H1542" s="330" t="s">
        <v>1043</v>
      </c>
      <c r="I1542" s="332">
        <f>0+1+0+1+0</f>
        <v>2</v>
      </c>
      <c r="J1542" s="333">
        <f>IF(G1542&lt;&gt;"",VLOOKUP(G1542,precio_barras,9,FALSE),0)</f>
        <v>231.4</v>
      </c>
      <c r="K1542" s="481">
        <f>0+2+0+2+0</f>
        <v>4</v>
      </c>
      <c r="L1542" s="343" t="str">
        <f>IF(G1542&lt;&gt;"",IF(VLOOKUP(G1542,base_barras,10,FALSE)&lt;&gt;"",VLOOKUP(G1542,base_barras,10,FALSE),"-"),"-")</f>
        <v>1.5/1600</v>
      </c>
      <c r="M1542" s="333">
        <f>IF(L1542&lt;&gt;"-",VLOOKUP(L1542,precio_aislador,2,FALSE),0)</f>
        <v>22</v>
      </c>
      <c r="N1542" s="360">
        <f>(I1542*J1542*F1542+K1542*M1542)*E1542*1.67*1.25</f>
        <v>8463.56</v>
      </c>
      <c r="O1542" s="288"/>
      <c r="P1542" s="297"/>
      <c r="Q1542" s="297"/>
    </row>
    <row r="1543" spans="1:20" s="199" customFormat="1" ht="14.25">
      <c r="A1543" s="2644"/>
      <c r="B1543" s="732" t="s">
        <v>802</v>
      </c>
      <c r="C1543" s="319"/>
      <c r="D1543" s="312">
        <f>IF(H1543&lt;&gt;"",VLOOKUP(G1543,base_barras,IF(H1543="Desnuda",2,5)+F1543-1,FALSE),"-")</f>
        <v>1500</v>
      </c>
      <c r="E1543" s="313">
        <v>1</v>
      </c>
      <c r="F1543" s="314">
        <v>1</v>
      </c>
      <c r="G1543" s="315" t="s">
        <v>582</v>
      </c>
      <c r="H1543" s="689" t="str">
        <f>H1544</f>
        <v>Pintada</v>
      </c>
      <c r="I1543" s="690">
        <f>I1542</f>
        <v>2</v>
      </c>
      <c r="J1543" s="317">
        <f>IF(G1543&lt;&gt;"",VLOOKUP(G1543,precio_barras,9,FALSE),0)</f>
        <v>71.100000000000009</v>
      </c>
      <c r="K1543" s="691">
        <v>0</v>
      </c>
      <c r="L1543" s="318" t="str">
        <f>IF(G1543&lt;&gt;"",IF(VLOOKUP(G1543,base_barras,10,FALSE)&lt;&gt;"",VLOOKUP(G1543,base_barras,10,FALSE),"-"),"-")</f>
        <v>1/1000</v>
      </c>
      <c r="M1543" s="317">
        <f>IF(L1543&lt;&gt;"-",VLOOKUP(L1543,precio_aislador,2,FALSE),0)</f>
        <v>2.7</v>
      </c>
      <c r="N1543" s="308">
        <f>(I1543*J1543*F1543+K1543*M1543)*E1543*1.67*1.25</f>
        <v>296.84250000000003</v>
      </c>
      <c r="O1543" s="288"/>
      <c r="P1543" s="297"/>
      <c r="Q1543" s="288"/>
      <c r="R1543" s="102"/>
      <c r="S1543" s="102"/>
      <c r="T1543" s="102"/>
    </row>
    <row r="1544" spans="1:20" s="102" customFormat="1" ht="13.5" thickBot="1">
      <c r="A1544" s="2640"/>
      <c r="B1544" s="735" t="s">
        <v>2504</v>
      </c>
      <c r="C1544" s="701"/>
      <c r="D1544" s="708">
        <f>IF(H1544&lt;&gt;"",VLOOKUP(G1544,base_barras,IF(H1544="Desnuda",2,5)+F1544-1,FALSE),"-")</f>
        <v>3170</v>
      </c>
      <c r="E1544" s="702">
        <v>4</v>
      </c>
      <c r="F1544" s="709">
        <v>3</v>
      </c>
      <c r="G1544" s="710" t="s">
        <v>582</v>
      </c>
      <c r="H1544" s="709" t="s">
        <v>1043</v>
      </c>
      <c r="I1544" s="711">
        <v>0</v>
      </c>
      <c r="J1544" s="480">
        <f>IF(G1544&lt;&gt;"",VLOOKUP(G1544,precio_barras,9,FALSE),0)</f>
        <v>71.100000000000009</v>
      </c>
      <c r="K1544" s="702">
        <v>0</v>
      </c>
      <c r="L1544" s="703" t="str">
        <f>IF(G1544&lt;&gt;"",IF(VLOOKUP(G1544,base_barras,10,FALSE)&lt;&gt;"",VLOOKUP(G1544,base_barras,10,FALSE),"-"),"-")</f>
        <v>1/1000</v>
      </c>
      <c r="M1544" s="480">
        <f>IF(L1544&lt;&gt;"-",VLOOKUP(L1544,precio_aislador,2,FALSE),0)</f>
        <v>2.7</v>
      </c>
      <c r="N1544" s="704">
        <f>(I1544*J1544*F1544+K1544*M1544)*E1544*1.67*1.25</f>
        <v>0</v>
      </c>
      <c r="O1544" s="288"/>
      <c r="P1544" s="297"/>
      <c r="Q1544" s="297"/>
    </row>
    <row r="1545" spans="1:20" s="102" customFormat="1" ht="13.5" thickBot="1">
      <c r="A1545" s="323"/>
      <c r="B1545" s="734"/>
      <c r="C1545" s="309"/>
      <c r="D1545" s="382"/>
      <c r="E1545" s="323"/>
      <c r="F1545" s="309"/>
      <c r="G1545" s="309"/>
      <c r="H1545" s="323"/>
      <c r="I1545" s="325"/>
      <c r="J1545" s="325"/>
      <c r="K1545" s="323"/>
      <c r="L1545" s="323"/>
      <c r="M1545" s="325"/>
      <c r="N1545" s="706">
        <f>SUM(N1542:N1544)</f>
        <v>8760.4025000000001</v>
      </c>
      <c r="O1545" s="288"/>
      <c r="P1545" s="297"/>
      <c r="Q1545" s="297"/>
    </row>
    <row r="1546" spans="1:20" s="102" customFormat="1" ht="8.25" customHeight="1" thickBot="1">
      <c r="A1546" s="323"/>
      <c r="B1546" s="734"/>
      <c r="C1546" s="323"/>
      <c r="D1546" s="382"/>
      <c r="E1546" s="323"/>
      <c r="F1546" s="325"/>
      <c r="G1546" s="325"/>
      <c r="H1546" s="325"/>
      <c r="I1546" s="323"/>
      <c r="J1546" s="323"/>
      <c r="K1546" s="323"/>
      <c r="L1546" s="325"/>
      <c r="M1546" s="323"/>
      <c r="N1546" s="309"/>
      <c r="O1546" s="288"/>
      <c r="P1546" s="297"/>
      <c r="Q1546" s="288"/>
    </row>
    <row r="1547" spans="1:20" s="102" customFormat="1" ht="12.75" customHeight="1">
      <c r="A1547" s="2639" t="s">
        <v>2505</v>
      </c>
      <c r="B1547" s="730" t="s">
        <v>2506</v>
      </c>
      <c r="C1547" s="327"/>
      <c r="D1547" s="328">
        <f>IF(H1547&lt;&gt;"",VLOOKUP(G1547,base_barras,IF(H1547="Desnuda",2,5)+F1547-1,FALSE),"-")</f>
        <v>3290</v>
      </c>
      <c r="E1547" s="329">
        <v>4</v>
      </c>
      <c r="F1547" s="330">
        <v>1</v>
      </c>
      <c r="G1547" s="331" t="s">
        <v>584</v>
      </c>
      <c r="H1547" s="330" t="s">
        <v>1043</v>
      </c>
      <c r="I1547" s="332">
        <f>1.2+0+1.2+0+1.2</f>
        <v>3.5999999999999996</v>
      </c>
      <c r="J1547" s="333">
        <f>IF(G1547&lt;&gt;"",VLOOKUP(G1547,precio_barras,9,FALSE),0)</f>
        <v>231.4</v>
      </c>
      <c r="K1547" s="481">
        <v>2</v>
      </c>
      <c r="L1547" s="343" t="str">
        <f>IF(G1547&lt;&gt;"",IF(VLOOKUP(G1547,base_barras,10,FALSE)&lt;&gt;"",VLOOKUP(G1547,base_barras,10,FALSE),"-"),"-")</f>
        <v>1.5/1600</v>
      </c>
      <c r="M1547" s="333">
        <f>IF(L1547&lt;&gt;"-",VLOOKUP(L1547,precio_aislador,2,FALSE),0)</f>
        <v>22</v>
      </c>
      <c r="N1547" s="360">
        <f>(I1547*J1547*F1547+K1547*M1547)*E1547*1.67*1.25</f>
        <v>7323.2839999999997</v>
      </c>
      <c r="O1547" s="288"/>
      <c r="P1547" s="297"/>
      <c r="Q1547" s="297"/>
    </row>
    <row r="1548" spans="1:20" s="199" customFormat="1" ht="14.25">
      <c r="A1548" s="2644"/>
      <c r="B1548" s="732" t="s">
        <v>802</v>
      </c>
      <c r="C1548" s="319"/>
      <c r="D1548" s="312">
        <f>IF(H1548&lt;&gt;"",VLOOKUP(G1548,base_barras,IF(H1548="Desnuda",2,5)+F1548-1,FALSE),"-")</f>
        <v>1500</v>
      </c>
      <c r="E1548" s="313">
        <v>1</v>
      </c>
      <c r="F1548" s="314">
        <v>1</v>
      </c>
      <c r="G1548" s="315" t="s">
        <v>582</v>
      </c>
      <c r="H1548" s="689" t="str">
        <f>H1549</f>
        <v>Pintada</v>
      </c>
      <c r="I1548" s="690">
        <f>I1547</f>
        <v>3.5999999999999996</v>
      </c>
      <c r="J1548" s="317">
        <f>IF(G1548&lt;&gt;"",VLOOKUP(G1548,precio_barras,9,FALSE),0)</f>
        <v>71.100000000000009</v>
      </c>
      <c r="K1548" s="691">
        <v>0</v>
      </c>
      <c r="L1548" s="318" t="str">
        <f>IF(G1548&lt;&gt;"",IF(VLOOKUP(G1548,base_barras,10,FALSE)&lt;&gt;"",VLOOKUP(G1548,base_barras,10,FALSE),"-"),"-")</f>
        <v>1/1000</v>
      </c>
      <c r="M1548" s="317">
        <f>IF(L1548&lt;&gt;"-",VLOOKUP(L1548,precio_aislador,2,FALSE),0)</f>
        <v>2.7</v>
      </c>
      <c r="N1548" s="308">
        <f>(I1548*J1548*F1548+K1548*M1548)*E1548*1.67*1.25</f>
        <v>534.31650000000002</v>
      </c>
      <c r="O1548" s="288"/>
      <c r="P1548" s="297"/>
      <c r="Q1548" s="288"/>
      <c r="R1548" s="102"/>
      <c r="S1548" s="102"/>
      <c r="T1548" s="102"/>
    </row>
    <row r="1549" spans="1:20" s="102" customFormat="1">
      <c r="A1549" s="2644"/>
      <c r="B1549" s="729" t="s">
        <v>2504</v>
      </c>
      <c r="C1549" s="693"/>
      <c r="D1549" s="697">
        <f>IF(H1549&lt;&gt;"",VLOOKUP(G1549,base_barras,IF(H1549="Desnuda",2,5)+F1549-1,FALSE),"-")</f>
        <v>3170</v>
      </c>
      <c r="E1549" s="694">
        <v>4</v>
      </c>
      <c r="F1549" s="655">
        <v>3</v>
      </c>
      <c r="G1549" s="698" t="s">
        <v>582</v>
      </c>
      <c r="H1549" s="655" t="s">
        <v>1043</v>
      </c>
      <c r="I1549" s="398">
        <f>0.7+0.7+0.3+0.2</f>
        <v>1.9</v>
      </c>
      <c r="J1549" s="478">
        <f>IF(G1549&lt;&gt;"",VLOOKUP(G1549,precio_barras,9,FALSE),0)</f>
        <v>71.100000000000009</v>
      </c>
      <c r="K1549" s="694">
        <v>2</v>
      </c>
      <c r="L1549" s="695" t="str">
        <f>IF(G1549&lt;&gt;"",IF(VLOOKUP(G1549,base_barras,10,FALSE)&lt;&gt;"",VLOOKUP(G1549,base_barras,10,FALSE),"-"),"-")</f>
        <v>1/1000</v>
      </c>
      <c r="M1549" s="478">
        <f>IF(L1549&lt;&gt;"-",VLOOKUP(L1549,precio_aislador,2,FALSE),0)</f>
        <v>2.7</v>
      </c>
      <c r="N1549" s="696">
        <f>(I1549*J1549*F1549+K1549*M1549)*E1549*1.67*1.25</f>
        <v>3429.0944999999992</v>
      </c>
      <c r="O1549" s="288"/>
      <c r="P1549" s="297"/>
      <c r="Q1549" s="297"/>
    </row>
    <row r="1550" spans="1:20" s="102" customFormat="1">
      <c r="A1550" s="2644"/>
      <c r="B1550" s="732" t="s">
        <v>2504</v>
      </c>
      <c r="C1550" s="311"/>
      <c r="D1550" s="312">
        <f>IF(H1550&lt;&gt;"",VLOOKUP(G1550,base_barras,IF(H1550="Desnuda",2,5)+F1550-1,FALSE),"-")</f>
        <v>3170</v>
      </c>
      <c r="E1550" s="313">
        <v>4</v>
      </c>
      <c r="F1550" s="314">
        <v>3</v>
      </c>
      <c r="G1550" s="315" t="s">
        <v>582</v>
      </c>
      <c r="H1550" s="314" t="s">
        <v>1043</v>
      </c>
      <c r="I1550" s="316">
        <f>0.7+0.7+0.3+0.2</f>
        <v>1.9</v>
      </c>
      <c r="J1550" s="317">
        <f>IF(G1550&lt;&gt;"",VLOOKUP(G1550,precio_barras,9,FALSE),0)</f>
        <v>71.100000000000009</v>
      </c>
      <c r="K1550" s="313">
        <v>2</v>
      </c>
      <c r="L1550" s="318" t="str">
        <f>IF(G1550&lt;&gt;"",IF(VLOOKUP(G1550,base_barras,10,FALSE)&lt;&gt;"",VLOOKUP(G1550,base_barras,10,FALSE),"-"),"-")</f>
        <v>1/1000</v>
      </c>
      <c r="M1550" s="317">
        <f>IF(L1550&lt;&gt;"-",VLOOKUP(L1550,precio_aislador,2,FALSE),0)</f>
        <v>2.7</v>
      </c>
      <c r="N1550" s="308">
        <f>(I1550*J1550*F1550+K1550*M1550)*E1550*1.67*1.25</f>
        <v>3429.0944999999992</v>
      </c>
      <c r="O1550" s="288"/>
      <c r="P1550" s="297"/>
      <c r="Q1550" s="297"/>
    </row>
    <row r="1551" spans="1:20" s="102" customFormat="1" ht="13.5" thickBot="1">
      <c r="A1551" s="2640"/>
      <c r="B1551" s="736" t="s">
        <v>2504</v>
      </c>
      <c r="C1551" s="479"/>
      <c r="D1551" s="364">
        <f>IF(H1551&lt;&gt;"",VLOOKUP(G1551,base_barras,IF(H1551="Desnuda",2,5)+F1551-1,FALSE),"-")</f>
        <v>3170</v>
      </c>
      <c r="E1551" s="365">
        <v>4</v>
      </c>
      <c r="F1551" s="366">
        <v>3</v>
      </c>
      <c r="G1551" s="322" t="s">
        <v>582</v>
      </c>
      <c r="H1551" s="366" t="s">
        <v>1043</v>
      </c>
      <c r="I1551" s="367">
        <f>0.7+0.7+0.3+0.2</f>
        <v>1.9</v>
      </c>
      <c r="J1551" s="368">
        <f>IF(G1551&lt;&gt;"",VLOOKUP(G1551,precio_barras,9,FALSE),0)</f>
        <v>71.100000000000009</v>
      </c>
      <c r="K1551" s="365">
        <v>2</v>
      </c>
      <c r="L1551" s="369" t="str">
        <f>IF(G1551&lt;&gt;"",IF(VLOOKUP(G1551,base_barras,10,FALSE)&lt;&gt;"",VLOOKUP(G1551,base_barras,10,FALSE),"-"),"-")</f>
        <v>1/1000</v>
      </c>
      <c r="M1551" s="368">
        <f>IF(L1551&lt;&gt;"-",VLOOKUP(L1551,precio_aislador,2,FALSE),0)</f>
        <v>2.7</v>
      </c>
      <c r="N1551" s="370">
        <f>(I1551*J1551*F1551+K1551*M1551)*E1551*1.67*1.25</f>
        <v>3429.0944999999992</v>
      </c>
      <c r="O1551" s="288"/>
      <c r="P1551" s="297"/>
      <c r="Q1551" s="297"/>
    </row>
    <row r="1552" spans="1:20" s="102" customFormat="1" ht="13.5" thickBot="1">
      <c r="A1552" s="323"/>
      <c r="B1552" s="734"/>
      <c r="C1552" s="309"/>
      <c r="D1552" s="382"/>
      <c r="E1552" s="323"/>
      <c r="F1552" s="309"/>
      <c r="G1552" s="309"/>
      <c r="H1552" s="323"/>
      <c r="I1552" s="325"/>
      <c r="J1552" s="325"/>
      <c r="K1552" s="323"/>
      <c r="L1552" s="323"/>
      <c r="M1552" s="325"/>
      <c r="N1552" s="706">
        <f>SUM(N1547:N1551)</f>
        <v>18144.883999999998</v>
      </c>
      <c r="O1552" s="288"/>
      <c r="P1552" s="297"/>
      <c r="Q1552" s="297"/>
    </row>
    <row r="1553" spans="1:20" s="102" customFormat="1" ht="8.25" customHeight="1" thickBot="1">
      <c r="A1553" s="323"/>
      <c r="B1553" s="734"/>
      <c r="C1553" s="323"/>
      <c r="D1553" s="382"/>
      <c r="E1553" s="323"/>
      <c r="F1553" s="325"/>
      <c r="G1553" s="325"/>
      <c r="H1553" s="325"/>
      <c r="I1553" s="323"/>
      <c r="J1553" s="323"/>
      <c r="K1553" s="323"/>
      <c r="L1553" s="325"/>
      <c r="M1553" s="323"/>
      <c r="N1553" s="309"/>
      <c r="O1553" s="288"/>
      <c r="P1553" s="297"/>
      <c r="Q1553" s="288"/>
    </row>
    <row r="1554" spans="1:20" s="102" customFormat="1">
      <c r="A1554" s="2629" t="s">
        <v>1228</v>
      </c>
      <c r="B1554" s="730" t="s">
        <v>2498</v>
      </c>
      <c r="C1554" s="327"/>
      <c r="D1554" s="328">
        <f>IF(H1554&lt;&gt;"",VLOOKUP(G1554,base_barras,IF(H1554="Desnuda",2,5)+F1554-1,FALSE),"-")</f>
        <v>3290</v>
      </c>
      <c r="E1554" s="481">
        <v>4</v>
      </c>
      <c r="F1554" s="330">
        <v>1</v>
      </c>
      <c r="G1554" s="331" t="s">
        <v>584</v>
      </c>
      <c r="H1554" s="330" t="s">
        <v>1043</v>
      </c>
      <c r="I1554" s="332">
        <f>0.2+0.2+0.2+0.2</f>
        <v>0.8</v>
      </c>
      <c r="J1554" s="333">
        <f>IF(G1554&lt;&gt;"",VLOOKUP(G1554,precio_barras,9,FALSE),0)</f>
        <v>231.4</v>
      </c>
      <c r="K1554" s="329">
        <v>0</v>
      </c>
      <c r="L1554" s="343" t="str">
        <f>IF(G1554&lt;&gt;"",IF(VLOOKUP(G1554,base_barras,10,FALSE)&lt;&gt;"",VLOOKUP(G1554,base_barras,10,FALSE),"-"),"-")</f>
        <v>1.5/1600</v>
      </c>
      <c r="M1554" s="333">
        <f>IF(L1554&lt;&gt;"-",VLOOKUP(L1554,precio_aislador,2,FALSE),0)</f>
        <v>22</v>
      </c>
      <c r="N1554" s="360">
        <f>(I1554*J1554*F1554+K1554*M1554)*E1554*1.67*1.25</f>
        <v>1545.752</v>
      </c>
      <c r="O1554" s="288"/>
      <c r="P1554" s="297"/>
      <c r="Q1554" s="297"/>
    </row>
    <row r="1555" spans="1:20" s="102" customFormat="1" ht="13.5" thickBot="1">
      <c r="A1555" s="2635"/>
      <c r="B1555" s="736"/>
      <c r="C1555" s="479"/>
      <c r="D1555" s="364" t="str">
        <f>IF(H1555&lt;&gt;"",VLOOKUP(G1555,base_barras,IF(H1555="Desnuda",2,5)+F1555-1,FALSE),"-")</f>
        <v>-</v>
      </c>
      <c r="E1555" s="365"/>
      <c r="F1555" s="366"/>
      <c r="G1555" s="322"/>
      <c r="H1555" s="366"/>
      <c r="I1555" s="367"/>
      <c r="J1555" s="480">
        <f>IF(G1555&lt;&gt;"",VLOOKUP(G1555,precio_barras,9,FALSE),0)</f>
        <v>0</v>
      </c>
      <c r="K1555" s="365"/>
      <c r="L1555" s="369" t="str">
        <f>IF(G1555&lt;&gt;"",IF(VLOOKUP(G1555,base_barras,10,FALSE)&lt;&gt;"",VLOOKUP(G1555,base_barras,10,FALSE),"-"),"-")</f>
        <v>-</v>
      </c>
      <c r="M1555" s="368">
        <f>IF(L1555&lt;&gt;"-",VLOOKUP(L1555,precio_aislador,2,FALSE),0)</f>
        <v>0</v>
      </c>
      <c r="N1555" s="370">
        <f>(I1555*J1555*F1555+K1555*M1555)*E1555*1.67*1.25</f>
        <v>0</v>
      </c>
      <c r="O1555" s="288"/>
      <c r="P1555" s="297"/>
      <c r="Q1555" s="297"/>
    </row>
    <row r="1556" spans="1:20" s="102" customFormat="1" ht="13.5" thickBot="1">
      <c r="A1556" s="323"/>
      <c r="B1556" s="734"/>
      <c r="C1556" s="309"/>
      <c r="D1556" s="382"/>
      <c r="E1556" s="323"/>
      <c r="F1556" s="309"/>
      <c r="G1556" s="309"/>
      <c r="H1556" s="323"/>
      <c r="I1556" s="325"/>
      <c r="J1556" s="325"/>
      <c r="K1556" s="323"/>
      <c r="L1556" s="323"/>
      <c r="M1556" s="325"/>
      <c r="N1556" s="706">
        <f>SUM(N1554:N1555)</f>
        <v>1545.752</v>
      </c>
      <c r="O1556" s="288"/>
      <c r="P1556" s="297"/>
      <c r="Q1556" s="297"/>
    </row>
    <row r="1557" spans="1:20" s="102" customFormat="1" ht="8.25" customHeight="1" thickBot="1">
      <c r="A1557" s="323"/>
      <c r="B1557" s="734"/>
      <c r="C1557" s="323"/>
      <c r="D1557" s="382"/>
      <c r="E1557" s="323"/>
      <c r="F1557" s="325"/>
      <c r="G1557" s="325"/>
      <c r="H1557" s="325"/>
      <c r="I1557" s="323"/>
      <c r="J1557" s="323"/>
      <c r="K1557" s="323"/>
      <c r="L1557" s="325"/>
      <c r="M1557" s="323"/>
      <c r="N1557" s="309"/>
      <c r="O1557" s="288"/>
      <c r="P1557" s="297"/>
      <c r="Q1557" s="288"/>
    </row>
    <row r="1558" spans="1:20" s="102" customFormat="1">
      <c r="A1558" s="2629" t="s">
        <v>1034</v>
      </c>
      <c r="B1558" s="730" t="s">
        <v>2504</v>
      </c>
      <c r="C1558" s="327"/>
      <c r="D1558" s="328">
        <f>IF(H1558&lt;&gt;"",VLOOKUP(G1558,base_barras,IF(H1558="Desnuda",2,5)+F1558-1,FALSE),"-")</f>
        <v>3170</v>
      </c>
      <c r="E1558" s="329">
        <v>4</v>
      </c>
      <c r="F1558" s="330">
        <v>3</v>
      </c>
      <c r="G1558" s="331" t="s">
        <v>582</v>
      </c>
      <c r="H1558" s="330" t="s">
        <v>1043</v>
      </c>
      <c r="I1558" s="332">
        <v>0</v>
      </c>
      <c r="J1558" s="333">
        <f>IF(G1558&lt;&gt;"",VLOOKUP(G1558,precio_barras,9,FALSE),0)</f>
        <v>71.100000000000009</v>
      </c>
      <c r="K1558" s="329">
        <v>0</v>
      </c>
      <c r="L1558" s="343" t="str">
        <f>IF(G1558&lt;&gt;"",IF(VLOOKUP(G1558,base_barras,10,FALSE)&lt;&gt;"",VLOOKUP(G1558,base_barras,10,FALSE),"-"),"-")</f>
        <v>1/1000</v>
      </c>
      <c r="M1558" s="333">
        <f>IF(L1558&lt;&gt;"-",VLOOKUP(L1558,precio_aislador,2,FALSE),0)</f>
        <v>2.7</v>
      </c>
      <c r="N1558" s="360">
        <f>(I1558*J1558*F1558+K1558*M1558)*E1558*1.67*1.25</f>
        <v>0</v>
      </c>
      <c r="O1558" s="288"/>
      <c r="P1558" s="297"/>
      <c r="Q1558" s="297"/>
    </row>
    <row r="1559" spans="1:20" s="102" customFormat="1" ht="13.5" thickBot="1">
      <c r="A1559" s="2635"/>
      <c r="B1559" s="735" t="s">
        <v>2504</v>
      </c>
      <c r="C1559" s="701"/>
      <c r="D1559" s="708">
        <f>IF(H1559&lt;&gt;"",VLOOKUP(G1559,base_barras,IF(H1559="Desnuda",2,5)+F1559-1,FALSE),"-")</f>
        <v>3170</v>
      </c>
      <c r="E1559" s="702">
        <v>4</v>
      </c>
      <c r="F1559" s="709">
        <v>3</v>
      </c>
      <c r="G1559" s="710" t="s">
        <v>582</v>
      </c>
      <c r="H1559" s="709" t="s">
        <v>1043</v>
      </c>
      <c r="I1559" s="711">
        <v>0</v>
      </c>
      <c r="J1559" s="480">
        <f>IF(G1559&lt;&gt;"",VLOOKUP(G1559,precio_barras,9,FALSE),0)</f>
        <v>71.100000000000009</v>
      </c>
      <c r="K1559" s="702">
        <v>0</v>
      </c>
      <c r="L1559" s="703" t="str">
        <f>IF(G1559&lt;&gt;"",IF(VLOOKUP(G1559,base_barras,10,FALSE)&lt;&gt;"",VLOOKUP(G1559,base_barras,10,FALSE),"-"),"-")</f>
        <v>1/1000</v>
      </c>
      <c r="M1559" s="480">
        <f>IF(L1559&lt;&gt;"-",VLOOKUP(L1559,precio_aislador,2,FALSE),0)</f>
        <v>2.7</v>
      </c>
      <c r="N1559" s="704">
        <f>(I1559*J1559*F1559+K1559*M1559)*E1559*1.67*1.25</f>
        <v>0</v>
      </c>
      <c r="O1559" s="288"/>
      <c r="P1559" s="297"/>
      <c r="Q1559" s="297"/>
    </row>
    <row r="1560" spans="1:20" s="102" customFormat="1" ht="13.5" thickBot="1">
      <c r="A1560" s="323"/>
      <c r="B1560" s="734"/>
      <c r="C1560" s="309"/>
      <c r="D1560" s="382"/>
      <c r="E1560" s="323"/>
      <c r="F1560" s="309"/>
      <c r="G1560" s="309"/>
      <c r="H1560" s="323"/>
      <c r="I1560" s="325"/>
      <c r="J1560" s="325"/>
      <c r="K1560" s="323"/>
      <c r="L1560" s="323"/>
      <c r="M1560" s="325"/>
      <c r="N1560" s="706">
        <f>SUM(N1558:N1559)</f>
        <v>0</v>
      </c>
      <c r="O1560" s="288"/>
      <c r="P1560" s="297"/>
      <c r="Q1560" s="297"/>
    </row>
    <row r="1561" spans="1:20" s="106" customFormat="1" ht="29.25" customHeight="1">
      <c r="B1561" s="724"/>
    </row>
    <row r="1562" spans="1:20" s="106" customFormat="1" ht="13.5" thickBot="1">
      <c r="B1562" s="724"/>
    </row>
    <row r="1563" spans="1:20" s="199" customFormat="1" ht="15.75" customHeight="1">
      <c r="A1563" s="2641" t="s">
        <v>2540</v>
      </c>
      <c r="B1563" s="730" t="s">
        <v>2498</v>
      </c>
      <c r="C1563" s="327"/>
      <c r="D1563" s="328">
        <f>IF(H1563&lt;&gt;"",VLOOKUP(G1563,base_barras,IF(H1563="Desnuda",2,5)+F1563-1,FALSE),"-")</f>
        <v>3290</v>
      </c>
      <c r="E1563" s="329">
        <v>4</v>
      </c>
      <c r="F1563" s="330">
        <v>1</v>
      </c>
      <c r="G1563" s="331" t="s">
        <v>584</v>
      </c>
      <c r="H1563" s="330" t="s">
        <v>1043</v>
      </c>
      <c r="I1563" s="332">
        <v>0</v>
      </c>
      <c r="J1563" s="333">
        <f>IF(G1563&lt;&gt;"",VLOOKUP(G1563,precio_barras,9,FALSE),0)</f>
        <v>231.4</v>
      </c>
      <c r="K1563" s="329">
        <v>0</v>
      </c>
      <c r="L1563" s="343" t="str">
        <f>IF(G1563&lt;&gt;"",IF(VLOOKUP(G1563,base_barras,10,FALSE)&lt;&gt;"",VLOOKUP(G1563,base_barras,10,FALSE),"-"),"-")</f>
        <v>1.5/1600</v>
      </c>
      <c r="M1563" s="333">
        <f>IF(L1563&lt;&gt;"-",VLOOKUP(L1563,precio_aislador,2,FALSE),0)</f>
        <v>22</v>
      </c>
      <c r="N1563" s="360">
        <f>(I1563*J1563*F1563+K1563*M1563)*E1563*1.67*1.25</f>
        <v>0</v>
      </c>
      <c r="O1563" s="288"/>
      <c r="P1563" s="297"/>
      <c r="Q1563" s="288"/>
      <c r="R1563" s="102"/>
      <c r="S1563" s="102"/>
      <c r="T1563" s="102"/>
    </row>
    <row r="1564" spans="1:20" s="199" customFormat="1" ht="14.25">
      <c r="A1564" s="2642"/>
      <c r="B1564" s="732" t="s">
        <v>802</v>
      </c>
      <c r="C1564" s="319"/>
      <c r="D1564" s="312">
        <f>IF(H1564&lt;&gt;"",VLOOKUP(G1564,base_barras,IF(H1564="Desnuda",2,5)+F1564-1,FALSE),"-")</f>
        <v>1500</v>
      </c>
      <c r="E1564" s="313">
        <v>1</v>
      </c>
      <c r="F1564" s="314">
        <v>1</v>
      </c>
      <c r="G1564" s="315" t="s">
        <v>582</v>
      </c>
      <c r="H1564" s="689" t="str">
        <f>H1563</f>
        <v>Pintada</v>
      </c>
      <c r="I1564" s="690">
        <f>I1563</f>
        <v>0</v>
      </c>
      <c r="J1564" s="317">
        <f>IF(G1564&lt;&gt;"",VLOOKUP(G1564,precio_barras,9,FALSE),0)</f>
        <v>71.100000000000009</v>
      </c>
      <c r="K1564" s="691">
        <v>0</v>
      </c>
      <c r="L1564" s="318" t="str">
        <f>IF(G1564&lt;&gt;"",IF(VLOOKUP(G1564,base_barras,10,FALSE)&lt;&gt;"",VLOOKUP(G1564,base_barras,10,FALSE),"-"),"-")</f>
        <v>1/1000</v>
      </c>
      <c r="M1564" s="317">
        <f>IF(L1564&lt;&gt;"-",VLOOKUP(L1564,precio_aislador,2,FALSE),0)</f>
        <v>2.7</v>
      </c>
      <c r="N1564" s="308">
        <f>(I1564*J1564*F1564+K1564*M1564)*E1564*1.67*1.25</f>
        <v>0</v>
      </c>
      <c r="O1564" s="288"/>
      <c r="P1564" s="297"/>
      <c r="Q1564" s="288"/>
      <c r="R1564" s="102"/>
      <c r="S1564" s="102"/>
      <c r="T1564" s="102"/>
    </row>
    <row r="1565" spans="1:20" s="199" customFormat="1" ht="15.75" customHeight="1">
      <c r="A1565" s="2642"/>
      <c r="B1565" s="729" t="s">
        <v>2504</v>
      </c>
      <c r="C1565" s="693"/>
      <c r="D1565" s="312">
        <f>IF(H1565&lt;&gt;"",VLOOKUP(G1565,base_barras,IF(H1565="Desnuda",2,5)+F1565-1,FALSE),"-")</f>
        <v>3170</v>
      </c>
      <c r="E1565" s="313">
        <v>4</v>
      </c>
      <c r="F1565" s="314">
        <v>3</v>
      </c>
      <c r="G1565" s="315" t="s">
        <v>582</v>
      </c>
      <c r="H1565" s="314" t="s">
        <v>1043</v>
      </c>
      <c r="I1565" s="316">
        <v>0</v>
      </c>
      <c r="J1565" s="317">
        <f>IF(G1565&lt;&gt;"",VLOOKUP(G1565,precio_barras,9,FALSE),0)</f>
        <v>71.100000000000009</v>
      </c>
      <c r="K1565" s="694">
        <v>0</v>
      </c>
      <c r="L1565" s="695" t="str">
        <f>IF(G1565&lt;&gt;"",IF(VLOOKUP(G1565,base_barras,10,FALSE)&lt;&gt;"",VLOOKUP(G1565,base_barras,10,FALSE),"-"),"-")</f>
        <v>1/1000</v>
      </c>
      <c r="M1565" s="478">
        <f>IF(L1565&lt;&gt;"-",VLOOKUP(L1565,precio_aislador,2,FALSE),0)</f>
        <v>2.7</v>
      </c>
      <c r="N1565" s="696">
        <f>(I1565*J1565*F1565+K1565*M1565)*E1565*1.67*1.25</f>
        <v>0</v>
      </c>
      <c r="O1565" s="288"/>
      <c r="P1565" s="297"/>
      <c r="Q1565" s="288"/>
      <c r="R1565" s="102"/>
      <c r="S1565" s="102"/>
      <c r="T1565" s="102"/>
    </row>
    <row r="1566" spans="1:20" s="199" customFormat="1" ht="15.75" customHeight="1">
      <c r="A1566" s="2642"/>
      <c r="B1566" s="729" t="s">
        <v>2504</v>
      </c>
      <c r="C1566" s="693"/>
      <c r="D1566" s="312">
        <f>IF(H1566&lt;&gt;"",VLOOKUP(G1566,base_barras,IF(H1566="Desnuda",2,5)+F1566-1,FALSE),"-")</f>
        <v>3170</v>
      </c>
      <c r="E1566" s="313">
        <v>4</v>
      </c>
      <c r="F1566" s="314">
        <v>3</v>
      </c>
      <c r="G1566" s="315" t="s">
        <v>582</v>
      </c>
      <c r="H1566" s="314" t="s">
        <v>1043</v>
      </c>
      <c r="I1566" s="316">
        <v>0</v>
      </c>
      <c r="J1566" s="317">
        <f>IF(G1566&lt;&gt;"",VLOOKUP(G1566,precio_barras,9,FALSE),0)</f>
        <v>71.100000000000009</v>
      </c>
      <c r="K1566" s="694">
        <v>0</v>
      </c>
      <c r="L1566" s="695" t="str">
        <f>IF(G1566&lt;&gt;"",IF(VLOOKUP(G1566,base_barras,10,FALSE)&lt;&gt;"",VLOOKUP(G1566,base_barras,10,FALSE),"-"),"-")</f>
        <v>1/1000</v>
      </c>
      <c r="M1566" s="478">
        <f>IF(L1566&lt;&gt;"-",VLOOKUP(L1566,precio_aislador,2,FALSE),0)</f>
        <v>2.7</v>
      </c>
      <c r="N1566" s="696">
        <f>(I1566*J1566*F1566+K1566*M1566)*E1566*1.67*1.25</f>
        <v>0</v>
      </c>
      <c r="O1566" s="288"/>
      <c r="P1566" s="297"/>
      <c r="Q1566" s="288"/>
      <c r="R1566" s="102"/>
      <c r="S1566" s="102"/>
      <c r="T1566" s="102"/>
    </row>
    <row r="1567" spans="1:20" s="199" customFormat="1" ht="15.75" customHeight="1" thickBot="1">
      <c r="A1567" s="2642"/>
      <c r="B1567" s="729" t="s">
        <v>2504</v>
      </c>
      <c r="C1567" s="693"/>
      <c r="D1567" s="312">
        <f>IF(H1567&lt;&gt;"",VLOOKUP(G1567,base_barras,IF(H1567="Desnuda",2,5)+F1567-1,FALSE),"-")</f>
        <v>3170</v>
      </c>
      <c r="E1567" s="313">
        <v>4</v>
      </c>
      <c r="F1567" s="314">
        <v>3</v>
      </c>
      <c r="G1567" s="315" t="s">
        <v>582</v>
      </c>
      <c r="H1567" s="314" t="s">
        <v>1043</v>
      </c>
      <c r="I1567" s="316">
        <v>0</v>
      </c>
      <c r="J1567" s="317">
        <f>IF(G1567&lt;&gt;"",VLOOKUP(G1567,precio_barras,9,FALSE),0)</f>
        <v>71.100000000000009</v>
      </c>
      <c r="K1567" s="694">
        <v>0</v>
      </c>
      <c r="L1567" s="695" t="str">
        <f>IF(G1567&lt;&gt;"",IF(VLOOKUP(G1567,base_barras,10,FALSE)&lt;&gt;"",VLOOKUP(G1567,base_barras,10,FALSE),"-"),"-")</f>
        <v>1/1000</v>
      </c>
      <c r="M1567" s="478">
        <f>IF(L1567&lt;&gt;"-",VLOOKUP(L1567,precio_aislador,2,FALSE),0)</f>
        <v>2.7</v>
      </c>
      <c r="N1567" s="696">
        <f>(I1567*J1567*F1567+K1567*M1567)*E1567*1.67*1.25</f>
        <v>0</v>
      </c>
      <c r="O1567" s="288"/>
      <c r="P1567" s="297"/>
      <c r="Q1567" s="288"/>
      <c r="R1567" s="102"/>
      <c r="S1567" s="102"/>
      <c r="T1567" s="102"/>
    </row>
    <row r="1568" spans="1:20" s="129" customFormat="1" ht="22.5" customHeight="1" thickBot="1">
      <c r="A1568" s="371"/>
      <c r="B1568" s="733"/>
      <c r="C1568" s="375"/>
      <c r="D1568" s="383"/>
      <c r="E1568" s="373"/>
      <c r="F1568" s="373"/>
      <c r="G1568" s="373"/>
      <c r="H1568" s="373"/>
      <c r="I1568" s="374"/>
      <c r="J1568" s="374"/>
      <c r="K1568" s="373"/>
      <c r="L1568" s="373"/>
      <c r="M1568" s="372"/>
      <c r="N1568" s="699">
        <f>SUM(N1563:N1567)</f>
        <v>0</v>
      </c>
      <c r="O1568" s="288"/>
      <c r="P1568" s="297"/>
      <c r="Q1568" s="288"/>
      <c r="R1568" s="102"/>
      <c r="S1568" s="102"/>
      <c r="T1568" s="102"/>
    </row>
    <row r="1569" spans="1:20" s="102" customFormat="1" ht="8.25" customHeight="1" thickBot="1">
      <c r="A1569" s="323"/>
      <c r="B1569" s="734"/>
      <c r="C1569" s="323"/>
      <c r="D1569" s="382"/>
      <c r="E1569" s="323"/>
      <c r="F1569" s="325"/>
      <c r="G1569" s="325"/>
      <c r="H1569" s="325"/>
      <c r="I1569" s="323"/>
      <c r="J1569" s="323"/>
      <c r="K1569" s="323"/>
      <c r="L1569" s="325"/>
      <c r="M1569" s="323"/>
      <c r="N1569" s="309"/>
      <c r="O1569" s="288"/>
      <c r="P1569" s="297"/>
      <c r="Q1569" s="288"/>
    </row>
    <row r="1570" spans="1:20" s="102" customFormat="1" ht="12.75" customHeight="1">
      <c r="A1570" s="2639" t="s">
        <v>2502</v>
      </c>
      <c r="B1570" s="730" t="s">
        <v>2503</v>
      </c>
      <c r="C1570" s="327"/>
      <c r="D1570" s="328">
        <f>IF(H1570&lt;&gt;"",VLOOKUP(G1570,base_barras,IF(H1570="Desnuda",2,5)+F1570-1,FALSE),"-")</f>
        <v>3290</v>
      </c>
      <c r="E1570" s="329">
        <v>4</v>
      </c>
      <c r="F1570" s="330">
        <v>1</v>
      </c>
      <c r="G1570" s="331" t="s">
        <v>584</v>
      </c>
      <c r="H1570" s="330" t="s">
        <v>1043</v>
      </c>
      <c r="I1570" s="332">
        <f>1.2+1.2+1.2</f>
        <v>3.5999999999999996</v>
      </c>
      <c r="J1570" s="333">
        <f>IF(G1570&lt;&gt;"",VLOOKUP(G1570,precio_barras,9,FALSE),0)</f>
        <v>231.4</v>
      </c>
      <c r="K1570" s="481">
        <f>2+2+2</f>
        <v>6</v>
      </c>
      <c r="L1570" s="343" t="str">
        <f>IF(G1570&lt;&gt;"",IF(VLOOKUP(G1570,base_barras,10,FALSE)&lt;&gt;"",VLOOKUP(G1570,base_barras,10,FALSE),"-"),"-")</f>
        <v>1.5/1600</v>
      </c>
      <c r="M1570" s="333">
        <f>IF(L1570&lt;&gt;"-",VLOOKUP(L1570,precio_aislador,2,FALSE),0)</f>
        <v>22</v>
      </c>
      <c r="N1570" s="360">
        <f>(I1570*J1570*F1570+K1570*M1570)*E1570*1.67*1.25</f>
        <v>8058.0839999999989</v>
      </c>
      <c r="O1570" s="288"/>
      <c r="P1570" s="297"/>
      <c r="Q1570" s="297"/>
    </row>
    <row r="1571" spans="1:20" s="199" customFormat="1" ht="14.25">
      <c r="A1571" s="2644"/>
      <c r="B1571" s="732" t="s">
        <v>802</v>
      </c>
      <c r="C1571" s="319"/>
      <c r="D1571" s="312">
        <f>IF(H1571&lt;&gt;"",VLOOKUP(G1571,base_barras,IF(H1571="Desnuda",2,5)+F1571-1,FALSE),"-")</f>
        <v>1500</v>
      </c>
      <c r="E1571" s="313">
        <v>1</v>
      </c>
      <c r="F1571" s="314">
        <v>1</v>
      </c>
      <c r="G1571" s="315" t="s">
        <v>582</v>
      </c>
      <c r="H1571" s="689" t="str">
        <f>H1574</f>
        <v>Pintada</v>
      </c>
      <c r="I1571" s="690">
        <f>I1570</f>
        <v>3.5999999999999996</v>
      </c>
      <c r="J1571" s="317">
        <f>IF(G1571&lt;&gt;"",VLOOKUP(G1571,precio_barras,9,FALSE),0)</f>
        <v>71.100000000000009</v>
      </c>
      <c r="K1571" s="691">
        <v>0</v>
      </c>
      <c r="L1571" s="318" t="str">
        <f>IF(G1571&lt;&gt;"",IF(VLOOKUP(G1571,base_barras,10,FALSE)&lt;&gt;"",VLOOKUP(G1571,base_barras,10,FALSE),"-"),"-")</f>
        <v>1/1000</v>
      </c>
      <c r="M1571" s="317">
        <f>IF(L1571&lt;&gt;"-",VLOOKUP(L1571,precio_aislador,2,FALSE),0)</f>
        <v>2.7</v>
      </c>
      <c r="N1571" s="308">
        <f>(I1571*J1571*F1571+K1571*M1571)*E1571*1.67*1.25</f>
        <v>534.31650000000002</v>
      </c>
      <c r="O1571" s="288"/>
      <c r="P1571" s="297"/>
      <c r="Q1571" s="288"/>
      <c r="R1571" s="102"/>
      <c r="S1571" s="102"/>
      <c r="T1571" s="102"/>
    </row>
    <row r="1572" spans="1:20" s="199" customFormat="1" ht="15.75" customHeight="1">
      <c r="A1572" s="2644"/>
      <c r="B1572" s="729" t="s">
        <v>2504</v>
      </c>
      <c r="C1572" s="693"/>
      <c r="D1572" s="312">
        <f>IF(H1572&lt;&gt;"",VLOOKUP(G1572,base_barras,IF(H1572="Desnuda",2,5)+F1572-1,FALSE),"-")</f>
        <v>3170</v>
      </c>
      <c r="E1572" s="313">
        <v>4</v>
      </c>
      <c r="F1572" s="314">
        <v>3</v>
      </c>
      <c r="G1572" s="315" t="s">
        <v>582</v>
      </c>
      <c r="H1572" s="314" t="s">
        <v>1043</v>
      </c>
      <c r="I1572" s="316">
        <f>0.2+0.5+0.5+0.2</f>
        <v>1.4</v>
      </c>
      <c r="J1572" s="317">
        <f>IF(G1572&lt;&gt;"",VLOOKUP(G1572,precio_barras,9,FALSE),0)</f>
        <v>71.100000000000009</v>
      </c>
      <c r="K1572" s="694">
        <v>0</v>
      </c>
      <c r="L1572" s="695" t="str">
        <f>IF(G1572&lt;&gt;"",IF(VLOOKUP(G1572,base_barras,10,FALSE)&lt;&gt;"",VLOOKUP(G1572,base_barras,10,FALSE),"-"),"-")</f>
        <v>1/1000</v>
      </c>
      <c r="M1572" s="478">
        <f>IF(L1572&lt;&gt;"-",VLOOKUP(L1572,precio_aislador,2,FALSE),0)</f>
        <v>2.7</v>
      </c>
      <c r="N1572" s="696">
        <f>(I1572*J1572*F1572+K1572*M1572)*E1572*1.67*1.25</f>
        <v>2493.4769999999999</v>
      </c>
      <c r="O1572" s="288"/>
      <c r="P1572" s="297"/>
      <c r="Q1572" s="288"/>
      <c r="R1572" s="102"/>
      <c r="S1572" s="102"/>
      <c r="T1572" s="102"/>
    </row>
    <row r="1573" spans="1:20" s="199" customFormat="1" ht="15.75" customHeight="1">
      <c r="A1573" s="2644"/>
      <c r="B1573" s="729" t="s">
        <v>2504</v>
      </c>
      <c r="C1573" s="693"/>
      <c r="D1573" s="312">
        <f>IF(H1573&lt;&gt;"",VLOOKUP(G1573,base_barras,IF(H1573="Desnuda",2,5)+F1573-1,FALSE),"-")</f>
        <v>3170</v>
      </c>
      <c r="E1573" s="313">
        <v>4</v>
      </c>
      <c r="F1573" s="314">
        <v>3</v>
      </c>
      <c r="G1573" s="315" t="s">
        <v>582</v>
      </c>
      <c r="H1573" s="314" t="s">
        <v>1043</v>
      </c>
      <c r="I1573" s="316">
        <f>0.2+0.5+0.5+0.2</f>
        <v>1.4</v>
      </c>
      <c r="J1573" s="317">
        <f>IF(G1573&lt;&gt;"",VLOOKUP(G1573,precio_barras,9,FALSE),0)</f>
        <v>71.100000000000009</v>
      </c>
      <c r="K1573" s="694">
        <v>0</v>
      </c>
      <c r="L1573" s="695" t="str">
        <f>IF(G1573&lt;&gt;"",IF(VLOOKUP(G1573,base_barras,10,FALSE)&lt;&gt;"",VLOOKUP(G1573,base_barras,10,FALSE),"-"),"-")</f>
        <v>1/1000</v>
      </c>
      <c r="M1573" s="478">
        <f>IF(L1573&lt;&gt;"-",VLOOKUP(L1573,precio_aislador,2,FALSE),0)</f>
        <v>2.7</v>
      </c>
      <c r="N1573" s="696">
        <f>(I1573*J1573*F1573+K1573*M1573)*E1573*1.67*1.25</f>
        <v>2493.4769999999999</v>
      </c>
      <c r="O1573" s="288"/>
      <c r="P1573" s="297"/>
      <c r="Q1573" s="288"/>
      <c r="R1573" s="102"/>
      <c r="S1573" s="102"/>
      <c r="T1573" s="102"/>
    </row>
    <row r="1574" spans="1:20" s="199" customFormat="1" ht="15.75" customHeight="1" thickBot="1">
      <c r="A1574" s="2640"/>
      <c r="B1574" s="729" t="s">
        <v>2504</v>
      </c>
      <c r="C1574" s="693"/>
      <c r="D1574" s="312">
        <f>IF(H1574&lt;&gt;"",VLOOKUP(G1574,base_barras,IF(H1574="Desnuda",2,5)+F1574-1,FALSE),"-")</f>
        <v>3170</v>
      </c>
      <c r="E1574" s="313">
        <v>4</v>
      </c>
      <c r="F1574" s="314">
        <v>3</v>
      </c>
      <c r="G1574" s="315" t="s">
        <v>582</v>
      </c>
      <c r="H1574" s="314" t="s">
        <v>1043</v>
      </c>
      <c r="I1574" s="316">
        <f>0.2+0.5+0.5+0.2</f>
        <v>1.4</v>
      </c>
      <c r="J1574" s="317">
        <f>IF(G1574&lt;&gt;"",VLOOKUP(G1574,precio_barras,9,FALSE),0)</f>
        <v>71.100000000000009</v>
      </c>
      <c r="K1574" s="694">
        <v>0</v>
      </c>
      <c r="L1574" s="695" t="str">
        <f>IF(G1574&lt;&gt;"",IF(VLOOKUP(G1574,base_barras,10,FALSE)&lt;&gt;"",VLOOKUP(G1574,base_barras,10,FALSE),"-"),"-")</f>
        <v>1/1000</v>
      </c>
      <c r="M1574" s="478">
        <f>IF(L1574&lt;&gt;"-",VLOOKUP(L1574,precio_aislador,2,FALSE),0)</f>
        <v>2.7</v>
      </c>
      <c r="N1574" s="696">
        <f>(I1574*J1574*F1574+K1574*M1574)*E1574*1.67*1.25</f>
        <v>2493.4769999999999</v>
      </c>
      <c r="O1574" s="288"/>
      <c r="P1574" s="297"/>
      <c r="Q1574" s="288"/>
      <c r="R1574" s="102"/>
      <c r="S1574" s="102"/>
      <c r="T1574" s="102"/>
    </row>
    <row r="1575" spans="1:20" s="102" customFormat="1" ht="13.5" thickBot="1">
      <c r="A1575" s="323"/>
      <c r="B1575" s="734"/>
      <c r="C1575" s="309"/>
      <c r="D1575" s="382"/>
      <c r="E1575" s="323"/>
      <c r="F1575" s="309"/>
      <c r="G1575" s="309"/>
      <c r="H1575" s="323"/>
      <c r="I1575" s="325"/>
      <c r="J1575" s="325"/>
      <c r="K1575" s="323"/>
      <c r="L1575" s="323"/>
      <c r="M1575" s="325"/>
      <c r="N1575" s="706">
        <f>SUM(N1570:N1574)</f>
        <v>16072.831499999997</v>
      </c>
      <c r="O1575" s="288"/>
      <c r="P1575" s="297"/>
      <c r="Q1575" s="297"/>
    </row>
    <row r="1576" spans="1:20" s="102" customFormat="1" ht="8.25" customHeight="1" thickBot="1">
      <c r="A1576" s="323"/>
      <c r="B1576" s="734"/>
      <c r="C1576" s="323"/>
      <c r="D1576" s="382"/>
      <c r="E1576" s="323"/>
      <c r="F1576" s="325"/>
      <c r="G1576" s="325"/>
      <c r="H1576" s="325"/>
      <c r="I1576" s="323"/>
      <c r="J1576" s="323"/>
      <c r="K1576" s="323"/>
      <c r="L1576" s="325"/>
      <c r="M1576" s="323"/>
      <c r="N1576" s="309"/>
      <c r="O1576" s="288"/>
      <c r="P1576" s="297"/>
      <c r="Q1576" s="288"/>
    </row>
    <row r="1577" spans="1:20" s="102" customFormat="1" ht="12.75" customHeight="1">
      <c r="A1577" s="2639" t="s">
        <v>2505</v>
      </c>
      <c r="B1577" s="730" t="s">
        <v>2506</v>
      </c>
      <c r="C1577" s="327"/>
      <c r="D1577" s="328">
        <f>IF(H1577&lt;&gt;"",VLOOKUP(G1577,base_barras,IF(H1577="Desnuda",2,5)+F1577-1,FALSE),"-")</f>
        <v>3290</v>
      </c>
      <c r="E1577" s="329">
        <v>4</v>
      </c>
      <c r="F1577" s="330">
        <v>1</v>
      </c>
      <c r="G1577" s="331" t="s">
        <v>584</v>
      </c>
      <c r="H1577" s="330" t="s">
        <v>1043</v>
      </c>
      <c r="I1577" s="332">
        <f>1.2+1.2+1.2</f>
        <v>3.5999999999999996</v>
      </c>
      <c r="J1577" s="333">
        <f>IF(G1577&lt;&gt;"",VLOOKUP(G1577,precio_barras,9,FALSE),0)</f>
        <v>231.4</v>
      </c>
      <c r="K1577" s="481">
        <f>2+2+2</f>
        <v>6</v>
      </c>
      <c r="L1577" s="343" t="str">
        <f>IF(G1577&lt;&gt;"",IF(VLOOKUP(G1577,base_barras,10,FALSE)&lt;&gt;"",VLOOKUP(G1577,base_barras,10,FALSE),"-"),"-")</f>
        <v>1.5/1600</v>
      </c>
      <c r="M1577" s="333">
        <f>IF(L1577&lt;&gt;"-",VLOOKUP(L1577,precio_aislador,2,FALSE),0)</f>
        <v>22</v>
      </c>
      <c r="N1577" s="360">
        <f>(I1577*J1577*F1577+K1577*M1577)*E1577*1.67*1.25</f>
        <v>8058.0839999999989</v>
      </c>
      <c r="O1577" s="288"/>
      <c r="P1577" s="297"/>
      <c r="Q1577" s="297"/>
    </row>
    <row r="1578" spans="1:20" s="199" customFormat="1" ht="14.25">
      <c r="A1578" s="2644"/>
      <c r="B1578" s="732" t="s">
        <v>802</v>
      </c>
      <c r="C1578" s="319"/>
      <c r="D1578" s="312">
        <f>IF(H1578&lt;&gt;"",VLOOKUP(G1578,base_barras,IF(H1578="Desnuda",2,5)+F1578-1,FALSE),"-")</f>
        <v>1500</v>
      </c>
      <c r="E1578" s="313">
        <v>1</v>
      </c>
      <c r="F1578" s="314">
        <v>1</v>
      </c>
      <c r="G1578" s="315" t="s">
        <v>582</v>
      </c>
      <c r="H1578" s="689" t="str">
        <f>H1579</f>
        <v>Pintada</v>
      </c>
      <c r="I1578" s="690">
        <f>I1577</f>
        <v>3.5999999999999996</v>
      </c>
      <c r="J1578" s="317">
        <f>IF(G1578&lt;&gt;"",VLOOKUP(G1578,precio_barras,9,FALSE),0)</f>
        <v>71.100000000000009</v>
      </c>
      <c r="K1578" s="691">
        <v>0</v>
      </c>
      <c r="L1578" s="318" t="str">
        <f>IF(G1578&lt;&gt;"",IF(VLOOKUP(G1578,base_barras,10,FALSE)&lt;&gt;"",VLOOKUP(G1578,base_barras,10,FALSE),"-"),"-")</f>
        <v>1/1000</v>
      </c>
      <c r="M1578" s="317">
        <f>IF(L1578&lt;&gt;"-",VLOOKUP(L1578,precio_aislador,2,FALSE),0)</f>
        <v>2.7</v>
      </c>
      <c r="N1578" s="308">
        <f>(I1578*J1578*F1578+K1578*M1578)*E1578*1.67*1.25</f>
        <v>534.31650000000002</v>
      </c>
      <c r="O1578" s="288"/>
      <c r="P1578" s="297"/>
      <c r="Q1578" s="288"/>
      <c r="R1578" s="102"/>
      <c r="S1578" s="102"/>
      <c r="T1578" s="102"/>
    </row>
    <row r="1579" spans="1:20" s="102" customFormat="1">
      <c r="A1579" s="2644"/>
      <c r="B1579" s="729" t="s">
        <v>2504</v>
      </c>
      <c r="C1579" s="693"/>
      <c r="D1579" s="697">
        <f>IF(H1579&lt;&gt;"",VLOOKUP(G1579,base_barras,IF(H1579="Desnuda",2,5)+F1579-1,FALSE),"-")</f>
        <v>3170</v>
      </c>
      <c r="E1579" s="694">
        <v>4</v>
      </c>
      <c r="F1579" s="655">
        <v>3</v>
      </c>
      <c r="G1579" s="698" t="s">
        <v>582</v>
      </c>
      <c r="H1579" s="655" t="s">
        <v>1043</v>
      </c>
      <c r="I1579" s="398">
        <f>0.7+0.7+0.3+0.2</f>
        <v>1.9</v>
      </c>
      <c r="J1579" s="478">
        <f>IF(G1579&lt;&gt;"",VLOOKUP(G1579,precio_barras,9,FALSE),0)</f>
        <v>71.100000000000009</v>
      </c>
      <c r="K1579" s="694">
        <v>2</v>
      </c>
      <c r="L1579" s="695" t="str">
        <f>IF(G1579&lt;&gt;"",IF(VLOOKUP(G1579,base_barras,10,FALSE)&lt;&gt;"",VLOOKUP(G1579,base_barras,10,FALSE),"-"),"-")</f>
        <v>1/1000</v>
      </c>
      <c r="M1579" s="478">
        <f>IF(L1579&lt;&gt;"-",VLOOKUP(L1579,precio_aislador,2,FALSE),0)</f>
        <v>2.7</v>
      </c>
      <c r="N1579" s="696">
        <f>(I1579*J1579*F1579+K1579*M1579)*E1579*1.67*1.25</f>
        <v>3429.0944999999992</v>
      </c>
      <c r="O1579" s="288"/>
      <c r="P1579" s="297"/>
      <c r="Q1579" s="297"/>
    </row>
    <row r="1580" spans="1:20" s="102" customFormat="1">
      <c r="A1580" s="2644"/>
      <c r="B1580" s="732" t="s">
        <v>2504</v>
      </c>
      <c r="C1580" s="311"/>
      <c r="D1580" s="312">
        <f>IF(H1580&lt;&gt;"",VLOOKUP(G1580,base_barras,IF(H1580="Desnuda",2,5)+F1580-1,FALSE),"-")</f>
        <v>3170</v>
      </c>
      <c r="E1580" s="313">
        <v>4</v>
      </c>
      <c r="F1580" s="314">
        <v>3</v>
      </c>
      <c r="G1580" s="315" t="s">
        <v>582</v>
      </c>
      <c r="H1580" s="314" t="s">
        <v>1043</v>
      </c>
      <c r="I1580" s="316">
        <f>0.7+0.7+0.3+0.2</f>
        <v>1.9</v>
      </c>
      <c r="J1580" s="317">
        <f>IF(G1580&lt;&gt;"",VLOOKUP(G1580,precio_barras,9,FALSE),0)</f>
        <v>71.100000000000009</v>
      </c>
      <c r="K1580" s="313">
        <v>2</v>
      </c>
      <c r="L1580" s="318" t="str">
        <f>IF(G1580&lt;&gt;"",IF(VLOOKUP(G1580,base_barras,10,FALSE)&lt;&gt;"",VLOOKUP(G1580,base_barras,10,FALSE),"-"),"-")</f>
        <v>1/1000</v>
      </c>
      <c r="M1580" s="317">
        <f>IF(L1580&lt;&gt;"-",VLOOKUP(L1580,precio_aislador,2,FALSE),0)</f>
        <v>2.7</v>
      </c>
      <c r="N1580" s="308">
        <f>(I1580*J1580*F1580+K1580*M1580)*E1580*1.67*1.25</f>
        <v>3429.0944999999992</v>
      </c>
      <c r="O1580" s="288"/>
      <c r="P1580" s="297"/>
      <c r="Q1580" s="297"/>
    </row>
    <row r="1581" spans="1:20" s="102" customFormat="1" ht="13.5" thickBot="1">
      <c r="A1581" s="2640"/>
      <c r="B1581" s="736" t="s">
        <v>2504</v>
      </c>
      <c r="C1581" s="479"/>
      <c r="D1581" s="364">
        <f>IF(H1581&lt;&gt;"",VLOOKUP(G1581,base_barras,IF(H1581="Desnuda",2,5)+F1581-1,FALSE),"-")</f>
        <v>3170</v>
      </c>
      <c r="E1581" s="365">
        <v>4</v>
      </c>
      <c r="F1581" s="366">
        <v>3</v>
      </c>
      <c r="G1581" s="322" t="s">
        <v>582</v>
      </c>
      <c r="H1581" s="366" t="s">
        <v>1043</v>
      </c>
      <c r="I1581" s="367">
        <f>0.7+0.7+0.3+0.2</f>
        <v>1.9</v>
      </c>
      <c r="J1581" s="368">
        <f>IF(G1581&lt;&gt;"",VLOOKUP(G1581,precio_barras,9,FALSE),0)</f>
        <v>71.100000000000009</v>
      </c>
      <c r="K1581" s="365">
        <v>2</v>
      </c>
      <c r="L1581" s="369" t="str">
        <f>IF(G1581&lt;&gt;"",IF(VLOOKUP(G1581,base_barras,10,FALSE)&lt;&gt;"",VLOOKUP(G1581,base_barras,10,FALSE),"-"),"-")</f>
        <v>1/1000</v>
      </c>
      <c r="M1581" s="368">
        <f>IF(L1581&lt;&gt;"-",VLOOKUP(L1581,precio_aislador,2,FALSE),0)</f>
        <v>2.7</v>
      </c>
      <c r="N1581" s="370">
        <f>(I1581*J1581*F1581+K1581*M1581)*E1581*1.67*1.25</f>
        <v>3429.0944999999992</v>
      </c>
      <c r="O1581" s="288"/>
      <c r="P1581" s="297"/>
      <c r="Q1581" s="297"/>
    </row>
    <row r="1582" spans="1:20" s="102" customFormat="1" ht="13.5" thickBot="1">
      <c r="A1582" s="323"/>
      <c r="B1582" s="734"/>
      <c r="C1582" s="309"/>
      <c r="D1582" s="382"/>
      <c r="E1582" s="323"/>
      <c r="F1582" s="309"/>
      <c r="G1582" s="309"/>
      <c r="H1582" s="323"/>
      <c r="I1582" s="325"/>
      <c r="J1582" s="325"/>
      <c r="K1582" s="323"/>
      <c r="L1582" s="323"/>
      <c r="M1582" s="325"/>
      <c r="N1582" s="706">
        <f>SUM(N1577:N1581)</f>
        <v>18879.683999999997</v>
      </c>
      <c r="O1582" s="288"/>
      <c r="P1582" s="297"/>
      <c r="Q1582" s="297"/>
    </row>
    <row r="1583" spans="1:20" s="102" customFormat="1" ht="8.25" customHeight="1" thickBot="1">
      <c r="A1583" s="323"/>
      <c r="B1583" s="734"/>
      <c r="C1583" s="323"/>
      <c r="D1583" s="382"/>
      <c r="E1583" s="323"/>
      <c r="F1583" s="325"/>
      <c r="G1583" s="325"/>
      <c r="H1583" s="325"/>
      <c r="I1583" s="323"/>
      <c r="J1583" s="323"/>
      <c r="K1583" s="323"/>
      <c r="L1583" s="325"/>
      <c r="M1583" s="323"/>
      <c r="N1583" s="309"/>
      <c r="O1583" s="288"/>
      <c r="P1583" s="297"/>
      <c r="Q1583" s="288"/>
    </row>
    <row r="1584" spans="1:20" s="102" customFormat="1">
      <c r="A1584" s="2629" t="s">
        <v>1228</v>
      </c>
      <c r="B1584" s="730" t="s">
        <v>2498</v>
      </c>
      <c r="C1584" s="327"/>
      <c r="D1584" s="328">
        <f>IF(H1584&lt;&gt;"",VLOOKUP(G1584,base_barras,IF(H1584="Desnuda",2,5)+F1584-1,FALSE),"-")</f>
        <v>3290</v>
      </c>
      <c r="E1584" s="481">
        <v>4</v>
      </c>
      <c r="F1584" s="330">
        <v>1</v>
      </c>
      <c r="G1584" s="331" t="s">
        <v>584</v>
      </c>
      <c r="H1584" s="330" t="s">
        <v>1043</v>
      </c>
      <c r="I1584" s="332">
        <v>0</v>
      </c>
      <c r="J1584" s="333">
        <f>IF(G1584&lt;&gt;"",VLOOKUP(G1584,precio_barras,9,FALSE),0)</f>
        <v>231.4</v>
      </c>
      <c r="K1584" s="329">
        <v>0</v>
      </c>
      <c r="L1584" s="343" t="str">
        <f>IF(G1584&lt;&gt;"",IF(VLOOKUP(G1584,base_barras,10,FALSE)&lt;&gt;"",VLOOKUP(G1584,base_barras,10,FALSE),"-"),"-")</f>
        <v>1.5/1600</v>
      </c>
      <c r="M1584" s="333">
        <f>IF(L1584&lt;&gt;"-",VLOOKUP(L1584,precio_aislador,2,FALSE),0)</f>
        <v>22</v>
      </c>
      <c r="N1584" s="360">
        <f>(I1584*J1584*F1584+K1584*M1584)*E1584*1.67*1.25</f>
        <v>0</v>
      </c>
      <c r="O1584" s="288"/>
      <c r="P1584" s="297"/>
      <c r="Q1584" s="297"/>
    </row>
    <row r="1585" spans="1:20" s="102" customFormat="1" ht="13.5" thickBot="1">
      <c r="A1585" s="2635"/>
      <c r="B1585" s="736"/>
      <c r="C1585" s="479"/>
      <c r="D1585" s="364" t="str">
        <f>IF(H1585&lt;&gt;"",VLOOKUP(G1585,base_barras,IF(H1585="Desnuda",2,5)+F1585-1,FALSE),"-")</f>
        <v>-</v>
      </c>
      <c r="E1585" s="365"/>
      <c r="F1585" s="366"/>
      <c r="G1585" s="322"/>
      <c r="H1585" s="366"/>
      <c r="I1585" s="367"/>
      <c r="J1585" s="480">
        <f>IF(G1585&lt;&gt;"",VLOOKUP(G1585,precio_barras,9,FALSE),0)</f>
        <v>0</v>
      </c>
      <c r="K1585" s="365"/>
      <c r="L1585" s="369" t="str">
        <f>IF(G1585&lt;&gt;"",IF(VLOOKUP(G1585,base_barras,10,FALSE)&lt;&gt;"",VLOOKUP(G1585,base_barras,10,FALSE),"-"),"-")</f>
        <v>-</v>
      </c>
      <c r="M1585" s="368">
        <f>IF(L1585&lt;&gt;"-",VLOOKUP(L1585,precio_aislador,2,FALSE),0)</f>
        <v>0</v>
      </c>
      <c r="N1585" s="370">
        <f>(I1585*J1585*F1585+K1585*M1585)*E1585*1.67*1.25</f>
        <v>0</v>
      </c>
      <c r="O1585" s="288"/>
      <c r="P1585" s="297"/>
      <c r="Q1585" s="297"/>
    </row>
    <row r="1586" spans="1:20" s="102" customFormat="1" ht="13.5" thickBot="1">
      <c r="A1586" s="323"/>
      <c r="B1586" s="734"/>
      <c r="C1586" s="309"/>
      <c r="D1586" s="382"/>
      <c r="E1586" s="323"/>
      <c r="F1586" s="309"/>
      <c r="G1586" s="309"/>
      <c r="H1586" s="323"/>
      <c r="I1586" s="325"/>
      <c r="J1586" s="325"/>
      <c r="K1586" s="323"/>
      <c r="L1586" s="323"/>
      <c r="M1586" s="325"/>
      <c r="N1586" s="706">
        <f>SUM(N1584:N1585)</f>
        <v>0</v>
      </c>
      <c r="O1586" s="288"/>
      <c r="P1586" s="297"/>
      <c r="Q1586" s="297"/>
    </row>
    <row r="1587" spans="1:20" s="102" customFormat="1" ht="8.25" customHeight="1" thickBot="1">
      <c r="A1587" s="323"/>
      <c r="B1587" s="734"/>
      <c r="C1587" s="323"/>
      <c r="D1587" s="382"/>
      <c r="E1587" s="323"/>
      <c r="F1587" s="325"/>
      <c r="G1587" s="325"/>
      <c r="H1587" s="325"/>
      <c r="I1587" s="323"/>
      <c r="J1587" s="323"/>
      <c r="K1587" s="323"/>
      <c r="L1587" s="325"/>
      <c r="M1587" s="323"/>
      <c r="N1587" s="309"/>
      <c r="O1587" s="288"/>
      <c r="P1587" s="297"/>
      <c r="Q1587" s="288"/>
    </row>
    <row r="1588" spans="1:20" s="102" customFormat="1">
      <c r="A1588" s="2629" t="s">
        <v>1034</v>
      </c>
      <c r="B1588" s="730" t="s">
        <v>2504</v>
      </c>
      <c r="C1588" s="327"/>
      <c r="D1588" s="328">
        <f>IF(H1588&lt;&gt;"",VLOOKUP(G1588,base_barras,IF(H1588="Desnuda",2,5)+F1588-1,FALSE),"-")</f>
        <v>3170</v>
      </c>
      <c r="E1588" s="329">
        <v>4</v>
      </c>
      <c r="F1588" s="330">
        <v>3</v>
      </c>
      <c r="G1588" s="331" t="s">
        <v>582</v>
      </c>
      <c r="H1588" s="330" t="s">
        <v>1043</v>
      </c>
      <c r="I1588" s="332">
        <v>0</v>
      </c>
      <c r="J1588" s="333">
        <f>IF(G1588&lt;&gt;"",VLOOKUP(G1588,precio_barras,9,FALSE),0)</f>
        <v>71.100000000000009</v>
      </c>
      <c r="K1588" s="329">
        <v>0</v>
      </c>
      <c r="L1588" s="343" t="str">
        <f>IF(G1588&lt;&gt;"",IF(VLOOKUP(G1588,base_barras,10,FALSE)&lt;&gt;"",VLOOKUP(G1588,base_barras,10,FALSE),"-"),"-")</f>
        <v>1/1000</v>
      </c>
      <c r="M1588" s="333">
        <f>IF(L1588&lt;&gt;"-",VLOOKUP(L1588,precio_aislador,2,FALSE),0)</f>
        <v>2.7</v>
      </c>
      <c r="N1588" s="360">
        <f>(I1588*J1588*F1588+K1588*M1588)*E1588*1.67*1.25</f>
        <v>0</v>
      </c>
      <c r="O1588" s="288"/>
      <c r="P1588" s="297"/>
      <c r="Q1588" s="297"/>
    </row>
    <row r="1589" spans="1:20" s="102" customFormat="1" ht="13.5" thickBot="1">
      <c r="A1589" s="2635"/>
      <c r="B1589" s="735" t="s">
        <v>2504</v>
      </c>
      <c r="C1589" s="701"/>
      <c r="D1589" s="708">
        <f>IF(H1589&lt;&gt;"",VLOOKUP(G1589,base_barras,IF(H1589="Desnuda",2,5)+F1589-1,FALSE),"-")</f>
        <v>3170</v>
      </c>
      <c r="E1589" s="702">
        <v>4</v>
      </c>
      <c r="F1589" s="709">
        <v>3</v>
      </c>
      <c r="G1589" s="710" t="s">
        <v>582</v>
      </c>
      <c r="H1589" s="709" t="s">
        <v>1043</v>
      </c>
      <c r="I1589" s="711">
        <v>0</v>
      </c>
      <c r="J1589" s="480">
        <f>IF(G1589&lt;&gt;"",VLOOKUP(G1589,precio_barras,9,FALSE),0)</f>
        <v>71.100000000000009</v>
      </c>
      <c r="K1589" s="702">
        <v>0</v>
      </c>
      <c r="L1589" s="703" t="str">
        <f>IF(G1589&lt;&gt;"",IF(VLOOKUP(G1589,base_barras,10,FALSE)&lt;&gt;"",VLOOKUP(G1589,base_barras,10,FALSE),"-"),"-")</f>
        <v>1/1000</v>
      </c>
      <c r="M1589" s="480">
        <f>IF(L1589&lt;&gt;"-",VLOOKUP(L1589,precio_aislador,2,FALSE),0)</f>
        <v>2.7</v>
      </c>
      <c r="N1589" s="704">
        <f>(I1589*J1589*F1589+K1589*M1589)*E1589*1.67*1.25</f>
        <v>0</v>
      </c>
      <c r="O1589" s="288"/>
      <c r="P1589" s="297"/>
      <c r="Q1589" s="297"/>
    </row>
    <row r="1590" spans="1:20" s="102" customFormat="1" ht="13.5" thickBot="1">
      <c r="A1590" s="323"/>
      <c r="B1590" s="734"/>
      <c r="C1590" s="309"/>
      <c r="D1590" s="382"/>
      <c r="E1590" s="323"/>
      <c r="F1590" s="309"/>
      <c r="G1590" s="309"/>
      <c r="H1590" s="323"/>
      <c r="I1590" s="325"/>
      <c r="J1590" s="325"/>
      <c r="K1590" s="323"/>
      <c r="L1590" s="323"/>
      <c r="M1590" s="325"/>
      <c r="N1590" s="706">
        <f>SUM(N1588:N1589)</f>
        <v>0</v>
      </c>
      <c r="O1590" s="288"/>
      <c r="P1590" s="297"/>
      <c r="Q1590" s="297"/>
    </row>
    <row r="1591" spans="1:20" s="102" customFormat="1">
      <c r="A1591" s="323"/>
      <c r="B1591" s="734"/>
      <c r="C1591" s="309"/>
      <c r="D1591" s="382"/>
      <c r="E1591" s="323"/>
      <c r="F1591" s="309"/>
      <c r="G1591" s="309"/>
      <c r="H1591" s="323"/>
      <c r="I1591" s="325"/>
      <c r="J1591" s="325"/>
      <c r="K1591" s="323"/>
      <c r="L1591" s="323"/>
      <c r="M1591" s="325"/>
      <c r="N1591" s="722"/>
      <c r="O1591" s="288"/>
      <c r="P1591" s="297"/>
      <c r="Q1591" s="297"/>
    </row>
    <row r="1592" spans="1:20" s="106" customFormat="1" ht="29.25" customHeight="1">
      <c r="B1592" s="724"/>
    </row>
    <row r="1593" spans="1:20" s="102" customFormat="1" ht="15">
      <c r="A1593" s="323"/>
      <c r="B1593" s="723" t="s">
        <v>2513</v>
      </c>
      <c r="C1593" s="309"/>
      <c r="D1593" s="382"/>
      <c r="E1593" s="323"/>
      <c r="F1593" s="309"/>
      <c r="G1593" s="309"/>
      <c r="H1593" s="323"/>
      <c r="I1593" s="325"/>
      <c r="J1593" s="325"/>
      <c r="K1593" s="323"/>
      <c r="L1593" s="323"/>
      <c r="M1593" s="325"/>
      <c r="N1593" s="722"/>
      <c r="O1593" s="288"/>
      <c r="P1593" s="297"/>
      <c r="Q1593" s="297"/>
    </row>
    <row r="1594" spans="1:20" s="106" customFormat="1" ht="29.25" customHeight="1">
      <c r="B1594" s="724"/>
    </row>
    <row r="1595" spans="1:20" s="106" customFormat="1" ht="13.5" thickBot="1"/>
    <row r="1596" spans="1:20" s="199" customFormat="1" ht="15.75" customHeight="1">
      <c r="A1596" s="2641" t="s">
        <v>2541</v>
      </c>
      <c r="B1596" s="687" t="s">
        <v>2498</v>
      </c>
      <c r="C1596" s="327"/>
      <c r="D1596" s="328">
        <f t="shared" ref="D1596:D1605" si="647">IF(H1596&lt;&gt;"",VLOOKUP(G1596,base_barras,IF(H1596="Desnuda",2,5)+F1596-1,FALSE),"-")</f>
        <v>2850</v>
      </c>
      <c r="E1596" s="329">
        <v>4</v>
      </c>
      <c r="F1596" s="330">
        <v>2</v>
      </c>
      <c r="G1596" s="331" t="s">
        <v>468</v>
      </c>
      <c r="H1596" s="330" t="s">
        <v>1043</v>
      </c>
      <c r="I1596" s="332">
        <f>0.8+1.2+1.2+1.2+1.2</f>
        <v>5.6000000000000005</v>
      </c>
      <c r="J1596" s="333">
        <f t="shared" ref="J1596:J1605" si="648">IF(G1596&lt;&gt;"",VLOOKUP(G1596,precio_barras,9,FALSE),0)</f>
        <v>88.9</v>
      </c>
      <c r="K1596" s="329">
        <f>2+2+2+2+2</f>
        <v>10</v>
      </c>
      <c r="L1596" s="343" t="str">
        <f t="shared" ref="L1596:L1605" si="649">IF(G1596&lt;&gt;"",IF(VLOOKUP(G1596,base_barras,10,FALSE)&lt;&gt;"",VLOOKUP(G1596,base_barras,10,FALSE),"-"),"-")</f>
        <v>1.5/1250</v>
      </c>
      <c r="M1596" s="333">
        <f t="shared" ref="M1596:M1605" si="650">IF(L1596&lt;&gt;"-",VLOOKUP(L1596,precio_aislador,2,FALSE),0)</f>
        <v>5.5</v>
      </c>
      <c r="N1596" s="360">
        <f>(I1596*J1596*F1596+K1596*M1596)*E1596*1.67*1.25</f>
        <v>8773.1780000000035</v>
      </c>
      <c r="O1596" s="288"/>
      <c r="P1596" s="297"/>
      <c r="Q1596" s="288"/>
      <c r="R1596" s="102"/>
      <c r="S1596" s="102"/>
      <c r="T1596" s="102"/>
    </row>
    <row r="1597" spans="1:20" s="199" customFormat="1" ht="14.25">
      <c r="A1597" s="2642"/>
      <c r="B1597" s="688" t="s">
        <v>802</v>
      </c>
      <c r="C1597" s="319"/>
      <c r="D1597" s="312">
        <f t="shared" si="647"/>
        <v>1500</v>
      </c>
      <c r="E1597" s="313">
        <v>1</v>
      </c>
      <c r="F1597" s="314">
        <v>1</v>
      </c>
      <c r="G1597" s="315" t="s">
        <v>582</v>
      </c>
      <c r="H1597" s="689" t="str">
        <f>H1596</f>
        <v>Pintada</v>
      </c>
      <c r="I1597" s="690">
        <f>I1596</f>
        <v>5.6000000000000005</v>
      </c>
      <c r="J1597" s="317">
        <f t="shared" si="648"/>
        <v>71.100000000000009</v>
      </c>
      <c r="K1597" s="691">
        <v>0</v>
      </c>
      <c r="L1597" s="318" t="str">
        <f t="shared" si="649"/>
        <v>1/1000</v>
      </c>
      <c r="M1597" s="317">
        <f t="shared" si="650"/>
        <v>2.7</v>
      </c>
      <c r="N1597" s="308">
        <f>(I1597*J1597*F1597+K1597*M1597)*E1597*1.67*1.25</f>
        <v>831.15900000000011</v>
      </c>
      <c r="O1597" s="288"/>
      <c r="P1597" s="297"/>
      <c r="Q1597" s="288"/>
      <c r="R1597" s="102"/>
      <c r="S1597" s="102"/>
      <c r="T1597" s="102"/>
    </row>
    <row r="1598" spans="1:20" s="199" customFormat="1" ht="15.75" customHeight="1">
      <c r="A1598" s="2642"/>
      <c r="B1598" s="692" t="s">
        <v>2525</v>
      </c>
      <c r="C1598" s="693"/>
      <c r="D1598" s="312">
        <f t="shared" si="647"/>
        <v>1020</v>
      </c>
      <c r="E1598" s="313">
        <v>4</v>
      </c>
      <c r="F1598" s="314">
        <v>1</v>
      </c>
      <c r="G1598" s="315" t="s">
        <v>315</v>
      </c>
      <c r="H1598" s="314" t="s">
        <v>1043</v>
      </c>
      <c r="I1598" s="316">
        <v>0.61</v>
      </c>
      <c r="J1598" s="317">
        <f t="shared" si="648"/>
        <v>44.400000000000006</v>
      </c>
      <c r="K1598" s="694">
        <v>0</v>
      </c>
      <c r="L1598" s="695" t="str">
        <f t="shared" si="649"/>
        <v>1/750</v>
      </c>
      <c r="M1598" s="478">
        <f t="shared" si="650"/>
        <v>1.9</v>
      </c>
      <c r="N1598" s="696">
        <f t="shared" ref="N1598:N1605" si="651">(I1598*J1598*F1598+K1598*M1598)*E1598*1.67*1.25</f>
        <v>226.1514</v>
      </c>
      <c r="O1598" s="288"/>
      <c r="P1598" s="297"/>
      <c r="Q1598" s="288"/>
      <c r="R1598" s="102"/>
      <c r="S1598" s="102"/>
      <c r="T1598" s="102"/>
    </row>
    <row r="1599" spans="1:20" s="199" customFormat="1" ht="15.75" customHeight="1">
      <c r="A1599" s="2642"/>
      <c r="B1599" s="692" t="s">
        <v>2518</v>
      </c>
      <c r="C1599" s="693"/>
      <c r="D1599" s="312">
        <f t="shared" si="647"/>
        <v>573</v>
      </c>
      <c r="E1599" s="313">
        <v>4</v>
      </c>
      <c r="F1599" s="314">
        <v>1</v>
      </c>
      <c r="G1599" s="315" t="s">
        <v>314</v>
      </c>
      <c r="H1599" s="314" t="s">
        <v>1044</v>
      </c>
      <c r="I1599" s="316">
        <v>0.4</v>
      </c>
      <c r="J1599" s="317">
        <f t="shared" si="648"/>
        <v>26.6</v>
      </c>
      <c r="K1599" s="694">
        <v>0</v>
      </c>
      <c r="L1599" s="695" t="str">
        <f t="shared" si="649"/>
        <v>1/750</v>
      </c>
      <c r="M1599" s="478">
        <f t="shared" si="650"/>
        <v>1.9</v>
      </c>
      <c r="N1599" s="696">
        <f t="shared" si="651"/>
        <v>88.843999999999994</v>
      </c>
      <c r="O1599" s="288"/>
      <c r="P1599" s="297"/>
      <c r="Q1599" s="288"/>
      <c r="R1599" s="102"/>
      <c r="S1599" s="102"/>
      <c r="T1599" s="102"/>
    </row>
    <row r="1600" spans="1:20" s="199" customFormat="1" ht="15.75" customHeight="1">
      <c r="A1600" s="2642"/>
      <c r="B1600" s="692" t="s">
        <v>2542</v>
      </c>
      <c r="C1600" s="693"/>
      <c r="D1600" s="312">
        <f t="shared" si="647"/>
        <v>3170</v>
      </c>
      <c r="E1600" s="313">
        <v>4</v>
      </c>
      <c r="F1600" s="314">
        <v>3</v>
      </c>
      <c r="G1600" s="315" t="s">
        <v>582</v>
      </c>
      <c r="H1600" s="314" t="s">
        <v>1043</v>
      </c>
      <c r="I1600" s="316">
        <f t="shared" ref="I1600:I1605" si="652">0.3+0.15+0.15</f>
        <v>0.6</v>
      </c>
      <c r="J1600" s="317">
        <f t="shared" si="648"/>
        <v>71.100000000000009</v>
      </c>
      <c r="K1600" s="694">
        <v>0</v>
      </c>
      <c r="L1600" s="695" t="str">
        <f t="shared" si="649"/>
        <v>1/1000</v>
      </c>
      <c r="M1600" s="478">
        <f t="shared" si="650"/>
        <v>2.7</v>
      </c>
      <c r="N1600" s="696">
        <f t="shared" si="651"/>
        <v>1068.633</v>
      </c>
      <c r="O1600" s="288"/>
      <c r="P1600" s="297"/>
      <c r="Q1600" s="288"/>
      <c r="R1600" s="102"/>
      <c r="S1600" s="102"/>
      <c r="T1600" s="102"/>
    </row>
    <row r="1601" spans="1:20" s="199" customFormat="1" ht="15.75" customHeight="1">
      <c r="A1601" s="2642"/>
      <c r="B1601" s="692" t="s">
        <v>2543</v>
      </c>
      <c r="C1601" s="693"/>
      <c r="D1601" s="312">
        <f t="shared" si="647"/>
        <v>3170</v>
      </c>
      <c r="E1601" s="313">
        <v>4</v>
      </c>
      <c r="F1601" s="314">
        <v>3</v>
      </c>
      <c r="G1601" s="315" t="s">
        <v>582</v>
      </c>
      <c r="H1601" s="314" t="s">
        <v>1043</v>
      </c>
      <c r="I1601" s="316">
        <f t="shared" si="652"/>
        <v>0.6</v>
      </c>
      <c r="J1601" s="317">
        <f t="shared" si="648"/>
        <v>71.100000000000009</v>
      </c>
      <c r="K1601" s="694">
        <v>0</v>
      </c>
      <c r="L1601" s="695" t="str">
        <f t="shared" si="649"/>
        <v>1/1000</v>
      </c>
      <c r="M1601" s="478">
        <f t="shared" si="650"/>
        <v>2.7</v>
      </c>
      <c r="N1601" s="696">
        <f t="shared" si="651"/>
        <v>1068.633</v>
      </c>
      <c r="O1601" s="288"/>
      <c r="P1601" s="297"/>
      <c r="Q1601" s="288"/>
      <c r="R1601" s="102"/>
      <c r="S1601" s="102"/>
      <c r="T1601" s="102"/>
    </row>
    <row r="1602" spans="1:20" s="199" customFormat="1" ht="15.75" customHeight="1">
      <c r="A1602" s="2642"/>
      <c r="B1602" s="692" t="s">
        <v>2544</v>
      </c>
      <c r="C1602" s="693"/>
      <c r="D1602" s="312">
        <f t="shared" si="647"/>
        <v>3170</v>
      </c>
      <c r="E1602" s="313">
        <v>4</v>
      </c>
      <c r="F1602" s="314">
        <v>3</v>
      </c>
      <c r="G1602" s="315" t="s">
        <v>582</v>
      </c>
      <c r="H1602" s="314" t="s">
        <v>1043</v>
      </c>
      <c r="I1602" s="316">
        <f t="shared" si="652"/>
        <v>0.6</v>
      </c>
      <c r="J1602" s="317">
        <f t="shared" si="648"/>
        <v>71.100000000000009</v>
      </c>
      <c r="K1602" s="694">
        <v>0</v>
      </c>
      <c r="L1602" s="695" t="str">
        <f t="shared" si="649"/>
        <v>1/1000</v>
      </c>
      <c r="M1602" s="478">
        <f t="shared" si="650"/>
        <v>2.7</v>
      </c>
      <c r="N1602" s="696">
        <f t="shared" si="651"/>
        <v>1068.633</v>
      </c>
      <c r="O1602" s="288"/>
      <c r="P1602" s="297"/>
      <c r="Q1602" s="288"/>
      <c r="R1602" s="102"/>
      <c r="S1602" s="102"/>
      <c r="T1602" s="102"/>
    </row>
    <row r="1603" spans="1:20" s="199" customFormat="1" ht="15.75" customHeight="1">
      <c r="A1603" s="2642"/>
      <c r="B1603" s="692" t="s">
        <v>2545</v>
      </c>
      <c r="C1603" s="693"/>
      <c r="D1603" s="312">
        <f t="shared" si="647"/>
        <v>3170</v>
      </c>
      <c r="E1603" s="313">
        <v>4</v>
      </c>
      <c r="F1603" s="314">
        <v>3</v>
      </c>
      <c r="G1603" s="315" t="s">
        <v>582</v>
      </c>
      <c r="H1603" s="314" t="s">
        <v>1043</v>
      </c>
      <c r="I1603" s="316">
        <f t="shared" si="652"/>
        <v>0.6</v>
      </c>
      <c r="J1603" s="317">
        <f t="shared" si="648"/>
        <v>71.100000000000009</v>
      </c>
      <c r="K1603" s="694">
        <v>0</v>
      </c>
      <c r="L1603" s="695" t="str">
        <f t="shared" si="649"/>
        <v>1/1000</v>
      </c>
      <c r="M1603" s="478">
        <f t="shared" si="650"/>
        <v>2.7</v>
      </c>
      <c r="N1603" s="696">
        <f t="shared" si="651"/>
        <v>1068.633</v>
      </c>
      <c r="O1603" s="288"/>
      <c r="P1603" s="297"/>
      <c r="Q1603" s="288"/>
      <c r="R1603" s="102"/>
      <c r="S1603" s="102"/>
      <c r="T1603" s="102"/>
    </row>
    <row r="1604" spans="1:20" s="199" customFormat="1" ht="15.75" customHeight="1">
      <c r="A1604" s="2642"/>
      <c r="B1604" s="692" t="s">
        <v>2546</v>
      </c>
      <c r="C1604" s="693"/>
      <c r="D1604" s="312">
        <f t="shared" si="647"/>
        <v>3170</v>
      </c>
      <c r="E1604" s="313">
        <v>4</v>
      </c>
      <c r="F1604" s="314">
        <v>3</v>
      </c>
      <c r="G1604" s="315" t="s">
        <v>582</v>
      </c>
      <c r="H1604" s="314" t="s">
        <v>1043</v>
      </c>
      <c r="I1604" s="316">
        <f t="shared" si="652"/>
        <v>0.6</v>
      </c>
      <c r="J1604" s="317">
        <f t="shared" si="648"/>
        <v>71.100000000000009</v>
      </c>
      <c r="K1604" s="694">
        <v>0</v>
      </c>
      <c r="L1604" s="695" t="str">
        <f t="shared" si="649"/>
        <v>1/1000</v>
      </c>
      <c r="M1604" s="478">
        <f t="shared" si="650"/>
        <v>2.7</v>
      </c>
      <c r="N1604" s="696">
        <f t="shared" si="651"/>
        <v>1068.633</v>
      </c>
      <c r="O1604" s="288"/>
      <c r="P1604" s="297"/>
      <c r="Q1604" s="288"/>
      <c r="R1604" s="102"/>
      <c r="S1604" s="102"/>
      <c r="T1604" s="102"/>
    </row>
    <row r="1605" spans="1:20" s="199" customFormat="1" ht="15.75" customHeight="1" thickBot="1">
      <c r="A1605" s="2643"/>
      <c r="B1605" s="692" t="s">
        <v>2547</v>
      </c>
      <c r="C1605" s="693"/>
      <c r="D1605" s="312">
        <f t="shared" si="647"/>
        <v>3170</v>
      </c>
      <c r="E1605" s="313">
        <v>4</v>
      </c>
      <c r="F1605" s="314">
        <v>3</v>
      </c>
      <c r="G1605" s="315" t="s">
        <v>582</v>
      </c>
      <c r="H1605" s="314" t="s">
        <v>1043</v>
      </c>
      <c r="I1605" s="316">
        <f t="shared" si="652"/>
        <v>0.6</v>
      </c>
      <c r="J1605" s="317">
        <f t="shared" si="648"/>
        <v>71.100000000000009</v>
      </c>
      <c r="K1605" s="694">
        <v>0</v>
      </c>
      <c r="L1605" s="695" t="str">
        <f t="shared" si="649"/>
        <v>1/1000</v>
      </c>
      <c r="M1605" s="478">
        <f t="shared" si="650"/>
        <v>2.7</v>
      </c>
      <c r="N1605" s="696">
        <f t="shared" si="651"/>
        <v>1068.633</v>
      </c>
      <c r="O1605" s="288"/>
      <c r="P1605" s="297"/>
      <c r="Q1605" s="288"/>
      <c r="R1605" s="102"/>
      <c r="S1605" s="102"/>
      <c r="T1605" s="102"/>
    </row>
    <row r="1606" spans="1:20" s="129" customFormat="1" ht="22.5" customHeight="1" thickBot="1">
      <c r="A1606" s="371"/>
      <c r="B1606" s="373"/>
      <c r="C1606" s="375"/>
      <c r="D1606" s="383"/>
      <c r="E1606" s="373"/>
      <c r="F1606" s="373"/>
      <c r="G1606" s="373"/>
      <c r="H1606" s="373"/>
      <c r="I1606" s="374"/>
      <c r="J1606" s="374"/>
      <c r="K1606" s="373"/>
      <c r="L1606" s="373"/>
      <c r="M1606" s="372"/>
      <c r="N1606" s="699">
        <f>SUM(N1596:N1605)</f>
        <v>16331.130400000002</v>
      </c>
      <c r="O1606" s="288"/>
      <c r="P1606" s="297"/>
      <c r="Q1606" s="288"/>
      <c r="R1606" s="102"/>
      <c r="S1606" s="102"/>
      <c r="T1606" s="102"/>
    </row>
    <row r="1607" spans="1:20" s="102" customFormat="1" ht="8.25" customHeight="1" thickBot="1">
      <c r="A1607" s="323"/>
      <c r="B1607" s="323"/>
      <c r="C1607" s="323"/>
      <c r="D1607" s="382"/>
      <c r="E1607" s="323"/>
      <c r="F1607" s="325"/>
      <c r="G1607" s="325"/>
      <c r="H1607" s="325"/>
      <c r="I1607" s="323"/>
      <c r="J1607" s="323"/>
      <c r="K1607" s="323"/>
      <c r="L1607" s="325"/>
      <c r="M1607" s="323"/>
      <c r="N1607" s="309"/>
      <c r="O1607" s="288"/>
      <c r="P1607" s="297"/>
      <c r="Q1607" s="288"/>
    </row>
    <row r="1608" spans="1:20" s="102" customFormat="1" ht="12.75" customHeight="1">
      <c r="A1608" s="2639" t="s">
        <v>2502</v>
      </c>
      <c r="B1608" s="687" t="s">
        <v>2503</v>
      </c>
      <c r="C1608" s="327"/>
      <c r="D1608" s="328">
        <f>IF(H1608&lt;&gt;"",VLOOKUP(G1608,base_barras,IF(H1608="Desnuda",2,5)+F1608-1,FALSE),"-")</f>
        <v>3290</v>
      </c>
      <c r="E1608" s="329">
        <v>4</v>
      </c>
      <c r="F1608" s="330">
        <v>1</v>
      </c>
      <c r="G1608" s="331" t="s">
        <v>584</v>
      </c>
      <c r="H1608" s="330" t="s">
        <v>1043</v>
      </c>
      <c r="I1608" s="332">
        <v>1.2</v>
      </c>
      <c r="J1608" s="333">
        <f>IF(G1608&lt;&gt;"",VLOOKUP(G1608,precio_barras,9,FALSE),0)</f>
        <v>231.4</v>
      </c>
      <c r="K1608" s="481">
        <v>2</v>
      </c>
      <c r="L1608" s="343" t="str">
        <f>IF(G1608&lt;&gt;"",IF(VLOOKUP(G1608,base_barras,10,FALSE)&lt;&gt;"",VLOOKUP(G1608,base_barras,10,FALSE),"-"),"-")</f>
        <v>1.5/1600</v>
      </c>
      <c r="M1608" s="333">
        <f>IF(L1608&lt;&gt;"-",VLOOKUP(L1608,precio_aislador,2,FALSE),0)</f>
        <v>22</v>
      </c>
      <c r="N1608" s="360">
        <f>(I1608*J1608*F1608+K1608*M1608)*E1608*1.67*1.25</f>
        <v>2686.0280000000002</v>
      </c>
      <c r="O1608" s="288"/>
      <c r="P1608" s="297"/>
      <c r="Q1608" s="297"/>
    </row>
    <row r="1609" spans="1:20" s="199" customFormat="1" ht="15.75" customHeight="1" thickBot="1">
      <c r="A1609" s="2644"/>
      <c r="B1609" s="700" t="s">
        <v>2504</v>
      </c>
      <c r="C1609" s="701"/>
      <c r="D1609" s="364">
        <f>IF(H1609&lt;&gt;"",VLOOKUP(G1609,base_barras,IF(H1609="Desnuda",2,5)+F1609-1,FALSE),"-")</f>
        <v>3170</v>
      </c>
      <c r="E1609" s="365">
        <v>4</v>
      </c>
      <c r="F1609" s="366">
        <v>3</v>
      </c>
      <c r="G1609" s="322" t="s">
        <v>582</v>
      </c>
      <c r="H1609" s="366" t="s">
        <v>1043</v>
      </c>
      <c r="I1609" s="367">
        <f>0.2+0.5+0.5+0.2</f>
        <v>1.4</v>
      </c>
      <c r="J1609" s="368">
        <f>IF(G1609&lt;&gt;"",VLOOKUP(G1609,precio_barras,9,FALSE),0)</f>
        <v>71.100000000000009</v>
      </c>
      <c r="K1609" s="702">
        <v>0</v>
      </c>
      <c r="L1609" s="703" t="str">
        <f>IF(G1609&lt;&gt;"",IF(VLOOKUP(G1609,base_barras,10,FALSE)&lt;&gt;"",VLOOKUP(G1609,base_barras,10,FALSE),"-"),"-")</f>
        <v>1/1000</v>
      </c>
      <c r="M1609" s="480">
        <f>IF(L1609&lt;&gt;"-",VLOOKUP(L1609,precio_aislador,2,FALSE),0)</f>
        <v>2.7</v>
      </c>
      <c r="N1609" s="704">
        <f>(I1609*J1609*F1609+K1609*M1609)*E1609*1.67*1.25</f>
        <v>2493.4769999999999</v>
      </c>
      <c r="O1609" s="288"/>
      <c r="P1609" s="297"/>
      <c r="Q1609" s="288"/>
      <c r="R1609" s="102"/>
      <c r="S1609" s="102"/>
      <c r="T1609" s="102"/>
    </row>
    <row r="1610" spans="1:20" s="102" customFormat="1" ht="12.75" customHeight="1">
      <c r="A1610" s="2644"/>
      <c r="B1610" s="692" t="s">
        <v>2503</v>
      </c>
      <c r="C1610" s="693"/>
      <c r="D1610" s="697">
        <f>IF(H1610&lt;&gt;"",VLOOKUP(G1610,base_barras,IF(H1610="Desnuda",2,5)+F1610-1,FALSE),"-")</f>
        <v>3290</v>
      </c>
      <c r="E1610" s="694">
        <v>4</v>
      </c>
      <c r="F1610" s="655">
        <v>1</v>
      </c>
      <c r="G1610" s="698" t="s">
        <v>584</v>
      </c>
      <c r="H1610" s="655" t="s">
        <v>1043</v>
      </c>
      <c r="I1610" s="398">
        <v>1.2</v>
      </c>
      <c r="J1610" s="478">
        <f>IF(G1610&lt;&gt;"",VLOOKUP(G1610,precio_barras,9,FALSE),0)</f>
        <v>231.4</v>
      </c>
      <c r="K1610" s="705">
        <v>2</v>
      </c>
      <c r="L1610" s="695" t="str">
        <f>IF(G1610&lt;&gt;"",IF(VLOOKUP(G1610,base_barras,10,FALSE)&lt;&gt;"",VLOOKUP(G1610,base_barras,10,FALSE),"-"),"-")</f>
        <v>1.5/1600</v>
      </c>
      <c r="M1610" s="478">
        <f>IF(L1610&lt;&gt;"-",VLOOKUP(L1610,precio_aislador,2,FALSE),0)</f>
        <v>22</v>
      </c>
      <c r="N1610" s="696">
        <f>(I1610*J1610*F1610+K1610*M1610)*E1610*1.67*1.25</f>
        <v>2686.0280000000002</v>
      </c>
      <c r="O1610" s="288"/>
      <c r="P1610" s="297"/>
      <c r="Q1610" s="297"/>
    </row>
    <row r="1611" spans="1:20" s="199" customFormat="1" ht="15.75" customHeight="1" thickBot="1">
      <c r="A1611" s="2640"/>
      <c r="B1611" s="700" t="s">
        <v>2504</v>
      </c>
      <c r="C1611" s="701"/>
      <c r="D1611" s="364">
        <f>IF(H1611&lt;&gt;"",VLOOKUP(G1611,base_barras,IF(H1611="Desnuda",2,5)+F1611-1,FALSE),"-")</f>
        <v>3170</v>
      </c>
      <c r="E1611" s="365">
        <v>4</v>
      </c>
      <c r="F1611" s="366">
        <v>3</v>
      </c>
      <c r="G1611" s="322" t="s">
        <v>582</v>
      </c>
      <c r="H1611" s="366" t="s">
        <v>1043</v>
      </c>
      <c r="I1611" s="367">
        <f>0.2+0.5+0.5+0.2</f>
        <v>1.4</v>
      </c>
      <c r="J1611" s="368">
        <f>IF(G1611&lt;&gt;"",VLOOKUP(G1611,precio_barras,9,FALSE),0)</f>
        <v>71.100000000000009</v>
      </c>
      <c r="K1611" s="702">
        <v>0</v>
      </c>
      <c r="L1611" s="703" t="str">
        <f>IF(G1611&lt;&gt;"",IF(VLOOKUP(G1611,base_barras,10,FALSE)&lt;&gt;"",VLOOKUP(G1611,base_barras,10,FALSE),"-"),"-")</f>
        <v>1/1000</v>
      </c>
      <c r="M1611" s="480">
        <f>IF(L1611&lt;&gt;"-",VLOOKUP(L1611,precio_aislador,2,FALSE),0)</f>
        <v>2.7</v>
      </c>
      <c r="N1611" s="704">
        <f>(I1611*J1611*F1611+K1611*M1611)*E1611*1.67*1.25</f>
        <v>2493.4769999999999</v>
      </c>
      <c r="O1611" s="288"/>
      <c r="P1611" s="297"/>
      <c r="Q1611" s="288"/>
      <c r="R1611" s="102"/>
      <c r="S1611" s="102"/>
      <c r="T1611" s="102"/>
    </row>
    <row r="1612" spans="1:20" s="102" customFormat="1" ht="13.5" thickBot="1">
      <c r="A1612" s="323"/>
      <c r="B1612" s="323"/>
      <c r="C1612" s="309"/>
      <c r="D1612" s="382"/>
      <c r="E1612" s="323"/>
      <c r="F1612" s="309"/>
      <c r="G1612" s="309"/>
      <c r="H1612" s="323"/>
      <c r="I1612" s="325"/>
      <c r="J1612" s="325"/>
      <c r="K1612" s="323"/>
      <c r="L1612" s="323"/>
      <c r="M1612" s="325"/>
      <c r="N1612" s="706">
        <f>SUM(N1608:N1611)</f>
        <v>10359.01</v>
      </c>
      <c r="O1612" s="288"/>
      <c r="P1612" s="297"/>
      <c r="Q1612" s="297"/>
    </row>
    <row r="1613" spans="1:20" s="102" customFormat="1" ht="8.25" customHeight="1" thickBot="1">
      <c r="A1613" s="323"/>
      <c r="B1613" s="323"/>
      <c r="C1613" s="323"/>
      <c r="D1613" s="382"/>
      <c r="E1613" s="323"/>
      <c r="F1613" s="325"/>
      <c r="G1613" s="325"/>
      <c r="H1613" s="325"/>
      <c r="I1613" s="323"/>
      <c r="J1613" s="323"/>
      <c r="K1613" s="323"/>
      <c r="L1613" s="325"/>
      <c r="M1613" s="323"/>
      <c r="N1613" s="309"/>
      <c r="O1613" s="288"/>
      <c r="P1613" s="297"/>
      <c r="Q1613" s="288"/>
    </row>
    <row r="1614" spans="1:20" s="102" customFormat="1" ht="12.75" customHeight="1">
      <c r="A1614" s="2639" t="s">
        <v>2505</v>
      </c>
      <c r="B1614" s="687" t="s">
        <v>2506</v>
      </c>
      <c r="C1614" s="327"/>
      <c r="D1614" s="328">
        <f>IF(H1614&lt;&gt;"",VLOOKUP(G1614,base_barras,IF(H1614="Desnuda",2,5)+F1614-1,FALSE),"-")</f>
        <v>3290</v>
      </c>
      <c r="E1614" s="329">
        <v>4</v>
      </c>
      <c r="F1614" s="330">
        <v>1</v>
      </c>
      <c r="G1614" s="331" t="s">
        <v>584</v>
      </c>
      <c r="H1614" s="330" t="s">
        <v>1043</v>
      </c>
      <c r="I1614" s="332">
        <v>1.2</v>
      </c>
      <c r="J1614" s="333">
        <f>IF(G1614&lt;&gt;"",VLOOKUP(G1614,precio_barras,9,FALSE),0)</f>
        <v>231.4</v>
      </c>
      <c r="K1614" s="481">
        <v>2</v>
      </c>
      <c r="L1614" s="343" t="str">
        <f>IF(G1614&lt;&gt;"",IF(VLOOKUP(G1614,base_barras,10,FALSE)&lt;&gt;"",VLOOKUP(G1614,base_barras,10,FALSE),"-"),"-")</f>
        <v>1.5/1600</v>
      </c>
      <c r="M1614" s="333">
        <f>IF(L1614&lt;&gt;"-",VLOOKUP(L1614,precio_aislador,2,FALSE),0)</f>
        <v>22</v>
      </c>
      <c r="N1614" s="360">
        <f>(I1614*J1614*F1614+K1614*M1614)*E1614*1.67*1.25</f>
        <v>2686.0280000000002</v>
      </c>
      <c r="O1614" s="288"/>
      <c r="P1614" s="297"/>
      <c r="Q1614" s="297"/>
    </row>
    <row r="1615" spans="1:20" s="102" customFormat="1" ht="13.5" thickBot="1">
      <c r="A1615" s="2644"/>
      <c r="B1615" s="707" t="s">
        <v>2504</v>
      </c>
      <c r="C1615" s="479"/>
      <c r="D1615" s="364">
        <f>IF(H1615&lt;&gt;"",VLOOKUP(G1615,base_barras,IF(H1615="Desnuda",2,5)+F1615-1,FALSE),"-")</f>
        <v>3170</v>
      </c>
      <c r="E1615" s="365">
        <v>4</v>
      </c>
      <c r="F1615" s="366">
        <v>3</v>
      </c>
      <c r="G1615" s="322" t="s">
        <v>582</v>
      </c>
      <c r="H1615" s="366" t="s">
        <v>1043</v>
      </c>
      <c r="I1615" s="367">
        <f>0.5+0.8+0.8+0.2</f>
        <v>2.3000000000000003</v>
      </c>
      <c r="J1615" s="368">
        <f>IF(G1615&lt;&gt;"",VLOOKUP(G1615,precio_barras,9,FALSE),0)</f>
        <v>71.100000000000009</v>
      </c>
      <c r="K1615" s="365">
        <v>3</v>
      </c>
      <c r="L1615" s="369" t="str">
        <f>IF(G1615&lt;&gt;"",IF(VLOOKUP(G1615,base_barras,10,FALSE)&lt;&gt;"",VLOOKUP(G1615,base_barras,10,FALSE),"-"),"-")</f>
        <v>1/1000</v>
      </c>
      <c r="M1615" s="368">
        <f>IF(L1615&lt;&gt;"-",VLOOKUP(L1615,precio_aislador,2,FALSE),0)</f>
        <v>2.7</v>
      </c>
      <c r="N1615" s="370">
        <f>(I1615*J1615*F1615+K1615*M1615)*E1615*1.67*1.25</f>
        <v>4164.0615000000007</v>
      </c>
      <c r="O1615" s="288"/>
      <c r="P1615" s="297"/>
      <c r="Q1615" s="297"/>
    </row>
    <row r="1616" spans="1:20" s="102" customFormat="1" ht="12.75" customHeight="1">
      <c r="A1616" s="2644"/>
      <c r="B1616" s="692" t="s">
        <v>2506</v>
      </c>
      <c r="C1616" s="693"/>
      <c r="D1616" s="697">
        <f>IF(H1616&lt;&gt;"",VLOOKUP(G1616,base_barras,IF(H1616="Desnuda",2,5)+F1616-1,FALSE),"-")</f>
        <v>3290</v>
      </c>
      <c r="E1616" s="694">
        <v>4</v>
      </c>
      <c r="F1616" s="655">
        <v>1</v>
      </c>
      <c r="G1616" s="698" t="s">
        <v>584</v>
      </c>
      <c r="H1616" s="655" t="s">
        <v>1043</v>
      </c>
      <c r="I1616" s="398">
        <v>1.2</v>
      </c>
      <c r="J1616" s="478">
        <f>IF(G1616&lt;&gt;"",VLOOKUP(G1616,precio_barras,9,FALSE),0)</f>
        <v>231.4</v>
      </c>
      <c r="K1616" s="705">
        <v>2</v>
      </c>
      <c r="L1616" s="695" t="str">
        <f>IF(G1616&lt;&gt;"",IF(VLOOKUP(G1616,base_barras,10,FALSE)&lt;&gt;"",VLOOKUP(G1616,base_barras,10,FALSE),"-"),"-")</f>
        <v>1.5/1600</v>
      </c>
      <c r="M1616" s="478">
        <f>IF(L1616&lt;&gt;"-",VLOOKUP(L1616,precio_aislador,2,FALSE),0)</f>
        <v>22</v>
      </c>
      <c r="N1616" s="696">
        <f>(I1616*J1616*F1616+K1616*M1616)*E1616*1.67*1.25</f>
        <v>2686.0280000000002</v>
      </c>
      <c r="O1616" s="288"/>
      <c r="P1616" s="297"/>
      <c r="Q1616" s="297"/>
    </row>
    <row r="1617" spans="1:20" s="102" customFormat="1" ht="13.5" thickBot="1">
      <c r="A1617" s="2640"/>
      <c r="B1617" s="700" t="s">
        <v>2504</v>
      </c>
      <c r="C1617" s="701"/>
      <c r="D1617" s="708">
        <f>IF(H1617&lt;&gt;"",VLOOKUP(G1617,base_barras,IF(H1617="Desnuda",2,5)+F1617-1,FALSE),"-")</f>
        <v>3170</v>
      </c>
      <c r="E1617" s="702">
        <v>4</v>
      </c>
      <c r="F1617" s="709">
        <v>3</v>
      </c>
      <c r="G1617" s="710" t="s">
        <v>582</v>
      </c>
      <c r="H1617" s="709" t="s">
        <v>1043</v>
      </c>
      <c r="I1617" s="711">
        <f>0.5+0.8+0.8+0.2</f>
        <v>2.3000000000000003</v>
      </c>
      <c r="J1617" s="480">
        <f>IF(G1617&lt;&gt;"",VLOOKUP(G1617,precio_barras,9,FALSE),0)</f>
        <v>71.100000000000009</v>
      </c>
      <c r="K1617" s="702">
        <v>3</v>
      </c>
      <c r="L1617" s="703" t="str">
        <f>IF(G1617&lt;&gt;"",IF(VLOOKUP(G1617,base_barras,10,FALSE)&lt;&gt;"",VLOOKUP(G1617,base_barras,10,FALSE),"-"),"-")</f>
        <v>1/1000</v>
      </c>
      <c r="M1617" s="480">
        <f>IF(L1617&lt;&gt;"-",VLOOKUP(L1617,precio_aislador,2,FALSE),0)</f>
        <v>2.7</v>
      </c>
      <c r="N1617" s="704">
        <f>(I1617*J1617*F1617+K1617*M1617)*E1617*1.67*1.25</f>
        <v>4164.0615000000007</v>
      </c>
      <c r="O1617" s="288"/>
      <c r="P1617" s="297"/>
      <c r="Q1617" s="297"/>
    </row>
    <row r="1618" spans="1:20" s="102" customFormat="1" ht="13.5" thickBot="1">
      <c r="A1618" s="323"/>
      <c r="B1618" s="323"/>
      <c r="C1618" s="309"/>
      <c r="D1618" s="382"/>
      <c r="E1618" s="323"/>
      <c r="F1618" s="309"/>
      <c r="G1618" s="309"/>
      <c r="H1618" s="323"/>
      <c r="I1618" s="325"/>
      <c r="J1618" s="325"/>
      <c r="K1618" s="323"/>
      <c r="L1618" s="323"/>
      <c r="M1618" s="325"/>
      <c r="N1618" s="706">
        <f>SUM(N1614:N1617)</f>
        <v>13700.179</v>
      </c>
      <c r="O1618" s="288"/>
      <c r="P1618" s="297"/>
      <c r="Q1618" s="297"/>
    </row>
    <row r="1619" spans="1:20" s="102" customFormat="1" ht="8.25" customHeight="1" thickBot="1">
      <c r="A1619" s="323"/>
      <c r="B1619" s="323"/>
      <c r="C1619" s="323"/>
      <c r="D1619" s="382"/>
      <c r="E1619" s="323"/>
      <c r="F1619" s="325"/>
      <c r="G1619" s="325"/>
      <c r="H1619" s="325"/>
      <c r="I1619" s="323"/>
      <c r="J1619" s="323"/>
      <c r="K1619" s="323"/>
      <c r="L1619" s="325"/>
      <c r="M1619" s="323"/>
      <c r="N1619" s="309"/>
      <c r="O1619" s="288"/>
      <c r="P1619" s="297"/>
      <c r="Q1619" s="288"/>
    </row>
    <row r="1620" spans="1:20" s="102" customFormat="1">
      <c r="A1620" s="2629" t="s">
        <v>1228</v>
      </c>
      <c r="B1620" s="687" t="s">
        <v>2498</v>
      </c>
      <c r="C1620" s="327"/>
      <c r="D1620" s="328">
        <f>IF(H1620&lt;&gt;"",VLOOKUP(G1620,base_barras,IF(H1620="Desnuda",2,5)+F1620-1,FALSE),"-")</f>
        <v>2850</v>
      </c>
      <c r="E1620" s="481">
        <v>4</v>
      </c>
      <c r="F1620" s="330">
        <v>2</v>
      </c>
      <c r="G1620" s="331" t="s">
        <v>468</v>
      </c>
      <c r="H1620" s="330" t="s">
        <v>1043</v>
      </c>
      <c r="I1620" s="332">
        <f>0.2+0.2+0.2+0+0.2</f>
        <v>0.8</v>
      </c>
      <c r="J1620" s="333">
        <f>IF(G1620&lt;&gt;"",VLOOKUP(G1620,precio_barras,9,FALSE),0)</f>
        <v>88.9</v>
      </c>
      <c r="K1620" s="329">
        <v>0</v>
      </c>
      <c r="L1620" s="343" t="str">
        <f>IF(G1620&lt;&gt;"",IF(VLOOKUP(G1620,base_barras,10,FALSE)&lt;&gt;"",VLOOKUP(G1620,base_barras,10,FALSE),"-"),"-")</f>
        <v>1.5/1250</v>
      </c>
      <c r="M1620" s="333">
        <f>IF(L1620&lt;&gt;"-",VLOOKUP(L1620,precio_aislador,2,FALSE),0)</f>
        <v>5.5</v>
      </c>
      <c r="N1620" s="360">
        <f>(I1620*J1620*F1620+K1620*M1620)*E1620*1.67*1.25</f>
        <v>1187.7040000000002</v>
      </c>
      <c r="O1620" s="288"/>
      <c r="P1620" s="297"/>
      <c r="Q1620" s="297"/>
    </row>
    <row r="1621" spans="1:20" s="102" customFormat="1" ht="13.5" thickBot="1">
      <c r="A1621" s="2635"/>
      <c r="B1621" s="707"/>
      <c r="C1621" s="479"/>
      <c r="D1621" s="364" t="str">
        <f>IF(H1621&lt;&gt;"",VLOOKUP(G1621,base_barras,IF(H1621="Desnuda",2,5)+F1621-1,FALSE),"-")</f>
        <v>-</v>
      </c>
      <c r="E1621" s="365"/>
      <c r="F1621" s="366"/>
      <c r="G1621" s="322"/>
      <c r="H1621" s="366"/>
      <c r="I1621" s="367"/>
      <c r="J1621" s="480">
        <f>IF(G1621&lt;&gt;"",VLOOKUP(G1621,precio_barras,9,FALSE),0)</f>
        <v>0</v>
      </c>
      <c r="K1621" s="365"/>
      <c r="L1621" s="369" t="str">
        <f>IF(G1621&lt;&gt;"",IF(VLOOKUP(G1621,base_barras,10,FALSE)&lt;&gt;"",VLOOKUP(G1621,base_barras,10,FALSE),"-"),"-")</f>
        <v>-</v>
      </c>
      <c r="M1621" s="368">
        <f>IF(L1621&lt;&gt;"-",VLOOKUP(L1621,precio_aislador,2,FALSE),0)</f>
        <v>0</v>
      </c>
      <c r="N1621" s="370">
        <f>(I1621*J1621*F1621+K1621*M1621)*E1621*1.67*1.25</f>
        <v>0</v>
      </c>
      <c r="O1621" s="288"/>
      <c r="P1621" s="297"/>
      <c r="Q1621" s="297"/>
    </row>
    <row r="1622" spans="1:20" s="102" customFormat="1" ht="13.5" thickBot="1">
      <c r="A1622" s="323"/>
      <c r="B1622" s="323"/>
      <c r="C1622" s="309"/>
      <c r="D1622" s="382"/>
      <c r="E1622" s="323"/>
      <c r="F1622" s="309"/>
      <c r="G1622" s="309"/>
      <c r="H1622" s="323"/>
      <c r="I1622" s="325"/>
      <c r="J1622" s="325"/>
      <c r="K1622" s="323"/>
      <c r="L1622" s="323"/>
      <c r="M1622" s="325"/>
      <c r="N1622" s="706">
        <f>SUM(N1620:N1621)</f>
        <v>1187.7040000000002</v>
      </c>
      <c r="O1622" s="288"/>
      <c r="P1622" s="297"/>
      <c r="Q1622" s="297"/>
    </row>
    <row r="1623" spans="1:20" s="102" customFormat="1" ht="8.25" customHeight="1" thickBot="1">
      <c r="A1623" s="323"/>
      <c r="B1623" s="323"/>
      <c r="C1623" s="323"/>
      <c r="D1623" s="382"/>
      <c r="E1623" s="323"/>
      <c r="F1623" s="325"/>
      <c r="G1623" s="325"/>
      <c r="H1623" s="325"/>
      <c r="I1623" s="323"/>
      <c r="J1623" s="323"/>
      <c r="K1623" s="323"/>
      <c r="L1623" s="325"/>
      <c r="M1623" s="323"/>
      <c r="N1623" s="309"/>
      <c r="O1623" s="288"/>
      <c r="P1623" s="297"/>
      <c r="Q1623" s="288"/>
    </row>
    <row r="1624" spans="1:20" s="102" customFormat="1">
      <c r="A1624" s="2645" t="s">
        <v>2548</v>
      </c>
      <c r="B1624" s="687" t="s">
        <v>2504</v>
      </c>
      <c r="C1624" s="327"/>
      <c r="D1624" s="328">
        <f>IF(H1624&lt;&gt;"",VLOOKUP(G1624,base_barras,IF(H1624="Desnuda",2,5)+F1624-1,FALSE),"-")</f>
        <v>3170</v>
      </c>
      <c r="E1624" s="329">
        <v>4</v>
      </c>
      <c r="F1624" s="330">
        <v>3</v>
      </c>
      <c r="G1624" s="331" t="s">
        <v>582</v>
      </c>
      <c r="H1624" s="330" t="s">
        <v>1043</v>
      </c>
      <c r="I1624" s="332">
        <f>0.3+0.35</f>
        <v>0.64999999999999991</v>
      </c>
      <c r="J1624" s="333">
        <f>IF(G1624&lt;&gt;"",VLOOKUP(G1624,precio_barras,9,FALSE),0)</f>
        <v>71.100000000000009</v>
      </c>
      <c r="K1624" s="329">
        <v>0</v>
      </c>
      <c r="L1624" s="343" t="str">
        <f>IF(G1624&lt;&gt;"",IF(VLOOKUP(G1624,base_barras,10,FALSE)&lt;&gt;"",VLOOKUP(G1624,base_barras,10,FALSE),"-"),"-")</f>
        <v>1/1000</v>
      </c>
      <c r="M1624" s="333">
        <f>IF(L1624&lt;&gt;"-",VLOOKUP(L1624,precio_aislador,2,FALSE),0)</f>
        <v>2.7</v>
      </c>
      <c r="N1624" s="360">
        <f>(I1624*J1624*F1624+K1624*M1624)*E1624*1.67*1.25</f>
        <v>1157.6857499999999</v>
      </c>
      <c r="O1624" s="288"/>
      <c r="P1624" s="297"/>
      <c r="Q1624" s="297"/>
    </row>
    <row r="1625" spans="1:20" s="199" customFormat="1" ht="15.75" customHeight="1">
      <c r="A1625" s="2646"/>
      <c r="B1625" s="692" t="s">
        <v>2498</v>
      </c>
      <c r="C1625" s="693"/>
      <c r="D1625" s="697">
        <f>IF(H1625&lt;&gt;"",VLOOKUP(G1625,base_barras,IF(H1625="Desnuda",2,5)+F1625-1,FALSE),"-")</f>
        <v>2850</v>
      </c>
      <c r="E1625" s="694">
        <v>4</v>
      </c>
      <c r="F1625" s="655">
        <v>2</v>
      </c>
      <c r="G1625" s="698" t="s">
        <v>468</v>
      </c>
      <c r="H1625" s="655" t="s">
        <v>1043</v>
      </c>
      <c r="I1625" s="398">
        <v>1.2</v>
      </c>
      <c r="J1625" s="478">
        <f>IF(G1625&lt;&gt;"",VLOOKUP(G1625,precio_barras,9,FALSE),0)</f>
        <v>88.9</v>
      </c>
      <c r="K1625" s="694">
        <v>2</v>
      </c>
      <c r="L1625" s="695" t="str">
        <f>IF(G1625&lt;&gt;"",IF(VLOOKUP(G1625,base_barras,10,FALSE)&lt;&gt;"",VLOOKUP(G1625,base_barras,10,FALSE),"-"),"-")</f>
        <v>1.5/1250</v>
      </c>
      <c r="M1625" s="478">
        <f>IF(L1625&lt;&gt;"-",VLOOKUP(L1625,precio_aislador,2,FALSE),0)</f>
        <v>5.5</v>
      </c>
      <c r="N1625" s="696">
        <f>(I1625*J1625*F1625+K1625*M1625)*E1625*1.67*1.25</f>
        <v>1873.4059999999999</v>
      </c>
      <c r="O1625" s="288"/>
      <c r="P1625" s="297"/>
      <c r="Q1625" s="288"/>
      <c r="R1625" s="102"/>
      <c r="S1625" s="102"/>
      <c r="T1625" s="102"/>
    </row>
    <row r="1626" spans="1:20" s="199" customFormat="1" ht="15.75" customHeight="1" thickBot="1">
      <c r="A1626" s="2646"/>
      <c r="B1626" s="707" t="s">
        <v>2498</v>
      </c>
      <c r="C1626" s="479"/>
      <c r="D1626" s="364">
        <f>IF(H1626&lt;&gt;"",VLOOKUP(G1626,base_barras,IF(H1626="Desnuda",2,5)+F1626-1,FALSE),"-")</f>
        <v>2850</v>
      </c>
      <c r="E1626" s="365">
        <v>4</v>
      </c>
      <c r="F1626" s="366">
        <v>2</v>
      </c>
      <c r="G1626" s="322" t="s">
        <v>468</v>
      </c>
      <c r="H1626" s="366" t="s">
        <v>1043</v>
      </c>
      <c r="I1626" s="367">
        <v>0.7</v>
      </c>
      <c r="J1626" s="368">
        <f>IF(G1626&lt;&gt;"",VLOOKUP(G1626,precio_barras,9,FALSE),0)</f>
        <v>88.9</v>
      </c>
      <c r="K1626" s="365">
        <v>1</v>
      </c>
      <c r="L1626" s="369" t="str">
        <f>IF(G1626&lt;&gt;"",IF(VLOOKUP(G1626,base_barras,10,FALSE)&lt;&gt;"",VLOOKUP(G1626,base_barras,10,FALSE),"-"),"-")</f>
        <v>1.5/1250</v>
      </c>
      <c r="M1626" s="368">
        <f>IF(L1626&lt;&gt;"-",VLOOKUP(L1626,precio_aislador,2,FALSE),0)</f>
        <v>5.5</v>
      </c>
      <c r="N1626" s="370">
        <f>(I1626*J1626*F1626+K1626*M1626)*E1626*1.67*1.25</f>
        <v>1085.1659999999997</v>
      </c>
      <c r="O1626" s="288"/>
      <c r="P1626" s="297"/>
      <c r="Q1626" s="288"/>
      <c r="R1626" s="102"/>
      <c r="S1626" s="102"/>
      <c r="T1626" s="102"/>
    </row>
    <row r="1627" spans="1:20" s="102" customFormat="1">
      <c r="A1627" s="2646"/>
      <c r="B1627" s="692" t="s">
        <v>2504</v>
      </c>
      <c r="C1627" s="693"/>
      <c r="D1627" s="697">
        <f>IF(H1627&lt;&gt;"",VLOOKUP(G1627,base_barras,IF(H1627="Desnuda",2,5)+F1627-1,FALSE),"-")</f>
        <v>3170</v>
      </c>
      <c r="E1627" s="694">
        <v>4</v>
      </c>
      <c r="F1627" s="655">
        <v>3</v>
      </c>
      <c r="G1627" s="698" t="s">
        <v>582</v>
      </c>
      <c r="H1627" s="655" t="s">
        <v>1043</v>
      </c>
      <c r="I1627" s="398">
        <f>0.3+0.35</f>
        <v>0.64999999999999991</v>
      </c>
      <c r="J1627" s="478">
        <f>IF(G1627&lt;&gt;"",VLOOKUP(G1627,precio_barras,9,FALSE),0)</f>
        <v>71.100000000000009</v>
      </c>
      <c r="K1627" s="694">
        <v>0</v>
      </c>
      <c r="L1627" s="695" t="str">
        <f>IF(G1627&lt;&gt;"",IF(VLOOKUP(G1627,base_barras,10,FALSE)&lt;&gt;"",VLOOKUP(G1627,base_barras,10,FALSE),"-"),"-")</f>
        <v>1/1000</v>
      </c>
      <c r="M1627" s="478">
        <f>IF(L1627&lt;&gt;"-",VLOOKUP(L1627,precio_aislador,2,FALSE),0)</f>
        <v>2.7</v>
      </c>
      <c r="N1627" s="696">
        <f>(I1627*J1627*F1627+K1627*M1627)*E1627*1.67*1.25</f>
        <v>1157.6857499999999</v>
      </c>
      <c r="O1627" s="288"/>
      <c r="P1627" s="297"/>
      <c r="Q1627" s="297"/>
    </row>
    <row r="1628" spans="1:20" s="199" customFormat="1" ht="15.75" customHeight="1" thickBot="1">
      <c r="A1628" s="2647"/>
      <c r="B1628" s="700" t="s">
        <v>2498</v>
      </c>
      <c r="C1628" s="701"/>
      <c r="D1628" s="708">
        <f>IF(H1628&lt;&gt;"",VLOOKUP(G1628,base_barras,IF(H1628="Desnuda",2,5)+F1628-1,FALSE),"-")</f>
        <v>2850</v>
      </c>
      <c r="E1628" s="702">
        <v>4</v>
      </c>
      <c r="F1628" s="709">
        <v>2</v>
      </c>
      <c r="G1628" s="710" t="s">
        <v>468</v>
      </c>
      <c r="H1628" s="709" t="s">
        <v>1043</v>
      </c>
      <c r="I1628" s="711">
        <v>1.2</v>
      </c>
      <c r="J1628" s="480">
        <f>IF(G1628&lt;&gt;"",VLOOKUP(G1628,precio_barras,9,FALSE),0)</f>
        <v>88.9</v>
      </c>
      <c r="K1628" s="702">
        <v>2</v>
      </c>
      <c r="L1628" s="703" t="str">
        <f>IF(G1628&lt;&gt;"",IF(VLOOKUP(G1628,base_barras,10,FALSE)&lt;&gt;"",VLOOKUP(G1628,base_barras,10,FALSE),"-"),"-")</f>
        <v>1.5/1250</v>
      </c>
      <c r="M1628" s="480">
        <f>IF(L1628&lt;&gt;"-",VLOOKUP(L1628,precio_aislador,2,FALSE),0)</f>
        <v>5.5</v>
      </c>
      <c r="N1628" s="704">
        <f>(I1628*J1628*F1628+K1628*M1628)*E1628*1.67*1.25</f>
        <v>1873.4059999999999</v>
      </c>
      <c r="O1628" s="288"/>
      <c r="P1628" s="297"/>
      <c r="Q1628" s="288"/>
      <c r="R1628" s="102"/>
      <c r="S1628" s="102"/>
      <c r="T1628" s="102"/>
    </row>
    <row r="1629" spans="1:20" s="102" customFormat="1" ht="13.5" thickBot="1">
      <c r="A1629" s="323"/>
      <c r="B1629" s="323"/>
      <c r="C1629" s="309"/>
      <c r="D1629" s="382"/>
      <c r="E1629" s="323"/>
      <c r="F1629" s="309"/>
      <c r="G1629" s="309"/>
      <c r="H1629" s="323"/>
      <c r="I1629" s="325"/>
      <c r="J1629" s="325"/>
      <c r="K1629" s="323"/>
      <c r="L1629" s="323"/>
      <c r="M1629" s="325"/>
      <c r="N1629" s="706">
        <f>SUM(N1624:N1628)</f>
        <v>7147.3494999999984</v>
      </c>
      <c r="O1629" s="288"/>
      <c r="P1629" s="297"/>
      <c r="Q1629" s="297"/>
    </row>
    <row r="1630" spans="1:20" s="102" customFormat="1" ht="8.25" customHeight="1" thickBot="1">
      <c r="A1630" s="323"/>
      <c r="B1630" s="323"/>
      <c r="C1630" s="323"/>
      <c r="D1630" s="382"/>
      <c r="E1630" s="323"/>
      <c r="F1630" s="325"/>
      <c r="G1630" s="325"/>
      <c r="H1630" s="325"/>
      <c r="I1630" s="323"/>
      <c r="J1630" s="323"/>
      <c r="K1630" s="323"/>
      <c r="L1630" s="325"/>
      <c r="M1630" s="323"/>
      <c r="N1630" s="309"/>
      <c r="O1630" s="288"/>
      <c r="P1630" s="297"/>
      <c r="Q1630" s="288"/>
    </row>
    <row r="1631" spans="1:20" s="102" customFormat="1">
      <c r="A1631" s="2629" t="s">
        <v>1034</v>
      </c>
      <c r="B1631" s="687" t="s">
        <v>2504</v>
      </c>
      <c r="C1631" s="327"/>
      <c r="D1631" s="328">
        <f>IF(H1631&lt;&gt;"",VLOOKUP(G1631,base_barras,IF(H1631="Desnuda",2,5)+F1631-1,FALSE),"-")</f>
        <v>3170</v>
      </c>
      <c r="E1631" s="329">
        <v>4</v>
      </c>
      <c r="F1631" s="330">
        <v>3</v>
      </c>
      <c r="G1631" s="331" t="s">
        <v>582</v>
      </c>
      <c r="H1631" s="330" t="s">
        <v>1043</v>
      </c>
      <c r="I1631" s="332">
        <v>0</v>
      </c>
      <c r="J1631" s="333">
        <f>IF(G1631&lt;&gt;"",VLOOKUP(G1631,precio_barras,9,FALSE),0)</f>
        <v>71.100000000000009</v>
      </c>
      <c r="K1631" s="329">
        <v>0</v>
      </c>
      <c r="L1631" s="343" t="str">
        <f>IF(G1631&lt;&gt;"",IF(VLOOKUP(G1631,base_barras,10,FALSE)&lt;&gt;"",VLOOKUP(G1631,base_barras,10,FALSE),"-"),"-")</f>
        <v>1/1000</v>
      </c>
      <c r="M1631" s="333">
        <f>IF(L1631&lt;&gt;"-",VLOOKUP(L1631,precio_aislador,2,FALSE),0)</f>
        <v>2.7</v>
      </c>
      <c r="N1631" s="360">
        <f>(I1631*J1631*F1631+K1631*M1631)*E1631*1.67*1.25</f>
        <v>0</v>
      </c>
      <c r="O1631" s="288"/>
      <c r="P1631" s="297"/>
      <c r="Q1631" s="297"/>
    </row>
    <row r="1632" spans="1:20" s="102" customFormat="1" ht="13.5" thickBot="1">
      <c r="A1632" s="2635"/>
      <c r="B1632" s="700" t="s">
        <v>2504</v>
      </c>
      <c r="C1632" s="701"/>
      <c r="D1632" s="708">
        <f>IF(H1632&lt;&gt;"",VLOOKUP(G1632,base_barras,IF(H1632="Desnuda",2,5)+F1632-1,FALSE),"-")</f>
        <v>3170</v>
      </c>
      <c r="E1632" s="702">
        <v>4</v>
      </c>
      <c r="F1632" s="709">
        <v>3</v>
      </c>
      <c r="G1632" s="710" t="s">
        <v>582</v>
      </c>
      <c r="H1632" s="709" t="s">
        <v>1043</v>
      </c>
      <c r="I1632" s="711">
        <v>0</v>
      </c>
      <c r="J1632" s="480">
        <f>IF(G1632&lt;&gt;"",VLOOKUP(G1632,precio_barras,9,FALSE),0)</f>
        <v>71.100000000000009</v>
      </c>
      <c r="K1632" s="702">
        <v>0</v>
      </c>
      <c r="L1632" s="703" t="str">
        <f>IF(G1632&lt;&gt;"",IF(VLOOKUP(G1632,base_barras,10,FALSE)&lt;&gt;"",VLOOKUP(G1632,base_barras,10,FALSE),"-"),"-")</f>
        <v>1/1000</v>
      </c>
      <c r="M1632" s="480">
        <f>IF(L1632&lt;&gt;"-",VLOOKUP(L1632,precio_aislador,2,FALSE),0)</f>
        <v>2.7</v>
      </c>
      <c r="N1632" s="704">
        <f>(I1632*J1632*F1632+K1632*M1632)*E1632*1.67*1.25</f>
        <v>0</v>
      </c>
      <c r="O1632" s="288"/>
      <c r="P1632" s="297"/>
      <c r="Q1632" s="297"/>
    </row>
    <row r="1633" spans="1:20" s="102" customFormat="1" ht="13.5" thickBot="1">
      <c r="A1633" s="323"/>
      <c r="B1633" s="323"/>
      <c r="C1633" s="309"/>
      <c r="D1633" s="382"/>
      <c r="E1633" s="323"/>
      <c r="F1633" s="309"/>
      <c r="G1633" s="309"/>
      <c r="H1633" s="323"/>
      <c r="I1633" s="325"/>
      <c r="J1633" s="325"/>
      <c r="K1633" s="323"/>
      <c r="L1633" s="323"/>
      <c r="M1633" s="325"/>
      <c r="N1633" s="706">
        <f>SUM(N1631:N1632)</f>
        <v>0</v>
      </c>
      <c r="O1633" s="288"/>
      <c r="P1633" s="297"/>
      <c r="Q1633" s="297"/>
    </row>
    <row r="1634" spans="1:20" s="102" customFormat="1">
      <c r="A1634" s="323"/>
      <c r="B1634" s="309"/>
      <c r="C1634" s="309"/>
      <c r="D1634" s="382"/>
      <c r="E1634" s="323"/>
      <c r="F1634" s="309"/>
      <c r="G1634" s="309"/>
      <c r="H1634" s="323"/>
      <c r="I1634" s="325"/>
      <c r="J1634" s="325"/>
      <c r="K1634" s="323"/>
      <c r="L1634" s="323"/>
      <c r="M1634" s="325"/>
      <c r="N1634" s="722"/>
      <c r="O1634" s="288"/>
      <c r="P1634" s="297"/>
      <c r="Q1634" s="297"/>
    </row>
    <row r="1635" spans="1:20" s="102" customFormat="1">
      <c r="A1635" s="323"/>
      <c r="B1635" s="309"/>
      <c r="C1635" s="309"/>
      <c r="D1635" s="382"/>
      <c r="E1635" s="323"/>
      <c r="F1635" s="309"/>
      <c r="G1635" s="309"/>
      <c r="H1635" s="323"/>
      <c r="I1635" s="325"/>
      <c r="J1635" s="325"/>
      <c r="K1635" s="323"/>
      <c r="L1635" s="323"/>
      <c r="M1635" s="325"/>
      <c r="N1635" s="722"/>
      <c r="O1635" s="288"/>
      <c r="P1635" s="297"/>
      <c r="Q1635" s="297"/>
    </row>
    <row r="1636" spans="1:20" s="102" customFormat="1" ht="15">
      <c r="A1636" s="323"/>
      <c r="B1636" s="723" t="s">
        <v>2513</v>
      </c>
      <c r="C1636" s="309"/>
      <c r="D1636" s="382"/>
      <c r="E1636" s="323"/>
      <c r="F1636" s="309"/>
      <c r="G1636" s="309"/>
      <c r="H1636" s="323"/>
      <c r="I1636" s="325"/>
      <c r="J1636" s="325"/>
      <c r="K1636" s="323"/>
      <c r="L1636" s="323"/>
      <c r="M1636" s="325"/>
      <c r="N1636" s="722"/>
      <c r="O1636" s="288"/>
      <c r="P1636" s="297"/>
      <c r="Q1636" s="297"/>
    </row>
    <row r="1637" spans="1:20" s="102" customFormat="1">
      <c r="A1637" s="323"/>
      <c r="B1637" s="309"/>
      <c r="C1637" s="309"/>
      <c r="D1637" s="382"/>
      <c r="E1637" s="323"/>
      <c r="F1637" s="309"/>
      <c r="G1637" s="309"/>
      <c r="H1637" s="323"/>
      <c r="I1637" s="325"/>
      <c r="J1637" s="325"/>
      <c r="K1637" s="323"/>
      <c r="L1637" s="323"/>
      <c r="M1637" s="325"/>
      <c r="N1637" s="722"/>
      <c r="O1637" s="288"/>
      <c r="P1637" s="297"/>
      <c r="Q1637" s="297"/>
    </row>
    <row r="1638" spans="1:20" s="106" customFormat="1" ht="13.5" thickBot="1"/>
    <row r="1639" spans="1:20" s="199" customFormat="1" ht="15.75" customHeight="1">
      <c r="A1639" s="2641" t="s">
        <v>2549</v>
      </c>
      <c r="B1639" s="687" t="s">
        <v>2498</v>
      </c>
      <c r="C1639" s="327"/>
      <c r="D1639" s="328">
        <f t="shared" ref="D1639:D1651" si="653">IF(H1639&lt;&gt;"",VLOOKUP(G1639,base_barras,IF(H1639="Desnuda",2,5)+F1639-1,FALSE),"-")</f>
        <v>2850</v>
      </c>
      <c r="E1639" s="329">
        <v>4</v>
      </c>
      <c r="F1639" s="330">
        <v>2</v>
      </c>
      <c r="G1639" s="331" t="s">
        <v>468</v>
      </c>
      <c r="H1639" s="330" t="s">
        <v>1043</v>
      </c>
      <c r="I1639" s="332">
        <f>1.2+1.2+0.8+0.8+0.8</f>
        <v>4.8</v>
      </c>
      <c r="J1639" s="333">
        <f t="shared" ref="J1639:J1651" si="654">IF(G1639&lt;&gt;"",VLOOKUP(G1639,precio_barras,9,FALSE),0)</f>
        <v>88.9</v>
      </c>
      <c r="K1639" s="329">
        <f>2+2+2+2+2</f>
        <v>10</v>
      </c>
      <c r="L1639" s="343" t="str">
        <f t="shared" ref="L1639:L1651" si="655">IF(G1639&lt;&gt;"",IF(VLOOKUP(G1639,base_barras,10,FALSE)&lt;&gt;"",VLOOKUP(G1639,base_barras,10,FALSE),"-"),"-")</f>
        <v>1.5/1250</v>
      </c>
      <c r="M1639" s="333">
        <f t="shared" ref="M1639:M1651" si="656">IF(L1639&lt;&gt;"-",VLOOKUP(L1639,precio_aislador,2,FALSE),0)</f>
        <v>5.5</v>
      </c>
      <c r="N1639" s="360">
        <f>(I1639*J1639*F1639+K1639*M1639)*E1639*1.67*1.25</f>
        <v>7585.4740000000002</v>
      </c>
      <c r="O1639" s="288"/>
      <c r="P1639" s="297"/>
      <c r="Q1639" s="288"/>
      <c r="R1639" s="102"/>
      <c r="S1639" s="102"/>
      <c r="T1639" s="102"/>
    </row>
    <row r="1640" spans="1:20" s="199" customFormat="1" ht="14.25">
      <c r="A1640" s="2642"/>
      <c r="B1640" s="688" t="s">
        <v>802</v>
      </c>
      <c r="C1640" s="319"/>
      <c r="D1640" s="312">
        <f t="shared" si="653"/>
        <v>1500</v>
      </c>
      <c r="E1640" s="313">
        <v>1</v>
      </c>
      <c r="F1640" s="314">
        <v>1</v>
      </c>
      <c r="G1640" s="315" t="s">
        <v>582</v>
      </c>
      <c r="H1640" s="689" t="str">
        <f>H1639</f>
        <v>Pintada</v>
      </c>
      <c r="I1640" s="690">
        <f>I1639</f>
        <v>4.8</v>
      </c>
      <c r="J1640" s="317">
        <f t="shared" si="654"/>
        <v>71.100000000000009</v>
      </c>
      <c r="K1640" s="691">
        <v>0</v>
      </c>
      <c r="L1640" s="318" t="str">
        <f t="shared" si="655"/>
        <v>1/1000</v>
      </c>
      <c r="M1640" s="317">
        <f t="shared" si="656"/>
        <v>2.7</v>
      </c>
      <c r="N1640" s="308">
        <f>(I1640*J1640*F1640+K1640*M1640)*E1640*1.67*1.25</f>
        <v>712.42200000000003</v>
      </c>
      <c r="O1640" s="288"/>
      <c r="P1640" s="297"/>
      <c r="Q1640" s="288"/>
      <c r="R1640" s="102"/>
      <c r="S1640" s="102"/>
      <c r="T1640" s="102"/>
    </row>
    <row r="1641" spans="1:20" s="199" customFormat="1" ht="15.75" customHeight="1">
      <c r="A1641" s="2642"/>
      <c r="B1641" s="692" t="s">
        <v>2550</v>
      </c>
      <c r="C1641" s="693"/>
      <c r="D1641" s="312">
        <f t="shared" si="653"/>
        <v>3170</v>
      </c>
      <c r="E1641" s="313">
        <v>4</v>
      </c>
      <c r="F1641" s="314">
        <v>3</v>
      </c>
      <c r="G1641" s="315" t="s">
        <v>582</v>
      </c>
      <c r="H1641" s="314" t="s">
        <v>1043</v>
      </c>
      <c r="I1641" s="316">
        <f>0.3+0.15+0.15</f>
        <v>0.6</v>
      </c>
      <c r="J1641" s="317">
        <f t="shared" si="654"/>
        <v>71.100000000000009</v>
      </c>
      <c r="K1641" s="694">
        <v>0</v>
      </c>
      <c r="L1641" s="695" t="str">
        <f t="shared" si="655"/>
        <v>1/1000</v>
      </c>
      <c r="M1641" s="478">
        <f t="shared" si="656"/>
        <v>2.7</v>
      </c>
      <c r="N1641" s="696">
        <f t="shared" ref="N1641:N1651" si="657">(I1641*J1641*F1641+K1641*M1641)*E1641*1.67*1.25</f>
        <v>1068.633</v>
      </c>
      <c r="O1641" s="288"/>
      <c r="P1641" s="297"/>
      <c r="Q1641" s="288"/>
      <c r="R1641" s="102"/>
      <c r="S1641" s="102"/>
      <c r="T1641" s="102"/>
    </row>
    <row r="1642" spans="1:20" s="199" customFormat="1" ht="15.75" customHeight="1">
      <c r="A1642" s="2642"/>
      <c r="B1642" s="692" t="s">
        <v>2551</v>
      </c>
      <c r="C1642" s="693"/>
      <c r="D1642" s="312">
        <f t="shared" si="653"/>
        <v>3170</v>
      </c>
      <c r="E1642" s="313">
        <v>4</v>
      </c>
      <c r="F1642" s="314">
        <v>3</v>
      </c>
      <c r="G1642" s="315" t="s">
        <v>582</v>
      </c>
      <c r="H1642" s="314" t="s">
        <v>1043</v>
      </c>
      <c r="I1642" s="316">
        <f>0.3+0.15+0.15</f>
        <v>0.6</v>
      </c>
      <c r="J1642" s="317">
        <f t="shared" si="654"/>
        <v>71.100000000000009</v>
      </c>
      <c r="K1642" s="694">
        <v>0</v>
      </c>
      <c r="L1642" s="695" t="str">
        <f t="shared" si="655"/>
        <v>1/1000</v>
      </c>
      <c r="M1642" s="478">
        <f t="shared" si="656"/>
        <v>2.7</v>
      </c>
      <c r="N1642" s="696">
        <f t="shared" si="657"/>
        <v>1068.633</v>
      </c>
      <c r="O1642" s="288"/>
      <c r="P1642" s="297"/>
      <c r="Q1642" s="288"/>
      <c r="R1642" s="102"/>
      <c r="S1642" s="102"/>
      <c r="T1642" s="102"/>
    </row>
    <row r="1643" spans="1:20" s="199" customFormat="1" ht="15.75" customHeight="1">
      <c r="A1643" s="2642"/>
      <c r="B1643" s="692" t="s">
        <v>2552</v>
      </c>
      <c r="C1643" s="693"/>
      <c r="D1643" s="312">
        <f t="shared" si="653"/>
        <v>3170</v>
      </c>
      <c r="E1643" s="313">
        <v>4</v>
      </c>
      <c r="F1643" s="314">
        <v>3</v>
      </c>
      <c r="G1643" s="315" t="s">
        <v>582</v>
      </c>
      <c r="H1643" s="314" t="s">
        <v>1043</v>
      </c>
      <c r="I1643" s="316">
        <f>0.3+0.15+0.15</f>
        <v>0.6</v>
      </c>
      <c r="J1643" s="317">
        <f t="shared" si="654"/>
        <v>71.100000000000009</v>
      </c>
      <c r="K1643" s="694">
        <v>0</v>
      </c>
      <c r="L1643" s="695" t="str">
        <f t="shared" si="655"/>
        <v>1/1000</v>
      </c>
      <c r="M1643" s="478">
        <f t="shared" si="656"/>
        <v>2.7</v>
      </c>
      <c r="N1643" s="696">
        <f t="shared" si="657"/>
        <v>1068.633</v>
      </c>
      <c r="O1643" s="288"/>
      <c r="P1643" s="297"/>
      <c r="Q1643" s="288"/>
      <c r="R1643" s="102"/>
      <c r="S1643" s="102"/>
      <c r="T1643" s="102"/>
    </row>
    <row r="1644" spans="1:20" s="199" customFormat="1" ht="15.75" customHeight="1">
      <c r="A1644" s="2642"/>
      <c r="B1644" s="692" t="s">
        <v>2553</v>
      </c>
      <c r="C1644" s="693"/>
      <c r="D1644" s="312">
        <f t="shared" si="653"/>
        <v>3170</v>
      </c>
      <c r="E1644" s="313">
        <v>4</v>
      </c>
      <c r="F1644" s="314">
        <v>3</v>
      </c>
      <c r="G1644" s="315" t="s">
        <v>582</v>
      </c>
      <c r="H1644" s="314" t="s">
        <v>1043</v>
      </c>
      <c r="I1644" s="316">
        <f>0.3+0.15+0.15</f>
        <v>0.6</v>
      </c>
      <c r="J1644" s="317">
        <f t="shared" si="654"/>
        <v>71.100000000000009</v>
      </c>
      <c r="K1644" s="694">
        <v>0</v>
      </c>
      <c r="L1644" s="695" t="str">
        <f t="shared" si="655"/>
        <v>1/1000</v>
      </c>
      <c r="M1644" s="478">
        <f t="shared" si="656"/>
        <v>2.7</v>
      </c>
      <c r="N1644" s="696">
        <f t="shared" si="657"/>
        <v>1068.633</v>
      </c>
      <c r="O1644" s="288"/>
      <c r="P1644" s="297"/>
      <c r="Q1644" s="288"/>
      <c r="R1644" s="102"/>
      <c r="S1644" s="102"/>
      <c r="T1644" s="102"/>
    </row>
    <row r="1645" spans="1:20" s="199" customFormat="1" ht="15.75" customHeight="1">
      <c r="A1645" s="2642"/>
      <c r="B1645" s="692" t="s">
        <v>2525</v>
      </c>
      <c r="C1645" s="693"/>
      <c r="D1645" s="312">
        <f t="shared" si="653"/>
        <v>1020</v>
      </c>
      <c r="E1645" s="313">
        <v>4</v>
      </c>
      <c r="F1645" s="314">
        <v>1</v>
      </c>
      <c r="G1645" s="315" t="s">
        <v>315</v>
      </c>
      <c r="H1645" s="314" t="s">
        <v>1043</v>
      </c>
      <c r="I1645" s="316">
        <v>0.61</v>
      </c>
      <c r="J1645" s="317">
        <f t="shared" si="654"/>
        <v>44.400000000000006</v>
      </c>
      <c r="K1645" s="694">
        <v>0</v>
      </c>
      <c r="L1645" s="695" t="str">
        <f t="shared" si="655"/>
        <v>1/750</v>
      </c>
      <c r="M1645" s="478">
        <f t="shared" si="656"/>
        <v>1.9</v>
      </c>
      <c r="N1645" s="696">
        <f t="shared" si="657"/>
        <v>226.1514</v>
      </c>
      <c r="O1645" s="288"/>
      <c r="P1645" s="297"/>
      <c r="Q1645" s="288"/>
      <c r="R1645" s="102"/>
      <c r="S1645" s="102"/>
      <c r="T1645" s="102"/>
    </row>
    <row r="1646" spans="1:20" s="199" customFormat="1" ht="15.75" customHeight="1">
      <c r="A1646" s="2642"/>
      <c r="B1646" s="692" t="s">
        <v>2525</v>
      </c>
      <c r="C1646" s="693"/>
      <c r="D1646" s="312">
        <f t="shared" si="653"/>
        <v>1020</v>
      </c>
      <c r="E1646" s="313">
        <v>4</v>
      </c>
      <c r="F1646" s="314">
        <v>1</v>
      </c>
      <c r="G1646" s="315" t="s">
        <v>315</v>
      </c>
      <c r="H1646" s="314" t="s">
        <v>1043</v>
      </c>
      <c r="I1646" s="316">
        <v>0.61</v>
      </c>
      <c r="J1646" s="317">
        <f t="shared" si="654"/>
        <v>44.400000000000006</v>
      </c>
      <c r="K1646" s="694">
        <v>0</v>
      </c>
      <c r="L1646" s="695" t="str">
        <f t="shared" si="655"/>
        <v>1/750</v>
      </c>
      <c r="M1646" s="478">
        <f t="shared" si="656"/>
        <v>1.9</v>
      </c>
      <c r="N1646" s="696">
        <f t="shared" si="657"/>
        <v>226.1514</v>
      </c>
      <c r="O1646" s="288"/>
      <c r="P1646" s="297"/>
      <c r="Q1646" s="288"/>
      <c r="R1646" s="102"/>
      <c r="S1646" s="102"/>
      <c r="T1646" s="102"/>
    </row>
    <row r="1647" spans="1:20" s="199" customFormat="1" ht="15.75" customHeight="1">
      <c r="A1647" s="2642"/>
      <c r="B1647" s="692" t="s">
        <v>2525</v>
      </c>
      <c r="C1647" s="693"/>
      <c r="D1647" s="312">
        <f t="shared" si="653"/>
        <v>1020</v>
      </c>
      <c r="E1647" s="313">
        <v>4</v>
      </c>
      <c r="F1647" s="314">
        <v>1</v>
      </c>
      <c r="G1647" s="315" t="s">
        <v>315</v>
      </c>
      <c r="H1647" s="314" t="s">
        <v>1043</v>
      </c>
      <c r="I1647" s="316">
        <v>0.61</v>
      </c>
      <c r="J1647" s="317">
        <f t="shared" si="654"/>
        <v>44.400000000000006</v>
      </c>
      <c r="K1647" s="694">
        <v>0</v>
      </c>
      <c r="L1647" s="695" t="str">
        <f t="shared" si="655"/>
        <v>1/750</v>
      </c>
      <c r="M1647" s="478">
        <f t="shared" si="656"/>
        <v>1.9</v>
      </c>
      <c r="N1647" s="696">
        <f t="shared" si="657"/>
        <v>226.1514</v>
      </c>
      <c r="O1647" s="288"/>
      <c r="P1647" s="297"/>
      <c r="Q1647" s="288"/>
      <c r="R1647" s="102"/>
      <c r="S1647" s="102"/>
      <c r="T1647" s="102"/>
    </row>
    <row r="1648" spans="1:20" s="199" customFormat="1" ht="15.75" customHeight="1">
      <c r="A1648" s="2642"/>
      <c r="B1648" s="692" t="s">
        <v>2554</v>
      </c>
      <c r="C1648" s="693"/>
      <c r="D1648" s="312">
        <f t="shared" si="653"/>
        <v>676</v>
      </c>
      <c r="E1648" s="313">
        <v>4</v>
      </c>
      <c r="F1648" s="314">
        <v>1</v>
      </c>
      <c r="G1648" s="315" t="s">
        <v>314</v>
      </c>
      <c r="H1648" s="314" t="s">
        <v>1043</v>
      </c>
      <c r="I1648" s="316">
        <v>0.61</v>
      </c>
      <c r="J1648" s="317">
        <f t="shared" si="654"/>
        <v>26.6</v>
      </c>
      <c r="K1648" s="694">
        <v>0</v>
      </c>
      <c r="L1648" s="695" t="str">
        <f t="shared" si="655"/>
        <v>1/750</v>
      </c>
      <c r="M1648" s="478">
        <f t="shared" si="656"/>
        <v>1.9</v>
      </c>
      <c r="N1648" s="696">
        <f t="shared" si="657"/>
        <v>135.48709999999997</v>
      </c>
      <c r="O1648" s="288"/>
      <c r="P1648" s="297"/>
      <c r="Q1648" s="288"/>
      <c r="R1648" s="102"/>
      <c r="S1648" s="102"/>
      <c r="T1648" s="102"/>
    </row>
    <row r="1649" spans="1:20" s="199" customFormat="1" ht="15.75" customHeight="1">
      <c r="A1649" s="2642"/>
      <c r="B1649" s="692" t="s">
        <v>2554</v>
      </c>
      <c r="C1649" s="693"/>
      <c r="D1649" s="312">
        <f t="shared" si="653"/>
        <v>676</v>
      </c>
      <c r="E1649" s="313">
        <v>4</v>
      </c>
      <c r="F1649" s="314">
        <v>1</v>
      </c>
      <c r="G1649" s="315" t="s">
        <v>314</v>
      </c>
      <c r="H1649" s="314" t="s">
        <v>1043</v>
      </c>
      <c r="I1649" s="316">
        <v>0.61</v>
      </c>
      <c r="J1649" s="317">
        <f t="shared" si="654"/>
        <v>26.6</v>
      </c>
      <c r="K1649" s="694">
        <v>0</v>
      </c>
      <c r="L1649" s="695" t="str">
        <f t="shared" si="655"/>
        <v>1/750</v>
      </c>
      <c r="M1649" s="478">
        <f t="shared" si="656"/>
        <v>1.9</v>
      </c>
      <c r="N1649" s="696">
        <f t="shared" si="657"/>
        <v>135.48709999999997</v>
      </c>
      <c r="O1649" s="288"/>
      <c r="P1649" s="297"/>
      <c r="Q1649" s="288"/>
      <c r="R1649" s="102"/>
      <c r="S1649" s="102"/>
      <c r="T1649" s="102"/>
    </row>
    <row r="1650" spans="1:20" s="199" customFormat="1" ht="15.75" customHeight="1">
      <c r="A1650" s="2642"/>
      <c r="B1650" s="692" t="s">
        <v>2554</v>
      </c>
      <c r="C1650" s="693"/>
      <c r="D1650" s="312">
        <f t="shared" si="653"/>
        <v>676</v>
      </c>
      <c r="E1650" s="313">
        <v>4</v>
      </c>
      <c r="F1650" s="314">
        <v>1</v>
      </c>
      <c r="G1650" s="315" t="s">
        <v>314</v>
      </c>
      <c r="H1650" s="314" t="s">
        <v>1043</v>
      </c>
      <c r="I1650" s="316">
        <v>0.61</v>
      </c>
      <c r="J1650" s="317">
        <f t="shared" si="654"/>
        <v>26.6</v>
      </c>
      <c r="K1650" s="694">
        <v>0</v>
      </c>
      <c r="L1650" s="695" t="str">
        <f t="shared" si="655"/>
        <v>1/750</v>
      </c>
      <c r="M1650" s="478">
        <f t="shared" si="656"/>
        <v>1.9</v>
      </c>
      <c r="N1650" s="696">
        <f t="shared" si="657"/>
        <v>135.48709999999997</v>
      </c>
      <c r="O1650" s="288"/>
      <c r="P1650" s="297"/>
      <c r="Q1650" s="288"/>
      <c r="R1650" s="102"/>
      <c r="S1650" s="102"/>
      <c r="T1650" s="102"/>
    </row>
    <row r="1651" spans="1:20" s="199" customFormat="1" ht="15.75" customHeight="1" thickBot="1">
      <c r="A1651" s="2642"/>
      <c r="B1651" s="692" t="s">
        <v>2501</v>
      </c>
      <c r="C1651" s="693"/>
      <c r="D1651" s="312">
        <f t="shared" si="653"/>
        <v>573</v>
      </c>
      <c r="E1651" s="313">
        <v>4</v>
      </c>
      <c r="F1651" s="314">
        <v>1</v>
      </c>
      <c r="G1651" s="315" t="s">
        <v>314</v>
      </c>
      <c r="H1651" s="314" t="s">
        <v>1044</v>
      </c>
      <c r="I1651" s="316">
        <v>0.4</v>
      </c>
      <c r="J1651" s="317">
        <f t="shared" si="654"/>
        <v>26.6</v>
      </c>
      <c r="K1651" s="694">
        <v>0</v>
      </c>
      <c r="L1651" s="695" t="str">
        <f t="shared" si="655"/>
        <v>1/750</v>
      </c>
      <c r="M1651" s="478">
        <f t="shared" si="656"/>
        <v>1.9</v>
      </c>
      <c r="N1651" s="696">
        <f t="shared" si="657"/>
        <v>88.843999999999994</v>
      </c>
      <c r="O1651" s="288"/>
      <c r="P1651" s="297"/>
      <c r="Q1651" s="288"/>
      <c r="R1651" s="102"/>
      <c r="S1651" s="102"/>
      <c r="T1651" s="102"/>
    </row>
    <row r="1652" spans="1:20" s="129" customFormat="1" ht="22.5" customHeight="1" thickBot="1">
      <c r="A1652" s="371"/>
      <c r="B1652" s="373"/>
      <c r="C1652" s="375"/>
      <c r="D1652" s="383"/>
      <c r="E1652" s="373"/>
      <c r="F1652" s="373"/>
      <c r="G1652" s="373"/>
      <c r="H1652" s="373"/>
      <c r="I1652" s="374"/>
      <c r="J1652" s="374"/>
      <c r="K1652" s="373"/>
      <c r="L1652" s="373"/>
      <c r="M1652" s="372"/>
      <c r="N1652" s="699">
        <f>SUM(N1639:N1651)</f>
        <v>13746.187500000002</v>
      </c>
      <c r="O1652" s="288"/>
      <c r="P1652" s="297"/>
      <c r="Q1652" s="288"/>
      <c r="R1652" s="102"/>
      <c r="S1652" s="102"/>
      <c r="T1652" s="102"/>
    </row>
    <row r="1653" spans="1:20" s="102" customFormat="1" ht="8.25" customHeight="1" thickBot="1">
      <c r="A1653" s="323"/>
      <c r="B1653" s="323"/>
      <c r="C1653" s="323"/>
      <c r="D1653" s="382"/>
      <c r="E1653" s="323"/>
      <c r="F1653" s="325"/>
      <c r="G1653" s="325"/>
      <c r="H1653" s="325"/>
      <c r="I1653" s="323"/>
      <c r="J1653" s="323"/>
      <c r="K1653" s="323"/>
      <c r="L1653" s="325"/>
      <c r="M1653" s="323"/>
      <c r="N1653" s="309"/>
      <c r="O1653" s="288"/>
      <c r="P1653" s="297"/>
      <c r="Q1653" s="288"/>
    </row>
    <row r="1654" spans="1:20" s="102" customFormat="1" ht="12.75" customHeight="1">
      <c r="A1654" s="2639" t="s">
        <v>2502</v>
      </c>
      <c r="B1654" s="687" t="s">
        <v>2503</v>
      </c>
      <c r="C1654" s="327"/>
      <c r="D1654" s="328">
        <f>IF(H1654&lt;&gt;"",VLOOKUP(G1654,base_barras,IF(H1654="Desnuda",2,5)+F1654-1,FALSE),"-")</f>
        <v>3290</v>
      </c>
      <c r="E1654" s="329">
        <v>4</v>
      </c>
      <c r="F1654" s="330">
        <v>1</v>
      </c>
      <c r="G1654" s="331" t="s">
        <v>584</v>
      </c>
      <c r="H1654" s="330" t="s">
        <v>1043</v>
      </c>
      <c r="I1654" s="332">
        <v>1.2</v>
      </c>
      <c r="J1654" s="333">
        <f>IF(G1654&lt;&gt;"",VLOOKUP(G1654,precio_barras,9,FALSE),0)</f>
        <v>231.4</v>
      </c>
      <c r="K1654" s="481">
        <v>2</v>
      </c>
      <c r="L1654" s="343" t="str">
        <f>IF(G1654&lt;&gt;"",IF(VLOOKUP(G1654,base_barras,10,FALSE)&lt;&gt;"",VLOOKUP(G1654,base_barras,10,FALSE),"-"),"-")</f>
        <v>1.5/1600</v>
      </c>
      <c r="M1654" s="333">
        <f>IF(L1654&lt;&gt;"-",VLOOKUP(L1654,precio_aislador,2,FALSE),0)</f>
        <v>22</v>
      </c>
      <c r="N1654" s="360">
        <f>(I1654*J1654*F1654+K1654*M1654)*E1654*1.67*1.25</f>
        <v>2686.0280000000002</v>
      </c>
      <c r="O1654" s="288"/>
      <c r="P1654" s="297"/>
      <c r="Q1654" s="297"/>
    </row>
    <row r="1655" spans="1:20" s="199" customFormat="1" ht="15.75" customHeight="1" thickBot="1">
      <c r="A1655" s="2644"/>
      <c r="B1655" s="700" t="s">
        <v>2504</v>
      </c>
      <c r="C1655" s="701"/>
      <c r="D1655" s="364">
        <f>IF(H1655&lt;&gt;"",VLOOKUP(G1655,base_barras,IF(H1655="Desnuda",2,5)+F1655-1,FALSE),"-")</f>
        <v>3170</v>
      </c>
      <c r="E1655" s="365">
        <v>4</v>
      </c>
      <c r="F1655" s="366">
        <v>3</v>
      </c>
      <c r="G1655" s="322" t="s">
        <v>582</v>
      </c>
      <c r="H1655" s="366" t="s">
        <v>1043</v>
      </c>
      <c r="I1655" s="367">
        <f>0.2+0.5+0.5+0.2</f>
        <v>1.4</v>
      </c>
      <c r="J1655" s="368">
        <f>IF(G1655&lt;&gt;"",VLOOKUP(G1655,precio_barras,9,FALSE),0)</f>
        <v>71.100000000000009</v>
      </c>
      <c r="K1655" s="702">
        <v>0</v>
      </c>
      <c r="L1655" s="703" t="str">
        <f>IF(G1655&lt;&gt;"",IF(VLOOKUP(G1655,base_barras,10,FALSE)&lt;&gt;"",VLOOKUP(G1655,base_barras,10,FALSE),"-"),"-")</f>
        <v>1/1000</v>
      </c>
      <c r="M1655" s="480">
        <f>IF(L1655&lt;&gt;"-",VLOOKUP(L1655,precio_aislador,2,FALSE),0)</f>
        <v>2.7</v>
      </c>
      <c r="N1655" s="704">
        <f>(I1655*J1655*F1655+K1655*M1655)*E1655*1.67*1.25</f>
        <v>2493.4769999999999</v>
      </c>
      <c r="O1655" s="288"/>
      <c r="P1655" s="297"/>
      <c r="Q1655" s="288"/>
      <c r="R1655" s="102"/>
      <c r="S1655" s="102"/>
      <c r="T1655" s="102"/>
    </row>
    <row r="1656" spans="1:20" s="102" customFormat="1" ht="12.75" customHeight="1">
      <c r="A1656" s="2644"/>
      <c r="B1656" s="692" t="s">
        <v>2503</v>
      </c>
      <c r="C1656" s="693"/>
      <c r="D1656" s="697">
        <f>IF(H1656&lt;&gt;"",VLOOKUP(G1656,base_barras,IF(H1656="Desnuda",2,5)+F1656-1,FALSE),"-")</f>
        <v>3290</v>
      </c>
      <c r="E1656" s="694">
        <v>4</v>
      </c>
      <c r="F1656" s="655">
        <v>1</v>
      </c>
      <c r="G1656" s="698" t="s">
        <v>584</v>
      </c>
      <c r="H1656" s="655" t="s">
        <v>1043</v>
      </c>
      <c r="I1656" s="398">
        <v>1.2</v>
      </c>
      <c r="J1656" s="478">
        <f>IF(G1656&lt;&gt;"",VLOOKUP(G1656,precio_barras,9,FALSE),0)</f>
        <v>231.4</v>
      </c>
      <c r="K1656" s="705">
        <v>2</v>
      </c>
      <c r="L1656" s="695" t="str">
        <f>IF(G1656&lt;&gt;"",IF(VLOOKUP(G1656,base_barras,10,FALSE)&lt;&gt;"",VLOOKUP(G1656,base_barras,10,FALSE),"-"),"-")</f>
        <v>1.5/1600</v>
      </c>
      <c r="M1656" s="478">
        <f>IF(L1656&lt;&gt;"-",VLOOKUP(L1656,precio_aislador,2,FALSE),0)</f>
        <v>22</v>
      </c>
      <c r="N1656" s="696">
        <f>(I1656*J1656*F1656+K1656*M1656)*E1656*1.67*1.25</f>
        <v>2686.0280000000002</v>
      </c>
      <c r="O1656" s="288"/>
      <c r="P1656" s="297"/>
      <c r="Q1656" s="297"/>
    </row>
    <row r="1657" spans="1:20" s="199" customFormat="1" ht="15.75" customHeight="1" thickBot="1">
      <c r="A1657" s="2640"/>
      <c r="B1657" s="700" t="s">
        <v>2504</v>
      </c>
      <c r="C1657" s="701"/>
      <c r="D1657" s="364">
        <f>IF(H1657&lt;&gt;"",VLOOKUP(G1657,base_barras,IF(H1657="Desnuda",2,5)+F1657-1,FALSE),"-")</f>
        <v>3170</v>
      </c>
      <c r="E1657" s="365">
        <v>4</v>
      </c>
      <c r="F1657" s="366">
        <v>3</v>
      </c>
      <c r="G1657" s="322" t="s">
        <v>582</v>
      </c>
      <c r="H1657" s="366" t="s">
        <v>1043</v>
      </c>
      <c r="I1657" s="367">
        <f>0.2+0.5+0.5+0.2</f>
        <v>1.4</v>
      </c>
      <c r="J1657" s="368">
        <f>IF(G1657&lt;&gt;"",VLOOKUP(G1657,precio_barras,9,FALSE),0)</f>
        <v>71.100000000000009</v>
      </c>
      <c r="K1657" s="702">
        <v>0</v>
      </c>
      <c r="L1657" s="703" t="str">
        <f>IF(G1657&lt;&gt;"",IF(VLOOKUP(G1657,base_barras,10,FALSE)&lt;&gt;"",VLOOKUP(G1657,base_barras,10,FALSE),"-"),"-")</f>
        <v>1/1000</v>
      </c>
      <c r="M1657" s="480">
        <f>IF(L1657&lt;&gt;"-",VLOOKUP(L1657,precio_aislador,2,FALSE),0)</f>
        <v>2.7</v>
      </c>
      <c r="N1657" s="704">
        <f>(I1657*J1657*F1657+K1657*M1657)*E1657*1.67*1.25</f>
        <v>2493.4769999999999</v>
      </c>
      <c r="O1657" s="288"/>
      <c r="P1657" s="297"/>
      <c r="Q1657" s="288"/>
      <c r="R1657" s="102"/>
      <c r="S1657" s="102"/>
      <c r="T1657" s="102"/>
    </row>
    <row r="1658" spans="1:20" s="102" customFormat="1" ht="13.5" thickBot="1">
      <c r="A1658" s="323"/>
      <c r="B1658" s="323"/>
      <c r="C1658" s="309"/>
      <c r="D1658" s="382"/>
      <c r="E1658" s="323"/>
      <c r="F1658" s="309"/>
      <c r="G1658" s="309"/>
      <c r="H1658" s="323"/>
      <c r="I1658" s="325"/>
      <c r="J1658" s="325"/>
      <c r="K1658" s="323"/>
      <c r="L1658" s="323"/>
      <c r="M1658" s="325"/>
      <c r="N1658" s="706">
        <f>SUM(N1654:N1657)</f>
        <v>10359.01</v>
      </c>
      <c r="O1658" s="288"/>
      <c r="P1658" s="297"/>
      <c r="Q1658" s="297"/>
    </row>
    <row r="1659" spans="1:20" s="102" customFormat="1" ht="8.25" customHeight="1" thickBot="1">
      <c r="A1659" s="323"/>
      <c r="B1659" s="323"/>
      <c r="C1659" s="323"/>
      <c r="D1659" s="382"/>
      <c r="E1659" s="323"/>
      <c r="F1659" s="325"/>
      <c r="G1659" s="325"/>
      <c r="H1659" s="325"/>
      <c r="I1659" s="323"/>
      <c r="J1659" s="323"/>
      <c r="K1659" s="323"/>
      <c r="L1659" s="325"/>
      <c r="M1659" s="323"/>
      <c r="N1659" s="309"/>
      <c r="O1659" s="288"/>
      <c r="P1659" s="297"/>
      <c r="Q1659" s="288"/>
    </row>
    <row r="1660" spans="1:20" s="102" customFormat="1" ht="12.75" customHeight="1">
      <c r="A1660" s="2639" t="s">
        <v>2505</v>
      </c>
      <c r="B1660" s="687" t="s">
        <v>2506</v>
      </c>
      <c r="C1660" s="327"/>
      <c r="D1660" s="328">
        <f>IF(H1660&lt;&gt;"",VLOOKUP(G1660,base_barras,IF(H1660="Desnuda",2,5)+F1660-1,FALSE),"-")</f>
        <v>3290</v>
      </c>
      <c r="E1660" s="329">
        <v>4</v>
      </c>
      <c r="F1660" s="330">
        <v>1</v>
      </c>
      <c r="G1660" s="331" t="s">
        <v>584</v>
      </c>
      <c r="H1660" s="330" t="s">
        <v>1043</v>
      </c>
      <c r="I1660" s="332">
        <v>0</v>
      </c>
      <c r="J1660" s="333">
        <f>IF(G1660&lt;&gt;"",VLOOKUP(G1660,precio_barras,9,FALSE),0)</f>
        <v>231.4</v>
      </c>
      <c r="K1660" s="481">
        <v>0</v>
      </c>
      <c r="L1660" s="343" t="str">
        <f>IF(G1660&lt;&gt;"",IF(VLOOKUP(G1660,base_barras,10,FALSE)&lt;&gt;"",VLOOKUP(G1660,base_barras,10,FALSE),"-"),"-")</f>
        <v>1.5/1600</v>
      </c>
      <c r="M1660" s="333">
        <f>IF(L1660&lt;&gt;"-",VLOOKUP(L1660,precio_aislador,2,FALSE),0)</f>
        <v>22</v>
      </c>
      <c r="N1660" s="360">
        <f>(I1660*J1660*F1660+K1660*M1660)*E1660*1.67*1.25</f>
        <v>0</v>
      </c>
      <c r="O1660" s="288"/>
      <c r="P1660" s="297"/>
      <c r="Q1660" s="297"/>
    </row>
    <row r="1661" spans="1:20" s="102" customFormat="1" ht="13.5" thickBot="1">
      <c r="A1661" s="2644"/>
      <c r="B1661" s="707" t="s">
        <v>2504</v>
      </c>
      <c r="C1661" s="479"/>
      <c r="D1661" s="364">
        <f>IF(H1661&lt;&gt;"",VLOOKUP(G1661,base_barras,IF(H1661="Desnuda",2,5)+F1661-1,FALSE),"-")</f>
        <v>3170</v>
      </c>
      <c r="E1661" s="365">
        <v>4</v>
      </c>
      <c r="F1661" s="366">
        <v>3</v>
      </c>
      <c r="G1661" s="322" t="s">
        <v>582</v>
      </c>
      <c r="H1661" s="366" t="s">
        <v>1043</v>
      </c>
      <c r="I1661" s="367">
        <v>0</v>
      </c>
      <c r="J1661" s="368">
        <f>IF(G1661&lt;&gt;"",VLOOKUP(G1661,precio_barras,9,FALSE),0)</f>
        <v>71.100000000000009</v>
      </c>
      <c r="K1661" s="365">
        <v>0</v>
      </c>
      <c r="L1661" s="369" t="str">
        <f>IF(G1661&lt;&gt;"",IF(VLOOKUP(G1661,base_barras,10,FALSE)&lt;&gt;"",VLOOKUP(G1661,base_barras,10,FALSE),"-"),"-")</f>
        <v>1/1000</v>
      </c>
      <c r="M1661" s="368">
        <f>IF(L1661&lt;&gt;"-",VLOOKUP(L1661,precio_aislador,2,FALSE),0)</f>
        <v>2.7</v>
      </c>
      <c r="N1661" s="370">
        <f>(I1661*J1661*F1661+K1661*M1661)*E1661*1.67*1.25</f>
        <v>0</v>
      </c>
      <c r="O1661" s="288"/>
      <c r="P1661" s="297"/>
      <c r="Q1661" s="297"/>
    </row>
    <row r="1662" spans="1:20" s="102" customFormat="1" ht="12.75" customHeight="1">
      <c r="A1662" s="2644"/>
      <c r="B1662" s="692" t="s">
        <v>2506</v>
      </c>
      <c r="C1662" s="693"/>
      <c r="D1662" s="697">
        <f>IF(H1662&lt;&gt;"",VLOOKUP(G1662,base_barras,IF(H1662="Desnuda",2,5)+F1662-1,FALSE),"-")</f>
        <v>3290</v>
      </c>
      <c r="E1662" s="694">
        <v>4</v>
      </c>
      <c r="F1662" s="655">
        <v>1</v>
      </c>
      <c r="G1662" s="698" t="s">
        <v>584</v>
      </c>
      <c r="H1662" s="655" t="s">
        <v>1043</v>
      </c>
      <c r="I1662" s="398">
        <v>0</v>
      </c>
      <c r="J1662" s="478">
        <f>IF(G1662&lt;&gt;"",VLOOKUP(G1662,precio_barras,9,FALSE),0)</f>
        <v>231.4</v>
      </c>
      <c r="K1662" s="705">
        <v>0</v>
      </c>
      <c r="L1662" s="695" t="str">
        <f>IF(G1662&lt;&gt;"",IF(VLOOKUP(G1662,base_barras,10,FALSE)&lt;&gt;"",VLOOKUP(G1662,base_barras,10,FALSE),"-"),"-")</f>
        <v>1.5/1600</v>
      </c>
      <c r="M1662" s="478">
        <f>IF(L1662&lt;&gt;"-",VLOOKUP(L1662,precio_aislador,2,FALSE),0)</f>
        <v>22</v>
      </c>
      <c r="N1662" s="696">
        <f>(I1662*J1662*F1662+K1662*M1662)*E1662*1.67*1.25</f>
        <v>0</v>
      </c>
      <c r="O1662" s="288"/>
      <c r="P1662" s="297"/>
      <c r="Q1662" s="297"/>
    </row>
    <row r="1663" spans="1:20" s="102" customFormat="1" ht="13.5" thickBot="1">
      <c r="A1663" s="2640"/>
      <c r="B1663" s="700" t="s">
        <v>2504</v>
      </c>
      <c r="C1663" s="701"/>
      <c r="D1663" s="708">
        <f>IF(H1663&lt;&gt;"",VLOOKUP(G1663,base_barras,IF(H1663="Desnuda",2,5)+F1663-1,FALSE),"-")</f>
        <v>3170</v>
      </c>
      <c r="E1663" s="702">
        <v>4</v>
      </c>
      <c r="F1663" s="709">
        <v>3</v>
      </c>
      <c r="G1663" s="710" t="s">
        <v>582</v>
      </c>
      <c r="H1663" s="709" t="s">
        <v>1043</v>
      </c>
      <c r="I1663" s="711">
        <v>0</v>
      </c>
      <c r="J1663" s="480">
        <f>IF(G1663&lt;&gt;"",VLOOKUP(G1663,precio_barras,9,FALSE),0)</f>
        <v>71.100000000000009</v>
      </c>
      <c r="K1663" s="702">
        <v>0</v>
      </c>
      <c r="L1663" s="703" t="str">
        <f>IF(G1663&lt;&gt;"",IF(VLOOKUP(G1663,base_barras,10,FALSE)&lt;&gt;"",VLOOKUP(G1663,base_barras,10,FALSE),"-"),"-")</f>
        <v>1/1000</v>
      </c>
      <c r="M1663" s="480">
        <f>IF(L1663&lt;&gt;"-",VLOOKUP(L1663,precio_aislador,2,FALSE),0)</f>
        <v>2.7</v>
      </c>
      <c r="N1663" s="704">
        <f>(I1663*J1663*F1663+K1663*M1663)*E1663*1.67*1.25</f>
        <v>0</v>
      </c>
      <c r="O1663" s="288"/>
      <c r="P1663" s="297"/>
      <c r="Q1663" s="297"/>
    </row>
    <row r="1664" spans="1:20" s="102" customFormat="1" ht="13.5" thickBot="1">
      <c r="A1664" s="323"/>
      <c r="B1664" s="323"/>
      <c r="C1664" s="309"/>
      <c r="D1664" s="382"/>
      <c r="E1664" s="323"/>
      <c r="F1664" s="309"/>
      <c r="G1664" s="309"/>
      <c r="H1664" s="323"/>
      <c r="I1664" s="325"/>
      <c r="J1664" s="325"/>
      <c r="K1664" s="323"/>
      <c r="L1664" s="323"/>
      <c r="M1664" s="325"/>
      <c r="N1664" s="706">
        <f>SUM(N1660:N1663)</f>
        <v>0</v>
      </c>
      <c r="O1664" s="288"/>
      <c r="P1664" s="297"/>
      <c r="Q1664" s="297"/>
    </row>
    <row r="1665" spans="1:20" s="102" customFormat="1" ht="8.25" customHeight="1" thickBot="1">
      <c r="A1665" s="323"/>
      <c r="B1665" s="323"/>
      <c r="C1665" s="323"/>
      <c r="D1665" s="382"/>
      <c r="E1665" s="323"/>
      <c r="F1665" s="325"/>
      <c r="G1665" s="325"/>
      <c r="H1665" s="325"/>
      <c r="I1665" s="323"/>
      <c r="J1665" s="323"/>
      <c r="K1665" s="323"/>
      <c r="L1665" s="325"/>
      <c r="M1665" s="323"/>
      <c r="N1665" s="309"/>
      <c r="O1665" s="288"/>
      <c r="P1665" s="297"/>
      <c r="Q1665" s="288"/>
    </row>
    <row r="1666" spans="1:20" s="102" customFormat="1">
      <c r="A1666" s="2629" t="s">
        <v>1228</v>
      </c>
      <c r="B1666" s="687" t="s">
        <v>2498</v>
      </c>
      <c r="C1666" s="327"/>
      <c r="D1666" s="328">
        <f>IF(H1666&lt;&gt;"",VLOOKUP(G1666,base_barras,IF(H1666="Desnuda",2,5)+F1666-1,FALSE),"-")</f>
        <v>2850</v>
      </c>
      <c r="E1666" s="481">
        <v>4</v>
      </c>
      <c r="F1666" s="330">
        <v>2</v>
      </c>
      <c r="G1666" s="331" t="s">
        <v>468</v>
      </c>
      <c r="H1666" s="330" t="s">
        <v>1043</v>
      </c>
      <c r="I1666" s="332">
        <f>0+0.2+0.2+0.2+0</f>
        <v>0.60000000000000009</v>
      </c>
      <c r="J1666" s="333">
        <f>IF(G1666&lt;&gt;"",VLOOKUP(G1666,precio_barras,9,FALSE),0)</f>
        <v>88.9</v>
      </c>
      <c r="K1666" s="329">
        <v>0</v>
      </c>
      <c r="L1666" s="343" t="str">
        <f>IF(G1666&lt;&gt;"",IF(VLOOKUP(G1666,base_barras,10,FALSE)&lt;&gt;"",VLOOKUP(G1666,base_barras,10,FALSE),"-"),"-")</f>
        <v>1.5/1250</v>
      </c>
      <c r="M1666" s="333">
        <f>IF(L1666&lt;&gt;"-",VLOOKUP(L1666,precio_aislador,2,FALSE),0)</f>
        <v>5.5</v>
      </c>
      <c r="N1666" s="360">
        <f>(I1666*J1666*F1666+K1666*M1666)*E1666*1.67*1.25</f>
        <v>890.77800000000013</v>
      </c>
      <c r="O1666" s="288"/>
      <c r="P1666" s="297"/>
      <c r="Q1666" s="297"/>
    </row>
    <row r="1667" spans="1:20" s="102" customFormat="1" ht="13.5" thickBot="1">
      <c r="A1667" s="2635"/>
      <c r="B1667" s="707"/>
      <c r="C1667" s="479"/>
      <c r="D1667" s="364" t="str">
        <f>IF(H1667&lt;&gt;"",VLOOKUP(G1667,base_barras,IF(H1667="Desnuda",2,5)+F1667-1,FALSE),"-")</f>
        <v>-</v>
      </c>
      <c r="E1667" s="365"/>
      <c r="F1667" s="366"/>
      <c r="G1667" s="322"/>
      <c r="H1667" s="366"/>
      <c r="I1667" s="367"/>
      <c r="J1667" s="480">
        <f>IF(G1667&lt;&gt;"",VLOOKUP(G1667,precio_barras,9,FALSE),0)</f>
        <v>0</v>
      </c>
      <c r="K1667" s="365"/>
      <c r="L1667" s="369" t="str">
        <f>IF(G1667&lt;&gt;"",IF(VLOOKUP(G1667,base_barras,10,FALSE)&lt;&gt;"",VLOOKUP(G1667,base_barras,10,FALSE),"-"),"-")</f>
        <v>-</v>
      </c>
      <c r="M1667" s="368">
        <f>IF(L1667&lt;&gt;"-",VLOOKUP(L1667,precio_aislador,2,FALSE),0)</f>
        <v>0</v>
      </c>
      <c r="N1667" s="370">
        <f>(I1667*J1667*F1667+K1667*M1667)*E1667*1.67*1.25</f>
        <v>0</v>
      </c>
      <c r="O1667" s="288"/>
      <c r="P1667" s="297"/>
      <c r="Q1667" s="297"/>
    </row>
    <row r="1668" spans="1:20" s="102" customFormat="1" ht="13.5" thickBot="1">
      <c r="A1668" s="323"/>
      <c r="B1668" s="323"/>
      <c r="C1668" s="309"/>
      <c r="D1668" s="382"/>
      <c r="E1668" s="323"/>
      <c r="F1668" s="309"/>
      <c r="G1668" s="309"/>
      <c r="H1668" s="323"/>
      <c r="I1668" s="325"/>
      <c r="J1668" s="325"/>
      <c r="K1668" s="323"/>
      <c r="L1668" s="323"/>
      <c r="M1668" s="325"/>
      <c r="N1668" s="706">
        <f>SUM(N1666:N1667)</f>
        <v>890.77800000000013</v>
      </c>
      <c r="O1668" s="288"/>
      <c r="P1668" s="297"/>
      <c r="Q1668" s="297"/>
    </row>
    <row r="1669" spans="1:20" s="102" customFormat="1" ht="8.25" customHeight="1" thickBot="1">
      <c r="A1669" s="323"/>
      <c r="B1669" s="323"/>
      <c r="C1669" s="323"/>
      <c r="D1669" s="382"/>
      <c r="E1669" s="323"/>
      <c r="F1669" s="325"/>
      <c r="G1669" s="325"/>
      <c r="H1669" s="325"/>
      <c r="I1669" s="323"/>
      <c r="J1669" s="323"/>
      <c r="K1669" s="323"/>
      <c r="L1669" s="325"/>
      <c r="M1669" s="323"/>
      <c r="N1669" s="309"/>
      <c r="O1669" s="288"/>
      <c r="P1669" s="297"/>
      <c r="Q1669" s="288"/>
    </row>
    <row r="1670" spans="1:20" s="102" customFormat="1">
      <c r="A1670" s="2645" t="s">
        <v>2548</v>
      </c>
      <c r="B1670" s="687" t="s">
        <v>2504</v>
      </c>
      <c r="C1670" s="327"/>
      <c r="D1670" s="328">
        <f>IF(H1670&lt;&gt;"",VLOOKUP(G1670,base_barras,IF(H1670="Desnuda",2,5)+F1670-1,FALSE),"-")</f>
        <v>3170</v>
      </c>
      <c r="E1670" s="329">
        <v>4</v>
      </c>
      <c r="F1670" s="330">
        <v>3</v>
      </c>
      <c r="G1670" s="331" t="s">
        <v>582</v>
      </c>
      <c r="H1670" s="330" t="s">
        <v>1043</v>
      </c>
      <c r="I1670" s="332">
        <f>0.3+0.35</f>
        <v>0.64999999999999991</v>
      </c>
      <c r="J1670" s="333">
        <f>IF(G1670&lt;&gt;"",VLOOKUP(G1670,precio_barras,9,FALSE),0)</f>
        <v>71.100000000000009</v>
      </c>
      <c r="K1670" s="329">
        <v>0</v>
      </c>
      <c r="L1670" s="343" t="str">
        <f>IF(G1670&lt;&gt;"",IF(VLOOKUP(G1670,base_barras,10,FALSE)&lt;&gt;"",VLOOKUP(G1670,base_barras,10,FALSE),"-"),"-")</f>
        <v>1/1000</v>
      </c>
      <c r="M1670" s="333">
        <f>IF(L1670&lt;&gt;"-",VLOOKUP(L1670,precio_aislador,2,FALSE),0)</f>
        <v>2.7</v>
      </c>
      <c r="N1670" s="360">
        <f>(I1670*J1670*F1670+K1670*M1670)*E1670*1.67*1.25</f>
        <v>1157.6857499999999</v>
      </c>
      <c r="O1670" s="288"/>
      <c r="P1670" s="297"/>
      <c r="Q1670" s="297"/>
    </row>
    <row r="1671" spans="1:20" s="199" customFormat="1" ht="15.75" customHeight="1" thickBot="1">
      <c r="A1671" s="2646"/>
      <c r="B1671" s="700" t="s">
        <v>2498</v>
      </c>
      <c r="C1671" s="701"/>
      <c r="D1671" s="708">
        <f>IF(H1671&lt;&gt;"",VLOOKUP(G1671,base_barras,IF(H1671="Desnuda",2,5)+F1671-1,FALSE),"-")</f>
        <v>2850</v>
      </c>
      <c r="E1671" s="702">
        <v>4</v>
      </c>
      <c r="F1671" s="709">
        <v>2</v>
      </c>
      <c r="G1671" s="710" t="s">
        <v>468</v>
      </c>
      <c r="H1671" s="709" t="s">
        <v>1043</v>
      </c>
      <c r="I1671" s="711">
        <v>1.2</v>
      </c>
      <c r="J1671" s="480">
        <f>IF(G1671&lt;&gt;"",VLOOKUP(G1671,precio_barras,9,FALSE),0)</f>
        <v>88.9</v>
      </c>
      <c r="K1671" s="702">
        <v>2</v>
      </c>
      <c r="L1671" s="703" t="str">
        <f>IF(G1671&lt;&gt;"",IF(VLOOKUP(G1671,base_barras,10,FALSE)&lt;&gt;"",VLOOKUP(G1671,base_barras,10,FALSE),"-"),"-")</f>
        <v>1.5/1250</v>
      </c>
      <c r="M1671" s="480">
        <f>IF(L1671&lt;&gt;"-",VLOOKUP(L1671,precio_aislador,2,FALSE),0)</f>
        <v>5.5</v>
      </c>
      <c r="N1671" s="704">
        <f>(I1671*J1671*F1671+K1671*M1671)*E1671*1.67*1.25</f>
        <v>1873.4059999999999</v>
      </c>
      <c r="O1671" s="288"/>
      <c r="P1671" s="297"/>
      <c r="Q1671" s="288"/>
      <c r="R1671" s="102"/>
      <c r="S1671" s="102"/>
      <c r="T1671" s="102"/>
    </row>
    <row r="1672" spans="1:20" s="102" customFormat="1">
      <c r="A1672" s="2646"/>
      <c r="B1672" s="687" t="s">
        <v>2504</v>
      </c>
      <c r="C1672" s="327"/>
      <c r="D1672" s="328">
        <f>IF(H1672&lt;&gt;"",VLOOKUP(G1672,base_barras,IF(H1672="Desnuda",2,5)+F1672-1,FALSE),"-")</f>
        <v>3170</v>
      </c>
      <c r="E1672" s="329">
        <v>4</v>
      </c>
      <c r="F1672" s="330">
        <v>3</v>
      </c>
      <c r="G1672" s="331" t="s">
        <v>582</v>
      </c>
      <c r="H1672" s="330" t="s">
        <v>1043</v>
      </c>
      <c r="I1672" s="332">
        <f>0.3+0.35</f>
        <v>0.64999999999999991</v>
      </c>
      <c r="J1672" s="333">
        <f>IF(G1672&lt;&gt;"",VLOOKUP(G1672,precio_barras,9,FALSE),0)</f>
        <v>71.100000000000009</v>
      </c>
      <c r="K1672" s="329">
        <v>0</v>
      </c>
      <c r="L1672" s="343" t="str">
        <f>IF(G1672&lt;&gt;"",IF(VLOOKUP(G1672,base_barras,10,FALSE)&lt;&gt;"",VLOOKUP(G1672,base_barras,10,FALSE),"-"),"-")</f>
        <v>1/1000</v>
      </c>
      <c r="M1672" s="333">
        <f>IF(L1672&lt;&gt;"-",VLOOKUP(L1672,precio_aislador,2,FALSE),0)</f>
        <v>2.7</v>
      </c>
      <c r="N1672" s="360">
        <f>(I1672*J1672*F1672+K1672*M1672)*E1672*1.67*1.25</f>
        <v>1157.6857499999999</v>
      </c>
      <c r="O1672" s="288"/>
      <c r="P1672" s="297"/>
      <c r="Q1672" s="297"/>
    </row>
    <row r="1673" spans="1:20" s="199" customFormat="1" ht="15.75" customHeight="1">
      <c r="A1673" s="2646"/>
      <c r="B1673" s="692" t="s">
        <v>2498</v>
      </c>
      <c r="C1673" s="693"/>
      <c r="D1673" s="697">
        <f>IF(H1673&lt;&gt;"",VLOOKUP(G1673,base_barras,IF(H1673="Desnuda",2,5)+F1673-1,FALSE),"-")</f>
        <v>2850</v>
      </c>
      <c r="E1673" s="694">
        <v>4</v>
      </c>
      <c r="F1673" s="655">
        <v>2</v>
      </c>
      <c r="G1673" s="698" t="s">
        <v>468</v>
      </c>
      <c r="H1673" s="655" t="s">
        <v>1043</v>
      </c>
      <c r="I1673" s="398">
        <v>1.2</v>
      </c>
      <c r="J1673" s="478">
        <f>IF(G1673&lt;&gt;"",VLOOKUP(G1673,precio_barras,9,FALSE),0)</f>
        <v>88.9</v>
      </c>
      <c r="K1673" s="694">
        <v>2</v>
      </c>
      <c r="L1673" s="695" t="str">
        <f>IF(G1673&lt;&gt;"",IF(VLOOKUP(G1673,base_barras,10,FALSE)&lt;&gt;"",VLOOKUP(G1673,base_barras,10,FALSE),"-"),"-")</f>
        <v>1.5/1250</v>
      </c>
      <c r="M1673" s="478">
        <f>IF(L1673&lt;&gt;"-",VLOOKUP(L1673,precio_aislador,2,FALSE),0)</f>
        <v>5.5</v>
      </c>
      <c r="N1673" s="696">
        <f>(I1673*J1673*F1673+K1673*M1673)*E1673*1.67*1.25</f>
        <v>1873.4059999999999</v>
      </c>
      <c r="O1673" s="288"/>
      <c r="P1673" s="297"/>
      <c r="Q1673" s="288"/>
      <c r="R1673" s="102"/>
      <c r="S1673" s="102"/>
      <c r="T1673" s="102"/>
    </row>
    <row r="1674" spans="1:20" s="199" customFormat="1" ht="15.75" customHeight="1" thickBot="1">
      <c r="A1674" s="2647"/>
      <c r="B1674" s="707" t="s">
        <v>2498</v>
      </c>
      <c r="C1674" s="479"/>
      <c r="D1674" s="364">
        <f>IF(H1674&lt;&gt;"",VLOOKUP(G1674,base_barras,IF(H1674="Desnuda",2,5)+F1674-1,FALSE),"-")</f>
        <v>2850</v>
      </c>
      <c r="E1674" s="365">
        <v>4</v>
      </c>
      <c r="F1674" s="366">
        <v>2</v>
      </c>
      <c r="G1674" s="322" t="s">
        <v>468</v>
      </c>
      <c r="H1674" s="366" t="s">
        <v>1043</v>
      </c>
      <c r="I1674" s="367">
        <v>0.7</v>
      </c>
      <c r="J1674" s="368">
        <f>IF(G1674&lt;&gt;"",VLOOKUP(G1674,precio_barras,9,FALSE),0)</f>
        <v>88.9</v>
      </c>
      <c r="K1674" s="365">
        <v>1</v>
      </c>
      <c r="L1674" s="369" t="str">
        <f>IF(G1674&lt;&gt;"",IF(VLOOKUP(G1674,base_barras,10,FALSE)&lt;&gt;"",VLOOKUP(G1674,base_barras,10,FALSE),"-"),"-")</f>
        <v>1.5/1250</v>
      </c>
      <c r="M1674" s="368">
        <f>IF(L1674&lt;&gt;"-",VLOOKUP(L1674,precio_aislador,2,FALSE),0)</f>
        <v>5.5</v>
      </c>
      <c r="N1674" s="370">
        <f>(I1674*J1674*F1674+K1674*M1674)*E1674*1.67*1.25</f>
        <v>1085.1659999999997</v>
      </c>
      <c r="O1674" s="288"/>
      <c r="P1674" s="297"/>
      <c r="Q1674" s="288"/>
      <c r="R1674" s="102"/>
      <c r="S1674" s="102"/>
      <c r="T1674" s="102"/>
    </row>
    <row r="1675" spans="1:20" s="102" customFormat="1" ht="13.5" thickBot="1">
      <c r="A1675" s="323"/>
      <c r="B1675" s="323"/>
      <c r="C1675" s="309"/>
      <c r="D1675" s="382"/>
      <c r="E1675" s="323"/>
      <c r="F1675" s="309"/>
      <c r="G1675" s="309"/>
      <c r="H1675" s="323"/>
      <c r="I1675" s="325"/>
      <c r="J1675" s="325"/>
      <c r="K1675" s="323"/>
      <c r="L1675" s="323"/>
      <c r="M1675" s="325"/>
      <c r="N1675" s="706">
        <f>SUM(N1672:N1674)</f>
        <v>4116.2577499999989</v>
      </c>
      <c r="O1675" s="288"/>
      <c r="P1675" s="297"/>
      <c r="Q1675" s="297"/>
    </row>
    <row r="1676" spans="1:20" s="102" customFormat="1" ht="8.25" customHeight="1" thickBot="1">
      <c r="A1676" s="323"/>
      <c r="B1676" s="323"/>
      <c r="C1676" s="323"/>
      <c r="D1676" s="382"/>
      <c r="E1676" s="323"/>
      <c r="F1676" s="325"/>
      <c r="G1676" s="325"/>
      <c r="H1676" s="325"/>
      <c r="I1676" s="323"/>
      <c r="J1676" s="323"/>
      <c r="K1676" s="323"/>
      <c r="L1676" s="325"/>
      <c r="M1676" s="323"/>
      <c r="N1676" s="309"/>
      <c r="O1676" s="288"/>
      <c r="P1676" s="297"/>
      <c r="Q1676" s="288"/>
    </row>
    <row r="1677" spans="1:20" s="102" customFormat="1">
      <c r="A1677" s="2629" t="s">
        <v>1034</v>
      </c>
      <c r="B1677" s="687" t="s">
        <v>2504</v>
      </c>
      <c r="C1677" s="327"/>
      <c r="D1677" s="328">
        <f>IF(H1677&lt;&gt;"",VLOOKUP(G1677,base_barras,IF(H1677="Desnuda",2,5)+F1677-1,FALSE),"-")</f>
        <v>3170</v>
      </c>
      <c r="E1677" s="329">
        <v>4</v>
      </c>
      <c r="F1677" s="330">
        <v>3</v>
      </c>
      <c r="G1677" s="331" t="s">
        <v>582</v>
      </c>
      <c r="H1677" s="330" t="s">
        <v>1043</v>
      </c>
      <c r="I1677" s="332">
        <v>0</v>
      </c>
      <c r="J1677" s="333">
        <f>IF(G1677&lt;&gt;"",VLOOKUP(G1677,precio_barras,9,FALSE),0)</f>
        <v>71.100000000000009</v>
      </c>
      <c r="K1677" s="329">
        <v>0</v>
      </c>
      <c r="L1677" s="343" t="str">
        <f>IF(G1677&lt;&gt;"",IF(VLOOKUP(G1677,base_barras,10,FALSE)&lt;&gt;"",VLOOKUP(G1677,base_barras,10,FALSE),"-"),"-")</f>
        <v>1/1000</v>
      </c>
      <c r="M1677" s="333">
        <f>IF(L1677&lt;&gt;"-",VLOOKUP(L1677,precio_aislador,2,FALSE),0)</f>
        <v>2.7</v>
      </c>
      <c r="N1677" s="360">
        <f>(I1677*J1677*F1677+K1677*M1677)*E1677*1.67*1.25</f>
        <v>0</v>
      </c>
      <c r="O1677" s="288"/>
      <c r="P1677" s="297"/>
      <c r="Q1677" s="297"/>
    </row>
    <row r="1678" spans="1:20" s="102" customFormat="1" ht="13.5" thickBot="1">
      <c r="A1678" s="2635"/>
      <c r="B1678" s="700" t="s">
        <v>2504</v>
      </c>
      <c r="C1678" s="701"/>
      <c r="D1678" s="708">
        <f>IF(H1678&lt;&gt;"",VLOOKUP(G1678,base_barras,IF(H1678="Desnuda",2,5)+F1678-1,FALSE),"-")</f>
        <v>3170</v>
      </c>
      <c r="E1678" s="702">
        <v>4</v>
      </c>
      <c r="F1678" s="709">
        <v>3</v>
      </c>
      <c r="G1678" s="710" t="s">
        <v>582</v>
      </c>
      <c r="H1678" s="709" t="s">
        <v>1043</v>
      </c>
      <c r="I1678" s="711">
        <v>0</v>
      </c>
      <c r="J1678" s="480">
        <f>IF(G1678&lt;&gt;"",VLOOKUP(G1678,precio_barras,9,FALSE),0)</f>
        <v>71.100000000000009</v>
      </c>
      <c r="K1678" s="702">
        <v>0</v>
      </c>
      <c r="L1678" s="703" t="str">
        <f>IF(G1678&lt;&gt;"",IF(VLOOKUP(G1678,base_barras,10,FALSE)&lt;&gt;"",VLOOKUP(G1678,base_barras,10,FALSE),"-"),"-")</f>
        <v>1/1000</v>
      </c>
      <c r="M1678" s="480">
        <f>IF(L1678&lt;&gt;"-",VLOOKUP(L1678,precio_aislador,2,FALSE),0)</f>
        <v>2.7</v>
      </c>
      <c r="N1678" s="704">
        <f>(I1678*J1678*F1678+K1678*M1678)*E1678*1.67*1.25</f>
        <v>0</v>
      </c>
      <c r="O1678" s="288"/>
      <c r="P1678" s="297"/>
      <c r="Q1678" s="297"/>
    </row>
    <row r="1679" spans="1:20" s="102" customFormat="1" ht="13.5" thickBot="1">
      <c r="A1679" s="323"/>
      <c r="B1679" s="323"/>
      <c r="C1679" s="309"/>
      <c r="D1679" s="382"/>
      <c r="E1679" s="323"/>
      <c r="F1679" s="309"/>
      <c r="G1679" s="309"/>
      <c r="H1679" s="323"/>
      <c r="I1679" s="325"/>
      <c r="J1679" s="325"/>
      <c r="K1679" s="323"/>
      <c r="L1679" s="323"/>
      <c r="M1679" s="325"/>
      <c r="N1679" s="706">
        <f>SUM(N1677:N1678)</f>
        <v>0</v>
      </c>
      <c r="O1679" s="288"/>
      <c r="P1679" s="297"/>
      <c r="Q1679" s="297"/>
    </row>
    <row r="1680" spans="1:20" s="102" customFormat="1">
      <c r="A1680" s="323"/>
      <c r="B1680" s="309"/>
      <c r="C1680" s="309"/>
      <c r="D1680" s="382"/>
      <c r="E1680" s="323"/>
      <c r="F1680" s="309"/>
      <c r="G1680" s="309"/>
      <c r="H1680" s="323"/>
      <c r="I1680" s="325"/>
      <c r="J1680" s="325"/>
      <c r="K1680" s="323"/>
      <c r="L1680" s="323"/>
      <c r="M1680" s="325"/>
      <c r="N1680" s="722"/>
      <c r="O1680" s="288"/>
      <c r="P1680" s="297"/>
      <c r="Q1680" s="297"/>
    </row>
    <row r="1681" spans="1:20" s="102" customFormat="1">
      <c r="A1681" s="323"/>
      <c r="B1681" s="309"/>
      <c r="C1681" s="309"/>
      <c r="D1681" s="382"/>
      <c r="E1681" s="323"/>
      <c r="F1681" s="309"/>
      <c r="G1681" s="309"/>
      <c r="H1681" s="323"/>
      <c r="I1681" s="325"/>
      <c r="J1681" s="325"/>
      <c r="K1681" s="323"/>
      <c r="L1681" s="323"/>
      <c r="M1681" s="325"/>
      <c r="N1681" s="722"/>
      <c r="O1681" s="288"/>
      <c r="P1681" s="297"/>
      <c r="Q1681" s="297"/>
    </row>
    <row r="1682" spans="1:20" s="102" customFormat="1" ht="15">
      <c r="A1682" s="323"/>
      <c r="B1682" s="723" t="s">
        <v>2513</v>
      </c>
      <c r="C1682" s="309"/>
      <c r="D1682" s="382"/>
      <c r="E1682" s="323"/>
      <c r="F1682" s="309"/>
      <c r="G1682" s="309"/>
      <c r="H1682" s="323"/>
      <c r="I1682" s="325"/>
      <c r="J1682" s="325"/>
      <c r="K1682" s="323"/>
      <c r="L1682" s="323"/>
      <c r="M1682" s="325"/>
      <c r="N1682" s="722"/>
      <c r="O1682" s="288"/>
      <c r="P1682" s="297"/>
      <c r="Q1682" s="297"/>
    </row>
    <row r="1683" spans="1:20" s="102" customFormat="1" ht="15">
      <c r="A1683" s="323"/>
      <c r="B1683" s="723"/>
      <c r="C1683" s="309"/>
      <c r="D1683" s="382"/>
      <c r="E1683" s="323"/>
      <c r="F1683" s="309"/>
      <c r="G1683" s="309"/>
      <c r="H1683" s="323"/>
      <c r="I1683" s="325"/>
      <c r="J1683" s="325"/>
      <c r="K1683" s="323"/>
      <c r="L1683" s="323"/>
      <c r="M1683" s="325"/>
      <c r="N1683" s="722"/>
      <c r="O1683" s="288"/>
      <c r="P1683" s="297"/>
      <c r="Q1683" s="297"/>
    </row>
    <row r="1684" spans="1:20" s="106" customFormat="1" ht="29.25" customHeight="1">
      <c r="B1684" s="724"/>
    </row>
    <row r="1685" spans="1:20" s="106" customFormat="1" ht="13.5" thickBot="1"/>
    <row r="1686" spans="1:20" s="199" customFormat="1" ht="15.75" customHeight="1">
      <c r="A1686" s="2641" t="s">
        <v>2555</v>
      </c>
      <c r="B1686" s="687" t="s">
        <v>2498</v>
      </c>
      <c r="C1686" s="327"/>
      <c r="D1686" s="328">
        <f t="shared" ref="D1686:D1693" si="658">IF(H1686&lt;&gt;"",VLOOKUP(G1686,base_barras,IF(H1686="Desnuda",2,5)+F1686-1,FALSE),"-")</f>
        <v>2850</v>
      </c>
      <c r="E1686" s="329">
        <v>4</v>
      </c>
      <c r="F1686" s="330">
        <v>2</v>
      </c>
      <c r="G1686" s="331" t="s">
        <v>468</v>
      </c>
      <c r="H1686" s="330" t="s">
        <v>1043</v>
      </c>
      <c r="I1686" s="332">
        <f>1.2+1.2+1.2+1.2+1.2</f>
        <v>6</v>
      </c>
      <c r="J1686" s="333">
        <f t="shared" ref="J1686:J1691" si="659">IF(G1686&lt;&gt;"",VLOOKUP(G1686,precio_barras,9,FALSE),0)</f>
        <v>88.9</v>
      </c>
      <c r="K1686" s="329">
        <f>2+2+2+2+2</f>
        <v>10</v>
      </c>
      <c r="L1686" s="343" t="str">
        <f t="shared" ref="L1686:L1693" si="660">IF(G1686&lt;&gt;"",IF(VLOOKUP(G1686,base_barras,10,FALSE)&lt;&gt;"",VLOOKUP(G1686,base_barras,10,FALSE),"-"),"-")</f>
        <v>1.5/1250</v>
      </c>
      <c r="M1686" s="333">
        <f t="shared" ref="M1686:M1693" si="661">IF(L1686&lt;&gt;"-",VLOOKUP(L1686,precio_aislador,2,FALSE),0)</f>
        <v>5.5</v>
      </c>
      <c r="N1686" s="360">
        <f t="shared" ref="N1686:N1699" si="662">(I1686*J1686*F1686+K1686*M1686)*E1686*1.67*1.25</f>
        <v>9367.0300000000007</v>
      </c>
      <c r="O1686" s="288"/>
      <c r="P1686" s="297"/>
      <c r="Q1686" s="288"/>
      <c r="R1686" s="102"/>
      <c r="S1686" s="102"/>
      <c r="T1686" s="102"/>
    </row>
    <row r="1687" spans="1:20" s="199" customFormat="1" ht="14.25">
      <c r="A1687" s="2642"/>
      <c r="B1687" s="688" t="s">
        <v>802</v>
      </c>
      <c r="C1687" s="319"/>
      <c r="D1687" s="312">
        <f t="shared" si="658"/>
        <v>1500</v>
      </c>
      <c r="E1687" s="313">
        <v>1</v>
      </c>
      <c r="F1687" s="314">
        <v>1</v>
      </c>
      <c r="G1687" s="315" t="s">
        <v>582</v>
      </c>
      <c r="H1687" s="689" t="str">
        <f>H1686</f>
        <v>Pintada</v>
      </c>
      <c r="I1687" s="690">
        <f>I1686</f>
        <v>6</v>
      </c>
      <c r="J1687" s="317">
        <f t="shared" si="659"/>
        <v>71.100000000000009</v>
      </c>
      <c r="K1687" s="691">
        <v>0</v>
      </c>
      <c r="L1687" s="318" t="str">
        <f t="shared" si="660"/>
        <v>1/1000</v>
      </c>
      <c r="M1687" s="317">
        <f t="shared" si="661"/>
        <v>2.7</v>
      </c>
      <c r="N1687" s="308">
        <f t="shared" si="662"/>
        <v>890.52750000000003</v>
      </c>
      <c r="O1687" s="288"/>
      <c r="P1687" s="297"/>
      <c r="Q1687" s="288"/>
      <c r="R1687" s="102"/>
      <c r="S1687" s="102"/>
      <c r="T1687" s="102"/>
    </row>
    <row r="1688" spans="1:20" s="199" customFormat="1" ht="15.75" customHeight="1">
      <c r="A1688" s="2642"/>
      <c r="B1688" s="692" t="s">
        <v>2556</v>
      </c>
      <c r="C1688" s="693"/>
      <c r="D1688" s="697">
        <f t="shared" si="658"/>
        <v>3170</v>
      </c>
      <c r="E1688" s="694">
        <v>4</v>
      </c>
      <c r="F1688" s="655">
        <v>3</v>
      </c>
      <c r="G1688" s="698" t="s">
        <v>582</v>
      </c>
      <c r="H1688" s="655" t="s">
        <v>1043</v>
      </c>
      <c r="I1688" s="398">
        <f t="shared" ref="I1688:I1699" si="663">0.3+0.15+0.15</f>
        <v>0.6</v>
      </c>
      <c r="J1688" s="478">
        <f t="shared" si="659"/>
        <v>71.100000000000009</v>
      </c>
      <c r="K1688" s="694">
        <v>0</v>
      </c>
      <c r="L1688" s="695" t="str">
        <f t="shared" si="660"/>
        <v>1/1000</v>
      </c>
      <c r="M1688" s="478">
        <f t="shared" si="661"/>
        <v>2.7</v>
      </c>
      <c r="N1688" s="696">
        <f t="shared" si="662"/>
        <v>1068.633</v>
      </c>
      <c r="O1688" s="288"/>
      <c r="P1688" s="297"/>
      <c r="Q1688" s="288"/>
      <c r="R1688" s="102"/>
      <c r="S1688" s="102"/>
      <c r="T1688" s="102"/>
    </row>
    <row r="1689" spans="1:20" s="199" customFormat="1" ht="15.75" customHeight="1">
      <c r="A1689" s="2642"/>
      <c r="B1689" s="692" t="s">
        <v>2557</v>
      </c>
      <c r="C1689" s="693"/>
      <c r="D1689" s="312">
        <f t="shared" si="658"/>
        <v>3170</v>
      </c>
      <c r="E1689" s="313">
        <v>4</v>
      </c>
      <c r="F1689" s="314">
        <v>3</v>
      </c>
      <c r="G1689" s="315" t="s">
        <v>582</v>
      </c>
      <c r="H1689" s="314" t="s">
        <v>1043</v>
      </c>
      <c r="I1689" s="316">
        <f t="shared" si="663"/>
        <v>0.6</v>
      </c>
      <c r="J1689" s="317">
        <f t="shared" si="659"/>
        <v>71.100000000000009</v>
      </c>
      <c r="K1689" s="694">
        <v>0</v>
      </c>
      <c r="L1689" s="695" t="str">
        <f t="shared" si="660"/>
        <v>1/1000</v>
      </c>
      <c r="M1689" s="478">
        <f t="shared" si="661"/>
        <v>2.7</v>
      </c>
      <c r="N1689" s="696">
        <f t="shared" si="662"/>
        <v>1068.633</v>
      </c>
      <c r="O1689" s="288"/>
      <c r="P1689" s="297"/>
      <c r="Q1689" s="288"/>
      <c r="R1689" s="102"/>
      <c r="S1689" s="102"/>
      <c r="T1689" s="102"/>
    </row>
    <row r="1690" spans="1:20" s="199" customFormat="1" ht="15.75" customHeight="1">
      <c r="A1690" s="2642"/>
      <c r="B1690" s="692" t="s">
        <v>2558</v>
      </c>
      <c r="C1690" s="693"/>
      <c r="D1690" s="312">
        <f t="shared" si="658"/>
        <v>3170</v>
      </c>
      <c r="E1690" s="313">
        <v>4</v>
      </c>
      <c r="F1690" s="314">
        <v>3</v>
      </c>
      <c r="G1690" s="315" t="s">
        <v>582</v>
      </c>
      <c r="H1690" s="314" t="s">
        <v>1043</v>
      </c>
      <c r="I1690" s="316">
        <f t="shared" si="663"/>
        <v>0.6</v>
      </c>
      <c r="J1690" s="317">
        <f t="shared" si="659"/>
        <v>71.100000000000009</v>
      </c>
      <c r="K1690" s="694">
        <v>0</v>
      </c>
      <c r="L1690" s="695" t="str">
        <f t="shared" si="660"/>
        <v>1/1000</v>
      </c>
      <c r="M1690" s="478">
        <f t="shared" si="661"/>
        <v>2.7</v>
      </c>
      <c r="N1690" s="696">
        <f t="shared" si="662"/>
        <v>1068.633</v>
      </c>
      <c r="O1690" s="288"/>
      <c r="P1690" s="297"/>
      <c r="Q1690" s="288"/>
      <c r="R1690" s="102"/>
      <c r="S1690" s="102"/>
      <c r="T1690" s="102"/>
    </row>
    <row r="1691" spans="1:20" s="199" customFormat="1" ht="15.75" customHeight="1">
      <c r="A1691" s="2642"/>
      <c r="B1691" s="688" t="s">
        <v>2559</v>
      </c>
      <c r="C1691" s="311"/>
      <c r="D1691" s="312">
        <f t="shared" si="658"/>
        <v>3170</v>
      </c>
      <c r="E1691" s="313">
        <v>4</v>
      </c>
      <c r="F1691" s="314">
        <v>3</v>
      </c>
      <c r="G1691" s="315" t="s">
        <v>582</v>
      </c>
      <c r="H1691" s="314" t="s">
        <v>1043</v>
      </c>
      <c r="I1691" s="316">
        <f t="shared" si="663"/>
        <v>0.6</v>
      </c>
      <c r="J1691" s="317">
        <f t="shared" si="659"/>
        <v>71.100000000000009</v>
      </c>
      <c r="K1691" s="313">
        <v>0</v>
      </c>
      <c r="L1691" s="318" t="str">
        <f t="shared" si="660"/>
        <v>1/1000</v>
      </c>
      <c r="M1691" s="317">
        <f t="shared" si="661"/>
        <v>2.7</v>
      </c>
      <c r="N1691" s="308">
        <f t="shared" si="662"/>
        <v>1068.633</v>
      </c>
      <c r="O1691" s="288"/>
      <c r="P1691" s="297"/>
      <c r="Q1691" s="288"/>
      <c r="R1691" s="102"/>
      <c r="S1691" s="102"/>
      <c r="T1691" s="102"/>
    </row>
    <row r="1692" spans="1:20" s="199" customFormat="1" ht="15.75" customHeight="1">
      <c r="A1692" s="2642"/>
      <c r="B1692" s="692" t="s">
        <v>2554</v>
      </c>
      <c r="C1692" s="693"/>
      <c r="D1692" s="312">
        <f t="shared" si="658"/>
        <v>676</v>
      </c>
      <c r="E1692" s="313">
        <v>4</v>
      </c>
      <c r="F1692" s="314">
        <v>1</v>
      </c>
      <c r="G1692" s="315" t="s">
        <v>314</v>
      </c>
      <c r="H1692" s="314" t="s">
        <v>1043</v>
      </c>
      <c r="I1692" s="316">
        <v>0.61</v>
      </c>
      <c r="J1692" s="317">
        <f>IF(G1692&lt;&gt;"",VLOOKUP(G1692,precio_barras,9,FALSE),0)</f>
        <v>26.6</v>
      </c>
      <c r="K1692" s="694">
        <v>0</v>
      </c>
      <c r="L1692" s="695" t="str">
        <f t="shared" si="660"/>
        <v>1/750</v>
      </c>
      <c r="M1692" s="478">
        <f t="shared" si="661"/>
        <v>1.9</v>
      </c>
      <c r="N1692" s="696">
        <f t="shared" si="662"/>
        <v>135.48709999999997</v>
      </c>
      <c r="O1692" s="288"/>
      <c r="P1692" s="297"/>
      <c r="Q1692" s="288"/>
      <c r="R1692" s="102"/>
      <c r="S1692" s="102"/>
      <c r="T1692" s="102"/>
    </row>
    <row r="1693" spans="1:20" s="199" customFormat="1" ht="15.75" customHeight="1">
      <c r="A1693" s="2642"/>
      <c r="B1693" s="692" t="s">
        <v>2518</v>
      </c>
      <c r="C1693" s="693"/>
      <c r="D1693" s="312">
        <f t="shared" si="658"/>
        <v>327</v>
      </c>
      <c r="E1693" s="313">
        <v>4</v>
      </c>
      <c r="F1693" s="314">
        <v>1</v>
      </c>
      <c r="G1693" s="315" t="s">
        <v>63</v>
      </c>
      <c r="H1693" s="314" t="s">
        <v>1044</v>
      </c>
      <c r="I1693" s="316">
        <v>0.4</v>
      </c>
      <c r="J1693" s="317">
        <f>IF(G1693&lt;&gt;"",VLOOKUP(G1693,precio_barras,9,FALSE),0)</f>
        <v>11.100000000000001</v>
      </c>
      <c r="K1693" s="694">
        <v>0</v>
      </c>
      <c r="L1693" s="695" t="str">
        <f t="shared" si="660"/>
        <v>0.5/400</v>
      </c>
      <c r="M1693" s="478">
        <f t="shared" si="661"/>
        <v>1.2</v>
      </c>
      <c r="N1693" s="696">
        <f t="shared" si="662"/>
        <v>37.074000000000005</v>
      </c>
      <c r="O1693" s="288"/>
      <c r="P1693" s="297"/>
      <c r="Q1693" s="288"/>
      <c r="R1693" s="102"/>
      <c r="S1693" s="102"/>
      <c r="T1693" s="102"/>
    </row>
    <row r="1694" spans="1:20" s="199" customFormat="1" ht="15.75" customHeight="1">
      <c r="A1694" s="2642"/>
      <c r="B1694" s="692" t="s">
        <v>2525</v>
      </c>
      <c r="C1694" s="693"/>
      <c r="D1694" s="312">
        <f t="shared" ref="D1694:D1699" si="664">IF(H1694&lt;&gt;"",VLOOKUP(G1694,base_barras,IF(H1694="Desnuda",2,5)+F1694-1,FALSE),"-")</f>
        <v>1020</v>
      </c>
      <c r="E1694" s="313">
        <v>4</v>
      </c>
      <c r="F1694" s="314">
        <v>1</v>
      </c>
      <c r="G1694" s="315" t="s">
        <v>315</v>
      </c>
      <c r="H1694" s="314" t="s">
        <v>1043</v>
      </c>
      <c r="I1694" s="316">
        <v>0.61</v>
      </c>
      <c r="J1694" s="317">
        <f t="shared" ref="J1694:J1699" si="665">IF(G1694&lt;&gt;"",VLOOKUP(G1694,precio_barras,9,FALSE),0)</f>
        <v>44.400000000000006</v>
      </c>
      <c r="K1694" s="694">
        <v>0</v>
      </c>
      <c r="L1694" s="695" t="str">
        <f t="shared" ref="L1694:L1699" si="666">IF(G1694&lt;&gt;"",IF(VLOOKUP(G1694,base_barras,10,FALSE)&lt;&gt;"",VLOOKUP(G1694,base_barras,10,FALSE),"-"),"-")</f>
        <v>1/750</v>
      </c>
      <c r="M1694" s="478">
        <f t="shared" ref="M1694:M1699" si="667">IF(L1694&lt;&gt;"-",VLOOKUP(L1694,precio_aislador,2,FALSE),0)</f>
        <v>1.9</v>
      </c>
      <c r="N1694" s="696">
        <f t="shared" si="662"/>
        <v>226.1514</v>
      </c>
      <c r="O1694" s="288"/>
      <c r="P1694" s="297"/>
      <c r="Q1694" s="288"/>
      <c r="R1694" s="102"/>
      <c r="S1694" s="102"/>
      <c r="T1694" s="102"/>
    </row>
    <row r="1695" spans="1:20" s="199" customFormat="1" ht="15.75" customHeight="1">
      <c r="A1695" s="2642"/>
      <c r="B1695" s="692" t="s">
        <v>2525</v>
      </c>
      <c r="C1695" s="693"/>
      <c r="D1695" s="312">
        <f>IF(H1695&lt;&gt;"",VLOOKUP(G1695,base_barras,IF(H1695="Desnuda",2,5)+F1695-1,FALSE),"-")</f>
        <v>1020</v>
      </c>
      <c r="E1695" s="313">
        <v>4</v>
      </c>
      <c r="F1695" s="314">
        <v>1</v>
      </c>
      <c r="G1695" s="315" t="s">
        <v>315</v>
      </c>
      <c r="H1695" s="314" t="s">
        <v>1043</v>
      </c>
      <c r="I1695" s="316">
        <f t="shared" si="663"/>
        <v>0.6</v>
      </c>
      <c r="J1695" s="317">
        <f>IF(G1695&lt;&gt;"",VLOOKUP(G1695,precio_barras,9,FALSE),0)</f>
        <v>44.400000000000006</v>
      </c>
      <c r="K1695" s="694">
        <v>0</v>
      </c>
      <c r="L1695" s="695" t="str">
        <f>IF(G1695&lt;&gt;"",IF(VLOOKUP(G1695,base_barras,10,FALSE)&lt;&gt;"",VLOOKUP(G1695,base_barras,10,FALSE),"-"),"-")</f>
        <v>1/750</v>
      </c>
      <c r="M1695" s="478">
        <f>IF(L1695&lt;&gt;"-",VLOOKUP(L1695,precio_aislador,2,FALSE),0)</f>
        <v>1.9</v>
      </c>
      <c r="N1695" s="696">
        <f t="shared" si="662"/>
        <v>222.44400000000002</v>
      </c>
      <c r="O1695" s="288"/>
      <c r="P1695" s="297"/>
      <c r="Q1695" s="288"/>
      <c r="R1695" s="102"/>
      <c r="S1695" s="102"/>
      <c r="T1695" s="102"/>
    </row>
    <row r="1696" spans="1:20" s="199" customFormat="1" ht="15.75" customHeight="1">
      <c r="A1696" s="2642"/>
      <c r="B1696" s="692" t="s">
        <v>2525</v>
      </c>
      <c r="C1696" s="693"/>
      <c r="D1696" s="312">
        <f>IF(H1696&lt;&gt;"",VLOOKUP(G1696,base_barras,IF(H1696="Desnuda",2,5)+F1696-1,FALSE),"-")</f>
        <v>1020</v>
      </c>
      <c r="E1696" s="313">
        <v>4</v>
      </c>
      <c r="F1696" s="314">
        <v>1</v>
      </c>
      <c r="G1696" s="315" t="s">
        <v>315</v>
      </c>
      <c r="H1696" s="314" t="s">
        <v>1043</v>
      </c>
      <c r="I1696" s="316">
        <f t="shared" si="663"/>
        <v>0.6</v>
      </c>
      <c r="J1696" s="317">
        <f>IF(G1696&lt;&gt;"",VLOOKUP(G1696,precio_barras,9,FALSE),0)</f>
        <v>44.400000000000006</v>
      </c>
      <c r="K1696" s="694">
        <v>0</v>
      </c>
      <c r="L1696" s="695" t="str">
        <f>IF(G1696&lt;&gt;"",IF(VLOOKUP(G1696,base_barras,10,FALSE)&lt;&gt;"",VLOOKUP(G1696,base_barras,10,FALSE),"-"),"-")</f>
        <v>1/750</v>
      </c>
      <c r="M1696" s="478">
        <f>IF(L1696&lt;&gt;"-",VLOOKUP(L1696,precio_aislador,2,FALSE),0)</f>
        <v>1.9</v>
      </c>
      <c r="N1696" s="696">
        <f t="shared" si="662"/>
        <v>222.44400000000002</v>
      </c>
      <c r="O1696" s="288"/>
      <c r="P1696" s="297"/>
      <c r="Q1696" s="288"/>
      <c r="R1696" s="102"/>
      <c r="S1696" s="102"/>
      <c r="T1696" s="102"/>
    </row>
    <row r="1697" spans="1:20" s="199" customFormat="1" ht="15.75" customHeight="1">
      <c r="A1697" s="2642"/>
      <c r="B1697" s="692" t="s">
        <v>2525</v>
      </c>
      <c r="C1697" s="693"/>
      <c r="D1697" s="312">
        <f>IF(H1697&lt;&gt;"",VLOOKUP(G1697,base_barras,IF(H1697="Desnuda",2,5)+F1697-1,FALSE),"-")</f>
        <v>1020</v>
      </c>
      <c r="E1697" s="313">
        <v>4</v>
      </c>
      <c r="F1697" s="314">
        <v>1</v>
      </c>
      <c r="G1697" s="315" t="s">
        <v>315</v>
      </c>
      <c r="H1697" s="314" t="s">
        <v>1043</v>
      </c>
      <c r="I1697" s="316">
        <f t="shared" si="663"/>
        <v>0.6</v>
      </c>
      <c r="J1697" s="317">
        <f>IF(G1697&lt;&gt;"",VLOOKUP(G1697,precio_barras,9,FALSE),0)</f>
        <v>44.400000000000006</v>
      </c>
      <c r="K1697" s="694">
        <v>0</v>
      </c>
      <c r="L1697" s="695" t="str">
        <f>IF(G1697&lt;&gt;"",IF(VLOOKUP(G1697,base_barras,10,FALSE)&lt;&gt;"",VLOOKUP(G1697,base_barras,10,FALSE),"-"),"-")</f>
        <v>1/750</v>
      </c>
      <c r="M1697" s="478">
        <f>IF(L1697&lt;&gt;"-",VLOOKUP(L1697,precio_aislador,2,FALSE),0)</f>
        <v>1.9</v>
      </c>
      <c r="N1697" s="696">
        <f t="shared" si="662"/>
        <v>222.44400000000002</v>
      </c>
      <c r="O1697" s="288"/>
      <c r="P1697" s="297"/>
      <c r="Q1697" s="288"/>
      <c r="R1697" s="102"/>
      <c r="S1697" s="102"/>
      <c r="T1697" s="102"/>
    </row>
    <row r="1698" spans="1:20" s="199" customFormat="1" ht="15.75" customHeight="1">
      <c r="A1698" s="2642"/>
      <c r="B1698" s="692" t="s">
        <v>2560</v>
      </c>
      <c r="C1698" s="693"/>
      <c r="D1698" s="312">
        <f t="shared" si="664"/>
        <v>1720</v>
      </c>
      <c r="E1698" s="313">
        <v>4</v>
      </c>
      <c r="F1698" s="314">
        <v>2</v>
      </c>
      <c r="G1698" s="315" t="s">
        <v>315</v>
      </c>
      <c r="H1698" s="314" t="s">
        <v>1043</v>
      </c>
      <c r="I1698" s="316">
        <f t="shared" si="663"/>
        <v>0.6</v>
      </c>
      <c r="J1698" s="317">
        <f t="shared" si="665"/>
        <v>44.400000000000006</v>
      </c>
      <c r="K1698" s="694">
        <v>0</v>
      </c>
      <c r="L1698" s="695" t="str">
        <f t="shared" si="666"/>
        <v>1/750</v>
      </c>
      <c r="M1698" s="478">
        <f t="shared" si="667"/>
        <v>1.9</v>
      </c>
      <c r="N1698" s="696">
        <f t="shared" si="662"/>
        <v>444.88800000000003</v>
      </c>
      <c r="O1698" s="288"/>
      <c r="P1698" s="297"/>
      <c r="Q1698" s="288"/>
      <c r="R1698" s="102"/>
      <c r="S1698" s="102"/>
      <c r="T1698" s="102"/>
    </row>
    <row r="1699" spans="1:20" s="199" customFormat="1" ht="15.75" customHeight="1" thickBot="1">
      <c r="A1699" s="2643"/>
      <c r="B1699" s="692" t="s">
        <v>2560</v>
      </c>
      <c r="C1699" s="701"/>
      <c r="D1699" s="364">
        <f t="shared" si="664"/>
        <v>1720</v>
      </c>
      <c r="E1699" s="365">
        <v>4</v>
      </c>
      <c r="F1699" s="366">
        <v>2</v>
      </c>
      <c r="G1699" s="322" t="s">
        <v>315</v>
      </c>
      <c r="H1699" s="366" t="s">
        <v>1043</v>
      </c>
      <c r="I1699" s="367">
        <f t="shared" si="663"/>
        <v>0.6</v>
      </c>
      <c r="J1699" s="368">
        <f t="shared" si="665"/>
        <v>44.400000000000006</v>
      </c>
      <c r="K1699" s="702">
        <v>0</v>
      </c>
      <c r="L1699" s="703" t="str">
        <f t="shared" si="666"/>
        <v>1/750</v>
      </c>
      <c r="M1699" s="480">
        <f t="shared" si="667"/>
        <v>1.9</v>
      </c>
      <c r="N1699" s="704">
        <f t="shared" si="662"/>
        <v>444.88800000000003</v>
      </c>
      <c r="O1699" s="288"/>
      <c r="P1699" s="297"/>
      <c r="Q1699" s="288"/>
      <c r="R1699" s="102"/>
      <c r="S1699" s="102"/>
      <c r="T1699" s="102"/>
    </row>
    <row r="1700" spans="1:20" s="129" customFormat="1" ht="22.5" customHeight="1" thickBot="1">
      <c r="A1700" s="737"/>
      <c r="B1700" s="323"/>
      <c r="C1700" s="309"/>
      <c r="D1700" s="382"/>
      <c r="E1700" s="323"/>
      <c r="F1700" s="323"/>
      <c r="G1700" s="323"/>
      <c r="H1700" s="323"/>
      <c r="I1700" s="325"/>
      <c r="J1700" s="325"/>
      <c r="K1700" s="323"/>
      <c r="L1700" s="323"/>
      <c r="M1700" s="738"/>
      <c r="N1700" s="699">
        <f>SUM(N1686:N1699)</f>
        <v>16487.91</v>
      </c>
      <c r="O1700" s="288"/>
      <c r="P1700" s="297"/>
      <c r="Q1700" s="288"/>
      <c r="R1700" s="102"/>
      <c r="S1700" s="102"/>
      <c r="T1700" s="102"/>
    </row>
    <row r="1701" spans="1:20" s="102" customFormat="1" ht="8.25" customHeight="1" thickBot="1">
      <c r="A1701" s="323"/>
      <c r="B1701" s="323"/>
      <c r="C1701" s="323"/>
      <c r="D1701" s="382"/>
      <c r="E1701" s="323"/>
      <c r="F1701" s="325"/>
      <c r="G1701" s="325"/>
      <c r="H1701" s="325"/>
      <c r="I1701" s="323"/>
      <c r="J1701" s="323"/>
      <c r="K1701" s="323"/>
      <c r="L1701" s="325"/>
      <c r="M1701" s="323"/>
      <c r="N1701" s="309"/>
      <c r="O1701" s="288"/>
      <c r="P1701" s="297"/>
      <c r="Q1701" s="288"/>
    </row>
    <row r="1702" spans="1:20" s="102" customFormat="1" ht="12.75" customHeight="1">
      <c r="A1702" s="2639" t="s">
        <v>2502</v>
      </c>
      <c r="B1702" s="687" t="s">
        <v>2503</v>
      </c>
      <c r="C1702" s="327"/>
      <c r="D1702" s="328">
        <f>IF(H1702&lt;&gt;"",VLOOKUP(G1702,base_barras,IF(H1702="Desnuda",2,5)+F1702-1,FALSE),"-")</f>
        <v>3290</v>
      </c>
      <c r="E1702" s="329">
        <v>4</v>
      </c>
      <c r="F1702" s="330">
        <v>1</v>
      </c>
      <c r="G1702" s="331" t="s">
        <v>584</v>
      </c>
      <c r="H1702" s="330" t="s">
        <v>1043</v>
      </c>
      <c r="I1702" s="332">
        <v>1.2</v>
      </c>
      <c r="J1702" s="333">
        <f>IF(G1702&lt;&gt;"",VLOOKUP(G1702,precio_barras,9,FALSE),0)</f>
        <v>231.4</v>
      </c>
      <c r="K1702" s="481">
        <v>2</v>
      </c>
      <c r="L1702" s="343" t="str">
        <f>IF(G1702&lt;&gt;"",IF(VLOOKUP(G1702,base_barras,10,FALSE)&lt;&gt;"",VLOOKUP(G1702,base_barras,10,FALSE),"-"),"-")</f>
        <v>1.5/1600</v>
      </c>
      <c r="M1702" s="333">
        <f>IF(L1702&lt;&gt;"-",VLOOKUP(L1702,precio_aislador,2,FALSE),0)</f>
        <v>22</v>
      </c>
      <c r="N1702" s="360">
        <f>(I1702*J1702*F1702+K1702*M1702)*E1702*1.67*1.25</f>
        <v>2686.0280000000002</v>
      </c>
      <c r="O1702" s="288"/>
      <c r="P1702" s="297"/>
      <c r="Q1702" s="297"/>
    </row>
    <row r="1703" spans="1:20" s="199" customFormat="1" ht="15.75" customHeight="1" thickBot="1">
      <c r="A1703" s="2644"/>
      <c r="B1703" s="700" t="s">
        <v>2504</v>
      </c>
      <c r="C1703" s="701"/>
      <c r="D1703" s="364">
        <f>IF(H1703&lt;&gt;"",VLOOKUP(G1703,base_barras,IF(H1703="Desnuda",2,5)+F1703-1,FALSE),"-")</f>
        <v>3170</v>
      </c>
      <c r="E1703" s="365">
        <v>4</v>
      </c>
      <c r="F1703" s="366">
        <v>3</v>
      </c>
      <c r="G1703" s="322" t="s">
        <v>582</v>
      </c>
      <c r="H1703" s="366" t="s">
        <v>1043</v>
      </c>
      <c r="I1703" s="367">
        <f>0.2+0.5+0.5+0.2</f>
        <v>1.4</v>
      </c>
      <c r="J1703" s="368">
        <f>IF(G1703&lt;&gt;"",VLOOKUP(G1703,precio_barras,9,FALSE),0)</f>
        <v>71.100000000000009</v>
      </c>
      <c r="K1703" s="702">
        <v>0</v>
      </c>
      <c r="L1703" s="703" t="str">
        <f>IF(G1703&lt;&gt;"",IF(VLOOKUP(G1703,base_barras,10,FALSE)&lt;&gt;"",VLOOKUP(G1703,base_barras,10,FALSE),"-"),"-")</f>
        <v>1/1000</v>
      </c>
      <c r="M1703" s="480">
        <f>IF(L1703&lt;&gt;"-",VLOOKUP(L1703,precio_aislador,2,FALSE),0)</f>
        <v>2.7</v>
      </c>
      <c r="N1703" s="704">
        <f>(I1703*J1703*F1703+K1703*M1703)*E1703*1.67*1.25</f>
        <v>2493.4769999999999</v>
      </c>
      <c r="O1703" s="288"/>
      <c r="P1703" s="297"/>
      <c r="Q1703" s="288"/>
      <c r="R1703" s="102"/>
      <c r="S1703" s="102"/>
      <c r="T1703" s="102"/>
    </row>
    <row r="1704" spans="1:20" s="102" customFormat="1" ht="12.75" customHeight="1">
      <c r="A1704" s="2644"/>
      <c r="B1704" s="692" t="s">
        <v>2503</v>
      </c>
      <c r="C1704" s="693"/>
      <c r="D1704" s="697">
        <f>IF(H1704&lt;&gt;"",VLOOKUP(G1704,base_barras,IF(H1704="Desnuda",2,5)+F1704-1,FALSE),"-")</f>
        <v>3290</v>
      </c>
      <c r="E1704" s="694">
        <v>4</v>
      </c>
      <c r="F1704" s="655">
        <v>1</v>
      </c>
      <c r="G1704" s="698" t="s">
        <v>584</v>
      </c>
      <c r="H1704" s="655" t="s">
        <v>1043</v>
      </c>
      <c r="I1704" s="398">
        <v>1.2</v>
      </c>
      <c r="J1704" s="478">
        <f>IF(G1704&lt;&gt;"",VLOOKUP(G1704,precio_barras,9,FALSE),0)</f>
        <v>231.4</v>
      </c>
      <c r="K1704" s="705">
        <v>2</v>
      </c>
      <c r="L1704" s="695" t="str">
        <f>IF(G1704&lt;&gt;"",IF(VLOOKUP(G1704,base_barras,10,FALSE)&lt;&gt;"",VLOOKUP(G1704,base_barras,10,FALSE),"-"),"-")</f>
        <v>1.5/1600</v>
      </c>
      <c r="M1704" s="478">
        <f>IF(L1704&lt;&gt;"-",VLOOKUP(L1704,precio_aislador,2,FALSE),0)</f>
        <v>22</v>
      </c>
      <c r="N1704" s="696">
        <f>(I1704*J1704*F1704+K1704*M1704)*E1704*1.67*1.25</f>
        <v>2686.0280000000002</v>
      </c>
      <c r="O1704" s="288"/>
      <c r="P1704" s="297"/>
      <c r="Q1704" s="297"/>
    </row>
    <row r="1705" spans="1:20" s="199" customFormat="1" ht="15.75" customHeight="1" thickBot="1">
      <c r="A1705" s="2640"/>
      <c r="B1705" s="700" t="s">
        <v>2504</v>
      </c>
      <c r="C1705" s="701"/>
      <c r="D1705" s="364">
        <f>IF(H1705&lt;&gt;"",VLOOKUP(G1705,base_barras,IF(H1705="Desnuda",2,5)+F1705-1,FALSE),"-")</f>
        <v>3170</v>
      </c>
      <c r="E1705" s="365">
        <v>4</v>
      </c>
      <c r="F1705" s="366">
        <v>3</v>
      </c>
      <c r="G1705" s="322" t="s">
        <v>582</v>
      </c>
      <c r="H1705" s="366" t="s">
        <v>1043</v>
      </c>
      <c r="I1705" s="367">
        <f>0.2+0.5+0.5+0.2</f>
        <v>1.4</v>
      </c>
      <c r="J1705" s="368">
        <f>IF(G1705&lt;&gt;"",VLOOKUP(G1705,precio_barras,9,FALSE),0)</f>
        <v>71.100000000000009</v>
      </c>
      <c r="K1705" s="702">
        <v>0</v>
      </c>
      <c r="L1705" s="703" t="str">
        <f>IF(G1705&lt;&gt;"",IF(VLOOKUP(G1705,base_barras,10,FALSE)&lt;&gt;"",VLOOKUP(G1705,base_barras,10,FALSE),"-"),"-")</f>
        <v>1/1000</v>
      </c>
      <c r="M1705" s="480">
        <f>IF(L1705&lt;&gt;"-",VLOOKUP(L1705,precio_aislador,2,FALSE),0)</f>
        <v>2.7</v>
      </c>
      <c r="N1705" s="704">
        <f>(I1705*J1705*F1705+K1705*M1705)*E1705*1.67*1.25</f>
        <v>2493.4769999999999</v>
      </c>
      <c r="O1705" s="288"/>
      <c r="P1705" s="297"/>
      <c r="Q1705" s="288"/>
      <c r="R1705" s="102"/>
      <c r="S1705" s="102"/>
      <c r="T1705" s="102"/>
    </row>
    <row r="1706" spans="1:20" s="102" customFormat="1" ht="13.5" thickBot="1">
      <c r="A1706" s="323"/>
      <c r="B1706" s="323"/>
      <c r="C1706" s="309"/>
      <c r="D1706" s="382"/>
      <c r="E1706" s="323"/>
      <c r="F1706" s="309"/>
      <c r="G1706" s="309"/>
      <c r="H1706" s="323"/>
      <c r="I1706" s="325"/>
      <c r="J1706" s="325"/>
      <c r="K1706" s="323"/>
      <c r="L1706" s="323"/>
      <c r="M1706" s="325"/>
      <c r="N1706" s="706">
        <f>SUM(N1702:N1705)</f>
        <v>10359.01</v>
      </c>
      <c r="O1706" s="288"/>
      <c r="P1706" s="297"/>
      <c r="Q1706" s="297"/>
    </row>
    <row r="1707" spans="1:20" s="102" customFormat="1" ht="8.25" customHeight="1" thickBot="1">
      <c r="A1707" s="323"/>
      <c r="B1707" s="323"/>
      <c r="C1707" s="323"/>
      <c r="D1707" s="382"/>
      <c r="E1707" s="323"/>
      <c r="F1707" s="325"/>
      <c r="G1707" s="325"/>
      <c r="H1707" s="325"/>
      <c r="I1707" s="323"/>
      <c r="J1707" s="323"/>
      <c r="K1707" s="323"/>
      <c r="L1707" s="325"/>
      <c r="M1707" s="323"/>
      <c r="N1707" s="309"/>
      <c r="O1707" s="288"/>
      <c r="P1707" s="297"/>
      <c r="Q1707" s="288"/>
    </row>
    <row r="1708" spans="1:20" s="102" customFormat="1" ht="12.75" customHeight="1">
      <c r="A1708" s="2639" t="s">
        <v>2505</v>
      </c>
      <c r="B1708" s="687" t="s">
        <v>2506</v>
      </c>
      <c r="C1708" s="327"/>
      <c r="D1708" s="328">
        <f>IF(H1708&lt;&gt;"",VLOOKUP(G1708,base_barras,IF(H1708="Desnuda",2,5)+F1708-1,FALSE),"-")</f>
        <v>2700</v>
      </c>
      <c r="E1708" s="329">
        <v>4</v>
      </c>
      <c r="F1708" s="330">
        <v>1</v>
      </c>
      <c r="G1708" s="731" t="s">
        <v>583</v>
      </c>
      <c r="H1708" s="330" t="s">
        <v>1043</v>
      </c>
      <c r="I1708" s="332">
        <v>0.6</v>
      </c>
      <c r="J1708" s="333">
        <f>IF(G1708&lt;&gt;"",VLOOKUP(G1708,precio_barras,9,FALSE),0)</f>
        <v>142</v>
      </c>
      <c r="K1708" s="481">
        <v>2</v>
      </c>
      <c r="L1708" s="343" t="str">
        <f>IF(G1708&lt;&gt;"",IF(VLOOKUP(G1708,base_barras,10,FALSE)&lt;&gt;"",VLOOKUP(G1708,base_barras,10,FALSE),"-"),"-")</f>
        <v>1.5/1600</v>
      </c>
      <c r="M1708" s="333">
        <f>IF(L1708&lt;&gt;"-",VLOOKUP(L1708,precio_aislador,2,FALSE),0)</f>
        <v>22</v>
      </c>
      <c r="N1708" s="360">
        <f t="shared" ref="N1708:N1717" si="668">(I1708*J1708*F1708+K1708*M1708)*E1708*1.67*1.25</f>
        <v>1078.82</v>
      </c>
      <c r="O1708" s="288"/>
      <c r="P1708" s="297"/>
      <c r="Q1708" s="297"/>
    </row>
    <row r="1709" spans="1:20" s="102" customFormat="1" ht="13.5" thickBot="1">
      <c r="A1709" s="2644"/>
      <c r="B1709" s="707" t="s">
        <v>2561</v>
      </c>
      <c r="C1709" s="479"/>
      <c r="D1709" s="364">
        <f>IF(H1709&lt;&gt;"",VLOOKUP(G1709,base_barras,IF(H1709="Desnuda",2,5)+F1709-1,FALSE),"-")</f>
        <v>1020</v>
      </c>
      <c r="E1709" s="365">
        <v>4</v>
      </c>
      <c r="F1709" s="366">
        <v>1</v>
      </c>
      <c r="G1709" s="322" t="s">
        <v>315</v>
      </c>
      <c r="H1709" s="366" t="s">
        <v>1043</v>
      </c>
      <c r="I1709" s="367">
        <f>0.5+0.8+0.8+0.2</f>
        <v>2.3000000000000003</v>
      </c>
      <c r="J1709" s="368">
        <f>IF(G1709&lt;&gt;"",VLOOKUP(G1709,precio_barras,9,FALSE),0)</f>
        <v>44.400000000000006</v>
      </c>
      <c r="K1709" s="365">
        <v>3</v>
      </c>
      <c r="L1709" s="369" t="str">
        <f>IF(G1709&lt;&gt;"",IF(VLOOKUP(G1709,base_barras,10,FALSE)&lt;&gt;"",VLOOKUP(G1709,base_barras,10,FALSE),"-"),"-")</f>
        <v>1/750</v>
      </c>
      <c r="M1709" s="368">
        <f>IF(L1709&lt;&gt;"-",VLOOKUP(L1709,precio_aislador,2,FALSE),0)</f>
        <v>1.9</v>
      </c>
      <c r="N1709" s="370">
        <f t="shared" si="668"/>
        <v>900.29700000000025</v>
      </c>
      <c r="O1709" s="288"/>
      <c r="P1709" s="297"/>
      <c r="Q1709" s="297"/>
    </row>
    <row r="1710" spans="1:20" s="102" customFormat="1" ht="12.75" customHeight="1">
      <c r="A1710" s="2644"/>
      <c r="B1710" s="692" t="s">
        <v>2506</v>
      </c>
      <c r="C1710" s="693"/>
      <c r="D1710" s="697">
        <f t="shared" ref="D1710:D1715" si="669">IF(H1710&lt;&gt;"",VLOOKUP(G1710,base_barras,IF(H1710="Desnuda",2,5)+F1710-1,FALSE),"-")</f>
        <v>2700</v>
      </c>
      <c r="E1710" s="694">
        <v>4</v>
      </c>
      <c r="F1710" s="655">
        <v>1</v>
      </c>
      <c r="G1710" s="731" t="s">
        <v>583</v>
      </c>
      <c r="H1710" s="655" t="s">
        <v>1043</v>
      </c>
      <c r="I1710" s="332">
        <v>0.6</v>
      </c>
      <c r="J1710" s="478">
        <f t="shared" ref="J1710:J1715" si="670">IF(G1710&lt;&gt;"",VLOOKUP(G1710,precio_barras,9,FALSE),0)</f>
        <v>142</v>
      </c>
      <c r="K1710" s="705">
        <v>2</v>
      </c>
      <c r="L1710" s="695" t="str">
        <f t="shared" ref="L1710:L1715" si="671">IF(G1710&lt;&gt;"",IF(VLOOKUP(G1710,base_barras,10,FALSE)&lt;&gt;"",VLOOKUP(G1710,base_barras,10,FALSE),"-"),"-")</f>
        <v>1.5/1600</v>
      </c>
      <c r="M1710" s="478">
        <f t="shared" ref="M1710:M1715" si="672">IF(L1710&lt;&gt;"-",VLOOKUP(L1710,precio_aislador,2,FALSE),0)</f>
        <v>22</v>
      </c>
      <c r="N1710" s="696">
        <f t="shared" si="668"/>
        <v>1078.82</v>
      </c>
      <c r="O1710" s="288"/>
      <c r="P1710" s="297"/>
      <c r="Q1710" s="297"/>
    </row>
    <row r="1711" spans="1:20" s="102" customFormat="1" ht="13.5" thickBot="1">
      <c r="A1711" s="2644"/>
      <c r="B1711" s="707" t="s">
        <v>2561</v>
      </c>
      <c r="C1711" s="701"/>
      <c r="D1711" s="708">
        <f t="shared" si="669"/>
        <v>1020</v>
      </c>
      <c r="E1711" s="702">
        <v>4</v>
      </c>
      <c r="F1711" s="709">
        <v>1</v>
      </c>
      <c r="G1711" s="710" t="s">
        <v>315</v>
      </c>
      <c r="H1711" s="709" t="s">
        <v>1043</v>
      </c>
      <c r="I1711" s="711">
        <f>0.5+0.8+0.8+0.2</f>
        <v>2.3000000000000003</v>
      </c>
      <c r="J1711" s="480">
        <f t="shared" si="670"/>
        <v>44.400000000000006</v>
      </c>
      <c r="K1711" s="702">
        <v>3</v>
      </c>
      <c r="L1711" s="703" t="str">
        <f t="shared" si="671"/>
        <v>1/750</v>
      </c>
      <c r="M1711" s="480">
        <f t="shared" si="672"/>
        <v>1.9</v>
      </c>
      <c r="N1711" s="704">
        <f t="shared" si="668"/>
        <v>900.29700000000025</v>
      </c>
      <c r="O1711" s="288"/>
      <c r="P1711" s="297"/>
      <c r="Q1711" s="297"/>
    </row>
    <row r="1712" spans="1:20" s="102" customFormat="1" ht="12.75" customHeight="1">
      <c r="A1712" s="2644"/>
      <c r="B1712" s="692" t="s">
        <v>2506</v>
      </c>
      <c r="C1712" s="693"/>
      <c r="D1712" s="697">
        <f t="shared" si="669"/>
        <v>2700</v>
      </c>
      <c r="E1712" s="694">
        <v>4</v>
      </c>
      <c r="F1712" s="655">
        <v>1</v>
      </c>
      <c r="G1712" s="731" t="s">
        <v>583</v>
      </c>
      <c r="H1712" s="655" t="s">
        <v>1043</v>
      </c>
      <c r="I1712" s="332">
        <v>0.6</v>
      </c>
      <c r="J1712" s="478">
        <f t="shared" si="670"/>
        <v>142</v>
      </c>
      <c r="K1712" s="705">
        <v>2</v>
      </c>
      <c r="L1712" s="695" t="str">
        <f t="shared" si="671"/>
        <v>1.5/1600</v>
      </c>
      <c r="M1712" s="478">
        <f t="shared" si="672"/>
        <v>22</v>
      </c>
      <c r="N1712" s="696">
        <f t="shared" si="668"/>
        <v>1078.82</v>
      </c>
      <c r="O1712" s="288"/>
      <c r="P1712" s="297"/>
      <c r="Q1712" s="297"/>
    </row>
    <row r="1713" spans="1:20" s="102" customFormat="1" ht="13.5" thickBot="1">
      <c r="A1713" s="2644"/>
      <c r="B1713" s="707" t="s">
        <v>2561</v>
      </c>
      <c r="C1713" s="701"/>
      <c r="D1713" s="708">
        <f t="shared" si="669"/>
        <v>1020</v>
      </c>
      <c r="E1713" s="702">
        <v>4</v>
      </c>
      <c r="F1713" s="709">
        <v>1</v>
      </c>
      <c r="G1713" s="710" t="s">
        <v>315</v>
      </c>
      <c r="H1713" s="709" t="s">
        <v>1043</v>
      </c>
      <c r="I1713" s="711">
        <f>0.5+0.8+0.8+0.2</f>
        <v>2.3000000000000003</v>
      </c>
      <c r="J1713" s="480">
        <f t="shared" si="670"/>
        <v>44.400000000000006</v>
      </c>
      <c r="K1713" s="702">
        <v>3</v>
      </c>
      <c r="L1713" s="703" t="str">
        <f t="shared" si="671"/>
        <v>1/750</v>
      </c>
      <c r="M1713" s="480">
        <f t="shared" si="672"/>
        <v>1.9</v>
      </c>
      <c r="N1713" s="704">
        <f t="shared" si="668"/>
        <v>900.29700000000025</v>
      </c>
      <c r="O1713" s="288"/>
      <c r="P1713" s="297"/>
      <c r="Q1713" s="297"/>
    </row>
    <row r="1714" spans="1:20" s="102" customFormat="1" ht="12.75" customHeight="1">
      <c r="A1714" s="2644"/>
      <c r="B1714" s="692" t="s">
        <v>2506</v>
      </c>
      <c r="C1714" s="693"/>
      <c r="D1714" s="697">
        <f t="shared" si="669"/>
        <v>3290</v>
      </c>
      <c r="E1714" s="694">
        <v>4</v>
      </c>
      <c r="F1714" s="655">
        <v>1</v>
      </c>
      <c r="G1714" s="698" t="s">
        <v>584</v>
      </c>
      <c r="H1714" s="655" t="s">
        <v>1043</v>
      </c>
      <c r="I1714" s="332">
        <v>0.6</v>
      </c>
      <c r="J1714" s="478">
        <f t="shared" si="670"/>
        <v>231.4</v>
      </c>
      <c r="K1714" s="705">
        <v>2</v>
      </c>
      <c r="L1714" s="695" t="str">
        <f t="shared" si="671"/>
        <v>1.5/1600</v>
      </c>
      <c r="M1714" s="478">
        <f t="shared" si="672"/>
        <v>22</v>
      </c>
      <c r="N1714" s="696">
        <f t="shared" si="668"/>
        <v>1526.7139999999999</v>
      </c>
      <c r="O1714" s="288"/>
      <c r="P1714" s="297"/>
      <c r="Q1714" s="297"/>
    </row>
    <row r="1715" spans="1:20" s="102" customFormat="1" ht="13.5" thickBot="1">
      <c r="A1715" s="2644"/>
      <c r="B1715" s="707" t="s">
        <v>2562</v>
      </c>
      <c r="C1715" s="701"/>
      <c r="D1715" s="708">
        <f t="shared" si="669"/>
        <v>1720</v>
      </c>
      <c r="E1715" s="702">
        <v>4</v>
      </c>
      <c r="F1715" s="709">
        <v>2</v>
      </c>
      <c r="G1715" s="710" t="s">
        <v>315</v>
      </c>
      <c r="H1715" s="709" t="s">
        <v>1043</v>
      </c>
      <c r="I1715" s="711">
        <f>0.5+0.8+0.8+0.2</f>
        <v>2.3000000000000003</v>
      </c>
      <c r="J1715" s="480">
        <f t="shared" si="670"/>
        <v>44.400000000000006</v>
      </c>
      <c r="K1715" s="702">
        <v>3</v>
      </c>
      <c r="L1715" s="703" t="str">
        <f t="shared" si="671"/>
        <v>1/750</v>
      </c>
      <c r="M1715" s="480">
        <f t="shared" si="672"/>
        <v>1.9</v>
      </c>
      <c r="N1715" s="704">
        <f t="shared" si="668"/>
        <v>1752.999</v>
      </c>
      <c r="O1715" s="288"/>
      <c r="P1715" s="297"/>
      <c r="Q1715" s="297"/>
    </row>
    <row r="1716" spans="1:20" s="102" customFormat="1" ht="12.75" customHeight="1">
      <c r="A1716" s="2644"/>
      <c r="B1716" s="692" t="s">
        <v>2506</v>
      </c>
      <c r="C1716" s="693"/>
      <c r="D1716" s="697">
        <f>IF(H1716&lt;&gt;"",VLOOKUP(G1716,base_barras,IF(H1716="Desnuda",2,5)+F1716-1,FALSE),"-")</f>
        <v>3290</v>
      </c>
      <c r="E1716" s="694">
        <v>4</v>
      </c>
      <c r="F1716" s="655">
        <v>1</v>
      </c>
      <c r="G1716" s="698" t="s">
        <v>584</v>
      </c>
      <c r="H1716" s="655" t="s">
        <v>1043</v>
      </c>
      <c r="I1716" s="332">
        <v>0.6</v>
      </c>
      <c r="J1716" s="478">
        <f>IF(G1716&lt;&gt;"",VLOOKUP(G1716,precio_barras,9,FALSE),0)</f>
        <v>231.4</v>
      </c>
      <c r="K1716" s="705">
        <v>2</v>
      </c>
      <c r="L1716" s="695" t="str">
        <f>IF(G1716&lt;&gt;"",IF(VLOOKUP(G1716,base_barras,10,FALSE)&lt;&gt;"",VLOOKUP(G1716,base_barras,10,FALSE),"-"),"-")</f>
        <v>1.5/1600</v>
      </c>
      <c r="M1716" s="478">
        <f>IF(L1716&lt;&gt;"-",VLOOKUP(L1716,precio_aislador,2,FALSE),0)</f>
        <v>22</v>
      </c>
      <c r="N1716" s="696">
        <f t="shared" si="668"/>
        <v>1526.7139999999999</v>
      </c>
      <c r="O1716" s="288"/>
      <c r="P1716" s="297"/>
      <c r="Q1716" s="297"/>
    </row>
    <row r="1717" spans="1:20" s="102" customFormat="1" ht="13.5" thickBot="1">
      <c r="A1717" s="2640"/>
      <c r="B1717" s="707" t="s">
        <v>2562</v>
      </c>
      <c r="C1717" s="701"/>
      <c r="D1717" s="708">
        <f>IF(H1717&lt;&gt;"",VLOOKUP(G1717,base_barras,IF(H1717="Desnuda",2,5)+F1717-1,FALSE),"-")</f>
        <v>1720</v>
      </c>
      <c r="E1717" s="702">
        <v>4</v>
      </c>
      <c r="F1717" s="709">
        <v>2</v>
      </c>
      <c r="G1717" s="710" t="s">
        <v>315</v>
      </c>
      <c r="H1717" s="709" t="s">
        <v>1043</v>
      </c>
      <c r="I1717" s="711">
        <f>0.5+0.8+0.8+0.2</f>
        <v>2.3000000000000003</v>
      </c>
      <c r="J1717" s="480">
        <f>IF(G1717&lt;&gt;"",VLOOKUP(G1717,precio_barras,9,FALSE),0)</f>
        <v>44.400000000000006</v>
      </c>
      <c r="K1717" s="702">
        <v>3</v>
      </c>
      <c r="L1717" s="703" t="str">
        <f>IF(G1717&lt;&gt;"",IF(VLOOKUP(G1717,base_barras,10,FALSE)&lt;&gt;"",VLOOKUP(G1717,base_barras,10,FALSE),"-"),"-")</f>
        <v>1/750</v>
      </c>
      <c r="M1717" s="480">
        <f>IF(L1717&lt;&gt;"-",VLOOKUP(L1717,precio_aislador,2,FALSE),0)</f>
        <v>1.9</v>
      </c>
      <c r="N1717" s="704">
        <f t="shared" si="668"/>
        <v>1752.999</v>
      </c>
      <c r="O1717" s="288"/>
      <c r="P1717" s="297"/>
      <c r="Q1717" s="297"/>
    </row>
    <row r="1718" spans="1:20" s="102" customFormat="1" ht="13.5" thickBot="1">
      <c r="A1718" s="323"/>
      <c r="B1718" s="323"/>
      <c r="C1718" s="309"/>
      <c r="D1718" s="382"/>
      <c r="E1718" s="323"/>
      <c r="F1718" s="309"/>
      <c r="G1718" s="309"/>
      <c r="H1718" s="323"/>
      <c r="I1718" s="325"/>
      <c r="J1718" s="325"/>
      <c r="K1718" s="323"/>
      <c r="L1718" s="323"/>
      <c r="M1718" s="325"/>
      <c r="N1718" s="706">
        <f>SUM(N1708:N1717)</f>
        <v>12496.777</v>
      </c>
      <c r="O1718" s="288"/>
      <c r="P1718" s="297"/>
      <c r="Q1718" s="297"/>
    </row>
    <row r="1719" spans="1:20" s="102" customFormat="1" ht="8.25" customHeight="1" thickBot="1">
      <c r="A1719" s="323"/>
      <c r="B1719" s="323"/>
      <c r="C1719" s="323"/>
      <c r="D1719" s="382"/>
      <c r="E1719" s="323"/>
      <c r="F1719" s="325"/>
      <c r="G1719" s="325"/>
      <c r="H1719" s="325"/>
      <c r="I1719" s="323"/>
      <c r="J1719" s="323"/>
      <c r="K1719" s="323"/>
      <c r="L1719" s="325"/>
      <c r="M1719" s="323"/>
      <c r="N1719" s="309"/>
      <c r="O1719" s="288"/>
      <c r="P1719" s="297"/>
      <c r="Q1719" s="288"/>
    </row>
    <row r="1720" spans="1:20" s="102" customFormat="1">
      <c r="A1720" s="2629" t="s">
        <v>1228</v>
      </c>
      <c r="B1720" s="687" t="s">
        <v>2498</v>
      </c>
      <c r="C1720" s="327"/>
      <c r="D1720" s="328">
        <f>IF(H1720&lt;&gt;"",VLOOKUP(G1720,base_barras,IF(H1720="Desnuda",2,5)+F1720-1,FALSE),"-")</f>
        <v>2850</v>
      </c>
      <c r="E1720" s="481">
        <v>4</v>
      </c>
      <c r="F1720" s="330">
        <v>2</v>
      </c>
      <c r="G1720" s="331" t="s">
        <v>468</v>
      </c>
      <c r="H1720" s="330" t="s">
        <v>1043</v>
      </c>
      <c r="I1720" s="332">
        <f>0+0.2+0.2+0.2+0</f>
        <v>0.60000000000000009</v>
      </c>
      <c r="J1720" s="333">
        <f>IF(G1720&lt;&gt;"",VLOOKUP(G1720,precio_barras,9,FALSE),0)</f>
        <v>88.9</v>
      </c>
      <c r="K1720" s="329">
        <v>0</v>
      </c>
      <c r="L1720" s="343" t="str">
        <f>IF(G1720&lt;&gt;"",IF(VLOOKUP(G1720,base_barras,10,FALSE)&lt;&gt;"",VLOOKUP(G1720,base_barras,10,FALSE),"-"),"-")</f>
        <v>1.5/1250</v>
      </c>
      <c r="M1720" s="333">
        <f>IF(L1720&lt;&gt;"-",VLOOKUP(L1720,precio_aislador,2,FALSE),0)</f>
        <v>5.5</v>
      </c>
      <c r="N1720" s="360">
        <f>(I1720*J1720*F1720+K1720*M1720)*E1720*1.67*1.25</f>
        <v>890.77800000000013</v>
      </c>
      <c r="O1720" s="288"/>
      <c r="P1720" s="297"/>
      <c r="Q1720" s="297"/>
    </row>
    <row r="1721" spans="1:20" s="102" customFormat="1" ht="13.5" thickBot="1">
      <c r="A1721" s="2635"/>
      <c r="B1721" s="707"/>
      <c r="C1721" s="479"/>
      <c r="D1721" s="364" t="str">
        <f>IF(H1721&lt;&gt;"",VLOOKUP(G1721,base_barras,IF(H1721="Desnuda",2,5)+F1721-1,FALSE),"-")</f>
        <v>-</v>
      </c>
      <c r="E1721" s="365"/>
      <c r="F1721" s="366"/>
      <c r="G1721" s="322"/>
      <c r="H1721" s="366"/>
      <c r="I1721" s="367"/>
      <c r="J1721" s="480">
        <f>IF(G1721&lt;&gt;"",VLOOKUP(G1721,precio_barras,9,FALSE),0)</f>
        <v>0</v>
      </c>
      <c r="K1721" s="365"/>
      <c r="L1721" s="369" t="str">
        <f>IF(G1721&lt;&gt;"",IF(VLOOKUP(G1721,base_barras,10,FALSE)&lt;&gt;"",VLOOKUP(G1721,base_barras,10,FALSE),"-"),"-")</f>
        <v>-</v>
      </c>
      <c r="M1721" s="368">
        <f>IF(L1721&lt;&gt;"-",VLOOKUP(L1721,precio_aislador,2,FALSE),0)</f>
        <v>0</v>
      </c>
      <c r="N1721" s="370">
        <f>(I1721*J1721*F1721+K1721*M1721)*E1721*1.67*1.25</f>
        <v>0</v>
      </c>
      <c r="O1721" s="288"/>
      <c r="P1721" s="297"/>
      <c r="Q1721" s="297"/>
    </row>
    <row r="1722" spans="1:20" s="102" customFormat="1" ht="13.5" thickBot="1">
      <c r="A1722" s="323"/>
      <c r="B1722" s="323"/>
      <c r="C1722" s="309"/>
      <c r="D1722" s="382"/>
      <c r="E1722" s="323"/>
      <c r="F1722" s="309"/>
      <c r="G1722" s="309"/>
      <c r="H1722" s="323"/>
      <c r="I1722" s="325"/>
      <c r="J1722" s="325"/>
      <c r="K1722" s="323"/>
      <c r="L1722" s="323"/>
      <c r="M1722" s="325"/>
      <c r="N1722" s="706">
        <f>SUM(N1720:N1721)</f>
        <v>890.77800000000013</v>
      </c>
      <c r="O1722" s="288"/>
      <c r="P1722" s="297"/>
      <c r="Q1722" s="297"/>
    </row>
    <row r="1723" spans="1:20" s="102" customFormat="1" ht="8.25" customHeight="1" thickBot="1">
      <c r="A1723" s="323"/>
      <c r="B1723" s="323"/>
      <c r="C1723" s="323"/>
      <c r="D1723" s="382"/>
      <c r="E1723" s="323"/>
      <c r="F1723" s="325"/>
      <c r="G1723" s="325"/>
      <c r="H1723" s="325"/>
      <c r="I1723" s="323"/>
      <c r="J1723" s="323"/>
      <c r="K1723" s="323"/>
      <c r="L1723" s="325"/>
      <c r="M1723" s="323"/>
      <c r="N1723" s="309"/>
      <c r="O1723" s="288"/>
      <c r="P1723" s="297"/>
      <c r="Q1723" s="288"/>
    </row>
    <row r="1724" spans="1:20" s="102" customFormat="1">
      <c r="A1724" s="2645" t="s">
        <v>2548</v>
      </c>
      <c r="B1724" s="687" t="s">
        <v>2504</v>
      </c>
      <c r="C1724" s="327"/>
      <c r="D1724" s="328">
        <f t="shared" ref="D1724:D1729" si="673">IF(H1724&lt;&gt;"",VLOOKUP(G1724,base_barras,IF(H1724="Desnuda",2,5)+F1724-1,FALSE),"-")</f>
        <v>3170</v>
      </c>
      <c r="E1724" s="329">
        <v>4</v>
      </c>
      <c r="F1724" s="330">
        <v>3</v>
      </c>
      <c r="G1724" s="331" t="s">
        <v>582</v>
      </c>
      <c r="H1724" s="330" t="s">
        <v>1043</v>
      </c>
      <c r="I1724" s="332">
        <f>0.3+0.35</f>
        <v>0.64999999999999991</v>
      </c>
      <c r="J1724" s="333">
        <f t="shared" ref="J1724:J1729" si="674">IF(G1724&lt;&gt;"",VLOOKUP(G1724,precio_barras,9,FALSE),0)</f>
        <v>71.100000000000009</v>
      </c>
      <c r="K1724" s="329">
        <v>0</v>
      </c>
      <c r="L1724" s="343" t="str">
        <f t="shared" ref="L1724:L1729" si="675">IF(G1724&lt;&gt;"",IF(VLOOKUP(G1724,base_barras,10,FALSE)&lt;&gt;"",VLOOKUP(G1724,base_barras,10,FALSE),"-"),"-")</f>
        <v>1/1000</v>
      </c>
      <c r="M1724" s="333">
        <f t="shared" ref="M1724:M1729" si="676">IF(L1724&lt;&gt;"-",VLOOKUP(L1724,precio_aislador,2,FALSE),0)</f>
        <v>2.7</v>
      </c>
      <c r="N1724" s="360">
        <f t="shared" ref="N1724:N1729" si="677">(I1724*J1724*F1724+K1724*M1724)*E1724*1.67*1.25</f>
        <v>1157.6857499999999</v>
      </c>
      <c r="O1724" s="288"/>
      <c r="P1724" s="297"/>
      <c r="Q1724" s="297"/>
    </row>
    <row r="1725" spans="1:20" s="199" customFormat="1" ht="15.75" customHeight="1">
      <c r="A1725" s="2646"/>
      <c r="B1725" s="692" t="s">
        <v>2498</v>
      </c>
      <c r="C1725" s="693"/>
      <c r="D1725" s="697">
        <f t="shared" si="673"/>
        <v>2850</v>
      </c>
      <c r="E1725" s="694">
        <v>4</v>
      </c>
      <c r="F1725" s="655">
        <v>2</v>
      </c>
      <c r="G1725" s="698" t="s">
        <v>468</v>
      </c>
      <c r="H1725" s="655" t="s">
        <v>1043</v>
      </c>
      <c r="I1725" s="398">
        <v>1.2</v>
      </c>
      <c r="J1725" s="478">
        <f t="shared" si="674"/>
        <v>88.9</v>
      </c>
      <c r="K1725" s="694">
        <v>2</v>
      </c>
      <c r="L1725" s="695" t="str">
        <f t="shared" si="675"/>
        <v>1.5/1250</v>
      </c>
      <c r="M1725" s="478">
        <f t="shared" si="676"/>
        <v>5.5</v>
      </c>
      <c r="N1725" s="696">
        <f t="shared" si="677"/>
        <v>1873.4059999999999</v>
      </c>
      <c r="O1725" s="288"/>
      <c r="P1725" s="297"/>
      <c r="Q1725" s="288"/>
      <c r="R1725" s="102"/>
      <c r="S1725" s="102"/>
      <c r="T1725" s="102"/>
    </row>
    <row r="1726" spans="1:20" s="199" customFormat="1" ht="15.75" customHeight="1" thickBot="1">
      <c r="A1726" s="2646"/>
      <c r="B1726" s="707" t="s">
        <v>2498</v>
      </c>
      <c r="C1726" s="479"/>
      <c r="D1726" s="364">
        <f t="shared" si="673"/>
        <v>2850</v>
      </c>
      <c r="E1726" s="365">
        <v>4</v>
      </c>
      <c r="F1726" s="366">
        <v>2</v>
      </c>
      <c r="G1726" s="322" t="s">
        <v>468</v>
      </c>
      <c r="H1726" s="366" t="s">
        <v>1043</v>
      </c>
      <c r="I1726" s="367">
        <v>0.7</v>
      </c>
      <c r="J1726" s="368">
        <f t="shared" si="674"/>
        <v>88.9</v>
      </c>
      <c r="K1726" s="365">
        <v>1</v>
      </c>
      <c r="L1726" s="369" t="str">
        <f t="shared" si="675"/>
        <v>1.5/1250</v>
      </c>
      <c r="M1726" s="368">
        <f t="shared" si="676"/>
        <v>5.5</v>
      </c>
      <c r="N1726" s="370">
        <f t="shared" si="677"/>
        <v>1085.1659999999997</v>
      </c>
      <c r="O1726" s="288"/>
      <c r="P1726" s="297"/>
      <c r="Q1726" s="288"/>
      <c r="R1726" s="102"/>
      <c r="S1726" s="102"/>
      <c r="T1726" s="102"/>
    </row>
    <row r="1727" spans="1:20" s="102" customFormat="1">
      <c r="A1727" s="2646"/>
      <c r="B1727" s="687" t="s">
        <v>2504</v>
      </c>
      <c r="C1727" s="327"/>
      <c r="D1727" s="328">
        <f t="shared" si="673"/>
        <v>3170</v>
      </c>
      <c r="E1727" s="329">
        <v>4</v>
      </c>
      <c r="F1727" s="330">
        <v>3</v>
      </c>
      <c r="G1727" s="331" t="s">
        <v>582</v>
      </c>
      <c r="H1727" s="330" t="s">
        <v>1043</v>
      </c>
      <c r="I1727" s="332">
        <f>0.3+0.35</f>
        <v>0.64999999999999991</v>
      </c>
      <c r="J1727" s="333">
        <f t="shared" si="674"/>
        <v>71.100000000000009</v>
      </c>
      <c r="K1727" s="329">
        <v>0</v>
      </c>
      <c r="L1727" s="343" t="str">
        <f t="shared" si="675"/>
        <v>1/1000</v>
      </c>
      <c r="M1727" s="333">
        <f t="shared" si="676"/>
        <v>2.7</v>
      </c>
      <c r="N1727" s="360">
        <f t="shared" si="677"/>
        <v>1157.6857499999999</v>
      </c>
      <c r="O1727" s="288"/>
      <c r="P1727" s="297"/>
      <c r="Q1727" s="297"/>
    </row>
    <row r="1728" spans="1:20" s="199" customFormat="1" ht="15.75" customHeight="1">
      <c r="A1728" s="2646"/>
      <c r="B1728" s="692" t="s">
        <v>2498</v>
      </c>
      <c r="C1728" s="693"/>
      <c r="D1728" s="697">
        <f t="shared" si="673"/>
        <v>2850</v>
      </c>
      <c r="E1728" s="694">
        <v>4</v>
      </c>
      <c r="F1728" s="655">
        <v>2</v>
      </c>
      <c r="G1728" s="698" t="s">
        <v>468</v>
      </c>
      <c r="H1728" s="655" t="s">
        <v>1043</v>
      </c>
      <c r="I1728" s="398">
        <v>1.2</v>
      </c>
      <c r="J1728" s="478">
        <f t="shared" si="674"/>
        <v>88.9</v>
      </c>
      <c r="K1728" s="694">
        <v>2</v>
      </c>
      <c r="L1728" s="695" t="str">
        <f t="shared" si="675"/>
        <v>1.5/1250</v>
      </c>
      <c r="M1728" s="478">
        <f t="shared" si="676"/>
        <v>5.5</v>
      </c>
      <c r="N1728" s="696">
        <f t="shared" si="677"/>
        <v>1873.4059999999999</v>
      </c>
      <c r="O1728" s="288"/>
      <c r="P1728" s="297"/>
      <c r="Q1728" s="288"/>
      <c r="R1728" s="102"/>
      <c r="S1728" s="102"/>
      <c r="T1728" s="102"/>
    </row>
    <row r="1729" spans="1:20" s="199" customFormat="1" ht="15.75" customHeight="1" thickBot="1">
      <c r="A1729" s="2647"/>
      <c r="B1729" s="707" t="s">
        <v>2498</v>
      </c>
      <c r="C1729" s="479"/>
      <c r="D1729" s="364">
        <f t="shared" si="673"/>
        <v>2850</v>
      </c>
      <c r="E1729" s="365">
        <v>4</v>
      </c>
      <c r="F1729" s="366">
        <v>2</v>
      </c>
      <c r="G1729" s="322" t="s">
        <v>468</v>
      </c>
      <c r="H1729" s="366" t="s">
        <v>1043</v>
      </c>
      <c r="I1729" s="367">
        <v>0.7</v>
      </c>
      <c r="J1729" s="368">
        <f t="shared" si="674"/>
        <v>88.9</v>
      </c>
      <c r="K1729" s="365">
        <v>1</v>
      </c>
      <c r="L1729" s="369" t="str">
        <f t="shared" si="675"/>
        <v>1.5/1250</v>
      </c>
      <c r="M1729" s="368">
        <f t="shared" si="676"/>
        <v>5.5</v>
      </c>
      <c r="N1729" s="370">
        <f t="shared" si="677"/>
        <v>1085.1659999999997</v>
      </c>
      <c r="O1729" s="288"/>
      <c r="P1729" s="297"/>
      <c r="Q1729" s="288"/>
      <c r="R1729" s="102"/>
      <c r="S1729" s="102"/>
      <c r="T1729" s="102"/>
    </row>
    <row r="1730" spans="1:20" s="102" customFormat="1" ht="13.5" thickBot="1">
      <c r="A1730" s="323"/>
      <c r="B1730" s="323"/>
      <c r="C1730" s="309"/>
      <c r="D1730" s="382"/>
      <c r="E1730" s="323"/>
      <c r="F1730" s="309"/>
      <c r="G1730" s="309"/>
      <c r="H1730" s="323"/>
      <c r="I1730" s="325"/>
      <c r="J1730" s="325"/>
      <c r="K1730" s="323"/>
      <c r="L1730" s="323"/>
      <c r="M1730" s="325"/>
      <c r="N1730" s="706">
        <f>SUM(N1724:N1729)</f>
        <v>8232.5154999999977</v>
      </c>
      <c r="O1730" s="288"/>
      <c r="P1730" s="297"/>
      <c r="Q1730" s="297"/>
    </row>
    <row r="1731" spans="1:20" s="102" customFormat="1" ht="8.25" customHeight="1" thickBot="1">
      <c r="A1731" s="323"/>
      <c r="B1731" s="323"/>
      <c r="C1731" s="323"/>
      <c r="D1731" s="382"/>
      <c r="E1731" s="323"/>
      <c r="F1731" s="325"/>
      <c r="G1731" s="325"/>
      <c r="H1731" s="325"/>
      <c r="I1731" s="323"/>
      <c r="J1731" s="323"/>
      <c r="K1731" s="323"/>
      <c r="L1731" s="325"/>
      <c r="M1731" s="323"/>
      <c r="N1731" s="309"/>
      <c r="O1731" s="288"/>
      <c r="P1731" s="297"/>
      <c r="Q1731" s="288"/>
    </row>
    <row r="1732" spans="1:20" s="102" customFormat="1">
      <c r="A1732" s="2629" t="s">
        <v>1034</v>
      </c>
      <c r="B1732" s="687" t="s">
        <v>2504</v>
      </c>
      <c r="C1732" s="327"/>
      <c r="D1732" s="328">
        <f>IF(H1732&lt;&gt;"",VLOOKUP(G1732,base_barras,IF(H1732="Desnuda",2,5)+F1732-1,FALSE),"-")</f>
        <v>3170</v>
      </c>
      <c r="E1732" s="329">
        <v>4</v>
      </c>
      <c r="F1732" s="330">
        <v>3</v>
      </c>
      <c r="G1732" s="331" t="s">
        <v>582</v>
      </c>
      <c r="H1732" s="330" t="s">
        <v>1043</v>
      </c>
      <c r="I1732" s="332">
        <v>0</v>
      </c>
      <c r="J1732" s="333">
        <f>IF(G1732&lt;&gt;"",VLOOKUP(G1732,precio_barras,9,FALSE),0)</f>
        <v>71.100000000000009</v>
      </c>
      <c r="K1732" s="329">
        <v>0</v>
      </c>
      <c r="L1732" s="343" t="str">
        <f>IF(G1732&lt;&gt;"",IF(VLOOKUP(G1732,base_barras,10,FALSE)&lt;&gt;"",VLOOKUP(G1732,base_barras,10,FALSE),"-"),"-")</f>
        <v>1/1000</v>
      </c>
      <c r="M1732" s="333">
        <f>IF(L1732&lt;&gt;"-",VLOOKUP(L1732,precio_aislador,2,FALSE),0)</f>
        <v>2.7</v>
      </c>
      <c r="N1732" s="360">
        <f>(I1732*J1732*F1732+K1732*M1732)*E1732*1.67*1.25</f>
        <v>0</v>
      </c>
      <c r="O1732" s="288"/>
      <c r="P1732" s="297"/>
      <c r="Q1732" s="297"/>
    </row>
    <row r="1733" spans="1:20" s="102" customFormat="1" ht="13.5" thickBot="1">
      <c r="A1733" s="2635"/>
      <c r="B1733" s="700" t="s">
        <v>2504</v>
      </c>
      <c r="C1733" s="701"/>
      <c r="D1733" s="708">
        <f>IF(H1733&lt;&gt;"",VLOOKUP(G1733,base_barras,IF(H1733="Desnuda",2,5)+F1733-1,FALSE),"-")</f>
        <v>3170</v>
      </c>
      <c r="E1733" s="702">
        <v>4</v>
      </c>
      <c r="F1733" s="709">
        <v>3</v>
      </c>
      <c r="G1733" s="710" t="s">
        <v>582</v>
      </c>
      <c r="H1733" s="709" t="s">
        <v>1043</v>
      </c>
      <c r="I1733" s="711">
        <v>0</v>
      </c>
      <c r="J1733" s="480">
        <f>IF(G1733&lt;&gt;"",VLOOKUP(G1733,precio_barras,9,FALSE),0)</f>
        <v>71.100000000000009</v>
      </c>
      <c r="K1733" s="702">
        <v>0</v>
      </c>
      <c r="L1733" s="703" t="str">
        <f>IF(G1733&lt;&gt;"",IF(VLOOKUP(G1733,base_barras,10,FALSE)&lt;&gt;"",VLOOKUP(G1733,base_barras,10,FALSE),"-"),"-")</f>
        <v>1/1000</v>
      </c>
      <c r="M1733" s="480">
        <f>IF(L1733&lt;&gt;"-",VLOOKUP(L1733,precio_aislador,2,FALSE),0)</f>
        <v>2.7</v>
      </c>
      <c r="N1733" s="704">
        <f>(I1733*J1733*F1733+K1733*M1733)*E1733*1.67*1.25</f>
        <v>0</v>
      </c>
      <c r="O1733" s="288"/>
      <c r="P1733" s="297"/>
      <c r="Q1733" s="297"/>
    </row>
    <row r="1734" spans="1:20" s="102" customFormat="1" ht="13.5" thickBot="1">
      <c r="A1734" s="323"/>
      <c r="B1734" s="323"/>
      <c r="C1734" s="309"/>
      <c r="D1734" s="382"/>
      <c r="E1734" s="323"/>
      <c r="F1734" s="309"/>
      <c r="G1734" s="309"/>
      <c r="H1734" s="323"/>
      <c r="I1734" s="325"/>
      <c r="J1734" s="325"/>
      <c r="K1734" s="323"/>
      <c r="L1734" s="323"/>
      <c r="M1734" s="325"/>
      <c r="N1734" s="706">
        <f>SUM(N1732:N1733)</f>
        <v>0</v>
      </c>
      <c r="O1734" s="288"/>
      <c r="P1734" s="297"/>
      <c r="Q1734" s="297"/>
    </row>
    <row r="1735" spans="1:20" s="102" customFormat="1">
      <c r="A1735" s="323"/>
      <c r="B1735" s="309"/>
      <c r="C1735" s="309"/>
      <c r="D1735" s="382"/>
      <c r="E1735" s="323"/>
      <c r="F1735" s="309"/>
      <c r="G1735" s="309"/>
      <c r="H1735" s="323"/>
      <c r="I1735" s="325"/>
      <c r="J1735" s="325"/>
      <c r="K1735" s="323"/>
      <c r="L1735" s="323"/>
      <c r="M1735" s="325"/>
      <c r="N1735" s="722"/>
      <c r="O1735" s="288"/>
      <c r="P1735" s="297"/>
      <c r="Q1735" s="297"/>
    </row>
    <row r="1736" spans="1:20" s="102" customFormat="1">
      <c r="A1736" s="323"/>
      <c r="B1736" s="309"/>
      <c r="C1736" s="309"/>
      <c r="D1736" s="382"/>
      <c r="E1736" s="323"/>
      <c r="F1736" s="309"/>
      <c r="G1736" s="309"/>
      <c r="H1736" s="323"/>
      <c r="I1736" s="325"/>
      <c r="J1736" s="325"/>
      <c r="K1736" s="323"/>
      <c r="L1736" s="323"/>
      <c r="M1736" s="325"/>
      <c r="N1736" s="722"/>
      <c r="O1736" s="288"/>
      <c r="P1736" s="297"/>
      <c r="Q1736" s="297"/>
    </row>
    <row r="1737" spans="1:20" s="102" customFormat="1" ht="15">
      <c r="A1737" s="323"/>
      <c r="B1737" s="723" t="s">
        <v>2513</v>
      </c>
      <c r="C1737" s="309"/>
      <c r="D1737" s="382"/>
      <c r="E1737" s="323"/>
      <c r="F1737" s="309"/>
      <c r="G1737" s="309"/>
      <c r="H1737" s="323"/>
      <c r="I1737" s="325"/>
      <c r="J1737" s="325"/>
      <c r="K1737" s="323"/>
      <c r="L1737" s="323"/>
      <c r="M1737" s="325"/>
      <c r="N1737" s="722"/>
      <c r="O1737" s="288"/>
      <c r="P1737" s="297"/>
      <c r="Q1737" s="297"/>
    </row>
    <row r="1738" spans="1:20" s="102" customFormat="1" ht="15">
      <c r="A1738" s="323"/>
      <c r="B1738" s="723"/>
      <c r="C1738" s="309"/>
      <c r="D1738" s="382"/>
      <c r="E1738" s="323"/>
      <c r="F1738" s="309"/>
      <c r="G1738" s="309"/>
      <c r="H1738" s="323"/>
      <c r="I1738" s="325"/>
      <c r="J1738" s="325"/>
      <c r="K1738" s="323"/>
      <c r="L1738" s="323"/>
      <c r="M1738" s="325"/>
      <c r="N1738" s="722"/>
      <c r="O1738" s="288"/>
      <c r="P1738" s="297"/>
      <c r="Q1738" s="297"/>
    </row>
    <row r="1739" spans="1:20" s="106" customFormat="1" ht="29.25" customHeight="1">
      <c r="B1739" s="724"/>
    </row>
    <row r="1740" spans="1:20" s="106" customFormat="1" ht="13.5" thickBot="1"/>
    <row r="1741" spans="1:20" s="199" customFormat="1" ht="15.75" customHeight="1">
      <c r="A1741" s="2641" t="s">
        <v>2563</v>
      </c>
      <c r="B1741" s="687" t="s">
        <v>2498</v>
      </c>
      <c r="C1741" s="327"/>
      <c r="D1741" s="328">
        <f>IF(H1741&lt;&gt;"",VLOOKUP(G1741,base_barras,IF(H1741="Desnuda",2,5)+F1741-1,FALSE),"-")</f>
        <v>1180</v>
      </c>
      <c r="E1741" s="329">
        <v>4</v>
      </c>
      <c r="F1741" s="330">
        <v>1</v>
      </c>
      <c r="G1741" s="331" t="s">
        <v>581</v>
      </c>
      <c r="H1741" s="330" t="s">
        <v>1043</v>
      </c>
      <c r="I1741" s="332">
        <f>1.2+0.8+1.2+0.8</f>
        <v>4</v>
      </c>
      <c r="J1741" s="333">
        <f t="shared" ref="J1741:J1752" si="678">IF(G1741&lt;&gt;"",VLOOKUP(G1741,precio_barras,9,FALSE),0)</f>
        <v>53.3</v>
      </c>
      <c r="K1741" s="329">
        <f>2+2+2+2</f>
        <v>8</v>
      </c>
      <c r="L1741" s="343" t="str">
        <f>IF(G1741&lt;&gt;"",IF(VLOOKUP(G1741,base_barras,10,FALSE)&lt;&gt;"",VLOOKUP(G1741,base_barras,10,FALSE),"-"),"-")</f>
        <v>1/750</v>
      </c>
      <c r="M1741" s="333">
        <f>IF(L1741&lt;&gt;"-",VLOOKUP(L1741,precio_aislador,2,FALSE),0)</f>
        <v>1.9</v>
      </c>
      <c r="N1741" s="360">
        <f t="shared" ref="N1741:N1752" si="679">(I1741*J1741*F1741+K1741*M1741)*E1741*1.67*1.25</f>
        <v>1907.1399999999996</v>
      </c>
      <c r="O1741" s="288"/>
      <c r="P1741" s="297"/>
      <c r="Q1741" s="288"/>
      <c r="R1741" s="102"/>
      <c r="S1741" s="102"/>
      <c r="T1741" s="102"/>
    </row>
    <row r="1742" spans="1:20" s="199" customFormat="1" ht="14.25">
      <c r="A1742" s="2642"/>
      <c r="B1742" s="688" t="s">
        <v>802</v>
      </c>
      <c r="C1742" s="319"/>
      <c r="D1742" s="312">
        <f t="shared" ref="D1742:D1748" si="680">IF(H1742&lt;&gt;"",VLOOKUP(G1742,base_barras,IF(H1742="Desnuda",2,5)+F1742-1,FALSE),"-")</f>
        <v>676</v>
      </c>
      <c r="E1742" s="313">
        <v>1</v>
      </c>
      <c r="F1742" s="314">
        <v>1</v>
      </c>
      <c r="G1742" s="315" t="s">
        <v>314</v>
      </c>
      <c r="H1742" s="689" t="str">
        <f>H1741</f>
        <v>Pintada</v>
      </c>
      <c r="I1742" s="690">
        <f>I1741</f>
        <v>4</v>
      </c>
      <c r="J1742" s="317">
        <f t="shared" si="678"/>
        <v>26.6</v>
      </c>
      <c r="K1742" s="691">
        <v>0</v>
      </c>
      <c r="L1742" s="318" t="str">
        <f t="shared" ref="L1742:L1748" si="681">IF(G1742&lt;&gt;"",IF(VLOOKUP(G1742,base_barras,10,FALSE)&lt;&gt;"",VLOOKUP(G1742,base_barras,10,FALSE),"-"),"-")</f>
        <v>1/750</v>
      </c>
      <c r="M1742" s="317">
        <f t="shared" ref="M1742:M1748" si="682">IF(L1742&lt;&gt;"-",VLOOKUP(L1742,precio_aislador,2,FALSE),0)</f>
        <v>1.9</v>
      </c>
      <c r="N1742" s="308">
        <f t="shared" si="679"/>
        <v>222.10999999999999</v>
      </c>
      <c r="O1742" s="288"/>
      <c r="P1742" s="297"/>
      <c r="Q1742" s="288"/>
      <c r="R1742" s="102"/>
      <c r="S1742" s="102"/>
      <c r="T1742" s="102"/>
    </row>
    <row r="1743" spans="1:20" s="199" customFormat="1" ht="15.75" customHeight="1">
      <c r="A1743" s="2642"/>
      <c r="B1743" s="692" t="s">
        <v>2564</v>
      </c>
      <c r="C1743" s="693"/>
      <c r="D1743" s="697">
        <f t="shared" si="680"/>
        <v>1020</v>
      </c>
      <c r="E1743" s="694">
        <v>4</v>
      </c>
      <c r="F1743" s="655">
        <v>1</v>
      </c>
      <c r="G1743" s="698" t="s">
        <v>315</v>
      </c>
      <c r="H1743" s="655" t="s">
        <v>1043</v>
      </c>
      <c r="I1743" s="398">
        <v>0.61</v>
      </c>
      <c r="J1743" s="478">
        <f t="shared" si="678"/>
        <v>44.400000000000006</v>
      </c>
      <c r="K1743" s="694">
        <v>0</v>
      </c>
      <c r="L1743" s="695" t="str">
        <f t="shared" si="681"/>
        <v>1/750</v>
      </c>
      <c r="M1743" s="478">
        <f t="shared" si="682"/>
        <v>1.9</v>
      </c>
      <c r="N1743" s="696">
        <f t="shared" si="679"/>
        <v>226.1514</v>
      </c>
      <c r="O1743" s="288"/>
      <c r="P1743" s="297"/>
      <c r="Q1743" s="288"/>
      <c r="R1743" s="102"/>
      <c r="S1743" s="102"/>
      <c r="T1743" s="102"/>
    </row>
    <row r="1744" spans="1:20" s="199" customFormat="1" ht="15.75" customHeight="1">
      <c r="A1744" s="2642"/>
      <c r="B1744" s="692" t="s">
        <v>2565</v>
      </c>
      <c r="C1744" s="693"/>
      <c r="D1744" s="697">
        <f t="shared" si="680"/>
        <v>1020</v>
      </c>
      <c r="E1744" s="694">
        <v>4</v>
      </c>
      <c r="F1744" s="655">
        <v>1</v>
      </c>
      <c r="G1744" s="698" t="s">
        <v>315</v>
      </c>
      <c r="H1744" s="655" t="s">
        <v>1043</v>
      </c>
      <c r="I1744" s="398">
        <v>0.61</v>
      </c>
      <c r="J1744" s="478">
        <f>IF(G1744&lt;&gt;"",VLOOKUP(G1744,precio_barras,9,FALSE),0)</f>
        <v>44.400000000000006</v>
      </c>
      <c r="K1744" s="694">
        <v>0</v>
      </c>
      <c r="L1744" s="695" t="str">
        <f t="shared" si="681"/>
        <v>1/750</v>
      </c>
      <c r="M1744" s="478">
        <f t="shared" si="682"/>
        <v>1.9</v>
      </c>
      <c r="N1744" s="696">
        <f t="shared" si="679"/>
        <v>226.1514</v>
      </c>
      <c r="O1744" s="288"/>
      <c r="P1744" s="297"/>
      <c r="Q1744" s="288"/>
      <c r="R1744" s="102"/>
      <c r="S1744" s="102"/>
      <c r="T1744" s="102"/>
    </row>
    <row r="1745" spans="1:20" s="199" customFormat="1" ht="15.75" customHeight="1">
      <c r="A1745" s="2642"/>
      <c r="B1745" s="692" t="s">
        <v>2566</v>
      </c>
      <c r="C1745" s="693"/>
      <c r="D1745" s="697">
        <f t="shared" si="680"/>
        <v>319</v>
      </c>
      <c r="E1745" s="694">
        <v>4</v>
      </c>
      <c r="F1745" s="655">
        <v>1</v>
      </c>
      <c r="G1745" s="698" t="s">
        <v>61</v>
      </c>
      <c r="H1745" s="655" t="s">
        <v>1043</v>
      </c>
      <c r="I1745" s="398">
        <v>0.61</v>
      </c>
      <c r="J1745" s="478">
        <f>IF(G1745&lt;&gt;"",VLOOKUP(G1745,precio_barras,9,FALSE),0)</f>
        <v>8.8000000000000007</v>
      </c>
      <c r="K1745" s="694">
        <v>0</v>
      </c>
      <c r="L1745" s="695" t="str">
        <f t="shared" si="681"/>
        <v>-</v>
      </c>
      <c r="M1745" s="478">
        <f t="shared" si="682"/>
        <v>0</v>
      </c>
      <c r="N1745" s="696">
        <f t="shared" si="679"/>
        <v>44.822800000000001</v>
      </c>
      <c r="O1745" s="288"/>
      <c r="P1745" s="297"/>
      <c r="Q1745" s="288"/>
      <c r="R1745" s="102"/>
      <c r="S1745" s="102"/>
      <c r="T1745" s="102"/>
    </row>
    <row r="1746" spans="1:20" s="199" customFormat="1" ht="15.75" customHeight="1">
      <c r="A1746" s="2642"/>
      <c r="B1746" s="692" t="s">
        <v>2518</v>
      </c>
      <c r="C1746" s="693"/>
      <c r="D1746" s="312">
        <f t="shared" si="680"/>
        <v>327</v>
      </c>
      <c r="E1746" s="313">
        <v>4</v>
      </c>
      <c r="F1746" s="314">
        <v>1</v>
      </c>
      <c r="G1746" s="315" t="s">
        <v>63</v>
      </c>
      <c r="H1746" s="314" t="s">
        <v>1044</v>
      </c>
      <c r="I1746" s="316">
        <v>0.4</v>
      </c>
      <c r="J1746" s="317">
        <f>IF(G1746&lt;&gt;"",VLOOKUP(G1746,precio_barras,9,FALSE),0)</f>
        <v>11.100000000000001</v>
      </c>
      <c r="K1746" s="694">
        <v>0</v>
      </c>
      <c r="L1746" s="695" t="str">
        <f t="shared" si="681"/>
        <v>0.5/400</v>
      </c>
      <c r="M1746" s="478">
        <f t="shared" si="682"/>
        <v>1.2</v>
      </c>
      <c r="N1746" s="696">
        <f t="shared" si="679"/>
        <v>37.074000000000005</v>
      </c>
      <c r="O1746" s="288"/>
      <c r="P1746" s="297"/>
      <c r="Q1746" s="288"/>
      <c r="R1746" s="102"/>
      <c r="S1746" s="102"/>
      <c r="T1746" s="102"/>
    </row>
    <row r="1747" spans="1:20" s="199" customFormat="1" ht="15.75" customHeight="1">
      <c r="A1747" s="2642"/>
      <c r="B1747" s="692" t="s">
        <v>2525</v>
      </c>
      <c r="C1747" s="693"/>
      <c r="D1747" s="697">
        <f t="shared" si="680"/>
        <v>1020</v>
      </c>
      <c r="E1747" s="694">
        <v>4</v>
      </c>
      <c r="F1747" s="655">
        <v>1</v>
      </c>
      <c r="G1747" s="698" t="s">
        <v>315</v>
      </c>
      <c r="H1747" s="655" t="s">
        <v>1043</v>
      </c>
      <c r="I1747" s="316">
        <f>0.3+0.15+0.15</f>
        <v>0.6</v>
      </c>
      <c r="J1747" s="478">
        <f>IF(G1747&lt;&gt;"",VLOOKUP(G1747,precio_barras,9,FALSE),0)</f>
        <v>44.400000000000006</v>
      </c>
      <c r="K1747" s="694">
        <v>0</v>
      </c>
      <c r="L1747" s="695" t="str">
        <f t="shared" si="681"/>
        <v>1/750</v>
      </c>
      <c r="M1747" s="478">
        <f t="shared" si="682"/>
        <v>1.9</v>
      </c>
      <c r="N1747" s="696">
        <f t="shared" si="679"/>
        <v>222.44400000000002</v>
      </c>
      <c r="O1747" s="288"/>
      <c r="P1747" s="297"/>
      <c r="Q1747" s="288"/>
      <c r="R1747" s="102"/>
      <c r="S1747" s="102"/>
      <c r="T1747" s="102"/>
    </row>
    <row r="1748" spans="1:20" s="199" customFormat="1" ht="15.75" customHeight="1">
      <c r="A1748" s="2642"/>
      <c r="B1748" s="692" t="s">
        <v>2525</v>
      </c>
      <c r="C1748" s="693"/>
      <c r="D1748" s="312">
        <f t="shared" si="680"/>
        <v>1020</v>
      </c>
      <c r="E1748" s="313">
        <v>4</v>
      </c>
      <c r="F1748" s="314">
        <v>1</v>
      </c>
      <c r="G1748" s="315" t="s">
        <v>315</v>
      </c>
      <c r="H1748" s="314" t="s">
        <v>1043</v>
      </c>
      <c r="I1748" s="316">
        <v>0.61</v>
      </c>
      <c r="J1748" s="317">
        <f>IF(G1748&lt;&gt;"",VLOOKUP(G1748,precio_barras,9,FALSE),0)</f>
        <v>44.400000000000006</v>
      </c>
      <c r="K1748" s="694">
        <v>0</v>
      </c>
      <c r="L1748" s="695" t="str">
        <f t="shared" si="681"/>
        <v>1/750</v>
      </c>
      <c r="M1748" s="478">
        <f t="shared" si="682"/>
        <v>1.9</v>
      </c>
      <c r="N1748" s="696">
        <f>(I1748*J1748*F1748+K1748*M1748)*E1748*1.67*1.25</f>
        <v>226.1514</v>
      </c>
      <c r="O1748" s="288"/>
      <c r="P1748" s="297"/>
      <c r="Q1748" s="288"/>
      <c r="R1748" s="102"/>
      <c r="S1748" s="102"/>
      <c r="T1748" s="102"/>
    </row>
    <row r="1749" spans="1:20" s="199" customFormat="1" ht="15.75" customHeight="1">
      <c r="A1749" s="2642"/>
      <c r="B1749" s="692" t="s">
        <v>2525</v>
      </c>
      <c r="C1749" s="693"/>
      <c r="D1749" s="312">
        <f>IF(H1749&lt;&gt;"",VLOOKUP(G1749,base_barras,IF(H1749="Desnuda",2,5)+F1749-1,FALSE),"-")</f>
        <v>1020</v>
      </c>
      <c r="E1749" s="313">
        <v>4</v>
      </c>
      <c r="F1749" s="314">
        <v>1</v>
      </c>
      <c r="G1749" s="315" t="s">
        <v>315</v>
      </c>
      <c r="H1749" s="314" t="s">
        <v>1043</v>
      </c>
      <c r="I1749" s="316">
        <f>0.3+0.15+0.15</f>
        <v>0.6</v>
      </c>
      <c r="J1749" s="317">
        <f t="shared" si="678"/>
        <v>44.400000000000006</v>
      </c>
      <c r="K1749" s="694">
        <v>0</v>
      </c>
      <c r="L1749" s="695" t="str">
        <f>IF(G1749&lt;&gt;"",IF(VLOOKUP(G1749,base_barras,10,FALSE)&lt;&gt;"",VLOOKUP(G1749,base_barras,10,FALSE),"-"),"-")</f>
        <v>1/750</v>
      </c>
      <c r="M1749" s="478">
        <f>IF(L1749&lt;&gt;"-",VLOOKUP(L1749,precio_aislador,2,FALSE),0)</f>
        <v>1.9</v>
      </c>
      <c r="N1749" s="696">
        <f t="shared" si="679"/>
        <v>222.44400000000002</v>
      </c>
      <c r="O1749" s="288"/>
      <c r="P1749" s="297"/>
      <c r="Q1749" s="288"/>
      <c r="R1749" s="102"/>
      <c r="S1749" s="102"/>
      <c r="T1749" s="102"/>
    </row>
    <row r="1750" spans="1:20" s="199" customFormat="1" ht="15.75" customHeight="1">
      <c r="A1750" s="2642"/>
      <c r="B1750" s="692" t="s">
        <v>2525</v>
      </c>
      <c r="C1750" s="693"/>
      <c r="D1750" s="312">
        <f>IF(H1750&lt;&gt;"",VLOOKUP(G1750,base_barras,IF(H1750="Desnuda",2,5)+F1750-1,FALSE),"-")</f>
        <v>1020</v>
      </c>
      <c r="E1750" s="313">
        <v>4</v>
      </c>
      <c r="F1750" s="314">
        <v>1</v>
      </c>
      <c r="G1750" s="315" t="s">
        <v>315</v>
      </c>
      <c r="H1750" s="314" t="s">
        <v>1043</v>
      </c>
      <c r="I1750" s="316">
        <v>0.61</v>
      </c>
      <c r="J1750" s="317">
        <f t="shared" si="678"/>
        <v>44.400000000000006</v>
      </c>
      <c r="K1750" s="694">
        <v>0</v>
      </c>
      <c r="L1750" s="695" t="str">
        <f>IF(G1750&lt;&gt;"",IF(VLOOKUP(G1750,base_barras,10,FALSE)&lt;&gt;"",VLOOKUP(G1750,base_barras,10,FALSE),"-"),"-")</f>
        <v>1/750</v>
      </c>
      <c r="M1750" s="478">
        <f>IF(L1750&lt;&gt;"-",VLOOKUP(L1750,precio_aislador,2,FALSE),0)</f>
        <v>1.9</v>
      </c>
      <c r="N1750" s="696">
        <f t="shared" si="679"/>
        <v>226.1514</v>
      </c>
      <c r="O1750" s="288"/>
      <c r="P1750" s="297"/>
      <c r="Q1750" s="288"/>
      <c r="R1750" s="102"/>
      <c r="S1750" s="102"/>
      <c r="T1750" s="102"/>
    </row>
    <row r="1751" spans="1:20" s="199" customFormat="1" ht="15.75" customHeight="1">
      <c r="A1751" s="2642"/>
      <c r="B1751" s="692" t="s">
        <v>2518</v>
      </c>
      <c r="C1751" s="693"/>
      <c r="D1751" s="312">
        <f>IF(H1751&lt;&gt;"",VLOOKUP(G1751,base_barras,IF(H1751="Desnuda",2,5)+F1751-1,FALSE),"-")</f>
        <v>327</v>
      </c>
      <c r="E1751" s="313">
        <v>4</v>
      </c>
      <c r="F1751" s="314">
        <v>1</v>
      </c>
      <c r="G1751" s="315" t="s">
        <v>63</v>
      </c>
      <c r="H1751" s="314" t="s">
        <v>1044</v>
      </c>
      <c r="I1751" s="316">
        <v>0.4</v>
      </c>
      <c r="J1751" s="317">
        <f>IF(G1751&lt;&gt;"",VLOOKUP(G1751,precio_barras,9,FALSE),0)</f>
        <v>11.100000000000001</v>
      </c>
      <c r="K1751" s="694">
        <v>0</v>
      </c>
      <c r="L1751" s="695" t="str">
        <f>IF(G1751&lt;&gt;"",IF(VLOOKUP(G1751,base_barras,10,FALSE)&lt;&gt;"",VLOOKUP(G1751,base_barras,10,FALSE),"-"),"-")</f>
        <v>0.5/400</v>
      </c>
      <c r="M1751" s="478">
        <f>IF(L1751&lt;&gt;"-",VLOOKUP(L1751,precio_aislador,2,FALSE),0)</f>
        <v>1.2</v>
      </c>
      <c r="N1751" s="696">
        <f t="shared" si="679"/>
        <v>37.074000000000005</v>
      </c>
      <c r="O1751" s="288"/>
      <c r="P1751" s="297"/>
      <c r="Q1751" s="288"/>
      <c r="R1751" s="102"/>
      <c r="S1751" s="102"/>
      <c r="T1751" s="102"/>
    </row>
    <row r="1752" spans="1:20" s="199" customFormat="1" ht="15.75" customHeight="1" thickBot="1">
      <c r="A1752" s="2643"/>
      <c r="B1752" s="700" t="s">
        <v>2525</v>
      </c>
      <c r="C1752" s="701"/>
      <c r="D1752" s="364">
        <f>IF(H1752&lt;&gt;"",VLOOKUP(G1752,base_barras,IF(H1752="Desnuda",2,5)+F1752-1,FALSE),"-")</f>
        <v>1020</v>
      </c>
      <c r="E1752" s="365">
        <v>4</v>
      </c>
      <c r="F1752" s="366">
        <v>1</v>
      </c>
      <c r="G1752" s="322" t="s">
        <v>315</v>
      </c>
      <c r="H1752" s="366" t="s">
        <v>1043</v>
      </c>
      <c r="I1752" s="367">
        <f>0.3+0.15+0.15</f>
        <v>0.6</v>
      </c>
      <c r="J1752" s="368">
        <f t="shared" si="678"/>
        <v>44.400000000000006</v>
      </c>
      <c r="K1752" s="702">
        <v>0</v>
      </c>
      <c r="L1752" s="703" t="str">
        <f>IF(G1752&lt;&gt;"",IF(VLOOKUP(G1752,base_barras,10,FALSE)&lt;&gt;"",VLOOKUP(G1752,base_barras,10,FALSE),"-"),"-")</f>
        <v>1/750</v>
      </c>
      <c r="M1752" s="480">
        <f>IF(L1752&lt;&gt;"-",VLOOKUP(L1752,precio_aislador,2,FALSE),0)</f>
        <v>1.9</v>
      </c>
      <c r="N1752" s="704">
        <f t="shared" si="679"/>
        <v>222.44400000000002</v>
      </c>
      <c r="O1752" s="288"/>
      <c r="P1752" s="297"/>
      <c r="Q1752" s="288"/>
      <c r="R1752" s="102"/>
      <c r="S1752" s="102"/>
      <c r="T1752" s="102"/>
    </row>
    <row r="1753" spans="1:20" s="129" customFormat="1" ht="22.5" customHeight="1" thickBot="1">
      <c r="A1753" s="737"/>
      <c r="B1753" s="323"/>
      <c r="C1753" s="309"/>
      <c r="D1753" s="382"/>
      <c r="E1753" s="323"/>
      <c r="F1753" s="323"/>
      <c r="G1753" s="323"/>
      <c r="H1753" s="323"/>
      <c r="I1753" s="325"/>
      <c r="J1753" s="325"/>
      <c r="K1753" s="323"/>
      <c r="L1753" s="323"/>
      <c r="M1753" s="738"/>
      <c r="N1753" s="699">
        <f>SUM(N1741:N1752)</f>
        <v>3820.1584000000003</v>
      </c>
      <c r="O1753" s="288"/>
      <c r="P1753" s="297"/>
      <c r="Q1753" s="288"/>
      <c r="R1753" s="102"/>
      <c r="S1753" s="102"/>
      <c r="T1753" s="102"/>
    </row>
    <row r="1754" spans="1:20" s="102" customFormat="1" ht="8.25" customHeight="1" thickBot="1">
      <c r="A1754" s="323"/>
      <c r="B1754" s="323"/>
      <c r="C1754" s="323"/>
      <c r="D1754" s="382"/>
      <c r="E1754" s="323"/>
      <c r="F1754" s="325"/>
      <c r="G1754" s="325"/>
      <c r="H1754" s="325"/>
      <c r="I1754" s="323"/>
      <c r="J1754" s="323"/>
      <c r="K1754" s="323"/>
      <c r="L1754" s="325"/>
      <c r="M1754" s="323"/>
      <c r="N1754" s="309"/>
      <c r="O1754" s="288"/>
      <c r="P1754" s="297"/>
      <c r="Q1754" s="288"/>
    </row>
    <row r="1755" spans="1:20" s="102" customFormat="1" ht="12.75" customHeight="1">
      <c r="A1755" s="2639" t="s">
        <v>2502</v>
      </c>
      <c r="B1755" s="687" t="s">
        <v>2503</v>
      </c>
      <c r="C1755" s="327"/>
      <c r="D1755" s="328">
        <f>IF(H1755&lt;&gt;"",VLOOKUP(G1755,base_barras,IF(H1755="Desnuda",2,5)+F1755-1,FALSE),"-")</f>
        <v>3290</v>
      </c>
      <c r="E1755" s="329">
        <v>4</v>
      </c>
      <c r="F1755" s="330">
        <v>1</v>
      </c>
      <c r="G1755" s="331" t="s">
        <v>584</v>
      </c>
      <c r="H1755" s="330" t="s">
        <v>1043</v>
      </c>
      <c r="I1755" s="332">
        <v>0</v>
      </c>
      <c r="J1755" s="333">
        <f>IF(G1755&lt;&gt;"",VLOOKUP(G1755,precio_barras,9,FALSE),0)</f>
        <v>231.4</v>
      </c>
      <c r="K1755" s="481">
        <v>0</v>
      </c>
      <c r="L1755" s="343" t="str">
        <f>IF(G1755&lt;&gt;"",IF(VLOOKUP(G1755,base_barras,10,FALSE)&lt;&gt;"",VLOOKUP(G1755,base_barras,10,FALSE),"-"),"-")</f>
        <v>1.5/1600</v>
      </c>
      <c r="M1755" s="333">
        <f>IF(L1755&lt;&gt;"-",VLOOKUP(L1755,precio_aislador,2,FALSE),0)</f>
        <v>22</v>
      </c>
      <c r="N1755" s="360">
        <f>(I1755*J1755*F1755+K1755*M1755)*E1755*1.67*1.25</f>
        <v>0</v>
      </c>
      <c r="O1755" s="288"/>
      <c r="P1755" s="297"/>
      <c r="Q1755" s="297"/>
    </row>
    <row r="1756" spans="1:20" s="199" customFormat="1" ht="15.75" customHeight="1" thickBot="1">
      <c r="A1756" s="2644"/>
      <c r="B1756" s="700" t="s">
        <v>2504</v>
      </c>
      <c r="C1756" s="701"/>
      <c r="D1756" s="364">
        <f>IF(H1756&lt;&gt;"",VLOOKUP(G1756,base_barras,IF(H1756="Desnuda",2,5)+F1756-1,FALSE),"-")</f>
        <v>3170</v>
      </c>
      <c r="E1756" s="365">
        <v>4</v>
      </c>
      <c r="F1756" s="366">
        <v>3</v>
      </c>
      <c r="G1756" s="322" t="s">
        <v>582</v>
      </c>
      <c r="H1756" s="366" t="s">
        <v>1043</v>
      </c>
      <c r="I1756" s="367">
        <v>0</v>
      </c>
      <c r="J1756" s="368">
        <f>IF(G1756&lt;&gt;"",VLOOKUP(G1756,precio_barras,9,FALSE),0)</f>
        <v>71.100000000000009</v>
      </c>
      <c r="K1756" s="702">
        <v>0</v>
      </c>
      <c r="L1756" s="703" t="str">
        <f>IF(G1756&lt;&gt;"",IF(VLOOKUP(G1756,base_barras,10,FALSE)&lt;&gt;"",VLOOKUP(G1756,base_barras,10,FALSE),"-"),"-")</f>
        <v>1/1000</v>
      </c>
      <c r="M1756" s="480">
        <f>IF(L1756&lt;&gt;"-",VLOOKUP(L1756,precio_aislador,2,FALSE),0)</f>
        <v>2.7</v>
      </c>
      <c r="N1756" s="704">
        <f>(I1756*J1756*F1756+K1756*M1756)*E1756*1.67*1.25</f>
        <v>0</v>
      </c>
      <c r="O1756" s="288"/>
      <c r="P1756" s="297"/>
      <c r="Q1756" s="288"/>
      <c r="R1756" s="102"/>
      <c r="S1756" s="102"/>
      <c r="T1756" s="102"/>
    </row>
    <row r="1757" spans="1:20" s="102" customFormat="1" ht="12.75" customHeight="1">
      <c r="A1757" s="2644"/>
      <c r="B1757" s="692" t="s">
        <v>2503</v>
      </c>
      <c r="C1757" s="693"/>
      <c r="D1757" s="697">
        <f>IF(H1757&lt;&gt;"",VLOOKUP(G1757,base_barras,IF(H1757="Desnuda",2,5)+F1757-1,FALSE),"-")</f>
        <v>3290</v>
      </c>
      <c r="E1757" s="694">
        <v>4</v>
      </c>
      <c r="F1757" s="655">
        <v>1</v>
      </c>
      <c r="G1757" s="698" t="s">
        <v>584</v>
      </c>
      <c r="H1757" s="655" t="s">
        <v>1043</v>
      </c>
      <c r="I1757" s="398">
        <v>0</v>
      </c>
      <c r="J1757" s="478">
        <f>IF(G1757&lt;&gt;"",VLOOKUP(G1757,precio_barras,9,FALSE),0)</f>
        <v>231.4</v>
      </c>
      <c r="K1757" s="705">
        <v>0</v>
      </c>
      <c r="L1757" s="695" t="str">
        <f>IF(G1757&lt;&gt;"",IF(VLOOKUP(G1757,base_barras,10,FALSE)&lt;&gt;"",VLOOKUP(G1757,base_barras,10,FALSE),"-"),"-")</f>
        <v>1.5/1600</v>
      </c>
      <c r="M1757" s="478">
        <f>IF(L1757&lt;&gt;"-",VLOOKUP(L1757,precio_aislador,2,FALSE),0)</f>
        <v>22</v>
      </c>
      <c r="N1757" s="696">
        <f>(I1757*J1757*F1757+K1757*M1757)*E1757*1.67*1.25</f>
        <v>0</v>
      </c>
      <c r="O1757" s="288"/>
      <c r="P1757" s="297"/>
      <c r="Q1757" s="297"/>
    </row>
    <row r="1758" spans="1:20" s="199" customFormat="1" ht="15.75" customHeight="1" thickBot="1">
      <c r="A1758" s="2640"/>
      <c r="B1758" s="700" t="s">
        <v>2504</v>
      </c>
      <c r="C1758" s="701"/>
      <c r="D1758" s="364">
        <f>IF(H1758&lt;&gt;"",VLOOKUP(G1758,base_barras,IF(H1758="Desnuda",2,5)+F1758-1,FALSE),"-")</f>
        <v>3170</v>
      </c>
      <c r="E1758" s="365">
        <v>4</v>
      </c>
      <c r="F1758" s="366">
        <v>3</v>
      </c>
      <c r="G1758" s="322" t="s">
        <v>582</v>
      </c>
      <c r="H1758" s="366" t="s">
        <v>1043</v>
      </c>
      <c r="I1758" s="367">
        <v>0</v>
      </c>
      <c r="J1758" s="368">
        <f>IF(G1758&lt;&gt;"",VLOOKUP(G1758,precio_barras,9,FALSE),0)</f>
        <v>71.100000000000009</v>
      </c>
      <c r="K1758" s="702">
        <v>0</v>
      </c>
      <c r="L1758" s="703" t="str">
        <f>IF(G1758&lt;&gt;"",IF(VLOOKUP(G1758,base_barras,10,FALSE)&lt;&gt;"",VLOOKUP(G1758,base_barras,10,FALSE),"-"),"-")</f>
        <v>1/1000</v>
      </c>
      <c r="M1758" s="480">
        <f>IF(L1758&lt;&gt;"-",VLOOKUP(L1758,precio_aislador,2,FALSE),0)</f>
        <v>2.7</v>
      </c>
      <c r="N1758" s="704">
        <f>(I1758*J1758*F1758+K1758*M1758)*E1758*1.67*1.25</f>
        <v>0</v>
      </c>
      <c r="O1758" s="288"/>
      <c r="P1758" s="297"/>
      <c r="Q1758" s="288"/>
      <c r="R1758" s="102"/>
      <c r="S1758" s="102"/>
      <c r="T1758" s="102"/>
    </row>
    <row r="1759" spans="1:20" s="102" customFormat="1" ht="13.5" thickBot="1">
      <c r="A1759" s="323"/>
      <c r="B1759" s="323"/>
      <c r="C1759" s="309"/>
      <c r="D1759" s="382"/>
      <c r="E1759" s="323"/>
      <c r="F1759" s="309"/>
      <c r="G1759" s="309"/>
      <c r="H1759" s="323"/>
      <c r="I1759" s="325"/>
      <c r="J1759" s="325"/>
      <c r="K1759" s="323"/>
      <c r="L1759" s="323"/>
      <c r="M1759" s="325"/>
      <c r="N1759" s="706">
        <f>SUM(N1755:N1758)</f>
        <v>0</v>
      </c>
      <c r="O1759" s="288"/>
      <c r="P1759" s="297"/>
      <c r="Q1759" s="297"/>
    </row>
    <row r="1760" spans="1:20" s="102" customFormat="1" ht="8.25" customHeight="1" thickBot="1">
      <c r="A1760" s="323"/>
      <c r="B1760" s="323"/>
      <c r="C1760" s="323"/>
      <c r="D1760" s="382"/>
      <c r="E1760" s="323"/>
      <c r="F1760" s="325"/>
      <c r="G1760" s="325"/>
      <c r="H1760" s="325"/>
      <c r="I1760" s="323"/>
      <c r="J1760" s="323"/>
      <c r="K1760" s="323"/>
      <c r="L1760" s="325"/>
      <c r="M1760" s="323"/>
      <c r="N1760" s="309"/>
      <c r="O1760" s="288"/>
      <c r="P1760" s="297"/>
      <c r="Q1760" s="288"/>
    </row>
    <row r="1761" spans="1:20" s="102" customFormat="1" ht="12.75" customHeight="1">
      <c r="A1761" s="2639" t="s">
        <v>2505</v>
      </c>
      <c r="B1761" s="687" t="s">
        <v>2506</v>
      </c>
      <c r="C1761" s="327"/>
      <c r="D1761" s="328">
        <f>IF(H1761&lt;&gt;"",VLOOKUP(G1761,base_barras,IF(H1761="Desnuda",2,5)+F1761-1,FALSE),"-")</f>
        <v>2700</v>
      </c>
      <c r="E1761" s="329">
        <v>4</v>
      </c>
      <c r="F1761" s="330">
        <v>1</v>
      </c>
      <c r="G1761" s="731" t="s">
        <v>583</v>
      </c>
      <c r="H1761" s="330" t="s">
        <v>1043</v>
      </c>
      <c r="I1761" s="332">
        <v>0.8</v>
      </c>
      <c r="J1761" s="333">
        <f>IF(G1761&lt;&gt;"",VLOOKUP(G1761,precio_barras,9,FALSE),0)</f>
        <v>142</v>
      </c>
      <c r="K1761" s="481">
        <v>2</v>
      </c>
      <c r="L1761" s="343" t="str">
        <f>IF(G1761&lt;&gt;"",IF(VLOOKUP(G1761,base_barras,10,FALSE)&lt;&gt;"",VLOOKUP(G1761,base_barras,10,FALSE),"-"),"-")</f>
        <v>1.5/1600</v>
      </c>
      <c r="M1761" s="333">
        <f>IF(L1761&lt;&gt;"-",VLOOKUP(L1761,precio_aislador,2,FALSE),0)</f>
        <v>22</v>
      </c>
      <c r="N1761" s="360">
        <f>(I1761*J1761*F1761+K1761*M1761)*E1761*1.67*1.25</f>
        <v>1315.96</v>
      </c>
      <c r="O1761" s="288"/>
      <c r="P1761" s="297"/>
      <c r="Q1761" s="297"/>
    </row>
    <row r="1762" spans="1:20" s="102" customFormat="1" ht="13.5" thickBot="1">
      <c r="A1762" s="2644"/>
      <c r="B1762" s="707" t="s">
        <v>2561</v>
      </c>
      <c r="C1762" s="479"/>
      <c r="D1762" s="364">
        <f>IF(H1762&lt;&gt;"",VLOOKUP(G1762,base_barras,IF(H1762="Desnuda",2,5)+F1762-1,FALSE),"-")</f>
        <v>1020</v>
      </c>
      <c r="E1762" s="365">
        <v>4</v>
      </c>
      <c r="F1762" s="366">
        <v>1</v>
      </c>
      <c r="G1762" s="322" t="s">
        <v>315</v>
      </c>
      <c r="H1762" s="366" t="s">
        <v>1043</v>
      </c>
      <c r="I1762" s="367">
        <f>0.5+0.8+0.8+0.2</f>
        <v>2.3000000000000003</v>
      </c>
      <c r="J1762" s="368">
        <f>IF(G1762&lt;&gt;"",VLOOKUP(G1762,precio_barras,9,FALSE),0)</f>
        <v>44.400000000000006</v>
      </c>
      <c r="K1762" s="365">
        <v>3</v>
      </c>
      <c r="L1762" s="369" t="str">
        <f>IF(G1762&lt;&gt;"",IF(VLOOKUP(G1762,base_barras,10,FALSE)&lt;&gt;"",VLOOKUP(G1762,base_barras,10,FALSE),"-"),"-")</f>
        <v>1/750</v>
      </c>
      <c r="M1762" s="368">
        <f>IF(L1762&lt;&gt;"-",VLOOKUP(L1762,precio_aislador,2,FALSE),0)</f>
        <v>1.9</v>
      </c>
      <c r="N1762" s="370">
        <f>(I1762*J1762*F1762+K1762*M1762)*E1762*1.67*1.25</f>
        <v>900.29700000000025</v>
      </c>
      <c r="O1762" s="288"/>
      <c r="P1762" s="297"/>
      <c r="Q1762" s="297"/>
    </row>
    <row r="1763" spans="1:20" s="102" customFormat="1" ht="12.75" customHeight="1">
      <c r="A1763" s="2644"/>
      <c r="B1763" s="692" t="s">
        <v>2506</v>
      </c>
      <c r="C1763" s="693"/>
      <c r="D1763" s="697">
        <f>IF(H1763&lt;&gt;"",VLOOKUP(G1763,base_barras,IF(H1763="Desnuda",2,5)+F1763-1,FALSE),"-")</f>
        <v>2700</v>
      </c>
      <c r="E1763" s="694">
        <v>4</v>
      </c>
      <c r="F1763" s="655">
        <v>1</v>
      </c>
      <c r="G1763" s="731" t="s">
        <v>583</v>
      </c>
      <c r="H1763" s="655" t="s">
        <v>1043</v>
      </c>
      <c r="I1763" s="332">
        <v>0.8</v>
      </c>
      <c r="J1763" s="478">
        <f>IF(G1763&lt;&gt;"",VLOOKUP(G1763,precio_barras,9,FALSE),0)</f>
        <v>142</v>
      </c>
      <c r="K1763" s="705">
        <v>2</v>
      </c>
      <c r="L1763" s="695" t="str">
        <f>IF(G1763&lt;&gt;"",IF(VLOOKUP(G1763,base_barras,10,FALSE)&lt;&gt;"",VLOOKUP(G1763,base_barras,10,FALSE),"-"),"-")</f>
        <v>1.5/1600</v>
      </c>
      <c r="M1763" s="478">
        <f>IF(L1763&lt;&gt;"-",VLOOKUP(L1763,precio_aislador,2,FALSE),0)</f>
        <v>22</v>
      </c>
      <c r="N1763" s="696">
        <f>(I1763*J1763*F1763+K1763*M1763)*E1763*1.67*1.25</f>
        <v>1315.96</v>
      </c>
      <c r="O1763" s="288"/>
      <c r="P1763" s="297"/>
      <c r="Q1763" s="297"/>
    </row>
    <row r="1764" spans="1:20" s="102" customFormat="1" ht="13.5" thickBot="1">
      <c r="A1764" s="2640"/>
      <c r="B1764" s="707" t="s">
        <v>2561</v>
      </c>
      <c r="C1764" s="701"/>
      <c r="D1764" s="708">
        <f>IF(H1764&lt;&gt;"",VLOOKUP(G1764,base_barras,IF(H1764="Desnuda",2,5)+F1764-1,FALSE),"-")</f>
        <v>1020</v>
      </c>
      <c r="E1764" s="702">
        <v>4</v>
      </c>
      <c r="F1764" s="709">
        <v>1</v>
      </c>
      <c r="G1764" s="710" t="s">
        <v>315</v>
      </c>
      <c r="H1764" s="709" t="s">
        <v>1043</v>
      </c>
      <c r="I1764" s="711">
        <f>0.5+0.8+0.8+0.2</f>
        <v>2.3000000000000003</v>
      </c>
      <c r="J1764" s="480">
        <f>IF(G1764&lt;&gt;"",VLOOKUP(G1764,precio_barras,9,FALSE),0)</f>
        <v>44.400000000000006</v>
      </c>
      <c r="K1764" s="702">
        <v>3</v>
      </c>
      <c r="L1764" s="703" t="str">
        <f>IF(G1764&lt;&gt;"",IF(VLOOKUP(G1764,base_barras,10,FALSE)&lt;&gt;"",VLOOKUP(G1764,base_barras,10,FALSE),"-"),"-")</f>
        <v>1/750</v>
      </c>
      <c r="M1764" s="480">
        <f>IF(L1764&lt;&gt;"-",VLOOKUP(L1764,precio_aislador,2,FALSE),0)</f>
        <v>1.9</v>
      </c>
      <c r="N1764" s="704">
        <f>(I1764*J1764*F1764+K1764*M1764)*E1764*1.67*1.25</f>
        <v>900.29700000000025</v>
      </c>
      <c r="O1764" s="288"/>
      <c r="P1764" s="297"/>
      <c r="Q1764" s="297"/>
    </row>
    <row r="1765" spans="1:20" s="102" customFormat="1" ht="13.5" thickBot="1">
      <c r="A1765" s="323"/>
      <c r="B1765" s="323"/>
      <c r="C1765" s="309"/>
      <c r="D1765" s="382"/>
      <c r="E1765" s="323"/>
      <c r="F1765" s="309"/>
      <c r="G1765" s="309"/>
      <c r="H1765" s="323"/>
      <c r="I1765" s="325"/>
      <c r="J1765" s="325"/>
      <c r="K1765" s="323"/>
      <c r="L1765" s="323"/>
      <c r="M1765" s="325"/>
      <c r="N1765" s="706">
        <f>SUM(N1761:N1764)</f>
        <v>4432.514000000001</v>
      </c>
      <c r="O1765" s="288"/>
      <c r="P1765" s="297"/>
      <c r="Q1765" s="297"/>
    </row>
    <row r="1766" spans="1:20" s="102" customFormat="1" ht="8.25" customHeight="1" thickBot="1">
      <c r="A1766" s="323"/>
      <c r="B1766" s="323"/>
      <c r="C1766" s="323"/>
      <c r="D1766" s="382"/>
      <c r="E1766" s="323"/>
      <c r="F1766" s="325"/>
      <c r="G1766" s="325"/>
      <c r="H1766" s="325"/>
      <c r="I1766" s="323"/>
      <c r="J1766" s="323"/>
      <c r="K1766" s="323"/>
      <c r="L1766" s="325"/>
      <c r="M1766" s="323"/>
      <c r="N1766" s="309"/>
      <c r="O1766" s="288"/>
      <c r="P1766" s="297"/>
      <c r="Q1766" s="288"/>
    </row>
    <row r="1767" spans="1:20" s="102" customFormat="1">
      <c r="A1767" s="2629" t="s">
        <v>1228</v>
      </c>
      <c r="B1767" s="687" t="s">
        <v>2498</v>
      </c>
      <c r="C1767" s="327"/>
      <c r="D1767" s="328">
        <f>IF(H1767&lt;&gt;"",VLOOKUP(G1767,base_barras,IF(H1767="Desnuda",2,5)+F1767-1,FALSE),"-")</f>
        <v>1180</v>
      </c>
      <c r="E1767" s="329">
        <v>4</v>
      </c>
      <c r="F1767" s="330">
        <v>1</v>
      </c>
      <c r="G1767" s="331" t="s">
        <v>581</v>
      </c>
      <c r="H1767" s="330" t="s">
        <v>1043</v>
      </c>
      <c r="I1767" s="332">
        <f>0.2+0+0.2+0</f>
        <v>0.4</v>
      </c>
      <c r="J1767" s="333">
        <f>IF(G1767&lt;&gt;"",VLOOKUP(G1767,precio_barras,9,FALSE),0)</f>
        <v>53.3</v>
      </c>
      <c r="K1767" s="329">
        <v>0</v>
      </c>
      <c r="L1767" s="343" t="str">
        <f>IF(G1767&lt;&gt;"",IF(VLOOKUP(G1767,base_barras,10,FALSE)&lt;&gt;"",VLOOKUP(G1767,base_barras,10,FALSE),"-"),"-")</f>
        <v>1/750</v>
      </c>
      <c r="M1767" s="333">
        <f>IF(L1767&lt;&gt;"-",VLOOKUP(L1767,precio_aislador,2,FALSE),0)</f>
        <v>1.9</v>
      </c>
      <c r="N1767" s="360">
        <f>(I1767*J1767*F1767+K1767*M1767)*E1767*1.67*1.25</f>
        <v>178.02199999999999</v>
      </c>
      <c r="O1767" s="288"/>
      <c r="P1767" s="297"/>
      <c r="Q1767" s="297"/>
    </row>
    <row r="1768" spans="1:20" s="102" customFormat="1" ht="13.5" thickBot="1">
      <c r="A1768" s="2635"/>
      <c r="B1768" s="707"/>
      <c r="C1768" s="479"/>
      <c r="D1768" s="364" t="str">
        <f>IF(H1768&lt;&gt;"",VLOOKUP(G1768,base_barras,IF(H1768="Desnuda",2,5)+F1768-1,FALSE),"-")</f>
        <v>-</v>
      </c>
      <c r="E1768" s="365"/>
      <c r="F1768" s="366"/>
      <c r="G1768" s="322"/>
      <c r="H1768" s="366"/>
      <c r="I1768" s="367"/>
      <c r="J1768" s="480">
        <f>IF(G1768&lt;&gt;"",VLOOKUP(G1768,precio_barras,9,FALSE),0)</f>
        <v>0</v>
      </c>
      <c r="K1768" s="365"/>
      <c r="L1768" s="369" t="str">
        <f>IF(G1768&lt;&gt;"",IF(VLOOKUP(G1768,base_barras,10,FALSE)&lt;&gt;"",VLOOKUP(G1768,base_barras,10,FALSE),"-"),"-")</f>
        <v>-</v>
      </c>
      <c r="M1768" s="368">
        <f>IF(L1768&lt;&gt;"-",VLOOKUP(L1768,precio_aislador,2,FALSE),0)</f>
        <v>0</v>
      </c>
      <c r="N1768" s="370">
        <f>(I1768*J1768*F1768+K1768*M1768)*E1768*1.67*1.25</f>
        <v>0</v>
      </c>
      <c r="O1768" s="288"/>
      <c r="P1768" s="297"/>
      <c r="Q1768" s="297"/>
    </row>
    <row r="1769" spans="1:20" s="102" customFormat="1" ht="13.5" thickBot="1">
      <c r="A1769" s="323"/>
      <c r="B1769" s="323"/>
      <c r="C1769" s="309"/>
      <c r="D1769" s="382"/>
      <c r="E1769" s="323"/>
      <c r="F1769" s="309"/>
      <c r="G1769" s="309"/>
      <c r="H1769" s="323"/>
      <c r="I1769" s="325"/>
      <c r="J1769" s="325"/>
      <c r="K1769" s="323"/>
      <c r="L1769" s="323"/>
      <c r="M1769" s="325"/>
      <c r="N1769" s="706">
        <f>SUM(N1767:N1768)</f>
        <v>178.02199999999999</v>
      </c>
      <c r="O1769" s="288"/>
      <c r="P1769" s="297"/>
      <c r="Q1769" s="297"/>
    </row>
    <row r="1770" spans="1:20" s="102" customFormat="1" ht="8.25" customHeight="1" thickBot="1">
      <c r="A1770" s="323"/>
      <c r="B1770" s="323"/>
      <c r="C1770" s="323"/>
      <c r="D1770" s="382"/>
      <c r="E1770" s="323"/>
      <c r="F1770" s="325"/>
      <c r="G1770" s="325"/>
      <c r="H1770" s="325"/>
      <c r="I1770" s="323"/>
      <c r="J1770" s="323"/>
      <c r="K1770" s="323"/>
      <c r="L1770" s="325"/>
      <c r="M1770" s="323"/>
      <c r="N1770" s="309"/>
      <c r="O1770" s="288"/>
      <c r="P1770" s="297"/>
      <c r="Q1770" s="288"/>
    </row>
    <row r="1771" spans="1:20" s="102" customFormat="1">
      <c r="A1771" s="2645" t="s">
        <v>2548</v>
      </c>
      <c r="B1771" s="687" t="s">
        <v>2561</v>
      </c>
      <c r="C1771" s="327"/>
      <c r="D1771" s="328">
        <f>IF(H1771&lt;&gt;"",VLOOKUP(G1771,base_barras,IF(H1771="Desnuda",2,5)+F1771-1,FALSE),"-")</f>
        <v>1020</v>
      </c>
      <c r="E1771" s="329">
        <v>4</v>
      </c>
      <c r="F1771" s="330">
        <v>1</v>
      </c>
      <c r="G1771" s="331" t="s">
        <v>315</v>
      </c>
      <c r="H1771" s="330" t="s">
        <v>1043</v>
      </c>
      <c r="I1771" s="332">
        <f>0.3+0.35</f>
        <v>0.64999999999999991</v>
      </c>
      <c r="J1771" s="333">
        <f>IF(G1771&lt;&gt;"",VLOOKUP(G1771,precio_barras,9,FALSE),0)</f>
        <v>44.400000000000006</v>
      </c>
      <c r="K1771" s="329">
        <v>0</v>
      </c>
      <c r="L1771" s="343" t="str">
        <f>IF(G1771&lt;&gt;"",IF(VLOOKUP(G1771,base_barras,10,FALSE)&lt;&gt;"",VLOOKUP(G1771,base_barras,10,FALSE),"-"),"-")</f>
        <v>1/750</v>
      </c>
      <c r="M1771" s="333">
        <f>IF(L1771&lt;&gt;"-",VLOOKUP(L1771,precio_aislador,2,FALSE),0)</f>
        <v>1.9</v>
      </c>
      <c r="N1771" s="360">
        <f>(I1771*J1771*F1771+K1771*M1771)*E1771*1.67*1.25</f>
        <v>240.98099999999999</v>
      </c>
      <c r="O1771" s="288"/>
      <c r="P1771" s="297"/>
      <c r="Q1771" s="297"/>
    </row>
    <row r="1772" spans="1:20" s="199" customFormat="1" ht="15.75" customHeight="1">
      <c r="A1772" s="2646"/>
      <c r="B1772" s="692" t="s">
        <v>2498</v>
      </c>
      <c r="C1772" s="693"/>
      <c r="D1772" s="697">
        <f>IF(H1772&lt;&gt;"",VLOOKUP(G1772,base_barras,IF(H1772="Desnuda",2,5)+F1772-1,FALSE),"-")</f>
        <v>1180</v>
      </c>
      <c r="E1772" s="694">
        <v>4</v>
      </c>
      <c r="F1772" s="655">
        <v>1</v>
      </c>
      <c r="G1772" s="698" t="s">
        <v>581</v>
      </c>
      <c r="H1772" s="655" t="s">
        <v>1043</v>
      </c>
      <c r="I1772" s="398">
        <v>0.6</v>
      </c>
      <c r="J1772" s="478">
        <f>IF(G1772&lt;&gt;"",VLOOKUP(G1772,precio_barras,9,FALSE),0)</f>
        <v>53.3</v>
      </c>
      <c r="K1772" s="694">
        <v>2</v>
      </c>
      <c r="L1772" s="695" t="str">
        <f>IF(G1772&lt;&gt;"",IF(VLOOKUP(G1772,base_barras,10,FALSE)&lt;&gt;"",VLOOKUP(G1772,base_barras,10,FALSE),"-"),"-")</f>
        <v>1/750</v>
      </c>
      <c r="M1772" s="478">
        <f>IF(L1772&lt;&gt;"-",VLOOKUP(L1772,precio_aislador,2,FALSE),0)</f>
        <v>1.9</v>
      </c>
      <c r="N1772" s="696">
        <f>(I1772*J1772*F1772+K1772*M1772)*E1772*1.67*1.25</f>
        <v>298.76299999999992</v>
      </c>
      <c r="O1772" s="288"/>
      <c r="P1772" s="297"/>
      <c r="Q1772" s="288"/>
      <c r="R1772" s="102"/>
      <c r="S1772" s="102"/>
      <c r="T1772" s="102"/>
    </row>
    <row r="1773" spans="1:20" s="199" customFormat="1" ht="15.75" customHeight="1" thickBot="1">
      <c r="A1773" s="2646"/>
      <c r="B1773" s="707" t="s">
        <v>2498</v>
      </c>
      <c r="C1773" s="479"/>
      <c r="D1773" s="364">
        <f>IF(H1773&lt;&gt;"",VLOOKUP(G1773,base_barras,IF(H1773="Desnuda",2,5)+F1773-1,FALSE),"-")</f>
        <v>1180</v>
      </c>
      <c r="E1773" s="365">
        <v>4</v>
      </c>
      <c r="F1773" s="366">
        <v>1</v>
      </c>
      <c r="G1773" s="322" t="s">
        <v>581</v>
      </c>
      <c r="H1773" s="366" t="s">
        <v>1043</v>
      </c>
      <c r="I1773" s="367">
        <v>0.7</v>
      </c>
      <c r="J1773" s="368">
        <f>IF(G1773&lt;&gt;"",VLOOKUP(G1773,precio_barras,9,FALSE),0)</f>
        <v>53.3</v>
      </c>
      <c r="K1773" s="365">
        <v>1</v>
      </c>
      <c r="L1773" s="369" t="str">
        <f>IF(G1773&lt;&gt;"",IF(VLOOKUP(G1773,base_barras,10,FALSE)&lt;&gt;"",VLOOKUP(G1773,base_barras,10,FALSE),"-"),"-")</f>
        <v>1/750</v>
      </c>
      <c r="M1773" s="368">
        <f>IF(L1773&lt;&gt;"-",VLOOKUP(L1773,precio_aislador,2,FALSE),0)</f>
        <v>1.9</v>
      </c>
      <c r="N1773" s="370">
        <f>(I1773*J1773*F1773+K1773*M1773)*E1773*1.67*1.25</f>
        <v>327.40349999999989</v>
      </c>
      <c r="O1773" s="288"/>
      <c r="P1773" s="297"/>
      <c r="Q1773" s="288"/>
      <c r="R1773" s="102"/>
      <c r="S1773" s="102"/>
      <c r="T1773" s="102"/>
    </row>
    <row r="1774" spans="1:20" s="102" customFormat="1" ht="13.5" thickBot="1">
      <c r="A1774" s="2647"/>
      <c r="B1774" s="712" t="s">
        <v>2567</v>
      </c>
      <c r="C1774" s="713"/>
      <c r="D1774" s="714">
        <f>IF(H1774&lt;&gt;"",VLOOKUP(G1774,base_barras,IF(H1774="Desnuda",2,5)+F1774-1,FALSE),"-")</f>
        <v>274</v>
      </c>
      <c r="E1774" s="715">
        <v>4</v>
      </c>
      <c r="F1774" s="716">
        <v>1</v>
      </c>
      <c r="G1774" s="717" t="s">
        <v>61</v>
      </c>
      <c r="H1774" s="716" t="s">
        <v>1044</v>
      </c>
      <c r="I1774" s="718">
        <f>0.15+0.3+0.15</f>
        <v>0.6</v>
      </c>
      <c r="J1774" s="719">
        <f>IF(G1774&lt;&gt;"",VLOOKUP(G1774,precio_barras,9,FALSE),0)</f>
        <v>8.8000000000000007</v>
      </c>
      <c r="K1774" s="715">
        <v>0</v>
      </c>
      <c r="L1774" s="720" t="str">
        <f>IF(G1774&lt;&gt;"",IF(VLOOKUP(G1774,base_barras,10,FALSE)&lt;&gt;"",VLOOKUP(G1774,base_barras,10,FALSE),"-"),"-")</f>
        <v>-</v>
      </c>
      <c r="M1774" s="719">
        <f>IF(L1774&lt;&gt;"-",VLOOKUP(L1774,precio_aislador,2,FALSE),0)</f>
        <v>0</v>
      </c>
      <c r="N1774" s="721">
        <f>(I1774*J1774*F1774+K1774*M1774)*E1774*1.67*1.25</f>
        <v>44.088000000000001</v>
      </c>
      <c r="O1774" s="288"/>
      <c r="P1774" s="297"/>
      <c r="Q1774" s="297"/>
    </row>
    <row r="1775" spans="1:20" s="102" customFormat="1" ht="13.5" thickBot="1">
      <c r="A1775" s="323"/>
      <c r="B1775" s="323"/>
      <c r="C1775" s="309"/>
      <c r="D1775" s="382"/>
      <c r="E1775" s="323"/>
      <c r="F1775" s="309"/>
      <c r="G1775" s="309"/>
      <c r="H1775" s="323"/>
      <c r="I1775" s="325"/>
      <c r="J1775" s="325"/>
      <c r="K1775" s="323"/>
      <c r="L1775" s="323"/>
      <c r="M1775" s="325"/>
      <c r="N1775" s="706">
        <f>SUM(N1771:N1774)</f>
        <v>911.23549999999977</v>
      </c>
      <c r="O1775" s="288"/>
      <c r="P1775" s="297"/>
      <c r="Q1775" s="297"/>
    </row>
    <row r="1776" spans="1:20" s="102" customFormat="1" ht="8.25" customHeight="1" thickBot="1">
      <c r="A1776" s="323"/>
      <c r="B1776" s="323"/>
      <c r="C1776" s="323"/>
      <c r="D1776" s="382"/>
      <c r="E1776" s="323"/>
      <c r="F1776" s="325"/>
      <c r="G1776" s="325"/>
      <c r="H1776" s="325"/>
      <c r="I1776" s="323"/>
      <c r="J1776" s="323"/>
      <c r="K1776" s="323"/>
      <c r="L1776" s="325"/>
      <c r="M1776" s="323"/>
      <c r="N1776" s="309"/>
      <c r="O1776" s="288"/>
      <c r="P1776" s="297"/>
      <c r="Q1776" s="288"/>
    </row>
    <row r="1777" spans="1:20" s="102" customFormat="1">
      <c r="A1777" s="2629" t="s">
        <v>1034</v>
      </c>
      <c r="B1777" s="687" t="s">
        <v>2504</v>
      </c>
      <c r="C1777" s="327"/>
      <c r="D1777" s="328">
        <f>IF(H1777&lt;&gt;"",VLOOKUP(G1777,base_barras,IF(H1777="Desnuda",2,5)+F1777-1,FALSE),"-")</f>
        <v>3170</v>
      </c>
      <c r="E1777" s="329">
        <v>4</v>
      </c>
      <c r="F1777" s="330">
        <v>3</v>
      </c>
      <c r="G1777" s="331" t="s">
        <v>582</v>
      </c>
      <c r="H1777" s="330" t="s">
        <v>1043</v>
      </c>
      <c r="I1777" s="332">
        <v>0</v>
      </c>
      <c r="J1777" s="333">
        <f>IF(G1777&lt;&gt;"",VLOOKUP(G1777,precio_barras,9,FALSE),0)</f>
        <v>71.100000000000009</v>
      </c>
      <c r="K1777" s="329">
        <v>0</v>
      </c>
      <c r="L1777" s="343" t="str">
        <f>IF(G1777&lt;&gt;"",IF(VLOOKUP(G1777,base_barras,10,FALSE)&lt;&gt;"",VLOOKUP(G1777,base_barras,10,FALSE),"-"),"-")</f>
        <v>1/1000</v>
      </c>
      <c r="M1777" s="333">
        <f>IF(L1777&lt;&gt;"-",VLOOKUP(L1777,precio_aislador,2,FALSE),0)</f>
        <v>2.7</v>
      </c>
      <c r="N1777" s="360">
        <f>(I1777*J1777*F1777+K1777*M1777)*E1777*1.67*1.25</f>
        <v>0</v>
      </c>
      <c r="O1777" s="288"/>
      <c r="P1777" s="297"/>
      <c r="Q1777" s="297"/>
    </row>
    <row r="1778" spans="1:20" s="102" customFormat="1" ht="13.5" thickBot="1">
      <c r="A1778" s="2635"/>
      <c r="B1778" s="700" t="s">
        <v>2504</v>
      </c>
      <c r="C1778" s="701"/>
      <c r="D1778" s="708">
        <f>IF(H1778&lt;&gt;"",VLOOKUP(G1778,base_barras,IF(H1778="Desnuda",2,5)+F1778-1,FALSE),"-")</f>
        <v>3170</v>
      </c>
      <c r="E1778" s="702">
        <v>4</v>
      </c>
      <c r="F1778" s="709">
        <v>3</v>
      </c>
      <c r="G1778" s="710" t="s">
        <v>582</v>
      </c>
      <c r="H1778" s="709" t="s">
        <v>1043</v>
      </c>
      <c r="I1778" s="711">
        <v>0</v>
      </c>
      <c r="J1778" s="480">
        <f>IF(G1778&lt;&gt;"",VLOOKUP(G1778,precio_barras,9,FALSE),0)</f>
        <v>71.100000000000009</v>
      </c>
      <c r="K1778" s="702">
        <v>0</v>
      </c>
      <c r="L1778" s="703" t="str">
        <f>IF(G1778&lt;&gt;"",IF(VLOOKUP(G1778,base_barras,10,FALSE)&lt;&gt;"",VLOOKUP(G1778,base_barras,10,FALSE),"-"),"-")</f>
        <v>1/1000</v>
      </c>
      <c r="M1778" s="480">
        <f>IF(L1778&lt;&gt;"-",VLOOKUP(L1778,precio_aislador,2,FALSE),0)</f>
        <v>2.7</v>
      </c>
      <c r="N1778" s="704">
        <f>(I1778*J1778*F1778+K1778*M1778)*E1778*1.67*1.25</f>
        <v>0</v>
      </c>
      <c r="O1778" s="288"/>
      <c r="P1778" s="297"/>
      <c r="Q1778" s="297"/>
    </row>
    <row r="1779" spans="1:20" s="102" customFormat="1" ht="13.5" thickBot="1">
      <c r="A1779" s="323"/>
      <c r="B1779" s="323"/>
      <c r="C1779" s="309"/>
      <c r="D1779" s="382"/>
      <c r="E1779" s="323"/>
      <c r="F1779" s="309"/>
      <c r="G1779" s="309"/>
      <c r="H1779" s="323"/>
      <c r="I1779" s="325"/>
      <c r="J1779" s="325"/>
      <c r="K1779" s="323"/>
      <c r="L1779" s="323"/>
      <c r="M1779" s="325"/>
      <c r="N1779" s="706">
        <f>SUM(N1777:N1778)</f>
        <v>0</v>
      </c>
      <c r="O1779" s="288"/>
      <c r="P1779" s="297"/>
      <c r="Q1779" s="297"/>
    </row>
    <row r="1780" spans="1:20" s="102" customFormat="1">
      <c r="A1780" s="323"/>
      <c r="B1780" s="309"/>
      <c r="C1780" s="309"/>
      <c r="D1780" s="382"/>
      <c r="E1780" s="323"/>
      <c r="F1780" s="309"/>
      <c r="G1780" s="309"/>
      <c r="H1780" s="323"/>
      <c r="I1780" s="325"/>
      <c r="J1780" s="325"/>
      <c r="K1780" s="323"/>
      <c r="L1780" s="323"/>
      <c r="M1780" s="325"/>
      <c r="N1780" s="722"/>
      <c r="O1780" s="288"/>
      <c r="P1780" s="297"/>
      <c r="Q1780" s="297"/>
    </row>
    <row r="1781" spans="1:20" s="102" customFormat="1">
      <c r="A1781" s="323"/>
      <c r="B1781" s="309"/>
      <c r="C1781" s="309"/>
      <c r="D1781" s="382"/>
      <c r="E1781" s="323"/>
      <c r="F1781" s="309"/>
      <c r="G1781" s="309"/>
      <c r="H1781" s="323"/>
      <c r="I1781" s="325"/>
      <c r="J1781" s="325"/>
      <c r="K1781" s="323"/>
      <c r="L1781" s="323"/>
      <c r="M1781" s="325"/>
      <c r="N1781" s="722"/>
      <c r="O1781" s="288"/>
      <c r="P1781" s="297"/>
      <c r="Q1781" s="297"/>
    </row>
    <row r="1782" spans="1:20" s="102" customFormat="1" ht="15">
      <c r="A1782" s="323"/>
      <c r="B1782" s="723" t="s">
        <v>2513</v>
      </c>
      <c r="C1782" s="309"/>
      <c r="D1782" s="382"/>
      <c r="E1782" s="323"/>
      <c r="F1782" s="309"/>
      <c r="G1782" s="309"/>
      <c r="H1782" s="323"/>
      <c r="I1782" s="325"/>
      <c r="J1782" s="325"/>
      <c r="K1782" s="323"/>
      <c r="L1782" s="323"/>
      <c r="M1782" s="325"/>
      <c r="N1782" s="722"/>
      <c r="O1782" s="288"/>
      <c r="P1782" s="297"/>
      <c r="Q1782" s="297"/>
    </row>
    <row r="1783" spans="1:20" s="102" customFormat="1" ht="15">
      <c r="A1783" s="323"/>
      <c r="B1783" s="723"/>
      <c r="C1783" s="309"/>
      <c r="D1783" s="382"/>
      <c r="E1783" s="323"/>
      <c r="F1783" s="309"/>
      <c r="G1783" s="309"/>
      <c r="H1783" s="323"/>
      <c r="I1783" s="325"/>
      <c r="J1783" s="325"/>
      <c r="K1783" s="323"/>
      <c r="L1783" s="323"/>
      <c r="M1783" s="325"/>
      <c r="N1783" s="722"/>
      <c r="O1783" s="288"/>
      <c r="P1783" s="297"/>
      <c r="Q1783" s="297"/>
    </row>
    <row r="1784" spans="1:20" s="106" customFormat="1" ht="29.25" customHeight="1">
      <c r="B1784" s="724"/>
    </row>
    <row r="1785" spans="1:20" s="106" customFormat="1" ht="13.5" thickBot="1"/>
    <row r="1786" spans="1:20" s="199" customFormat="1" ht="15.75" customHeight="1">
      <c r="A1786" s="2641" t="s">
        <v>2568</v>
      </c>
      <c r="B1786" s="687" t="s">
        <v>2498</v>
      </c>
      <c r="C1786" s="327"/>
      <c r="D1786" s="328">
        <f t="shared" ref="D1786:D1793" si="683">IF(H1786&lt;&gt;"",VLOOKUP(G1786,base_barras,IF(H1786="Desnuda",2,5)+F1786-1,FALSE),"-")</f>
        <v>2410</v>
      </c>
      <c r="E1786" s="329">
        <v>4</v>
      </c>
      <c r="F1786" s="330">
        <v>2</v>
      </c>
      <c r="G1786" s="331" t="s">
        <v>582</v>
      </c>
      <c r="H1786" s="330" t="s">
        <v>1043</v>
      </c>
      <c r="I1786" s="332">
        <f>1+0.8</f>
        <v>1.8</v>
      </c>
      <c r="J1786" s="333">
        <f t="shared" ref="J1786:J1793" si="684">IF(G1786&lt;&gt;"",VLOOKUP(G1786,precio_barras,9,FALSE),0)</f>
        <v>71.100000000000009</v>
      </c>
      <c r="K1786" s="329">
        <f>2+2+2+2</f>
        <v>8</v>
      </c>
      <c r="L1786" s="343" t="str">
        <f t="shared" ref="L1786:L1793" si="685">IF(G1786&lt;&gt;"",IF(VLOOKUP(G1786,base_barras,10,FALSE)&lt;&gt;"",VLOOKUP(G1786,base_barras,10,FALSE),"-"),"-")</f>
        <v>1/1000</v>
      </c>
      <c r="M1786" s="333">
        <f t="shared" ref="M1786:M1793" si="686">IF(L1786&lt;&gt;"-",VLOOKUP(L1786,precio_aislador,2,FALSE),0)</f>
        <v>2.7</v>
      </c>
      <c r="N1786" s="360">
        <f t="shared" ref="N1786:N1793" si="687">(I1786*J1786*F1786+K1786*M1786)*E1786*1.67*1.25</f>
        <v>2317.6260000000007</v>
      </c>
      <c r="O1786" s="288"/>
      <c r="P1786" s="297"/>
      <c r="Q1786" s="288"/>
      <c r="R1786" s="102"/>
      <c r="S1786" s="102"/>
      <c r="T1786" s="102"/>
    </row>
    <row r="1787" spans="1:20" s="199" customFormat="1" ht="14.25">
      <c r="A1787" s="2642"/>
      <c r="B1787" s="688" t="s">
        <v>802</v>
      </c>
      <c r="C1787" s="319"/>
      <c r="D1787" s="312">
        <f t="shared" si="683"/>
        <v>1020</v>
      </c>
      <c r="E1787" s="313">
        <v>1</v>
      </c>
      <c r="F1787" s="314">
        <v>1</v>
      </c>
      <c r="G1787" s="315" t="s">
        <v>315</v>
      </c>
      <c r="H1787" s="689" t="str">
        <f>H1786</f>
        <v>Pintada</v>
      </c>
      <c r="I1787" s="690">
        <f>I1786</f>
        <v>1.8</v>
      </c>
      <c r="J1787" s="317">
        <f t="shared" si="684"/>
        <v>44.400000000000006</v>
      </c>
      <c r="K1787" s="691">
        <v>0</v>
      </c>
      <c r="L1787" s="318" t="str">
        <f t="shared" si="685"/>
        <v>1/750</v>
      </c>
      <c r="M1787" s="317">
        <f t="shared" si="686"/>
        <v>1.9</v>
      </c>
      <c r="N1787" s="308">
        <f t="shared" si="687"/>
        <v>166.83300000000003</v>
      </c>
      <c r="O1787" s="288"/>
      <c r="P1787" s="297"/>
      <c r="Q1787" s="288"/>
      <c r="R1787" s="102"/>
      <c r="S1787" s="102"/>
      <c r="T1787" s="102"/>
    </row>
    <row r="1788" spans="1:20" s="199" customFormat="1" ht="15.75" customHeight="1">
      <c r="A1788" s="2642"/>
      <c r="B1788" s="692" t="s">
        <v>2564</v>
      </c>
      <c r="C1788" s="693"/>
      <c r="D1788" s="697">
        <f t="shared" si="683"/>
        <v>850</v>
      </c>
      <c r="E1788" s="694">
        <v>4</v>
      </c>
      <c r="F1788" s="655">
        <v>1</v>
      </c>
      <c r="G1788" s="698" t="s">
        <v>469</v>
      </c>
      <c r="H1788" s="655" t="s">
        <v>1043</v>
      </c>
      <c r="I1788" s="398">
        <v>0.61</v>
      </c>
      <c r="J1788" s="478">
        <f t="shared" si="684"/>
        <v>35.6</v>
      </c>
      <c r="K1788" s="694">
        <v>0</v>
      </c>
      <c r="L1788" s="695" t="str">
        <f t="shared" si="685"/>
        <v>1/750</v>
      </c>
      <c r="M1788" s="478">
        <f t="shared" si="686"/>
        <v>1.9</v>
      </c>
      <c r="N1788" s="696">
        <f t="shared" si="687"/>
        <v>181.32859999999999</v>
      </c>
      <c r="O1788" s="288"/>
      <c r="P1788" s="297"/>
      <c r="Q1788" s="288"/>
      <c r="R1788" s="102"/>
      <c r="S1788" s="102"/>
      <c r="T1788" s="102"/>
    </row>
    <row r="1789" spans="1:20" s="199" customFormat="1" ht="15.75" customHeight="1">
      <c r="A1789" s="2642"/>
      <c r="B1789" s="692" t="s">
        <v>2565</v>
      </c>
      <c r="C1789" s="693"/>
      <c r="D1789" s="697">
        <f t="shared" si="683"/>
        <v>850</v>
      </c>
      <c r="E1789" s="694">
        <v>4</v>
      </c>
      <c r="F1789" s="655">
        <v>1</v>
      </c>
      <c r="G1789" s="698" t="s">
        <v>469</v>
      </c>
      <c r="H1789" s="655" t="s">
        <v>1043</v>
      </c>
      <c r="I1789" s="398">
        <v>0.61</v>
      </c>
      <c r="J1789" s="478">
        <f t="shared" si="684"/>
        <v>35.6</v>
      </c>
      <c r="K1789" s="694">
        <v>0</v>
      </c>
      <c r="L1789" s="695" t="str">
        <f t="shared" si="685"/>
        <v>1/750</v>
      </c>
      <c r="M1789" s="478">
        <f t="shared" si="686"/>
        <v>1.9</v>
      </c>
      <c r="N1789" s="696">
        <f t="shared" si="687"/>
        <v>181.32859999999999</v>
      </c>
      <c r="O1789" s="288"/>
      <c r="P1789" s="297"/>
      <c r="Q1789" s="288"/>
      <c r="R1789" s="102"/>
      <c r="S1789" s="102"/>
      <c r="T1789" s="102"/>
    </row>
    <row r="1790" spans="1:20" s="199" customFormat="1" ht="15.75" customHeight="1">
      <c r="A1790" s="2642"/>
      <c r="B1790" s="692" t="s">
        <v>2569</v>
      </c>
      <c r="C1790" s="693"/>
      <c r="D1790" s="697">
        <f t="shared" si="683"/>
        <v>850</v>
      </c>
      <c r="E1790" s="694">
        <v>4</v>
      </c>
      <c r="F1790" s="655">
        <v>1</v>
      </c>
      <c r="G1790" s="698" t="s">
        <v>469</v>
      </c>
      <c r="H1790" s="655" t="s">
        <v>1043</v>
      </c>
      <c r="I1790" s="398">
        <v>0.61</v>
      </c>
      <c r="J1790" s="478">
        <f t="shared" si="684"/>
        <v>35.6</v>
      </c>
      <c r="K1790" s="694">
        <v>0</v>
      </c>
      <c r="L1790" s="695" t="str">
        <f t="shared" si="685"/>
        <v>1/750</v>
      </c>
      <c r="M1790" s="478">
        <f t="shared" si="686"/>
        <v>1.9</v>
      </c>
      <c r="N1790" s="696">
        <f t="shared" si="687"/>
        <v>181.32859999999999</v>
      </c>
      <c r="O1790" s="288"/>
      <c r="P1790" s="297"/>
      <c r="Q1790" s="288"/>
      <c r="R1790" s="102"/>
      <c r="S1790" s="102"/>
      <c r="T1790" s="102"/>
    </row>
    <row r="1791" spans="1:20" s="199" customFormat="1" ht="15.75" customHeight="1">
      <c r="A1791" s="2642"/>
      <c r="B1791" s="692" t="s">
        <v>2525</v>
      </c>
      <c r="C1791" s="693"/>
      <c r="D1791" s="312">
        <f t="shared" si="683"/>
        <v>1020</v>
      </c>
      <c r="E1791" s="313">
        <v>4</v>
      </c>
      <c r="F1791" s="314">
        <v>1</v>
      </c>
      <c r="G1791" s="315" t="s">
        <v>315</v>
      </c>
      <c r="H1791" s="314" t="s">
        <v>1043</v>
      </c>
      <c r="I1791" s="316">
        <v>0.61</v>
      </c>
      <c r="J1791" s="317">
        <f t="shared" si="684"/>
        <v>44.400000000000006</v>
      </c>
      <c r="K1791" s="694">
        <v>0</v>
      </c>
      <c r="L1791" s="695" t="str">
        <f t="shared" si="685"/>
        <v>1/750</v>
      </c>
      <c r="M1791" s="478">
        <f t="shared" si="686"/>
        <v>1.9</v>
      </c>
      <c r="N1791" s="696">
        <f t="shared" si="687"/>
        <v>226.1514</v>
      </c>
      <c r="O1791" s="288"/>
      <c r="P1791" s="297"/>
      <c r="Q1791" s="288"/>
      <c r="R1791" s="102"/>
      <c r="S1791" s="102"/>
      <c r="T1791" s="102"/>
    </row>
    <row r="1792" spans="1:20" s="199" customFormat="1" ht="15.75" customHeight="1">
      <c r="A1792" s="2642"/>
      <c r="B1792" s="692" t="s">
        <v>2525</v>
      </c>
      <c r="C1792" s="693"/>
      <c r="D1792" s="312">
        <f t="shared" si="683"/>
        <v>1020</v>
      </c>
      <c r="E1792" s="313">
        <v>4</v>
      </c>
      <c r="F1792" s="314">
        <v>1</v>
      </c>
      <c r="G1792" s="315" t="s">
        <v>315</v>
      </c>
      <c r="H1792" s="314" t="s">
        <v>1043</v>
      </c>
      <c r="I1792" s="316">
        <v>0.61</v>
      </c>
      <c r="J1792" s="317">
        <f t="shared" si="684"/>
        <v>44.400000000000006</v>
      </c>
      <c r="K1792" s="694">
        <v>0</v>
      </c>
      <c r="L1792" s="695" t="str">
        <f t="shared" si="685"/>
        <v>1/750</v>
      </c>
      <c r="M1792" s="478">
        <f t="shared" si="686"/>
        <v>1.9</v>
      </c>
      <c r="N1792" s="696">
        <f t="shared" si="687"/>
        <v>226.1514</v>
      </c>
      <c r="O1792" s="288"/>
      <c r="P1792" s="297"/>
      <c r="Q1792" s="288"/>
      <c r="R1792" s="102"/>
      <c r="S1792" s="102"/>
      <c r="T1792" s="102"/>
    </row>
    <row r="1793" spans="1:20" s="199" customFormat="1" ht="15.75" customHeight="1" thickBot="1">
      <c r="A1793" s="2643"/>
      <c r="B1793" s="700" t="s">
        <v>2525</v>
      </c>
      <c r="C1793" s="701"/>
      <c r="D1793" s="364">
        <f t="shared" si="683"/>
        <v>1020</v>
      </c>
      <c r="E1793" s="365">
        <v>4</v>
      </c>
      <c r="F1793" s="366">
        <v>1</v>
      </c>
      <c r="G1793" s="322" t="s">
        <v>315</v>
      </c>
      <c r="H1793" s="366" t="s">
        <v>1043</v>
      </c>
      <c r="I1793" s="367">
        <v>0.61</v>
      </c>
      <c r="J1793" s="368">
        <f t="shared" si="684"/>
        <v>44.400000000000006</v>
      </c>
      <c r="K1793" s="702">
        <v>0</v>
      </c>
      <c r="L1793" s="703" t="str">
        <f t="shared" si="685"/>
        <v>1/750</v>
      </c>
      <c r="M1793" s="480">
        <f t="shared" si="686"/>
        <v>1.9</v>
      </c>
      <c r="N1793" s="704">
        <f t="shared" si="687"/>
        <v>226.1514</v>
      </c>
      <c r="O1793" s="288"/>
      <c r="P1793" s="297"/>
      <c r="Q1793" s="288"/>
      <c r="R1793" s="102"/>
      <c r="S1793" s="102"/>
      <c r="T1793" s="102"/>
    </row>
    <row r="1794" spans="1:20" s="129" customFormat="1" ht="22.5" customHeight="1" thickBot="1">
      <c r="A1794" s="737"/>
      <c r="B1794" s="323"/>
      <c r="C1794" s="309"/>
      <c r="D1794" s="382"/>
      <c r="E1794" s="323"/>
      <c r="F1794" s="323"/>
      <c r="G1794" s="323"/>
      <c r="H1794" s="323"/>
      <c r="I1794" s="325"/>
      <c r="J1794" s="325"/>
      <c r="K1794" s="323"/>
      <c r="L1794" s="323"/>
      <c r="M1794" s="738"/>
      <c r="N1794" s="699">
        <f>SUM(N1786:N1793)</f>
        <v>3706.8990000000008</v>
      </c>
      <c r="O1794" s="288"/>
      <c r="P1794" s="297"/>
      <c r="Q1794" s="288"/>
      <c r="R1794" s="102"/>
      <c r="S1794" s="102"/>
      <c r="T1794" s="102"/>
    </row>
    <row r="1795" spans="1:20" s="102" customFormat="1" ht="8.25" customHeight="1" thickBot="1">
      <c r="A1795" s="323"/>
      <c r="B1795" s="323"/>
      <c r="C1795" s="323"/>
      <c r="D1795" s="382"/>
      <c r="E1795" s="323"/>
      <c r="F1795" s="325"/>
      <c r="G1795" s="325"/>
      <c r="H1795" s="325"/>
      <c r="I1795" s="323"/>
      <c r="J1795" s="323"/>
      <c r="K1795" s="323"/>
      <c r="L1795" s="325"/>
      <c r="M1795" s="323"/>
      <c r="N1795" s="309"/>
      <c r="O1795" s="288"/>
      <c r="P1795" s="297"/>
      <c r="Q1795" s="288"/>
    </row>
    <row r="1796" spans="1:20" s="102" customFormat="1">
      <c r="A1796" s="2629" t="s">
        <v>1228</v>
      </c>
      <c r="B1796" s="687" t="s">
        <v>2498</v>
      </c>
      <c r="C1796" s="327"/>
      <c r="D1796" s="328">
        <f>IF(H1796&lt;&gt;"",VLOOKUP(G1796,base_barras,IF(H1796="Desnuda",2,5)+F1796-1,FALSE),"-")</f>
        <v>2410</v>
      </c>
      <c r="E1796" s="329">
        <v>4</v>
      </c>
      <c r="F1796" s="330">
        <v>2</v>
      </c>
      <c r="G1796" s="331" t="s">
        <v>582</v>
      </c>
      <c r="H1796" s="330" t="s">
        <v>1043</v>
      </c>
      <c r="I1796" s="332">
        <v>0.2</v>
      </c>
      <c r="J1796" s="333">
        <f>IF(G1796&lt;&gt;"",VLOOKUP(G1796,precio_barras,9,FALSE),0)</f>
        <v>71.100000000000009</v>
      </c>
      <c r="K1796" s="329">
        <v>0</v>
      </c>
      <c r="L1796" s="343" t="str">
        <f>IF(G1796&lt;&gt;"",IF(VLOOKUP(G1796,base_barras,10,FALSE)&lt;&gt;"",VLOOKUP(G1796,base_barras,10,FALSE),"-"),"-")</f>
        <v>1/1000</v>
      </c>
      <c r="M1796" s="333">
        <f>IF(L1796&lt;&gt;"-",VLOOKUP(L1796,precio_aislador,2,FALSE),0)</f>
        <v>2.7</v>
      </c>
      <c r="N1796" s="360">
        <f>(I1796*J1796*F1796+K1796*M1796)*E1796*1.67*1.25</f>
        <v>237.47400000000002</v>
      </c>
      <c r="O1796" s="288"/>
      <c r="P1796" s="297"/>
      <c r="Q1796" s="297"/>
    </row>
    <row r="1797" spans="1:20" s="102" customFormat="1" ht="13.5" thickBot="1">
      <c r="A1797" s="2635"/>
      <c r="B1797" s="707"/>
      <c r="C1797" s="479"/>
      <c r="D1797" s="364" t="str">
        <f>IF(H1797&lt;&gt;"",VLOOKUP(G1797,base_barras,IF(H1797="Desnuda",2,5)+F1797-1,FALSE),"-")</f>
        <v>-</v>
      </c>
      <c r="E1797" s="365"/>
      <c r="F1797" s="366"/>
      <c r="G1797" s="322"/>
      <c r="H1797" s="366"/>
      <c r="I1797" s="367"/>
      <c r="J1797" s="480">
        <f>IF(G1797&lt;&gt;"",VLOOKUP(G1797,precio_barras,9,FALSE),0)</f>
        <v>0</v>
      </c>
      <c r="K1797" s="365"/>
      <c r="L1797" s="369" t="str">
        <f>IF(G1797&lt;&gt;"",IF(VLOOKUP(G1797,base_barras,10,FALSE)&lt;&gt;"",VLOOKUP(G1797,base_barras,10,FALSE),"-"),"-")</f>
        <v>-</v>
      </c>
      <c r="M1797" s="368">
        <f>IF(L1797&lt;&gt;"-",VLOOKUP(L1797,precio_aislador,2,FALSE),0)</f>
        <v>0</v>
      </c>
      <c r="N1797" s="370">
        <f>(I1797*J1797*F1797+K1797*M1797)*E1797*1.67*1.25</f>
        <v>0</v>
      </c>
      <c r="O1797" s="288"/>
      <c r="P1797" s="297"/>
      <c r="Q1797" s="297"/>
    </row>
    <row r="1798" spans="1:20" s="102" customFormat="1" ht="13.5" thickBot="1">
      <c r="A1798" s="323"/>
      <c r="B1798" s="323"/>
      <c r="C1798" s="309"/>
      <c r="D1798" s="382"/>
      <c r="E1798" s="323"/>
      <c r="F1798" s="309"/>
      <c r="G1798" s="309"/>
      <c r="H1798" s="323"/>
      <c r="I1798" s="325"/>
      <c r="J1798" s="325"/>
      <c r="K1798" s="323"/>
      <c r="L1798" s="323"/>
      <c r="M1798" s="325"/>
      <c r="N1798" s="706">
        <f>SUM(N1796:N1797)</f>
        <v>237.47400000000002</v>
      </c>
      <c r="O1798" s="288"/>
      <c r="P1798" s="297"/>
      <c r="Q1798" s="297"/>
    </row>
    <row r="1799" spans="1:20" s="102" customFormat="1" ht="8.25" customHeight="1">
      <c r="A1799" s="323"/>
      <c r="B1799" s="323"/>
      <c r="C1799" s="323"/>
      <c r="D1799" s="382"/>
      <c r="E1799" s="323"/>
      <c r="F1799" s="325"/>
      <c r="G1799" s="325"/>
      <c r="H1799" s="325"/>
      <c r="I1799" s="323"/>
      <c r="J1799" s="323"/>
      <c r="K1799" s="323"/>
      <c r="L1799" s="325"/>
      <c r="M1799" s="323"/>
      <c r="N1799" s="309"/>
      <c r="O1799" s="288"/>
      <c r="P1799" s="297"/>
      <c r="Q1799" s="288"/>
    </row>
    <row r="1800" spans="1:20" s="102" customFormat="1">
      <c r="A1800" s="323"/>
      <c r="B1800" s="309"/>
      <c r="C1800" s="309"/>
      <c r="D1800" s="382"/>
      <c r="E1800" s="323"/>
      <c r="F1800" s="309"/>
      <c r="G1800" s="309"/>
      <c r="H1800" s="323"/>
      <c r="I1800" s="325"/>
      <c r="J1800" s="325"/>
      <c r="K1800" s="323"/>
      <c r="L1800" s="323"/>
      <c r="M1800" s="325"/>
      <c r="N1800" s="722"/>
      <c r="O1800" s="288"/>
      <c r="P1800" s="297"/>
      <c r="Q1800" s="297"/>
    </row>
    <row r="1801" spans="1:20" s="106" customFormat="1" ht="29.25" customHeight="1"/>
    <row r="1802" spans="1:20" s="106" customFormat="1" ht="29.25" customHeight="1"/>
    <row r="1803" spans="1:20" s="102" customFormat="1" ht="8.25" customHeight="1" thickBot="1">
      <c r="A1803" s="323"/>
      <c r="B1803" s="309"/>
      <c r="C1803" s="323"/>
      <c r="D1803" s="382"/>
      <c r="E1803" s="323"/>
      <c r="F1803" s="325"/>
      <c r="G1803" s="325"/>
      <c r="H1803" s="325"/>
      <c r="I1803" s="323"/>
      <c r="J1803" s="323"/>
      <c r="K1803" s="323"/>
      <c r="L1803" s="325"/>
      <c r="M1803" s="323"/>
      <c r="N1803" s="309"/>
      <c r="O1803" s="288"/>
      <c r="P1803" s="297"/>
      <c r="Q1803" s="288"/>
    </row>
    <row r="1804" spans="1:20" s="102" customFormat="1" ht="12.75" customHeight="1">
      <c r="A1804" s="2639" t="s">
        <v>2502</v>
      </c>
      <c r="B1804" s="326" t="s">
        <v>2503</v>
      </c>
      <c r="C1804" s="327"/>
      <c r="D1804" s="328">
        <f>IF(H1804&lt;&gt;"",VLOOKUP(G1804,base_barras,IF(H1804="Desnuda",2,5)+F1804-1,FALSE),"-")</f>
        <v>3290</v>
      </c>
      <c r="E1804" s="329">
        <v>4</v>
      </c>
      <c r="F1804" s="330">
        <v>1</v>
      </c>
      <c r="G1804" s="331" t="s">
        <v>584</v>
      </c>
      <c r="H1804" s="330" t="s">
        <v>1043</v>
      </c>
      <c r="I1804" s="332">
        <v>1.2</v>
      </c>
      <c r="J1804" s="333">
        <f>IF(G1804&lt;&gt;"",VLOOKUP(G1804,precio_barras,9,FALSE),0)</f>
        <v>231.4</v>
      </c>
      <c r="K1804" s="481">
        <f>0+2+0+2+0</f>
        <v>4</v>
      </c>
      <c r="L1804" s="343" t="str">
        <f>IF(G1804&lt;&gt;"",IF(VLOOKUP(G1804,base_barras,10,FALSE)&lt;&gt;"",VLOOKUP(G1804,base_barras,10,FALSE),"-"),"-")</f>
        <v>1.5/1600</v>
      </c>
      <c r="M1804" s="333">
        <f>IF(L1804&lt;&gt;"-",VLOOKUP(L1804,precio_aislador,2,FALSE),0)</f>
        <v>22</v>
      </c>
      <c r="N1804" s="360">
        <f>(I1804*J1804*F1804+K1804*M1804)*E1804*1.67*1.25</f>
        <v>3053.4279999999999</v>
      </c>
      <c r="O1804" s="288"/>
      <c r="P1804" s="297"/>
      <c r="Q1804" s="297"/>
    </row>
    <row r="1805" spans="1:20" s="199" customFormat="1" ht="14.25">
      <c r="A1805" s="2644"/>
      <c r="B1805" s="310" t="s">
        <v>802</v>
      </c>
      <c r="C1805" s="319"/>
      <c r="D1805" s="312">
        <f>IF(H1805&lt;&gt;"",VLOOKUP(G1805,base_barras,IF(H1805="Desnuda",2,5)+F1805-1,FALSE),"-")</f>
        <v>1500</v>
      </c>
      <c r="E1805" s="313">
        <v>1</v>
      </c>
      <c r="F1805" s="314">
        <v>1</v>
      </c>
      <c r="G1805" s="315" t="s">
        <v>582</v>
      </c>
      <c r="H1805" s="689" t="str">
        <f>H1806</f>
        <v>Pintada</v>
      </c>
      <c r="I1805" s="690">
        <f>I1804</f>
        <v>1.2</v>
      </c>
      <c r="J1805" s="317">
        <f>IF(G1805&lt;&gt;"",VLOOKUP(G1805,precio_barras,9,FALSE),0)</f>
        <v>71.100000000000009</v>
      </c>
      <c r="K1805" s="691">
        <v>0</v>
      </c>
      <c r="L1805" s="318" t="str">
        <f>IF(G1805&lt;&gt;"",IF(VLOOKUP(G1805,base_barras,10,FALSE)&lt;&gt;"",VLOOKUP(G1805,base_barras,10,FALSE),"-"),"-")</f>
        <v>1/1000</v>
      </c>
      <c r="M1805" s="317">
        <f>IF(L1805&lt;&gt;"-",VLOOKUP(L1805,precio_aislador,2,FALSE),0)</f>
        <v>2.7</v>
      </c>
      <c r="N1805" s="308">
        <f>(I1805*J1805*F1805+K1805*M1805)*E1805*1.67*1.25</f>
        <v>178.10550000000001</v>
      </c>
      <c r="O1805" s="288"/>
      <c r="P1805" s="297"/>
      <c r="Q1805" s="288"/>
      <c r="R1805" s="102"/>
      <c r="S1805" s="102"/>
      <c r="T1805" s="102"/>
    </row>
    <row r="1806" spans="1:20" s="199" customFormat="1" ht="15.75" customHeight="1" thickBot="1">
      <c r="A1806" s="2640"/>
      <c r="B1806" s="739" t="s">
        <v>2504</v>
      </c>
      <c r="C1806" s="693"/>
      <c r="D1806" s="312">
        <f>IF(H1806&lt;&gt;"",VLOOKUP(G1806,base_barras,IF(H1806="Desnuda",2,5)+F1806-1,FALSE),"-")</f>
        <v>3170</v>
      </c>
      <c r="E1806" s="313">
        <v>4</v>
      </c>
      <c r="F1806" s="314">
        <v>3</v>
      </c>
      <c r="G1806" s="315" t="s">
        <v>582</v>
      </c>
      <c r="H1806" s="314" t="s">
        <v>1043</v>
      </c>
      <c r="I1806" s="316">
        <f>0.2+0.5+0.5+0.2</f>
        <v>1.4</v>
      </c>
      <c r="J1806" s="317">
        <f>IF(G1806&lt;&gt;"",VLOOKUP(G1806,precio_barras,9,FALSE),0)</f>
        <v>71.100000000000009</v>
      </c>
      <c r="K1806" s="694">
        <v>0</v>
      </c>
      <c r="L1806" s="695" t="str">
        <f>IF(G1806&lt;&gt;"",IF(VLOOKUP(G1806,base_barras,10,FALSE)&lt;&gt;"",VLOOKUP(G1806,base_barras,10,FALSE),"-"),"-")</f>
        <v>1/1000</v>
      </c>
      <c r="M1806" s="478">
        <f>IF(L1806&lt;&gt;"-",VLOOKUP(L1806,precio_aislador,2,FALSE),0)</f>
        <v>2.7</v>
      </c>
      <c r="N1806" s="696">
        <f>(I1806*J1806*F1806+K1806*M1806)*E1806*1.67*1.25</f>
        <v>2493.4769999999999</v>
      </c>
      <c r="O1806" s="288"/>
      <c r="P1806" s="297"/>
      <c r="Q1806" s="288"/>
      <c r="R1806" s="102"/>
      <c r="S1806" s="102"/>
      <c r="T1806" s="102"/>
    </row>
    <row r="1807" spans="1:20" s="102" customFormat="1" ht="13.5" thickBot="1">
      <c r="A1807" s="323"/>
      <c r="B1807" s="309"/>
      <c r="C1807" s="309"/>
      <c r="D1807" s="382"/>
      <c r="E1807" s="323"/>
      <c r="F1807" s="309"/>
      <c r="G1807" s="309"/>
      <c r="H1807" s="323"/>
      <c r="I1807" s="325"/>
      <c r="J1807" s="325"/>
      <c r="K1807" s="323"/>
      <c r="L1807" s="323"/>
      <c r="M1807" s="325"/>
      <c r="N1807" s="706">
        <f>SUM(N1804:N1806)</f>
        <v>5725.0105000000003</v>
      </c>
      <c r="O1807" s="288"/>
      <c r="P1807" s="297"/>
      <c r="Q1807" s="297"/>
    </row>
    <row r="1808" spans="1:20" s="102" customFormat="1" ht="8.25" customHeight="1" thickBot="1">
      <c r="A1808" s="323"/>
      <c r="B1808" s="309"/>
      <c r="C1808" s="323"/>
      <c r="D1808" s="382"/>
      <c r="E1808" s="323"/>
      <c r="F1808" s="325"/>
      <c r="G1808" s="325"/>
      <c r="H1808" s="325"/>
      <c r="I1808" s="323"/>
      <c r="J1808" s="323"/>
      <c r="K1808" s="323"/>
      <c r="L1808" s="325"/>
      <c r="M1808" s="323"/>
      <c r="N1808" s="309"/>
      <c r="O1808" s="288"/>
      <c r="P1808" s="297"/>
      <c r="Q1808" s="288"/>
    </row>
    <row r="1809" spans="1:20" s="102" customFormat="1" ht="12.75" customHeight="1">
      <c r="A1809" s="2639" t="s">
        <v>2505</v>
      </c>
      <c r="B1809" s="326" t="s">
        <v>2506</v>
      </c>
      <c r="C1809" s="327"/>
      <c r="D1809" s="328">
        <f>IF(H1809&lt;&gt;"",VLOOKUP(G1809,base_barras,IF(H1809="Desnuda",2,5)+F1809-1,FALSE),"-")</f>
        <v>3290</v>
      </c>
      <c r="E1809" s="329">
        <v>4</v>
      </c>
      <c r="F1809" s="330">
        <v>1</v>
      </c>
      <c r="G1809" s="331" t="s">
        <v>584</v>
      </c>
      <c r="H1809" s="330" t="s">
        <v>1043</v>
      </c>
      <c r="I1809" s="332">
        <v>1.2</v>
      </c>
      <c r="J1809" s="333">
        <f>IF(G1809&lt;&gt;"",VLOOKUP(G1809,precio_barras,9,FALSE),0)</f>
        <v>231.4</v>
      </c>
      <c r="K1809" s="481">
        <v>2</v>
      </c>
      <c r="L1809" s="343" t="str">
        <f>IF(G1809&lt;&gt;"",IF(VLOOKUP(G1809,base_barras,10,FALSE)&lt;&gt;"",VLOOKUP(G1809,base_barras,10,FALSE),"-"),"-")</f>
        <v>1.5/1600</v>
      </c>
      <c r="M1809" s="333">
        <f>IF(L1809&lt;&gt;"-",VLOOKUP(L1809,precio_aislador,2,FALSE),0)</f>
        <v>22</v>
      </c>
      <c r="N1809" s="360">
        <f>(I1809*J1809*F1809+K1809*M1809)*E1809*1.67*1.25</f>
        <v>2686.0280000000002</v>
      </c>
      <c r="O1809" s="288"/>
      <c r="P1809" s="297"/>
      <c r="Q1809" s="297"/>
    </row>
    <row r="1810" spans="1:20" s="199" customFormat="1" ht="14.25">
      <c r="A1810" s="2644"/>
      <c r="B1810" s="310" t="s">
        <v>802</v>
      </c>
      <c r="C1810" s="319"/>
      <c r="D1810" s="312">
        <f>IF(H1810&lt;&gt;"",VLOOKUP(G1810,base_barras,IF(H1810="Desnuda",2,5)+F1810-1,FALSE),"-")</f>
        <v>1500</v>
      </c>
      <c r="E1810" s="313">
        <v>1</v>
      </c>
      <c r="F1810" s="314">
        <v>1</v>
      </c>
      <c r="G1810" s="315" t="s">
        <v>582</v>
      </c>
      <c r="H1810" s="689" t="str">
        <f>H1809</f>
        <v>Pintada</v>
      </c>
      <c r="I1810" s="690">
        <f>I1809</f>
        <v>1.2</v>
      </c>
      <c r="J1810" s="317">
        <f>IF(G1810&lt;&gt;"",VLOOKUP(G1810,precio_barras,9,FALSE),0)</f>
        <v>71.100000000000009</v>
      </c>
      <c r="K1810" s="691">
        <v>0</v>
      </c>
      <c r="L1810" s="318" t="str">
        <f>IF(G1810&lt;&gt;"",IF(VLOOKUP(G1810,base_barras,10,FALSE)&lt;&gt;"",VLOOKUP(G1810,base_barras,10,FALSE),"-"),"-")</f>
        <v>1/1000</v>
      </c>
      <c r="M1810" s="317">
        <f>IF(L1810&lt;&gt;"-",VLOOKUP(L1810,precio_aislador,2,FALSE),0)</f>
        <v>2.7</v>
      </c>
      <c r="N1810" s="308">
        <f>(I1810*J1810*F1810+K1810*M1810)*E1810*1.67*1.25</f>
        <v>178.10550000000001</v>
      </c>
      <c r="O1810" s="288"/>
      <c r="P1810" s="297"/>
      <c r="Q1810" s="288"/>
      <c r="R1810" s="102"/>
      <c r="S1810" s="102"/>
      <c r="T1810" s="102"/>
    </row>
    <row r="1811" spans="1:20" s="102" customFormat="1" ht="13.5" thickBot="1">
      <c r="A1811" s="2640"/>
      <c r="B1811" s="321" t="s">
        <v>2504</v>
      </c>
      <c r="C1811" s="479"/>
      <c r="D1811" s="364">
        <f>IF(H1811&lt;&gt;"",VLOOKUP(G1811,base_barras,IF(H1811="Desnuda",2,5)+F1811-1,FALSE),"-")</f>
        <v>3170</v>
      </c>
      <c r="E1811" s="365">
        <v>4</v>
      </c>
      <c r="F1811" s="366">
        <v>3</v>
      </c>
      <c r="G1811" s="322" t="s">
        <v>582</v>
      </c>
      <c r="H1811" s="366" t="s">
        <v>1043</v>
      </c>
      <c r="I1811" s="367">
        <f>0.7+0.7+0.3+0.2</f>
        <v>1.9</v>
      </c>
      <c r="J1811" s="368">
        <f>IF(G1811&lt;&gt;"",VLOOKUP(G1811,precio_barras,9,FALSE),0)</f>
        <v>71.100000000000009</v>
      </c>
      <c r="K1811" s="365">
        <v>2</v>
      </c>
      <c r="L1811" s="369" t="str">
        <f>IF(G1811&lt;&gt;"",IF(VLOOKUP(G1811,base_barras,10,FALSE)&lt;&gt;"",VLOOKUP(G1811,base_barras,10,FALSE),"-"),"-")</f>
        <v>1/1000</v>
      </c>
      <c r="M1811" s="368">
        <f>IF(L1811&lt;&gt;"-",VLOOKUP(L1811,precio_aislador,2,FALSE),0)</f>
        <v>2.7</v>
      </c>
      <c r="N1811" s="370">
        <f>(I1811*J1811*F1811+K1811*M1811)*E1811*1.67*1.25</f>
        <v>3429.0944999999992</v>
      </c>
      <c r="O1811" s="288"/>
      <c r="P1811" s="297"/>
      <c r="Q1811" s="297"/>
    </row>
    <row r="1812" spans="1:20" s="102" customFormat="1" ht="13.5" thickBot="1">
      <c r="A1812" s="323"/>
      <c r="B1812" s="309"/>
      <c r="C1812" s="309"/>
      <c r="D1812" s="382"/>
      <c r="E1812" s="323"/>
      <c r="F1812" s="309"/>
      <c r="G1812" s="309"/>
      <c r="H1812" s="323"/>
      <c r="I1812" s="325"/>
      <c r="J1812" s="325"/>
      <c r="K1812" s="323"/>
      <c r="L1812" s="323"/>
      <c r="M1812" s="325"/>
      <c r="N1812" s="706">
        <f>SUM(N1809:N1811)</f>
        <v>6293.2279999999992</v>
      </c>
      <c r="O1812" s="288"/>
      <c r="P1812" s="297"/>
      <c r="Q1812" s="297"/>
    </row>
    <row r="1813" spans="1:20" s="102" customFormat="1" ht="8.25" customHeight="1">
      <c r="A1813" s="323"/>
      <c r="B1813" s="309"/>
      <c r="C1813" s="323"/>
      <c r="D1813" s="382"/>
      <c r="E1813" s="323"/>
      <c r="F1813" s="325"/>
      <c r="G1813" s="325"/>
      <c r="H1813" s="325"/>
      <c r="I1813" s="323"/>
      <c r="J1813" s="323"/>
      <c r="K1813" s="323"/>
      <c r="L1813" s="325"/>
      <c r="M1813" s="323"/>
      <c r="N1813" s="309"/>
      <c r="O1813" s="288"/>
      <c r="P1813" s="297"/>
      <c r="Q1813" s="288"/>
    </row>
    <row r="1814" spans="1:20" s="106" customFormat="1" ht="29.25" customHeight="1"/>
    <row r="1815" spans="1:20" s="106" customFormat="1" ht="29.25" customHeight="1"/>
    <row r="1816" spans="1:20" s="106" customFormat="1" ht="29.25" customHeight="1"/>
    <row r="1817" spans="1:20" s="106" customFormat="1" ht="29.25" customHeight="1"/>
    <row r="1818" spans="1:20" s="106" customFormat="1" ht="13.5" thickBot="1"/>
    <row r="1819" spans="1:20" s="199" customFormat="1" ht="15.75" customHeight="1">
      <c r="A1819" s="2636" t="s">
        <v>2570</v>
      </c>
      <c r="B1819" s="326" t="s">
        <v>1033</v>
      </c>
      <c r="C1819" s="327"/>
      <c r="D1819" s="328">
        <f t="shared" ref="D1819:D1824" si="688">IF(H1819&lt;&gt;"",VLOOKUP(G1819,base_barras,IF(H1819="Desnuda",2,5)+F1819-1,FALSE),"-")</f>
        <v>1180</v>
      </c>
      <c r="E1819" s="329">
        <v>3</v>
      </c>
      <c r="F1819" s="330">
        <v>1</v>
      </c>
      <c r="G1819" s="331" t="s">
        <v>581</v>
      </c>
      <c r="H1819" s="330" t="s">
        <v>1043</v>
      </c>
      <c r="I1819" s="332">
        <f>0.8+0.8</f>
        <v>1.6</v>
      </c>
      <c r="J1819" s="333">
        <f t="shared" ref="J1819:J1824" si="689">IF(G1819&lt;&gt;"",VLOOKUP(G1819,precio_barras,9,FALSE),0)</f>
        <v>53.3</v>
      </c>
      <c r="K1819" s="481">
        <f>2+2</f>
        <v>4</v>
      </c>
      <c r="L1819" s="343" t="str">
        <f t="shared" ref="L1819:L1824" si="690">IF(G1819&lt;&gt;"",IF(VLOOKUP(G1819,base_barras,10,FALSE)&lt;&gt;"",VLOOKUP(G1819,base_barras,10,FALSE),"-"),"-")</f>
        <v>1/750</v>
      </c>
      <c r="M1819" s="333">
        <f t="shared" ref="M1819:M1824" si="691">IF(L1819&lt;&gt;"-",VLOOKUP(L1819,precio_aislador,2,FALSE),0)</f>
        <v>1.9</v>
      </c>
      <c r="N1819" s="360">
        <f t="shared" ref="N1819:N1824" si="692">(I1819*J1819*F1819+K1819*M1819)*E1819*1.67*1.25</f>
        <v>581.66099999999994</v>
      </c>
      <c r="O1819" s="288"/>
      <c r="P1819" s="297"/>
      <c r="Q1819" s="288"/>
      <c r="R1819" s="102"/>
      <c r="S1819" s="102"/>
      <c r="T1819" s="102"/>
    </row>
    <row r="1820" spans="1:20" s="199" customFormat="1" ht="15.75" customHeight="1">
      <c r="A1820" s="2627"/>
      <c r="B1820" s="310" t="s">
        <v>2571</v>
      </c>
      <c r="C1820" s="311"/>
      <c r="D1820" s="312">
        <f>IF(H1820&lt;&gt;"",VLOOKUP(G1820,base_barras,IF(H1820="Desnuda",2,5)+F1820-1,FALSE),"-")</f>
        <v>1180</v>
      </c>
      <c r="E1820" s="313">
        <v>3</v>
      </c>
      <c r="F1820" s="314">
        <v>1</v>
      </c>
      <c r="G1820" s="315" t="s">
        <v>581</v>
      </c>
      <c r="H1820" s="314" t="s">
        <v>1043</v>
      </c>
      <c r="I1820" s="316">
        <v>0.61</v>
      </c>
      <c r="J1820" s="317">
        <f>IF(G1820&lt;&gt;"",VLOOKUP(G1820,precio_barras,9,FALSE),0)</f>
        <v>53.3</v>
      </c>
      <c r="K1820" s="313">
        <v>0</v>
      </c>
      <c r="L1820" s="318" t="str">
        <f>IF(G1820&lt;&gt;"",IF(VLOOKUP(G1820,base_barras,10,FALSE)&lt;&gt;"",VLOOKUP(G1820,base_barras,10,FALSE),"-"),"-")</f>
        <v>1/750</v>
      </c>
      <c r="M1820" s="317">
        <f>IF(L1820&lt;&gt;"-",VLOOKUP(L1820,precio_aislador,2,FALSE),0)</f>
        <v>1.9</v>
      </c>
      <c r="N1820" s="308">
        <f t="shared" si="692"/>
        <v>203.61266249999997</v>
      </c>
      <c r="O1820" s="288"/>
      <c r="P1820" s="297"/>
      <c r="Q1820" s="288"/>
      <c r="R1820" s="102"/>
      <c r="S1820" s="102"/>
      <c r="T1820" s="102"/>
    </row>
    <row r="1821" spans="1:20" s="199" customFormat="1" ht="15.75" customHeight="1">
      <c r="A1821" s="2627"/>
      <c r="B1821" s="310" t="s">
        <v>2572</v>
      </c>
      <c r="C1821" s="311"/>
      <c r="D1821" s="312">
        <f>IF(H1821&lt;&gt;"",VLOOKUP(G1821,base_barras,IF(H1821="Desnuda",2,5)+F1821-1,FALSE),"-")</f>
        <v>676</v>
      </c>
      <c r="E1821" s="313">
        <v>3</v>
      </c>
      <c r="F1821" s="314">
        <v>1</v>
      </c>
      <c r="G1821" s="315" t="s">
        <v>314</v>
      </c>
      <c r="H1821" s="314" t="s">
        <v>1043</v>
      </c>
      <c r="I1821" s="316">
        <v>0.61</v>
      </c>
      <c r="J1821" s="317">
        <f>IF(G1821&lt;&gt;"",VLOOKUP(G1821,precio_barras,9,FALSE),0)</f>
        <v>26.6</v>
      </c>
      <c r="K1821" s="313">
        <v>0</v>
      </c>
      <c r="L1821" s="318" t="str">
        <f>IF(G1821&lt;&gt;"",IF(VLOOKUP(G1821,base_barras,10,FALSE)&lt;&gt;"",VLOOKUP(G1821,base_barras,10,FALSE),"-"),"-")</f>
        <v>1/750</v>
      </c>
      <c r="M1821" s="317">
        <f>IF(L1821&lt;&gt;"-",VLOOKUP(L1821,precio_aislador,2,FALSE),0)</f>
        <v>1.9</v>
      </c>
      <c r="N1821" s="308">
        <f t="shared" si="692"/>
        <v>101.615325</v>
      </c>
      <c r="O1821" s="288"/>
      <c r="P1821" s="297"/>
      <c r="Q1821" s="288"/>
      <c r="R1821" s="102"/>
      <c r="S1821" s="102"/>
      <c r="T1821" s="102"/>
    </row>
    <row r="1822" spans="1:20" s="199" customFormat="1" ht="15.75" customHeight="1">
      <c r="A1822" s="2627"/>
      <c r="B1822" s="310" t="s">
        <v>2573</v>
      </c>
      <c r="C1822" s="311"/>
      <c r="D1822" s="312">
        <f>IF(H1822&lt;&gt;"",VLOOKUP(G1822,base_barras,IF(H1822="Desnuda",2,5)+F1822-1,FALSE),"-")</f>
        <v>573</v>
      </c>
      <c r="E1822" s="313">
        <v>3</v>
      </c>
      <c r="F1822" s="314">
        <v>1</v>
      </c>
      <c r="G1822" s="315" t="s">
        <v>314</v>
      </c>
      <c r="H1822" s="314" t="s">
        <v>1044</v>
      </c>
      <c r="I1822" s="316">
        <v>0.4</v>
      </c>
      <c r="J1822" s="317">
        <f>IF(G1822&lt;&gt;"",VLOOKUP(G1822,precio_barras,9,FALSE),0)</f>
        <v>26.6</v>
      </c>
      <c r="K1822" s="313">
        <v>0</v>
      </c>
      <c r="L1822" s="318" t="str">
        <f>IF(G1822&lt;&gt;"",IF(VLOOKUP(G1822,base_barras,10,FALSE)&lt;&gt;"",VLOOKUP(G1822,base_barras,10,FALSE),"-"),"-")</f>
        <v>1/750</v>
      </c>
      <c r="M1822" s="317">
        <f>IF(L1822&lt;&gt;"-",VLOOKUP(L1822,precio_aislador,2,FALSE),0)</f>
        <v>1.9</v>
      </c>
      <c r="N1822" s="308">
        <f t="shared" si="692"/>
        <v>66.63300000000001</v>
      </c>
      <c r="O1822" s="288"/>
      <c r="P1822" s="297"/>
      <c r="Q1822" s="288"/>
      <c r="R1822" s="102"/>
      <c r="S1822" s="102"/>
      <c r="T1822" s="102"/>
    </row>
    <row r="1823" spans="1:20" s="199" customFormat="1" ht="14.25">
      <c r="A1823" s="2627"/>
      <c r="B1823" s="310" t="s">
        <v>801</v>
      </c>
      <c r="C1823" s="319"/>
      <c r="D1823" s="312">
        <f t="shared" si="688"/>
        <v>1180</v>
      </c>
      <c r="E1823" s="313">
        <v>1</v>
      </c>
      <c r="F1823" s="314">
        <v>1</v>
      </c>
      <c r="G1823" s="315" t="s">
        <v>581</v>
      </c>
      <c r="H1823" s="314" t="s">
        <v>1043</v>
      </c>
      <c r="I1823" s="740">
        <v>0</v>
      </c>
      <c r="J1823" s="317">
        <f t="shared" si="689"/>
        <v>53.3</v>
      </c>
      <c r="K1823" s="320">
        <v>0</v>
      </c>
      <c r="L1823" s="318" t="str">
        <f t="shared" si="690"/>
        <v>1/750</v>
      </c>
      <c r="M1823" s="317">
        <f t="shared" si="691"/>
        <v>1.9</v>
      </c>
      <c r="N1823" s="308">
        <f t="shared" si="692"/>
        <v>0</v>
      </c>
      <c r="O1823" s="288"/>
      <c r="P1823" s="297"/>
      <c r="Q1823" s="288"/>
      <c r="R1823" s="102"/>
      <c r="S1823" s="102"/>
      <c r="T1823" s="102"/>
    </row>
    <row r="1824" spans="1:20" s="199" customFormat="1" ht="15" thickBot="1">
      <c r="A1824" s="2628"/>
      <c r="B1824" s="321" t="s">
        <v>802</v>
      </c>
      <c r="C1824" s="363"/>
      <c r="D1824" s="364">
        <f t="shared" si="688"/>
        <v>676</v>
      </c>
      <c r="E1824" s="365">
        <v>1</v>
      </c>
      <c r="F1824" s="366">
        <v>1</v>
      </c>
      <c r="G1824" s="322" t="s">
        <v>314</v>
      </c>
      <c r="H1824" s="366" t="s">
        <v>1043</v>
      </c>
      <c r="I1824" s="367">
        <f>I1819</f>
        <v>1.6</v>
      </c>
      <c r="J1824" s="368">
        <f t="shared" si="689"/>
        <v>26.6</v>
      </c>
      <c r="K1824" s="395">
        <v>0</v>
      </c>
      <c r="L1824" s="369" t="str">
        <f t="shared" si="690"/>
        <v>1/750</v>
      </c>
      <c r="M1824" s="368">
        <f t="shared" si="691"/>
        <v>1.9</v>
      </c>
      <c r="N1824" s="370">
        <f t="shared" si="692"/>
        <v>88.843999999999994</v>
      </c>
      <c r="O1824" s="288"/>
      <c r="P1824" s="297"/>
      <c r="Q1824" s="288"/>
      <c r="R1824" s="102"/>
      <c r="S1824" s="102"/>
      <c r="T1824" s="102"/>
    </row>
    <row r="1825" spans="1:20" s="129" customFormat="1" ht="22.5" customHeight="1" thickBot="1">
      <c r="A1825" s="371"/>
      <c r="B1825" s="375"/>
      <c r="C1825" s="375"/>
      <c r="D1825" s="383"/>
      <c r="E1825" s="373"/>
      <c r="F1825" s="373"/>
      <c r="G1825" s="373"/>
      <c r="H1825" s="373"/>
      <c r="I1825" s="374"/>
      <c r="J1825" s="374"/>
      <c r="K1825" s="373"/>
      <c r="L1825" s="373"/>
      <c r="M1825" s="372"/>
      <c r="N1825" s="699">
        <f>SUM(N1819:N1824)</f>
        <v>1042.3659874999998</v>
      </c>
      <c r="O1825" s="288"/>
      <c r="P1825" s="297"/>
      <c r="Q1825" s="288"/>
      <c r="R1825" s="102"/>
      <c r="S1825" s="102"/>
      <c r="T1825" s="102"/>
    </row>
    <row r="1826" spans="1:20" s="102" customFormat="1" ht="8.25" customHeight="1" thickBot="1">
      <c r="A1826" s="323"/>
      <c r="B1826" s="309"/>
      <c r="C1826" s="323"/>
      <c r="D1826" s="382"/>
      <c r="E1826" s="323"/>
      <c r="F1826" s="325"/>
      <c r="G1826" s="325"/>
      <c r="H1826" s="325"/>
      <c r="I1826" s="323"/>
      <c r="J1826" s="323"/>
      <c r="K1826" s="323"/>
      <c r="L1826" s="325"/>
      <c r="M1826" s="323"/>
      <c r="N1826" s="309"/>
      <c r="O1826" s="288"/>
      <c r="P1826" s="297"/>
      <c r="Q1826" s="288"/>
    </row>
    <row r="1827" spans="1:20" s="102" customFormat="1">
      <c r="A1827" s="2639" t="s">
        <v>2574</v>
      </c>
      <c r="B1827" s="326" t="s">
        <v>1033</v>
      </c>
      <c r="C1827" s="327"/>
      <c r="D1827" s="328">
        <f>IF(H1827&lt;&gt;"",VLOOKUP(G1827,base_barras,IF(H1827="Desnuda",2,5)+F1827-1,FALSE),"-")</f>
        <v>3280</v>
      </c>
      <c r="E1827" s="329">
        <v>3</v>
      </c>
      <c r="F1827" s="330">
        <v>2</v>
      </c>
      <c r="G1827" s="331" t="s">
        <v>470</v>
      </c>
      <c r="H1827" s="330" t="s">
        <v>1043</v>
      </c>
      <c r="I1827" s="332">
        <v>0</v>
      </c>
      <c r="J1827" s="333">
        <f>IF(G1827&lt;&gt;"",VLOOKUP(G1827,precio_barras,9,FALSE),0)</f>
        <v>107</v>
      </c>
      <c r="K1827" s="481">
        <v>0</v>
      </c>
      <c r="L1827" s="343" t="str">
        <f>IF(G1827&lt;&gt;"",IF(VLOOKUP(G1827,base_barras,10,FALSE)&lt;&gt;"",VLOOKUP(G1827,base_barras,10,FALSE),"-"),"-")</f>
        <v>1.5/1250</v>
      </c>
      <c r="M1827" s="333">
        <f>IF(L1827&lt;&gt;"-",VLOOKUP(L1827,precio_aislador,2,FALSE),0)</f>
        <v>5.5</v>
      </c>
      <c r="N1827" s="360">
        <f>(I1827*J1827*F1827+K1827*M1827)*E1827*1.67*1.25</f>
        <v>0</v>
      </c>
      <c r="O1827" s="288"/>
      <c r="P1827" s="297"/>
      <c r="Q1827" s="297"/>
    </row>
    <row r="1828" spans="1:20" s="102" customFormat="1" ht="13.5" thickBot="1">
      <c r="A1828" s="2640"/>
      <c r="B1828" s="310" t="s">
        <v>2575</v>
      </c>
      <c r="C1828" s="311"/>
      <c r="D1828" s="312">
        <f>IF(H1828&lt;&gt;"",VLOOKUP(G1828,base_barras,IF(H1828="Desnuda",2,5)+F1828-1,FALSE),"-")</f>
        <v>3720</v>
      </c>
      <c r="E1828" s="313">
        <v>3</v>
      </c>
      <c r="F1828" s="314">
        <v>3</v>
      </c>
      <c r="G1828" s="315" t="s">
        <v>468</v>
      </c>
      <c r="H1828" s="314" t="s">
        <v>1043</v>
      </c>
      <c r="I1828" s="316">
        <v>0</v>
      </c>
      <c r="J1828" s="478">
        <f>IF(G1828&lt;&gt;"",VLOOKUP(G1828,precio_barras,9,FALSE),0)</f>
        <v>88.9</v>
      </c>
      <c r="K1828" s="313">
        <v>0</v>
      </c>
      <c r="L1828" s="318" t="str">
        <f>IF(G1828&lt;&gt;"",IF(VLOOKUP(G1828,base_barras,10,FALSE)&lt;&gt;"",VLOOKUP(G1828,base_barras,10,FALSE),"-"),"-")</f>
        <v>1.5/1250</v>
      </c>
      <c r="M1828" s="317">
        <f>IF(L1828&lt;&gt;"-",VLOOKUP(L1828,precio_aislador,2,FALSE),0)</f>
        <v>5.5</v>
      </c>
      <c r="N1828" s="308">
        <f>(I1828*J1828*F1828+K1828*M1828)*E1828*1.67*1.25</f>
        <v>0</v>
      </c>
      <c r="O1828" s="288"/>
      <c r="P1828" s="297"/>
      <c r="Q1828" s="297"/>
    </row>
    <row r="1829" spans="1:20" s="102" customFormat="1" ht="13.5" thickBot="1">
      <c r="A1829" s="323"/>
      <c r="B1829" s="309"/>
      <c r="C1829" s="309"/>
      <c r="D1829" s="382"/>
      <c r="E1829" s="323"/>
      <c r="F1829" s="309"/>
      <c r="G1829" s="309"/>
      <c r="H1829" s="323"/>
      <c r="I1829" s="325"/>
      <c r="J1829" s="325"/>
      <c r="K1829" s="323"/>
      <c r="L1829" s="323"/>
      <c r="M1829" s="325"/>
      <c r="N1829" s="706">
        <f>SUM(N1827:N1828)</f>
        <v>0</v>
      </c>
      <c r="O1829" s="288"/>
      <c r="P1829" s="297"/>
      <c r="Q1829" s="297"/>
    </row>
    <row r="1830" spans="1:20" s="102" customFormat="1" ht="8.25" customHeight="1" thickBot="1">
      <c r="A1830" s="323"/>
      <c r="B1830" s="309"/>
      <c r="C1830" s="323"/>
      <c r="D1830" s="382"/>
      <c r="E1830" s="323"/>
      <c r="F1830" s="325"/>
      <c r="G1830" s="325"/>
      <c r="H1830" s="325"/>
      <c r="I1830" s="323"/>
      <c r="J1830" s="323"/>
      <c r="K1830" s="323"/>
      <c r="L1830" s="325"/>
      <c r="M1830" s="323"/>
      <c r="N1830" s="309"/>
      <c r="O1830" s="288"/>
      <c r="P1830" s="297"/>
      <c r="Q1830" s="288"/>
    </row>
    <row r="1831" spans="1:20" s="102" customFormat="1">
      <c r="A1831" s="2629" t="s">
        <v>1228</v>
      </c>
      <c r="B1831" s="326" t="s">
        <v>1033</v>
      </c>
      <c r="C1831" s="327"/>
      <c r="D1831" s="328">
        <f>IF(H1831&lt;&gt;"",VLOOKUP(G1831,base_barras,IF(H1831="Desnuda",2,5)+F1831-1,FALSE),"-")</f>
        <v>1180</v>
      </c>
      <c r="E1831" s="481">
        <f>3+0</f>
        <v>3</v>
      </c>
      <c r="F1831" s="330">
        <v>1</v>
      </c>
      <c r="G1831" s="331" t="s">
        <v>581</v>
      </c>
      <c r="H1831" s="330" t="s">
        <v>1043</v>
      </c>
      <c r="I1831" s="332">
        <v>0.2</v>
      </c>
      <c r="J1831" s="333">
        <f>IF(G1831&lt;&gt;"",VLOOKUP(G1831,precio_barras,9,FALSE),0)</f>
        <v>53.3</v>
      </c>
      <c r="K1831" s="329">
        <v>0</v>
      </c>
      <c r="L1831" s="343" t="str">
        <f>IF(G1831&lt;&gt;"",IF(VLOOKUP(G1831,base_barras,10,FALSE)&lt;&gt;"",VLOOKUP(G1831,base_barras,10,FALSE),"-"),"-")</f>
        <v>1/750</v>
      </c>
      <c r="M1831" s="333">
        <f>IF(L1831&lt;&gt;"-",VLOOKUP(L1831,precio_aislador,2,FALSE),0)</f>
        <v>1.9</v>
      </c>
      <c r="N1831" s="360">
        <f>(I1831*J1831*F1831+K1831*M1831)*E1831*1.67*1.25</f>
        <v>66.758250000000004</v>
      </c>
      <c r="O1831" s="288"/>
      <c r="P1831" s="297"/>
      <c r="Q1831" s="297"/>
    </row>
    <row r="1832" spans="1:20" s="102" customFormat="1" ht="13.5" thickBot="1">
      <c r="A1832" s="2635"/>
      <c r="B1832" s="321"/>
      <c r="C1832" s="479"/>
      <c r="D1832" s="364" t="str">
        <f>IF(H1832&lt;&gt;"",VLOOKUP(G1832,base_barras,IF(H1832="Desnuda",2,5)+F1832-1,FALSE),"-")</f>
        <v>-</v>
      </c>
      <c r="E1832" s="365"/>
      <c r="F1832" s="366"/>
      <c r="G1832" s="322"/>
      <c r="H1832" s="366"/>
      <c r="I1832" s="367"/>
      <c r="J1832" s="480">
        <f>IF(G1832&lt;&gt;"",VLOOKUP(G1832,precio_barras,9,FALSE),0)</f>
        <v>0</v>
      </c>
      <c r="K1832" s="365"/>
      <c r="L1832" s="369" t="str">
        <f>IF(G1832&lt;&gt;"",IF(VLOOKUP(G1832,base_barras,10,FALSE)&lt;&gt;"",VLOOKUP(G1832,base_barras,10,FALSE),"-"),"-")</f>
        <v>-</v>
      </c>
      <c r="M1832" s="368">
        <f>IF(L1832&lt;&gt;"-",VLOOKUP(L1832,precio_aislador,2,FALSE),0)</f>
        <v>0</v>
      </c>
      <c r="N1832" s="370">
        <f>(I1832*J1832*F1832+K1832*M1832)*E1832*1.67*1.25</f>
        <v>0</v>
      </c>
      <c r="O1832" s="288"/>
      <c r="P1832" s="297"/>
      <c r="Q1832" s="297"/>
    </row>
    <row r="1833" spans="1:20" s="102" customFormat="1" ht="13.5" thickBot="1">
      <c r="A1833" s="323"/>
      <c r="B1833" s="309"/>
      <c r="C1833" s="309"/>
      <c r="D1833" s="382"/>
      <c r="E1833" s="323"/>
      <c r="F1833" s="309"/>
      <c r="G1833" s="309"/>
      <c r="H1833" s="323"/>
      <c r="I1833" s="325"/>
      <c r="J1833" s="325"/>
      <c r="K1833" s="323"/>
      <c r="L1833" s="323"/>
      <c r="M1833" s="325"/>
      <c r="N1833" s="706">
        <f>SUM(N1831:N1832)</f>
        <v>66.758250000000004</v>
      </c>
      <c r="O1833" s="288"/>
      <c r="P1833" s="297"/>
      <c r="Q1833" s="297"/>
    </row>
    <row r="1834" spans="1:20" s="102" customFormat="1" ht="8.25" customHeight="1" thickBot="1">
      <c r="A1834" s="323"/>
      <c r="B1834" s="309"/>
      <c r="C1834" s="323"/>
      <c r="D1834" s="382"/>
      <c r="E1834" s="323"/>
      <c r="F1834" s="325"/>
      <c r="G1834" s="325"/>
      <c r="H1834" s="325"/>
      <c r="I1834" s="323"/>
      <c r="J1834" s="323"/>
      <c r="K1834" s="323"/>
      <c r="L1834" s="325"/>
      <c r="M1834" s="323"/>
      <c r="N1834" s="309"/>
      <c r="O1834" s="288"/>
      <c r="P1834" s="297"/>
      <c r="Q1834" s="288"/>
    </row>
    <row r="1835" spans="1:20" s="102" customFormat="1">
      <c r="A1835" s="2629" t="s">
        <v>1034</v>
      </c>
      <c r="B1835" s="326" t="s">
        <v>1033</v>
      </c>
      <c r="C1835" s="327"/>
      <c r="D1835" s="328">
        <f>IF(H1835&lt;&gt;"",VLOOKUP(G1835,base_barras,IF(H1835="Desnuda",2,5)+F1835-1,FALSE),"-")</f>
        <v>3720</v>
      </c>
      <c r="E1835" s="481">
        <f>3+0</f>
        <v>3</v>
      </c>
      <c r="F1835" s="330">
        <v>3</v>
      </c>
      <c r="G1835" s="331" t="s">
        <v>468</v>
      </c>
      <c r="H1835" s="330" t="s">
        <v>1043</v>
      </c>
      <c r="I1835" s="332">
        <v>0</v>
      </c>
      <c r="J1835" s="333">
        <f>IF(G1835&lt;&gt;"",VLOOKUP(G1835,precio_barras,9,FALSE),0)</f>
        <v>88.9</v>
      </c>
      <c r="K1835" s="329">
        <v>0</v>
      </c>
      <c r="L1835" s="343" t="str">
        <f>IF(G1835&lt;&gt;"",IF(VLOOKUP(G1835,base_barras,10,FALSE)&lt;&gt;"",VLOOKUP(G1835,base_barras,10,FALSE),"-"),"-")</f>
        <v>1.5/1250</v>
      </c>
      <c r="M1835" s="333">
        <f>IF(L1835&lt;&gt;"-",VLOOKUP(L1835,precio_aislador,2,FALSE),0)</f>
        <v>5.5</v>
      </c>
      <c r="N1835" s="360">
        <f>(I1835*J1835*F1835+K1835*M1835)*E1835*1.67*1.25</f>
        <v>0</v>
      </c>
      <c r="O1835" s="288"/>
      <c r="P1835" s="297"/>
      <c r="Q1835" s="297"/>
    </row>
    <row r="1836" spans="1:20" s="102" customFormat="1" ht="13.5" thickBot="1">
      <c r="A1836" s="2635"/>
      <c r="B1836" s="739" t="s">
        <v>1033</v>
      </c>
      <c r="C1836" s="693"/>
      <c r="D1836" s="697">
        <f>IF(H1836&lt;&gt;"",VLOOKUP(G1836,base_barras,IF(H1836="Desnuda",2,5)+F1836-1,FALSE),"-")</f>
        <v>3720</v>
      </c>
      <c r="E1836" s="705">
        <f>3+0</f>
        <v>3</v>
      </c>
      <c r="F1836" s="655">
        <v>3</v>
      </c>
      <c r="G1836" s="698" t="s">
        <v>468</v>
      </c>
      <c r="H1836" s="655" t="s">
        <v>1043</v>
      </c>
      <c r="I1836" s="398">
        <v>0</v>
      </c>
      <c r="J1836" s="478">
        <f>IF(G1836&lt;&gt;"",VLOOKUP(G1836,precio_barras,9,FALSE),0)</f>
        <v>88.9</v>
      </c>
      <c r="K1836" s="694">
        <v>0</v>
      </c>
      <c r="L1836" s="695" t="str">
        <f>IF(G1836&lt;&gt;"",IF(VLOOKUP(G1836,base_barras,10,FALSE)&lt;&gt;"",VLOOKUP(G1836,base_barras,10,FALSE),"-"),"-")</f>
        <v>1.5/1250</v>
      </c>
      <c r="M1836" s="478">
        <f>IF(L1836&lt;&gt;"-",VLOOKUP(L1836,precio_aislador,2,FALSE),0)</f>
        <v>5.5</v>
      </c>
      <c r="N1836" s="696">
        <f>(I1836*J1836*F1836+K1836*M1836)*E1836*1.67*1.25</f>
        <v>0</v>
      </c>
      <c r="O1836" s="288"/>
      <c r="P1836" s="297"/>
      <c r="Q1836" s="297"/>
    </row>
    <row r="1837" spans="1:20" s="102" customFormat="1" ht="13.5" thickBot="1">
      <c r="A1837" s="323"/>
      <c r="B1837" s="309"/>
      <c r="C1837" s="309"/>
      <c r="D1837" s="382"/>
      <c r="E1837" s="323"/>
      <c r="F1837" s="309"/>
      <c r="G1837" s="309"/>
      <c r="H1837" s="323"/>
      <c r="I1837" s="325"/>
      <c r="J1837" s="325"/>
      <c r="K1837" s="323"/>
      <c r="L1837" s="323"/>
      <c r="M1837" s="325"/>
      <c r="N1837" s="706">
        <f>SUM(N1835:N1836)</f>
        <v>0</v>
      </c>
      <c r="O1837" s="288"/>
      <c r="P1837" s="297"/>
      <c r="Q1837" s="297"/>
    </row>
    <row r="1838" spans="1:20" s="106" customFormat="1" ht="29.25" customHeight="1"/>
    <row r="1839" spans="1:20" s="106" customFormat="1" ht="13.5" thickBot="1"/>
    <row r="1840" spans="1:20" s="199" customFormat="1" ht="15.75" customHeight="1">
      <c r="A1840" s="2636" t="s">
        <v>2576</v>
      </c>
      <c r="B1840" s="326" t="s">
        <v>1033</v>
      </c>
      <c r="C1840" s="327"/>
      <c r="D1840" s="328">
        <f t="shared" ref="D1840:D1846" si="693">IF(H1840&lt;&gt;"",VLOOKUP(G1840,base_barras,IF(H1840="Desnuda",2,5)+F1840-1,FALSE),"-")</f>
        <v>1500</v>
      </c>
      <c r="E1840" s="329">
        <v>3</v>
      </c>
      <c r="F1840" s="330">
        <v>1</v>
      </c>
      <c r="G1840" s="331" t="s">
        <v>582</v>
      </c>
      <c r="H1840" s="330" t="s">
        <v>1043</v>
      </c>
      <c r="I1840" s="332">
        <f>0.8+0.8</f>
        <v>1.6</v>
      </c>
      <c r="J1840" s="333">
        <f t="shared" ref="J1840:J1846" si="694">IF(G1840&lt;&gt;"",VLOOKUP(G1840,precio_barras,9,FALSE),0)</f>
        <v>71.100000000000009</v>
      </c>
      <c r="K1840" s="481">
        <v>4</v>
      </c>
      <c r="L1840" s="343" t="str">
        <f t="shared" ref="L1840:L1846" si="695">IF(G1840&lt;&gt;"",IF(VLOOKUP(G1840,base_barras,10,FALSE)&lt;&gt;"",VLOOKUP(G1840,base_barras,10,FALSE),"-"),"-")</f>
        <v>1/1000</v>
      </c>
      <c r="M1840" s="333">
        <f t="shared" ref="M1840:M1846" si="696">IF(L1840&lt;&gt;"-",VLOOKUP(L1840,precio_aislador,2,FALSE),0)</f>
        <v>2.7</v>
      </c>
      <c r="N1840" s="360">
        <f t="shared" ref="N1840:N1846" si="697">(I1840*J1840*F1840+K1840*M1840)*E1840*1.67*1.25</f>
        <v>780.05700000000002</v>
      </c>
      <c r="O1840" s="288"/>
      <c r="P1840" s="297"/>
      <c r="Q1840" s="288"/>
      <c r="R1840" s="102"/>
      <c r="S1840" s="102"/>
      <c r="T1840" s="102"/>
    </row>
    <row r="1841" spans="1:20" s="199" customFormat="1" ht="15.75" customHeight="1">
      <c r="A1841" s="2627"/>
      <c r="B1841" s="310" t="s">
        <v>2571</v>
      </c>
      <c r="C1841" s="311"/>
      <c r="D1841" s="312">
        <f t="shared" si="693"/>
        <v>1180</v>
      </c>
      <c r="E1841" s="313">
        <v>3</v>
      </c>
      <c r="F1841" s="314">
        <v>1</v>
      </c>
      <c r="G1841" s="315" t="s">
        <v>581</v>
      </c>
      <c r="H1841" s="314" t="s">
        <v>1043</v>
      </c>
      <c r="I1841" s="316">
        <v>0.61</v>
      </c>
      <c r="J1841" s="478">
        <f t="shared" si="694"/>
        <v>53.3</v>
      </c>
      <c r="K1841" s="313">
        <v>0</v>
      </c>
      <c r="L1841" s="318" t="str">
        <f t="shared" si="695"/>
        <v>1/750</v>
      </c>
      <c r="M1841" s="317">
        <f t="shared" si="696"/>
        <v>1.9</v>
      </c>
      <c r="N1841" s="308">
        <f t="shared" si="697"/>
        <v>203.61266249999997</v>
      </c>
      <c r="O1841" s="288"/>
      <c r="P1841" s="297"/>
      <c r="Q1841" s="288"/>
      <c r="R1841" s="102"/>
      <c r="S1841" s="102"/>
      <c r="T1841" s="102"/>
    </row>
    <row r="1842" spans="1:20" s="199" customFormat="1" ht="15.75" customHeight="1">
      <c r="A1842" s="2627"/>
      <c r="B1842" s="310" t="s">
        <v>1713</v>
      </c>
      <c r="C1842" s="311"/>
      <c r="D1842" s="312">
        <f t="shared" si="693"/>
        <v>384</v>
      </c>
      <c r="E1842" s="313">
        <v>3</v>
      </c>
      <c r="F1842" s="314">
        <v>1</v>
      </c>
      <c r="G1842" s="315" t="s">
        <v>63</v>
      </c>
      <c r="H1842" s="314" t="s">
        <v>1043</v>
      </c>
      <c r="I1842" s="316">
        <v>0.61</v>
      </c>
      <c r="J1842" s="317">
        <f t="shared" si="694"/>
        <v>11.100000000000001</v>
      </c>
      <c r="K1842" s="313">
        <v>0</v>
      </c>
      <c r="L1842" s="318" t="str">
        <f t="shared" si="695"/>
        <v>0.5/400</v>
      </c>
      <c r="M1842" s="317">
        <f t="shared" si="696"/>
        <v>1.2</v>
      </c>
      <c r="N1842" s="308">
        <f t="shared" si="697"/>
        <v>42.403387500000001</v>
      </c>
      <c r="O1842" s="288"/>
      <c r="P1842" s="297"/>
      <c r="Q1842" s="288"/>
      <c r="R1842" s="102"/>
      <c r="S1842" s="102"/>
      <c r="T1842" s="102"/>
    </row>
    <row r="1843" spans="1:20" s="199" customFormat="1" ht="15.75" customHeight="1">
      <c r="A1843" s="2627"/>
      <c r="B1843" s="310" t="s">
        <v>1713</v>
      </c>
      <c r="C1843" s="311"/>
      <c r="D1843" s="312">
        <f>IF(H1843&lt;&gt;"",VLOOKUP(G1843,base_barras,IF(H1843="Desnuda",2,5)+F1843-1,FALSE),"-")</f>
        <v>384</v>
      </c>
      <c r="E1843" s="313">
        <v>3</v>
      </c>
      <c r="F1843" s="314">
        <v>1</v>
      </c>
      <c r="G1843" s="315" t="s">
        <v>63</v>
      </c>
      <c r="H1843" s="314" t="s">
        <v>1043</v>
      </c>
      <c r="I1843" s="316">
        <v>0.61</v>
      </c>
      <c r="J1843" s="317">
        <f>IF(G1843&lt;&gt;"",VLOOKUP(G1843,precio_barras,9,FALSE),0)</f>
        <v>11.100000000000001</v>
      </c>
      <c r="K1843" s="313">
        <v>0</v>
      </c>
      <c r="L1843" s="318" t="str">
        <f>IF(G1843&lt;&gt;"",IF(VLOOKUP(G1843,base_barras,10,FALSE)&lt;&gt;"",VLOOKUP(G1843,base_barras,10,FALSE),"-"),"-")</f>
        <v>0.5/400</v>
      </c>
      <c r="M1843" s="317">
        <f>IF(L1843&lt;&gt;"-",VLOOKUP(L1843,precio_aislador,2,FALSE),0)</f>
        <v>1.2</v>
      </c>
      <c r="N1843" s="308">
        <f t="shared" si="697"/>
        <v>42.403387500000001</v>
      </c>
      <c r="O1843" s="288"/>
      <c r="P1843" s="297"/>
      <c r="Q1843" s="288"/>
      <c r="R1843" s="102"/>
      <c r="S1843" s="102"/>
      <c r="T1843" s="102"/>
    </row>
    <row r="1844" spans="1:20" s="199" customFormat="1" ht="15.75" customHeight="1">
      <c r="A1844" s="2627"/>
      <c r="B1844" s="310" t="s">
        <v>2577</v>
      </c>
      <c r="C1844" s="311"/>
      <c r="D1844" s="312">
        <f t="shared" si="693"/>
        <v>985</v>
      </c>
      <c r="E1844" s="313">
        <v>3</v>
      </c>
      <c r="F1844" s="314">
        <v>1</v>
      </c>
      <c r="G1844" s="315" t="s">
        <v>581</v>
      </c>
      <c r="H1844" s="314" t="s">
        <v>1044</v>
      </c>
      <c r="I1844" s="316">
        <v>0.4</v>
      </c>
      <c r="J1844" s="317">
        <f t="shared" si="694"/>
        <v>53.3</v>
      </c>
      <c r="K1844" s="313">
        <v>0</v>
      </c>
      <c r="L1844" s="318" t="str">
        <f t="shared" si="695"/>
        <v>1/750</v>
      </c>
      <c r="M1844" s="317">
        <f t="shared" si="696"/>
        <v>1.9</v>
      </c>
      <c r="N1844" s="308">
        <f t="shared" si="697"/>
        <v>133.51650000000001</v>
      </c>
      <c r="O1844" s="288"/>
      <c r="P1844" s="297"/>
      <c r="Q1844" s="288"/>
      <c r="R1844" s="102"/>
      <c r="S1844" s="102"/>
      <c r="T1844" s="102"/>
    </row>
    <row r="1845" spans="1:20" s="199" customFormat="1" ht="14.25">
      <c r="A1845" s="2627"/>
      <c r="B1845" s="310" t="s">
        <v>801</v>
      </c>
      <c r="C1845" s="319"/>
      <c r="D1845" s="312">
        <f t="shared" si="693"/>
        <v>1500</v>
      </c>
      <c r="E1845" s="313">
        <v>1</v>
      </c>
      <c r="F1845" s="314">
        <v>1</v>
      </c>
      <c r="G1845" s="315" t="s">
        <v>582</v>
      </c>
      <c r="H1845" s="314" t="s">
        <v>1043</v>
      </c>
      <c r="I1845" s="740">
        <v>0</v>
      </c>
      <c r="J1845" s="317">
        <f t="shared" si="694"/>
        <v>71.100000000000009</v>
      </c>
      <c r="K1845" s="320">
        <v>0</v>
      </c>
      <c r="L1845" s="318" t="str">
        <f t="shared" si="695"/>
        <v>1/1000</v>
      </c>
      <c r="M1845" s="317">
        <f t="shared" si="696"/>
        <v>2.7</v>
      </c>
      <c r="N1845" s="308">
        <f t="shared" si="697"/>
        <v>0</v>
      </c>
      <c r="O1845" s="288"/>
      <c r="P1845" s="297"/>
      <c r="Q1845" s="288"/>
      <c r="R1845" s="102"/>
      <c r="S1845" s="102"/>
      <c r="T1845" s="102"/>
    </row>
    <row r="1846" spans="1:20" s="199" customFormat="1" ht="15" thickBot="1">
      <c r="A1846" s="2628"/>
      <c r="B1846" s="321" t="s">
        <v>802</v>
      </c>
      <c r="C1846" s="363"/>
      <c r="D1846" s="364">
        <f t="shared" si="693"/>
        <v>850</v>
      </c>
      <c r="E1846" s="365">
        <v>1</v>
      </c>
      <c r="F1846" s="366">
        <v>1</v>
      </c>
      <c r="G1846" s="322" t="s">
        <v>469</v>
      </c>
      <c r="H1846" s="366" t="s">
        <v>1043</v>
      </c>
      <c r="I1846" s="367">
        <f>I1840</f>
        <v>1.6</v>
      </c>
      <c r="J1846" s="368">
        <f t="shared" si="694"/>
        <v>35.6</v>
      </c>
      <c r="K1846" s="395">
        <v>0</v>
      </c>
      <c r="L1846" s="369" t="str">
        <f t="shared" si="695"/>
        <v>1/750</v>
      </c>
      <c r="M1846" s="368">
        <f t="shared" si="696"/>
        <v>1.9</v>
      </c>
      <c r="N1846" s="370">
        <f t="shared" si="697"/>
        <v>118.90400000000001</v>
      </c>
      <c r="O1846" s="288"/>
      <c r="P1846" s="297"/>
      <c r="Q1846" s="288"/>
      <c r="R1846" s="102"/>
      <c r="S1846" s="102"/>
      <c r="T1846" s="102"/>
    </row>
    <row r="1847" spans="1:20" s="129" customFormat="1" ht="22.5" customHeight="1" thickBot="1">
      <c r="A1847" s="371"/>
      <c r="B1847" s="375"/>
      <c r="C1847" s="375"/>
      <c r="D1847" s="383"/>
      <c r="E1847" s="373"/>
      <c r="F1847" s="373"/>
      <c r="G1847" s="373"/>
      <c r="H1847" s="373"/>
      <c r="I1847" s="374"/>
      <c r="J1847" s="374"/>
      <c r="K1847" s="373"/>
      <c r="L1847" s="373"/>
      <c r="M1847" s="372"/>
      <c r="N1847" s="699">
        <f>SUM(N1840:N1846)</f>
        <v>1320.8969374999999</v>
      </c>
      <c r="O1847" s="288"/>
      <c r="P1847" s="297"/>
      <c r="Q1847" s="288"/>
      <c r="R1847" s="102"/>
      <c r="S1847" s="102"/>
      <c r="T1847" s="102"/>
    </row>
    <row r="1848" spans="1:20" s="102" customFormat="1" ht="8.25" customHeight="1" thickBot="1">
      <c r="A1848" s="323"/>
      <c r="B1848" s="309"/>
      <c r="C1848" s="323"/>
      <c r="D1848" s="382"/>
      <c r="E1848" s="323"/>
      <c r="F1848" s="325"/>
      <c r="G1848" s="325"/>
      <c r="H1848" s="325"/>
      <c r="I1848" s="323"/>
      <c r="J1848" s="323"/>
      <c r="K1848" s="323"/>
      <c r="L1848" s="325"/>
      <c r="M1848" s="323"/>
      <c r="N1848" s="309"/>
      <c r="O1848" s="288"/>
      <c r="P1848" s="297"/>
      <c r="Q1848" s="288"/>
    </row>
    <row r="1849" spans="1:20" s="102" customFormat="1">
      <c r="A1849" s="2639" t="s">
        <v>2574</v>
      </c>
      <c r="B1849" s="326"/>
      <c r="C1849" s="327"/>
      <c r="D1849" s="328">
        <f>IF(H1849&lt;&gt;"",VLOOKUP(G1849,base_barras,IF(H1849="Desnuda",2,5)+F1849-1,FALSE),"-")</f>
        <v>3280</v>
      </c>
      <c r="E1849" s="329">
        <v>3</v>
      </c>
      <c r="F1849" s="330">
        <v>2</v>
      </c>
      <c r="G1849" s="331" t="s">
        <v>470</v>
      </c>
      <c r="H1849" s="330" t="s">
        <v>1043</v>
      </c>
      <c r="I1849" s="332">
        <v>0</v>
      </c>
      <c r="J1849" s="333">
        <f>IF(G1849&lt;&gt;"",VLOOKUP(G1849,precio_barras,9,FALSE),0)</f>
        <v>107</v>
      </c>
      <c r="K1849" s="481">
        <v>0</v>
      </c>
      <c r="L1849" s="343" t="str">
        <f>IF(G1849&lt;&gt;"",IF(VLOOKUP(G1849,base_barras,10,FALSE)&lt;&gt;"",VLOOKUP(G1849,base_barras,10,FALSE),"-"),"-")</f>
        <v>1.5/1250</v>
      </c>
      <c r="M1849" s="333">
        <f>IF(L1849&lt;&gt;"-",VLOOKUP(L1849,precio_aislador,2,FALSE),0)</f>
        <v>5.5</v>
      </c>
      <c r="N1849" s="360">
        <f>(I1849*J1849*F1849+K1849*M1849)*E1849*1.67*1.25</f>
        <v>0</v>
      </c>
      <c r="O1849" s="288"/>
      <c r="P1849" s="297"/>
      <c r="Q1849" s="297"/>
    </row>
    <row r="1850" spans="1:20" s="102" customFormat="1" ht="13.5" thickBot="1">
      <c r="A1850" s="2640"/>
      <c r="B1850" s="310"/>
      <c r="C1850" s="311"/>
      <c r="D1850" s="312">
        <f>IF(H1850&lt;&gt;"",VLOOKUP(G1850,base_barras,IF(H1850="Desnuda",2,5)+F1850-1,FALSE),"-")</f>
        <v>3720</v>
      </c>
      <c r="E1850" s="313">
        <v>3</v>
      </c>
      <c r="F1850" s="314">
        <v>3</v>
      </c>
      <c r="G1850" s="315" t="s">
        <v>468</v>
      </c>
      <c r="H1850" s="314" t="s">
        <v>1043</v>
      </c>
      <c r="I1850" s="316">
        <v>0</v>
      </c>
      <c r="J1850" s="478">
        <f>IF(G1850&lt;&gt;"",VLOOKUP(G1850,precio_barras,9,FALSE),0)</f>
        <v>88.9</v>
      </c>
      <c r="K1850" s="313">
        <v>0</v>
      </c>
      <c r="L1850" s="318" t="str">
        <f>IF(G1850&lt;&gt;"",IF(VLOOKUP(G1850,base_barras,10,FALSE)&lt;&gt;"",VLOOKUP(G1850,base_barras,10,FALSE),"-"),"-")</f>
        <v>1.5/1250</v>
      </c>
      <c r="M1850" s="317">
        <f>IF(L1850&lt;&gt;"-",VLOOKUP(L1850,precio_aislador,2,FALSE),0)</f>
        <v>5.5</v>
      </c>
      <c r="N1850" s="308">
        <f>(I1850*J1850*F1850+K1850*M1850)*E1850*1.67*1.25</f>
        <v>0</v>
      </c>
      <c r="O1850" s="288"/>
      <c r="P1850" s="297"/>
      <c r="Q1850" s="297"/>
    </row>
    <row r="1851" spans="1:20" s="102" customFormat="1" ht="13.5" thickBot="1">
      <c r="A1851" s="323"/>
      <c r="B1851" s="309"/>
      <c r="C1851" s="309"/>
      <c r="D1851" s="382"/>
      <c r="E1851" s="323"/>
      <c r="F1851" s="309"/>
      <c r="G1851" s="309"/>
      <c r="H1851" s="323"/>
      <c r="I1851" s="325"/>
      <c r="J1851" s="325"/>
      <c r="K1851" s="323"/>
      <c r="L1851" s="323"/>
      <c r="M1851" s="325"/>
      <c r="N1851" s="706">
        <f>SUM(N1849:N1850)</f>
        <v>0</v>
      </c>
      <c r="O1851" s="288"/>
      <c r="P1851" s="297"/>
      <c r="Q1851" s="297"/>
    </row>
    <row r="1852" spans="1:20" s="102" customFormat="1" ht="8.25" customHeight="1" thickBot="1">
      <c r="A1852" s="323"/>
      <c r="B1852" s="309"/>
      <c r="C1852" s="323"/>
      <c r="D1852" s="382"/>
      <c r="E1852" s="323"/>
      <c r="F1852" s="325"/>
      <c r="G1852" s="325"/>
      <c r="H1852" s="325"/>
      <c r="I1852" s="323"/>
      <c r="J1852" s="323"/>
      <c r="K1852" s="323"/>
      <c r="L1852" s="325"/>
      <c r="M1852" s="323"/>
      <c r="N1852" s="309"/>
      <c r="O1852" s="288"/>
      <c r="P1852" s="297"/>
      <c r="Q1852" s="288"/>
    </row>
    <row r="1853" spans="1:20" s="102" customFormat="1">
      <c r="A1853" s="2629" t="s">
        <v>1228</v>
      </c>
      <c r="B1853" s="326" t="s">
        <v>1033</v>
      </c>
      <c r="C1853" s="327"/>
      <c r="D1853" s="328">
        <f>IF(H1853&lt;&gt;"",VLOOKUP(G1853,base_barras,IF(H1853="Desnuda",2,5)+F1853-1,FALSE),"-")</f>
        <v>1500</v>
      </c>
      <c r="E1853" s="481">
        <f>3+0</f>
        <v>3</v>
      </c>
      <c r="F1853" s="330">
        <v>1</v>
      </c>
      <c r="G1853" s="331" t="s">
        <v>582</v>
      </c>
      <c r="H1853" s="330" t="s">
        <v>1043</v>
      </c>
      <c r="I1853" s="332">
        <v>0.2</v>
      </c>
      <c r="J1853" s="333">
        <f>IF(G1853&lt;&gt;"",VLOOKUP(G1853,precio_barras,9,FALSE),0)</f>
        <v>71.100000000000009</v>
      </c>
      <c r="K1853" s="329">
        <v>0</v>
      </c>
      <c r="L1853" s="343" t="str">
        <f>IF(G1853&lt;&gt;"",IF(VLOOKUP(G1853,base_barras,10,FALSE)&lt;&gt;"",VLOOKUP(G1853,base_barras,10,FALSE),"-"),"-")</f>
        <v>1/1000</v>
      </c>
      <c r="M1853" s="333">
        <f>IF(L1853&lt;&gt;"-",VLOOKUP(L1853,precio_aislador,2,FALSE),0)</f>
        <v>2.7</v>
      </c>
      <c r="N1853" s="360">
        <f>(I1853*J1853*F1853+K1853*M1853)*E1853*1.67*1.25</f>
        <v>89.052750000000017</v>
      </c>
      <c r="O1853" s="288"/>
      <c r="P1853" s="297"/>
      <c r="Q1853" s="297"/>
    </row>
    <row r="1854" spans="1:20" s="102" customFormat="1" ht="13.5" thickBot="1">
      <c r="A1854" s="2635"/>
      <c r="B1854" s="321"/>
      <c r="C1854" s="479"/>
      <c r="D1854" s="364" t="str">
        <f>IF(H1854&lt;&gt;"",VLOOKUP(G1854,base_barras,IF(H1854="Desnuda",2,5)+F1854-1,FALSE),"-")</f>
        <v>-</v>
      </c>
      <c r="E1854" s="365"/>
      <c r="F1854" s="366"/>
      <c r="G1854" s="322"/>
      <c r="H1854" s="366"/>
      <c r="I1854" s="367"/>
      <c r="J1854" s="480">
        <f>IF(G1854&lt;&gt;"",VLOOKUP(G1854,precio_barras,9,FALSE),0)</f>
        <v>0</v>
      </c>
      <c r="K1854" s="365"/>
      <c r="L1854" s="369" t="str">
        <f>IF(G1854&lt;&gt;"",IF(VLOOKUP(G1854,base_barras,10,FALSE)&lt;&gt;"",VLOOKUP(G1854,base_barras,10,FALSE),"-"),"-")</f>
        <v>-</v>
      </c>
      <c r="M1854" s="368">
        <f>IF(L1854&lt;&gt;"-",VLOOKUP(L1854,precio_aislador,2,FALSE),0)</f>
        <v>0</v>
      </c>
      <c r="N1854" s="370">
        <f>(I1854*J1854*F1854+K1854*M1854)*E1854*1.67*1.25</f>
        <v>0</v>
      </c>
      <c r="O1854" s="288"/>
      <c r="P1854" s="297"/>
      <c r="Q1854" s="297"/>
    </row>
    <row r="1855" spans="1:20" s="102" customFormat="1" ht="13.5" thickBot="1">
      <c r="A1855" s="323"/>
      <c r="B1855" s="309"/>
      <c r="C1855" s="309"/>
      <c r="D1855" s="382"/>
      <c r="E1855" s="323"/>
      <c r="F1855" s="309"/>
      <c r="G1855" s="309"/>
      <c r="H1855" s="323"/>
      <c r="I1855" s="325"/>
      <c r="J1855" s="325"/>
      <c r="K1855" s="323"/>
      <c r="L1855" s="323"/>
      <c r="M1855" s="325"/>
      <c r="N1855" s="706">
        <f>SUM(N1853:N1854)</f>
        <v>89.052750000000017</v>
      </c>
      <c r="O1855" s="288"/>
      <c r="P1855" s="297"/>
      <c r="Q1855" s="297"/>
    </row>
    <row r="1856" spans="1:20" s="102" customFormat="1" ht="8.25" customHeight="1" thickBot="1">
      <c r="A1856" s="323"/>
      <c r="B1856" s="309"/>
      <c r="C1856" s="323"/>
      <c r="D1856" s="382"/>
      <c r="E1856" s="323"/>
      <c r="F1856" s="325"/>
      <c r="G1856" s="325"/>
      <c r="H1856" s="325"/>
      <c r="I1856" s="323"/>
      <c r="J1856" s="323"/>
      <c r="K1856" s="323"/>
      <c r="L1856" s="325"/>
      <c r="M1856" s="323"/>
      <c r="N1856" s="309"/>
      <c r="O1856" s="288"/>
      <c r="P1856" s="297"/>
      <c r="Q1856" s="288"/>
    </row>
    <row r="1857" spans="1:20" s="102" customFormat="1">
      <c r="A1857" s="2629" t="s">
        <v>1034</v>
      </c>
      <c r="B1857" s="326" t="s">
        <v>1033</v>
      </c>
      <c r="C1857" s="327"/>
      <c r="D1857" s="328">
        <f>IF(H1857&lt;&gt;"",VLOOKUP(G1857,base_barras,IF(H1857="Desnuda",2,5)+F1857-1,FALSE),"-")</f>
        <v>1500</v>
      </c>
      <c r="E1857" s="481">
        <f>3+0</f>
        <v>3</v>
      </c>
      <c r="F1857" s="330">
        <v>1</v>
      </c>
      <c r="G1857" s="331" t="s">
        <v>582</v>
      </c>
      <c r="H1857" s="330" t="s">
        <v>1043</v>
      </c>
      <c r="I1857" s="332">
        <v>0.3</v>
      </c>
      <c r="J1857" s="333">
        <f>IF(G1857&lt;&gt;"",VLOOKUP(G1857,precio_barras,9,FALSE),0)</f>
        <v>71.100000000000009</v>
      </c>
      <c r="K1857" s="329">
        <v>0</v>
      </c>
      <c r="L1857" s="343" t="str">
        <f>IF(G1857&lt;&gt;"",IF(VLOOKUP(G1857,base_barras,10,FALSE)&lt;&gt;"",VLOOKUP(G1857,base_barras,10,FALSE),"-"),"-")</f>
        <v>1/1000</v>
      </c>
      <c r="M1857" s="333">
        <f>IF(L1857&lt;&gt;"-",VLOOKUP(L1857,precio_aislador,2,FALSE),0)</f>
        <v>2.7</v>
      </c>
      <c r="N1857" s="360">
        <f>(I1857*J1857*F1857+K1857*M1857)*E1857*1.67*1.25</f>
        <v>133.579125</v>
      </c>
      <c r="O1857" s="288"/>
      <c r="P1857" s="297"/>
      <c r="Q1857" s="297"/>
    </row>
    <row r="1858" spans="1:20" s="102" customFormat="1" ht="13.5" thickBot="1">
      <c r="A1858" s="2635"/>
      <c r="B1858" s="321"/>
      <c r="C1858" s="479"/>
      <c r="D1858" s="364" t="str">
        <f>IF(H1858&lt;&gt;"",VLOOKUP(G1858,base_barras,IF(H1858="Desnuda",2,5)+F1858-1,FALSE),"-")</f>
        <v>-</v>
      </c>
      <c r="E1858" s="365"/>
      <c r="F1858" s="366"/>
      <c r="G1858" s="322"/>
      <c r="H1858" s="366"/>
      <c r="I1858" s="367"/>
      <c r="J1858" s="480">
        <f>IF(G1858&lt;&gt;"",VLOOKUP(G1858,precio_barras,9,FALSE),0)</f>
        <v>0</v>
      </c>
      <c r="K1858" s="365"/>
      <c r="L1858" s="369" t="str">
        <f>IF(G1858&lt;&gt;"",IF(VLOOKUP(G1858,base_barras,10,FALSE)&lt;&gt;"",VLOOKUP(G1858,base_barras,10,FALSE),"-"),"-")</f>
        <v>-</v>
      </c>
      <c r="M1858" s="368">
        <f>IF(L1858&lt;&gt;"-",VLOOKUP(L1858,precio_aislador,2,FALSE),0)</f>
        <v>0</v>
      </c>
      <c r="N1858" s="370">
        <f>(I1858*J1858*F1858+K1858*M1858)*E1858*1.67*1.25</f>
        <v>0</v>
      </c>
      <c r="O1858" s="288"/>
      <c r="P1858" s="297"/>
      <c r="Q1858" s="297"/>
    </row>
    <row r="1859" spans="1:20" s="102" customFormat="1" ht="13.5" thickBot="1">
      <c r="A1859" s="323"/>
      <c r="B1859" s="309"/>
      <c r="C1859" s="309"/>
      <c r="D1859" s="382"/>
      <c r="E1859" s="323"/>
      <c r="F1859" s="309"/>
      <c r="G1859" s="309"/>
      <c r="H1859" s="323"/>
      <c r="I1859" s="325"/>
      <c r="J1859" s="325"/>
      <c r="K1859" s="323"/>
      <c r="L1859" s="323"/>
      <c r="M1859" s="325"/>
      <c r="N1859" s="741">
        <f>SUM(N1857:N1858)</f>
        <v>133.579125</v>
      </c>
      <c r="O1859" s="288"/>
      <c r="P1859" s="297"/>
      <c r="Q1859" s="297"/>
    </row>
    <row r="1860" spans="1:20" s="742" customFormat="1">
      <c r="A1860" s="323"/>
      <c r="B1860" s="309"/>
      <c r="C1860" s="309"/>
      <c r="D1860" s="382"/>
      <c r="E1860" s="323"/>
      <c r="F1860" s="309"/>
      <c r="G1860" s="309"/>
      <c r="H1860" s="323"/>
      <c r="I1860" s="325"/>
      <c r="J1860" s="325"/>
      <c r="K1860" s="323"/>
      <c r="L1860" s="323"/>
      <c r="M1860" s="325"/>
      <c r="N1860" s="722"/>
      <c r="O1860" s="379"/>
      <c r="P1860" s="381"/>
      <c r="Q1860" s="381"/>
    </row>
    <row r="1861" spans="1:20" s="106" customFormat="1" ht="29.25" customHeight="1"/>
    <row r="1862" spans="1:20" s="106" customFormat="1" ht="13.5" thickBot="1"/>
    <row r="1863" spans="1:20" s="199" customFormat="1" ht="15.75" customHeight="1">
      <c r="A1863" s="2636" t="s">
        <v>2533</v>
      </c>
      <c r="B1863" s="326" t="s">
        <v>1033</v>
      </c>
      <c r="C1863" s="327"/>
      <c r="D1863" s="328">
        <f t="shared" ref="D1863:D1869" si="698">IF(H1863&lt;&gt;"",VLOOKUP(G1863,base_barras,IF(H1863="Desnuda",2,5)+F1863-1,FALSE),"-")</f>
        <v>1500</v>
      </c>
      <c r="E1863" s="329">
        <v>3</v>
      </c>
      <c r="F1863" s="330">
        <v>1</v>
      </c>
      <c r="G1863" s="331" t="s">
        <v>582</v>
      </c>
      <c r="H1863" s="330" t="s">
        <v>1043</v>
      </c>
      <c r="I1863" s="332">
        <f>0.8+0.8</f>
        <v>1.6</v>
      </c>
      <c r="J1863" s="333">
        <f t="shared" ref="J1863:J1869" si="699">IF(G1863&lt;&gt;"",VLOOKUP(G1863,precio_barras,9,FALSE),0)</f>
        <v>71.100000000000009</v>
      </c>
      <c r="K1863" s="481">
        <v>4</v>
      </c>
      <c r="L1863" s="343" t="str">
        <f t="shared" ref="L1863:L1869" si="700">IF(G1863&lt;&gt;"",IF(VLOOKUP(G1863,base_barras,10,FALSE)&lt;&gt;"",VLOOKUP(G1863,base_barras,10,FALSE),"-"),"-")</f>
        <v>1/1000</v>
      </c>
      <c r="M1863" s="333">
        <f t="shared" ref="M1863:M1869" si="701">IF(L1863&lt;&gt;"-",VLOOKUP(L1863,precio_aislador,2,FALSE),0)</f>
        <v>2.7</v>
      </c>
      <c r="N1863" s="360">
        <f t="shared" ref="N1863:N1869" si="702">(I1863*J1863*F1863+K1863*M1863)*E1863*1.67*1.25</f>
        <v>780.05700000000002</v>
      </c>
      <c r="O1863" s="288"/>
      <c r="P1863" s="297"/>
      <c r="Q1863" s="288"/>
      <c r="R1863" s="102"/>
      <c r="S1863" s="102"/>
      <c r="T1863" s="102"/>
    </row>
    <row r="1864" spans="1:20" s="199" customFormat="1" ht="15.75" customHeight="1">
      <c r="A1864" s="2627"/>
      <c r="B1864" s="310" t="s">
        <v>2571</v>
      </c>
      <c r="C1864" s="311"/>
      <c r="D1864" s="312">
        <f t="shared" si="698"/>
        <v>1180</v>
      </c>
      <c r="E1864" s="313">
        <v>3</v>
      </c>
      <c r="F1864" s="314">
        <v>1</v>
      </c>
      <c r="G1864" s="315" t="s">
        <v>581</v>
      </c>
      <c r="H1864" s="314" t="s">
        <v>1043</v>
      </c>
      <c r="I1864" s="316">
        <v>0.61</v>
      </c>
      <c r="J1864" s="478">
        <f t="shared" si="699"/>
        <v>53.3</v>
      </c>
      <c r="K1864" s="313">
        <v>0</v>
      </c>
      <c r="L1864" s="318" t="str">
        <f t="shared" si="700"/>
        <v>1/750</v>
      </c>
      <c r="M1864" s="317">
        <f t="shared" si="701"/>
        <v>1.9</v>
      </c>
      <c r="N1864" s="308">
        <f t="shared" si="702"/>
        <v>203.61266249999997</v>
      </c>
      <c r="O1864" s="288"/>
      <c r="P1864" s="297"/>
      <c r="Q1864" s="288"/>
      <c r="R1864" s="102"/>
      <c r="S1864" s="102"/>
      <c r="T1864" s="102"/>
    </row>
    <row r="1865" spans="1:20" s="199" customFormat="1" ht="15.75" customHeight="1">
      <c r="A1865" s="2627"/>
      <c r="B1865" s="310" t="s">
        <v>2572</v>
      </c>
      <c r="C1865" s="311"/>
      <c r="D1865" s="312">
        <f t="shared" si="698"/>
        <v>676</v>
      </c>
      <c r="E1865" s="313">
        <v>3</v>
      </c>
      <c r="F1865" s="314">
        <v>1</v>
      </c>
      <c r="G1865" s="315" t="s">
        <v>314</v>
      </c>
      <c r="H1865" s="314" t="s">
        <v>1043</v>
      </c>
      <c r="I1865" s="316">
        <v>0.61</v>
      </c>
      <c r="J1865" s="317">
        <f t="shared" si="699"/>
        <v>26.6</v>
      </c>
      <c r="K1865" s="313">
        <v>0</v>
      </c>
      <c r="L1865" s="318" t="str">
        <f t="shared" si="700"/>
        <v>1/750</v>
      </c>
      <c r="M1865" s="317">
        <f t="shared" si="701"/>
        <v>1.9</v>
      </c>
      <c r="N1865" s="308">
        <f t="shared" si="702"/>
        <v>101.615325</v>
      </c>
      <c r="O1865" s="288"/>
      <c r="P1865" s="297"/>
      <c r="Q1865" s="288"/>
      <c r="R1865" s="102"/>
      <c r="S1865" s="102"/>
      <c r="T1865" s="102"/>
    </row>
    <row r="1866" spans="1:20" s="199" customFormat="1" ht="15.75" customHeight="1">
      <c r="A1866" s="2627"/>
      <c r="B1866" s="310" t="s">
        <v>2578</v>
      </c>
      <c r="C1866" s="311"/>
      <c r="D1866" s="312">
        <f t="shared" si="698"/>
        <v>985</v>
      </c>
      <c r="E1866" s="313">
        <v>3</v>
      </c>
      <c r="F1866" s="314">
        <v>1</v>
      </c>
      <c r="G1866" s="315" t="s">
        <v>581</v>
      </c>
      <c r="H1866" s="314" t="s">
        <v>1044</v>
      </c>
      <c r="I1866" s="316">
        <v>0.4</v>
      </c>
      <c r="J1866" s="317">
        <f t="shared" si="699"/>
        <v>53.3</v>
      </c>
      <c r="K1866" s="313">
        <v>0</v>
      </c>
      <c r="L1866" s="318" t="str">
        <f t="shared" si="700"/>
        <v>1/750</v>
      </c>
      <c r="M1866" s="317">
        <f t="shared" si="701"/>
        <v>1.9</v>
      </c>
      <c r="N1866" s="308">
        <f t="shared" si="702"/>
        <v>133.51650000000001</v>
      </c>
      <c r="O1866" s="288"/>
      <c r="P1866" s="297"/>
      <c r="Q1866" s="288"/>
      <c r="R1866" s="102"/>
      <c r="S1866" s="102"/>
      <c r="T1866" s="102"/>
    </row>
    <row r="1867" spans="1:20" s="199" customFormat="1" ht="15.75" customHeight="1">
      <c r="A1867" s="2627"/>
      <c r="B1867" s="310" t="s">
        <v>2578</v>
      </c>
      <c r="C1867" s="311"/>
      <c r="D1867" s="312">
        <f t="shared" si="698"/>
        <v>985</v>
      </c>
      <c r="E1867" s="313">
        <v>3</v>
      </c>
      <c r="F1867" s="314">
        <v>1</v>
      </c>
      <c r="G1867" s="315" t="s">
        <v>581</v>
      </c>
      <c r="H1867" s="314" t="s">
        <v>1044</v>
      </c>
      <c r="I1867" s="316">
        <v>0.4</v>
      </c>
      <c r="J1867" s="317">
        <f t="shared" si="699"/>
        <v>53.3</v>
      </c>
      <c r="K1867" s="313">
        <v>0</v>
      </c>
      <c r="L1867" s="318" t="str">
        <f t="shared" si="700"/>
        <v>1/750</v>
      </c>
      <c r="M1867" s="317">
        <f t="shared" si="701"/>
        <v>1.9</v>
      </c>
      <c r="N1867" s="308">
        <f t="shared" si="702"/>
        <v>133.51650000000001</v>
      </c>
      <c r="O1867" s="288"/>
      <c r="P1867" s="297"/>
      <c r="Q1867" s="288"/>
      <c r="R1867" s="102"/>
      <c r="S1867" s="102"/>
      <c r="T1867" s="102"/>
    </row>
    <row r="1868" spans="1:20" s="199" customFormat="1" ht="14.25">
      <c r="A1868" s="2627"/>
      <c r="B1868" s="310" t="s">
        <v>801</v>
      </c>
      <c r="C1868" s="319"/>
      <c r="D1868" s="312">
        <f t="shared" si="698"/>
        <v>1500</v>
      </c>
      <c r="E1868" s="313">
        <v>1</v>
      </c>
      <c r="F1868" s="314">
        <v>1</v>
      </c>
      <c r="G1868" s="315" t="s">
        <v>582</v>
      </c>
      <c r="H1868" s="314" t="s">
        <v>1043</v>
      </c>
      <c r="I1868" s="740">
        <v>0</v>
      </c>
      <c r="J1868" s="317">
        <f t="shared" si="699"/>
        <v>71.100000000000009</v>
      </c>
      <c r="K1868" s="320">
        <v>0</v>
      </c>
      <c r="L1868" s="318" t="str">
        <f t="shared" si="700"/>
        <v>1/1000</v>
      </c>
      <c r="M1868" s="317">
        <f t="shared" si="701"/>
        <v>2.7</v>
      </c>
      <c r="N1868" s="308">
        <f t="shared" si="702"/>
        <v>0</v>
      </c>
      <c r="O1868" s="288"/>
      <c r="P1868" s="297"/>
      <c r="Q1868" s="288"/>
      <c r="R1868" s="102"/>
      <c r="S1868" s="102"/>
      <c r="T1868" s="102"/>
    </row>
    <row r="1869" spans="1:20" s="199" customFormat="1" ht="15" thickBot="1">
      <c r="A1869" s="2628"/>
      <c r="B1869" s="321" t="s">
        <v>802</v>
      </c>
      <c r="C1869" s="363"/>
      <c r="D1869" s="364">
        <f t="shared" si="698"/>
        <v>850</v>
      </c>
      <c r="E1869" s="365">
        <v>1</v>
      </c>
      <c r="F1869" s="366">
        <v>1</v>
      </c>
      <c r="G1869" s="322" t="s">
        <v>469</v>
      </c>
      <c r="H1869" s="366" t="s">
        <v>1043</v>
      </c>
      <c r="I1869" s="367">
        <f>I1863</f>
        <v>1.6</v>
      </c>
      <c r="J1869" s="368">
        <f t="shared" si="699"/>
        <v>35.6</v>
      </c>
      <c r="K1869" s="395">
        <v>0</v>
      </c>
      <c r="L1869" s="369" t="str">
        <f t="shared" si="700"/>
        <v>1/750</v>
      </c>
      <c r="M1869" s="368">
        <f t="shared" si="701"/>
        <v>1.9</v>
      </c>
      <c r="N1869" s="370">
        <f t="shared" si="702"/>
        <v>118.90400000000001</v>
      </c>
      <c r="O1869" s="288"/>
      <c r="P1869" s="297"/>
      <c r="Q1869" s="288"/>
      <c r="R1869" s="102"/>
      <c r="S1869" s="102"/>
      <c r="T1869" s="102"/>
    </row>
    <row r="1870" spans="1:20" s="129" customFormat="1" ht="22.5" customHeight="1" thickBot="1">
      <c r="A1870" s="371"/>
      <c r="B1870" s="375"/>
      <c r="C1870" s="375"/>
      <c r="D1870" s="383"/>
      <c r="E1870" s="373"/>
      <c r="F1870" s="373"/>
      <c r="G1870" s="373"/>
      <c r="H1870" s="373"/>
      <c r="I1870" s="374"/>
      <c r="J1870" s="374"/>
      <c r="K1870" s="373"/>
      <c r="L1870" s="373"/>
      <c r="M1870" s="372"/>
      <c r="N1870" s="699">
        <f>SUM(N1863:N1869)</f>
        <v>1471.2219874999998</v>
      </c>
      <c r="O1870" s="288"/>
      <c r="P1870" s="297"/>
      <c r="Q1870" s="288"/>
      <c r="R1870" s="102"/>
      <c r="S1870" s="102"/>
      <c r="T1870" s="102"/>
    </row>
    <row r="1871" spans="1:20" s="102" customFormat="1" ht="8.25" customHeight="1" thickBot="1">
      <c r="A1871" s="323"/>
      <c r="B1871" s="309"/>
      <c r="C1871" s="323"/>
      <c r="D1871" s="382"/>
      <c r="E1871" s="323"/>
      <c r="F1871" s="325"/>
      <c r="G1871" s="325"/>
      <c r="H1871" s="325"/>
      <c r="I1871" s="323"/>
      <c r="J1871" s="323"/>
      <c r="K1871" s="323"/>
      <c r="L1871" s="325"/>
      <c r="M1871" s="323"/>
      <c r="N1871" s="309"/>
      <c r="O1871" s="288"/>
      <c r="P1871" s="297"/>
      <c r="Q1871" s="288"/>
    </row>
    <row r="1872" spans="1:20" s="102" customFormat="1">
      <c r="A1872" s="2639" t="s">
        <v>2574</v>
      </c>
      <c r="B1872" s="326"/>
      <c r="C1872" s="327"/>
      <c r="D1872" s="328">
        <f>IF(H1872&lt;&gt;"",VLOOKUP(G1872,base_barras,IF(H1872="Desnuda",2,5)+F1872-1,FALSE),"-")</f>
        <v>3280</v>
      </c>
      <c r="E1872" s="329">
        <v>3</v>
      </c>
      <c r="F1872" s="330">
        <v>2</v>
      </c>
      <c r="G1872" s="331" t="s">
        <v>470</v>
      </c>
      <c r="H1872" s="330" t="s">
        <v>1043</v>
      </c>
      <c r="I1872" s="332">
        <v>0</v>
      </c>
      <c r="J1872" s="333">
        <f>IF(G1872&lt;&gt;"",VLOOKUP(G1872,precio_barras,9,FALSE),0)</f>
        <v>107</v>
      </c>
      <c r="K1872" s="481">
        <v>0</v>
      </c>
      <c r="L1872" s="343" t="str">
        <f>IF(G1872&lt;&gt;"",IF(VLOOKUP(G1872,base_barras,10,FALSE)&lt;&gt;"",VLOOKUP(G1872,base_barras,10,FALSE),"-"),"-")</f>
        <v>1.5/1250</v>
      </c>
      <c r="M1872" s="333">
        <f>IF(L1872&lt;&gt;"-",VLOOKUP(L1872,precio_aislador,2,FALSE),0)</f>
        <v>5.5</v>
      </c>
      <c r="N1872" s="360">
        <f>(I1872*J1872*F1872+K1872*M1872)*E1872*1.67*1.25</f>
        <v>0</v>
      </c>
      <c r="O1872" s="288"/>
      <c r="P1872" s="297"/>
      <c r="Q1872" s="297"/>
    </row>
    <row r="1873" spans="1:20" s="102" customFormat="1" ht="13.5" thickBot="1">
      <c r="A1873" s="2640"/>
      <c r="B1873" s="310"/>
      <c r="C1873" s="311"/>
      <c r="D1873" s="312">
        <f>IF(H1873&lt;&gt;"",VLOOKUP(G1873,base_barras,IF(H1873="Desnuda",2,5)+F1873-1,FALSE),"-")</f>
        <v>3720</v>
      </c>
      <c r="E1873" s="313">
        <v>3</v>
      </c>
      <c r="F1873" s="314">
        <v>3</v>
      </c>
      <c r="G1873" s="315" t="s">
        <v>468</v>
      </c>
      <c r="H1873" s="314" t="s">
        <v>1043</v>
      </c>
      <c r="I1873" s="316">
        <v>0</v>
      </c>
      <c r="J1873" s="478">
        <f>IF(G1873&lt;&gt;"",VLOOKUP(G1873,precio_barras,9,FALSE),0)</f>
        <v>88.9</v>
      </c>
      <c r="K1873" s="313">
        <v>0</v>
      </c>
      <c r="L1873" s="318" t="str">
        <f>IF(G1873&lt;&gt;"",IF(VLOOKUP(G1873,base_barras,10,FALSE)&lt;&gt;"",VLOOKUP(G1873,base_barras,10,FALSE),"-"),"-")</f>
        <v>1.5/1250</v>
      </c>
      <c r="M1873" s="317">
        <f>IF(L1873&lt;&gt;"-",VLOOKUP(L1873,precio_aislador,2,FALSE),0)</f>
        <v>5.5</v>
      </c>
      <c r="N1873" s="308">
        <f>(I1873*J1873*F1873+K1873*M1873)*E1873*1.67*1.25</f>
        <v>0</v>
      </c>
      <c r="O1873" s="288"/>
      <c r="P1873" s="297"/>
      <c r="Q1873" s="297"/>
    </row>
    <row r="1874" spans="1:20" s="102" customFormat="1" ht="13.5" thickBot="1">
      <c r="A1874" s="323"/>
      <c r="B1874" s="309"/>
      <c r="C1874" s="309"/>
      <c r="D1874" s="382"/>
      <c r="E1874" s="323"/>
      <c r="F1874" s="309"/>
      <c r="G1874" s="309"/>
      <c r="H1874" s="323"/>
      <c r="I1874" s="325"/>
      <c r="J1874" s="325"/>
      <c r="K1874" s="323"/>
      <c r="L1874" s="323"/>
      <c r="M1874" s="325"/>
      <c r="N1874" s="706">
        <f>SUM(N1872:N1873)</f>
        <v>0</v>
      </c>
      <c r="O1874" s="288"/>
      <c r="P1874" s="297"/>
      <c r="Q1874" s="297"/>
    </row>
    <row r="1875" spans="1:20" s="102" customFormat="1" ht="8.25" customHeight="1" thickBot="1">
      <c r="A1875" s="323"/>
      <c r="B1875" s="309"/>
      <c r="C1875" s="323"/>
      <c r="D1875" s="382"/>
      <c r="E1875" s="323"/>
      <c r="F1875" s="325"/>
      <c r="G1875" s="325"/>
      <c r="H1875" s="325"/>
      <c r="I1875" s="323"/>
      <c r="J1875" s="323"/>
      <c r="K1875" s="323"/>
      <c r="L1875" s="325"/>
      <c r="M1875" s="323"/>
      <c r="N1875" s="309"/>
      <c r="O1875" s="288"/>
      <c r="P1875" s="297"/>
      <c r="Q1875" s="288"/>
    </row>
    <row r="1876" spans="1:20" s="102" customFormat="1">
      <c r="A1876" s="2629" t="s">
        <v>1228</v>
      </c>
      <c r="B1876" s="326" t="s">
        <v>1033</v>
      </c>
      <c r="C1876" s="327"/>
      <c r="D1876" s="328">
        <f>IF(H1876&lt;&gt;"",VLOOKUP(G1876,base_barras,IF(H1876="Desnuda",2,5)+F1876-1,FALSE),"-")</f>
        <v>1500</v>
      </c>
      <c r="E1876" s="481">
        <f>3+0</f>
        <v>3</v>
      </c>
      <c r="F1876" s="330">
        <v>1</v>
      </c>
      <c r="G1876" s="331" t="s">
        <v>582</v>
      </c>
      <c r="H1876" s="330" t="s">
        <v>1043</v>
      </c>
      <c r="I1876" s="332">
        <v>0.2</v>
      </c>
      <c r="J1876" s="333">
        <f>IF(G1876&lt;&gt;"",VLOOKUP(G1876,precio_barras,9,FALSE),0)</f>
        <v>71.100000000000009</v>
      </c>
      <c r="K1876" s="329">
        <v>0</v>
      </c>
      <c r="L1876" s="343" t="str">
        <f>IF(G1876&lt;&gt;"",IF(VLOOKUP(G1876,base_barras,10,FALSE)&lt;&gt;"",VLOOKUP(G1876,base_barras,10,FALSE),"-"),"-")</f>
        <v>1/1000</v>
      </c>
      <c r="M1876" s="333">
        <f>IF(L1876&lt;&gt;"-",VLOOKUP(L1876,precio_aislador,2,FALSE),0)</f>
        <v>2.7</v>
      </c>
      <c r="N1876" s="360">
        <f>(I1876*J1876*F1876+K1876*M1876)*E1876*1.67*1.25</f>
        <v>89.052750000000017</v>
      </c>
      <c r="O1876" s="288"/>
      <c r="P1876" s="297"/>
      <c r="Q1876" s="297"/>
    </row>
    <row r="1877" spans="1:20" s="102" customFormat="1" ht="13.5" thickBot="1">
      <c r="A1877" s="2635"/>
      <c r="B1877" s="321"/>
      <c r="C1877" s="479"/>
      <c r="D1877" s="364" t="str">
        <f>IF(H1877&lt;&gt;"",VLOOKUP(G1877,base_barras,IF(H1877="Desnuda",2,5)+F1877-1,FALSE),"-")</f>
        <v>-</v>
      </c>
      <c r="E1877" s="365"/>
      <c r="F1877" s="366"/>
      <c r="G1877" s="322"/>
      <c r="H1877" s="366"/>
      <c r="I1877" s="367"/>
      <c r="J1877" s="480">
        <f>IF(G1877&lt;&gt;"",VLOOKUP(G1877,precio_barras,9,FALSE),0)</f>
        <v>0</v>
      </c>
      <c r="K1877" s="365"/>
      <c r="L1877" s="369" t="str">
        <f>IF(G1877&lt;&gt;"",IF(VLOOKUP(G1877,base_barras,10,FALSE)&lt;&gt;"",VLOOKUP(G1877,base_barras,10,FALSE),"-"),"-")</f>
        <v>-</v>
      </c>
      <c r="M1877" s="368">
        <f>IF(L1877&lt;&gt;"-",VLOOKUP(L1877,precio_aislador,2,FALSE),0)</f>
        <v>0</v>
      </c>
      <c r="N1877" s="370">
        <f>(I1877*J1877*F1877+K1877*M1877)*E1877*1.67*1.25</f>
        <v>0</v>
      </c>
      <c r="O1877" s="288"/>
      <c r="P1877" s="297"/>
      <c r="Q1877" s="297"/>
    </row>
    <row r="1878" spans="1:20" s="102" customFormat="1" ht="13.5" thickBot="1">
      <c r="A1878" s="323"/>
      <c r="B1878" s="309"/>
      <c r="C1878" s="309"/>
      <c r="D1878" s="382"/>
      <c r="E1878" s="323"/>
      <c r="F1878" s="309"/>
      <c r="G1878" s="309"/>
      <c r="H1878" s="323"/>
      <c r="I1878" s="325"/>
      <c r="J1878" s="325"/>
      <c r="K1878" s="323"/>
      <c r="L1878" s="323"/>
      <c r="M1878" s="325"/>
      <c r="N1878" s="706">
        <f>SUM(N1876:N1877)</f>
        <v>89.052750000000017</v>
      </c>
      <c r="O1878" s="288"/>
      <c r="P1878" s="297"/>
      <c r="Q1878" s="297"/>
    </row>
    <row r="1879" spans="1:20" s="102" customFormat="1" ht="8.25" customHeight="1" thickBot="1">
      <c r="A1879" s="323"/>
      <c r="B1879" s="309"/>
      <c r="C1879" s="323"/>
      <c r="D1879" s="382"/>
      <c r="E1879" s="323"/>
      <c r="F1879" s="325"/>
      <c r="G1879" s="325"/>
      <c r="H1879" s="325"/>
      <c r="I1879" s="323"/>
      <c r="J1879" s="323"/>
      <c r="K1879" s="323"/>
      <c r="L1879" s="325"/>
      <c r="M1879" s="323"/>
      <c r="N1879" s="309"/>
      <c r="O1879" s="288"/>
      <c r="P1879" s="297"/>
      <c r="Q1879" s="288"/>
    </row>
    <row r="1880" spans="1:20" s="102" customFormat="1">
      <c r="A1880" s="2629" t="s">
        <v>1034</v>
      </c>
      <c r="B1880" s="326" t="s">
        <v>1033</v>
      </c>
      <c r="C1880" s="327"/>
      <c r="D1880" s="328">
        <f>IF(H1880&lt;&gt;"",VLOOKUP(G1880,base_barras,IF(H1880="Desnuda",2,5)+F1880-1,FALSE),"-")</f>
        <v>1500</v>
      </c>
      <c r="E1880" s="481">
        <f>3+0</f>
        <v>3</v>
      </c>
      <c r="F1880" s="330">
        <v>1</v>
      </c>
      <c r="G1880" s="331" t="s">
        <v>582</v>
      </c>
      <c r="H1880" s="330" t="s">
        <v>1043</v>
      </c>
      <c r="I1880" s="332">
        <v>0.3</v>
      </c>
      <c r="J1880" s="333">
        <f>IF(G1880&lt;&gt;"",VLOOKUP(G1880,precio_barras,9,FALSE),0)</f>
        <v>71.100000000000009</v>
      </c>
      <c r="K1880" s="329">
        <v>0</v>
      </c>
      <c r="L1880" s="343" t="str">
        <f>IF(G1880&lt;&gt;"",IF(VLOOKUP(G1880,base_barras,10,FALSE)&lt;&gt;"",VLOOKUP(G1880,base_barras,10,FALSE),"-"),"-")</f>
        <v>1/1000</v>
      </c>
      <c r="M1880" s="333">
        <f>IF(L1880&lt;&gt;"-",VLOOKUP(L1880,precio_aislador,2,FALSE),0)</f>
        <v>2.7</v>
      </c>
      <c r="N1880" s="360">
        <f>(I1880*J1880*F1880+K1880*M1880)*E1880*1.67*1.25</f>
        <v>133.579125</v>
      </c>
      <c r="O1880" s="288"/>
      <c r="P1880" s="297"/>
      <c r="Q1880" s="297"/>
    </row>
    <row r="1881" spans="1:20" s="102" customFormat="1" ht="13.5" thickBot="1">
      <c r="A1881" s="2635"/>
      <c r="B1881" s="321"/>
      <c r="C1881" s="479"/>
      <c r="D1881" s="364" t="str">
        <f>IF(H1881&lt;&gt;"",VLOOKUP(G1881,base_barras,IF(H1881="Desnuda",2,5)+F1881-1,FALSE),"-")</f>
        <v>-</v>
      </c>
      <c r="E1881" s="365"/>
      <c r="F1881" s="366"/>
      <c r="G1881" s="322"/>
      <c r="H1881" s="366"/>
      <c r="I1881" s="367"/>
      <c r="J1881" s="480">
        <f>IF(G1881&lt;&gt;"",VLOOKUP(G1881,precio_barras,9,FALSE),0)</f>
        <v>0</v>
      </c>
      <c r="K1881" s="365"/>
      <c r="L1881" s="369" t="str">
        <f>IF(G1881&lt;&gt;"",IF(VLOOKUP(G1881,base_barras,10,FALSE)&lt;&gt;"",VLOOKUP(G1881,base_barras,10,FALSE),"-"),"-")</f>
        <v>-</v>
      </c>
      <c r="M1881" s="368">
        <f>IF(L1881&lt;&gt;"-",VLOOKUP(L1881,precio_aislador,2,FALSE),0)</f>
        <v>0</v>
      </c>
      <c r="N1881" s="370">
        <f>(I1881*J1881*F1881+K1881*M1881)*E1881*1.67*1.25</f>
        <v>0</v>
      </c>
      <c r="O1881" s="288"/>
      <c r="P1881" s="297"/>
      <c r="Q1881" s="297"/>
    </row>
    <row r="1882" spans="1:20" s="102" customFormat="1" ht="13.5" thickBot="1">
      <c r="A1882" s="323"/>
      <c r="B1882" s="309"/>
      <c r="C1882" s="309"/>
      <c r="D1882" s="382"/>
      <c r="E1882" s="323"/>
      <c r="F1882" s="309"/>
      <c r="G1882" s="309"/>
      <c r="H1882" s="323"/>
      <c r="I1882" s="325"/>
      <c r="J1882" s="325"/>
      <c r="K1882" s="323"/>
      <c r="L1882" s="323"/>
      <c r="M1882" s="325"/>
      <c r="N1882" s="741">
        <f>SUM(N1880:N1881)</f>
        <v>133.579125</v>
      </c>
      <c r="O1882" s="288"/>
      <c r="P1882" s="297"/>
      <c r="Q1882" s="297"/>
    </row>
    <row r="1883" spans="1:20" s="742" customFormat="1">
      <c r="A1883" s="323"/>
      <c r="B1883" s="309"/>
      <c r="C1883" s="309"/>
      <c r="D1883" s="382"/>
      <c r="E1883" s="323"/>
      <c r="F1883" s="309"/>
      <c r="G1883" s="309"/>
      <c r="H1883" s="323"/>
      <c r="I1883" s="325"/>
      <c r="J1883" s="325"/>
      <c r="K1883" s="323"/>
      <c r="L1883" s="323"/>
      <c r="M1883" s="325"/>
      <c r="N1883" s="722"/>
      <c r="O1883" s="379"/>
      <c r="P1883" s="381"/>
      <c r="Q1883" s="381"/>
    </row>
    <row r="1884" spans="1:20" s="106" customFormat="1" ht="13.5" thickBot="1"/>
    <row r="1885" spans="1:20" s="199" customFormat="1" ht="15.75" customHeight="1">
      <c r="A1885" s="2636" t="s">
        <v>2534</v>
      </c>
      <c r="B1885" s="326" t="s">
        <v>1033</v>
      </c>
      <c r="C1885" s="327"/>
      <c r="D1885" s="328">
        <f t="shared" ref="D1885:D1891" si="703">IF(H1885&lt;&gt;"",VLOOKUP(G1885,base_barras,IF(H1885="Desnuda",2,5)+F1885-1,FALSE),"-")</f>
        <v>1500</v>
      </c>
      <c r="E1885" s="329">
        <v>3</v>
      </c>
      <c r="F1885" s="330">
        <v>1</v>
      </c>
      <c r="G1885" s="331" t="s">
        <v>582</v>
      </c>
      <c r="H1885" s="330" t="s">
        <v>1043</v>
      </c>
      <c r="I1885" s="332">
        <f>0.8+0.8</f>
        <v>1.6</v>
      </c>
      <c r="J1885" s="333">
        <f t="shared" ref="J1885:J1891" si="704">IF(G1885&lt;&gt;"",VLOOKUP(G1885,precio_barras,9,FALSE),0)</f>
        <v>71.100000000000009</v>
      </c>
      <c r="K1885" s="481">
        <v>4</v>
      </c>
      <c r="L1885" s="343" t="str">
        <f t="shared" ref="L1885:L1891" si="705">IF(G1885&lt;&gt;"",IF(VLOOKUP(G1885,base_barras,10,FALSE)&lt;&gt;"",VLOOKUP(G1885,base_barras,10,FALSE),"-"),"-")</f>
        <v>1/1000</v>
      </c>
      <c r="M1885" s="333">
        <f t="shared" ref="M1885:M1891" si="706">IF(L1885&lt;&gt;"-",VLOOKUP(L1885,precio_aislador,2,FALSE),0)</f>
        <v>2.7</v>
      </c>
      <c r="N1885" s="360">
        <f t="shared" ref="N1885:N1891" si="707">(I1885*J1885*F1885+K1885*M1885)*E1885*1.67*1.25</f>
        <v>780.05700000000002</v>
      </c>
      <c r="O1885" s="288"/>
      <c r="P1885" s="297"/>
      <c r="Q1885" s="288"/>
      <c r="R1885" s="102"/>
      <c r="S1885" s="102"/>
      <c r="T1885" s="102"/>
    </row>
    <row r="1886" spans="1:20" s="199" customFormat="1" ht="15.75" customHeight="1">
      <c r="A1886" s="2627"/>
      <c r="B1886" s="310" t="s">
        <v>2571</v>
      </c>
      <c r="C1886" s="311"/>
      <c r="D1886" s="312">
        <f t="shared" si="703"/>
        <v>1180</v>
      </c>
      <c r="E1886" s="313">
        <v>3</v>
      </c>
      <c r="F1886" s="314">
        <v>1</v>
      </c>
      <c r="G1886" s="315" t="s">
        <v>581</v>
      </c>
      <c r="H1886" s="314" t="s">
        <v>1043</v>
      </c>
      <c r="I1886" s="316">
        <v>0.61</v>
      </c>
      <c r="J1886" s="478">
        <f t="shared" si="704"/>
        <v>53.3</v>
      </c>
      <c r="K1886" s="313">
        <v>0</v>
      </c>
      <c r="L1886" s="318" t="str">
        <f t="shared" si="705"/>
        <v>1/750</v>
      </c>
      <c r="M1886" s="317">
        <f t="shared" si="706"/>
        <v>1.9</v>
      </c>
      <c r="N1886" s="308">
        <f t="shared" si="707"/>
        <v>203.61266249999997</v>
      </c>
      <c r="O1886" s="288"/>
      <c r="P1886" s="297"/>
      <c r="Q1886" s="288"/>
      <c r="R1886" s="102"/>
      <c r="S1886" s="102"/>
      <c r="T1886" s="102"/>
    </row>
    <row r="1887" spans="1:20" s="199" customFormat="1" ht="15.75" customHeight="1">
      <c r="A1887" s="2627"/>
      <c r="B1887" s="310" t="s">
        <v>1713</v>
      </c>
      <c r="C1887" s="311"/>
      <c r="D1887" s="312">
        <f t="shared" si="703"/>
        <v>384</v>
      </c>
      <c r="E1887" s="313">
        <v>3</v>
      </c>
      <c r="F1887" s="314">
        <v>1</v>
      </c>
      <c r="G1887" s="315" t="s">
        <v>63</v>
      </c>
      <c r="H1887" s="314" t="s">
        <v>1043</v>
      </c>
      <c r="I1887" s="316">
        <v>0.61</v>
      </c>
      <c r="J1887" s="317">
        <f t="shared" si="704"/>
        <v>11.100000000000001</v>
      </c>
      <c r="K1887" s="313">
        <v>0</v>
      </c>
      <c r="L1887" s="318" t="str">
        <f t="shared" si="705"/>
        <v>0.5/400</v>
      </c>
      <c r="M1887" s="317">
        <f t="shared" si="706"/>
        <v>1.2</v>
      </c>
      <c r="N1887" s="308">
        <f t="shared" si="707"/>
        <v>42.403387500000001</v>
      </c>
      <c r="O1887" s="288"/>
      <c r="P1887" s="297"/>
      <c r="Q1887" s="288"/>
      <c r="R1887" s="102"/>
      <c r="S1887" s="102"/>
      <c r="T1887" s="102"/>
    </row>
    <row r="1888" spans="1:20" s="199" customFormat="1" ht="15.75" customHeight="1">
      <c r="A1888" s="2627"/>
      <c r="B1888" s="310" t="s">
        <v>2577</v>
      </c>
      <c r="C1888" s="311"/>
      <c r="D1888" s="312">
        <f t="shared" si="703"/>
        <v>985</v>
      </c>
      <c r="E1888" s="313">
        <v>3</v>
      </c>
      <c r="F1888" s="314">
        <v>1</v>
      </c>
      <c r="G1888" s="315" t="s">
        <v>581</v>
      </c>
      <c r="H1888" s="314" t="s">
        <v>1044</v>
      </c>
      <c r="I1888" s="316">
        <v>0.4</v>
      </c>
      <c r="J1888" s="317">
        <f t="shared" si="704"/>
        <v>53.3</v>
      </c>
      <c r="K1888" s="313">
        <v>0</v>
      </c>
      <c r="L1888" s="318" t="str">
        <f t="shared" si="705"/>
        <v>1/750</v>
      </c>
      <c r="M1888" s="317">
        <f t="shared" si="706"/>
        <v>1.9</v>
      </c>
      <c r="N1888" s="308">
        <f t="shared" si="707"/>
        <v>133.51650000000001</v>
      </c>
      <c r="O1888" s="288"/>
      <c r="P1888" s="297"/>
      <c r="Q1888" s="288"/>
      <c r="R1888" s="102"/>
      <c r="S1888" s="102"/>
      <c r="T1888" s="102"/>
    </row>
    <row r="1889" spans="1:20" s="199" customFormat="1" ht="15.75" customHeight="1">
      <c r="A1889" s="2627"/>
      <c r="B1889" s="310" t="s">
        <v>2577</v>
      </c>
      <c r="C1889" s="311"/>
      <c r="D1889" s="312">
        <f>IF(H1889&lt;&gt;"",VLOOKUP(G1889,base_barras,IF(H1889="Desnuda",2,5)+F1889-1,FALSE),"-")</f>
        <v>985</v>
      </c>
      <c r="E1889" s="313">
        <v>3</v>
      </c>
      <c r="F1889" s="314">
        <v>1</v>
      </c>
      <c r="G1889" s="315" t="s">
        <v>581</v>
      </c>
      <c r="H1889" s="314" t="s">
        <v>1044</v>
      </c>
      <c r="I1889" s="316">
        <v>0.4</v>
      </c>
      <c r="J1889" s="317">
        <f>IF(G1889&lt;&gt;"",VLOOKUP(G1889,precio_barras,9,FALSE),0)</f>
        <v>53.3</v>
      </c>
      <c r="K1889" s="313">
        <v>0</v>
      </c>
      <c r="L1889" s="318" t="str">
        <f>IF(G1889&lt;&gt;"",IF(VLOOKUP(G1889,base_barras,10,FALSE)&lt;&gt;"",VLOOKUP(G1889,base_barras,10,FALSE),"-"),"-")</f>
        <v>1/750</v>
      </c>
      <c r="M1889" s="317">
        <f>IF(L1889&lt;&gt;"-",VLOOKUP(L1889,precio_aislador,2,FALSE),0)</f>
        <v>1.9</v>
      </c>
      <c r="N1889" s="308">
        <f t="shared" si="707"/>
        <v>133.51650000000001</v>
      </c>
      <c r="O1889" s="288"/>
      <c r="P1889" s="297"/>
      <c r="Q1889" s="288"/>
      <c r="R1889" s="102"/>
      <c r="S1889" s="102"/>
      <c r="T1889" s="102"/>
    </row>
    <row r="1890" spans="1:20" s="199" customFormat="1" ht="14.25">
      <c r="A1890" s="2627"/>
      <c r="B1890" s="310" t="s">
        <v>801</v>
      </c>
      <c r="C1890" s="319"/>
      <c r="D1890" s="312">
        <f t="shared" si="703"/>
        <v>1500</v>
      </c>
      <c r="E1890" s="313">
        <v>1</v>
      </c>
      <c r="F1890" s="314">
        <v>1</v>
      </c>
      <c r="G1890" s="315" t="s">
        <v>582</v>
      </c>
      <c r="H1890" s="314" t="s">
        <v>1043</v>
      </c>
      <c r="I1890" s="740">
        <v>0</v>
      </c>
      <c r="J1890" s="317">
        <f t="shared" si="704"/>
        <v>71.100000000000009</v>
      </c>
      <c r="K1890" s="320">
        <v>0</v>
      </c>
      <c r="L1890" s="318" t="str">
        <f t="shared" si="705"/>
        <v>1/1000</v>
      </c>
      <c r="M1890" s="317">
        <f t="shared" si="706"/>
        <v>2.7</v>
      </c>
      <c r="N1890" s="308">
        <f t="shared" si="707"/>
        <v>0</v>
      </c>
      <c r="O1890" s="288"/>
      <c r="P1890" s="297"/>
      <c r="Q1890" s="288"/>
      <c r="R1890" s="102"/>
      <c r="S1890" s="102"/>
      <c r="T1890" s="102"/>
    </row>
    <row r="1891" spans="1:20" s="199" customFormat="1" ht="15" thickBot="1">
      <c r="A1891" s="2628"/>
      <c r="B1891" s="321" t="s">
        <v>802</v>
      </c>
      <c r="C1891" s="363"/>
      <c r="D1891" s="364">
        <f t="shared" si="703"/>
        <v>850</v>
      </c>
      <c r="E1891" s="365">
        <v>1</v>
      </c>
      <c r="F1891" s="366">
        <v>1</v>
      </c>
      <c r="G1891" s="322" t="s">
        <v>469</v>
      </c>
      <c r="H1891" s="366" t="s">
        <v>1043</v>
      </c>
      <c r="I1891" s="367">
        <f>I1885</f>
        <v>1.6</v>
      </c>
      <c r="J1891" s="368">
        <f t="shared" si="704"/>
        <v>35.6</v>
      </c>
      <c r="K1891" s="395">
        <v>0</v>
      </c>
      <c r="L1891" s="369" t="str">
        <f t="shared" si="705"/>
        <v>1/750</v>
      </c>
      <c r="M1891" s="368">
        <f t="shared" si="706"/>
        <v>1.9</v>
      </c>
      <c r="N1891" s="370">
        <f t="shared" si="707"/>
        <v>118.90400000000001</v>
      </c>
      <c r="O1891" s="288"/>
      <c r="P1891" s="297"/>
      <c r="Q1891" s="288"/>
      <c r="R1891" s="102"/>
      <c r="S1891" s="102"/>
      <c r="T1891" s="102"/>
    </row>
    <row r="1892" spans="1:20" s="129" customFormat="1" ht="22.5" customHeight="1" thickBot="1">
      <c r="A1892" s="371"/>
      <c r="B1892" s="375"/>
      <c r="C1892" s="375"/>
      <c r="D1892" s="383"/>
      <c r="E1892" s="373"/>
      <c r="F1892" s="373"/>
      <c r="G1892" s="373"/>
      <c r="H1892" s="373"/>
      <c r="I1892" s="374"/>
      <c r="J1892" s="374"/>
      <c r="K1892" s="373"/>
      <c r="L1892" s="373"/>
      <c r="M1892" s="372"/>
      <c r="N1892" s="699">
        <f>SUM(N1885:N1891)</f>
        <v>1412.0100499999999</v>
      </c>
      <c r="O1892" s="288"/>
      <c r="P1892" s="297"/>
      <c r="Q1892" s="288"/>
      <c r="R1892" s="102"/>
      <c r="S1892" s="102"/>
      <c r="T1892" s="102"/>
    </row>
    <row r="1893" spans="1:20" s="102" customFormat="1" ht="8.25" customHeight="1" thickBot="1">
      <c r="A1893" s="323"/>
      <c r="B1893" s="309"/>
      <c r="C1893" s="323"/>
      <c r="D1893" s="382"/>
      <c r="E1893" s="323"/>
      <c r="F1893" s="325"/>
      <c r="G1893" s="325"/>
      <c r="H1893" s="325"/>
      <c r="I1893" s="323"/>
      <c r="J1893" s="323"/>
      <c r="K1893" s="323"/>
      <c r="L1893" s="325"/>
      <c r="M1893" s="323"/>
      <c r="N1893" s="309"/>
      <c r="O1893" s="288"/>
      <c r="P1893" s="297"/>
      <c r="Q1893" s="288"/>
    </row>
    <row r="1894" spans="1:20" s="102" customFormat="1">
      <c r="A1894" s="2639" t="s">
        <v>2574</v>
      </c>
      <c r="B1894" s="326"/>
      <c r="C1894" s="327"/>
      <c r="D1894" s="328">
        <f>IF(H1894&lt;&gt;"",VLOOKUP(G1894,base_barras,IF(H1894="Desnuda",2,5)+F1894-1,FALSE),"-")</f>
        <v>3280</v>
      </c>
      <c r="E1894" s="329">
        <v>3</v>
      </c>
      <c r="F1894" s="330">
        <v>2</v>
      </c>
      <c r="G1894" s="331" t="s">
        <v>470</v>
      </c>
      <c r="H1894" s="330" t="s">
        <v>1043</v>
      </c>
      <c r="I1894" s="332">
        <v>0</v>
      </c>
      <c r="J1894" s="333">
        <f>IF(G1894&lt;&gt;"",VLOOKUP(G1894,precio_barras,9,FALSE),0)</f>
        <v>107</v>
      </c>
      <c r="K1894" s="481">
        <v>0</v>
      </c>
      <c r="L1894" s="343" t="str">
        <f>IF(G1894&lt;&gt;"",IF(VLOOKUP(G1894,base_barras,10,FALSE)&lt;&gt;"",VLOOKUP(G1894,base_barras,10,FALSE),"-"),"-")</f>
        <v>1.5/1250</v>
      </c>
      <c r="M1894" s="333">
        <f>IF(L1894&lt;&gt;"-",VLOOKUP(L1894,precio_aislador,2,FALSE),0)</f>
        <v>5.5</v>
      </c>
      <c r="N1894" s="360">
        <f>(I1894*J1894*F1894+K1894*M1894)*E1894*1.67*1.25</f>
        <v>0</v>
      </c>
      <c r="O1894" s="288"/>
      <c r="P1894" s="297"/>
      <c r="Q1894" s="297"/>
    </row>
    <row r="1895" spans="1:20" s="102" customFormat="1" ht="13.5" thickBot="1">
      <c r="A1895" s="2640"/>
      <c r="B1895" s="310"/>
      <c r="C1895" s="311"/>
      <c r="D1895" s="312">
        <f>IF(H1895&lt;&gt;"",VLOOKUP(G1895,base_barras,IF(H1895="Desnuda",2,5)+F1895-1,FALSE),"-")</f>
        <v>3720</v>
      </c>
      <c r="E1895" s="313">
        <v>3</v>
      </c>
      <c r="F1895" s="314">
        <v>3</v>
      </c>
      <c r="G1895" s="315" t="s">
        <v>468</v>
      </c>
      <c r="H1895" s="314" t="s">
        <v>1043</v>
      </c>
      <c r="I1895" s="316">
        <v>0</v>
      </c>
      <c r="J1895" s="478">
        <f>IF(G1895&lt;&gt;"",VLOOKUP(G1895,precio_barras,9,FALSE),0)</f>
        <v>88.9</v>
      </c>
      <c r="K1895" s="313">
        <v>0</v>
      </c>
      <c r="L1895" s="318" t="str">
        <f>IF(G1895&lt;&gt;"",IF(VLOOKUP(G1895,base_barras,10,FALSE)&lt;&gt;"",VLOOKUP(G1895,base_barras,10,FALSE),"-"),"-")</f>
        <v>1.5/1250</v>
      </c>
      <c r="M1895" s="317">
        <f>IF(L1895&lt;&gt;"-",VLOOKUP(L1895,precio_aislador,2,FALSE),0)</f>
        <v>5.5</v>
      </c>
      <c r="N1895" s="308">
        <f>(I1895*J1895*F1895+K1895*M1895)*E1895*1.67*1.25</f>
        <v>0</v>
      </c>
      <c r="O1895" s="288"/>
      <c r="P1895" s="297"/>
      <c r="Q1895" s="297"/>
    </row>
    <row r="1896" spans="1:20" s="102" customFormat="1" ht="13.5" thickBot="1">
      <c r="A1896" s="323"/>
      <c r="B1896" s="309"/>
      <c r="C1896" s="309"/>
      <c r="D1896" s="382"/>
      <c r="E1896" s="323"/>
      <c r="F1896" s="309"/>
      <c r="G1896" s="309"/>
      <c r="H1896" s="323"/>
      <c r="I1896" s="325"/>
      <c r="J1896" s="325"/>
      <c r="K1896" s="323"/>
      <c r="L1896" s="323"/>
      <c r="M1896" s="325"/>
      <c r="N1896" s="706">
        <f>SUM(N1894:N1895)</f>
        <v>0</v>
      </c>
      <c r="O1896" s="288"/>
      <c r="P1896" s="297"/>
      <c r="Q1896" s="297"/>
    </row>
    <row r="1897" spans="1:20" s="102" customFormat="1" ht="8.25" customHeight="1" thickBot="1">
      <c r="A1897" s="323"/>
      <c r="B1897" s="309"/>
      <c r="C1897" s="323"/>
      <c r="D1897" s="382"/>
      <c r="E1897" s="323"/>
      <c r="F1897" s="325"/>
      <c r="G1897" s="325"/>
      <c r="H1897" s="325"/>
      <c r="I1897" s="323"/>
      <c r="J1897" s="323"/>
      <c r="K1897" s="323"/>
      <c r="L1897" s="325"/>
      <c r="M1897" s="323"/>
      <c r="N1897" s="309"/>
      <c r="O1897" s="288"/>
      <c r="P1897" s="297"/>
      <c r="Q1897" s="288"/>
    </row>
    <row r="1898" spans="1:20" s="102" customFormat="1">
      <c r="A1898" s="2629" t="s">
        <v>1228</v>
      </c>
      <c r="B1898" s="326" t="s">
        <v>1033</v>
      </c>
      <c r="C1898" s="327"/>
      <c r="D1898" s="328">
        <f>IF(H1898&lt;&gt;"",VLOOKUP(G1898,base_barras,IF(H1898="Desnuda",2,5)+F1898-1,FALSE),"-")</f>
        <v>1500</v>
      </c>
      <c r="E1898" s="481">
        <f>3+0</f>
        <v>3</v>
      </c>
      <c r="F1898" s="330">
        <v>1</v>
      </c>
      <c r="G1898" s="331" t="s">
        <v>582</v>
      </c>
      <c r="H1898" s="330" t="s">
        <v>1043</v>
      </c>
      <c r="I1898" s="332">
        <v>0.2</v>
      </c>
      <c r="J1898" s="333">
        <f>IF(G1898&lt;&gt;"",VLOOKUP(G1898,precio_barras,9,FALSE),0)</f>
        <v>71.100000000000009</v>
      </c>
      <c r="K1898" s="329">
        <v>0</v>
      </c>
      <c r="L1898" s="343" t="str">
        <f>IF(G1898&lt;&gt;"",IF(VLOOKUP(G1898,base_barras,10,FALSE)&lt;&gt;"",VLOOKUP(G1898,base_barras,10,FALSE),"-"),"-")</f>
        <v>1/1000</v>
      </c>
      <c r="M1898" s="333">
        <f>IF(L1898&lt;&gt;"-",VLOOKUP(L1898,precio_aislador,2,FALSE),0)</f>
        <v>2.7</v>
      </c>
      <c r="N1898" s="360">
        <f>(I1898*J1898*F1898+K1898*M1898)*E1898*1.67*1.25</f>
        <v>89.052750000000017</v>
      </c>
      <c r="O1898" s="288"/>
      <c r="P1898" s="297"/>
      <c r="Q1898" s="297"/>
    </row>
    <row r="1899" spans="1:20" s="102" customFormat="1" ht="13.5" thickBot="1">
      <c r="A1899" s="2635"/>
      <c r="B1899" s="321"/>
      <c r="C1899" s="479"/>
      <c r="D1899" s="364" t="str">
        <f>IF(H1899&lt;&gt;"",VLOOKUP(G1899,base_barras,IF(H1899="Desnuda",2,5)+F1899-1,FALSE),"-")</f>
        <v>-</v>
      </c>
      <c r="E1899" s="365"/>
      <c r="F1899" s="366"/>
      <c r="G1899" s="322"/>
      <c r="H1899" s="366"/>
      <c r="I1899" s="367"/>
      <c r="J1899" s="480">
        <f>IF(G1899&lt;&gt;"",VLOOKUP(G1899,precio_barras,9,FALSE),0)</f>
        <v>0</v>
      </c>
      <c r="K1899" s="365"/>
      <c r="L1899" s="369" t="str">
        <f>IF(G1899&lt;&gt;"",IF(VLOOKUP(G1899,base_barras,10,FALSE)&lt;&gt;"",VLOOKUP(G1899,base_barras,10,FALSE),"-"),"-")</f>
        <v>-</v>
      </c>
      <c r="M1899" s="368">
        <f>IF(L1899&lt;&gt;"-",VLOOKUP(L1899,precio_aislador,2,FALSE),0)</f>
        <v>0</v>
      </c>
      <c r="N1899" s="370">
        <f>(I1899*J1899*F1899+K1899*M1899)*E1899*1.67*1.25</f>
        <v>0</v>
      </c>
      <c r="O1899" s="288"/>
      <c r="P1899" s="297"/>
      <c r="Q1899" s="297"/>
    </row>
    <row r="1900" spans="1:20" s="102" customFormat="1" ht="13.5" thickBot="1">
      <c r="A1900" s="323"/>
      <c r="B1900" s="309"/>
      <c r="C1900" s="309"/>
      <c r="D1900" s="382"/>
      <c r="E1900" s="323"/>
      <c r="F1900" s="309"/>
      <c r="G1900" s="309"/>
      <c r="H1900" s="323"/>
      <c r="I1900" s="325"/>
      <c r="J1900" s="325"/>
      <c r="K1900" s="323"/>
      <c r="L1900" s="323"/>
      <c r="M1900" s="325"/>
      <c r="N1900" s="706">
        <f>SUM(N1898:N1899)</f>
        <v>89.052750000000017</v>
      </c>
      <c r="O1900" s="288"/>
      <c r="P1900" s="297"/>
      <c r="Q1900" s="297"/>
    </row>
    <row r="1901" spans="1:20" s="102" customFormat="1" ht="8.25" customHeight="1" thickBot="1">
      <c r="A1901" s="323"/>
      <c r="B1901" s="309"/>
      <c r="C1901" s="323"/>
      <c r="D1901" s="382"/>
      <c r="E1901" s="323"/>
      <c r="F1901" s="325"/>
      <c r="G1901" s="325"/>
      <c r="H1901" s="325"/>
      <c r="I1901" s="323"/>
      <c r="J1901" s="323"/>
      <c r="K1901" s="323"/>
      <c r="L1901" s="325"/>
      <c r="M1901" s="323"/>
      <c r="N1901" s="309"/>
      <c r="O1901" s="288"/>
      <c r="P1901" s="297"/>
      <c r="Q1901" s="288"/>
    </row>
    <row r="1902" spans="1:20" s="102" customFormat="1">
      <c r="A1902" s="2629" t="s">
        <v>1034</v>
      </c>
      <c r="B1902" s="326" t="s">
        <v>1033</v>
      </c>
      <c r="C1902" s="327"/>
      <c r="D1902" s="328">
        <f>IF(H1902&lt;&gt;"",VLOOKUP(G1902,base_barras,IF(H1902="Desnuda",2,5)+F1902-1,FALSE),"-")</f>
        <v>1500</v>
      </c>
      <c r="E1902" s="481">
        <f>3+0</f>
        <v>3</v>
      </c>
      <c r="F1902" s="330">
        <v>1</v>
      </c>
      <c r="G1902" s="331" t="s">
        <v>582</v>
      </c>
      <c r="H1902" s="330" t="s">
        <v>1043</v>
      </c>
      <c r="I1902" s="332">
        <v>0.3</v>
      </c>
      <c r="J1902" s="333">
        <f>IF(G1902&lt;&gt;"",VLOOKUP(G1902,precio_barras,9,FALSE),0)</f>
        <v>71.100000000000009</v>
      </c>
      <c r="K1902" s="329">
        <v>0</v>
      </c>
      <c r="L1902" s="343" t="str">
        <f>IF(G1902&lt;&gt;"",IF(VLOOKUP(G1902,base_barras,10,FALSE)&lt;&gt;"",VLOOKUP(G1902,base_barras,10,FALSE),"-"),"-")</f>
        <v>1/1000</v>
      </c>
      <c r="M1902" s="333">
        <f>IF(L1902&lt;&gt;"-",VLOOKUP(L1902,precio_aislador,2,FALSE),0)</f>
        <v>2.7</v>
      </c>
      <c r="N1902" s="360">
        <f>(I1902*J1902*F1902+K1902*M1902)*E1902*1.67*1.25</f>
        <v>133.579125</v>
      </c>
      <c r="O1902" s="288"/>
      <c r="P1902" s="297"/>
      <c r="Q1902" s="297"/>
    </row>
    <row r="1903" spans="1:20" s="102" customFormat="1" ht="13.5" thickBot="1">
      <c r="A1903" s="2635"/>
      <c r="B1903" s="321"/>
      <c r="C1903" s="479"/>
      <c r="D1903" s="364" t="str">
        <f>IF(H1903&lt;&gt;"",VLOOKUP(G1903,base_barras,IF(H1903="Desnuda",2,5)+F1903-1,FALSE),"-")</f>
        <v>-</v>
      </c>
      <c r="E1903" s="365"/>
      <c r="F1903" s="366"/>
      <c r="G1903" s="322"/>
      <c r="H1903" s="366"/>
      <c r="I1903" s="367"/>
      <c r="J1903" s="480">
        <f>IF(G1903&lt;&gt;"",VLOOKUP(G1903,precio_barras,9,FALSE),0)</f>
        <v>0</v>
      </c>
      <c r="K1903" s="365"/>
      <c r="L1903" s="369" t="str">
        <f>IF(G1903&lt;&gt;"",IF(VLOOKUP(G1903,base_barras,10,FALSE)&lt;&gt;"",VLOOKUP(G1903,base_barras,10,FALSE),"-"),"-")</f>
        <v>-</v>
      </c>
      <c r="M1903" s="368">
        <f>IF(L1903&lt;&gt;"-",VLOOKUP(L1903,precio_aislador,2,FALSE),0)</f>
        <v>0</v>
      </c>
      <c r="N1903" s="370">
        <f>(I1903*J1903*F1903+K1903*M1903)*E1903*1.67*1.25</f>
        <v>0</v>
      </c>
      <c r="O1903" s="288"/>
      <c r="P1903" s="297"/>
      <c r="Q1903" s="297"/>
    </row>
    <row r="1904" spans="1:20" s="102" customFormat="1" ht="13.5" thickBot="1">
      <c r="A1904" s="323"/>
      <c r="B1904" s="309"/>
      <c r="C1904" s="309"/>
      <c r="D1904" s="382"/>
      <c r="E1904" s="323"/>
      <c r="F1904" s="309"/>
      <c r="G1904" s="309"/>
      <c r="H1904" s="323"/>
      <c r="I1904" s="325"/>
      <c r="J1904" s="325"/>
      <c r="K1904" s="323"/>
      <c r="L1904" s="323"/>
      <c r="M1904" s="325"/>
      <c r="N1904" s="741">
        <f>SUM(N1902:N1903)</f>
        <v>133.579125</v>
      </c>
      <c r="O1904" s="288"/>
      <c r="P1904" s="297"/>
      <c r="Q1904" s="297"/>
    </row>
    <row r="1905" spans="1:20" s="742" customFormat="1">
      <c r="A1905" s="323"/>
      <c r="B1905" s="309"/>
      <c r="C1905" s="309"/>
      <c r="D1905" s="382"/>
      <c r="E1905" s="323"/>
      <c r="F1905" s="309"/>
      <c r="G1905" s="309"/>
      <c r="H1905" s="323"/>
      <c r="I1905" s="325"/>
      <c r="J1905" s="325"/>
      <c r="K1905" s="323"/>
      <c r="L1905" s="323"/>
      <c r="M1905" s="325"/>
      <c r="N1905" s="722"/>
      <c r="O1905" s="379"/>
      <c r="P1905" s="381"/>
      <c r="Q1905" s="381"/>
    </row>
    <row r="1906" spans="1:20" s="106" customFormat="1" ht="13.5" thickBot="1"/>
    <row r="1907" spans="1:20" s="199" customFormat="1" ht="15.75" customHeight="1">
      <c r="A1907" s="2636" t="s">
        <v>2579</v>
      </c>
      <c r="B1907" s="326" t="s">
        <v>1033</v>
      </c>
      <c r="C1907" s="327"/>
      <c r="D1907" s="328">
        <f t="shared" ref="D1907:D1914" si="708">IF(H1907&lt;&gt;"",VLOOKUP(G1907,base_barras,IF(H1907="Desnuda",2,5)+F1907-1,FALSE),"-")</f>
        <v>1180</v>
      </c>
      <c r="E1907" s="329">
        <v>3</v>
      </c>
      <c r="F1907" s="330">
        <v>1</v>
      </c>
      <c r="G1907" s="331" t="s">
        <v>581</v>
      </c>
      <c r="H1907" s="330" t="s">
        <v>1043</v>
      </c>
      <c r="I1907" s="332">
        <f>0.8+0.8</f>
        <v>1.6</v>
      </c>
      <c r="J1907" s="333">
        <f t="shared" ref="J1907:J1914" si="709">IF(G1907&lt;&gt;"",VLOOKUP(G1907,precio_barras,9,FALSE),0)</f>
        <v>53.3</v>
      </c>
      <c r="K1907" s="481">
        <v>4</v>
      </c>
      <c r="L1907" s="343" t="str">
        <f t="shared" ref="L1907:L1914" si="710">IF(G1907&lt;&gt;"",IF(VLOOKUP(G1907,base_barras,10,FALSE)&lt;&gt;"",VLOOKUP(G1907,base_barras,10,FALSE),"-"),"-")</f>
        <v>1/750</v>
      </c>
      <c r="M1907" s="333">
        <f t="shared" ref="M1907:M1914" si="711">IF(L1907&lt;&gt;"-",VLOOKUP(L1907,precio_aislador,2,FALSE),0)</f>
        <v>1.9</v>
      </c>
      <c r="N1907" s="360">
        <f t="shared" ref="N1907:N1914" si="712">(I1907*J1907*F1907+K1907*M1907)*E1907*1.67*1.25</f>
        <v>581.66099999999994</v>
      </c>
      <c r="O1907" s="288"/>
      <c r="P1907" s="297"/>
      <c r="Q1907" s="288"/>
      <c r="R1907" s="102"/>
      <c r="S1907" s="102"/>
      <c r="T1907" s="102"/>
    </row>
    <row r="1908" spans="1:20" s="199" customFormat="1" ht="15.75" customHeight="1">
      <c r="A1908" s="2627"/>
      <c r="B1908" s="310" t="s">
        <v>2580</v>
      </c>
      <c r="C1908" s="311"/>
      <c r="D1908" s="312">
        <f t="shared" si="708"/>
        <v>573</v>
      </c>
      <c r="E1908" s="313">
        <v>3</v>
      </c>
      <c r="F1908" s="314">
        <v>1</v>
      </c>
      <c r="G1908" s="315" t="s">
        <v>314</v>
      </c>
      <c r="H1908" s="314" t="s">
        <v>1044</v>
      </c>
      <c r="I1908" s="316">
        <v>0.4</v>
      </c>
      <c r="J1908" s="478">
        <f t="shared" si="709"/>
        <v>26.6</v>
      </c>
      <c r="K1908" s="313">
        <v>0</v>
      </c>
      <c r="L1908" s="318" t="str">
        <f t="shared" si="710"/>
        <v>1/750</v>
      </c>
      <c r="M1908" s="317">
        <f t="shared" si="711"/>
        <v>1.9</v>
      </c>
      <c r="N1908" s="308">
        <f t="shared" si="712"/>
        <v>66.63300000000001</v>
      </c>
      <c r="O1908" s="288"/>
      <c r="P1908" s="297"/>
      <c r="Q1908" s="288"/>
      <c r="R1908" s="102"/>
      <c r="S1908" s="102"/>
      <c r="T1908" s="102"/>
    </row>
    <row r="1909" spans="1:20" s="199" customFormat="1" ht="15.75" customHeight="1">
      <c r="A1909" s="2627"/>
      <c r="B1909" s="310" t="s">
        <v>2581</v>
      </c>
      <c r="C1909" s="311"/>
      <c r="D1909" s="312">
        <f>IF(H1909&lt;&gt;"",VLOOKUP(G1909,base_barras,IF(H1909="Desnuda",2,5)+F1909-1,FALSE),"-")</f>
        <v>237</v>
      </c>
      <c r="E1909" s="313">
        <v>3</v>
      </c>
      <c r="F1909" s="314">
        <v>1</v>
      </c>
      <c r="G1909" s="315" t="s">
        <v>60</v>
      </c>
      <c r="H1909" s="314" t="s">
        <v>1043</v>
      </c>
      <c r="I1909" s="316">
        <v>0.61</v>
      </c>
      <c r="J1909" s="317">
        <f>IF(G1909&lt;&gt;"",VLOOKUP(G1909,precio_barras,9,FALSE),0)</f>
        <v>5.3000000000000007</v>
      </c>
      <c r="K1909" s="313">
        <v>0</v>
      </c>
      <c r="L1909" s="318" t="str">
        <f>IF(G1909&lt;&gt;"",IF(VLOOKUP(G1909,base_barras,10,FALSE)&lt;&gt;"",VLOOKUP(G1909,base_barras,10,FALSE),"-"),"-")</f>
        <v>-</v>
      </c>
      <c r="M1909" s="317">
        <f>IF(L1909&lt;&gt;"-",VLOOKUP(L1909,precio_aislador,2,FALSE),0)</f>
        <v>0</v>
      </c>
      <c r="N1909" s="308">
        <f t="shared" si="712"/>
        <v>20.246662499999999</v>
      </c>
      <c r="O1909" s="288"/>
      <c r="P1909" s="297"/>
      <c r="Q1909" s="288"/>
      <c r="R1909" s="102"/>
      <c r="S1909" s="102"/>
      <c r="T1909" s="102"/>
    </row>
    <row r="1910" spans="1:20" s="199" customFormat="1" ht="15.75" customHeight="1">
      <c r="A1910" s="2627"/>
      <c r="B1910" s="310" t="s">
        <v>2581</v>
      </c>
      <c r="C1910" s="311"/>
      <c r="D1910" s="312">
        <f>IF(H1910&lt;&gt;"",VLOOKUP(G1910,base_barras,IF(H1910="Desnuda",2,5)+F1910-1,FALSE),"-")</f>
        <v>237</v>
      </c>
      <c r="E1910" s="313">
        <v>3</v>
      </c>
      <c r="F1910" s="314">
        <v>1</v>
      </c>
      <c r="G1910" s="315" t="s">
        <v>60</v>
      </c>
      <c r="H1910" s="314" t="s">
        <v>1043</v>
      </c>
      <c r="I1910" s="316">
        <v>0.61</v>
      </c>
      <c r="J1910" s="317">
        <f>IF(G1910&lt;&gt;"",VLOOKUP(G1910,precio_barras,9,FALSE),0)</f>
        <v>5.3000000000000007</v>
      </c>
      <c r="K1910" s="313">
        <v>0</v>
      </c>
      <c r="L1910" s="318" t="str">
        <f>IF(G1910&lt;&gt;"",IF(VLOOKUP(G1910,base_barras,10,FALSE)&lt;&gt;"",VLOOKUP(G1910,base_barras,10,FALSE),"-"),"-")</f>
        <v>-</v>
      </c>
      <c r="M1910" s="317">
        <f>IF(L1910&lt;&gt;"-",VLOOKUP(L1910,precio_aislador,2,FALSE),0)</f>
        <v>0</v>
      </c>
      <c r="N1910" s="308">
        <f t="shared" si="712"/>
        <v>20.246662499999999</v>
      </c>
      <c r="O1910" s="288"/>
      <c r="P1910" s="297"/>
      <c r="Q1910" s="288"/>
      <c r="R1910" s="102"/>
      <c r="S1910" s="102"/>
      <c r="T1910" s="102"/>
    </row>
    <row r="1911" spans="1:20" s="199" customFormat="1" ht="15.75" customHeight="1">
      <c r="A1911" s="2627"/>
      <c r="B1911" s="310" t="s">
        <v>2581</v>
      </c>
      <c r="C1911" s="311"/>
      <c r="D1911" s="312">
        <f>IF(H1911&lt;&gt;"",VLOOKUP(G1911,base_barras,IF(H1911="Desnuda",2,5)+F1911-1,FALSE),"-")</f>
        <v>237</v>
      </c>
      <c r="E1911" s="313">
        <v>3</v>
      </c>
      <c r="F1911" s="314">
        <v>1</v>
      </c>
      <c r="G1911" s="315" t="s">
        <v>60</v>
      </c>
      <c r="H1911" s="314" t="s">
        <v>1043</v>
      </c>
      <c r="I1911" s="316">
        <v>0.61</v>
      </c>
      <c r="J1911" s="317">
        <f>IF(G1911&lt;&gt;"",VLOOKUP(G1911,precio_barras,9,FALSE),0)</f>
        <v>5.3000000000000007</v>
      </c>
      <c r="K1911" s="313">
        <v>0</v>
      </c>
      <c r="L1911" s="318" t="str">
        <f>IF(G1911&lt;&gt;"",IF(VLOOKUP(G1911,base_barras,10,FALSE)&lt;&gt;"",VLOOKUP(G1911,base_barras,10,FALSE),"-"),"-")</f>
        <v>-</v>
      </c>
      <c r="M1911" s="317">
        <f>IF(L1911&lt;&gt;"-",VLOOKUP(L1911,precio_aislador,2,FALSE),0)</f>
        <v>0</v>
      </c>
      <c r="N1911" s="308">
        <f t="shared" si="712"/>
        <v>20.246662499999999</v>
      </c>
      <c r="O1911" s="288"/>
      <c r="P1911" s="297"/>
      <c r="Q1911" s="288"/>
      <c r="R1911" s="102"/>
      <c r="S1911" s="102"/>
      <c r="T1911" s="102"/>
    </row>
    <row r="1912" spans="1:20" s="199" customFormat="1" ht="15.75" customHeight="1">
      <c r="A1912" s="2627"/>
      <c r="B1912" s="310" t="s">
        <v>2582</v>
      </c>
      <c r="C1912" s="311"/>
      <c r="D1912" s="312">
        <f t="shared" si="708"/>
        <v>384</v>
      </c>
      <c r="E1912" s="313">
        <v>3</v>
      </c>
      <c r="F1912" s="314">
        <v>1</v>
      </c>
      <c r="G1912" s="315" t="s">
        <v>63</v>
      </c>
      <c r="H1912" s="314" t="s">
        <v>1043</v>
      </c>
      <c r="I1912" s="316">
        <v>0.61</v>
      </c>
      <c r="J1912" s="317">
        <f t="shared" si="709"/>
        <v>11.100000000000001</v>
      </c>
      <c r="K1912" s="313">
        <v>0</v>
      </c>
      <c r="L1912" s="318" t="str">
        <f t="shared" si="710"/>
        <v>0.5/400</v>
      </c>
      <c r="M1912" s="317">
        <f t="shared" si="711"/>
        <v>1.2</v>
      </c>
      <c r="N1912" s="308">
        <f t="shared" si="712"/>
        <v>42.403387500000001</v>
      </c>
      <c r="O1912" s="288"/>
      <c r="P1912" s="297"/>
      <c r="Q1912" s="288"/>
      <c r="R1912" s="102"/>
      <c r="S1912" s="102"/>
      <c r="T1912" s="102"/>
    </row>
    <row r="1913" spans="1:20" s="199" customFormat="1" ht="14.25">
      <c r="A1913" s="2627"/>
      <c r="B1913" s="310" t="s">
        <v>801</v>
      </c>
      <c r="C1913" s="319"/>
      <c r="D1913" s="312">
        <f t="shared" si="708"/>
        <v>1500</v>
      </c>
      <c r="E1913" s="313">
        <v>1</v>
      </c>
      <c r="F1913" s="314">
        <v>1</v>
      </c>
      <c r="G1913" s="315" t="s">
        <v>582</v>
      </c>
      <c r="H1913" s="314" t="s">
        <v>1043</v>
      </c>
      <c r="I1913" s="740">
        <v>0</v>
      </c>
      <c r="J1913" s="317">
        <f t="shared" si="709"/>
        <v>71.100000000000009</v>
      </c>
      <c r="K1913" s="320">
        <v>0</v>
      </c>
      <c r="L1913" s="318" t="str">
        <f t="shared" si="710"/>
        <v>1/1000</v>
      </c>
      <c r="M1913" s="317">
        <f t="shared" si="711"/>
        <v>2.7</v>
      </c>
      <c r="N1913" s="308">
        <f t="shared" si="712"/>
        <v>0</v>
      </c>
      <c r="O1913" s="288"/>
      <c r="P1913" s="297"/>
      <c r="Q1913" s="288"/>
      <c r="R1913" s="102"/>
      <c r="S1913" s="102"/>
      <c r="T1913" s="102"/>
    </row>
    <row r="1914" spans="1:20" s="199" customFormat="1" ht="15" thickBot="1">
      <c r="A1914" s="2628"/>
      <c r="B1914" s="321" t="s">
        <v>802</v>
      </c>
      <c r="C1914" s="363"/>
      <c r="D1914" s="364">
        <f t="shared" si="708"/>
        <v>676</v>
      </c>
      <c r="E1914" s="365">
        <v>1</v>
      </c>
      <c r="F1914" s="366">
        <v>1</v>
      </c>
      <c r="G1914" s="322" t="s">
        <v>314</v>
      </c>
      <c r="H1914" s="366" t="s">
        <v>1043</v>
      </c>
      <c r="I1914" s="367">
        <f>I1907</f>
        <v>1.6</v>
      </c>
      <c r="J1914" s="368">
        <f t="shared" si="709"/>
        <v>26.6</v>
      </c>
      <c r="K1914" s="395">
        <v>0</v>
      </c>
      <c r="L1914" s="369" t="str">
        <f t="shared" si="710"/>
        <v>1/750</v>
      </c>
      <c r="M1914" s="368">
        <f t="shared" si="711"/>
        <v>1.9</v>
      </c>
      <c r="N1914" s="370">
        <f t="shared" si="712"/>
        <v>88.843999999999994</v>
      </c>
      <c r="O1914" s="288"/>
      <c r="P1914" s="297"/>
      <c r="Q1914" s="288"/>
      <c r="R1914" s="102"/>
      <c r="S1914" s="102"/>
      <c r="T1914" s="102"/>
    </row>
    <row r="1915" spans="1:20" s="129" customFormat="1" ht="22.5" customHeight="1" thickBot="1">
      <c r="A1915" s="371"/>
      <c r="B1915" s="375"/>
      <c r="C1915" s="375"/>
      <c r="D1915" s="383"/>
      <c r="E1915" s="373"/>
      <c r="F1915" s="373"/>
      <c r="G1915" s="373"/>
      <c r="H1915" s="373"/>
      <c r="I1915" s="374"/>
      <c r="J1915" s="374"/>
      <c r="K1915" s="373"/>
      <c r="L1915" s="373"/>
      <c r="M1915" s="372"/>
      <c r="N1915" s="699">
        <f>SUM(N1907:N1914)</f>
        <v>840.2813749999998</v>
      </c>
      <c r="O1915" s="288"/>
      <c r="P1915" s="297"/>
      <c r="Q1915" s="288"/>
      <c r="R1915" s="102"/>
      <c r="S1915" s="102"/>
      <c r="T1915" s="102"/>
    </row>
    <row r="1916" spans="1:20" s="102" customFormat="1" ht="8.25" customHeight="1" thickBot="1">
      <c r="A1916" s="323"/>
      <c r="B1916" s="309"/>
      <c r="C1916" s="323"/>
      <c r="D1916" s="382"/>
      <c r="E1916" s="323"/>
      <c r="F1916" s="325"/>
      <c r="G1916" s="325"/>
      <c r="H1916" s="325"/>
      <c r="I1916" s="323"/>
      <c r="J1916" s="323"/>
      <c r="K1916" s="323"/>
      <c r="L1916" s="325"/>
      <c r="M1916" s="323"/>
      <c r="N1916" s="309"/>
      <c r="O1916" s="288"/>
      <c r="P1916" s="297"/>
      <c r="Q1916" s="288"/>
    </row>
    <row r="1917" spans="1:20" s="102" customFormat="1">
      <c r="A1917" s="2639" t="s">
        <v>2574</v>
      </c>
      <c r="B1917" s="326"/>
      <c r="C1917" s="327"/>
      <c r="D1917" s="328">
        <f>IF(H1917&lt;&gt;"",VLOOKUP(G1917,base_barras,IF(H1917="Desnuda",2,5)+F1917-1,FALSE),"-")</f>
        <v>3280</v>
      </c>
      <c r="E1917" s="329">
        <v>3</v>
      </c>
      <c r="F1917" s="330">
        <v>2</v>
      </c>
      <c r="G1917" s="331" t="s">
        <v>470</v>
      </c>
      <c r="H1917" s="330" t="s">
        <v>1043</v>
      </c>
      <c r="I1917" s="332">
        <v>0</v>
      </c>
      <c r="J1917" s="333">
        <f>IF(G1917&lt;&gt;"",VLOOKUP(G1917,precio_barras,9,FALSE),0)</f>
        <v>107</v>
      </c>
      <c r="K1917" s="481">
        <v>0</v>
      </c>
      <c r="L1917" s="343" t="str">
        <f>IF(G1917&lt;&gt;"",IF(VLOOKUP(G1917,base_barras,10,FALSE)&lt;&gt;"",VLOOKUP(G1917,base_barras,10,FALSE),"-"),"-")</f>
        <v>1.5/1250</v>
      </c>
      <c r="M1917" s="333">
        <f>IF(L1917&lt;&gt;"-",VLOOKUP(L1917,precio_aislador,2,FALSE),0)</f>
        <v>5.5</v>
      </c>
      <c r="N1917" s="360">
        <f>(I1917*J1917*F1917+K1917*M1917)*E1917*1.67*1.25</f>
        <v>0</v>
      </c>
      <c r="O1917" s="288"/>
      <c r="P1917" s="297"/>
      <c r="Q1917" s="297"/>
    </row>
    <row r="1918" spans="1:20" s="102" customFormat="1" ht="13.5" thickBot="1">
      <c r="A1918" s="2640"/>
      <c r="B1918" s="310"/>
      <c r="C1918" s="311"/>
      <c r="D1918" s="312">
        <f>IF(H1918&lt;&gt;"",VLOOKUP(G1918,base_barras,IF(H1918="Desnuda",2,5)+F1918-1,FALSE),"-")</f>
        <v>3720</v>
      </c>
      <c r="E1918" s="313">
        <v>3</v>
      </c>
      <c r="F1918" s="314">
        <v>3</v>
      </c>
      <c r="G1918" s="315" t="s">
        <v>468</v>
      </c>
      <c r="H1918" s="314" t="s">
        <v>1043</v>
      </c>
      <c r="I1918" s="316">
        <v>0</v>
      </c>
      <c r="J1918" s="478">
        <f>IF(G1918&lt;&gt;"",VLOOKUP(G1918,precio_barras,9,FALSE),0)</f>
        <v>88.9</v>
      </c>
      <c r="K1918" s="313">
        <v>0</v>
      </c>
      <c r="L1918" s="318" t="str">
        <f>IF(G1918&lt;&gt;"",IF(VLOOKUP(G1918,base_barras,10,FALSE)&lt;&gt;"",VLOOKUP(G1918,base_barras,10,FALSE),"-"),"-")</f>
        <v>1.5/1250</v>
      </c>
      <c r="M1918" s="317">
        <f>IF(L1918&lt;&gt;"-",VLOOKUP(L1918,precio_aislador,2,FALSE),0)</f>
        <v>5.5</v>
      </c>
      <c r="N1918" s="308">
        <f>(I1918*J1918*F1918+K1918*M1918)*E1918*1.67*1.25</f>
        <v>0</v>
      </c>
      <c r="O1918" s="288"/>
      <c r="P1918" s="297"/>
      <c r="Q1918" s="297"/>
    </row>
    <row r="1919" spans="1:20" s="102" customFormat="1" ht="13.5" thickBot="1">
      <c r="A1919" s="323"/>
      <c r="B1919" s="309"/>
      <c r="C1919" s="309"/>
      <c r="D1919" s="382"/>
      <c r="E1919" s="323"/>
      <c r="F1919" s="309"/>
      <c r="G1919" s="309"/>
      <c r="H1919" s="323"/>
      <c r="I1919" s="325"/>
      <c r="J1919" s="325"/>
      <c r="K1919" s="323"/>
      <c r="L1919" s="323"/>
      <c r="M1919" s="325"/>
      <c r="N1919" s="706">
        <f>SUM(N1917:N1918)</f>
        <v>0</v>
      </c>
      <c r="O1919" s="288"/>
      <c r="P1919" s="297"/>
      <c r="Q1919" s="297"/>
    </row>
    <row r="1920" spans="1:20" s="102" customFormat="1" ht="8.25" customHeight="1" thickBot="1">
      <c r="A1920" s="323"/>
      <c r="B1920" s="309"/>
      <c r="C1920" s="323"/>
      <c r="D1920" s="382"/>
      <c r="E1920" s="323"/>
      <c r="F1920" s="325"/>
      <c r="G1920" s="325"/>
      <c r="H1920" s="325"/>
      <c r="I1920" s="323"/>
      <c r="J1920" s="323"/>
      <c r="K1920" s="323"/>
      <c r="L1920" s="325"/>
      <c r="M1920" s="323"/>
      <c r="N1920" s="309"/>
      <c r="O1920" s="288"/>
      <c r="P1920" s="297"/>
      <c r="Q1920" s="288"/>
    </row>
    <row r="1921" spans="1:20" s="102" customFormat="1">
      <c r="A1921" s="2629" t="s">
        <v>1228</v>
      </c>
      <c r="B1921" s="326" t="s">
        <v>1033</v>
      </c>
      <c r="C1921" s="327"/>
      <c r="D1921" s="328">
        <f>IF(H1921&lt;&gt;"",VLOOKUP(G1921,base_barras,IF(H1921="Desnuda",2,5)+F1921-1,FALSE),"-")</f>
        <v>1180</v>
      </c>
      <c r="E1921" s="481">
        <f>3+0</f>
        <v>3</v>
      </c>
      <c r="F1921" s="330">
        <v>1</v>
      </c>
      <c r="G1921" s="331" t="s">
        <v>581</v>
      </c>
      <c r="H1921" s="330" t="s">
        <v>1043</v>
      </c>
      <c r="I1921" s="332">
        <v>0.2</v>
      </c>
      <c r="J1921" s="333">
        <f>IF(G1921&lt;&gt;"",VLOOKUP(G1921,precio_barras,9,FALSE),0)</f>
        <v>53.3</v>
      </c>
      <c r="K1921" s="329">
        <v>0</v>
      </c>
      <c r="L1921" s="343" t="str">
        <f>IF(G1921&lt;&gt;"",IF(VLOOKUP(G1921,base_barras,10,FALSE)&lt;&gt;"",VLOOKUP(G1921,base_barras,10,FALSE),"-"),"-")</f>
        <v>1/750</v>
      </c>
      <c r="M1921" s="333">
        <f>IF(L1921&lt;&gt;"-",VLOOKUP(L1921,precio_aislador,2,FALSE),0)</f>
        <v>1.9</v>
      </c>
      <c r="N1921" s="360">
        <f>(I1921*J1921*F1921+K1921*M1921)*E1921*1.67*1.25</f>
        <v>66.758250000000004</v>
      </c>
      <c r="O1921" s="288"/>
      <c r="P1921" s="297"/>
      <c r="Q1921" s="297"/>
    </row>
    <row r="1922" spans="1:20" s="102" customFormat="1" ht="13.5" thickBot="1">
      <c r="A1922" s="2635"/>
      <c r="B1922" s="321"/>
      <c r="C1922" s="479"/>
      <c r="D1922" s="364" t="str">
        <f>IF(H1922&lt;&gt;"",VLOOKUP(G1922,base_barras,IF(H1922="Desnuda",2,5)+F1922-1,FALSE),"-")</f>
        <v>-</v>
      </c>
      <c r="E1922" s="365"/>
      <c r="F1922" s="366"/>
      <c r="G1922" s="322"/>
      <c r="H1922" s="366"/>
      <c r="I1922" s="367"/>
      <c r="J1922" s="480">
        <f>IF(G1922&lt;&gt;"",VLOOKUP(G1922,precio_barras,9,FALSE),0)</f>
        <v>0</v>
      </c>
      <c r="K1922" s="365"/>
      <c r="L1922" s="369" t="str">
        <f>IF(G1922&lt;&gt;"",IF(VLOOKUP(G1922,base_barras,10,FALSE)&lt;&gt;"",VLOOKUP(G1922,base_barras,10,FALSE),"-"),"-")</f>
        <v>-</v>
      </c>
      <c r="M1922" s="368">
        <f>IF(L1922&lt;&gt;"-",VLOOKUP(L1922,precio_aislador,2,FALSE),0)</f>
        <v>0</v>
      </c>
      <c r="N1922" s="370">
        <f>(I1922*J1922*F1922+K1922*M1922)*E1922*1.67*1.25</f>
        <v>0</v>
      </c>
      <c r="O1922" s="288"/>
      <c r="P1922" s="297"/>
      <c r="Q1922" s="297"/>
    </row>
    <row r="1923" spans="1:20" s="102" customFormat="1" ht="13.5" thickBot="1">
      <c r="A1923" s="323"/>
      <c r="B1923" s="309"/>
      <c r="C1923" s="309"/>
      <c r="D1923" s="382"/>
      <c r="E1923" s="323"/>
      <c r="F1923" s="309"/>
      <c r="G1923" s="309"/>
      <c r="H1923" s="323"/>
      <c r="I1923" s="325"/>
      <c r="J1923" s="325"/>
      <c r="K1923" s="323"/>
      <c r="L1923" s="323"/>
      <c r="M1923" s="325"/>
      <c r="N1923" s="706">
        <f>SUM(N1921:N1922)</f>
        <v>66.758250000000004</v>
      </c>
      <c r="O1923" s="288"/>
      <c r="P1923" s="297"/>
      <c r="Q1923" s="297"/>
    </row>
    <row r="1924" spans="1:20" s="102" customFormat="1" ht="8.25" customHeight="1" thickBot="1">
      <c r="A1924" s="323"/>
      <c r="B1924" s="309"/>
      <c r="C1924" s="323"/>
      <c r="D1924" s="382"/>
      <c r="E1924" s="323"/>
      <c r="F1924" s="325"/>
      <c r="G1924" s="325"/>
      <c r="H1924" s="325"/>
      <c r="I1924" s="323"/>
      <c r="J1924" s="323"/>
      <c r="K1924" s="323"/>
      <c r="L1924" s="325"/>
      <c r="M1924" s="323"/>
      <c r="N1924" s="309"/>
      <c r="O1924" s="288"/>
      <c r="P1924" s="297"/>
      <c r="Q1924" s="288"/>
    </row>
    <row r="1925" spans="1:20" s="102" customFormat="1">
      <c r="A1925" s="2629" t="s">
        <v>1034</v>
      </c>
      <c r="B1925" s="326"/>
      <c r="C1925" s="327"/>
      <c r="D1925" s="328">
        <f>IF(H1925&lt;&gt;"",VLOOKUP(G1925,base_barras,IF(H1925="Desnuda",2,5)+F1925-1,FALSE),"-")</f>
        <v>1500</v>
      </c>
      <c r="E1925" s="481">
        <f>3+0</f>
        <v>3</v>
      </c>
      <c r="F1925" s="330">
        <v>1</v>
      </c>
      <c r="G1925" s="331" t="s">
        <v>582</v>
      </c>
      <c r="H1925" s="330" t="s">
        <v>1043</v>
      </c>
      <c r="I1925" s="332">
        <v>0</v>
      </c>
      <c r="J1925" s="333">
        <f>IF(G1925&lt;&gt;"",VLOOKUP(G1925,precio_barras,9,FALSE),0)</f>
        <v>71.100000000000009</v>
      </c>
      <c r="K1925" s="329">
        <v>0</v>
      </c>
      <c r="L1925" s="343" t="str">
        <f>IF(G1925&lt;&gt;"",IF(VLOOKUP(G1925,base_barras,10,FALSE)&lt;&gt;"",VLOOKUP(G1925,base_barras,10,FALSE),"-"),"-")</f>
        <v>1/1000</v>
      </c>
      <c r="M1925" s="333">
        <f>IF(L1925&lt;&gt;"-",VLOOKUP(L1925,precio_aislador,2,FALSE),0)</f>
        <v>2.7</v>
      </c>
      <c r="N1925" s="360">
        <f>(I1925*J1925*F1925+K1925*M1925)*E1925*1.67*1.25</f>
        <v>0</v>
      </c>
      <c r="O1925" s="288"/>
      <c r="P1925" s="297"/>
      <c r="Q1925" s="297"/>
    </row>
    <row r="1926" spans="1:20" s="102" customFormat="1" ht="13.5" thickBot="1">
      <c r="A1926" s="2635"/>
      <c r="B1926" s="321"/>
      <c r="C1926" s="479"/>
      <c r="D1926" s="364" t="str">
        <f>IF(H1926&lt;&gt;"",VLOOKUP(G1926,base_barras,IF(H1926="Desnuda",2,5)+F1926-1,FALSE),"-")</f>
        <v>-</v>
      </c>
      <c r="E1926" s="365"/>
      <c r="F1926" s="366"/>
      <c r="G1926" s="322"/>
      <c r="H1926" s="366"/>
      <c r="I1926" s="367"/>
      <c r="J1926" s="480">
        <f>IF(G1926&lt;&gt;"",VLOOKUP(G1926,precio_barras,9,FALSE),0)</f>
        <v>0</v>
      </c>
      <c r="K1926" s="365"/>
      <c r="L1926" s="369" t="str">
        <f>IF(G1926&lt;&gt;"",IF(VLOOKUP(G1926,base_barras,10,FALSE)&lt;&gt;"",VLOOKUP(G1926,base_barras,10,FALSE),"-"),"-")</f>
        <v>-</v>
      </c>
      <c r="M1926" s="368">
        <f>IF(L1926&lt;&gt;"-",VLOOKUP(L1926,precio_aislador,2,FALSE),0)</f>
        <v>0</v>
      </c>
      <c r="N1926" s="370">
        <f>(I1926*J1926*F1926+K1926*M1926)*E1926*1.67*1.25</f>
        <v>0</v>
      </c>
      <c r="O1926" s="288"/>
      <c r="P1926" s="297"/>
      <c r="Q1926" s="297"/>
    </row>
    <row r="1927" spans="1:20" s="102" customFormat="1" ht="13.5" thickBot="1">
      <c r="A1927" s="323"/>
      <c r="B1927" s="309"/>
      <c r="C1927" s="309"/>
      <c r="D1927" s="382"/>
      <c r="E1927" s="323"/>
      <c r="F1927" s="309"/>
      <c r="G1927" s="309"/>
      <c r="H1927" s="323"/>
      <c r="I1927" s="325"/>
      <c r="J1927" s="325"/>
      <c r="K1927" s="323"/>
      <c r="L1927" s="323"/>
      <c r="M1927" s="325"/>
      <c r="N1927" s="741">
        <f>SUM(N1925:N1926)</f>
        <v>0</v>
      </c>
      <c r="O1927" s="288"/>
      <c r="P1927" s="297"/>
      <c r="Q1927" s="297"/>
    </row>
    <row r="1928" spans="1:20" s="742" customFormat="1">
      <c r="A1928" s="323"/>
      <c r="B1928" s="309"/>
      <c r="C1928" s="309"/>
      <c r="D1928" s="382"/>
      <c r="E1928" s="323"/>
      <c r="F1928" s="309"/>
      <c r="G1928" s="309"/>
      <c r="H1928" s="323"/>
      <c r="I1928" s="325"/>
      <c r="J1928" s="325"/>
      <c r="K1928" s="323"/>
      <c r="L1928" s="323"/>
      <c r="M1928" s="325"/>
      <c r="N1928" s="722"/>
      <c r="O1928" s="379"/>
      <c r="P1928" s="381"/>
      <c r="Q1928" s="381"/>
    </row>
    <row r="1929" spans="1:20" s="742" customFormat="1">
      <c r="A1929" s="323"/>
      <c r="B1929" s="309"/>
      <c r="C1929" s="309"/>
      <c r="D1929" s="382"/>
      <c r="E1929" s="323"/>
      <c r="F1929" s="309"/>
      <c r="G1929" s="309"/>
      <c r="H1929" s="323"/>
      <c r="I1929" s="325"/>
      <c r="J1929" s="325"/>
      <c r="K1929" s="323"/>
      <c r="L1929" s="323"/>
      <c r="M1929" s="325"/>
      <c r="N1929" s="722"/>
      <c r="O1929" s="379"/>
      <c r="P1929" s="381"/>
      <c r="Q1929" s="381"/>
    </row>
    <row r="1930" spans="1:20" s="106" customFormat="1" ht="13.5" thickBot="1"/>
    <row r="1931" spans="1:20" s="199" customFormat="1" ht="15.75" customHeight="1">
      <c r="A1931" s="2636" t="s">
        <v>2583</v>
      </c>
      <c r="B1931" s="326" t="s">
        <v>1033</v>
      </c>
      <c r="C1931" s="327"/>
      <c r="D1931" s="328">
        <f>IF(H1931&lt;&gt;"",VLOOKUP(G1931,base_barras,IF(H1931="Desnuda",2,5)+F1931-1,FALSE),"-")</f>
        <v>1180</v>
      </c>
      <c r="E1931" s="329">
        <v>3</v>
      </c>
      <c r="F1931" s="330">
        <v>1</v>
      </c>
      <c r="G1931" s="331" t="s">
        <v>581</v>
      </c>
      <c r="H1931" s="330" t="s">
        <v>1043</v>
      </c>
      <c r="I1931" s="332">
        <v>0</v>
      </c>
      <c r="J1931" s="333">
        <f>IF(G1931&lt;&gt;"",VLOOKUP(G1931,precio_barras,9,FALSE),0)</f>
        <v>53.3</v>
      </c>
      <c r="K1931" s="481">
        <v>0</v>
      </c>
      <c r="L1931" s="343" t="str">
        <f>IF(G1931&lt;&gt;"",IF(VLOOKUP(G1931,base_barras,10,FALSE)&lt;&gt;"",VLOOKUP(G1931,base_barras,10,FALSE),"-"),"-")</f>
        <v>1/750</v>
      </c>
      <c r="M1931" s="333">
        <f>IF(L1931&lt;&gt;"-",VLOOKUP(L1931,precio_aislador,2,FALSE),0)</f>
        <v>1.9</v>
      </c>
      <c r="N1931" s="360">
        <f>(I1931*J1931*F1931+K1931*M1931)*E1931*1.67*1.25</f>
        <v>0</v>
      </c>
      <c r="O1931" s="288"/>
      <c r="P1931" s="297"/>
      <c r="Q1931" s="288"/>
      <c r="R1931" s="102"/>
      <c r="S1931" s="102"/>
      <c r="T1931" s="102"/>
    </row>
    <row r="1932" spans="1:20" s="199" customFormat="1" ht="14.25">
      <c r="A1932" s="2627"/>
      <c r="B1932" s="310" t="s">
        <v>801</v>
      </c>
      <c r="C1932" s="319"/>
      <c r="D1932" s="312">
        <f>IF(H1932&lt;&gt;"",VLOOKUP(G1932,base_barras,IF(H1932="Desnuda",2,5)+F1932-1,FALSE),"-")</f>
        <v>1500</v>
      </c>
      <c r="E1932" s="313">
        <v>1</v>
      </c>
      <c r="F1932" s="314">
        <v>1</v>
      </c>
      <c r="G1932" s="315" t="s">
        <v>582</v>
      </c>
      <c r="H1932" s="314" t="s">
        <v>1043</v>
      </c>
      <c r="I1932" s="740">
        <v>0</v>
      </c>
      <c r="J1932" s="317">
        <f>IF(G1932&lt;&gt;"",VLOOKUP(G1932,precio_barras,9,FALSE),0)</f>
        <v>71.100000000000009</v>
      </c>
      <c r="K1932" s="320">
        <v>0</v>
      </c>
      <c r="L1932" s="318" t="str">
        <f>IF(G1932&lt;&gt;"",IF(VLOOKUP(G1932,base_barras,10,FALSE)&lt;&gt;"",VLOOKUP(G1932,base_barras,10,FALSE),"-"),"-")</f>
        <v>1/1000</v>
      </c>
      <c r="M1932" s="317">
        <f>IF(L1932&lt;&gt;"-",VLOOKUP(L1932,precio_aislador,2,FALSE),0)</f>
        <v>2.7</v>
      </c>
      <c r="N1932" s="308">
        <f>(I1932*J1932*F1932+K1932*M1932)*E1932*1.67*1.25</f>
        <v>0</v>
      </c>
      <c r="O1932" s="288"/>
      <c r="P1932" s="297"/>
      <c r="Q1932" s="288"/>
      <c r="R1932" s="102"/>
      <c r="S1932" s="102"/>
      <c r="T1932" s="102"/>
    </row>
    <row r="1933" spans="1:20" s="199" customFormat="1" ht="15" thickBot="1">
      <c r="A1933" s="2628"/>
      <c r="B1933" s="321" t="s">
        <v>802</v>
      </c>
      <c r="C1933" s="363"/>
      <c r="D1933" s="364">
        <f>IF(H1933&lt;&gt;"",VLOOKUP(G1933,base_barras,IF(H1933="Desnuda",2,5)+F1933-1,FALSE),"-")</f>
        <v>676</v>
      </c>
      <c r="E1933" s="365">
        <v>1</v>
      </c>
      <c r="F1933" s="366">
        <v>1</v>
      </c>
      <c r="G1933" s="322" t="s">
        <v>314</v>
      </c>
      <c r="H1933" s="366" t="s">
        <v>1043</v>
      </c>
      <c r="I1933" s="367">
        <v>0.8</v>
      </c>
      <c r="J1933" s="368">
        <f>IF(G1933&lt;&gt;"",VLOOKUP(G1933,precio_barras,9,FALSE),0)</f>
        <v>26.6</v>
      </c>
      <c r="K1933" s="395">
        <v>0</v>
      </c>
      <c r="L1933" s="369" t="str">
        <f>IF(G1933&lt;&gt;"",IF(VLOOKUP(G1933,base_barras,10,FALSE)&lt;&gt;"",VLOOKUP(G1933,base_barras,10,FALSE),"-"),"-")</f>
        <v>1/750</v>
      </c>
      <c r="M1933" s="368">
        <f>IF(L1933&lt;&gt;"-",VLOOKUP(L1933,precio_aislador,2,FALSE),0)</f>
        <v>1.9</v>
      </c>
      <c r="N1933" s="370">
        <f>(I1933*J1933*F1933+K1933*M1933)*E1933*1.67*1.25</f>
        <v>44.421999999999997</v>
      </c>
      <c r="O1933" s="288"/>
      <c r="P1933" s="297"/>
      <c r="Q1933" s="288"/>
      <c r="R1933" s="102"/>
      <c r="S1933" s="102"/>
      <c r="T1933" s="102"/>
    </row>
    <row r="1934" spans="1:20" s="129" customFormat="1" ht="22.5" customHeight="1" thickBot="1">
      <c r="A1934" s="371"/>
      <c r="B1934" s="375"/>
      <c r="C1934" s="375"/>
      <c r="D1934" s="383"/>
      <c r="E1934" s="373"/>
      <c r="F1934" s="373"/>
      <c r="G1934" s="373"/>
      <c r="H1934" s="373"/>
      <c r="I1934" s="374"/>
      <c r="J1934" s="374"/>
      <c r="K1934" s="373"/>
      <c r="L1934" s="373"/>
      <c r="M1934" s="372"/>
      <c r="N1934" s="699">
        <f>SUM(N1931:N1933)</f>
        <v>44.421999999999997</v>
      </c>
      <c r="O1934" s="288"/>
      <c r="P1934" s="297"/>
      <c r="Q1934" s="288"/>
      <c r="R1934" s="102"/>
      <c r="S1934" s="102"/>
      <c r="T1934" s="102"/>
    </row>
    <row r="1935" spans="1:20" s="102" customFormat="1" ht="8.25" customHeight="1" thickBot="1">
      <c r="A1935" s="323"/>
      <c r="B1935" s="309"/>
      <c r="C1935" s="323"/>
      <c r="D1935" s="382"/>
      <c r="E1935" s="323"/>
      <c r="F1935" s="325"/>
      <c r="G1935" s="325"/>
      <c r="H1935" s="325"/>
      <c r="I1935" s="323"/>
      <c r="J1935" s="323"/>
      <c r="K1935" s="323"/>
      <c r="L1935" s="325"/>
      <c r="M1935" s="323"/>
      <c r="N1935" s="309"/>
      <c r="O1935" s="288"/>
      <c r="P1935" s="297"/>
      <c r="Q1935" s="288"/>
    </row>
    <row r="1936" spans="1:20" s="102" customFormat="1">
      <c r="A1936" s="2629" t="s">
        <v>1228</v>
      </c>
      <c r="B1936" s="326" t="s">
        <v>1033</v>
      </c>
      <c r="C1936" s="327"/>
      <c r="D1936" s="328">
        <f>IF(H1936&lt;&gt;"",VLOOKUP(G1936,base_barras,IF(H1936="Desnuda",2,5)+F1936-1,FALSE),"-")</f>
        <v>1180</v>
      </c>
      <c r="E1936" s="481">
        <f>3+0</f>
        <v>3</v>
      </c>
      <c r="F1936" s="330">
        <v>1</v>
      </c>
      <c r="G1936" s="331" t="s">
        <v>581</v>
      </c>
      <c r="H1936" s="330" t="s">
        <v>1043</v>
      </c>
      <c r="I1936" s="332">
        <v>0</v>
      </c>
      <c r="J1936" s="333">
        <f>IF(G1936&lt;&gt;"",VLOOKUP(G1936,precio_barras,9,FALSE),0)</f>
        <v>53.3</v>
      </c>
      <c r="K1936" s="329">
        <v>0</v>
      </c>
      <c r="L1936" s="343" t="str">
        <f>IF(G1936&lt;&gt;"",IF(VLOOKUP(G1936,base_barras,10,FALSE)&lt;&gt;"",VLOOKUP(G1936,base_barras,10,FALSE),"-"),"-")</f>
        <v>1/750</v>
      </c>
      <c r="M1936" s="333">
        <f>IF(L1936&lt;&gt;"-",VLOOKUP(L1936,precio_aislador,2,FALSE),0)</f>
        <v>1.9</v>
      </c>
      <c r="N1936" s="360">
        <f>(I1936*J1936*F1936+K1936*M1936)*E1936*1.67*1.25</f>
        <v>0</v>
      </c>
      <c r="O1936" s="288"/>
      <c r="P1936" s="297"/>
      <c r="Q1936" s="297"/>
    </row>
    <row r="1937" spans="1:20" s="102" customFormat="1" ht="13.5" thickBot="1">
      <c r="A1937" s="2635"/>
      <c r="B1937" s="321"/>
      <c r="C1937" s="479"/>
      <c r="D1937" s="364" t="str">
        <f>IF(H1937&lt;&gt;"",VLOOKUP(G1937,base_barras,IF(H1937="Desnuda",2,5)+F1937-1,FALSE),"-")</f>
        <v>-</v>
      </c>
      <c r="E1937" s="365"/>
      <c r="F1937" s="366"/>
      <c r="G1937" s="322"/>
      <c r="H1937" s="366"/>
      <c r="I1937" s="367"/>
      <c r="J1937" s="480">
        <f>IF(G1937&lt;&gt;"",VLOOKUP(G1937,precio_barras,9,FALSE),0)</f>
        <v>0</v>
      </c>
      <c r="K1937" s="365"/>
      <c r="L1937" s="369" t="str">
        <f>IF(G1937&lt;&gt;"",IF(VLOOKUP(G1937,base_barras,10,FALSE)&lt;&gt;"",VLOOKUP(G1937,base_barras,10,FALSE),"-"),"-")</f>
        <v>-</v>
      </c>
      <c r="M1937" s="368">
        <f>IF(L1937&lt;&gt;"-",VLOOKUP(L1937,precio_aislador,2,FALSE),0)</f>
        <v>0</v>
      </c>
      <c r="N1937" s="370">
        <f>(I1937*J1937*F1937+K1937*M1937)*E1937*1.67*1.25</f>
        <v>0</v>
      </c>
      <c r="O1937" s="288"/>
      <c r="P1937" s="297"/>
      <c r="Q1937" s="297"/>
    </row>
    <row r="1938" spans="1:20" s="102" customFormat="1" ht="13.5" thickBot="1">
      <c r="A1938" s="323"/>
      <c r="B1938" s="309"/>
      <c r="C1938" s="309"/>
      <c r="D1938" s="382"/>
      <c r="E1938" s="323"/>
      <c r="F1938" s="309"/>
      <c r="G1938" s="309"/>
      <c r="H1938" s="323"/>
      <c r="I1938" s="325"/>
      <c r="J1938" s="325"/>
      <c r="K1938" s="323"/>
      <c r="L1938" s="323"/>
      <c r="M1938" s="325"/>
      <c r="N1938" s="706">
        <f>SUM(N1936:N1937)</f>
        <v>0</v>
      </c>
      <c r="O1938" s="288"/>
      <c r="P1938" s="297"/>
      <c r="Q1938" s="297"/>
    </row>
    <row r="1939" spans="1:20" s="102" customFormat="1" ht="8.25" customHeight="1">
      <c r="A1939" s="323"/>
      <c r="B1939" s="309"/>
      <c r="C1939" s="323"/>
      <c r="D1939" s="382"/>
      <c r="E1939" s="323"/>
      <c r="F1939" s="325"/>
      <c r="G1939" s="325"/>
      <c r="H1939" s="325"/>
      <c r="I1939" s="323"/>
      <c r="J1939" s="323"/>
      <c r="K1939" s="323"/>
      <c r="L1939" s="325"/>
      <c r="M1939" s="323"/>
      <c r="N1939" s="309"/>
      <c r="O1939" s="288"/>
      <c r="P1939" s="297"/>
      <c r="Q1939" s="288"/>
    </row>
    <row r="1940" spans="1:20" s="102" customFormat="1" ht="8.25" customHeight="1">
      <c r="A1940" s="323"/>
      <c r="B1940" s="309"/>
      <c r="C1940" s="323"/>
      <c r="D1940" s="382"/>
      <c r="E1940" s="323"/>
      <c r="F1940" s="325"/>
      <c r="G1940" s="325"/>
      <c r="H1940" s="325"/>
      <c r="I1940" s="323"/>
      <c r="J1940" s="323"/>
      <c r="K1940" s="323"/>
      <c r="L1940" s="325"/>
      <c r="M1940" s="323"/>
      <c r="N1940" s="309"/>
      <c r="O1940" s="288"/>
      <c r="P1940" s="297"/>
      <c r="Q1940" s="288"/>
    </row>
    <row r="1941" spans="1:20" s="102" customFormat="1" ht="8.25" customHeight="1">
      <c r="A1941" s="323"/>
      <c r="B1941" s="309"/>
      <c r="C1941" s="323"/>
      <c r="D1941" s="382"/>
      <c r="E1941" s="323"/>
      <c r="F1941" s="325"/>
      <c r="G1941" s="325"/>
      <c r="H1941" s="325"/>
      <c r="I1941" s="323"/>
      <c r="J1941" s="323"/>
      <c r="K1941" s="323"/>
      <c r="L1941" s="325"/>
      <c r="M1941" s="323"/>
      <c r="N1941" s="309"/>
      <c r="O1941" s="288"/>
      <c r="P1941" s="297"/>
      <c r="Q1941" s="288"/>
    </row>
    <row r="1942" spans="1:20" s="102" customFormat="1" ht="8.25" customHeight="1">
      <c r="A1942" s="323"/>
      <c r="B1942" s="309"/>
      <c r="C1942" s="323"/>
      <c r="D1942" s="382"/>
      <c r="E1942" s="323"/>
      <c r="F1942" s="325"/>
      <c r="G1942" s="325"/>
      <c r="H1942" s="325"/>
      <c r="I1942" s="323"/>
      <c r="J1942" s="323"/>
      <c r="K1942" s="323"/>
      <c r="L1942" s="325"/>
      <c r="M1942" s="323"/>
      <c r="N1942" s="309"/>
      <c r="O1942" s="288"/>
      <c r="P1942" s="297"/>
      <c r="Q1942" s="288"/>
    </row>
    <row r="1943" spans="1:20" s="742" customFormat="1">
      <c r="A1943" s="323"/>
      <c r="B1943" s="309"/>
      <c r="C1943" s="309"/>
      <c r="D1943" s="382"/>
      <c r="E1943" s="323"/>
      <c r="F1943" s="309"/>
      <c r="G1943" s="309"/>
      <c r="H1943" s="323"/>
      <c r="I1943" s="325"/>
      <c r="J1943" s="325"/>
      <c r="K1943" s="323"/>
      <c r="L1943" s="323"/>
      <c r="M1943" s="325"/>
      <c r="N1943" s="722"/>
      <c r="O1943" s="379"/>
      <c r="P1943" s="381"/>
      <c r="Q1943" s="381"/>
    </row>
    <row r="1944" spans="1:20" s="742" customFormat="1">
      <c r="A1944" s="323"/>
      <c r="B1944" s="309"/>
      <c r="C1944" s="309"/>
      <c r="D1944" s="382"/>
      <c r="E1944" s="323"/>
      <c r="F1944" s="309"/>
      <c r="G1944" s="309"/>
      <c r="H1944" s="323"/>
      <c r="I1944" s="325"/>
      <c r="J1944" s="325"/>
      <c r="K1944" s="323"/>
      <c r="L1944" s="323"/>
      <c r="M1944" s="325"/>
      <c r="N1944" s="722"/>
      <c r="O1944" s="379"/>
      <c r="P1944" s="381"/>
      <c r="Q1944" s="381"/>
    </row>
    <row r="1945" spans="1:20" s="106" customFormat="1" ht="29.25" customHeight="1" thickBot="1"/>
    <row r="1946" spans="1:20" s="199" customFormat="1" ht="15.75" customHeight="1">
      <c r="A1946" s="2636" t="s">
        <v>1710</v>
      </c>
      <c r="B1946" s="326" t="s">
        <v>1033</v>
      </c>
      <c r="C1946" s="327"/>
      <c r="D1946" s="328">
        <f t="shared" ref="D1946:D1952" si="713">IF(H1946&lt;&gt;"",VLOOKUP(G1946,base_barras,IF(H1946="Desnuda",2,5)+F1946-1,FALSE),"-")</f>
        <v>1180</v>
      </c>
      <c r="E1946" s="329">
        <v>3</v>
      </c>
      <c r="F1946" s="330">
        <v>1</v>
      </c>
      <c r="G1946" s="331" t="s">
        <v>581</v>
      </c>
      <c r="H1946" s="330" t="s">
        <v>1043</v>
      </c>
      <c r="I1946" s="332">
        <f>0.8+0.8</f>
        <v>1.6</v>
      </c>
      <c r="J1946" s="333">
        <f t="shared" ref="J1946:J1952" si="714">IF(G1946&lt;&gt;"",VLOOKUP(G1946,precio_barras,9,FALSE),0)</f>
        <v>53.3</v>
      </c>
      <c r="K1946" s="329">
        <v>4</v>
      </c>
      <c r="L1946" s="343" t="str">
        <f t="shared" ref="L1946:L1952" si="715">IF(G1946&lt;&gt;"",IF(VLOOKUP(G1946,base_barras,10,FALSE)&lt;&gt;"",VLOOKUP(G1946,base_barras,10,FALSE),"-"),"-")</f>
        <v>1/750</v>
      </c>
      <c r="M1946" s="333">
        <f t="shared" ref="M1946:M1952" si="716">IF(L1946&lt;&gt;"-",VLOOKUP(L1946,precio_aislador,2,FALSE),0)</f>
        <v>1.9</v>
      </c>
      <c r="N1946" s="360">
        <f t="shared" ref="N1946:N1952" si="717">(I1946*J1946*F1946+K1946*M1946)*E1946*1.67*1.25</f>
        <v>581.66099999999994</v>
      </c>
      <c r="O1946" s="288"/>
      <c r="P1946" s="297"/>
      <c r="Q1946" s="288"/>
      <c r="R1946" s="102"/>
      <c r="S1946" s="102"/>
      <c r="T1946" s="102"/>
    </row>
    <row r="1947" spans="1:20" s="199" customFormat="1" ht="15.75" customHeight="1">
      <c r="A1947" s="2627"/>
      <c r="B1947" s="310" t="s">
        <v>1711</v>
      </c>
      <c r="C1947" s="311"/>
      <c r="D1947" s="312">
        <f t="shared" si="713"/>
        <v>1180</v>
      </c>
      <c r="E1947" s="313">
        <v>3</v>
      </c>
      <c r="F1947" s="314">
        <v>1</v>
      </c>
      <c r="G1947" s="315" t="s">
        <v>581</v>
      </c>
      <c r="H1947" s="314" t="s">
        <v>1043</v>
      </c>
      <c r="I1947" s="316">
        <v>0.61</v>
      </c>
      <c r="J1947" s="478">
        <f t="shared" si="714"/>
        <v>53.3</v>
      </c>
      <c r="K1947" s="313">
        <v>0</v>
      </c>
      <c r="L1947" s="318" t="str">
        <f t="shared" si="715"/>
        <v>1/750</v>
      </c>
      <c r="M1947" s="317">
        <f t="shared" si="716"/>
        <v>1.9</v>
      </c>
      <c r="N1947" s="308">
        <f t="shared" si="717"/>
        <v>203.61266249999997</v>
      </c>
      <c r="O1947" s="288"/>
      <c r="P1947" s="297"/>
      <c r="Q1947" s="288"/>
      <c r="R1947" s="102"/>
      <c r="S1947" s="102"/>
      <c r="T1947" s="102"/>
    </row>
    <row r="1948" spans="1:20" s="199" customFormat="1" ht="15.75" customHeight="1">
      <c r="A1948" s="2627"/>
      <c r="B1948" s="310" t="s">
        <v>1712</v>
      </c>
      <c r="C1948" s="311"/>
      <c r="D1948" s="312">
        <f>IF(H1948&lt;&gt;"",VLOOKUP(G1948,base_barras,IF(H1948="Desnuda",2,5)+F1948-1,FALSE),"-")</f>
        <v>447</v>
      </c>
      <c r="E1948" s="313">
        <v>3</v>
      </c>
      <c r="F1948" s="314">
        <v>1</v>
      </c>
      <c r="G1948" s="315" t="s">
        <v>579</v>
      </c>
      <c r="H1948" s="314" t="s">
        <v>1043</v>
      </c>
      <c r="I1948" s="316">
        <v>0.61</v>
      </c>
      <c r="J1948" s="317">
        <f t="shared" si="714"/>
        <v>13.3</v>
      </c>
      <c r="K1948" s="313">
        <v>0</v>
      </c>
      <c r="L1948" s="318" t="str">
        <f>IF(G1948&lt;&gt;"",IF(VLOOKUP(G1948,base_barras,10,FALSE)&lt;&gt;"",VLOOKUP(G1948,base_barras,10,FALSE),"-"),"-")</f>
        <v>0.5/400</v>
      </c>
      <c r="M1948" s="317">
        <f>IF(L1948&lt;&gt;"-",VLOOKUP(L1948,precio_aislador,2,FALSE),0)</f>
        <v>1.2</v>
      </c>
      <c r="N1948" s="308">
        <f t="shared" si="717"/>
        <v>50.807662499999999</v>
      </c>
      <c r="O1948" s="288"/>
      <c r="P1948" s="297"/>
      <c r="Q1948" s="288"/>
      <c r="R1948" s="102"/>
      <c r="S1948" s="102"/>
      <c r="T1948" s="102"/>
    </row>
    <row r="1949" spans="1:20" s="199" customFormat="1" ht="15.75" customHeight="1">
      <c r="A1949" s="2627"/>
      <c r="B1949" s="310" t="s">
        <v>1713</v>
      </c>
      <c r="C1949" s="311"/>
      <c r="D1949" s="312">
        <f>IF(H1949&lt;&gt;"",VLOOKUP(G1949,base_barras,IF(H1949="Desnuda",2,5)+F1949-1,FALSE),"-")</f>
        <v>447</v>
      </c>
      <c r="E1949" s="313">
        <v>3</v>
      </c>
      <c r="F1949" s="314">
        <v>1</v>
      </c>
      <c r="G1949" s="315" t="s">
        <v>579</v>
      </c>
      <c r="H1949" s="314" t="s">
        <v>1043</v>
      </c>
      <c r="I1949" s="316">
        <v>0.61</v>
      </c>
      <c r="J1949" s="317">
        <f t="shared" si="714"/>
        <v>13.3</v>
      </c>
      <c r="K1949" s="313">
        <v>0</v>
      </c>
      <c r="L1949" s="318" t="str">
        <f>IF(G1949&lt;&gt;"",IF(VLOOKUP(G1949,base_barras,10,FALSE)&lt;&gt;"",VLOOKUP(G1949,base_barras,10,FALSE),"-"),"-")</f>
        <v>0.5/400</v>
      </c>
      <c r="M1949" s="317">
        <f>IF(L1949&lt;&gt;"-",VLOOKUP(L1949,precio_aislador,2,FALSE),0)</f>
        <v>1.2</v>
      </c>
      <c r="N1949" s="308">
        <f t="shared" si="717"/>
        <v>50.807662499999999</v>
      </c>
      <c r="O1949" s="288"/>
      <c r="P1949" s="297"/>
      <c r="Q1949" s="288"/>
      <c r="R1949" s="102"/>
      <c r="S1949" s="102"/>
      <c r="T1949" s="102"/>
    </row>
    <row r="1950" spans="1:20" s="199" customFormat="1" ht="15.75" customHeight="1">
      <c r="A1950" s="2627"/>
      <c r="B1950" s="310" t="s">
        <v>1707</v>
      </c>
      <c r="C1950" s="311"/>
      <c r="D1950" s="312">
        <f t="shared" si="713"/>
        <v>573</v>
      </c>
      <c r="E1950" s="313">
        <v>3</v>
      </c>
      <c r="F1950" s="314">
        <v>1</v>
      </c>
      <c r="G1950" s="315" t="s">
        <v>314</v>
      </c>
      <c r="H1950" s="314" t="s">
        <v>1044</v>
      </c>
      <c r="I1950" s="316">
        <v>0.3</v>
      </c>
      <c r="J1950" s="317">
        <f t="shared" si="714"/>
        <v>26.6</v>
      </c>
      <c r="K1950" s="313">
        <v>0</v>
      </c>
      <c r="L1950" s="318" t="str">
        <f t="shared" si="715"/>
        <v>1/750</v>
      </c>
      <c r="M1950" s="317">
        <f t="shared" si="716"/>
        <v>1.9</v>
      </c>
      <c r="N1950" s="308">
        <f t="shared" si="717"/>
        <v>49.97475</v>
      </c>
      <c r="O1950" s="288"/>
      <c r="P1950" s="297"/>
      <c r="Q1950" s="288"/>
      <c r="R1950" s="102"/>
      <c r="S1950" s="102"/>
      <c r="T1950" s="102"/>
    </row>
    <row r="1951" spans="1:20" s="199" customFormat="1" ht="14.25">
      <c r="A1951" s="2627"/>
      <c r="B1951" s="310" t="s">
        <v>801</v>
      </c>
      <c r="C1951" s="319"/>
      <c r="D1951" s="312">
        <f t="shared" si="713"/>
        <v>1180</v>
      </c>
      <c r="E1951" s="313">
        <v>1</v>
      </c>
      <c r="F1951" s="314">
        <v>1</v>
      </c>
      <c r="G1951" s="315" t="s">
        <v>581</v>
      </c>
      <c r="H1951" s="314" t="s">
        <v>1043</v>
      </c>
      <c r="I1951" s="316">
        <f>I1946</f>
        <v>1.6</v>
      </c>
      <c r="J1951" s="317">
        <f t="shared" si="714"/>
        <v>53.3</v>
      </c>
      <c r="K1951" s="320">
        <v>4</v>
      </c>
      <c r="L1951" s="318" t="str">
        <f t="shared" si="715"/>
        <v>1/750</v>
      </c>
      <c r="M1951" s="317">
        <f t="shared" si="716"/>
        <v>1.9</v>
      </c>
      <c r="N1951" s="308">
        <f t="shared" si="717"/>
        <v>193.88699999999997</v>
      </c>
      <c r="O1951" s="288"/>
      <c r="P1951" s="297"/>
      <c r="Q1951" s="288"/>
      <c r="R1951" s="102"/>
      <c r="S1951" s="102"/>
      <c r="T1951" s="102"/>
    </row>
    <row r="1952" spans="1:20" s="199" customFormat="1" ht="15" thickBot="1">
      <c r="A1952" s="2628"/>
      <c r="B1952" s="321" t="s">
        <v>802</v>
      </c>
      <c r="C1952" s="363"/>
      <c r="D1952" s="364">
        <f t="shared" si="713"/>
        <v>573</v>
      </c>
      <c r="E1952" s="365">
        <v>1</v>
      </c>
      <c r="F1952" s="366">
        <v>1</v>
      </c>
      <c r="G1952" s="322" t="s">
        <v>580</v>
      </c>
      <c r="H1952" s="366" t="s">
        <v>1043</v>
      </c>
      <c r="I1952" s="367">
        <f>I1946</f>
        <v>1.6</v>
      </c>
      <c r="J1952" s="368">
        <f t="shared" si="714"/>
        <v>17.7</v>
      </c>
      <c r="K1952" s="395">
        <v>0</v>
      </c>
      <c r="L1952" s="369" t="str">
        <f t="shared" si="715"/>
        <v>1/750</v>
      </c>
      <c r="M1952" s="368">
        <f t="shared" si="716"/>
        <v>1.9</v>
      </c>
      <c r="N1952" s="370">
        <f t="shared" si="717"/>
        <v>59.117999999999995</v>
      </c>
      <c r="O1952" s="288"/>
      <c r="P1952" s="297"/>
      <c r="Q1952" s="288"/>
      <c r="R1952" s="102"/>
      <c r="S1952" s="102"/>
      <c r="T1952" s="102"/>
    </row>
    <row r="1953" spans="1:20" s="129" customFormat="1" ht="22.5" customHeight="1" thickBot="1">
      <c r="A1953" s="371"/>
      <c r="B1953" s="375"/>
      <c r="C1953" s="375"/>
      <c r="D1953" s="383"/>
      <c r="E1953" s="373"/>
      <c r="F1953" s="373"/>
      <c r="G1953" s="373"/>
      <c r="H1953" s="373"/>
      <c r="I1953" s="374"/>
      <c r="J1953" s="374"/>
      <c r="K1953" s="373"/>
      <c r="L1953" s="373"/>
      <c r="M1953" s="372"/>
      <c r="N1953" s="699">
        <f>SUM(N1946:N1952)</f>
        <v>1189.8687374999997</v>
      </c>
      <c r="O1953" s="288"/>
      <c r="P1953" s="297"/>
      <c r="Q1953" s="288"/>
      <c r="R1953" s="102"/>
      <c r="S1953" s="102"/>
      <c r="T1953" s="102"/>
    </row>
    <row r="1954" spans="1:20" s="102" customFormat="1" ht="8.25" customHeight="1" thickBot="1">
      <c r="A1954" s="323"/>
      <c r="B1954" s="309"/>
      <c r="C1954" s="323"/>
      <c r="D1954" s="382"/>
      <c r="E1954" s="323"/>
      <c r="F1954" s="325"/>
      <c r="G1954" s="325"/>
      <c r="H1954" s="325"/>
      <c r="I1954" s="323"/>
      <c r="J1954" s="323"/>
      <c r="K1954" s="323"/>
      <c r="L1954" s="325"/>
      <c r="M1954" s="323"/>
      <c r="N1954" s="309"/>
      <c r="O1954" s="288"/>
      <c r="P1954" s="297"/>
      <c r="Q1954" s="288"/>
    </row>
    <row r="1955" spans="1:20" s="102" customFormat="1">
      <c r="A1955" s="2629" t="s">
        <v>1228</v>
      </c>
      <c r="B1955" s="326" t="s">
        <v>1033</v>
      </c>
      <c r="C1955" s="327"/>
      <c r="D1955" s="328">
        <f>IF(H1955&lt;&gt;"",VLOOKUP(G1955,base_barras,IF(H1955="Desnuda",2,5)+F1955-1,FALSE),"-")</f>
        <v>1180</v>
      </c>
      <c r="E1955" s="481">
        <f>3+1</f>
        <v>4</v>
      </c>
      <c r="F1955" s="330">
        <v>1</v>
      </c>
      <c r="G1955" s="331" t="s">
        <v>581</v>
      </c>
      <c r="H1955" s="330" t="s">
        <v>1043</v>
      </c>
      <c r="I1955" s="332">
        <v>0.2</v>
      </c>
      <c r="J1955" s="333">
        <f>IF(G1955&lt;&gt;"",VLOOKUP(G1955,precio_barras,9,FALSE),0)</f>
        <v>53.3</v>
      </c>
      <c r="K1955" s="329">
        <v>0</v>
      </c>
      <c r="L1955" s="343" t="str">
        <f>IF(G1955&lt;&gt;"",IF(VLOOKUP(G1955,base_barras,10,FALSE)&lt;&gt;"",VLOOKUP(G1955,base_barras,10,FALSE),"-"),"-")</f>
        <v>1/750</v>
      </c>
      <c r="M1955" s="333">
        <f>IF(L1955&lt;&gt;"-",VLOOKUP(L1955,precio_aislador,2,FALSE),0)</f>
        <v>1.9</v>
      </c>
      <c r="N1955" s="360">
        <f>(I1955*J1955*F1955+K1955*M1955)*E1955*1.67*1.25</f>
        <v>89.010999999999996</v>
      </c>
      <c r="O1955" s="288"/>
      <c r="P1955" s="297"/>
      <c r="Q1955" s="297"/>
    </row>
    <row r="1956" spans="1:20" s="102" customFormat="1" ht="13.5" thickBot="1">
      <c r="A1956" s="2635"/>
      <c r="B1956" s="321"/>
      <c r="C1956" s="479"/>
      <c r="D1956" s="364" t="str">
        <f>IF(H1956&lt;&gt;"",VLOOKUP(G1956,base_barras,IF(H1956="Desnuda",2,5)+F1956-1,FALSE),"-")</f>
        <v>-</v>
      </c>
      <c r="E1956" s="365"/>
      <c r="F1956" s="366"/>
      <c r="G1956" s="322"/>
      <c r="H1956" s="366"/>
      <c r="I1956" s="367"/>
      <c r="J1956" s="480">
        <f>IF(G1956&lt;&gt;"",VLOOKUP(G1956,precio_barras,9,FALSE),0)</f>
        <v>0</v>
      </c>
      <c r="K1956" s="365"/>
      <c r="L1956" s="369" t="str">
        <f>IF(G1956&lt;&gt;"",IF(VLOOKUP(G1956,base_barras,10,FALSE)&lt;&gt;"",VLOOKUP(G1956,base_barras,10,FALSE),"-"),"-")</f>
        <v>-</v>
      </c>
      <c r="M1956" s="368">
        <f>IF(L1956&lt;&gt;"-",VLOOKUP(L1956,precio_aislador,2,FALSE),0)</f>
        <v>0</v>
      </c>
      <c r="N1956" s="370">
        <f>(I1956*J1956*F1956+K1956*M1956)*E1956*1.67*1.25</f>
        <v>0</v>
      </c>
      <c r="O1956" s="288"/>
      <c r="P1956" s="297"/>
      <c r="Q1956" s="297"/>
    </row>
    <row r="1957" spans="1:20" s="102" customFormat="1" ht="13.5" thickBot="1">
      <c r="A1957" s="323"/>
      <c r="B1957" s="309"/>
      <c r="C1957" s="309"/>
      <c r="D1957" s="382"/>
      <c r="E1957" s="323"/>
      <c r="F1957" s="309"/>
      <c r="G1957" s="309"/>
      <c r="H1957" s="323"/>
      <c r="I1957" s="325"/>
      <c r="J1957" s="325"/>
      <c r="K1957" s="323"/>
      <c r="L1957" s="323"/>
      <c r="M1957" s="325"/>
      <c r="N1957" s="706">
        <f>SUM(N1955:N1956)</f>
        <v>89.010999999999996</v>
      </c>
      <c r="O1957" s="288"/>
      <c r="P1957" s="297"/>
      <c r="Q1957" s="297"/>
    </row>
    <row r="1958" spans="1:20" s="106" customFormat="1" ht="30.75" customHeight="1" thickBot="1"/>
    <row r="1959" spans="1:20" s="199" customFormat="1" ht="15.75" customHeight="1">
      <c r="A1959" s="2636" t="s">
        <v>1820</v>
      </c>
      <c r="B1959" s="326" t="s">
        <v>1033</v>
      </c>
      <c r="C1959" s="327"/>
      <c r="D1959" s="328">
        <f t="shared" ref="D1959:D1965" si="718">IF(H1959&lt;&gt;"",VLOOKUP(G1959,base_barras,IF(H1959="Desnuda",2,5)+F1959-1,FALSE),"-")</f>
        <v>1180</v>
      </c>
      <c r="E1959" s="329">
        <v>3</v>
      </c>
      <c r="F1959" s="330">
        <v>1</v>
      </c>
      <c r="G1959" s="331" t="s">
        <v>581</v>
      </c>
      <c r="H1959" s="330" t="s">
        <v>1043</v>
      </c>
      <c r="I1959" s="332">
        <f>0.8+0.8</f>
        <v>1.6</v>
      </c>
      <c r="J1959" s="333">
        <f t="shared" ref="J1959:J1965" si="719">IF(G1959&lt;&gt;"",VLOOKUP(G1959,precio_barras,9,FALSE),0)</f>
        <v>53.3</v>
      </c>
      <c r="K1959" s="329">
        <v>4</v>
      </c>
      <c r="L1959" s="343" t="str">
        <f t="shared" ref="L1959:L1965" si="720">IF(G1959&lt;&gt;"",IF(VLOOKUP(G1959,base_barras,10,FALSE)&lt;&gt;"",VLOOKUP(G1959,base_barras,10,FALSE),"-"),"-")</f>
        <v>1/750</v>
      </c>
      <c r="M1959" s="333">
        <f t="shared" ref="M1959:M1965" si="721">IF(L1959&lt;&gt;"-",VLOOKUP(L1959,precio_aislador,2,FALSE),0)</f>
        <v>1.9</v>
      </c>
      <c r="N1959" s="360">
        <f t="shared" ref="N1959:N1965" si="722">(I1959*J1959*F1959+K1959*M1959)*E1959*1.67*1.25</f>
        <v>581.66099999999994</v>
      </c>
      <c r="O1959" s="288"/>
      <c r="P1959" s="297"/>
      <c r="Q1959" s="288"/>
      <c r="R1959" s="102"/>
      <c r="S1959" s="102"/>
      <c r="T1959" s="102"/>
    </row>
    <row r="1960" spans="1:20" s="199" customFormat="1" ht="15.75" customHeight="1">
      <c r="A1960" s="2627"/>
      <c r="B1960" s="310" t="s">
        <v>1711</v>
      </c>
      <c r="C1960" s="311"/>
      <c r="D1960" s="312">
        <f t="shared" si="718"/>
        <v>1180</v>
      </c>
      <c r="E1960" s="313">
        <v>3</v>
      </c>
      <c r="F1960" s="314">
        <v>1</v>
      </c>
      <c r="G1960" s="315" t="s">
        <v>581</v>
      </c>
      <c r="H1960" s="314" t="s">
        <v>1043</v>
      </c>
      <c r="I1960" s="316">
        <v>0.61</v>
      </c>
      <c r="J1960" s="478">
        <f t="shared" si="719"/>
        <v>53.3</v>
      </c>
      <c r="K1960" s="313">
        <v>0</v>
      </c>
      <c r="L1960" s="318" t="str">
        <f t="shared" si="720"/>
        <v>1/750</v>
      </c>
      <c r="M1960" s="317">
        <f t="shared" si="721"/>
        <v>1.9</v>
      </c>
      <c r="N1960" s="308">
        <f t="shared" si="722"/>
        <v>203.61266249999997</v>
      </c>
      <c r="O1960" s="288"/>
      <c r="P1960" s="297"/>
      <c r="Q1960" s="288"/>
      <c r="R1960" s="102"/>
      <c r="S1960" s="102"/>
      <c r="T1960" s="102"/>
    </row>
    <row r="1961" spans="1:20" s="199" customFormat="1" ht="15.75" customHeight="1">
      <c r="A1961" s="2627"/>
      <c r="B1961" s="310" t="s">
        <v>1707</v>
      </c>
      <c r="C1961" s="311"/>
      <c r="D1961" s="312">
        <f t="shared" si="718"/>
        <v>573</v>
      </c>
      <c r="E1961" s="313">
        <v>3</v>
      </c>
      <c r="F1961" s="314">
        <v>1</v>
      </c>
      <c r="G1961" s="315" t="s">
        <v>314</v>
      </c>
      <c r="H1961" s="314" t="s">
        <v>1044</v>
      </c>
      <c r="I1961" s="316">
        <v>0.3</v>
      </c>
      <c r="J1961" s="317">
        <f t="shared" si="719"/>
        <v>26.6</v>
      </c>
      <c r="K1961" s="313">
        <v>0</v>
      </c>
      <c r="L1961" s="318" t="str">
        <f t="shared" si="720"/>
        <v>1/750</v>
      </c>
      <c r="M1961" s="317">
        <f t="shared" si="721"/>
        <v>1.9</v>
      </c>
      <c r="N1961" s="308">
        <f t="shared" si="722"/>
        <v>49.97475</v>
      </c>
      <c r="O1961" s="288"/>
      <c r="P1961" s="297"/>
      <c r="Q1961" s="288"/>
      <c r="R1961" s="102"/>
      <c r="S1961" s="102"/>
      <c r="T1961" s="102"/>
    </row>
    <row r="1962" spans="1:20" s="199" customFormat="1" ht="15.75" customHeight="1">
      <c r="A1962" s="2627"/>
      <c r="B1962" s="310" t="s">
        <v>1707</v>
      </c>
      <c r="C1962" s="311"/>
      <c r="D1962" s="312">
        <f t="shared" si="718"/>
        <v>573</v>
      </c>
      <c r="E1962" s="313">
        <v>3</v>
      </c>
      <c r="F1962" s="314">
        <v>1</v>
      </c>
      <c r="G1962" s="315" t="s">
        <v>314</v>
      </c>
      <c r="H1962" s="314" t="s">
        <v>1044</v>
      </c>
      <c r="I1962" s="316">
        <v>0.3</v>
      </c>
      <c r="J1962" s="317">
        <f t="shared" si="719"/>
        <v>26.6</v>
      </c>
      <c r="K1962" s="313">
        <v>0</v>
      </c>
      <c r="L1962" s="318" t="str">
        <f t="shared" si="720"/>
        <v>1/750</v>
      </c>
      <c r="M1962" s="317">
        <f t="shared" si="721"/>
        <v>1.9</v>
      </c>
      <c r="N1962" s="308">
        <f t="shared" si="722"/>
        <v>49.97475</v>
      </c>
      <c r="O1962" s="288"/>
      <c r="P1962" s="297"/>
      <c r="Q1962" s="288"/>
      <c r="R1962" s="102"/>
      <c r="S1962" s="102"/>
      <c r="T1962" s="102"/>
    </row>
    <row r="1963" spans="1:20" s="199" customFormat="1" ht="15.75" customHeight="1">
      <c r="A1963" s="2627"/>
      <c r="B1963" s="310" t="s">
        <v>1707</v>
      </c>
      <c r="C1963" s="311"/>
      <c r="D1963" s="312">
        <f t="shared" si="718"/>
        <v>573</v>
      </c>
      <c r="E1963" s="313">
        <v>3</v>
      </c>
      <c r="F1963" s="314">
        <v>1</v>
      </c>
      <c r="G1963" s="315" t="s">
        <v>314</v>
      </c>
      <c r="H1963" s="314" t="s">
        <v>1044</v>
      </c>
      <c r="I1963" s="316">
        <v>0.3</v>
      </c>
      <c r="J1963" s="317">
        <f t="shared" si="719"/>
        <v>26.6</v>
      </c>
      <c r="K1963" s="313">
        <v>0</v>
      </c>
      <c r="L1963" s="318" t="str">
        <f t="shared" si="720"/>
        <v>1/750</v>
      </c>
      <c r="M1963" s="317">
        <f t="shared" si="721"/>
        <v>1.9</v>
      </c>
      <c r="N1963" s="308">
        <f t="shared" si="722"/>
        <v>49.97475</v>
      </c>
      <c r="O1963" s="288"/>
      <c r="P1963" s="297"/>
      <c r="Q1963" s="288"/>
      <c r="R1963" s="102"/>
      <c r="S1963" s="102"/>
      <c r="T1963" s="102"/>
    </row>
    <row r="1964" spans="1:20" s="199" customFormat="1" ht="14.25">
      <c r="A1964" s="2627"/>
      <c r="B1964" s="310" t="s">
        <v>801</v>
      </c>
      <c r="C1964" s="319"/>
      <c r="D1964" s="312">
        <f t="shared" si="718"/>
        <v>1180</v>
      </c>
      <c r="E1964" s="313">
        <v>1</v>
      </c>
      <c r="F1964" s="314">
        <v>1</v>
      </c>
      <c r="G1964" s="315" t="s">
        <v>581</v>
      </c>
      <c r="H1964" s="314" t="s">
        <v>1043</v>
      </c>
      <c r="I1964" s="316">
        <f>I1959</f>
        <v>1.6</v>
      </c>
      <c r="J1964" s="317">
        <f t="shared" si="719"/>
        <v>53.3</v>
      </c>
      <c r="K1964" s="320">
        <v>4</v>
      </c>
      <c r="L1964" s="318" t="str">
        <f t="shared" si="720"/>
        <v>1/750</v>
      </c>
      <c r="M1964" s="317">
        <f t="shared" si="721"/>
        <v>1.9</v>
      </c>
      <c r="N1964" s="308">
        <f t="shared" si="722"/>
        <v>193.88699999999997</v>
      </c>
      <c r="O1964" s="288"/>
      <c r="P1964" s="297"/>
      <c r="Q1964" s="288"/>
      <c r="R1964" s="102"/>
      <c r="S1964" s="102"/>
      <c r="T1964" s="102"/>
    </row>
    <row r="1965" spans="1:20" s="199" customFormat="1" ht="15" thickBot="1">
      <c r="A1965" s="2628"/>
      <c r="B1965" s="321" t="s">
        <v>802</v>
      </c>
      <c r="C1965" s="363"/>
      <c r="D1965" s="364">
        <f t="shared" si="718"/>
        <v>573</v>
      </c>
      <c r="E1965" s="365">
        <v>1</v>
      </c>
      <c r="F1965" s="366">
        <v>1</v>
      </c>
      <c r="G1965" s="322" t="s">
        <v>580</v>
      </c>
      <c r="H1965" s="366" t="s">
        <v>1043</v>
      </c>
      <c r="I1965" s="367">
        <f>I1959</f>
        <v>1.6</v>
      </c>
      <c r="J1965" s="368">
        <f t="shared" si="719"/>
        <v>17.7</v>
      </c>
      <c r="K1965" s="395">
        <v>0</v>
      </c>
      <c r="L1965" s="369" t="str">
        <f t="shared" si="720"/>
        <v>1/750</v>
      </c>
      <c r="M1965" s="368">
        <f t="shared" si="721"/>
        <v>1.9</v>
      </c>
      <c r="N1965" s="370">
        <f t="shared" si="722"/>
        <v>59.117999999999995</v>
      </c>
      <c r="O1965" s="288"/>
      <c r="P1965" s="297"/>
      <c r="Q1965" s="288"/>
      <c r="R1965" s="102"/>
      <c r="S1965" s="102"/>
      <c r="T1965" s="102"/>
    </row>
    <row r="1966" spans="1:20" s="129" customFormat="1" ht="22.5" customHeight="1" thickBot="1">
      <c r="A1966" s="371"/>
      <c r="B1966" s="375"/>
      <c r="C1966" s="375"/>
      <c r="D1966" s="383"/>
      <c r="E1966" s="373"/>
      <c r="F1966" s="373"/>
      <c r="G1966" s="373"/>
      <c r="H1966" s="373"/>
      <c r="I1966" s="374"/>
      <c r="J1966" s="374"/>
      <c r="K1966" s="373"/>
      <c r="L1966" s="373"/>
      <c r="M1966" s="372"/>
      <c r="N1966" s="699">
        <f>SUM(N1959:N1965)</f>
        <v>1188.2029124999997</v>
      </c>
      <c r="O1966" s="288"/>
      <c r="P1966" s="297"/>
      <c r="Q1966" s="288"/>
      <c r="R1966" s="102"/>
      <c r="S1966" s="102"/>
      <c r="T1966" s="102"/>
    </row>
    <row r="1967" spans="1:20" s="102" customFormat="1" ht="8.25" customHeight="1" thickBot="1">
      <c r="A1967" s="323"/>
      <c r="B1967" s="309"/>
      <c r="C1967" s="323"/>
      <c r="D1967" s="382"/>
      <c r="E1967" s="323"/>
      <c r="F1967" s="325"/>
      <c r="G1967" s="325"/>
      <c r="H1967" s="325"/>
      <c r="I1967" s="323"/>
      <c r="J1967" s="323"/>
      <c r="K1967" s="323"/>
      <c r="L1967" s="325"/>
      <c r="M1967" s="323"/>
      <c r="N1967" s="309"/>
      <c r="O1967" s="288"/>
      <c r="P1967" s="297"/>
      <c r="Q1967" s="288"/>
    </row>
    <row r="1968" spans="1:20" s="102" customFormat="1">
      <c r="A1968" s="2629" t="s">
        <v>1228</v>
      </c>
      <c r="B1968" s="326" t="s">
        <v>1033</v>
      </c>
      <c r="C1968" s="327"/>
      <c r="D1968" s="328">
        <f>IF(H1968&lt;&gt;"",VLOOKUP(G1968,base_barras,IF(H1968="Desnuda",2,5)+F1968-1,FALSE),"-")</f>
        <v>1180</v>
      </c>
      <c r="E1968" s="481">
        <f>3+1</f>
        <v>4</v>
      </c>
      <c r="F1968" s="330">
        <v>1</v>
      </c>
      <c r="G1968" s="331" t="s">
        <v>581</v>
      </c>
      <c r="H1968" s="330" t="s">
        <v>1043</v>
      </c>
      <c r="I1968" s="332">
        <v>0.2</v>
      </c>
      <c r="J1968" s="333">
        <f>IF(G1968&lt;&gt;"",VLOOKUP(G1968,precio_barras,9,FALSE),0)</f>
        <v>53.3</v>
      </c>
      <c r="K1968" s="329">
        <v>0</v>
      </c>
      <c r="L1968" s="343" t="str">
        <f>IF(G1968&lt;&gt;"",IF(VLOOKUP(G1968,base_barras,10,FALSE)&lt;&gt;"",VLOOKUP(G1968,base_barras,10,FALSE),"-"),"-")</f>
        <v>1/750</v>
      </c>
      <c r="M1968" s="333">
        <f>IF(L1968&lt;&gt;"-",VLOOKUP(L1968,precio_aislador,2,FALSE),0)</f>
        <v>1.9</v>
      </c>
      <c r="N1968" s="360">
        <f>(I1968*J1968*F1968+K1968*M1968)*E1968*1.67*1.25</f>
        <v>89.010999999999996</v>
      </c>
      <c r="O1968" s="288"/>
      <c r="P1968" s="297"/>
      <c r="Q1968" s="297"/>
    </row>
    <row r="1969" spans="1:20" s="102" customFormat="1" ht="13.5" thickBot="1">
      <c r="A1969" s="2635"/>
      <c r="B1969" s="321"/>
      <c r="C1969" s="479"/>
      <c r="D1969" s="364" t="str">
        <f>IF(H1969&lt;&gt;"",VLOOKUP(G1969,base_barras,IF(H1969="Desnuda",2,5)+F1969-1,FALSE),"-")</f>
        <v>-</v>
      </c>
      <c r="E1969" s="365"/>
      <c r="F1969" s="366"/>
      <c r="G1969" s="322"/>
      <c r="H1969" s="366"/>
      <c r="I1969" s="367"/>
      <c r="J1969" s="480">
        <f>IF(G1969&lt;&gt;"",VLOOKUP(G1969,precio_barras,9,FALSE),0)</f>
        <v>0</v>
      </c>
      <c r="K1969" s="365"/>
      <c r="L1969" s="369" t="str">
        <f>IF(G1969&lt;&gt;"",IF(VLOOKUP(G1969,base_barras,10,FALSE)&lt;&gt;"",VLOOKUP(G1969,base_barras,10,FALSE),"-"),"-")</f>
        <v>-</v>
      </c>
      <c r="M1969" s="368">
        <f>IF(L1969&lt;&gt;"-",VLOOKUP(L1969,precio_aislador,2,FALSE),0)</f>
        <v>0</v>
      </c>
      <c r="N1969" s="370">
        <f>(I1969*J1969*F1969+K1969*M1969)*E1969*1.67*1.25</f>
        <v>0</v>
      </c>
      <c r="O1969" s="288"/>
      <c r="P1969" s="297"/>
      <c r="Q1969" s="297"/>
    </row>
    <row r="1970" spans="1:20" s="102" customFormat="1" ht="13.5" thickBot="1">
      <c r="A1970" s="323"/>
      <c r="B1970" s="309"/>
      <c r="C1970" s="309"/>
      <c r="D1970" s="382"/>
      <c r="E1970" s="323"/>
      <c r="F1970" s="309"/>
      <c r="G1970" s="309"/>
      <c r="H1970" s="323"/>
      <c r="I1970" s="325"/>
      <c r="J1970" s="325"/>
      <c r="K1970" s="323"/>
      <c r="L1970" s="323"/>
      <c r="M1970" s="325"/>
      <c r="N1970" s="706">
        <f>SUM(N1968:N1969)</f>
        <v>89.010999999999996</v>
      </c>
      <c r="O1970" s="288"/>
      <c r="P1970" s="297"/>
      <c r="Q1970" s="297"/>
    </row>
    <row r="1971" spans="1:20" s="106" customFormat="1"/>
    <row r="1972" spans="1:20" s="102" customFormat="1">
      <c r="A1972" s="323"/>
      <c r="B1972" s="309"/>
      <c r="C1972" s="309"/>
      <c r="D1972" s="382"/>
      <c r="E1972" s="323"/>
      <c r="F1972" s="309"/>
      <c r="G1972" s="309"/>
      <c r="H1972" s="323"/>
      <c r="I1972" s="325"/>
      <c r="J1972" s="325"/>
      <c r="K1972" s="323"/>
      <c r="L1972" s="323"/>
      <c r="M1972" s="325"/>
      <c r="N1972" s="722"/>
      <c r="O1972" s="288"/>
      <c r="P1972" s="297"/>
      <c r="Q1972" s="297"/>
    </row>
    <row r="1973" spans="1:20" s="102" customFormat="1" ht="13.5" thickBot="1">
      <c r="A1973" s="323"/>
      <c r="B1973" s="309"/>
      <c r="C1973" s="309"/>
      <c r="D1973" s="382"/>
      <c r="E1973" s="323"/>
      <c r="F1973" s="309"/>
      <c r="G1973" s="309"/>
      <c r="H1973" s="323"/>
      <c r="I1973" s="325"/>
      <c r="J1973" s="325"/>
      <c r="K1973" s="323"/>
      <c r="L1973" s="323"/>
      <c r="M1973" s="325"/>
      <c r="N1973" s="722"/>
      <c r="O1973" s="288"/>
      <c r="P1973" s="297"/>
      <c r="Q1973" s="297"/>
    </row>
    <row r="1974" spans="1:20" s="199" customFormat="1" ht="15.75" customHeight="1">
      <c r="A1974" s="2636" t="s">
        <v>1822</v>
      </c>
      <c r="B1974" s="326" t="s">
        <v>1033</v>
      </c>
      <c r="C1974" s="327"/>
      <c r="D1974" s="328">
        <f t="shared" ref="D1974:D1981" si="723">IF(H1974&lt;&gt;"",VLOOKUP(G1974,base_barras,IF(H1974="Desnuda",2,5)+F1974-1,FALSE),"-")</f>
        <v>1180</v>
      </c>
      <c r="E1974" s="329">
        <v>3</v>
      </c>
      <c r="F1974" s="330">
        <v>1</v>
      </c>
      <c r="G1974" s="331" t="s">
        <v>581</v>
      </c>
      <c r="H1974" s="330" t="s">
        <v>1043</v>
      </c>
      <c r="I1974" s="332">
        <f>0.8+0.8</f>
        <v>1.6</v>
      </c>
      <c r="J1974" s="333">
        <f t="shared" ref="J1974:J1981" si="724">IF(G1974&lt;&gt;"",VLOOKUP(G1974,precio_barras,9,FALSE),0)</f>
        <v>53.3</v>
      </c>
      <c r="K1974" s="329">
        <v>4</v>
      </c>
      <c r="L1974" s="343" t="str">
        <f t="shared" ref="L1974:L1981" si="725">IF(G1974&lt;&gt;"",IF(VLOOKUP(G1974,base_barras,10,FALSE)&lt;&gt;"",VLOOKUP(G1974,base_barras,10,FALSE),"-"),"-")</f>
        <v>1/750</v>
      </c>
      <c r="M1974" s="333">
        <f t="shared" ref="M1974:M1981" si="726">IF(L1974&lt;&gt;"-",VLOOKUP(L1974,precio_aislador,2,FALSE),0)</f>
        <v>1.9</v>
      </c>
      <c r="N1974" s="360">
        <f t="shared" ref="N1974:N1981" si="727">(I1974*J1974*F1974+K1974*M1974)*E1974*1.67*1.25</f>
        <v>581.66099999999994</v>
      </c>
      <c r="O1974" s="288"/>
      <c r="P1974" s="297"/>
      <c r="Q1974" s="288"/>
      <c r="R1974" s="102"/>
      <c r="S1974" s="102"/>
      <c r="T1974" s="102"/>
    </row>
    <row r="1975" spans="1:20" s="199" customFormat="1" ht="15.75" customHeight="1">
      <c r="A1975" s="2627"/>
      <c r="B1975" s="310" t="s">
        <v>1711</v>
      </c>
      <c r="C1975" s="311"/>
      <c r="D1975" s="312">
        <f t="shared" si="723"/>
        <v>1180</v>
      </c>
      <c r="E1975" s="313">
        <v>3</v>
      </c>
      <c r="F1975" s="314">
        <v>1</v>
      </c>
      <c r="G1975" s="315" t="s">
        <v>581</v>
      </c>
      <c r="H1975" s="314" t="s">
        <v>1043</v>
      </c>
      <c r="I1975" s="316">
        <v>0.61</v>
      </c>
      <c r="J1975" s="478">
        <f t="shared" si="724"/>
        <v>53.3</v>
      </c>
      <c r="K1975" s="313">
        <v>0</v>
      </c>
      <c r="L1975" s="318" t="str">
        <f t="shared" si="725"/>
        <v>1/750</v>
      </c>
      <c r="M1975" s="317">
        <f t="shared" si="726"/>
        <v>1.9</v>
      </c>
      <c r="N1975" s="308">
        <f t="shared" si="727"/>
        <v>203.61266249999997</v>
      </c>
      <c r="O1975" s="288"/>
      <c r="P1975" s="297"/>
      <c r="Q1975" s="288"/>
      <c r="R1975" s="102"/>
      <c r="S1975" s="102"/>
      <c r="T1975" s="102"/>
    </row>
    <row r="1976" spans="1:20" s="199" customFormat="1" ht="15.75" customHeight="1">
      <c r="A1976" s="2627"/>
      <c r="B1976" s="310" t="s">
        <v>1713</v>
      </c>
      <c r="C1976" s="311"/>
      <c r="D1976" s="312">
        <f t="shared" si="723"/>
        <v>327</v>
      </c>
      <c r="E1976" s="313">
        <v>3</v>
      </c>
      <c r="F1976" s="314">
        <v>1</v>
      </c>
      <c r="G1976" s="315" t="s">
        <v>63</v>
      </c>
      <c r="H1976" s="314" t="s">
        <v>1044</v>
      </c>
      <c r="I1976" s="316">
        <v>0.3</v>
      </c>
      <c r="J1976" s="317">
        <f t="shared" si="724"/>
        <v>11.100000000000001</v>
      </c>
      <c r="K1976" s="313">
        <v>0</v>
      </c>
      <c r="L1976" s="318" t="str">
        <f t="shared" si="725"/>
        <v>0.5/400</v>
      </c>
      <c r="M1976" s="317">
        <f t="shared" si="726"/>
        <v>1.2</v>
      </c>
      <c r="N1976" s="308">
        <f t="shared" si="727"/>
        <v>20.854125000000003</v>
      </c>
      <c r="O1976" s="288"/>
      <c r="P1976" s="297"/>
      <c r="Q1976" s="288"/>
      <c r="R1976" s="102"/>
      <c r="S1976" s="102"/>
      <c r="T1976" s="102"/>
    </row>
    <row r="1977" spans="1:20" s="199" customFormat="1" ht="15.75" customHeight="1">
      <c r="A1977" s="2627"/>
      <c r="B1977" s="310" t="s">
        <v>1713</v>
      </c>
      <c r="C1977" s="311"/>
      <c r="D1977" s="312">
        <f>IF(H1977&lt;&gt;"",VLOOKUP(G1977,base_barras,IF(H1977="Desnuda",2,5)+F1977-1,FALSE),"-")</f>
        <v>327</v>
      </c>
      <c r="E1977" s="313">
        <v>3</v>
      </c>
      <c r="F1977" s="314">
        <v>1</v>
      </c>
      <c r="G1977" s="315" t="s">
        <v>63</v>
      </c>
      <c r="H1977" s="314" t="s">
        <v>1044</v>
      </c>
      <c r="I1977" s="316">
        <v>0.3</v>
      </c>
      <c r="J1977" s="317">
        <f t="shared" si="724"/>
        <v>11.100000000000001</v>
      </c>
      <c r="K1977" s="313">
        <v>0</v>
      </c>
      <c r="L1977" s="318" t="str">
        <f>IF(G1977&lt;&gt;"",IF(VLOOKUP(G1977,base_barras,10,FALSE)&lt;&gt;"",VLOOKUP(G1977,base_barras,10,FALSE),"-"),"-")</f>
        <v>0.5/400</v>
      </c>
      <c r="M1977" s="317">
        <f>IF(L1977&lt;&gt;"-",VLOOKUP(L1977,precio_aislador,2,FALSE),0)</f>
        <v>1.2</v>
      </c>
      <c r="N1977" s="308">
        <f t="shared" si="727"/>
        <v>20.854125000000003</v>
      </c>
      <c r="O1977" s="288"/>
      <c r="P1977" s="297"/>
      <c r="Q1977" s="288"/>
      <c r="R1977" s="102"/>
      <c r="S1977" s="102"/>
      <c r="T1977" s="102"/>
    </row>
    <row r="1978" spans="1:20" s="199" customFormat="1" ht="15.75" customHeight="1">
      <c r="A1978" s="2627"/>
      <c r="B1978" s="310" t="s">
        <v>1707</v>
      </c>
      <c r="C1978" s="311"/>
      <c r="D1978" s="312">
        <f t="shared" si="723"/>
        <v>573</v>
      </c>
      <c r="E1978" s="313">
        <v>3</v>
      </c>
      <c r="F1978" s="314">
        <v>1</v>
      </c>
      <c r="G1978" s="315" t="s">
        <v>314</v>
      </c>
      <c r="H1978" s="314" t="s">
        <v>1044</v>
      </c>
      <c r="I1978" s="316">
        <v>0.3</v>
      </c>
      <c r="J1978" s="317">
        <f t="shared" si="724"/>
        <v>26.6</v>
      </c>
      <c r="K1978" s="313">
        <v>0</v>
      </c>
      <c r="L1978" s="318" t="str">
        <f t="shared" si="725"/>
        <v>1/750</v>
      </c>
      <c r="M1978" s="317">
        <f t="shared" si="726"/>
        <v>1.9</v>
      </c>
      <c r="N1978" s="308">
        <f t="shared" si="727"/>
        <v>49.97475</v>
      </c>
      <c r="O1978" s="288"/>
      <c r="P1978" s="297"/>
      <c r="Q1978" s="288"/>
      <c r="R1978" s="102"/>
      <c r="S1978" s="102"/>
      <c r="T1978" s="102"/>
    </row>
    <row r="1979" spans="1:20" s="199" customFormat="1" ht="15.75" customHeight="1">
      <c r="A1979" s="2627"/>
      <c r="B1979" s="310" t="s">
        <v>1707</v>
      </c>
      <c r="C1979" s="311"/>
      <c r="D1979" s="312">
        <f t="shared" si="723"/>
        <v>573</v>
      </c>
      <c r="E1979" s="313">
        <v>3</v>
      </c>
      <c r="F1979" s="314">
        <v>1</v>
      </c>
      <c r="G1979" s="315" t="s">
        <v>314</v>
      </c>
      <c r="H1979" s="314" t="s">
        <v>1044</v>
      </c>
      <c r="I1979" s="316">
        <v>0.3</v>
      </c>
      <c r="J1979" s="317">
        <f t="shared" si="724"/>
        <v>26.6</v>
      </c>
      <c r="K1979" s="313">
        <v>0</v>
      </c>
      <c r="L1979" s="318" t="str">
        <f t="shared" si="725"/>
        <v>1/750</v>
      </c>
      <c r="M1979" s="317">
        <f t="shared" si="726"/>
        <v>1.9</v>
      </c>
      <c r="N1979" s="308">
        <f t="shared" si="727"/>
        <v>49.97475</v>
      </c>
      <c r="O1979" s="288"/>
      <c r="P1979" s="297"/>
      <c r="Q1979" s="288"/>
      <c r="R1979" s="102"/>
      <c r="S1979" s="102"/>
      <c r="T1979" s="102"/>
    </row>
    <row r="1980" spans="1:20" s="199" customFormat="1" ht="14.25">
      <c r="A1980" s="2627"/>
      <c r="B1980" s="310" t="s">
        <v>801</v>
      </c>
      <c r="C1980" s="319"/>
      <c r="D1980" s="312">
        <f t="shared" si="723"/>
        <v>1180</v>
      </c>
      <c r="E1980" s="313">
        <v>1</v>
      </c>
      <c r="F1980" s="314">
        <v>1</v>
      </c>
      <c r="G1980" s="315" t="s">
        <v>581</v>
      </c>
      <c r="H1980" s="314" t="s">
        <v>1043</v>
      </c>
      <c r="I1980" s="316">
        <f>I1974</f>
        <v>1.6</v>
      </c>
      <c r="J1980" s="317">
        <f t="shared" si="724"/>
        <v>53.3</v>
      </c>
      <c r="K1980" s="320">
        <v>4</v>
      </c>
      <c r="L1980" s="318" t="str">
        <f t="shared" si="725"/>
        <v>1/750</v>
      </c>
      <c r="M1980" s="317">
        <f t="shared" si="726"/>
        <v>1.9</v>
      </c>
      <c r="N1980" s="308">
        <f t="shared" si="727"/>
        <v>193.88699999999997</v>
      </c>
      <c r="O1980" s="288"/>
      <c r="P1980" s="297"/>
      <c r="Q1980" s="288"/>
      <c r="R1980" s="102"/>
      <c r="S1980" s="102"/>
      <c r="T1980" s="102"/>
    </row>
    <row r="1981" spans="1:20" s="199" customFormat="1" ht="15" thickBot="1">
      <c r="A1981" s="2628"/>
      <c r="B1981" s="321" t="s">
        <v>802</v>
      </c>
      <c r="C1981" s="363"/>
      <c r="D1981" s="364">
        <f t="shared" si="723"/>
        <v>573</v>
      </c>
      <c r="E1981" s="365">
        <v>1</v>
      </c>
      <c r="F1981" s="366">
        <v>1</v>
      </c>
      <c r="G1981" s="322" t="s">
        <v>580</v>
      </c>
      <c r="H1981" s="366" t="s">
        <v>1043</v>
      </c>
      <c r="I1981" s="367">
        <f>I1974</f>
        <v>1.6</v>
      </c>
      <c r="J1981" s="368">
        <f t="shared" si="724"/>
        <v>17.7</v>
      </c>
      <c r="K1981" s="395">
        <v>0</v>
      </c>
      <c r="L1981" s="369" t="str">
        <f t="shared" si="725"/>
        <v>1/750</v>
      </c>
      <c r="M1981" s="368">
        <f t="shared" si="726"/>
        <v>1.9</v>
      </c>
      <c r="N1981" s="370">
        <f t="shared" si="727"/>
        <v>59.117999999999995</v>
      </c>
      <c r="O1981" s="288"/>
      <c r="P1981" s="297"/>
      <c r="Q1981" s="288"/>
      <c r="R1981" s="102"/>
      <c r="S1981" s="102"/>
      <c r="T1981" s="102"/>
    </row>
    <row r="1982" spans="1:20" s="129" customFormat="1" ht="22.5" customHeight="1" thickBot="1">
      <c r="A1982" s="371"/>
      <c r="B1982" s="375"/>
      <c r="C1982" s="375"/>
      <c r="D1982" s="383"/>
      <c r="E1982" s="373"/>
      <c r="F1982" s="373"/>
      <c r="G1982" s="373"/>
      <c r="H1982" s="373"/>
      <c r="I1982" s="374"/>
      <c r="J1982" s="374"/>
      <c r="K1982" s="373"/>
      <c r="L1982" s="373"/>
      <c r="M1982" s="372"/>
      <c r="N1982" s="699">
        <f>SUM(N1974:N1981)</f>
        <v>1179.9364124999997</v>
      </c>
      <c r="O1982" s="288"/>
      <c r="P1982" s="297"/>
      <c r="Q1982" s="288"/>
      <c r="R1982" s="102"/>
      <c r="S1982" s="102"/>
      <c r="T1982" s="102"/>
    </row>
    <row r="1983" spans="1:20" s="102" customFormat="1" ht="8.25" customHeight="1" thickBot="1">
      <c r="A1983" s="323"/>
      <c r="B1983" s="309"/>
      <c r="C1983" s="323"/>
      <c r="D1983" s="382"/>
      <c r="E1983" s="323"/>
      <c r="F1983" s="325"/>
      <c r="G1983" s="325"/>
      <c r="H1983" s="325"/>
      <c r="I1983" s="323"/>
      <c r="J1983" s="323"/>
      <c r="K1983" s="323"/>
      <c r="L1983" s="325"/>
      <c r="M1983" s="323"/>
      <c r="N1983" s="309"/>
      <c r="O1983" s="288"/>
      <c r="P1983" s="297"/>
      <c r="Q1983" s="288"/>
    </row>
    <row r="1984" spans="1:20" s="102" customFormat="1">
      <c r="A1984" s="2629" t="s">
        <v>1228</v>
      </c>
      <c r="B1984" s="310" t="s">
        <v>1033</v>
      </c>
      <c r="C1984" s="327"/>
      <c r="D1984" s="328">
        <f>IF(H1984&lt;&gt;"",VLOOKUP(G1984,base_barras,IF(H1984="Desnuda",2,5)+F1984-1,FALSE),"-")</f>
        <v>1180</v>
      </c>
      <c r="E1984" s="481">
        <f>3+1</f>
        <v>4</v>
      </c>
      <c r="F1984" s="330">
        <v>1</v>
      </c>
      <c r="G1984" s="331" t="s">
        <v>581</v>
      </c>
      <c r="H1984" s="330" t="s">
        <v>1043</v>
      </c>
      <c r="I1984" s="332">
        <v>0.2</v>
      </c>
      <c r="J1984" s="362">
        <v>69.290000000000006</v>
      </c>
      <c r="K1984" s="329">
        <v>0</v>
      </c>
      <c r="L1984" s="343" t="str">
        <f>IF(G1984&lt;&gt;"",IF(VLOOKUP(G1984,base_barras,10,FALSE)&lt;&gt;"",VLOOKUP(G1984,base_barras,10,FALSE),"-"),"-")</f>
        <v>1/750</v>
      </c>
      <c r="M1984" s="333">
        <f>IF(L1984&lt;&gt;"-",VLOOKUP(L1984,precio_aislador,2,FALSE),0)</f>
        <v>1.9</v>
      </c>
      <c r="N1984" s="360">
        <f>(I1984*J1984*F1984+K1984*M1984)*E1984*1.67*1.25</f>
        <v>115.71430000000001</v>
      </c>
      <c r="O1984" s="288"/>
      <c r="P1984" s="297"/>
      <c r="Q1984" s="297"/>
    </row>
    <row r="1985" spans="1:20" s="102" customFormat="1">
      <c r="A1985" s="2630"/>
      <c r="B1985" s="310"/>
      <c r="C1985" s="311"/>
      <c r="D1985" s="312" t="str">
        <f>IF(H1985&lt;&gt;"",VLOOKUP(G1985,base_barras,IF(H1985="Desnuda",2,5)+F1985-1,FALSE),"-")</f>
        <v>-</v>
      </c>
      <c r="E1985" s="313"/>
      <c r="F1985" s="314"/>
      <c r="G1985" s="315"/>
      <c r="H1985" s="314"/>
      <c r="I1985" s="316"/>
      <c r="J1985" s="361">
        <v>0</v>
      </c>
      <c r="K1985" s="313"/>
      <c r="L1985" s="318" t="str">
        <f>IF(G1985&lt;&gt;"",IF(VLOOKUP(G1985,base_barras,10,FALSE)&lt;&gt;"",VLOOKUP(G1985,base_barras,10,FALSE),"-"),"-")</f>
        <v>-</v>
      </c>
      <c r="M1985" s="317">
        <f>IF(L1985&lt;&gt;"-",VLOOKUP(L1985,precio_aislador,2,FALSE),0)</f>
        <v>0</v>
      </c>
      <c r="N1985" s="308">
        <f>(I1985*J1985*F1985+K1985*M1985)*E1985*1.67*1.25</f>
        <v>0</v>
      </c>
      <c r="O1985" s="288"/>
      <c r="P1985" s="297"/>
      <c r="Q1985" s="297"/>
    </row>
    <row r="1986" spans="1:20" s="102" customFormat="1" ht="13.5" thickBot="1">
      <c r="A1986" s="323"/>
      <c r="B1986" s="309"/>
      <c r="C1986" s="309"/>
      <c r="D1986" s="382"/>
      <c r="E1986" s="323"/>
      <c r="F1986" s="309"/>
      <c r="G1986" s="309"/>
      <c r="H1986" s="323"/>
      <c r="I1986" s="325"/>
      <c r="J1986" s="325"/>
      <c r="K1986" s="323"/>
      <c r="L1986" s="323"/>
      <c r="M1986" s="325"/>
      <c r="N1986" s="706">
        <f>SUM(N1984:N1985)</f>
        <v>115.71430000000001</v>
      </c>
      <c r="O1986" s="288"/>
      <c r="P1986" s="297"/>
      <c r="Q1986" s="297"/>
    </row>
    <row r="1987" spans="1:20" s="102" customFormat="1">
      <c r="A1987" s="323"/>
      <c r="B1987" s="309"/>
      <c r="C1987" s="309"/>
      <c r="D1987" s="382"/>
      <c r="E1987" s="323"/>
      <c r="F1987" s="309"/>
      <c r="G1987" s="309"/>
      <c r="H1987" s="323"/>
      <c r="I1987" s="325"/>
      <c r="J1987" s="325"/>
      <c r="K1987" s="323"/>
      <c r="L1987" s="323"/>
      <c r="M1987" s="325"/>
      <c r="N1987" s="722"/>
      <c r="O1987" s="288"/>
      <c r="P1987" s="297"/>
      <c r="Q1987" s="297"/>
    </row>
    <row r="1988" spans="1:20" s="102" customFormat="1" ht="13.5" thickBot="1">
      <c r="A1988" s="323"/>
      <c r="B1988" s="309"/>
      <c r="C1988" s="309"/>
      <c r="D1988" s="382"/>
      <c r="E1988" s="323"/>
      <c r="F1988" s="309"/>
      <c r="G1988" s="309"/>
      <c r="H1988" s="323"/>
      <c r="I1988" s="325"/>
      <c r="J1988" s="325"/>
      <c r="K1988" s="323"/>
      <c r="L1988" s="323"/>
      <c r="M1988" s="325"/>
      <c r="N1988" s="722"/>
      <c r="O1988" s="288"/>
      <c r="P1988" s="297"/>
      <c r="Q1988" s="297"/>
    </row>
    <row r="1989" spans="1:20" s="199" customFormat="1" ht="15.75" customHeight="1">
      <c r="A1989" s="2636" t="s">
        <v>1823</v>
      </c>
      <c r="B1989" s="326" t="s">
        <v>1033</v>
      </c>
      <c r="C1989" s="327"/>
      <c r="D1989" s="328">
        <f t="shared" ref="D1989:D1996" si="728">IF(H1989&lt;&gt;"",VLOOKUP(G1989,base_barras,IF(H1989="Desnuda",2,5)+F1989-1,FALSE),"-")</f>
        <v>1180</v>
      </c>
      <c r="E1989" s="329">
        <v>3</v>
      </c>
      <c r="F1989" s="330">
        <v>1</v>
      </c>
      <c r="G1989" s="331" t="s">
        <v>581</v>
      </c>
      <c r="H1989" s="330" t="s">
        <v>1043</v>
      </c>
      <c r="I1989" s="332">
        <v>0</v>
      </c>
      <c r="J1989" s="333">
        <f t="shared" ref="J1989:J1996" si="729">IF(G1989&lt;&gt;"",VLOOKUP(G1989,precio_barras,9,FALSE),0)</f>
        <v>53.3</v>
      </c>
      <c r="K1989" s="329">
        <v>0</v>
      </c>
      <c r="L1989" s="343" t="str">
        <f t="shared" ref="L1989:L1996" si="730">IF(G1989&lt;&gt;"",IF(VLOOKUP(G1989,base_barras,10,FALSE)&lt;&gt;"",VLOOKUP(G1989,base_barras,10,FALSE),"-"),"-")</f>
        <v>1/750</v>
      </c>
      <c r="M1989" s="333">
        <f t="shared" ref="M1989:M1996" si="731">IF(L1989&lt;&gt;"-",VLOOKUP(L1989,precio_aislador,2,FALSE),0)</f>
        <v>1.9</v>
      </c>
      <c r="N1989" s="360">
        <f t="shared" ref="N1989:N1996" si="732">(I1989*J1989*F1989+K1989*M1989)*E1989*1.67*1.25</f>
        <v>0</v>
      </c>
      <c r="O1989" s="288"/>
      <c r="P1989" s="297"/>
      <c r="Q1989" s="288"/>
      <c r="R1989" s="102"/>
      <c r="S1989" s="102"/>
      <c r="T1989" s="102"/>
    </row>
    <row r="1990" spans="1:20" s="199" customFormat="1" ht="15.75" customHeight="1">
      <c r="A1990" s="2627"/>
      <c r="B1990" s="310" t="s">
        <v>1711</v>
      </c>
      <c r="C1990" s="311"/>
      <c r="D1990" s="312">
        <f t="shared" si="728"/>
        <v>1180</v>
      </c>
      <c r="E1990" s="313">
        <v>3</v>
      </c>
      <c r="F1990" s="314">
        <v>1</v>
      </c>
      <c r="G1990" s="315" t="s">
        <v>581</v>
      </c>
      <c r="H1990" s="314" t="s">
        <v>1043</v>
      </c>
      <c r="I1990" s="316">
        <v>0</v>
      </c>
      <c r="J1990" s="478">
        <f t="shared" si="729"/>
        <v>53.3</v>
      </c>
      <c r="K1990" s="313">
        <v>0</v>
      </c>
      <c r="L1990" s="318" t="str">
        <f t="shared" si="730"/>
        <v>1/750</v>
      </c>
      <c r="M1990" s="317">
        <f t="shared" si="731"/>
        <v>1.9</v>
      </c>
      <c r="N1990" s="308">
        <f t="shared" si="732"/>
        <v>0</v>
      </c>
      <c r="O1990" s="288"/>
      <c r="P1990" s="297"/>
      <c r="Q1990" s="288"/>
      <c r="R1990" s="102"/>
      <c r="S1990" s="102"/>
      <c r="T1990" s="102"/>
    </row>
    <row r="1991" spans="1:20" s="199" customFormat="1" ht="15.75" customHeight="1">
      <c r="A1991" s="2627"/>
      <c r="B1991" s="310" t="s">
        <v>1713</v>
      </c>
      <c r="C1991" s="311"/>
      <c r="D1991" s="312">
        <f t="shared" si="728"/>
        <v>327</v>
      </c>
      <c r="E1991" s="313">
        <v>3</v>
      </c>
      <c r="F1991" s="314">
        <v>1</v>
      </c>
      <c r="G1991" s="315" t="s">
        <v>63</v>
      </c>
      <c r="H1991" s="314" t="s">
        <v>1044</v>
      </c>
      <c r="I1991" s="316">
        <v>0</v>
      </c>
      <c r="J1991" s="317">
        <f t="shared" si="729"/>
        <v>11.100000000000001</v>
      </c>
      <c r="K1991" s="313">
        <v>0</v>
      </c>
      <c r="L1991" s="318" t="str">
        <f t="shared" si="730"/>
        <v>0.5/400</v>
      </c>
      <c r="M1991" s="317">
        <f t="shared" si="731"/>
        <v>1.2</v>
      </c>
      <c r="N1991" s="308">
        <f t="shared" si="732"/>
        <v>0</v>
      </c>
      <c r="O1991" s="288"/>
      <c r="P1991" s="297"/>
      <c r="Q1991" s="288"/>
      <c r="R1991" s="102"/>
      <c r="S1991" s="102"/>
      <c r="T1991" s="102"/>
    </row>
    <row r="1992" spans="1:20" s="199" customFormat="1" ht="15.75" customHeight="1">
      <c r="A1992" s="2627"/>
      <c r="B1992" s="310" t="s">
        <v>1713</v>
      </c>
      <c r="C1992" s="311"/>
      <c r="D1992" s="312">
        <f t="shared" si="728"/>
        <v>327</v>
      </c>
      <c r="E1992" s="313">
        <v>3</v>
      </c>
      <c r="F1992" s="314">
        <v>1</v>
      </c>
      <c r="G1992" s="315" t="s">
        <v>63</v>
      </c>
      <c r="H1992" s="314" t="s">
        <v>1044</v>
      </c>
      <c r="I1992" s="316">
        <v>0</v>
      </c>
      <c r="J1992" s="317">
        <f t="shared" si="729"/>
        <v>11.100000000000001</v>
      </c>
      <c r="K1992" s="313">
        <v>0</v>
      </c>
      <c r="L1992" s="318" t="str">
        <f t="shared" si="730"/>
        <v>0.5/400</v>
      </c>
      <c r="M1992" s="317">
        <f t="shared" si="731"/>
        <v>1.2</v>
      </c>
      <c r="N1992" s="308">
        <f t="shared" si="732"/>
        <v>0</v>
      </c>
      <c r="O1992" s="288"/>
      <c r="P1992" s="297"/>
      <c r="Q1992" s="288"/>
      <c r="R1992" s="102"/>
      <c r="S1992" s="102"/>
      <c r="T1992" s="102"/>
    </row>
    <row r="1993" spans="1:20" s="199" customFormat="1" ht="15.75" customHeight="1">
      <c r="A1993" s="2627"/>
      <c r="B1993" s="310" t="s">
        <v>1707</v>
      </c>
      <c r="C1993" s="311"/>
      <c r="D1993" s="312">
        <f t="shared" si="728"/>
        <v>573</v>
      </c>
      <c r="E1993" s="313">
        <v>3</v>
      </c>
      <c r="F1993" s="314">
        <v>1</v>
      </c>
      <c r="G1993" s="315" t="s">
        <v>314</v>
      </c>
      <c r="H1993" s="314" t="s">
        <v>1044</v>
      </c>
      <c r="I1993" s="316">
        <v>0</v>
      </c>
      <c r="J1993" s="317">
        <f t="shared" si="729"/>
        <v>26.6</v>
      </c>
      <c r="K1993" s="313">
        <v>0</v>
      </c>
      <c r="L1993" s="318" t="str">
        <f t="shared" si="730"/>
        <v>1/750</v>
      </c>
      <c r="M1993" s="317">
        <f t="shared" si="731"/>
        <v>1.9</v>
      </c>
      <c r="N1993" s="308">
        <f t="shared" si="732"/>
        <v>0</v>
      </c>
      <c r="O1993" s="288"/>
      <c r="P1993" s="297"/>
      <c r="Q1993" s="288"/>
      <c r="R1993" s="102"/>
      <c r="S1993" s="102"/>
      <c r="T1993" s="102"/>
    </row>
    <row r="1994" spans="1:20" s="199" customFormat="1" ht="15.75" customHeight="1">
      <c r="A1994" s="2627"/>
      <c r="B1994" s="310" t="s">
        <v>1707</v>
      </c>
      <c r="C1994" s="311"/>
      <c r="D1994" s="312">
        <f t="shared" si="728"/>
        <v>573</v>
      </c>
      <c r="E1994" s="313">
        <v>3</v>
      </c>
      <c r="F1994" s="314">
        <v>1</v>
      </c>
      <c r="G1994" s="315" t="s">
        <v>314</v>
      </c>
      <c r="H1994" s="314" t="s">
        <v>1044</v>
      </c>
      <c r="I1994" s="316">
        <v>0</v>
      </c>
      <c r="J1994" s="317">
        <f t="shared" si="729"/>
        <v>26.6</v>
      </c>
      <c r="K1994" s="313">
        <v>0</v>
      </c>
      <c r="L1994" s="318" t="str">
        <f t="shared" si="730"/>
        <v>1/750</v>
      </c>
      <c r="M1994" s="317">
        <f t="shared" si="731"/>
        <v>1.9</v>
      </c>
      <c r="N1994" s="308">
        <f t="shared" si="732"/>
        <v>0</v>
      </c>
      <c r="O1994" s="288"/>
      <c r="P1994" s="297"/>
      <c r="Q1994" s="288"/>
      <c r="R1994" s="102"/>
      <c r="S1994" s="102"/>
      <c r="T1994" s="102"/>
    </row>
    <row r="1995" spans="1:20" s="199" customFormat="1" ht="14.25">
      <c r="A1995" s="2627"/>
      <c r="B1995" s="310" t="s">
        <v>801</v>
      </c>
      <c r="C1995" s="319"/>
      <c r="D1995" s="312">
        <f t="shared" si="728"/>
        <v>676</v>
      </c>
      <c r="E1995" s="313">
        <v>1</v>
      </c>
      <c r="F1995" s="314">
        <v>1</v>
      </c>
      <c r="G1995" s="315" t="s">
        <v>314</v>
      </c>
      <c r="H1995" s="314" t="s">
        <v>1043</v>
      </c>
      <c r="I1995" s="316">
        <v>0.8</v>
      </c>
      <c r="J1995" s="317">
        <f t="shared" si="729"/>
        <v>26.6</v>
      </c>
      <c r="K1995" s="320">
        <v>2</v>
      </c>
      <c r="L1995" s="318" t="str">
        <f t="shared" si="730"/>
        <v>1/750</v>
      </c>
      <c r="M1995" s="317">
        <f t="shared" si="731"/>
        <v>1.9</v>
      </c>
      <c r="N1995" s="308">
        <f t="shared" si="732"/>
        <v>52.354500000000002</v>
      </c>
      <c r="O1995" s="288"/>
      <c r="P1995" s="297"/>
      <c r="Q1995" s="288"/>
      <c r="R1995" s="102"/>
      <c r="S1995" s="102"/>
      <c r="T1995" s="102"/>
    </row>
    <row r="1996" spans="1:20" s="199" customFormat="1" ht="15" thickBot="1">
      <c r="A1996" s="2628"/>
      <c r="B1996" s="321" t="s">
        <v>802</v>
      </c>
      <c r="C1996" s="363"/>
      <c r="D1996" s="364">
        <f t="shared" si="728"/>
        <v>497</v>
      </c>
      <c r="E1996" s="365">
        <v>1</v>
      </c>
      <c r="F1996" s="366">
        <v>1</v>
      </c>
      <c r="G1996" s="322" t="s">
        <v>62</v>
      </c>
      <c r="H1996" s="366" t="s">
        <v>1043</v>
      </c>
      <c r="I1996" s="367">
        <v>0.8</v>
      </c>
      <c r="J1996" s="368">
        <f t="shared" si="729"/>
        <v>17.7</v>
      </c>
      <c r="K1996" s="395">
        <v>0</v>
      </c>
      <c r="L1996" s="369" t="str">
        <f t="shared" si="730"/>
        <v>-</v>
      </c>
      <c r="M1996" s="368">
        <f t="shared" si="731"/>
        <v>0</v>
      </c>
      <c r="N1996" s="370">
        <f t="shared" si="732"/>
        <v>29.558999999999997</v>
      </c>
      <c r="O1996" s="288"/>
      <c r="P1996" s="297"/>
      <c r="Q1996" s="288"/>
      <c r="R1996" s="102"/>
      <c r="S1996" s="102"/>
      <c r="T1996" s="102"/>
    </row>
    <row r="1997" spans="1:20" s="129" customFormat="1" ht="22.5" customHeight="1" thickBot="1">
      <c r="A1997" s="371"/>
      <c r="B1997" s="375"/>
      <c r="C1997" s="375"/>
      <c r="D1997" s="383"/>
      <c r="E1997" s="373"/>
      <c r="F1997" s="373"/>
      <c r="G1997" s="373"/>
      <c r="H1997" s="373"/>
      <c r="I1997" s="374"/>
      <c r="J1997" s="374"/>
      <c r="K1997" s="373"/>
      <c r="L1997" s="373"/>
      <c r="M1997" s="372"/>
      <c r="N1997" s="699">
        <f>SUM(N1989:N1996)</f>
        <v>81.913499999999999</v>
      </c>
      <c r="O1997" s="288"/>
      <c r="P1997" s="297"/>
      <c r="Q1997" s="288"/>
      <c r="R1997" s="102"/>
      <c r="S1997" s="102"/>
      <c r="T1997" s="102"/>
    </row>
    <row r="1998" spans="1:20" s="102" customFormat="1" ht="8.25" customHeight="1" thickBot="1">
      <c r="A1998" s="323"/>
      <c r="B1998" s="309"/>
      <c r="C1998" s="323"/>
      <c r="D1998" s="382"/>
      <c r="E1998" s="323"/>
      <c r="F1998" s="325"/>
      <c r="G1998" s="325"/>
      <c r="H1998" s="325"/>
      <c r="I1998" s="323"/>
      <c r="J1998" s="323"/>
      <c r="K1998" s="323"/>
      <c r="L1998" s="325"/>
      <c r="M1998" s="323"/>
      <c r="N1998" s="309"/>
      <c r="O1998" s="288"/>
      <c r="P1998" s="297"/>
      <c r="Q1998" s="288"/>
    </row>
    <row r="1999" spans="1:20" s="102" customFormat="1">
      <c r="A1999" s="2629" t="s">
        <v>1228</v>
      </c>
      <c r="B1999" s="310" t="s">
        <v>1033</v>
      </c>
      <c r="C1999" s="327"/>
      <c r="D1999" s="328">
        <f>IF(H1999&lt;&gt;"",VLOOKUP(G1999,base_barras,IF(H1999="Desnuda",2,5)+F1999-1,FALSE),"-")</f>
        <v>1180</v>
      </c>
      <c r="E1999" s="481">
        <f>3+1</f>
        <v>4</v>
      </c>
      <c r="F1999" s="330">
        <v>1</v>
      </c>
      <c r="G1999" s="331" t="s">
        <v>581</v>
      </c>
      <c r="H1999" s="330" t="s">
        <v>1043</v>
      </c>
      <c r="I1999" s="332">
        <v>0</v>
      </c>
      <c r="J1999" s="362">
        <v>69.290000000000006</v>
      </c>
      <c r="K1999" s="329">
        <v>0</v>
      </c>
      <c r="L1999" s="343" t="str">
        <f>IF(G1999&lt;&gt;"",IF(VLOOKUP(G1999,base_barras,10,FALSE)&lt;&gt;"",VLOOKUP(G1999,base_barras,10,FALSE),"-"),"-")</f>
        <v>1/750</v>
      </c>
      <c r="M1999" s="333">
        <f>IF(L1999&lt;&gt;"-",VLOOKUP(L1999,precio_aislador,2,FALSE),0)</f>
        <v>1.9</v>
      </c>
      <c r="N1999" s="360">
        <f>(I1999*J1999*F1999+K1999*M1999)*E1999*1.67*1.25</f>
        <v>0</v>
      </c>
      <c r="O1999" s="288"/>
      <c r="P1999" s="297"/>
      <c r="Q1999" s="297"/>
    </row>
    <row r="2000" spans="1:20" s="102" customFormat="1">
      <c r="A2000" s="2630"/>
      <c r="B2000" s="310"/>
      <c r="C2000" s="311"/>
      <c r="D2000" s="312" t="str">
        <f>IF(H2000&lt;&gt;"",VLOOKUP(G2000,base_barras,IF(H2000="Desnuda",2,5)+F2000-1,FALSE),"-")</f>
        <v>-</v>
      </c>
      <c r="E2000" s="313"/>
      <c r="F2000" s="314"/>
      <c r="G2000" s="315"/>
      <c r="H2000" s="314"/>
      <c r="I2000" s="316"/>
      <c r="J2000" s="361">
        <v>0</v>
      </c>
      <c r="K2000" s="313"/>
      <c r="L2000" s="318" t="str">
        <f>IF(G2000&lt;&gt;"",IF(VLOOKUP(G2000,base_barras,10,FALSE)&lt;&gt;"",VLOOKUP(G2000,base_barras,10,FALSE),"-"),"-")</f>
        <v>-</v>
      </c>
      <c r="M2000" s="317">
        <f>IF(L2000&lt;&gt;"-",VLOOKUP(L2000,precio_aislador,2,FALSE),0)</f>
        <v>0</v>
      </c>
      <c r="N2000" s="308">
        <f>(I2000*J2000*F2000+K2000*M2000)*E2000*1.67*1.25</f>
        <v>0</v>
      </c>
      <c r="O2000" s="288"/>
      <c r="P2000" s="297"/>
      <c r="Q2000" s="297"/>
    </row>
    <row r="2001" spans="1:20" s="102" customFormat="1" ht="13.5" thickBot="1">
      <c r="A2001" s="323"/>
      <c r="B2001" s="309"/>
      <c r="C2001" s="309"/>
      <c r="D2001" s="382"/>
      <c r="E2001" s="323"/>
      <c r="F2001" s="309"/>
      <c r="G2001" s="309"/>
      <c r="H2001" s="323"/>
      <c r="I2001" s="325"/>
      <c r="J2001" s="325"/>
      <c r="K2001" s="323"/>
      <c r="L2001" s="323"/>
      <c r="M2001" s="325"/>
      <c r="N2001" s="706">
        <f>SUM(N1999:N2000)</f>
        <v>0</v>
      </c>
      <c r="O2001" s="288"/>
      <c r="P2001" s="297"/>
      <c r="Q2001" s="297"/>
    </row>
    <row r="2002" spans="1:20" s="102" customFormat="1">
      <c r="A2002" s="323"/>
      <c r="B2002" s="309"/>
      <c r="C2002" s="309"/>
      <c r="D2002" s="382"/>
      <c r="E2002" s="323"/>
      <c r="F2002" s="309"/>
      <c r="G2002" s="309"/>
      <c r="H2002" s="323"/>
      <c r="I2002" s="325"/>
      <c r="J2002" s="325"/>
      <c r="K2002" s="323"/>
      <c r="L2002" s="323"/>
      <c r="M2002" s="325"/>
      <c r="N2002" s="722"/>
      <c r="O2002" s="288"/>
      <c r="P2002" s="297"/>
      <c r="Q2002" s="297"/>
    </row>
    <row r="2003" spans="1:20" s="102" customFormat="1">
      <c r="A2003" s="323"/>
      <c r="B2003" s="485"/>
      <c r="C2003" s="485"/>
      <c r="D2003" s="486"/>
      <c r="E2003" s="487"/>
      <c r="F2003" s="485"/>
      <c r="G2003" s="485"/>
      <c r="H2003" s="487"/>
      <c r="I2003" s="488"/>
      <c r="J2003" s="488"/>
      <c r="K2003" s="487"/>
      <c r="L2003" s="487"/>
      <c r="M2003" s="488"/>
      <c r="N2003" s="743"/>
      <c r="O2003" s="490"/>
      <c r="P2003" s="491"/>
      <c r="Q2003" s="297"/>
    </row>
    <row r="2004" spans="1:20" s="102" customFormat="1">
      <c r="A2004" s="323"/>
      <c r="B2004" s="309"/>
      <c r="C2004" s="309"/>
      <c r="D2004" s="382"/>
      <c r="E2004" s="323"/>
      <c r="F2004" s="309"/>
      <c r="G2004" s="309"/>
      <c r="H2004" s="323"/>
      <c r="I2004" s="325"/>
      <c r="J2004" s="325"/>
      <c r="K2004" s="323"/>
      <c r="L2004" s="323"/>
      <c r="M2004" s="325"/>
      <c r="N2004" s="722"/>
      <c r="O2004" s="288"/>
      <c r="P2004" s="297"/>
      <c r="Q2004" s="297"/>
    </row>
    <row r="2005" spans="1:20" s="102" customFormat="1" ht="13.5" thickBot="1">
      <c r="A2005" s="323"/>
      <c r="B2005" s="309"/>
      <c r="C2005" s="309"/>
      <c r="D2005" s="382"/>
      <c r="E2005" s="323"/>
      <c r="F2005" s="309"/>
      <c r="G2005" s="309"/>
      <c r="H2005" s="323"/>
      <c r="I2005" s="325"/>
      <c r="J2005" s="325"/>
      <c r="K2005" s="323"/>
      <c r="L2005" s="323"/>
      <c r="M2005" s="325"/>
      <c r="N2005" s="722"/>
      <c r="O2005" s="288"/>
      <c r="P2005" s="297"/>
      <c r="Q2005" s="297"/>
    </row>
    <row r="2006" spans="1:20" s="199" customFormat="1" ht="15.75" customHeight="1">
      <c r="A2006" s="2636" t="s">
        <v>1830</v>
      </c>
      <c r="B2006" s="326" t="s">
        <v>1033</v>
      </c>
      <c r="C2006" s="327"/>
      <c r="D2006" s="328">
        <f t="shared" ref="D2006:D2012" si="733">IF(H2006&lt;&gt;"",VLOOKUP(G2006,base_barras,IF(H2006="Desnuda",2,5)+F2006-1,FALSE),"-")</f>
        <v>1500</v>
      </c>
      <c r="E2006" s="329">
        <v>3</v>
      </c>
      <c r="F2006" s="330">
        <v>1</v>
      </c>
      <c r="G2006" s="331" t="s">
        <v>582</v>
      </c>
      <c r="H2006" s="330" t="s">
        <v>1043</v>
      </c>
      <c r="I2006" s="332">
        <f>0.8+0.8</f>
        <v>1.6</v>
      </c>
      <c r="J2006" s="333">
        <f t="shared" ref="J2006:J2012" si="734">IF(G2006&lt;&gt;"",VLOOKUP(G2006,precio_barras,9,FALSE),0)</f>
        <v>71.100000000000009</v>
      </c>
      <c r="K2006" s="329">
        <v>4</v>
      </c>
      <c r="L2006" s="343" t="str">
        <f t="shared" ref="L2006:L2012" si="735">IF(G2006&lt;&gt;"",IF(VLOOKUP(G2006,base_barras,10,FALSE)&lt;&gt;"",VLOOKUP(G2006,base_barras,10,FALSE),"-"),"-")</f>
        <v>1/1000</v>
      </c>
      <c r="M2006" s="333">
        <f t="shared" ref="M2006:M2012" si="736">IF(L2006&lt;&gt;"-",VLOOKUP(L2006,precio_aislador,2,FALSE),0)</f>
        <v>2.7</v>
      </c>
      <c r="N2006" s="360">
        <f t="shared" ref="N2006:N2012" si="737">(I2006*J2006*F2006+K2006*M2006)*E2006*1.67*1.25</f>
        <v>780.05700000000002</v>
      </c>
      <c r="O2006" s="288"/>
      <c r="P2006" s="297"/>
      <c r="Q2006" s="288"/>
      <c r="R2006" s="102"/>
      <c r="S2006" s="102"/>
      <c r="T2006" s="102"/>
    </row>
    <row r="2007" spans="1:20" s="199" customFormat="1" ht="15.75" customHeight="1">
      <c r="A2007" s="2627"/>
      <c r="B2007" s="310" t="s">
        <v>1829</v>
      </c>
      <c r="C2007" s="311"/>
      <c r="D2007" s="312">
        <f t="shared" si="733"/>
        <v>1470</v>
      </c>
      <c r="E2007" s="313">
        <v>3</v>
      </c>
      <c r="F2007" s="314">
        <v>2</v>
      </c>
      <c r="G2007" s="315" t="s">
        <v>469</v>
      </c>
      <c r="H2007" s="314" t="s">
        <v>1043</v>
      </c>
      <c r="I2007" s="316">
        <v>0.61</v>
      </c>
      <c r="J2007" s="478">
        <f t="shared" si="734"/>
        <v>35.6</v>
      </c>
      <c r="K2007" s="313">
        <v>0</v>
      </c>
      <c r="L2007" s="318" t="str">
        <f t="shared" si="735"/>
        <v>1/750</v>
      </c>
      <c r="M2007" s="317">
        <f t="shared" si="736"/>
        <v>1.9</v>
      </c>
      <c r="N2007" s="308">
        <f t="shared" si="737"/>
        <v>271.99289999999996</v>
      </c>
      <c r="O2007" s="288"/>
      <c r="P2007" s="297"/>
      <c r="Q2007" s="288"/>
      <c r="R2007" s="102"/>
      <c r="S2007" s="102"/>
      <c r="T2007" s="102"/>
    </row>
    <row r="2008" spans="1:20" s="199" customFormat="1" ht="15.75" customHeight="1">
      <c r="A2008" s="2627"/>
      <c r="B2008" s="310" t="s">
        <v>2584</v>
      </c>
      <c r="C2008" s="311"/>
      <c r="D2008" s="312">
        <f t="shared" si="733"/>
        <v>384</v>
      </c>
      <c r="E2008" s="313">
        <v>3</v>
      </c>
      <c r="F2008" s="314">
        <v>1</v>
      </c>
      <c r="G2008" s="315" t="s">
        <v>63</v>
      </c>
      <c r="H2008" s="314" t="s">
        <v>1043</v>
      </c>
      <c r="I2008" s="316">
        <v>0.61</v>
      </c>
      <c r="J2008" s="317">
        <f t="shared" si="734"/>
        <v>11.100000000000001</v>
      </c>
      <c r="K2008" s="313">
        <v>0</v>
      </c>
      <c r="L2008" s="318" t="str">
        <f t="shared" si="735"/>
        <v>0.5/400</v>
      </c>
      <c r="M2008" s="317">
        <f t="shared" si="736"/>
        <v>1.2</v>
      </c>
      <c r="N2008" s="308">
        <f t="shared" si="737"/>
        <v>42.403387500000001</v>
      </c>
      <c r="O2008" s="288"/>
      <c r="P2008" s="297"/>
      <c r="Q2008" s="288"/>
      <c r="R2008" s="102"/>
      <c r="S2008" s="102"/>
      <c r="T2008" s="102"/>
    </row>
    <row r="2009" spans="1:20" s="199" customFormat="1" ht="15.75" customHeight="1">
      <c r="A2009" s="2627"/>
      <c r="B2009" s="310" t="s">
        <v>2584</v>
      </c>
      <c r="C2009" s="311"/>
      <c r="D2009" s="312">
        <f t="shared" si="733"/>
        <v>384</v>
      </c>
      <c r="E2009" s="313">
        <v>3</v>
      </c>
      <c r="F2009" s="314">
        <v>1</v>
      </c>
      <c r="G2009" s="315" t="s">
        <v>63</v>
      </c>
      <c r="H2009" s="314" t="s">
        <v>1043</v>
      </c>
      <c r="I2009" s="316">
        <v>0.61</v>
      </c>
      <c r="J2009" s="317">
        <f t="shared" si="734"/>
        <v>11.100000000000001</v>
      </c>
      <c r="K2009" s="313">
        <v>0</v>
      </c>
      <c r="L2009" s="318" t="str">
        <f t="shared" si="735"/>
        <v>0.5/400</v>
      </c>
      <c r="M2009" s="317">
        <f t="shared" si="736"/>
        <v>1.2</v>
      </c>
      <c r="N2009" s="308">
        <f t="shared" si="737"/>
        <v>42.403387500000001</v>
      </c>
      <c r="O2009" s="288"/>
      <c r="P2009" s="297"/>
      <c r="Q2009" s="288"/>
      <c r="R2009" s="102"/>
      <c r="S2009" s="102"/>
      <c r="T2009" s="102"/>
    </row>
    <row r="2010" spans="1:20" s="199" customFormat="1" ht="15.75" customHeight="1">
      <c r="A2010" s="2627"/>
      <c r="B2010" s="310" t="s">
        <v>2577</v>
      </c>
      <c r="C2010" s="311"/>
      <c r="D2010" s="312">
        <f t="shared" si="733"/>
        <v>985</v>
      </c>
      <c r="E2010" s="313">
        <v>3</v>
      </c>
      <c r="F2010" s="314">
        <v>1</v>
      </c>
      <c r="G2010" s="315" t="s">
        <v>581</v>
      </c>
      <c r="H2010" s="314" t="s">
        <v>1044</v>
      </c>
      <c r="I2010" s="316">
        <v>0.3</v>
      </c>
      <c r="J2010" s="317">
        <f t="shared" si="734"/>
        <v>53.3</v>
      </c>
      <c r="K2010" s="313">
        <v>0</v>
      </c>
      <c r="L2010" s="318" t="str">
        <f t="shared" si="735"/>
        <v>1/750</v>
      </c>
      <c r="M2010" s="317">
        <f t="shared" si="736"/>
        <v>1.9</v>
      </c>
      <c r="N2010" s="308">
        <f t="shared" si="737"/>
        <v>100.13737499999999</v>
      </c>
      <c r="O2010" s="288"/>
      <c r="P2010" s="297"/>
      <c r="Q2010" s="288"/>
      <c r="R2010" s="102"/>
      <c r="S2010" s="102"/>
      <c r="T2010" s="102"/>
    </row>
    <row r="2011" spans="1:20" s="199" customFormat="1" ht="14.25">
      <c r="A2011" s="2627"/>
      <c r="B2011" s="310" t="s">
        <v>801</v>
      </c>
      <c r="C2011" s="319"/>
      <c r="D2011" s="312">
        <f t="shared" si="733"/>
        <v>1500</v>
      </c>
      <c r="E2011" s="313">
        <v>1</v>
      </c>
      <c r="F2011" s="314">
        <v>1</v>
      </c>
      <c r="G2011" s="315" t="s">
        <v>582</v>
      </c>
      <c r="H2011" s="314" t="s">
        <v>1043</v>
      </c>
      <c r="I2011" s="316">
        <v>0</v>
      </c>
      <c r="J2011" s="317">
        <f t="shared" si="734"/>
        <v>71.100000000000009</v>
      </c>
      <c r="K2011" s="320">
        <v>0</v>
      </c>
      <c r="L2011" s="318" t="str">
        <f t="shared" si="735"/>
        <v>1/1000</v>
      </c>
      <c r="M2011" s="317">
        <f t="shared" si="736"/>
        <v>2.7</v>
      </c>
      <c r="N2011" s="308">
        <f t="shared" si="737"/>
        <v>0</v>
      </c>
      <c r="O2011" s="288"/>
      <c r="P2011" s="297"/>
      <c r="Q2011" s="288"/>
      <c r="R2011" s="102"/>
      <c r="S2011" s="102"/>
      <c r="T2011" s="102"/>
    </row>
    <row r="2012" spans="1:20" s="199" customFormat="1" ht="15" thickBot="1">
      <c r="A2012" s="2628"/>
      <c r="B2012" s="321" t="s">
        <v>802</v>
      </c>
      <c r="C2012" s="363"/>
      <c r="D2012" s="364">
        <f t="shared" si="733"/>
        <v>850</v>
      </c>
      <c r="E2012" s="365">
        <v>1</v>
      </c>
      <c r="F2012" s="366">
        <v>1</v>
      </c>
      <c r="G2012" s="322" t="s">
        <v>469</v>
      </c>
      <c r="H2012" s="366" t="s">
        <v>1043</v>
      </c>
      <c r="I2012" s="367">
        <f>I2006</f>
        <v>1.6</v>
      </c>
      <c r="J2012" s="368">
        <f t="shared" si="734"/>
        <v>35.6</v>
      </c>
      <c r="K2012" s="395">
        <v>0</v>
      </c>
      <c r="L2012" s="369" t="str">
        <f t="shared" si="735"/>
        <v>1/750</v>
      </c>
      <c r="M2012" s="368">
        <f t="shared" si="736"/>
        <v>1.9</v>
      </c>
      <c r="N2012" s="370">
        <f t="shared" si="737"/>
        <v>118.90400000000001</v>
      </c>
      <c r="O2012" s="288"/>
      <c r="P2012" s="297"/>
      <c r="Q2012" s="288"/>
      <c r="R2012" s="102"/>
      <c r="S2012" s="102"/>
      <c r="T2012" s="102"/>
    </row>
    <row r="2013" spans="1:20" s="129" customFormat="1" ht="22.5" customHeight="1" thickBot="1">
      <c r="A2013" s="371"/>
      <c r="B2013" s="375"/>
      <c r="C2013" s="375"/>
      <c r="D2013" s="383"/>
      <c r="E2013" s="373"/>
      <c r="F2013" s="373"/>
      <c r="G2013" s="373"/>
      <c r="H2013" s="373"/>
      <c r="I2013" s="374"/>
      <c r="J2013" s="374"/>
      <c r="K2013" s="373"/>
      <c r="L2013" s="373"/>
      <c r="M2013" s="372"/>
      <c r="N2013" s="699">
        <f>SUM(N2006:N2012)</f>
        <v>1355.89805</v>
      </c>
      <c r="O2013" s="288"/>
      <c r="P2013" s="297"/>
      <c r="Q2013" s="288"/>
      <c r="R2013" s="102"/>
      <c r="S2013" s="102"/>
      <c r="T2013" s="102"/>
    </row>
    <row r="2014" spans="1:20" s="102" customFormat="1" ht="8.25" customHeight="1" thickBot="1">
      <c r="A2014" s="323"/>
      <c r="B2014" s="309"/>
      <c r="C2014" s="323"/>
      <c r="D2014" s="382"/>
      <c r="E2014" s="323"/>
      <c r="F2014" s="325"/>
      <c r="G2014" s="325"/>
      <c r="H2014" s="325"/>
      <c r="I2014" s="323"/>
      <c r="J2014" s="323"/>
      <c r="K2014" s="323"/>
      <c r="L2014" s="325"/>
      <c r="M2014" s="323"/>
      <c r="N2014" s="309"/>
      <c r="O2014" s="288"/>
      <c r="P2014" s="297"/>
      <c r="Q2014" s="288"/>
    </row>
    <row r="2015" spans="1:20" s="102" customFormat="1">
      <c r="A2015" s="2629" t="s">
        <v>1228</v>
      </c>
      <c r="B2015" s="326" t="s">
        <v>1033</v>
      </c>
      <c r="C2015" s="327"/>
      <c r="D2015" s="328">
        <f>IF(H2015&lt;&gt;"",VLOOKUP(G2015,base_barras,IF(H2015="Desnuda",2,5)+F2015-1,FALSE),"-")</f>
        <v>1500</v>
      </c>
      <c r="E2015" s="481">
        <v>3</v>
      </c>
      <c r="F2015" s="330">
        <v>1</v>
      </c>
      <c r="G2015" s="331" t="s">
        <v>582</v>
      </c>
      <c r="H2015" s="330" t="s">
        <v>1043</v>
      </c>
      <c r="I2015" s="332">
        <v>0.2</v>
      </c>
      <c r="J2015" s="333">
        <f>IF(G2015&lt;&gt;"",VLOOKUP(G2015,precio_barras,9,FALSE),0)</f>
        <v>71.100000000000009</v>
      </c>
      <c r="K2015" s="329">
        <v>0</v>
      </c>
      <c r="L2015" s="343" t="str">
        <f>IF(G2015&lt;&gt;"",IF(VLOOKUP(G2015,base_barras,10,FALSE)&lt;&gt;"",VLOOKUP(G2015,base_barras,10,FALSE),"-"),"-")</f>
        <v>1/1000</v>
      </c>
      <c r="M2015" s="333">
        <f>IF(L2015&lt;&gt;"-",VLOOKUP(L2015,precio_aislador,2,FALSE),0)</f>
        <v>2.7</v>
      </c>
      <c r="N2015" s="360">
        <f>(I2015*J2015*F2015+K2015*M2015)*E2015*1.67*1.25</f>
        <v>89.052750000000017</v>
      </c>
      <c r="O2015" s="288"/>
      <c r="P2015" s="297"/>
      <c r="Q2015" s="297"/>
    </row>
    <row r="2016" spans="1:20" s="102" customFormat="1" ht="13.5" thickBot="1">
      <c r="A2016" s="2635"/>
      <c r="B2016" s="321"/>
      <c r="C2016" s="479"/>
      <c r="D2016" s="364" t="str">
        <f>IF(H2016&lt;&gt;"",VLOOKUP(G2016,base_barras,IF(H2016="Desnuda",2,5)+F2016-1,FALSE),"-")</f>
        <v>-</v>
      </c>
      <c r="E2016" s="365"/>
      <c r="F2016" s="366"/>
      <c r="G2016" s="322"/>
      <c r="H2016" s="366"/>
      <c r="I2016" s="367"/>
      <c r="J2016" s="480">
        <f>IF(G2016&lt;&gt;"",VLOOKUP(G2016,precio_barras,9,FALSE),0)</f>
        <v>0</v>
      </c>
      <c r="K2016" s="365"/>
      <c r="L2016" s="369" t="str">
        <f>IF(G2016&lt;&gt;"",IF(VLOOKUP(G2016,base_barras,10,FALSE)&lt;&gt;"",VLOOKUP(G2016,base_barras,10,FALSE),"-"),"-")</f>
        <v>-</v>
      </c>
      <c r="M2016" s="368">
        <f>IF(L2016&lt;&gt;"-",VLOOKUP(L2016,precio_aislador,2,FALSE),0)</f>
        <v>0</v>
      </c>
      <c r="N2016" s="370">
        <f>(I2016*J2016*F2016+K2016*M2016)*E2016*1.67*1.25</f>
        <v>0</v>
      </c>
      <c r="O2016" s="288"/>
      <c r="P2016" s="297"/>
      <c r="Q2016" s="297"/>
    </row>
    <row r="2017" spans="1:20" s="102" customFormat="1" ht="13.5" thickBot="1">
      <c r="A2017" s="323"/>
      <c r="B2017" s="309"/>
      <c r="C2017" s="309"/>
      <c r="D2017" s="382"/>
      <c r="E2017" s="323"/>
      <c r="F2017" s="309"/>
      <c r="G2017" s="309"/>
      <c r="H2017" s="323"/>
      <c r="I2017" s="325"/>
      <c r="J2017" s="325"/>
      <c r="K2017" s="323"/>
      <c r="L2017" s="323"/>
      <c r="M2017" s="325"/>
      <c r="N2017" s="706">
        <f>SUM(N2015:N2016)</f>
        <v>89.052750000000017</v>
      </c>
      <c r="O2017" s="288"/>
      <c r="P2017" s="297"/>
      <c r="Q2017" s="297"/>
    </row>
    <row r="2018" spans="1:20" s="102" customFormat="1">
      <c r="A2018" s="323"/>
      <c r="B2018" s="309"/>
      <c r="C2018" s="309"/>
      <c r="D2018" s="382"/>
      <c r="E2018" s="323"/>
      <c r="F2018" s="309"/>
      <c r="G2018" s="309"/>
      <c r="H2018" s="323"/>
      <c r="I2018" s="325"/>
      <c r="J2018" s="325"/>
      <c r="K2018" s="323"/>
      <c r="L2018" s="323"/>
      <c r="M2018" s="325"/>
      <c r="N2018" s="722"/>
      <c r="O2018" s="288"/>
      <c r="P2018" s="297"/>
      <c r="Q2018" s="297"/>
    </row>
    <row r="2019" spans="1:20" s="102" customFormat="1">
      <c r="A2019" s="323"/>
      <c r="B2019" s="309"/>
      <c r="C2019" s="309"/>
      <c r="D2019" s="382"/>
      <c r="E2019" s="323"/>
      <c r="F2019" s="309"/>
      <c r="G2019" s="309"/>
      <c r="H2019" s="323"/>
      <c r="I2019" s="325"/>
      <c r="J2019" s="325"/>
      <c r="K2019" s="323"/>
      <c r="L2019" s="323"/>
      <c r="M2019" s="325"/>
      <c r="N2019" s="722"/>
      <c r="O2019" s="288"/>
      <c r="P2019" s="297"/>
      <c r="Q2019" s="297"/>
    </row>
    <row r="2020" spans="1:20" s="102" customFormat="1" ht="13.5" thickBot="1">
      <c r="A2020" s="323"/>
      <c r="B2020" s="309"/>
      <c r="C2020" s="309"/>
      <c r="D2020" s="382"/>
      <c r="E2020" s="323"/>
      <c r="F2020" s="309"/>
      <c r="G2020" s="309"/>
      <c r="H2020" s="323"/>
      <c r="I2020" s="325"/>
      <c r="J2020" s="325"/>
      <c r="K2020" s="323"/>
      <c r="L2020" s="323"/>
      <c r="M2020" s="325"/>
      <c r="N2020" s="722"/>
      <c r="O2020" s="288"/>
      <c r="P2020" s="297"/>
      <c r="Q2020" s="297"/>
    </row>
    <row r="2021" spans="1:20" s="199" customFormat="1" ht="15.75" customHeight="1">
      <c r="A2021" s="2636" t="s">
        <v>1831</v>
      </c>
      <c r="B2021" s="326" t="s">
        <v>1033</v>
      </c>
      <c r="C2021" s="327"/>
      <c r="D2021" s="328">
        <f t="shared" ref="D2021:D2027" si="738">IF(H2021&lt;&gt;"",VLOOKUP(G2021,base_barras,IF(H2021="Desnuda",2,5)+F2021-1,FALSE),"-")</f>
        <v>1960</v>
      </c>
      <c r="E2021" s="329">
        <v>3</v>
      </c>
      <c r="F2021" s="330">
        <v>2</v>
      </c>
      <c r="G2021" s="331" t="s">
        <v>581</v>
      </c>
      <c r="H2021" s="330" t="s">
        <v>1043</v>
      </c>
      <c r="I2021" s="332">
        <f>0.8+0.8</f>
        <v>1.6</v>
      </c>
      <c r="J2021" s="333">
        <f t="shared" ref="J2021:J2027" si="739">IF(G2021&lt;&gt;"",VLOOKUP(G2021,precio_barras,9,FALSE),0)</f>
        <v>53.3</v>
      </c>
      <c r="K2021" s="329">
        <v>4</v>
      </c>
      <c r="L2021" s="343" t="str">
        <f t="shared" ref="L2021:L2027" si="740">IF(G2021&lt;&gt;"",IF(VLOOKUP(G2021,base_barras,10,FALSE)&lt;&gt;"",VLOOKUP(G2021,base_barras,10,FALSE),"-"),"-")</f>
        <v>1/750</v>
      </c>
      <c r="M2021" s="333">
        <f t="shared" ref="M2021:M2027" si="741">IF(L2021&lt;&gt;"-",VLOOKUP(L2021,precio_aislador,2,FALSE),0)</f>
        <v>1.9</v>
      </c>
      <c r="N2021" s="360">
        <f t="shared" ref="N2021:N2027" si="742">(I2021*J2021*F2021+K2021*M2021)*E2021*1.67*1.25</f>
        <v>1115.7269999999999</v>
      </c>
      <c r="O2021" s="288"/>
      <c r="P2021" s="297"/>
      <c r="Q2021" s="288"/>
      <c r="R2021" s="102"/>
      <c r="S2021" s="102"/>
      <c r="T2021" s="102"/>
    </row>
    <row r="2022" spans="1:20" s="199" customFormat="1" ht="15.75" customHeight="1">
      <c r="A2022" s="2627"/>
      <c r="B2022" s="310" t="s">
        <v>1829</v>
      </c>
      <c r="C2022" s="311"/>
      <c r="D2022" s="312">
        <f t="shared" si="738"/>
        <v>1960</v>
      </c>
      <c r="E2022" s="313">
        <v>3</v>
      </c>
      <c r="F2022" s="314">
        <v>2</v>
      </c>
      <c r="G2022" s="315" t="s">
        <v>581</v>
      </c>
      <c r="H2022" s="314" t="s">
        <v>1043</v>
      </c>
      <c r="I2022" s="316">
        <v>0.61</v>
      </c>
      <c r="J2022" s="478">
        <f t="shared" si="739"/>
        <v>53.3</v>
      </c>
      <c r="K2022" s="313">
        <v>0</v>
      </c>
      <c r="L2022" s="318" t="str">
        <f t="shared" si="740"/>
        <v>1/750</v>
      </c>
      <c r="M2022" s="317">
        <f t="shared" si="741"/>
        <v>1.9</v>
      </c>
      <c r="N2022" s="308">
        <f t="shared" si="742"/>
        <v>407.22532499999994</v>
      </c>
      <c r="O2022" s="288"/>
      <c r="P2022" s="297"/>
      <c r="Q2022" s="288"/>
      <c r="R2022" s="102"/>
      <c r="S2022" s="102"/>
      <c r="T2022" s="102"/>
    </row>
    <row r="2023" spans="1:20" s="199" customFormat="1" ht="15.75" customHeight="1">
      <c r="A2023" s="2627"/>
      <c r="B2023" s="310" t="s">
        <v>2585</v>
      </c>
      <c r="C2023" s="311"/>
      <c r="D2023" s="312">
        <f t="shared" si="738"/>
        <v>850</v>
      </c>
      <c r="E2023" s="313">
        <v>3</v>
      </c>
      <c r="F2023" s="314">
        <v>1</v>
      </c>
      <c r="G2023" s="315" t="s">
        <v>469</v>
      </c>
      <c r="H2023" s="314" t="s">
        <v>1043</v>
      </c>
      <c r="I2023" s="316">
        <v>0.61</v>
      </c>
      <c r="J2023" s="317">
        <f t="shared" si="739"/>
        <v>35.6</v>
      </c>
      <c r="K2023" s="313">
        <v>0</v>
      </c>
      <c r="L2023" s="318" t="str">
        <f t="shared" si="740"/>
        <v>1/750</v>
      </c>
      <c r="M2023" s="317">
        <f t="shared" si="741"/>
        <v>1.9</v>
      </c>
      <c r="N2023" s="308">
        <f t="shared" si="742"/>
        <v>135.99644999999998</v>
      </c>
      <c r="O2023" s="288"/>
      <c r="P2023" s="297"/>
      <c r="Q2023" s="288"/>
      <c r="R2023" s="102"/>
      <c r="S2023" s="102"/>
      <c r="T2023" s="102"/>
    </row>
    <row r="2024" spans="1:20" s="199" customFormat="1" ht="15.75" customHeight="1">
      <c r="A2024" s="2627"/>
      <c r="B2024" s="310" t="s">
        <v>2578</v>
      </c>
      <c r="C2024" s="311"/>
      <c r="D2024" s="312">
        <f t="shared" si="738"/>
        <v>985</v>
      </c>
      <c r="E2024" s="313">
        <v>3</v>
      </c>
      <c r="F2024" s="314">
        <v>1</v>
      </c>
      <c r="G2024" s="315" t="s">
        <v>581</v>
      </c>
      <c r="H2024" s="314" t="s">
        <v>1044</v>
      </c>
      <c r="I2024" s="316">
        <v>0.3</v>
      </c>
      <c r="J2024" s="317">
        <f t="shared" si="739"/>
        <v>53.3</v>
      </c>
      <c r="K2024" s="313">
        <v>0</v>
      </c>
      <c r="L2024" s="318" t="str">
        <f t="shared" si="740"/>
        <v>1/750</v>
      </c>
      <c r="M2024" s="317">
        <f t="shared" si="741"/>
        <v>1.9</v>
      </c>
      <c r="N2024" s="308">
        <f t="shared" si="742"/>
        <v>100.13737499999999</v>
      </c>
      <c r="O2024" s="288"/>
      <c r="P2024" s="297"/>
      <c r="Q2024" s="288"/>
      <c r="R2024" s="102"/>
      <c r="S2024" s="102"/>
      <c r="T2024" s="102"/>
    </row>
    <row r="2025" spans="1:20" s="199" customFormat="1" ht="15.75" customHeight="1">
      <c r="A2025" s="2627"/>
      <c r="B2025" s="310" t="s">
        <v>2577</v>
      </c>
      <c r="C2025" s="311"/>
      <c r="D2025" s="312">
        <f t="shared" si="738"/>
        <v>985</v>
      </c>
      <c r="E2025" s="313">
        <v>3</v>
      </c>
      <c r="F2025" s="314">
        <v>1</v>
      </c>
      <c r="G2025" s="315" t="s">
        <v>581</v>
      </c>
      <c r="H2025" s="314" t="s">
        <v>1044</v>
      </c>
      <c r="I2025" s="316">
        <v>0.3</v>
      </c>
      <c r="J2025" s="317">
        <f t="shared" si="739"/>
        <v>53.3</v>
      </c>
      <c r="K2025" s="313">
        <v>0</v>
      </c>
      <c r="L2025" s="318" t="str">
        <f t="shared" si="740"/>
        <v>1/750</v>
      </c>
      <c r="M2025" s="317">
        <f t="shared" si="741"/>
        <v>1.9</v>
      </c>
      <c r="N2025" s="308">
        <f t="shared" si="742"/>
        <v>100.13737499999999</v>
      </c>
      <c r="O2025" s="288"/>
      <c r="P2025" s="297"/>
      <c r="Q2025" s="288"/>
      <c r="R2025" s="102"/>
      <c r="S2025" s="102"/>
      <c r="T2025" s="102"/>
    </row>
    <row r="2026" spans="1:20" s="199" customFormat="1" ht="14.25">
      <c r="A2026" s="2627"/>
      <c r="B2026" s="310" t="s">
        <v>801</v>
      </c>
      <c r="C2026" s="319"/>
      <c r="D2026" s="312">
        <f t="shared" si="738"/>
        <v>1960</v>
      </c>
      <c r="E2026" s="313">
        <v>1</v>
      </c>
      <c r="F2026" s="314">
        <v>2</v>
      </c>
      <c r="G2026" s="315" t="s">
        <v>581</v>
      </c>
      <c r="H2026" s="314" t="s">
        <v>1043</v>
      </c>
      <c r="I2026" s="316">
        <v>0</v>
      </c>
      <c r="J2026" s="317">
        <f t="shared" si="739"/>
        <v>53.3</v>
      </c>
      <c r="K2026" s="320">
        <v>0</v>
      </c>
      <c r="L2026" s="318" t="str">
        <f t="shared" si="740"/>
        <v>1/750</v>
      </c>
      <c r="M2026" s="317">
        <f t="shared" si="741"/>
        <v>1.9</v>
      </c>
      <c r="N2026" s="308">
        <f t="shared" si="742"/>
        <v>0</v>
      </c>
      <c r="O2026" s="288"/>
      <c r="P2026" s="297"/>
      <c r="Q2026" s="288"/>
      <c r="R2026" s="102"/>
      <c r="S2026" s="102"/>
      <c r="T2026" s="102"/>
    </row>
    <row r="2027" spans="1:20" s="199" customFormat="1" ht="15" thickBot="1">
      <c r="A2027" s="2628"/>
      <c r="B2027" s="321" t="s">
        <v>802</v>
      </c>
      <c r="C2027" s="363"/>
      <c r="D2027" s="364">
        <f t="shared" si="738"/>
        <v>1180</v>
      </c>
      <c r="E2027" s="365">
        <v>1</v>
      </c>
      <c r="F2027" s="366">
        <v>1</v>
      </c>
      <c r="G2027" s="322" t="s">
        <v>581</v>
      </c>
      <c r="H2027" s="366" t="s">
        <v>1043</v>
      </c>
      <c r="I2027" s="367">
        <f>I2021</f>
        <v>1.6</v>
      </c>
      <c r="J2027" s="368">
        <f t="shared" si="739"/>
        <v>53.3</v>
      </c>
      <c r="K2027" s="395">
        <v>0</v>
      </c>
      <c r="L2027" s="369" t="str">
        <f t="shared" si="740"/>
        <v>1/750</v>
      </c>
      <c r="M2027" s="368">
        <f t="shared" si="741"/>
        <v>1.9</v>
      </c>
      <c r="N2027" s="370">
        <f t="shared" si="742"/>
        <v>178.02199999999999</v>
      </c>
      <c r="O2027" s="288"/>
      <c r="P2027" s="297"/>
      <c r="Q2027" s="288"/>
      <c r="R2027" s="102"/>
      <c r="S2027" s="102"/>
      <c r="T2027" s="102"/>
    </row>
    <row r="2028" spans="1:20" s="129" customFormat="1" ht="22.5" customHeight="1" thickBot="1">
      <c r="A2028" s="371"/>
      <c r="B2028" s="375"/>
      <c r="C2028" s="375"/>
      <c r="D2028" s="383"/>
      <c r="E2028" s="373"/>
      <c r="F2028" s="373"/>
      <c r="G2028" s="373"/>
      <c r="H2028" s="373"/>
      <c r="I2028" s="374"/>
      <c r="J2028" s="374"/>
      <c r="K2028" s="373"/>
      <c r="L2028" s="373"/>
      <c r="M2028" s="372"/>
      <c r="N2028" s="699">
        <f>SUM(N2021:N2027)</f>
        <v>2037.2455249999998</v>
      </c>
      <c r="O2028" s="288"/>
      <c r="P2028" s="297"/>
      <c r="Q2028" s="288"/>
      <c r="R2028" s="102"/>
      <c r="S2028" s="102"/>
      <c r="T2028" s="102"/>
    </row>
    <row r="2029" spans="1:20" s="102" customFormat="1" ht="8.25" customHeight="1" thickBot="1">
      <c r="A2029" s="323"/>
      <c r="B2029" s="309"/>
      <c r="C2029" s="323"/>
      <c r="D2029" s="382"/>
      <c r="E2029" s="323"/>
      <c r="F2029" s="325"/>
      <c r="G2029" s="325"/>
      <c r="H2029" s="325"/>
      <c r="I2029" s="323"/>
      <c r="J2029" s="323"/>
      <c r="K2029" s="323"/>
      <c r="L2029" s="325"/>
      <c r="M2029" s="323"/>
      <c r="N2029" s="309"/>
      <c r="O2029" s="288"/>
      <c r="P2029" s="297"/>
      <c r="Q2029" s="288"/>
    </row>
    <row r="2030" spans="1:20" s="102" customFormat="1">
      <c r="A2030" s="2629" t="s">
        <v>1228</v>
      </c>
      <c r="B2030" s="326" t="s">
        <v>1033</v>
      </c>
      <c r="C2030" s="327"/>
      <c r="D2030" s="328">
        <f>IF(H2030&lt;&gt;"",VLOOKUP(G2030,base_barras,IF(H2030="Desnuda",2,5)+F2030-1,FALSE),"-")</f>
        <v>1960</v>
      </c>
      <c r="E2030" s="481">
        <v>3</v>
      </c>
      <c r="F2030" s="330">
        <v>2</v>
      </c>
      <c r="G2030" s="331" t="s">
        <v>581</v>
      </c>
      <c r="H2030" s="330" t="s">
        <v>1043</v>
      </c>
      <c r="I2030" s="332">
        <v>0.2</v>
      </c>
      <c r="J2030" s="333">
        <f>IF(G2030&lt;&gt;"",VLOOKUP(G2030,precio_barras,9,FALSE),0)</f>
        <v>53.3</v>
      </c>
      <c r="K2030" s="329">
        <v>0</v>
      </c>
      <c r="L2030" s="343" t="str">
        <f>IF(G2030&lt;&gt;"",IF(VLOOKUP(G2030,base_barras,10,FALSE)&lt;&gt;"",VLOOKUP(G2030,base_barras,10,FALSE),"-"),"-")</f>
        <v>1/750</v>
      </c>
      <c r="M2030" s="333">
        <f>IF(L2030&lt;&gt;"-",VLOOKUP(L2030,precio_aislador,2,FALSE),0)</f>
        <v>1.9</v>
      </c>
      <c r="N2030" s="360">
        <f>(I2030*J2030*F2030+K2030*M2030)*E2030*1.67*1.25</f>
        <v>133.51650000000001</v>
      </c>
      <c r="O2030" s="288"/>
      <c r="P2030" s="297"/>
      <c r="Q2030" s="297"/>
    </row>
    <row r="2031" spans="1:20" s="102" customFormat="1" ht="13.5" thickBot="1">
      <c r="A2031" s="2635"/>
      <c r="B2031" s="321"/>
      <c r="C2031" s="479"/>
      <c r="D2031" s="364" t="str">
        <f>IF(H2031&lt;&gt;"",VLOOKUP(G2031,base_barras,IF(H2031="Desnuda",2,5)+F2031-1,FALSE),"-")</f>
        <v>-</v>
      </c>
      <c r="E2031" s="365"/>
      <c r="F2031" s="366"/>
      <c r="G2031" s="322"/>
      <c r="H2031" s="366"/>
      <c r="I2031" s="367"/>
      <c r="J2031" s="480">
        <f>IF(G2031&lt;&gt;"",VLOOKUP(G2031,precio_barras,9,FALSE),0)</f>
        <v>0</v>
      </c>
      <c r="K2031" s="365"/>
      <c r="L2031" s="369" t="str">
        <f>IF(G2031&lt;&gt;"",IF(VLOOKUP(G2031,base_barras,10,FALSE)&lt;&gt;"",VLOOKUP(G2031,base_barras,10,FALSE),"-"),"-")</f>
        <v>-</v>
      </c>
      <c r="M2031" s="368">
        <f>IF(L2031&lt;&gt;"-",VLOOKUP(L2031,precio_aislador,2,FALSE),0)</f>
        <v>0</v>
      </c>
      <c r="N2031" s="370">
        <f>(I2031*J2031*F2031+K2031*M2031)*E2031*1.67*1.25</f>
        <v>0</v>
      </c>
      <c r="O2031" s="288"/>
      <c r="P2031" s="297"/>
      <c r="Q2031" s="297"/>
    </row>
    <row r="2032" spans="1:20" s="102" customFormat="1" ht="13.5" thickBot="1">
      <c r="A2032" s="323"/>
      <c r="B2032" s="309"/>
      <c r="C2032" s="309"/>
      <c r="D2032" s="382"/>
      <c r="E2032" s="323"/>
      <c r="F2032" s="309"/>
      <c r="G2032" s="309"/>
      <c r="H2032" s="323"/>
      <c r="I2032" s="325"/>
      <c r="J2032" s="325"/>
      <c r="K2032" s="323"/>
      <c r="L2032" s="323"/>
      <c r="M2032" s="325"/>
      <c r="N2032" s="706">
        <f>SUM(N2030:N2031)</f>
        <v>133.51650000000001</v>
      </c>
      <c r="O2032" s="288"/>
      <c r="P2032" s="297"/>
      <c r="Q2032" s="297"/>
    </row>
    <row r="2033" spans="1:20" s="102" customFormat="1">
      <c r="A2033" s="323"/>
      <c r="B2033" s="309"/>
      <c r="C2033" s="309"/>
      <c r="D2033" s="382"/>
      <c r="E2033" s="323"/>
      <c r="F2033" s="309"/>
      <c r="G2033" s="309"/>
      <c r="H2033" s="323"/>
      <c r="I2033" s="325"/>
      <c r="J2033" s="325"/>
      <c r="K2033" s="323"/>
      <c r="L2033" s="323"/>
      <c r="M2033" s="325"/>
      <c r="N2033" s="722"/>
      <c r="O2033" s="288"/>
      <c r="P2033" s="297"/>
      <c r="Q2033" s="297"/>
    </row>
    <row r="2034" spans="1:20" s="102" customFormat="1">
      <c r="A2034" s="323"/>
      <c r="B2034" s="309"/>
      <c r="C2034" s="309"/>
      <c r="D2034" s="382"/>
      <c r="E2034" s="323"/>
      <c r="F2034" s="309"/>
      <c r="G2034" s="309"/>
      <c r="H2034" s="323"/>
      <c r="I2034" s="325"/>
      <c r="J2034" s="325"/>
      <c r="K2034" s="323"/>
      <c r="L2034" s="323"/>
      <c r="M2034" s="325"/>
      <c r="N2034" s="722"/>
      <c r="O2034" s="288"/>
      <c r="P2034" s="297"/>
      <c r="Q2034" s="297"/>
    </row>
    <row r="2035" spans="1:20" s="102" customFormat="1">
      <c r="A2035" s="323"/>
      <c r="B2035" s="309"/>
      <c r="C2035" s="309"/>
      <c r="D2035" s="382"/>
      <c r="E2035" s="323"/>
      <c r="F2035" s="309"/>
      <c r="G2035" s="309"/>
      <c r="H2035" s="323"/>
      <c r="I2035" s="325"/>
      <c r="J2035" s="325"/>
      <c r="K2035" s="323"/>
      <c r="L2035" s="323"/>
      <c r="M2035" s="325"/>
      <c r="N2035" s="722"/>
      <c r="O2035" s="288"/>
      <c r="P2035" s="297"/>
      <c r="Q2035" s="297"/>
    </row>
    <row r="2036" spans="1:20" s="102" customFormat="1">
      <c r="A2036" s="323"/>
      <c r="B2036" s="309"/>
      <c r="C2036" s="309"/>
      <c r="D2036" s="382"/>
      <c r="E2036" s="323"/>
      <c r="F2036" s="309"/>
      <c r="G2036" s="309"/>
      <c r="H2036" s="323"/>
      <c r="I2036" s="325"/>
      <c r="J2036" s="325"/>
      <c r="K2036" s="323"/>
      <c r="L2036" s="323"/>
      <c r="M2036" s="325"/>
      <c r="N2036" s="722"/>
      <c r="O2036" s="288"/>
      <c r="P2036" s="297"/>
      <c r="Q2036" s="297"/>
    </row>
    <row r="2037" spans="1:20" s="102" customFormat="1">
      <c r="A2037" s="323"/>
      <c r="B2037" s="309"/>
      <c r="C2037" s="309"/>
      <c r="D2037" s="382"/>
      <c r="E2037" s="323"/>
      <c r="F2037" s="309"/>
      <c r="G2037" s="309"/>
      <c r="H2037" s="323"/>
      <c r="I2037" s="325"/>
      <c r="J2037" s="325"/>
      <c r="K2037" s="323"/>
      <c r="L2037" s="323"/>
      <c r="M2037" s="325"/>
      <c r="N2037" s="722"/>
      <c r="O2037" s="288"/>
      <c r="P2037" s="297"/>
      <c r="Q2037" s="297"/>
    </row>
    <row r="2038" spans="1:20" s="102" customFormat="1">
      <c r="A2038" s="323"/>
      <c r="B2038" s="309"/>
      <c r="C2038" s="309"/>
      <c r="D2038" s="382"/>
      <c r="E2038" s="323"/>
      <c r="F2038" s="309"/>
      <c r="G2038" s="309"/>
      <c r="H2038" s="323"/>
      <c r="I2038" s="325"/>
      <c r="J2038" s="325"/>
      <c r="K2038" s="323"/>
      <c r="L2038" s="323"/>
      <c r="M2038" s="325"/>
      <c r="N2038" s="722"/>
      <c r="O2038" s="288"/>
      <c r="P2038" s="297"/>
      <c r="Q2038" s="297"/>
    </row>
    <row r="2039" spans="1:20" s="102" customFormat="1" ht="14.25" customHeight="1">
      <c r="A2039" s="379"/>
      <c r="B2039" s="380"/>
      <c r="C2039" s="379"/>
      <c r="D2039" s="379"/>
      <c r="E2039" s="379"/>
      <c r="F2039" s="381"/>
      <c r="G2039" s="381"/>
      <c r="H2039" s="381"/>
      <c r="I2039" s="379"/>
      <c r="J2039" s="379"/>
      <c r="K2039" s="379"/>
      <c r="L2039" s="381"/>
      <c r="M2039" s="379"/>
      <c r="N2039" s="305"/>
      <c r="O2039" s="288"/>
      <c r="P2039" s="297"/>
      <c r="Q2039" s="297"/>
    </row>
    <row r="2040" spans="1:20" s="102" customFormat="1" ht="14.25" customHeight="1">
      <c r="A2040" s="379"/>
      <c r="B2040" s="380"/>
      <c r="C2040" s="379"/>
      <c r="D2040" s="379"/>
      <c r="E2040" s="379"/>
      <c r="F2040" s="381"/>
      <c r="G2040" s="381"/>
      <c r="H2040" s="381"/>
      <c r="I2040" s="379"/>
      <c r="J2040" s="379"/>
      <c r="K2040" s="379"/>
      <c r="L2040" s="381"/>
      <c r="M2040" s="379"/>
      <c r="N2040" s="305"/>
      <c r="O2040" s="288"/>
      <c r="P2040" s="297"/>
      <c r="Q2040" s="297"/>
    </row>
    <row r="2041" spans="1:20" s="199" customFormat="1" ht="15.75" customHeight="1">
      <c r="A2041" s="2626" t="s">
        <v>1408</v>
      </c>
      <c r="B2041" s="310" t="s">
        <v>1033</v>
      </c>
      <c r="C2041" s="311"/>
      <c r="D2041" s="312">
        <f>IF(H2041&lt;&gt;"",VLOOKUP(G2041,base_barras,IF(H2041="Desnuda",2,5)+F2041-1,FALSE),"-")</f>
        <v>1180</v>
      </c>
      <c r="E2041" s="313">
        <v>4</v>
      </c>
      <c r="F2041" s="314">
        <v>1</v>
      </c>
      <c r="G2041" s="315" t="s">
        <v>581</v>
      </c>
      <c r="H2041" s="314" t="s">
        <v>1043</v>
      </c>
      <c r="I2041" s="316">
        <f>2/3*2</f>
        <v>1.3333333333333333</v>
      </c>
      <c r="J2041" s="317">
        <f>IF(G2041&lt;&gt;"",VLOOKUP(G2041,precio_barras,9,FALSE),0)</f>
        <v>53.3</v>
      </c>
      <c r="K2041" s="313">
        <v>2</v>
      </c>
      <c r="L2041" s="318" t="str">
        <f>IF(G2041&lt;&gt;"",IF(VLOOKUP(G2041,base_barras,10,FALSE)&lt;&gt;"",VLOOKUP(G2041,base_barras,10,FALSE),"-"),"-")</f>
        <v>1/750</v>
      </c>
      <c r="M2041" s="317">
        <f>IF(L2041&lt;&gt;"-",VLOOKUP(L2041,precio_aislador,2,FALSE),0)</f>
        <v>1.9</v>
      </c>
      <c r="N2041" s="308">
        <f>(I2041*J2041*F2041+K2041*M2041)*E2041*1.67*1.25</f>
        <v>625.13666666666654</v>
      </c>
      <c r="O2041" s="288"/>
      <c r="P2041" s="297"/>
      <c r="Q2041" s="288"/>
      <c r="R2041" s="102"/>
      <c r="S2041" s="102"/>
      <c r="T2041" s="102"/>
    </row>
    <row r="2042" spans="1:20" s="199" customFormat="1" ht="14.25">
      <c r="A2042" s="2627"/>
      <c r="B2042" s="310"/>
      <c r="C2042" s="319"/>
      <c r="D2042" s="312" t="str">
        <f>IF(H2042&lt;&gt;"",VLOOKUP(G2042,base_barras,IF(H2042="Desnuda",2,5)+F2042-1,FALSE),"-")</f>
        <v>-</v>
      </c>
      <c r="E2042" s="313"/>
      <c r="F2042" s="314"/>
      <c r="G2042" s="315"/>
      <c r="H2042" s="314"/>
      <c r="I2042" s="316"/>
      <c r="J2042" s="317">
        <f>IF(G2042&lt;&gt;"",VLOOKUP(G2042,precio_barras,9,FALSE),0)</f>
        <v>0</v>
      </c>
      <c r="K2042" s="313"/>
      <c r="L2042" s="318" t="str">
        <f>IF(G2042&lt;&gt;"",IF(VLOOKUP(G2042,base_barras,10,FALSE)&lt;&gt;"",VLOOKUP(G2042,base_barras,10,FALSE),"-"),"-")</f>
        <v>-</v>
      </c>
      <c r="M2042" s="317">
        <f>IF(L2042&lt;&gt;"-",VLOOKUP(L2042,precio_aislador,2,FALSE),0)</f>
        <v>0</v>
      </c>
      <c r="N2042" s="308">
        <f>(I2042*J2042*F2042+K2042*M2042)*E2042*1.67*1.25</f>
        <v>0</v>
      </c>
      <c r="O2042" s="288"/>
      <c r="P2042" s="297"/>
      <c r="Q2042" s="288"/>
      <c r="R2042" s="102"/>
      <c r="S2042" s="102"/>
      <c r="T2042" s="102"/>
    </row>
    <row r="2043" spans="1:20" s="199" customFormat="1" ht="15" thickBot="1">
      <c r="A2043" s="2628"/>
      <c r="B2043" s="321" t="s">
        <v>802</v>
      </c>
      <c r="C2043" s="363"/>
      <c r="D2043" s="364">
        <f>IF(H2043&lt;&gt;"",VLOOKUP(G2043,base_barras,IF(H2043="Desnuda",2,5)+F2043-1,FALSE),"-")</f>
        <v>850</v>
      </c>
      <c r="E2043" s="365">
        <v>1</v>
      </c>
      <c r="F2043" s="366">
        <v>1</v>
      </c>
      <c r="G2043" s="322" t="s">
        <v>469</v>
      </c>
      <c r="H2043" s="366" t="s">
        <v>1043</v>
      </c>
      <c r="I2043" s="367">
        <v>0.9</v>
      </c>
      <c r="J2043" s="317">
        <f>IF(G2043&lt;&gt;"",VLOOKUP(G2043,precio_barras,9,FALSE),0)</f>
        <v>35.6</v>
      </c>
      <c r="K2043" s="395">
        <v>0</v>
      </c>
      <c r="L2043" s="369" t="str">
        <f>IF(G2043&lt;&gt;"",IF(VLOOKUP(G2043,base_barras,10,FALSE)&lt;&gt;"",VLOOKUP(G2043,base_barras,10,FALSE),"-"),"-")</f>
        <v>1/750</v>
      </c>
      <c r="M2043" s="368">
        <f>IF(L2043&lt;&gt;"-",VLOOKUP(L2043,precio_aislador,2,FALSE),0)</f>
        <v>1.9</v>
      </c>
      <c r="N2043" s="370">
        <f>(I2043*J2043*F2043+K2043*M2043)*E2043*1.67*1.25</f>
        <v>66.883499999999998</v>
      </c>
      <c r="O2043" s="288"/>
      <c r="P2043" s="297"/>
      <c r="Q2043" s="288"/>
      <c r="R2043" s="102"/>
      <c r="S2043" s="102"/>
      <c r="T2043" s="102"/>
    </row>
    <row r="2044" spans="1:20" s="129" customFormat="1" ht="22.5" customHeight="1" thickBot="1">
      <c r="A2044" s="371"/>
      <c r="B2044" s="375"/>
      <c r="C2044" s="375"/>
      <c r="D2044" s="383"/>
      <c r="E2044" s="373"/>
      <c r="F2044" s="373"/>
      <c r="G2044" s="373"/>
      <c r="H2044" s="373"/>
      <c r="I2044" s="374"/>
      <c r="J2044" s="374"/>
      <c r="K2044" s="373"/>
      <c r="L2044" s="373"/>
      <c r="M2044" s="372"/>
      <c r="N2044" s="699">
        <f>SUM(N2041:N2043)</f>
        <v>692.02016666666657</v>
      </c>
      <c r="O2044" s="288"/>
      <c r="P2044" s="297"/>
      <c r="Q2044" s="288"/>
      <c r="R2044" s="102"/>
      <c r="S2044" s="102"/>
      <c r="T2044" s="102"/>
    </row>
    <row r="2045" spans="1:20" s="106" customFormat="1" ht="9" customHeight="1" thickBot="1"/>
    <row r="2046" spans="1:20" s="102" customFormat="1" ht="13.5" thickBot="1">
      <c r="A2046" s="2637" t="s">
        <v>1034</v>
      </c>
      <c r="B2046" s="326" t="s">
        <v>804</v>
      </c>
      <c r="C2046" s="327"/>
      <c r="D2046" s="328">
        <f>IF(H2046&lt;&gt;"",VLOOKUP(G2046,base_barras,IF(H2046="Desnuda",2,5)+F2046-1,FALSE),"-")</f>
        <v>1290</v>
      </c>
      <c r="E2046" s="329">
        <v>4</v>
      </c>
      <c r="F2046" s="330">
        <v>2</v>
      </c>
      <c r="G2046" s="331" t="s">
        <v>469</v>
      </c>
      <c r="H2046" s="330" t="s">
        <v>1044</v>
      </c>
      <c r="I2046" s="332">
        <v>0.2</v>
      </c>
      <c r="J2046" s="317">
        <f>IF(G2046&lt;&gt;"",VLOOKUP(G2046,precio_barras,9,FALSE),0)</f>
        <v>35.6</v>
      </c>
      <c r="K2046" s="329">
        <v>0</v>
      </c>
      <c r="L2046" s="343" t="str">
        <f>IF(G2046&lt;&gt;"",IF(VLOOKUP(G2046,base_barras,10,FALSE)&lt;&gt;"",VLOOKUP(G2046,base_barras,10,FALSE),"-"),"-")</f>
        <v>1/750</v>
      </c>
      <c r="M2046" s="333">
        <f>IF(L2046&lt;&gt;"-",VLOOKUP(L2046,precio_aislador,2,FALSE),0)</f>
        <v>1.9</v>
      </c>
      <c r="N2046" s="360">
        <f>(I2046*J2046*F2046+K2046*M2046)*E2046*1.67*1.25</f>
        <v>118.90400000000001</v>
      </c>
      <c r="O2046" s="288"/>
      <c r="P2046" s="297"/>
      <c r="Q2046" s="297"/>
    </row>
    <row r="2047" spans="1:20" s="102" customFormat="1">
      <c r="A2047" s="2638"/>
      <c r="B2047" s="326" t="s">
        <v>804</v>
      </c>
      <c r="C2047" s="327"/>
      <c r="D2047" s="328">
        <f>IF(H2047&lt;&gt;"",VLOOKUP(G2047,base_barras,IF(H2047="Desnuda",2,5)+F2047-1,FALSE),"-")</f>
        <v>1290</v>
      </c>
      <c r="E2047" s="329">
        <v>4</v>
      </c>
      <c r="F2047" s="330">
        <v>2</v>
      </c>
      <c r="G2047" s="331" t="s">
        <v>469</v>
      </c>
      <c r="H2047" s="330" t="s">
        <v>1044</v>
      </c>
      <c r="I2047" s="332">
        <v>0.2</v>
      </c>
      <c r="J2047" s="317">
        <f>IF(G2047&lt;&gt;"",VLOOKUP(G2047,precio_barras,9,FALSE),0)</f>
        <v>35.6</v>
      </c>
      <c r="K2047" s="329">
        <v>0</v>
      </c>
      <c r="L2047" s="343" t="str">
        <f>IF(G2047&lt;&gt;"",IF(VLOOKUP(G2047,base_barras,10,FALSE)&lt;&gt;"",VLOOKUP(G2047,base_barras,10,FALSE),"-"),"-")</f>
        <v>1/750</v>
      </c>
      <c r="M2047" s="333">
        <f>IF(L2047&lt;&gt;"-",VLOOKUP(L2047,precio_aislador,2,FALSE),0)</f>
        <v>1.9</v>
      </c>
      <c r="N2047" s="360">
        <f>(I2047*J2047*F2047+K2047*M2047)*E2047*1.67*1.25</f>
        <v>118.90400000000001</v>
      </c>
      <c r="O2047" s="288"/>
      <c r="P2047" s="297"/>
      <c r="Q2047" s="297"/>
    </row>
    <row r="2048" spans="1:20" s="102" customFormat="1">
      <c r="A2048" s="2638"/>
      <c r="B2048" s="310"/>
      <c r="C2048" s="311"/>
      <c r="D2048" s="312" t="str">
        <f>IF(H2048&lt;&gt;"",VLOOKUP(G2048,base_barras,IF(H2048="Desnuda",2,5)+F2048-1,FALSE),"-")</f>
        <v>-</v>
      </c>
      <c r="E2048" s="313"/>
      <c r="F2048" s="314"/>
      <c r="G2048" s="315"/>
      <c r="H2048" s="314"/>
      <c r="I2048" s="316"/>
      <c r="J2048" s="317">
        <f>IF(G2048&lt;&gt;"",VLOOKUP(G2048,precio_barras,9,FALSE),0)</f>
        <v>0</v>
      </c>
      <c r="K2048" s="313"/>
      <c r="L2048" s="318" t="str">
        <f>IF(G2048&lt;&gt;"",IF(VLOOKUP(G2048,base_barras,10,FALSE)&lt;&gt;"",VLOOKUP(G2048,base_barras,10,FALSE),"-"),"-")</f>
        <v>-</v>
      </c>
      <c r="M2048" s="317">
        <f>IF(L2048&lt;&gt;"-",VLOOKUP(L2048,precio_aislador,2,FALSE),0)</f>
        <v>0</v>
      </c>
      <c r="N2048" s="308">
        <f>(I2048*J2048*F2048+K2048*M2048)*E2048*1.67*1.25</f>
        <v>0</v>
      </c>
      <c r="O2048" s="288"/>
      <c r="P2048" s="297"/>
      <c r="Q2048" s="297"/>
    </row>
    <row r="2049" spans="1:20" s="102" customFormat="1" ht="13.5" thickBot="1">
      <c r="A2049" s="2638"/>
      <c r="B2049" s="310"/>
      <c r="C2049" s="311"/>
      <c r="D2049" s="312" t="str">
        <f>IF(H2049&lt;&gt;"",VLOOKUP(G2049,base_barras,IF(H2049="Desnuda",2,5)+F2049-1,FALSE),"-")</f>
        <v>-</v>
      </c>
      <c r="E2049" s="313"/>
      <c r="F2049" s="314"/>
      <c r="G2049" s="315"/>
      <c r="H2049" s="314"/>
      <c r="I2049" s="316"/>
      <c r="J2049" s="317">
        <f>IF(G2049&lt;&gt;"",VLOOKUP(G2049,precio_barras,9,FALSE),0)</f>
        <v>0</v>
      </c>
      <c r="K2049" s="313"/>
      <c r="L2049" s="318" t="str">
        <f>IF(G2049&lt;&gt;"",IF(VLOOKUP(G2049,base_barras,10,FALSE)&lt;&gt;"",VLOOKUP(G2049,base_barras,10,FALSE),"-"),"-")</f>
        <v>-</v>
      </c>
      <c r="M2049" s="317">
        <f>IF(L2049&lt;&gt;"-",VLOOKUP(L2049,precio_aislador,2,FALSE),0)</f>
        <v>0</v>
      </c>
      <c r="N2049" s="308">
        <f>(I2049*J2049*F2049+K2049*M2049)*E2049*1.67*1.25</f>
        <v>0</v>
      </c>
      <c r="O2049" s="288"/>
      <c r="P2049" s="297"/>
      <c r="Q2049" s="297"/>
    </row>
    <row r="2050" spans="1:20" s="102" customFormat="1" ht="13.5" thickBot="1">
      <c r="A2050" s="323"/>
      <c r="B2050" s="309"/>
      <c r="C2050" s="309"/>
      <c r="D2050" s="324"/>
      <c r="E2050" s="376"/>
      <c r="F2050" s="377"/>
      <c r="G2050" s="309"/>
      <c r="H2050" s="323"/>
      <c r="I2050" s="325"/>
      <c r="J2050" s="378"/>
      <c r="K2050" s="323"/>
      <c r="L2050" s="323"/>
      <c r="M2050" s="325"/>
      <c r="N2050" s="741">
        <f>SUM(N2046:N2049)</f>
        <v>237.80800000000002</v>
      </c>
      <c r="O2050" s="288"/>
      <c r="P2050" s="297"/>
      <c r="Q2050" s="297"/>
    </row>
    <row r="2051" spans="1:20" s="106" customFormat="1"/>
    <row r="2052" spans="1:20" s="106" customFormat="1"/>
    <row r="2053" spans="1:20" s="102" customFormat="1">
      <c r="A2053" s="288"/>
      <c r="B2053" s="289"/>
      <c r="C2053" s="288"/>
      <c r="D2053" s="288"/>
      <c r="E2053" s="288"/>
      <c r="F2053" s="297"/>
      <c r="G2053" s="297"/>
      <c r="H2053" s="297"/>
      <c r="I2053" s="288"/>
      <c r="J2053" s="288"/>
      <c r="K2053" s="288"/>
      <c r="L2053" s="297"/>
      <c r="M2053" s="288"/>
      <c r="N2053" s="305"/>
      <c r="O2053" s="288"/>
      <c r="P2053" s="297"/>
      <c r="Q2053" s="297"/>
    </row>
    <row r="2054" spans="1:20" s="199" customFormat="1" ht="15.75" customHeight="1">
      <c r="A2054" s="2626" t="s">
        <v>1314</v>
      </c>
      <c r="B2054" s="310" t="s">
        <v>1033</v>
      </c>
      <c r="C2054" s="311"/>
      <c r="D2054" s="312">
        <f>IF(H2054&lt;&gt;"",VLOOKUP(G2054,base_barras,IF(H2054="Desnuda",2,5)+F2054-1,FALSE),"-")</f>
        <v>1180</v>
      </c>
      <c r="E2054" s="313">
        <v>4</v>
      </c>
      <c r="F2054" s="314">
        <v>1</v>
      </c>
      <c r="G2054" s="315" t="s">
        <v>581</v>
      </c>
      <c r="H2054" s="314" t="s">
        <v>1043</v>
      </c>
      <c r="I2054" s="316">
        <f>0.9</f>
        <v>0.9</v>
      </c>
      <c r="J2054" s="317">
        <f>IF(G2054&lt;&gt;"",VLOOKUP(G2054,precio_barras,9,FALSE),0)</f>
        <v>53.3</v>
      </c>
      <c r="K2054" s="313">
        <v>2</v>
      </c>
      <c r="L2054" s="318" t="str">
        <f>IF(G2054&lt;&gt;"",IF(VLOOKUP(G2054,base_barras,10,FALSE)&lt;&gt;"",VLOOKUP(G2054,base_barras,10,FALSE),"-"),"-")</f>
        <v>1/750</v>
      </c>
      <c r="M2054" s="317">
        <f>IF(L2054&lt;&gt;"-",VLOOKUP(L2054,precio_aislador,2,FALSE),0)</f>
        <v>1.9</v>
      </c>
      <c r="N2054" s="308">
        <f>(I2054*J2054*F2054+K2054*M2054)*E2054*1.67*1.25</f>
        <v>432.27949999999993</v>
      </c>
      <c r="O2054" s="288"/>
      <c r="P2054" s="297"/>
      <c r="Q2054" s="288"/>
      <c r="R2054" s="102"/>
      <c r="S2054" s="102"/>
      <c r="T2054" s="102"/>
    </row>
    <row r="2055" spans="1:20" s="199" customFormat="1" ht="14.25">
      <c r="A2055" s="2627"/>
      <c r="B2055" s="310"/>
      <c r="C2055" s="319"/>
      <c r="D2055" s="312" t="str">
        <f>IF(H2055&lt;&gt;"",VLOOKUP(G2055,base_barras,IF(H2055="Desnuda",2,5)+F2055-1,FALSE),"-")</f>
        <v>-</v>
      </c>
      <c r="E2055" s="313"/>
      <c r="F2055" s="314"/>
      <c r="G2055" s="315"/>
      <c r="H2055" s="314"/>
      <c r="I2055" s="316"/>
      <c r="J2055" s="317">
        <f>IF(G2055&lt;&gt;"",VLOOKUP(G2055,precio_barras,9,FALSE),0)</f>
        <v>0</v>
      </c>
      <c r="K2055" s="313"/>
      <c r="L2055" s="318" t="str">
        <f>IF(G2055&lt;&gt;"",IF(VLOOKUP(G2055,base_barras,10,FALSE)&lt;&gt;"",VLOOKUP(G2055,base_barras,10,FALSE),"-"),"-")</f>
        <v>-</v>
      </c>
      <c r="M2055" s="317">
        <f>IF(L2055&lt;&gt;"-",VLOOKUP(L2055,precio_aislador,2,FALSE),0)</f>
        <v>0</v>
      </c>
      <c r="N2055" s="308">
        <f>(I2055*J2055*F2055+K2055*M2055)*E2055*1.67*1.25</f>
        <v>0</v>
      </c>
      <c r="O2055" s="288"/>
      <c r="P2055" s="297"/>
      <c r="Q2055" s="288"/>
      <c r="R2055" s="102"/>
      <c r="S2055" s="102"/>
      <c r="T2055" s="102"/>
    </row>
    <row r="2056" spans="1:20" s="199" customFormat="1" ht="15" thickBot="1">
      <c r="A2056" s="2628"/>
      <c r="B2056" s="321" t="s">
        <v>802</v>
      </c>
      <c r="C2056" s="363"/>
      <c r="D2056" s="364">
        <f>IF(H2056&lt;&gt;"",VLOOKUP(G2056,base_barras,IF(H2056="Desnuda",2,5)+F2056-1,FALSE),"-")</f>
        <v>850</v>
      </c>
      <c r="E2056" s="365">
        <v>1</v>
      </c>
      <c r="F2056" s="366">
        <v>1</v>
      </c>
      <c r="G2056" s="322" t="s">
        <v>469</v>
      </c>
      <c r="H2056" s="366" t="s">
        <v>1043</v>
      </c>
      <c r="I2056" s="367">
        <v>0.9</v>
      </c>
      <c r="J2056" s="317">
        <f>IF(G2056&lt;&gt;"",VLOOKUP(G2056,precio_barras,9,FALSE),0)</f>
        <v>35.6</v>
      </c>
      <c r="K2056" s="395">
        <v>0</v>
      </c>
      <c r="L2056" s="369" t="str">
        <f>IF(G2056&lt;&gt;"",IF(VLOOKUP(G2056,base_barras,10,FALSE)&lt;&gt;"",VLOOKUP(G2056,base_barras,10,FALSE),"-"),"-")</f>
        <v>1/750</v>
      </c>
      <c r="M2056" s="368">
        <f>IF(L2056&lt;&gt;"-",VLOOKUP(L2056,precio_aislador,2,FALSE),0)</f>
        <v>1.9</v>
      </c>
      <c r="N2056" s="370">
        <f>(I2056*J2056*F2056+K2056*M2056)*E2056*1.67*1.25</f>
        <v>66.883499999999998</v>
      </c>
      <c r="O2056" s="288"/>
      <c r="P2056" s="297"/>
      <c r="Q2056" s="288"/>
      <c r="R2056" s="102"/>
      <c r="S2056" s="102"/>
      <c r="T2056" s="102"/>
    </row>
    <row r="2057" spans="1:20" s="129" customFormat="1" ht="22.5" customHeight="1" thickBot="1">
      <c r="A2057" s="371"/>
      <c r="B2057" s="375"/>
      <c r="C2057" s="375"/>
      <c r="D2057" s="383"/>
      <c r="E2057" s="373"/>
      <c r="F2057" s="373"/>
      <c r="G2057" s="373"/>
      <c r="H2057" s="373"/>
      <c r="I2057" s="374"/>
      <c r="J2057" s="374"/>
      <c r="K2057" s="373"/>
      <c r="L2057" s="373"/>
      <c r="M2057" s="372"/>
      <c r="N2057" s="699">
        <f>SUM(N2054:N2056)</f>
        <v>499.1629999999999</v>
      </c>
      <c r="O2057" s="288"/>
      <c r="P2057" s="297"/>
      <c r="Q2057" s="288"/>
      <c r="R2057" s="102"/>
      <c r="S2057" s="102"/>
      <c r="T2057" s="102"/>
    </row>
    <row r="2058" spans="1:20" s="106" customFormat="1" ht="9" customHeight="1" thickBot="1"/>
    <row r="2059" spans="1:20" s="102" customFormat="1" ht="13.5" thickBot="1">
      <c r="A2059" s="2637" t="s">
        <v>1034</v>
      </c>
      <c r="B2059" s="326" t="s">
        <v>804</v>
      </c>
      <c r="C2059" s="327"/>
      <c r="D2059" s="328">
        <f>IF(H2059&lt;&gt;"",VLOOKUP(G2059,base_barras,IF(H2059="Desnuda",2,5)+F2059-1,FALSE),"-")</f>
        <v>1290</v>
      </c>
      <c r="E2059" s="329">
        <v>4</v>
      </c>
      <c r="F2059" s="330">
        <v>2</v>
      </c>
      <c r="G2059" s="331" t="s">
        <v>469</v>
      </c>
      <c r="H2059" s="330" t="s">
        <v>1044</v>
      </c>
      <c r="I2059" s="332">
        <v>0.2</v>
      </c>
      <c r="J2059" s="317">
        <f>IF(G2059&lt;&gt;"",VLOOKUP(G2059,precio_barras,9,FALSE),0)</f>
        <v>35.6</v>
      </c>
      <c r="K2059" s="329">
        <v>0</v>
      </c>
      <c r="L2059" s="343" t="str">
        <f>IF(G2059&lt;&gt;"",IF(VLOOKUP(G2059,base_barras,10,FALSE)&lt;&gt;"",VLOOKUP(G2059,base_barras,10,FALSE),"-"),"-")</f>
        <v>1/750</v>
      </c>
      <c r="M2059" s="333">
        <f>IF(L2059&lt;&gt;"-",VLOOKUP(L2059,precio_aislador,2,FALSE),0)</f>
        <v>1.9</v>
      </c>
      <c r="N2059" s="360">
        <f>(I2059*J2059*F2059+K2059*M2059)*E2059*1.67*1.25</f>
        <v>118.90400000000001</v>
      </c>
      <c r="O2059" s="288"/>
      <c r="P2059" s="297"/>
      <c r="Q2059" s="297"/>
    </row>
    <row r="2060" spans="1:20" s="102" customFormat="1" ht="13.5" thickBot="1">
      <c r="A2060" s="2638"/>
      <c r="B2060" s="326" t="s">
        <v>804</v>
      </c>
      <c r="C2060" s="327"/>
      <c r="D2060" s="328">
        <f>IF(H2060&lt;&gt;"",VLOOKUP(G2060,base_barras,IF(H2060="Desnuda",2,5)+F2060-1,FALSE),"-")</f>
        <v>1290</v>
      </c>
      <c r="E2060" s="329">
        <v>4</v>
      </c>
      <c r="F2060" s="330">
        <v>2</v>
      </c>
      <c r="G2060" s="331" t="s">
        <v>469</v>
      </c>
      <c r="H2060" s="330" t="s">
        <v>1044</v>
      </c>
      <c r="I2060" s="332">
        <v>0.2</v>
      </c>
      <c r="J2060" s="317">
        <f>IF(G2060&lt;&gt;"",VLOOKUP(G2060,precio_barras,9,FALSE),0)</f>
        <v>35.6</v>
      </c>
      <c r="K2060" s="329">
        <v>0</v>
      </c>
      <c r="L2060" s="343" t="str">
        <f>IF(G2060&lt;&gt;"",IF(VLOOKUP(G2060,base_barras,10,FALSE)&lt;&gt;"",VLOOKUP(G2060,base_barras,10,FALSE),"-"),"-")</f>
        <v>1/750</v>
      </c>
      <c r="M2060" s="333">
        <f>IF(L2060&lt;&gt;"-",VLOOKUP(L2060,precio_aislador,2,FALSE),0)</f>
        <v>1.9</v>
      </c>
      <c r="N2060" s="360">
        <f>(I2060*J2060*F2060+K2060*M2060)*E2060*1.67*1.25</f>
        <v>118.90400000000001</v>
      </c>
      <c r="O2060" s="288"/>
      <c r="P2060" s="297"/>
      <c r="Q2060" s="297"/>
    </row>
    <row r="2061" spans="1:20" s="102" customFormat="1">
      <c r="A2061" s="2638"/>
      <c r="B2061" s="326" t="s">
        <v>804</v>
      </c>
      <c r="C2061" s="327"/>
      <c r="D2061" s="328">
        <f>IF(H2061&lt;&gt;"",VLOOKUP(G2061,base_barras,IF(H2061="Desnuda",2,5)+F2061-1,FALSE),"-")</f>
        <v>1290</v>
      </c>
      <c r="E2061" s="329">
        <v>4</v>
      </c>
      <c r="F2061" s="330">
        <v>2</v>
      </c>
      <c r="G2061" s="331" t="s">
        <v>469</v>
      </c>
      <c r="H2061" s="330" t="s">
        <v>1044</v>
      </c>
      <c r="I2061" s="332">
        <v>0.2</v>
      </c>
      <c r="J2061" s="317">
        <f>IF(G2061&lt;&gt;"",VLOOKUP(G2061,precio_barras,9,FALSE),0)</f>
        <v>35.6</v>
      </c>
      <c r="K2061" s="329">
        <v>0</v>
      </c>
      <c r="L2061" s="343" t="str">
        <f>IF(G2061&lt;&gt;"",IF(VLOOKUP(G2061,base_barras,10,FALSE)&lt;&gt;"",VLOOKUP(G2061,base_barras,10,FALSE),"-"),"-")</f>
        <v>1/750</v>
      </c>
      <c r="M2061" s="333">
        <f>IF(L2061&lt;&gt;"-",VLOOKUP(L2061,precio_aislador,2,FALSE),0)</f>
        <v>1.9</v>
      </c>
      <c r="N2061" s="360">
        <f>(I2061*J2061*F2061+K2061*M2061)*E2061*1.67*1.25</f>
        <v>118.90400000000001</v>
      </c>
      <c r="O2061" s="288"/>
      <c r="P2061" s="297"/>
      <c r="Q2061" s="297"/>
    </row>
    <row r="2062" spans="1:20" s="102" customFormat="1" ht="13.5" thickBot="1">
      <c r="A2062" s="2638"/>
      <c r="B2062" s="310"/>
      <c r="C2062" s="311"/>
      <c r="D2062" s="312" t="str">
        <f>IF(H2062&lt;&gt;"",VLOOKUP(G2062,base_barras,IF(H2062="Desnuda",2,5)+F2062-1,FALSE),"-")</f>
        <v>-</v>
      </c>
      <c r="E2062" s="313"/>
      <c r="F2062" s="314"/>
      <c r="G2062" s="315"/>
      <c r="H2062" s="314"/>
      <c r="I2062" s="316"/>
      <c r="J2062" s="317">
        <f>IF(G2062&lt;&gt;"",VLOOKUP(G2062,precio_barras,9,FALSE),0)</f>
        <v>0</v>
      </c>
      <c r="K2062" s="313"/>
      <c r="L2062" s="318" t="str">
        <f>IF(G2062&lt;&gt;"",IF(VLOOKUP(G2062,base_barras,10,FALSE)&lt;&gt;"",VLOOKUP(G2062,base_barras,10,FALSE),"-"),"-")</f>
        <v>-</v>
      </c>
      <c r="M2062" s="317">
        <f>IF(L2062&lt;&gt;"-",VLOOKUP(L2062,precio_aislador,2,FALSE),0)</f>
        <v>0</v>
      </c>
      <c r="N2062" s="308">
        <f>(I2062*J2062*F2062+K2062*M2062)*E2062*1.67*1.25</f>
        <v>0</v>
      </c>
      <c r="O2062" s="288"/>
      <c r="P2062" s="297"/>
      <c r="Q2062" s="297"/>
    </row>
    <row r="2063" spans="1:20" s="102" customFormat="1" ht="13.5" thickBot="1">
      <c r="A2063" s="323"/>
      <c r="B2063" s="309"/>
      <c r="C2063" s="309"/>
      <c r="D2063" s="324"/>
      <c r="E2063" s="376"/>
      <c r="F2063" s="377"/>
      <c r="G2063" s="309"/>
      <c r="H2063" s="323"/>
      <c r="I2063" s="325"/>
      <c r="J2063" s="378"/>
      <c r="K2063" s="323"/>
      <c r="L2063" s="323"/>
      <c r="M2063" s="325"/>
      <c r="N2063" s="741">
        <f>SUM(N2059:N2062)</f>
        <v>356.71200000000005</v>
      </c>
      <c r="O2063" s="288"/>
      <c r="P2063" s="297"/>
      <c r="Q2063" s="297"/>
    </row>
    <row r="2064" spans="1:20" s="102" customFormat="1" ht="21.75" customHeight="1">
      <c r="A2064" s="288"/>
      <c r="B2064" s="289"/>
      <c r="C2064" s="288"/>
      <c r="D2064" s="288"/>
      <c r="E2064" s="288"/>
      <c r="F2064" s="297"/>
      <c r="G2064" s="297"/>
      <c r="H2064" s="297"/>
      <c r="I2064" s="288"/>
      <c r="J2064" s="288"/>
      <c r="K2064" s="288"/>
      <c r="L2064" s="297"/>
      <c r="M2064" s="288"/>
      <c r="N2064" s="305"/>
      <c r="O2064" s="288"/>
      <c r="P2064" s="297"/>
      <c r="Q2064" s="297"/>
    </row>
    <row r="2065" spans="1:20" s="102" customFormat="1" ht="21.75" customHeight="1">
      <c r="A2065" s="288"/>
      <c r="B2065" s="289"/>
      <c r="C2065" s="288"/>
      <c r="D2065" s="288"/>
      <c r="E2065" s="288"/>
      <c r="F2065" s="297"/>
      <c r="G2065" s="297"/>
      <c r="H2065" s="297"/>
      <c r="I2065" s="288"/>
      <c r="J2065" s="288"/>
      <c r="K2065" s="288"/>
      <c r="L2065" s="297"/>
      <c r="M2065" s="288"/>
      <c r="N2065" s="305"/>
      <c r="O2065" s="288"/>
      <c r="P2065" s="297"/>
      <c r="Q2065" s="297"/>
    </row>
    <row r="2066" spans="1:20" s="199" customFormat="1" ht="15.75" customHeight="1">
      <c r="A2066" s="2626" t="s">
        <v>1356</v>
      </c>
      <c r="B2066" s="310" t="s">
        <v>1033</v>
      </c>
      <c r="C2066" s="311"/>
      <c r="D2066" s="312" t="str">
        <f>IF(H2066&lt;&gt;"",VLOOKUP(G2066,base_barras,IF(H2066="Desnuda",2,5)+F2066-1,FALSE),"-")</f>
        <v>-</v>
      </c>
      <c r="E2066" s="313"/>
      <c r="F2066" s="314"/>
      <c r="G2066" s="315"/>
      <c r="H2066" s="314"/>
      <c r="I2066" s="316"/>
      <c r="J2066" s="317">
        <f>IF(G2066&lt;&gt;"",VLOOKUP(G2066,precio_barras,9,FALSE),0)</f>
        <v>0</v>
      </c>
      <c r="K2066" s="320">
        <v>2</v>
      </c>
      <c r="L2066" s="318" t="str">
        <f>IF(G2066&lt;&gt;"",IF(VLOOKUP(G2066,base_barras,10,FALSE)&lt;&gt;"",VLOOKUP(G2066,base_barras,10,FALSE),"-"),"-")</f>
        <v>-</v>
      </c>
      <c r="M2066" s="317">
        <f>IF(L2066&lt;&gt;"-",VLOOKUP(L2066,precio_aislador,2,FALSE),0)</f>
        <v>0</v>
      </c>
      <c r="N2066" s="308">
        <f>(I2066*J2066*F2066+K2066*M2066)*E2066*1.67*1.25</f>
        <v>0</v>
      </c>
      <c r="O2066" s="288"/>
      <c r="P2066" s="297"/>
      <c r="Q2066" s="288"/>
      <c r="R2066" s="102"/>
      <c r="S2066" s="102"/>
      <c r="T2066" s="102"/>
    </row>
    <row r="2067" spans="1:20" s="199" customFormat="1" ht="15.75" customHeight="1">
      <c r="A2067" s="2627"/>
      <c r="B2067" s="310" t="s">
        <v>807</v>
      </c>
      <c r="C2067" s="311"/>
      <c r="D2067" s="312">
        <f>IF(H2067&lt;&gt;"",VLOOKUP(G2067,base_barras,IF(H2067="Desnuda",2,5)+F2067-1,FALSE),"-")</f>
        <v>676</v>
      </c>
      <c r="E2067" s="313">
        <v>3</v>
      </c>
      <c r="F2067" s="314">
        <v>1</v>
      </c>
      <c r="G2067" s="315" t="s">
        <v>314</v>
      </c>
      <c r="H2067" s="314" t="s">
        <v>1043</v>
      </c>
      <c r="I2067" s="316">
        <v>0.61</v>
      </c>
      <c r="J2067" s="317">
        <f>IF(G2067&lt;&gt;"",VLOOKUP(G2067,precio_barras,9,FALSE),0)</f>
        <v>26.6</v>
      </c>
      <c r="K2067" s="313"/>
      <c r="L2067" s="318" t="str">
        <f>IF(G2067&lt;&gt;"",IF(VLOOKUP(G2067,base_barras,10,FALSE)&lt;&gt;"",VLOOKUP(G2067,base_barras,10,FALSE),"-"),"-")</f>
        <v>1/750</v>
      </c>
      <c r="M2067" s="317">
        <f>IF(L2067&lt;&gt;"-",VLOOKUP(L2067,precio_aislador,2,FALSE),0)</f>
        <v>1.9</v>
      </c>
      <c r="N2067" s="308">
        <f>(I2067*J2067*F2067+K2067*M2067)*E2067*1.67*1.25</f>
        <v>101.615325</v>
      </c>
      <c r="O2067" s="288"/>
      <c r="P2067" s="297"/>
      <c r="Q2067" s="288"/>
      <c r="R2067" s="102"/>
      <c r="S2067" s="102"/>
      <c r="T2067" s="102"/>
    </row>
    <row r="2068" spans="1:20" s="199" customFormat="1" ht="15.75" customHeight="1">
      <c r="A2068" s="2627"/>
      <c r="B2068" s="310" t="s">
        <v>1357</v>
      </c>
      <c r="C2068" s="311"/>
      <c r="D2068" s="312">
        <f>IF(H2068&lt;&gt;"",VLOOKUP(G2068,base_barras,IF(H2068="Desnuda",2,5)+F2068-1,FALSE),"-")</f>
        <v>573</v>
      </c>
      <c r="E2068" s="313">
        <v>3</v>
      </c>
      <c r="F2068" s="314">
        <v>1</v>
      </c>
      <c r="G2068" s="315" t="s">
        <v>314</v>
      </c>
      <c r="H2068" s="314" t="s">
        <v>1044</v>
      </c>
      <c r="I2068" s="316">
        <v>0.2</v>
      </c>
      <c r="J2068" s="317">
        <f>IF(G2068&lt;&gt;"",VLOOKUP(G2068,precio_barras,9,FALSE),0)</f>
        <v>26.6</v>
      </c>
      <c r="K2068" s="313"/>
      <c r="L2068" s="318" t="str">
        <f>IF(G2068&lt;&gt;"",IF(VLOOKUP(G2068,base_barras,10,FALSE)&lt;&gt;"",VLOOKUP(G2068,base_barras,10,FALSE),"-"),"-")</f>
        <v>1/750</v>
      </c>
      <c r="M2068" s="317">
        <f>IF(L2068&lt;&gt;"-",VLOOKUP(L2068,precio_aislador,2,FALSE),0)</f>
        <v>1.9</v>
      </c>
      <c r="N2068" s="308">
        <f>(I2068*J2068*F2068+K2068*M2068)*E2068*1.67*1.25</f>
        <v>33.316500000000005</v>
      </c>
      <c r="O2068" s="288"/>
      <c r="P2068" s="297"/>
      <c r="Q2068" s="288"/>
      <c r="R2068" s="102"/>
      <c r="S2068" s="102"/>
      <c r="T2068" s="102"/>
    </row>
    <row r="2069" spans="1:20" s="199" customFormat="1" ht="14.25">
      <c r="A2069" s="2627"/>
      <c r="B2069" s="310" t="s">
        <v>801</v>
      </c>
      <c r="C2069" s="319"/>
      <c r="D2069" s="312">
        <f>IF(H2069&lt;&gt;"",VLOOKUP(G2069,base_barras,IF(H2069="Desnuda",2,5)+F2069-1,FALSE),"-")</f>
        <v>676</v>
      </c>
      <c r="E2069" s="313">
        <v>1</v>
      </c>
      <c r="F2069" s="314">
        <v>1</v>
      </c>
      <c r="G2069" s="315" t="s">
        <v>314</v>
      </c>
      <c r="H2069" s="314" t="s">
        <v>1043</v>
      </c>
      <c r="I2069" s="316">
        <v>1</v>
      </c>
      <c r="J2069" s="317">
        <f>IF(G2069&lt;&gt;"",VLOOKUP(G2069,precio_barras,9,FALSE),0)</f>
        <v>26.6</v>
      </c>
      <c r="K2069" s="320">
        <v>2</v>
      </c>
      <c r="L2069" s="318" t="str">
        <f>IF(G2069&lt;&gt;"",IF(VLOOKUP(G2069,base_barras,10,FALSE)&lt;&gt;"",VLOOKUP(G2069,base_barras,10,FALSE),"-"),"-")</f>
        <v>1/750</v>
      </c>
      <c r="M2069" s="317">
        <f>IF(L2069&lt;&gt;"-",VLOOKUP(L2069,precio_aislador,2,FALSE),0)</f>
        <v>1.9</v>
      </c>
      <c r="N2069" s="308">
        <f>(I2069*J2069*F2069+K2069*M2069)*E2069*1.67*1.25</f>
        <v>63.46</v>
      </c>
      <c r="O2069" s="288"/>
      <c r="P2069" s="297"/>
      <c r="Q2069" s="288"/>
      <c r="R2069" s="102"/>
      <c r="S2069" s="102"/>
      <c r="T2069" s="102"/>
    </row>
    <row r="2070" spans="1:20" s="199" customFormat="1" ht="15" thickBot="1">
      <c r="A2070" s="2628"/>
      <c r="B2070" s="321" t="s">
        <v>802</v>
      </c>
      <c r="C2070" s="363"/>
      <c r="D2070" s="364">
        <f>IF(H2070&lt;&gt;"",VLOOKUP(G2070,base_barras,IF(H2070="Desnuda",2,5)+F2070-1,FALSE),"-")</f>
        <v>447</v>
      </c>
      <c r="E2070" s="365">
        <v>1</v>
      </c>
      <c r="F2070" s="366">
        <v>1</v>
      </c>
      <c r="G2070" s="322" t="s">
        <v>579</v>
      </c>
      <c r="H2070" s="366" t="s">
        <v>1043</v>
      </c>
      <c r="I2070" s="316">
        <v>1</v>
      </c>
      <c r="J2070" s="317">
        <f>IF(G2070&lt;&gt;"",VLOOKUP(G2070,precio_barras,9,FALSE),0)</f>
        <v>13.3</v>
      </c>
      <c r="K2070" s="395">
        <v>0</v>
      </c>
      <c r="L2070" s="369" t="str">
        <f>IF(G2070&lt;&gt;"",IF(VLOOKUP(G2070,base_barras,10,FALSE)&lt;&gt;"",VLOOKUP(G2070,base_barras,10,FALSE),"-"),"-")</f>
        <v>0.5/400</v>
      </c>
      <c r="M2070" s="368">
        <f>IF(L2070&lt;&gt;"-",VLOOKUP(L2070,precio_aislador,2,FALSE),0)</f>
        <v>1.2</v>
      </c>
      <c r="N2070" s="370">
        <f>(I2070*J2070*F2070+K2070*M2070)*E2070*1.67*1.25</f>
        <v>27.763749999999998</v>
      </c>
      <c r="O2070" s="288"/>
      <c r="P2070" s="297"/>
      <c r="Q2070" s="288"/>
      <c r="R2070" s="102"/>
      <c r="S2070" s="102"/>
      <c r="T2070" s="102"/>
    </row>
    <row r="2071" spans="1:20" s="102" customFormat="1" ht="13.5" thickBot="1">
      <c r="A2071" s="288"/>
      <c r="B2071" s="289"/>
      <c r="C2071" s="288"/>
      <c r="D2071" s="288"/>
      <c r="E2071" s="288"/>
      <c r="F2071" s="297"/>
      <c r="G2071" s="297"/>
      <c r="H2071" s="297"/>
      <c r="I2071" s="288"/>
      <c r="J2071" s="288"/>
      <c r="K2071" s="288"/>
      <c r="L2071" s="297"/>
      <c r="M2071" s="288"/>
      <c r="N2071" s="741">
        <f>SUM(N2066:N2070)</f>
        <v>226.155575</v>
      </c>
      <c r="O2071" s="288"/>
      <c r="P2071" s="297"/>
      <c r="Q2071" s="297"/>
    </row>
    <row r="2072" spans="1:20" s="102" customFormat="1" ht="21.75" customHeight="1">
      <c r="A2072" s="288"/>
      <c r="B2072" s="289"/>
      <c r="C2072" s="288"/>
      <c r="D2072" s="288"/>
      <c r="E2072" s="288"/>
      <c r="F2072" s="297"/>
      <c r="G2072" s="297"/>
      <c r="H2072" s="297"/>
      <c r="I2072" s="288"/>
      <c r="J2072" s="288"/>
      <c r="K2072" s="288"/>
      <c r="L2072" s="297"/>
      <c r="M2072" s="288"/>
      <c r="N2072" s="305"/>
      <c r="O2072" s="288"/>
      <c r="P2072" s="297"/>
      <c r="Q2072" s="297"/>
    </row>
    <row r="2073" spans="1:20" s="102" customFormat="1" ht="21.75" customHeight="1">
      <c r="A2073" s="288"/>
      <c r="B2073" s="289"/>
      <c r="C2073" s="288"/>
      <c r="D2073" s="288"/>
      <c r="E2073" s="288"/>
      <c r="F2073" s="297"/>
      <c r="G2073" s="297"/>
      <c r="H2073" s="297"/>
      <c r="I2073" s="288"/>
      <c r="J2073" s="288"/>
      <c r="K2073" s="288"/>
      <c r="L2073" s="297"/>
      <c r="M2073" s="288"/>
      <c r="N2073" s="305"/>
      <c r="O2073" s="288"/>
      <c r="P2073" s="297"/>
      <c r="Q2073" s="297"/>
    </row>
    <row r="2074" spans="1:20" s="199" customFormat="1" ht="15.75" customHeight="1">
      <c r="A2074" s="2626" t="s">
        <v>1359</v>
      </c>
      <c r="B2074" s="310" t="s">
        <v>1033</v>
      </c>
      <c r="C2074" s="311"/>
      <c r="D2074" s="312" t="str">
        <f>IF(H2074&lt;&gt;"",VLOOKUP(G2074,base_barras,IF(H2074="Desnuda",2,5)+F2074-1,FALSE),"-")</f>
        <v>-</v>
      </c>
      <c r="E2074" s="313"/>
      <c r="F2074" s="314"/>
      <c r="G2074" s="315"/>
      <c r="H2074" s="314"/>
      <c r="I2074" s="316"/>
      <c r="J2074" s="317">
        <f>IF(G2074&lt;&gt;"",VLOOKUP(G2074,precio_barras,9,FALSE),0)</f>
        <v>0</v>
      </c>
      <c r="K2074" s="320">
        <v>2</v>
      </c>
      <c r="L2074" s="318" t="str">
        <f>IF(G2074&lt;&gt;"",IF(VLOOKUP(G2074,base_barras,10,FALSE)&lt;&gt;"",VLOOKUP(G2074,base_barras,10,FALSE),"-"),"-")</f>
        <v>-</v>
      </c>
      <c r="M2074" s="317">
        <f>IF(L2074&lt;&gt;"-",VLOOKUP(L2074,precio_aislador,2,FALSE),0)</f>
        <v>0</v>
      </c>
      <c r="N2074" s="308">
        <f>(I2074*J2074*F2074+K2074*M2074)*E2074*1.67*1.25</f>
        <v>0</v>
      </c>
      <c r="O2074" s="288"/>
      <c r="P2074" s="297"/>
      <c r="Q2074" s="288"/>
      <c r="R2074" s="102"/>
      <c r="S2074" s="102"/>
      <c r="T2074" s="102"/>
    </row>
    <row r="2075" spans="1:20" s="199" customFormat="1" ht="15.75" customHeight="1">
      <c r="A2075" s="2627"/>
      <c r="B2075" s="310" t="s">
        <v>806</v>
      </c>
      <c r="C2075" s="311"/>
      <c r="D2075" s="312">
        <f>IF(H2075&lt;&gt;"",VLOOKUP(G2075,base_barras,IF(H2075="Desnuda",2,5)+F2075-1,FALSE),"-")</f>
        <v>850</v>
      </c>
      <c r="E2075" s="313">
        <v>3</v>
      </c>
      <c r="F2075" s="314">
        <v>1</v>
      </c>
      <c r="G2075" s="315" t="s">
        <v>469</v>
      </c>
      <c r="H2075" s="314" t="s">
        <v>1043</v>
      </c>
      <c r="I2075" s="316">
        <v>0.61</v>
      </c>
      <c r="J2075" s="317">
        <f>IF(G2075&lt;&gt;"",VLOOKUP(G2075,precio_barras,9,FALSE),0)</f>
        <v>35.6</v>
      </c>
      <c r="K2075" s="313"/>
      <c r="L2075" s="318" t="str">
        <f>IF(G2075&lt;&gt;"",IF(VLOOKUP(G2075,base_barras,10,FALSE)&lt;&gt;"",VLOOKUP(G2075,base_barras,10,FALSE),"-"),"-")</f>
        <v>1/750</v>
      </c>
      <c r="M2075" s="317">
        <f>IF(L2075&lt;&gt;"-",VLOOKUP(L2075,precio_aislador,2,FALSE),0)</f>
        <v>1.9</v>
      </c>
      <c r="N2075" s="308">
        <f>(I2075*J2075*F2075+K2075*M2075)*E2075*1.67*1.25</f>
        <v>135.99644999999998</v>
      </c>
      <c r="O2075" s="288"/>
      <c r="P2075" s="297"/>
      <c r="Q2075" s="288"/>
      <c r="R2075" s="102"/>
      <c r="S2075" s="102"/>
      <c r="T2075" s="102"/>
    </row>
    <row r="2076" spans="1:20" s="199" customFormat="1" ht="15.75" customHeight="1">
      <c r="A2076" s="2627"/>
      <c r="B2076" s="310" t="s">
        <v>1358</v>
      </c>
      <c r="C2076" s="311"/>
      <c r="D2076" s="312">
        <f>IF(H2076&lt;&gt;"",VLOOKUP(G2076,base_barras,IF(H2076="Desnuda",2,5)+F2076-1,FALSE),"-")</f>
        <v>715</v>
      </c>
      <c r="E2076" s="313">
        <v>3</v>
      </c>
      <c r="F2076" s="314">
        <v>1</v>
      </c>
      <c r="G2076" s="315" t="s">
        <v>469</v>
      </c>
      <c r="H2076" s="314" t="s">
        <v>1044</v>
      </c>
      <c r="I2076" s="316">
        <v>0.2</v>
      </c>
      <c r="J2076" s="317">
        <f>IF(G2076&lt;&gt;"",VLOOKUP(G2076,precio_barras,9,FALSE),0)</f>
        <v>35.6</v>
      </c>
      <c r="K2076" s="313"/>
      <c r="L2076" s="318" t="str">
        <f>IF(G2076&lt;&gt;"",IF(VLOOKUP(G2076,base_barras,10,FALSE)&lt;&gt;"",VLOOKUP(G2076,base_barras,10,FALSE),"-"),"-")</f>
        <v>1/750</v>
      </c>
      <c r="M2076" s="317">
        <f>IF(L2076&lt;&gt;"-",VLOOKUP(L2076,precio_aislador,2,FALSE),0)</f>
        <v>1.9</v>
      </c>
      <c r="N2076" s="308">
        <f>(I2076*J2076*F2076+K2076*M2076)*E2076*1.67*1.25</f>
        <v>44.589000000000006</v>
      </c>
      <c r="O2076" s="288"/>
      <c r="P2076" s="297"/>
      <c r="Q2076" s="288"/>
      <c r="R2076" s="102"/>
      <c r="S2076" s="102"/>
      <c r="T2076" s="102"/>
    </row>
    <row r="2077" spans="1:20" s="199" customFormat="1" ht="14.25">
      <c r="A2077" s="2627"/>
      <c r="B2077" s="310" t="s">
        <v>801</v>
      </c>
      <c r="C2077" s="319"/>
      <c r="D2077" s="312">
        <f>IF(H2077&lt;&gt;"",VLOOKUP(G2077,base_barras,IF(H2077="Desnuda",2,5)+F2077-1,FALSE),"-")</f>
        <v>850</v>
      </c>
      <c r="E2077" s="313">
        <v>1</v>
      </c>
      <c r="F2077" s="314">
        <v>1</v>
      </c>
      <c r="G2077" s="315" t="s">
        <v>469</v>
      </c>
      <c r="H2077" s="314" t="s">
        <v>1043</v>
      </c>
      <c r="I2077" s="316">
        <v>0.8</v>
      </c>
      <c r="J2077" s="317">
        <f>IF(G2077&lt;&gt;"",VLOOKUP(G2077,precio_barras,9,FALSE),0)</f>
        <v>35.6</v>
      </c>
      <c r="K2077" s="320">
        <v>2</v>
      </c>
      <c r="L2077" s="318" t="str">
        <f>IF(G2077&lt;&gt;"",IF(VLOOKUP(G2077,base_barras,10,FALSE)&lt;&gt;"",VLOOKUP(G2077,base_barras,10,FALSE),"-"),"-")</f>
        <v>1/750</v>
      </c>
      <c r="M2077" s="317">
        <f>IF(L2077&lt;&gt;"-",VLOOKUP(L2077,precio_aislador,2,FALSE),0)</f>
        <v>1.9</v>
      </c>
      <c r="N2077" s="308">
        <f>(I2077*J2077*F2077+K2077*M2077)*E2077*1.67*1.25</f>
        <v>67.384500000000003</v>
      </c>
      <c r="O2077" s="288"/>
      <c r="P2077" s="297"/>
      <c r="Q2077" s="288"/>
      <c r="R2077" s="102"/>
      <c r="S2077" s="102"/>
      <c r="T2077" s="102"/>
    </row>
    <row r="2078" spans="1:20" s="199" customFormat="1" ht="15" thickBot="1">
      <c r="A2078" s="2628"/>
      <c r="B2078" s="321" t="s">
        <v>802</v>
      </c>
      <c r="C2078" s="363"/>
      <c r="D2078" s="364">
        <f>IF(H2078&lt;&gt;"",VLOOKUP(G2078,base_barras,IF(H2078="Desnuda",2,5)+F2078-1,FALSE),"-")</f>
        <v>676</v>
      </c>
      <c r="E2078" s="365">
        <v>1</v>
      </c>
      <c r="F2078" s="366">
        <v>1</v>
      </c>
      <c r="G2078" s="322" t="s">
        <v>314</v>
      </c>
      <c r="H2078" s="366" t="s">
        <v>1043</v>
      </c>
      <c r="I2078" s="316">
        <v>0.8</v>
      </c>
      <c r="J2078" s="317">
        <f>IF(G2078&lt;&gt;"",VLOOKUP(G2078,precio_barras,9,FALSE),0)</f>
        <v>26.6</v>
      </c>
      <c r="K2078" s="395">
        <v>0</v>
      </c>
      <c r="L2078" s="369" t="str">
        <f>IF(G2078&lt;&gt;"",IF(VLOOKUP(G2078,base_barras,10,FALSE)&lt;&gt;"",VLOOKUP(G2078,base_barras,10,FALSE),"-"),"-")</f>
        <v>1/750</v>
      </c>
      <c r="M2078" s="368">
        <f>IF(L2078&lt;&gt;"-",VLOOKUP(L2078,precio_aislador,2,FALSE),0)</f>
        <v>1.9</v>
      </c>
      <c r="N2078" s="370">
        <f>(I2078*J2078*F2078+K2078*M2078)*E2078*1.67*1.25</f>
        <v>44.421999999999997</v>
      </c>
      <c r="O2078" s="288"/>
      <c r="P2078" s="297"/>
      <c r="Q2078" s="288"/>
      <c r="R2078" s="102"/>
      <c r="S2078" s="102"/>
      <c r="T2078" s="102"/>
    </row>
    <row r="2079" spans="1:20" s="102" customFormat="1" ht="13.5" thickBot="1">
      <c r="A2079" s="288"/>
      <c r="B2079" s="289"/>
      <c r="C2079" s="288"/>
      <c r="D2079" s="288"/>
      <c r="E2079" s="288"/>
      <c r="F2079" s="297"/>
      <c r="G2079" s="297"/>
      <c r="H2079" s="297"/>
      <c r="I2079" s="288"/>
      <c r="J2079" s="288"/>
      <c r="K2079" s="288"/>
      <c r="L2079" s="297"/>
      <c r="M2079" s="288"/>
      <c r="N2079" s="741">
        <f>SUM(N2074:N2078)</f>
        <v>292.39194999999995</v>
      </c>
      <c r="O2079" s="288"/>
      <c r="P2079" s="297"/>
      <c r="Q2079" s="297"/>
    </row>
    <row r="2080" spans="1:20" s="102" customFormat="1" ht="21.75" customHeight="1">
      <c r="A2080" s="288"/>
      <c r="B2080" s="289"/>
      <c r="C2080" s="288"/>
      <c r="D2080" s="288"/>
      <c r="E2080" s="288"/>
      <c r="F2080" s="297"/>
      <c r="G2080" s="297"/>
      <c r="H2080" s="297"/>
      <c r="I2080" s="288"/>
      <c r="J2080" s="288"/>
      <c r="K2080" s="288"/>
      <c r="L2080" s="297"/>
      <c r="M2080" s="288"/>
      <c r="N2080" s="305"/>
      <c r="O2080" s="288"/>
      <c r="P2080" s="297"/>
      <c r="Q2080" s="297"/>
    </row>
    <row r="2081" spans="1:20" s="102" customFormat="1" ht="21.75" customHeight="1">
      <c r="A2081" s="288"/>
      <c r="B2081" s="289"/>
      <c r="C2081" s="288"/>
      <c r="D2081" s="288"/>
      <c r="E2081" s="288"/>
      <c r="F2081" s="297"/>
      <c r="G2081" s="297"/>
      <c r="H2081" s="297"/>
      <c r="I2081" s="288"/>
      <c r="J2081" s="288"/>
      <c r="K2081" s="288"/>
      <c r="L2081" s="297"/>
      <c r="M2081" s="288"/>
      <c r="N2081" s="305"/>
      <c r="O2081" s="288"/>
      <c r="P2081" s="297"/>
      <c r="Q2081" s="297"/>
    </row>
    <row r="2082" spans="1:20" s="199" customFormat="1" ht="15.75" customHeight="1">
      <c r="A2082" s="2626" t="s">
        <v>1360</v>
      </c>
      <c r="B2082" s="310" t="s">
        <v>1033</v>
      </c>
      <c r="C2082" s="311"/>
      <c r="D2082" s="312" t="str">
        <f>IF(H2082&lt;&gt;"",VLOOKUP(G2082,base_barras,IF(H2082="Desnuda",2,5)+F2082-1,FALSE),"-")</f>
        <v>-</v>
      </c>
      <c r="E2082" s="313"/>
      <c r="F2082" s="314"/>
      <c r="G2082" s="315"/>
      <c r="H2082" s="314"/>
      <c r="I2082" s="316"/>
      <c r="J2082" s="317">
        <f>IF(G2082&lt;&gt;"",VLOOKUP(G2082,precio_barras,9,FALSE),0)</f>
        <v>0</v>
      </c>
      <c r="K2082" s="320">
        <v>2</v>
      </c>
      <c r="L2082" s="318" t="str">
        <f>IF(G2082&lt;&gt;"",IF(VLOOKUP(G2082,base_barras,10,FALSE)&lt;&gt;"",VLOOKUP(G2082,base_barras,10,FALSE),"-"),"-")</f>
        <v>-</v>
      </c>
      <c r="M2082" s="317">
        <f>IF(L2082&lt;&gt;"-",VLOOKUP(L2082,precio_aislador,2,FALSE),0)</f>
        <v>0</v>
      </c>
      <c r="N2082" s="308">
        <f>(I2082*J2082*F2082+K2082*M2082)*E2082*1.67*1.25</f>
        <v>0</v>
      </c>
      <c r="O2082" s="288"/>
      <c r="P2082" s="297"/>
      <c r="Q2082" s="288"/>
      <c r="R2082" s="102"/>
      <c r="S2082" s="102"/>
      <c r="T2082" s="102"/>
    </row>
    <row r="2083" spans="1:20" s="199" customFormat="1" ht="15.75" customHeight="1">
      <c r="A2083" s="2627"/>
      <c r="B2083" s="310" t="s">
        <v>807</v>
      </c>
      <c r="C2083" s="311"/>
      <c r="D2083" s="312">
        <f>IF(H2083&lt;&gt;"",VLOOKUP(G2083,base_barras,IF(H2083="Desnuda",2,5)+F2083-1,FALSE),"-")</f>
        <v>676</v>
      </c>
      <c r="E2083" s="313">
        <v>3</v>
      </c>
      <c r="F2083" s="314">
        <v>1</v>
      </c>
      <c r="G2083" s="315" t="s">
        <v>314</v>
      </c>
      <c r="H2083" s="314" t="s">
        <v>1043</v>
      </c>
      <c r="I2083" s="316">
        <v>0.61</v>
      </c>
      <c r="J2083" s="317">
        <f>IF(G2083&lt;&gt;"",VLOOKUP(G2083,precio_barras,9,FALSE),0)</f>
        <v>26.6</v>
      </c>
      <c r="K2083" s="313"/>
      <c r="L2083" s="318" t="str">
        <f>IF(G2083&lt;&gt;"",IF(VLOOKUP(G2083,base_barras,10,FALSE)&lt;&gt;"",VLOOKUP(G2083,base_barras,10,FALSE),"-"),"-")</f>
        <v>1/750</v>
      </c>
      <c r="M2083" s="317">
        <f>IF(L2083&lt;&gt;"-",VLOOKUP(L2083,precio_aislador,2,FALSE),0)</f>
        <v>1.9</v>
      </c>
      <c r="N2083" s="308">
        <f>(I2083*J2083*F2083+K2083*M2083)*E2083*1.67*1.25</f>
        <v>101.615325</v>
      </c>
      <c r="O2083" s="288"/>
      <c r="P2083" s="297"/>
      <c r="Q2083" s="288"/>
      <c r="R2083" s="102"/>
      <c r="S2083" s="102"/>
      <c r="T2083" s="102"/>
    </row>
    <row r="2084" spans="1:20" s="199" customFormat="1" ht="15.75" customHeight="1">
      <c r="A2084" s="2627"/>
      <c r="B2084" s="310" t="s">
        <v>1357</v>
      </c>
      <c r="C2084" s="311"/>
      <c r="D2084" s="312">
        <f>IF(H2084&lt;&gt;"",VLOOKUP(G2084,base_barras,IF(H2084="Desnuda",2,5)+F2084-1,FALSE),"-")</f>
        <v>573</v>
      </c>
      <c r="E2084" s="313">
        <v>3</v>
      </c>
      <c r="F2084" s="314">
        <v>1</v>
      </c>
      <c r="G2084" s="315" t="s">
        <v>314</v>
      </c>
      <c r="H2084" s="314" t="s">
        <v>1044</v>
      </c>
      <c r="I2084" s="316">
        <v>0.2</v>
      </c>
      <c r="J2084" s="317">
        <f>IF(G2084&lt;&gt;"",VLOOKUP(G2084,precio_barras,9,FALSE),0)</f>
        <v>26.6</v>
      </c>
      <c r="K2084" s="313"/>
      <c r="L2084" s="318" t="str">
        <f>IF(G2084&lt;&gt;"",IF(VLOOKUP(G2084,base_barras,10,FALSE)&lt;&gt;"",VLOOKUP(G2084,base_barras,10,FALSE),"-"),"-")</f>
        <v>1/750</v>
      </c>
      <c r="M2084" s="317">
        <f>IF(L2084&lt;&gt;"-",VLOOKUP(L2084,precio_aislador,2,FALSE),0)</f>
        <v>1.9</v>
      </c>
      <c r="N2084" s="308">
        <f>(I2084*J2084*F2084+K2084*M2084)*E2084*1.67*1.25</f>
        <v>33.316500000000005</v>
      </c>
      <c r="O2084" s="288"/>
      <c r="P2084" s="297"/>
      <c r="Q2084" s="288"/>
      <c r="R2084" s="102"/>
      <c r="S2084" s="102"/>
      <c r="T2084" s="102"/>
    </row>
    <row r="2085" spans="1:20" s="199" customFormat="1" ht="14.25">
      <c r="A2085" s="2627"/>
      <c r="B2085" s="310" t="s">
        <v>801</v>
      </c>
      <c r="C2085" s="319"/>
      <c r="D2085" s="312">
        <f>IF(H2085&lt;&gt;"",VLOOKUP(G2085,base_barras,IF(H2085="Desnuda",2,5)+F2085-1,FALSE),"-")</f>
        <v>676</v>
      </c>
      <c r="E2085" s="313">
        <v>1</v>
      </c>
      <c r="F2085" s="314">
        <v>1</v>
      </c>
      <c r="G2085" s="315" t="s">
        <v>314</v>
      </c>
      <c r="H2085" s="314" t="s">
        <v>1043</v>
      </c>
      <c r="I2085" s="316">
        <v>0.8</v>
      </c>
      <c r="J2085" s="317">
        <f>IF(G2085&lt;&gt;"",VLOOKUP(G2085,precio_barras,9,FALSE),0)</f>
        <v>26.6</v>
      </c>
      <c r="K2085" s="320">
        <v>2</v>
      </c>
      <c r="L2085" s="318" t="str">
        <f>IF(G2085&lt;&gt;"",IF(VLOOKUP(G2085,base_barras,10,FALSE)&lt;&gt;"",VLOOKUP(G2085,base_barras,10,FALSE),"-"),"-")</f>
        <v>1/750</v>
      </c>
      <c r="M2085" s="317">
        <f>IF(L2085&lt;&gt;"-",VLOOKUP(L2085,precio_aislador,2,FALSE),0)</f>
        <v>1.9</v>
      </c>
      <c r="N2085" s="308">
        <f>(I2085*J2085*F2085+K2085*M2085)*E2085*1.67*1.25</f>
        <v>52.354500000000002</v>
      </c>
      <c r="O2085" s="288"/>
      <c r="P2085" s="297"/>
      <c r="Q2085" s="288"/>
      <c r="R2085" s="102"/>
      <c r="S2085" s="102"/>
      <c r="T2085" s="102"/>
    </row>
    <row r="2086" spans="1:20" s="199" customFormat="1" ht="15" thickBot="1">
      <c r="A2086" s="2628"/>
      <c r="B2086" s="321" t="s">
        <v>802</v>
      </c>
      <c r="C2086" s="363"/>
      <c r="D2086" s="364">
        <f>IF(H2086&lt;&gt;"",VLOOKUP(G2086,base_barras,IF(H2086="Desnuda",2,5)+F2086-1,FALSE),"-")</f>
        <v>447</v>
      </c>
      <c r="E2086" s="365">
        <v>1</v>
      </c>
      <c r="F2086" s="366">
        <v>1</v>
      </c>
      <c r="G2086" s="322" t="s">
        <v>579</v>
      </c>
      <c r="H2086" s="366" t="s">
        <v>1043</v>
      </c>
      <c r="I2086" s="316">
        <v>0.8</v>
      </c>
      <c r="J2086" s="317">
        <f>IF(G2086&lt;&gt;"",VLOOKUP(G2086,precio_barras,9,FALSE),0)</f>
        <v>13.3</v>
      </c>
      <c r="K2086" s="395">
        <v>0</v>
      </c>
      <c r="L2086" s="369" t="str">
        <f>IF(G2086&lt;&gt;"",IF(VLOOKUP(G2086,base_barras,10,FALSE)&lt;&gt;"",VLOOKUP(G2086,base_barras,10,FALSE),"-"),"-")</f>
        <v>0.5/400</v>
      </c>
      <c r="M2086" s="368">
        <f>IF(L2086&lt;&gt;"-",VLOOKUP(L2086,precio_aislador,2,FALSE),0)</f>
        <v>1.2</v>
      </c>
      <c r="N2086" s="370">
        <f>(I2086*J2086*F2086+K2086*M2086)*E2086*1.67*1.25</f>
        <v>22.210999999999999</v>
      </c>
      <c r="O2086" s="288"/>
      <c r="P2086" s="297"/>
      <c r="Q2086" s="288"/>
      <c r="R2086" s="102"/>
      <c r="S2086" s="102"/>
      <c r="T2086" s="102"/>
    </row>
    <row r="2087" spans="1:20" s="102" customFormat="1" ht="13.5" thickBot="1">
      <c r="A2087" s="288"/>
      <c r="B2087" s="289"/>
      <c r="C2087" s="288"/>
      <c r="D2087" s="288"/>
      <c r="E2087" s="288"/>
      <c r="F2087" s="297"/>
      <c r="G2087" s="297"/>
      <c r="H2087" s="297"/>
      <c r="I2087" s="288"/>
      <c r="J2087" s="288"/>
      <c r="K2087" s="288"/>
      <c r="L2087" s="297"/>
      <c r="M2087" s="288"/>
      <c r="N2087" s="741">
        <f>SUM(N2082:N2086)</f>
        <v>209.49732499999999</v>
      </c>
      <c r="O2087" s="288"/>
      <c r="P2087" s="297"/>
      <c r="Q2087" s="297"/>
    </row>
    <row r="2088" spans="1:20" s="102" customFormat="1">
      <c r="A2088" s="288"/>
      <c r="B2088" s="289"/>
      <c r="C2088" s="288"/>
      <c r="D2088" s="288"/>
      <c r="E2088" s="288"/>
      <c r="F2088" s="297"/>
      <c r="G2088" s="297"/>
      <c r="H2088" s="297"/>
      <c r="I2088" s="288"/>
      <c r="J2088" s="288"/>
      <c r="K2088" s="288"/>
      <c r="L2088" s="297"/>
      <c r="M2088" s="288"/>
      <c r="N2088" s="305"/>
      <c r="O2088" s="288"/>
      <c r="P2088" s="297"/>
      <c r="Q2088" s="297"/>
    </row>
    <row r="2089" spans="1:20" s="102" customFormat="1">
      <c r="A2089" s="288"/>
      <c r="B2089" s="289"/>
      <c r="C2089" s="288"/>
      <c r="D2089" s="288"/>
      <c r="E2089" s="288"/>
      <c r="F2089" s="297"/>
      <c r="G2089" s="297"/>
      <c r="H2089" s="297"/>
      <c r="I2089" s="288"/>
      <c r="J2089" s="288"/>
      <c r="K2089" s="288"/>
      <c r="L2089" s="297"/>
      <c r="M2089" s="288"/>
      <c r="N2089" s="305"/>
      <c r="O2089" s="288"/>
      <c r="P2089" s="297"/>
      <c r="Q2089" s="297"/>
    </row>
    <row r="2090" spans="1:20" s="102" customFormat="1">
      <c r="A2090" s="288"/>
      <c r="B2090" s="289"/>
      <c r="C2090" s="288"/>
      <c r="D2090" s="288"/>
      <c r="E2090" s="288"/>
      <c r="F2090" s="297"/>
      <c r="G2090" s="297"/>
      <c r="H2090" s="297"/>
      <c r="I2090" s="288"/>
      <c r="J2090" s="288"/>
      <c r="K2090" s="288"/>
      <c r="L2090" s="297"/>
      <c r="M2090" s="288"/>
      <c r="N2090" s="305"/>
      <c r="O2090" s="288"/>
      <c r="P2090" s="297"/>
      <c r="Q2090" s="297"/>
    </row>
    <row r="2091" spans="1:20" s="199" customFormat="1" ht="15.75" customHeight="1">
      <c r="A2091" s="2626" t="s">
        <v>1361</v>
      </c>
      <c r="B2091" s="310" t="s">
        <v>1033</v>
      </c>
      <c r="C2091" s="311"/>
      <c r="D2091" s="312">
        <f t="shared" ref="D2091:D2096" si="743">IF(H2091&lt;&gt;"",VLOOKUP(G2091,base_barras,IF(H2091="Desnuda",2,5)+F2091-1,FALSE),"-")</f>
        <v>1180</v>
      </c>
      <c r="E2091" s="313">
        <v>3</v>
      </c>
      <c r="F2091" s="314">
        <v>1</v>
      </c>
      <c r="G2091" s="315" t="s">
        <v>581</v>
      </c>
      <c r="H2091" s="314" t="s">
        <v>1043</v>
      </c>
      <c r="I2091" s="316">
        <f>2*0.8</f>
        <v>1.6</v>
      </c>
      <c r="J2091" s="317">
        <f t="shared" ref="J2091:J2096" si="744">IF(G2091&lt;&gt;"",VLOOKUP(G2091,precio_barras,9,FALSE),0)</f>
        <v>53.3</v>
      </c>
      <c r="K2091" s="313">
        <v>4</v>
      </c>
      <c r="L2091" s="318" t="str">
        <f t="shared" ref="L2091:L2096" si="745">IF(G2091&lt;&gt;"",IF(VLOOKUP(G2091,base_barras,10,FALSE)&lt;&gt;"",VLOOKUP(G2091,base_barras,10,FALSE),"-"),"-")</f>
        <v>1/750</v>
      </c>
      <c r="M2091" s="317">
        <f t="shared" ref="M2091:M2096" si="746">IF(L2091&lt;&gt;"-",VLOOKUP(L2091,precio_aislador,2,FALSE),0)</f>
        <v>1.9</v>
      </c>
      <c r="N2091" s="308">
        <f t="shared" ref="N2091:N2096" si="747">(I2091*J2091*F2091+K2091*M2091)*E2091*1.67*1.25</f>
        <v>581.66099999999994</v>
      </c>
      <c r="O2091" s="288"/>
      <c r="P2091" s="297"/>
      <c r="Q2091" s="288"/>
      <c r="R2091" s="102"/>
      <c r="S2091" s="102"/>
      <c r="T2091" s="102"/>
    </row>
    <row r="2092" spans="1:20" s="199" customFormat="1" ht="15.75" customHeight="1">
      <c r="A2092" s="2627"/>
      <c r="B2092" s="310" t="s">
        <v>805</v>
      </c>
      <c r="C2092" s="311"/>
      <c r="D2092" s="312">
        <f t="shared" si="743"/>
        <v>1470</v>
      </c>
      <c r="E2092" s="313">
        <v>3</v>
      </c>
      <c r="F2092" s="314">
        <v>2</v>
      </c>
      <c r="G2092" s="315" t="s">
        <v>469</v>
      </c>
      <c r="H2092" s="314" t="s">
        <v>1043</v>
      </c>
      <c r="I2092" s="316">
        <v>0.61</v>
      </c>
      <c r="J2092" s="317">
        <f t="shared" si="744"/>
        <v>35.6</v>
      </c>
      <c r="K2092" s="313">
        <v>0</v>
      </c>
      <c r="L2092" s="318" t="str">
        <f t="shared" si="745"/>
        <v>1/750</v>
      </c>
      <c r="M2092" s="317">
        <f t="shared" si="746"/>
        <v>1.9</v>
      </c>
      <c r="N2092" s="308">
        <f t="shared" si="747"/>
        <v>271.99289999999996</v>
      </c>
      <c r="O2092" s="288"/>
      <c r="P2092" s="297"/>
      <c r="Q2092" s="288"/>
      <c r="R2092" s="102"/>
      <c r="S2092" s="102"/>
      <c r="T2092" s="102"/>
    </row>
    <row r="2093" spans="1:20" s="199" customFormat="1" ht="15.75" customHeight="1">
      <c r="A2093" s="2627"/>
      <c r="B2093" s="310" t="s">
        <v>805</v>
      </c>
      <c r="C2093" s="311"/>
      <c r="D2093" s="312">
        <f t="shared" si="743"/>
        <v>1470</v>
      </c>
      <c r="E2093" s="313">
        <v>3</v>
      </c>
      <c r="F2093" s="314">
        <v>2</v>
      </c>
      <c r="G2093" s="315" t="s">
        <v>469</v>
      </c>
      <c r="H2093" s="314" t="s">
        <v>1043</v>
      </c>
      <c r="I2093" s="316">
        <v>0.61</v>
      </c>
      <c r="J2093" s="317">
        <f t="shared" si="744"/>
        <v>35.6</v>
      </c>
      <c r="K2093" s="313">
        <v>0</v>
      </c>
      <c r="L2093" s="318" t="str">
        <f t="shared" si="745"/>
        <v>1/750</v>
      </c>
      <c r="M2093" s="317">
        <f t="shared" si="746"/>
        <v>1.9</v>
      </c>
      <c r="N2093" s="308">
        <f t="shared" si="747"/>
        <v>271.99289999999996</v>
      </c>
      <c r="O2093" s="288"/>
      <c r="P2093" s="297"/>
      <c r="Q2093" s="288"/>
      <c r="R2093" s="102"/>
      <c r="S2093" s="102"/>
      <c r="T2093" s="102"/>
    </row>
    <row r="2094" spans="1:20" s="199" customFormat="1" ht="15.75" customHeight="1">
      <c r="A2094" s="2627"/>
      <c r="B2094" s="310" t="s">
        <v>1357</v>
      </c>
      <c r="C2094" s="311"/>
      <c r="D2094" s="312">
        <f t="shared" si="743"/>
        <v>573</v>
      </c>
      <c r="E2094" s="313">
        <v>3</v>
      </c>
      <c r="F2094" s="314">
        <v>1</v>
      </c>
      <c r="G2094" s="315" t="s">
        <v>314</v>
      </c>
      <c r="H2094" s="314" t="s">
        <v>1044</v>
      </c>
      <c r="I2094" s="316">
        <v>0.2</v>
      </c>
      <c r="J2094" s="317">
        <f t="shared" si="744"/>
        <v>26.6</v>
      </c>
      <c r="K2094" s="313">
        <v>0</v>
      </c>
      <c r="L2094" s="318" t="str">
        <f t="shared" si="745"/>
        <v>1/750</v>
      </c>
      <c r="M2094" s="317">
        <f t="shared" si="746"/>
        <v>1.9</v>
      </c>
      <c r="N2094" s="308">
        <f t="shared" si="747"/>
        <v>33.316500000000005</v>
      </c>
      <c r="O2094" s="288"/>
      <c r="P2094" s="297"/>
      <c r="Q2094" s="288"/>
      <c r="R2094" s="102"/>
      <c r="S2094" s="102"/>
      <c r="T2094" s="102"/>
    </row>
    <row r="2095" spans="1:20" s="199" customFormat="1" ht="14.25">
      <c r="A2095" s="2627"/>
      <c r="B2095" s="310" t="s">
        <v>801</v>
      </c>
      <c r="C2095" s="319"/>
      <c r="D2095" s="312">
        <f t="shared" si="743"/>
        <v>1180</v>
      </c>
      <c r="E2095" s="313">
        <v>1</v>
      </c>
      <c r="F2095" s="314">
        <v>1</v>
      </c>
      <c r="G2095" s="315" t="s">
        <v>581</v>
      </c>
      <c r="H2095" s="314" t="s">
        <v>1043</v>
      </c>
      <c r="I2095" s="396">
        <v>0.8</v>
      </c>
      <c r="J2095" s="317">
        <f t="shared" si="744"/>
        <v>53.3</v>
      </c>
      <c r="K2095" s="320">
        <v>4</v>
      </c>
      <c r="L2095" s="318" t="str">
        <f t="shared" si="745"/>
        <v>1/750</v>
      </c>
      <c r="M2095" s="317">
        <f t="shared" si="746"/>
        <v>1.9</v>
      </c>
      <c r="N2095" s="308">
        <f t="shared" si="747"/>
        <v>104.876</v>
      </c>
      <c r="O2095" s="288"/>
      <c r="P2095" s="297"/>
      <c r="Q2095" s="288"/>
      <c r="R2095" s="102"/>
      <c r="S2095" s="102"/>
      <c r="T2095" s="102"/>
    </row>
    <row r="2096" spans="1:20" s="199" customFormat="1" ht="15" thickBot="1">
      <c r="A2096" s="2628"/>
      <c r="B2096" s="321" t="s">
        <v>802</v>
      </c>
      <c r="C2096" s="363"/>
      <c r="D2096" s="364">
        <f t="shared" si="743"/>
        <v>850</v>
      </c>
      <c r="E2096" s="365">
        <v>1</v>
      </c>
      <c r="F2096" s="366">
        <v>1</v>
      </c>
      <c r="G2096" s="322" t="s">
        <v>469</v>
      </c>
      <c r="H2096" s="366" t="s">
        <v>1043</v>
      </c>
      <c r="I2096" s="367">
        <v>1.6</v>
      </c>
      <c r="J2096" s="317">
        <f t="shared" si="744"/>
        <v>35.6</v>
      </c>
      <c r="K2096" s="395">
        <v>0</v>
      </c>
      <c r="L2096" s="369" t="str">
        <f t="shared" si="745"/>
        <v>1/750</v>
      </c>
      <c r="M2096" s="368">
        <f t="shared" si="746"/>
        <v>1.9</v>
      </c>
      <c r="N2096" s="370">
        <f t="shared" si="747"/>
        <v>118.90400000000001</v>
      </c>
      <c r="O2096" s="288"/>
      <c r="P2096" s="297"/>
      <c r="Q2096" s="288"/>
      <c r="R2096" s="102"/>
      <c r="S2096" s="102"/>
      <c r="T2096" s="102"/>
    </row>
    <row r="2097" spans="1:20" s="129" customFormat="1" ht="22.5" customHeight="1" thickBot="1">
      <c r="A2097" s="371"/>
      <c r="B2097" s="375"/>
      <c r="C2097" s="375"/>
      <c r="D2097" s="383"/>
      <c r="E2097" s="373"/>
      <c r="F2097" s="373"/>
      <c r="G2097" s="373"/>
      <c r="H2097" s="373"/>
      <c r="I2097" s="374"/>
      <c r="J2097" s="374"/>
      <c r="K2097" s="373"/>
      <c r="L2097" s="373"/>
      <c r="M2097" s="372"/>
      <c r="N2097" s="699">
        <f>SUM(N2091:N2096)</f>
        <v>1382.7432999999999</v>
      </c>
      <c r="O2097" s="288"/>
      <c r="P2097" s="297"/>
      <c r="Q2097" s="288"/>
      <c r="R2097" s="102"/>
      <c r="S2097" s="102"/>
      <c r="T2097" s="102"/>
    </row>
    <row r="2098" spans="1:20" s="102" customFormat="1" ht="8.25" customHeight="1" thickBot="1">
      <c r="A2098" s="323"/>
      <c r="B2098" s="309"/>
      <c r="C2098" s="323"/>
      <c r="D2098" s="382"/>
      <c r="E2098" s="323"/>
      <c r="F2098" s="325"/>
      <c r="G2098" s="325"/>
      <c r="H2098" s="325"/>
      <c r="I2098" s="323"/>
      <c r="J2098" s="323"/>
      <c r="K2098" s="323"/>
      <c r="L2098" s="325"/>
      <c r="M2098" s="323"/>
      <c r="N2098" s="309"/>
      <c r="O2098" s="288"/>
      <c r="P2098" s="297"/>
      <c r="Q2098" s="288"/>
    </row>
    <row r="2099" spans="1:20" s="102" customFormat="1">
      <c r="A2099" s="2629" t="s">
        <v>1228</v>
      </c>
      <c r="B2099" s="310" t="s">
        <v>1033</v>
      </c>
      <c r="C2099" s="311"/>
      <c r="D2099" s="312">
        <f>IF(H2099&lt;&gt;"",VLOOKUP(G2099,base_barras,IF(H2099="Desnuda",2,5)+F2099-1,FALSE),"-")</f>
        <v>1180</v>
      </c>
      <c r="E2099" s="313">
        <v>3</v>
      </c>
      <c r="F2099" s="314">
        <v>1</v>
      </c>
      <c r="G2099" s="315" t="s">
        <v>581</v>
      </c>
      <c r="H2099" s="314" t="s">
        <v>1043</v>
      </c>
      <c r="I2099" s="316">
        <v>0.2</v>
      </c>
      <c r="J2099" s="317">
        <f>IF(G2099&lt;&gt;"",VLOOKUP(G2099,precio_barras,9,FALSE),0)</f>
        <v>53.3</v>
      </c>
      <c r="K2099" s="313">
        <v>4</v>
      </c>
      <c r="L2099" s="318" t="str">
        <f>IF(G2099&lt;&gt;"",IF(VLOOKUP(G2099,base_barras,10,FALSE)&lt;&gt;"",VLOOKUP(G2099,base_barras,10,FALSE),"-"),"-")</f>
        <v>1/750</v>
      </c>
      <c r="M2099" s="317">
        <f>IF(L2099&lt;&gt;"-",VLOOKUP(L2099,precio_aislador,2,FALSE),0)</f>
        <v>1.9</v>
      </c>
      <c r="N2099" s="308">
        <f>(I2099*J2099*F2099+K2099*M2099)*E2099*1.67*1.25</f>
        <v>114.35324999999999</v>
      </c>
      <c r="O2099" s="288"/>
      <c r="P2099" s="297"/>
      <c r="Q2099" s="297"/>
    </row>
    <row r="2100" spans="1:20" s="102" customFormat="1">
      <c r="A2100" s="2630"/>
      <c r="B2100" s="310"/>
      <c r="C2100" s="311"/>
      <c r="D2100" s="312" t="str">
        <f>IF(H2100&lt;&gt;"",VLOOKUP(G2100,base_barras,IF(H2100="Desnuda",2,5)+F2100-1,FALSE),"-")</f>
        <v>-</v>
      </c>
      <c r="E2100" s="313"/>
      <c r="F2100" s="314"/>
      <c r="G2100" s="315"/>
      <c r="H2100" s="314"/>
      <c r="I2100" s="316"/>
      <c r="J2100" s="317">
        <f>IF(G2100&lt;&gt;"",VLOOKUP(G2100,precio_barras,9,FALSE),0)</f>
        <v>0</v>
      </c>
      <c r="K2100" s="313"/>
      <c r="L2100" s="318" t="str">
        <f>IF(G2100&lt;&gt;"",IF(VLOOKUP(G2100,base_barras,10,FALSE)&lt;&gt;"",VLOOKUP(G2100,base_barras,10,FALSE),"-"),"-")</f>
        <v>-</v>
      </c>
      <c r="M2100" s="317">
        <f>IF(L2100&lt;&gt;"-",VLOOKUP(L2100,precio_aislador,2,FALSE),0)</f>
        <v>0</v>
      </c>
      <c r="N2100" s="308">
        <f>(I2100*J2100*F2100+K2100*M2100)*E2100*1.67*1.25</f>
        <v>0</v>
      </c>
      <c r="O2100" s="288"/>
      <c r="P2100" s="297"/>
      <c r="Q2100" s="297"/>
    </row>
    <row r="2101" spans="1:20" s="102" customFormat="1" ht="13.5" thickBot="1">
      <c r="A2101" s="323"/>
      <c r="B2101" s="309"/>
      <c r="C2101" s="309"/>
      <c r="D2101" s="382"/>
      <c r="E2101" s="323"/>
      <c r="F2101" s="309"/>
      <c r="G2101" s="309"/>
      <c r="H2101" s="323"/>
      <c r="I2101" s="325"/>
      <c r="J2101" s="325"/>
      <c r="K2101" s="323"/>
      <c r="L2101" s="323"/>
      <c r="M2101" s="325"/>
      <c r="N2101" s="706">
        <f>SUM(N2099:N2100)</f>
        <v>114.35324999999999</v>
      </c>
      <c r="O2101" s="288"/>
      <c r="P2101" s="297"/>
      <c r="Q2101" s="297"/>
    </row>
    <row r="2102" spans="1:20" s="102" customFormat="1">
      <c r="A2102" s="288"/>
      <c r="B2102" s="289"/>
      <c r="C2102" s="288"/>
      <c r="D2102" s="288"/>
      <c r="E2102" s="288"/>
      <c r="F2102" s="297"/>
      <c r="G2102" s="297"/>
      <c r="H2102" s="297"/>
      <c r="I2102" s="288"/>
      <c r="J2102" s="288"/>
      <c r="K2102" s="288"/>
      <c r="L2102" s="297"/>
      <c r="M2102" s="288"/>
      <c r="N2102" s="305"/>
      <c r="O2102" s="288"/>
      <c r="P2102" s="297"/>
      <c r="Q2102" s="297"/>
    </row>
    <row r="2103" spans="1:20" s="102" customFormat="1" ht="21.75" customHeight="1">
      <c r="A2103" s="288"/>
      <c r="B2103" s="289"/>
      <c r="C2103" s="288"/>
      <c r="D2103" s="288"/>
      <c r="E2103" s="288"/>
      <c r="F2103" s="297"/>
      <c r="G2103" s="297"/>
      <c r="H2103" s="297"/>
      <c r="I2103" s="288"/>
      <c r="J2103" s="288"/>
      <c r="K2103" s="288"/>
      <c r="L2103" s="297"/>
      <c r="M2103" s="288"/>
      <c r="N2103" s="305"/>
      <c r="O2103" s="288"/>
      <c r="P2103" s="297"/>
      <c r="Q2103" s="297"/>
    </row>
    <row r="2104" spans="1:20" s="102" customFormat="1" ht="21.75" customHeight="1">
      <c r="A2104" s="288"/>
      <c r="B2104" s="289"/>
      <c r="C2104" s="288"/>
      <c r="D2104" s="288"/>
      <c r="E2104" s="288"/>
      <c r="F2104" s="297"/>
      <c r="G2104" s="297"/>
      <c r="H2104" s="297"/>
      <c r="I2104" s="288"/>
      <c r="J2104" s="288"/>
      <c r="K2104" s="288"/>
      <c r="L2104" s="297"/>
      <c r="M2104" s="288"/>
      <c r="N2104" s="305"/>
      <c r="O2104" s="288"/>
      <c r="P2104" s="297"/>
      <c r="Q2104" s="297"/>
    </row>
    <row r="2105" spans="1:20" s="199" customFormat="1" ht="15.75" customHeight="1">
      <c r="A2105" s="2626" t="s">
        <v>1362</v>
      </c>
      <c r="B2105" s="310" t="s">
        <v>1033</v>
      </c>
      <c r="C2105" s="311"/>
      <c r="D2105" s="312" t="str">
        <f>IF(H2105&lt;&gt;"",VLOOKUP(G2105,base_barras,IF(H2105="Desnuda",2,5)+F2105-1,FALSE),"-")</f>
        <v>-</v>
      </c>
      <c r="E2105" s="313"/>
      <c r="F2105" s="314"/>
      <c r="G2105" s="315"/>
      <c r="H2105" s="314"/>
      <c r="I2105" s="316"/>
      <c r="J2105" s="317">
        <f>IF(G2105&lt;&gt;"",VLOOKUP(G2105,precio_barras,9,FALSE),0)</f>
        <v>0</v>
      </c>
      <c r="K2105" s="320">
        <v>2</v>
      </c>
      <c r="L2105" s="318" t="str">
        <f>IF(G2105&lt;&gt;"",IF(VLOOKUP(G2105,base_barras,10,FALSE)&lt;&gt;"",VLOOKUP(G2105,base_barras,10,FALSE),"-"),"-")</f>
        <v>-</v>
      </c>
      <c r="M2105" s="317">
        <f>IF(L2105&lt;&gt;"-",VLOOKUP(L2105,precio_aislador,2,FALSE),0)</f>
        <v>0</v>
      </c>
      <c r="N2105" s="308">
        <f>(I2105*J2105*F2105+K2105*M2105)*E2105*1.67*1.25</f>
        <v>0</v>
      </c>
      <c r="O2105" s="288"/>
      <c r="P2105" s="297"/>
      <c r="Q2105" s="288"/>
      <c r="R2105" s="102"/>
      <c r="S2105" s="102"/>
      <c r="T2105" s="102"/>
    </row>
    <row r="2106" spans="1:20" s="199" customFormat="1" ht="15.75" customHeight="1">
      <c r="A2106" s="2627"/>
      <c r="B2106" s="310" t="s">
        <v>805</v>
      </c>
      <c r="C2106" s="311"/>
      <c r="D2106" s="312">
        <f>IF(H2106&lt;&gt;"",VLOOKUP(G2106,base_barras,IF(H2106="Desnuda",2,5)+F2106-1,FALSE),"-")</f>
        <v>1200</v>
      </c>
      <c r="E2106" s="313">
        <v>3</v>
      </c>
      <c r="F2106" s="314">
        <v>2</v>
      </c>
      <c r="G2106" s="315" t="s">
        <v>314</v>
      </c>
      <c r="H2106" s="314" t="s">
        <v>1043</v>
      </c>
      <c r="I2106" s="316">
        <v>0.61</v>
      </c>
      <c r="J2106" s="317">
        <f>IF(G2106&lt;&gt;"",VLOOKUP(G2106,precio_barras,9,FALSE),0)</f>
        <v>26.6</v>
      </c>
      <c r="K2106" s="313"/>
      <c r="L2106" s="318" t="str">
        <f>IF(G2106&lt;&gt;"",IF(VLOOKUP(G2106,base_barras,10,FALSE)&lt;&gt;"",VLOOKUP(G2106,base_barras,10,FALSE),"-"),"-")</f>
        <v>1/750</v>
      </c>
      <c r="M2106" s="317">
        <f>IF(L2106&lt;&gt;"-",VLOOKUP(L2106,precio_aislador,2,FALSE),0)</f>
        <v>1.9</v>
      </c>
      <c r="N2106" s="308">
        <f>(I2106*J2106*F2106+K2106*M2106)*E2106*1.67*1.25</f>
        <v>203.23065</v>
      </c>
      <c r="O2106" s="288"/>
      <c r="P2106" s="297"/>
      <c r="Q2106" s="288"/>
      <c r="R2106" s="102"/>
      <c r="S2106" s="102"/>
      <c r="T2106" s="102"/>
    </row>
    <row r="2107" spans="1:20" s="199" customFormat="1" ht="15.75" customHeight="1">
      <c r="A2107" s="2627"/>
      <c r="B2107" s="310" t="s">
        <v>1363</v>
      </c>
      <c r="C2107" s="311"/>
      <c r="D2107" s="312">
        <f>IF(H2107&lt;&gt;"",VLOOKUP(G2107,base_barras,IF(H2107="Desnuda",2,5)+F2107-1,FALSE),"-")</f>
        <v>852</v>
      </c>
      <c r="E2107" s="313">
        <v>3</v>
      </c>
      <c r="F2107" s="314">
        <v>1</v>
      </c>
      <c r="G2107" s="315" t="s">
        <v>315</v>
      </c>
      <c r="H2107" s="314" t="s">
        <v>1044</v>
      </c>
      <c r="I2107" s="316">
        <v>0.2</v>
      </c>
      <c r="J2107" s="317">
        <f>IF(G2107&lt;&gt;"",VLOOKUP(G2107,precio_barras,9,FALSE),0)</f>
        <v>44.400000000000006</v>
      </c>
      <c r="K2107" s="313"/>
      <c r="L2107" s="318" t="str">
        <f>IF(G2107&lt;&gt;"",IF(VLOOKUP(G2107,base_barras,10,FALSE)&lt;&gt;"",VLOOKUP(G2107,base_barras,10,FALSE),"-"),"-")</f>
        <v>1/750</v>
      </c>
      <c r="M2107" s="317">
        <f>IF(L2107&lt;&gt;"-",VLOOKUP(L2107,precio_aislador,2,FALSE),0)</f>
        <v>1.9</v>
      </c>
      <c r="N2107" s="308">
        <f>(I2107*J2107*F2107+K2107*M2107)*E2107*1.67*1.25</f>
        <v>55.610999999999997</v>
      </c>
      <c r="O2107" s="288"/>
      <c r="P2107" s="297"/>
      <c r="Q2107" s="288"/>
      <c r="R2107" s="102"/>
      <c r="S2107" s="102"/>
      <c r="T2107" s="102"/>
    </row>
    <row r="2108" spans="1:20" s="199" customFormat="1" ht="14.25">
      <c r="A2108" s="2627"/>
      <c r="B2108" s="310" t="s">
        <v>801</v>
      </c>
      <c r="C2108" s="319"/>
      <c r="D2108" s="312">
        <f>IF(H2108&lt;&gt;"",VLOOKUP(G2108,base_barras,IF(H2108="Desnuda",2,5)+F2108-1,FALSE),"-")</f>
        <v>1180</v>
      </c>
      <c r="E2108" s="313">
        <v>1</v>
      </c>
      <c r="F2108" s="314">
        <v>1</v>
      </c>
      <c r="G2108" s="315" t="s">
        <v>581</v>
      </c>
      <c r="H2108" s="314" t="s">
        <v>1043</v>
      </c>
      <c r="I2108" s="316">
        <v>0.8</v>
      </c>
      <c r="J2108" s="317">
        <f>IF(G2108&lt;&gt;"",VLOOKUP(G2108,precio_barras,9,FALSE),0)</f>
        <v>53.3</v>
      </c>
      <c r="K2108" s="320">
        <v>2</v>
      </c>
      <c r="L2108" s="318" t="str">
        <f>IF(G2108&lt;&gt;"",IF(VLOOKUP(G2108,base_barras,10,FALSE)&lt;&gt;"",VLOOKUP(G2108,base_barras,10,FALSE),"-"),"-")</f>
        <v>1/750</v>
      </c>
      <c r="M2108" s="317">
        <f>IF(L2108&lt;&gt;"-",VLOOKUP(L2108,precio_aislador,2,FALSE),0)</f>
        <v>1.9</v>
      </c>
      <c r="N2108" s="308">
        <f>(I2108*J2108*F2108+K2108*M2108)*E2108*1.67*1.25</f>
        <v>96.943499999999986</v>
      </c>
      <c r="O2108" s="288"/>
      <c r="P2108" s="297"/>
      <c r="Q2108" s="288"/>
      <c r="R2108" s="102"/>
      <c r="S2108" s="102"/>
      <c r="T2108" s="102"/>
    </row>
    <row r="2109" spans="1:20" s="199" customFormat="1" ht="15" thickBot="1">
      <c r="A2109" s="2628"/>
      <c r="B2109" s="321" t="s">
        <v>802</v>
      </c>
      <c r="C2109" s="363"/>
      <c r="D2109" s="364">
        <f>IF(H2109&lt;&gt;"",VLOOKUP(G2109,base_barras,IF(H2109="Desnuda",2,5)+F2109-1,FALSE),"-")</f>
        <v>676</v>
      </c>
      <c r="E2109" s="365">
        <v>1</v>
      </c>
      <c r="F2109" s="366">
        <v>1</v>
      </c>
      <c r="G2109" s="322" t="s">
        <v>314</v>
      </c>
      <c r="H2109" s="366" t="s">
        <v>1043</v>
      </c>
      <c r="I2109" s="316">
        <v>0.8</v>
      </c>
      <c r="J2109" s="317">
        <f>IF(G2109&lt;&gt;"",VLOOKUP(G2109,precio_barras,9,FALSE),0)</f>
        <v>26.6</v>
      </c>
      <c r="K2109" s="395">
        <v>0</v>
      </c>
      <c r="L2109" s="369" t="str">
        <f>IF(G2109&lt;&gt;"",IF(VLOOKUP(G2109,base_barras,10,FALSE)&lt;&gt;"",VLOOKUP(G2109,base_barras,10,FALSE),"-"),"-")</f>
        <v>1/750</v>
      </c>
      <c r="M2109" s="368">
        <f>IF(L2109&lt;&gt;"-",VLOOKUP(L2109,precio_aislador,2,FALSE),0)</f>
        <v>1.9</v>
      </c>
      <c r="N2109" s="370">
        <f>(I2109*J2109*F2109+K2109*M2109)*E2109*1.67*1.25</f>
        <v>44.421999999999997</v>
      </c>
      <c r="O2109" s="288"/>
      <c r="P2109" s="297"/>
      <c r="Q2109" s="288"/>
      <c r="R2109" s="102"/>
      <c r="S2109" s="102"/>
      <c r="T2109" s="102"/>
    </row>
    <row r="2110" spans="1:20" s="102" customFormat="1" ht="13.5" thickBot="1">
      <c r="A2110" s="288"/>
      <c r="B2110" s="289"/>
      <c r="C2110" s="288"/>
      <c r="D2110" s="288"/>
      <c r="E2110" s="288"/>
      <c r="F2110" s="297"/>
      <c r="G2110" s="297"/>
      <c r="H2110" s="297"/>
      <c r="I2110" s="288"/>
      <c r="J2110" s="288"/>
      <c r="K2110" s="288"/>
      <c r="L2110" s="297"/>
      <c r="M2110" s="288"/>
      <c r="N2110" s="741">
        <f>SUM(N2105:N2109)</f>
        <v>400.20714999999996</v>
      </c>
      <c r="O2110" s="288"/>
      <c r="P2110" s="297"/>
      <c r="Q2110" s="297"/>
    </row>
    <row r="2111" spans="1:20" s="102" customFormat="1">
      <c r="A2111" s="288"/>
      <c r="B2111" s="289"/>
      <c r="C2111" s="288"/>
      <c r="D2111" s="288"/>
      <c r="E2111" s="288"/>
      <c r="F2111" s="297"/>
      <c r="G2111" s="297"/>
      <c r="H2111" s="297"/>
      <c r="I2111" s="288"/>
      <c r="J2111" s="288"/>
      <c r="K2111" s="288"/>
      <c r="L2111" s="297"/>
      <c r="M2111" s="288"/>
      <c r="N2111" s="305"/>
      <c r="O2111" s="288"/>
      <c r="P2111" s="297"/>
      <c r="Q2111" s="297"/>
    </row>
    <row r="2112" spans="1:20" s="102" customFormat="1">
      <c r="A2112" s="288"/>
      <c r="B2112" s="289"/>
      <c r="C2112" s="288"/>
      <c r="D2112" s="288"/>
      <c r="E2112" s="288"/>
      <c r="F2112" s="297"/>
      <c r="G2112" s="297"/>
      <c r="H2112" s="297"/>
      <c r="I2112" s="288"/>
      <c r="J2112" s="288"/>
      <c r="K2112" s="288"/>
      <c r="L2112" s="297"/>
      <c r="M2112" s="288"/>
      <c r="N2112" s="305"/>
      <c r="O2112" s="288"/>
      <c r="P2112" s="297"/>
      <c r="Q2112" s="297"/>
    </row>
    <row r="2113" spans="1:20" s="102" customFormat="1">
      <c r="A2113" s="288"/>
      <c r="B2113" s="289"/>
      <c r="C2113" s="288"/>
      <c r="D2113" s="288"/>
      <c r="E2113" s="288"/>
      <c r="F2113" s="297"/>
      <c r="G2113" s="297"/>
      <c r="H2113" s="297"/>
      <c r="I2113" s="288"/>
      <c r="J2113" s="288"/>
      <c r="K2113" s="288"/>
      <c r="L2113" s="297"/>
      <c r="M2113" s="288"/>
      <c r="N2113" s="305"/>
      <c r="O2113" s="288"/>
      <c r="P2113" s="297"/>
      <c r="Q2113" s="297"/>
    </row>
    <row r="2114" spans="1:20" s="106" customFormat="1"/>
    <row r="2115" spans="1:20" s="199" customFormat="1" ht="15.75" customHeight="1">
      <c r="A2115" s="2623" t="s">
        <v>1384</v>
      </c>
      <c r="B2115" s="310" t="s">
        <v>1033</v>
      </c>
      <c r="C2115" s="311"/>
      <c r="D2115" s="312">
        <f t="shared" ref="D2115:D2122" si="748">IF(H2115&lt;&gt;"",VLOOKUP(G2115,base_barras,IF(H2115="Desnuda",2,5)+F2115-1,FALSE),"-")</f>
        <v>1180</v>
      </c>
      <c r="E2115" s="313">
        <v>3</v>
      </c>
      <c r="F2115" s="314">
        <v>1</v>
      </c>
      <c r="G2115" s="315" t="s">
        <v>581</v>
      </c>
      <c r="H2115" s="314" t="s">
        <v>1043</v>
      </c>
      <c r="I2115" s="316">
        <v>2</v>
      </c>
      <c r="J2115" s="317">
        <f t="shared" ref="J2115:J2122" si="749">IF(G2115&lt;&gt;"",VLOOKUP(G2115,precio_barras,9,FALSE),0)</f>
        <v>53.3</v>
      </c>
      <c r="K2115" s="313">
        <v>2</v>
      </c>
      <c r="L2115" s="318" t="str">
        <f t="shared" ref="L2115:L2122" si="750">IF(G2115&lt;&gt;"",IF(VLOOKUP(G2115,base_barras,10,FALSE)&lt;&gt;"",VLOOKUP(G2115,base_barras,10,FALSE),"-"),"-")</f>
        <v>1/750</v>
      </c>
      <c r="M2115" s="317">
        <f t="shared" ref="M2115:M2122" si="751">IF(L2115&lt;&gt;"-",VLOOKUP(L2115,precio_aislador,2,FALSE),0)</f>
        <v>1.9</v>
      </c>
      <c r="N2115" s="308">
        <f t="shared" ref="N2115:N2122" si="752">(I2115*J2115*F2115+K2115*M2115)*E2115*1.67*1.25</f>
        <v>691.37999999999988</v>
      </c>
      <c r="O2115" s="288"/>
      <c r="P2115" s="297"/>
      <c r="Q2115" s="288"/>
      <c r="R2115" s="102"/>
      <c r="S2115" s="102"/>
      <c r="T2115" s="102"/>
    </row>
    <row r="2116" spans="1:20" s="199" customFormat="1" ht="15.75" customHeight="1">
      <c r="A2116" s="2624"/>
      <c r="B2116" s="310" t="s">
        <v>805</v>
      </c>
      <c r="C2116" s="311"/>
      <c r="D2116" s="312">
        <f t="shared" si="748"/>
        <v>985</v>
      </c>
      <c r="E2116" s="313">
        <v>3</v>
      </c>
      <c r="F2116" s="314">
        <v>1</v>
      </c>
      <c r="G2116" s="315" t="s">
        <v>581</v>
      </c>
      <c r="H2116" s="314" t="s">
        <v>1044</v>
      </c>
      <c r="I2116" s="316">
        <v>0.52</v>
      </c>
      <c r="J2116" s="317">
        <f t="shared" si="749"/>
        <v>53.3</v>
      </c>
      <c r="K2116" s="313">
        <v>2</v>
      </c>
      <c r="L2116" s="318" t="str">
        <f t="shared" si="750"/>
        <v>1/750</v>
      </c>
      <c r="M2116" s="317">
        <f t="shared" si="751"/>
        <v>1.9</v>
      </c>
      <c r="N2116" s="308">
        <f t="shared" si="752"/>
        <v>197.36895000000001</v>
      </c>
      <c r="O2116" s="288"/>
      <c r="P2116" s="297"/>
      <c r="Q2116" s="288"/>
      <c r="R2116" s="102"/>
      <c r="S2116" s="102"/>
      <c r="T2116" s="102"/>
    </row>
    <row r="2117" spans="1:20" s="199" customFormat="1" ht="15.75" customHeight="1">
      <c r="A2117" s="2624"/>
      <c r="B2117" s="310" t="s">
        <v>807</v>
      </c>
      <c r="C2117" s="311"/>
      <c r="D2117" s="312">
        <f t="shared" si="748"/>
        <v>676</v>
      </c>
      <c r="E2117" s="313">
        <v>3</v>
      </c>
      <c r="F2117" s="314">
        <v>1</v>
      </c>
      <c r="G2117" s="315" t="s">
        <v>314</v>
      </c>
      <c r="H2117" s="314" t="s">
        <v>1043</v>
      </c>
      <c r="I2117" s="316">
        <v>0.61</v>
      </c>
      <c r="J2117" s="317">
        <f t="shared" si="749"/>
        <v>26.6</v>
      </c>
      <c r="K2117" s="313">
        <v>0</v>
      </c>
      <c r="L2117" s="318" t="str">
        <f t="shared" si="750"/>
        <v>1/750</v>
      </c>
      <c r="M2117" s="317">
        <f t="shared" si="751"/>
        <v>1.9</v>
      </c>
      <c r="N2117" s="308">
        <f t="shared" si="752"/>
        <v>101.615325</v>
      </c>
      <c r="O2117" s="288"/>
      <c r="P2117" s="297"/>
      <c r="Q2117" s="288"/>
      <c r="R2117" s="102"/>
      <c r="S2117" s="102"/>
      <c r="T2117" s="102"/>
    </row>
    <row r="2118" spans="1:20" s="199" customFormat="1" ht="15.75" customHeight="1">
      <c r="A2118" s="2624"/>
      <c r="B2118" s="310" t="s">
        <v>807</v>
      </c>
      <c r="C2118" s="311"/>
      <c r="D2118" s="312">
        <f t="shared" si="748"/>
        <v>676</v>
      </c>
      <c r="E2118" s="313">
        <v>3</v>
      </c>
      <c r="F2118" s="314">
        <v>1</v>
      </c>
      <c r="G2118" s="315" t="s">
        <v>314</v>
      </c>
      <c r="H2118" s="314" t="s">
        <v>1043</v>
      </c>
      <c r="I2118" s="316">
        <v>0.61</v>
      </c>
      <c r="J2118" s="317">
        <f t="shared" si="749"/>
        <v>26.6</v>
      </c>
      <c r="K2118" s="313">
        <v>0</v>
      </c>
      <c r="L2118" s="318" t="str">
        <f t="shared" si="750"/>
        <v>1/750</v>
      </c>
      <c r="M2118" s="317">
        <f t="shared" si="751"/>
        <v>1.9</v>
      </c>
      <c r="N2118" s="308">
        <f t="shared" si="752"/>
        <v>101.615325</v>
      </c>
      <c r="O2118" s="288"/>
      <c r="P2118" s="297"/>
      <c r="Q2118" s="288"/>
      <c r="R2118" s="102"/>
      <c r="S2118" s="102"/>
      <c r="T2118" s="102"/>
    </row>
    <row r="2119" spans="1:20" s="199" customFormat="1" ht="15.75" customHeight="1">
      <c r="A2119" s="2624"/>
      <c r="B2119" s="310" t="s">
        <v>807</v>
      </c>
      <c r="C2119" s="311"/>
      <c r="D2119" s="312">
        <f t="shared" si="748"/>
        <v>676</v>
      </c>
      <c r="E2119" s="313">
        <v>3</v>
      </c>
      <c r="F2119" s="314">
        <v>1</v>
      </c>
      <c r="G2119" s="315" t="s">
        <v>314</v>
      </c>
      <c r="H2119" s="314" t="s">
        <v>1043</v>
      </c>
      <c r="I2119" s="316">
        <v>0.61</v>
      </c>
      <c r="J2119" s="317">
        <f t="shared" si="749"/>
        <v>26.6</v>
      </c>
      <c r="K2119" s="313">
        <v>0</v>
      </c>
      <c r="L2119" s="318" t="str">
        <f t="shared" si="750"/>
        <v>1/750</v>
      </c>
      <c r="M2119" s="317">
        <f t="shared" si="751"/>
        <v>1.9</v>
      </c>
      <c r="N2119" s="308">
        <f t="shared" si="752"/>
        <v>101.615325</v>
      </c>
      <c r="O2119" s="288"/>
      <c r="P2119" s="297"/>
      <c r="Q2119" s="288"/>
      <c r="R2119" s="102"/>
      <c r="S2119" s="102"/>
      <c r="T2119" s="102"/>
    </row>
    <row r="2120" spans="1:20" s="199" customFormat="1" ht="15.75" customHeight="1">
      <c r="A2120" s="2624"/>
      <c r="B2120" s="310" t="s">
        <v>1358</v>
      </c>
      <c r="C2120" s="311"/>
      <c r="D2120" s="312">
        <f>IF(H2120&lt;&gt;"",VLOOKUP(G2120,base_barras,IF(H2120="Desnuda",2,5)+F2120-1,FALSE),"-")</f>
        <v>715</v>
      </c>
      <c r="E2120" s="313">
        <v>3</v>
      </c>
      <c r="F2120" s="314">
        <v>1</v>
      </c>
      <c r="G2120" s="315" t="s">
        <v>469</v>
      </c>
      <c r="H2120" s="314" t="s">
        <v>1044</v>
      </c>
      <c r="I2120" s="316">
        <v>0.61</v>
      </c>
      <c r="J2120" s="317">
        <f t="shared" si="749"/>
        <v>35.6</v>
      </c>
      <c r="K2120" s="313">
        <v>0</v>
      </c>
      <c r="L2120" s="318" t="str">
        <f>IF(G2120&lt;&gt;"",IF(VLOOKUP(G2120,base_barras,10,FALSE)&lt;&gt;"",VLOOKUP(G2120,base_barras,10,FALSE),"-"),"-")</f>
        <v>1/750</v>
      </c>
      <c r="M2120" s="317">
        <f>IF(L2120&lt;&gt;"-",VLOOKUP(L2120,precio_aislador,2,FALSE),0)</f>
        <v>1.9</v>
      </c>
      <c r="N2120" s="308">
        <f t="shared" si="752"/>
        <v>135.99644999999998</v>
      </c>
      <c r="O2120" s="288"/>
      <c r="P2120" s="297"/>
      <c r="Q2120" s="288"/>
      <c r="R2120" s="102"/>
      <c r="S2120" s="102"/>
      <c r="T2120" s="102"/>
    </row>
    <row r="2121" spans="1:20" s="199" customFormat="1" ht="14.25">
      <c r="A2121" s="2624"/>
      <c r="B2121" s="310" t="s">
        <v>801</v>
      </c>
      <c r="C2121" s="319"/>
      <c r="D2121" s="312">
        <f t="shared" si="748"/>
        <v>1180</v>
      </c>
      <c r="E2121" s="313">
        <v>1</v>
      </c>
      <c r="F2121" s="314">
        <v>1</v>
      </c>
      <c r="G2121" s="315" t="s">
        <v>581</v>
      </c>
      <c r="H2121" s="314" t="s">
        <v>1043</v>
      </c>
      <c r="I2121" s="316">
        <v>2</v>
      </c>
      <c r="J2121" s="317">
        <f t="shared" si="749"/>
        <v>53.3</v>
      </c>
      <c r="K2121" s="320">
        <v>4</v>
      </c>
      <c r="L2121" s="318" t="str">
        <f t="shared" si="750"/>
        <v>1/750</v>
      </c>
      <c r="M2121" s="317">
        <f t="shared" si="751"/>
        <v>1.9</v>
      </c>
      <c r="N2121" s="308">
        <f t="shared" si="752"/>
        <v>238.39249999999996</v>
      </c>
      <c r="O2121" s="288"/>
      <c r="P2121" s="297"/>
      <c r="Q2121" s="288"/>
      <c r="R2121" s="102"/>
      <c r="S2121" s="102"/>
      <c r="T2121" s="102"/>
    </row>
    <row r="2122" spans="1:20" s="199" customFormat="1" ht="15" thickBot="1">
      <c r="A2122" s="2625"/>
      <c r="B2122" s="321" t="s">
        <v>802</v>
      </c>
      <c r="C2122" s="363"/>
      <c r="D2122" s="364">
        <f t="shared" si="748"/>
        <v>850</v>
      </c>
      <c r="E2122" s="365">
        <v>1</v>
      </c>
      <c r="F2122" s="366">
        <v>1</v>
      </c>
      <c r="G2122" s="322" t="s">
        <v>469</v>
      </c>
      <c r="H2122" s="366" t="s">
        <v>1043</v>
      </c>
      <c r="I2122" s="316">
        <v>2</v>
      </c>
      <c r="J2122" s="317">
        <f t="shared" si="749"/>
        <v>35.6</v>
      </c>
      <c r="K2122" s="395">
        <v>0</v>
      </c>
      <c r="L2122" s="369" t="str">
        <f t="shared" si="750"/>
        <v>1/750</v>
      </c>
      <c r="M2122" s="368">
        <f t="shared" si="751"/>
        <v>1.9</v>
      </c>
      <c r="N2122" s="370">
        <f t="shared" si="752"/>
        <v>148.63</v>
      </c>
      <c r="O2122" s="288"/>
      <c r="P2122" s="297"/>
      <c r="Q2122" s="288"/>
      <c r="R2122" s="102"/>
      <c r="S2122" s="102"/>
      <c r="T2122" s="102"/>
    </row>
    <row r="2123" spans="1:20" s="129" customFormat="1" ht="22.5" customHeight="1" thickBot="1">
      <c r="A2123" s="371"/>
      <c r="B2123" s="375"/>
      <c r="C2123" s="375"/>
      <c r="D2123" s="383"/>
      <c r="E2123" s="373"/>
      <c r="F2123" s="373"/>
      <c r="G2123" s="373"/>
      <c r="H2123" s="373"/>
      <c r="I2123" s="374"/>
      <c r="J2123" s="374"/>
      <c r="K2123" s="373"/>
      <c r="L2123" s="373"/>
      <c r="M2123" s="372"/>
      <c r="N2123" s="699">
        <f>SUM(N2115:N2122)</f>
        <v>1716.613875</v>
      </c>
      <c r="O2123" s="288"/>
      <c r="P2123" s="297"/>
      <c r="Q2123" s="288"/>
      <c r="R2123" s="102"/>
      <c r="S2123" s="102"/>
      <c r="T2123" s="102"/>
    </row>
    <row r="2124" spans="1:20" s="102" customFormat="1" ht="8.25" customHeight="1" thickBot="1">
      <c r="A2124" s="323"/>
      <c r="B2124" s="309"/>
      <c r="C2124" s="323"/>
      <c r="D2124" s="382"/>
      <c r="E2124" s="323"/>
      <c r="F2124" s="325"/>
      <c r="G2124" s="325"/>
      <c r="H2124" s="325"/>
      <c r="I2124" s="323"/>
      <c r="J2124" s="323"/>
      <c r="K2124" s="323"/>
      <c r="L2124" s="325"/>
      <c r="M2124" s="323"/>
      <c r="N2124" s="309"/>
      <c r="O2124" s="288"/>
      <c r="P2124" s="297"/>
      <c r="Q2124" s="288"/>
    </row>
    <row r="2125" spans="1:20" s="102" customFormat="1">
      <c r="A2125" s="2631" t="s">
        <v>1228</v>
      </c>
      <c r="B2125" s="310" t="s">
        <v>1033</v>
      </c>
      <c r="C2125" s="327"/>
      <c r="D2125" s="328">
        <f>IF(H2125&lt;&gt;"",VLOOKUP(G2125,base_barras,IF(H2125="Desnuda",2,5)+F2125-1,FALSE),"-")</f>
        <v>1180</v>
      </c>
      <c r="E2125" s="329">
        <v>3</v>
      </c>
      <c r="F2125" s="330">
        <v>1</v>
      </c>
      <c r="G2125" s="331" t="s">
        <v>581</v>
      </c>
      <c r="H2125" s="330" t="s">
        <v>1043</v>
      </c>
      <c r="I2125" s="332">
        <v>0.2</v>
      </c>
      <c r="J2125" s="317">
        <f>IF(G2125&lt;&gt;"",VLOOKUP(G2125,precio_barras,9,FALSE),0)</f>
        <v>53.3</v>
      </c>
      <c r="K2125" s="329">
        <v>0</v>
      </c>
      <c r="L2125" s="343" t="str">
        <f>IF(G2125&lt;&gt;"",IF(VLOOKUP(G2125,base_barras,10,FALSE)&lt;&gt;"",VLOOKUP(G2125,base_barras,10,FALSE),"-"),"-")</f>
        <v>1/750</v>
      </c>
      <c r="M2125" s="333">
        <f>IF(L2125&lt;&gt;"-",VLOOKUP(L2125,precio_aislador,2,FALSE),0)</f>
        <v>1.9</v>
      </c>
      <c r="N2125" s="360">
        <f>(I2125*J2125*F2125+K2125*M2125)*E2125*1.67*1.25</f>
        <v>66.758250000000004</v>
      </c>
      <c r="O2125" s="288"/>
      <c r="P2125" s="297"/>
      <c r="Q2125" s="297"/>
    </row>
    <row r="2126" spans="1:20" s="102" customFormat="1">
      <c r="A2126" s="2632"/>
      <c r="B2126" s="310"/>
      <c r="C2126" s="311"/>
      <c r="D2126" s="312" t="str">
        <f>IF(H2126&lt;&gt;"",VLOOKUP(G2126,base_barras,IF(H2126="Desnuda",2,5)+F2126-1,FALSE),"-")</f>
        <v>-</v>
      </c>
      <c r="E2126" s="313"/>
      <c r="F2126" s="314"/>
      <c r="G2126" s="315"/>
      <c r="H2126" s="314"/>
      <c r="I2126" s="316"/>
      <c r="J2126" s="317">
        <f>IF(G2126&lt;&gt;"",VLOOKUP(G2126,precio_barras,9,FALSE),0)</f>
        <v>0</v>
      </c>
      <c r="K2126" s="313"/>
      <c r="L2126" s="318" t="str">
        <f>IF(G2126&lt;&gt;"",IF(VLOOKUP(G2126,base_barras,10,FALSE)&lt;&gt;"",VLOOKUP(G2126,base_barras,10,FALSE),"-"),"-")</f>
        <v>-</v>
      </c>
      <c r="M2126" s="317">
        <f>IF(L2126&lt;&gt;"-",VLOOKUP(L2126,precio_aislador,2,FALSE),0)</f>
        <v>0</v>
      </c>
      <c r="N2126" s="308">
        <f>(I2126*J2126*F2126+K2126*M2126)*E2126*1.67*1.25</f>
        <v>0</v>
      </c>
      <c r="O2126" s="288"/>
      <c r="P2126" s="297"/>
      <c r="Q2126" s="297"/>
    </row>
    <row r="2127" spans="1:20" s="102" customFormat="1" ht="13.5" thickBot="1">
      <c r="A2127" s="323"/>
      <c r="B2127" s="309"/>
      <c r="C2127" s="309"/>
      <c r="D2127" s="382"/>
      <c r="E2127" s="323"/>
      <c r="F2127" s="309"/>
      <c r="G2127" s="309"/>
      <c r="H2127" s="323"/>
      <c r="I2127" s="325"/>
      <c r="J2127" s="325"/>
      <c r="K2127" s="323"/>
      <c r="L2127" s="323"/>
      <c r="M2127" s="325"/>
      <c r="N2127" s="706">
        <f>SUM(N2125:N2126)</f>
        <v>66.758250000000004</v>
      </c>
      <c r="O2127" s="288"/>
      <c r="P2127" s="297"/>
      <c r="Q2127" s="297"/>
    </row>
    <row r="2128" spans="1:20" s="106" customFormat="1" ht="9" customHeight="1" thickBot="1"/>
    <row r="2129" spans="1:20" s="102" customFormat="1">
      <c r="A2129" s="2633" t="s">
        <v>1034</v>
      </c>
      <c r="B2129" s="326" t="s">
        <v>805</v>
      </c>
      <c r="C2129" s="327"/>
      <c r="D2129" s="328">
        <f>IF(H2129&lt;&gt;"",VLOOKUP(G2129,base_barras,IF(H2129="Desnuda",2,5)+F2129-1,FALSE),"-")</f>
        <v>1290</v>
      </c>
      <c r="E2129" s="329">
        <v>3</v>
      </c>
      <c r="F2129" s="330">
        <v>2</v>
      </c>
      <c r="G2129" s="331" t="s">
        <v>469</v>
      </c>
      <c r="H2129" s="330" t="s">
        <v>1044</v>
      </c>
      <c r="I2129" s="332">
        <v>0.2</v>
      </c>
      <c r="J2129" s="317">
        <f>IF(G2129&lt;&gt;"",VLOOKUP(G2129,precio_barras,9,FALSE),0)</f>
        <v>35.6</v>
      </c>
      <c r="K2129" s="329">
        <v>0</v>
      </c>
      <c r="L2129" s="343" t="str">
        <f>IF(G2129&lt;&gt;"",IF(VLOOKUP(G2129,base_barras,10,FALSE)&lt;&gt;"",VLOOKUP(G2129,base_barras,10,FALSE),"-"),"-")</f>
        <v>1/750</v>
      </c>
      <c r="M2129" s="333">
        <f>IF(L2129&lt;&gt;"-",VLOOKUP(L2129,precio_aislador,2,FALSE),0)</f>
        <v>1.9</v>
      </c>
      <c r="N2129" s="360">
        <f>(I2129*J2129*F2129+K2129*M2129)*E2129*1.67*1.25</f>
        <v>89.178000000000011</v>
      </c>
      <c r="O2129" s="288"/>
      <c r="P2129" s="297"/>
      <c r="Q2129" s="297"/>
    </row>
    <row r="2130" spans="1:20" s="102" customFormat="1">
      <c r="A2130" s="2634"/>
      <c r="B2130" s="310"/>
      <c r="C2130" s="311"/>
      <c r="D2130" s="312" t="str">
        <f>IF(H2130&lt;&gt;"",VLOOKUP(G2130,base_barras,IF(H2130="Desnuda",2,5)+F2130-1,FALSE),"-")</f>
        <v>-</v>
      </c>
      <c r="E2130" s="313"/>
      <c r="F2130" s="314"/>
      <c r="G2130" s="315"/>
      <c r="H2130" s="314"/>
      <c r="I2130" s="316"/>
      <c r="J2130" s="317">
        <f>IF(G2130&lt;&gt;"",VLOOKUP(G2130,precio_barras,9,FALSE),0)</f>
        <v>0</v>
      </c>
      <c r="K2130" s="313"/>
      <c r="L2130" s="318" t="str">
        <f>IF(G2130&lt;&gt;"",IF(VLOOKUP(G2130,base_barras,10,FALSE)&lt;&gt;"",VLOOKUP(G2130,base_barras,10,FALSE),"-"),"-")</f>
        <v>-</v>
      </c>
      <c r="M2130" s="317">
        <f>IF(L2130&lt;&gt;"-",VLOOKUP(L2130,precio_aislador,2,FALSE),0)</f>
        <v>0</v>
      </c>
      <c r="N2130" s="308">
        <f>(I2130*J2130*F2130+K2130*M2130)*E2130*1.67*1.25</f>
        <v>0</v>
      </c>
      <c r="O2130" s="288"/>
      <c r="P2130" s="297"/>
      <c r="Q2130" s="297"/>
    </row>
    <row r="2131" spans="1:20" s="102" customFormat="1">
      <c r="A2131" s="2634"/>
      <c r="B2131" s="310"/>
      <c r="C2131" s="311"/>
      <c r="D2131" s="312" t="str">
        <f>IF(H2131&lt;&gt;"",VLOOKUP(G2131,base_barras,IF(H2131="Desnuda",2,5)+F2131-1,FALSE),"-")</f>
        <v>-</v>
      </c>
      <c r="E2131" s="313"/>
      <c r="F2131" s="314"/>
      <c r="G2131" s="315"/>
      <c r="H2131" s="314"/>
      <c r="I2131" s="316"/>
      <c r="J2131" s="317">
        <f>IF(G2131&lt;&gt;"",VLOOKUP(G2131,precio_barras,9,FALSE),0)</f>
        <v>0</v>
      </c>
      <c r="K2131" s="313"/>
      <c r="L2131" s="318" t="str">
        <f>IF(G2131&lt;&gt;"",IF(VLOOKUP(G2131,base_barras,10,FALSE)&lt;&gt;"",VLOOKUP(G2131,base_barras,10,FALSE),"-"),"-")</f>
        <v>-</v>
      </c>
      <c r="M2131" s="317">
        <f>IF(L2131&lt;&gt;"-",VLOOKUP(L2131,precio_aislador,2,FALSE),0)</f>
        <v>0</v>
      </c>
      <c r="N2131" s="308">
        <f>(I2131*J2131*F2131+K2131*M2131)*E2131*1.67*1.25</f>
        <v>0</v>
      </c>
      <c r="O2131" s="288"/>
      <c r="P2131" s="297"/>
      <c r="Q2131" s="297"/>
    </row>
    <row r="2132" spans="1:20" s="102" customFormat="1" ht="13.5" thickBot="1">
      <c r="A2132" s="2634"/>
      <c r="B2132" s="310"/>
      <c r="C2132" s="311"/>
      <c r="D2132" s="312" t="str">
        <f>IF(H2132&lt;&gt;"",VLOOKUP(G2132,base_barras,IF(H2132="Desnuda",2,5)+F2132-1,FALSE),"-")</f>
        <v>-</v>
      </c>
      <c r="E2132" s="313"/>
      <c r="F2132" s="314"/>
      <c r="G2132" s="315"/>
      <c r="H2132" s="314"/>
      <c r="I2132" s="316"/>
      <c r="J2132" s="317">
        <f>IF(G2132&lt;&gt;"",VLOOKUP(G2132,precio_barras,9,FALSE),0)</f>
        <v>0</v>
      </c>
      <c r="K2132" s="313"/>
      <c r="L2132" s="318" t="str">
        <f>IF(G2132&lt;&gt;"",IF(VLOOKUP(G2132,base_barras,10,FALSE)&lt;&gt;"",VLOOKUP(G2132,base_barras,10,FALSE),"-"),"-")</f>
        <v>-</v>
      </c>
      <c r="M2132" s="317">
        <f>IF(L2132&lt;&gt;"-",VLOOKUP(L2132,precio_aislador,2,FALSE),0)</f>
        <v>0</v>
      </c>
      <c r="N2132" s="308">
        <f>(I2132*J2132*F2132+K2132*M2132)*E2132*1.67*1.25</f>
        <v>0</v>
      </c>
      <c r="O2132" s="288"/>
      <c r="P2132" s="297"/>
      <c r="Q2132" s="297"/>
    </row>
    <row r="2133" spans="1:20" s="102" customFormat="1" ht="13.5" thickBot="1">
      <c r="A2133" s="323"/>
      <c r="B2133" s="309"/>
      <c r="C2133" s="309"/>
      <c r="D2133" s="382"/>
      <c r="E2133" s="323"/>
      <c r="F2133" s="309"/>
      <c r="G2133" s="309"/>
      <c r="H2133" s="323"/>
      <c r="I2133" s="325"/>
      <c r="J2133" s="378"/>
      <c r="K2133" s="323"/>
      <c r="L2133" s="323"/>
      <c r="M2133" s="325"/>
      <c r="N2133" s="741">
        <f>SUM(N2129:N2132)</f>
        <v>89.178000000000011</v>
      </c>
      <c r="O2133" s="288"/>
      <c r="P2133" s="297"/>
      <c r="Q2133" s="297"/>
    </row>
    <row r="2134" spans="1:20" s="102" customFormat="1">
      <c r="A2134" s="288"/>
      <c r="B2134" s="289"/>
      <c r="C2134" s="288"/>
      <c r="D2134" s="288"/>
      <c r="E2134" s="288"/>
      <c r="F2134" s="297"/>
      <c r="G2134" s="297"/>
      <c r="H2134" s="297"/>
      <c r="I2134" s="288"/>
      <c r="J2134" s="288"/>
      <c r="K2134" s="288"/>
      <c r="L2134" s="297"/>
      <c r="M2134" s="288"/>
      <c r="N2134" s="305"/>
      <c r="O2134" s="288"/>
      <c r="P2134" s="297"/>
      <c r="Q2134" s="297"/>
    </row>
    <row r="2135" spans="1:20" s="102" customFormat="1">
      <c r="A2135" s="288"/>
      <c r="B2135" s="289"/>
      <c r="C2135" s="288"/>
      <c r="D2135" s="288"/>
      <c r="E2135" s="288"/>
      <c r="F2135" s="297"/>
      <c r="G2135" s="297"/>
      <c r="H2135" s="297"/>
      <c r="I2135" s="288"/>
      <c r="J2135" s="288"/>
      <c r="K2135" s="288"/>
      <c r="L2135" s="297"/>
      <c r="M2135" s="288"/>
      <c r="N2135" s="305"/>
      <c r="O2135" s="288"/>
      <c r="P2135" s="297"/>
      <c r="Q2135" s="297"/>
    </row>
    <row r="2136" spans="1:20" s="102" customFormat="1">
      <c r="A2136" s="288"/>
      <c r="B2136" s="289"/>
      <c r="C2136" s="288"/>
      <c r="D2136" s="288"/>
      <c r="E2136" s="288"/>
      <c r="F2136" s="297"/>
      <c r="G2136" s="297"/>
      <c r="H2136" s="297"/>
      <c r="I2136" s="288"/>
      <c r="J2136" s="288"/>
      <c r="K2136" s="288"/>
      <c r="L2136" s="297"/>
      <c r="M2136" s="288"/>
      <c r="N2136" s="305"/>
      <c r="O2136" s="288"/>
      <c r="P2136" s="297"/>
      <c r="Q2136" s="297"/>
    </row>
    <row r="2137" spans="1:20" s="102" customFormat="1">
      <c r="B2137" s="744"/>
      <c r="F2137" s="745"/>
      <c r="G2137" s="745"/>
      <c r="H2137" s="745"/>
      <c r="L2137" s="745"/>
      <c r="N2137" s="746"/>
      <c r="P2137" s="745"/>
      <c r="Q2137" s="745"/>
    </row>
    <row r="2138" spans="1:20" s="199" customFormat="1" ht="15.75" customHeight="1">
      <c r="A2138" s="2623" t="s">
        <v>1385</v>
      </c>
      <c r="B2138" s="310" t="s">
        <v>1033</v>
      </c>
      <c r="C2138" s="311"/>
      <c r="D2138" s="312" t="str">
        <f>IF(H2138&lt;&gt;"",VLOOKUP(G2138,base_barras,IF(H2138="Desnuda",2,5)+F2138-1,FALSE),"-")</f>
        <v>-</v>
      </c>
      <c r="E2138" s="313"/>
      <c r="F2138" s="314"/>
      <c r="G2138" s="315"/>
      <c r="H2138" s="314"/>
      <c r="I2138" s="316"/>
      <c r="J2138" s="317">
        <v>0</v>
      </c>
      <c r="K2138" s="320">
        <v>2</v>
      </c>
      <c r="L2138" s="318" t="str">
        <f>IF(G2138&lt;&gt;"",IF(VLOOKUP(G2138,base_barras,10,FALSE)&lt;&gt;"",VLOOKUP(G2138,base_barras,10,FALSE),"-"),"-")</f>
        <v>-</v>
      </c>
      <c r="M2138" s="317">
        <f>IF(L2138&lt;&gt;"-",VLOOKUP(L2138,precio_aislador,2,FALSE),0)</f>
        <v>0</v>
      </c>
      <c r="N2138" s="308">
        <f>(I2138*J2138*F2138+K2138*M2138)*E2138*1.67*1.25</f>
        <v>0</v>
      </c>
      <c r="O2138" s="288"/>
      <c r="P2138" s="297"/>
      <c r="Q2138" s="288"/>
      <c r="R2138" s="102"/>
      <c r="S2138" s="102"/>
      <c r="T2138" s="102"/>
    </row>
    <row r="2139" spans="1:20" s="199" customFormat="1" ht="15.75" customHeight="1">
      <c r="A2139" s="2624"/>
      <c r="B2139" s="310" t="s">
        <v>1383</v>
      </c>
      <c r="C2139" s="311"/>
      <c r="D2139" s="312">
        <f>IF(H2139&lt;&gt;"",VLOOKUP(G2139,base_barras,IF(H2139="Desnuda",2,5)+F2139-1,FALSE),"-")</f>
        <v>676</v>
      </c>
      <c r="E2139" s="313">
        <v>3</v>
      </c>
      <c r="F2139" s="314">
        <v>1</v>
      </c>
      <c r="G2139" s="315" t="s">
        <v>314</v>
      </c>
      <c r="H2139" s="314" t="s">
        <v>1043</v>
      </c>
      <c r="I2139" s="316">
        <v>0.61</v>
      </c>
      <c r="J2139" s="317">
        <v>34.58</v>
      </c>
      <c r="K2139" s="313"/>
      <c r="L2139" s="318" t="str">
        <f>IF(G2139&lt;&gt;"",IF(VLOOKUP(G2139,base_barras,10,FALSE)&lt;&gt;"",VLOOKUP(G2139,base_barras,10,FALSE),"-"),"-")</f>
        <v>1/750</v>
      </c>
      <c r="M2139" s="317">
        <f>IF(L2139&lt;&gt;"-",VLOOKUP(L2139,precio_aislador,2,FALSE),0)</f>
        <v>1.9</v>
      </c>
      <c r="N2139" s="308">
        <f>(I2139*J2139*F2139+K2139*M2139)*E2139*1.67*1.25</f>
        <v>132.09992249999996</v>
      </c>
      <c r="O2139" s="288"/>
      <c r="P2139" s="297"/>
      <c r="Q2139" s="288"/>
      <c r="R2139" s="102"/>
      <c r="S2139" s="102"/>
      <c r="T2139" s="102"/>
    </row>
    <row r="2140" spans="1:20" s="199" customFormat="1" ht="15.75" customHeight="1">
      <c r="A2140" s="2624"/>
      <c r="B2140" s="310" t="s">
        <v>1386</v>
      </c>
      <c r="C2140" s="311"/>
      <c r="D2140" s="312">
        <f>IF(H2140&lt;&gt;"",VLOOKUP(G2140,base_barras,IF(H2140="Desnuda",2,5)+F2140-1,FALSE),"-")</f>
        <v>573</v>
      </c>
      <c r="E2140" s="313">
        <v>3</v>
      </c>
      <c r="F2140" s="314">
        <v>1</v>
      </c>
      <c r="G2140" s="315" t="s">
        <v>314</v>
      </c>
      <c r="H2140" s="314" t="s">
        <v>1044</v>
      </c>
      <c r="I2140" s="316">
        <v>0.2</v>
      </c>
      <c r="J2140" s="317">
        <v>34.58</v>
      </c>
      <c r="K2140" s="313"/>
      <c r="L2140" s="318" t="str">
        <f>IF(G2140&lt;&gt;"",IF(VLOOKUP(G2140,base_barras,10,FALSE)&lt;&gt;"",VLOOKUP(G2140,base_barras,10,FALSE),"-"),"-")</f>
        <v>1/750</v>
      </c>
      <c r="M2140" s="317">
        <f>IF(L2140&lt;&gt;"-",VLOOKUP(L2140,precio_aislador,2,FALSE),0)</f>
        <v>1.9</v>
      </c>
      <c r="N2140" s="308">
        <f>(I2140*J2140*F2140+K2140*M2140)*E2140*1.67*1.25</f>
        <v>43.311450000000001</v>
      </c>
      <c r="O2140" s="288"/>
      <c r="P2140" s="297"/>
      <c r="Q2140" s="288"/>
      <c r="R2140" s="102"/>
      <c r="S2140" s="102"/>
      <c r="T2140" s="102"/>
    </row>
    <row r="2141" spans="1:20" s="199" customFormat="1" ht="14.25">
      <c r="A2141" s="2624"/>
      <c r="B2141" s="310" t="s">
        <v>801</v>
      </c>
      <c r="C2141" s="319"/>
      <c r="D2141" s="312">
        <f>IF(H2141&lt;&gt;"",VLOOKUP(G2141,base_barras,IF(H2141="Desnuda",2,5)+F2141-1,FALSE),"-")</f>
        <v>676</v>
      </c>
      <c r="E2141" s="313">
        <v>1</v>
      </c>
      <c r="F2141" s="314">
        <v>1</v>
      </c>
      <c r="G2141" s="315" t="s">
        <v>314</v>
      </c>
      <c r="H2141" s="314" t="s">
        <v>1043</v>
      </c>
      <c r="I2141" s="316">
        <v>0.8</v>
      </c>
      <c r="J2141" s="317">
        <v>34.58</v>
      </c>
      <c r="K2141" s="320">
        <v>2</v>
      </c>
      <c r="L2141" s="318" t="str">
        <f>IF(G2141&lt;&gt;"",IF(VLOOKUP(G2141,base_barras,10,FALSE)&lt;&gt;"",VLOOKUP(G2141,base_barras,10,FALSE),"-"),"-")</f>
        <v>1/750</v>
      </c>
      <c r="M2141" s="317">
        <f>IF(L2141&lt;&gt;"-",VLOOKUP(L2141,precio_aislador,2,FALSE),0)</f>
        <v>1.9</v>
      </c>
      <c r="N2141" s="308">
        <f>(I2141*J2141*F2141+K2141*M2141)*E2141*1.67*1.25</f>
        <v>65.681100000000001</v>
      </c>
      <c r="O2141" s="288"/>
      <c r="P2141" s="297"/>
      <c r="Q2141" s="288"/>
      <c r="R2141" s="102"/>
      <c r="S2141" s="102"/>
      <c r="T2141" s="102"/>
    </row>
    <row r="2142" spans="1:20" s="199" customFormat="1" ht="15" thickBot="1">
      <c r="A2142" s="2625"/>
      <c r="B2142" s="321" t="s">
        <v>802</v>
      </c>
      <c r="C2142" s="363"/>
      <c r="D2142" s="364">
        <f>IF(H2142&lt;&gt;"",VLOOKUP(G2142,base_barras,IF(H2142="Desnuda",2,5)+F2142-1,FALSE),"-")</f>
        <v>447</v>
      </c>
      <c r="E2142" s="365">
        <v>1</v>
      </c>
      <c r="F2142" s="366">
        <v>1</v>
      </c>
      <c r="G2142" s="322" t="s">
        <v>579</v>
      </c>
      <c r="H2142" s="366" t="s">
        <v>1043</v>
      </c>
      <c r="I2142" s="316">
        <v>0.8</v>
      </c>
      <c r="J2142" s="368">
        <v>17.29</v>
      </c>
      <c r="K2142" s="395">
        <v>0</v>
      </c>
      <c r="L2142" s="369" t="str">
        <f>IF(G2142&lt;&gt;"",IF(VLOOKUP(G2142,base_barras,10,FALSE)&lt;&gt;"",VLOOKUP(G2142,base_barras,10,FALSE),"-"),"-")</f>
        <v>0.5/400</v>
      </c>
      <c r="M2142" s="368">
        <f>IF(L2142&lt;&gt;"-",VLOOKUP(L2142,precio_aislador,2,FALSE),0)</f>
        <v>1.2</v>
      </c>
      <c r="N2142" s="370">
        <f>(I2142*J2142*F2142+K2142*M2142)*E2142*1.67*1.25</f>
        <v>28.874300000000002</v>
      </c>
      <c r="O2142" s="288"/>
      <c r="P2142" s="297"/>
      <c r="Q2142" s="288"/>
      <c r="R2142" s="102"/>
      <c r="S2142" s="102"/>
      <c r="T2142" s="102"/>
    </row>
    <row r="2143" spans="1:20" s="102" customFormat="1" ht="13.5" thickBot="1">
      <c r="A2143" s="288"/>
      <c r="B2143" s="289"/>
      <c r="C2143" s="288"/>
      <c r="D2143" s="288"/>
      <c r="E2143" s="288"/>
      <c r="F2143" s="297"/>
      <c r="G2143" s="297"/>
      <c r="H2143" s="297"/>
      <c r="I2143" s="288"/>
      <c r="J2143" s="288"/>
      <c r="K2143" s="288"/>
      <c r="L2143" s="297"/>
      <c r="M2143" s="288"/>
      <c r="N2143" s="741">
        <f>SUM(N2138:N2142)</f>
        <v>269.96677249999999</v>
      </c>
      <c r="O2143" s="288"/>
      <c r="P2143" s="297"/>
      <c r="Q2143" s="297"/>
    </row>
    <row r="2144" spans="1:20" s="102" customFormat="1">
      <c r="B2144" s="744"/>
      <c r="F2144" s="745"/>
      <c r="G2144" s="745"/>
      <c r="H2144" s="745"/>
      <c r="L2144" s="745"/>
      <c r="N2144" s="746"/>
      <c r="P2144" s="745"/>
      <c r="Q2144" s="745"/>
    </row>
    <row r="2145" spans="1:20" s="102" customFormat="1">
      <c r="B2145" s="744"/>
      <c r="F2145" s="745"/>
      <c r="G2145" s="745"/>
      <c r="H2145" s="745"/>
      <c r="L2145" s="745"/>
      <c r="N2145" s="746"/>
      <c r="P2145" s="745"/>
      <c r="Q2145" s="745"/>
    </row>
    <row r="2146" spans="1:20" s="102" customFormat="1">
      <c r="B2146" s="744"/>
      <c r="F2146" s="745"/>
      <c r="G2146" s="745"/>
      <c r="H2146" s="745"/>
      <c r="L2146" s="745"/>
      <c r="N2146" s="746"/>
      <c r="P2146" s="745"/>
      <c r="Q2146" s="745"/>
    </row>
    <row r="2147" spans="1:20" s="199" customFormat="1" ht="15.75" customHeight="1">
      <c r="A2147" s="2623" t="s">
        <v>1395</v>
      </c>
      <c r="B2147" s="310" t="s">
        <v>1033</v>
      </c>
      <c r="C2147" s="311"/>
      <c r="D2147" s="312" t="str">
        <f>IF(H2147&lt;&gt;"",VLOOKUP(G2147,base_barras,IF(H2147="Desnuda",2,5)+F2147-1,FALSE),"-")</f>
        <v>-</v>
      </c>
      <c r="E2147" s="313"/>
      <c r="F2147" s="314"/>
      <c r="G2147" s="315"/>
      <c r="H2147" s="314"/>
      <c r="I2147" s="316"/>
      <c r="J2147" s="317">
        <v>0</v>
      </c>
      <c r="K2147" s="320">
        <v>2</v>
      </c>
      <c r="L2147" s="318" t="str">
        <f>IF(G2147&lt;&gt;"",IF(VLOOKUP(G2147,base_barras,10,FALSE)&lt;&gt;"",VLOOKUP(G2147,base_barras,10,FALSE),"-"),"-")</f>
        <v>-</v>
      </c>
      <c r="M2147" s="317">
        <f>IF(L2147&lt;&gt;"-",VLOOKUP(L2147,precio_aislador,2,FALSE),0)</f>
        <v>0</v>
      </c>
      <c r="N2147" s="308">
        <f>(I2147*J2147*F2147+K2147*M2147)*E2147*1.67*1.25</f>
        <v>0</v>
      </c>
      <c r="O2147" s="288"/>
      <c r="P2147" s="297"/>
      <c r="Q2147" s="288"/>
      <c r="R2147" s="102"/>
      <c r="S2147" s="102"/>
      <c r="T2147" s="102"/>
    </row>
    <row r="2148" spans="1:20" s="199" customFormat="1" ht="15.75" customHeight="1">
      <c r="A2148" s="2624"/>
      <c r="B2148" s="310" t="s">
        <v>807</v>
      </c>
      <c r="C2148" s="311"/>
      <c r="D2148" s="312">
        <f>IF(H2148&lt;&gt;"",VLOOKUP(G2148,base_barras,IF(H2148="Desnuda",2,5)+F2148-1,FALSE),"-")</f>
        <v>573</v>
      </c>
      <c r="E2148" s="313">
        <v>3</v>
      </c>
      <c r="F2148" s="314">
        <v>1</v>
      </c>
      <c r="G2148" s="315" t="s">
        <v>580</v>
      </c>
      <c r="H2148" s="314" t="s">
        <v>1043</v>
      </c>
      <c r="I2148" s="316">
        <v>0.61</v>
      </c>
      <c r="J2148" s="317">
        <v>23.01</v>
      </c>
      <c r="K2148" s="313">
        <v>0</v>
      </c>
      <c r="L2148" s="318" t="str">
        <f>IF(G2148&lt;&gt;"",IF(VLOOKUP(G2148,base_barras,10,FALSE)&lt;&gt;"",VLOOKUP(G2148,base_barras,10,FALSE),"-"),"-")</f>
        <v>1/750</v>
      </c>
      <c r="M2148" s="317">
        <f>IF(L2148&lt;&gt;"-",VLOOKUP(L2148,precio_aislador,2,FALSE),0)</f>
        <v>1.9</v>
      </c>
      <c r="N2148" s="308">
        <f>(I2148*J2148*F2148+K2148*M2148)*E2148*1.67*1.25</f>
        <v>87.901076249999988</v>
      </c>
      <c r="O2148" s="288"/>
      <c r="P2148" s="297"/>
      <c r="Q2148" s="288"/>
      <c r="R2148" s="102"/>
      <c r="S2148" s="102"/>
      <c r="T2148" s="102"/>
    </row>
    <row r="2149" spans="1:20" s="199" customFormat="1" ht="15.75" customHeight="1">
      <c r="A2149" s="2624"/>
      <c r="B2149" s="310" t="s">
        <v>1357</v>
      </c>
      <c r="C2149" s="311"/>
      <c r="D2149" s="312">
        <f>IF(H2149&lt;&gt;"",VLOOKUP(G2149,base_barras,IF(H2149="Desnuda",2,5)+F2149-1,FALSE),"-")</f>
        <v>482</v>
      </c>
      <c r="E2149" s="313">
        <v>3</v>
      </c>
      <c r="F2149" s="314">
        <v>1</v>
      </c>
      <c r="G2149" s="315" t="s">
        <v>580</v>
      </c>
      <c r="H2149" s="314" t="s">
        <v>1044</v>
      </c>
      <c r="I2149" s="316">
        <v>0.2</v>
      </c>
      <c r="J2149" s="317">
        <v>23.01</v>
      </c>
      <c r="K2149" s="313">
        <v>0</v>
      </c>
      <c r="L2149" s="318" t="str">
        <f>IF(G2149&lt;&gt;"",IF(VLOOKUP(G2149,base_barras,10,FALSE)&lt;&gt;"",VLOOKUP(G2149,base_barras,10,FALSE),"-"),"-")</f>
        <v>1/750</v>
      </c>
      <c r="M2149" s="317">
        <f>IF(L2149&lt;&gt;"-",VLOOKUP(L2149,precio_aislador,2,FALSE),0)</f>
        <v>1.9</v>
      </c>
      <c r="N2149" s="308">
        <f>(I2149*J2149*F2149+K2149*M2149)*E2149*1.67*1.25</f>
        <v>28.820025000000001</v>
      </c>
      <c r="O2149" s="288"/>
      <c r="P2149" s="297"/>
      <c r="Q2149" s="288"/>
      <c r="R2149" s="102"/>
      <c r="S2149" s="102"/>
      <c r="T2149" s="102"/>
    </row>
    <row r="2150" spans="1:20" s="199" customFormat="1" ht="14.25">
      <c r="A2150" s="2624"/>
      <c r="B2150" s="310" t="s">
        <v>801</v>
      </c>
      <c r="C2150" s="319"/>
      <c r="D2150" s="312">
        <f>IF(H2150&lt;&gt;"",VLOOKUP(G2150,base_barras,IF(H2150="Desnuda",2,5)+F2150-1,FALSE),"-")</f>
        <v>573</v>
      </c>
      <c r="E2150" s="313">
        <v>1</v>
      </c>
      <c r="F2150" s="314">
        <v>1</v>
      </c>
      <c r="G2150" s="315" t="s">
        <v>580</v>
      </c>
      <c r="H2150" s="314" t="s">
        <v>1043</v>
      </c>
      <c r="I2150" s="316">
        <v>0.8</v>
      </c>
      <c r="J2150" s="317">
        <v>23.01</v>
      </c>
      <c r="K2150" s="320">
        <v>2</v>
      </c>
      <c r="L2150" s="318" t="str">
        <f>IF(G2150&lt;&gt;"",IF(VLOOKUP(G2150,base_barras,10,FALSE)&lt;&gt;"",VLOOKUP(G2150,base_barras,10,FALSE),"-"),"-")</f>
        <v>1/750</v>
      </c>
      <c r="M2150" s="317">
        <f>IF(L2150&lt;&gt;"-",VLOOKUP(L2150,precio_aislador,2,FALSE),0)</f>
        <v>1.9</v>
      </c>
      <c r="N2150" s="308">
        <f>(I2150*J2150*F2150+K2150*M2150)*E2150*1.67*1.25</f>
        <v>46.359200000000001</v>
      </c>
      <c r="O2150" s="288"/>
      <c r="P2150" s="297"/>
      <c r="Q2150" s="288"/>
      <c r="R2150" s="102"/>
      <c r="S2150" s="102"/>
      <c r="T2150" s="102"/>
    </row>
    <row r="2151" spans="1:20" s="199" customFormat="1" ht="15" thickBot="1">
      <c r="A2151" s="2625"/>
      <c r="B2151" s="321" t="s">
        <v>802</v>
      </c>
      <c r="C2151" s="363"/>
      <c r="D2151" s="364">
        <f>IF(H2151&lt;&gt;"",VLOOKUP(G2151,base_barras,IF(H2151="Desnuda",2,5)+F2151-1,FALSE),"-")</f>
        <v>447</v>
      </c>
      <c r="E2151" s="365">
        <v>1</v>
      </c>
      <c r="F2151" s="366">
        <v>1</v>
      </c>
      <c r="G2151" s="322" t="s">
        <v>579</v>
      </c>
      <c r="H2151" s="366" t="s">
        <v>1043</v>
      </c>
      <c r="I2151" s="316">
        <v>0.8</v>
      </c>
      <c r="J2151" s="368">
        <v>17.29</v>
      </c>
      <c r="K2151" s="395">
        <v>0</v>
      </c>
      <c r="L2151" s="369" t="str">
        <f>IF(G2151&lt;&gt;"",IF(VLOOKUP(G2151,base_barras,10,FALSE)&lt;&gt;"",VLOOKUP(G2151,base_barras,10,FALSE),"-"),"-")</f>
        <v>0.5/400</v>
      </c>
      <c r="M2151" s="368">
        <f>IF(L2151&lt;&gt;"-",VLOOKUP(L2151,precio_aislador,2,FALSE),0)</f>
        <v>1.2</v>
      </c>
      <c r="N2151" s="370">
        <f>(I2151*J2151*F2151+K2151*M2151)*E2151*1.67*1.25</f>
        <v>28.874300000000002</v>
      </c>
      <c r="O2151" s="288"/>
      <c r="P2151" s="297"/>
      <c r="Q2151" s="288"/>
      <c r="R2151" s="102"/>
      <c r="S2151" s="102"/>
      <c r="T2151" s="102"/>
    </row>
    <row r="2152" spans="1:20" s="102" customFormat="1" ht="13.5" thickBot="1">
      <c r="A2152" s="288"/>
      <c r="B2152" s="289"/>
      <c r="C2152" s="288"/>
      <c r="D2152" s="288"/>
      <c r="E2152" s="288"/>
      <c r="F2152" s="297"/>
      <c r="G2152" s="297"/>
      <c r="H2152" s="297"/>
      <c r="I2152" s="288"/>
      <c r="J2152" s="288"/>
      <c r="K2152" s="288"/>
      <c r="L2152" s="297"/>
      <c r="M2152" s="288"/>
      <c r="N2152" s="741">
        <f>SUM(N2147:N2151)</f>
        <v>191.95460125</v>
      </c>
      <c r="O2152" s="288"/>
      <c r="P2152" s="297"/>
      <c r="Q2152" s="297"/>
    </row>
    <row r="2153" spans="1:20" s="102" customFormat="1">
      <c r="B2153" s="744"/>
      <c r="F2153" s="745"/>
      <c r="G2153" s="745"/>
      <c r="H2153" s="745"/>
      <c r="L2153" s="745"/>
      <c r="N2153" s="746"/>
      <c r="P2153" s="745"/>
      <c r="Q2153" s="745"/>
    </row>
    <row r="2154" spans="1:20" s="102" customFormat="1">
      <c r="B2154" s="744"/>
      <c r="F2154" s="745"/>
      <c r="G2154" s="745"/>
      <c r="H2154" s="745"/>
      <c r="L2154" s="745"/>
      <c r="N2154" s="746"/>
      <c r="P2154" s="745"/>
      <c r="Q2154" s="745"/>
    </row>
    <row r="2155" spans="1:20" s="102" customFormat="1">
      <c r="B2155" s="744"/>
      <c r="F2155" s="745"/>
      <c r="G2155" s="745"/>
      <c r="H2155" s="745"/>
      <c r="L2155" s="745"/>
      <c r="N2155" s="746"/>
      <c r="P2155" s="745"/>
      <c r="Q2155" s="745"/>
    </row>
    <row r="2156" spans="1:20" s="199" customFormat="1" ht="15.75" customHeight="1">
      <c r="A2156" s="102"/>
      <c r="B2156" s="310" t="s">
        <v>1033</v>
      </c>
      <c r="C2156" s="311"/>
      <c r="D2156" s="312">
        <f t="shared" ref="D2156:D2162" si="753">IF(H2156&lt;&gt;"",VLOOKUP(G2156,base_barras,IF(H2156="Desnuda",2,5)+F2156-1,FALSE),"-")</f>
        <v>319</v>
      </c>
      <c r="E2156" s="313">
        <v>3</v>
      </c>
      <c r="F2156" s="314">
        <v>1</v>
      </c>
      <c r="G2156" s="315" t="s">
        <v>61</v>
      </c>
      <c r="H2156" s="314" t="s">
        <v>1043</v>
      </c>
      <c r="I2156" s="316">
        <v>0.8</v>
      </c>
      <c r="J2156" s="317">
        <v>11.44</v>
      </c>
      <c r="K2156" s="320">
        <v>4</v>
      </c>
      <c r="L2156" s="318" t="str">
        <f t="shared" ref="L2156:L2162" si="754">IF(G2156&lt;&gt;"",IF(VLOOKUP(G2156,base_barras,10,FALSE)&lt;&gt;"",VLOOKUP(G2156,base_barras,10,FALSE),"-"),"-")</f>
        <v>-</v>
      </c>
      <c r="M2156" s="317">
        <f t="shared" ref="M2156:M2162" si="755">IF(L2156&lt;&gt;"-",VLOOKUP(L2156,precio_aislador,2,FALSE),0)</f>
        <v>0</v>
      </c>
      <c r="N2156" s="308">
        <f t="shared" ref="N2156:N2162" si="756">(I2156*J2156*F2156+K2156*M2156)*E2156*1.67*1.25</f>
        <v>57.314399999999992</v>
      </c>
      <c r="O2156" s="288"/>
      <c r="P2156" s="297"/>
      <c r="Q2156" s="288"/>
      <c r="R2156" s="102"/>
      <c r="S2156" s="102"/>
      <c r="T2156" s="102"/>
    </row>
    <row r="2157" spans="1:20" s="199" customFormat="1" ht="15.75" customHeight="1">
      <c r="A2157" s="2623" t="s">
        <v>1409</v>
      </c>
      <c r="B2157" s="310" t="s">
        <v>1383</v>
      </c>
      <c r="C2157" s="311"/>
      <c r="D2157" s="312">
        <f t="shared" si="753"/>
        <v>384</v>
      </c>
      <c r="E2157" s="313">
        <v>3</v>
      </c>
      <c r="F2157" s="314">
        <v>1</v>
      </c>
      <c r="G2157" s="315" t="s">
        <v>63</v>
      </c>
      <c r="H2157" s="314" t="s">
        <v>1043</v>
      </c>
      <c r="I2157" s="398">
        <v>0.61</v>
      </c>
      <c r="J2157" s="317">
        <v>14.430000000000001</v>
      </c>
      <c r="K2157" s="313">
        <v>2</v>
      </c>
      <c r="L2157" s="318" t="str">
        <f t="shared" si="754"/>
        <v>0.5/400</v>
      </c>
      <c r="M2157" s="317">
        <f t="shared" si="755"/>
        <v>1.2</v>
      </c>
      <c r="N2157" s="308">
        <f t="shared" si="756"/>
        <v>70.15440375</v>
      </c>
      <c r="O2157" s="288"/>
      <c r="P2157" s="297"/>
      <c r="Q2157" s="288"/>
      <c r="R2157" s="102"/>
      <c r="S2157" s="102"/>
      <c r="T2157" s="102"/>
    </row>
    <row r="2158" spans="1:20" s="199" customFormat="1" ht="15.75" customHeight="1">
      <c r="A2158" s="2624"/>
      <c r="B2158" s="310" t="s">
        <v>1383</v>
      </c>
      <c r="C2158" s="311"/>
      <c r="D2158" s="312">
        <f t="shared" si="753"/>
        <v>384</v>
      </c>
      <c r="E2158" s="313">
        <v>3</v>
      </c>
      <c r="F2158" s="314">
        <v>1</v>
      </c>
      <c r="G2158" s="315" t="s">
        <v>63</v>
      </c>
      <c r="H2158" s="314" t="s">
        <v>1043</v>
      </c>
      <c r="I2158" s="316">
        <v>0.61</v>
      </c>
      <c r="J2158" s="317">
        <v>14.430000000000001</v>
      </c>
      <c r="K2158" s="313">
        <v>2</v>
      </c>
      <c r="L2158" s="318" t="str">
        <f t="shared" si="754"/>
        <v>0.5/400</v>
      </c>
      <c r="M2158" s="317">
        <f t="shared" si="755"/>
        <v>1.2</v>
      </c>
      <c r="N2158" s="308">
        <f t="shared" si="756"/>
        <v>70.15440375</v>
      </c>
      <c r="O2158" s="288"/>
      <c r="P2158" s="297"/>
      <c r="Q2158" s="288"/>
      <c r="R2158" s="102"/>
      <c r="S2158" s="102"/>
      <c r="T2158" s="102"/>
    </row>
    <row r="2159" spans="1:20" s="199" customFormat="1" ht="15.75" customHeight="1">
      <c r="A2159" s="2624"/>
      <c r="B2159" s="310" t="s">
        <v>1383</v>
      </c>
      <c r="C2159" s="311"/>
      <c r="D2159" s="312">
        <f t="shared" si="753"/>
        <v>384</v>
      </c>
      <c r="E2159" s="313">
        <v>3</v>
      </c>
      <c r="F2159" s="314">
        <v>1</v>
      </c>
      <c r="G2159" s="315" t="s">
        <v>63</v>
      </c>
      <c r="H2159" s="314" t="s">
        <v>1043</v>
      </c>
      <c r="I2159" s="316">
        <v>0.61</v>
      </c>
      <c r="J2159" s="317">
        <v>14.430000000000001</v>
      </c>
      <c r="K2159" s="313">
        <v>2</v>
      </c>
      <c r="L2159" s="318" t="str">
        <f t="shared" si="754"/>
        <v>0.5/400</v>
      </c>
      <c r="M2159" s="317">
        <f t="shared" si="755"/>
        <v>1.2</v>
      </c>
      <c r="N2159" s="308">
        <f t="shared" si="756"/>
        <v>70.15440375</v>
      </c>
      <c r="O2159" s="288"/>
      <c r="P2159" s="297"/>
      <c r="Q2159" s="288"/>
      <c r="R2159" s="102"/>
      <c r="S2159" s="102"/>
      <c r="T2159" s="102"/>
    </row>
    <row r="2160" spans="1:20" s="199" customFormat="1" ht="15.75" customHeight="1">
      <c r="A2160" s="2624"/>
      <c r="B2160" s="310" t="s">
        <v>1386</v>
      </c>
      <c r="C2160" s="311"/>
      <c r="D2160" s="312">
        <f t="shared" si="753"/>
        <v>327</v>
      </c>
      <c r="E2160" s="313">
        <v>3</v>
      </c>
      <c r="F2160" s="314">
        <v>1</v>
      </c>
      <c r="G2160" s="315" t="s">
        <v>63</v>
      </c>
      <c r="H2160" s="314" t="s">
        <v>1044</v>
      </c>
      <c r="I2160" s="396">
        <v>0.4</v>
      </c>
      <c r="J2160" s="317">
        <f>IF(G2160&lt;&gt;"",VLOOKUP(G2160,precio_barras,5,FALSE),0)</f>
        <v>384</v>
      </c>
      <c r="K2160" s="313">
        <v>0</v>
      </c>
      <c r="L2160" s="318" t="str">
        <f t="shared" si="754"/>
        <v>0.5/400</v>
      </c>
      <c r="M2160" s="317">
        <f t="shared" si="755"/>
        <v>1.2</v>
      </c>
      <c r="N2160" s="308">
        <f t="shared" si="756"/>
        <v>961.92000000000007</v>
      </c>
      <c r="O2160" s="288"/>
      <c r="P2160" s="297"/>
      <c r="Q2160" s="288"/>
      <c r="R2160" s="102"/>
      <c r="S2160" s="102"/>
      <c r="T2160" s="102"/>
    </row>
    <row r="2161" spans="1:20" s="199" customFormat="1" ht="15" thickBot="1">
      <c r="A2161" s="2624"/>
      <c r="B2161" s="321" t="s">
        <v>801</v>
      </c>
      <c r="C2161" s="363"/>
      <c r="D2161" s="364">
        <f t="shared" si="753"/>
        <v>384</v>
      </c>
      <c r="E2161" s="365">
        <v>1</v>
      </c>
      <c r="F2161" s="366">
        <v>1</v>
      </c>
      <c r="G2161" s="315" t="s">
        <v>63</v>
      </c>
      <c r="H2161" s="366" t="s">
        <v>1043</v>
      </c>
      <c r="I2161" s="367">
        <v>1.6</v>
      </c>
      <c r="J2161" s="368">
        <v>14.430000000000001</v>
      </c>
      <c r="K2161" s="399">
        <v>2</v>
      </c>
      <c r="L2161" s="369" t="str">
        <f t="shared" si="754"/>
        <v>0.5/400</v>
      </c>
      <c r="M2161" s="368">
        <f t="shared" si="755"/>
        <v>1.2</v>
      </c>
      <c r="N2161" s="370">
        <f t="shared" si="756"/>
        <v>53.20620000000001</v>
      </c>
      <c r="O2161" s="288"/>
      <c r="P2161" s="297"/>
      <c r="Q2161" s="288"/>
      <c r="R2161" s="102"/>
      <c r="S2161" s="102"/>
      <c r="T2161" s="102"/>
    </row>
    <row r="2162" spans="1:20" s="199" customFormat="1" ht="15" thickBot="1">
      <c r="A2162" s="2625"/>
      <c r="B2162" s="321" t="s">
        <v>802</v>
      </c>
      <c r="C2162" s="363"/>
      <c r="D2162" s="364">
        <f t="shared" si="753"/>
        <v>850</v>
      </c>
      <c r="E2162" s="365">
        <v>1</v>
      </c>
      <c r="F2162" s="366">
        <v>1</v>
      </c>
      <c r="G2162" s="322" t="s">
        <v>469</v>
      </c>
      <c r="H2162" s="366" t="s">
        <v>1043</v>
      </c>
      <c r="I2162" s="367">
        <v>1.6</v>
      </c>
      <c r="J2162" s="368">
        <f>IF(G2162&lt;&gt;"",VLOOKUP(G2162,precio_barras,5,FALSE),0)</f>
        <v>850</v>
      </c>
      <c r="K2162" s="395">
        <v>0</v>
      </c>
      <c r="L2162" s="369" t="str">
        <f t="shared" si="754"/>
        <v>1/750</v>
      </c>
      <c r="M2162" s="368">
        <f t="shared" si="755"/>
        <v>1.9</v>
      </c>
      <c r="N2162" s="370">
        <f t="shared" si="756"/>
        <v>2839</v>
      </c>
      <c r="O2162" s="288"/>
      <c r="P2162" s="297"/>
      <c r="Q2162" s="288"/>
      <c r="R2162" s="102"/>
      <c r="S2162" s="102"/>
      <c r="T2162" s="102"/>
    </row>
    <row r="2163" spans="1:20" s="129" customFormat="1" ht="22.5" customHeight="1" thickBot="1">
      <c r="A2163" s="371"/>
      <c r="B2163" s="375"/>
      <c r="C2163" s="375"/>
      <c r="D2163" s="383"/>
      <c r="E2163" s="373"/>
      <c r="F2163" s="373"/>
      <c r="G2163" s="373"/>
      <c r="H2163" s="373"/>
      <c r="I2163" s="374"/>
      <c r="J2163" s="374"/>
      <c r="K2163" s="373"/>
      <c r="L2163" s="373"/>
      <c r="M2163" s="372"/>
      <c r="N2163" s="699">
        <f>SUM(N2157:N2162)</f>
        <v>4064.58941125</v>
      </c>
      <c r="O2163" s="288"/>
      <c r="P2163" s="297"/>
      <c r="Q2163" s="288"/>
      <c r="R2163" s="102"/>
      <c r="S2163" s="102"/>
      <c r="T2163" s="102"/>
    </row>
    <row r="2164" spans="1:20" s="102" customFormat="1">
      <c r="B2164" s="744"/>
      <c r="F2164" s="745"/>
      <c r="G2164" s="745"/>
      <c r="H2164" s="745"/>
      <c r="L2164" s="745"/>
      <c r="N2164" s="746"/>
      <c r="P2164" s="745"/>
      <c r="Q2164" s="745"/>
    </row>
    <row r="2165" spans="1:20" s="102" customFormat="1">
      <c r="B2165" s="744"/>
      <c r="F2165" s="745"/>
      <c r="G2165" s="745"/>
      <c r="H2165" s="745"/>
      <c r="L2165" s="745"/>
      <c r="N2165" s="746"/>
      <c r="P2165" s="745"/>
      <c r="Q2165" s="745"/>
    </row>
    <row r="2166" spans="1:20" s="102" customFormat="1">
      <c r="B2166" s="744"/>
      <c r="F2166" s="745"/>
      <c r="G2166" s="745"/>
      <c r="H2166" s="745"/>
      <c r="L2166" s="745"/>
      <c r="N2166" s="746"/>
      <c r="P2166" s="745"/>
      <c r="Q2166" s="745"/>
    </row>
    <row r="2167" spans="1:20" s="199" customFormat="1" ht="15.75" customHeight="1">
      <c r="A2167" s="2623" t="s">
        <v>1410</v>
      </c>
      <c r="B2167" s="310" t="s">
        <v>1033</v>
      </c>
      <c r="C2167" s="311"/>
      <c r="D2167" s="312">
        <f t="shared" ref="D2167:D2172" si="757">IF(H2167&lt;&gt;"",VLOOKUP(G2167,base_barras,IF(H2167="Desnuda",2,5)+F2167-1,FALSE),"-")</f>
        <v>850</v>
      </c>
      <c r="E2167" s="313">
        <v>3</v>
      </c>
      <c r="F2167" s="314">
        <v>1</v>
      </c>
      <c r="G2167" s="315" t="s">
        <v>469</v>
      </c>
      <c r="H2167" s="314" t="s">
        <v>1043</v>
      </c>
      <c r="I2167" s="316">
        <v>1.2</v>
      </c>
      <c r="J2167" s="317">
        <v>46.28</v>
      </c>
      <c r="K2167" s="313">
        <v>2</v>
      </c>
      <c r="L2167" s="318" t="str">
        <f t="shared" ref="L2167:L2172" si="758">IF(G2167&lt;&gt;"",IF(VLOOKUP(G2167,base_barras,10,FALSE)&lt;&gt;"",VLOOKUP(G2167,base_barras,10,FALSE),"-"),"-")</f>
        <v>1/750</v>
      </c>
      <c r="M2167" s="317">
        <f t="shared" ref="M2167:M2172" si="759">IF(L2167&lt;&gt;"-",VLOOKUP(L2167,precio_aislador,2,FALSE),0)</f>
        <v>1.9</v>
      </c>
      <c r="N2167" s="308">
        <f t="shared" ref="N2167:N2172" si="760">(I2167*J2167*F2167+K2167*M2167)*E2167*1.67*1.25</f>
        <v>371.59169999999995</v>
      </c>
      <c r="O2167" s="288"/>
      <c r="P2167" s="297"/>
      <c r="Q2167" s="288"/>
      <c r="R2167" s="102"/>
      <c r="S2167" s="102"/>
      <c r="T2167" s="102"/>
    </row>
    <row r="2168" spans="1:20" s="199" customFormat="1" ht="15.75" customHeight="1">
      <c r="A2168" s="2624"/>
      <c r="B2168" s="310" t="s">
        <v>1382</v>
      </c>
      <c r="C2168" s="311"/>
      <c r="D2168" s="312">
        <f t="shared" si="757"/>
        <v>384</v>
      </c>
      <c r="E2168" s="313">
        <v>3</v>
      </c>
      <c r="F2168" s="314">
        <v>1</v>
      </c>
      <c r="G2168" s="315" t="s">
        <v>63</v>
      </c>
      <c r="H2168" s="314" t="s">
        <v>1043</v>
      </c>
      <c r="I2168" s="316">
        <v>0.61</v>
      </c>
      <c r="J2168" s="317">
        <v>14.430000000000001</v>
      </c>
      <c r="K2168" s="313">
        <v>0</v>
      </c>
      <c r="L2168" s="318" t="str">
        <f t="shared" si="758"/>
        <v>0.5/400</v>
      </c>
      <c r="M2168" s="317">
        <f t="shared" si="759"/>
        <v>1.2</v>
      </c>
      <c r="N2168" s="308">
        <f t="shared" si="760"/>
        <v>55.124403749999999</v>
      </c>
      <c r="O2168" s="288"/>
      <c r="P2168" s="297"/>
      <c r="Q2168" s="288"/>
      <c r="R2168" s="102"/>
      <c r="S2168" s="102"/>
      <c r="T2168" s="102"/>
    </row>
    <row r="2169" spans="1:20" s="199" customFormat="1" ht="15.75" customHeight="1">
      <c r="A2169" s="2624"/>
      <c r="B2169" s="310" t="s">
        <v>1383</v>
      </c>
      <c r="C2169" s="311"/>
      <c r="D2169" s="312">
        <f t="shared" si="757"/>
        <v>384</v>
      </c>
      <c r="E2169" s="313">
        <v>3</v>
      </c>
      <c r="F2169" s="314">
        <v>1</v>
      </c>
      <c r="G2169" s="315" t="s">
        <v>63</v>
      </c>
      <c r="H2169" s="314" t="s">
        <v>1043</v>
      </c>
      <c r="I2169" s="316">
        <v>0.61</v>
      </c>
      <c r="J2169" s="317">
        <v>14.430000000000001</v>
      </c>
      <c r="K2169" s="313">
        <v>0</v>
      </c>
      <c r="L2169" s="318" t="str">
        <f t="shared" si="758"/>
        <v>0.5/400</v>
      </c>
      <c r="M2169" s="317">
        <f t="shared" si="759"/>
        <v>1.2</v>
      </c>
      <c r="N2169" s="308">
        <f t="shared" si="760"/>
        <v>55.124403749999999</v>
      </c>
      <c r="O2169" s="288"/>
      <c r="P2169" s="297"/>
      <c r="Q2169" s="288"/>
      <c r="R2169" s="102"/>
      <c r="S2169" s="102"/>
      <c r="T2169" s="102"/>
    </row>
    <row r="2170" spans="1:20" s="199" customFormat="1" ht="15.75" customHeight="1">
      <c r="A2170" s="2624"/>
      <c r="B2170" s="310" t="s">
        <v>1357</v>
      </c>
      <c r="C2170" s="311"/>
      <c r="D2170" s="312">
        <f t="shared" si="757"/>
        <v>573</v>
      </c>
      <c r="E2170" s="313">
        <v>3</v>
      </c>
      <c r="F2170" s="314">
        <v>1</v>
      </c>
      <c r="G2170" s="315" t="s">
        <v>314</v>
      </c>
      <c r="H2170" s="314" t="s">
        <v>1044</v>
      </c>
      <c r="I2170" s="316">
        <v>0.61</v>
      </c>
      <c r="J2170" s="317">
        <v>34.58</v>
      </c>
      <c r="K2170" s="313">
        <v>0</v>
      </c>
      <c r="L2170" s="318" t="str">
        <f t="shared" si="758"/>
        <v>1/750</v>
      </c>
      <c r="M2170" s="317">
        <f t="shared" si="759"/>
        <v>1.9</v>
      </c>
      <c r="N2170" s="308">
        <f t="shared" si="760"/>
        <v>132.09992249999996</v>
      </c>
      <c r="O2170" s="288"/>
      <c r="P2170" s="297"/>
      <c r="Q2170" s="288"/>
      <c r="R2170" s="102"/>
      <c r="S2170" s="102"/>
      <c r="T2170" s="102"/>
    </row>
    <row r="2171" spans="1:20" s="199" customFormat="1" ht="14.25">
      <c r="A2171" s="2624"/>
      <c r="B2171" s="310" t="s">
        <v>801</v>
      </c>
      <c r="C2171" s="319"/>
      <c r="D2171" s="312">
        <f t="shared" si="757"/>
        <v>850</v>
      </c>
      <c r="E2171" s="313">
        <v>1</v>
      </c>
      <c r="F2171" s="314">
        <v>1</v>
      </c>
      <c r="G2171" s="315" t="s">
        <v>469</v>
      </c>
      <c r="H2171" s="314" t="s">
        <v>1043</v>
      </c>
      <c r="I2171" s="316">
        <v>1.2</v>
      </c>
      <c r="J2171" s="317">
        <v>46.28</v>
      </c>
      <c r="K2171" s="320">
        <v>2</v>
      </c>
      <c r="L2171" s="318" t="str">
        <f t="shared" si="758"/>
        <v>1/750</v>
      </c>
      <c r="M2171" s="317">
        <f t="shared" si="759"/>
        <v>1.9</v>
      </c>
      <c r="N2171" s="308">
        <f t="shared" si="760"/>
        <v>123.86389999999999</v>
      </c>
      <c r="O2171" s="288"/>
      <c r="P2171" s="297"/>
      <c r="Q2171" s="288"/>
      <c r="R2171" s="102"/>
      <c r="S2171" s="102"/>
      <c r="T2171" s="102"/>
    </row>
    <row r="2172" spans="1:20" s="199" customFormat="1" ht="15" thickBot="1">
      <c r="A2172" s="2625"/>
      <c r="B2172" s="321" t="s">
        <v>802</v>
      </c>
      <c r="C2172" s="363"/>
      <c r="D2172" s="364">
        <f t="shared" si="757"/>
        <v>676</v>
      </c>
      <c r="E2172" s="365">
        <v>1</v>
      </c>
      <c r="F2172" s="366">
        <v>1</v>
      </c>
      <c r="G2172" s="322" t="s">
        <v>314</v>
      </c>
      <c r="H2172" s="366" t="s">
        <v>1043</v>
      </c>
      <c r="I2172" s="316">
        <v>1.2</v>
      </c>
      <c r="J2172" s="368">
        <v>34.58</v>
      </c>
      <c r="K2172" s="395">
        <v>0</v>
      </c>
      <c r="L2172" s="369" t="str">
        <f t="shared" si="758"/>
        <v>1/750</v>
      </c>
      <c r="M2172" s="368">
        <f t="shared" si="759"/>
        <v>1.9</v>
      </c>
      <c r="N2172" s="370">
        <f t="shared" si="760"/>
        <v>86.622899999999987</v>
      </c>
      <c r="O2172" s="288"/>
      <c r="P2172" s="297"/>
      <c r="Q2172" s="288"/>
      <c r="R2172" s="102"/>
      <c r="S2172" s="102"/>
      <c r="T2172" s="102"/>
    </row>
    <row r="2173" spans="1:20" s="129" customFormat="1" ht="22.5" customHeight="1" thickBot="1">
      <c r="A2173" s="371"/>
      <c r="B2173" s="375"/>
      <c r="C2173" s="375"/>
      <c r="D2173" s="383"/>
      <c r="E2173" s="373"/>
      <c r="F2173" s="373"/>
      <c r="G2173" s="373"/>
      <c r="H2173" s="373"/>
      <c r="I2173" s="374"/>
      <c r="J2173" s="374"/>
      <c r="K2173" s="373"/>
      <c r="L2173" s="373"/>
      <c r="M2173" s="372"/>
      <c r="N2173" s="699">
        <f>SUM(N2167:N2172)</f>
        <v>824.42722999999978</v>
      </c>
      <c r="O2173" s="288"/>
      <c r="P2173" s="297"/>
      <c r="Q2173" s="288"/>
      <c r="R2173" s="102"/>
      <c r="S2173" s="102"/>
      <c r="T2173" s="102"/>
    </row>
    <row r="2174" spans="1:20" s="102" customFormat="1">
      <c r="B2174" s="744"/>
      <c r="F2174" s="745"/>
      <c r="G2174" s="745"/>
      <c r="H2174" s="745"/>
      <c r="L2174" s="745"/>
      <c r="N2174" s="746"/>
      <c r="P2174" s="745"/>
      <c r="Q2174" s="745"/>
    </row>
    <row r="2175" spans="1:20" s="102" customFormat="1">
      <c r="B2175" s="744"/>
      <c r="F2175" s="745"/>
      <c r="G2175" s="745"/>
      <c r="H2175" s="745"/>
      <c r="L2175" s="745"/>
      <c r="N2175" s="746"/>
      <c r="P2175" s="745"/>
      <c r="Q2175" s="745"/>
    </row>
    <row r="2176" spans="1:20" s="199" customFormat="1" ht="15.75" customHeight="1">
      <c r="A2176" s="102"/>
      <c r="B2176" s="310" t="s">
        <v>1033</v>
      </c>
      <c r="C2176" s="311"/>
      <c r="D2176" s="312">
        <f t="shared" ref="D2176:D2182" si="761">IF(H2176&lt;&gt;"",VLOOKUP(G2176,base_barras,IF(H2176="Desnuda",2,5)+F2176-1,FALSE),"-")</f>
        <v>319</v>
      </c>
      <c r="E2176" s="313">
        <v>3</v>
      </c>
      <c r="F2176" s="314">
        <v>1</v>
      </c>
      <c r="G2176" s="315" t="s">
        <v>61</v>
      </c>
      <c r="H2176" s="314" t="s">
        <v>1043</v>
      </c>
      <c r="I2176" s="316">
        <v>0.8</v>
      </c>
      <c r="J2176" s="317">
        <v>11.44</v>
      </c>
      <c r="K2176" s="320">
        <v>4</v>
      </c>
      <c r="L2176" s="318" t="str">
        <f t="shared" ref="L2176:L2182" si="762">IF(G2176&lt;&gt;"",IF(VLOOKUP(G2176,base_barras,10,FALSE)&lt;&gt;"",VLOOKUP(G2176,base_barras,10,FALSE),"-"),"-")</f>
        <v>-</v>
      </c>
      <c r="M2176" s="317">
        <f t="shared" ref="M2176:M2182" si="763">IF(L2176&lt;&gt;"-",VLOOKUP(L2176,precio_aislador,2,FALSE),0)</f>
        <v>0</v>
      </c>
      <c r="N2176" s="308">
        <f t="shared" ref="N2176:N2182" si="764">(I2176*J2176*F2176+K2176*M2176)*E2176*1.67*1.25</f>
        <v>57.314399999999992</v>
      </c>
      <c r="O2176" s="288"/>
      <c r="P2176" s="297"/>
      <c r="Q2176" s="288"/>
      <c r="R2176" s="102"/>
      <c r="S2176" s="102"/>
      <c r="T2176" s="102"/>
    </row>
    <row r="2177" spans="1:20" s="199" customFormat="1" ht="15.75" customHeight="1">
      <c r="A2177" s="2623" t="s">
        <v>1412</v>
      </c>
      <c r="B2177" s="310" t="s">
        <v>1382</v>
      </c>
      <c r="C2177" s="311"/>
      <c r="D2177" s="312">
        <f t="shared" si="761"/>
        <v>384</v>
      </c>
      <c r="E2177" s="313">
        <v>3</v>
      </c>
      <c r="F2177" s="314">
        <v>1</v>
      </c>
      <c r="G2177" s="315" t="s">
        <v>63</v>
      </c>
      <c r="H2177" s="314" t="s">
        <v>1043</v>
      </c>
      <c r="I2177" s="398">
        <v>0.61</v>
      </c>
      <c r="J2177" s="317">
        <v>14.430000000000001</v>
      </c>
      <c r="K2177" s="313">
        <v>2</v>
      </c>
      <c r="L2177" s="318" t="str">
        <f t="shared" si="762"/>
        <v>0.5/400</v>
      </c>
      <c r="M2177" s="317">
        <f t="shared" si="763"/>
        <v>1.2</v>
      </c>
      <c r="N2177" s="308">
        <f t="shared" si="764"/>
        <v>70.15440375</v>
      </c>
      <c r="O2177" s="288"/>
      <c r="P2177" s="297"/>
      <c r="Q2177" s="288"/>
      <c r="R2177" s="102"/>
      <c r="S2177" s="102"/>
      <c r="T2177" s="102"/>
    </row>
    <row r="2178" spans="1:20" s="199" customFormat="1" ht="15.75" customHeight="1">
      <c r="A2178" s="2624"/>
      <c r="B2178" s="310" t="s">
        <v>1382</v>
      </c>
      <c r="C2178" s="311"/>
      <c r="D2178" s="312">
        <f t="shared" si="761"/>
        <v>384</v>
      </c>
      <c r="E2178" s="313">
        <v>3</v>
      </c>
      <c r="F2178" s="314">
        <v>1</v>
      </c>
      <c r="G2178" s="315" t="s">
        <v>63</v>
      </c>
      <c r="H2178" s="314" t="s">
        <v>1043</v>
      </c>
      <c r="I2178" s="316">
        <v>0.61</v>
      </c>
      <c r="J2178" s="317">
        <v>14.430000000000001</v>
      </c>
      <c r="K2178" s="313">
        <v>2</v>
      </c>
      <c r="L2178" s="318" t="str">
        <f t="shared" si="762"/>
        <v>0.5/400</v>
      </c>
      <c r="M2178" s="317">
        <f t="shared" si="763"/>
        <v>1.2</v>
      </c>
      <c r="N2178" s="308">
        <f t="shared" si="764"/>
        <v>70.15440375</v>
      </c>
      <c r="O2178" s="288"/>
      <c r="P2178" s="297"/>
      <c r="Q2178" s="288"/>
      <c r="R2178" s="102"/>
      <c r="S2178" s="102"/>
      <c r="T2178" s="102"/>
    </row>
    <row r="2179" spans="1:20" s="199" customFormat="1" ht="15.75" customHeight="1">
      <c r="A2179" s="2624"/>
      <c r="B2179" s="310" t="s">
        <v>1382</v>
      </c>
      <c r="C2179" s="311"/>
      <c r="D2179" s="312">
        <f t="shared" si="761"/>
        <v>384</v>
      </c>
      <c r="E2179" s="313">
        <v>3</v>
      </c>
      <c r="F2179" s="314">
        <v>1</v>
      </c>
      <c r="G2179" s="315" t="s">
        <v>63</v>
      </c>
      <c r="H2179" s="314" t="s">
        <v>1043</v>
      </c>
      <c r="I2179" s="316">
        <v>0.61</v>
      </c>
      <c r="J2179" s="317">
        <v>14.430000000000001</v>
      </c>
      <c r="K2179" s="313">
        <v>2</v>
      </c>
      <c r="L2179" s="318" t="str">
        <f t="shared" si="762"/>
        <v>0.5/400</v>
      </c>
      <c r="M2179" s="317">
        <f t="shared" si="763"/>
        <v>1.2</v>
      </c>
      <c r="N2179" s="308">
        <f t="shared" si="764"/>
        <v>70.15440375</v>
      </c>
      <c r="O2179" s="288"/>
      <c r="P2179" s="297"/>
      <c r="Q2179" s="288"/>
      <c r="R2179" s="102"/>
      <c r="S2179" s="102"/>
      <c r="T2179" s="102"/>
    </row>
    <row r="2180" spans="1:20" s="199" customFormat="1" ht="15.75" customHeight="1">
      <c r="A2180" s="2624"/>
      <c r="B2180" s="310" t="s">
        <v>1411</v>
      </c>
      <c r="C2180" s="311"/>
      <c r="D2180" s="312">
        <f t="shared" si="761"/>
        <v>327</v>
      </c>
      <c r="E2180" s="313">
        <v>3</v>
      </c>
      <c r="F2180" s="314">
        <v>1</v>
      </c>
      <c r="G2180" s="315" t="s">
        <v>63</v>
      </c>
      <c r="H2180" s="314" t="s">
        <v>1044</v>
      </c>
      <c r="I2180" s="396">
        <v>0.4</v>
      </c>
      <c r="J2180" s="317">
        <v>14.430000000000001</v>
      </c>
      <c r="K2180" s="313">
        <v>0</v>
      </c>
      <c r="L2180" s="318" t="str">
        <f t="shared" si="762"/>
        <v>0.5/400</v>
      </c>
      <c r="M2180" s="317">
        <f t="shared" si="763"/>
        <v>1.2</v>
      </c>
      <c r="N2180" s="308">
        <f t="shared" si="764"/>
        <v>36.147150000000003</v>
      </c>
      <c r="O2180" s="288"/>
      <c r="P2180" s="297"/>
      <c r="Q2180" s="288"/>
      <c r="R2180" s="102"/>
      <c r="S2180" s="102"/>
      <c r="T2180" s="102"/>
    </row>
    <row r="2181" spans="1:20" s="199" customFormat="1" ht="15" thickBot="1">
      <c r="A2181" s="2624"/>
      <c r="B2181" s="321" t="s">
        <v>801</v>
      </c>
      <c r="C2181" s="363"/>
      <c r="D2181" s="364">
        <f t="shared" si="761"/>
        <v>384</v>
      </c>
      <c r="E2181" s="365">
        <v>1</v>
      </c>
      <c r="F2181" s="366">
        <v>1</v>
      </c>
      <c r="G2181" s="315" t="s">
        <v>63</v>
      </c>
      <c r="H2181" s="366" t="s">
        <v>1043</v>
      </c>
      <c r="I2181" s="367">
        <v>1.6</v>
      </c>
      <c r="J2181" s="368">
        <v>14.430000000000001</v>
      </c>
      <c r="K2181" s="399">
        <v>2</v>
      </c>
      <c r="L2181" s="369" t="str">
        <f t="shared" si="762"/>
        <v>0.5/400</v>
      </c>
      <c r="M2181" s="368">
        <f t="shared" si="763"/>
        <v>1.2</v>
      </c>
      <c r="N2181" s="370">
        <f t="shared" si="764"/>
        <v>53.20620000000001</v>
      </c>
      <c r="O2181" s="288"/>
      <c r="P2181" s="297"/>
      <c r="Q2181" s="288"/>
      <c r="R2181" s="102"/>
      <c r="S2181" s="102"/>
      <c r="T2181" s="102"/>
    </row>
    <row r="2182" spans="1:20" s="199" customFormat="1" ht="15" thickBot="1">
      <c r="A2182" s="2625"/>
      <c r="B2182" s="321" t="s">
        <v>802</v>
      </c>
      <c r="C2182" s="363"/>
      <c r="D2182" s="364">
        <f t="shared" si="761"/>
        <v>850</v>
      </c>
      <c r="E2182" s="365">
        <v>1</v>
      </c>
      <c r="F2182" s="366">
        <v>1</v>
      </c>
      <c r="G2182" s="322" t="s">
        <v>469</v>
      </c>
      <c r="H2182" s="366" t="s">
        <v>1043</v>
      </c>
      <c r="I2182" s="367">
        <v>1.6</v>
      </c>
      <c r="J2182" s="368">
        <v>46.28</v>
      </c>
      <c r="K2182" s="395">
        <v>0</v>
      </c>
      <c r="L2182" s="369" t="str">
        <f t="shared" si="762"/>
        <v>1/750</v>
      </c>
      <c r="M2182" s="368">
        <f t="shared" si="763"/>
        <v>1.9</v>
      </c>
      <c r="N2182" s="370">
        <f t="shared" si="764"/>
        <v>154.5752</v>
      </c>
      <c r="O2182" s="288"/>
      <c r="P2182" s="297"/>
      <c r="Q2182" s="288"/>
      <c r="R2182" s="102"/>
      <c r="S2182" s="102"/>
      <c r="T2182" s="102"/>
    </row>
    <row r="2183" spans="1:20" s="129" customFormat="1" ht="22.5" customHeight="1" thickBot="1">
      <c r="A2183" s="371"/>
      <c r="B2183" s="375"/>
      <c r="C2183" s="375"/>
      <c r="D2183" s="383"/>
      <c r="E2183" s="373"/>
      <c r="F2183" s="373"/>
      <c r="G2183" s="373"/>
      <c r="H2183" s="373"/>
      <c r="I2183" s="374"/>
      <c r="J2183" s="374"/>
      <c r="K2183" s="373"/>
      <c r="L2183" s="373"/>
      <c r="M2183" s="372"/>
      <c r="N2183" s="699">
        <f>SUM(N2177:N2182)</f>
        <v>454.39176125</v>
      </c>
      <c r="O2183" s="288"/>
      <c r="P2183" s="297"/>
      <c r="Q2183" s="288"/>
      <c r="R2183" s="102"/>
      <c r="S2183" s="102"/>
      <c r="T2183" s="102"/>
    </row>
    <row r="2184" spans="1:20" s="102" customFormat="1">
      <c r="B2184" s="744"/>
      <c r="F2184" s="745"/>
      <c r="G2184" s="745"/>
      <c r="H2184" s="745"/>
      <c r="L2184" s="745"/>
      <c r="N2184" s="746"/>
      <c r="P2184" s="745"/>
      <c r="Q2184" s="745"/>
    </row>
    <row r="2185" spans="1:20" s="102" customFormat="1">
      <c r="B2185" s="744"/>
      <c r="F2185" s="745"/>
      <c r="G2185" s="745"/>
      <c r="H2185" s="745"/>
      <c r="L2185" s="745"/>
      <c r="N2185" s="746"/>
      <c r="P2185" s="745"/>
      <c r="Q2185" s="745"/>
    </row>
    <row r="2186" spans="1:20" s="102" customFormat="1">
      <c r="B2186" s="744"/>
      <c r="F2186" s="745"/>
      <c r="G2186" s="745"/>
      <c r="H2186" s="745"/>
      <c r="L2186" s="745"/>
      <c r="N2186" s="746"/>
      <c r="P2186" s="745"/>
      <c r="Q2186" s="745"/>
    </row>
    <row r="2187" spans="1:20" s="102" customFormat="1">
      <c r="B2187" s="744"/>
      <c r="F2187" s="745"/>
      <c r="G2187" s="745"/>
      <c r="H2187" s="745"/>
      <c r="L2187" s="745"/>
      <c r="N2187" s="746"/>
      <c r="P2187" s="745"/>
      <c r="Q2187" s="745"/>
    </row>
    <row r="2188" spans="1:20" s="102" customFormat="1">
      <c r="B2188" s="744"/>
      <c r="F2188" s="745"/>
      <c r="G2188" s="745"/>
      <c r="H2188" s="745"/>
      <c r="L2188" s="745"/>
      <c r="N2188" s="746"/>
      <c r="P2188" s="745"/>
      <c r="Q2188" s="745"/>
    </row>
    <row r="2189" spans="1:20" s="102" customFormat="1">
      <c r="B2189" s="744"/>
      <c r="F2189" s="745"/>
      <c r="G2189" s="745"/>
      <c r="H2189" s="745"/>
      <c r="L2189" s="745"/>
      <c r="N2189" s="746"/>
      <c r="P2189" s="745"/>
      <c r="Q2189" s="745"/>
    </row>
    <row r="2190" spans="1:20" s="102" customFormat="1">
      <c r="B2190" s="744"/>
      <c r="F2190" s="745"/>
      <c r="G2190" s="745"/>
      <c r="H2190" s="745"/>
      <c r="L2190" s="745"/>
      <c r="N2190" s="746"/>
      <c r="P2190" s="745"/>
      <c r="Q2190" s="745"/>
    </row>
    <row r="2191" spans="1:20" s="102" customFormat="1">
      <c r="B2191" s="744"/>
      <c r="F2191" s="745"/>
      <c r="G2191" s="745"/>
      <c r="H2191" s="745"/>
      <c r="L2191" s="745"/>
      <c r="N2191" s="746"/>
      <c r="P2191" s="745"/>
      <c r="Q2191" s="745"/>
    </row>
    <row r="2192" spans="1:20" s="102" customFormat="1">
      <c r="B2192" s="744"/>
      <c r="F2192" s="745"/>
      <c r="G2192" s="745"/>
      <c r="H2192" s="745"/>
      <c r="L2192" s="745"/>
      <c r="N2192" s="746"/>
      <c r="P2192" s="745"/>
      <c r="Q2192" s="745"/>
    </row>
    <row r="2193" spans="2:17" s="102" customFormat="1">
      <c r="B2193" s="744"/>
      <c r="F2193" s="745"/>
      <c r="G2193" s="745"/>
      <c r="H2193" s="745"/>
      <c r="L2193" s="745"/>
      <c r="N2193" s="746"/>
      <c r="P2193" s="745"/>
      <c r="Q2193" s="745"/>
    </row>
    <row r="2194" spans="2:17" s="102" customFormat="1">
      <c r="B2194" s="744"/>
      <c r="F2194" s="745"/>
      <c r="G2194" s="745"/>
      <c r="H2194" s="745"/>
      <c r="L2194" s="745"/>
      <c r="N2194" s="746"/>
      <c r="P2194" s="745"/>
      <c r="Q2194" s="745"/>
    </row>
    <row r="2195" spans="2:17" s="102" customFormat="1">
      <c r="B2195" s="744"/>
      <c r="F2195" s="745"/>
      <c r="G2195" s="745"/>
      <c r="H2195" s="745"/>
      <c r="L2195" s="745"/>
      <c r="N2195" s="746"/>
      <c r="P2195" s="745"/>
      <c r="Q2195" s="745"/>
    </row>
    <row r="2196" spans="2:17" s="102" customFormat="1">
      <c r="B2196" s="744"/>
      <c r="F2196" s="745"/>
      <c r="G2196" s="745"/>
      <c r="H2196" s="745"/>
      <c r="L2196" s="745"/>
      <c r="N2196" s="746"/>
      <c r="P2196" s="745"/>
      <c r="Q2196" s="745"/>
    </row>
    <row r="2197" spans="2:17" s="102" customFormat="1">
      <c r="B2197" s="744"/>
      <c r="F2197" s="745"/>
      <c r="G2197" s="745"/>
      <c r="H2197" s="745"/>
      <c r="L2197" s="745"/>
      <c r="N2197" s="746"/>
      <c r="P2197" s="745"/>
      <c r="Q2197" s="745"/>
    </row>
    <row r="2198" spans="2:17" s="102" customFormat="1">
      <c r="B2198" s="744"/>
      <c r="F2198" s="745"/>
      <c r="G2198" s="745"/>
      <c r="H2198" s="745"/>
      <c r="L2198" s="745"/>
      <c r="N2198" s="746"/>
      <c r="P2198" s="745"/>
      <c r="Q2198" s="745"/>
    </row>
    <row r="2199" spans="2:17" s="102" customFormat="1">
      <c r="B2199" s="744"/>
      <c r="F2199" s="745"/>
      <c r="G2199" s="745"/>
      <c r="H2199" s="745"/>
      <c r="L2199" s="745"/>
      <c r="N2199" s="746"/>
      <c r="P2199" s="745"/>
      <c r="Q2199" s="745"/>
    </row>
    <row r="2200" spans="2:17" s="102" customFormat="1">
      <c r="B2200" s="744"/>
      <c r="F2200" s="745"/>
      <c r="G2200" s="745"/>
      <c r="H2200" s="745"/>
      <c r="L2200" s="745"/>
      <c r="N2200" s="746"/>
      <c r="P2200" s="745"/>
      <c r="Q2200" s="745"/>
    </row>
    <row r="2201" spans="2:17" s="102" customFormat="1">
      <c r="B2201" s="744"/>
      <c r="F2201" s="745"/>
      <c r="G2201" s="745"/>
      <c r="H2201" s="745"/>
      <c r="L2201" s="745"/>
      <c r="N2201" s="746"/>
      <c r="P2201" s="745"/>
      <c r="Q2201" s="745"/>
    </row>
    <row r="2202" spans="2:17" s="110" customFormat="1">
      <c r="B2202" s="111"/>
      <c r="F2202" s="112"/>
      <c r="G2202" s="112"/>
      <c r="H2202" s="112"/>
      <c r="L2202" s="112"/>
      <c r="N2202" s="306"/>
      <c r="P2202" s="112"/>
      <c r="Q2202" s="112"/>
    </row>
    <row r="2203" spans="2:17" s="110" customFormat="1">
      <c r="B2203" s="111"/>
      <c r="F2203" s="112"/>
      <c r="G2203" s="112"/>
      <c r="H2203" s="112"/>
      <c r="L2203" s="112"/>
      <c r="N2203" s="306"/>
      <c r="P2203" s="112"/>
      <c r="Q2203" s="112"/>
    </row>
    <row r="2204" spans="2:17" s="110" customFormat="1">
      <c r="B2204" s="111"/>
      <c r="F2204" s="112"/>
      <c r="G2204" s="112"/>
      <c r="H2204" s="112"/>
      <c r="L2204" s="112"/>
      <c r="N2204" s="306"/>
      <c r="P2204" s="112"/>
      <c r="Q2204" s="112"/>
    </row>
    <row r="2205" spans="2:17" s="110" customFormat="1">
      <c r="B2205" s="111"/>
      <c r="F2205" s="112"/>
      <c r="G2205" s="112"/>
      <c r="H2205" s="112"/>
      <c r="L2205" s="112"/>
      <c r="N2205" s="306"/>
      <c r="P2205" s="112"/>
      <c r="Q2205" s="112"/>
    </row>
    <row r="2206" spans="2:17" s="110" customFormat="1">
      <c r="B2206" s="111"/>
      <c r="F2206" s="112"/>
      <c r="G2206" s="112"/>
      <c r="H2206" s="112"/>
      <c r="L2206" s="112"/>
      <c r="N2206" s="306"/>
      <c r="P2206" s="112"/>
      <c r="Q2206" s="112"/>
    </row>
    <row r="2207" spans="2:17" s="110" customFormat="1">
      <c r="B2207" s="111"/>
      <c r="F2207" s="112"/>
      <c r="G2207" s="112"/>
      <c r="H2207" s="112"/>
      <c r="L2207" s="112"/>
      <c r="N2207" s="306"/>
      <c r="P2207" s="112"/>
      <c r="Q2207" s="112"/>
    </row>
    <row r="2208" spans="2:17" s="110" customFormat="1">
      <c r="B2208" s="111"/>
      <c r="F2208" s="112"/>
      <c r="G2208" s="112"/>
      <c r="H2208" s="112"/>
      <c r="L2208" s="112"/>
      <c r="N2208" s="306"/>
      <c r="P2208" s="112"/>
      <c r="Q2208" s="112"/>
    </row>
    <row r="2209" spans="2:17" s="110" customFormat="1">
      <c r="B2209" s="111"/>
      <c r="F2209" s="112"/>
      <c r="G2209" s="112"/>
      <c r="H2209" s="112"/>
      <c r="L2209" s="112"/>
      <c r="N2209" s="306"/>
      <c r="P2209" s="112"/>
      <c r="Q2209" s="112"/>
    </row>
    <row r="2210" spans="2:17" s="110" customFormat="1">
      <c r="B2210" s="111"/>
      <c r="F2210" s="112"/>
      <c r="G2210" s="112"/>
      <c r="H2210" s="112"/>
      <c r="L2210" s="112"/>
      <c r="N2210" s="306"/>
      <c r="P2210" s="112"/>
      <c r="Q2210" s="112"/>
    </row>
    <row r="2211" spans="2:17" s="110" customFormat="1">
      <c r="B2211" s="111"/>
      <c r="F2211" s="112"/>
      <c r="G2211" s="112"/>
      <c r="H2211" s="112"/>
      <c r="L2211" s="112"/>
      <c r="N2211" s="306"/>
      <c r="P2211" s="112"/>
      <c r="Q2211" s="112"/>
    </row>
    <row r="2212" spans="2:17" s="110" customFormat="1">
      <c r="B2212" s="111"/>
      <c r="F2212" s="112"/>
      <c r="G2212" s="112"/>
      <c r="H2212" s="112"/>
      <c r="L2212" s="112"/>
      <c r="N2212" s="306"/>
      <c r="P2212" s="112"/>
      <c r="Q2212" s="112"/>
    </row>
    <row r="2213" spans="2:17" s="110" customFormat="1">
      <c r="B2213" s="111"/>
      <c r="F2213" s="112"/>
      <c r="G2213" s="112"/>
      <c r="H2213" s="112"/>
      <c r="L2213" s="112"/>
      <c r="N2213" s="306"/>
      <c r="P2213" s="112"/>
      <c r="Q2213" s="112"/>
    </row>
    <row r="2214" spans="2:17" s="110" customFormat="1">
      <c r="B2214" s="111"/>
      <c r="F2214" s="112"/>
      <c r="G2214" s="112"/>
      <c r="H2214" s="112"/>
      <c r="L2214" s="112"/>
      <c r="N2214" s="306"/>
      <c r="P2214" s="112"/>
      <c r="Q2214" s="112"/>
    </row>
    <row r="2215" spans="2:17" s="110" customFormat="1">
      <c r="B2215" s="111"/>
      <c r="F2215" s="112"/>
      <c r="G2215" s="112"/>
      <c r="H2215" s="112"/>
      <c r="L2215" s="112"/>
      <c r="N2215" s="306"/>
      <c r="P2215" s="112"/>
      <c r="Q2215" s="112"/>
    </row>
    <row r="2216" spans="2:17" s="110" customFormat="1">
      <c r="B2216" s="111"/>
      <c r="F2216" s="112"/>
      <c r="G2216" s="112"/>
      <c r="H2216" s="112"/>
      <c r="L2216" s="112"/>
      <c r="N2216" s="306"/>
      <c r="P2216" s="112"/>
      <c r="Q2216" s="112"/>
    </row>
    <row r="2217" spans="2:17" s="110" customFormat="1">
      <c r="B2217" s="111"/>
      <c r="F2217" s="112"/>
      <c r="G2217" s="112"/>
      <c r="H2217" s="112"/>
      <c r="L2217" s="112"/>
      <c r="N2217" s="306"/>
      <c r="P2217" s="112"/>
      <c r="Q2217" s="112"/>
    </row>
    <row r="2218" spans="2:17" s="110" customFormat="1">
      <c r="B2218" s="111"/>
      <c r="F2218" s="112"/>
      <c r="G2218" s="112"/>
      <c r="H2218" s="112"/>
      <c r="L2218" s="112"/>
      <c r="N2218" s="306"/>
      <c r="P2218" s="112"/>
      <c r="Q2218" s="112"/>
    </row>
    <row r="2219" spans="2:17" s="110" customFormat="1">
      <c r="B2219" s="111"/>
      <c r="F2219" s="112"/>
      <c r="G2219" s="112"/>
      <c r="H2219" s="112"/>
      <c r="L2219" s="112"/>
      <c r="N2219" s="306"/>
      <c r="P2219" s="112"/>
      <c r="Q2219" s="112"/>
    </row>
    <row r="2220" spans="2:17" s="110" customFormat="1">
      <c r="B2220" s="111"/>
      <c r="F2220" s="112"/>
      <c r="G2220" s="112"/>
      <c r="H2220" s="112"/>
      <c r="L2220" s="112"/>
      <c r="N2220" s="306"/>
      <c r="P2220" s="112"/>
      <c r="Q2220" s="112"/>
    </row>
    <row r="2221" spans="2:17" s="110" customFormat="1">
      <c r="B2221" s="111"/>
      <c r="F2221" s="112"/>
      <c r="G2221" s="112"/>
      <c r="H2221" s="112"/>
      <c r="L2221" s="112"/>
      <c r="N2221" s="306"/>
      <c r="P2221" s="112"/>
      <c r="Q2221" s="112"/>
    </row>
    <row r="2222" spans="2:17" s="110" customFormat="1">
      <c r="B2222" s="111"/>
      <c r="F2222" s="112"/>
      <c r="G2222" s="112"/>
      <c r="H2222" s="112"/>
      <c r="L2222" s="112"/>
      <c r="N2222" s="306"/>
      <c r="P2222" s="112"/>
      <c r="Q2222" s="112"/>
    </row>
    <row r="2223" spans="2:17" s="110" customFormat="1">
      <c r="B2223" s="111"/>
      <c r="F2223" s="112"/>
      <c r="G2223" s="112"/>
      <c r="H2223" s="112"/>
      <c r="L2223" s="112"/>
      <c r="N2223" s="306"/>
      <c r="P2223" s="112"/>
      <c r="Q2223" s="112"/>
    </row>
    <row r="2224" spans="2:17" s="110" customFormat="1">
      <c r="B2224" s="111"/>
      <c r="F2224" s="112"/>
      <c r="G2224" s="112"/>
      <c r="H2224" s="112"/>
      <c r="L2224" s="112"/>
      <c r="N2224" s="306"/>
      <c r="P2224" s="112"/>
      <c r="Q2224" s="112"/>
    </row>
    <row r="2225" spans="2:17" s="110" customFormat="1">
      <c r="B2225" s="111"/>
      <c r="F2225" s="112"/>
      <c r="G2225" s="112"/>
      <c r="H2225" s="112"/>
      <c r="L2225" s="112"/>
      <c r="N2225" s="306"/>
      <c r="P2225" s="112"/>
      <c r="Q2225" s="112"/>
    </row>
    <row r="2226" spans="2:17" s="110" customFormat="1">
      <c r="B2226" s="111"/>
      <c r="F2226" s="112"/>
      <c r="G2226" s="112"/>
      <c r="H2226" s="112"/>
      <c r="L2226" s="112"/>
      <c r="N2226" s="306"/>
      <c r="P2226" s="112"/>
      <c r="Q2226" s="112"/>
    </row>
    <row r="2227" spans="2:17" s="110" customFormat="1">
      <c r="B2227" s="111"/>
      <c r="F2227" s="112"/>
      <c r="G2227" s="112"/>
      <c r="H2227" s="112"/>
      <c r="L2227" s="112"/>
      <c r="N2227" s="306"/>
      <c r="P2227" s="112"/>
      <c r="Q2227" s="112"/>
    </row>
    <row r="2228" spans="2:17" s="110" customFormat="1">
      <c r="B2228" s="111"/>
      <c r="F2228" s="112"/>
      <c r="G2228" s="112"/>
      <c r="H2228" s="112"/>
      <c r="L2228" s="112"/>
      <c r="N2228" s="306"/>
      <c r="P2228" s="112"/>
      <c r="Q2228" s="112"/>
    </row>
    <row r="2229" spans="2:17" s="110" customFormat="1">
      <c r="B2229" s="111"/>
      <c r="F2229" s="112"/>
      <c r="G2229" s="112"/>
      <c r="H2229" s="112"/>
      <c r="L2229" s="112"/>
      <c r="N2229" s="306"/>
      <c r="P2229" s="112"/>
      <c r="Q2229" s="112"/>
    </row>
    <row r="2230" spans="2:17" s="110" customFormat="1">
      <c r="B2230" s="111"/>
      <c r="F2230" s="112"/>
      <c r="G2230" s="112"/>
      <c r="H2230" s="112"/>
      <c r="L2230" s="112"/>
      <c r="N2230" s="306"/>
      <c r="P2230" s="112"/>
      <c r="Q2230" s="112"/>
    </row>
    <row r="2231" spans="2:17" s="110" customFormat="1">
      <c r="B2231" s="111"/>
      <c r="F2231" s="112"/>
      <c r="G2231" s="112"/>
      <c r="H2231" s="112"/>
      <c r="L2231" s="112"/>
      <c r="N2231" s="306"/>
      <c r="P2231" s="112"/>
      <c r="Q2231" s="112"/>
    </row>
    <row r="2232" spans="2:17" s="110" customFormat="1">
      <c r="B2232" s="111"/>
      <c r="F2232" s="112"/>
      <c r="G2232" s="112"/>
      <c r="H2232" s="112"/>
      <c r="L2232" s="112"/>
      <c r="N2232" s="306"/>
      <c r="P2232" s="112"/>
      <c r="Q2232" s="112"/>
    </row>
    <row r="2233" spans="2:17" s="110" customFormat="1">
      <c r="B2233" s="111"/>
      <c r="F2233" s="112"/>
      <c r="G2233" s="112"/>
      <c r="H2233" s="112"/>
      <c r="L2233" s="112"/>
      <c r="N2233" s="306"/>
      <c r="P2233" s="112"/>
      <c r="Q2233" s="112"/>
    </row>
    <row r="2234" spans="2:17" s="110" customFormat="1">
      <c r="B2234" s="111"/>
      <c r="F2234" s="112"/>
      <c r="G2234" s="112"/>
      <c r="H2234" s="112"/>
      <c r="L2234" s="112"/>
      <c r="N2234" s="306"/>
      <c r="P2234" s="112"/>
      <c r="Q2234" s="112"/>
    </row>
    <row r="2235" spans="2:17" s="110" customFormat="1">
      <c r="B2235" s="111"/>
      <c r="F2235" s="112"/>
      <c r="G2235" s="112"/>
      <c r="H2235" s="112"/>
      <c r="L2235" s="112"/>
      <c r="N2235" s="306"/>
      <c r="P2235" s="112"/>
      <c r="Q2235" s="112"/>
    </row>
    <row r="2236" spans="2:17" s="110" customFormat="1">
      <c r="B2236" s="111"/>
      <c r="F2236" s="112"/>
      <c r="G2236" s="112"/>
      <c r="H2236" s="112"/>
      <c r="L2236" s="112"/>
      <c r="N2236" s="306"/>
      <c r="P2236" s="112"/>
      <c r="Q2236" s="112"/>
    </row>
    <row r="2237" spans="2:17" s="110" customFormat="1">
      <c r="B2237" s="111"/>
      <c r="F2237" s="112"/>
      <c r="G2237" s="112"/>
      <c r="H2237" s="112"/>
      <c r="L2237" s="112"/>
      <c r="N2237" s="306"/>
      <c r="P2237" s="112"/>
      <c r="Q2237" s="112"/>
    </row>
    <row r="2238" spans="2:17" s="110" customFormat="1">
      <c r="B2238" s="111"/>
      <c r="F2238" s="112"/>
      <c r="G2238" s="112"/>
      <c r="H2238" s="112"/>
      <c r="L2238" s="112"/>
      <c r="N2238" s="306"/>
      <c r="P2238" s="112"/>
      <c r="Q2238" s="112"/>
    </row>
    <row r="2239" spans="2:17" s="110" customFormat="1">
      <c r="B2239" s="111"/>
      <c r="F2239" s="112"/>
      <c r="G2239" s="112"/>
      <c r="H2239" s="112"/>
      <c r="L2239" s="112"/>
      <c r="N2239" s="306"/>
      <c r="P2239" s="112"/>
      <c r="Q2239" s="112"/>
    </row>
    <row r="2240" spans="2:17" s="110" customFormat="1">
      <c r="B2240" s="111"/>
      <c r="F2240" s="112"/>
      <c r="G2240" s="112"/>
      <c r="H2240" s="112"/>
      <c r="L2240" s="112"/>
      <c r="N2240" s="306"/>
      <c r="P2240" s="112"/>
      <c r="Q2240" s="112"/>
    </row>
    <row r="2241" spans="2:17" s="110" customFormat="1">
      <c r="B2241" s="111"/>
      <c r="F2241" s="112"/>
      <c r="G2241" s="112"/>
      <c r="H2241" s="112"/>
      <c r="L2241" s="112"/>
      <c r="N2241" s="306"/>
      <c r="P2241" s="112"/>
      <c r="Q2241" s="112"/>
    </row>
    <row r="2242" spans="2:17" s="110" customFormat="1">
      <c r="B2242" s="111"/>
      <c r="F2242" s="112"/>
      <c r="G2242" s="112"/>
      <c r="H2242" s="112"/>
      <c r="L2242" s="112"/>
      <c r="N2242" s="306"/>
      <c r="P2242" s="112"/>
      <c r="Q2242" s="112"/>
    </row>
    <row r="2243" spans="2:17" s="110" customFormat="1">
      <c r="B2243" s="111"/>
      <c r="F2243" s="112"/>
      <c r="G2243" s="112"/>
      <c r="H2243" s="112"/>
      <c r="L2243" s="112"/>
      <c r="N2243" s="306"/>
      <c r="P2243" s="112"/>
      <c r="Q2243" s="112"/>
    </row>
    <row r="2244" spans="2:17" s="110" customFormat="1">
      <c r="B2244" s="111"/>
      <c r="F2244" s="112"/>
      <c r="G2244" s="112"/>
      <c r="H2244" s="112"/>
      <c r="L2244" s="112"/>
      <c r="N2244" s="306"/>
      <c r="P2244" s="112"/>
      <c r="Q2244" s="112"/>
    </row>
    <row r="2245" spans="2:17" s="110" customFormat="1">
      <c r="B2245" s="111"/>
      <c r="F2245" s="112"/>
      <c r="G2245" s="112"/>
      <c r="H2245" s="112"/>
      <c r="L2245" s="112"/>
      <c r="N2245" s="306"/>
      <c r="P2245" s="112"/>
      <c r="Q2245" s="112"/>
    </row>
    <row r="2246" spans="2:17" s="110" customFormat="1">
      <c r="B2246" s="111"/>
      <c r="F2246" s="112"/>
      <c r="G2246" s="112"/>
      <c r="H2246" s="112"/>
      <c r="L2246" s="112"/>
      <c r="N2246" s="306"/>
      <c r="P2246" s="112"/>
      <c r="Q2246" s="112"/>
    </row>
    <row r="2247" spans="2:17" s="110" customFormat="1">
      <c r="B2247" s="111"/>
      <c r="F2247" s="112"/>
      <c r="G2247" s="112"/>
      <c r="H2247" s="112"/>
      <c r="L2247" s="112"/>
      <c r="N2247" s="306"/>
      <c r="P2247" s="112"/>
      <c r="Q2247" s="112"/>
    </row>
    <row r="2248" spans="2:17" s="110" customFormat="1">
      <c r="B2248" s="111"/>
      <c r="F2248" s="112"/>
      <c r="G2248" s="112"/>
      <c r="H2248" s="112"/>
      <c r="L2248" s="112"/>
      <c r="N2248" s="306"/>
      <c r="P2248" s="112"/>
      <c r="Q2248" s="112"/>
    </row>
    <row r="2249" spans="2:17" s="110" customFormat="1">
      <c r="B2249" s="111"/>
      <c r="F2249" s="112"/>
      <c r="G2249" s="112"/>
      <c r="H2249" s="112"/>
      <c r="L2249" s="112"/>
      <c r="N2249" s="306"/>
      <c r="P2249" s="112"/>
      <c r="Q2249" s="112"/>
    </row>
    <row r="2250" spans="2:17" s="110" customFormat="1">
      <c r="B2250" s="111"/>
      <c r="F2250" s="112"/>
      <c r="G2250" s="112"/>
      <c r="H2250" s="112"/>
      <c r="L2250" s="112"/>
      <c r="N2250" s="306"/>
      <c r="P2250" s="112"/>
      <c r="Q2250" s="112"/>
    </row>
    <row r="2251" spans="2:17" s="110" customFormat="1">
      <c r="B2251" s="111"/>
      <c r="F2251" s="112"/>
      <c r="G2251" s="112"/>
      <c r="H2251" s="112"/>
      <c r="L2251" s="112"/>
      <c r="N2251" s="306"/>
      <c r="P2251" s="112"/>
      <c r="Q2251" s="112"/>
    </row>
    <row r="2252" spans="2:17" s="110" customFormat="1">
      <c r="B2252" s="111"/>
      <c r="F2252" s="112"/>
      <c r="G2252" s="112"/>
      <c r="H2252" s="112"/>
      <c r="L2252" s="112"/>
      <c r="N2252" s="306"/>
      <c r="P2252" s="112"/>
      <c r="Q2252" s="112"/>
    </row>
    <row r="2253" spans="2:17" s="110" customFormat="1">
      <c r="B2253" s="111"/>
      <c r="F2253" s="112"/>
      <c r="G2253" s="112"/>
      <c r="H2253" s="112"/>
      <c r="L2253" s="112"/>
      <c r="N2253" s="306"/>
      <c r="P2253" s="112"/>
      <c r="Q2253" s="112"/>
    </row>
    <row r="2254" spans="2:17" s="110" customFormat="1">
      <c r="B2254" s="111"/>
      <c r="F2254" s="112"/>
      <c r="G2254" s="112"/>
      <c r="H2254" s="112"/>
      <c r="L2254" s="112"/>
      <c r="N2254" s="306"/>
      <c r="P2254" s="112"/>
      <c r="Q2254" s="112"/>
    </row>
    <row r="2255" spans="2:17" s="110" customFormat="1">
      <c r="B2255" s="111"/>
      <c r="F2255" s="112"/>
      <c r="G2255" s="112"/>
      <c r="H2255" s="112"/>
      <c r="L2255" s="112"/>
      <c r="N2255" s="306"/>
      <c r="P2255" s="112"/>
      <c r="Q2255" s="112"/>
    </row>
    <row r="2256" spans="2:17" s="110" customFormat="1">
      <c r="B2256" s="111"/>
      <c r="F2256" s="112"/>
      <c r="G2256" s="112"/>
      <c r="H2256" s="112"/>
      <c r="L2256" s="112"/>
      <c r="N2256" s="306"/>
      <c r="P2256" s="112"/>
      <c r="Q2256" s="112"/>
    </row>
    <row r="2257" spans="2:17" s="110" customFormat="1">
      <c r="B2257" s="111"/>
      <c r="F2257" s="112"/>
      <c r="G2257" s="112"/>
      <c r="H2257" s="112"/>
      <c r="L2257" s="112"/>
      <c r="N2257" s="306"/>
      <c r="P2257" s="112"/>
      <c r="Q2257" s="112"/>
    </row>
    <row r="2258" spans="2:17" s="110" customFormat="1">
      <c r="B2258" s="111"/>
      <c r="F2258" s="112"/>
      <c r="G2258" s="112"/>
      <c r="H2258" s="112"/>
      <c r="L2258" s="112"/>
      <c r="N2258" s="306"/>
      <c r="P2258" s="112"/>
      <c r="Q2258" s="112"/>
    </row>
    <row r="2259" spans="2:17" s="110" customFormat="1">
      <c r="B2259" s="111"/>
      <c r="F2259" s="112"/>
      <c r="G2259" s="112"/>
      <c r="H2259" s="112"/>
      <c r="L2259" s="112"/>
      <c r="N2259" s="306"/>
      <c r="P2259" s="112"/>
      <c r="Q2259" s="112"/>
    </row>
    <row r="2260" spans="2:17" s="110" customFormat="1">
      <c r="B2260" s="111"/>
      <c r="F2260" s="112"/>
      <c r="G2260" s="112"/>
      <c r="H2260" s="112"/>
      <c r="L2260" s="112"/>
      <c r="N2260" s="306"/>
      <c r="P2260" s="112"/>
      <c r="Q2260" s="112"/>
    </row>
    <row r="2261" spans="2:17" s="110" customFormat="1">
      <c r="B2261" s="111"/>
      <c r="F2261" s="112"/>
      <c r="G2261" s="112"/>
      <c r="H2261" s="112"/>
      <c r="L2261" s="112"/>
      <c r="N2261" s="306"/>
      <c r="P2261" s="112"/>
      <c r="Q2261" s="112"/>
    </row>
    <row r="2262" spans="2:17" s="110" customFormat="1">
      <c r="B2262" s="111"/>
      <c r="F2262" s="112"/>
      <c r="G2262" s="112"/>
      <c r="H2262" s="112"/>
      <c r="L2262" s="112"/>
      <c r="N2262" s="306"/>
      <c r="P2262" s="112"/>
      <c r="Q2262" s="112"/>
    </row>
    <row r="2263" spans="2:17" s="110" customFormat="1">
      <c r="B2263" s="111"/>
      <c r="F2263" s="112"/>
      <c r="G2263" s="112"/>
      <c r="H2263" s="112"/>
      <c r="L2263" s="112"/>
      <c r="N2263" s="306"/>
      <c r="P2263" s="112"/>
      <c r="Q2263" s="112"/>
    </row>
    <row r="2264" spans="2:17" s="110" customFormat="1">
      <c r="B2264" s="111"/>
      <c r="F2264" s="112"/>
      <c r="G2264" s="112"/>
      <c r="H2264" s="112"/>
      <c r="L2264" s="112"/>
      <c r="N2264" s="306"/>
      <c r="P2264" s="112"/>
      <c r="Q2264" s="112"/>
    </row>
    <row r="2265" spans="2:17" s="110" customFormat="1">
      <c r="B2265" s="111"/>
      <c r="F2265" s="112"/>
      <c r="G2265" s="112"/>
      <c r="H2265" s="112"/>
      <c r="L2265" s="112"/>
      <c r="N2265" s="306"/>
      <c r="P2265" s="112"/>
      <c r="Q2265" s="112"/>
    </row>
    <row r="2266" spans="2:17" s="110" customFormat="1">
      <c r="B2266" s="111"/>
      <c r="F2266" s="112"/>
      <c r="G2266" s="112"/>
      <c r="H2266" s="112"/>
      <c r="L2266" s="112"/>
      <c r="N2266" s="306"/>
      <c r="P2266" s="112"/>
      <c r="Q2266" s="112"/>
    </row>
    <row r="2267" spans="2:17" s="110" customFormat="1">
      <c r="B2267" s="111"/>
      <c r="F2267" s="112"/>
      <c r="G2267" s="112"/>
      <c r="H2267" s="112"/>
      <c r="L2267" s="112"/>
      <c r="N2267" s="306"/>
      <c r="P2267" s="112"/>
      <c r="Q2267" s="112"/>
    </row>
    <row r="2268" spans="2:17" s="110" customFormat="1">
      <c r="B2268" s="111"/>
      <c r="F2268" s="112"/>
      <c r="G2268" s="112"/>
      <c r="H2268" s="112"/>
      <c r="L2268" s="112"/>
      <c r="N2268" s="306"/>
      <c r="P2268" s="112"/>
      <c r="Q2268" s="112"/>
    </row>
    <row r="2269" spans="2:17" s="110" customFormat="1">
      <c r="B2269" s="111"/>
      <c r="F2269" s="112"/>
      <c r="G2269" s="112"/>
      <c r="H2269" s="112"/>
      <c r="L2269" s="112"/>
      <c r="N2269" s="306"/>
      <c r="P2269" s="112"/>
      <c r="Q2269" s="112"/>
    </row>
    <row r="2270" spans="2:17" s="110" customFormat="1">
      <c r="B2270" s="111"/>
      <c r="F2270" s="112"/>
      <c r="G2270" s="112"/>
      <c r="H2270" s="112"/>
      <c r="L2270" s="112"/>
      <c r="N2270" s="306"/>
      <c r="P2270" s="112"/>
      <c r="Q2270" s="112"/>
    </row>
    <row r="2271" spans="2:17" s="110" customFormat="1">
      <c r="B2271" s="111"/>
      <c r="F2271" s="112"/>
      <c r="G2271" s="112"/>
      <c r="H2271" s="112"/>
      <c r="L2271" s="112"/>
      <c r="N2271" s="306"/>
      <c r="P2271" s="112"/>
      <c r="Q2271" s="112"/>
    </row>
    <row r="2272" spans="2:17" s="110" customFormat="1">
      <c r="B2272" s="111"/>
      <c r="F2272" s="112"/>
      <c r="G2272" s="112"/>
      <c r="H2272" s="112"/>
      <c r="L2272" s="112"/>
      <c r="N2272" s="306"/>
      <c r="P2272" s="112"/>
      <c r="Q2272" s="112"/>
    </row>
    <row r="2273" spans="2:17" s="110" customFormat="1">
      <c r="B2273" s="111"/>
      <c r="F2273" s="112"/>
      <c r="G2273" s="112"/>
      <c r="H2273" s="112"/>
      <c r="L2273" s="112"/>
      <c r="N2273" s="306"/>
      <c r="P2273" s="112"/>
      <c r="Q2273" s="112"/>
    </row>
    <row r="2274" spans="2:17" s="110" customFormat="1">
      <c r="B2274" s="111"/>
      <c r="F2274" s="112"/>
      <c r="G2274" s="112"/>
      <c r="H2274" s="112"/>
      <c r="L2274" s="112"/>
      <c r="N2274" s="306"/>
      <c r="P2274" s="112"/>
      <c r="Q2274" s="112"/>
    </row>
    <row r="2275" spans="2:17" s="110" customFormat="1">
      <c r="B2275" s="111"/>
      <c r="F2275" s="112"/>
      <c r="G2275" s="112"/>
      <c r="H2275" s="112"/>
      <c r="L2275" s="112"/>
      <c r="N2275" s="306"/>
      <c r="P2275" s="112"/>
      <c r="Q2275" s="112"/>
    </row>
    <row r="2276" spans="2:17" s="110" customFormat="1">
      <c r="B2276" s="111"/>
      <c r="F2276" s="112"/>
      <c r="G2276" s="112"/>
      <c r="H2276" s="112"/>
      <c r="L2276" s="112"/>
      <c r="N2276" s="306"/>
      <c r="P2276" s="112"/>
      <c r="Q2276" s="112"/>
    </row>
    <row r="2277" spans="2:17" s="110" customFormat="1">
      <c r="B2277" s="111"/>
      <c r="F2277" s="112"/>
      <c r="G2277" s="112"/>
      <c r="H2277" s="112"/>
      <c r="L2277" s="112"/>
      <c r="N2277" s="306"/>
      <c r="P2277" s="112"/>
      <c r="Q2277" s="112"/>
    </row>
    <row r="2278" spans="2:17" s="110" customFormat="1">
      <c r="B2278" s="111"/>
      <c r="F2278" s="112"/>
      <c r="G2278" s="112"/>
      <c r="H2278" s="112"/>
      <c r="L2278" s="112"/>
      <c r="N2278" s="306"/>
      <c r="P2278" s="112"/>
      <c r="Q2278" s="112"/>
    </row>
    <row r="2279" spans="2:17" s="110" customFormat="1">
      <c r="B2279" s="111"/>
      <c r="F2279" s="112"/>
      <c r="G2279" s="112"/>
      <c r="H2279" s="112"/>
      <c r="L2279" s="112"/>
      <c r="N2279" s="306"/>
      <c r="P2279" s="112"/>
      <c r="Q2279" s="112"/>
    </row>
    <row r="2280" spans="2:17" s="110" customFormat="1">
      <c r="B2280" s="111"/>
      <c r="F2280" s="112"/>
      <c r="G2280" s="112"/>
      <c r="H2280" s="112"/>
      <c r="L2280" s="112"/>
      <c r="N2280" s="306"/>
      <c r="P2280" s="112"/>
      <c r="Q2280" s="112"/>
    </row>
    <row r="2281" spans="2:17" s="110" customFormat="1">
      <c r="B2281" s="111"/>
      <c r="F2281" s="112"/>
      <c r="G2281" s="112"/>
      <c r="H2281" s="112"/>
      <c r="L2281" s="112"/>
      <c r="N2281" s="306"/>
      <c r="P2281" s="112"/>
      <c r="Q2281" s="112"/>
    </row>
    <row r="2282" spans="2:17" s="110" customFormat="1">
      <c r="B2282" s="111"/>
      <c r="F2282" s="112"/>
      <c r="G2282" s="112"/>
      <c r="H2282" s="112"/>
      <c r="L2282" s="112"/>
      <c r="N2282" s="306"/>
      <c r="P2282" s="112"/>
      <c r="Q2282" s="112"/>
    </row>
    <row r="2283" spans="2:17" s="110" customFormat="1">
      <c r="B2283" s="111"/>
      <c r="F2283" s="112"/>
      <c r="G2283" s="112"/>
      <c r="H2283" s="112"/>
      <c r="L2283" s="112"/>
      <c r="N2283" s="306"/>
      <c r="P2283" s="112"/>
      <c r="Q2283" s="112"/>
    </row>
    <row r="2284" spans="2:17" s="110" customFormat="1">
      <c r="B2284" s="111"/>
      <c r="F2284" s="112"/>
      <c r="G2284" s="112"/>
      <c r="H2284" s="112"/>
      <c r="L2284" s="112"/>
      <c r="N2284" s="306"/>
      <c r="P2284" s="112"/>
      <c r="Q2284" s="112"/>
    </row>
    <row r="2285" spans="2:17" s="110" customFormat="1">
      <c r="B2285" s="111"/>
      <c r="F2285" s="112"/>
      <c r="G2285" s="112"/>
      <c r="H2285" s="112"/>
      <c r="L2285" s="112"/>
      <c r="N2285" s="306"/>
      <c r="P2285" s="112"/>
      <c r="Q2285" s="112"/>
    </row>
    <row r="2286" spans="2:17" s="110" customFormat="1">
      <c r="B2286" s="111"/>
      <c r="F2286" s="112"/>
      <c r="G2286" s="112"/>
      <c r="H2286" s="112"/>
      <c r="L2286" s="112"/>
      <c r="N2286" s="306"/>
      <c r="P2286" s="112"/>
      <c r="Q2286" s="112"/>
    </row>
    <row r="2287" spans="2:17" s="110" customFormat="1">
      <c r="B2287" s="111"/>
      <c r="F2287" s="112"/>
      <c r="G2287" s="112"/>
      <c r="H2287" s="112"/>
      <c r="L2287" s="112"/>
      <c r="N2287" s="306"/>
      <c r="P2287" s="112"/>
      <c r="Q2287" s="112"/>
    </row>
    <row r="2288" spans="2:17" s="110" customFormat="1">
      <c r="B2288" s="111"/>
      <c r="F2288" s="112"/>
      <c r="G2288" s="112"/>
      <c r="H2288" s="112"/>
      <c r="L2288" s="112"/>
      <c r="N2288" s="306"/>
      <c r="P2288" s="112"/>
      <c r="Q2288" s="112"/>
    </row>
    <row r="2289" spans="2:17" s="110" customFormat="1">
      <c r="B2289" s="111"/>
      <c r="F2289" s="112"/>
      <c r="G2289" s="112"/>
      <c r="H2289" s="112"/>
      <c r="L2289" s="112"/>
      <c r="N2289" s="306"/>
      <c r="P2289" s="112"/>
      <c r="Q2289" s="112"/>
    </row>
    <row r="2290" spans="2:17" s="110" customFormat="1">
      <c r="B2290" s="111"/>
      <c r="F2290" s="112"/>
      <c r="G2290" s="112"/>
      <c r="H2290" s="112"/>
      <c r="L2290" s="112"/>
      <c r="N2290" s="306"/>
      <c r="P2290" s="112"/>
      <c r="Q2290" s="112"/>
    </row>
    <row r="2291" spans="2:17" s="110" customFormat="1">
      <c r="B2291" s="111"/>
      <c r="F2291" s="112"/>
      <c r="G2291" s="112"/>
      <c r="H2291" s="112"/>
      <c r="L2291" s="112"/>
      <c r="N2291" s="306"/>
      <c r="P2291" s="112"/>
      <c r="Q2291" s="112"/>
    </row>
    <row r="2292" spans="2:17" s="110" customFormat="1">
      <c r="B2292" s="111"/>
      <c r="F2292" s="112"/>
      <c r="G2292" s="112"/>
      <c r="H2292" s="112"/>
      <c r="L2292" s="112"/>
      <c r="N2292" s="306"/>
      <c r="P2292" s="112"/>
      <c r="Q2292" s="112"/>
    </row>
    <row r="2293" spans="2:17" s="110" customFormat="1">
      <c r="B2293" s="111"/>
      <c r="F2293" s="112"/>
      <c r="G2293" s="112"/>
      <c r="H2293" s="112"/>
      <c r="L2293" s="112"/>
      <c r="N2293" s="306"/>
      <c r="P2293" s="112"/>
      <c r="Q2293" s="112"/>
    </row>
    <row r="2294" spans="2:17" s="110" customFormat="1">
      <c r="B2294" s="111"/>
      <c r="F2294" s="112"/>
      <c r="G2294" s="112"/>
      <c r="H2294" s="112"/>
      <c r="L2294" s="112"/>
      <c r="N2294" s="306"/>
      <c r="P2294" s="112"/>
      <c r="Q2294" s="112"/>
    </row>
    <row r="2295" spans="2:17" s="110" customFormat="1">
      <c r="B2295" s="111"/>
      <c r="F2295" s="112"/>
      <c r="G2295" s="112"/>
      <c r="H2295" s="112"/>
      <c r="L2295" s="112"/>
      <c r="N2295" s="306"/>
      <c r="P2295" s="112"/>
      <c r="Q2295" s="112"/>
    </row>
    <row r="2296" spans="2:17" s="110" customFormat="1">
      <c r="B2296" s="111"/>
      <c r="F2296" s="112"/>
      <c r="G2296" s="112"/>
      <c r="H2296" s="112"/>
      <c r="L2296" s="112"/>
      <c r="N2296" s="306"/>
      <c r="P2296" s="112"/>
      <c r="Q2296" s="112"/>
    </row>
    <row r="2297" spans="2:17" s="110" customFormat="1">
      <c r="B2297" s="111"/>
      <c r="F2297" s="112"/>
      <c r="G2297" s="112"/>
      <c r="H2297" s="112"/>
      <c r="L2297" s="112"/>
      <c r="N2297" s="306"/>
      <c r="P2297" s="112"/>
      <c r="Q2297" s="112"/>
    </row>
    <row r="2298" spans="2:17" s="110" customFormat="1">
      <c r="B2298" s="111"/>
      <c r="F2298" s="112"/>
      <c r="G2298" s="112"/>
      <c r="H2298" s="112"/>
      <c r="L2298" s="112"/>
      <c r="N2298" s="306"/>
      <c r="P2298" s="112"/>
      <c r="Q2298" s="112"/>
    </row>
    <row r="2299" spans="2:17" s="110" customFormat="1">
      <c r="B2299" s="111"/>
      <c r="F2299" s="112"/>
      <c r="G2299" s="112"/>
      <c r="H2299" s="112"/>
      <c r="L2299" s="112"/>
      <c r="N2299" s="306"/>
      <c r="P2299" s="112"/>
      <c r="Q2299" s="112"/>
    </row>
    <row r="2300" spans="2:17" s="110" customFormat="1">
      <c r="B2300" s="111"/>
      <c r="F2300" s="112"/>
      <c r="G2300" s="112"/>
      <c r="H2300" s="112"/>
      <c r="L2300" s="112"/>
      <c r="N2300" s="306"/>
      <c r="P2300" s="112"/>
      <c r="Q2300" s="112"/>
    </row>
    <row r="2301" spans="2:17" s="110" customFormat="1">
      <c r="B2301" s="111"/>
      <c r="F2301" s="112"/>
      <c r="G2301" s="112"/>
      <c r="H2301" s="112"/>
      <c r="L2301" s="112"/>
      <c r="N2301" s="306"/>
      <c r="P2301" s="112"/>
      <c r="Q2301" s="112"/>
    </row>
    <row r="2302" spans="2:17" s="110" customFormat="1">
      <c r="B2302" s="111"/>
      <c r="F2302" s="112"/>
      <c r="G2302" s="112"/>
      <c r="H2302" s="112"/>
      <c r="L2302" s="112"/>
      <c r="N2302" s="306"/>
      <c r="P2302" s="112"/>
      <c r="Q2302" s="112"/>
    </row>
    <row r="2303" spans="2:17" s="110" customFormat="1">
      <c r="B2303" s="111"/>
      <c r="F2303" s="112"/>
      <c r="G2303" s="112"/>
      <c r="H2303" s="112"/>
      <c r="L2303" s="112"/>
      <c r="N2303" s="306"/>
      <c r="P2303" s="112"/>
      <c r="Q2303" s="112"/>
    </row>
    <row r="2304" spans="2:17" s="110" customFormat="1">
      <c r="B2304" s="111"/>
      <c r="F2304" s="112"/>
      <c r="G2304" s="112"/>
      <c r="H2304" s="112"/>
      <c r="L2304" s="112"/>
      <c r="N2304" s="306"/>
      <c r="P2304" s="112"/>
      <c r="Q2304" s="112"/>
    </row>
    <row r="2305" spans="2:17" s="110" customFormat="1">
      <c r="B2305" s="111"/>
      <c r="F2305" s="112"/>
      <c r="G2305" s="112"/>
      <c r="H2305" s="112"/>
      <c r="L2305" s="112"/>
      <c r="N2305" s="306"/>
      <c r="P2305" s="112"/>
      <c r="Q2305" s="112"/>
    </row>
    <row r="2306" spans="2:17" s="110" customFormat="1">
      <c r="B2306" s="111"/>
      <c r="F2306" s="112"/>
      <c r="G2306" s="112"/>
      <c r="H2306" s="112"/>
      <c r="L2306" s="112"/>
      <c r="N2306" s="306"/>
      <c r="P2306" s="112"/>
      <c r="Q2306" s="112"/>
    </row>
    <row r="2307" spans="2:17" s="110" customFormat="1">
      <c r="B2307" s="111"/>
      <c r="F2307" s="112"/>
      <c r="G2307" s="112"/>
      <c r="H2307" s="112"/>
      <c r="L2307" s="112"/>
      <c r="N2307" s="306"/>
      <c r="P2307" s="112"/>
      <c r="Q2307" s="112"/>
    </row>
    <row r="2308" spans="2:17" s="110" customFormat="1">
      <c r="B2308" s="111"/>
      <c r="F2308" s="112"/>
      <c r="G2308" s="112"/>
      <c r="H2308" s="112"/>
      <c r="L2308" s="112"/>
      <c r="N2308" s="306"/>
      <c r="P2308" s="112"/>
      <c r="Q2308" s="112"/>
    </row>
    <row r="2309" spans="2:17" s="110" customFormat="1">
      <c r="B2309" s="111"/>
      <c r="F2309" s="112"/>
      <c r="G2309" s="112"/>
      <c r="H2309" s="112"/>
      <c r="L2309" s="112"/>
      <c r="N2309" s="306"/>
      <c r="P2309" s="112"/>
      <c r="Q2309" s="112"/>
    </row>
    <row r="2310" spans="2:17" s="110" customFormat="1">
      <c r="B2310" s="111"/>
      <c r="F2310" s="112"/>
      <c r="G2310" s="112"/>
      <c r="H2310" s="112"/>
      <c r="L2310" s="112"/>
      <c r="N2310" s="306"/>
      <c r="P2310" s="112"/>
      <c r="Q2310" s="112"/>
    </row>
    <row r="2311" spans="2:17" s="110" customFormat="1">
      <c r="B2311" s="111"/>
      <c r="F2311" s="112"/>
      <c r="G2311" s="112"/>
      <c r="H2311" s="112"/>
      <c r="L2311" s="112"/>
      <c r="N2311" s="306"/>
      <c r="P2311" s="112"/>
      <c r="Q2311" s="112"/>
    </row>
    <row r="2312" spans="2:17" s="110" customFormat="1">
      <c r="B2312" s="111"/>
      <c r="F2312" s="112"/>
      <c r="G2312" s="112"/>
      <c r="H2312" s="112"/>
      <c r="L2312" s="112"/>
      <c r="N2312" s="306"/>
      <c r="P2312" s="112"/>
      <c r="Q2312" s="112"/>
    </row>
    <row r="2313" spans="2:17" s="110" customFormat="1">
      <c r="B2313" s="111"/>
      <c r="F2313" s="112"/>
      <c r="G2313" s="112"/>
      <c r="H2313" s="112"/>
      <c r="L2313" s="112"/>
      <c r="N2313" s="306"/>
      <c r="P2313" s="112"/>
      <c r="Q2313" s="112"/>
    </row>
    <row r="2314" spans="2:17" s="110" customFormat="1">
      <c r="B2314" s="111"/>
      <c r="F2314" s="112"/>
      <c r="G2314" s="112"/>
      <c r="H2314" s="112"/>
      <c r="L2314" s="112"/>
      <c r="N2314" s="306"/>
      <c r="P2314" s="112"/>
      <c r="Q2314" s="112"/>
    </row>
    <row r="2315" spans="2:17" s="110" customFormat="1">
      <c r="B2315" s="111"/>
      <c r="F2315" s="112"/>
      <c r="G2315" s="112"/>
      <c r="H2315" s="112"/>
      <c r="L2315" s="112"/>
      <c r="N2315" s="306"/>
      <c r="P2315" s="112"/>
      <c r="Q2315" s="112"/>
    </row>
    <row r="2316" spans="2:17" s="110" customFormat="1">
      <c r="B2316" s="111"/>
      <c r="F2316" s="112"/>
      <c r="G2316" s="112"/>
      <c r="H2316" s="112"/>
      <c r="L2316" s="112"/>
      <c r="N2316" s="306"/>
      <c r="P2316" s="112"/>
      <c r="Q2316" s="112"/>
    </row>
    <row r="2317" spans="2:17" s="110" customFormat="1">
      <c r="B2317" s="111"/>
      <c r="F2317" s="112"/>
      <c r="G2317" s="112"/>
      <c r="H2317" s="112"/>
      <c r="L2317" s="112"/>
      <c r="N2317" s="306"/>
      <c r="P2317" s="112"/>
      <c r="Q2317" s="112"/>
    </row>
    <row r="2318" spans="2:17" s="110" customFormat="1">
      <c r="B2318" s="111"/>
      <c r="F2318" s="112"/>
      <c r="G2318" s="112"/>
      <c r="H2318" s="112"/>
      <c r="L2318" s="112"/>
      <c r="N2318" s="306"/>
      <c r="P2318" s="112"/>
      <c r="Q2318" s="112"/>
    </row>
    <row r="2319" spans="2:17" s="110" customFormat="1">
      <c r="B2319" s="111"/>
      <c r="F2319" s="112"/>
      <c r="G2319" s="112"/>
      <c r="H2319" s="112"/>
      <c r="L2319" s="112"/>
      <c r="N2319" s="306"/>
      <c r="P2319" s="112"/>
      <c r="Q2319" s="112"/>
    </row>
    <row r="2320" spans="2:17" s="110" customFormat="1">
      <c r="B2320" s="111"/>
      <c r="F2320" s="112"/>
      <c r="G2320" s="112"/>
      <c r="H2320" s="112"/>
      <c r="L2320" s="112"/>
      <c r="N2320" s="306"/>
      <c r="P2320" s="112"/>
      <c r="Q2320" s="112"/>
    </row>
    <row r="2321" spans="2:17" s="110" customFormat="1">
      <c r="B2321" s="111"/>
      <c r="F2321" s="112"/>
      <c r="G2321" s="112"/>
      <c r="H2321" s="112"/>
      <c r="L2321" s="112"/>
      <c r="N2321" s="306"/>
      <c r="P2321" s="112"/>
      <c r="Q2321" s="112"/>
    </row>
    <row r="2322" spans="2:17" s="110" customFormat="1">
      <c r="B2322" s="111"/>
      <c r="F2322" s="112"/>
      <c r="G2322" s="112"/>
      <c r="H2322" s="112"/>
      <c r="L2322" s="112"/>
      <c r="N2322" s="306"/>
      <c r="P2322" s="112"/>
      <c r="Q2322" s="112"/>
    </row>
    <row r="2323" spans="2:17" s="110" customFormat="1">
      <c r="B2323" s="111"/>
      <c r="F2323" s="112"/>
      <c r="G2323" s="112"/>
      <c r="H2323" s="112"/>
      <c r="L2323" s="112"/>
      <c r="N2323" s="306"/>
      <c r="P2323" s="112"/>
      <c r="Q2323" s="112"/>
    </row>
    <row r="2324" spans="2:17" s="110" customFormat="1">
      <c r="B2324" s="111"/>
      <c r="F2324" s="112"/>
      <c r="G2324" s="112"/>
      <c r="H2324" s="112"/>
      <c r="L2324" s="112"/>
      <c r="N2324" s="306"/>
      <c r="P2324" s="112"/>
      <c r="Q2324" s="112"/>
    </row>
    <row r="2325" spans="2:17" s="110" customFormat="1">
      <c r="B2325" s="111"/>
      <c r="F2325" s="112"/>
      <c r="G2325" s="112"/>
      <c r="H2325" s="112"/>
      <c r="L2325" s="112"/>
      <c r="N2325" s="306"/>
      <c r="P2325" s="112"/>
      <c r="Q2325" s="112"/>
    </row>
    <row r="2326" spans="2:17" s="110" customFormat="1">
      <c r="B2326" s="111"/>
      <c r="F2326" s="112"/>
      <c r="G2326" s="112"/>
      <c r="H2326" s="112"/>
      <c r="L2326" s="112"/>
      <c r="N2326" s="306"/>
      <c r="P2326" s="112"/>
      <c r="Q2326" s="112"/>
    </row>
    <row r="2327" spans="2:17" s="110" customFormat="1">
      <c r="B2327" s="111"/>
      <c r="F2327" s="112"/>
      <c r="G2327" s="112"/>
      <c r="H2327" s="112"/>
      <c r="L2327" s="112"/>
      <c r="N2327" s="306"/>
      <c r="P2327" s="112"/>
      <c r="Q2327" s="112"/>
    </row>
    <row r="2328" spans="2:17" s="110" customFormat="1">
      <c r="B2328" s="111"/>
      <c r="F2328" s="112"/>
      <c r="G2328" s="112"/>
      <c r="H2328" s="112"/>
      <c r="L2328" s="112"/>
      <c r="N2328" s="306"/>
      <c r="P2328" s="112"/>
      <c r="Q2328" s="112"/>
    </row>
    <row r="2329" spans="2:17" s="110" customFormat="1">
      <c r="B2329" s="111"/>
      <c r="F2329" s="112"/>
      <c r="G2329" s="112"/>
      <c r="H2329" s="112"/>
      <c r="L2329" s="112"/>
      <c r="N2329" s="306"/>
      <c r="P2329" s="112"/>
      <c r="Q2329" s="112"/>
    </row>
    <row r="2330" spans="2:17" s="110" customFormat="1">
      <c r="B2330" s="111"/>
      <c r="F2330" s="112"/>
      <c r="G2330" s="112"/>
      <c r="H2330" s="112"/>
      <c r="L2330" s="112"/>
      <c r="N2330" s="306"/>
      <c r="P2330" s="112"/>
      <c r="Q2330" s="112"/>
    </row>
    <row r="2331" spans="2:17" s="110" customFormat="1">
      <c r="B2331" s="111"/>
      <c r="F2331" s="112"/>
      <c r="G2331" s="112"/>
      <c r="H2331" s="112"/>
      <c r="L2331" s="112"/>
      <c r="N2331" s="306"/>
      <c r="P2331" s="112"/>
      <c r="Q2331" s="112"/>
    </row>
    <row r="2332" spans="2:17" s="110" customFormat="1">
      <c r="B2332" s="111"/>
      <c r="F2332" s="112"/>
      <c r="G2332" s="112"/>
      <c r="H2332" s="112"/>
      <c r="L2332" s="112"/>
      <c r="N2332" s="306"/>
      <c r="P2332" s="112"/>
      <c r="Q2332" s="112"/>
    </row>
    <row r="2333" spans="2:17" s="110" customFormat="1">
      <c r="B2333" s="111"/>
      <c r="F2333" s="112"/>
      <c r="G2333" s="112"/>
      <c r="H2333" s="112"/>
      <c r="L2333" s="112"/>
      <c r="N2333" s="306"/>
      <c r="P2333" s="112"/>
      <c r="Q2333" s="112"/>
    </row>
    <row r="2334" spans="2:17" s="110" customFormat="1">
      <c r="B2334" s="111"/>
      <c r="F2334" s="112"/>
      <c r="G2334" s="112"/>
      <c r="H2334" s="112"/>
      <c r="L2334" s="112"/>
      <c r="N2334" s="306"/>
      <c r="P2334" s="112"/>
      <c r="Q2334" s="112"/>
    </row>
    <row r="2335" spans="2:17" s="110" customFormat="1">
      <c r="B2335" s="111"/>
      <c r="F2335" s="112"/>
      <c r="G2335" s="112"/>
      <c r="H2335" s="112"/>
      <c r="L2335" s="112"/>
      <c r="N2335" s="306"/>
      <c r="P2335" s="112"/>
      <c r="Q2335" s="112"/>
    </row>
    <row r="2336" spans="2:17" s="110" customFormat="1">
      <c r="B2336" s="111"/>
      <c r="F2336" s="112"/>
      <c r="G2336" s="112"/>
      <c r="H2336" s="112"/>
      <c r="L2336" s="112"/>
      <c r="N2336" s="306"/>
      <c r="P2336" s="112"/>
      <c r="Q2336" s="112"/>
    </row>
    <row r="2337" spans="2:17" s="110" customFormat="1">
      <c r="B2337" s="111"/>
      <c r="F2337" s="112"/>
      <c r="G2337" s="112"/>
      <c r="H2337" s="112"/>
      <c r="L2337" s="112"/>
      <c r="N2337" s="306"/>
      <c r="P2337" s="112"/>
      <c r="Q2337" s="112"/>
    </row>
    <row r="2338" spans="2:17" s="110" customFormat="1">
      <c r="B2338" s="111"/>
      <c r="F2338" s="112"/>
      <c r="G2338" s="112"/>
      <c r="H2338" s="112"/>
      <c r="L2338" s="112"/>
      <c r="N2338" s="306"/>
      <c r="P2338" s="112"/>
      <c r="Q2338" s="112"/>
    </row>
    <row r="2339" spans="2:17" s="110" customFormat="1">
      <c r="B2339" s="111"/>
      <c r="F2339" s="112"/>
      <c r="G2339" s="112"/>
      <c r="H2339" s="112"/>
      <c r="L2339" s="112"/>
      <c r="N2339" s="306"/>
      <c r="P2339" s="112"/>
      <c r="Q2339" s="112"/>
    </row>
    <row r="2340" spans="2:17" s="110" customFormat="1">
      <c r="B2340" s="111"/>
      <c r="F2340" s="112"/>
      <c r="G2340" s="112"/>
      <c r="H2340" s="112"/>
      <c r="L2340" s="112"/>
      <c r="N2340" s="306"/>
      <c r="P2340" s="112"/>
      <c r="Q2340" s="112"/>
    </row>
    <row r="2341" spans="2:17" s="110" customFormat="1">
      <c r="B2341" s="111"/>
      <c r="F2341" s="112"/>
      <c r="G2341" s="112"/>
      <c r="H2341" s="112"/>
      <c r="L2341" s="112"/>
      <c r="N2341" s="306"/>
      <c r="P2341" s="112"/>
      <c r="Q2341" s="112"/>
    </row>
    <row r="2342" spans="2:17" s="110" customFormat="1">
      <c r="B2342" s="111"/>
      <c r="F2342" s="112"/>
      <c r="G2342" s="112"/>
      <c r="H2342" s="112"/>
      <c r="L2342" s="112"/>
      <c r="N2342" s="306"/>
      <c r="P2342" s="112"/>
      <c r="Q2342" s="112"/>
    </row>
    <row r="2343" spans="2:17" s="110" customFormat="1">
      <c r="B2343" s="111"/>
      <c r="F2343" s="112"/>
      <c r="G2343" s="112"/>
      <c r="H2343" s="112"/>
      <c r="L2343" s="112"/>
      <c r="N2343" s="306"/>
      <c r="P2343" s="112"/>
      <c r="Q2343" s="112"/>
    </row>
    <row r="2344" spans="2:17" s="110" customFormat="1">
      <c r="B2344" s="111"/>
      <c r="F2344" s="112"/>
      <c r="G2344" s="112"/>
      <c r="H2344" s="112"/>
      <c r="L2344" s="112"/>
      <c r="N2344" s="306"/>
      <c r="P2344" s="112"/>
      <c r="Q2344" s="112"/>
    </row>
    <row r="2345" spans="2:17" s="110" customFormat="1">
      <c r="B2345" s="111"/>
      <c r="F2345" s="112"/>
      <c r="G2345" s="112"/>
      <c r="H2345" s="112"/>
      <c r="L2345" s="112"/>
      <c r="N2345" s="306"/>
      <c r="P2345" s="112"/>
      <c r="Q2345" s="112"/>
    </row>
    <row r="2346" spans="2:17" s="110" customFormat="1">
      <c r="B2346" s="111"/>
      <c r="F2346" s="112"/>
      <c r="G2346" s="112"/>
      <c r="H2346" s="112"/>
      <c r="L2346" s="112"/>
      <c r="N2346" s="306"/>
      <c r="P2346" s="112"/>
      <c r="Q2346" s="112"/>
    </row>
    <row r="2347" spans="2:17" s="110" customFormat="1">
      <c r="B2347" s="111"/>
      <c r="F2347" s="112"/>
      <c r="G2347" s="112"/>
      <c r="H2347" s="112"/>
      <c r="L2347" s="112"/>
      <c r="N2347" s="306"/>
      <c r="P2347" s="112"/>
      <c r="Q2347" s="112"/>
    </row>
    <row r="2348" spans="2:17" s="110" customFormat="1">
      <c r="B2348" s="111"/>
      <c r="F2348" s="112"/>
      <c r="G2348" s="112"/>
      <c r="H2348" s="112"/>
      <c r="L2348" s="112"/>
      <c r="N2348" s="306"/>
      <c r="P2348" s="112"/>
      <c r="Q2348" s="112"/>
    </row>
    <row r="2349" spans="2:17" s="110" customFormat="1">
      <c r="B2349" s="111"/>
      <c r="F2349" s="112"/>
      <c r="G2349" s="112"/>
      <c r="H2349" s="112"/>
      <c r="L2349" s="112"/>
      <c r="N2349" s="306"/>
      <c r="P2349" s="112"/>
      <c r="Q2349" s="112"/>
    </row>
    <row r="2350" spans="2:17" s="110" customFormat="1">
      <c r="B2350" s="111"/>
      <c r="F2350" s="112"/>
      <c r="G2350" s="112"/>
      <c r="H2350" s="112"/>
      <c r="L2350" s="112"/>
      <c r="N2350" s="306"/>
      <c r="P2350" s="112"/>
      <c r="Q2350" s="112"/>
    </row>
    <row r="2351" spans="2:17" s="110" customFormat="1">
      <c r="B2351" s="111"/>
      <c r="F2351" s="112"/>
      <c r="G2351" s="112"/>
      <c r="H2351" s="112"/>
      <c r="L2351" s="112"/>
      <c r="N2351" s="306"/>
      <c r="P2351" s="112"/>
      <c r="Q2351" s="112"/>
    </row>
    <row r="2352" spans="2:17" s="110" customFormat="1">
      <c r="B2352" s="111"/>
      <c r="F2352" s="112"/>
      <c r="G2352" s="112"/>
      <c r="H2352" s="112"/>
      <c r="L2352" s="112"/>
      <c r="N2352" s="306"/>
      <c r="P2352" s="112"/>
      <c r="Q2352" s="112"/>
    </row>
    <row r="2353" spans="2:17" s="110" customFormat="1">
      <c r="B2353" s="111"/>
      <c r="F2353" s="112"/>
      <c r="G2353" s="112"/>
      <c r="H2353" s="112"/>
      <c r="L2353" s="112"/>
      <c r="N2353" s="306"/>
      <c r="P2353" s="112"/>
      <c r="Q2353" s="112"/>
    </row>
    <row r="2354" spans="2:17" s="110" customFormat="1">
      <c r="B2354" s="111"/>
      <c r="F2354" s="112"/>
      <c r="G2354" s="112"/>
      <c r="H2354" s="112"/>
      <c r="L2354" s="112"/>
      <c r="N2354" s="306"/>
      <c r="P2354" s="112"/>
      <c r="Q2354" s="112"/>
    </row>
    <row r="2355" spans="2:17" s="110" customFormat="1">
      <c r="B2355" s="111"/>
      <c r="F2355" s="112"/>
      <c r="G2355" s="112"/>
      <c r="H2355" s="112"/>
      <c r="L2355" s="112"/>
      <c r="N2355" s="306"/>
      <c r="P2355" s="112"/>
      <c r="Q2355" s="112"/>
    </row>
    <row r="2356" spans="2:17" s="110" customFormat="1">
      <c r="B2356" s="111"/>
      <c r="F2356" s="112"/>
      <c r="G2356" s="112"/>
      <c r="H2356" s="112"/>
      <c r="L2356" s="112"/>
      <c r="N2356" s="306"/>
      <c r="P2356" s="112"/>
      <c r="Q2356" s="112"/>
    </row>
    <row r="2357" spans="2:17" s="110" customFormat="1">
      <c r="B2357" s="111"/>
      <c r="F2357" s="112"/>
      <c r="G2357" s="112"/>
      <c r="H2357" s="112"/>
      <c r="L2357" s="112"/>
      <c r="N2357" s="306"/>
      <c r="P2357" s="112"/>
      <c r="Q2357" s="112"/>
    </row>
    <row r="2358" spans="2:17" s="110" customFormat="1">
      <c r="B2358" s="111"/>
      <c r="F2358" s="112"/>
      <c r="G2358" s="112"/>
      <c r="H2358" s="112"/>
      <c r="L2358" s="112"/>
      <c r="N2358" s="306"/>
      <c r="P2358" s="112"/>
      <c r="Q2358" s="112"/>
    </row>
    <row r="2359" spans="2:17" s="110" customFormat="1">
      <c r="B2359" s="111"/>
      <c r="F2359" s="112"/>
      <c r="G2359" s="112"/>
      <c r="H2359" s="112"/>
      <c r="L2359" s="112"/>
      <c r="N2359" s="306"/>
      <c r="P2359" s="112"/>
      <c r="Q2359" s="112"/>
    </row>
    <row r="2360" spans="2:17" s="110" customFormat="1">
      <c r="B2360" s="111"/>
      <c r="F2360" s="112"/>
      <c r="G2360" s="112"/>
      <c r="H2360" s="112"/>
      <c r="L2360" s="112"/>
      <c r="N2360" s="306"/>
      <c r="P2360" s="112"/>
      <c r="Q2360" s="112"/>
    </row>
    <row r="2361" spans="2:17" s="110" customFormat="1">
      <c r="B2361" s="111"/>
      <c r="F2361" s="112"/>
      <c r="G2361" s="112"/>
      <c r="H2361" s="112"/>
      <c r="L2361" s="112"/>
      <c r="N2361" s="306"/>
      <c r="P2361" s="112"/>
      <c r="Q2361" s="112"/>
    </row>
    <row r="2362" spans="2:17" s="110" customFormat="1">
      <c r="B2362" s="111"/>
      <c r="F2362" s="112"/>
      <c r="G2362" s="112"/>
      <c r="H2362" s="112"/>
      <c r="L2362" s="112"/>
      <c r="N2362" s="306"/>
      <c r="P2362" s="112"/>
      <c r="Q2362" s="112"/>
    </row>
    <row r="2363" spans="2:17" s="110" customFormat="1">
      <c r="B2363" s="111"/>
      <c r="F2363" s="112"/>
      <c r="G2363" s="112"/>
      <c r="H2363" s="112"/>
      <c r="L2363" s="112"/>
      <c r="N2363" s="306"/>
      <c r="P2363" s="112"/>
      <c r="Q2363" s="112"/>
    </row>
    <row r="2364" spans="2:17" s="110" customFormat="1">
      <c r="B2364" s="111"/>
      <c r="F2364" s="112"/>
      <c r="G2364" s="112"/>
      <c r="H2364" s="112"/>
      <c r="L2364" s="112"/>
      <c r="N2364" s="306"/>
      <c r="P2364" s="112"/>
      <c r="Q2364" s="112"/>
    </row>
    <row r="2365" spans="2:17" s="110" customFormat="1">
      <c r="B2365" s="111"/>
      <c r="F2365" s="112"/>
      <c r="G2365" s="112"/>
      <c r="H2365" s="112"/>
      <c r="L2365" s="112"/>
      <c r="N2365" s="306"/>
      <c r="P2365" s="112"/>
      <c r="Q2365" s="112"/>
    </row>
    <row r="2366" spans="2:17" s="110" customFormat="1">
      <c r="B2366" s="111"/>
      <c r="F2366" s="112"/>
      <c r="G2366" s="112"/>
      <c r="H2366" s="112"/>
      <c r="L2366" s="112"/>
      <c r="N2366" s="306"/>
      <c r="P2366" s="112"/>
      <c r="Q2366" s="112"/>
    </row>
    <row r="2367" spans="2:17" s="110" customFormat="1">
      <c r="B2367" s="111"/>
      <c r="F2367" s="112"/>
      <c r="G2367" s="112"/>
      <c r="H2367" s="112"/>
      <c r="L2367" s="112"/>
      <c r="N2367" s="306"/>
      <c r="P2367" s="112"/>
      <c r="Q2367" s="112"/>
    </row>
    <row r="2368" spans="2:17" s="110" customFormat="1">
      <c r="B2368" s="111"/>
      <c r="F2368" s="112"/>
      <c r="G2368" s="112"/>
      <c r="H2368" s="112"/>
      <c r="L2368" s="112"/>
      <c r="N2368" s="306"/>
      <c r="P2368" s="112"/>
      <c r="Q2368" s="112"/>
    </row>
    <row r="2369" spans="2:17" s="110" customFormat="1">
      <c r="B2369" s="111"/>
      <c r="F2369" s="112"/>
      <c r="G2369" s="112"/>
      <c r="H2369" s="112"/>
      <c r="L2369" s="112"/>
      <c r="N2369" s="306"/>
      <c r="P2369" s="112"/>
      <c r="Q2369" s="112"/>
    </row>
    <row r="2370" spans="2:17" s="110" customFormat="1">
      <c r="B2370" s="111"/>
      <c r="F2370" s="112"/>
      <c r="G2370" s="112"/>
      <c r="H2370" s="112"/>
      <c r="L2370" s="112"/>
      <c r="N2370" s="306"/>
      <c r="P2370" s="112"/>
      <c r="Q2370" s="112"/>
    </row>
    <row r="2371" spans="2:17" s="110" customFormat="1">
      <c r="B2371" s="111"/>
      <c r="F2371" s="112"/>
      <c r="G2371" s="112"/>
      <c r="H2371" s="112"/>
      <c r="L2371" s="112"/>
      <c r="N2371" s="306"/>
      <c r="P2371" s="112"/>
      <c r="Q2371" s="112"/>
    </row>
    <row r="2372" spans="2:17" s="110" customFormat="1">
      <c r="B2372" s="111"/>
      <c r="F2372" s="112"/>
      <c r="G2372" s="112"/>
      <c r="H2372" s="112"/>
      <c r="L2372" s="112"/>
      <c r="N2372" s="306"/>
      <c r="P2372" s="112"/>
      <c r="Q2372" s="112"/>
    </row>
    <row r="2373" spans="2:17" s="110" customFormat="1">
      <c r="B2373" s="111"/>
      <c r="F2373" s="112"/>
      <c r="G2373" s="112"/>
      <c r="H2373" s="112"/>
      <c r="L2373" s="112"/>
      <c r="N2373" s="306"/>
      <c r="P2373" s="112"/>
      <c r="Q2373" s="112"/>
    </row>
    <row r="2374" spans="2:17" s="110" customFormat="1">
      <c r="B2374" s="111"/>
      <c r="F2374" s="112"/>
      <c r="G2374" s="112"/>
      <c r="H2374" s="112"/>
      <c r="L2374" s="112"/>
      <c r="N2374" s="306"/>
      <c r="P2374" s="112"/>
      <c r="Q2374" s="112"/>
    </row>
    <row r="2375" spans="2:17" s="110" customFormat="1">
      <c r="B2375" s="111"/>
      <c r="F2375" s="112"/>
      <c r="G2375" s="112"/>
      <c r="H2375" s="112"/>
      <c r="L2375" s="112"/>
      <c r="N2375" s="306"/>
      <c r="P2375" s="112"/>
      <c r="Q2375" s="112"/>
    </row>
    <row r="2376" spans="2:17" s="110" customFormat="1">
      <c r="B2376" s="111"/>
      <c r="F2376" s="112"/>
      <c r="G2376" s="112"/>
      <c r="H2376" s="112"/>
      <c r="L2376" s="112"/>
      <c r="N2376" s="306"/>
      <c r="P2376" s="112"/>
      <c r="Q2376" s="112"/>
    </row>
    <row r="2377" spans="2:17" s="110" customFormat="1">
      <c r="B2377" s="111"/>
      <c r="F2377" s="112"/>
      <c r="G2377" s="112"/>
      <c r="H2377" s="112"/>
      <c r="L2377" s="112"/>
      <c r="N2377" s="306"/>
      <c r="P2377" s="112"/>
      <c r="Q2377" s="112"/>
    </row>
    <row r="2378" spans="2:17" s="110" customFormat="1">
      <c r="B2378" s="111"/>
      <c r="F2378" s="112"/>
      <c r="G2378" s="112"/>
      <c r="H2378" s="112"/>
      <c r="L2378" s="112"/>
      <c r="N2378" s="306"/>
      <c r="P2378" s="112"/>
      <c r="Q2378" s="112"/>
    </row>
    <row r="2379" spans="2:17" s="110" customFormat="1">
      <c r="B2379" s="111"/>
      <c r="F2379" s="112"/>
      <c r="G2379" s="112"/>
      <c r="H2379" s="112"/>
      <c r="L2379" s="112"/>
      <c r="N2379" s="306"/>
      <c r="P2379" s="112"/>
      <c r="Q2379" s="112"/>
    </row>
    <row r="2380" spans="2:17" s="110" customFormat="1">
      <c r="B2380" s="111"/>
      <c r="F2380" s="112"/>
      <c r="G2380" s="112"/>
      <c r="H2380" s="112"/>
      <c r="L2380" s="112"/>
      <c r="N2380" s="306"/>
      <c r="P2380" s="112"/>
      <c r="Q2380" s="112"/>
    </row>
    <row r="2381" spans="2:17" s="110" customFormat="1">
      <c r="B2381" s="111"/>
      <c r="F2381" s="112"/>
      <c r="G2381" s="112"/>
      <c r="H2381" s="112"/>
      <c r="L2381" s="112"/>
      <c r="N2381" s="306"/>
      <c r="P2381" s="112"/>
      <c r="Q2381" s="112"/>
    </row>
    <row r="2382" spans="2:17" s="110" customFormat="1">
      <c r="B2382" s="111"/>
      <c r="F2382" s="112"/>
      <c r="G2382" s="112"/>
      <c r="H2382" s="112"/>
      <c r="L2382" s="112"/>
      <c r="N2382" s="306"/>
      <c r="P2382" s="112"/>
      <c r="Q2382" s="112"/>
    </row>
    <row r="2383" spans="2:17" s="110" customFormat="1">
      <c r="B2383" s="111"/>
      <c r="F2383" s="112"/>
      <c r="G2383" s="112"/>
      <c r="H2383" s="112"/>
      <c r="L2383" s="112"/>
      <c r="N2383" s="306"/>
      <c r="P2383" s="112"/>
      <c r="Q2383" s="112"/>
    </row>
    <row r="2384" spans="2:17" s="110" customFormat="1">
      <c r="B2384" s="111"/>
      <c r="F2384" s="112"/>
      <c r="G2384" s="112"/>
      <c r="H2384" s="112"/>
      <c r="L2384" s="112"/>
      <c r="N2384" s="306"/>
      <c r="P2384" s="112"/>
      <c r="Q2384" s="112"/>
    </row>
    <row r="2385" spans="2:17" s="110" customFormat="1">
      <c r="B2385" s="111"/>
      <c r="F2385" s="112"/>
      <c r="G2385" s="112"/>
      <c r="H2385" s="112"/>
      <c r="L2385" s="112"/>
      <c r="N2385" s="306"/>
      <c r="P2385" s="112"/>
      <c r="Q2385" s="112"/>
    </row>
    <row r="2386" spans="2:17" s="110" customFormat="1">
      <c r="B2386" s="111"/>
      <c r="F2386" s="112"/>
      <c r="G2386" s="112"/>
      <c r="H2386" s="112"/>
      <c r="L2386" s="112"/>
      <c r="N2386" s="306"/>
      <c r="P2386" s="112"/>
      <c r="Q2386" s="112"/>
    </row>
    <row r="2387" spans="2:17" s="110" customFormat="1">
      <c r="B2387" s="111"/>
      <c r="F2387" s="112"/>
      <c r="G2387" s="112"/>
      <c r="H2387" s="112"/>
      <c r="L2387" s="112"/>
      <c r="N2387" s="306"/>
      <c r="P2387" s="112"/>
      <c r="Q2387" s="112"/>
    </row>
    <row r="2388" spans="2:17" s="110" customFormat="1">
      <c r="B2388" s="111"/>
      <c r="F2388" s="112"/>
      <c r="G2388" s="112"/>
      <c r="H2388" s="112"/>
      <c r="L2388" s="112"/>
      <c r="N2388" s="306"/>
      <c r="P2388" s="112"/>
      <c r="Q2388" s="112"/>
    </row>
    <row r="2389" spans="2:17" s="110" customFormat="1">
      <c r="B2389" s="111"/>
      <c r="F2389" s="112"/>
      <c r="G2389" s="112"/>
      <c r="H2389" s="112"/>
      <c r="L2389" s="112"/>
      <c r="N2389" s="306"/>
      <c r="P2389" s="112"/>
      <c r="Q2389" s="112"/>
    </row>
    <row r="2390" spans="2:17" s="110" customFormat="1">
      <c r="B2390" s="111"/>
      <c r="F2390" s="112"/>
      <c r="G2390" s="112"/>
      <c r="H2390" s="112"/>
      <c r="L2390" s="112"/>
      <c r="N2390" s="306"/>
      <c r="P2390" s="112"/>
      <c r="Q2390" s="112"/>
    </row>
    <row r="2391" spans="2:17" s="110" customFormat="1">
      <c r="B2391" s="111"/>
      <c r="F2391" s="112"/>
      <c r="G2391" s="112"/>
      <c r="H2391" s="112"/>
      <c r="L2391" s="112"/>
      <c r="N2391" s="306"/>
      <c r="P2391" s="112"/>
      <c r="Q2391" s="112"/>
    </row>
    <row r="2392" spans="2:17" s="110" customFormat="1">
      <c r="B2392" s="111"/>
      <c r="F2392" s="112"/>
      <c r="G2392" s="112"/>
      <c r="H2392" s="112"/>
      <c r="L2392" s="112"/>
      <c r="N2392" s="306"/>
      <c r="P2392" s="112"/>
      <c r="Q2392" s="112"/>
    </row>
    <row r="2393" spans="2:17" s="110" customFormat="1">
      <c r="B2393" s="111"/>
      <c r="F2393" s="112"/>
      <c r="G2393" s="112"/>
      <c r="H2393" s="112"/>
      <c r="L2393" s="112"/>
      <c r="N2393" s="306"/>
      <c r="P2393" s="112"/>
      <c r="Q2393" s="112"/>
    </row>
    <row r="2394" spans="2:17" s="110" customFormat="1">
      <c r="B2394" s="111"/>
      <c r="F2394" s="112"/>
      <c r="G2394" s="112"/>
      <c r="H2394" s="112"/>
      <c r="L2394" s="112"/>
      <c r="N2394" s="306"/>
      <c r="P2394" s="112"/>
      <c r="Q2394" s="112"/>
    </row>
    <row r="2395" spans="2:17" s="110" customFormat="1">
      <c r="B2395" s="111"/>
      <c r="F2395" s="112"/>
      <c r="G2395" s="112"/>
      <c r="H2395" s="112"/>
      <c r="L2395" s="112"/>
      <c r="N2395" s="306"/>
      <c r="P2395" s="112"/>
      <c r="Q2395" s="112"/>
    </row>
    <row r="2396" spans="2:17" s="110" customFormat="1">
      <c r="B2396" s="111"/>
      <c r="F2396" s="112"/>
      <c r="G2396" s="112"/>
      <c r="H2396" s="112"/>
      <c r="L2396" s="112"/>
      <c r="N2396" s="306"/>
      <c r="P2396" s="112"/>
      <c r="Q2396" s="112"/>
    </row>
    <row r="2397" spans="2:17" s="110" customFormat="1">
      <c r="B2397" s="111"/>
      <c r="F2397" s="112"/>
      <c r="G2397" s="112"/>
      <c r="H2397" s="112"/>
      <c r="L2397" s="112"/>
      <c r="N2397" s="306"/>
      <c r="P2397" s="112"/>
      <c r="Q2397" s="112"/>
    </row>
    <row r="2398" spans="2:17" s="110" customFormat="1">
      <c r="B2398" s="111"/>
      <c r="F2398" s="112"/>
      <c r="G2398" s="112"/>
      <c r="H2398" s="112"/>
      <c r="L2398" s="112"/>
      <c r="N2398" s="306"/>
      <c r="P2398" s="112"/>
      <c r="Q2398" s="112"/>
    </row>
    <row r="2399" spans="2:17" s="110" customFormat="1">
      <c r="B2399" s="111"/>
      <c r="F2399" s="112"/>
      <c r="G2399" s="112"/>
      <c r="H2399" s="112"/>
      <c r="L2399" s="112"/>
      <c r="N2399" s="306"/>
      <c r="P2399" s="112"/>
      <c r="Q2399" s="112"/>
    </row>
    <row r="2400" spans="2:17" s="110" customFormat="1">
      <c r="B2400" s="111"/>
      <c r="F2400" s="112"/>
      <c r="G2400" s="112"/>
      <c r="H2400" s="112"/>
      <c r="L2400" s="112"/>
      <c r="N2400" s="306"/>
      <c r="P2400" s="112"/>
      <c r="Q2400" s="112"/>
    </row>
    <row r="2401" spans="2:17" s="110" customFormat="1">
      <c r="B2401" s="111"/>
      <c r="F2401" s="112"/>
      <c r="G2401" s="112"/>
      <c r="H2401" s="112"/>
      <c r="L2401" s="112"/>
      <c r="N2401" s="306"/>
      <c r="P2401" s="112"/>
      <c r="Q2401" s="112"/>
    </row>
    <row r="2402" spans="2:17" s="110" customFormat="1">
      <c r="B2402" s="111"/>
      <c r="F2402" s="112"/>
      <c r="G2402" s="112"/>
      <c r="H2402" s="112"/>
      <c r="L2402" s="112"/>
      <c r="N2402" s="306"/>
      <c r="P2402" s="112"/>
      <c r="Q2402" s="112"/>
    </row>
    <row r="2403" spans="2:17" s="110" customFormat="1">
      <c r="B2403" s="111"/>
      <c r="F2403" s="112"/>
      <c r="G2403" s="112"/>
      <c r="H2403" s="112"/>
      <c r="L2403" s="112"/>
      <c r="N2403" s="306"/>
      <c r="P2403" s="112"/>
      <c r="Q2403" s="112"/>
    </row>
    <row r="2404" spans="2:17" s="110" customFormat="1">
      <c r="B2404" s="111"/>
      <c r="F2404" s="112"/>
      <c r="G2404" s="112"/>
      <c r="H2404" s="112"/>
      <c r="L2404" s="112"/>
      <c r="N2404" s="306"/>
      <c r="P2404" s="112"/>
      <c r="Q2404" s="112"/>
    </row>
    <row r="2405" spans="2:17" s="110" customFormat="1">
      <c r="B2405" s="111"/>
      <c r="F2405" s="112"/>
      <c r="G2405" s="112"/>
      <c r="H2405" s="112"/>
      <c r="L2405" s="112"/>
      <c r="N2405" s="306"/>
      <c r="P2405" s="112"/>
      <c r="Q2405" s="112"/>
    </row>
    <row r="2406" spans="2:17" s="110" customFormat="1">
      <c r="B2406" s="111"/>
      <c r="F2406" s="112"/>
      <c r="G2406" s="112"/>
      <c r="H2406" s="112"/>
      <c r="L2406" s="112"/>
      <c r="N2406" s="306"/>
      <c r="P2406" s="112"/>
      <c r="Q2406" s="112"/>
    </row>
    <row r="2407" spans="2:17" s="110" customFormat="1">
      <c r="B2407" s="111"/>
      <c r="F2407" s="112"/>
      <c r="G2407" s="112"/>
      <c r="H2407" s="112"/>
      <c r="L2407" s="112"/>
      <c r="N2407" s="306"/>
      <c r="P2407" s="112"/>
      <c r="Q2407" s="112"/>
    </row>
    <row r="2408" spans="2:17" s="110" customFormat="1">
      <c r="B2408" s="111"/>
      <c r="F2408" s="112"/>
      <c r="G2408" s="112"/>
      <c r="H2408" s="112"/>
      <c r="L2408" s="112"/>
      <c r="N2408" s="306"/>
      <c r="P2408" s="112"/>
      <c r="Q2408" s="112"/>
    </row>
    <row r="2409" spans="2:17" s="110" customFormat="1">
      <c r="B2409" s="111"/>
      <c r="F2409" s="112"/>
      <c r="G2409" s="112"/>
      <c r="H2409" s="112"/>
      <c r="L2409" s="112"/>
      <c r="N2409" s="306"/>
      <c r="P2409" s="112"/>
      <c r="Q2409" s="112"/>
    </row>
    <row r="2410" spans="2:17" s="110" customFormat="1">
      <c r="B2410" s="111"/>
      <c r="F2410" s="112"/>
      <c r="G2410" s="112"/>
      <c r="H2410" s="112"/>
      <c r="L2410" s="112"/>
      <c r="N2410" s="306"/>
      <c r="P2410" s="112"/>
      <c r="Q2410" s="112"/>
    </row>
    <row r="2411" spans="2:17" s="110" customFormat="1">
      <c r="B2411" s="111"/>
      <c r="F2411" s="112"/>
      <c r="G2411" s="112"/>
      <c r="H2411" s="112"/>
      <c r="L2411" s="112"/>
      <c r="N2411" s="306"/>
      <c r="P2411" s="112"/>
      <c r="Q2411" s="112"/>
    </row>
    <row r="2412" spans="2:17" s="110" customFormat="1">
      <c r="B2412" s="111"/>
      <c r="F2412" s="112"/>
      <c r="G2412" s="112"/>
      <c r="H2412" s="112"/>
      <c r="L2412" s="112"/>
      <c r="N2412" s="306"/>
      <c r="P2412" s="112"/>
      <c r="Q2412" s="112"/>
    </row>
    <row r="2413" spans="2:17" s="110" customFormat="1">
      <c r="B2413" s="111"/>
      <c r="F2413" s="112"/>
      <c r="G2413" s="112"/>
      <c r="H2413" s="112"/>
      <c r="L2413" s="112"/>
      <c r="N2413" s="306"/>
      <c r="P2413" s="112"/>
      <c r="Q2413" s="112"/>
    </row>
    <row r="2414" spans="2:17" s="110" customFormat="1">
      <c r="B2414" s="111"/>
      <c r="F2414" s="112"/>
      <c r="G2414" s="112"/>
      <c r="H2414" s="112"/>
      <c r="L2414" s="112"/>
      <c r="N2414" s="306"/>
      <c r="P2414" s="112"/>
      <c r="Q2414" s="112"/>
    </row>
    <row r="2415" spans="2:17" s="110" customFormat="1">
      <c r="B2415" s="111"/>
      <c r="F2415" s="112"/>
      <c r="G2415" s="112"/>
      <c r="H2415" s="112"/>
      <c r="L2415" s="112"/>
      <c r="N2415" s="306"/>
      <c r="P2415" s="112"/>
      <c r="Q2415" s="112"/>
    </row>
    <row r="2416" spans="2:17" s="110" customFormat="1">
      <c r="B2416" s="111"/>
      <c r="F2416" s="112"/>
      <c r="G2416" s="112"/>
      <c r="H2416" s="112"/>
      <c r="L2416" s="112"/>
      <c r="N2416" s="306"/>
      <c r="P2416" s="112"/>
      <c r="Q2416" s="112"/>
    </row>
    <row r="2417" spans="2:17" s="110" customFormat="1">
      <c r="B2417" s="111"/>
      <c r="F2417" s="112"/>
      <c r="G2417" s="112"/>
      <c r="H2417" s="112"/>
      <c r="L2417" s="112"/>
      <c r="N2417" s="306"/>
      <c r="P2417" s="112"/>
      <c r="Q2417" s="112"/>
    </row>
    <row r="2418" spans="2:17" s="110" customFormat="1">
      <c r="B2418" s="111"/>
      <c r="F2418" s="112"/>
      <c r="G2418" s="112"/>
      <c r="H2418" s="112"/>
      <c r="L2418" s="112"/>
      <c r="N2418" s="306"/>
      <c r="P2418" s="112"/>
      <c r="Q2418" s="112"/>
    </row>
    <row r="2419" spans="2:17" s="110" customFormat="1">
      <c r="B2419" s="111"/>
      <c r="F2419" s="112"/>
      <c r="G2419" s="112"/>
      <c r="H2419" s="112"/>
      <c r="L2419" s="112"/>
      <c r="N2419" s="306"/>
      <c r="P2419" s="112"/>
      <c r="Q2419" s="112"/>
    </row>
    <row r="2420" spans="2:17" s="110" customFormat="1">
      <c r="B2420" s="111"/>
      <c r="F2420" s="112"/>
      <c r="G2420" s="112"/>
      <c r="H2420" s="112"/>
      <c r="L2420" s="112"/>
      <c r="N2420" s="306"/>
      <c r="P2420" s="112"/>
      <c r="Q2420" s="112"/>
    </row>
    <row r="2421" spans="2:17" s="110" customFormat="1">
      <c r="B2421" s="111"/>
      <c r="F2421" s="112"/>
      <c r="G2421" s="112"/>
      <c r="H2421" s="112"/>
      <c r="L2421" s="112"/>
      <c r="N2421" s="306"/>
      <c r="P2421" s="112"/>
      <c r="Q2421" s="112"/>
    </row>
    <row r="2422" spans="2:17" s="110" customFormat="1">
      <c r="B2422" s="111"/>
      <c r="F2422" s="112"/>
      <c r="G2422" s="112"/>
      <c r="H2422" s="112"/>
      <c r="L2422" s="112"/>
      <c r="N2422" s="306"/>
      <c r="P2422" s="112"/>
      <c r="Q2422" s="112"/>
    </row>
    <row r="2423" spans="2:17" s="110" customFormat="1">
      <c r="B2423" s="111"/>
      <c r="F2423" s="112"/>
      <c r="G2423" s="112"/>
      <c r="H2423" s="112"/>
      <c r="L2423" s="112"/>
      <c r="N2423" s="306"/>
      <c r="P2423" s="112"/>
      <c r="Q2423" s="112"/>
    </row>
    <row r="2424" spans="2:17" s="110" customFormat="1">
      <c r="B2424" s="111"/>
      <c r="F2424" s="112"/>
      <c r="G2424" s="112"/>
      <c r="H2424" s="112"/>
      <c r="L2424" s="112"/>
      <c r="N2424" s="306"/>
      <c r="P2424" s="112"/>
      <c r="Q2424" s="112"/>
    </row>
    <row r="2425" spans="2:17" s="110" customFormat="1">
      <c r="B2425" s="111"/>
      <c r="F2425" s="112"/>
      <c r="G2425" s="112"/>
      <c r="H2425" s="112"/>
      <c r="L2425" s="112"/>
      <c r="N2425" s="306"/>
      <c r="P2425" s="112"/>
      <c r="Q2425" s="112"/>
    </row>
    <row r="2426" spans="2:17" s="110" customFormat="1">
      <c r="B2426" s="111"/>
      <c r="F2426" s="112"/>
      <c r="G2426" s="112"/>
      <c r="H2426" s="112"/>
      <c r="L2426" s="112"/>
      <c r="N2426" s="306"/>
      <c r="P2426" s="112"/>
      <c r="Q2426" s="112"/>
    </row>
    <row r="2427" spans="2:17" s="110" customFormat="1">
      <c r="B2427" s="111"/>
      <c r="F2427" s="112"/>
      <c r="G2427" s="112"/>
      <c r="H2427" s="112"/>
      <c r="L2427" s="112"/>
      <c r="N2427" s="306"/>
      <c r="P2427" s="112"/>
      <c r="Q2427" s="112"/>
    </row>
    <row r="2428" spans="2:17" s="110" customFormat="1">
      <c r="B2428" s="111"/>
      <c r="F2428" s="112"/>
      <c r="G2428" s="112"/>
      <c r="H2428" s="112"/>
      <c r="L2428" s="112"/>
      <c r="N2428" s="306"/>
      <c r="P2428" s="112"/>
      <c r="Q2428" s="112"/>
    </row>
    <row r="2429" spans="2:17" s="110" customFormat="1">
      <c r="B2429" s="111"/>
      <c r="F2429" s="112"/>
      <c r="G2429" s="112"/>
      <c r="H2429" s="112"/>
      <c r="L2429" s="112"/>
      <c r="N2429" s="306"/>
      <c r="P2429" s="112"/>
      <c r="Q2429" s="112"/>
    </row>
    <row r="2430" spans="2:17" s="110" customFormat="1">
      <c r="B2430" s="111"/>
      <c r="F2430" s="112"/>
      <c r="G2430" s="112"/>
      <c r="H2430" s="112"/>
      <c r="L2430" s="112"/>
      <c r="N2430" s="306"/>
      <c r="P2430" s="112"/>
      <c r="Q2430" s="112"/>
    </row>
    <row r="2431" spans="2:17" s="110" customFormat="1">
      <c r="B2431" s="111"/>
      <c r="F2431" s="112"/>
      <c r="G2431" s="112"/>
      <c r="H2431" s="112"/>
      <c r="L2431" s="112"/>
      <c r="N2431" s="306"/>
      <c r="P2431" s="112"/>
      <c r="Q2431" s="112"/>
    </row>
    <row r="2432" spans="2:17" s="110" customFormat="1">
      <c r="B2432" s="111"/>
      <c r="F2432" s="112"/>
      <c r="G2432" s="112"/>
      <c r="H2432" s="112"/>
      <c r="L2432" s="112"/>
      <c r="N2432" s="306"/>
      <c r="P2432" s="112"/>
      <c r="Q2432" s="112"/>
    </row>
    <row r="2433" spans="2:17" s="110" customFormat="1">
      <c r="B2433" s="111"/>
      <c r="F2433" s="112"/>
      <c r="G2433" s="112"/>
      <c r="H2433" s="112"/>
      <c r="L2433" s="112"/>
      <c r="N2433" s="306"/>
      <c r="P2433" s="112"/>
      <c r="Q2433" s="112"/>
    </row>
    <row r="2434" spans="2:17" s="110" customFormat="1">
      <c r="B2434" s="111"/>
      <c r="F2434" s="112"/>
      <c r="G2434" s="112"/>
      <c r="H2434" s="112"/>
      <c r="L2434" s="112"/>
      <c r="N2434" s="306"/>
      <c r="P2434" s="112"/>
      <c r="Q2434" s="112"/>
    </row>
    <row r="2435" spans="2:17" s="110" customFormat="1">
      <c r="B2435" s="111"/>
      <c r="F2435" s="112"/>
      <c r="G2435" s="112"/>
      <c r="H2435" s="112"/>
      <c r="L2435" s="112"/>
      <c r="N2435" s="306"/>
      <c r="P2435" s="112"/>
      <c r="Q2435" s="112"/>
    </row>
    <row r="2436" spans="2:17" s="110" customFormat="1">
      <c r="B2436" s="111"/>
      <c r="F2436" s="112"/>
      <c r="G2436" s="112"/>
      <c r="H2436" s="112"/>
      <c r="L2436" s="112"/>
      <c r="N2436" s="306"/>
      <c r="P2436" s="112"/>
      <c r="Q2436" s="112"/>
    </row>
    <row r="2437" spans="2:17" s="110" customFormat="1">
      <c r="B2437" s="111"/>
      <c r="F2437" s="112"/>
      <c r="G2437" s="112"/>
      <c r="H2437" s="112"/>
      <c r="L2437" s="112"/>
      <c r="N2437" s="306"/>
      <c r="P2437" s="112"/>
      <c r="Q2437" s="112"/>
    </row>
    <row r="2438" spans="2:17" s="110" customFormat="1">
      <c r="B2438" s="111"/>
      <c r="F2438" s="112"/>
      <c r="G2438" s="112"/>
      <c r="H2438" s="112"/>
      <c r="L2438" s="112"/>
      <c r="N2438" s="306"/>
      <c r="P2438" s="112"/>
      <c r="Q2438" s="112"/>
    </row>
    <row r="2439" spans="2:17" s="110" customFormat="1">
      <c r="B2439" s="111"/>
      <c r="F2439" s="112"/>
      <c r="G2439" s="112"/>
      <c r="H2439" s="112"/>
      <c r="L2439" s="112"/>
      <c r="N2439" s="306"/>
      <c r="P2439" s="112"/>
      <c r="Q2439" s="112"/>
    </row>
    <row r="2440" spans="2:17" s="110" customFormat="1">
      <c r="B2440" s="111"/>
      <c r="F2440" s="112"/>
      <c r="G2440" s="112"/>
      <c r="H2440" s="112"/>
      <c r="L2440" s="112"/>
      <c r="N2440" s="306"/>
      <c r="P2440" s="112"/>
      <c r="Q2440" s="112"/>
    </row>
    <row r="2441" spans="2:17" s="110" customFormat="1">
      <c r="B2441" s="111"/>
      <c r="F2441" s="112"/>
      <c r="G2441" s="112"/>
      <c r="H2441" s="112"/>
      <c r="L2441" s="112"/>
      <c r="N2441" s="306"/>
      <c r="P2441" s="112"/>
      <c r="Q2441" s="112"/>
    </row>
    <row r="2442" spans="2:17" s="110" customFormat="1">
      <c r="B2442" s="111"/>
      <c r="F2442" s="112"/>
      <c r="G2442" s="112"/>
      <c r="H2442" s="112"/>
      <c r="L2442" s="112"/>
      <c r="N2442" s="306"/>
      <c r="P2442" s="112"/>
      <c r="Q2442" s="112"/>
    </row>
    <row r="2443" spans="2:17" s="110" customFormat="1">
      <c r="B2443" s="111"/>
      <c r="F2443" s="112"/>
      <c r="G2443" s="112"/>
      <c r="H2443" s="112"/>
      <c r="L2443" s="112"/>
      <c r="N2443" s="306"/>
      <c r="P2443" s="112"/>
      <c r="Q2443" s="112"/>
    </row>
    <row r="2444" spans="2:17" s="110" customFormat="1">
      <c r="B2444" s="111"/>
      <c r="F2444" s="112"/>
      <c r="G2444" s="112"/>
      <c r="H2444" s="112"/>
      <c r="L2444" s="112"/>
      <c r="N2444" s="306"/>
      <c r="P2444" s="112"/>
      <c r="Q2444" s="112"/>
    </row>
    <row r="2445" spans="2:17" s="110" customFormat="1">
      <c r="B2445" s="111"/>
      <c r="F2445" s="112"/>
      <c r="G2445" s="112"/>
      <c r="H2445" s="112"/>
      <c r="L2445" s="112"/>
      <c r="N2445" s="306"/>
      <c r="P2445" s="112"/>
      <c r="Q2445" s="112"/>
    </row>
    <row r="2446" spans="2:17" s="110" customFormat="1">
      <c r="B2446" s="111"/>
      <c r="F2446" s="112"/>
      <c r="G2446" s="112"/>
      <c r="H2446" s="112"/>
      <c r="L2446" s="112"/>
      <c r="N2446" s="306"/>
      <c r="P2446" s="112"/>
      <c r="Q2446" s="112"/>
    </row>
    <row r="2447" spans="2:17" s="110" customFormat="1">
      <c r="B2447" s="111"/>
      <c r="F2447" s="112"/>
      <c r="G2447" s="112"/>
      <c r="H2447" s="112"/>
      <c r="L2447" s="112"/>
      <c r="N2447" s="306"/>
      <c r="P2447" s="112"/>
      <c r="Q2447" s="112"/>
    </row>
    <row r="2448" spans="2:17" s="110" customFormat="1">
      <c r="B2448" s="111"/>
      <c r="F2448" s="112"/>
      <c r="G2448" s="112"/>
      <c r="H2448" s="112"/>
      <c r="L2448" s="112"/>
      <c r="N2448" s="306"/>
      <c r="P2448" s="112"/>
      <c r="Q2448" s="112"/>
    </row>
    <row r="2449" spans="2:17" s="110" customFormat="1">
      <c r="B2449" s="111"/>
      <c r="F2449" s="112"/>
      <c r="G2449" s="112"/>
      <c r="H2449" s="112"/>
      <c r="L2449" s="112"/>
      <c r="N2449" s="306"/>
      <c r="P2449" s="112"/>
      <c r="Q2449" s="112"/>
    </row>
    <row r="2450" spans="2:17" s="110" customFormat="1">
      <c r="B2450" s="111"/>
      <c r="F2450" s="112"/>
      <c r="G2450" s="112"/>
      <c r="H2450" s="112"/>
      <c r="L2450" s="112"/>
      <c r="N2450" s="306"/>
      <c r="P2450" s="112"/>
      <c r="Q2450" s="112"/>
    </row>
    <row r="2451" spans="2:17" s="110" customFormat="1">
      <c r="B2451" s="111"/>
      <c r="F2451" s="112"/>
      <c r="G2451" s="112"/>
      <c r="H2451" s="112"/>
      <c r="L2451" s="112"/>
      <c r="N2451" s="306"/>
      <c r="P2451" s="112"/>
      <c r="Q2451" s="112"/>
    </row>
    <row r="2452" spans="2:17" s="110" customFormat="1">
      <c r="B2452" s="111"/>
      <c r="F2452" s="112"/>
      <c r="G2452" s="112"/>
      <c r="H2452" s="112"/>
      <c r="L2452" s="112"/>
      <c r="N2452" s="306"/>
      <c r="P2452" s="112"/>
      <c r="Q2452" s="112"/>
    </row>
    <row r="2453" spans="2:17" s="110" customFormat="1">
      <c r="B2453" s="111"/>
      <c r="F2453" s="112"/>
      <c r="G2453" s="112"/>
      <c r="H2453" s="112"/>
      <c r="L2453" s="112"/>
      <c r="N2453" s="306"/>
      <c r="P2453" s="112"/>
      <c r="Q2453" s="112"/>
    </row>
    <row r="2454" spans="2:17" s="110" customFormat="1">
      <c r="B2454" s="111"/>
      <c r="F2454" s="112"/>
      <c r="G2454" s="112"/>
      <c r="H2454" s="112"/>
      <c r="L2454" s="112"/>
      <c r="N2454" s="306"/>
      <c r="P2454" s="112"/>
      <c r="Q2454" s="112"/>
    </row>
    <row r="2455" spans="2:17" s="110" customFormat="1">
      <c r="B2455" s="111"/>
      <c r="F2455" s="112"/>
      <c r="G2455" s="112"/>
      <c r="H2455" s="112"/>
      <c r="L2455" s="112"/>
      <c r="N2455" s="306"/>
      <c r="P2455" s="112"/>
      <c r="Q2455" s="112"/>
    </row>
    <row r="2456" spans="2:17" s="110" customFormat="1">
      <c r="B2456" s="111"/>
      <c r="F2456" s="112"/>
      <c r="G2456" s="112"/>
      <c r="H2456" s="112"/>
      <c r="L2456" s="112"/>
      <c r="N2456" s="306"/>
      <c r="P2456" s="112"/>
      <c r="Q2456" s="112"/>
    </row>
    <row r="2457" spans="2:17" s="110" customFormat="1">
      <c r="B2457" s="111"/>
      <c r="F2457" s="112"/>
      <c r="G2457" s="112"/>
      <c r="H2457" s="112"/>
      <c r="L2457" s="112"/>
      <c r="N2457" s="306"/>
      <c r="P2457" s="112"/>
      <c r="Q2457" s="112"/>
    </row>
    <row r="2458" spans="2:17" s="110" customFormat="1">
      <c r="B2458" s="111"/>
      <c r="F2458" s="112"/>
      <c r="G2458" s="112"/>
      <c r="H2458" s="112"/>
      <c r="L2458" s="112"/>
      <c r="N2458" s="306"/>
      <c r="P2458" s="112"/>
      <c r="Q2458" s="112"/>
    </row>
    <row r="2459" spans="2:17" s="110" customFormat="1">
      <c r="B2459" s="111"/>
      <c r="F2459" s="112"/>
      <c r="G2459" s="112"/>
      <c r="H2459" s="112"/>
      <c r="L2459" s="112"/>
      <c r="N2459" s="306"/>
      <c r="P2459" s="112"/>
      <c r="Q2459" s="112"/>
    </row>
    <row r="2460" spans="2:17" s="110" customFormat="1">
      <c r="B2460" s="111"/>
      <c r="F2460" s="112"/>
      <c r="G2460" s="112"/>
      <c r="H2460" s="112"/>
      <c r="L2460" s="112"/>
      <c r="N2460" s="306"/>
      <c r="P2460" s="112"/>
      <c r="Q2460" s="112"/>
    </row>
    <row r="2461" spans="2:17" s="110" customFormat="1">
      <c r="B2461" s="111"/>
      <c r="F2461" s="112"/>
      <c r="G2461" s="112"/>
      <c r="H2461" s="112"/>
      <c r="L2461" s="112"/>
      <c r="N2461" s="306"/>
      <c r="P2461" s="112"/>
      <c r="Q2461" s="112"/>
    </row>
    <row r="2462" spans="2:17" s="110" customFormat="1">
      <c r="B2462" s="111"/>
      <c r="F2462" s="112"/>
      <c r="G2462" s="112"/>
      <c r="H2462" s="112"/>
      <c r="L2462" s="112"/>
      <c r="N2462" s="306"/>
      <c r="P2462" s="112"/>
      <c r="Q2462" s="112"/>
    </row>
    <row r="2463" spans="2:17" s="110" customFormat="1">
      <c r="B2463" s="111"/>
      <c r="F2463" s="112"/>
      <c r="G2463" s="112"/>
      <c r="H2463" s="112"/>
      <c r="L2463" s="112"/>
      <c r="N2463" s="306"/>
      <c r="P2463" s="112"/>
      <c r="Q2463" s="112"/>
    </row>
    <row r="2464" spans="2:17" s="110" customFormat="1">
      <c r="B2464" s="111"/>
      <c r="F2464" s="112"/>
      <c r="G2464" s="112"/>
      <c r="H2464" s="112"/>
      <c r="L2464" s="112"/>
      <c r="N2464" s="306"/>
      <c r="P2464" s="112"/>
      <c r="Q2464" s="112"/>
    </row>
    <row r="2465" spans="2:17" s="110" customFormat="1">
      <c r="B2465" s="111"/>
      <c r="F2465" s="112"/>
      <c r="G2465" s="112"/>
      <c r="H2465" s="112"/>
      <c r="L2465" s="112"/>
      <c r="N2465" s="306"/>
      <c r="P2465" s="112"/>
      <c r="Q2465" s="112"/>
    </row>
    <row r="2466" spans="2:17" s="110" customFormat="1">
      <c r="B2466" s="111"/>
      <c r="F2466" s="112"/>
      <c r="G2466" s="112"/>
      <c r="H2466" s="112"/>
      <c r="L2466" s="112"/>
      <c r="N2466" s="306"/>
      <c r="P2466" s="112"/>
      <c r="Q2466" s="112"/>
    </row>
    <row r="2467" spans="2:17" s="110" customFormat="1">
      <c r="B2467" s="111"/>
      <c r="F2467" s="112"/>
      <c r="G2467" s="112"/>
      <c r="H2467" s="112"/>
      <c r="L2467" s="112"/>
      <c r="N2467" s="306"/>
      <c r="P2467" s="112"/>
      <c r="Q2467" s="112"/>
    </row>
    <row r="2468" spans="2:17" s="110" customFormat="1">
      <c r="B2468" s="111"/>
      <c r="F2468" s="112"/>
      <c r="G2468" s="112"/>
      <c r="H2468" s="112"/>
      <c r="L2468" s="112"/>
      <c r="N2468" s="306"/>
      <c r="P2468" s="112"/>
      <c r="Q2468" s="112"/>
    </row>
    <row r="2469" spans="2:17" s="110" customFormat="1">
      <c r="B2469" s="111"/>
      <c r="F2469" s="112"/>
      <c r="G2469" s="112"/>
      <c r="H2469" s="112"/>
      <c r="L2469" s="112"/>
      <c r="N2469" s="306"/>
      <c r="P2469" s="112"/>
      <c r="Q2469" s="112"/>
    </row>
    <row r="2470" spans="2:17" s="110" customFormat="1">
      <c r="B2470" s="111"/>
      <c r="F2470" s="112"/>
      <c r="G2470" s="112"/>
      <c r="H2470" s="112"/>
      <c r="L2470" s="112"/>
      <c r="N2470" s="306"/>
      <c r="P2470" s="112"/>
      <c r="Q2470" s="112"/>
    </row>
    <row r="2471" spans="2:17" s="110" customFormat="1">
      <c r="B2471" s="111"/>
      <c r="F2471" s="112"/>
      <c r="G2471" s="112"/>
      <c r="H2471" s="112"/>
      <c r="L2471" s="112"/>
      <c r="N2471" s="306"/>
      <c r="P2471" s="112"/>
      <c r="Q2471" s="112"/>
    </row>
    <row r="2472" spans="2:17" s="110" customFormat="1">
      <c r="B2472" s="111"/>
      <c r="F2472" s="112"/>
      <c r="G2472" s="112"/>
      <c r="H2472" s="112"/>
      <c r="L2472" s="112"/>
      <c r="N2472" s="306"/>
      <c r="P2472" s="112"/>
      <c r="Q2472" s="112"/>
    </row>
    <row r="2473" spans="2:17" s="110" customFormat="1">
      <c r="B2473" s="111"/>
      <c r="F2473" s="112"/>
      <c r="G2473" s="112"/>
      <c r="H2473" s="112"/>
      <c r="L2473" s="112"/>
      <c r="N2473" s="306"/>
      <c r="P2473" s="112"/>
      <c r="Q2473" s="112"/>
    </row>
    <row r="2474" spans="2:17" s="110" customFormat="1">
      <c r="B2474" s="111"/>
      <c r="F2474" s="112"/>
      <c r="G2474" s="112"/>
      <c r="H2474" s="112"/>
      <c r="L2474" s="112"/>
      <c r="N2474" s="306"/>
      <c r="P2474" s="112"/>
      <c r="Q2474" s="112"/>
    </row>
    <row r="2475" spans="2:17" s="110" customFormat="1">
      <c r="B2475" s="111"/>
      <c r="F2475" s="112"/>
      <c r="G2475" s="112"/>
      <c r="H2475" s="112"/>
      <c r="L2475" s="112"/>
      <c r="N2475" s="306"/>
      <c r="P2475" s="112"/>
      <c r="Q2475" s="112"/>
    </row>
    <row r="2476" spans="2:17" s="110" customFormat="1">
      <c r="B2476" s="111"/>
      <c r="F2476" s="112"/>
      <c r="G2476" s="112"/>
      <c r="H2476" s="112"/>
      <c r="L2476" s="112"/>
      <c r="N2476" s="306"/>
      <c r="P2476" s="112"/>
      <c r="Q2476" s="112"/>
    </row>
    <row r="2477" spans="2:17" s="110" customFormat="1">
      <c r="B2477" s="111"/>
      <c r="F2477" s="112"/>
      <c r="G2477" s="112"/>
      <c r="H2477" s="112"/>
      <c r="L2477" s="112"/>
      <c r="N2477" s="306"/>
      <c r="P2477" s="112"/>
      <c r="Q2477" s="112"/>
    </row>
    <row r="2478" spans="2:17" s="110" customFormat="1">
      <c r="B2478" s="111"/>
      <c r="F2478" s="112"/>
      <c r="G2478" s="112"/>
      <c r="H2478" s="112"/>
      <c r="L2478" s="112"/>
      <c r="N2478" s="306"/>
      <c r="P2478" s="112"/>
      <c r="Q2478" s="112"/>
    </row>
    <row r="2479" spans="2:17" s="110" customFormat="1">
      <c r="B2479" s="111"/>
      <c r="F2479" s="112"/>
      <c r="G2479" s="112"/>
      <c r="H2479" s="112"/>
      <c r="L2479" s="112"/>
      <c r="N2479" s="306"/>
      <c r="P2479" s="112"/>
      <c r="Q2479" s="112"/>
    </row>
    <row r="2480" spans="2:17" s="110" customFormat="1">
      <c r="B2480" s="111"/>
      <c r="F2480" s="112"/>
      <c r="G2480" s="112"/>
      <c r="H2480" s="112"/>
      <c r="L2480" s="112"/>
      <c r="N2480" s="306"/>
      <c r="P2480" s="112"/>
      <c r="Q2480" s="112"/>
    </row>
    <row r="2481" spans="2:17" s="110" customFormat="1">
      <c r="B2481" s="111"/>
      <c r="F2481" s="112"/>
      <c r="G2481" s="112"/>
      <c r="H2481" s="112"/>
      <c r="L2481" s="112"/>
      <c r="N2481" s="306"/>
      <c r="P2481" s="112"/>
      <c r="Q2481" s="112"/>
    </row>
    <row r="2482" spans="2:17" s="110" customFormat="1">
      <c r="B2482" s="111"/>
      <c r="F2482" s="112"/>
      <c r="G2482" s="112"/>
      <c r="H2482" s="112"/>
      <c r="L2482" s="112"/>
      <c r="N2482" s="306"/>
      <c r="P2482" s="112"/>
      <c r="Q2482" s="112"/>
    </row>
    <row r="2483" spans="2:17" s="110" customFormat="1">
      <c r="B2483" s="111"/>
      <c r="F2483" s="112"/>
      <c r="G2483" s="112"/>
      <c r="H2483" s="112"/>
      <c r="L2483" s="112"/>
      <c r="N2483" s="306"/>
      <c r="P2483" s="112"/>
      <c r="Q2483" s="112"/>
    </row>
    <row r="2484" spans="2:17" s="110" customFormat="1">
      <c r="B2484" s="111"/>
      <c r="F2484" s="112"/>
      <c r="G2484" s="112"/>
      <c r="H2484" s="112"/>
      <c r="L2484" s="112"/>
      <c r="N2484" s="306"/>
      <c r="P2484" s="112"/>
      <c r="Q2484" s="112"/>
    </row>
    <row r="2485" spans="2:17" s="110" customFormat="1">
      <c r="B2485" s="111"/>
      <c r="F2485" s="112"/>
      <c r="G2485" s="112"/>
      <c r="H2485" s="112"/>
      <c r="L2485" s="112"/>
      <c r="N2485" s="306"/>
      <c r="P2485" s="112"/>
      <c r="Q2485" s="112"/>
    </row>
    <row r="2486" spans="2:17" s="110" customFormat="1">
      <c r="B2486" s="111"/>
      <c r="F2486" s="112"/>
      <c r="G2486" s="112"/>
      <c r="H2486" s="112"/>
      <c r="L2486" s="112"/>
      <c r="N2486" s="306"/>
      <c r="P2486" s="112"/>
      <c r="Q2486" s="112"/>
    </row>
    <row r="2487" spans="2:17" s="110" customFormat="1">
      <c r="B2487" s="111"/>
      <c r="F2487" s="112"/>
      <c r="G2487" s="112"/>
      <c r="H2487" s="112"/>
      <c r="L2487" s="112"/>
      <c r="N2487" s="306"/>
      <c r="P2487" s="112"/>
      <c r="Q2487" s="112"/>
    </row>
    <row r="2488" spans="2:17" s="110" customFormat="1">
      <c r="B2488" s="111"/>
      <c r="F2488" s="112"/>
      <c r="G2488" s="112"/>
      <c r="H2488" s="112"/>
      <c r="L2488" s="112"/>
      <c r="N2488" s="306"/>
      <c r="P2488" s="112"/>
      <c r="Q2488" s="112"/>
    </row>
    <row r="2489" spans="2:17" s="110" customFormat="1">
      <c r="B2489" s="111"/>
      <c r="F2489" s="112"/>
      <c r="G2489" s="112"/>
      <c r="H2489" s="112"/>
      <c r="L2489" s="112"/>
      <c r="N2489" s="306"/>
      <c r="P2489" s="112"/>
      <c r="Q2489" s="112"/>
    </row>
    <row r="2490" spans="2:17" s="110" customFormat="1">
      <c r="B2490" s="111"/>
      <c r="F2490" s="112"/>
      <c r="G2490" s="112"/>
      <c r="H2490" s="112"/>
      <c r="L2490" s="112"/>
      <c r="N2490" s="306"/>
      <c r="P2490" s="112"/>
      <c r="Q2490" s="112"/>
    </row>
    <row r="2491" spans="2:17" s="110" customFormat="1">
      <c r="B2491" s="111"/>
      <c r="F2491" s="112"/>
      <c r="G2491" s="112"/>
      <c r="H2491" s="112"/>
      <c r="L2491" s="112"/>
      <c r="N2491" s="306"/>
      <c r="P2491" s="112"/>
      <c r="Q2491" s="112"/>
    </row>
    <row r="2492" spans="2:17" s="110" customFormat="1">
      <c r="B2492" s="111"/>
      <c r="F2492" s="112"/>
      <c r="G2492" s="112"/>
      <c r="H2492" s="112"/>
      <c r="L2492" s="112"/>
      <c r="N2492" s="306"/>
      <c r="P2492" s="112"/>
      <c r="Q2492" s="112"/>
    </row>
    <row r="2493" spans="2:17" s="110" customFormat="1">
      <c r="B2493" s="111"/>
      <c r="F2493" s="112"/>
      <c r="G2493" s="112"/>
      <c r="H2493" s="112"/>
      <c r="L2493" s="112"/>
      <c r="N2493" s="306"/>
      <c r="P2493" s="112"/>
      <c r="Q2493" s="112"/>
    </row>
    <row r="2494" spans="2:17" s="110" customFormat="1">
      <c r="B2494" s="111"/>
      <c r="F2494" s="112"/>
      <c r="G2494" s="112"/>
      <c r="H2494" s="112"/>
      <c r="L2494" s="112"/>
      <c r="N2494" s="306"/>
      <c r="P2494" s="112"/>
      <c r="Q2494" s="112"/>
    </row>
    <row r="2495" spans="2:17" s="110" customFormat="1">
      <c r="B2495" s="111"/>
      <c r="F2495" s="112"/>
      <c r="G2495" s="112"/>
      <c r="H2495" s="112"/>
      <c r="L2495" s="112"/>
      <c r="N2495" s="306"/>
      <c r="P2495" s="112"/>
      <c r="Q2495" s="112"/>
    </row>
    <row r="2496" spans="2:17" s="110" customFormat="1">
      <c r="B2496" s="111"/>
      <c r="F2496" s="112"/>
      <c r="G2496" s="112"/>
      <c r="H2496" s="112"/>
      <c r="L2496" s="112"/>
      <c r="N2496" s="306"/>
      <c r="P2496" s="112"/>
      <c r="Q2496" s="112"/>
    </row>
    <row r="2497" spans="2:17" s="110" customFormat="1">
      <c r="B2497" s="111"/>
      <c r="F2497" s="112"/>
      <c r="G2497" s="112"/>
      <c r="H2497" s="112"/>
      <c r="L2497" s="112"/>
      <c r="N2497" s="306"/>
      <c r="P2497" s="112"/>
      <c r="Q2497" s="112"/>
    </row>
    <row r="2498" spans="2:17" s="110" customFormat="1">
      <c r="B2498" s="111"/>
      <c r="F2498" s="112"/>
      <c r="G2498" s="112"/>
      <c r="H2498" s="112"/>
      <c r="L2498" s="112"/>
      <c r="N2498" s="306"/>
      <c r="P2498" s="112"/>
      <c r="Q2498" s="112"/>
    </row>
    <row r="2499" spans="2:17" s="110" customFormat="1">
      <c r="B2499" s="111"/>
      <c r="F2499" s="112"/>
      <c r="G2499" s="112"/>
      <c r="H2499" s="112"/>
      <c r="L2499" s="112"/>
      <c r="N2499" s="306"/>
      <c r="P2499" s="112"/>
      <c r="Q2499" s="112"/>
    </row>
    <row r="2500" spans="2:17" s="110" customFormat="1">
      <c r="B2500" s="111"/>
      <c r="F2500" s="112"/>
      <c r="G2500" s="112"/>
      <c r="H2500" s="112"/>
      <c r="L2500" s="112"/>
      <c r="N2500" s="306"/>
      <c r="P2500" s="112"/>
      <c r="Q2500" s="112"/>
    </row>
    <row r="2501" spans="2:17" s="110" customFormat="1">
      <c r="B2501" s="111"/>
      <c r="F2501" s="112"/>
      <c r="G2501" s="112"/>
      <c r="H2501" s="112"/>
      <c r="L2501" s="112"/>
      <c r="N2501" s="306"/>
      <c r="P2501" s="112"/>
      <c r="Q2501" s="112"/>
    </row>
    <row r="2502" spans="2:17" s="110" customFormat="1">
      <c r="B2502" s="111"/>
      <c r="F2502" s="112"/>
      <c r="G2502" s="112"/>
      <c r="H2502" s="112"/>
      <c r="L2502" s="112"/>
      <c r="N2502" s="306"/>
      <c r="P2502" s="112"/>
      <c r="Q2502" s="112"/>
    </row>
    <row r="2503" spans="2:17" s="110" customFormat="1">
      <c r="B2503" s="111"/>
      <c r="F2503" s="112"/>
      <c r="G2503" s="112"/>
      <c r="H2503" s="112"/>
      <c r="L2503" s="112"/>
      <c r="N2503" s="306"/>
      <c r="P2503" s="112"/>
      <c r="Q2503" s="112"/>
    </row>
    <row r="2504" spans="2:17" s="110" customFormat="1">
      <c r="B2504" s="111"/>
      <c r="F2504" s="112"/>
      <c r="G2504" s="112"/>
      <c r="H2504" s="112"/>
      <c r="L2504" s="112"/>
      <c r="N2504" s="306"/>
      <c r="P2504" s="112"/>
      <c r="Q2504" s="112"/>
    </row>
    <row r="2505" spans="2:17" s="110" customFormat="1">
      <c r="B2505" s="111"/>
      <c r="F2505" s="112"/>
      <c r="G2505" s="112"/>
      <c r="H2505" s="112"/>
      <c r="L2505" s="112"/>
      <c r="N2505" s="306"/>
      <c r="P2505" s="112"/>
      <c r="Q2505" s="112"/>
    </row>
    <row r="2506" spans="2:17" s="110" customFormat="1">
      <c r="B2506" s="111"/>
      <c r="F2506" s="112"/>
      <c r="G2506" s="112"/>
      <c r="H2506" s="112"/>
      <c r="L2506" s="112"/>
      <c r="N2506" s="306"/>
      <c r="P2506" s="112"/>
      <c r="Q2506" s="112"/>
    </row>
    <row r="2507" spans="2:17" s="110" customFormat="1">
      <c r="B2507" s="111"/>
      <c r="F2507" s="112"/>
      <c r="G2507" s="112"/>
      <c r="H2507" s="112"/>
      <c r="L2507" s="112"/>
      <c r="N2507" s="306"/>
      <c r="P2507" s="112"/>
      <c r="Q2507" s="112"/>
    </row>
    <row r="2508" spans="2:17" s="110" customFormat="1">
      <c r="B2508" s="111"/>
      <c r="F2508" s="112"/>
      <c r="G2508" s="112"/>
      <c r="H2508" s="112"/>
      <c r="L2508" s="112"/>
      <c r="N2508" s="306"/>
      <c r="P2508" s="112"/>
      <c r="Q2508" s="112"/>
    </row>
    <row r="2509" spans="2:17" s="110" customFormat="1">
      <c r="B2509" s="111"/>
      <c r="F2509" s="112"/>
      <c r="G2509" s="112"/>
      <c r="H2509" s="112"/>
      <c r="L2509" s="112"/>
      <c r="N2509" s="306"/>
      <c r="P2509" s="112"/>
      <c r="Q2509" s="112"/>
    </row>
    <row r="2510" spans="2:17" s="110" customFormat="1">
      <c r="B2510" s="111"/>
      <c r="F2510" s="112"/>
      <c r="G2510" s="112"/>
      <c r="H2510" s="112"/>
      <c r="L2510" s="112"/>
      <c r="N2510" s="306"/>
      <c r="P2510" s="112"/>
      <c r="Q2510" s="112"/>
    </row>
    <row r="2511" spans="2:17" s="110" customFormat="1">
      <c r="B2511" s="111"/>
      <c r="F2511" s="112"/>
      <c r="G2511" s="112"/>
      <c r="H2511" s="112"/>
      <c r="L2511" s="112"/>
      <c r="N2511" s="306"/>
      <c r="P2511" s="112"/>
      <c r="Q2511" s="112"/>
    </row>
    <row r="2512" spans="2:17" s="110" customFormat="1">
      <c r="B2512" s="111"/>
      <c r="F2512" s="112"/>
      <c r="G2512" s="112"/>
      <c r="H2512" s="112"/>
      <c r="L2512" s="112"/>
      <c r="N2512" s="306"/>
      <c r="P2512" s="112"/>
      <c r="Q2512" s="112"/>
    </row>
    <row r="2513" spans="2:17" s="110" customFormat="1">
      <c r="B2513" s="111"/>
      <c r="F2513" s="112"/>
      <c r="G2513" s="112"/>
      <c r="H2513" s="112"/>
      <c r="L2513" s="112"/>
      <c r="N2513" s="306"/>
      <c r="P2513" s="112"/>
      <c r="Q2513" s="112"/>
    </row>
    <row r="2514" spans="2:17" s="110" customFormat="1">
      <c r="B2514" s="111"/>
      <c r="F2514" s="112"/>
      <c r="G2514" s="112"/>
      <c r="H2514" s="112"/>
      <c r="L2514" s="112"/>
      <c r="N2514" s="306"/>
      <c r="P2514" s="112"/>
      <c r="Q2514" s="112"/>
    </row>
    <row r="2515" spans="2:17" s="110" customFormat="1">
      <c r="B2515" s="111"/>
      <c r="F2515" s="112"/>
      <c r="G2515" s="112"/>
      <c r="H2515" s="112"/>
      <c r="L2515" s="112"/>
      <c r="N2515" s="306"/>
      <c r="P2515" s="112"/>
      <c r="Q2515" s="112"/>
    </row>
    <row r="2516" spans="2:17" s="110" customFormat="1">
      <c r="B2516" s="111"/>
      <c r="F2516" s="112"/>
      <c r="G2516" s="112"/>
      <c r="H2516" s="112"/>
      <c r="L2516" s="112"/>
      <c r="N2516" s="306"/>
      <c r="P2516" s="112"/>
      <c r="Q2516" s="112"/>
    </row>
    <row r="2517" spans="2:17" s="110" customFormat="1">
      <c r="B2517" s="111"/>
      <c r="F2517" s="112"/>
      <c r="G2517" s="112"/>
      <c r="H2517" s="112"/>
      <c r="L2517" s="112"/>
      <c r="N2517" s="306"/>
      <c r="P2517" s="112"/>
      <c r="Q2517" s="112"/>
    </row>
    <row r="2518" spans="2:17" s="110" customFormat="1">
      <c r="B2518" s="111"/>
      <c r="F2518" s="112"/>
      <c r="G2518" s="112"/>
      <c r="H2518" s="112"/>
      <c r="L2518" s="112"/>
      <c r="N2518" s="306"/>
      <c r="P2518" s="112"/>
      <c r="Q2518" s="112"/>
    </row>
    <row r="2519" spans="2:17" s="110" customFormat="1">
      <c r="B2519" s="111"/>
      <c r="F2519" s="112"/>
      <c r="G2519" s="112"/>
      <c r="H2519" s="112"/>
      <c r="L2519" s="112"/>
      <c r="N2519" s="306"/>
      <c r="P2519" s="112"/>
      <c r="Q2519" s="112"/>
    </row>
    <row r="2520" spans="2:17" s="110" customFormat="1">
      <c r="B2520" s="111"/>
      <c r="F2520" s="112"/>
      <c r="G2520" s="112"/>
      <c r="H2520" s="112"/>
      <c r="L2520" s="112"/>
      <c r="N2520" s="306"/>
      <c r="P2520" s="112"/>
      <c r="Q2520" s="112"/>
    </row>
    <row r="2521" spans="2:17" s="110" customFormat="1">
      <c r="B2521" s="111"/>
      <c r="F2521" s="112"/>
      <c r="G2521" s="112"/>
      <c r="H2521" s="112"/>
      <c r="L2521" s="112"/>
      <c r="N2521" s="306"/>
      <c r="P2521" s="112"/>
      <c r="Q2521" s="112"/>
    </row>
    <row r="2522" spans="2:17" s="110" customFormat="1">
      <c r="B2522" s="111"/>
      <c r="F2522" s="112"/>
      <c r="G2522" s="112"/>
      <c r="H2522" s="112"/>
      <c r="L2522" s="112"/>
      <c r="N2522" s="306"/>
      <c r="P2522" s="112"/>
      <c r="Q2522" s="112"/>
    </row>
    <row r="2523" spans="2:17" s="110" customFormat="1">
      <c r="B2523" s="111"/>
      <c r="F2523" s="112"/>
      <c r="G2523" s="112"/>
      <c r="H2523" s="112"/>
      <c r="L2523" s="112"/>
      <c r="N2523" s="306"/>
      <c r="P2523" s="112"/>
      <c r="Q2523" s="112"/>
    </row>
    <row r="2524" spans="2:17" s="110" customFormat="1">
      <c r="B2524" s="111"/>
      <c r="F2524" s="112"/>
      <c r="G2524" s="112"/>
      <c r="H2524" s="112"/>
      <c r="L2524" s="112"/>
      <c r="N2524" s="306"/>
      <c r="P2524" s="112"/>
      <c r="Q2524" s="112"/>
    </row>
    <row r="2525" spans="2:17" s="110" customFormat="1">
      <c r="B2525" s="111"/>
      <c r="F2525" s="112"/>
      <c r="G2525" s="112"/>
      <c r="H2525" s="112"/>
      <c r="L2525" s="112"/>
      <c r="N2525" s="306"/>
      <c r="P2525" s="112"/>
      <c r="Q2525" s="112"/>
    </row>
    <row r="2526" spans="2:17" s="110" customFormat="1">
      <c r="B2526" s="111"/>
      <c r="F2526" s="112"/>
      <c r="G2526" s="112"/>
      <c r="H2526" s="112"/>
      <c r="L2526" s="112"/>
      <c r="N2526" s="306"/>
      <c r="P2526" s="112"/>
      <c r="Q2526" s="112"/>
    </row>
    <row r="2527" spans="2:17" s="110" customFormat="1">
      <c r="B2527" s="111"/>
      <c r="F2527" s="112"/>
      <c r="G2527" s="112"/>
      <c r="H2527" s="112"/>
      <c r="L2527" s="112"/>
      <c r="N2527" s="306"/>
      <c r="P2527" s="112"/>
      <c r="Q2527" s="112"/>
    </row>
    <row r="2528" spans="2:17" s="110" customFormat="1">
      <c r="B2528" s="111"/>
      <c r="F2528" s="112"/>
      <c r="G2528" s="112"/>
      <c r="H2528" s="112"/>
      <c r="L2528" s="112"/>
      <c r="N2528" s="306"/>
      <c r="P2528" s="112"/>
      <c r="Q2528" s="112"/>
    </row>
    <row r="2529" spans="2:17" s="110" customFormat="1">
      <c r="B2529" s="111"/>
      <c r="F2529" s="112"/>
      <c r="G2529" s="112"/>
      <c r="H2529" s="112"/>
      <c r="L2529" s="112"/>
      <c r="N2529" s="306"/>
      <c r="P2529" s="112"/>
      <c r="Q2529" s="112"/>
    </row>
    <row r="2530" spans="2:17" s="110" customFormat="1">
      <c r="B2530" s="111"/>
      <c r="F2530" s="112"/>
      <c r="G2530" s="112"/>
      <c r="H2530" s="112"/>
      <c r="L2530" s="112"/>
      <c r="N2530" s="306"/>
      <c r="P2530" s="112"/>
      <c r="Q2530" s="112"/>
    </row>
    <row r="2531" spans="2:17" s="110" customFormat="1">
      <c r="B2531" s="111"/>
      <c r="F2531" s="112"/>
      <c r="G2531" s="112"/>
      <c r="H2531" s="112"/>
      <c r="L2531" s="112"/>
      <c r="N2531" s="306"/>
      <c r="P2531" s="112"/>
      <c r="Q2531" s="112"/>
    </row>
    <row r="2532" spans="2:17" s="110" customFormat="1">
      <c r="B2532" s="111"/>
      <c r="F2532" s="112"/>
      <c r="G2532" s="112"/>
      <c r="H2532" s="112"/>
      <c r="L2532" s="112"/>
      <c r="N2532" s="306"/>
      <c r="P2532" s="112"/>
      <c r="Q2532" s="112"/>
    </row>
    <row r="2533" spans="2:17" s="110" customFormat="1">
      <c r="B2533" s="111"/>
      <c r="F2533" s="112"/>
      <c r="G2533" s="112"/>
      <c r="H2533" s="112"/>
      <c r="L2533" s="112"/>
      <c r="N2533" s="306"/>
      <c r="P2533" s="112"/>
      <c r="Q2533" s="112"/>
    </row>
    <row r="2534" spans="2:17" s="110" customFormat="1">
      <c r="B2534" s="111"/>
      <c r="F2534" s="112"/>
      <c r="G2534" s="112"/>
      <c r="H2534" s="112"/>
      <c r="L2534" s="112"/>
      <c r="N2534" s="306"/>
      <c r="P2534" s="112"/>
      <c r="Q2534" s="112"/>
    </row>
    <row r="2535" spans="2:17" s="110" customFormat="1">
      <c r="B2535" s="111"/>
      <c r="F2535" s="112"/>
      <c r="G2535" s="112"/>
      <c r="H2535" s="112"/>
      <c r="L2535" s="112"/>
      <c r="N2535" s="306"/>
      <c r="P2535" s="112"/>
      <c r="Q2535" s="112"/>
    </row>
    <row r="2536" spans="2:17" s="110" customFormat="1">
      <c r="B2536" s="111"/>
      <c r="F2536" s="112"/>
      <c r="G2536" s="112"/>
      <c r="H2536" s="112"/>
      <c r="L2536" s="112"/>
      <c r="N2536" s="306"/>
      <c r="P2536" s="112"/>
      <c r="Q2536" s="112"/>
    </row>
    <row r="2537" spans="2:17" s="110" customFormat="1">
      <c r="B2537" s="111"/>
      <c r="F2537" s="112"/>
      <c r="G2537" s="112"/>
      <c r="H2537" s="112"/>
      <c r="L2537" s="112"/>
      <c r="N2537" s="306"/>
      <c r="P2537" s="112"/>
      <c r="Q2537" s="112"/>
    </row>
    <row r="2538" spans="2:17" s="110" customFormat="1">
      <c r="B2538" s="111"/>
      <c r="F2538" s="112"/>
      <c r="G2538" s="112"/>
      <c r="H2538" s="112"/>
      <c r="L2538" s="112"/>
      <c r="N2538" s="306"/>
      <c r="P2538" s="112"/>
      <c r="Q2538" s="112"/>
    </row>
    <row r="2539" spans="2:17" s="110" customFormat="1">
      <c r="B2539" s="111"/>
      <c r="F2539" s="112"/>
      <c r="G2539" s="112"/>
      <c r="H2539" s="112"/>
      <c r="L2539" s="112"/>
      <c r="N2539" s="306"/>
      <c r="P2539" s="112"/>
      <c r="Q2539" s="112"/>
    </row>
    <row r="2540" spans="2:17" s="110" customFormat="1">
      <c r="B2540" s="111"/>
      <c r="F2540" s="112"/>
      <c r="G2540" s="112"/>
      <c r="H2540" s="112"/>
      <c r="L2540" s="112"/>
      <c r="N2540" s="306"/>
      <c r="P2540" s="112"/>
      <c r="Q2540" s="112"/>
    </row>
    <row r="2541" spans="2:17" s="110" customFormat="1">
      <c r="B2541" s="111"/>
      <c r="F2541" s="112"/>
      <c r="G2541" s="112"/>
      <c r="H2541" s="112"/>
      <c r="L2541" s="112"/>
      <c r="N2541" s="306"/>
      <c r="P2541" s="112"/>
      <c r="Q2541" s="112"/>
    </row>
    <row r="2542" spans="2:17" s="110" customFormat="1">
      <c r="B2542" s="111"/>
      <c r="F2542" s="112"/>
      <c r="G2542" s="112"/>
      <c r="H2542" s="112"/>
      <c r="L2542" s="112"/>
      <c r="N2542" s="306"/>
      <c r="P2542" s="112"/>
      <c r="Q2542" s="112"/>
    </row>
    <row r="2543" spans="2:17" s="110" customFormat="1">
      <c r="B2543" s="111"/>
      <c r="F2543" s="112"/>
      <c r="G2543" s="112"/>
      <c r="H2543" s="112"/>
      <c r="L2543" s="112"/>
      <c r="N2543" s="306"/>
      <c r="P2543" s="112"/>
      <c r="Q2543" s="112"/>
    </row>
    <row r="2544" spans="2:17" s="110" customFormat="1">
      <c r="B2544" s="111"/>
      <c r="F2544" s="112"/>
      <c r="G2544" s="112"/>
      <c r="H2544" s="112"/>
      <c r="L2544" s="112"/>
      <c r="N2544" s="306"/>
      <c r="P2544" s="112"/>
      <c r="Q2544" s="112"/>
    </row>
    <row r="2545" spans="2:17" s="110" customFormat="1">
      <c r="B2545" s="111"/>
      <c r="F2545" s="112"/>
      <c r="G2545" s="112"/>
      <c r="H2545" s="112"/>
      <c r="L2545" s="112"/>
      <c r="N2545" s="306"/>
      <c r="P2545" s="112"/>
      <c r="Q2545" s="112"/>
    </row>
    <row r="2546" spans="2:17" s="110" customFormat="1">
      <c r="B2546" s="111"/>
      <c r="F2546" s="112"/>
      <c r="G2546" s="112"/>
      <c r="H2546" s="112"/>
      <c r="L2546" s="112"/>
      <c r="N2546" s="306"/>
      <c r="P2546" s="112"/>
      <c r="Q2546" s="112"/>
    </row>
    <row r="2547" spans="2:17" s="110" customFormat="1">
      <c r="B2547" s="111"/>
      <c r="F2547" s="112"/>
      <c r="G2547" s="112"/>
      <c r="H2547" s="112"/>
      <c r="L2547" s="112"/>
      <c r="N2547" s="306"/>
      <c r="P2547" s="112"/>
      <c r="Q2547" s="112"/>
    </row>
    <row r="2548" spans="2:17" s="110" customFormat="1">
      <c r="B2548" s="111"/>
      <c r="F2548" s="112"/>
      <c r="G2548" s="112"/>
      <c r="H2548" s="112"/>
      <c r="L2548" s="112"/>
      <c r="N2548" s="306"/>
      <c r="P2548" s="112"/>
      <c r="Q2548" s="112"/>
    </row>
    <row r="2549" spans="2:17" s="110" customFormat="1">
      <c r="B2549" s="111"/>
      <c r="F2549" s="112"/>
      <c r="G2549" s="112"/>
      <c r="H2549" s="112"/>
      <c r="L2549" s="112"/>
      <c r="N2549" s="306"/>
      <c r="P2549" s="112"/>
      <c r="Q2549" s="112"/>
    </row>
    <row r="2550" spans="2:17" s="110" customFormat="1">
      <c r="B2550" s="111"/>
      <c r="F2550" s="112"/>
      <c r="G2550" s="112"/>
      <c r="H2550" s="112"/>
      <c r="L2550" s="112"/>
      <c r="N2550" s="306"/>
      <c r="P2550" s="112"/>
      <c r="Q2550" s="112"/>
    </row>
    <row r="2551" spans="2:17" s="110" customFormat="1">
      <c r="B2551" s="111"/>
      <c r="F2551" s="112"/>
      <c r="G2551" s="112"/>
      <c r="H2551" s="112"/>
      <c r="L2551" s="112"/>
      <c r="N2551" s="306"/>
      <c r="P2551" s="112"/>
      <c r="Q2551" s="112"/>
    </row>
    <row r="2552" spans="2:17" s="110" customFormat="1">
      <c r="B2552" s="111"/>
      <c r="F2552" s="112"/>
      <c r="G2552" s="112"/>
      <c r="H2552" s="112"/>
      <c r="L2552" s="112"/>
      <c r="N2552" s="306"/>
      <c r="P2552" s="112"/>
      <c r="Q2552" s="112"/>
    </row>
    <row r="2553" spans="2:17" s="110" customFormat="1">
      <c r="B2553" s="111"/>
      <c r="F2553" s="112"/>
      <c r="G2553" s="112"/>
      <c r="H2553" s="112"/>
      <c r="L2553" s="112"/>
      <c r="N2553" s="306"/>
      <c r="P2553" s="112"/>
      <c r="Q2553" s="112"/>
    </row>
    <row r="2554" spans="2:17" s="110" customFormat="1">
      <c r="B2554" s="111"/>
      <c r="F2554" s="112"/>
      <c r="G2554" s="112"/>
      <c r="H2554" s="112"/>
      <c r="L2554" s="112"/>
      <c r="N2554" s="306"/>
      <c r="P2554" s="112"/>
      <c r="Q2554" s="112"/>
    </row>
    <row r="2555" spans="2:17" s="110" customFormat="1">
      <c r="B2555" s="111"/>
      <c r="F2555" s="112"/>
      <c r="G2555" s="112"/>
      <c r="H2555" s="112"/>
      <c r="L2555" s="112"/>
      <c r="N2555" s="306"/>
      <c r="P2555" s="112"/>
      <c r="Q2555" s="112"/>
    </row>
    <row r="2556" spans="2:17" s="110" customFormat="1">
      <c r="B2556" s="111"/>
      <c r="F2556" s="112"/>
      <c r="G2556" s="112"/>
      <c r="H2556" s="112"/>
      <c r="L2556" s="112"/>
      <c r="N2556" s="306"/>
      <c r="P2556" s="112"/>
      <c r="Q2556" s="112"/>
    </row>
    <row r="2557" spans="2:17" s="110" customFormat="1">
      <c r="B2557" s="111"/>
      <c r="F2557" s="112"/>
      <c r="G2557" s="112"/>
      <c r="H2557" s="112"/>
      <c r="L2557" s="112"/>
      <c r="N2557" s="306"/>
      <c r="P2557" s="112"/>
      <c r="Q2557" s="112"/>
    </row>
    <row r="2558" spans="2:17" s="110" customFormat="1">
      <c r="B2558" s="111"/>
      <c r="F2558" s="112"/>
      <c r="G2558" s="112"/>
      <c r="H2558" s="112"/>
      <c r="L2558" s="112"/>
      <c r="N2558" s="306"/>
      <c r="P2558" s="112"/>
      <c r="Q2558" s="112"/>
    </row>
    <row r="2559" spans="2:17" s="110" customFormat="1">
      <c r="B2559" s="111"/>
      <c r="F2559" s="112"/>
      <c r="G2559" s="112"/>
      <c r="H2559" s="112"/>
      <c r="L2559" s="112"/>
      <c r="N2559" s="306"/>
      <c r="P2559" s="112"/>
      <c r="Q2559" s="112"/>
    </row>
    <row r="2560" spans="2:17" s="110" customFormat="1">
      <c r="B2560" s="111"/>
      <c r="F2560" s="112"/>
      <c r="G2560" s="112"/>
      <c r="H2560" s="112"/>
      <c r="L2560" s="112"/>
      <c r="N2560" s="306"/>
      <c r="P2560" s="112"/>
      <c r="Q2560" s="112"/>
    </row>
    <row r="2561" spans="2:17" s="110" customFormat="1">
      <c r="B2561" s="111"/>
      <c r="F2561" s="112"/>
      <c r="G2561" s="112"/>
      <c r="H2561" s="112"/>
      <c r="L2561" s="112"/>
      <c r="N2561" s="306"/>
      <c r="P2561" s="112"/>
      <c r="Q2561" s="112"/>
    </row>
    <row r="2562" spans="2:17" s="110" customFormat="1">
      <c r="B2562" s="111"/>
      <c r="F2562" s="112"/>
      <c r="G2562" s="112"/>
      <c r="H2562" s="112"/>
      <c r="L2562" s="112"/>
      <c r="N2562" s="306"/>
      <c r="P2562" s="112"/>
      <c r="Q2562" s="112"/>
    </row>
    <row r="2563" spans="2:17" s="110" customFormat="1">
      <c r="B2563" s="111"/>
      <c r="F2563" s="112"/>
      <c r="G2563" s="112"/>
      <c r="H2563" s="112"/>
      <c r="L2563" s="112"/>
      <c r="N2563" s="306"/>
      <c r="P2563" s="112"/>
      <c r="Q2563" s="112"/>
    </row>
    <row r="2564" spans="2:17" s="110" customFormat="1">
      <c r="B2564" s="111"/>
      <c r="F2564" s="112"/>
      <c r="G2564" s="112"/>
      <c r="H2564" s="112"/>
      <c r="L2564" s="112"/>
      <c r="N2564" s="306"/>
      <c r="P2564" s="112"/>
      <c r="Q2564" s="112"/>
    </row>
    <row r="2565" spans="2:17" s="110" customFormat="1">
      <c r="B2565" s="111"/>
      <c r="F2565" s="112"/>
      <c r="G2565" s="112"/>
      <c r="H2565" s="112"/>
      <c r="L2565" s="112"/>
      <c r="N2565" s="306"/>
      <c r="P2565" s="112"/>
      <c r="Q2565" s="112"/>
    </row>
    <row r="2566" spans="2:17" s="110" customFormat="1">
      <c r="B2566" s="111"/>
      <c r="F2566" s="112"/>
      <c r="G2566" s="112"/>
      <c r="H2566" s="112"/>
      <c r="L2566" s="112"/>
      <c r="N2566" s="306"/>
      <c r="P2566" s="112"/>
      <c r="Q2566" s="112"/>
    </row>
    <row r="2567" spans="2:17" s="110" customFormat="1">
      <c r="B2567" s="111"/>
      <c r="F2567" s="112"/>
      <c r="G2567" s="112"/>
      <c r="H2567" s="112"/>
      <c r="L2567" s="112"/>
      <c r="N2567" s="306"/>
      <c r="P2567" s="112"/>
      <c r="Q2567" s="112"/>
    </row>
    <row r="2568" spans="2:17" s="110" customFormat="1">
      <c r="B2568" s="111"/>
      <c r="F2568" s="112"/>
      <c r="G2568" s="112"/>
      <c r="H2568" s="112"/>
      <c r="L2568" s="112"/>
      <c r="N2568" s="306"/>
      <c r="P2568" s="112"/>
      <c r="Q2568" s="112"/>
    </row>
    <row r="2569" spans="2:17" s="110" customFormat="1">
      <c r="B2569" s="111"/>
      <c r="F2569" s="112"/>
      <c r="G2569" s="112"/>
      <c r="H2569" s="112"/>
      <c r="L2569" s="112"/>
      <c r="N2569" s="306"/>
      <c r="P2569" s="112"/>
      <c r="Q2569" s="112"/>
    </row>
    <row r="2570" spans="2:17" s="110" customFormat="1">
      <c r="B2570" s="111"/>
      <c r="F2570" s="112"/>
      <c r="G2570" s="112"/>
      <c r="H2570" s="112"/>
      <c r="L2570" s="112"/>
      <c r="N2570" s="306"/>
      <c r="P2570" s="112"/>
      <c r="Q2570" s="112"/>
    </row>
    <row r="2571" spans="2:17" s="110" customFormat="1">
      <c r="B2571" s="111"/>
      <c r="F2571" s="112"/>
      <c r="G2571" s="112"/>
      <c r="H2571" s="112"/>
      <c r="L2571" s="112"/>
      <c r="N2571" s="306"/>
      <c r="P2571" s="112"/>
      <c r="Q2571" s="112"/>
    </row>
    <row r="2572" spans="2:17" s="110" customFormat="1">
      <c r="B2572" s="111"/>
      <c r="F2572" s="112"/>
      <c r="G2572" s="112"/>
      <c r="H2572" s="112"/>
      <c r="L2572" s="112"/>
      <c r="N2572" s="306"/>
      <c r="P2572" s="112"/>
      <c r="Q2572" s="112"/>
    </row>
    <row r="2573" spans="2:17" s="110" customFormat="1">
      <c r="B2573" s="111"/>
      <c r="F2573" s="112"/>
      <c r="G2573" s="112"/>
      <c r="H2573" s="112"/>
      <c r="L2573" s="112"/>
      <c r="N2573" s="306"/>
      <c r="P2573" s="112"/>
      <c r="Q2573" s="112"/>
    </row>
    <row r="2574" spans="2:17" s="110" customFormat="1">
      <c r="B2574" s="111"/>
      <c r="F2574" s="112"/>
      <c r="G2574" s="112"/>
      <c r="H2574" s="112"/>
      <c r="L2574" s="112"/>
      <c r="N2574" s="306"/>
      <c r="P2574" s="112"/>
      <c r="Q2574" s="112"/>
    </row>
    <row r="2575" spans="2:17" s="110" customFormat="1">
      <c r="B2575" s="111"/>
      <c r="F2575" s="112"/>
      <c r="G2575" s="112"/>
      <c r="H2575" s="112"/>
      <c r="L2575" s="112"/>
      <c r="N2575" s="306"/>
      <c r="P2575" s="112"/>
      <c r="Q2575" s="112"/>
    </row>
    <row r="2576" spans="2:17" s="110" customFormat="1">
      <c r="B2576" s="111"/>
      <c r="F2576" s="112"/>
      <c r="G2576" s="112"/>
      <c r="H2576" s="112"/>
      <c r="L2576" s="112"/>
      <c r="N2576" s="306"/>
      <c r="P2576" s="112"/>
      <c r="Q2576" s="112"/>
    </row>
    <row r="2577" spans="2:17" s="110" customFormat="1">
      <c r="B2577" s="111"/>
      <c r="F2577" s="112"/>
      <c r="G2577" s="112"/>
      <c r="H2577" s="112"/>
      <c r="L2577" s="112"/>
      <c r="N2577" s="306"/>
      <c r="P2577" s="112"/>
      <c r="Q2577" s="112"/>
    </row>
    <row r="2578" spans="2:17" s="110" customFormat="1">
      <c r="B2578" s="111"/>
      <c r="F2578" s="112"/>
      <c r="G2578" s="112"/>
      <c r="H2578" s="112"/>
      <c r="L2578" s="112"/>
      <c r="N2578" s="306"/>
      <c r="P2578" s="112"/>
      <c r="Q2578" s="112"/>
    </row>
    <row r="2579" spans="2:17" s="110" customFormat="1">
      <c r="B2579" s="111"/>
      <c r="F2579" s="112"/>
      <c r="G2579" s="112"/>
      <c r="H2579" s="112"/>
      <c r="L2579" s="112"/>
      <c r="N2579" s="306"/>
      <c r="P2579" s="112"/>
      <c r="Q2579" s="112"/>
    </row>
    <row r="2580" spans="2:17" s="110" customFormat="1">
      <c r="B2580" s="111"/>
      <c r="F2580" s="112"/>
      <c r="G2580" s="112"/>
      <c r="H2580" s="112"/>
      <c r="L2580" s="112"/>
      <c r="N2580" s="306"/>
      <c r="P2580" s="112"/>
      <c r="Q2580" s="112"/>
    </row>
    <row r="2581" spans="2:17" s="110" customFormat="1">
      <c r="B2581" s="111"/>
      <c r="F2581" s="112"/>
      <c r="G2581" s="112"/>
      <c r="H2581" s="112"/>
      <c r="L2581" s="112"/>
      <c r="N2581" s="306"/>
      <c r="P2581" s="112"/>
      <c r="Q2581" s="112"/>
    </row>
    <row r="2582" spans="2:17" s="110" customFormat="1">
      <c r="B2582" s="111"/>
      <c r="F2582" s="112"/>
      <c r="G2582" s="112"/>
      <c r="H2582" s="112"/>
      <c r="L2582" s="112"/>
      <c r="N2582" s="306"/>
      <c r="P2582" s="112"/>
      <c r="Q2582" s="112"/>
    </row>
    <row r="2583" spans="2:17" s="110" customFormat="1">
      <c r="B2583" s="111"/>
      <c r="F2583" s="112"/>
      <c r="G2583" s="112"/>
      <c r="H2583" s="112"/>
      <c r="L2583" s="112"/>
      <c r="N2583" s="306"/>
      <c r="P2583" s="112"/>
      <c r="Q2583" s="112"/>
    </row>
    <row r="2584" spans="2:17" s="110" customFormat="1">
      <c r="B2584" s="111"/>
      <c r="F2584" s="112"/>
      <c r="G2584" s="112"/>
      <c r="H2584" s="112"/>
      <c r="L2584" s="112"/>
      <c r="N2584" s="306"/>
      <c r="P2584" s="112"/>
      <c r="Q2584" s="112"/>
    </row>
    <row r="2585" spans="2:17" s="110" customFormat="1">
      <c r="B2585" s="111"/>
      <c r="F2585" s="112"/>
      <c r="G2585" s="112"/>
      <c r="H2585" s="112"/>
      <c r="L2585" s="112"/>
      <c r="N2585" s="306"/>
      <c r="P2585" s="112"/>
      <c r="Q2585" s="112"/>
    </row>
    <row r="2586" spans="2:17" s="110" customFormat="1">
      <c r="B2586" s="111"/>
      <c r="F2586" s="112"/>
      <c r="G2586" s="112"/>
      <c r="H2586" s="112"/>
      <c r="L2586" s="112"/>
      <c r="N2586" s="306"/>
      <c r="P2586" s="112"/>
      <c r="Q2586" s="112"/>
    </row>
    <row r="2587" spans="2:17" s="110" customFormat="1">
      <c r="B2587" s="111"/>
      <c r="F2587" s="112"/>
      <c r="G2587" s="112"/>
      <c r="H2587" s="112"/>
      <c r="L2587" s="112"/>
      <c r="N2587" s="306"/>
      <c r="P2587" s="112"/>
      <c r="Q2587" s="112"/>
    </row>
    <row r="2588" spans="2:17" s="110" customFormat="1">
      <c r="B2588" s="111"/>
      <c r="F2588" s="112"/>
      <c r="G2588" s="112"/>
      <c r="H2588" s="112"/>
      <c r="L2588" s="112"/>
      <c r="N2588" s="306"/>
      <c r="P2588" s="112"/>
      <c r="Q2588" s="112"/>
    </row>
    <row r="2589" spans="2:17" s="110" customFormat="1">
      <c r="B2589" s="111"/>
      <c r="F2589" s="112"/>
      <c r="G2589" s="112"/>
      <c r="H2589" s="112"/>
      <c r="L2589" s="112"/>
      <c r="N2589" s="306"/>
      <c r="P2589" s="112"/>
      <c r="Q2589" s="112"/>
    </row>
    <row r="2590" spans="2:17" s="110" customFormat="1">
      <c r="B2590" s="111"/>
      <c r="F2590" s="112"/>
      <c r="G2590" s="112"/>
      <c r="H2590" s="112"/>
      <c r="L2590" s="112"/>
      <c r="N2590" s="306"/>
      <c r="P2590" s="112"/>
      <c r="Q2590" s="112"/>
    </row>
    <row r="2591" spans="2:17" s="110" customFormat="1">
      <c r="B2591" s="111"/>
      <c r="F2591" s="112"/>
      <c r="G2591" s="112"/>
      <c r="H2591" s="112"/>
      <c r="L2591" s="112"/>
      <c r="N2591" s="306"/>
      <c r="P2591" s="112"/>
      <c r="Q2591" s="112"/>
    </row>
    <row r="2592" spans="2:17" s="110" customFormat="1">
      <c r="B2592" s="111"/>
      <c r="F2592" s="112"/>
      <c r="G2592" s="112"/>
      <c r="H2592" s="112"/>
      <c r="L2592" s="112"/>
      <c r="N2592" s="306"/>
      <c r="P2592" s="112"/>
      <c r="Q2592" s="112"/>
    </row>
    <row r="2593" spans="2:17" s="110" customFormat="1">
      <c r="B2593" s="111"/>
      <c r="F2593" s="112"/>
      <c r="G2593" s="112"/>
      <c r="H2593" s="112"/>
      <c r="L2593" s="112"/>
      <c r="N2593" s="306"/>
      <c r="P2593" s="112"/>
      <c r="Q2593" s="112"/>
    </row>
    <row r="2594" spans="2:17" s="110" customFormat="1">
      <c r="B2594" s="111"/>
      <c r="F2594" s="112"/>
      <c r="G2594" s="112"/>
      <c r="H2594" s="112"/>
      <c r="L2594" s="112"/>
      <c r="N2594" s="306"/>
      <c r="P2594" s="112"/>
      <c r="Q2594" s="112"/>
    </row>
    <row r="2595" spans="2:17" s="110" customFormat="1">
      <c r="B2595" s="111"/>
      <c r="F2595" s="112"/>
      <c r="G2595" s="112"/>
      <c r="H2595" s="112"/>
      <c r="L2595" s="112"/>
      <c r="N2595" s="306"/>
      <c r="P2595" s="112"/>
      <c r="Q2595" s="112"/>
    </row>
    <row r="2596" spans="2:17" s="110" customFormat="1">
      <c r="B2596" s="111"/>
      <c r="F2596" s="112"/>
      <c r="G2596" s="112"/>
      <c r="H2596" s="112"/>
      <c r="L2596" s="112"/>
      <c r="N2596" s="306"/>
      <c r="P2596" s="112"/>
      <c r="Q2596" s="112"/>
    </row>
    <row r="2597" spans="2:17" s="110" customFormat="1">
      <c r="B2597" s="111"/>
      <c r="F2597" s="112"/>
      <c r="G2597" s="112"/>
      <c r="H2597" s="112"/>
      <c r="L2597" s="112"/>
      <c r="N2597" s="306"/>
      <c r="P2597" s="112"/>
      <c r="Q2597" s="112"/>
    </row>
    <row r="2598" spans="2:17" s="110" customFormat="1">
      <c r="B2598" s="111"/>
      <c r="F2598" s="112"/>
      <c r="G2598" s="112"/>
      <c r="H2598" s="112"/>
      <c r="L2598" s="112"/>
      <c r="N2598" s="306"/>
      <c r="P2598" s="112"/>
      <c r="Q2598" s="112"/>
    </row>
    <row r="2599" spans="2:17" s="110" customFormat="1">
      <c r="B2599" s="111"/>
      <c r="F2599" s="112"/>
      <c r="G2599" s="112"/>
      <c r="H2599" s="112"/>
      <c r="L2599" s="112"/>
      <c r="N2599" s="306"/>
      <c r="P2599" s="112"/>
      <c r="Q2599" s="112"/>
    </row>
    <row r="2600" spans="2:17" s="110" customFormat="1">
      <c r="B2600" s="111"/>
      <c r="F2600" s="112"/>
      <c r="G2600" s="112"/>
      <c r="H2600" s="112"/>
      <c r="L2600" s="112"/>
      <c r="N2600" s="306"/>
      <c r="P2600" s="112"/>
      <c r="Q2600" s="112"/>
    </row>
    <row r="2601" spans="2:17" s="110" customFormat="1">
      <c r="B2601" s="111"/>
      <c r="F2601" s="112"/>
      <c r="G2601" s="112"/>
      <c r="H2601" s="112"/>
      <c r="L2601" s="112"/>
      <c r="N2601" s="306"/>
      <c r="P2601" s="112"/>
      <c r="Q2601" s="112"/>
    </row>
    <row r="2602" spans="2:17" s="110" customFormat="1">
      <c r="B2602" s="111"/>
      <c r="F2602" s="112"/>
      <c r="G2602" s="112"/>
      <c r="H2602" s="112"/>
      <c r="L2602" s="112"/>
      <c r="N2602" s="306"/>
      <c r="P2602" s="112"/>
      <c r="Q2602" s="112"/>
    </row>
    <row r="2603" spans="2:17" s="110" customFormat="1">
      <c r="B2603" s="111"/>
      <c r="F2603" s="112"/>
      <c r="G2603" s="112"/>
      <c r="H2603" s="112"/>
      <c r="L2603" s="112"/>
      <c r="N2603" s="306"/>
      <c r="P2603" s="112"/>
      <c r="Q2603" s="112"/>
    </row>
    <row r="2604" spans="2:17" s="110" customFormat="1">
      <c r="B2604" s="111"/>
      <c r="F2604" s="112"/>
      <c r="G2604" s="112"/>
      <c r="H2604" s="112"/>
      <c r="L2604" s="112"/>
      <c r="N2604" s="306"/>
      <c r="P2604" s="112"/>
      <c r="Q2604" s="112"/>
    </row>
    <row r="2605" spans="2:17" s="110" customFormat="1">
      <c r="B2605" s="111"/>
      <c r="F2605" s="112"/>
      <c r="G2605" s="112"/>
      <c r="H2605" s="112"/>
      <c r="L2605" s="112"/>
      <c r="N2605" s="306"/>
      <c r="P2605" s="112"/>
      <c r="Q2605" s="112"/>
    </row>
    <row r="2606" spans="2:17" s="110" customFormat="1">
      <c r="B2606" s="111"/>
      <c r="F2606" s="112"/>
      <c r="G2606" s="112"/>
      <c r="H2606" s="112"/>
      <c r="L2606" s="112"/>
      <c r="N2606" s="306"/>
      <c r="P2606" s="112"/>
      <c r="Q2606" s="112"/>
    </row>
    <row r="2607" spans="2:17" s="110" customFormat="1">
      <c r="B2607" s="111"/>
      <c r="F2607" s="112"/>
      <c r="G2607" s="112"/>
      <c r="H2607" s="112"/>
      <c r="L2607" s="112"/>
      <c r="N2607" s="306"/>
      <c r="P2607" s="112"/>
      <c r="Q2607" s="112"/>
    </row>
    <row r="2608" spans="2:17" s="110" customFormat="1">
      <c r="B2608" s="111"/>
      <c r="F2608" s="112"/>
      <c r="G2608" s="112"/>
      <c r="H2608" s="112"/>
      <c r="L2608" s="112"/>
      <c r="N2608" s="306"/>
      <c r="P2608" s="112"/>
      <c r="Q2608" s="112"/>
    </row>
    <row r="2609" spans="2:17" s="110" customFormat="1">
      <c r="B2609" s="111"/>
      <c r="F2609" s="112"/>
      <c r="G2609" s="112"/>
      <c r="H2609" s="112"/>
      <c r="L2609" s="112"/>
      <c r="N2609" s="306"/>
      <c r="P2609" s="112"/>
      <c r="Q2609" s="112"/>
    </row>
    <row r="2610" spans="2:17" s="110" customFormat="1">
      <c r="B2610" s="111"/>
      <c r="F2610" s="112"/>
      <c r="G2610" s="112"/>
      <c r="H2610" s="112"/>
      <c r="L2610" s="112"/>
      <c r="N2610" s="306"/>
      <c r="P2610" s="112"/>
      <c r="Q2610" s="112"/>
    </row>
    <row r="2611" spans="2:17" s="110" customFormat="1">
      <c r="B2611" s="111"/>
      <c r="F2611" s="112"/>
      <c r="G2611" s="112"/>
      <c r="H2611" s="112"/>
      <c r="L2611" s="112"/>
      <c r="N2611" s="306"/>
      <c r="P2611" s="112"/>
      <c r="Q2611" s="112"/>
    </row>
    <row r="2612" spans="2:17" s="110" customFormat="1">
      <c r="B2612" s="111"/>
      <c r="F2612" s="112"/>
      <c r="G2612" s="112"/>
      <c r="H2612" s="112"/>
      <c r="L2612" s="112"/>
      <c r="N2612" s="306"/>
      <c r="P2612" s="112"/>
      <c r="Q2612" s="112"/>
    </row>
    <row r="2613" spans="2:17" s="110" customFormat="1">
      <c r="B2613" s="111"/>
      <c r="F2613" s="112"/>
      <c r="G2613" s="112"/>
      <c r="H2613" s="112"/>
      <c r="L2613" s="112"/>
      <c r="N2613" s="306"/>
      <c r="P2613" s="112"/>
      <c r="Q2613" s="112"/>
    </row>
    <row r="2614" spans="2:17" s="110" customFormat="1">
      <c r="B2614" s="111"/>
      <c r="F2614" s="112"/>
      <c r="G2614" s="112"/>
      <c r="H2614" s="112"/>
      <c r="L2614" s="112"/>
      <c r="N2614" s="306"/>
      <c r="P2614" s="112"/>
      <c r="Q2614" s="112"/>
    </row>
    <row r="2615" spans="2:17" s="110" customFormat="1">
      <c r="B2615" s="111"/>
      <c r="F2615" s="112"/>
      <c r="G2615" s="112"/>
      <c r="H2615" s="112"/>
      <c r="L2615" s="112"/>
      <c r="N2615" s="306"/>
      <c r="P2615" s="112"/>
      <c r="Q2615" s="112"/>
    </row>
    <row r="2616" spans="2:17" s="110" customFormat="1">
      <c r="B2616" s="111"/>
      <c r="F2616" s="112"/>
      <c r="G2616" s="112"/>
      <c r="H2616" s="112"/>
      <c r="L2616" s="112"/>
      <c r="N2616" s="306"/>
      <c r="P2616" s="112"/>
      <c r="Q2616" s="112"/>
    </row>
    <row r="2617" spans="2:17" s="110" customFormat="1">
      <c r="B2617" s="111"/>
      <c r="F2617" s="112"/>
      <c r="G2617" s="112"/>
      <c r="H2617" s="112"/>
      <c r="L2617" s="112"/>
      <c r="N2617" s="306"/>
      <c r="P2617" s="112"/>
      <c r="Q2617" s="112"/>
    </row>
    <row r="2618" spans="2:17" s="110" customFormat="1">
      <c r="B2618" s="111"/>
      <c r="F2618" s="112"/>
      <c r="G2618" s="112"/>
      <c r="H2618" s="112"/>
      <c r="L2618" s="112"/>
      <c r="N2618" s="306"/>
      <c r="P2618" s="112"/>
      <c r="Q2618" s="112"/>
    </row>
    <row r="2619" spans="2:17" s="110" customFormat="1">
      <c r="B2619" s="111"/>
      <c r="F2619" s="112"/>
      <c r="G2619" s="112"/>
      <c r="H2619" s="112"/>
      <c r="L2619" s="112"/>
      <c r="N2619" s="306"/>
      <c r="P2619" s="112"/>
      <c r="Q2619" s="112"/>
    </row>
    <row r="2620" spans="2:17" s="110" customFormat="1">
      <c r="B2620" s="111"/>
      <c r="F2620" s="112"/>
      <c r="G2620" s="112"/>
      <c r="H2620" s="112"/>
      <c r="L2620" s="112"/>
      <c r="N2620" s="306"/>
      <c r="P2620" s="112"/>
      <c r="Q2620" s="112"/>
    </row>
    <row r="2621" spans="2:17" s="110" customFormat="1">
      <c r="B2621" s="111"/>
      <c r="F2621" s="112"/>
      <c r="G2621" s="112"/>
      <c r="H2621" s="112"/>
      <c r="L2621" s="112"/>
      <c r="N2621" s="306"/>
      <c r="P2621" s="112"/>
      <c r="Q2621" s="112"/>
    </row>
    <row r="2622" spans="2:17" s="110" customFormat="1">
      <c r="B2622" s="111"/>
      <c r="F2622" s="112"/>
      <c r="G2622" s="112"/>
      <c r="H2622" s="112"/>
      <c r="L2622" s="112"/>
      <c r="N2622" s="306"/>
      <c r="P2622" s="112"/>
      <c r="Q2622" s="112"/>
    </row>
    <row r="2623" spans="2:17" s="110" customFormat="1">
      <c r="B2623" s="111"/>
      <c r="F2623" s="112"/>
      <c r="G2623" s="112"/>
      <c r="H2623" s="112"/>
      <c r="L2623" s="112"/>
      <c r="N2623" s="306"/>
      <c r="P2623" s="112"/>
      <c r="Q2623" s="112"/>
    </row>
    <row r="2624" spans="2:17" s="110" customFormat="1">
      <c r="B2624" s="111"/>
      <c r="F2624" s="112"/>
      <c r="G2624" s="112"/>
      <c r="H2624" s="112"/>
      <c r="L2624" s="112"/>
      <c r="N2624" s="306"/>
      <c r="P2624" s="112"/>
      <c r="Q2624" s="112"/>
    </row>
    <row r="2625" spans="2:17" s="110" customFormat="1">
      <c r="B2625" s="111"/>
      <c r="F2625" s="112"/>
      <c r="G2625" s="112"/>
      <c r="H2625" s="112"/>
      <c r="L2625" s="112"/>
      <c r="N2625" s="306"/>
      <c r="P2625" s="112"/>
      <c r="Q2625" s="112"/>
    </row>
    <row r="2626" spans="2:17" s="110" customFormat="1">
      <c r="B2626" s="111"/>
      <c r="F2626" s="112"/>
      <c r="G2626" s="112"/>
      <c r="H2626" s="112"/>
      <c r="L2626" s="112"/>
      <c r="N2626" s="306"/>
      <c r="P2626" s="112"/>
      <c r="Q2626" s="112"/>
    </row>
    <row r="2627" spans="2:17" s="110" customFormat="1">
      <c r="B2627" s="111"/>
      <c r="F2627" s="112"/>
      <c r="G2627" s="112"/>
      <c r="H2627" s="112"/>
      <c r="L2627" s="112"/>
      <c r="N2627" s="306"/>
      <c r="P2627" s="112"/>
      <c r="Q2627" s="112"/>
    </row>
    <row r="2628" spans="2:17" s="110" customFormat="1">
      <c r="B2628" s="111"/>
      <c r="F2628" s="112"/>
      <c r="G2628" s="112"/>
      <c r="H2628" s="112"/>
      <c r="L2628" s="112"/>
      <c r="N2628" s="306"/>
      <c r="P2628" s="112"/>
      <c r="Q2628" s="112"/>
    </row>
    <row r="2629" spans="2:17" s="110" customFormat="1">
      <c r="B2629" s="111"/>
      <c r="F2629" s="112"/>
      <c r="G2629" s="112"/>
      <c r="H2629" s="112"/>
      <c r="L2629" s="112"/>
      <c r="N2629" s="306"/>
      <c r="P2629" s="112"/>
      <c r="Q2629" s="112"/>
    </row>
    <row r="2630" spans="2:17" s="110" customFormat="1">
      <c r="B2630" s="111"/>
      <c r="F2630" s="112"/>
      <c r="G2630" s="112"/>
      <c r="H2630" s="112"/>
      <c r="L2630" s="112"/>
      <c r="N2630" s="306"/>
      <c r="P2630" s="112"/>
      <c r="Q2630" s="112"/>
    </row>
    <row r="2631" spans="2:17" s="110" customFormat="1">
      <c r="B2631" s="111"/>
      <c r="F2631" s="112"/>
      <c r="G2631" s="112"/>
      <c r="H2631" s="112"/>
      <c r="L2631" s="112"/>
      <c r="N2631" s="306"/>
      <c r="P2631" s="112"/>
      <c r="Q2631" s="112"/>
    </row>
    <row r="2632" spans="2:17" s="110" customFormat="1">
      <c r="B2632" s="111"/>
      <c r="F2632" s="112"/>
      <c r="G2632" s="112"/>
      <c r="H2632" s="112"/>
      <c r="L2632" s="112"/>
      <c r="N2632" s="306"/>
      <c r="P2632" s="112"/>
      <c r="Q2632" s="112"/>
    </row>
    <row r="2633" spans="2:17" s="110" customFormat="1">
      <c r="B2633" s="111"/>
      <c r="F2633" s="112"/>
      <c r="G2633" s="112"/>
      <c r="H2633" s="112"/>
      <c r="L2633" s="112"/>
      <c r="N2633" s="306"/>
      <c r="P2633" s="112"/>
      <c r="Q2633" s="112"/>
    </row>
    <row r="2634" spans="2:17" s="110" customFormat="1">
      <c r="B2634" s="111"/>
      <c r="F2634" s="112"/>
      <c r="G2634" s="112"/>
      <c r="H2634" s="112"/>
      <c r="L2634" s="112"/>
      <c r="N2634" s="306"/>
      <c r="P2634" s="112"/>
      <c r="Q2634" s="112"/>
    </row>
    <row r="2635" spans="2:17" s="110" customFormat="1">
      <c r="B2635" s="111"/>
      <c r="F2635" s="112"/>
      <c r="G2635" s="112"/>
      <c r="H2635" s="112"/>
      <c r="L2635" s="112"/>
      <c r="N2635" s="306"/>
      <c r="P2635" s="112"/>
      <c r="Q2635" s="112"/>
    </row>
    <row r="2636" spans="2:17" s="110" customFormat="1">
      <c r="B2636" s="111"/>
      <c r="F2636" s="112"/>
      <c r="G2636" s="112"/>
      <c r="H2636" s="112"/>
      <c r="L2636" s="112"/>
      <c r="N2636" s="306"/>
      <c r="P2636" s="112"/>
      <c r="Q2636" s="112"/>
    </row>
    <row r="2637" spans="2:17" s="110" customFormat="1">
      <c r="B2637" s="111"/>
      <c r="F2637" s="112"/>
      <c r="G2637" s="112"/>
      <c r="H2637" s="112"/>
      <c r="L2637" s="112"/>
      <c r="N2637" s="306"/>
      <c r="P2637" s="112"/>
      <c r="Q2637" s="112"/>
    </row>
    <row r="2638" spans="2:17" s="110" customFormat="1">
      <c r="B2638" s="111"/>
      <c r="F2638" s="112"/>
      <c r="G2638" s="112"/>
      <c r="H2638" s="112"/>
      <c r="L2638" s="112"/>
      <c r="N2638" s="306"/>
      <c r="P2638" s="112"/>
      <c r="Q2638" s="112"/>
    </row>
    <row r="2639" spans="2:17" s="110" customFormat="1">
      <c r="B2639" s="111"/>
      <c r="F2639" s="112"/>
      <c r="G2639" s="112"/>
      <c r="H2639" s="112"/>
      <c r="L2639" s="112"/>
      <c r="N2639" s="306"/>
      <c r="P2639" s="112"/>
      <c r="Q2639" s="112"/>
    </row>
    <row r="2640" spans="2:17" s="110" customFormat="1">
      <c r="B2640" s="111"/>
      <c r="F2640" s="112"/>
      <c r="G2640" s="112"/>
      <c r="H2640" s="112"/>
      <c r="L2640" s="112"/>
      <c r="N2640" s="306"/>
      <c r="P2640" s="112"/>
      <c r="Q2640" s="112"/>
    </row>
    <row r="2641" spans="2:17" s="110" customFormat="1">
      <c r="B2641" s="111"/>
      <c r="F2641" s="112"/>
      <c r="G2641" s="112"/>
      <c r="H2641" s="112"/>
      <c r="L2641" s="112"/>
      <c r="N2641" s="306"/>
      <c r="P2641" s="112"/>
      <c r="Q2641" s="112"/>
    </row>
    <row r="2642" spans="2:17" s="110" customFormat="1">
      <c r="B2642" s="111"/>
      <c r="F2642" s="112"/>
      <c r="G2642" s="112"/>
      <c r="H2642" s="112"/>
      <c r="L2642" s="112"/>
      <c r="N2642" s="306"/>
      <c r="P2642" s="112"/>
      <c r="Q2642" s="112"/>
    </row>
    <row r="2643" spans="2:17" s="110" customFormat="1">
      <c r="B2643" s="111"/>
      <c r="F2643" s="112"/>
      <c r="G2643" s="112"/>
      <c r="H2643" s="112"/>
      <c r="L2643" s="112"/>
      <c r="N2643" s="306"/>
      <c r="P2643" s="112"/>
      <c r="Q2643" s="112"/>
    </row>
    <row r="2644" spans="2:17" s="110" customFormat="1">
      <c r="B2644" s="111"/>
      <c r="F2644" s="112"/>
      <c r="G2644" s="112"/>
      <c r="H2644" s="112"/>
      <c r="L2644" s="112"/>
      <c r="N2644" s="306"/>
      <c r="P2644" s="112"/>
      <c r="Q2644" s="112"/>
    </row>
    <row r="2645" spans="2:17" s="110" customFormat="1">
      <c r="B2645" s="111"/>
      <c r="F2645" s="112"/>
      <c r="G2645" s="112"/>
      <c r="H2645" s="112"/>
      <c r="L2645" s="112"/>
      <c r="N2645" s="306"/>
      <c r="P2645" s="112"/>
      <c r="Q2645" s="112"/>
    </row>
    <row r="2646" spans="2:17" s="110" customFormat="1">
      <c r="B2646" s="111"/>
      <c r="F2646" s="112"/>
      <c r="G2646" s="112"/>
      <c r="H2646" s="112"/>
      <c r="L2646" s="112"/>
      <c r="N2646" s="306"/>
      <c r="P2646" s="112"/>
      <c r="Q2646" s="112"/>
    </row>
    <row r="2647" spans="2:17" s="110" customFormat="1">
      <c r="B2647" s="111"/>
      <c r="F2647" s="112"/>
      <c r="G2647" s="112"/>
      <c r="H2647" s="112"/>
      <c r="L2647" s="112"/>
      <c r="N2647" s="306"/>
      <c r="P2647" s="112"/>
      <c r="Q2647" s="112"/>
    </row>
    <row r="2648" spans="2:17" s="110" customFormat="1">
      <c r="B2648" s="111"/>
      <c r="F2648" s="112"/>
      <c r="G2648" s="112"/>
      <c r="H2648" s="112"/>
      <c r="L2648" s="112"/>
      <c r="N2648" s="306"/>
      <c r="P2648" s="112"/>
      <c r="Q2648" s="112"/>
    </row>
    <row r="2649" spans="2:17" s="110" customFormat="1">
      <c r="B2649" s="111"/>
      <c r="F2649" s="112"/>
      <c r="G2649" s="112"/>
      <c r="H2649" s="112"/>
      <c r="L2649" s="112"/>
      <c r="N2649" s="306"/>
      <c r="P2649" s="112"/>
      <c r="Q2649" s="112"/>
    </row>
    <row r="2650" spans="2:17" s="110" customFormat="1">
      <c r="B2650" s="111"/>
      <c r="F2650" s="112"/>
      <c r="G2650" s="112"/>
      <c r="H2650" s="112"/>
      <c r="L2650" s="112"/>
      <c r="N2650" s="306"/>
      <c r="P2650" s="112"/>
      <c r="Q2650" s="112"/>
    </row>
    <row r="2651" spans="2:17" s="110" customFormat="1">
      <c r="B2651" s="111"/>
      <c r="F2651" s="112"/>
      <c r="G2651" s="112"/>
      <c r="H2651" s="112"/>
      <c r="L2651" s="112"/>
      <c r="N2651" s="306"/>
      <c r="P2651" s="112"/>
      <c r="Q2651" s="112"/>
    </row>
    <row r="2652" spans="2:17" s="110" customFormat="1">
      <c r="B2652" s="111"/>
      <c r="F2652" s="112"/>
      <c r="G2652" s="112"/>
      <c r="H2652" s="112"/>
      <c r="L2652" s="112"/>
      <c r="N2652" s="306"/>
      <c r="P2652" s="112"/>
      <c r="Q2652" s="112"/>
    </row>
    <row r="2653" spans="2:17" s="110" customFormat="1">
      <c r="B2653" s="111"/>
      <c r="F2653" s="112"/>
      <c r="G2653" s="112"/>
      <c r="H2653" s="112"/>
      <c r="L2653" s="112"/>
      <c r="N2653" s="306"/>
      <c r="P2653" s="112"/>
      <c r="Q2653" s="112"/>
    </row>
    <row r="2654" spans="2:17" s="110" customFormat="1">
      <c r="B2654" s="111"/>
      <c r="F2654" s="112"/>
      <c r="G2654" s="112"/>
      <c r="H2654" s="112"/>
      <c r="L2654" s="112"/>
      <c r="N2654" s="306"/>
      <c r="P2654" s="112"/>
      <c r="Q2654" s="112"/>
    </row>
    <row r="2655" spans="2:17" s="110" customFormat="1">
      <c r="B2655" s="111"/>
      <c r="F2655" s="112"/>
      <c r="G2655" s="112"/>
      <c r="H2655" s="112"/>
      <c r="L2655" s="112"/>
      <c r="N2655" s="306"/>
      <c r="P2655" s="112"/>
      <c r="Q2655" s="112"/>
    </row>
    <row r="2656" spans="2:17" s="110" customFormat="1">
      <c r="B2656" s="111"/>
      <c r="F2656" s="112"/>
      <c r="G2656" s="112"/>
      <c r="H2656" s="112"/>
      <c r="L2656" s="112"/>
      <c r="N2656" s="306"/>
      <c r="P2656" s="112"/>
      <c r="Q2656" s="112"/>
    </row>
    <row r="2657" spans="2:17" s="110" customFormat="1">
      <c r="B2657" s="111"/>
      <c r="F2657" s="112"/>
      <c r="G2657" s="112"/>
      <c r="H2657" s="112"/>
      <c r="L2657" s="112"/>
      <c r="N2657" s="306"/>
      <c r="P2657" s="112"/>
      <c r="Q2657" s="112"/>
    </row>
    <row r="2658" spans="2:17" s="110" customFormat="1">
      <c r="B2658" s="111"/>
      <c r="F2658" s="112"/>
      <c r="G2658" s="112"/>
      <c r="H2658" s="112"/>
      <c r="L2658" s="112"/>
      <c r="N2658" s="306"/>
      <c r="P2658" s="112"/>
      <c r="Q2658" s="112"/>
    </row>
    <row r="2659" spans="2:17" s="110" customFormat="1">
      <c r="B2659" s="111"/>
      <c r="F2659" s="112"/>
      <c r="G2659" s="112"/>
      <c r="H2659" s="112"/>
      <c r="L2659" s="112"/>
      <c r="N2659" s="306"/>
      <c r="P2659" s="112"/>
      <c r="Q2659" s="112"/>
    </row>
    <row r="2660" spans="2:17" s="110" customFormat="1">
      <c r="B2660" s="111"/>
      <c r="F2660" s="112"/>
      <c r="G2660" s="112"/>
      <c r="H2660" s="112"/>
      <c r="L2660" s="112"/>
      <c r="N2660" s="306"/>
      <c r="P2660" s="112"/>
      <c r="Q2660" s="112"/>
    </row>
    <row r="2661" spans="2:17" s="110" customFormat="1">
      <c r="B2661" s="111"/>
      <c r="F2661" s="112"/>
      <c r="G2661" s="112"/>
      <c r="H2661" s="112"/>
      <c r="L2661" s="112"/>
      <c r="N2661" s="306"/>
      <c r="P2661" s="112"/>
      <c r="Q2661" s="112"/>
    </row>
    <row r="2662" spans="2:17" s="110" customFormat="1">
      <c r="B2662" s="111"/>
      <c r="F2662" s="112"/>
      <c r="G2662" s="112"/>
      <c r="H2662" s="112"/>
      <c r="L2662" s="112"/>
      <c r="N2662" s="306"/>
      <c r="P2662" s="112"/>
      <c r="Q2662" s="112"/>
    </row>
    <row r="2663" spans="2:17" s="110" customFormat="1">
      <c r="B2663" s="111"/>
      <c r="F2663" s="112"/>
      <c r="G2663" s="112"/>
      <c r="H2663" s="112"/>
      <c r="L2663" s="112"/>
      <c r="N2663" s="306"/>
      <c r="P2663" s="112"/>
      <c r="Q2663" s="112"/>
    </row>
    <row r="2664" spans="2:17" s="110" customFormat="1">
      <c r="B2664" s="111"/>
      <c r="F2664" s="112"/>
      <c r="G2664" s="112"/>
      <c r="H2664" s="112"/>
      <c r="L2664" s="112"/>
      <c r="N2664" s="306"/>
      <c r="P2664" s="112"/>
      <c r="Q2664" s="112"/>
    </row>
    <row r="2665" spans="2:17" s="110" customFormat="1">
      <c r="B2665" s="111"/>
      <c r="F2665" s="112"/>
      <c r="G2665" s="112"/>
      <c r="H2665" s="112"/>
      <c r="L2665" s="112"/>
      <c r="N2665" s="306"/>
      <c r="P2665" s="112"/>
      <c r="Q2665" s="112"/>
    </row>
    <row r="2666" spans="2:17" s="110" customFormat="1">
      <c r="B2666" s="111"/>
      <c r="F2666" s="112"/>
      <c r="G2666" s="112"/>
      <c r="H2666" s="112"/>
      <c r="L2666" s="112"/>
      <c r="N2666" s="306"/>
      <c r="P2666" s="112"/>
      <c r="Q2666" s="112"/>
    </row>
    <row r="2667" spans="2:17" s="110" customFormat="1">
      <c r="B2667" s="111"/>
      <c r="F2667" s="112"/>
      <c r="G2667" s="112"/>
      <c r="H2667" s="112"/>
      <c r="L2667" s="112"/>
      <c r="N2667" s="306"/>
      <c r="P2667" s="112"/>
      <c r="Q2667" s="112"/>
    </row>
    <row r="2668" spans="2:17" s="110" customFormat="1">
      <c r="B2668" s="111"/>
      <c r="F2668" s="112"/>
      <c r="G2668" s="112"/>
      <c r="H2668" s="112"/>
      <c r="L2668" s="112"/>
      <c r="N2668" s="306"/>
      <c r="P2668" s="112"/>
      <c r="Q2668" s="112"/>
    </row>
    <row r="2669" spans="2:17" s="110" customFormat="1">
      <c r="B2669" s="111"/>
      <c r="F2669" s="112"/>
      <c r="G2669" s="112"/>
      <c r="H2669" s="112"/>
      <c r="L2669" s="112"/>
      <c r="N2669" s="306"/>
      <c r="P2669" s="112"/>
      <c r="Q2669" s="112"/>
    </row>
    <row r="2670" spans="2:17" s="110" customFormat="1">
      <c r="B2670" s="111"/>
      <c r="F2670" s="112"/>
      <c r="G2670" s="112"/>
      <c r="H2670" s="112"/>
      <c r="L2670" s="112"/>
      <c r="N2670" s="306"/>
      <c r="P2670" s="112"/>
      <c r="Q2670" s="112"/>
    </row>
    <row r="2671" spans="2:17" s="110" customFormat="1">
      <c r="B2671" s="111"/>
      <c r="F2671" s="112"/>
      <c r="G2671" s="112"/>
      <c r="H2671" s="112"/>
      <c r="L2671" s="112"/>
      <c r="N2671" s="306"/>
      <c r="P2671" s="112"/>
      <c r="Q2671" s="112"/>
    </row>
    <row r="2672" spans="2:17" s="110" customFormat="1">
      <c r="B2672" s="111"/>
      <c r="F2672" s="112"/>
      <c r="G2672" s="112"/>
      <c r="H2672" s="112"/>
      <c r="L2672" s="112"/>
      <c r="N2672" s="306"/>
      <c r="P2672" s="112"/>
      <c r="Q2672" s="112"/>
    </row>
    <row r="2673" spans="2:17" s="110" customFormat="1">
      <c r="B2673" s="111"/>
      <c r="F2673" s="112"/>
      <c r="G2673" s="112"/>
      <c r="H2673" s="112"/>
      <c r="L2673" s="112"/>
      <c r="N2673" s="306"/>
      <c r="P2673" s="112"/>
      <c r="Q2673" s="112"/>
    </row>
    <row r="2674" spans="2:17" s="110" customFormat="1">
      <c r="B2674" s="111"/>
      <c r="F2674" s="112"/>
      <c r="G2674" s="112"/>
      <c r="H2674" s="112"/>
      <c r="L2674" s="112"/>
      <c r="N2674" s="306"/>
      <c r="P2674" s="112"/>
      <c r="Q2674" s="112"/>
    </row>
    <row r="2675" spans="2:17" s="110" customFormat="1">
      <c r="B2675" s="111"/>
      <c r="F2675" s="112"/>
      <c r="G2675" s="112"/>
      <c r="H2675" s="112"/>
      <c r="L2675" s="112"/>
      <c r="N2675" s="306"/>
      <c r="P2675" s="112"/>
      <c r="Q2675" s="112"/>
    </row>
    <row r="2676" spans="2:17" s="110" customFormat="1">
      <c r="B2676" s="111"/>
      <c r="F2676" s="112"/>
      <c r="G2676" s="112"/>
      <c r="H2676" s="112"/>
      <c r="L2676" s="112"/>
      <c r="N2676" s="306"/>
      <c r="P2676" s="112"/>
      <c r="Q2676" s="112"/>
    </row>
    <row r="2677" spans="2:17" s="110" customFormat="1">
      <c r="B2677" s="111"/>
      <c r="F2677" s="112"/>
      <c r="G2677" s="112"/>
      <c r="H2677" s="112"/>
      <c r="L2677" s="112"/>
      <c r="N2677" s="306"/>
      <c r="P2677" s="112"/>
      <c r="Q2677" s="112"/>
    </row>
    <row r="2678" spans="2:17" s="110" customFormat="1">
      <c r="B2678" s="111"/>
      <c r="F2678" s="112"/>
      <c r="G2678" s="112"/>
      <c r="H2678" s="112"/>
      <c r="L2678" s="112"/>
      <c r="N2678" s="306"/>
      <c r="P2678" s="112"/>
      <c r="Q2678" s="112"/>
    </row>
    <row r="2679" spans="2:17" s="110" customFormat="1">
      <c r="B2679" s="111"/>
      <c r="F2679" s="112"/>
      <c r="G2679" s="112"/>
      <c r="H2679" s="112"/>
      <c r="L2679" s="112"/>
      <c r="N2679" s="306"/>
      <c r="P2679" s="112"/>
      <c r="Q2679" s="112"/>
    </row>
    <row r="2680" spans="2:17" s="110" customFormat="1">
      <c r="B2680" s="111"/>
      <c r="F2680" s="112"/>
      <c r="G2680" s="112"/>
      <c r="H2680" s="112"/>
      <c r="L2680" s="112"/>
      <c r="N2680" s="306"/>
      <c r="P2680" s="112"/>
      <c r="Q2680" s="112"/>
    </row>
    <row r="2681" spans="2:17" s="110" customFormat="1">
      <c r="B2681" s="111"/>
      <c r="F2681" s="112"/>
      <c r="G2681" s="112"/>
      <c r="H2681" s="112"/>
      <c r="L2681" s="112"/>
      <c r="N2681" s="306"/>
      <c r="P2681" s="112"/>
      <c r="Q2681" s="112"/>
    </row>
    <row r="2682" spans="2:17" s="110" customFormat="1">
      <c r="B2682" s="111"/>
      <c r="F2682" s="112"/>
      <c r="G2682" s="112"/>
      <c r="H2682" s="112"/>
      <c r="L2682" s="112"/>
      <c r="N2682" s="306"/>
      <c r="P2682" s="112"/>
      <c r="Q2682" s="112"/>
    </row>
    <row r="2683" spans="2:17" s="110" customFormat="1">
      <c r="B2683" s="111"/>
      <c r="F2683" s="112"/>
      <c r="G2683" s="112"/>
      <c r="H2683" s="112"/>
      <c r="L2683" s="112"/>
      <c r="N2683" s="306"/>
      <c r="P2683" s="112"/>
      <c r="Q2683" s="112"/>
    </row>
    <row r="2684" spans="2:17" s="110" customFormat="1">
      <c r="B2684" s="111"/>
      <c r="F2684" s="112"/>
      <c r="G2684" s="112"/>
      <c r="H2684" s="112"/>
      <c r="L2684" s="112"/>
      <c r="N2684" s="306"/>
      <c r="P2684" s="112"/>
      <c r="Q2684" s="112"/>
    </row>
    <row r="2685" spans="2:17" s="110" customFormat="1">
      <c r="B2685" s="111"/>
      <c r="F2685" s="112"/>
      <c r="G2685" s="112"/>
      <c r="H2685" s="112"/>
      <c r="L2685" s="112"/>
      <c r="N2685" s="306"/>
      <c r="P2685" s="112"/>
      <c r="Q2685" s="112"/>
    </row>
    <row r="2686" spans="2:17" s="110" customFormat="1">
      <c r="B2686" s="111"/>
      <c r="F2686" s="112"/>
      <c r="G2686" s="112"/>
      <c r="H2686" s="112"/>
      <c r="L2686" s="112"/>
      <c r="N2686" s="306"/>
      <c r="P2686" s="112"/>
      <c r="Q2686" s="112"/>
    </row>
    <row r="2687" spans="2:17" s="110" customFormat="1">
      <c r="B2687" s="111"/>
      <c r="F2687" s="112"/>
      <c r="G2687" s="112"/>
      <c r="H2687" s="112"/>
      <c r="L2687" s="112"/>
      <c r="N2687" s="306"/>
      <c r="P2687" s="112"/>
      <c r="Q2687" s="112"/>
    </row>
    <row r="2688" spans="2:17" s="110" customFormat="1">
      <c r="B2688" s="111"/>
      <c r="F2688" s="112"/>
      <c r="G2688" s="112"/>
      <c r="H2688" s="112"/>
      <c r="L2688" s="112"/>
      <c r="N2688" s="306"/>
      <c r="P2688" s="112"/>
      <c r="Q2688" s="112"/>
    </row>
    <row r="2689" spans="2:17" s="110" customFormat="1">
      <c r="B2689" s="111"/>
      <c r="F2689" s="112"/>
      <c r="G2689" s="112"/>
      <c r="H2689" s="112"/>
      <c r="L2689" s="112"/>
      <c r="N2689" s="306"/>
      <c r="P2689" s="112"/>
      <c r="Q2689" s="112"/>
    </row>
    <row r="2690" spans="2:17" s="110" customFormat="1">
      <c r="B2690" s="111"/>
      <c r="F2690" s="112"/>
      <c r="G2690" s="112"/>
      <c r="H2690" s="112"/>
      <c r="L2690" s="112"/>
      <c r="N2690" s="306"/>
      <c r="P2690" s="112"/>
      <c r="Q2690" s="112"/>
    </row>
    <row r="2691" spans="2:17" s="110" customFormat="1">
      <c r="B2691" s="111"/>
      <c r="F2691" s="112"/>
      <c r="G2691" s="112"/>
      <c r="H2691" s="112"/>
      <c r="L2691" s="112"/>
      <c r="N2691" s="306"/>
      <c r="P2691" s="112"/>
      <c r="Q2691" s="112"/>
    </row>
    <row r="2692" spans="2:17" s="110" customFormat="1">
      <c r="B2692" s="111"/>
      <c r="F2692" s="112"/>
      <c r="G2692" s="112"/>
      <c r="H2692" s="112"/>
      <c r="L2692" s="112"/>
      <c r="N2692" s="306"/>
      <c r="P2692" s="112"/>
      <c r="Q2692" s="112"/>
    </row>
    <row r="2693" spans="2:17" s="110" customFormat="1">
      <c r="B2693" s="111"/>
      <c r="F2693" s="112"/>
      <c r="G2693" s="112"/>
      <c r="H2693" s="112"/>
      <c r="L2693" s="112"/>
      <c r="N2693" s="306"/>
      <c r="P2693" s="112"/>
      <c r="Q2693" s="112"/>
    </row>
    <row r="2694" spans="2:17" s="110" customFormat="1">
      <c r="B2694" s="111"/>
      <c r="F2694" s="112"/>
      <c r="G2694" s="112"/>
      <c r="H2694" s="112"/>
      <c r="L2694" s="112"/>
      <c r="N2694" s="306"/>
      <c r="P2694" s="112"/>
      <c r="Q2694" s="112"/>
    </row>
    <row r="2695" spans="2:17" s="110" customFormat="1">
      <c r="B2695" s="111"/>
      <c r="F2695" s="112"/>
      <c r="G2695" s="112"/>
      <c r="H2695" s="112"/>
      <c r="L2695" s="112"/>
      <c r="N2695" s="306"/>
      <c r="P2695" s="112"/>
      <c r="Q2695" s="112"/>
    </row>
    <row r="2696" spans="2:17" s="110" customFormat="1">
      <c r="B2696" s="111"/>
      <c r="F2696" s="112"/>
      <c r="G2696" s="112"/>
      <c r="H2696" s="112"/>
      <c r="L2696" s="112"/>
      <c r="N2696" s="306"/>
      <c r="P2696" s="112"/>
      <c r="Q2696" s="112"/>
    </row>
    <row r="2697" spans="2:17" s="110" customFormat="1">
      <c r="B2697" s="111"/>
      <c r="F2697" s="112"/>
      <c r="G2697" s="112"/>
      <c r="H2697" s="112"/>
      <c r="L2697" s="112"/>
      <c r="N2697" s="306"/>
      <c r="P2697" s="112"/>
      <c r="Q2697" s="112"/>
    </row>
    <row r="2698" spans="2:17" s="110" customFormat="1">
      <c r="B2698" s="111"/>
      <c r="F2698" s="112"/>
      <c r="G2698" s="112"/>
      <c r="H2698" s="112"/>
      <c r="L2698" s="112"/>
      <c r="N2698" s="306"/>
      <c r="P2698" s="112"/>
      <c r="Q2698" s="112"/>
    </row>
    <row r="2699" spans="2:17" s="110" customFormat="1">
      <c r="B2699" s="111"/>
      <c r="F2699" s="112"/>
      <c r="G2699" s="112"/>
      <c r="H2699" s="112"/>
      <c r="L2699" s="112"/>
      <c r="N2699" s="306"/>
      <c r="P2699" s="112"/>
      <c r="Q2699" s="112"/>
    </row>
    <row r="2700" spans="2:17" s="110" customFormat="1">
      <c r="B2700" s="111"/>
      <c r="F2700" s="112"/>
      <c r="G2700" s="112"/>
      <c r="H2700" s="112"/>
      <c r="L2700" s="112"/>
      <c r="N2700" s="306"/>
      <c r="P2700" s="112"/>
      <c r="Q2700" s="112"/>
    </row>
    <row r="2701" spans="2:17" s="110" customFormat="1">
      <c r="B2701" s="111"/>
      <c r="F2701" s="112"/>
      <c r="G2701" s="112"/>
      <c r="H2701" s="112"/>
      <c r="L2701" s="112"/>
      <c r="N2701" s="306"/>
      <c r="P2701" s="112"/>
      <c r="Q2701" s="112"/>
    </row>
    <row r="2702" spans="2:17" s="110" customFormat="1">
      <c r="B2702" s="111"/>
      <c r="F2702" s="112"/>
      <c r="G2702" s="112"/>
      <c r="H2702" s="112"/>
      <c r="L2702" s="112"/>
      <c r="N2702" s="306"/>
      <c r="P2702" s="112"/>
      <c r="Q2702" s="112"/>
    </row>
    <row r="2703" spans="2:17" s="110" customFormat="1">
      <c r="B2703" s="111"/>
      <c r="F2703" s="112"/>
      <c r="G2703" s="112"/>
      <c r="H2703" s="112"/>
      <c r="L2703" s="112"/>
      <c r="N2703" s="306"/>
      <c r="P2703" s="112"/>
      <c r="Q2703" s="112"/>
    </row>
    <row r="2704" spans="2:17" s="110" customFormat="1">
      <c r="B2704" s="111"/>
      <c r="F2704" s="112"/>
      <c r="G2704" s="112"/>
      <c r="H2704" s="112"/>
      <c r="L2704" s="112"/>
      <c r="N2704" s="306"/>
      <c r="P2704" s="112"/>
      <c r="Q2704" s="112"/>
    </row>
    <row r="2705" spans="2:17" s="110" customFormat="1">
      <c r="B2705" s="111"/>
      <c r="F2705" s="112"/>
      <c r="G2705" s="112"/>
      <c r="H2705" s="112"/>
      <c r="L2705" s="112"/>
      <c r="N2705" s="306"/>
      <c r="P2705" s="112"/>
      <c r="Q2705" s="112"/>
    </row>
    <row r="2706" spans="2:17" s="110" customFormat="1">
      <c r="B2706" s="111"/>
      <c r="F2706" s="112"/>
      <c r="G2706" s="112"/>
      <c r="H2706" s="112"/>
      <c r="L2706" s="112"/>
      <c r="N2706" s="306"/>
      <c r="P2706" s="112"/>
      <c r="Q2706" s="112"/>
    </row>
    <row r="2707" spans="2:17" s="110" customFormat="1">
      <c r="B2707" s="111"/>
      <c r="F2707" s="112"/>
      <c r="G2707" s="112"/>
      <c r="H2707" s="112"/>
      <c r="L2707" s="112"/>
      <c r="N2707" s="306"/>
      <c r="P2707" s="112"/>
      <c r="Q2707" s="112"/>
    </row>
    <row r="2708" spans="2:17" s="110" customFormat="1">
      <c r="B2708" s="111"/>
      <c r="F2708" s="112"/>
      <c r="G2708" s="112"/>
      <c r="H2708" s="112"/>
      <c r="L2708" s="112"/>
      <c r="N2708" s="306"/>
      <c r="P2708" s="112"/>
      <c r="Q2708" s="112"/>
    </row>
    <row r="2709" spans="2:17" s="110" customFormat="1">
      <c r="B2709" s="111"/>
      <c r="F2709" s="112"/>
      <c r="G2709" s="112"/>
      <c r="H2709" s="112"/>
      <c r="L2709" s="112"/>
      <c r="N2709" s="306"/>
      <c r="P2709" s="112"/>
      <c r="Q2709" s="112"/>
    </row>
    <row r="2710" spans="2:17" s="110" customFormat="1">
      <c r="B2710" s="111"/>
      <c r="F2710" s="112"/>
      <c r="G2710" s="112"/>
      <c r="H2710" s="112"/>
      <c r="L2710" s="112"/>
      <c r="N2710" s="306"/>
      <c r="P2710" s="112"/>
      <c r="Q2710" s="112"/>
    </row>
    <row r="2711" spans="2:17" s="110" customFormat="1">
      <c r="B2711" s="111"/>
      <c r="F2711" s="112"/>
      <c r="G2711" s="112"/>
      <c r="H2711" s="112"/>
      <c r="L2711" s="112"/>
      <c r="N2711" s="306"/>
      <c r="P2711" s="112"/>
      <c r="Q2711" s="112"/>
    </row>
    <row r="2712" spans="2:17" s="110" customFormat="1">
      <c r="B2712" s="111"/>
      <c r="F2712" s="112"/>
      <c r="G2712" s="112"/>
      <c r="H2712" s="112"/>
      <c r="L2712" s="112"/>
      <c r="N2712" s="306"/>
      <c r="P2712" s="112"/>
      <c r="Q2712" s="112"/>
    </row>
    <row r="2713" spans="2:17" s="110" customFormat="1">
      <c r="B2713" s="111"/>
      <c r="F2713" s="112"/>
      <c r="G2713" s="112"/>
      <c r="H2713" s="112"/>
      <c r="L2713" s="112"/>
      <c r="N2713" s="306"/>
      <c r="P2713" s="112"/>
      <c r="Q2713" s="112"/>
    </row>
    <row r="2714" spans="2:17" s="110" customFormat="1">
      <c r="B2714" s="111"/>
      <c r="F2714" s="112"/>
      <c r="G2714" s="112"/>
      <c r="H2714" s="112"/>
      <c r="L2714" s="112"/>
      <c r="N2714" s="306"/>
      <c r="P2714" s="112"/>
      <c r="Q2714" s="112"/>
    </row>
    <row r="2715" spans="2:17" s="110" customFormat="1">
      <c r="B2715" s="111"/>
      <c r="F2715" s="112"/>
      <c r="G2715" s="112"/>
      <c r="H2715" s="112"/>
      <c r="L2715" s="112"/>
      <c r="N2715" s="306"/>
      <c r="P2715" s="112"/>
      <c r="Q2715" s="112"/>
    </row>
    <row r="2716" spans="2:17" s="110" customFormat="1">
      <c r="B2716" s="111"/>
      <c r="F2716" s="112"/>
      <c r="G2716" s="112"/>
      <c r="H2716" s="112"/>
      <c r="L2716" s="112"/>
      <c r="N2716" s="306"/>
      <c r="P2716" s="112"/>
      <c r="Q2716" s="112"/>
    </row>
    <row r="2717" spans="2:17" s="110" customFormat="1">
      <c r="B2717" s="111"/>
      <c r="F2717" s="112"/>
      <c r="G2717" s="112"/>
      <c r="H2717" s="112"/>
      <c r="L2717" s="112"/>
      <c r="N2717" s="306"/>
      <c r="P2717" s="112"/>
      <c r="Q2717" s="112"/>
    </row>
    <row r="2718" spans="2:17" s="110" customFormat="1">
      <c r="B2718" s="111"/>
      <c r="F2718" s="112"/>
      <c r="G2718" s="112"/>
      <c r="H2718" s="112"/>
      <c r="L2718" s="112"/>
      <c r="N2718" s="306"/>
      <c r="P2718" s="112"/>
      <c r="Q2718" s="112"/>
    </row>
    <row r="2719" spans="2:17" s="110" customFormat="1">
      <c r="B2719" s="111"/>
      <c r="F2719" s="112"/>
      <c r="G2719" s="112"/>
      <c r="H2719" s="112"/>
      <c r="L2719" s="112"/>
      <c r="N2719" s="306"/>
      <c r="P2719" s="112"/>
      <c r="Q2719" s="112"/>
    </row>
    <row r="2720" spans="2:17" s="110" customFormat="1">
      <c r="B2720" s="111"/>
      <c r="F2720" s="112"/>
      <c r="G2720" s="112"/>
      <c r="H2720" s="112"/>
      <c r="L2720" s="112"/>
      <c r="N2720" s="306"/>
      <c r="P2720" s="112"/>
      <c r="Q2720" s="112"/>
    </row>
    <row r="2721" spans="2:17" s="110" customFormat="1">
      <c r="B2721" s="111"/>
      <c r="F2721" s="112"/>
      <c r="G2721" s="112"/>
      <c r="H2721" s="112"/>
      <c r="L2721" s="112"/>
      <c r="N2721" s="306"/>
      <c r="P2721" s="112"/>
      <c r="Q2721" s="112"/>
    </row>
    <row r="2722" spans="2:17" s="110" customFormat="1">
      <c r="B2722" s="111"/>
      <c r="F2722" s="112"/>
      <c r="G2722" s="112"/>
      <c r="H2722" s="112"/>
      <c r="L2722" s="112"/>
      <c r="N2722" s="306"/>
      <c r="P2722" s="112"/>
      <c r="Q2722" s="112"/>
    </row>
    <row r="2723" spans="2:17" s="110" customFormat="1">
      <c r="B2723" s="111"/>
      <c r="F2723" s="112"/>
      <c r="G2723" s="112"/>
      <c r="H2723" s="112"/>
      <c r="L2723" s="112"/>
      <c r="N2723" s="306"/>
      <c r="P2723" s="112"/>
      <c r="Q2723" s="112"/>
    </row>
    <row r="2724" spans="2:17" s="110" customFormat="1">
      <c r="B2724" s="111"/>
      <c r="F2724" s="112"/>
      <c r="G2724" s="112"/>
      <c r="H2724" s="112"/>
      <c r="L2724" s="112"/>
      <c r="N2724" s="306"/>
      <c r="P2724" s="112"/>
      <c r="Q2724" s="112"/>
    </row>
    <row r="2725" spans="2:17" s="110" customFormat="1">
      <c r="B2725" s="111"/>
      <c r="F2725" s="112"/>
      <c r="G2725" s="112"/>
      <c r="H2725" s="112"/>
      <c r="L2725" s="112"/>
      <c r="N2725" s="306"/>
      <c r="P2725" s="112"/>
      <c r="Q2725" s="112"/>
    </row>
    <row r="2726" spans="2:17" s="110" customFormat="1">
      <c r="B2726" s="111"/>
      <c r="F2726" s="112"/>
      <c r="G2726" s="112"/>
      <c r="H2726" s="112"/>
      <c r="L2726" s="112"/>
      <c r="N2726" s="306"/>
      <c r="P2726" s="112"/>
      <c r="Q2726" s="112"/>
    </row>
    <row r="2727" spans="2:17" s="110" customFormat="1">
      <c r="B2727" s="111"/>
      <c r="F2727" s="112"/>
      <c r="G2727" s="112"/>
      <c r="H2727" s="112"/>
      <c r="L2727" s="112"/>
      <c r="N2727" s="306"/>
      <c r="P2727" s="112"/>
      <c r="Q2727" s="112"/>
    </row>
    <row r="2728" spans="2:17" s="110" customFormat="1">
      <c r="B2728" s="111"/>
      <c r="F2728" s="112"/>
      <c r="G2728" s="112"/>
      <c r="H2728" s="112"/>
      <c r="L2728" s="112"/>
      <c r="N2728" s="306"/>
      <c r="P2728" s="112"/>
      <c r="Q2728" s="112"/>
    </row>
    <row r="2729" spans="2:17" s="110" customFormat="1">
      <c r="B2729" s="111"/>
      <c r="F2729" s="112"/>
      <c r="G2729" s="112"/>
      <c r="H2729" s="112"/>
      <c r="L2729" s="112"/>
      <c r="N2729" s="306"/>
      <c r="P2729" s="112"/>
      <c r="Q2729" s="112"/>
    </row>
    <row r="2730" spans="2:17" s="110" customFormat="1">
      <c r="B2730" s="111"/>
      <c r="F2730" s="112"/>
      <c r="G2730" s="112"/>
      <c r="H2730" s="112"/>
      <c r="L2730" s="112"/>
      <c r="N2730" s="306"/>
      <c r="P2730" s="112"/>
      <c r="Q2730" s="112"/>
    </row>
    <row r="2731" spans="2:17" s="110" customFormat="1">
      <c r="B2731" s="111"/>
      <c r="F2731" s="112"/>
      <c r="G2731" s="112"/>
      <c r="H2731" s="112"/>
      <c r="L2731" s="112"/>
      <c r="N2731" s="306"/>
      <c r="P2731" s="112"/>
      <c r="Q2731" s="112"/>
    </row>
    <row r="2732" spans="2:17" s="110" customFormat="1">
      <c r="B2732" s="111"/>
      <c r="F2732" s="112"/>
      <c r="G2732" s="112"/>
      <c r="H2732" s="112"/>
      <c r="L2732" s="112"/>
      <c r="N2732" s="306"/>
      <c r="P2732" s="112"/>
      <c r="Q2732" s="112"/>
    </row>
    <row r="2733" spans="2:17" s="110" customFormat="1">
      <c r="B2733" s="111"/>
      <c r="F2733" s="112"/>
      <c r="G2733" s="112"/>
      <c r="H2733" s="112"/>
      <c r="L2733" s="112"/>
      <c r="N2733" s="306"/>
      <c r="P2733" s="112"/>
      <c r="Q2733" s="112"/>
    </row>
    <row r="2734" spans="2:17" s="110" customFormat="1">
      <c r="B2734" s="111"/>
      <c r="F2734" s="112"/>
      <c r="G2734" s="112"/>
      <c r="H2734" s="112"/>
      <c r="L2734" s="112"/>
      <c r="N2734" s="306"/>
      <c r="P2734" s="112"/>
      <c r="Q2734" s="112"/>
    </row>
    <row r="2735" spans="2:17" s="110" customFormat="1">
      <c r="B2735" s="111"/>
      <c r="F2735" s="112"/>
      <c r="G2735" s="112"/>
      <c r="H2735" s="112"/>
      <c r="L2735" s="112"/>
      <c r="N2735" s="306"/>
      <c r="P2735" s="112"/>
      <c r="Q2735" s="112"/>
    </row>
    <row r="2736" spans="2:17" s="110" customFormat="1">
      <c r="B2736" s="111"/>
      <c r="F2736" s="112"/>
      <c r="G2736" s="112"/>
      <c r="H2736" s="112"/>
      <c r="L2736" s="112"/>
      <c r="N2736" s="306"/>
      <c r="P2736" s="112"/>
      <c r="Q2736" s="112"/>
    </row>
    <row r="2737" spans="2:17" s="110" customFormat="1">
      <c r="B2737" s="111"/>
      <c r="F2737" s="112"/>
      <c r="G2737" s="112"/>
      <c r="H2737" s="112"/>
      <c r="L2737" s="112"/>
      <c r="N2737" s="306"/>
      <c r="P2737" s="112"/>
      <c r="Q2737" s="112"/>
    </row>
    <row r="2738" spans="2:17" s="110" customFormat="1">
      <c r="B2738" s="111"/>
      <c r="F2738" s="112"/>
      <c r="G2738" s="112"/>
      <c r="H2738" s="112"/>
      <c r="L2738" s="112"/>
      <c r="N2738" s="306"/>
      <c r="P2738" s="112"/>
      <c r="Q2738" s="112"/>
    </row>
    <row r="2739" spans="2:17" s="110" customFormat="1">
      <c r="B2739" s="111"/>
      <c r="F2739" s="112"/>
      <c r="G2739" s="112"/>
      <c r="H2739" s="112"/>
      <c r="L2739" s="112"/>
      <c r="N2739" s="306"/>
      <c r="P2739" s="112"/>
      <c r="Q2739" s="112"/>
    </row>
    <row r="2740" spans="2:17" s="110" customFormat="1">
      <c r="B2740" s="111"/>
      <c r="F2740" s="112"/>
      <c r="G2740" s="112"/>
      <c r="H2740" s="112"/>
      <c r="L2740" s="112"/>
      <c r="N2740" s="306"/>
      <c r="P2740" s="112"/>
      <c r="Q2740" s="112"/>
    </row>
    <row r="2741" spans="2:17" s="110" customFormat="1">
      <c r="B2741" s="111"/>
      <c r="F2741" s="112"/>
      <c r="G2741" s="112"/>
      <c r="H2741" s="112"/>
      <c r="L2741" s="112"/>
      <c r="N2741" s="306"/>
      <c r="P2741" s="112"/>
      <c r="Q2741" s="112"/>
    </row>
    <row r="2742" spans="2:17" s="110" customFormat="1">
      <c r="B2742" s="111"/>
      <c r="F2742" s="112"/>
      <c r="G2742" s="112"/>
      <c r="H2742" s="112"/>
      <c r="L2742" s="112"/>
      <c r="N2742" s="306"/>
      <c r="P2742" s="112"/>
      <c r="Q2742" s="112"/>
    </row>
    <row r="2743" spans="2:17" s="110" customFormat="1">
      <c r="B2743" s="111"/>
      <c r="F2743" s="112"/>
      <c r="G2743" s="112"/>
      <c r="H2743" s="112"/>
      <c r="L2743" s="112"/>
      <c r="N2743" s="306"/>
      <c r="P2743" s="112"/>
      <c r="Q2743" s="112"/>
    </row>
    <row r="2744" spans="2:17" s="110" customFormat="1">
      <c r="B2744" s="111"/>
      <c r="F2744" s="112"/>
      <c r="G2744" s="112"/>
      <c r="H2744" s="112"/>
      <c r="L2744" s="112"/>
      <c r="N2744" s="306"/>
      <c r="P2744" s="112"/>
      <c r="Q2744" s="112"/>
    </row>
    <row r="2745" spans="2:17" s="110" customFormat="1">
      <c r="B2745" s="111"/>
      <c r="F2745" s="112"/>
      <c r="G2745" s="112"/>
      <c r="H2745" s="112"/>
      <c r="L2745" s="112"/>
      <c r="N2745" s="306"/>
      <c r="P2745" s="112"/>
      <c r="Q2745" s="112"/>
    </row>
    <row r="2746" spans="2:17" s="110" customFormat="1">
      <c r="B2746" s="111"/>
      <c r="F2746" s="112"/>
      <c r="G2746" s="112"/>
      <c r="H2746" s="112"/>
      <c r="L2746" s="112"/>
      <c r="N2746" s="306"/>
      <c r="P2746" s="112"/>
      <c r="Q2746" s="112"/>
    </row>
    <row r="2747" spans="2:17" s="110" customFormat="1">
      <c r="B2747" s="111"/>
      <c r="F2747" s="112"/>
      <c r="G2747" s="112"/>
      <c r="H2747" s="112"/>
      <c r="L2747" s="112"/>
      <c r="N2747" s="306"/>
      <c r="P2747" s="112"/>
      <c r="Q2747" s="112"/>
    </row>
    <row r="2748" spans="2:17" s="110" customFormat="1">
      <c r="B2748" s="111"/>
      <c r="F2748" s="112"/>
      <c r="G2748" s="112"/>
      <c r="H2748" s="112"/>
      <c r="L2748" s="112"/>
      <c r="N2748" s="306"/>
      <c r="P2748" s="112"/>
      <c r="Q2748" s="112"/>
    </row>
    <row r="2749" spans="2:17" s="110" customFormat="1">
      <c r="B2749" s="111"/>
      <c r="F2749" s="112"/>
      <c r="G2749" s="112"/>
      <c r="H2749" s="112"/>
      <c r="L2749" s="112"/>
      <c r="N2749" s="306"/>
      <c r="P2749" s="112"/>
      <c r="Q2749" s="112"/>
    </row>
    <row r="2750" spans="2:17" s="110" customFormat="1">
      <c r="B2750" s="111"/>
      <c r="F2750" s="112"/>
      <c r="G2750" s="112"/>
      <c r="H2750" s="112"/>
      <c r="L2750" s="112"/>
      <c r="N2750" s="306"/>
      <c r="P2750" s="112"/>
      <c r="Q2750" s="112"/>
    </row>
    <row r="2751" spans="2:17" s="110" customFormat="1">
      <c r="B2751" s="111"/>
      <c r="F2751" s="112"/>
      <c r="G2751" s="112"/>
      <c r="H2751" s="112"/>
      <c r="L2751" s="112"/>
      <c r="N2751" s="306"/>
      <c r="P2751" s="112"/>
      <c r="Q2751" s="112"/>
    </row>
    <row r="2752" spans="2:17" s="110" customFormat="1">
      <c r="B2752" s="111"/>
      <c r="F2752" s="112"/>
      <c r="G2752" s="112"/>
      <c r="H2752" s="112"/>
      <c r="L2752" s="112"/>
      <c r="N2752" s="306"/>
      <c r="P2752" s="112"/>
      <c r="Q2752" s="112"/>
    </row>
    <row r="2753" spans="2:17" s="110" customFormat="1">
      <c r="B2753" s="111"/>
      <c r="F2753" s="112"/>
      <c r="G2753" s="112"/>
      <c r="H2753" s="112"/>
      <c r="L2753" s="112"/>
      <c r="N2753" s="306"/>
      <c r="P2753" s="112"/>
      <c r="Q2753" s="112"/>
    </row>
    <row r="2754" spans="2:17" s="110" customFormat="1">
      <c r="B2754" s="111"/>
      <c r="F2754" s="112"/>
      <c r="G2754" s="112"/>
      <c r="H2754" s="112"/>
      <c r="L2754" s="112"/>
      <c r="N2754" s="306"/>
      <c r="P2754" s="112"/>
      <c r="Q2754" s="112"/>
    </row>
    <row r="2755" spans="2:17" s="110" customFormat="1">
      <c r="B2755" s="111"/>
      <c r="F2755" s="112"/>
      <c r="G2755" s="112"/>
      <c r="H2755" s="112"/>
      <c r="L2755" s="112"/>
      <c r="N2755" s="306"/>
      <c r="P2755" s="112"/>
      <c r="Q2755" s="112"/>
    </row>
    <row r="2756" spans="2:17" s="110" customFormat="1">
      <c r="B2756" s="111"/>
      <c r="F2756" s="112"/>
      <c r="G2756" s="112"/>
      <c r="H2756" s="112"/>
      <c r="L2756" s="112"/>
      <c r="N2756" s="306"/>
      <c r="P2756" s="112"/>
      <c r="Q2756" s="112"/>
    </row>
    <row r="2757" spans="2:17" s="110" customFormat="1">
      <c r="B2757" s="111"/>
      <c r="F2757" s="112"/>
      <c r="G2757" s="112"/>
      <c r="H2757" s="112"/>
      <c r="L2757" s="112"/>
      <c r="N2757" s="306"/>
      <c r="P2757" s="112"/>
      <c r="Q2757" s="112"/>
    </row>
    <row r="2758" spans="2:17" s="110" customFormat="1">
      <c r="B2758" s="111"/>
      <c r="F2758" s="112"/>
      <c r="G2758" s="112"/>
      <c r="H2758" s="112"/>
      <c r="L2758" s="112"/>
      <c r="N2758" s="306"/>
      <c r="P2758" s="112"/>
      <c r="Q2758" s="112"/>
    </row>
    <row r="2759" spans="2:17" s="110" customFormat="1">
      <c r="B2759" s="111"/>
      <c r="F2759" s="112"/>
      <c r="G2759" s="112"/>
      <c r="H2759" s="112"/>
      <c r="L2759" s="112"/>
      <c r="N2759" s="306"/>
      <c r="P2759" s="112"/>
      <c r="Q2759" s="112"/>
    </row>
    <row r="2760" spans="2:17" s="110" customFormat="1">
      <c r="B2760" s="111"/>
      <c r="F2760" s="112"/>
      <c r="G2760" s="112"/>
      <c r="H2760" s="112"/>
      <c r="L2760" s="112"/>
      <c r="N2760" s="306"/>
      <c r="P2760" s="112"/>
      <c r="Q2760" s="112"/>
    </row>
    <row r="2761" spans="2:17" s="110" customFormat="1">
      <c r="B2761" s="111"/>
      <c r="F2761" s="112"/>
      <c r="G2761" s="112"/>
      <c r="H2761" s="112"/>
      <c r="L2761" s="112"/>
      <c r="N2761" s="306"/>
      <c r="P2761" s="112"/>
      <c r="Q2761" s="112"/>
    </row>
    <row r="2762" spans="2:17" s="110" customFormat="1">
      <c r="B2762" s="111"/>
      <c r="F2762" s="112"/>
      <c r="G2762" s="112"/>
      <c r="H2762" s="112"/>
      <c r="L2762" s="112"/>
      <c r="N2762" s="306"/>
      <c r="P2762" s="112"/>
      <c r="Q2762" s="112"/>
    </row>
    <row r="2763" spans="2:17" s="110" customFormat="1">
      <c r="B2763" s="111"/>
      <c r="F2763" s="112"/>
      <c r="G2763" s="112"/>
      <c r="H2763" s="112"/>
      <c r="L2763" s="112"/>
      <c r="N2763" s="306"/>
      <c r="P2763" s="112"/>
      <c r="Q2763" s="112"/>
    </row>
    <row r="2764" spans="2:17" s="110" customFormat="1">
      <c r="B2764" s="111"/>
      <c r="F2764" s="112"/>
      <c r="G2764" s="112"/>
      <c r="H2764" s="112"/>
      <c r="L2764" s="112"/>
      <c r="N2764" s="306"/>
      <c r="P2764" s="112"/>
      <c r="Q2764" s="112"/>
    </row>
    <row r="2765" spans="2:17" s="110" customFormat="1">
      <c r="B2765" s="111"/>
      <c r="F2765" s="112"/>
      <c r="G2765" s="112"/>
      <c r="H2765" s="112"/>
      <c r="L2765" s="112"/>
      <c r="N2765" s="306"/>
      <c r="P2765" s="112"/>
      <c r="Q2765" s="112"/>
    </row>
    <row r="2766" spans="2:17" s="110" customFormat="1">
      <c r="B2766" s="111"/>
      <c r="F2766" s="112"/>
      <c r="G2766" s="112"/>
      <c r="H2766" s="112"/>
      <c r="L2766" s="112"/>
      <c r="N2766" s="306"/>
      <c r="P2766" s="112"/>
      <c r="Q2766" s="112"/>
    </row>
    <row r="2767" spans="2:17" s="110" customFormat="1">
      <c r="B2767" s="111"/>
      <c r="F2767" s="112"/>
      <c r="G2767" s="112"/>
      <c r="H2767" s="112"/>
      <c r="L2767" s="112"/>
      <c r="N2767" s="306"/>
      <c r="P2767" s="112"/>
      <c r="Q2767" s="112"/>
    </row>
    <row r="2768" spans="2:17" s="110" customFormat="1">
      <c r="B2768" s="111"/>
      <c r="F2768" s="112"/>
      <c r="G2768" s="112"/>
      <c r="H2768" s="112"/>
      <c r="L2768" s="112"/>
      <c r="N2768" s="306"/>
      <c r="P2768" s="112"/>
      <c r="Q2768" s="112"/>
    </row>
    <row r="2769" spans="2:17" s="110" customFormat="1">
      <c r="B2769" s="111"/>
      <c r="F2769" s="112"/>
      <c r="G2769" s="112"/>
      <c r="H2769" s="112"/>
      <c r="L2769" s="112"/>
      <c r="N2769" s="306"/>
      <c r="P2769" s="112"/>
      <c r="Q2769" s="112"/>
    </row>
    <row r="2770" spans="2:17" s="110" customFormat="1">
      <c r="B2770" s="111"/>
      <c r="F2770" s="112"/>
      <c r="G2770" s="112"/>
      <c r="H2770" s="112"/>
      <c r="L2770" s="112"/>
      <c r="N2770" s="306"/>
      <c r="P2770" s="112"/>
      <c r="Q2770" s="112"/>
    </row>
    <row r="2771" spans="2:17" s="110" customFormat="1">
      <c r="B2771" s="111"/>
      <c r="F2771" s="112"/>
      <c r="G2771" s="112"/>
      <c r="H2771" s="112"/>
      <c r="L2771" s="112"/>
      <c r="N2771" s="306"/>
      <c r="P2771" s="112"/>
      <c r="Q2771" s="112"/>
    </row>
    <row r="2772" spans="2:17" s="110" customFormat="1">
      <c r="B2772" s="111"/>
      <c r="F2772" s="112"/>
      <c r="G2772" s="112"/>
      <c r="H2772" s="112"/>
      <c r="L2772" s="112"/>
      <c r="N2772" s="306"/>
      <c r="P2772" s="112"/>
      <c r="Q2772" s="112"/>
    </row>
    <row r="2773" spans="2:17" s="110" customFormat="1">
      <c r="B2773" s="111"/>
      <c r="F2773" s="112"/>
      <c r="G2773" s="112"/>
      <c r="H2773" s="112"/>
      <c r="L2773" s="112"/>
      <c r="N2773" s="306"/>
      <c r="P2773" s="112"/>
      <c r="Q2773" s="112"/>
    </row>
    <row r="2774" spans="2:17" s="110" customFormat="1">
      <c r="B2774" s="111"/>
      <c r="F2774" s="112"/>
      <c r="G2774" s="112"/>
      <c r="H2774" s="112"/>
      <c r="L2774" s="112"/>
      <c r="N2774" s="306"/>
      <c r="P2774" s="112"/>
      <c r="Q2774" s="112"/>
    </row>
    <row r="2775" spans="2:17" s="110" customFormat="1">
      <c r="B2775" s="111"/>
      <c r="F2775" s="112"/>
      <c r="G2775" s="112"/>
      <c r="H2775" s="112"/>
      <c r="L2775" s="112"/>
      <c r="N2775" s="306"/>
      <c r="P2775" s="112"/>
      <c r="Q2775" s="112"/>
    </row>
    <row r="2776" spans="2:17" s="110" customFormat="1">
      <c r="B2776" s="111"/>
      <c r="F2776" s="112"/>
      <c r="G2776" s="112"/>
      <c r="H2776" s="112"/>
      <c r="L2776" s="112"/>
      <c r="N2776" s="306"/>
      <c r="P2776" s="112"/>
      <c r="Q2776" s="112"/>
    </row>
    <row r="2777" spans="2:17" s="110" customFormat="1">
      <c r="B2777" s="111"/>
      <c r="F2777" s="112"/>
      <c r="G2777" s="112"/>
      <c r="H2777" s="112"/>
      <c r="L2777" s="112"/>
      <c r="N2777" s="306"/>
      <c r="P2777" s="112"/>
      <c r="Q2777" s="112"/>
    </row>
    <row r="2778" spans="2:17" s="110" customFormat="1">
      <c r="B2778" s="111"/>
      <c r="F2778" s="112"/>
      <c r="G2778" s="112"/>
      <c r="H2778" s="112"/>
      <c r="L2778" s="112"/>
      <c r="N2778" s="306"/>
      <c r="P2778" s="112"/>
      <c r="Q2778" s="112"/>
    </row>
    <row r="2779" spans="2:17" s="110" customFormat="1">
      <c r="B2779" s="111"/>
      <c r="F2779" s="112"/>
      <c r="G2779" s="112"/>
      <c r="H2779" s="112"/>
      <c r="L2779" s="112"/>
      <c r="N2779" s="306"/>
      <c r="P2779" s="112"/>
      <c r="Q2779" s="112"/>
    </row>
    <row r="2780" spans="2:17" s="110" customFormat="1">
      <c r="B2780" s="111"/>
      <c r="F2780" s="112"/>
      <c r="G2780" s="112"/>
      <c r="H2780" s="112"/>
      <c r="L2780" s="112"/>
      <c r="N2780" s="306"/>
      <c r="P2780" s="112"/>
      <c r="Q2780" s="112"/>
    </row>
    <row r="2781" spans="2:17" s="110" customFormat="1">
      <c r="B2781" s="111"/>
      <c r="F2781" s="112"/>
      <c r="G2781" s="112"/>
      <c r="H2781" s="112"/>
      <c r="L2781" s="112"/>
      <c r="N2781" s="306"/>
      <c r="P2781" s="112"/>
      <c r="Q2781" s="112"/>
    </row>
    <row r="2782" spans="2:17" s="110" customFormat="1">
      <c r="B2782" s="111"/>
      <c r="F2782" s="112"/>
      <c r="G2782" s="112"/>
      <c r="H2782" s="112"/>
      <c r="L2782" s="112"/>
      <c r="N2782" s="306"/>
      <c r="P2782" s="112"/>
      <c r="Q2782" s="112"/>
    </row>
    <row r="2783" spans="2:17" s="110" customFormat="1">
      <c r="B2783" s="111"/>
      <c r="F2783" s="112"/>
      <c r="G2783" s="112"/>
      <c r="H2783" s="112"/>
      <c r="L2783" s="112"/>
      <c r="N2783" s="306"/>
      <c r="P2783" s="112"/>
      <c r="Q2783" s="112"/>
    </row>
    <row r="2784" spans="2:17" s="110" customFormat="1">
      <c r="B2784" s="111"/>
      <c r="F2784" s="112"/>
      <c r="G2784" s="112"/>
      <c r="H2784" s="112"/>
      <c r="L2784" s="112"/>
      <c r="N2784" s="306"/>
      <c r="P2784" s="112"/>
      <c r="Q2784" s="112"/>
    </row>
    <row r="2785" spans="2:17" s="110" customFormat="1">
      <c r="B2785" s="111"/>
      <c r="F2785" s="112"/>
      <c r="G2785" s="112"/>
      <c r="H2785" s="112"/>
      <c r="L2785" s="112"/>
      <c r="N2785" s="306"/>
      <c r="P2785" s="112"/>
      <c r="Q2785" s="112"/>
    </row>
    <row r="2786" spans="2:17" s="110" customFormat="1">
      <c r="B2786" s="111"/>
      <c r="F2786" s="112"/>
      <c r="G2786" s="112"/>
      <c r="H2786" s="112"/>
      <c r="L2786" s="112"/>
      <c r="N2786" s="306"/>
      <c r="P2786" s="112"/>
      <c r="Q2786" s="112"/>
    </row>
    <row r="2787" spans="2:17" s="110" customFormat="1">
      <c r="B2787" s="111"/>
      <c r="F2787" s="112"/>
      <c r="G2787" s="112"/>
      <c r="H2787" s="112"/>
      <c r="L2787" s="112"/>
      <c r="N2787" s="306"/>
      <c r="P2787" s="112"/>
      <c r="Q2787" s="112"/>
    </row>
    <row r="2788" spans="2:17" s="110" customFormat="1">
      <c r="B2788" s="111"/>
      <c r="F2788" s="112"/>
      <c r="G2788" s="112"/>
      <c r="H2788" s="112"/>
      <c r="L2788" s="112"/>
      <c r="N2788" s="306"/>
      <c r="P2788" s="112"/>
      <c r="Q2788" s="112"/>
    </row>
    <row r="2789" spans="2:17" s="110" customFormat="1">
      <c r="B2789" s="111"/>
      <c r="F2789" s="112"/>
      <c r="G2789" s="112"/>
      <c r="H2789" s="112"/>
      <c r="L2789" s="112"/>
      <c r="N2789" s="306"/>
      <c r="P2789" s="112"/>
      <c r="Q2789" s="112"/>
    </row>
    <row r="2790" spans="2:17" s="110" customFormat="1">
      <c r="B2790" s="111"/>
      <c r="F2790" s="112"/>
      <c r="G2790" s="112"/>
      <c r="H2790" s="112"/>
      <c r="L2790" s="112"/>
      <c r="N2790" s="306"/>
      <c r="P2790" s="112"/>
      <c r="Q2790" s="112"/>
    </row>
    <row r="2791" spans="2:17" s="110" customFormat="1">
      <c r="B2791" s="111"/>
      <c r="F2791" s="112"/>
      <c r="G2791" s="112"/>
      <c r="H2791" s="112"/>
      <c r="L2791" s="112"/>
      <c r="N2791" s="306"/>
      <c r="P2791" s="112"/>
      <c r="Q2791" s="112"/>
    </row>
    <row r="2792" spans="2:17" s="110" customFormat="1">
      <c r="B2792" s="111"/>
      <c r="F2792" s="112"/>
      <c r="G2792" s="112"/>
      <c r="H2792" s="112"/>
      <c r="L2792" s="112"/>
      <c r="N2792" s="306"/>
      <c r="P2792" s="112"/>
      <c r="Q2792" s="112"/>
    </row>
    <row r="2793" spans="2:17" s="110" customFormat="1">
      <c r="B2793" s="111"/>
      <c r="F2793" s="112"/>
      <c r="G2793" s="112"/>
      <c r="H2793" s="112"/>
      <c r="L2793" s="112"/>
      <c r="N2793" s="306"/>
      <c r="P2793" s="112"/>
      <c r="Q2793" s="112"/>
    </row>
    <row r="2794" spans="2:17" s="110" customFormat="1">
      <c r="B2794" s="111"/>
      <c r="F2794" s="112"/>
      <c r="G2794" s="112"/>
      <c r="H2794" s="112"/>
      <c r="L2794" s="112"/>
      <c r="N2794" s="306"/>
      <c r="P2794" s="112"/>
      <c r="Q2794" s="112"/>
    </row>
    <row r="2795" spans="2:17" s="110" customFormat="1">
      <c r="B2795" s="111"/>
      <c r="F2795" s="112"/>
      <c r="G2795" s="112"/>
      <c r="H2795" s="112"/>
      <c r="L2795" s="112"/>
      <c r="N2795" s="306"/>
      <c r="P2795" s="112"/>
      <c r="Q2795" s="112"/>
    </row>
    <row r="2796" spans="2:17" s="110" customFormat="1">
      <c r="B2796" s="111"/>
      <c r="F2796" s="112"/>
      <c r="G2796" s="112"/>
      <c r="H2796" s="112"/>
      <c r="L2796" s="112"/>
      <c r="N2796" s="306"/>
      <c r="P2796" s="112"/>
      <c r="Q2796" s="112"/>
    </row>
    <row r="2797" spans="2:17" s="110" customFormat="1">
      <c r="B2797" s="111"/>
      <c r="F2797" s="112"/>
      <c r="G2797" s="112"/>
      <c r="H2797" s="112"/>
      <c r="L2797" s="112"/>
      <c r="N2797" s="306"/>
      <c r="P2797" s="112"/>
      <c r="Q2797" s="112"/>
    </row>
    <row r="2798" spans="2:17" s="110" customFormat="1">
      <c r="B2798" s="111"/>
      <c r="F2798" s="112"/>
      <c r="G2798" s="112"/>
      <c r="H2798" s="112"/>
      <c r="L2798" s="112"/>
      <c r="N2798" s="306"/>
      <c r="P2798" s="112"/>
      <c r="Q2798" s="112"/>
    </row>
    <row r="2799" spans="2:17" s="110" customFormat="1">
      <c r="B2799" s="111"/>
      <c r="F2799" s="112"/>
      <c r="G2799" s="112"/>
      <c r="H2799" s="112"/>
      <c r="L2799" s="112"/>
      <c r="N2799" s="306"/>
      <c r="P2799" s="112"/>
      <c r="Q2799" s="112"/>
    </row>
    <row r="2800" spans="2:17" s="110" customFormat="1">
      <c r="B2800" s="111"/>
      <c r="F2800" s="112"/>
      <c r="G2800" s="112"/>
      <c r="H2800" s="112"/>
      <c r="L2800" s="112"/>
      <c r="N2800" s="306"/>
      <c r="P2800" s="112"/>
      <c r="Q2800" s="112"/>
    </row>
    <row r="2801" spans="2:17" s="110" customFormat="1">
      <c r="B2801" s="111"/>
      <c r="F2801" s="112"/>
      <c r="G2801" s="112"/>
      <c r="H2801" s="112"/>
      <c r="L2801" s="112"/>
      <c r="N2801" s="306"/>
      <c r="P2801" s="112"/>
      <c r="Q2801" s="112"/>
    </row>
    <row r="2802" spans="2:17" s="110" customFormat="1">
      <c r="B2802" s="111"/>
      <c r="F2802" s="112"/>
      <c r="G2802" s="112"/>
      <c r="H2802" s="112"/>
      <c r="L2802" s="112"/>
      <c r="N2802" s="306"/>
      <c r="P2802" s="112"/>
      <c r="Q2802" s="112"/>
    </row>
    <row r="2803" spans="2:17" s="110" customFormat="1">
      <c r="B2803" s="111"/>
      <c r="F2803" s="112"/>
      <c r="G2803" s="112"/>
      <c r="H2803" s="112"/>
      <c r="L2803" s="112"/>
      <c r="N2803" s="306"/>
      <c r="P2803" s="112"/>
      <c r="Q2803" s="112"/>
    </row>
    <row r="2804" spans="2:17" s="110" customFormat="1">
      <c r="B2804" s="111"/>
      <c r="F2804" s="112"/>
      <c r="G2804" s="112"/>
      <c r="H2804" s="112"/>
      <c r="L2804" s="112"/>
      <c r="N2804" s="306"/>
      <c r="P2804" s="112"/>
      <c r="Q2804" s="112"/>
    </row>
    <row r="2805" spans="2:17" s="110" customFormat="1">
      <c r="B2805" s="111"/>
      <c r="F2805" s="112"/>
      <c r="G2805" s="112"/>
      <c r="H2805" s="112"/>
      <c r="L2805" s="112"/>
      <c r="N2805" s="306"/>
      <c r="P2805" s="112"/>
      <c r="Q2805" s="112"/>
    </row>
    <row r="2806" spans="2:17" s="110" customFormat="1">
      <c r="B2806" s="111"/>
      <c r="F2806" s="112"/>
      <c r="G2806" s="112"/>
      <c r="H2806" s="112"/>
      <c r="L2806" s="112"/>
      <c r="N2806" s="306"/>
      <c r="P2806" s="112"/>
      <c r="Q2806" s="112"/>
    </row>
    <row r="2807" spans="2:17" s="110" customFormat="1">
      <c r="B2807" s="111"/>
      <c r="F2807" s="112"/>
      <c r="G2807" s="112"/>
      <c r="H2807" s="112"/>
      <c r="L2807" s="112"/>
      <c r="N2807" s="306"/>
      <c r="P2807" s="112"/>
      <c r="Q2807" s="112"/>
    </row>
    <row r="2808" spans="2:17" s="110" customFormat="1">
      <c r="B2808" s="111"/>
      <c r="F2808" s="112"/>
      <c r="G2808" s="112"/>
      <c r="H2808" s="112"/>
      <c r="L2808" s="112"/>
      <c r="N2808" s="306"/>
      <c r="P2808" s="112"/>
      <c r="Q2808" s="112"/>
    </row>
    <row r="2809" spans="2:17" s="110" customFormat="1">
      <c r="B2809" s="111"/>
      <c r="F2809" s="112"/>
      <c r="G2809" s="112"/>
      <c r="H2809" s="112"/>
      <c r="L2809" s="112"/>
      <c r="N2809" s="306"/>
      <c r="P2809" s="112"/>
      <c r="Q2809" s="112"/>
    </row>
    <row r="2810" spans="2:17" s="110" customFormat="1">
      <c r="B2810" s="111"/>
      <c r="F2810" s="112"/>
      <c r="G2810" s="112"/>
      <c r="H2810" s="112"/>
      <c r="L2810" s="112"/>
      <c r="N2810" s="306"/>
      <c r="P2810" s="112"/>
      <c r="Q2810" s="112"/>
    </row>
    <row r="2811" spans="2:17" s="110" customFormat="1">
      <c r="B2811" s="111"/>
      <c r="F2811" s="112"/>
      <c r="G2811" s="112"/>
      <c r="H2811" s="112"/>
      <c r="L2811" s="112"/>
      <c r="N2811" s="306"/>
      <c r="P2811" s="112"/>
      <c r="Q2811" s="112"/>
    </row>
    <row r="2812" spans="2:17" s="110" customFormat="1">
      <c r="B2812" s="111"/>
      <c r="F2812" s="112"/>
      <c r="G2812" s="112"/>
      <c r="H2812" s="112"/>
      <c r="L2812" s="112"/>
      <c r="N2812" s="306"/>
      <c r="P2812" s="112"/>
      <c r="Q2812" s="112"/>
    </row>
    <row r="2813" spans="2:17" s="110" customFormat="1">
      <c r="B2813" s="111"/>
      <c r="F2813" s="112"/>
      <c r="G2813" s="112"/>
      <c r="H2813" s="112"/>
      <c r="L2813" s="112"/>
      <c r="N2813" s="306"/>
      <c r="P2813" s="112"/>
      <c r="Q2813" s="112"/>
    </row>
    <row r="2814" spans="2:17" s="110" customFormat="1">
      <c r="B2814" s="111"/>
      <c r="F2814" s="112"/>
      <c r="G2814" s="112"/>
      <c r="H2814" s="112"/>
      <c r="L2814" s="112"/>
      <c r="N2814" s="306"/>
      <c r="P2814" s="112"/>
      <c r="Q2814" s="112"/>
    </row>
    <row r="2815" spans="2:17" s="110" customFormat="1">
      <c r="B2815" s="111"/>
      <c r="F2815" s="112"/>
      <c r="G2815" s="112"/>
      <c r="H2815" s="112"/>
      <c r="L2815" s="112"/>
      <c r="N2815" s="306"/>
      <c r="P2815" s="112"/>
      <c r="Q2815" s="112"/>
    </row>
    <row r="2816" spans="2:17" s="110" customFormat="1">
      <c r="B2816" s="111"/>
      <c r="F2816" s="112"/>
      <c r="G2816" s="112"/>
      <c r="H2816" s="112"/>
      <c r="L2816" s="112"/>
      <c r="N2816" s="306"/>
      <c r="P2816" s="112"/>
      <c r="Q2816" s="112"/>
    </row>
    <row r="2817" spans="2:17" s="110" customFormat="1">
      <c r="B2817" s="111"/>
      <c r="F2817" s="112"/>
      <c r="G2817" s="112"/>
      <c r="H2817" s="112"/>
      <c r="L2817" s="112"/>
      <c r="N2817" s="306"/>
      <c r="P2817" s="112"/>
      <c r="Q2817" s="112"/>
    </row>
    <row r="2818" spans="2:17" s="110" customFormat="1">
      <c r="B2818" s="111"/>
      <c r="F2818" s="112"/>
      <c r="G2818" s="112"/>
      <c r="H2818" s="112"/>
      <c r="L2818" s="112"/>
      <c r="N2818" s="306"/>
      <c r="P2818" s="112"/>
      <c r="Q2818" s="112"/>
    </row>
    <row r="2819" spans="2:17" s="110" customFormat="1">
      <c r="B2819" s="111"/>
      <c r="F2819" s="112"/>
      <c r="G2819" s="112"/>
      <c r="H2819" s="112"/>
      <c r="L2819" s="112"/>
      <c r="N2819" s="306"/>
      <c r="P2819" s="112"/>
      <c r="Q2819" s="112"/>
    </row>
    <row r="2820" spans="2:17" s="110" customFormat="1">
      <c r="B2820" s="111"/>
      <c r="F2820" s="112"/>
      <c r="G2820" s="112"/>
      <c r="H2820" s="112"/>
      <c r="L2820" s="112"/>
      <c r="N2820" s="306"/>
      <c r="P2820" s="112"/>
      <c r="Q2820" s="112"/>
    </row>
    <row r="2821" spans="2:17" s="110" customFormat="1">
      <c r="B2821" s="111"/>
      <c r="F2821" s="112"/>
      <c r="G2821" s="112"/>
      <c r="H2821" s="112"/>
      <c r="L2821" s="112"/>
      <c r="N2821" s="306"/>
      <c r="P2821" s="112"/>
      <c r="Q2821" s="112"/>
    </row>
    <row r="2822" spans="2:17" s="110" customFormat="1">
      <c r="B2822" s="111"/>
      <c r="F2822" s="112"/>
      <c r="G2822" s="112"/>
      <c r="H2822" s="112"/>
      <c r="L2822" s="112"/>
      <c r="N2822" s="306"/>
      <c r="P2822" s="112"/>
      <c r="Q2822" s="112"/>
    </row>
    <row r="2823" spans="2:17" s="110" customFormat="1">
      <c r="B2823" s="111"/>
      <c r="F2823" s="112"/>
      <c r="G2823" s="112"/>
      <c r="H2823" s="112"/>
      <c r="L2823" s="112"/>
      <c r="N2823" s="306"/>
      <c r="P2823" s="112"/>
      <c r="Q2823" s="112"/>
    </row>
    <row r="2824" spans="2:17" s="110" customFormat="1">
      <c r="B2824" s="111"/>
      <c r="F2824" s="112"/>
      <c r="G2824" s="112"/>
      <c r="H2824" s="112"/>
      <c r="L2824" s="112"/>
      <c r="N2824" s="306"/>
      <c r="P2824" s="112"/>
      <c r="Q2824" s="112"/>
    </row>
    <row r="2825" spans="2:17" s="110" customFormat="1">
      <c r="B2825" s="111"/>
      <c r="F2825" s="112"/>
      <c r="G2825" s="112"/>
      <c r="H2825" s="112"/>
      <c r="L2825" s="112"/>
      <c r="N2825" s="306"/>
      <c r="P2825" s="112"/>
      <c r="Q2825" s="112"/>
    </row>
    <row r="2826" spans="2:17" s="110" customFormat="1">
      <c r="B2826" s="111"/>
      <c r="F2826" s="112"/>
      <c r="G2826" s="112"/>
      <c r="H2826" s="112"/>
      <c r="L2826" s="112"/>
      <c r="N2826" s="306"/>
      <c r="P2826" s="112"/>
      <c r="Q2826" s="112"/>
    </row>
    <row r="2827" spans="2:17" s="110" customFormat="1">
      <c r="B2827" s="111"/>
      <c r="F2827" s="112"/>
      <c r="G2827" s="112"/>
      <c r="H2827" s="112"/>
      <c r="L2827" s="112"/>
      <c r="N2827" s="306"/>
      <c r="P2827" s="112"/>
      <c r="Q2827" s="112"/>
    </row>
    <row r="2828" spans="2:17" s="110" customFormat="1">
      <c r="B2828" s="111"/>
      <c r="F2828" s="112"/>
      <c r="G2828" s="112"/>
      <c r="H2828" s="112"/>
      <c r="L2828" s="112"/>
      <c r="N2828" s="306"/>
      <c r="P2828" s="112"/>
      <c r="Q2828" s="112"/>
    </row>
    <row r="2829" spans="2:17" s="110" customFormat="1">
      <c r="B2829" s="111"/>
      <c r="F2829" s="112"/>
      <c r="G2829" s="112"/>
      <c r="H2829" s="112"/>
      <c r="L2829" s="112"/>
      <c r="N2829" s="306"/>
      <c r="P2829" s="112"/>
      <c r="Q2829" s="112"/>
    </row>
    <row r="2830" spans="2:17" s="110" customFormat="1">
      <c r="B2830" s="111"/>
      <c r="F2830" s="112"/>
      <c r="G2830" s="112"/>
      <c r="H2830" s="112"/>
      <c r="L2830" s="112"/>
      <c r="N2830" s="306"/>
      <c r="P2830" s="112"/>
      <c r="Q2830" s="112"/>
    </row>
    <row r="2831" spans="2:17" s="110" customFormat="1">
      <c r="B2831" s="111"/>
      <c r="F2831" s="112"/>
      <c r="G2831" s="112"/>
      <c r="H2831" s="112"/>
      <c r="L2831" s="112"/>
      <c r="N2831" s="306"/>
      <c r="P2831" s="112"/>
      <c r="Q2831" s="112"/>
    </row>
    <row r="2832" spans="2:17" s="110" customFormat="1">
      <c r="B2832" s="111"/>
      <c r="F2832" s="112"/>
      <c r="G2832" s="112"/>
      <c r="H2832" s="112"/>
      <c r="L2832" s="112"/>
      <c r="N2832" s="306"/>
      <c r="P2832" s="112"/>
      <c r="Q2832" s="112"/>
    </row>
    <row r="2833" spans="2:17" s="110" customFormat="1">
      <c r="B2833" s="111"/>
      <c r="F2833" s="112"/>
      <c r="G2833" s="112"/>
      <c r="H2833" s="112"/>
      <c r="L2833" s="112"/>
      <c r="N2833" s="306"/>
      <c r="P2833" s="112"/>
      <c r="Q2833" s="112"/>
    </row>
    <row r="2834" spans="2:17" s="110" customFormat="1">
      <c r="B2834" s="111"/>
      <c r="F2834" s="112"/>
      <c r="G2834" s="112"/>
      <c r="H2834" s="112"/>
      <c r="L2834" s="112"/>
      <c r="N2834" s="306"/>
      <c r="P2834" s="112"/>
      <c r="Q2834" s="112"/>
    </row>
    <row r="2835" spans="2:17" s="110" customFormat="1">
      <c r="B2835" s="111"/>
      <c r="F2835" s="112"/>
      <c r="G2835" s="112"/>
      <c r="H2835" s="112"/>
      <c r="L2835" s="112"/>
      <c r="N2835" s="306"/>
      <c r="P2835" s="112"/>
      <c r="Q2835" s="112"/>
    </row>
    <row r="2836" spans="2:17" s="110" customFormat="1">
      <c r="B2836" s="111"/>
      <c r="F2836" s="112"/>
      <c r="G2836" s="112"/>
      <c r="H2836" s="112"/>
      <c r="L2836" s="112"/>
      <c r="N2836" s="306"/>
      <c r="P2836" s="112"/>
      <c r="Q2836" s="112"/>
    </row>
    <row r="2837" spans="2:17" s="110" customFormat="1">
      <c r="B2837" s="111"/>
      <c r="F2837" s="112"/>
      <c r="G2837" s="112"/>
      <c r="H2837" s="112"/>
      <c r="L2837" s="112"/>
      <c r="N2837" s="306"/>
      <c r="P2837" s="112"/>
      <c r="Q2837" s="112"/>
    </row>
    <row r="2838" spans="2:17" s="110" customFormat="1">
      <c r="B2838" s="111"/>
      <c r="F2838" s="112"/>
      <c r="G2838" s="112"/>
      <c r="H2838" s="112"/>
      <c r="L2838" s="112"/>
      <c r="N2838" s="306"/>
      <c r="P2838" s="112"/>
      <c r="Q2838" s="112"/>
    </row>
    <row r="2839" spans="2:17" s="110" customFormat="1">
      <c r="B2839" s="111"/>
      <c r="F2839" s="112"/>
      <c r="G2839" s="112"/>
      <c r="H2839" s="112"/>
      <c r="L2839" s="112"/>
      <c r="N2839" s="306"/>
      <c r="P2839" s="112"/>
      <c r="Q2839" s="112"/>
    </row>
    <row r="2840" spans="2:17" s="110" customFormat="1">
      <c r="B2840" s="111"/>
      <c r="F2840" s="112"/>
      <c r="G2840" s="112"/>
      <c r="H2840" s="112"/>
      <c r="L2840" s="112"/>
      <c r="N2840" s="306"/>
      <c r="P2840" s="112"/>
      <c r="Q2840" s="112"/>
    </row>
    <row r="2841" spans="2:17" s="110" customFormat="1">
      <c r="B2841" s="111"/>
      <c r="F2841" s="112"/>
      <c r="G2841" s="112"/>
      <c r="H2841" s="112"/>
      <c r="L2841" s="112"/>
      <c r="N2841" s="306"/>
      <c r="P2841" s="112"/>
      <c r="Q2841" s="112"/>
    </row>
    <row r="2842" spans="2:17" s="110" customFormat="1">
      <c r="B2842" s="111"/>
      <c r="F2842" s="112"/>
      <c r="G2842" s="112"/>
      <c r="H2842" s="112"/>
      <c r="L2842" s="112"/>
      <c r="N2842" s="306"/>
      <c r="P2842" s="112"/>
      <c r="Q2842" s="112"/>
    </row>
    <row r="2843" spans="2:17" s="110" customFormat="1">
      <c r="B2843" s="111"/>
      <c r="F2843" s="112"/>
      <c r="G2843" s="112"/>
      <c r="H2843" s="112"/>
      <c r="L2843" s="112"/>
      <c r="N2843" s="306"/>
      <c r="P2843" s="112"/>
      <c r="Q2843" s="112"/>
    </row>
    <row r="2844" spans="2:17" s="110" customFormat="1">
      <c r="B2844" s="111"/>
      <c r="F2844" s="112"/>
      <c r="G2844" s="112"/>
      <c r="H2844" s="112"/>
      <c r="L2844" s="112"/>
      <c r="N2844" s="306"/>
      <c r="P2844" s="112"/>
      <c r="Q2844" s="112"/>
    </row>
    <row r="2845" spans="2:17" s="110" customFormat="1">
      <c r="B2845" s="111"/>
      <c r="F2845" s="112"/>
      <c r="G2845" s="112"/>
      <c r="H2845" s="112"/>
      <c r="L2845" s="112"/>
      <c r="N2845" s="306"/>
      <c r="P2845" s="112"/>
      <c r="Q2845" s="112"/>
    </row>
    <row r="2846" spans="2:17" s="110" customFormat="1">
      <c r="B2846" s="111"/>
      <c r="F2846" s="112"/>
      <c r="G2846" s="112"/>
      <c r="H2846" s="112"/>
      <c r="L2846" s="112"/>
      <c r="N2846" s="306"/>
      <c r="P2846" s="112"/>
      <c r="Q2846" s="112"/>
    </row>
    <row r="2847" spans="2:17" s="110" customFormat="1">
      <c r="B2847" s="111"/>
      <c r="F2847" s="112"/>
      <c r="G2847" s="112"/>
      <c r="H2847" s="112"/>
      <c r="L2847" s="112"/>
      <c r="N2847" s="306"/>
      <c r="P2847" s="112"/>
      <c r="Q2847" s="112"/>
    </row>
    <row r="2848" spans="2:17" s="110" customFormat="1">
      <c r="B2848" s="111"/>
      <c r="F2848" s="112"/>
      <c r="G2848" s="112"/>
      <c r="H2848" s="112"/>
      <c r="L2848" s="112"/>
      <c r="N2848" s="306"/>
      <c r="P2848" s="112"/>
      <c r="Q2848" s="112"/>
    </row>
    <row r="2849" spans="2:17" s="110" customFormat="1">
      <c r="B2849" s="111"/>
      <c r="F2849" s="112"/>
      <c r="G2849" s="112"/>
      <c r="H2849" s="112"/>
      <c r="L2849" s="112"/>
      <c r="N2849" s="306"/>
      <c r="P2849" s="112"/>
      <c r="Q2849" s="112"/>
    </row>
    <row r="2850" spans="2:17" s="110" customFormat="1">
      <c r="B2850" s="111"/>
      <c r="F2850" s="112"/>
      <c r="G2850" s="112"/>
      <c r="H2850" s="112"/>
      <c r="L2850" s="112"/>
      <c r="N2850" s="306"/>
      <c r="P2850" s="112"/>
      <c r="Q2850" s="112"/>
    </row>
    <row r="2851" spans="2:17" s="110" customFormat="1">
      <c r="B2851" s="111"/>
      <c r="F2851" s="112"/>
      <c r="G2851" s="112"/>
      <c r="H2851" s="112"/>
      <c r="L2851" s="112"/>
      <c r="N2851" s="306"/>
      <c r="P2851" s="112"/>
      <c r="Q2851" s="112"/>
    </row>
    <row r="2852" spans="2:17" s="110" customFormat="1">
      <c r="B2852" s="111"/>
      <c r="F2852" s="112"/>
      <c r="G2852" s="112"/>
      <c r="H2852" s="112"/>
      <c r="L2852" s="112"/>
      <c r="N2852" s="306"/>
      <c r="P2852" s="112"/>
      <c r="Q2852" s="112"/>
    </row>
    <row r="2853" spans="2:17" s="110" customFormat="1">
      <c r="B2853" s="111"/>
      <c r="F2853" s="112"/>
      <c r="G2853" s="112"/>
      <c r="H2853" s="112"/>
      <c r="L2853" s="112"/>
      <c r="N2853" s="306"/>
      <c r="P2853" s="112"/>
      <c r="Q2853" s="112"/>
    </row>
    <row r="2854" spans="2:17" s="110" customFormat="1">
      <c r="B2854" s="111"/>
      <c r="F2854" s="112"/>
      <c r="G2854" s="112"/>
      <c r="H2854" s="112"/>
      <c r="L2854" s="112"/>
      <c r="N2854" s="306"/>
      <c r="P2854" s="112"/>
      <c r="Q2854" s="112"/>
    </row>
    <row r="2855" spans="2:17" s="110" customFormat="1">
      <c r="B2855" s="111"/>
      <c r="F2855" s="112"/>
      <c r="G2855" s="112"/>
      <c r="H2855" s="112"/>
      <c r="L2855" s="112"/>
      <c r="N2855" s="306"/>
      <c r="P2855" s="112"/>
      <c r="Q2855" s="112"/>
    </row>
    <row r="2856" spans="2:17" s="110" customFormat="1">
      <c r="B2856" s="111"/>
      <c r="F2856" s="112"/>
      <c r="G2856" s="112"/>
      <c r="H2856" s="112"/>
      <c r="L2856" s="112"/>
      <c r="N2856" s="306"/>
      <c r="P2856" s="112"/>
      <c r="Q2856" s="112"/>
    </row>
    <row r="2857" spans="2:17" s="110" customFormat="1">
      <c r="B2857" s="111"/>
      <c r="F2857" s="112"/>
      <c r="G2857" s="112"/>
      <c r="H2857" s="112"/>
      <c r="L2857" s="112"/>
      <c r="N2857" s="306"/>
      <c r="P2857" s="112"/>
      <c r="Q2857" s="112"/>
    </row>
    <row r="2858" spans="2:17" s="110" customFormat="1">
      <c r="B2858" s="111"/>
      <c r="F2858" s="112"/>
      <c r="G2858" s="112"/>
      <c r="H2858" s="112"/>
      <c r="L2858" s="112"/>
      <c r="N2858" s="306"/>
      <c r="P2858" s="112"/>
      <c r="Q2858" s="112"/>
    </row>
    <row r="2859" spans="2:17" s="110" customFormat="1">
      <c r="B2859" s="111"/>
      <c r="F2859" s="112"/>
      <c r="G2859" s="112"/>
      <c r="H2859" s="112"/>
      <c r="L2859" s="112"/>
      <c r="N2859" s="306"/>
      <c r="P2859" s="112"/>
      <c r="Q2859" s="112"/>
    </row>
    <row r="2860" spans="2:17" s="110" customFormat="1">
      <c r="B2860" s="111"/>
      <c r="F2860" s="112"/>
      <c r="G2860" s="112"/>
      <c r="H2860" s="112"/>
      <c r="L2860" s="112"/>
      <c r="N2860" s="306"/>
      <c r="P2860" s="112"/>
      <c r="Q2860" s="112"/>
    </row>
    <row r="2861" spans="2:17" s="110" customFormat="1">
      <c r="B2861" s="111"/>
      <c r="F2861" s="112"/>
      <c r="G2861" s="112"/>
      <c r="H2861" s="112"/>
      <c r="L2861" s="112"/>
      <c r="N2861" s="306"/>
      <c r="P2861" s="112"/>
      <c r="Q2861" s="112"/>
    </row>
    <row r="2862" spans="2:17" s="110" customFormat="1">
      <c r="B2862" s="111"/>
      <c r="F2862" s="112"/>
      <c r="G2862" s="112"/>
      <c r="H2862" s="112"/>
      <c r="L2862" s="112"/>
      <c r="N2862" s="306"/>
      <c r="P2862" s="112"/>
      <c r="Q2862" s="112"/>
    </row>
    <row r="2863" spans="2:17" s="110" customFormat="1">
      <c r="B2863" s="111"/>
      <c r="F2863" s="112"/>
      <c r="G2863" s="112"/>
      <c r="H2863" s="112"/>
      <c r="L2863" s="112"/>
      <c r="N2863" s="306"/>
      <c r="P2863" s="112"/>
      <c r="Q2863" s="112"/>
    </row>
    <row r="2864" spans="2:17" s="110" customFormat="1">
      <c r="B2864" s="111"/>
      <c r="F2864" s="112"/>
      <c r="G2864" s="112"/>
      <c r="H2864" s="112"/>
      <c r="L2864" s="112"/>
      <c r="N2864" s="306"/>
      <c r="P2864" s="112"/>
      <c r="Q2864" s="112"/>
    </row>
    <row r="2865" spans="2:17" s="110" customFormat="1">
      <c r="B2865" s="111"/>
      <c r="F2865" s="112"/>
      <c r="G2865" s="112"/>
      <c r="H2865" s="112"/>
      <c r="L2865" s="112"/>
      <c r="N2865" s="306"/>
      <c r="P2865" s="112"/>
      <c r="Q2865" s="112"/>
    </row>
    <row r="2866" spans="2:17" s="110" customFormat="1">
      <c r="B2866" s="111"/>
      <c r="F2866" s="112"/>
      <c r="G2866" s="112"/>
      <c r="H2866" s="112"/>
      <c r="L2866" s="112"/>
      <c r="N2866" s="306"/>
      <c r="P2866" s="112"/>
      <c r="Q2866" s="112"/>
    </row>
    <row r="2867" spans="2:17" s="110" customFormat="1">
      <c r="B2867" s="111"/>
      <c r="F2867" s="112"/>
      <c r="G2867" s="112"/>
      <c r="H2867" s="112"/>
      <c r="L2867" s="112"/>
      <c r="N2867" s="306"/>
      <c r="P2867" s="112"/>
      <c r="Q2867" s="112"/>
    </row>
    <row r="2868" spans="2:17" s="110" customFormat="1">
      <c r="B2868" s="111"/>
      <c r="F2868" s="112"/>
      <c r="G2868" s="112"/>
      <c r="H2868" s="112"/>
      <c r="L2868" s="112"/>
      <c r="N2868" s="306"/>
      <c r="P2868" s="112"/>
      <c r="Q2868" s="112"/>
    </row>
    <row r="2869" spans="2:17" s="110" customFormat="1">
      <c r="B2869" s="111"/>
      <c r="F2869" s="112"/>
      <c r="G2869" s="112"/>
      <c r="H2869" s="112"/>
      <c r="L2869" s="112"/>
      <c r="N2869" s="306"/>
      <c r="P2869" s="112"/>
      <c r="Q2869" s="112"/>
    </row>
    <row r="2870" spans="2:17" s="110" customFormat="1">
      <c r="B2870" s="111"/>
      <c r="F2870" s="112"/>
      <c r="G2870" s="112"/>
      <c r="H2870" s="112"/>
      <c r="L2870" s="112"/>
      <c r="N2870" s="306"/>
      <c r="P2870" s="112"/>
      <c r="Q2870" s="112"/>
    </row>
    <row r="2871" spans="2:17" s="110" customFormat="1">
      <c r="B2871" s="111"/>
      <c r="F2871" s="112"/>
      <c r="G2871" s="112"/>
      <c r="H2871" s="112"/>
      <c r="L2871" s="112"/>
      <c r="N2871" s="306"/>
      <c r="P2871" s="112"/>
      <c r="Q2871" s="112"/>
    </row>
    <row r="2872" spans="2:17" s="110" customFormat="1">
      <c r="B2872" s="111"/>
      <c r="F2872" s="112"/>
      <c r="G2872" s="112"/>
      <c r="H2872" s="112"/>
      <c r="L2872" s="112"/>
      <c r="N2872" s="306"/>
      <c r="P2872" s="112"/>
      <c r="Q2872" s="112"/>
    </row>
    <row r="2873" spans="2:17" s="110" customFormat="1">
      <c r="B2873" s="111"/>
      <c r="F2873" s="112"/>
      <c r="G2873" s="112"/>
      <c r="H2873" s="112"/>
      <c r="L2873" s="112"/>
      <c r="N2873" s="306"/>
      <c r="P2873" s="112"/>
      <c r="Q2873" s="112"/>
    </row>
    <row r="2874" spans="2:17" s="110" customFormat="1">
      <c r="B2874" s="111"/>
      <c r="F2874" s="112"/>
      <c r="G2874" s="112"/>
      <c r="H2874" s="112"/>
      <c r="L2874" s="112"/>
      <c r="N2874" s="306"/>
      <c r="P2874" s="112"/>
      <c r="Q2874" s="112"/>
    </row>
    <row r="2875" spans="2:17" s="110" customFormat="1">
      <c r="B2875" s="111"/>
      <c r="F2875" s="112"/>
      <c r="G2875" s="112"/>
      <c r="H2875" s="112"/>
      <c r="L2875" s="112"/>
      <c r="N2875" s="306"/>
      <c r="P2875" s="112"/>
      <c r="Q2875" s="112"/>
    </row>
    <row r="2876" spans="2:17" s="110" customFormat="1">
      <c r="B2876" s="111"/>
      <c r="F2876" s="112"/>
      <c r="G2876" s="112"/>
      <c r="H2876" s="112"/>
      <c r="L2876" s="112"/>
      <c r="N2876" s="306"/>
      <c r="P2876" s="112"/>
      <c r="Q2876" s="112"/>
    </row>
    <row r="2877" spans="2:17" s="110" customFormat="1">
      <c r="B2877" s="111"/>
      <c r="F2877" s="112"/>
      <c r="G2877" s="112"/>
      <c r="H2877" s="112"/>
      <c r="L2877" s="112"/>
      <c r="N2877" s="306"/>
      <c r="P2877" s="112"/>
      <c r="Q2877" s="112"/>
    </row>
    <row r="2878" spans="2:17" s="110" customFormat="1">
      <c r="B2878" s="111"/>
      <c r="F2878" s="112"/>
      <c r="G2878" s="112"/>
      <c r="H2878" s="112"/>
      <c r="L2878" s="112"/>
      <c r="N2878" s="306"/>
      <c r="P2878" s="112"/>
      <c r="Q2878" s="112"/>
    </row>
    <row r="2879" spans="2:17" s="110" customFormat="1">
      <c r="B2879" s="111"/>
      <c r="F2879" s="112"/>
      <c r="G2879" s="112"/>
      <c r="H2879" s="112"/>
      <c r="L2879" s="112"/>
      <c r="N2879" s="306"/>
      <c r="P2879" s="112"/>
      <c r="Q2879" s="112"/>
    </row>
    <row r="2880" spans="2:17" s="110" customFormat="1">
      <c r="B2880" s="111"/>
      <c r="F2880" s="112"/>
      <c r="G2880" s="112"/>
      <c r="H2880" s="112"/>
      <c r="L2880" s="112"/>
      <c r="N2880" s="306"/>
      <c r="P2880" s="112"/>
      <c r="Q2880" s="112"/>
    </row>
    <row r="2881" spans="2:17" s="110" customFormat="1">
      <c r="B2881" s="111"/>
      <c r="F2881" s="112"/>
      <c r="G2881" s="112"/>
      <c r="H2881" s="112"/>
      <c r="L2881" s="112"/>
      <c r="N2881" s="306"/>
      <c r="P2881" s="112"/>
      <c r="Q2881" s="112"/>
    </row>
    <row r="2882" spans="2:17" s="110" customFormat="1">
      <c r="B2882" s="111"/>
      <c r="F2882" s="112"/>
      <c r="G2882" s="112"/>
      <c r="H2882" s="112"/>
      <c r="L2882" s="112"/>
      <c r="N2882" s="306"/>
      <c r="P2882" s="112"/>
      <c r="Q2882" s="112"/>
    </row>
    <row r="2883" spans="2:17" s="110" customFormat="1">
      <c r="B2883" s="111"/>
      <c r="F2883" s="112"/>
      <c r="G2883" s="112"/>
      <c r="H2883" s="112"/>
      <c r="L2883" s="112"/>
      <c r="N2883" s="306"/>
      <c r="P2883" s="112"/>
      <c r="Q2883" s="112"/>
    </row>
    <row r="2884" spans="2:17" s="110" customFormat="1">
      <c r="B2884" s="111"/>
      <c r="F2884" s="112"/>
      <c r="G2884" s="112"/>
      <c r="H2884" s="112"/>
      <c r="L2884" s="112"/>
      <c r="N2884" s="306"/>
      <c r="P2884" s="112"/>
      <c r="Q2884" s="112"/>
    </row>
    <row r="2885" spans="2:17" s="110" customFormat="1">
      <c r="B2885" s="111"/>
      <c r="F2885" s="112"/>
      <c r="G2885" s="112"/>
      <c r="H2885" s="112"/>
      <c r="L2885" s="112"/>
      <c r="N2885" s="306"/>
      <c r="P2885" s="112"/>
      <c r="Q2885" s="112"/>
    </row>
    <row r="2886" spans="2:17" s="110" customFormat="1">
      <c r="B2886" s="111"/>
      <c r="F2886" s="112"/>
      <c r="G2886" s="112"/>
      <c r="H2886" s="112"/>
      <c r="L2886" s="112"/>
      <c r="N2886" s="306"/>
      <c r="P2886" s="112"/>
      <c r="Q2886" s="112"/>
    </row>
    <row r="2887" spans="2:17" s="110" customFormat="1">
      <c r="B2887" s="111"/>
      <c r="F2887" s="112"/>
      <c r="G2887" s="112"/>
      <c r="H2887" s="112"/>
      <c r="L2887" s="112"/>
      <c r="N2887" s="306"/>
      <c r="P2887" s="112"/>
      <c r="Q2887" s="112"/>
    </row>
    <row r="2888" spans="2:17" s="110" customFormat="1">
      <c r="B2888" s="111"/>
      <c r="F2888" s="112"/>
      <c r="G2888" s="112"/>
      <c r="H2888" s="112"/>
      <c r="L2888" s="112"/>
      <c r="N2888" s="306"/>
      <c r="P2888" s="112"/>
      <c r="Q2888" s="112"/>
    </row>
    <row r="2889" spans="2:17" s="110" customFormat="1">
      <c r="B2889" s="111"/>
      <c r="F2889" s="112"/>
      <c r="G2889" s="112"/>
      <c r="H2889" s="112"/>
      <c r="L2889" s="112"/>
      <c r="N2889" s="306"/>
      <c r="P2889" s="112"/>
      <c r="Q2889" s="112"/>
    </row>
    <row r="2890" spans="2:17" s="110" customFormat="1">
      <c r="B2890" s="111"/>
      <c r="F2890" s="112"/>
      <c r="G2890" s="112"/>
      <c r="H2890" s="112"/>
      <c r="L2890" s="112"/>
      <c r="N2890" s="306"/>
      <c r="P2890" s="112"/>
      <c r="Q2890" s="112"/>
    </row>
    <row r="2891" spans="2:17" s="110" customFormat="1">
      <c r="B2891" s="111"/>
      <c r="F2891" s="112"/>
      <c r="G2891" s="112"/>
      <c r="H2891" s="112"/>
      <c r="L2891" s="112"/>
      <c r="N2891" s="306"/>
      <c r="P2891" s="112"/>
      <c r="Q2891" s="112"/>
    </row>
    <row r="2892" spans="2:17" s="110" customFormat="1">
      <c r="B2892" s="111"/>
      <c r="F2892" s="112"/>
      <c r="G2892" s="112"/>
      <c r="H2892" s="112"/>
      <c r="L2892" s="112"/>
      <c r="N2892" s="306"/>
      <c r="P2892" s="112"/>
      <c r="Q2892" s="112"/>
    </row>
    <row r="2893" spans="2:17" s="110" customFormat="1">
      <c r="B2893" s="111"/>
      <c r="F2893" s="112"/>
      <c r="G2893" s="112"/>
      <c r="H2893" s="112"/>
      <c r="L2893" s="112"/>
      <c r="N2893" s="306"/>
      <c r="P2893" s="112"/>
      <c r="Q2893" s="112"/>
    </row>
    <row r="2894" spans="2:17" s="110" customFormat="1">
      <c r="B2894" s="111"/>
      <c r="F2894" s="112"/>
      <c r="G2894" s="112"/>
      <c r="H2894" s="112"/>
      <c r="L2894" s="112"/>
      <c r="N2894" s="306"/>
      <c r="P2894" s="112"/>
      <c r="Q2894" s="112"/>
    </row>
    <row r="2895" spans="2:17" s="110" customFormat="1">
      <c r="B2895" s="111"/>
      <c r="F2895" s="112"/>
      <c r="G2895" s="112"/>
      <c r="H2895" s="112"/>
      <c r="L2895" s="112"/>
      <c r="N2895" s="306"/>
      <c r="P2895" s="112"/>
      <c r="Q2895" s="112"/>
    </row>
    <row r="2896" spans="2:17" s="110" customFormat="1">
      <c r="B2896" s="111"/>
      <c r="F2896" s="112"/>
      <c r="G2896" s="112"/>
      <c r="H2896" s="112"/>
      <c r="L2896" s="112"/>
      <c r="N2896" s="306"/>
      <c r="P2896" s="112"/>
      <c r="Q2896" s="112"/>
    </row>
    <row r="2897" spans="2:17" s="110" customFormat="1">
      <c r="B2897" s="111"/>
      <c r="F2897" s="112"/>
      <c r="G2897" s="112"/>
      <c r="H2897" s="112"/>
      <c r="L2897" s="112"/>
      <c r="N2897" s="306"/>
      <c r="P2897" s="112"/>
      <c r="Q2897" s="112"/>
    </row>
    <row r="2898" spans="2:17" s="110" customFormat="1">
      <c r="B2898" s="111"/>
      <c r="F2898" s="112"/>
      <c r="G2898" s="112"/>
      <c r="H2898" s="112"/>
      <c r="L2898" s="112"/>
      <c r="N2898" s="306"/>
      <c r="P2898" s="112"/>
      <c r="Q2898" s="112"/>
    </row>
    <row r="2899" spans="2:17" s="110" customFormat="1">
      <c r="B2899" s="111"/>
      <c r="F2899" s="112"/>
      <c r="G2899" s="112"/>
      <c r="H2899" s="112"/>
      <c r="L2899" s="112"/>
      <c r="N2899" s="306"/>
      <c r="P2899" s="112"/>
      <c r="Q2899" s="112"/>
    </row>
    <row r="2900" spans="2:17" s="110" customFormat="1">
      <c r="B2900" s="111"/>
      <c r="F2900" s="112"/>
      <c r="G2900" s="112"/>
      <c r="H2900" s="112"/>
      <c r="L2900" s="112"/>
      <c r="N2900" s="306"/>
      <c r="P2900" s="112"/>
      <c r="Q2900" s="112"/>
    </row>
    <row r="2901" spans="2:17" s="110" customFormat="1">
      <c r="B2901" s="111"/>
      <c r="F2901" s="112"/>
      <c r="G2901" s="112"/>
      <c r="H2901" s="112"/>
      <c r="L2901" s="112"/>
      <c r="N2901" s="306"/>
      <c r="P2901" s="112"/>
      <c r="Q2901" s="112"/>
    </row>
    <row r="2902" spans="2:17" s="110" customFormat="1">
      <c r="B2902" s="111"/>
      <c r="F2902" s="112"/>
      <c r="G2902" s="112"/>
      <c r="H2902" s="112"/>
      <c r="L2902" s="112"/>
      <c r="N2902" s="306"/>
      <c r="P2902" s="112"/>
      <c r="Q2902" s="112"/>
    </row>
    <row r="2903" spans="2:17" s="110" customFormat="1">
      <c r="B2903" s="111"/>
      <c r="F2903" s="112"/>
      <c r="G2903" s="112"/>
      <c r="H2903" s="112"/>
      <c r="L2903" s="112"/>
      <c r="N2903" s="306"/>
      <c r="P2903" s="112"/>
      <c r="Q2903" s="112"/>
    </row>
    <row r="2904" spans="2:17" s="110" customFormat="1">
      <c r="B2904" s="111"/>
      <c r="F2904" s="112"/>
      <c r="G2904" s="112"/>
      <c r="H2904" s="112"/>
      <c r="L2904" s="112"/>
      <c r="N2904" s="306"/>
      <c r="P2904" s="112"/>
      <c r="Q2904" s="112"/>
    </row>
    <row r="2905" spans="2:17" s="110" customFormat="1">
      <c r="B2905" s="111"/>
      <c r="F2905" s="112"/>
      <c r="G2905" s="112"/>
      <c r="H2905" s="112"/>
      <c r="L2905" s="112"/>
      <c r="N2905" s="306"/>
      <c r="P2905" s="112"/>
      <c r="Q2905" s="112"/>
    </row>
    <row r="2906" spans="2:17" s="110" customFormat="1">
      <c r="B2906" s="111"/>
      <c r="F2906" s="112"/>
      <c r="G2906" s="112"/>
      <c r="H2906" s="112"/>
      <c r="L2906" s="112"/>
      <c r="N2906" s="306"/>
      <c r="P2906" s="112"/>
      <c r="Q2906" s="112"/>
    </row>
    <row r="2907" spans="2:17" s="110" customFormat="1">
      <c r="B2907" s="111"/>
      <c r="F2907" s="112"/>
      <c r="G2907" s="112"/>
      <c r="H2907" s="112"/>
      <c r="L2907" s="112"/>
      <c r="N2907" s="306"/>
      <c r="P2907" s="112"/>
      <c r="Q2907" s="112"/>
    </row>
    <row r="2908" spans="2:17" s="110" customFormat="1">
      <c r="B2908" s="111"/>
      <c r="F2908" s="112"/>
      <c r="G2908" s="112"/>
      <c r="H2908" s="112"/>
      <c r="L2908" s="112"/>
      <c r="N2908" s="306"/>
      <c r="P2908" s="112"/>
      <c r="Q2908" s="112"/>
    </row>
    <row r="2909" spans="2:17" s="110" customFormat="1">
      <c r="B2909" s="111"/>
      <c r="F2909" s="112"/>
      <c r="G2909" s="112"/>
      <c r="H2909" s="112"/>
      <c r="L2909" s="112"/>
      <c r="N2909" s="306"/>
      <c r="P2909" s="112"/>
      <c r="Q2909" s="112"/>
    </row>
    <row r="2910" spans="2:17" s="110" customFormat="1">
      <c r="B2910" s="111"/>
      <c r="F2910" s="112"/>
      <c r="G2910" s="112"/>
      <c r="H2910" s="112"/>
      <c r="L2910" s="112"/>
      <c r="N2910" s="306"/>
      <c r="P2910" s="112"/>
      <c r="Q2910" s="112"/>
    </row>
    <row r="2911" spans="2:17" s="110" customFormat="1">
      <c r="B2911" s="111"/>
      <c r="F2911" s="112"/>
      <c r="G2911" s="112"/>
      <c r="H2911" s="112"/>
      <c r="L2911" s="112"/>
      <c r="N2911" s="306"/>
      <c r="P2911" s="112"/>
      <c r="Q2911" s="112"/>
    </row>
    <row r="2912" spans="2:17" s="110" customFormat="1">
      <c r="B2912" s="111"/>
      <c r="F2912" s="112"/>
      <c r="G2912" s="112"/>
      <c r="H2912" s="112"/>
      <c r="L2912" s="112"/>
      <c r="N2912" s="306"/>
      <c r="P2912" s="112"/>
      <c r="Q2912" s="112"/>
    </row>
    <row r="2913" spans="2:17" s="110" customFormat="1">
      <c r="B2913" s="111"/>
      <c r="F2913" s="112"/>
      <c r="G2913" s="112"/>
      <c r="H2913" s="112"/>
      <c r="L2913" s="112"/>
      <c r="N2913" s="306"/>
      <c r="P2913" s="112"/>
      <c r="Q2913" s="112"/>
    </row>
    <row r="2914" spans="2:17" s="110" customFormat="1">
      <c r="B2914" s="111"/>
      <c r="F2914" s="112"/>
      <c r="G2914" s="112"/>
      <c r="H2914" s="112"/>
      <c r="L2914" s="112"/>
      <c r="N2914" s="306"/>
      <c r="P2914" s="112"/>
      <c r="Q2914" s="112"/>
    </row>
    <row r="2915" spans="2:17" s="110" customFormat="1">
      <c r="B2915" s="111"/>
      <c r="F2915" s="112"/>
      <c r="G2915" s="112"/>
      <c r="H2915" s="112"/>
      <c r="L2915" s="112"/>
      <c r="N2915" s="306"/>
      <c r="P2915" s="112"/>
      <c r="Q2915" s="112"/>
    </row>
    <row r="2916" spans="2:17" s="110" customFormat="1">
      <c r="B2916" s="111"/>
      <c r="F2916" s="112"/>
      <c r="G2916" s="112"/>
      <c r="H2916" s="112"/>
      <c r="L2916" s="112"/>
      <c r="N2916" s="306"/>
      <c r="P2916" s="112"/>
      <c r="Q2916" s="112"/>
    </row>
    <row r="2917" spans="2:17" s="110" customFormat="1">
      <c r="B2917" s="111"/>
      <c r="F2917" s="112"/>
      <c r="G2917" s="112"/>
      <c r="H2917" s="112"/>
      <c r="L2917" s="112"/>
      <c r="N2917" s="306"/>
      <c r="P2917" s="112"/>
      <c r="Q2917" s="112"/>
    </row>
    <row r="2918" spans="2:17" s="110" customFormat="1">
      <c r="B2918" s="111"/>
      <c r="F2918" s="112"/>
      <c r="G2918" s="112"/>
      <c r="H2918" s="112"/>
      <c r="L2918" s="112"/>
      <c r="N2918" s="306"/>
      <c r="P2918" s="112"/>
      <c r="Q2918" s="112"/>
    </row>
    <row r="2919" spans="2:17" s="110" customFormat="1">
      <c r="B2919" s="111"/>
      <c r="F2919" s="112"/>
      <c r="G2919" s="112"/>
      <c r="H2919" s="112"/>
      <c r="L2919" s="112"/>
      <c r="N2919" s="306"/>
      <c r="P2919" s="112"/>
      <c r="Q2919" s="112"/>
    </row>
    <row r="2920" spans="2:17" s="110" customFormat="1">
      <c r="B2920" s="111"/>
      <c r="F2920" s="112"/>
      <c r="G2920" s="112"/>
      <c r="H2920" s="112"/>
      <c r="L2920" s="112"/>
      <c r="N2920" s="306"/>
      <c r="P2920" s="112"/>
      <c r="Q2920" s="112"/>
    </row>
    <row r="2921" spans="2:17" s="110" customFormat="1">
      <c r="B2921" s="111"/>
      <c r="F2921" s="112"/>
      <c r="G2921" s="112"/>
      <c r="H2921" s="112"/>
      <c r="L2921" s="112"/>
      <c r="N2921" s="306"/>
      <c r="P2921" s="112"/>
      <c r="Q2921" s="112"/>
    </row>
    <row r="2922" spans="2:17" s="110" customFormat="1">
      <c r="B2922" s="111"/>
      <c r="F2922" s="112"/>
      <c r="G2922" s="112"/>
      <c r="H2922" s="112"/>
      <c r="L2922" s="112"/>
      <c r="N2922" s="306"/>
      <c r="P2922" s="112"/>
      <c r="Q2922" s="112"/>
    </row>
    <row r="2923" spans="2:17" s="110" customFormat="1">
      <c r="B2923" s="111"/>
      <c r="F2923" s="112"/>
      <c r="G2923" s="112"/>
      <c r="H2923" s="112"/>
      <c r="L2923" s="112"/>
      <c r="N2923" s="306"/>
      <c r="P2923" s="112"/>
      <c r="Q2923" s="112"/>
    </row>
    <row r="2924" spans="2:17" s="110" customFormat="1">
      <c r="B2924" s="111"/>
      <c r="F2924" s="112"/>
      <c r="G2924" s="112"/>
      <c r="H2924" s="112"/>
      <c r="L2924" s="112"/>
      <c r="N2924" s="306"/>
      <c r="P2924" s="112"/>
      <c r="Q2924" s="112"/>
    </row>
    <row r="2925" spans="2:17" s="110" customFormat="1">
      <c r="B2925" s="111"/>
      <c r="F2925" s="112"/>
      <c r="G2925" s="112"/>
      <c r="H2925" s="112"/>
      <c r="L2925" s="112"/>
      <c r="N2925" s="306"/>
      <c r="P2925" s="112"/>
      <c r="Q2925" s="112"/>
    </row>
    <row r="2926" spans="2:17" s="110" customFormat="1">
      <c r="B2926" s="111"/>
      <c r="F2926" s="112"/>
      <c r="G2926" s="112"/>
      <c r="H2926" s="112"/>
      <c r="L2926" s="112"/>
      <c r="N2926" s="306"/>
      <c r="P2926" s="112"/>
      <c r="Q2926" s="112"/>
    </row>
    <row r="2927" spans="2:17" s="110" customFormat="1">
      <c r="B2927" s="111"/>
      <c r="F2927" s="112"/>
      <c r="G2927" s="112"/>
      <c r="H2927" s="112"/>
      <c r="L2927" s="112"/>
      <c r="N2927" s="306"/>
      <c r="P2927" s="112"/>
      <c r="Q2927" s="112"/>
    </row>
    <row r="2928" spans="2:17" s="110" customFormat="1">
      <c r="B2928" s="111"/>
      <c r="F2928" s="112"/>
      <c r="G2928" s="112"/>
      <c r="H2928" s="112"/>
      <c r="L2928" s="112"/>
      <c r="N2928" s="306"/>
      <c r="P2928" s="112"/>
      <c r="Q2928" s="112"/>
    </row>
    <row r="2929" spans="2:17" s="110" customFormat="1">
      <c r="B2929" s="111"/>
      <c r="F2929" s="112"/>
      <c r="G2929" s="112"/>
      <c r="H2929" s="112"/>
      <c r="L2929" s="112"/>
      <c r="N2929" s="306"/>
      <c r="P2929" s="112"/>
      <c r="Q2929" s="112"/>
    </row>
    <row r="2930" spans="2:17" s="110" customFormat="1">
      <c r="B2930" s="111"/>
      <c r="F2930" s="112"/>
      <c r="G2930" s="112"/>
      <c r="H2930" s="112"/>
      <c r="L2930" s="112"/>
      <c r="N2930" s="306"/>
      <c r="P2930" s="112"/>
      <c r="Q2930" s="112"/>
    </row>
    <row r="2931" spans="2:17" s="110" customFormat="1">
      <c r="B2931" s="111"/>
      <c r="F2931" s="112"/>
      <c r="G2931" s="112"/>
      <c r="H2931" s="112"/>
      <c r="L2931" s="112"/>
      <c r="N2931" s="306"/>
      <c r="P2931" s="112"/>
      <c r="Q2931" s="112"/>
    </row>
    <row r="2932" spans="2:17" s="110" customFormat="1">
      <c r="B2932" s="111"/>
      <c r="F2932" s="112"/>
      <c r="G2932" s="112"/>
      <c r="H2932" s="112"/>
      <c r="L2932" s="112"/>
      <c r="N2932" s="306"/>
      <c r="P2932" s="112"/>
      <c r="Q2932" s="112"/>
    </row>
    <row r="2933" spans="2:17" s="110" customFormat="1">
      <c r="B2933" s="111"/>
      <c r="F2933" s="112"/>
      <c r="G2933" s="112"/>
      <c r="H2933" s="112"/>
      <c r="L2933" s="112"/>
      <c r="N2933" s="306"/>
      <c r="P2933" s="112"/>
      <c r="Q2933" s="112"/>
    </row>
    <row r="2934" spans="2:17" s="110" customFormat="1">
      <c r="B2934" s="111"/>
      <c r="F2934" s="112"/>
      <c r="G2934" s="112"/>
      <c r="H2934" s="112"/>
      <c r="L2934" s="112"/>
      <c r="N2934" s="306"/>
      <c r="P2934" s="112"/>
      <c r="Q2934" s="112"/>
    </row>
    <row r="2935" spans="2:17" s="110" customFormat="1">
      <c r="B2935" s="111"/>
      <c r="F2935" s="112"/>
      <c r="G2935" s="112"/>
      <c r="H2935" s="112"/>
      <c r="L2935" s="112"/>
      <c r="N2935" s="306"/>
      <c r="P2935" s="112"/>
      <c r="Q2935" s="112"/>
    </row>
    <row r="2936" spans="2:17" s="110" customFormat="1">
      <c r="B2936" s="111"/>
      <c r="F2936" s="112"/>
      <c r="G2936" s="112"/>
      <c r="H2936" s="112"/>
      <c r="L2936" s="112"/>
      <c r="N2936" s="306"/>
      <c r="P2936" s="112"/>
      <c r="Q2936" s="112"/>
    </row>
    <row r="2937" spans="2:17" s="110" customFormat="1">
      <c r="B2937" s="111"/>
      <c r="F2937" s="112"/>
      <c r="G2937" s="112"/>
      <c r="H2937" s="112"/>
      <c r="L2937" s="112"/>
      <c r="N2937" s="306"/>
      <c r="P2937" s="112"/>
      <c r="Q2937" s="112"/>
    </row>
    <row r="2938" spans="2:17" s="110" customFormat="1">
      <c r="B2938" s="111"/>
      <c r="F2938" s="112"/>
      <c r="G2938" s="112"/>
      <c r="H2938" s="112"/>
      <c r="L2938" s="112"/>
      <c r="N2938" s="306"/>
      <c r="P2938" s="112"/>
      <c r="Q2938" s="112"/>
    </row>
    <row r="2939" spans="2:17" s="110" customFormat="1">
      <c r="B2939" s="111"/>
      <c r="F2939" s="112"/>
      <c r="G2939" s="112"/>
      <c r="H2939" s="112"/>
      <c r="L2939" s="112"/>
      <c r="N2939" s="306"/>
      <c r="P2939" s="112"/>
      <c r="Q2939" s="112"/>
    </row>
    <row r="2940" spans="2:17" s="110" customFormat="1">
      <c r="B2940" s="111"/>
      <c r="F2940" s="112"/>
      <c r="G2940" s="112"/>
      <c r="H2940" s="112"/>
      <c r="L2940" s="112"/>
      <c r="N2940" s="306"/>
      <c r="P2940" s="112"/>
      <c r="Q2940" s="112"/>
    </row>
    <row r="2941" spans="2:17" s="110" customFormat="1">
      <c r="B2941" s="111"/>
      <c r="F2941" s="112"/>
      <c r="G2941" s="112"/>
      <c r="H2941" s="112"/>
      <c r="L2941" s="112"/>
      <c r="N2941" s="306"/>
      <c r="P2941" s="112"/>
      <c r="Q2941" s="112"/>
    </row>
    <row r="2942" spans="2:17" s="110" customFormat="1">
      <c r="B2942" s="111"/>
      <c r="F2942" s="112"/>
      <c r="G2942" s="112"/>
      <c r="H2942" s="112"/>
      <c r="L2942" s="112"/>
      <c r="N2942" s="306"/>
      <c r="P2942" s="112"/>
      <c r="Q2942" s="112"/>
    </row>
    <row r="2943" spans="2:17" s="110" customFormat="1">
      <c r="B2943" s="111"/>
      <c r="F2943" s="112"/>
      <c r="G2943" s="112"/>
      <c r="H2943" s="112"/>
      <c r="L2943" s="112"/>
      <c r="N2943" s="306"/>
      <c r="P2943" s="112"/>
      <c r="Q2943" s="112"/>
    </row>
    <row r="2944" spans="2:17" s="110" customFormat="1">
      <c r="B2944" s="111"/>
      <c r="F2944" s="112"/>
      <c r="G2944" s="112"/>
      <c r="H2944" s="112"/>
      <c r="L2944" s="112"/>
      <c r="N2944" s="306"/>
      <c r="P2944" s="112"/>
      <c r="Q2944" s="112"/>
    </row>
    <row r="2945" spans="2:17" s="110" customFormat="1">
      <c r="B2945" s="111"/>
      <c r="F2945" s="112"/>
      <c r="G2945" s="112"/>
      <c r="H2945" s="112"/>
      <c r="L2945" s="112"/>
      <c r="N2945" s="306"/>
      <c r="P2945" s="112"/>
      <c r="Q2945" s="112"/>
    </row>
    <row r="2946" spans="2:17" s="110" customFormat="1">
      <c r="B2946" s="111"/>
      <c r="F2946" s="112"/>
      <c r="G2946" s="112"/>
      <c r="H2946" s="112"/>
      <c r="L2946" s="112"/>
      <c r="N2946" s="306"/>
      <c r="P2946" s="112"/>
      <c r="Q2946" s="112"/>
    </row>
    <row r="2947" spans="2:17" s="110" customFormat="1">
      <c r="B2947" s="111"/>
      <c r="F2947" s="112"/>
      <c r="G2947" s="112"/>
      <c r="H2947" s="112"/>
      <c r="L2947" s="112"/>
      <c r="N2947" s="306"/>
      <c r="P2947" s="112"/>
      <c r="Q2947" s="112"/>
    </row>
    <row r="2948" spans="2:17" s="110" customFormat="1">
      <c r="B2948" s="111"/>
      <c r="F2948" s="112"/>
      <c r="G2948" s="112"/>
      <c r="H2948" s="112"/>
      <c r="L2948" s="112"/>
      <c r="N2948" s="306"/>
      <c r="P2948" s="112"/>
      <c r="Q2948" s="112"/>
    </row>
    <row r="2949" spans="2:17" s="110" customFormat="1">
      <c r="B2949" s="111"/>
      <c r="F2949" s="112"/>
      <c r="G2949" s="112"/>
      <c r="H2949" s="112"/>
      <c r="L2949" s="112"/>
      <c r="N2949" s="306"/>
      <c r="P2949" s="112"/>
      <c r="Q2949" s="112"/>
    </row>
    <row r="2950" spans="2:17" s="110" customFormat="1">
      <c r="B2950" s="111"/>
      <c r="F2950" s="112"/>
      <c r="G2950" s="112"/>
      <c r="H2950" s="112"/>
      <c r="L2950" s="112"/>
      <c r="N2950" s="306"/>
      <c r="P2950" s="112"/>
      <c r="Q2950" s="112"/>
    </row>
    <row r="2951" spans="2:17" s="110" customFormat="1">
      <c r="B2951" s="111"/>
      <c r="F2951" s="112"/>
      <c r="G2951" s="112"/>
      <c r="H2951" s="112"/>
      <c r="L2951" s="112"/>
      <c r="N2951" s="306"/>
      <c r="P2951" s="112"/>
      <c r="Q2951" s="112"/>
    </row>
    <row r="2952" spans="2:17" s="110" customFormat="1">
      <c r="B2952" s="111"/>
      <c r="F2952" s="112"/>
      <c r="G2952" s="112"/>
      <c r="H2952" s="112"/>
      <c r="L2952" s="112"/>
      <c r="N2952" s="306"/>
      <c r="P2952" s="112"/>
      <c r="Q2952" s="112"/>
    </row>
    <row r="2953" spans="2:17" s="110" customFormat="1">
      <c r="B2953" s="111"/>
      <c r="F2953" s="112"/>
      <c r="G2953" s="112"/>
      <c r="H2953" s="112"/>
      <c r="L2953" s="112"/>
      <c r="N2953" s="306"/>
      <c r="P2953" s="112"/>
      <c r="Q2953" s="112"/>
    </row>
    <row r="2954" spans="2:17" s="110" customFormat="1">
      <c r="B2954" s="111"/>
      <c r="F2954" s="112"/>
      <c r="G2954" s="112"/>
      <c r="H2954" s="112"/>
      <c r="L2954" s="112"/>
      <c r="N2954" s="306"/>
      <c r="P2954" s="112"/>
      <c r="Q2954" s="112"/>
    </row>
    <row r="2955" spans="2:17" s="110" customFormat="1">
      <c r="B2955" s="111"/>
      <c r="F2955" s="112"/>
      <c r="G2955" s="112"/>
      <c r="H2955" s="112"/>
      <c r="L2955" s="112"/>
      <c r="N2955" s="306"/>
      <c r="P2955" s="112"/>
      <c r="Q2955" s="112"/>
    </row>
    <row r="2956" spans="2:17" s="110" customFormat="1">
      <c r="B2956" s="111"/>
      <c r="F2956" s="112"/>
      <c r="G2956" s="112"/>
      <c r="H2956" s="112"/>
      <c r="L2956" s="112"/>
      <c r="N2956" s="306"/>
      <c r="P2956" s="112"/>
      <c r="Q2956" s="112"/>
    </row>
    <row r="2957" spans="2:17" s="110" customFormat="1">
      <c r="B2957" s="111"/>
      <c r="F2957" s="112"/>
      <c r="G2957" s="112"/>
      <c r="H2957" s="112"/>
      <c r="L2957" s="112"/>
      <c r="N2957" s="306"/>
      <c r="P2957" s="112"/>
      <c r="Q2957" s="112"/>
    </row>
    <row r="2958" spans="2:17" s="110" customFormat="1">
      <c r="B2958" s="111"/>
      <c r="F2958" s="112"/>
      <c r="G2958" s="112"/>
      <c r="H2958" s="112"/>
      <c r="L2958" s="112"/>
      <c r="N2958" s="306"/>
      <c r="P2958" s="112"/>
      <c r="Q2958" s="112"/>
    </row>
    <row r="2959" spans="2:17" s="110" customFormat="1">
      <c r="B2959" s="111"/>
      <c r="F2959" s="112"/>
      <c r="G2959" s="112"/>
      <c r="H2959" s="112"/>
      <c r="L2959" s="112"/>
      <c r="N2959" s="306"/>
      <c r="P2959" s="112"/>
      <c r="Q2959" s="112"/>
    </row>
    <row r="2960" spans="2:17" s="110" customFormat="1">
      <c r="B2960" s="111"/>
      <c r="F2960" s="112"/>
      <c r="G2960" s="112"/>
      <c r="H2960" s="112"/>
      <c r="L2960" s="112"/>
      <c r="N2960" s="306"/>
      <c r="P2960" s="112"/>
      <c r="Q2960" s="112"/>
    </row>
    <row r="2961" spans="2:17" s="110" customFormat="1">
      <c r="B2961" s="111"/>
      <c r="F2961" s="112"/>
      <c r="G2961" s="112"/>
      <c r="H2961" s="112"/>
      <c r="L2961" s="112"/>
      <c r="N2961" s="306"/>
      <c r="P2961" s="112"/>
      <c r="Q2961" s="112"/>
    </row>
    <row r="2962" spans="2:17" s="110" customFormat="1">
      <c r="B2962" s="111"/>
      <c r="F2962" s="112"/>
      <c r="G2962" s="112"/>
      <c r="H2962" s="112"/>
      <c r="L2962" s="112"/>
      <c r="N2962" s="306"/>
      <c r="P2962" s="112"/>
      <c r="Q2962" s="112"/>
    </row>
    <row r="2963" spans="2:17" s="110" customFormat="1">
      <c r="B2963" s="111"/>
      <c r="F2963" s="112"/>
      <c r="G2963" s="112"/>
      <c r="H2963" s="112"/>
      <c r="L2963" s="112"/>
      <c r="N2963" s="306"/>
      <c r="P2963" s="112"/>
      <c r="Q2963" s="112"/>
    </row>
    <row r="2964" spans="2:17" s="110" customFormat="1">
      <c r="B2964" s="111"/>
      <c r="F2964" s="112"/>
      <c r="G2964" s="112"/>
      <c r="H2964" s="112"/>
      <c r="L2964" s="112"/>
      <c r="N2964" s="306"/>
      <c r="P2964" s="112"/>
      <c r="Q2964" s="112"/>
    </row>
    <row r="2965" spans="2:17" s="110" customFormat="1">
      <c r="B2965" s="111"/>
      <c r="F2965" s="112"/>
      <c r="G2965" s="112"/>
      <c r="H2965" s="112"/>
      <c r="L2965" s="112"/>
      <c r="N2965" s="306"/>
      <c r="P2965" s="112"/>
      <c r="Q2965" s="112"/>
    </row>
    <row r="2966" spans="2:17" s="110" customFormat="1">
      <c r="B2966" s="111"/>
      <c r="F2966" s="112"/>
      <c r="G2966" s="112"/>
      <c r="H2966" s="112"/>
      <c r="L2966" s="112"/>
      <c r="N2966" s="306"/>
      <c r="P2966" s="112"/>
      <c r="Q2966" s="112"/>
    </row>
    <row r="2967" spans="2:17" s="110" customFormat="1">
      <c r="B2967" s="111"/>
      <c r="F2967" s="112"/>
      <c r="G2967" s="112"/>
      <c r="H2967" s="112"/>
      <c r="L2967" s="112"/>
      <c r="N2967" s="306"/>
      <c r="P2967" s="112"/>
      <c r="Q2967" s="112"/>
    </row>
    <row r="2968" spans="2:17" s="110" customFormat="1">
      <c r="B2968" s="111"/>
      <c r="F2968" s="112"/>
      <c r="G2968" s="112"/>
      <c r="H2968" s="112"/>
      <c r="L2968" s="112"/>
      <c r="N2968" s="306"/>
      <c r="P2968" s="112"/>
      <c r="Q2968" s="112"/>
    </row>
    <row r="2969" spans="2:17" s="110" customFormat="1">
      <c r="B2969" s="111"/>
      <c r="F2969" s="112"/>
      <c r="G2969" s="112"/>
      <c r="H2969" s="112"/>
      <c r="L2969" s="112"/>
      <c r="N2969" s="306"/>
      <c r="P2969" s="112"/>
      <c r="Q2969" s="112"/>
    </row>
    <row r="2970" spans="2:17" s="110" customFormat="1">
      <c r="B2970" s="111"/>
      <c r="F2970" s="112"/>
      <c r="G2970" s="112"/>
      <c r="H2970" s="112"/>
      <c r="L2970" s="112"/>
      <c r="N2970" s="306"/>
      <c r="P2970" s="112"/>
      <c r="Q2970" s="112"/>
    </row>
    <row r="2971" spans="2:17" s="110" customFormat="1">
      <c r="B2971" s="111"/>
      <c r="F2971" s="112"/>
      <c r="G2971" s="112"/>
      <c r="H2971" s="112"/>
      <c r="L2971" s="112"/>
      <c r="N2971" s="306"/>
      <c r="P2971" s="112"/>
      <c r="Q2971" s="112"/>
    </row>
    <row r="2972" spans="2:17" s="110" customFormat="1">
      <c r="B2972" s="111"/>
      <c r="F2972" s="112"/>
      <c r="G2972" s="112"/>
      <c r="H2972" s="112"/>
      <c r="L2972" s="112"/>
      <c r="N2972" s="306"/>
      <c r="P2972" s="112"/>
      <c r="Q2972" s="112"/>
    </row>
    <row r="2973" spans="2:17" s="110" customFormat="1">
      <c r="B2973" s="111"/>
      <c r="F2973" s="112"/>
      <c r="G2973" s="112"/>
      <c r="H2973" s="112"/>
      <c r="L2973" s="112"/>
      <c r="N2973" s="306"/>
      <c r="P2973" s="112"/>
      <c r="Q2973" s="112"/>
    </row>
    <row r="2974" spans="2:17" s="110" customFormat="1">
      <c r="B2974" s="111"/>
      <c r="F2974" s="112"/>
      <c r="G2974" s="112"/>
      <c r="H2974" s="112"/>
      <c r="L2974" s="112"/>
      <c r="N2974" s="306"/>
      <c r="P2974" s="112"/>
      <c r="Q2974" s="112"/>
    </row>
    <row r="2975" spans="2:17" s="110" customFormat="1">
      <c r="B2975" s="111"/>
      <c r="F2975" s="112"/>
      <c r="G2975" s="112"/>
      <c r="H2975" s="112"/>
      <c r="L2975" s="112"/>
      <c r="N2975" s="306"/>
      <c r="P2975" s="112"/>
      <c r="Q2975" s="112"/>
    </row>
    <row r="2976" spans="2:17" s="110" customFormat="1">
      <c r="B2976" s="111"/>
      <c r="F2976" s="112"/>
      <c r="G2976" s="112"/>
      <c r="H2976" s="112"/>
      <c r="L2976" s="112"/>
      <c r="N2976" s="306"/>
      <c r="P2976" s="112"/>
      <c r="Q2976" s="112"/>
    </row>
    <row r="2977" spans="2:17" s="110" customFormat="1">
      <c r="B2977" s="111"/>
      <c r="F2977" s="112"/>
      <c r="G2977" s="112"/>
      <c r="H2977" s="112"/>
      <c r="L2977" s="112"/>
      <c r="N2977" s="306"/>
      <c r="P2977" s="112"/>
      <c r="Q2977" s="112"/>
    </row>
    <row r="2978" spans="2:17" s="110" customFormat="1">
      <c r="B2978" s="111"/>
      <c r="F2978" s="112"/>
      <c r="G2978" s="112"/>
      <c r="H2978" s="112"/>
      <c r="L2978" s="112"/>
      <c r="N2978" s="306"/>
      <c r="P2978" s="112"/>
      <c r="Q2978" s="112"/>
    </row>
    <row r="2979" spans="2:17" s="110" customFormat="1">
      <c r="B2979" s="111"/>
      <c r="F2979" s="112"/>
      <c r="G2979" s="112"/>
      <c r="H2979" s="112"/>
      <c r="L2979" s="112"/>
      <c r="N2979" s="306"/>
      <c r="P2979" s="112"/>
      <c r="Q2979" s="112"/>
    </row>
    <row r="2980" spans="2:17" s="110" customFormat="1">
      <c r="B2980" s="111"/>
      <c r="F2980" s="112"/>
      <c r="G2980" s="112"/>
      <c r="H2980" s="112"/>
      <c r="L2980" s="112"/>
      <c r="N2980" s="306"/>
      <c r="P2980" s="112"/>
      <c r="Q2980" s="112"/>
    </row>
    <row r="2981" spans="2:17" s="110" customFormat="1">
      <c r="B2981" s="111"/>
      <c r="F2981" s="112"/>
      <c r="G2981" s="112"/>
      <c r="H2981" s="112"/>
      <c r="L2981" s="112"/>
      <c r="N2981" s="306"/>
      <c r="P2981" s="112"/>
      <c r="Q2981" s="112"/>
    </row>
    <row r="2982" spans="2:17" s="110" customFormat="1">
      <c r="B2982" s="111"/>
      <c r="F2982" s="112"/>
      <c r="G2982" s="112"/>
      <c r="H2982" s="112"/>
      <c r="L2982" s="112"/>
      <c r="N2982" s="306"/>
      <c r="P2982" s="112"/>
      <c r="Q2982" s="112"/>
    </row>
    <row r="2983" spans="2:17" s="110" customFormat="1">
      <c r="B2983" s="111"/>
      <c r="F2983" s="112"/>
      <c r="G2983" s="112"/>
      <c r="H2983" s="112"/>
      <c r="L2983" s="112"/>
      <c r="N2983" s="306"/>
      <c r="P2983" s="112"/>
      <c r="Q2983" s="112"/>
    </row>
    <row r="2984" spans="2:17" s="110" customFormat="1">
      <c r="B2984" s="111"/>
      <c r="F2984" s="112"/>
      <c r="G2984" s="112"/>
      <c r="H2984" s="112"/>
      <c r="L2984" s="112"/>
      <c r="N2984" s="306"/>
      <c r="P2984" s="112"/>
      <c r="Q2984" s="112"/>
    </row>
    <row r="2985" spans="2:17" s="110" customFormat="1">
      <c r="B2985" s="111"/>
      <c r="F2985" s="112"/>
      <c r="G2985" s="112"/>
      <c r="H2985" s="112"/>
      <c r="L2985" s="112"/>
      <c r="N2985" s="306"/>
      <c r="P2985" s="112"/>
      <c r="Q2985" s="112"/>
    </row>
    <row r="2986" spans="2:17" s="110" customFormat="1">
      <c r="B2986" s="111"/>
      <c r="F2986" s="112"/>
      <c r="G2986" s="112"/>
      <c r="H2986" s="112"/>
      <c r="L2986" s="112"/>
      <c r="N2986" s="306"/>
      <c r="P2986" s="112"/>
      <c r="Q2986" s="112"/>
    </row>
    <row r="2987" spans="2:17" s="110" customFormat="1">
      <c r="B2987" s="111"/>
      <c r="F2987" s="112"/>
      <c r="G2987" s="112"/>
      <c r="H2987" s="112"/>
      <c r="L2987" s="112"/>
      <c r="N2987" s="306"/>
      <c r="P2987" s="112"/>
      <c r="Q2987" s="112"/>
    </row>
    <row r="2988" spans="2:17" s="110" customFormat="1">
      <c r="B2988" s="111"/>
      <c r="F2988" s="112"/>
      <c r="G2988" s="112"/>
      <c r="H2988" s="112"/>
      <c r="L2988" s="112"/>
      <c r="N2988" s="306"/>
      <c r="P2988" s="112"/>
      <c r="Q2988" s="112"/>
    </row>
    <row r="2989" spans="2:17" s="110" customFormat="1">
      <c r="B2989" s="111"/>
      <c r="F2989" s="112"/>
      <c r="G2989" s="112"/>
      <c r="H2989" s="112"/>
      <c r="L2989" s="112"/>
      <c r="N2989" s="306"/>
      <c r="P2989" s="112"/>
      <c r="Q2989" s="112"/>
    </row>
    <row r="2990" spans="2:17" s="110" customFormat="1">
      <c r="B2990" s="111"/>
      <c r="F2990" s="112"/>
      <c r="G2990" s="112"/>
      <c r="H2990" s="112"/>
      <c r="L2990" s="112"/>
      <c r="N2990" s="306"/>
      <c r="P2990" s="112"/>
      <c r="Q2990" s="112"/>
    </row>
    <row r="2991" spans="2:17" s="110" customFormat="1">
      <c r="B2991" s="111"/>
      <c r="F2991" s="112"/>
      <c r="G2991" s="112"/>
      <c r="H2991" s="112"/>
      <c r="L2991" s="112"/>
      <c r="N2991" s="306"/>
      <c r="P2991" s="112"/>
      <c r="Q2991" s="112"/>
    </row>
    <row r="2992" spans="2:17" s="110" customFormat="1">
      <c r="B2992" s="111"/>
      <c r="F2992" s="112"/>
      <c r="G2992" s="112"/>
      <c r="H2992" s="112"/>
      <c r="L2992" s="112"/>
      <c r="N2992" s="306"/>
      <c r="P2992" s="112"/>
      <c r="Q2992" s="112"/>
    </row>
    <row r="2993" spans="2:17" s="110" customFormat="1">
      <c r="B2993" s="111"/>
      <c r="F2993" s="112"/>
      <c r="G2993" s="112"/>
      <c r="H2993" s="112"/>
      <c r="L2993" s="112"/>
      <c r="N2993" s="306"/>
      <c r="P2993" s="112"/>
      <c r="Q2993" s="112"/>
    </row>
    <row r="2994" spans="2:17" s="110" customFormat="1">
      <c r="B2994" s="111"/>
      <c r="F2994" s="112"/>
      <c r="G2994" s="112"/>
      <c r="H2994" s="112"/>
      <c r="L2994" s="112"/>
      <c r="N2994" s="306"/>
      <c r="P2994" s="112"/>
      <c r="Q2994" s="112"/>
    </row>
    <row r="2995" spans="2:17" s="110" customFormat="1">
      <c r="B2995" s="111"/>
      <c r="F2995" s="112"/>
      <c r="G2995" s="112"/>
      <c r="H2995" s="112"/>
      <c r="L2995" s="112"/>
      <c r="N2995" s="306"/>
      <c r="P2995" s="112"/>
      <c r="Q2995" s="112"/>
    </row>
    <row r="2996" spans="2:17" s="110" customFormat="1">
      <c r="B2996" s="111"/>
      <c r="F2996" s="112"/>
      <c r="G2996" s="112"/>
      <c r="H2996" s="112"/>
      <c r="L2996" s="112"/>
      <c r="N2996" s="306"/>
      <c r="P2996" s="112"/>
      <c r="Q2996" s="112"/>
    </row>
    <row r="2997" spans="2:17" s="110" customFormat="1">
      <c r="B2997" s="111"/>
      <c r="F2997" s="112"/>
      <c r="G2997" s="112"/>
      <c r="H2997" s="112"/>
      <c r="L2997" s="112"/>
      <c r="N2997" s="306"/>
      <c r="P2997" s="112"/>
      <c r="Q2997" s="112"/>
    </row>
    <row r="2998" spans="2:17" s="110" customFormat="1">
      <c r="B2998" s="111"/>
      <c r="F2998" s="112"/>
      <c r="G2998" s="112"/>
      <c r="H2998" s="112"/>
      <c r="L2998" s="112"/>
      <c r="N2998" s="306"/>
      <c r="P2998" s="112"/>
      <c r="Q2998" s="112"/>
    </row>
    <row r="2999" spans="2:17" s="110" customFormat="1">
      <c r="B2999" s="111"/>
      <c r="F2999" s="112"/>
      <c r="G2999" s="112"/>
      <c r="H2999" s="112"/>
      <c r="L2999" s="112"/>
      <c r="N2999" s="306"/>
      <c r="P2999" s="112"/>
      <c r="Q2999" s="112"/>
    </row>
    <row r="3000" spans="2:17" s="110" customFormat="1">
      <c r="B3000" s="111"/>
      <c r="F3000" s="112"/>
      <c r="G3000" s="112"/>
      <c r="H3000" s="112"/>
      <c r="L3000" s="112"/>
      <c r="N3000" s="306"/>
      <c r="P3000" s="112"/>
      <c r="Q3000" s="112"/>
    </row>
    <row r="3001" spans="2:17" s="110" customFormat="1">
      <c r="B3001" s="111"/>
      <c r="F3001" s="112"/>
      <c r="G3001" s="112"/>
      <c r="H3001" s="112"/>
      <c r="L3001" s="112"/>
      <c r="N3001" s="306"/>
      <c r="P3001" s="112"/>
      <c r="Q3001" s="112"/>
    </row>
    <row r="3002" spans="2:17" s="110" customFormat="1">
      <c r="B3002" s="111"/>
      <c r="F3002" s="112"/>
      <c r="G3002" s="112"/>
      <c r="H3002" s="112"/>
      <c r="L3002" s="112"/>
      <c r="N3002" s="306"/>
      <c r="P3002" s="112"/>
      <c r="Q3002" s="112"/>
    </row>
    <row r="3003" spans="2:17" s="110" customFormat="1">
      <c r="B3003" s="111"/>
      <c r="F3003" s="112"/>
      <c r="G3003" s="112"/>
      <c r="H3003" s="112"/>
      <c r="L3003" s="112"/>
      <c r="N3003" s="306"/>
      <c r="P3003" s="112"/>
      <c r="Q3003" s="112"/>
    </row>
    <row r="3004" spans="2:17" s="110" customFormat="1">
      <c r="B3004" s="111"/>
      <c r="F3004" s="112"/>
      <c r="G3004" s="112"/>
      <c r="H3004" s="112"/>
      <c r="L3004" s="112"/>
      <c r="N3004" s="306"/>
      <c r="P3004" s="112"/>
      <c r="Q3004" s="112"/>
    </row>
    <row r="3005" spans="2:17" s="110" customFormat="1">
      <c r="B3005" s="111"/>
      <c r="F3005" s="112"/>
      <c r="G3005" s="112"/>
      <c r="H3005" s="112"/>
      <c r="L3005" s="112"/>
      <c r="N3005" s="306"/>
      <c r="P3005" s="112"/>
      <c r="Q3005" s="112"/>
    </row>
    <row r="3006" spans="2:17" s="110" customFormat="1">
      <c r="B3006" s="111"/>
      <c r="F3006" s="112"/>
      <c r="G3006" s="112"/>
      <c r="H3006" s="112"/>
      <c r="L3006" s="112"/>
      <c r="N3006" s="306"/>
      <c r="P3006" s="112"/>
      <c r="Q3006" s="112"/>
    </row>
    <row r="3007" spans="2:17" s="110" customFormat="1">
      <c r="B3007" s="111"/>
      <c r="F3007" s="112"/>
      <c r="G3007" s="112"/>
      <c r="H3007" s="112"/>
      <c r="L3007" s="112"/>
      <c r="N3007" s="306"/>
      <c r="P3007" s="112"/>
      <c r="Q3007" s="112"/>
    </row>
    <row r="3008" spans="2:17" s="110" customFormat="1">
      <c r="B3008" s="111"/>
      <c r="F3008" s="112"/>
      <c r="G3008" s="112"/>
      <c r="H3008" s="112"/>
      <c r="L3008" s="112"/>
      <c r="N3008" s="306"/>
      <c r="P3008" s="112"/>
      <c r="Q3008" s="112"/>
    </row>
    <row r="3009" spans="2:17" s="110" customFormat="1">
      <c r="B3009" s="111"/>
      <c r="F3009" s="112"/>
      <c r="G3009" s="112"/>
      <c r="H3009" s="112"/>
      <c r="L3009" s="112"/>
      <c r="N3009" s="306"/>
      <c r="P3009" s="112"/>
      <c r="Q3009" s="112"/>
    </row>
    <row r="3010" spans="2:17" s="110" customFormat="1">
      <c r="B3010" s="111"/>
      <c r="F3010" s="112"/>
      <c r="G3010" s="112"/>
      <c r="H3010" s="112"/>
      <c r="L3010" s="112"/>
      <c r="N3010" s="306"/>
      <c r="P3010" s="112"/>
      <c r="Q3010" s="112"/>
    </row>
    <row r="3011" spans="2:17" s="110" customFormat="1">
      <c r="B3011" s="111"/>
      <c r="F3011" s="112"/>
      <c r="G3011" s="112"/>
      <c r="H3011" s="112"/>
      <c r="L3011" s="112"/>
      <c r="N3011" s="306"/>
      <c r="P3011" s="112"/>
      <c r="Q3011" s="112"/>
    </row>
    <row r="3012" spans="2:17" s="110" customFormat="1">
      <c r="B3012" s="111"/>
      <c r="F3012" s="112"/>
      <c r="G3012" s="112"/>
      <c r="H3012" s="112"/>
      <c r="L3012" s="112"/>
      <c r="N3012" s="306"/>
      <c r="P3012" s="112"/>
      <c r="Q3012" s="112"/>
    </row>
    <row r="3013" spans="2:17" s="110" customFormat="1">
      <c r="B3013" s="111"/>
      <c r="F3013" s="112"/>
      <c r="G3013" s="112"/>
      <c r="H3013" s="112"/>
      <c r="L3013" s="112"/>
      <c r="N3013" s="306"/>
      <c r="P3013" s="112"/>
      <c r="Q3013" s="112"/>
    </row>
    <row r="3014" spans="2:17" s="110" customFormat="1">
      <c r="B3014" s="111"/>
      <c r="F3014" s="112"/>
      <c r="G3014" s="112"/>
      <c r="H3014" s="112"/>
      <c r="L3014" s="112"/>
      <c r="N3014" s="306"/>
      <c r="P3014" s="112"/>
      <c r="Q3014" s="112"/>
    </row>
    <row r="3015" spans="2:17" s="110" customFormat="1">
      <c r="B3015" s="111"/>
      <c r="F3015" s="112"/>
      <c r="G3015" s="112"/>
      <c r="H3015" s="112"/>
      <c r="L3015" s="112"/>
      <c r="N3015" s="306"/>
      <c r="P3015" s="112"/>
      <c r="Q3015" s="112"/>
    </row>
    <row r="3016" spans="2:17" s="110" customFormat="1">
      <c r="B3016" s="111"/>
      <c r="F3016" s="112"/>
      <c r="G3016" s="112"/>
      <c r="H3016" s="112"/>
      <c r="L3016" s="112"/>
      <c r="N3016" s="306"/>
      <c r="P3016" s="112"/>
      <c r="Q3016" s="112"/>
    </row>
    <row r="3017" spans="2:17" s="110" customFormat="1">
      <c r="B3017" s="111"/>
      <c r="F3017" s="112"/>
      <c r="G3017" s="112"/>
      <c r="H3017" s="112"/>
      <c r="L3017" s="112"/>
      <c r="N3017" s="306"/>
      <c r="P3017" s="112"/>
      <c r="Q3017" s="112"/>
    </row>
    <row r="3018" spans="2:17" s="110" customFormat="1">
      <c r="B3018" s="111"/>
      <c r="F3018" s="112"/>
      <c r="G3018" s="112"/>
      <c r="H3018" s="112"/>
      <c r="L3018" s="112"/>
      <c r="N3018" s="306"/>
      <c r="P3018" s="112"/>
      <c r="Q3018" s="112"/>
    </row>
    <row r="3019" spans="2:17" s="110" customFormat="1">
      <c r="B3019" s="111"/>
      <c r="F3019" s="112"/>
      <c r="G3019" s="112"/>
      <c r="H3019" s="112"/>
      <c r="L3019" s="112"/>
      <c r="N3019" s="306"/>
      <c r="P3019" s="112"/>
      <c r="Q3019" s="112"/>
    </row>
    <row r="3020" spans="2:17" s="110" customFormat="1">
      <c r="B3020" s="111"/>
      <c r="F3020" s="112"/>
      <c r="G3020" s="112"/>
      <c r="H3020" s="112"/>
      <c r="L3020" s="112"/>
      <c r="N3020" s="306"/>
      <c r="P3020" s="112"/>
      <c r="Q3020" s="112"/>
    </row>
    <row r="3021" spans="2:17" s="110" customFormat="1">
      <c r="B3021" s="111"/>
      <c r="F3021" s="112"/>
      <c r="G3021" s="112"/>
      <c r="H3021" s="112"/>
      <c r="L3021" s="112"/>
      <c r="N3021" s="306"/>
      <c r="P3021" s="112"/>
      <c r="Q3021" s="112"/>
    </row>
    <row r="3022" spans="2:17" s="110" customFormat="1">
      <c r="B3022" s="111"/>
      <c r="F3022" s="112"/>
      <c r="G3022" s="112"/>
      <c r="H3022" s="112"/>
      <c r="L3022" s="112"/>
      <c r="N3022" s="306"/>
      <c r="P3022" s="112"/>
      <c r="Q3022" s="112"/>
    </row>
    <row r="3023" spans="2:17" s="110" customFormat="1">
      <c r="B3023" s="111"/>
      <c r="F3023" s="112"/>
      <c r="G3023" s="112"/>
      <c r="H3023" s="112"/>
      <c r="L3023" s="112"/>
      <c r="N3023" s="306"/>
      <c r="P3023" s="112"/>
      <c r="Q3023" s="112"/>
    </row>
    <row r="3024" spans="2:17" s="110" customFormat="1">
      <c r="B3024" s="111"/>
      <c r="F3024" s="112"/>
      <c r="G3024" s="112"/>
      <c r="H3024" s="112"/>
      <c r="L3024" s="112"/>
      <c r="N3024" s="306"/>
      <c r="P3024" s="112"/>
      <c r="Q3024" s="112"/>
    </row>
    <row r="3025" spans="2:17" s="110" customFormat="1">
      <c r="B3025" s="111"/>
      <c r="F3025" s="112"/>
      <c r="G3025" s="112"/>
      <c r="H3025" s="112"/>
      <c r="L3025" s="112"/>
      <c r="N3025" s="306"/>
      <c r="P3025" s="112"/>
      <c r="Q3025" s="112"/>
    </row>
    <row r="3026" spans="2:17" s="110" customFormat="1">
      <c r="B3026" s="111"/>
      <c r="F3026" s="112"/>
      <c r="G3026" s="112"/>
      <c r="H3026" s="112"/>
      <c r="L3026" s="112"/>
      <c r="N3026" s="306"/>
      <c r="P3026" s="112"/>
      <c r="Q3026" s="112"/>
    </row>
    <row r="3027" spans="2:17" s="110" customFormat="1">
      <c r="B3027" s="111"/>
      <c r="F3027" s="112"/>
      <c r="G3027" s="112"/>
      <c r="H3027" s="112"/>
      <c r="L3027" s="112"/>
      <c r="N3027" s="306"/>
      <c r="P3027" s="112"/>
      <c r="Q3027" s="112"/>
    </row>
    <row r="3028" spans="2:17" s="110" customFormat="1">
      <c r="B3028" s="111"/>
      <c r="F3028" s="112"/>
      <c r="G3028" s="112"/>
      <c r="H3028" s="112"/>
      <c r="L3028" s="112"/>
      <c r="N3028" s="306"/>
      <c r="P3028" s="112"/>
      <c r="Q3028" s="112"/>
    </row>
    <row r="3029" spans="2:17" s="110" customFormat="1">
      <c r="B3029" s="111"/>
      <c r="F3029" s="112"/>
      <c r="G3029" s="112"/>
      <c r="H3029" s="112"/>
      <c r="L3029" s="112"/>
      <c r="N3029" s="306"/>
      <c r="P3029" s="112"/>
      <c r="Q3029" s="112"/>
    </row>
    <row r="3030" spans="2:17" s="110" customFormat="1">
      <c r="B3030" s="111"/>
      <c r="F3030" s="112"/>
      <c r="G3030" s="112"/>
      <c r="H3030" s="112"/>
      <c r="L3030" s="112"/>
      <c r="N3030" s="306"/>
      <c r="P3030" s="112"/>
      <c r="Q3030" s="112"/>
    </row>
    <row r="3031" spans="2:17" s="110" customFormat="1">
      <c r="B3031" s="111"/>
      <c r="F3031" s="112"/>
      <c r="G3031" s="112"/>
      <c r="H3031" s="112"/>
      <c r="L3031" s="112"/>
      <c r="N3031" s="306"/>
      <c r="P3031" s="112"/>
      <c r="Q3031" s="112"/>
    </row>
    <row r="3032" spans="2:17" s="110" customFormat="1">
      <c r="B3032" s="111"/>
      <c r="F3032" s="112"/>
      <c r="G3032" s="112"/>
      <c r="H3032" s="112"/>
      <c r="L3032" s="112"/>
      <c r="N3032" s="306"/>
      <c r="P3032" s="112"/>
      <c r="Q3032" s="112"/>
    </row>
    <row r="3033" spans="2:17" s="110" customFormat="1">
      <c r="B3033" s="111"/>
      <c r="F3033" s="112"/>
      <c r="G3033" s="112"/>
      <c r="H3033" s="112"/>
      <c r="L3033" s="112"/>
      <c r="N3033" s="306"/>
      <c r="P3033" s="112"/>
      <c r="Q3033" s="112"/>
    </row>
    <row r="3034" spans="2:17" s="110" customFormat="1">
      <c r="B3034" s="111"/>
      <c r="F3034" s="112"/>
      <c r="G3034" s="112"/>
      <c r="H3034" s="112"/>
      <c r="L3034" s="112"/>
      <c r="N3034" s="306"/>
      <c r="P3034" s="112"/>
      <c r="Q3034" s="112"/>
    </row>
    <row r="3035" spans="2:17" s="110" customFormat="1">
      <c r="B3035" s="111"/>
      <c r="F3035" s="112"/>
      <c r="G3035" s="112"/>
      <c r="H3035" s="112"/>
      <c r="L3035" s="112"/>
      <c r="N3035" s="306"/>
      <c r="P3035" s="112"/>
      <c r="Q3035" s="112"/>
    </row>
    <row r="3036" spans="2:17" s="110" customFormat="1">
      <c r="B3036" s="111"/>
      <c r="F3036" s="112"/>
      <c r="G3036" s="112"/>
      <c r="H3036" s="112"/>
      <c r="L3036" s="112"/>
      <c r="N3036" s="306"/>
      <c r="P3036" s="112"/>
      <c r="Q3036" s="112"/>
    </row>
    <row r="3037" spans="2:17" s="110" customFormat="1">
      <c r="B3037" s="111"/>
      <c r="F3037" s="112"/>
      <c r="G3037" s="112"/>
      <c r="H3037" s="112"/>
      <c r="L3037" s="112"/>
      <c r="N3037" s="306"/>
      <c r="P3037" s="112"/>
      <c r="Q3037" s="112"/>
    </row>
    <row r="3038" spans="2:17" s="110" customFormat="1">
      <c r="B3038" s="111"/>
      <c r="F3038" s="112"/>
      <c r="G3038" s="112"/>
      <c r="H3038" s="112"/>
      <c r="L3038" s="112"/>
      <c r="N3038" s="306"/>
      <c r="P3038" s="112"/>
      <c r="Q3038" s="112"/>
    </row>
    <row r="3039" spans="2:17" s="110" customFormat="1">
      <c r="B3039" s="111"/>
      <c r="F3039" s="112"/>
      <c r="G3039" s="112"/>
      <c r="H3039" s="112"/>
      <c r="L3039" s="112"/>
      <c r="N3039" s="306"/>
      <c r="P3039" s="112"/>
      <c r="Q3039" s="112"/>
    </row>
    <row r="3040" spans="2:17" s="110" customFormat="1">
      <c r="B3040" s="111"/>
      <c r="F3040" s="112"/>
      <c r="G3040" s="112"/>
      <c r="H3040" s="112"/>
      <c r="L3040" s="112"/>
      <c r="N3040" s="306"/>
      <c r="P3040" s="112"/>
      <c r="Q3040" s="112"/>
    </row>
    <row r="3041" spans="2:17" s="110" customFormat="1">
      <c r="B3041" s="111"/>
      <c r="F3041" s="112"/>
      <c r="G3041" s="112"/>
      <c r="H3041" s="112"/>
      <c r="L3041" s="112"/>
      <c r="N3041" s="306"/>
      <c r="P3041" s="112"/>
      <c r="Q3041" s="112"/>
    </row>
    <row r="3042" spans="2:17" s="110" customFormat="1">
      <c r="B3042" s="111"/>
      <c r="F3042" s="112"/>
      <c r="G3042" s="112"/>
      <c r="H3042" s="112"/>
      <c r="L3042" s="112"/>
      <c r="N3042" s="306"/>
      <c r="P3042" s="112"/>
      <c r="Q3042" s="112"/>
    </row>
    <row r="3043" spans="2:17" s="110" customFormat="1">
      <c r="B3043" s="111"/>
      <c r="F3043" s="112"/>
      <c r="G3043" s="112"/>
      <c r="H3043" s="112"/>
      <c r="L3043" s="112"/>
      <c r="N3043" s="306"/>
      <c r="P3043" s="112"/>
      <c r="Q3043" s="112"/>
    </row>
    <row r="3044" spans="2:17" s="110" customFormat="1">
      <c r="B3044" s="111"/>
      <c r="F3044" s="112"/>
      <c r="G3044" s="112"/>
      <c r="H3044" s="112"/>
      <c r="L3044" s="112"/>
      <c r="N3044" s="306"/>
      <c r="P3044" s="112"/>
      <c r="Q3044" s="112"/>
    </row>
    <row r="3045" spans="2:17" s="110" customFormat="1">
      <c r="B3045" s="111"/>
      <c r="F3045" s="112"/>
      <c r="G3045" s="112"/>
      <c r="H3045" s="112"/>
      <c r="L3045" s="112"/>
      <c r="N3045" s="306"/>
      <c r="P3045" s="112"/>
      <c r="Q3045" s="112"/>
    </row>
    <row r="3046" spans="2:17" s="110" customFormat="1">
      <c r="B3046" s="111"/>
      <c r="F3046" s="112"/>
      <c r="G3046" s="112"/>
      <c r="H3046" s="112"/>
      <c r="L3046" s="112"/>
      <c r="N3046" s="306"/>
      <c r="P3046" s="112"/>
      <c r="Q3046" s="112"/>
    </row>
    <row r="3047" spans="2:17" s="110" customFormat="1">
      <c r="B3047" s="111"/>
      <c r="F3047" s="112"/>
      <c r="G3047" s="112"/>
      <c r="H3047" s="112"/>
      <c r="L3047" s="112"/>
      <c r="N3047" s="306"/>
      <c r="P3047" s="112"/>
      <c r="Q3047" s="112"/>
    </row>
    <row r="3048" spans="2:17" s="110" customFormat="1">
      <c r="B3048" s="111"/>
      <c r="F3048" s="112"/>
      <c r="G3048" s="112"/>
      <c r="H3048" s="112"/>
      <c r="L3048" s="112"/>
      <c r="N3048" s="306"/>
      <c r="P3048" s="112"/>
      <c r="Q3048" s="112"/>
    </row>
    <row r="3049" spans="2:17" s="110" customFormat="1">
      <c r="B3049" s="111"/>
      <c r="F3049" s="112"/>
      <c r="G3049" s="112"/>
      <c r="H3049" s="112"/>
      <c r="L3049" s="112"/>
      <c r="N3049" s="306"/>
      <c r="P3049" s="112"/>
      <c r="Q3049" s="112"/>
    </row>
    <row r="3050" spans="2:17" s="110" customFormat="1">
      <c r="B3050" s="111"/>
      <c r="F3050" s="112"/>
      <c r="G3050" s="112"/>
      <c r="H3050" s="112"/>
      <c r="L3050" s="112"/>
      <c r="N3050" s="306"/>
      <c r="P3050" s="112"/>
      <c r="Q3050" s="112"/>
    </row>
    <row r="3051" spans="2:17" s="110" customFormat="1">
      <c r="B3051" s="111"/>
      <c r="F3051" s="112"/>
      <c r="G3051" s="112"/>
      <c r="H3051" s="112"/>
      <c r="L3051" s="112"/>
      <c r="N3051" s="306"/>
      <c r="P3051" s="112"/>
      <c r="Q3051" s="112"/>
    </row>
    <row r="3052" spans="2:17" s="110" customFormat="1">
      <c r="B3052" s="111"/>
      <c r="F3052" s="112"/>
      <c r="G3052" s="112"/>
      <c r="H3052" s="112"/>
      <c r="L3052" s="112"/>
      <c r="N3052" s="306"/>
      <c r="P3052" s="112"/>
      <c r="Q3052" s="112"/>
    </row>
    <row r="3053" spans="2:17" s="110" customFormat="1">
      <c r="B3053" s="111"/>
      <c r="F3053" s="112"/>
      <c r="G3053" s="112"/>
      <c r="H3053" s="112"/>
      <c r="L3053" s="112"/>
      <c r="N3053" s="306"/>
      <c r="P3053" s="112"/>
      <c r="Q3053" s="112"/>
    </row>
    <row r="3054" spans="2:17" s="110" customFormat="1">
      <c r="B3054" s="111"/>
      <c r="F3054" s="112"/>
      <c r="G3054" s="112"/>
      <c r="H3054" s="112"/>
      <c r="L3054" s="112"/>
      <c r="N3054" s="306"/>
      <c r="P3054" s="112"/>
      <c r="Q3054" s="112"/>
    </row>
    <row r="3055" spans="2:17" s="110" customFormat="1">
      <c r="B3055" s="111"/>
      <c r="F3055" s="112"/>
      <c r="G3055" s="112"/>
      <c r="H3055" s="112"/>
      <c r="L3055" s="112"/>
      <c r="N3055" s="306"/>
      <c r="P3055" s="112"/>
      <c r="Q3055" s="112"/>
    </row>
    <row r="3056" spans="2:17" s="110" customFormat="1">
      <c r="B3056" s="111"/>
      <c r="F3056" s="112"/>
      <c r="G3056" s="112"/>
      <c r="H3056" s="112"/>
      <c r="L3056" s="112"/>
      <c r="N3056" s="306"/>
      <c r="P3056" s="112"/>
      <c r="Q3056" s="112"/>
    </row>
    <row r="3057" spans="2:17" s="110" customFormat="1">
      <c r="B3057" s="111"/>
      <c r="F3057" s="112"/>
      <c r="G3057" s="112"/>
      <c r="H3057" s="112"/>
      <c r="L3057" s="112"/>
      <c r="N3057" s="306"/>
      <c r="P3057" s="112"/>
      <c r="Q3057" s="112"/>
    </row>
    <row r="3058" spans="2:17" s="110" customFormat="1">
      <c r="B3058" s="111"/>
      <c r="F3058" s="112"/>
      <c r="G3058" s="112"/>
      <c r="H3058" s="112"/>
      <c r="L3058" s="112"/>
      <c r="N3058" s="306"/>
      <c r="P3058" s="112"/>
      <c r="Q3058" s="112"/>
    </row>
    <row r="3059" spans="2:17" s="110" customFormat="1">
      <c r="B3059" s="111"/>
      <c r="F3059" s="112"/>
      <c r="G3059" s="112"/>
      <c r="H3059" s="112"/>
      <c r="L3059" s="112"/>
      <c r="N3059" s="306"/>
      <c r="P3059" s="112"/>
      <c r="Q3059" s="112"/>
    </row>
    <row r="3060" spans="2:17" s="110" customFormat="1">
      <c r="B3060" s="111"/>
      <c r="F3060" s="112"/>
      <c r="G3060" s="112"/>
      <c r="H3060" s="112"/>
      <c r="L3060" s="112"/>
      <c r="N3060" s="306"/>
      <c r="P3060" s="112"/>
      <c r="Q3060" s="112"/>
    </row>
    <row r="3061" spans="2:17" s="110" customFormat="1">
      <c r="B3061" s="111"/>
      <c r="F3061" s="112"/>
      <c r="G3061" s="112"/>
      <c r="H3061" s="112"/>
      <c r="L3061" s="112"/>
      <c r="N3061" s="306"/>
      <c r="P3061" s="112"/>
      <c r="Q3061" s="112"/>
    </row>
    <row r="3062" spans="2:17" s="110" customFormat="1">
      <c r="B3062" s="111"/>
      <c r="F3062" s="112"/>
      <c r="G3062" s="112"/>
      <c r="H3062" s="112"/>
      <c r="L3062" s="112"/>
      <c r="N3062" s="306"/>
      <c r="P3062" s="112"/>
      <c r="Q3062" s="112"/>
    </row>
    <row r="3063" spans="2:17" s="110" customFormat="1">
      <c r="B3063" s="111"/>
      <c r="F3063" s="112"/>
      <c r="G3063" s="112"/>
      <c r="H3063" s="112"/>
      <c r="L3063" s="112"/>
      <c r="N3063" s="306"/>
      <c r="P3063" s="112"/>
      <c r="Q3063" s="112"/>
    </row>
    <row r="3064" spans="2:17" s="110" customFormat="1">
      <c r="B3064" s="111"/>
      <c r="F3064" s="112"/>
      <c r="G3064" s="112"/>
      <c r="H3064" s="112"/>
      <c r="L3064" s="112"/>
      <c r="N3064" s="306"/>
      <c r="P3064" s="112"/>
      <c r="Q3064" s="112"/>
    </row>
    <row r="3065" spans="2:17" s="110" customFormat="1">
      <c r="B3065" s="111"/>
      <c r="F3065" s="112"/>
      <c r="G3065" s="112"/>
      <c r="H3065" s="112"/>
      <c r="L3065" s="112"/>
      <c r="N3065" s="306"/>
      <c r="P3065" s="112"/>
      <c r="Q3065" s="112"/>
    </row>
    <row r="3066" spans="2:17" s="110" customFormat="1">
      <c r="B3066" s="111"/>
      <c r="F3066" s="112"/>
      <c r="G3066" s="112"/>
      <c r="H3066" s="112"/>
      <c r="L3066" s="112"/>
      <c r="N3066" s="306"/>
      <c r="P3066" s="112"/>
      <c r="Q3066" s="112"/>
    </row>
    <row r="3067" spans="2:17" s="110" customFormat="1">
      <c r="B3067" s="111"/>
      <c r="F3067" s="112"/>
      <c r="G3067" s="112"/>
      <c r="H3067" s="112"/>
      <c r="L3067" s="112"/>
      <c r="N3067" s="306"/>
      <c r="P3067" s="112"/>
      <c r="Q3067" s="112"/>
    </row>
    <row r="3068" spans="2:17" s="110" customFormat="1">
      <c r="B3068" s="111"/>
      <c r="F3068" s="112"/>
      <c r="G3068" s="112"/>
      <c r="H3068" s="112"/>
      <c r="L3068" s="112"/>
      <c r="N3068" s="306"/>
      <c r="P3068" s="112"/>
      <c r="Q3068" s="112"/>
    </row>
    <row r="3069" spans="2:17" s="110" customFormat="1">
      <c r="B3069" s="111"/>
      <c r="F3069" s="112"/>
      <c r="G3069" s="112"/>
      <c r="H3069" s="112"/>
      <c r="L3069" s="112"/>
      <c r="N3069" s="306"/>
      <c r="P3069" s="112"/>
      <c r="Q3069" s="112"/>
    </row>
    <row r="3070" spans="2:17" s="110" customFormat="1">
      <c r="B3070" s="111"/>
      <c r="F3070" s="112"/>
      <c r="G3070" s="112"/>
      <c r="H3070" s="112"/>
      <c r="L3070" s="112"/>
      <c r="N3070" s="306"/>
      <c r="P3070" s="112"/>
      <c r="Q3070" s="112"/>
    </row>
    <row r="3071" spans="2:17" s="110" customFormat="1">
      <c r="B3071" s="111"/>
      <c r="F3071" s="112"/>
      <c r="G3071" s="112"/>
      <c r="H3071" s="112"/>
      <c r="L3071" s="112"/>
      <c r="N3071" s="306"/>
      <c r="P3071" s="112"/>
      <c r="Q3071" s="112"/>
    </row>
    <row r="3072" spans="2:17" s="110" customFormat="1">
      <c r="B3072" s="111"/>
      <c r="F3072" s="112"/>
      <c r="G3072" s="112"/>
      <c r="H3072" s="112"/>
      <c r="L3072" s="112"/>
      <c r="N3072" s="306"/>
      <c r="P3072" s="112"/>
      <c r="Q3072" s="112"/>
    </row>
    <row r="3073" spans="2:17" s="110" customFormat="1">
      <c r="B3073" s="111"/>
      <c r="F3073" s="112"/>
      <c r="G3073" s="112"/>
      <c r="H3073" s="112"/>
      <c r="L3073" s="112"/>
      <c r="N3073" s="306"/>
      <c r="P3073" s="112"/>
      <c r="Q3073" s="112"/>
    </row>
    <row r="3074" spans="2:17" s="110" customFormat="1">
      <c r="B3074" s="111"/>
      <c r="F3074" s="112"/>
      <c r="G3074" s="112"/>
      <c r="H3074" s="112"/>
      <c r="L3074" s="112"/>
      <c r="N3074" s="306"/>
      <c r="P3074" s="112"/>
      <c r="Q3074" s="112"/>
    </row>
    <row r="3075" spans="2:17" s="110" customFormat="1">
      <c r="B3075" s="111"/>
      <c r="F3075" s="112"/>
      <c r="G3075" s="112"/>
      <c r="H3075" s="112"/>
      <c r="L3075" s="112"/>
      <c r="N3075" s="306"/>
      <c r="P3075" s="112"/>
      <c r="Q3075" s="112"/>
    </row>
    <row r="3076" spans="2:17" s="110" customFormat="1">
      <c r="B3076" s="111"/>
      <c r="F3076" s="112"/>
      <c r="G3076" s="112"/>
      <c r="H3076" s="112"/>
      <c r="L3076" s="112"/>
      <c r="N3076" s="306"/>
      <c r="P3076" s="112"/>
      <c r="Q3076" s="112"/>
    </row>
    <row r="3077" spans="2:17" s="110" customFormat="1">
      <c r="B3077" s="111"/>
      <c r="F3077" s="112"/>
      <c r="G3077" s="112"/>
      <c r="H3077" s="112"/>
      <c r="L3077" s="112"/>
      <c r="N3077" s="306"/>
      <c r="P3077" s="112"/>
      <c r="Q3077" s="112"/>
    </row>
    <row r="3078" spans="2:17" s="110" customFormat="1">
      <c r="B3078" s="111"/>
      <c r="F3078" s="112"/>
      <c r="G3078" s="112"/>
      <c r="H3078" s="112"/>
      <c r="L3078" s="112"/>
      <c r="N3078" s="306"/>
      <c r="P3078" s="112"/>
      <c r="Q3078" s="112"/>
    </row>
    <row r="3079" spans="2:17" s="110" customFormat="1">
      <c r="B3079" s="111"/>
      <c r="F3079" s="112"/>
      <c r="G3079" s="112"/>
      <c r="H3079" s="112"/>
      <c r="L3079" s="112"/>
      <c r="N3079" s="306"/>
      <c r="P3079" s="112"/>
      <c r="Q3079" s="112"/>
    </row>
    <row r="3080" spans="2:17" s="110" customFormat="1">
      <c r="B3080" s="111"/>
      <c r="F3080" s="112"/>
      <c r="G3080" s="112"/>
      <c r="H3080" s="112"/>
      <c r="L3080" s="112"/>
      <c r="N3080" s="306"/>
      <c r="P3080" s="112"/>
      <c r="Q3080" s="112"/>
    </row>
    <row r="3081" spans="2:17" s="110" customFormat="1">
      <c r="B3081" s="111"/>
      <c r="F3081" s="112"/>
      <c r="G3081" s="112"/>
      <c r="H3081" s="112"/>
      <c r="L3081" s="112"/>
      <c r="N3081" s="306"/>
      <c r="P3081" s="112"/>
      <c r="Q3081" s="112"/>
    </row>
    <row r="3082" spans="2:17" s="110" customFormat="1">
      <c r="B3082" s="111"/>
      <c r="F3082" s="112"/>
      <c r="G3082" s="112"/>
      <c r="H3082" s="112"/>
      <c r="L3082" s="112"/>
      <c r="N3082" s="306"/>
      <c r="P3082" s="112"/>
      <c r="Q3082" s="112"/>
    </row>
    <row r="3083" spans="2:17" s="110" customFormat="1">
      <c r="B3083" s="111"/>
      <c r="F3083" s="112"/>
      <c r="G3083" s="112"/>
      <c r="H3083" s="112"/>
      <c r="L3083" s="112"/>
      <c r="N3083" s="306"/>
      <c r="P3083" s="112"/>
      <c r="Q3083" s="112"/>
    </row>
    <row r="3084" spans="2:17" s="110" customFormat="1">
      <c r="B3084" s="111"/>
      <c r="F3084" s="112"/>
      <c r="G3084" s="112"/>
      <c r="H3084" s="112"/>
      <c r="L3084" s="112"/>
      <c r="N3084" s="306"/>
      <c r="P3084" s="112"/>
      <c r="Q3084" s="112"/>
    </row>
    <row r="3085" spans="2:17" s="110" customFormat="1">
      <c r="B3085" s="111"/>
      <c r="F3085" s="112"/>
      <c r="G3085" s="112"/>
      <c r="H3085" s="112"/>
      <c r="L3085" s="112"/>
      <c r="N3085" s="306"/>
      <c r="P3085" s="112"/>
      <c r="Q3085" s="112"/>
    </row>
    <row r="3086" spans="2:17" s="110" customFormat="1">
      <c r="B3086" s="111"/>
      <c r="F3086" s="112"/>
      <c r="G3086" s="112"/>
      <c r="H3086" s="112"/>
      <c r="L3086" s="112"/>
      <c r="N3086" s="306"/>
      <c r="P3086" s="112"/>
      <c r="Q3086" s="112"/>
    </row>
    <row r="3087" spans="2:17" s="110" customFormat="1">
      <c r="B3087" s="111"/>
      <c r="F3087" s="112"/>
      <c r="G3087" s="112"/>
      <c r="H3087" s="112"/>
      <c r="L3087" s="112"/>
      <c r="N3087" s="306"/>
      <c r="P3087" s="112"/>
      <c r="Q3087" s="112"/>
    </row>
    <row r="3088" spans="2:17" s="110" customFormat="1">
      <c r="B3088" s="111"/>
      <c r="F3088" s="112"/>
      <c r="G3088" s="112"/>
      <c r="H3088" s="112"/>
      <c r="L3088" s="112"/>
      <c r="N3088" s="306"/>
      <c r="P3088" s="112"/>
      <c r="Q3088" s="112"/>
    </row>
    <row r="3089" spans="2:17" s="110" customFormat="1">
      <c r="B3089" s="111"/>
      <c r="F3089" s="112"/>
      <c r="G3089" s="112"/>
      <c r="H3089" s="112"/>
      <c r="L3089" s="112"/>
      <c r="N3089" s="306"/>
      <c r="P3089" s="112"/>
      <c r="Q3089" s="112"/>
    </row>
    <row r="3090" spans="2:17" s="110" customFormat="1">
      <c r="B3090" s="111"/>
      <c r="F3090" s="112"/>
      <c r="G3090" s="112"/>
      <c r="H3090" s="112"/>
      <c r="L3090" s="112"/>
      <c r="N3090" s="306"/>
      <c r="P3090" s="112"/>
      <c r="Q3090" s="112"/>
    </row>
    <row r="3091" spans="2:17" s="110" customFormat="1">
      <c r="B3091" s="111"/>
      <c r="F3091" s="112"/>
      <c r="G3091" s="112"/>
      <c r="H3091" s="112"/>
      <c r="L3091" s="112"/>
      <c r="N3091" s="306"/>
      <c r="P3091" s="112"/>
      <c r="Q3091" s="112"/>
    </row>
    <row r="3092" spans="2:17" s="110" customFormat="1">
      <c r="B3092" s="111"/>
      <c r="F3092" s="112"/>
      <c r="G3092" s="112"/>
      <c r="H3092" s="112"/>
      <c r="L3092" s="112"/>
      <c r="N3092" s="306"/>
      <c r="P3092" s="112"/>
      <c r="Q3092" s="112"/>
    </row>
    <row r="3093" spans="2:17" s="110" customFormat="1">
      <c r="B3093" s="111"/>
      <c r="F3093" s="112"/>
      <c r="G3093" s="112"/>
      <c r="H3093" s="112"/>
      <c r="L3093" s="112"/>
      <c r="N3093" s="306"/>
      <c r="P3093" s="112"/>
      <c r="Q3093" s="112"/>
    </row>
    <row r="3094" spans="2:17" s="110" customFormat="1">
      <c r="B3094" s="111"/>
      <c r="F3094" s="112"/>
      <c r="G3094" s="112"/>
      <c r="H3094" s="112"/>
      <c r="L3094" s="112"/>
      <c r="N3094" s="306"/>
      <c r="P3094" s="112"/>
      <c r="Q3094" s="112"/>
    </row>
    <row r="3095" spans="2:17" s="110" customFormat="1">
      <c r="B3095" s="111"/>
      <c r="F3095" s="112"/>
      <c r="G3095" s="112"/>
      <c r="H3095" s="112"/>
      <c r="L3095" s="112"/>
      <c r="N3095" s="306"/>
      <c r="P3095" s="112"/>
      <c r="Q3095" s="112"/>
    </row>
    <row r="3096" spans="2:17" s="110" customFormat="1">
      <c r="B3096" s="111"/>
      <c r="F3096" s="112"/>
      <c r="G3096" s="112"/>
      <c r="H3096" s="112"/>
      <c r="L3096" s="112"/>
      <c r="N3096" s="306"/>
      <c r="P3096" s="112"/>
      <c r="Q3096" s="112"/>
    </row>
    <row r="3097" spans="2:17" s="110" customFormat="1">
      <c r="B3097" s="111"/>
      <c r="F3097" s="112"/>
      <c r="G3097" s="112"/>
      <c r="H3097" s="112"/>
      <c r="L3097" s="112"/>
      <c r="N3097" s="306"/>
      <c r="P3097" s="112"/>
      <c r="Q3097" s="112"/>
    </row>
    <row r="3098" spans="2:17" s="110" customFormat="1">
      <c r="B3098" s="111"/>
      <c r="F3098" s="112"/>
      <c r="G3098" s="112"/>
      <c r="H3098" s="112"/>
      <c r="L3098" s="112"/>
      <c r="N3098" s="306"/>
      <c r="P3098" s="112"/>
      <c r="Q3098" s="112"/>
    </row>
    <row r="3099" spans="2:17" s="110" customFormat="1">
      <c r="B3099" s="111"/>
      <c r="F3099" s="112"/>
      <c r="G3099" s="112"/>
      <c r="H3099" s="112"/>
      <c r="L3099" s="112"/>
      <c r="N3099" s="306"/>
      <c r="P3099" s="112"/>
      <c r="Q3099" s="112"/>
    </row>
    <row r="3100" spans="2:17" s="110" customFormat="1">
      <c r="B3100" s="111"/>
      <c r="F3100" s="112"/>
      <c r="G3100" s="112"/>
      <c r="H3100" s="112"/>
      <c r="L3100" s="112"/>
      <c r="N3100" s="306"/>
      <c r="P3100" s="112"/>
      <c r="Q3100" s="112"/>
    </row>
    <row r="3101" spans="2:17" s="110" customFormat="1">
      <c r="B3101" s="111"/>
      <c r="F3101" s="112"/>
      <c r="G3101" s="112"/>
      <c r="H3101" s="112"/>
      <c r="L3101" s="112"/>
      <c r="N3101" s="306"/>
      <c r="P3101" s="112"/>
      <c r="Q3101" s="112"/>
    </row>
    <row r="3102" spans="2:17" s="110" customFormat="1">
      <c r="B3102" s="111"/>
      <c r="F3102" s="112"/>
      <c r="G3102" s="112"/>
      <c r="H3102" s="112"/>
      <c r="L3102" s="112"/>
      <c r="N3102" s="306"/>
      <c r="P3102" s="112"/>
      <c r="Q3102" s="112"/>
    </row>
    <row r="3103" spans="2:17" s="110" customFormat="1">
      <c r="B3103" s="111"/>
      <c r="F3103" s="112"/>
      <c r="G3103" s="112"/>
      <c r="H3103" s="112"/>
      <c r="L3103" s="112"/>
      <c r="N3103" s="306"/>
      <c r="P3103" s="112"/>
      <c r="Q3103" s="112"/>
    </row>
    <row r="3104" spans="2:17" s="110" customFormat="1">
      <c r="B3104" s="111"/>
      <c r="F3104" s="112"/>
      <c r="G3104" s="112"/>
      <c r="H3104" s="112"/>
      <c r="L3104" s="112"/>
      <c r="N3104" s="306"/>
      <c r="P3104" s="112"/>
      <c r="Q3104" s="112"/>
    </row>
    <row r="3105" spans="2:17" s="110" customFormat="1">
      <c r="B3105" s="111"/>
      <c r="F3105" s="112"/>
      <c r="G3105" s="112"/>
      <c r="H3105" s="112"/>
      <c r="L3105" s="112"/>
      <c r="N3105" s="306"/>
      <c r="P3105" s="112"/>
      <c r="Q3105" s="112"/>
    </row>
    <row r="3106" spans="2:17" s="110" customFormat="1">
      <c r="B3106" s="111"/>
      <c r="F3106" s="112"/>
      <c r="G3106" s="112"/>
      <c r="H3106" s="112"/>
      <c r="L3106" s="112"/>
      <c r="N3106" s="306"/>
      <c r="P3106" s="112"/>
      <c r="Q3106" s="112"/>
    </row>
    <row r="3107" spans="2:17" s="110" customFormat="1">
      <c r="B3107" s="111"/>
      <c r="F3107" s="112"/>
      <c r="G3107" s="112"/>
      <c r="H3107" s="112"/>
      <c r="L3107" s="112"/>
      <c r="N3107" s="306"/>
      <c r="P3107" s="112"/>
      <c r="Q3107" s="112"/>
    </row>
    <row r="3108" spans="2:17" s="110" customFormat="1">
      <c r="B3108" s="111"/>
      <c r="F3108" s="112"/>
      <c r="G3108" s="112"/>
      <c r="H3108" s="112"/>
      <c r="L3108" s="112"/>
      <c r="N3108" s="306"/>
      <c r="P3108" s="112"/>
      <c r="Q3108" s="112"/>
    </row>
    <row r="3109" spans="2:17" s="110" customFormat="1">
      <c r="B3109" s="111"/>
      <c r="F3109" s="112"/>
      <c r="G3109" s="112"/>
      <c r="H3109" s="112"/>
      <c r="L3109" s="112"/>
      <c r="N3109" s="306"/>
      <c r="P3109" s="112"/>
      <c r="Q3109" s="112"/>
    </row>
    <row r="3110" spans="2:17" s="110" customFormat="1">
      <c r="B3110" s="111"/>
      <c r="F3110" s="112"/>
      <c r="G3110" s="112"/>
      <c r="H3110" s="112"/>
      <c r="L3110" s="112"/>
      <c r="N3110" s="306"/>
      <c r="P3110" s="112"/>
      <c r="Q3110" s="112"/>
    </row>
    <row r="3111" spans="2:17" s="110" customFormat="1">
      <c r="B3111" s="111"/>
      <c r="F3111" s="112"/>
      <c r="G3111" s="112"/>
      <c r="H3111" s="112"/>
      <c r="L3111" s="112"/>
      <c r="N3111" s="306"/>
      <c r="P3111" s="112"/>
      <c r="Q3111" s="112"/>
    </row>
    <row r="3112" spans="2:17" s="110" customFormat="1">
      <c r="B3112" s="111"/>
      <c r="F3112" s="112"/>
      <c r="G3112" s="112"/>
      <c r="H3112" s="112"/>
      <c r="L3112" s="112"/>
      <c r="N3112" s="306"/>
      <c r="P3112" s="112"/>
      <c r="Q3112" s="112"/>
    </row>
    <row r="3113" spans="2:17" s="110" customFormat="1">
      <c r="B3113" s="111"/>
      <c r="F3113" s="112"/>
      <c r="G3113" s="112"/>
      <c r="H3113" s="112"/>
      <c r="L3113" s="112"/>
      <c r="N3113" s="306"/>
      <c r="P3113" s="112"/>
      <c r="Q3113" s="112"/>
    </row>
    <row r="3114" spans="2:17" s="110" customFormat="1">
      <c r="B3114" s="111"/>
      <c r="F3114" s="112"/>
      <c r="G3114" s="112"/>
      <c r="H3114" s="112"/>
      <c r="L3114" s="112"/>
      <c r="N3114" s="306"/>
      <c r="P3114" s="112"/>
      <c r="Q3114" s="112"/>
    </row>
    <row r="3115" spans="2:17" s="110" customFormat="1">
      <c r="B3115" s="111"/>
      <c r="F3115" s="112"/>
      <c r="G3115" s="112"/>
      <c r="H3115" s="112"/>
      <c r="L3115" s="112"/>
      <c r="N3115" s="306"/>
      <c r="P3115" s="112"/>
      <c r="Q3115" s="112"/>
    </row>
    <row r="3116" spans="2:17" s="110" customFormat="1">
      <c r="B3116" s="111"/>
      <c r="F3116" s="112"/>
      <c r="G3116" s="112"/>
      <c r="H3116" s="112"/>
      <c r="L3116" s="112"/>
      <c r="N3116" s="306"/>
      <c r="P3116" s="112"/>
      <c r="Q3116" s="112"/>
    </row>
    <row r="3117" spans="2:17" s="110" customFormat="1">
      <c r="B3117" s="111"/>
      <c r="F3117" s="112"/>
      <c r="G3117" s="112"/>
      <c r="H3117" s="112"/>
      <c r="L3117" s="112"/>
      <c r="N3117" s="306"/>
      <c r="P3117" s="112"/>
      <c r="Q3117" s="112"/>
    </row>
    <row r="3118" spans="2:17" s="110" customFormat="1">
      <c r="B3118" s="111"/>
      <c r="F3118" s="112"/>
      <c r="G3118" s="112"/>
      <c r="H3118" s="112"/>
      <c r="L3118" s="112"/>
      <c r="N3118" s="306"/>
      <c r="P3118" s="112"/>
      <c r="Q3118" s="112"/>
    </row>
    <row r="3119" spans="2:17" s="110" customFormat="1">
      <c r="B3119" s="111"/>
      <c r="F3119" s="112"/>
      <c r="G3119" s="112"/>
      <c r="H3119" s="112"/>
      <c r="L3119" s="112"/>
      <c r="N3119" s="306"/>
      <c r="P3119" s="112"/>
      <c r="Q3119" s="112"/>
    </row>
    <row r="3120" spans="2:17" s="110" customFormat="1">
      <c r="B3120" s="111"/>
      <c r="F3120" s="112"/>
      <c r="G3120" s="112"/>
      <c r="H3120" s="112"/>
      <c r="L3120" s="112"/>
      <c r="N3120" s="306"/>
      <c r="P3120" s="112"/>
      <c r="Q3120" s="112"/>
    </row>
    <row r="3121" spans="2:17" s="110" customFormat="1">
      <c r="B3121" s="111"/>
      <c r="F3121" s="112"/>
      <c r="G3121" s="112"/>
      <c r="H3121" s="112"/>
      <c r="L3121" s="112"/>
      <c r="N3121" s="306"/>
      <c r="P3121" s="112"/>
      <c r="Q3121" s="112"/>
    </row>
    <row r="3122" spans="2:17" s="110" customFormat="1">
      <c r="B3122" s="111"/>
      <c r="F3122" s="112"/>
      <c r="G3122" s="112"/>
      <c r="H3122" s="112"/>
      <c r="L3122" s="112"/>
      <c r="N3122" s="306"/>
      <c r="P3122" s="112"/>
      <c r="Q3122" s="112"/>
    </row>
    <row r="3123" spans="2:17" s="110" customFormat="1">
      <c r="B3123" s="111"/>
      <c r="F3123" s="112"/>
      <c r="G3123" s="112"/>
      <c r="H3123" s="112"/>
      <c r="L3123" s="112"/>
      <c r="N3123" s="306"/>
      <c r="P3123" s="112"/>
      <c r="Q3123" s="112"/>
    </row>
    <row r="3124" spans="2:17" s="110" customFormat="1">
      <c r="B3124" s="111"/>
      <c r="F3124" s="112"/>
      <c r="G3124" s="112"/>
      <c r="H3124" s="112"/>
      <c r="L3124" s="112"/>
      <c r="N3124" s="306"/>
      <c r="P3124" s="112"/>
      <c r="Q3124" s="112"/>
    </row>
    <row r="3125" spans="2:17" s="110" customFormat="1">
      <c r="B3125" s="111"/>
      <c r="F3125" s="112"/>
      <c r="G3125" s="112"/>
      <c r="H3125" s="112"/>
      <c r="L3125" s="112"/>
      <c r="N3125" s="306"/>
      <c r="P3125" s="112"/>
      <c r="Q3125" s="112"/>
    </row>
    <row r="3126" spans="2:17" s="110" customFormat="1">
      <c r="B3126" s="111"/>
      <c r="F3126" s="112"/>
      <c r="G3126" s="112"/>
      <c r="H3126" s="112"/>
      <c r="L3126" s="112"/>
      <c r="N3126" s="306"/>
      <c r="P3126" s="112"/>
      <c r="Q3126" s="112"/>
    </row>
    <row r="3127" spans="2:17" s="110" customFormat="1">
      <c r="B3127" s="111"/>
      <c r="F3127" s="112"/>
      <c r="G3127" s="112"/>
      <c r="H3127" s="112"/>
      <c r="L3127" s="112"/>
      <c r="N3127" s="306"/>
      <c r="P3127" s="112"/>
      <c r="Q3127" s="112"/>
    </row>
    <row r="3128" spans="2:17" s="110" customFormat="1">
      <c r="B3128" s="111"/>
      <c r="F3128" s="112"/>
      <c r="G3128" s="112"/>
      <c r="H3128" s="112"/>
      <c r="L3128" s="112"/>
      <c r="N3128" s="306"/>
      <c r="P3128" s="112"/>
      <c r="Q3128" s="112"/>
    </row>
    <row r="3129" spans="2:17" s="110" customFormat="1">
      <c r="B3129" s="111"/>
      <c r="F3129" s="112"/>
      <c r="G3129" s="112"/>
      <c r="H3129" s="112"/>
      <c r="L3129" s="112"/>
      <c r="N3129" s="306"/>
      <c r="P3129" s="112"/>
      <c r="Q3129" s="112"/>
    </row>
    <row r="3130" spans="2:17" s="110" customFormat="1">
      <c r="B3130" s="111"/>
      <c r="F3130" s="112"/>
      <c r="G3130" s="112"/>
      <c r="H3130" s="112"/>
      <c r="L3130" s="112"/>
      <c r="N3130" s="306"/>
      <c r="P3130" s="112"/>
      <c r="Q3130" s="112"/>
    </row>
    <row r="3131" spans="2:17" s="110" customFormat="1">
      <c r="B3131" s="111"/>
      <c r="F3131" s="112"/>
      <c r="G3131" s="112"/>
      <c r="H3131" s="112"/>
      <c r="L3131" s="112"/>
      <c r="N3131" s="306"/>
      <c r="P3131" s="112"/>
      <c r="Q3131" s="112"/>
    </row>
    <row r="3132" spans="2:17" s="110" customFormat="1">
      <c r="B3132" s="111"/>
      <c r="F3132" s="112"/>
      <c r="G3132" s="112"/>
      <c r="H3132" s="112"/>
      <c r="L3132" s="112"/>
      <c r="N3132" s="306"/>
      <c r="P3132" s="112"/>
      <c r="Q3132" s="112"/>
    </row>
    <row r="3133" spans="2:17" s="110" customFormat="1">
      <c r="B3133" s="111"/>
      <c r="F3133" s="112"/>
      <c r="G3133" s="112"/>
      <c r="H3133" s="112"/>
      <c r="L3133" s="112"/>
      <c r="N3133" s="306"/>
      <c r="P3133" s="112"/>
      <c r="Q3133" s="112"/>
    </row>
    <row r="3134" spans="2:17" s="110" customFormat="1">
      <c r="B3134" s="111"/>
      <c r="F3134" s="112"/>
      <c r="G3134" s="112"/>
      <c r="H3134" s="112"/>
      <c r="L3134" s="112"/>
      <c r="N3134" s="306"/>
      <c r="P3134" s="112"/>
      <c r="Q3134" s="112"/>
    </row>
    <row r="3135" spans="2:17" s="110" customFormat="1">
      <c r="B3135" s="111"/>
      <c r="F3135" s="112"/>
      <c r="G3135" s="112"/>
      <c r="H3135" s="112"/>
      <c r="L3135" s="112"/>
      <c r="N3135" s="306"/>
      <c r="P3135" s="112"/>
      <c r="Q3135" s="112"/>
    </row>
    <row r="3136" spans="2:17" s="110" customFormat="1">
      <c r="B3136" s="111"/>
      <c r="F3136" s="112"/>
      <c r="G3136" s="112"/>
      <c r="H3136" s="112"/>
      <c r="L3136" s="112"/>
      <c r="N3136" s="306"/>
      <c r="P3136" s="112"/>
      <c r="Q3136" s="112"/>
    </row>
    <row r="3137" spans="2:17" s="110" customFormat="1">
      <c r="B3137" s="111"/>
      <c r="F3137" s="112"/>
      <c r="G3137" s="112"/>
      <c r="H3137" s="112"/>
      <c r="L3137" s="112"/>
      <c r="N3137" s="306"/>
      <c r="P3137" s="112"/>
      <c r="Q3137" s="112"/>
    </row>
    <row r="3138" spans="2:17" s="110" customFormat="1">
      <c r="B3138" s="111"/>
      <c r="F3138" s="112"/>
      <c r="G3138" s="112"/>
      <c r="H3138" s="112"/>
      <c r="L3138" s="112"/>
      <c r="N3138" s="306"/>
      <c r="P3138" s="112"/>
      <c r="Q3138" s="112"/>
    </row>
    <row r="3139" spans="2:17" s="110" customFormat="1">
      <c r="B3139" s="111"/>
      <c r="F3139" s="112"/>
      <c r="G3139" s="112"/>
      <c r="H3139" s="112"/>
      <c r="L3139" s="112"/>
      <c r="N3139" s="306"/>
      <c r="P3139" s="112"/>
      <c r="Q3139" s="112"/>
    </row>
    <row r="3140" spans="2:17" s="110" customFormat="1">
      <c r="B3140" s="111"/>
      <c r="F3140" s="112"/>
      <c r="G3140" s="112"/>
      <c r="H3140" s="112"/>
      <c r="L3140" s="112"/>
      <c r="N3140" s="306"/>
      <c r="P3140" s="112"/>
      <c r="Q3140" s="112"/>
    </row>
    <row r="3141" spans="2:17" s="110" customFormat="1">
      <c r="B3141" s="111"/>
      <c r="F3141" s="112"/>
      <c r="G3141" s="112"/>
      <c r="H3141" s="112"/>
      <c r="L3141" s="112"/>
      <c r="N3141" s="306"/>
      <c r="P3141" s="112"/>
      <c r="Q3141" s="112"/>
    </row>
    <row r="3142" spans="2:17" s="110" customFormat="1">
      <c r="B3142" s="111"/>
      <c r="F3142" s="112"/>
      <c r="G3142" s="112"/>
      <c r="H3142" s="112"/>
      <c r="L3142" s="112"/>
      <c r="N3142" s="306"/>
      <c r="P3142" s="112"/>
      <c r="Q3142" s="112"/>
    </row>
    <row r="3143" spans="2:17" s="110" customFormat="1">
      <c r="B3143" s="111"/>
      <c r="F3143" s="112"/>
      <c r="G3143" s="112"/>
      <c r="H3143" s="112"/>
      <c r="L3143" s="112"/>
      <c r="N3143" s="306"/>
      <c r="P3143" s="112"/>
      <c r="Q3143" s="112"/>
    </row>
    <row r="3144" spans="2:17" s="110" customFormat="1">
      <c r="B3144" s="111"/>
      <c r="F3144" s="112"/>
      <c r="G3144" s="112"/>
      <c r="H3144" s="112"/>
      <c r="L3144" s="112"/>
      <c r="N3144" s="306"/>
      <c r="P3144" s="112"/>
      <c r="Q3144" s="112"/>
    </row>
    <row r="3145" spans="2:17" s="110" customFormat="1">
      <c r="B3145" s="111"/>
      <c r="F3145" s="112"/>
      <c r="G3145" s="112"/>
      <c r="H3145" s="112"/>
      <c r="L3145" s="112"/>
      <c r="N3145" s="306"/>
      <c r="P3145" s="112"/>
      <c r="Q3145" s="112"/>
    </row>
    <row r="3146" spans="2:17" s="110" customFormat="1">
      <c r="B3146" s="111"/>
      <c r="F3146" s="112"/>
      <c r="G3146" s="112"/>
      <c r="H3146" s="112"/>
      <c r="L3146" s="112"/>
      <c r="N3146" s="306"/>
      <c r="P3146" s="112"/>
      <c r="Q3146" s="112"/>
    </row>
    <row r="3147" spans="2:17" s="110" customFormat="1">
      <c r="B3147" s="111"/>
      <c r="F3147" s="112"/>
      <c r="G3147" s="112"/>
      <c r="H3147" s="112"/>
      <c r="L3147" s="112"/>
      <c r="N3147" s="306"/>
      <c r="P3147" s="112"/>
      <c r="Q3147" s="112"/>
    </row>
    <row r="3148" spans="2:17" s="110" customFormat="1">
      <c r="B3148" s="111"/>
      <c r="F3148" s="112"/>
      <c r="G3148" s="112"/>
      <c r="H3148" s="112"/>
      <c r="L3148" s="112"/>
      <c r="N3148" s="306"/>
      <c r="P3148" s="112"/>
      <c r="Q3148" s="112"/>
    </row>
    <row r="3149" spans="2:17" s="110" customFormat="1">
      <c r="B3149" s="111"/>
      <c r="F3149" s="112"/>
      <c r="G3149" s="112"/>
      <c r="H3149" s="112"/>
      <c r="L3149" s="112"/>
      <c r="N3149" s="306"/>
      <c r="P3149" s="112"/>
      <c r="Q3149" s="112"/>
    </row>
    <row r="3150" spans="2:17" s="110" customFormat="1">
      <c r="B3150" s="111"/>
      <c r="F3150" s="112"/>
      <c r="G3150" s="112"/>
      <c r="H3150" s="112"/>
      <c r="L3150" s="112"/>
      <c r="N3150" s="306"/>
      <c r="P3150" s="112"/>
      <c r="Q3150" s="112"/>
    </row>
    <row r="3151" spans="2:17" s="110" customFormat="1">
      <c r="B3151" s="111"/>
      <c r="F3151" s="112"/>
      <c r="G3151" s="112"/>
      <c r="H3151" s="112"/>
      <c r="L3151" s="112"/>
      <c r="N3151" s="306"/>
      <c r="P3151" s="112"/>
      <c r="Q3151" s="112"/>
    </row>
    <row r="3152" spans="2:17" s="110" customFormat="1">
      <c r="B3152" s="111"/>
      <c r="F3152" s="112"/>
      <c r="G3152" s="112"/>
      <c r="H3152" s="112"/>
      <c r="L3152" s="112"/>
      <c r="N3152" s="306"/>
      <c r="P3152" s="112"/>
      <c r="Q3152" s="112"/>
    </row>
    <row r="3153" spans="2:17" s="110" customFormat="1">
      <c r="B3153" s="111"/>
      <c r="F3153" s="112"/>
      <c r="G3153" s="112"/>
      <c r="H3153" s="112"/>
      <c r="L3153" s="112"/>
      <c r="N3153" s="306"/>
      <c r="P3153" s="112"/>
      <c r="Q3153" s="112"/>
    </row>
    <row r="3154" spans="2:17" s="110" customFormat="1">
      <c r="B3154" s="111"/>
      <c r="F3154" s="112"/>
      <c r="G3154" s="112"/>
      <c r="H3154" s="112"/>
      <c r="L3154" s="112"/>
      <c r="N3154" s="306"/>
      <c r="P3154" s="112"/>
      <c r="Q3154" s="112"/>
    </row>
    <row r="3155" spans="2:17" s="110" customFormat="1">
      <c r="B3155" s="111"/>
      <c r="F3155" s="112"/>
      <c r="G3155" s="112"/>
      <c r="H3155" s="112"/>
      <c r="L3155" s="112"/>
      <c r="N3155" s="306"/>
      <c r="P3155" s="112"/>
      <c r="Q3155" s="112"/>
    </row>
    <row r="3156" spans="2:17" s="110" customFormat="1">
      <c r="B3156" s="111"/>
      <c r="F3156" s="112"/>
      <c r="G3156" s="112"/>
      <c r="H3156" s="112"/>
      <c r="L3156" s="112"/>
      <c r="N3156" s="306"/>
      <c r="P3156" s="112"/>
      <c r="Q3156" s="112"/>
    </row>
    <row r="3157" spans="2:17" s="110" customFormat="1">
      <c r="B3157" s="111"/>
      <c r="F3157" s="112"/>
      <c r="G3157" s="112"/>
      <c r="H3157" s="112"/>
      <c r="L3157" s="112"/>
      <c r="N3157" s="306"/>
      <c r="P3157" s="112"/>
      <c r="Q3157" s="112"/>
    </row>
    <row r="3158" spans="2:17" s="110" customFormat="1">
      <c r="B3158" s="111"/>
      <c r="F3158" s="112"/>
      <c r="G3158" s="112"/>
      <c r="H3158" s="112"/>
      <c r="L3158" s="112"/>
      <c r="N3158" s="306"/>
      <c r="P3158" s="112"/>
      <c r="Q3158" s="112"/>
    </row>
    <row r="3159" spans="2:17" s="110" customFormat="1">
      <c r="B3159" s="111"/>
      <c r="F3159" s="112"/>
      <c r="G3159" s="112"/>
      <c r="H3159" s="112"/>
      <c r="L3159" s="112"/>
      <c r="N3159" s="306"/>
      <c r="P3159" s="112"/>
      <c r="Q3159" s="112"/>
    </row>
    <row r="3160" spans="2:17" s="110" customFormat="1">
      <c r="B3160" s="111"/>
      <c r="F3160" s="112"/>
      <c r="G3160" s="112"/>
      <c r="H3160" s="112"/>
      <c r="L3160" s="112"/>
      <c r="N3160" s="306"/>
      <c r="P3160" s="112"/>
      <c r="Q3160" s="112"/>
    </row>
    <row r="3161" spans="2:17" s="110" customFormat="1">
      <c r="B3161" s="111"/>
      <c r="F3161" s="112"/>
      <c r="G3161" s="112"/>
      <c r="H3161" s="112"/>
      <c r="L3161" s="112"/>
      <c r="N3161" s="306"/>
      <c r="P3161" s="112"/>
      <c r="Q3161" s="112"/>
    </row>
    <row r="3162" spans="2:17" s="110" customFormat="1">
      <c r="B3162" s="111"/>
      <c r="F3162" s="112"/>
      <c r="G3162" s="112"/>
      <c r="H3162" s="112"/>
      <c r="L3162" s="112"/>
      <c r="N3162" s="306"/>
      <c r="P3162" s="112"/>
      <c r="Q3162" s="112"/>
    </row>
    <row r="3163" spans="2:17" s="110" customFormat="1">
      <c r="B3163" s="111"/>
      <c r="F3163" s="112"/>
      <c r="G3163" s="112"/>
      <c r="H3163" s="112"/>
      <c r="L3163" s="112"/>
      <c r="N3163" s="306"/>
      <c r="P3163" s="112"/>
      <c r="Q3163" s="112"/>
    </row>
    <row r="3164" spans="2:17" s="110" customFormat="1">
      <c r="B3164" s="111"/>
      <c r="F3164" s="112"/>
      <c r="G3164" s="112"/>
      <c r="H3164" s="112"/>
      <c r="L3164" s="112"/>
      <c r="N3164" s="306"/>
      <c r="P3164" s="112"/>
      <c r="Q3164" s="112"/>
    </row>
    <row r="3165" spans="2:17" s="110" customFormat="1">
      <c r="B3165" s="111"/>
      <c r="F3165" s="112"/>
      <c r="G3165" s="112"/>
      <c r="H3165" s="112"/>
      <c r="L3165" s="112"/>
      <c r="N3165" s="306"/>
      <c r="P3165" s="112"/>
      <c r="Q3165" s="112"/>
    </row>
    <row r="3166" spans="2:17" s="110" customFormat="1">
      <c r="B3166" s="111"/>
      <c r="F3166" s="112"/>
      <c r="G3166" s="112"/>
      <c r="H3166" s="112"/>
      <c r="L3166" s="112"/>
      <c r="N3166" s="306"/>
      <c r="P3166" s="112"/>
      <c r="Q3166" s="112"/>
    </row>
    <row r="3167" spans="2:17" s="110" customFormat="1">
      <c r="B3167" s="111"/>
      <c r="F3167" s="112"/>
      <c r="G3167" s="112"/>
      <c r="H3167" s="112"/>
      <c r="L3167" s="112"/>
      <c r="N3167" s="306"/>
      <c r="P3167" s="112"/>
      <c r="Q3167" s="112"/>
    </row>
    <row r="3168" spans="2:17" s="110" customFormat="1">
      <c r="B3168" s="111"/>
      <c r="F3168" s="112"/>
      <c r="G3168" s="112"/>
      <c r="H3168" s="112"/>
      <c r="L3168" s="112"/>
      <c r="N3168" s="306"/>
      <c r="P3168" s="112"/>
      <c r="Q3168" s="112"/>
    </row>
    <row r="3169" spans="2:17" s="110" customFormat="1">
      <c r="B3169" s="111"/>
      <c r="F3169" s="112"/>
      <c r="G3169" s="112"/>
      <c r="H3169" s="112"/>
      <c r="L3169" s="112"/>
      <c r="N3169" s="306"/>
      <c r="P3169" s="112"/>
      <c r="Q3169" s="112"/>
    </row>
    <row r="3170" spans="2:17" s="110" customFormat="1">
      <c r="B3170" s="111"/>
      <c r="F3170" s="112"/>
      <c r="G3170" s="112"/>
      <c r="H3170" s="112"/>
      <c r="L3170" s="112"/>
      <c r="N3170" s="306"/>
      <c r="P3170" s="112"/>
      <c r="Q3170" s="112"/>
    </row>
    <row r="3171" spans="2:17" s="110" customFormat="1">
      <c r="B3171" s="111"/>
      <c r="F3171" s="112"/>
      <c r="G3171" s="112"/>
      <c r="H3171" s="112"/>
      <c r="L3171" s="112"/>
      <c r="N3171" s="306"/>
      <c r="P3171" s="112"/>
      <c r="Q3171" s="112"/>
    </row>
    <row r="3172" spans="2:17" s="110" customFormat="1">
      <c r="B3172" s="111"/>
      <c r="F3172" s="112"/>
      <c r="G3172" s="112"/>
      <c r="H3172" s="112"/>
      <c r="L3172" s="112"/>
      <c r="N3172" s="306"/>
      <c r="P3172" s="112"/>
      <c r="Q3172" s="112"/>
    </row>
    <row r="3173" spans="2:17" s="110" customFormat="1">
      <c r="B3173" s="111"/>
      <c r="F3173" s="112"/>
      <c r="G3173" s="112"/>
      <c r="H3173" s="112"/>
      <c r="L3173" s="112"/>
      <c r="N3173" s="306"/>
      <c r="P3173" s="112"/>
      <c r="Q3173" s="112"/>
    </row>
    <row r="3174" spans="2:17" s="110" customFormat="1">
      <c r="B3174" s="111"/>
      <c r="F3174" s="112"/>
      <c r="G3174" s="112"/>
      <c r="H3174" s="112"/>
      <c r="L3174" s="112"/>
      <c r="N3174" s="306"/>
      <c r="P3174" s="112"/>
      <c r="Q3174" s="112"/>
    </row>
    <row r="3175" spans="2:17" s="110" customFormat="1">
      <c r="B3175" s="111"/>
      <c r="F3175" s="112"/>
      <c r="G3175" s="112"/>
      <c r="H3175" s="112"/>
      <c r="L3175" s="112"/>
      <c r="N3175" s="306"/>
      <c r="P3175" s="112"/>
      <c r="Q3175" s="112"/>
    </row>
    <row r="3176" spans="2:17" s="110" customFormat="1">
      <c r="B3176" s="111"/>
      <c r="F3176" s="112"/>
      <c r="G3176" s="112"/>
      <c r="H3176" s="112"/>
      <c r="L3176" s="112"/>
      <c r="N3176" s="306"/>
      <c r="P3176" s="112"/>
      <c r="Q3176" s="112"/>
    </row>
    <row r="3177" spans="2:17" s="110" customFormat="1">
      <c r="B3177" s="111"/>
      <c r="F3177" s="112"/>
      <c r="G3177" s="112"/>
      <c r="H3177" s="112"/>
      <c r="L3177" s="112"/>
      <c r="N3177" s="306"/>
      <c r="P3177" s="112"/>
      <c r="Q3177" s="112"/>
    </row>
    <row r="3178" spans="2:17" s="110" customFormat="1">
      <c r="B3178" s="111"/>
      <c r="F3178" s="112"/>
      <c r="G3178" s="112"/>
      <c r="H3178" s="112"/>
      <c r="L3178" s="112"/>
      <c r="N3178" s="306"/>
      <c r="P3178" s="112"/>
      <c r="Q3178" s="112"/>
    </row>
    <row r="3179" spans="2:17" s="110" customFormat="1">
      <c r="B3179" s="111"/>
      <c r="F3179" s="112"/>
      <c r="G3179" s="112"/>
      <c r="H3179" s="112"/>
      <c r="L3179" s="112"/>
      <c r="N3179" s="306"/>
      <c r="P3179" s="112"/>
      <c r="Q3179" s="112"/>
    </row>
    <row r="3180" spans="2:17" s="110" customFormat="1">
      <c r="B3180" s="111"/>
      <c r="F3180" s="112"/>
      <c r="G3180" s="112"/>
      <c r="H3180" s="112"/>
      <c r="L3180" s="112"/>
      <c r="N3180" s="306"/>
      <c r="P3180" s="112"/>
      <c r="Q3180" s="112"/>
    </row>
    <row r="3181" spans="2:17" s="110" customFormat="1">
      <c r="B3181" s="111"/>
      <c r="F3181" s="112"/>
      <c r="G3181" s="112"/>
      <c r="H3181" s="112"/>
      <c r="L3181" s="112"/>
      <c r="N3181" s="306"/>
      <c r="P3181" s="112"/>
      <c r="Q3181" s="112"/>
    </row>
    <row r="3182" spans="2:17" s="110" customFormat="1">
      <c r="B3182" s="111"/>
      <c r="F3182" s="112"/>
      <c r="G3182" s="112"/>
      <c r="H3182" s="112"/>
      <c r="L3182" s="112"/>
      <c r="N3182" s="306"/>
      <c r="P3182" s="112"/>
      <c r="Q3182" s="112"/>
    </row>
    <row r="3183" spans="2:17" s="110" customFormat="1">
      <c r="B3183" s="111"/>
      <c r="F3183" s="112"/>
      <c r="G3183" s="112"/>
      <c r="H3183" s="112"/>
      <c r="L3183" s="112"/>
      <c r="N3183" s="306"/>
      <c r="P3183" s="112"/>
      <c r="Q3183" s="112"/>
    </row>
    <row r="3184" spans="2:17" s="110" customFormat="1">
      <c r="B3184" s="111"/>
      <c r="F3184" s="112"/>
      <c r="G3184" s="112"/>
      <c r="H3184" s="112"/>
      <c r="L3184" s="112"/>
      <c r="N3184" s="306"/>
      <c r="P3184" s="112"/>
      <c r="Q3184" s="112"/>
    </row>
    <row r="3185" spans="2:17" s="110" customFormat="1">
      <c r="B3185" s="111"/>
      <c r="F3185" s="112"/>
      <c r="G3185" s="112"/>
      <c r="H3185" s="112"/>
      <c r="L3185" s="112"/>
      <c r="N3185" s="306"/>
      <c r="P3185" s="112"/>
      <c r="Q3185" s="112"/>
    </row>
    <row r="3186" spans="2:17" s="110" customFormat="1">
      <c r="B3186" s="111"/>
      <c r="F3186" s="112"/>
      <c r="G3186" s="112"/>
      <c r="H3186" s="112"/>
      <c r="L3186" s="112"/>
      <c r="N3186" s="306"/>
      <c r="P3186" s="112"/>
      <c r="Q3186" s="112"/>
    </row>
    <row r="3187" spans="2:17" s="110" customFormat="1">
      <c r="B3187" s="111"/>
      <c r="F3187" s="112"/>
      <c r="G3187" s="112"/>
      <c r="H3187" s="112"/>
      <c r="L3187" s="112"/>
      <c r="N3187" s="306"/>
      <c r="P3187" s="112"/>
      <c r="Q3187" s="112"/>
    </row>
    <row r="3188" spans="2:17" s="110" customFormat="1">
      <c r="B3188" s="111"/>
      <c r="F3188" s="112"/>
      <c r="G3188" s="112"/>
      <c r="H3188" s="112"/>
      <c r="L3188" s="112"/>
      <c r="N3188" s="306"/>
      <c r="P3188" s="112"/>
      <c r="Q3188" s="112"/>
    </row>
    <row r="3189" spans="2:17" s="110" customFormat="1">
      <c r="B3189" s="111"/>
      <c r="F3189" s="112"/>
      <c r="G3189" s="112"/>
      <c r="H3189" s="112"/>
      <c r="L3189" s="112"/>
      <c r="N3189" s="306"/>
      <c r="P3189" s="112"/>
      <c r="Q3189" s="112"/>
    </row>
    <row r="3190" spans="2:17" s="110" customFormat="1">
      <c r="B3190" s="111"/>
      <c r="F3190" s="112"/>
      <c r="G3190" s="112"/>
      <c r="H3190" s="112"/>
      <c r="L3190" s="112"/>
      <c r="N3190" s="306"/>
      <c r="P3190" s="112"/>
      <c r="Q3190" s="112"/>
    </row>
    <row r="3191" spans="2:17" s="110" customFormat="1">
      <c r="B3191" s="111"/>
      <c r="F3191" s="112"/>
      <c r="G3191" s="112"/>
      <c r="H3191" s="112"/>
      <c r="L3191" s="112"/>
      <c r="N3191" s="306"/>
      <c r="P3191" s="112"/>
      <c r="Q3191" s="112"/>
    </row>
    <row r="3192" spans="2:17" s="110" customFormat="1">
      <c r="B3192" s="111"/>
      <c r="F3192" s="112"/>
      <c r="G3192" s="112"/>
      <c r="H3192" s="112"/>
      <c r="L3192" s="112"/>
      <c r="N3192" s="306"/>
      <c r="P3192" s="112"/>
      <c r="Q3192" s="112"/>
    </row>
    <row r="3193" spans="2:17" s="110" customFormat="1">
      <c r="B3193" s="111"/>
      <c r="F3193" s="112"/>
      <c r="G3193" s="112"/>
      <c r="H3193" s="112"/>
      <c r="L3193" s="112"/>
      <c r="N3193" s="306"/>
      <c r="P3193" s="112"/>
      <c r="Q3193" s="112"/>
    </row>
    <row r="3194" spans="2:17" s="110" customFormat="1">
      <c r="B3194" s="111"/>
      <c r="F3194" s="112"/>
      <c r="G3194" s="112"/>
      <c r="H3194" s="112"/>
      <c r="L3194" s="112"/>
      <c r="N3194" s="306"/>
      <c r="P3194" s="112"/>
      <c r="Q3194" s="112"/>
    </row>
    <row r="3195" spans="2:17" s="110" customFormat="1">
      <c r="B3195" s="111"/>
      <c r="F3195" s="112"/>
      <c r="G3195" s="112"/>
      <c r="H3195" s="112"/>
      <c r="L3195" s="112"/>
      <c r="N3195" s="306"/>
      <c r="P3195" s="112"/>
      <c r="Q3195" s="112"/>
    </row>
    <row r="3196" spans="2:17" s="110" customFormat="1">
      <c r="B3196" s="111"/>
      <c r="F3196" s="112"/>
      <c r="G3196" s="112"/>
      <c r="H3196" s="112"/>
      <c r="L3196" s="112"/>
      <c r="N3196" s="306"/>
      <c r="P3196" s="112"/>
      <c r="Q3196" s="112"/>
    </row>
    <row r="3197" spans="2:17" s="110" customFormat="1">
      <c r="B3197" s="111"/>
      <c r="F3197" s="112"/>
      <c r="G3197" s="112"/>
      <c r="H3197" s="112"/>
      <c r="L3197" s="112"/>
      <c r="N3197" s="306"/>
      <c r="P3197" s="112"/>
      <c r="Q3197" s="112"/>
    </row>
    <row r="3198" spans="2:17" s="110" customFormat="1">
      <c r="B3198" s="111"/>
      <c r="F3198" s="112"/>
      <c r="G3198" s="112"/>
      <c r="H3198" s="112"/>
      <c r="L3198" s="112"/>
      <c r="N3198" s="306"/>
      <c r="P3198" s="112"/>
      <c r="Q3198" s="112"/>
    </row>
    <row r="3199" spans="2:17" s="110" customFormat="1">
      <c r="B3199" s="111"/>
      <c r="F3199" s="112"/>
      <c r="G3199" s="112"/>
      <c r="H3199" s="112"/>
      <c r="L3199" s="112"/>
      <c r="N3199" s="306"/>
      <c r="P3199" s="112"/>
      <c r="Q3199" s="112"/>
    </row>
    <row r="3200" spans="2:17" s="110" customFormat="1">
      <c r="B3200" s="111"/>
      <c r="F3200" s="112"/>
      <c r="G3200" s="112"/>
      <c r="H3200" s="112"/>
      <c r="L3200" s="112"/>
      <c r="N3200" s="306"/>
      <c r="P3200" s="112"/>
      <c r="Q3200" s="112"/>
    </row>
    <row r="3201" spans="2:17" s="110" customFormat="1">
      <c r="B3201" s="111"/>
      <c r="F3201" s="112"/>
      <c r="G3201" s="112"/>
      <c r="H3201" s="112"/>
      <c r="L3201" s="112"/>
      <c r="N3201" s="306"/>
      <c r="P3201" s="112"/>
      <c r="Q3201" s="112"/>
    </row>
    <row r="3202" spans="2:17" s="110" customFormat="1">
      <c r="B3202" s="111"/>
      <c r="F3202" s="112"/>
      <c r="G3202" s="112"/>
      <c r="H3202" s="112"/>
      <c r="L3202" s="112"/>
      <c r="N3202" s="306"/>
      <c r="P3202" s="112"/>
      <c r="Q3202" s="112"/>
    </row>
    <row r="3203" spans="2:17" s="110" customFormat="1">
      <c r="B3203" s="111"/>
      <c r="F3203" s="112"/>
      <c r="G3203" s="112"/>
      <c r="H3203" s="112"/>
      <c r="L3203" s="112"/>
      <c r="N3203" s="306"/>
      <c r="P3203" s="112"/>
      <c r="Q3203" s="112"/>
    </row>
    <row r="3204" spans="2:17" s="110" customFormat="1">
      <c r="B3204" s="111"/>
      <c r="F3204" s="112"/>
      <c r="G3204" s="112"/>
      <c r="H3204" s="112"/>
      <c r="L3204" s="112"/>
      <c r="N3204" s="306"/>
      <c r="P3204" s="112"/>
      <c r="Q3204" s="112"/>
    </row>
    <row r="3205" spans="2:17" s="110" customFormat="1">
      <c r="B3205" s="111"/>
      <c r="F3205" s="112"/>
      <c r="G3205" s="112"/>
      <c r="H3205" s="112"/>
      <c r="L3205" s="112"/>
      <c r="N3205" s="306"/>
      <c r="P3205" s="112"/>
      <c r="Q3205" s="112"/>
    </row>
    <row r="3206" spans="2:17" s="110" customFormat="1">
      <c r="B3206" s="111"/>
      <c r="F3206" s="112"/>
      <c r="G3206" s="112"/>
      <c r="H3206" s="112"/>
      <c r="L3206" s="112"/>
      <c r="N3206" s="306"/>
      <c r="P3206" s="112"/>
      <c r="Q3206" s="112"/>
    </row>
    <row r="3207" spans="2:17" s="110" customFormat="1">
      <c r="B3207" s="111"/>
      <c r="F3207" s="112"/>
      <c r="G3207" s="112"/>
      <c r="H3207" s="112"/>
      <c r="L3207" s="112"/>
      <c r="N3207" s="306"/>
      <c r="P3207" s="112"/>
      <c r="Q3207" s="112"/>
    </row>
    <row r="3208" spans="2:17" s="110" customFormat="1">
      <c r="B3208" s="111"/>
      <c r="F3208" s="112"/>
      <c r="G3208" s="112"/>
      <c r="H3208" s="112"/>
      <c r="L3208" s="112"/>
      <c r="N3208" s="306"/>
      <c r="P3208" s="112"/>
      <c r="Q3208" s="112"/>
    </row>
    <row r="3209" spans="2:17" s="110" customFormat="1">
      <c r="B3209" s="111"/>
      <c r="F3209" s="112"/>
      <c r="G3209" s="112"/>
      <c r="H3209" s="112"/>
      <c r="L3209" s="112"/>
      <c r="N3209" s="306"/>
      <c r="P3209" s="112"/>
      <c r="Q3209" s="112"/>
    </row>
    <row r="3210" spans="2:17" s="110" customFormat="1">
      <c r="B3210" s="111"/>
      <c r="F3210" s="112"/>
      <c r="G3210" s="112"/>
      <c r="H3210" s="112"/>
      <c r="L3210" s="112"/>
      <c r="N3210" s="306"/>
      <c r="P3210" s="112"/>
      <c r="Q3210" s="112"/>
    </row>
    <row r="3211" spans="2:17" s="110" customFormat="1">
      <c r="B3211" s="111"/>
      <c r="F3211" s="112"/>
      <c r="G3211" s="112"/>
      <c r="H3211" s="112"/>
      <c r="L3211" s="112"/>
      <c r="N3211" s="306"/>
      <c r="P3211" s="112"/>
      <c r="Q3211" s="112"/>
    </row>
    <row r="3212" spans="2:17" s="110" customFormat="1">
      <c r="B3212" s="111"/>
      <c r="F3212" s="112"/>
      <c r="G3212" s="112"/>
      <c r="H3212" s="112"/>
      <c r="L3212" s="112"/>
      <c r="N3212" s="306"/>
      <c r="P3212" s="112"/>
      <c r="Q3212" s="112"/>
    </row>
    <row r="3213" spans="2:17" s="110" customFormat="1">
      <c r="B3213" s="111"/>
      <c r="F3213" s="112"/>
      <c r="G3213" s="112"/>
      <c r="H3213" s="112"/>
      <c r="L3213" s="112"/>
      <c r="N3213" s="306"/>
      <c r="P3213" s="112"/>
      <c r="Q3213" s="112"/>
    </row>
    <row r="3214" spans="2:17" s="110" customFormat="1">
      <c r="B3214" s="111"/>
      <c r="F3214" s="112"/>
      <c r="G3214" s="112"/>
      <c r="H3214" s="112"/>
      <c r="L3214" s="112"/>
      <c r="N3214" s="306"/>
      <c r="P3214" s="112"/>
      <c r="Q3214" s="112"/>
    </row>
    <row r="3215" spans="2:17" s="110" customFormat="1">
      <c r="B3215" s="111"/>
      <c r="F3215" s="112"/>
      <c r="G3215" s="112"/>
      <c r="H3215" s="112"/>
      <c r="L3215" s="112"/>
      <c r="N3215" s="306"/>
      <c r="P3215" s="112"/>
      <c r="Q3215" s="112"/>
    </row>
    <row r="3216" spans="2:17" s="110" customFormat="1">
      <c r="B3216" s="111"/>
      <c r="F3216" s="112"/>
      <c r="G3216" s="112"/>
      <c r="H3216" s="112"/>
      <c r="L3216" s="112"/>
      <c r="N3216" s="306"/>
      <c r="P3216" s="112"/>
      <c r="Q3216" s="112"/>
    </row>
    <row r="3217" spans="2:17" s="110" customFormat="1">
      <c r="B3217" s="111"/>
      <c r="F3217" s="112"/>
      <c r="G3217" s="112"/>
      <c r="H3217" s="112"/>
      <c r="L3217" s="112"/>
      <c r="N3217" s="306"/>
      <c r="P3217" s="112"/>
      <c r="Q3217" s="112"/>
    </row>
    <row r="3218" spans="2:17" s="110" customFormat="1">
      <c r="B3218" s="111"/>
      <c r="F3218" s="112"/>
      <c r="G3218" s="112"/>
      <c r="H3218" s="112"/>
      <c r="L3218" s="112"/>
      <c r="N3218" s="306"/>
      <c r="P3218" s="112"/>
      <c r="Q3218" s="112"/>
    </row>
    <row r="3219" spans="2:17" s="110" customFormat="1">
      <c r="B3219" s="111"/>
      <c r="F3219" s="112"/>
      <c r="G3219" s="112"/>
      <c r="H3219" s="112"/>
      <c r="L3219" s="112"/>
      <c r="N3219" s="306"/>
      <c r="P3219" s="112"/>
      <c r="Q3219" s="112"/>
    </row>
    <row r="3220" spans="2:17" s="110" customFormat="1">
      <c r="B3220" s="111"/>
      <c r="F3220" s="112"/>
      <c r="G3220" s="112"/>
      <c r="H3220" s="112"/>
      <c r="L3220" s="112"/>
      <c r="N3220" s="306"/>
      <c r="P3220" s="112"/>
      <c r="Q3220" s="112"/>
    </row>
    <row r="3221" spans="2:17" s="110" customFormat="1">
      <c r="B3221" s="111"/>
      <c r="F3221" s="112"/>
      <c r="G3221" s="112"/>
      <c r="H3221" s="112"/>
      <c r="L3221" s="112"/>
      <c r="N3221" s="306"/>
      <c r="P3221" s="112"/>
      <c r="Q3221" s="112"/>
    </row>
    <row r="3222" spans="2:17" s="110" customFormat="1">
      <c r="B3222" s="111"/>
      <c r="F3222" s="112"/>
      <c r="G3222" s="112"/>
      <c r="H3222" s="112"/>
      <c r="L3222" s="112"/>
      <c r="N3222" s="306"/>
      <c r="P3222" s="112"/>
      <c r="Q3222" s="112"/>
    </row>
    <row r="3223" spans="2:17" s="110" customFormat="1">
      <c r="B3223" s="111"/>
      <c r="F3223" s="112"/>
      <c r="G3223" s="112"/>
      <c r="H3223" s="112"/>
      <c r="L3223" s="112"/>
      <c r="N3223" s="306"/>
      <c r="P3223" s="112"/>
      <c r="Q3223" s="112"/>
    </row>
    <row r="3224" spans="2:17" s="110" customFormat="1">
      <c r="B3224" s="111"/>
      <c r="F3224" s="112"/>
      <c r="G3224" s="112"/>
      <c r="H3224" s="112"/>
      <c r="L3224" s="112"/>
      <c r="N3224" s="306"/>
      <c r="P3224" s="112"/>
      <c r="Q3224" s="112"/>
    </row>
    <row r="3225" spans="2:17" s="110" customFormat="1">
      <c r="B3225" s="111"/>
      <c r="F3225" s="112"/>
      <c r="G3225" s="112"/>
      <c r="H3225" s="112"/>
      <c r="L3225" s="112"/>
      <c r="N3225" s="306"/>
      <c r="P3225" s="112"/>
      <c r="Q3225" s="112"/>
    </row>
    <row r="3226" spans="2:17" s="110" customFormat="1">
      <c r="B3226" s="111"/>
      <c r="F3226" s="112"/>
      <c r="G3226" s="112"/>
      <c r="H3226" s="112"/>
      <c r="L3226" s="112"/>
      <c r="N3226" s="306"/>
      <c r="P3226" s="112"/>
      <c r="Q3226" s="112"/>
    </row>
    <row r="3227" spans="2:17" s="110" customFormat="1">
      <c r="B3227" s="111"/>
      <c r="F3227" s="112"/>
      <c r="G3227" s="112"/>
      <c r="H3227" s="112"/>
      <c r="L3227" s="112"/>
      <c r="N3227" s="306"/>
      <c r="P3227" s="112"/>
      <c r="Q3227" s="112"/>
    </row>
    <row r="3228" spans="2:17" s="110" customFormat="1">
      <c r="B3228" s="111"/>
      <c r="F3228" s="112"/>
      <c r="G3228" s="112"/>
      <c r="H3228" s="112"/>
      <c r="L3228" s="112"/>
      <c r="N3228" s="306"/>
      <c r="P3228" s="112"/>
      <c r="Q3228" s="112"/>
    </row>
    <row r="3229" spans="2:17" s="110" customFormat="1">
      <c r="B3229" s="111"/>
      <c r="F3229" s="112"/>
      <c r="G3229" s="112"/>
      <c r="H3229" s="112"/>
      <c r="L3229" s="112"/>
      <c r="N3229" s="306"/>
      <c r="P3229" s="112"/>
      <c r="Q3229" s="112"/>
    </row>
    <row r="3230" spans="2:17" s="110" customFormat="1">
      <c r="B3230" s="111"/>
      <c r="F3230" s="112"/>
      <c r="G3230" s="112"/>
      <c r="H3230" s="112"/>
      <c r="L3230" s="112"/>
      <c r="N3230" s="306"/>
      <c r="P3230" s="112"/>
      <c r="Q3230" s="112"/>
    </row>
    <row r="3231" spans="2:17" s="110" customFormat="1">
      <c r="B3231" s="111"/>
      <c r="F3231" s="112"/>
      <c r="G3231" s="112"/>
      <c r="H3231" s="112"/>
      <c r="L3231" s="112"/>
      <c r="N3231" s="306"/>
      <c r="P3231" s="112"/>
      <c r="Q3231" s="112"/>
    </row>
    <row r="3232" spans="2:17" s="110" customFormat="1">
      <c r="B3232" s="111"/>
      <c r="F3232" s="112"/>
      <c r="G3232" s="112"/>
      <c r="H3232" s="112"/>
      <c r="L3232" s="112"/>
      <c r="N3232" s="306"/>
      <c r="P3232" s="112"/>
      <c r="Q3232" s="112"/>
    </row>
    <row r="3233" spans="2:17" s="110" customFormat="1">
      <c r="B3233" s="111"/>
      <c r="F3233" s="112"/>
      <c r="G3233" s="112"/>
      <c r="H3233" s="112"/>
      <c r="L3233" s="112"/>
      <c r="N3233" s="306"/>
      <c r="P3233" s="112"/>
      <c r="Q3233" s="112"/>
    </row>
    <row r="3234" spans="2:17" s="110" customFormat="1">
      <c r="B3234" s="111"/>
      <c r="F3234" s="112"/>
      <c r="G3234" s="112"/>
      <c r="H3234" s="112"/>
      <c r="L3234" s="112"/>
      <c r="N3234" s="306"/>
      <c r="P3234" s="112"/>
      <c r="Q3234" s="112"/>
    </row>
    <row r="3235" spans="2:17" s="110" customFormat="1">
      <c r="B3235" s="111"/>
      <c r="F3235" s="112"/>
      <c r="G3235" s="112"/>
      <c r="H3235" s="112"/>
      <c r="L3235" s="112"/>
      <c r="N3235" s="306"/>
      <c r="P3235" s="112"/>
      <c r="Q3235" s="112"/>
    </row>
    <row r="3236" spans="2:17" s="110" customFormat="1">
      <c r="B3236" s="111"/>
      <c r="F3236" s="112"/>
      <c r="G3236" s="112"/>
      <c r="H3236" s="112"/>
      <c r="L3236" s="112"/>
      <c r="N3236" s="306"/>
      <c r="P3236" s="112"/>
      <c r="Q3236" s="112"/>
    </row>
    <row r="3237" spans="2:17" s="110" customFormat="1">
      <c r="B3237" s="111"/>
      <c r="F3237" s="112"/>
      <c r="G3237" s="112"/>
      <c r="H3237" s="112"/>
      <c r="L3237" s="112"/>
      <c r="N3237" s="306"/>
      <c r="P3237" s="112"/>
      <c r="Q3237" s="112"/>
    </row>
    <row r="3238" spans="2:17" s="110" customFormat="1">
      <c r="B3238" s="111"/>
      <c r="F3238" s="112"/>
      <c r="G3238" s="112"/>
      <c r="H3238" s="112"/>
      <c r="L3238" s="112"/>
      <c r="N3238" s="306"/>
      <c r="P3238" s="112"/>
      <c r="Q3238" s="112"/>
    </row>
    <row r="3239" spans="2:17" s="110" customFormat="1">
      <c r="B3239" s="111"/>
      <c r="F3239" s="112"/>
      <c r="G3239" s="112"/>
      <c r="H3239" s="112"/>
      <c r="L3239" s="112"/>
      <c r="N3239" s="306"/>
      <c r="P3239" s="112"/>
      <c r="Q3239" s="112"/>
    </row>
    <row r="3240" spans="2:17" s="110" customFormat="1">
      <c r="B3240" s="111"/>
      <c r="F3240" s="112"/>
      <c r="G3240" s="112"/>
      <c r="H3240" s="112"/>
      <c r="L3240" s="112"/>
      <c r="N3240" s="306"/>
      <c r="P3240" s="112"/>
      <c r="Q3240" s="112"/>
    </row>
    <row r="3241" spans="2:17" s="110" customFormat="1">
      <c r="B3241" s="111"/>
      <c r="F3241" s="112"/>
      <c r="G3241" s="112"/>
      <c r="H3241" s="112"/>
      <c r="L3241" s="112"/>
      <c r="N3241" s="306"/>
      <c r="P3241" s="112"/>
      <c r="Q3241" s="112"/>
    </row>
    <row r="3242" spans="2:17" s="110" customFormat="1">
      <c r="B3242" s="111"/>
      <c r="F3242" s="112"/>
      <c r="G3242" s="112"/>
      <c r="H3242" s="112"/>
      <c r="L3242" s="112"/>
      <c r="N3242" s="306"/>
      <c r="P3242" s="112"/>
      <c r="Q3242" s="112"/>
    </row>
    <row r="3243" spans="2:17" s="110" customFormat="1">
      <c r="B3243" s="111"/>
      <c r="F3243" s="112"/>
      <c r="G3243" s="112"/>
      <c r="H3243" s="112"/>
      <c r="L3243" s="112"/>
      <c r="N3243" s="306"/>
      <c r="P3243" s="112"/>
      <c r="Q3243" s="112"/>
    </row>
    <row r="3244" spans="2:17" s="110" customFormat="1">
      <c r="B3244" s="111"/>
      <c r="F3244" s="112"/>
      <c r="G3244" s="112"/>
      <c r="H3244" s="112"/>
      <c r="L3244" s="112"/>
      <c r="N3244" s="306"/>
      <c r="P3244" s="112"/>
      <c r="Q3244" s="112"/>
    </row>
    <row r="3245" spans="2:17" s="110" customFormat="1">
      <c r="B3245" s="111"/>
      <c r="F3245" s="112"/>
      <c r="G3245" s="112"/>
      <c r="H3245" s="112"/>
      <c r="L3245" s="112"/>
      <c r="N3245" s="306"/>
      <c r="P3245" s="112"/>
      <c r="Q3245" s="112"/>
    </row>
    <row r="3246" spans="2:17" s="110" customFormat="1">
      <c r="B3246" s="111"/>
      <c r="F3246" s="112"/>
      <c r="G3246" s="112"/>
      <c r="H3246" s="112"/>
      <c r="L3246" s="112"/>
      <c r="N3246" s="306"/>
      <c r="P3246" s="112"/>
      <c r="Q3246" s="112"/>
    </row>
    <row r="3247" spans="2:17" s="110" customFormat="1">
      <c r="B3247" s="111"/>
      <c r="F3247" s="112"/>
      <c r="G3247" s="112"/>
      <c r="H3247" s="112"/>
      <c r="L3247" s="112"/>
      <c r="N3247" s="306"/>
      <c r="P3247" s="112"/>
      <c r="Q3247" s="112"/>
    </row>
    <row r="3248" spans="2:17" s="110" customFormat="1">
      <c r="B3248" s="111"/>
      <c r="F3248" s="112"/>
      <c r="G3248" s="112"/>
      <c r="H3248" s="112"/>
      <c r="L3248" s="112"/>
      <c r="N3248" s="306"/>
      <c r="P3248" s="112"/>
      <c r="Q3248" s="112"/>
    </row>
    <row r="3249" spans="2:17" s="110" customFormat="1">
      <c r="B3249" s="111"/>
      <c r="F3249" s="112"/>
      <c r="G3249" s="112"/>
      <c r="H3249" s="112"/>
      <c r="L3249" s="112"/>
      <c r="N3249" s="306"/>
      <c r="P3249" s="112"/>
      <c r="Q3249" s="112"/>
    </row>
    <row r="3250" spans="2:17" s="110" customFormat="1">
      <c r="B3250" s="111"/>
      <c r="F3250" s="112"/>
      <c r="G3250" s="112"/>
      <c r="H3250" s="112"/>
      <c r="L3250" s="112"/>
      <c r="N3250" s="306"/>
      <c r="P3250" s="112"/>
      <c r="Q3250" s="112"/>
    </row>
    <row r="3251" spans="2:17" s="110" customFormat="1">
      <c r="B3251" s="111"/>
      <c r="F3251" s="112"/>
      <c r="G3251" s="112"/>
      <c r="H3251" s="112"/>
      <c r="L3251" s="112"/>
      <c r="N3251" s="306"/>
      <c r="P3251" s="112"/>
      <c r="Q3251" s="112"/>
    </row>
    <row r="3252" spans="2:17" s="110" customFormat="1">
      <c r="B3252" s="111"/>
      <c r="F3252" s="112"/>
      <c r="G3252" s="112"/>
      <c r="H3252" s="112"/>
      <c r="L3252" s="112"/>
      <c r="N3252" s="306"/>
      <c r="P3252" s="112"/>
      <c r="Q3252" s="112"/>
    </row>
    <row r="3253" spans="2:17" s="110" customFormat="1">
      <c r="B3253" s="111"/>
      <c r="F3253" s="112"/>
      <c r="G3253" s="112"/>
      <c r="H3253" s="112"/>
      <c r="L3253" s="112"/>
      <c r="N3253" s="306"/>
      <c r="P3253" s="112"/>
      <c r="Q3253" s="112"/>
    </row>
    <row r="3254" spans="2:17" s="110" customFormat="1">
      <c r="B3254" s="111"/>
      <c r="F3254" s="112"/>
      <c r="G3254" s="112"/>
      <c r="H3254" s="112"/>
      <c r="L3254" s="112"/>
      <c r="N3254" s="306"/>
      <c r="P3254" s="112"/>
      <c r="Q3254" s="112"/>
    </row>
    <row r="3255" spans="2:17" s="110" customFormat="1">
      <c r="B3255" s="111"/>
      <c r="F3255" s="112"/>
      <c r="G3255" s="112"/>
      <c r="H3255" s="112"/>
      <c r="L3255" s="112"/>
      <c r="N3255" s="306"/>
      <c r="P3255" s="112"/>
      <c r="Q3255" s="112"/>
    </row>
    <row r="3256" spans="2:17" s="110" customFormat="1">
      <c r="B3256" s="111"/>
      <c r="F3256" s="112"/>
      <c r="G3256" s="112"/>
      <c r="H3256" s="112"/>
      <c r="L3256" s="112"/>
      <c r="N3256" s="306"/>
      <c r="P3256" s="112"/>
      <c r="Q3256" s="112"/>
    </row>
    <row r="3257" spans="2:17" s="110" customFormat="1">
      <c r="B3257" s="111"/>
      <c r="F3257" s="112"/>
      <c r="G3257" s="112"/>
      <c r="H3257" s="112"/>
      <c r="L3257" s="112"/>
      <c r="N3257" s="306"/>
      <c r="P3257" s="112"/>
      <c r="Q3257" s="112"/>
    </row>
    <row r="3258" spans="2:17" s="110" customFormat="1">
      <c r="B3258" s="111"/>
      <c r="F3258" s="112"/>
      <c r="G3258" s="112"/>
      <c r="H3258" s="112"/>
      <c r="L3258" s="112"/>
      <c r="N3258" s="306"/>
      <c r="P3258" s="112"/>
      <c r="Q3258" s="112"/>
    </row>
    <row r="3259" spans="2:17" s="110" customFormat="1">
      <c r="B3259" s="111"/>
      <c r="F3259" s="112"/>
      <c r="G3259" s="112"/>
      <c r="H3259" s="112"/>
      <c r="L3259" s="112"/>
      <c r="N3259" s="306"/>
      <c r="P3259" s="112"/>
      <c r="Q3259" s="112"/>
    </row>
    <row r="3260" spans="2:17" s="110" customFormat="1">
      <c r="B3260" s="111"/>
      <c r="F3260" s="112"/>
      <c r="G3260" s="112"/>
      <c r="H3260" s="112"/>
      <c r="L3260" s="112"/>
      <c r="N3260" s="306"/>
      <c r="P3260" s="112"/>
      <c r="Q3260" s="112"/>
    </row>
  </sheetData>
  <mergeCells count="321">
    <mergeCell ref="P1:Q1"/>
    <mergeCell ref="K4:M4"/>
    <mergeCell ref="C5:C6"/>
    <mergeCell ref="D5:D6"/>
    <mergeCell ref="F5:F6"/>
    <mergeCell ref="K5:K6"/>
    <mergeCell ref="P2:Q2"/>
    <mergeCell ref="H5:H6"/>
    <mergeCell ref="E4:J4"/>
    <mergeCell ref="E5:E6"/>
    <mergeCell ref="N5:N6"/>
    <mergeCell ref="A39:A42"/>
    <mergeCell ref="A45:A46"/>
    <mergeCell ref="A49:A53"/>
    <mergeCell ref="A56:A57"/>
    <mergeCell ref="A82:A85"/>
    <mergeCell ref="A88:A91"/>
    <mergeCell ref="A12:A18"/>
    <mergeCell ref="A64:A73"/>
    <mergeCell ref="A21:A27"/>
    <mergeCell ref="A30:A35"/>
    <mergeCell ref="A94:A98"/>
    <mergeCell ref="A101:A102"/>
    <mergeCell ref="A108:A111"/>
    <mergeCell ref="A114:A117"/>
    <mergeCell ref="A122:A129"/>
    <mergeCell ref="A132:A135"/>
    <mergeCell ref="A138:A141"/>
    <mergeCell ref="A144:A145"/>
    <mergeCell ref="A148:A152"/>
    <mergeCell ref="A155:A156"/>
    <mergeCell ref="A162:A170"/>
    <mergeCell ref="A173:A176"/>
    <mergeCell ref="A180:A181"/>
    <mergeCell ref="A188:A192"/>
    <mergeCell ref="A198:A201"/>
    <mergeCell ref="A204:A207"/>
    <mergeCell ref="A210:A214"/>
    <mergeCell ref="A217:A218"/>
    <mergeCell ref="A224:A227"/>
    <mergeCell ref="A230:A233"/>
    <mergeCell ref="A239:A245"/>
    <mergeCell ref="A248:A251"/>
    <mergeCell ref="A254:A255"/>
    <mergeCell ref="A262:A268"/>
    <mergeCell ref="A271:A274"/>
    <mergeCell ref="A278:A279"/>
    <mergeCell ref="A289:A293"/>
    <mergeCell ref="A296:A299"/>
    <mergeCell ref="A302:A305"/>
    <mergeCell ref="A308:A309"/>
    <mergeCell ref="A312:A316"/>
    <mergeCell ref="A319:A320"/>
    <mergeCell ref="A325:A329"/>
    <mergeCell ref="A332:A335"/>
    <mergeCell ref="A338:A341"/>
    <mergeCell ref="A344:A345"/>
    <mergeCell ref="A348:A352"/>
    <mergeCell ref="A355:A356"/>
    <mergeCell ref="A362:A366"/>
    <mergeCell ref="A369:A372"/>
    <mergeCell ref="A375:A378"/>
    <mergeCell ref="A381:A382"/>
    <mergeCell ref="A385:A389"/>
    <mergeCell ref="A392:A393"/>
    <mergeCell ref="A398:A402"/>
    <mergeCell ref="A405:A408"/>
    <mergeCell ref="A411:A414"/>
    <mergeCell ref="A417:A418"/>
    <mergeCell ref="A421:A425"/>
    <mergeCell ref="A428:A429"/>
    <mergeCell ref="A435:A444"/>
    <mergeCell ref="A447:A450"/>
    <mergeCell ref="A453:A456"/>
    <mergeCell ref="A459:A460"/>
    <mergeCell ref="A463:A467"/>
    <mergeCell ref="A470:A471"/>
    <mergeCell ref="A477:A482"/>
    <mergeCell ref="A485:A488"/>
    <mergeCell ref="A491:A494"/>
    <mergeCell ref="A497:A498"/>
    <mergeCell ref="A501:A505"/>
    <mergeCell ref="A508:A509"/>
    <mergeCell ref="A531:A538"/>
    <mergeCell ref="A541:A544"/>
    <mergeCell ref="A547:A550"/>
    <mergeCell ref="A553:A554"/>
    <mergeCell ref="A557:A559"/>
    <mergeCell ref="A562:A565"/>
    <mergeCell ref="A571:A575"/>
    <mergeCell ref="A578:A581"/>
    <mergeCell ref="A584:A587"/>
    <mergeCell ref="A590:A591"/>
    <mergeCell ref="A594:A595"/>
    <mergeCell ref="A598:A601"/>
    <mergeCell ref="A606:A608"/>
    <mergeCell ref="A611:A614"/>
    <mergeCell ref="A617:A620"/>
    <mergeCell ref="A623:A624"/>
    <mergeCell ref="A627:A628"/>
    <mergeCell ref="A631:A634"/>
    <mergeCell ref="A639:A643"/>
    <mergeCell ref="A646:A649"/>
    <mergeCell ref="A652:A655"/>
    <mergeCell ref="A658:A659"/>
    <mergeCell ref="A662:A663"/>
    <mergeCell ref="A666:A667"/>
    <mergeCell ref="A673:A679"/>
    <mergeCell ref="A682:A685"/>
    <mergeCell ref="A688:A691"/>
    <mergeCell ref="A694:A695"/>
    <mergeCell ref="A698:A699"/>
    <mergeCell ref="A702:A703"/>
    <mergeCell ref="A720:A725"/>
    <mergeCell ref="A728:A729"/>
    <mergeCell ref="A733:A739"/>
    <mergeCell ref="A742:A743"/>
    <mergeCell ref="A748:A753"/>
    <mergeCell ref="A756:A757"/>
    <mergeCell ref="A763:A768"/>
    <mergeCell ref="A771:A772"/>
    <mergeCell ref="A777:A780"/>
    <mergeCell ref="A783:A784"/>
    <mergeCell ref="A790:A793"/>
    <mergeCell ref="A796:A797"/>
    <mergeCell ref="A811:A817"/>
    <mergeCell ref="A820:A821"/>
    <mergeCell ref="A826:A833"/>
    <mergeCell ref="A836:A837"/>
    <mergeCell ref="A841:A848"/>
    <mergeCell ref="A851:A852"/>
    <mergeCell ref="A855:A857"/>
    <mergeCell ref="A860:A863"/>
    <mergeCell ref="A868:A870"/>
    <mergeCell ref="A873:A876"/>
    <mergeCell ref="A880:A884"/>
    <mergeCell ref="A888:A892"/>
    <mergeCell ref="A896:A900"/>
    <mergeCell ref="A905:A910"/>
    <mergeCell ref="A913:A914"/>
    <mergeCell ref="A919:A923"/>
    <mergeCell ref="A929:A936"/>
    <mergeCell ref="A939:A940"/>
    <mergeCell ref="A943:A946"/>
    <mergeCell ref="A952:A956"/>
    <mergeCell ref="A961:A965"/>
    <mergeCell ref="A971:A976"/>
    <mergeCell ref="A981:A986"/>
    <mergeCell ref="A991:A996"/>
    <mergeCell ref="A1018:A1019"/>
    <mergeCell ref="A1020:A1021"/>
    <mergeCell ref="A1024:A1025"/>
    <mergeCell ref="A1026:A1027"/>
    <mergeCell ref="A1032:A1033"/>
    <mergeCell ref="A1034:A1035"/>
    <mergeCell ref="A1038:A1039"/>
    <mergeCell ref="A1040:A1041"/>
    <mergeCell ref="A1049:A1050"/>
    <mergeCell ref="A1051:A1052"/>
    <mergeCell ref="A1055:A1056"/>
    <mergeCell ref="A1057:A1058"/>
    <mergeCell ref="A1062:A1063"/>
    <mergeCell ref="A1064:A1065"/>
    <mergeCell ref="A1068:A1069"/>
    <mergeCell ref="A1070:A1071"/>
    <mergeCell ref="A1079:A1086"/>
    <mergeCell ref="A1089:A1092"/>
    <mergeCell ref="A1095:A1098"/>
    <mergeCell ref="A1101:A1102"/>
    <mergeCell ref="A1105:A1106"/>
    <mergeCell ref="A1109:A1111"/>
    <mergeCell ref="A1118:A1129"/>
    <mergeCell ref="A1132:A1135"/>
    <mergeCell ref="A1138:A1141"/>
    <mergeCell ref="A1144:A1145"/>
    <mergeCell ref="A1148:A1152"/>
    <mergeCell ref="A1155:A1156"/>
    <mergeCell ref="A1163:A1175"/>
    <mergeCell ref="A1178:A1181"/>
    <mergeCell ref="A1184:A1187"/>
    <mergeCell ref="A1190:A1191"/>
    <mergeCell ref="A1194:A1198"/>
    <mergeCell ref="A1201:A1202"/>
    <mergeCell ref="A1209:A1221"/>
    <mergeCell ref="A1224:A1227"/>
    <mergeCell ref="A1230:A1233"/>
    <mergeCell ref="A1236:A1237"/>
    <mergeCell ref="A1240:A1244"/>
    <mergeCell ref="A1247:A1248"/>
    <mergeCell ref="A1255:A1260"/>
    <mergeCell ref="A1263:A1266"/>
    <mergeCell ref="A1269:A1272"/>
    <mergeCell ref="A1275:A1276"/>
    <mergeCell ref="A1279:A1283"/>
    <mergeCell ref="A1286:A1287"/>
    <mergeCell ref="A1296:A1300"/>
    <mergeCell ref="A1303:A1306"/>
    <mergeCell ref="A1309:A1312"/>
    <mergeCell ref="A1315:A1316"/>
    <mergeCell ref="A1319:A1323"/>
    <mergeCell ref="A1326:A1327"/>
    <mergeCell ref="A1334:A1339"/>
    <mergeCell ref="A1342:A1345"/>
    <mergeCell ref="A1348:A1351"/>
    <mergeCell ref="A1354:A1355"/>
    <mergeCell ref="A1358:A1362"/>
    <mergeCell ref="A1365:A1366"/>
    <mergeCell ref="A1373:A1375"/>
    <mergeCell ref="A1378:A1381"/>
    <mergeCell ref="A1384:A1387"/>
    <mergeCell ref="A1390:A1391"/>
    <mergeCell ref="A1394:A1398"/>
    <mergeCell ref="A1401:A1402"/>
    <mergeCell ref="A1409:A1411"/>
    <mergeCell ref="A1414:A1417"/>
    <mergeCell ref="A1420:A1423"/>
    <mergeCell ref="A1426:A1427"/>
    <mergeCell ref="A1430:A1434"/>
    <mergeCell ref="A1437:A1438"/>
    <mergeCell ref="A1445:A1447"/>
    <mergeCell ref="A1450:A1453"/>
    <mergeCell ref="A1456:A1459"/>
    <mergeCell ref="A1462:A1463"/>
    <mergeCell ref="A1466:A1470"/>
    <mergeCell ref="A1473:A1474"/>
    <mergeCell ref="A1481:A1487"/>
    <mergeCell ref="A1490:A1493"/>
    <mergeCell ref="A1496:A1499"/>
    <mergeCell ref="A1502:A1503"/>
    <mergeCell ref="A1506:A1510"/>
    <mergeCell ref="A1513:A1514"/>
    <mergeCell ref="A1535:A1539"/>
    <mergeCell ref="A1542:A1544"/>
    <mergeCell ref="A1547:A1551"/>
    <mergeCell ref="A1554:A1555"/>
    <mergeCell ref="A1558:A1559"/>
    <mergeCell ref="A1563:A1567"/>
    <mergeCell ref="A1570:A1574"/>
    <mergeCell ref="A1577:A1581"/>
    <mergeCell ref="A1584:A1585"/>
    <mergeCell ref="A1588:A1589"/>
    <mergeCell ref="A1596:A1605"/>
    <mergeCell ref="A1608:A1611"/>
    <mergeCell ref="A1614:A1617"/>
    <mergeCell ref="A1620:A1621"/>
    <mergeCell ref="A1624:A1628"/>
    <mergeCell ref="A1631:A1632"/>
    <mergeCell ref="A1639:A1651"/>
    <mergeCell ref="A1654:A1657"/>
    <mergeCell ref="A1660:A1663"/>
    <mergeCell ref="A1666:A1667"/>
    <mergeCell ref="A1670:A1674"/>
    <mergeCell ref="A1677:A1678"/>
    <mergeCell ref="A1686:A1699"/>
    <mergeCell ref="A1702:A1705"/>
    <mergeCell ref="A1708:A1717"/>
    <mergeCell ref="A1720:A1721"/>
    <mergeCell ref="A1724:A1729"/>
    <mergeCell ref="A1732:A1733"/>
    <mergeCell ref="A1741:A1752"/>
    <mergeCell ref="A1755:A1758"/>
    <mergeCell ref="A1761:A1764"/>
    <mergeCell ref="A1767:A1768"/>
    <mergeCell ref="A1771:A1774"/>
    <mergeCell ref="A1777:A1778"/>
    <mergeCell ref="A1786:A1793"/>
    <mergeCell ref="A1796:A1797"/>
    <mergeCell ref="A1804:A1806"/>
    <mergeCell ref="A1809:A1811"/>
    <mergeCell ref="A1819:A1824"/>
    <mergeCell ref="A1827:A1828"/>
    <mergeCell ref="A1831:A1832"/>
    <mergeCell ref="A1835:A1836"/>
    <mergeCell ref="A1840:A1846"/>
    <mergeCell ref="A1849:A1850"/>
    <mergeCell ref="A1853:A1854"/>
    <mergeCell ref="A1857:A1858"/>
    <mergeCell ref="A1863:A1869"/>
    <mergeCell ref="A1872:A1873"/>
    <mergeCell ref="A1876:A1877"/>
    <mergeCell ref="A1880:A1881"/>
    <mergeCell ref="A1885:A1891"/>
    <mergeCell ref="A1894:A1895"/>
    <mergeCell ref="A1898:A1899"/>
    <mergeCell ref="A1902:A1903"/>
    <mergeCell ref="A1907:A1914"/>
    <mergeCell ref="A1917:A1918"/>
    <mergeCell ref="A1921:A1922"/>
    <mergeCell ref="A1925:A1926"/>
    <mergeCell ref="A1931:A1933"/>
    <mergeCell ref="A1936:A1937"/>
    <mergeCell ref="A1946:A1952"/>
    <mergeCell ref="A1955:A1956"/>
    <mergeCell ref="A1959:A1965"/>
    <mergeCell ref="A1968:A1969"/>
    <mergeCell ref="A1974:A1981"/>
    <mergeCell ref="A1984:A1985"/>
    <mergeCell ref="A1989:A1996"/>
    <mergeCell ref="A1999:A2000"/>
    <mergeCell ref="A2006:A2012"/>
    <mergeCell ref="A2015:A2016"/>
    <mergeCell ref="A2021:A2027"/>
    <mergeCell ref="A2030:A2031"/>
    <mergeCell ref="A2041:A2043"/>
    <mergeCell ref="A2046:A2049"/>
    <mergeCell ref="A2054:A2056"/>
    <mergeCell ref="A2059:A2062"/>
    <mergeCell ref="A2066:A2070"/>
    <mergeCell ref="A2074:A2078"/>
    <mergeCell ref="A2157:A2162"/>
    <mergeCell ref="A2167:A2172"/>
    <mergeCell ref="A2177:A2182"/>
    <mergeCell ref="A2082:A2086"/>
    <mergeCell ref="A2091:A2096"/>
    <mergeCell ref="A2099:A2100"/>
    <mergeCell ref="A2105:A2109"/>
    <mergeCell ref="A2115:A2122"/>
    <mergeCell ref="A2125:A2126"/>
    <mergeCell ref="A2129:A2132"/>
    <mergeCell ref="A2138:A2142"/>
    <mergeCell ref="A2147:A2151"/>
  </mergeCells>
  <phoneticPr fontId="27" type="noConversion"/>
  <pageMargins left="0.74803149606299213" right="0.39370078740157483" top="0.98425196850393704" bottom="0.98425196850393704" header="0" footer="0"/>
  <pageSetup paperSize="9" scale="85" orientation="landscape" horizontalDpi="300" verticalDpi="300"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0000000}">
          <x14:formula1>
            <xm:f>seccion.</xm:f>
          </x14:formula1>
          <xm:sqref>G7 G39:G43 G45:G47 VSC50:VSC51 WBY50:WBY51 WVQ50:WVQ51 WLU50:WLU51 JE50:JE51 TA50:TA51 ACW50:ACW51 AMS50:AMS51 AWO50:AWO51 BGK50:BGK51 BQG50:BQG51 CAC50:CAC51 CJY50:CJY51 CTU50:CTU51 DDQ50:DDQ51 DNM50:DNM51 DXI50:DXI51 EHE50:EHE51 ERA50:ERA51 FAW50:FAW51 FKS50:FKS51 FUO50:FUO51 GEK50:GEK51 GOG50:GOG51 GYC50:GYC51 HHY50:HHY51 HRU50:HRU51 IBQ50:IBQ51 ILM50:ILM51 IVI50:IVI51 JFE50:JFE51 JPA50:JPA51 JYW50:JYW51 KIS50:KIS51 KSO50:KSO51 LCK50:LCK51 LMG50:LMG51 LWC50:LWC51 MFY50:MFY51 MPU50:MPU51 MZQ50:MZQ51 NJM50:NJM51 NTI50:NTI51 ODE50:ODE51 ONA50:ONA51 OWW50:OWW51 PGS50:PGS51 PQO50:PQO51 QAK50:QAK51 QKG50:QKG51 QUC50:QUC51 RDY50:RDY51 RNU50:RNU51 RXQ50:RXQ51 SHM50:SHM51 SRI50:SRI51 TBE50:TBE51 TLA50:TLA51 TUW50:TUW51 UES50:UES51 UOO50:UOO51 UYK50:UYK51 G49:G54 VIG50:VIG51 VSC53 WBY53 WVQ53 WLU53 JE53 TA53 ACW53 AMS53 AWO53 BGK53 BQG53 CAC53 CJY53 CTU53 DDQ53 DNM53 DXI53 EHE53 ERA53 FAW53 FKS53 FUO53 GEK53 GOG53 GYC53 HHY53 HRU53 IBQ53 ILM53 IVI53 JFE53 JPA53 JYW53 KIS53 KSO53 LCK53 LMG53 LWC53 MFY53 MPU53 MZQ53 NJM53 NTI53 ODE53 ONA53 OWW53 PGS53 PQO53 QAK53 QKG53 QUC53 RDY53 RNU53 RXQ53 SHM53 SRI53 TBE53 TLA53 TUW53 UES53 UOO53 UYK53 VIG53 VIG12:VIG18 G77:G85 WVQ855:WVQ857 WLU855:WLU857 JE855:JE857 TA855:TA857 ACW855:ACW857 AMS855:AMS857 AWO855:AWO857 BGK855:BGK857 BQG855:BQG857 CAC855:CAC857 CJY855:CJY857 CTU855:CTU857 DDQ855:DDQ857 DNM855:DNM857 DXI855:DXI857 EHE855:EHE857 ERA855:ERA857 FAW855:FAW857 FKS855:FKS857 FUO855:FUO857 GEK855:GEK857 GOG855:GOG857 GYC855:GYC857 HHY855:HHY857 HRU855:HRU857 IBQ855:IBQ857 ILM855:ILM857 IVI855:IVI857 JFE855:JFE857 JPA855:JPA857 JYW855:JYW857 KIS855:KIS857 KSO855:KSO857 LCK855:LCK857 LMG855:LMG857 LWC855:LWC857 MFY855:MFY857 MPU855:MPU857 MZQ855:MZQ857 NJM855:NJM857 NTI855:NTI857 ODE855:ODE857 ONA855:ONA857 OWW855:OWW857 PGS855:PGS857 PQO855:PQO857 QAK855:QAK857 QKG855:QKG857 QUC855:QUC857 RDY855:RDY857 RNU855:RNU857 RXQ855:RXQ857 SHM855:SHM857 SRI855:SRI857 TBE855:TBE857 TLA855:TLA857 TUW855:TUW857 UES855:UES857 UOO855:UOO857 UYK855:UYK857 VIG855:VIG857 VSC855:VSC857 WBY855:WBY857 G855:G857 G860:G866 WVQ868:WVQ870 WLU868:WLU870 JE868:JE870 TA868:TA870 ACW868:ACW870 AMS868:AMS870 AWO868:AWO870 BGK868:BGK870 BQG868:BQG870 CAC868:CAC870 CJY868:CJY870 CTU868:CTU870 DDQ868:DDQ870 DNM868:DNM870 DXI868:DXI870 EHE868:EHE870 ERA868:ERA870 FAW868:FAW870 FKS868:FKS870 FUO868:FUO870 GEK868:GEK870 GOG868:GOG870 GYC868:GYC870 HHY868:HHY870 HRU868:HRU870 IBQ868:IBQ870 ILM868:ILM870 IVI868:IVI870 JFE868:JFE870 JPA868:JPA870 JYW868:JYW870 KIS868:KIS870 KSO868:KSO870 LCK868:LCK870 LMG868:LMG870 LWC868:LWC870 MFY868:MFY870 MPU868:MPU870 MZQ868:MZQ870 NJM868:NJM870 NTI868:NTI870 ODE868:ODE870 ONA868:ONA870 OWW868:OWW870 PGS868:PGS870 PQO868:PQO870 QAK868:QAK870 QKG868:QKG870 QUC868:QUC870 RDY868:RDY870 RNU868:RNU870 RXQ868:RXQ870 SHM868:SHM870 SRI868:SRI870 TBE868:TBE870 TLA868:TLA870 TUW868:TUW870 UES868:UES870 UOO868:UOO870 UYK868:UYK870 VIG868:VIG870 VSC868:VSC870 WBY868:WBY870 G868:G870 G873:G877 WVQ880:WVQ884 WBY880:WBY884 VSC880:VSC884 VIG880:VIG884 UYK880:UYK884 UOO880:UOO884 UES880:UES884 TUW880:TUW884 TLA880:TLA884 TBE880:TBE884 SRI880:SRI884 SHM880:SHM884 RXQ880:RXQ884 RNU880:RNU884 RDY880:RDY884 QUC880:QUC884 QKG880:QKG884 QAK880:QAK884 PQO880:PQO884 PGS880:PGS884 OWW880:OWW884 ONA880:ONA884 ODE880:ODE884 NTI880:NTI884 NJM880:NJM884 MZQ880:MZQ884 MPU880:MPU884 MFY880:MFY884 LWC880:LWC884 LMG880:LMG884 LCK880:LCK884 KSO880:KSO884 KIS880:KIS884 JYW880:JYW884 JPA880:JPA884 JFE880:JFE884 IVI880:IVI884 ILM880:ILM884 IBQ880:IBQ884 HRU880:HRU884 HHY880:HHY884 GYC880:GYC884 GOG880:GOG884 GEK880:GEK884 FUO880:FUO884 FKS880:FKS884 FAW880:FAW884 ERA880:ERA884 EHE880:EHE884 DXI880:DXI884 DNM880:DNM884 DDQ880:DDQ884 CTU880:CTU884 CJY880:CJY884 CAC880:CAC884 BQG880:BQG884 BGK880:BGK884 AWO880:AWO884 AMS880:AMS884 ACW880:ACW884 TA880:TA884 JE880:JE884 WLU880:WLU884 G880:G884 WVQ888:WVQ892 WBY888:WBY892 VSC888:VSC892 VIG888:VIG892 UYK888:UYK892 UOO888:UOO892 UES888:UES892 TUW888:TUW892 TLA888:TLA892 TBE888:TBE892 SRI888:SRI892 SHM888:SHM892 RXQ888:RXQ892 RNU888:RNU892 RDY888:RDY892 QUC888:QUC892 QKG888:QKG892 QAK888:QAK892 PQO888:PQO892 PGS888:PGS892 OWW888:OWW892 ONA888:ONA892 ODE888:ODE892 NTI888:NTI892 NJM888:NJM892 MZQ888:MZQ892 MPU888:MPU892 MFY888:MFY892 LWC888:LWC892 LMG888:LMG892 LCK888:LCK892 KSO888:KSO892 KIS888:KIS892 JYW888:JYW892 JPA888:JPA892 JFE888:JFE892 IVI888:IVI892 ILM888:ILM892 IBQ888:IBQ892 HRU888:HRU892 HHY888:HHY892 GYC888:GYC892 GOG888:GOG892 GEK888:GEK892 FUO888:FUO892 FKS888:FKS892 FAW888:FAW892 ERA888:ERA892 EHE888:EHE892 DXI888:DXI892 DNM888:DNM892 DDQ888:DDQ892 CTU888:CTU892 CJY888:CJY892 CAC888:CAC892 BQG888:BQG892 BGK888:BGK892 AWO888:AWO892 AMS888:AMS892 ACW888:ACW892 TA888:TA892 JE888:JE892 WLU888:WLU892 G888:G892 WVQ896:WVQ900 WBY896:WBY900 VSC896:VSC900 VIG896:VIG900 UYK896:UYK900 UOO896:UOO900 UES896:UES900 TUW896:TUW900 TLA896:TLA900 TBE896:TBE900 SRI896:SRI900 SHM896:SHM900 RXQ896:RXQ900 RNU896:RNU900 RDY896:RDY900 QUC896:QUC900 QKG896:QKG900 QAK896:QAK900 PQO896:PQO900 PGS896:PGS900 OWW896:OWW900 ONA896:ONA900 ODE896:ODE900 NTI896:NTI900 NJM896:NJM900 MZQ896:MZQ900 MPU896:MPU900 MFY896:MFY900 LWC896:LWC900 LMG896:LMG900 LCK896:LCK900 KSO896:KSO900 KIS896:KIS900 JYW896:JYW900 JPA896:JPA900 JFE896:JFE900 IVI896:IVI900 ILM896:ILM900 IBQ896:IBQ900 HRU896:HRU900 HHY896:HHY900 GYC896:GYC900 GOG896:GOG900 GEK896:GEK900 FUO896:FUO900 FKS896:FKS900 FAW896:FAW900 ERA896:ERA900 EHE896:EHE900 DXI896:DXI900 DNM896:DNM900 DDQ896:DDQ900 CTU896:CTU900 CJY896:CJY900 CAC896:CAC900 BQG896:BQG900 BGK896:BGK900 AWO896:AWO900 AMS896:AMS900 ACW896:ACW900 TA896:TA900 JE896:JE900 WLU896:WLU900 G896:G900 WVQ905:WVQ910 G905:G910 WLU905:WLU910 JE905:JE910 TA905:TA910 ACW905:ACW910 AMS905:AMS910 AWO905:AWO910 BGK905:BGK910 BQG905:BQG910 CAC905:CAC910 CJY905:CJY910 CTU905:CTU910 DDQ905:DDQ910 DNM905:DNM910 DXI905:DXI910 EHE905:EHE910 ERA905:ERA910 FAW905:FAW910 FKS905:FKS910 FUO905:FUO910 GEK905:GEK910 GOG905:GOG910 GYC905:GYC910 HHY905:HHY910 HRU905:HRU910 IBQ905:IBQ910 ILM905:ILM910 IVI905:IVI910 JFE905:JFE910 JPA905:JPA910 JYW905:JYW910 KIS905:KIS910 KSO905:KSO910 LCK905:LCK910 LMG905:LMG910 LWC905:LWC910 MFY905:MFY910 MPU905:MPU910 MZQ905:MZQ910 NJM905:NJM910 NTI905:NTI910 ODE905:ODE910 ONA905:ONA910 OWW905:OWW910 PGS905:PGS910 PQO905:PQO910 QAK905:QAK910 QKG905:QKG910 QUC905:QUC910 RDY905:RDY910 RNU905:RNU910 RXQ905:RXQ910 SHM905:SHM910 SRI905:SRI910 TBE905:TBE910 TLA905:TLA910 TUW905:TUW910 UES905:UES910 UOO905:UOO910 UYK905:UYK910 VIG905:VIG910 VSC905:VSC910 WBY905:WBY910 G913:G915 WVQ919:WVQ923 WBY919:WBY923 VSC919:VSC923 VIG919:VIG923 UYK919:UYK923 UOO919:UOO923 UES919:UES923 TUW919:TUW923 TLA919:TLA923 TBE919:TBE923 SRI919:SRI923 SHM919:SHM923 RXQ919:RXQ923 RNU919:RNU923 RDY919:RDY923 QUC919:QUC923 QKG919:QKG923 QAK919:QAK923 PQO919:PQO923 PGS919:PGS923 OWW919:OWW923 ONA919:ONA923 ODE919:ODE923 NTI919:NTI923 NJM919:NJM923 MZQ919:MZQ923 MPU919:MPU923 MFY919:MFY923 LWC919:LWC923 LMG919:LMG923 LCK919:LCK923 KSO919:KSO923 KIS919:KIS923 JYW919:JYW923 JPA919:JPA923 JFE919:JFE923 IVI919:IVI923 ILM919:ILM923 IBQ919:IBQ923 HRU919:HRU923 HHY919:HHY923 GYC919:GYC923 GOG919:GOG923 GEK919:GEK923 FUO919:FUO923 FKS919:FKS923 FAW919:FAW923 ERA919:ERA923 EHE919:EHE923 DXI919:DXI923 DNM919:DNM923 DDQ919:DDQ923 CTU919:CTU923 CJY919:CJY923 CAC919:CAC923 BQG919:BQG923 BGK919:BGK923 AWO919:AWO923 AMS919:AMS923 ACW919:ACW923 TA919:TA923 JE919:JE923 WLU919:WLU923 G919:G923 G939:G947 WVQ952:WVQ956 WBY952:WBY956 VSC952:VSC956 VIG952:VIG956 UYK952:UYK956 UOO952:UOO956 UES952:UES956 TUW952:TUW956 TLA952:TLA956 TBE952:TBE956 SRI952:SRI956 SHM952:SHM956 RXQ952:RXQ956 RNU952:RNU956 RDY952:RDY956 QUC952:QUC956 QKG952:QKG956 QAK952:QAK956 PQO952:PQO956 PGS952:PGS956 OWW952:OWW956 ONA952:ONA956 ODE952:ODE956 NTI952:NTI956 NJM952:NJM956 MZQ952:MZQ956 MPU952:MPU956 MFY952:MFY956 LWC952:LWC956 LMG952:LMG956 LCK952:LCK956 KSO952:KSO956 KIS952:KIS956 JYW952:JYW956 JPA952:JPA956 JFE952:JFE956 IVI952:IVI956 ILM952:ILM956 IBQ952:IBQ956 HRU952:HRU956 HHY952:HHY956 GYC952:GYC956 GOG952:GOG956 GEK952:GEK956 FUO952:FUO956 FKS952:FKS956 FAW952:FAW956 ERA952:ERA956 EHE952:EHE956 DXI952:DXI956 DNM952:DNM956 DDQ952:DDQ956 CTU952:CTU956 CJY952:CJY956 CAC952:CAC956 BQG952:BQG956 BGK952:BGK956 AWO952:AWO956 AMS952:AMS956 ACW952:ACW956 TA952:TA956 JE952:JE956 WLU952:WLU956 G952:G956 WVQ961:WVQ965 WBY961:WBY965 VSC961:VSC965 VIG961:VIG965 UYK961:UYK965 UOO961:UOO965 UES961:UES965 TUW961:TUW965 TLA961:TLA965 TBE961:TBE965 SRI961:SRI965 SHM961:SHM965 RXQ961:RXQ965 RNU961:RNU965 RDY961:RDY965 QUC961:QUC965 QKG961:QKG965 QAK961:QAK965 PQO961:PQO965 PGS961:PGS965 OWW961:OWW965 ONA961:ONA965 ODE961:ODE965 NTI961:NTI965 NJM961:NJM965 MZQ961:MZQ965 MPU961:MPU965 MFY961:MFY965 LWC961:LWC965 LMG961:LMG965 LCK961:LCK965 KSO961:KSO965 KIS961:KIS965 JYW961:JYW965 JPA961:JPA965 JFE961:JFE965 IVI961:IVI965 ILM961:ILM965 IBQ961:IBQ965 HRU961:HRU965 HHY961:HHY965 GYC961:GYC965 GOG961:GOG965 GEK961:GEK965 FUO961:FUO965 FKS961:FKS965 FAW961:FAW965 ERA961:ERA965 EHE961:EHE965 DXI961:DXI965 DNM961:DNM965 DDQ961:DDQ965 CTU961:CTU965 CJY961:CJY965 CAC961:CAC965 BQG961:BQG965 BGK961:BGK965 AWO961:AWO965 AMS961:AMS965 ACW961:ACW965 TA961:TA965 JE961:JE965 WLU961:WLU965 G961:G965 G981:G986 G929:G936 WBY929:WBY936 VSC929:VSC936 VIG929:VIG936 UYK929:UYK936 UOO929:UOO936 UES929:UES936 TUW929:TUW936 TLA929:TLA936 TBE929:TBE936 SRI929:SRI936 SHM929:SHM936 RXQ929:RXQ936 RNU929:RNU936 RDY929:RDY936 QUC929:QUC936 QKG929:QKG936 QAK929:QAK936 PQO929:PQO936 PGS929:PGS936 OWW929:OWW936 ONA929:ONA936 ODE929:ODE936 NTI929:NTI936 NJM929:NJM936 MZQ929:MZQ936 MPU929:MPU936 MFY929:MFY936 LWC929:LWC936 LMG929:LMG936 LCK929:LCK936 KSO929:KSO936 KIS929:KIS936 JYW929:JYW936 JPA929:JPA936 JFE929:JFE936 IVI929:IVI936 ILM929:ILM936 IBQ929:IBQ936 HRU929:HRU936 HHY929:HHY936 GYC929:GYC936 GOG929:GOG936 GEK929:GEK936 FUO929:FUO936 FKS929:FKS936 FAW929:FAW936 ERA929:ERA936 EHE929:EHE936 DXI929:DXI936 DNM929:DNM936 DDQ929:DDQ936 CTU929:CTU936 CJY929:CJY936 CAC929:CAC936 BQG929:BQG936 BGK929:BGK936 AWO929:AWO936 AMS929:AMS936 ACW929:ACW936 TA929:TA936 JE929:JE936 WLU929:WLU936 WVQ929:WVQ936 WVQ981:WVQ986 WLU981:WLU986 JE981:JE986 TA981:TA986 ACW981:ACW986 AMS981:AMS986 AWO981:AWO986 BGK981:BGK986 BQG981:BQG986 CAC981:CAC986 CJY981:CJY986 CTU981:CTU986 DDQ981:DDQ986 DNM981:DNM986 DXI981:DXI986 EHE981:EHE986 ERA981:ERA986 FAW981:FAW986 FKS981:FKS986 FUO981:FUO986 GEK981:GEK986 GOG981:GOG986 GYC981:GYC986 HHY981:HHY986 HRU981:HRU986 IBQ981:IBQ986 ILM981:ILM986 IVI981:IVI986 JFE981:JFE986 JPA981:JPA986 JYW981:JYW986 KIS981:KIS986 KSO981:KSO986 LCK981:LCK986 LMG981:LMG986 LWC981:LWC986 MFY981:MFY986 MPU981:MPU986 MZQ981:MZQ986 NJM981:NJM986 NTI981:NTI986 ODE981:ODE986 ONA981:ONA986 OWW981:OWW986 PGS981:PGS986 PQO981:PQO986 QAK981:QAK986 QKG981:QKG986 QUC981:QUC986 RDY981:RDY986 RNU981:RNU986 RXQ981:RXQ986 SHM981:SHM986 SRI981:SRI986 TBE981:TBE986 TLA981:TLA986 TUW981:TUW986 UES981:UES986 UOO981:UOO986 UYK981:UYK986 VIG981:VIG986 VSC981:VSC986 WBY981:WBY986 WVQ970:WVQ976 WBY970:WBY976 VSC970:VSC976 VIG970:VIG976 UYK970:UYK976 UOO970:UOO976 UES970:UES976 TUW970:TUW976 TLA970:TLA976 TBE970:TBE976 SRI970:SRI976 SHM970:SHM976 RXQ970:RXQ976 RNU970:RNU976 RDY970:RDY976 QUC970:QUC976 QKG970:QKG976 QAK970:QAK976 PQO970:PQO976 PGS970:PGS976 OWW970:OWW976 ONA970:ONA976 ODE970:ODE976 NTI970:NTI976 NJM970:NJM976 MZQ970:MZQ976 MPU970:MPU976 MFY970:MFY976 LWC970:LWC976 LMG970:LMG976 LCK970:LCK976 KSO970:KSO976 KIS970:KIS976 JYW970:JYW976 JPA970:JPA976 JFE970:JFE976 IVI970:IVI976 ILM970:ILM976 IBQ970:IBQ976 HRU970:HRU976 HHY970:HHY976 GYC970:GYC976 GOG970:GOG976 GEK970:GEK976 FUO970:FUO976 FKS970:FKS976 FAW970:FAW976 ERA970:ERA976 EHE970:EHE976 DXI970:DXI976 DNM970:DNM976 DDQ970:DDQ976 CTU970:CTU976 CJY970:CJY976 CAC970:CAC976 BQG970:BQG976 BGK970:BGK976 AWO970:AWO976 AMS970:AMS976 ACW970:ACW976 TA970:TA976 JE970:JE976 WLU970:WLU976 G970:G976 WVQ990:WVQ996 WBY990:WBY996 VSC990:VSC996 VIG990:VIG996 UYK990:UYK996 UOO990:UOO996 UES990:UES996 TUW990:TUW996 TLA990:TLA996 TBE990:TBE996 SRI990:SRI996 SHM990:SHM996 RXQ990:RXQ996 RNU990:RNU996 RDY990:RDY996 QUC990:QUC996 QKG990:QKG996 QAK990:QAK996 PQO990:PQO996 PGS990:PGS996 OWW990:OWW996 ONA990:ONA996 ODE990:ODE996 NTI990:NTI996 NJM990:NJM996 MZQ990:MZQ996 MPU990:MPU996 MFY990:MFY996 LWC990:LWC996 LMG990:LMG996 LCK990:LCK996 KSO990:KSO996 KIS990:KIS996 JYW990:JYW996 JPA990:JPA996 JFE990:JFE996 IVI990:IVI996 ILM990:ILM996 IBQ990:IBQ996 HRU990:HRU996 HHY990:HHY996 GYC990:GYC996 GOG990:GOG996 GEK990:GEK996 FUO990:FUO996 FKS990:FKS996 FAW990:FAW996 ERA990:ERA996 EHE990:EHE996 DXI990:DXI996 DNM990:DNM996 DDQ990:DDQ996 CTU990:CTU996 CJY990:CJY996 CAC990:CAC996 BQG990:BQG996 BGK990:BGK996 AWO990:AWO996 AMS990:AMS996 ACW990:ACW996 TA990:TA996 JE990:JE996 WLU990:WLU996 G990:G996 WBY811:WBY817 WVQ811:WVQ817 WLU811:WLU817 JE811:JE817 TA811:TA817 ACW811:ACW817 AMS811:AMS817 AWO811:AWO817 BGK811:BGK817 BQG811:BQG817 CAC811:CAC817 CJY811:CJY817 CTU811:CTU817 DDQ811:DDQ817 DNM811:DNM817 DXI811:DXI817 EHE811:EHE817 ERA811:ERA817 FAW811:FAW817 FKS811:FKS817 FUO811:FUO817 GEK811:GEK817 GOG811:GOG817 GYC811:GYC817 HHY811:HHY817 HRU811:HRU817 IBQ811:IBQ817 ILM811:ILM817 IVI811:IVI817 JFE811:JFE817 JPA811:JPA817 JYW811:JYW817 KIS811:KIS817 KSO811:KSO817 LCK811:LCK817 LMG811:LMG817 LWC811:LWC817 MFY811:MFY817 MPU811:MPU817 MZQ811:MZQ817 NJM811:NJM817 NTI811:NTI817 ODE811:ODE817 ONA811:ONA817 OWW811:OWW817 PGS811:PGS817 PQO811:PQO817 QAK811:QAK817 QKG811:QKG817 QUC811:QUC817 RDY811:RDY817 RNU811:RNU817 RXQ811:RXQ817 SHM811:SHM817 SRI811:SRI817 TBE811:TBE817 TLA811:TLA817 TUW811:TUW817 UES811:UES817 UOO811:UOO817 UYK811:UYK817 VIG811:VIG817 VSC811:VSC817 G820:G833 VSC826:VSC833 VIG826:VIG833 UYK826:UYK833 UOO826:UOO833 UES826:UES833 TUW826:TUW833 TLA826:TLA833 TBE826:TBE833 SRI826:SRI833 SHM826:SHM833 RXQ826:RXQ833 RNU826:RNU833 RDY826:RDY833 QUC826:QUC833 QKG826:QKG833 QAK826:QAK833 PQO826:PQO833 PGS826:PGS833 OWW826:OWW833 ONA826:ONA833 ODE826:ODE833 NTI826:NTI833 NJM826:NJM833 MZQ826:MZQ833 MPU826:MPU833 MFY826:MFY833 LWC826:LWC833 LMG826:LMG833 LCK826:LCK833 KSO826:KSO833 KIS826:KIS833 JYW826:JYW833 JPA826:JPA833 JFE826:JFE833 IVI826:IVI833 ILM826:ILM833 IBQ826:IBQ833 HRU826:HRU833 HHY826:HHY833 GYC826:GYC833 GOG826:GOG833 GEK826:GEK833 FUO826:FUO833 FKS826:FKS833 FAW826:FAW833 ERA826:ERA833 EHE826:EHE833 DXI826:DXI833 DNM826:DNM833 DDQ826:DDQ833 CTU826:CTU833 CJY826:CJY833 CAC826:CAC833 BQG826:BQG833 BGK826:BGK833 AWO826:AWO833 AMS826:AMS833 ACW826:ACW833 TA826:TA833 JE826:JE833 WLU826:WLU833 WVQ826:WVQ833 WBY826:WBY833 G836:G848 WBY841:WBY848 VSC841:VSC848 VIG841:VIG848 UYK841:UYK848 UOO841:UOO848 UES841:UES848 TUW841:TUW848 TLA841:TLA848 TBE841:TBE848 SRI841:SRI848 SHM841:SHM848 RXQ841:RXQ848 RNU841:RNU848 RDY841:RDY848 QUC841:QUC848 QKG841:QKG848 QAK841:QAK848 PQO841:PQO848 PGS841:PGS848 OWW841:OWW848 ONA841:ONA848 ODE841:ODE848 NTI841:NTI848 NJM841:NJM848 MZQ841:MZQ848 MPU841:MPU848 MFY841:MFY848 LWC841:LWC848 LMG841:LMG848 LCK841:LCK848 KSO841:KSO848 KIS841:KIS848 JYW841:JYW848 JPA841:JPA848 JFE841:JFE848 IVI841:IVI848 ILM841:ILM848 IBQ841:IBQ848 HRU841:HRU848 HHY841:HHY848 GYC841:GYC848 GOG841:GOG848 GEK841:GEK848 FUO841:FUO848 FKS841:FKS848 FAW841:FAW848 ERA841:ERA848 EHE841:EHE848 DXI841:DXI848 DNM841:DNM848 DDQ841:DDQ848 CTU841:CTU848 CJY841:CJY848 CAC841:CAC848 BQG841:BQG848 BGK841:BGK848 AWO841:AWO848 AMS841:AMS848 ACW841:ACW848 TA841:TA848 JE841:JE848 WLU841:WLU848 WVQ841:WVQ848 G1068:G1071 VSC1018:VSC1021 VIG1018:VIG1021 UYK1018:UYK1021 UOO1018:UOO1021 UES1018:UES1021 TUW1018:TUW1021 TLA1018:TLA1021 TBE1018:TBE1021 SRI1018:SRI1021 SHM1018:SHM1021 RXQ1018:RXQ1021 RNU1018:RNU1021 RDY1018:RDY1021 QUC1018:QUC1021 QKG1018:QKG1021 QAK1018:QAK1021 PQO1018:PQO1021 PGS1018:PGS1021 OWW1018:OWW1021 ONA1018:ONA1021 ODE1018:ODE1021 NTI1018:NTI1021 NJM1018:NJM1021 MZQ1018:MZQ1021 MPU1018:MPU1021 MFY1018:MFY1021 LWC1018:LWC1021 LMG1018:LMG1021 LCK1018:LCK1021 KSO1018:KSO1021 KIS1018:KIS1021 JYW1018:JYW1021 JPA1018:JPA1021 JFE1018:JFE1021 IVI1018:IVI1021 ILM1018:ILM1021 IBQ1018:IBQ1021 HRU1018:HRU1021 HHY1018:HHY1021 GYC1018:GYC1021 GOG1018:GOG1021 GEK1018:GEK1021 FUO1018:FUO1021 FKS1018:FKS1021 FAW1018:FAW1021 ERA1018:ERA1021 EHE1018:EHE1021 DXI1018:DXI1021 DNM1018:DNM1021 DDQ1018:DDQ1021 CTU1018:CTU1021 CJY1018:CJY1021 CAC1018:CAC1021 BQG1018:BQG1021 BGK1018:BGK1021 AWO1018:AWO1021 AMS1018:AMS1021 ACW1018:ACW1021 TA1018:TA1021 JE1018:JE1021 WLU1018:WLU1021 WBY1018:WBY1021 WVQ1018:WVQ1021 G1018:G1021 VSC1024:VSC1027 VIG1024:VIG1027 UYK1024:UYK1027 UOO1024:UOO1027 UES1024:UES1027 TUW1024:TUW1027 TLA1024:TLA1027 TBE1024:TBE1027 SRI1024:SRI1027 SHM1024:SHM1027 RXQ1024:RXQ1027 RNU1024:RNU1027 RDY1024:RDY1027 QUC1024:QUC1027 QKG1024:QKG1027 QAK1024:QAK1027 PQO1024:PQO1027 PGS1024:PGS1027 OWW1024:OWW1027 ONA1024:ONA1027 ODE1024:ODE1027 NTI1024:NTI1027 NJM1024:NJM1027 MZQ1024:MZQ1027 MPU1024:MPU1027 MFY1024:MFY1027 LWC1024:LWC1027 LMG1024:LMG1027 LCK1024:LCK1027 KSO1024:KSO1027 KIS1024:KIS1027 JYW1024:JYW1027 JPA1024:JPA1027 JFE1024:JFE1027 IVI1024:IVI1027 ILM1024:ILM1027 IBQ1024:IBQ1027 HRU1024:HRU1027 HHY1024:HHY1027 GYC1024:GYC1027 GOG1024:GOG1027 GEK1024:GEK1027 FUO1024:FUO1027 FKS1024:FKS1027 FAW1024:FAW1027 ERA1024:ERA1027 EHE1024:EHE1027 DXI1024:DXI1027 DNM1024:DNM1027 DDQ1024:DDQ1027 CTU1024:CTU1027 CJY1024:CJY1027 CAC1024:CAC1027 BQG1024:BQG1027 BGK1024:BGK1027 AWO1024:AWO1027 AMS1024:AMS1027 ACW1024:ACW1027 TA1024:TA1027 JE1024:JE1027 WLU1024:WLU1027 WBY1024:WBY1027 WVQ1024:WVQ1027 G1024:G1027 VSC1032:VSC1035 VIG1032:VIG1035 UYK1032:UYK1035 UOO1032:UOO1035 UES1032:UES1035 TUW1032:TUW1035 TLA1032:TLA1035 TBE1032:TBE1035 SRI1032:SRI1035 SHM1032:SHM1035 RXQ1032:RXQ1035 RNU1032:RNU1035 RDY1032:RDY1035 QUC1032:QUC1035 QKG1032:QKG1035 QAK1032:QAK1035 PQO1032:PQO1035 PGS1032:PGS1035 OWW1032:OWW1035 ONA1032:ONA1035 ODE1032:ODE1035 NTI1032:NTI1035 NJM1032:NJM1035 MZQ1032:MZQ1035 MPU1032:MPU1035 MFY1032:MFY1035 LWC1032:LWC1035 LMG1032:LMG1035 LCK1032:LCK1035 KSO1032:KSO1035 KIS1032:KIS1035 JYW1032:JYW1035 JPA1032:JPA1035 JFE1032:JFE1035 IVI1032:IVI1035 ILM1032:ILM1035 IBQ1032:IBQ1035 HRU1032:HRU1035 HHY1032:HHY1035 GYC1032:GYC1035 GOG1032:GOG1035 GEK1032:GEK1035 FUO1032:FUO1035 FKS1032:FKS1035 FAW1032:FAW1035 ERA1032:ERA1035 EHE1032:EHE1035 DXI1032:DXI1035 DNM1032:DNM1035 DDQ1032:DDQ1035 CTU1032:CTU1035 CJY1032:CJY1035 CAC1032:CAC1035 BQG1032:BQG1035 BGK1032:BGK1035 AWO1032:AWO1035 AMS1032:AMS1035 ACW1032:ACW1035 TA1032:TA1035 JE1032:JE1035 WLU1032:WLU1035 WBY1032:WBY1035 WVQ1032:WVQ1035 G1032:G1035 VSC1038:VSC1041 VIG1038:VIG1041 UYK1038:UYK1041 UOO1038:UOO1041 UES1038:UES1041 TUW1038:TUW1041 TLA1038:TLA1041 TBE1038:TBE1041 SRI1038:SRI1041 SHM1038:SHM1041 RXQ1038:RXQ1041 RNU1038:RNU1041 RDY1038:RDY1041 QUC1038:QUC1041 QKG1038:QKG1041 QAK1038:QAK1041 PQO1038:PQO1041 PGS1038:PGS1041 OWW1038:OWW1041 ONA1038:ONA1041 ODE1038:ODE1041 NTI1038:NTI1041 NJM1038:NJM1041 MZQ1038:MZQ1041 MPU1038:MPU1041 MFY1038:MFY1041 LWC1038:LWC1041 LMG1038:LMG1041 LCK1038:LCK1041 KSO1038:KSO1041 KIS1038:KIS1041 JYW1038:JYW1041 JPA1038:JPA1041 JFE1038:JFE1041 IVI1038:IVI1041 ILM1038:ILM1041 IBQ1038:IBQ1041 HRU1038:HRU1041 HHY1038:HHY1041 GYC1038:GYC1041 GOG1038:GOG1041 GEK1038:GEK1041 FUO1038:FUO1041 FKS1038:FKS1041 FAW1038:FAW1041 ERA1038:ERA1041 EHE1038:EHE1041 DXI1038:DXI1041 DNM1038:DNM1041 DDQ1038:DDQ1041 CTU1038:CTU1041 CJY1038:CJY1041 CAC1038:CAC1041 BQG1038:BQG1041 BGK1038:BGK1041 AWO1038:AWO1041 AMS1038:AMS1041 ACW1038:ACW1041 TA1038:TA1041 JE1038:JE1041 WLU1038:WLU1041 WBY1038:WBY1041 WVQ1038:WVQ1041 G1038:G1041 VSC1049:VSC1052 VIG1049:VIG1052 UYK1049:UYK1052 UOO1049:UOO1052 UES1049:UES1052 TUW1049:TUW1052 TLA1049:TLA1052 TBE1049:TBE1052 SRI1049:SRI1052 SHM1049:SHM1052 RXQ1049:RXQ1052 RNU1049:RNU1052 RDY1049:RDY1052 QUC1049:QUC1052 QKG1049:QKG1052 QAK1049:QAK1052 PQO1049:PQO1052 PGS1049:PGS1052 OWW1049:OWW1052 ONA1049:ONA1052 ODE1049:ODE1052 NTI1049:NTI1052 NJM1049:NJM1052 MZQ1049:MZQ1052 MPU1049:MPU1052 MFY1049:MFY1052 LWC1049:LWC1052 LMG1049:LMG1052 LCK1049:LCK1052 KSO1049:KSO1052 KIS1049:KIS1052 JYW1049:JYW1052 JPA1049:JPA1052 JFE1049:JFE1052 IVI1049:IVI1052 ILM1049:ILM1052 IBQ1049:IBQ1052 HRU1049:HRU1052 HHY1049:HHY1052 GYC1049:GYC1052 GOG1049:GOG1052 GEK1049:GEK1052 FUO1049:FUO1052 FKS1049:FKS1052 FAW1049:FAW1052 ERA1049:ERA1052 EHE1049:EHE1052 DXI1049:DXI1052 DNM1049:DNM1052 DDQ1049:DDQ1052 CTU1049:CTU1052 CJY1049:CJY1052 CAC1049:CAC1052 BQG1049:BQG1052 BGK1049:BGK1052 AWO1049:AWO1052 AMS1049:AMS1052 ACW1049:ACW1052 TA1049:TA1052 JE1049:JE1052 WLU1049:WLU1052 WBY1049:WBY1052 WVQ1049:WVQ1052 G1049:G1052 VSC1055:VSC1058 VIG1055:VIG1058 UYK1055:UYK1058 UOO1055:UOO1058 UES1055:UES1058 TUW1055:TUW1058 TLA1055:TLA1058 TBE1055:TBE1058 SRI1055:SRI1058 SHM1055:SHM1058 RXQ1055:RXQ1058 RNU1055:RNU1058 RDY1055:RDY1058 QUC1055:QUC1058 QKG1055:QKG1058 QAK1055:QAK1058 PQO1055:PQO1058 PGS1055:PGS1058 OWW1055:OWW1058 ONA1055:ONA1058 ODE1055:ODE1058 NTI1055:NTI1058 NJM1055:NJM1058 MZQ1055:MZQ1058 MPU1055:MPU1058 MFY1055:MFY1058 LWC1055:LWC1058 LMG1055:LMG1058 LCK1055:LCK1058 KSO1055:KSO1058 KIS1055:KIS1058 JYW1055:JYW1058 JPA1055:JPA1058 JFE1055:JFE1058 IVI1055:IVI1058 ILM1055:ILM1058 IBQ1055:IBQ1058 HRU1055:HRU1058 HHY1055:HHY1058 GYC1055:GYC1058 GOG1055:GOG1058 GEK1055:GEK1058 FUO1055:FUO1058 FKS1055:FKS1058 FAW1055:FAW1058 ERA1055:ERA1058 EHE1055:EHE1058 DXI1055:DXI1058 DNM1055:DNM1058 DDQ1055:DDQ1058 CTU1055:CTU1058 CJY1055:CJY1058 CAC1055:CAC1058 BQG1055:BQG1058 BGK1055:BGK1058 AWO1055:AWO1058 AMS1055:AMS1058 ACW1055:ACW1058 TA1055:TA1058 JE1055:JE1058 WLU1055:WLU1058 WBY1055:WBY1058 WVQ1055:WVQ1058 G1055:G1058 VSC1062:VSC1065 VIG1062:VIG1065 UYK1062:UYK1065 UOO1062:UOO1065 UES1062:UES1065 TUW1062:TUW1065 TLA1062:TLA1065 TBE1062:TBE1065 SRI1062:SRI1065 SHM1062:SHM1065 RXQ1062:RXQ1065 RNU1062:RNU1065 RDY1062:RDY1065 QUC1062:QUC1065 QKG1062:QKG1065 QAK1062:QAK1065 PQO1062:PQO1065 PGS1062:PGS1065 OWW1062:OWW1065 ONA1062:ONA1065 ODE1062:ODE1065 NTI1062:NTI1065 NJM1062:NJM1065 MZQ1062:MZQ1065 MPU1062:MPU1065 MFY1062:MFY1065 LWC1062:LWC1065 LMG1062:LMG1065 LCK1062:LCK1065 KSO1062:KSO1065 KIS1062:KIS1065 JYW1062:JYW1065 JPA1062:JPA1065 JFE1062:JFE1065 IVI1062:IVI1065 ILM1062:ILM1065 IBQ1062:IBQ1065 HRU1062:HRU1065 HHY1062:HHY1065 GYC1062:GYC1065 GOG1062:GOG1065 GEK1062:GEK1065 FUO1062:FUO1065 FKS1062:FKS1065 FAW1062:FAW1065 ERA1062:ERA1065 EHE1062:EHE1065 DXI1062:DXI1065 DNM1062:DNM1065 DDQ1062:DDQ1065 CTU1062:CTU1065 CJY1062:CJY1065 CAC1062:CAC1065 BQG1062:BQG1065 BGK1062:BGK1065 AWO1062:AWO1065 AMS1062:AMS1065 ACW1062:ACW1065 TA1062:TA1065 JE1062:JE1065 WLU1062:WLU1065 WBY1062:WBY1065 WVQ1062:WVQ1065 G1062:G1065 VSC1068:VSC1071 VIG1068:VIG1071 UYK1068:UYK1071 UOO1068:UOO1071 UES1068:UES1071 TUW1068:TUW1071 TLA1068:TLA1071 TBE1068:TBE1071 SRI1068:SRI1071 SHM1068:SHM1071 RXQ1068:RXQ1071 RNU1068:RNU1071 RDY1068:RDY1071 QUC1068:QUC1071 QKG1068:QKG1071 QAK1068:QAK1071 PQO1068:PQO1071 PGS1068:PGS1071 OWW1068:OWW1071 ONA1068:ONA1071 ODE1068:ODE1071 NTI1068:NTI1071 NJM1068:NJM1071 MZQ1068:MZQ1071 MPU1068:MPU1071 MFY1068:MFY1071 LWC1068:LWC1071 LMG1068:LMG1071 LCK1068:LCK1071 KSO1068:KSO1071 KIS1068:KIS1071 JYW1068:JYW1071 JPA1068:JPA1071 JFE1068:JFE1071 IVI1068:IVI1071 ILM1068:ILM1071 IBQ1068:IBQ1071 HRU1068:HRU1071 HHY1068:HHY1071 GYC1068:GYC1071 GOG1068:GOG1071 GEK1068:GEK1071 FUO1068:FUO1071 FKS1068:FKS1071 FAW1068:FAW1071 ERA1068:ERA1071 EHE1068:EHE1071 DXI1068:DXI1071 DNM1068:DNM1071 DDQ1068:DDQ1071 CTU1068:CTU1071 CJY1068:CJY1071 CAC1068:CAC1071 BQG1068:BQG1071 BGK1068:BGK1071 AWO1068:AWO1071 AMS1068:AMS1071 ACW1068:ACW1071 TA1068:TA1071 JE1068:JE1071 WLU1068:WLU1071 WBY1068:WBY1071 WVQ1068:WVQ1071 WVQ2041:WVQ2043 WLU2041:WLU2043 JE2041:JE2043 TA2041:TA2043 ACW2041:ACW2043 AMS2041:AMS2043 AWO2041:AWO2043 BGK2041:BGK2043 BQG2041:BQG2043 CAC2041:CAC2043 CJY2041:CJY2043 CTU2041:CTU2043 DDQ2041:DDQ2043 DNM2041:DNM2043 DXI2041:DXI2043 EHE2041:EHE2043 ERA2041:ERA2043 FAW2041:FAW2043 FKS2041:FKS2043 FUO2041:FUO2043 GEK2041:GEK2043 GOG2041:GOG2043 GYC2041:GYC2043 HHY2041:HHY2043 HRU2041:HRU2043 IBQ2041:IBQ2043 ILM2041:ILM2043 IVI2041:IVI2043 JFE2041:JFE2043 JPA2041:JPA2043 JYW2041:JYW2043 KIS2041:KIS2043 KSO2041:KSO2043 LCK2041:LCK2043 LMG2041:LMG2043 LWC2041:LWC2043 MFY2041:MFY2043 MPU2041:MPU2043 MZQ2041:MZQ2043 NJM2041:NJM2043 NTI2041:NTI2043 ODE2041:ODE2043 ONA2041:ONA2043 OWW2041:OWW2043 PGS2041:PGS2043 PQO2041:PQO2043 QAK2041:QAK2043 QKG2041:QKG2043 QUC2041:QUC2043 RDY2041:RDY2043 RNU2041:RNU2043 RXQ2041:RXQ2043 SHM2041:SHM2043 SRI2041:SRI2043 TBE2041:TBE2043 TLA2041:TLA2043 TUW2041:TUW2043 UES2041:UES2043 UOO2041:UOO2043 UYK2041:UYK2043 VIG2041:VIG2043 VSC2041:VSC2043 WBY2041:WBY2043 G2041:G2043 G2046:G2052 WVQ2054:WVQ2056 WLU2054:WLU2056 JE2054:JE2056 TA2054:TA2056 ACW2054:ACW2056 AMS2054:AMS2056 AWO2054:AWO2056 BGK2054:BGK2056 BQG2054:BQG2056 CAC2054:CAC2056 CJY2054:CJY2056 CTU2054:CTU2056 DDQ2054:DDQ2056 DNM2054:DNM2056 DXI2054:DXI2056 EHE2054:EHE2056 ERA2054:ERA2056 FAW2054:FAW2056 FKS2054:FKS2056 FUO2054:FUO2056 GEK2054:GEK2056 GOG2054:GOG2056 GYC2054:GYC2056 HHY2054:HHY2056 HRU2054:HRU2056 IBQ2054:IBQ2056 ILM2054:ILM2056 IVI2054:IVI2056 JFE2054:JFE2056 JPA2054:JPA2056 JYW2054:JYW2056 KIS2054:KIS2056 KSO2054:KSO2056 LCK2054:LCK2056 LMG2054:LMG2056 LWC2054:LWC2056 MFY2054:MFY2056 MPU2054:MPU2056 MZQ2054:MZQ2056 NJM2054:NJM2056 NTI2054:NTI2056 ODE2054:ODE2056 ONA2054:ONA2056 OWW2054:OWW2056 PGS2054:PGS2056 PQO2054:PQO2056 QAK2054:QAK2056 QKG2054:QKG2056 QUC2054:QUC2056 RDY2054:RDY2056 RNU2054:RNU2056 RXQ2054:RXQ2056 SHM2054:SHM2056 SRI2054:SRI2056 TBE2054:TBE2056 TLA2054:TLA2056 TUW2054:TUW2056 UES2054:UES2056 UOO2054:UOO2056 UYK2054:UYK2056 VIG2054:VIG2056 VSC2054:VSC2056 WBY2054:WBY2056 G2054:G2056 G2059:G2063 WVQ2066:WVQ2070 WBY2066:WBY2070 VSC2066:VSC2070 VIG2066:VIG2070 UYK2066:UYK2070 UOO2066:UOO2070 UES2066:UES2070 TUW2066:TUW2070 TLA2066:TLA2070 TBE2066:TBE2070 SRI2066:SRI2070 SHM2066:SHM2070 RXQ2066:RXQ2070 RNU2066:RNU2070 RDY2066:RDY2070 QUC2066:QUC2070 QKG2066:QKG2070 QAK2066:QAK2070 PQO2066:PQO2070 PGS2066:PGS2070 OWW2066:OWW2070 ONA2066:ONA2070 ODE2066:ODE2070 NTI2066:NTI2070 NJM2066:NJM2070 MZQ2066:MZQ2070 MPU2066:MPU2070 MFY2066:MFY2070 LWC2066:LWC2070 LMG2066:LMG2070 LCK2066:LCK2070 KSO2066:KSO2070 KIS2066:KIS2070 JYW2066:JYW2070 JPA2066:JPA2070 JFE2066:JFE2070 IVI2066:IVI2070 ILM2066:ILM2070 IBQ2066:IBQ2070 HRU2066:HRU2070 HHY2066:HHY2070 GYC2066:GYC2070 GOG2066:GOG2070 GEK2066:GEK2070 FUO2066:FUO2070 FKS2066:FKS2070 FAW2066:FAW2070 ERA2066:ERA2070 EHE2066:EHE2070 DXI2066:DXI2070 DNM2066:DNM2070 DDQ2066:DDQ2070 CTU2066:CTU2070 CJY2066:CJY2070 CAC2066:CAC2070 BQG2066:BQG2070 BGK2066:BGK2070 AWO2066:AWO2070 AMS2066:AMS2070 ACW2066:ACW2070 TA2066:TA2070 JE2066:JE2070 WLU2066:WLU2070 G2066:G2070 WVQ2074:WVQ2078 WBY2074:WBY2078 VSC2074:VSC2078 VIG2074:VIG2078 UYK2074:UYK2078 UOO2074:UOO2078 UES2074:UES2078 TUW2074:TUW2078 TLA2074:TLA2078 TBE2074:TBE2078 SRI2074:SRI2078 SHM2074:SHM2078 RXQ2074:RXQ2078 RNU2074:RNU2078 RDY2074:RDY2078 QUC2074:QUC2078 QKG2074:QKG2078 QAK2074:QAK2078 PQO2074:PQO2078 PGS2074:PGS2078 OWW2074:OWW2078 ONA2074:ONA2078 ODE2074:ODE2078 NTI2074:NTI2078 NJM2074:NJM2078 MZQ2074:MZQ2078 MPU2074:MPU2078 MFY2074:MFY2078 LWC2074:LWC2078 LMG2074:LMG2078 LCK2074:LCK2078 KSO2074:KSO2078 KIS2074:KIS2078 JYW2074:JYW2078 JPA2074:JPA2078 JFE2074:JFE2078 IVI2074:IVI2078 ILM2074:ILM2078 IBQ2074:IBQ2078 HRU2074:HRU2078 HHY2074:HHY2078 GYC2074:GYC2078 GOG2074:GOG2078 GEK2074:GEK2078 FUO2074:FUO2078 FKS2074:FKS2078 FAW2074:FAW2078 ERA2074:ERA2078 EHE2074:EHE2078 DXI2074:DXI2078 DNM2074:DNM2078 DDQ2074:DDQ2078 CTU2074:CTU2078 CJY2074:CJY2078 CAC2074:CAC2078 BQG2074:BQG2078 BGK2074:BGK2078 AWO2074:AWO2078 AMS2074:AMS2078 ACW2074:ACW2078 TA2074:TA2078 JE2074:JE2078 WLU2074:WLU2078 G2074:G2078 WVQ2082:WVQ2086 WBY2082:WBY2086 VSC2082:VSC2086 VIG2082:VIG2086 UYK2082:UYK2086 UOO2082:UOO2086 UES2082:UES2086 TUW2082:TUW2086 TLA2082:TLA2086 TBE2082:TBE2086 SRI2082:SRI2086 SHM2082:SHM2086 RXQ2082:RXQ2086 RNU2082:RNU2086 RDY2082:RDY2086 QUC2082:QUC2086 QKG2082:QKG2086 QAK2082:QAK2086 PQO2082:PQO2086 PGS2082:PGS2086 OWW2082:OWW2086 ONA2082:ONA2086 ODE2082:ODE2086 NTI2082:NTI2086 NJM2082:NJM2086 MZQ2082:MZQ2086 MPU2082:MPU2086 MFY2082:MFY2086 LWC2082:LWC2086 LMG2082:LMG2086 LCK2082:LCK2086 KSO2082:KSO2086 KIS2082:KIS2086 JYW2082:JYW2086 JPA2082:JPA2086 JFE2082:JFE2086 IVI2082:IVI2086 ILM2082:ILM2086 IBQ2082:IBQ2086 HRU2082:HRU2086 HHY2082:HHY2086 GYC2082:GYC2086 GOG2082:GOG2086 GEK2082:GEK2086 FUO2082:FUO2086 FKS2082:FKS2086 FAW2082:FAW2086 ERA2082:ERA2086 EHE2082:EHE2086 DXI2082:DXI2086 DNM2082:DNM2086 DDQ2082:DDQ2086 CTU2082:CTU2086 CJY2082:CJY2086 CAC2082:CAC2086 BQG2082:BQG2086 BGK2082:BGK2086 AWO2082:AWO2086 AMS2082:AMS2086 ACW2082:ACW2086 TA2082:TA2086 JE2082:JE2086 WLU2082:WLU2086 G2082:G2086 WVQ2091:WVQ2096 G2091:G2096 WLU2091:WLU2096 JE2091:JE2096 TA2091:TA2096 ACW2091:ACW2096 AMS2091:AMS2096 AWO2091:AWO2096 BGK2091:BGK2096 BQG2091:BQG2096 CAC2091:CAC2096 CJY2091:CJY2096 CTU2091:CTU2096 DDQ2091:DDQ2096 DNM2091:DNM2096 DXI2091:DXI2096 EHE2091:EHE2096 ERA2091:ERA2096 FAW2091:FAW2096 FKS2091:FKS2096 FUO2091:FUO2096 GEK2091:GEK2096 GOG2091:GOG2096 GYC2091:GYC2096 HHY2091:HHY2096 HRU2091:HRU2096 IBQ2091:IBQ2096 ILM2091:ILM2096 IVI2091:IVI2096 JFE2091:JFE2096 JPA2091:JPA2096 JYW2091:JYW2096 KIS2091:KIS2096 KSO2091:KSO2096 LCK2091:LCK2096 LMG2091:LMG2096 LWC2091:LWC2096 MFY2091:MFY2096 MPU2091:MPU2096 MZQ2091:MZQ2096 NJM2091:NJM2096 NTI2091:NTI2096 ODE2091:ODE2096 ONA2091:ONA2096 OWW2091:OWW2096 PGS2091:PGS2096 PQO2091:PQO2096 QAK2091:QAK2096 QKG2091:QKG2096 QUC2091:QUC2096 RDY2091:RDY2096 RNU2091:RNU2096 RXQ2091:RXQ2096 SHM2091:SHM2096 SRI2091:SRI2096 TBE2091:TBE2096 TLA2091:TLA2096 TUW2091:TUW2096 UES2091:UES2096 UOO2091:UOO2096 UYK2091:UYK2096 VIG2091:VIG2096 VSC2091:VSC2096 WBY2091:WBY2096 G2099:G2101 WVQ2105:WVQ2109 WBY2105:WBY2109 VSC2105:VSC2109 VIG2105:VIG2109 UYK2105:UYK2109 UOO2105:UOO2109 UES2105:UES2109 TUW2105:TUW2109 TLA2105:TLA2109 TBE2105:TBE2109 SRI2105:SRI2109 SHM2105:SHM2109 RXQ2105:RXQ2109 RNU2105:RNU2109 RDY2105:RDY2109 QUC2105:QUC2109 QKG2105:QKG2109 QAK2105:QAK2109 PQO2105:PQO2109 PGS2105:PGS2109 OWW2105:OWW2109 ONA2105:ONA2109 ODE2105:ODE2109 NTI2105:NTI2109 NJM2105:NJM2109 MZQ2105:MZQ2109 MPU2105:MPU2109 MFY2105:MFY2109 LWC2105:LWC2109 LMG2105:LMG2109 LCK2105:LCK2109 KSO2105:KSO2109 KIS2105:KIS2109 JYW2105:JYW2109 JPA2105:JPA2109 JFE2105:JFE2109 IVI2105:IVI2109 ILM2105:ILM2109 IBQ2105:IBQ2109 HRU2105:HRU2109 HHY2105:HHY2109 GYC2105:GYC2109 GOG2105:GOG2109 GEK2105:GEK2109 FUO2105:FUO2109 FKS2105:FKS2109 FAW2105:FAW2109 ERA2105:ERA2109 EHE2105:EHE2109 DXI2105:DXI2109 DNM2105:DNM2109 DDQ2105:DDQ2109 CTU2105:CTU2109 CJY2105:CJY2109 CAC2105:CAC2109 BQG2105:BQG2109 BGK2105:BGK2109 AWO2105:AWO2109 AMS2105:AMS2109 ACW2105:ACW2109 TA2105:TA2109 JE2105:JE2109 WLU2105:WLU2109 G2105:G2109 G2125:G2133 WVQ2138:WVQ2142 WBY2138:WBY2142 VSC2138:VSC2142 VIG2138:VIG2142 UYK2138:UYK2142 UOO2138:UOO2142 UES2138:UES2142 TUW2138:TUW2142 TLA2138:TLA2142 TBE2138:TBE2142 SRI2138:SRI2142 SHM2138:SHM2142 RXQ2138:RXQ2142 RNU2138:RNU2142 RDY2138:RDY2142 QUC2138:QUC2142 QKG2138:QKG2142 QAK2138:QAK2142 PQO2138:PQO2142 PGS2138:PGS2142 OWW2138:OWW2142 ONA2138:ONA2142 ODE2138:ODE2142 NTI2138:NTI2142 NJM2138:NJM2142 MZQ2138:MZQ2142 MPU2138:MPU2142 MFY2138:MFY2142 LWC2138:LWC2142 LMG2138:LMG2142 LCK2138:LCK2142 KSO2138:KSO2142 KIS2138:KIS2142 JYW2138:JYW2142 JPA2138:JPA2142 JFE2138:JFE2142 IVI2138:IVI2142 ILM2138:ILM2142 IBQ2138:IBQ2142 HRU2138:HRU2142 HHY2138:HHY2142 GYC2138:GYC2142 GOG2138:GOG2142 GEK2138:GEK2142 FUO2138:FUO2142 FKS2138:FKS2142 FAW2138:FAW2142 ERA2138:ERA2142 EHE2138:EHE2142 DXI2138:DXI2142 DNM2138:DNM2142 DDQ2138:DDQ2142 CTU2138:CTU2142 CJY2138:CJY2142 CAC2138:CAC2142 BQG2138:BQG2142 BGK2138:BGK2142 AWO2138:AWO2142 AMS2138:AMS2142 ACW2138:ACW2142 TA2138:TA2142 JE2138:JE2142 WLU2138:WLU2142 G2138:G2142 WVQ2147:WVQ2151 WBY2147:WBY2151 VSC2147:VSC2151 VIG2147:VIG2151 UYK2147:UYK2151 UOO2147:UOO2151 UES2147:UES2151 TUW2147:TUW2151 TLA2147:TLA2151 TBE2147:TBE2151 SRI2147:SRI2151 SHM2147:SHM2151 RXQ2147:RXQ2151 RNU2147:RNU2151 RDY2147:RDY2151 QUC2147:QUC2151 QKG2147:QKG2151 QAK2147:QAK2151 PQO2147:PQO2151 PGS2147:PGS2151 OWW2147:OWW2151 ONA2147:ONA2151 ODE2147:ODE2151 NTI2147:NTI2151 NJM2147:NJM2151 MZQ2147:MZQ2151 MPU2147:MPU2151 MFY2147:MFY2151 LWC2147:LWC2151 LMG2147:LMG2151 LCK2147:LCK2151 KSO2147:KSO2151 KIS2147:KIS2151 JYW2147:JYW2151 JPA2147:JPA2151 JFE2147:JFE2151 IVI2147:IVI2151 ILM2147:ILM2151 IBQ2147:IBQ2151 HRU2147:HRU2151 HHY2147:HHY2151 GYC2147:GYC2151 GOG2147:GOG2151 GEK2147:GEK2151 FUO2147:FUO2151 FKS2147:FKS2151 FAW2147:FAW2151 ERA2147:ERA2151 EHE2147:EHE2151 DXI2147:DXI2151 DNM2147:DNM2151 DDQ2147:DDQ2151 CTU2147:CTU2151 CJY2147:CJY2151 CAC2147:CAC2151 BQG2147:BQG2151 BGK2147:BGK2151 AWO2147:AWO2151 AMS2147:AMS2151 ACW2147:ACW2151 TA2147:TA2151 JE2147:JE2151 WLU2147:WLU2151 G2147:G2151 G2167:G2172 G2115:G2122 WBY2115:WBY2122 VSC2115:VSC2122 VIG2115:VIG2122 UYK2115:UYK2122 UOO2115:UOO2122 UES2115:UES2122 TUW2115:TUW2122 TLA2115:TLA2122 TBE2115:TBE2122 SRI2115:SRI2122 SHM2115:SHM2122 RXQ2115:RXQ2122 RNU2115:RNU2122 RDY2115:RDY2122 QUC2115:QUC2122 QKG2115:QKG2122 QAK2115:QAK2122 PQO2115:PQO2122 PGS2115:PGS2122 OWW2115:OWW2122 ONA2115:ONA2122 ODE2115:ODE2122 NTI2115:NTI2122 NJM2115:NJM2122 MZQ2115:MZQ2122 MPU2115:MPU2122 MFY2115:MFY2122 LWC2115:LWC2122 LMG2115:LMG2122 LCK2115:LCK2122 KSO2115:KSO2122 KIS2115:KIS2122 JYW2115:JYW2122 JPA2115:JPA2122 JFE2115:JFE2122 IVI2115:IVI2122 ILM2115:ILM2122 IBQ2115:IBQ2122 HRU2115:HRU2122 HHY2115:HHY2122 GYC2115:GYC2122 GOG2115:GOG2122 GEK2115:GEK2122 FUO2115:FUO2122 FKS2115:FKS2122 FAW2115:FAW2122 ERA2115:ERA2122 EHE2115:EHE2122 DXI2115:DXI2122 DNM2115:DNM2122 DDQ2115:DDQ2122 CTU2115:CTU2122 CJY2115:CJY2122 CAC2115:CAC2122 BQG2115:BQG2122 BGK2115:BGK2122 AWO2115:AWO2122 AMS2115:AMS2122 ACW2115:ACW2122 TA2115:TA2122 JE2115:JE2122 WLU2115:WLU2122 WVQ2115:WVQ2122 WVQ2167:WVQ2172 WLU2167:WLU2172 JE2167:JE2172 TA2167:TA2172 ACW2167:ACW2172 AMS2167:AMS2172 AWO2167:AWO2172 BGK2167:BGK2172 BQG2167:BQG2172 CAC2167:CAC2172 CJY2167:CJY2172 CTU2167:CTU2172 DDQ2167:DDQ2172 DNM2167:DNM2172 DXI2167:DXI2172 EHE2167:EHE2172 ERA2167:ERA2172 FAW2167:FAW2172 FKS2167:FKS2172 FUO2167:FUO2172 GEK2167:GEK2172 GOG2167:GOG2172 GYC2167:GYC2172 HHY2167:HHY2172 HRU2167:HRU2172 IBQ2167:IBQ2172 ILM2167:ILM2172 IVI2167:IVI2172 JFE2167:JFE2172 JPA2167:JPA2172 JYW2167:JYW2172 KIS2167:KIS2172 KSO2167:KSO2172 LCK2167:LCK2172 LMG2167:LMG2172 LWC2167:LWC2172 MFY2167:MFY2172 MPU2167:MPU2172 MZQ2167:MZQ2172 NJM2167:NJM2172 NTI2167:NTI2172 ODE2167:ODE2172 ONA2167:ONA2172 OWW2167:OWW2172 PGS2167:PGS2172 PQO2167:PQO2172 QAK2167:QAK2172 QKG2167:QKG2172 QUC2167:QUC2172 RDY2167:RDY2172 RNU2167:RNU2172 RXQ2167:RXQ2172 SHM2167:SHM2172 SRI2167:SRI2172 TBE2167:TBE2172 TLA2167:TLA2172 TUW2167:TUW2172 UES2167:UES2172 UOO2167:UOO2172 UYK2167:UYK2172 VIG2167:VIG2172 VSC2167:VSC2172 WBY2167:WBY2172 WVQ2156:WVQ2162 WBY2156:WBY2162 VSC2156:VSC2162 VIG2156:VIG2162 UYK2156:UYK2162 UOO2156:UOO2162 UES2156:UES2162 TUW2156:TUW2162 TLA2156:TLA2162 TBE2156:TBE2162 SRI2156:SRI2162 SHM2156:SHM2162 RXQ2156:RXQ2162 RNU2156:RNU2162 RDY2156:RDY2162 QUC2156:QUC2162 QKG2156:QKG2162 QAK2156:QAK2162 PQO2156:PQO2162 PGS2156:PGS2162 OWW2156:OWW2162 ONA2156:ONA2162 ODE2156:ODE2162 NTI2156:NTI2162 NJM2156:NJM2162 MZQ2156:MZQ2162 MPU2156:MPU2162 MFY2156:MFY2162 LWC2156:LWC2162 LMG2156:LMG2162 LCK2156:LCK2162 KSO2156:KSO2162 KIS2156:KIS2162 JYW2156:JYW2162 JPA2156:JPA2162 JFE2156:JFE2162 IVI2156:IVI2162 ILM2156:ILM2162 IBQ2156:IBQ2162 HRU2156:HRU2162 HHY2156:HHY2162 GYC2156:GYC2162 GOG2156:GOG2162 GEK2156:GEK2162 FUO2156:FUO2162 FKS2156:FKS2162 FAW2156:FAW2162 ERA2156:ERA2162 EHE2156:EHE2162 DXI2156:DXI2162 DNM2156:DNM2162 DDQ2156:DDQ2162 CTU2156:CTU2162 CJY2156:CJY2162 CAC2156:CAC2162 BQG2156:BQG2162 BGK2156:BGK2162 AWO2156:AWO2162 AMS2156:AMS2162 ACW2156:ACW2162 TA2156:TA2162 JE2156:JE2162 WLU2156:WLU2162 G2156:G2162 WVQ2176:WVQ2182 WBY2176:WBY2182 VSC2176:VSC2182 VIG2176:VIG2182 UYK2176:UYK2182 UOO2176:UOO2182 UES2176:UES2182 TUW2176:TUW2182 TLA2176:TLA2182 TBE2176:TBE2182 SRI2176:SRI2182 SHM2176:SHM2182 RXQ2176:RXQ2182 RNU2176:RNU2182 RDY2176:RDY2182 QUC2176:QUC2182 QKG2176:QKG2182 QAK2176:QAK2182 PQO2176:PQO2182 PGS2176:PGS2182 OWW2176:OWW2182 ONA2176:ONA2182 ODE2176:ODE2182 NTI2176:NTI2182 NJM2176:NJM2182 MZQ2176:MZQ2182 MPU2176:MPU2182 MFY2176:MFY2182 LWC2176:LWC2182 LMG2176:LMG2182 LCK2176:LCK2182 KSO2176:KSO2182 KIS2176:KIS2182 JYW2176:JYW2182 JPA2176:JPA2182 JFE2176:JFE2182 IVI2176:IVI2182 ILM2176:ILM2182 IBQ2176:IBQ2182 HRU2176:HRU2182 HHY2176:HHY2182 GYC2176:GYC2182 GOG2176:GOG2182 GEK2176:GEK2182 FUO2176:FUO2182 FKS2176:FKS2182 FAW2176:FAW2182 ERA2176:ERA2182 EHE2176:EHE2182 DXI2176:DXI2182 DNM2176:DNM2182 DDQ2176:DDQ2182 CTU2176:CTU2182 CJY2176:CJY2182 CAC2176:CAC2182 BQG2176:BQG2182 BGK2176:BGK2182 AWO2176:AWO2182 AMS2176:AMS2182 ACW2176:ACW2182 TA2176:TA2182 JE2176:JE2182 WLU2176:WLU2182 G2176:G2182 VSC2021:VSC2027 VSC1946:VSC1952 VIG1946:VIG1952 UYK1946:UYK1952 UOO1946:UOO1952 UES1946:UES1952 TUW1946:TUW1952 TLA1946:TLA1952 TBE1946:TBE1952 SRI1946:SRI1952 SHM1946:SHM1952 RXQ1946:RXQ1952 RNU1946:RNU1952 RDY1946:RDY1952 QUC1946:QUC1952 QKG1946:QKG1952 QAK1946:QAK1952 PQO1946:PQO1952 PGS1946:PGS1952 OWW1946:OWW1952 ONA1946:ONA1952 ODE1946:ODE1952 NTI1946:NTI1952 NJM1946:NJM1952 MZQ1946:MZQ1952 MPU1946:MPU1952 MFY1946:MFY1952 LWC1946:LWC1952 LMG1946:LMG1952 LCK1946:LCK1952 KSO1946:KSO1952 KIS1946:KIS1952 JYW1946:JYW1952 JPA1946:JPA1952 JFE1946:JFE1952 IVI1946:IVI1952 ILM1946:ILM1952 IBQ1946:IBQ1952 HRU1946:HRU1952 HHY1946:HHY1952 GYC1946:GYC1952 GOG1946:GOG1952 GEK1946:GEK1952 FUO1946:FUO1952 FKS1946:FKS1952 FAW1946:FAW1952 ERA1946:ERA1952 EHE1946:EHE1952 DXI1946:DXI1952 DNM1946:DNM1952 DDQ1946:DDQ1952 CTU1946:CTU1952 CJY1946:CJY1952 CAC1946:CAC1952 BQG1946:BQG1952 BGK1946:BGK1952 AWO1946:AWO1952 AMS1946:AMS1952 ACW1946:ACW1952 TA1946:TA1952 JE1946:JE1952 WLU1946:WLU1952 WVQ1946:WVQ1952 WBY1946:WBY1952 G1955:G1965 WBY1959:WBY1965 WVQ1959:WVQ1965 WLU1959:WLU1965 JE1959:JE1965 TA1959:TA1965 ACW1959:ACW1965 AMS1959:AMS1965 AWO1959:AWO1965 BGK1959:BGK1965 BQG1959:BQG1965 CAC1959:CAC1965 CJY1959:CJY1965 CTU1959:CTU1965 DDQ1959:DDQ1965 DNM1959:DNM1965 DXI1959:DXI1965 EHE1959:EHE1965 ERA1959:ERA1965 FAW1959:FAW1965 FKS1959:FKS1965 FUO1959:FUO1965 GEK1959:GEK1965 GOG1959:GOG1965 GYC1959:GYC1965 HHY1959:HHY1965 HRU1959:HRU1965 IBQ1959:IBQ1965 ILM1959:ILM1965 IVI1959:IVI1965 JFE1959:JFE1965 JPA1959:JPA1965 JYW1959:JYW1965 KIS1959:KIS1965 KSO1959:KSO1965 LCK1959:LCK1965 LMG1959:LMG1965 LWC1959:LWC1965 MFY1959:MFY1965 MPU1959:MPU1965 MZQ1959:MZQ1965 NJM1959:NJM1965 NTI1959:NTI1965 ODE1959:ODE1965 ONA1959:ONA1965 OWW1959:OWW1965 PGS1959:PGS1965 PQO1959:PQO1965 QAK1959:QAK1965 QKG1959:QKG1965 QUC1959:QUC1965 RDY1959:RDY1965 RNU1959:RNU1965 RXQ1959:RXQ1965 SHM1959:SHM1965 SRI1959:SRI1965 TBE1959:TBE1965 TLA1959:TLA1965 TUW1959:TUW1965 UES1959:UES1965 UOO1959:UOO1965 UYK1959:UYK1965 VIG1959:VIG1965 VSC1959:VSC1965 G1968:G1981 VSC1974:VSC1981 VIG1974:VIG1981 UYK1974:UYK1981 UOO1974:UOO1981 UES1974:UES1981 TUW1974:TUW1981 TLA1974:TLA1981 TBE1974:TBE1981 SRI1974:SRI1981 SHM1974:SHM1981 RXQ1974:RXQ1981 RNU1974:RNU1981 RDY1974:RDY1981 QUC1974:QUC1981 QKG1974:QKG1981 QAK1974:QAK1981 PQO1974:PQO1981 PGS1974:PGS1981 OWW1974:OWW1981 ONA1974:ONA1981 ODE1974:ODE1981 NTI1974:NTI1981 NJM1974:NJM1981 MZQ1974:MZQ1981 MPU1974:MPU1981 MFY1974:MFY1981 LWC1974:LWC1981 LMG1974:LMG1981 LCK1974:LCK1981 KSO1974:KSO1981 KIS1974:KIS1981 JYW1974:JYW1981 JPA1974:JPA1981 JFE1974:JFE1981 IVI1974:IVI1981 ILM1974:ILM1981 IBQ1974:IBQ1981 HRU1974:HRU1981 HHY1974:HHY1981 GYC1974:GYC1981 GOG1974:GOG1981 GEK1974:GEK1981 FUO1974:FUO1981 FKS1974:FKS1981 FAW1974:FAW1981 ERA1974:ERA1981 EHE1974:EHE1981 DXI1974:DXI1981 DNM1974:DNM1981 DDQ1974:DDQ1981 CTU1974:CTU1981 CJY1974:CJY1981 CAC1974:CAC1981 BQG1974:BQG1981 BGK1974:BGK1981 AWO1974:AWO1981 AMS1974:AMS1981 ACW1974:ACW1981 TA1974:TA1981 JE1974:JE1981 WLU1974:WLU1981 WVQ1974:WVQ1981 WBY1974:WBY1981 G1984:G1996 WBY1989:WBY1996 VSC1989:VSC1996 VIG1989:VIG1996 UYK1989:UYK1996 UOO1989:UOO1996 UES1989:UES1996 TUW1989:TUW1996 TLA1989:TLA1996 TBE1989:TBE1996 SRI1989:SRI1996 SHM1989:SHM1996 RXQ1989:RXQ1996 RNU1989:RNU1996 RDY1989:RDY1996 QUC1989:QUC1996 QKG1989:QKG1996 QAK1989:QAK1996 PQO1989:PQO1996 PGS1989:PGS1996 OWW1989:OWW1996 ONA1989:ONA1996 ODE1989:ODE1996 NTI1989:NTI1996 NJM1989:NJM1996 MZQ1989:MZQ1996 MPU1989:MPU1996 MFY1989:MFY1996 LWC1989:LWC1996 LMG1989:LMG1996 LCK1989:LCK1996 KSO1989:KSO1996 KIS1989:KIS1996 JYW1989:JYW1996 JPA1989:JPA1996 JFE1989:JFE1996 IVI1989:IVI1996 ILM1989:ILM1996 IBQ1989:IBQ1996 HRU1989:HRU1996 HHY1989:HHY1996 GYC1989:GYC1996 GOG1989:GOG1996 GEK1989:GEK1996 FUO1989:FUO1996 FKS1989:FKS1996 FAW1989:FAW1996 ERA1989:ERA1996 EHE1989:EHE1996 DXI1989:DXI1996 DNM1989:DNM1996 DDQ1989:DDQ1996 CTU1989:CTU1996 CJY1989:CJY1996 CAC1989:CAC1996 BQG1989:BQG1996 BGK1989:BGK1996 AWO1989:AWO1996 AMS1989:AMS1996 ACW1989:ACW1996 TA1989:TA1996 JE1989:JE1996 WLU1989:WLU1996 WVQ1989:WVQ1996 G1999:G2012 WBY2006:WBY2012 WVQ2006:WVQ2012 WLU2006:WLU2012 JE2006:JE2012 TA2006:TA2012 ACW2006:ACW2012 AMS2006:AMS2012 AWO2006:AWO2012 BGK2006:BGK2012 BQG2006:BQG2012 CAC2006:CAC2012 CJY2006:CJY2012 CTU2006:CTU2012 DDQ2006:DDQ2012 DNM2006:DNM2012 DXI2006:DXI2012 EHE2006:EHE2012 ERA2006:ERA2012 FAW2006:FAW2012 FKS2006:FKS2012 FUO2006:FUO2012 GEK2006:GEK2012 GOG2006:GOG2012 GYC2006:GYC2012 HHY2006:HHY2012 HRU2006:HRU2012 IBQ2006:IBQ2012 ILM2006:ILM2012 IVI2006:IVI2012 JFE2006:JFE2012 JPA2006:JPA2012 JYW2006:JYW2012 KIS2006:KIS2012 KSO2006:KSO2012 LCK2006:LCK2012 LMG2006:LMG2012 LWC2006:LWC2012 MFY2006:MFY2012 MPU2006:MPU2012 MZQ2006:MZQ2012 NJM2006:NJM2012 NTI2006:NTI2012 ODE2006:ODE2012 ONA2006:ONA2012 OWW2006:OWW2012 PGS2006:PGS2012 PQO2006:PQO2012 QAK2006:QAK2012 QKG2006:QKG2012 QUC2006:QUC2012 RDY2006:RDY2012 RNU2006:RNU2012 RXQ2006:RXQ2012 SHM2006:SHM2012 SRI2006:SRI2012 TBE2006:TBE2012 TLA2006:TLA2012 TUW2006:TUW2012 UES2006:UES2012 UOO2006:UOO2012 UYK2006:UYK2012 VIG2006:VIG2012 VSC2006:VSC2012 G2015:G2027 G2030:G2038 WBY2021:WBY2027 WVQ2021:WVQ2027 WLU2021:WLU2027 JE2021:JE2027 TA2021:TA2027 ACW2021:ACW2027 AMS2021:AMS2027 AWO2021:AWO2027 BGK2021:BGK2027 BQG2021:BQG2027 CAC2021:CAC2027 CJY2021:CJY2027 CTU2021:CTU2027 DDQ2021:DDQ2027 DNM2021:DNM2027 DXI2021:DXI2027 EHE2021:EHE2027 ERA2021:ERA2027 FAW2021:FAW2027 FKS2021:FKS2027 FUO2021:FUO2027 GEK2021:GEK2027 GOG2021:GOG2027 GYC2021:GYC2027 HHY2021:HHY2027 HRU2021:HRU2027 IBQ2021:IBQ2027 ILM2021:ILM2027 IVI2021:IVI2027 JFE2021:JFE2027 JPA2021:JPA2027 JYW2021:JYW2027 KIS2021:KIS2027 KSO2021:KSO2027 LCK2021:LCK2027 LMG2021:LMG2027 LWC2021:LWC2027 MFY2021:MFY2027 MPU2021:MPU2027 MZQ2021:MZQ2027 NJM2021:NJM2027 NTI2021:NTI2027 ODE2021:ODE2027 ONA2021:ONA2027 OWW2021:OWW2027 PGS2021:PGS2027 PQO2021:PQO2027 QAK2021:QAK2027 QKG2021:QKG2027 QUC2021:QUC2027 RDY2021:RDY2027 RNU2021:RNU2027 RXQ2021:RXQ2027 SHM2021:SHM2027 SRI2021:SRI2027 TBE2021:TBE2027 TLA2021:TLA2027 TUW2021:TUW2027 UES2021:UES2027 UOO2021:UOO2027 UYK2021:UYK2027 VIG2021:VIG2027 G1827:G1829 G1831:G1833 G1853:G1855 WBY1840:WBY1846 G1849:G1851 G1880:G1891 VSC1840:VSC1846 VIG1840:VIG1846 UYK1840:UYK1846 UOO1840:UOO1846 UES1840:UES1846 TUW1840:TUW1846 TLA1840:TLA1846 TBE1840:TBE1846 SRI1840:SRI1846 SHM1840:SHM1846 RXQ1840:RXQ1846 RNU1840:RNU1846 RDY1840:RDY1846 QUC1840:QUC1846 QKG1840:QKG1846 QAK1840:QAK1846 PQO1840:PQO1846 PGS1840:PGS1846 OWW1840:OWW1846 ONA1840:ONA1846 ODE1840:ODE1846 NTI1840:NTI1846 NJM1840:NJM1846 MZQ1840:MZQ1846 MPU1840:MPU1846 MFY1840:MFY1846 LWC1840:LWC1846 LMG1840:LMG1846 LCK1840:LCK1846 KSO1840:KSO1846 KIS1840:KIS1846 JYW1840:JYW1846 JPA1840:JPA1846 JFE1840:JFE1846 IVI1840:IVI1846 ILM1840:ILM1846 IBQ1840:IBQ1846 HRU1840:HRU1846 HHY1840:HHY1846 GYC1840:GYC1846 GOG1840:GOG1846 GEK1840:GEK1846 FUO1840:FUO1846 FKS1840:FKS1846 FAW1840:FAW1846 ERA1840:ERA1846 EHE1840:EHE1846 DXI1840:DXI1846 DNM1840:DNM1846 DDQ1840:DDQ1846 CTU1840:CTU1846 CJY1840:CJY1846 CAC1840:CAC1846 BQG1840:BQG1846 BGK1840:BGK1846 AWO1840:AWO1846 AMS1840:AMS1846 ACW1840:ACW1846 TA1840:TA1846 JE1840:JE1846 WLU1840:WLU1846 WVQ1840:WVQ1846 G1857:G1869 WVQ1863:WVQ1869 G1876:G1878 WBY1863:WBY1869 G1872:G1874 VSC1863:VSC1869 VIG1863:VIG1869 UYK1863:UYK1869 UOO1863:UOO1869 UES1863:UES1869 TUW1863:TUW1869 TLA1863:TLA1869 TBE1863:TBE1869 SRI1863:SRI1869 SHM1863:SHM1869 RXQ1863:RXQ1869 RNU1863:RNU1869 RDY1863:RDY1869 QUC1863:QUC1869 QKG1863:QKG1869 QAK1863:QAK1869 PQO1863:PQO1869 PGS1863:PGS1869 OWW1863:OWW1869 ONA1863:ONA1869 ODE1863:ODE1869 NTI1863:NTI1869 NJM1863:NJM1869 MZQ1863:MZQ1869 MPU1863:MPU1869 MFY1863:MFY1869 LWC1863:LWC1869 LMG1863:LMG1869 LCK1863:LCK1869 KSO1863:KSO1869 KIS1863:KIS1869 JYW1863:JYW1869 JPA1863:JPA1869 JFE1863:JFE1869 IVI1863:IVI1869 ILM1863:ILM1869 IBQ1863:IBQ1869 HRU1863:HRU1869 HHY1863:HHY1869 GYC1863:GYC1869 GOG1863:GOG1869 GEK1863:GEK1869 FUO1863:FUO1869 FKS1863:FKS1869 FAW1863:FAW1869 ERA1863:ERA1869 EHE1863:EHE1869 DXI1863:DXI1869 DNM1863:DNM1869 DDQ1863:DDQ1869 CTU1863:CTU1869 CJY1863:CJY1869 CAC1863:CAC1869 BQG1863:BQG1869 BGK1863:BGK1869 AWO1863:AWO1869 AMS1863:AMS1869 ACW1863:ACW1869 TA1863:TA1869 JE1863:JE1869 WLU1863:WLU1869 G1835:G1846 G1898:G1900 G1894:G1896 WLU1885:WLU1891 JE1885:JE1891 TA1885:TA1891 ACW1885:ACW1891 AMS1885:AMS1891 AWO1885:AWO1891 BGK1885:BGK1891 BQG1885:BQG1891 CAC1885:CAC1891 CJY1885:CJY1891 CTU1885:CTU1891 DDQ1885:DDQ1891 DNM1885:DNM1891 DXI1885:DXI1891 EHE1885:EHE1891 ERA1885:ERA1891 FAW1885:FAW1891 FKS1885:FKS1891 FUO1885:FUO1891 GEK1885:GEK1891 GOG1885:GOG1891 GYC1885:GYC1891 HHY1885:HHY1891 HRU1885:HRU1891 IBQ1885:IBQ1891 ILM1885:ILM1891 IVI1885:IVI1891 JFE1885:JFE1891 JPA1885:JPA1891 JYW1885:JYW1891 KIS1885:KIS1891 KSO1885:KSO1891 LCK1885:LCK1891 LMG1885:LMG1891 LWC1885:LWC1891 MFY1885:MFY1891 MPU1885:MPU1891 MZQ1885:MZQ1891 NJM1885:NJM1891 NTI1885:NTI1891 ODE1885:ODE1891 ONA1885:ONA1891 OWW1885:OWW1891 PGS1885:PGS1891 PQO1885:PQO1891 QAK1885:QAK1891 QKG1885:QKG1891 QUC1885:QUC1891 RDY1885:RDY1891 RNU1885:RNU1891 RXQ1885:RXQ1891 SHM1885:SHM1891 SRI1885:SRI1891 TBE1885:TBE1891 TLA1885:TLA1891 TUW1885:TUW1891 UES1885:UES1891 UOO1885:UOO1891 UYK1885:UYK1891 VIG1885:VIG1891 VSC1885:VSC1891 WBY1885:WBY1891 WVQ1885:WVQ1891 WVQ1907:WVQ1914 G1921:G1923 G1917:G1919 G1902:G1914 WLU1907:WLU1914 JE1907:JE1914 TA1907:TA1914 ACW1907:ACW1914 AMS1907:AMS1914 AWO1907:AWO1914 BGK1907:BGK1914 BQG1907:BQG1914 CAC1907:CAC1914 CJY1907:CJY1914 CTU1907:CTU1914 DDQ1907:DDQ1914 DNM1907:DNM1914 DXI1907:DXI1914 EHE1907:EHE1914 ERA1907:ERA1914 FAW1907:FAW1914 FKS1907:FKS1914 FUO1907:FUO1914 GEK1907:GEK1914 GOG1907:GOG1914 GYC1907:GYC1914 HHY1907:HHY1914 HRU1907:HRU1914 IBQ1907:IBQ1914 ILM1907:ILM1914 IVI1907:IVI1914 JFE1907:JFE1914 JPA1907:JPA1914 JYW1907:JYW1914 KIS1907:KIS1914 KSO1907:KSO1914 LCK1907:LCK1914 LMG1907:LMG1914 LWC1907:LWC1914 MFY1907:MFY1914 MPU1907:MPU1914 MZQ1907:MZQ1914 NJM1907:NJM1914 NTI1907:NTI1914 ODE1907:ODE1914 ONA1907:ONA1914 OWW1907:OWW1914 PGS1907:PGS1914 PQO1907:PQO1914 QAK1907:QAK1914 QKG1907:QKG1914 QUC1907:QUC1914 RDY1907:RDY1914 RNU1907:RNU1914 RXQ1907:RXQ1914 SHM1907:SHM1914 SRI1907:SRI1914 TBE1907:TBE1914 TLA1907:TLA1914 TUW1907:TUW1914 UES1907:UES1914 UOO1907:UOO1914 UYK1907:UYK1914 VIG1907:VIG1914 VSC1907:VSC1914 WBY1907:WBY1914 G1943:G1952 WBY1931:WBY1933 VSC1931:VSC1933 VIG1931:VIG1933 UYK1931:UYK1933 UOO1931:UOO1933 UES1931:UES1933 TUW1931:TUW1933 TLA1931:TLA1933 TBE1931:TBE1933 SRI1931:SRI1933 SHM1931:SHM1933 RXQ1931:RXQ1933 RNU1931:RNU1933 RDY1931:RDY1933 QUC1931:QUC1933 QKG1931:QKG1933 QAK1931:QAK1933 PQO1931:PQO1933 PGS1931:PGS1933 OWW1931:OWW1933 ONA1931:ONA1933 ODE1931:ODE1933 NTI1931:NTI1933 NJM1931:NJM1933 MZQ1931:MZQ1933 MPU1931:MPU1933 MFY1931:MFY1933 LWC1931:LWC1933 LMG1931:LMG1933 LCK1931:LCK1933 KSO1931:KSO1933 KIS1931:KIS1933 JYW1931:JYW1933 JPA1931:JPA1933 JFE1931:JFE1933 IVI1931:IVI1933 ILM1931:ILM1933 IBQ1931:IBQ1933 HRU1931:HRU1933 HHY1931:HHY1933 GYC1931:GYC1933 GOG1931:GOG1933 GEK1931:GEK1933 FUO1931:FUO1933 FKS1931:FKS1933 FAW1931:FAW1933 ERA1931:ERA1933 EHE1931:EHE1933 DXI1931:DXI1933 DNM1931:DNM1933 DDQ1931:DDQ1933 CTU1931:CTU1933 CJY1931:CJY1933 CAC1931:CAC1933 BQG1931:BQG1933 BGK1931:BGK1933 AWO1931:AWO1933 AMS1931:AMS1933 ACW1931:ACW1933 TA1931:TA1933 JE1931:JE1933 WLU1931:WLU1933 WVQ1931:WVQ1933 G1925:G1933 G1936:G1938 G1554:G1556 WBY1819:WBY1824 WVQ1819:WVQ1824 WLU1819:WLU1824 JE1819:JE1824 TA1819:TA1824 ACW1819:ACW1824 AMS1819:AMS1824 AWO1819:AWO1824 BGK1819:BGK1824 BQG1819:BQG1824 CAC1819:CAC1824 CJY1819:CJY1824 CTU1819:CTU1824 DDQ1819:DDQ1824 DNM1819:DNM1824 DXI1819:DXI1824 EHE1819:EHE1824 ERA1819:ERA1824 FAW1819:FAW1824 FKS1819:FKS1824 FUO1819:FUO1824 GEK1819:GEK1824 GOG1819:GOG1824 GYC1819:GYC1824 HHY1819:HHY1824 HRU1819:HRU1824 IBQ1819:IBQ1824 ILM1819:ILM1824 IVI1819:IVI1824 JFE1819:JFE1824 JPA1819:JPA1824 JYW1819:JYW1824 KIS1819:KIS1824 KSO1819:KSO1824 LCK1819:LCK1824 LMG1819:LMG1824 LWC1819:LWC1824 MFY1819:MFY1824 MPU1819:MPU1824 MZQ1819:MZQ1824 NJM1819:NJM1824 NTI1819:NTI1824 ODE1819:ODE1824 ONA1819:ONA1824 OWW1819:OWW1824 PGS1819:PGS1824 PQO1819:PQO1824 QAK1819:QAK1824 QKG1819:QKG1824 QUC1819:QUC1824 RDY1819:RDY1824 RNU1819:RNU1824 RXQ1819:RXQ1824 SHM1819:SHM1824 SRI1819:SRI1824 TBE1819:TBE1824 TLA1819:TLA1824 TUW1819:TUW1824 UES1819:UES1824 UOO1819:UOO1824 UYK1819:UYK1824 VIG1819:VIG1824 VSC1819:VSC1824 VIG1543 VSC1535:VSC1539 VIG1296:VIG1300 WBY1535:WBY1539 WVQ1535:WVQ1539 WLU1535:WLU1539 JE1535:JE1539 TA1535:TA1539 ACW1535:ACW1539 AMS1535:AMS1539 AWO1535:AWO1539 BGK1535:BGK1539 BQG1535:BQG1539 CAC1535:CAC1539 CJY1535:CJY1539 CTU1535:CTU1539 DDQ1535:DDQ1539 DNM1535:DNM1539 DXI1535:DXI1539 EHE1535:EHE1539 ERA1535:ERA1539 FAW1535:FAW1539 FKS1535:FKS1539 FUO1535:FUO1539 GEK1535:GEK1539 GOG1535:GOG1539 GYC1535:GYC1539 HHY1535:HHY1539 HRU1535:HRU1539 IBQ1535:IBQ1539 ILM1535:ILM1539 IVI1535:IVI1539 JFE1535:JFE1539 JPA1535:JPA1539 JYW1535:JYW1539 KIS1535:KIS1539 KSO1535:KSO1539 LCK1535:LCK1539 LMG1535:LMG1539 LWC1535:LWC1539 MFY1535:MFY1539 MPU1535:MPU1539 MZQ1535:MZQ1539 NJM1535:NJM1539 NTI1535:NTI1539 ODE1535:ODE1539 ONA1535:ONA1539 OWW1535:OWW1539 PGS1535:PGS1539 PQO1535:PQO1539 QAK1535:QAK1539 QKG1535:QKG1539 QUC1535:QUC1539 RDY1535:RDY1539 RNU1535:RNU1539 RXQ1535:RXQ1539 SHM1535:SHM1539 SRI1535:SRI1539 TBE1535:TBE1539 TLA1535:TLA1539 TUW1535:TUW1539 UES1535:UES1539 UOO1535:UOO1539 UYK1535:UYK1539 VIG1535:VIG1539 VSC1543 WBY1543 WVQ1543 WLU1543 JE1543 TA1543 ACW1543 AMS1543 AWO1543 BGK1543 BQG1543 CAC1543 CJY1543 CTU1543 DDQ1543 DNM1543 DXI1543 EHE1543 ERA1543 FAW1543 FKS1543 FUO1543 GEK1543 GOG1543 GYC1543 HHY1543 HRU1543 IBQ1543 ILM1543 IVI1543 JFE1543 JPA1543 JYW1543 KIS1543 KSO1543 LCK1543 LMG1543 LWC1543 MFY1543 MPU1543 MZQ1543 NJM1543 NTI1543 ODE1543 ONA1543 OWW1543 PGS1543 PQO1543 QAK1543 QKG1543 QUC1543 RDY1543 RNU1543 RXQ1543 SHM1543 SRI1543 TBE1543 TLA1543 TUW1543 UES1543 UOO1543 UYK1543 UYK1548 VIG1548 VSC1548 WBY1548 WVQ1548 WLU1548 JE1548 TA1548 ACW1548 AMS1548 AWO1548 BGK1548 BQG1548 CAC1548 CJY1548 CTU1548 DDQ1548 DNM1548 DXI1548 EHE1548 ERA1548 FAW1548 FKS1548 FUO1548 GEK1548 GOG1548 GYC1548 HHY1548 HRU1548 IBQ1548 ILM1548 IVI1548 JFE1548 JPA1548 JYW1548 KIS1548 KSO1548 LCK1548 LMG1548 LWC1548 MFY1548 MPU1548 MZQ1548 NJM1548 NTI1548 ODE1548 ONA1548 OWW1548 PGS1548 PQO1548 QAK1548 QKG1548 QUC1548 RDY1548 RNU1548 RXQ1548 SHM1548 SRI1548 TBE1548 TLA1548 TUW1548 UES1548 UOO1548 G1542:G1545 G1547:G1552 G1558:G1567 VSC1571:VSC1574 G1584:G1586 G1577:G1582 VSC1563:VSC1567 WBY1563:WBY1567 WVQ1563:WVQ1567 WLU1563:WLU1567 JE1563:JE1567 TA1563:TA1567 ACW1563:ACW1567 AMS1563:AMS1567 AWO1563:AWO1567 BGK1563:BGK1567 BQG1563:BQG1567 CAC1563:CAC1567 CJY1563:CJY1567 CTU1563:CTU1567 DDQ1563:DDQ1567 DNM1563:DNM1567 DXI1563:DXI1567 EHE1563:EHE1567 ERA1563:ERA1567 FAW1563:FAW1567 FKS1563:FKS1567 FUO1563:FUO1567 GEK1563:GEK1567 GOG1563:GOG1567 GYC1563:GYC1567 HHY1563:HHY1567 HRU1563:HRU1567 IBQ1563:IBQ1567 ILM1563:ILM1567 IVI1563:IVI1567 JFE1563:JFE1567 JPA1563:JPA1567 JYW1563:JYW1567 KIS1563:KIS1567 KSO1563:KSO1567 LCK1563:LCK1567 LMG1563:LMG1567 LWC1563:LWC1567 MFY1563:MFY1567 MPU1563:MPU1567 MZQ1563:MZQ1567 NJM1563:NJM1567 NTI1563:NTI1567 ODE1563:ODE1567 ONA1563:ONA1567 OWW1563:OWW1567 PGS1563:PGS1567 PQO1563:PQO1567 QAK1563:QAK1567 QKG1563:QKG1567 QUC1563:QUC1567 RDY1563:RDY1567 RNU1563:RNU1567 RXQ1563:RXQ1567 SHM1563:SHM1567 SRI1563:SRI1567 TBE1563:TBE1567 TLA1563:TLA1567 TUW1563:TUW1567 UES1563:UES1567 UOO1563:UOO1567 UYK1563:UYK1567 VIG1563:VIG1567 UYK1578 VIG1578 VSC1578 WBY1578 WVQ1578 WLU1578 JE1578 TA1578 ACW1578 AMS1578 AWO1578 BGK1578 BQG1578 CAC1578 CJY1578 CTU1578 DDQ1578 DNM1578 DXI1578 EHE1578 ERA1578 FAW1578 FKS1578 FUO1578 GEK1578 GOG1578 GYC1578 HHY1578 HRU1578 IBQ1578 ILM1578 IVI1578 JFE1578 JPA1578 JYW1578 KIS1578 KSO1578 LCK1578 LMG1578 LWC1578 MFY1578 MPU1578 MZQ1578 NJM1578 NTI1578 ODE1578 ONA1578 OWW1578 PGS1578 PQO1578 QAK1578 QKG1578 QUC1578 RDY1578 RNU1578 RXQ1578 SHM1578 SRI1578 TBE1578 TLA1578 TUW1578 UES1578 UOO1578 G1570:G1575 VIG1571:VIG1574 UYK1571:UYK1574 UOO1571:UOO1574 UES1571:UES1574 TUW1571:TUW1574 TLA1571:TLA1574 TBE1571:TBE1574 SRI1571:SRI1574 SHM1571:SHM1574 RXQ1571:RXQ1574 RNU1571:RNU1574 RDY1571:RDY1574 QUC1571:QUC1574 QKG1571:QKG1574 QAK1571:QAK1574 PQO1571:PQO1574 PGS1571:PGS1574 OWW1571:OWW1574 ONA1571:ONA1574 ODE1571:ODE1574 NTI1571:NTI1574 NJM1571:NJM1574 MZQ1571:MZQ1574 MPU1571:MPU1574 MFY1571:MFY1574 LWC1571:LWC1574 LMG1571:LMG1574 LCK1571:LCK1574 KSO1571:KSO1574 KIS1571:KIS1574 JYW1571:JYW1574 JPA1571:JPA1574 JFE1571:JFE1574 IVI1571:IVI1574 ILM1571:ILM1574 IBQ1571:IBQ1574 HRU1571:HRU1574 HHY1571:HHY1574 GYC1571:GYC1574 GOG1571:GOG1574 GEK1571:GEK1574 FUO1571:FUO1574 FKS1571:FKS1574 FAW1571:FAW1574 ERA1571:ERA1574 EHE1571:EHE1574 DXI1571:DXI1574 DNM1571:DNM1574 DDQ1571:DDQ1574 CTU1571:CTU1574 CJY1571:CJY1574 CAC1571:CAC1574 BQG1571:BQG1574 BGK1571:BGK1574 AWO1571:AWO1574 AMS1571:AMS1574 ACW1571:ACW1574 TA1571:TA1574 JE1571:JE1574 WLU1571:WLU1574 WVQ1571:WVQ1574 WBY1571:WBY1574 G1809:G1812 G1814:G1824 UYK1810 VIG1810 VSC1810 WBY1810 WVQ1810 WLU1810 JE1810 TA1810 ACW1810 AMS1810 AWO1810 BGK1810 BQG1810 CAC1810 CJY1810 CTU1810 DDQ1810 DNM1810 DXI1810 EHE1810 ERA1810 FAW1810 FKS1810 FUO1810 GEK1810 GOG1810 GYC1810 HHY1810 HRU1810 IBQ1810 ILM1810 IVI1810 JFE1810 JPA1810 JYW1810 KIS1810 KSO1810 LCK1810 LMG1810 LWC1810 MFY1810 MPU1810 MZQ1810 NJM1810 NTI1810 ODE1810 ONA1810 OWW1810 PGS1810 PQO1810 QAK1810 QKG1810 QUC1810 RDY1810 RNU1810 RXQ1810 SHM1810 SRI1810 TBE1810 TLA1810 TUW1810 UES1810 UOO1810 WBY1805:WBY1806 WVQ1805:WVQ1806 WLU1805:WLU1806 JE1805:JE1806 TA1805:TA1806 ACW1805:ACW1806 AMS1805:AMS1806 AWO1805:AWO1806 BGK1805:BGK1806 BQG1805:BQG1806 CAC1805:CAC1806 CJY1805:CJY1806 CTU1805:CTU1806 DDQ1805:DDQ1806 DNM1805:DNM1806 DXI1805:DXI1806 EHE1805:EHE1806 ERA1805:ERA1806 FAW1805:FAW1806 FKS1805:FKS1806 FUO1805:FUO1806 GEK1805:GEK1806 GOG1805:GOG1806 GYC1805:GYC1806 HHY1805:HHY1806 HRU1805:HRU1806 IBQ1805:IBQ1806 ILM1805:ILM1806 IVI1805:IVI1806 JFE1805:JFE1806 JPA1805:JPA1806 JYW1805:JYW1806 KIS1805:KIS1806 KSO1805:KSO1806 LCK1805:LCK1806 LMG1805:LMG1806 LWC1805:LWC1806 MFY1805:MFY1806 MPU1805:MPU1806 MZQ1805:MZQ1806 NJM1805:NJM1806 NTI1805:NTI1806 ODE1805:ODE1806 ONA1805:ONA1806 OWW1805:OWW1806 PGS1805:PGS1806 PQO1805:PQO1806 QAK1805:QAK1806 QKG1805:QKG1806 QUC1805:QUC1806 RDY1805:RDY1806 RNU1805:RNU1806 RXQ1805:RXQ1806 SHM1805:SHM1806 SRI1805:SRI1806 TBE1805:TBE1806 TLA1805:TLA1806 TUW1805:TUW1806 UES1805:UES1806 UOO1805:UOO1806 UYK1805:UYK1806 VIG1805:VIG1806 G1804:G1807 VSC1805:VSC1806 G1654:G1658 VIG1596:VIG1605 VSC1596:VSC1605 WBY1596:WBY1605 WVQ1596:WVQ1605 WLU1596:WLU1605 JE1596:JE1605 TA1596:TA1605 ACW1596:ACW1605 AMS1596:AMS1605 AWO1596:AWO1605 BGK1596:BGK1605 BQG1596:BQG1605 CAC1596:CAC1605 CJY1596:CJY1605 CTU1596:CTU1605 DDQ1596:DDQ1605 DNM1596:DNM1605 DXI1596:DXI1605 EHE1596:EHE1605 ERA1596:ERA1605 FAW1596:FAW1605 FKS1596:FKS1605 FUO1596:FUO1605 GEK1596:GEK1605 GOG1596:GOG1605 GYC1596:GYC1605 HHY1596:HHY1605 HRU1596:HRU1605 IBQ1596:IBQ1605 ILM1596:ILM1605 IVI1596:IVI1605 JFE1596:JFE1605 JPA1596:JPA1605 JYW1596:JYW1605 KIS1596:KIS1605 KSO1596:KSO1605 LCK1596:LCK1605 LMG1596:LMG1605 LWC1596:LWC1605 MFY1596:MFY1605 MPU1596:MPU1605 MZQ1596:MZQ1605 NJM1596:NJM1605 NTI1596:NTI1605 ODE1596:ODE1605 ONA1596:ONA1605 OWW1596:OWW1605 PGS1596:PGS1605 PQO1596:PQO1605 QAK1596:QAK1605 QKG1596:QKG1605 QUC1596:QUC1605 RDY1596:RDY1605 RNU1596:RNU1605 RXQ1596:RXQ1605 SHM1596:SHM1605 SRI1596:SRI1605 TBE1596:TBE1605 TLA1596:TLA1605 TUW1596:TUW1605 UES1596:UES1605 UOO1596:UOO1605 UYK1596:UYK1605 G1614:G1618 G1620:G1622 VSC1625:VSC1626 WBY1625:WBY1626 WVQ1625:WVQ1626 WLU1625:WLU1626 JE1625:JE1626 TA1625:TA1626 ACW1625:ACW1626 AMS1625:AMS1626 AWO1625:AWO1626 BGK1625:BGK1626 BQG1625:BQG1626 CAC1625:CAC1626 CJY1625:CJY1626 CTU1625:CTU1626 DDQ1625:DDQ1626 DNM1625:DNM1626 DXI1625:DXI1626 EHE1625:EHE1626 ERA1625:ERA1626 FAW1625:FAW1626 FKS1625:FKS1626 FUO1625:FUO1626 GEK1625:GEK1626 GOG1625:GOG1626 GYC1625:GYC1626 HHY1625:HHY1626 HRU1625:HRU1626 IBQ1625:IBQ1626 ILM1625:ILM1626 IVI1625:IVI1626 JFE1625:JFE1626 JPA1625:JPA1626 JYW1625:JYW1626 KIS1625:KIS1626 KSO1625:KSO1626 LCK1625:LCK1626 LMG1625:LMG1626 LWC1625:LWC1626 MFY1625:MFY1626 MPU1625:MPU1626 MZQ1625:MZQ1626 NJM1625:NJM1626 NTI1625:NTI1626 ODE1625:ODE1626 ONA1625:ONA1626 OWW1625:OWW1626 PGS1625:PGS1626 PQO1625:PQO1626 QAK1625:QAK1626 QKG1625:QKG1626 QUC1625:QUC1626 RDY1625:RDY1626 RNU1625:RNU1626 RXQ1625:RXQ1626 SHM1625:SHM1626 SRI1625:SRI1626 TBE1625:TBE1626 TLA1625:TLA1626 TUW1625:TUW1626 UES1625:UES1626 UOO1625:UOO1626 UYK1625:UYK1626 G1624:G1629 VIG1625:VIG1626 VSC1628 WBY1628 WVQ1628 WLU1628 JE1628 TA1628 ACW1628 AMS1628 AWO1628 BGK1628 BQG1628 CAC1628 CJY1628 CTU1628 DDQ1628 DNM1628 DXI1628 EHE1628 ERA1628 FAW1628 FKS1628 FUO1628 GEK1628 GOG1628 GYC1628 HHY1628 HRU1628 IBQ1628 ILM1628 IVI1628 JFE1628 JPA1628 JYW1628 KIS1628 KSO1628 LCK1628 LMG1628 LWC1628 MFY1628 MPU1628 MZQ1628 NJM1628 NTI1628 ODE1628 ONA1628 OWW1628 PGS1628 PQO1628 QAK1628 QKG1628 QUC1628 RDY1628 RNU1628 RXQ1628 SHM1628 SRI1628 TBE1628 TLA1628 TUW1628 UES1628 UOO1628 UYK1628 VIG1628 WVQ1611 WLU1611 JE1611 TA1611 ACW1611 AMS1611 AWO1611 BGK1611 BQG1611 CAC1611 CJY1611 CTU1611 DDQ1611 DNM1611 DXI1611 EHE1611 ERA1611 FAW1611 FKS1611 FUO1611 GEK1611 GOG1611 GYC1611 HHY1611 HRU1611 IBQ1611 ILM1611 IVI1611 JFE1611 JPA1611 JYW1611 KIS1611 KSO1611 LCK1611 LMG1611 LWC1611 MFY1611 MPU1611 MZQ1611 NJM1611 NTI1611 ODE1611 ONA1611 OWW1611 PGS1611 PQO1611 QAK1611 QKG1611 QUC1611 RDY1611 RNU1611 RXQ1611 SHM1611 SRI1611 TBE1611 TLA1611 TUW1611 UES1611 UOO1611 UYK1611 VIG1611 VSC1611 VSC1609 VIG1609 UYK1609 UOO1609 UES1609 TUW1609 TLA1609 TBE1609 SRI1609 SHM1609 RXQ1609 RNU1609 RDY1609 QUC1609 QKG1609 QAK1609 PQO1609 PGS1609 OWW1609 ONA1609 ODE1609 NTI1609 NJM1609 MZQ1609 MPU1609 MFY1609 LWC1609 LMG1609 LCK1609 KSO1609 KIS1609 JYW1609 JPA1609 JFE1609 IVI1609 ILM1609 IBQ1609 HRU1609 HHY1609 GYC1609 GOG1609 GEK1609 FUO1609 FKS1609 FAW1609 ERA1609 EHE1609 DXI1609 DNM1609 DDQ1609 CTU1609 CJY1609 CAC1609 BQG1609 BGK1609 AWO1609 AMS1609 ACW1609 TA1609 JE1609 WLU1609 WVQ1609 WBY1609 WBY1611 G1608:G1612 G1670:G1675 G1588:G1605 G1660:G1664 G1666:G1668 VSC1673:VSC1674 WBY1673:WBY1674 WVQ1673:WVQ1674 WLU1673:WLU1674 JE1673:JE1674 TA1673:TA1674 ACW1673:ACW1674 AMS1673:AMS1674 AWO1673:AWO1674 BGK1673:BGK1674 BQG1673:BQG1674 CAC1673:CAC1674 CJY1673:CJY1674 CTU1673:CTU1674 DDQ1673:DDQ1674 DNM1673:DNM1674 DXI1673:DXI1674 EHE1673:EHE1674 ERA1673:ERA1674 FAW1673:FAW1674 FKS1673:FKS1674 FUO1673:FUO1674 GEK1673:GEK1674 GOG1673:GOG1674 GYC1673:GYC1674 HHY1673:HHY1674 HRU1673:HRU1674 IBQ1673:IBQ1674 ILM1673:ILM1674 IVI1673:IVI1674 JFE1673:JFE1674 JPA1673:JPA1674 JYW1673:JYW1674 KIS1673:KIS1674 KSO1673:KSO1674 LCK1673:LCK1674 LMG1673:LMG1674 LWC1673:LWC1674 MFY1673:MFY1674 MPU1673:MPU1674 MZQ1673:MZQ1674 NJM1673:NJM1674 NTI1673:NTI1674 ODE1673:ODE1674 ONA1673:ONA1674 OWW1673:OWW1674 PGS1673:PGS1674 PQO1673:PQO1674 QAK1673:QAK1674 QKG1673:QKG1674 QUC1673:QUC1674 RDY1673:RDY1674 RNU1673:RNU1674 RXQ1673:RXQ1674 SHM1673:SHM1674 SRI1673:SRI1674 TBE1673:TBE1674 TLA1673:TLA1674 TUW1673:TUW1674 UES1673:UES1674 UOO1673:UOO1674 UYK1673:UYK1674 VIG1673:VIG1674 VSC1671 WBY1671 WVQ1671 WLU1671 JE1671 TA1671 ACW1671 AMS1671 AWO1671 BGK1671 BQG1671 CAC1671 CJY1671 CTU1671 DDQ1671 DNM1671 DXI1671 EHE1671 ERA1671 FAW1671 FKS1671 FUO1671 GEK1671 GOG1671 GYC1671 HHY1671 HRU1671 IBQ1671 ILM1671 IVI1671 JFE1671 JPA1671 JYW1671 KIS1671 KSO1671 LCK1671 LMG1671 LWC1671 MFY1671 MPU1671 MZQ1671 NJM1671 NTI1671 ODE1671 ONA1671 OWW1671 PGS1671 PQO1671 QAK1671 QKG1671 QUC1671 RDY1671 RNU1671 RXQ1671 SHM1671 SRI1671 TBE1671 TLA1671 TUW1671 UES1671 UOO1671 UYK1671 VIG1671 WVQ1657 WLU1657 JE1657 TA1657 ACW1657 AMS1657 AWO1657 BGK1657 BQG1657 CAC1657 CJY1657 CTU1657 DDQ1657 DNM1657 DXI1657 EHE1657 ERA1657 FAW1657 FKS1657 FUO1657 GEK1657 GOG1657 GYC1657 HHY1657 HRU1657 IBQ1657 ILM1657 IVI1657 JFE1657 JPA1657 JYW1657 KIS1657 KSO1657 LCK1657 LMG1657 LWC1657 MFY1657 MPU1657 MZQ1657 NJM1657 NTI1657 ODE1657 ONA1657 OWW1657 PGS1657 PQO1657 QAK1657 QKG1657 QUC1657 RDY1657 RNU1657 RXQ1657 SHM1657 SRI1657 TBE1657 TLA1657 TUW1657 UES1657 UOO1657 UYK1657 VIG1657 VSC1657 VSC1655 VIG1655 UYK1655 UOO1655 UES1655 TUW1655 TLA1655 TBE1655 SRI1655 SHM1655 RXQ1655 RNU1655 RDY1655 QUC1655 QKG1655 QAK1655 PQO1655 PGS1655 OWW1655 ONA1655 ODE1655 NTI1655 NJM1655 MZQ1655 MPU1655 MFY1655 LWC1655 LMG1655 LCK1655 KSO1655 KIS1655 JYW1655 JPA1655 JFE1655 IVI1655 ILM1655 IBQ1655 HRU1655 HHY1655 GYC1655 GOG1655 GEK1655 FUO1655 FKS1655 FAW1655 ERA1655 EHE1655 DXI1655 DNM1655 DDQ1655 CTU1655 CJY1655 CAC1655 BQG1655 BGK1655 AWO1655 AMS1655 ACW1655 TA1655 JE1655 WLU1655 WVQ1655 WBY1655 WBY1657 UYK1639:UYK1651 UOO1639:UOO1651 UES1639:UES1651 TUW1639:TUW1651 TLA1639:TLA1651 TBE1639:TBE1651 SRI1639:SRI1651 SHM1639:SHM1651 RXQ1639:RXQ1651 RNU1639:RNU1651 RDY1639:RDY1651 QUC1639:QUC1651 QKG1639:QKG1651 QAK1639:QAK1651 PQO1639:PQO1651 PGS1639:PGS1651 OWW1639:OWW1651 ONA1639:ONA1651 ODE1639:ODE1651 NTI1639:NTI1651 NJM1639:NJM1651 MZQ1639:MZQ1651 MPU1639:MPU1651 MFY1639:MFY1651 LWC1639:LWC1651 LMG1639:LMG1651 LCK1639:LCK1651 KSO1639:KSO1651 KIS1639:KIS1651 JYW1639:JYW1651 JPA1639:JPA1651 JFE1639:JFE1651 IVI1639:IVI1651 ILM1639:ILM1651 IBQ1639:IBQ1651 HRU1639:HRU1651 HHY1639:HHY1651 GYC1639:GYC1651 GOG1639:GOG1651 GEK1639:GEK1651 FUO1639:FUO1651 FKS1639:FKS1651 FAW1639:FAW1651 ERA1639:ERA1651 EHE1639:EHE1651 DXI1639:DXI1651 DNM1639:DNM1651 DDQ1639:DDQ1651 CTU1639:CTU1651 CJY1639:CJY1651 CAC1639:CAC1651 BQG1639:BQG1651 BGK1639:BGK1651 AWO1639:AWO1651 AMS1639:AMS1651 ACW1639:ACW1651 TA1639:TA1651 JE1639:JE1651 WLU1639:WLU1651 WVQ1639:WVQ1651 WBY1639:WBY1651 VSC1639:VSC1651 VIG1639:VIG1651 G1631:G1651 G1702:G1706 G1724:G1730 G1677:G1699 G1720:G1722 WBY1725:WBY1726 WVQ1725:WVQ1726 WLU1725:WLU1726 JE1725:JE1726 TA1725:TA1726 ACW1725:ACW1726 AMS1725:AMS1726 AWO1725:AWO1726 BGK1725:BGK1726 BQG1725:BQG1726 CAC1725:CAC1726 CJY1725:CJY1726 CTU1725:CTU1726 DDQ1725:DDQ1726 DNM1725:DNM1726 DXI1725:DXI1726 EHE1725:EHE1726 ERA1725:ERA1726 FAW1725:FAW1726 FKS1725:FKS1726 FUO1725:FUO1726 GEK1725:GEK1726 GOG1725:GOG1726 GYC1725:GYC1726 HHY1725:HHY1726 HRU1725:HRU1726 IBQ1725:IBQ1726 ILM1725:ILM1726 IVI1725:IVI1726 JFE1725:JFE1726 JPA1725:JPA1726 JYW1725:JYW1726 KIS1725:KIS1726 KSO1725:KSO1726 LCK1725:LCK1726 LMG1725:LMG1726 LWC1725:LWC1726 MFY1725:MFY1726 MPU1725:MPU1726 MZQ1725:MZQ1726 NJM1725:NJM1726 NTI1725:NTI1726 ODE1725:ODE1726 ONA1725:ONA1726 OWW1725:OWW1726 PGS1725:PGS1726 PQO1725:PQO1726 QAK1725:QAK1726 QKG1725:QKG1726 QUC1725:QUC1726 RDY1725:RDY1726 RNU1725:RNU1726 RXQ1725:RXQ1726 SHM1725:SHM1726 SRI1725:SRI1726 TBE1725:TBE1726 TLA1725:TLA1726 TUW1725:TUW1726 UES1725:UES1726 UOO1725:UOO1726 UYK1725:UYK1726 VIG1725:VIG1726 G1708:G1718 WVQ1705 WLU1705 JE1705 TA1705 ACW1705 AMS1705 AWO1705 BGK1705 BQG1705 CAC1705 CJY1705 CTU1705 DDQ1705 DNM1705 DXI1705 EHE1705 ERA1705 FAW1705 FKS1705 FUO1705 GEK1705 GOG1705 GYC1705 HHY1705 HRU1705 IBQ1705 ILM1705 IVI1705 JFE1705 JPA1705 JYW1705 KIS1705 KSO1705 LCK1705 LMG1705 LWC1705 MFY1705 MPU1705 MZQ1705 NJM1705 NTI1705 ODE1705 ONA1705 OWW1705 PGS1705 PQO1705 QAK1705 QKG1705 QUC1705 RDY1705 RNU1705 RXQ1705 SHM1705 SRI1705 TBE1705 TLA1705 TUW1705 UES1705 UOO1705 UYK1705 VIG1705 VSC1705 VSC1703 VIG1703 UYK1703 UOO1703 UES1703 TUW1703 TLA1703 TBE1703 SRI1703 SHM1703 RXQ1703 RNU1703 RDY1703 QUC1703 QKG1703 QAK1703 PQO1703 PGS1703 OWW1703 ONA1703 ODE1703 NTI1703 NJM1703 MZQ1703 MPU1703 MFY1703 LWC1703 LMG1703 LCK1703 KSO1703 KIS1703 JYW1703 JPA1703 JFE1703 IVI1703 ILM1703 IBQ1703 HRU1703 HHY1703 GYC1703 GOG1703 GEK1703 FUO1703 FKS1703 FAW1703 ERA1703 EHE1703 DXI1703 DNM1703 DDQ1703 CTU1703 CJY1703 CAC1703 BQG1703 BGK1703 AWO1703 AMS1703 ACW1703 TA1703 JE1703 WLU1703 WVQ1703 WBY1703 WBY1705 VIG1686:VIG1699 UYK1686:UYK1699 UOO1686:UOO1699 UES1686:UES1699 TUW1686:TUW1699 TLA1686:TLA1699 TBE1686:TBE1699 SRI1686:SRI1699 SHM1686:SHM1699 RXQ1686:RXQ1699 RNU1686:RNU1699 RDY1686:RDY1699 QUC1686:QUC1699 QKG1686:QKG1699 QAK1686:QAK1699 PQO1686:PQO1699 PGS1686:PGS1699 OWW1686:OWW1699 ONA1686:ONA1699 ODE1686:ODE1699 NTI1686:NTI1699 NJM1686:NJM1699 MZQ1686:MZQ1699 MPU1686:MPU1699 MFY1686:MFY1699 LWC1686:LWC1699 LMG1686:LMG1699 LCK1686:LCK1699 KSO1686:KSO1699 KIS1686:KIS1699 JYW1686:JYW1699 JPA1686:JPA1699 JFE1686:JFE1699 IVI1686:IVI1699 ILM1686:ILM1699 IBQ1686:IBQ1699 HRU1686:HRU1699 HHY1686:HHY1699 GYC1686:GYC1699 GOG1686:GOG1699 GEK1686:GEK1699 FUO1686:FUO1699 FKS1686:FKS1699 FAW1686:FAW1699 ERA1686:ERA1699 EHE1686:EHE1699 DXI1686:DXI1699 DNM1686:DNM1699 DDQ1686:DDQ1699 CTU1686:CTU1699 CJY1686:CJY1699 CAC1686:CAC1699 BQG1686:BQG1699 BGK1686:BGK1699 AWO1686:AWO1699 AMS1686:AMS1699 ACW1686:ACW1699 TA1686:TA1699 JE1686:JE1699 WLU1686:WLU1699 WVQ1686:WVQ1699 WBY1686:WBY1699 VSC1686:VSC1699 VSC1725:VSC1726 WBY1728:WBY1729 WVQ1728:WVQ1729 WLU1728:WLU1729 JE1728:JE1729 TA1728:TA1729 ACW1728:ACW1729 AMS1728:AMS1729 AWO1728:AWO1729 BGK1728:BGK1729 BQG1728:BQG1729 CAC1728:CAC1729 CJY1728:CJY1729 CTU1728:CTU1729 DDQ1728:DDQ1729 DNM1728:DNM1729 DXI1728:DXI1729 EHE1728:EHE1729 ERA1728:ERA1729 FAW1728:FAW1729 FKS1728:FKS1729 FUO1728:FUO1729 GEK1728:GEK1729 GOG1728:GOG1729 GYC1728:GYC1729 HHY1728:HHY1729 HRU1728:HRU1729 IBQ1728:IBQ1729 ILM1728:ILM1729 IVI1728:IVI1729 JFE1728:JFE1729 JPA1728:JPA1729 JYW1728:JYW1729 KIS1728:KIS1729 KSO1728:KSO1729 LCK1728:LCK1729 LMG1728:LMG1729 LWC1728:LWC1729 MFY1728:MFY1729 MPU1728:MPU1729 MZQ1728:MZQ1729 NJM1728:NJM1729 NTI1728:NTI1729 ODE1728:ODE1729 ONA1728:ONA1729 OWW1728:OWW1729 PGS1728:PGS1729 PQO1728:PQO1729 QAK1728:QAK1729 QKG1728:QKG1729 QUC1728:QUC1729 RDY1728:RDY1729 RNU1728:RNU1729 RXQ1728:RXQ1729 SHM1728:SHM1729 SRI1728:SRI1729 TBE1728:TBE1729 TLA1728:TLA1729 TUW1728:TUW1729 UES1728:UES1729 UOO1728:UOO1729 UYK1728:UYK1729 VIG1728:VIG1729 VSC1728:VSC1729 G1771:G1775 G1755:G1759 G1767:G1769 G1761:G1765 WVQ1772:WVQ1773 WLU1772:WLU1773 JE1772:JE1773 TA1772:TA1773 ACW1772:ACW1773 AMS1772:AMS1773 AWO1772:AWO1773 BGK1772:BGK1773 BQG1772:BQG1773 CAC1772:CAC1773 CJY1772:CJY1773 CTU1772:CTU1773 DDQ1772:DDQ1773 DNM1772:DNM1773 DXI1772:DXI1773 EHE1772:EHE1773 ERA1772:ERA1773 FAW1772:FAW1773 FKS1772:FKS1773 FUO1772:FUO1773 GEK1772:GEK1773 GOG1772:GOG1773 GYC1772:GYC1773 HHY1772:HHY1773 HRU1772:HRU1773 IBQ1772:IBQ1773 ILM1772:ILM1773 IVI1772:IVI1773 JFE1772:JFE1773 JPA1772:JPA1773 JYW1772:JYW1773 KIS1772:KIS1773 KSO1772:KSO1773 LCK1772:LCK1773 LMG1772:LMG1773 LWC1772:LWC1773 MFY1772:MFY1773 MPU1772:MPU1773 MZQ1772:MZQ1773 NJM1772:NJM1773 NTI1772:NTI1773 ODE1772:ODE1773 ONA1772:ONA1773 OWW1772:OWW1773 PGS1772:PGS1773 PQO1772:PQO1773 QAK1772:QAK1773 QKG1772:QKG1773 QUC1772:QUC1773 RDY1772:RDY1773 RNU1772:RNU1773 RXQ1772:RXQ1773 SHM1772:SHM1773 SRI1772:SRI1773 TBE1772:TBE1773 TLA1772:TLA1773 TUW1772:TUW1773 UES1772:UES1773 UOO1772:UOO1773 UYK1772:UYK1773 VIG1772:VIG1773 VSC1772:VSC1773 WVQ1758 WLU1758 JE1758 TA1758 ACW1758 AMS1758 AWO1758 BGK1758 BQG1758 CAC1758 CJY1758 CTU1758 DDQ1758 DNM1758 DXI1758 EHE1758 ERA1758 FAW1758 FKS1758 FUO1758 GEK1758 GOG1758 GYC1758 HHY1758 HRU1758 IBQ1758 ILM1758 IVI1758 JFE1758 JPA1758 JYW1758 KIS1758 KSO1758 LCK1758 LMG1758 LWC1758 MFY1758 MPU1758 MZQ1758 NJM1758 NTI1758 ODE1758 ONA1758 OWW1758 PGS1758 PQO1758 QAK1758 QKG1758 QUC1758 RDY1758 RNU1758 RXQ1758 SHM1758 SRI1758 TBE1758 TLA1758 TUW1758 UES1758 UOO1758 UYK1758 VIG1758 VSC1758 VSC1756 VIG1756 UYK1756 UOO1756 UES1756 TUW1756 TLA1756 TBE1756 SRI1756 SHM1756 RXQ1756 RNU1756 RDY1756 QUC1756 QKG1756 QAK1756 PQO1756 PGS1756 OWW1756 ONA1756 ODE1756 NTI1756 NJM1756 MZQ1756 MPU1756 MFY1756 LWC1756 LMG1756 LCK1756 KSO1756 KIS1756 JYW1756 JPA1756 JFE1756 IVI1756 ILM1756 IBQ1756 HRU1756 HHY1756 GYC1756 GOG1756 GEK1756 FUO1756 FKS1756 FAW1756 ERA1756 EHE1756 DXI1756 DNM1756 DDQ1756 CTU1756 CJY1756 CAC1756 BQG1756 BGK1756 AWO1756 AMS1756 ACW1756 TA1756 JE1756 WLU1756 WVQ1756 WBY1756 WBY1758 WBY1741:WBY1752 VSC1741:VSC1752 G1732:G1752 VIG1741:VIG1752 UYK1741:UYK1752 UOO1741:UOO1752 UES1741:UES1752 TUW1741:TUW1752 TLA1741:TLA1752 TBE1741:TBE1752 SRI1741:SRI1752 SHM1741:SHM1752 RXQ1741:RXQ1752 RNU1741:RNU1752 RDY1741:RDY1752 QUC1741:QUC1752 QKG1741:QKG1752 QAK1741:QAK1752 PQO1741:PQO1752 PGS1741:PGS1752 OWW1741:OWW1752 ONA1741:ONA1752 ODE1741:ODE1752 NTI1741:NTI1752 NJM1741:NJM1752 MZQ1741:MZQ1752 MPU1741:MPU1752 MFY1741:MFY1752 LWC1741:LWC1752 LMG1741:LMG1752 LCK1741:LCK1752 KSO1741:KSO1752 KIS1741:KIS1752 JYW1741:JYW1752 JPA1741:JPA1752 JFE1741:JFE1752 IVI1741:IVI1752 ILM1741:ILM1752 IBQ1741:IBQ1752 HRU1741:HRU1752 HHY1741:HHY1752 GYC1741:GYC1752 GOG1741:GOG1752 GEK1741:GEK1752 FUO1741:FUO1752 FKS1741:FKS1752 FAW1741:FAW1752 ERA1741:ERA1752 EHE1741:EHE1752 DXI1741:DXI1752 DNM1741:DNM1752 DDQ1741:DDQ1752 CTU1741:CTU1752 CJY1741:CJY1752 CAC1741:CAC1752 BQG1741:BQG1752 BGK1741:BGK1752 AWO1741:AWO1752 AMS1741:AMS1752 ACW1741:ACW1752 TA1741:TA1752 JE1741:JE1752 WLU1741:WLU1752 WVQ1741:WVQ1752 WBY1772:WBY1773 G1800:G1802 G1796:G1798 G1777:G1793 WBY1786:WBY1793 VSC1786:VSC1793 VIG1786:VIG1793 UYK1786:UYK1793 UOO1786:UOO1793 UES1786:UES1793 TUW1786:TUW1793 TLA1786:TLA1793 TBE1786:TBE1793 SRI1786:SRI1793 SHM1786:SHM1793 RXQ1786:RXQ1793 RNU1786:RNU1793 RDY1786:RDY1793 QUC1786:QUC1793 QKG1786:QKG1793 QAK1786:QAK1793 PQO1786:PQO1793 PGS1786:PGS1793 OWW1786:OWW1793 ONA1786:ONA1793 ODE1786:ODE1793 NTI1786:NTI1793 NJM1786:NJM1793 MZQ1786:MZQ1793 MPU1786:MPU1793 MFY1786:MFY1793 LWC1786:LWC1793 LMG1786:LMG1793 LCK1786:LCK1793 KSO1786:KSO1793 KIS1786:KIS1793 JYW1786:JYW1793 JPA1786:JPA1793 JFE1786:JFE1793 IVI1786:IVI1793 ILM1786:ILM1793 IBQ1786:IBQ1793 HRU1786:HRU1793 HHY1786:HHY1793 GYC1786:GYC1793 GOG1786:GOG1793 GEK1786:GEK1793 FUO1786:FUO1793 FKS1786:FKS1793 FAW1786:FAW1793 ERA1786:ERA1793 EHE1786:EHE1793 DXI1786:DXI1793 DNM1786:DNM1793 DDQ1786:DDQ1793 CTU1786:CTU1793 CJY1786:CJY1793 CAC1786:CAC1793 BQG1786:BQG1793 BGK1786:BGK1793 AWO1786:AWO1793 AMS1786:AMS1793 ACW1786:ACW1793 TA1786:TA1793 JE1786:JE1793 WLU1786:WLU1793 WVQ1786:WVQ1793 G1309:G1313 G1315:G1317 VSC1320:VSC1321 WBY1320:WBY1321 WVQ1320:WVQ1321 WLU1320:WLU1321 JE1320:JE1321 TA1320:TA1321 ACW1320:ACW1321 AMS1320:AMS1321 AWO1320:AWO1321 BGK1320:BGK1321 BQG1320:BQG1321 CAC1320:CAC1321 CJY1320:CJY1321 CTU1320:CTU1321 DDQ1320:DDQ1321 DNM1320:DNM1321 DXI1320:DXI1321 EHE1320:EHE1321 ERA1320:ERA1321 FAW1320:FAW1321 FKS1320:FKS1321 FUO1320:FUO1321 GEK1320:GEK1321 GOG1320:GOG1321 GYC1320:GYC1321 HHY1320:HHY1321 HRU1320:HRU1321 IBQ1320:IBQ1321 ILM1320:ILM1321 IVI1320:IVI1321 JFE1320:JFE1321 JPA1320:JPA1321 JYW1320:JYW1321 KIS1320:KIS1321 KSO1320:KSO1321 LCK1320:LCK1321 LMG1320:LMG1321 LWC1320:LWC1321 MFY1320:MFY1321 MPU1320:MPU1321 MZQ1320:MZQ1321 NJM1320:NJM1321 NTI1320:NTI1321 ODE1320:ODE1321 ONA1320:ONA1321 OWW1320:OWW1321 PGS1320:PGS1321 PQO1320:PQO1321 QAK1320:QAK1321 QKG1320:QKG1321 QUC1320:QUC1321 RDY1320:RDY1321 RNU1320:RNU1321 RXQ1320:RXQ1321 SHM1320:SHM1321 SRI1320:SRI1321 TBE1320:TBE1321 TLA1320:TLA1321 TUW1320:TUW1321 UES1320:UES1321 UOO1320:UOO1321 UYK1320:UYK1321 G1319:G1324 VIG1320:VIG1321 VSC1323 WBY1323 WVQ1323 WLU1323 JE1323 TA1323 ACW1323 AMS1323 AWO1323 BGK1323 BQG1323 CAC1323 CJY1323 CTU1323 DDQ1323 DNM1323 DXI1323 EHE1323 ERA1323 FAW1323 FKS1323 FUO1323 GEK1323 GOG1323 GYC1323 HHY1323 HRU1323 IBQ1323 ILM1323 IVI1323 JFE1323 JPA1323 JYW1323 KIS1323 KSO1323 LCK1323 LMG1323 LWC1323 MFY1323 MPU1323 MZQ1323 NJM1323 NTI1323 ODE1323 ONA1323 OWW1323 PGS1323 PQO1323 QAK1323 QKG1323 QUC1323 RDY1323 RNU1323 RXQ1323 SHM1323 SRI1323 TBE1323 TLA1323 TUW1323 UES1323 UOO1323 UYK1323 VIG1323 WVQ1306 WLU1306 JE1306 TA1306 ACW1306 AMS1306 AWO1306 BGK1306 BQG1306 CAC1306 CJY1306 CTU1306 DDQ1306 DNM1306 DXI1306 EHE1306 ERA1306 FAW1306 FKS1306 FUO1306 GEK1306 GOG1306 GYC1306 HHY1306 HRU1306 IBQ1306 ILM1306 IVI1306 JFE1306 JPA1306 JYW1306 KIS1306 KSO1306 LCK1306 LMG1306 LWC1306 MFY1306 MPU1306 MZQ1306 NJM1306 NTI1306 ODE1306 ONA1306 OWW1306 PGS1306 PQO1306 QAK1306 QKG1306 QUC1306 RDY1306 RNU1306 RXQ1306 SHM1306 SRI1306 TBE1306 TLA1306 TUW1306 UES1306 UOO1306 UYK1306 VIG1306 VSC1306 VSC1304 VIG1304 UYK1304 UOO1304 UES1304 TUW1304 TLA1304 TBE1304 SRI1304 SHM1304 RXQ1304 RNU1304 RDY1304 QUC1304 QKG1304 QAK1304 PQO1304 PGS1304 OWW1304 ONA1304 ODE1304 NTI1304 NJM1304 MZQ1304 MPU1304 MFY1304 LWC1304 LMG1304 LCK1304 KSO1304 KIS1304 JYW1304 JPA1304 JFE1304 IVI1304 ILM1304 IBQ1304 HRU1304 HHY1304 GYC1304 GOG1304 GEK1304 FUO1304 FKS1304 FAW1304 ERA1304 EHE1304 DXI1304 DNM1304 DDQ1304 CTU1304 CJY1304 CAC1304 BQG1304 BGK1304 AWO1304 AMS1304 ACW1304 TA1304 JE1304 WLU1304 WVQ1304 WBY1304 WBY1306 G1303:G1307 VSC1481:VSC1487 UYK1296:UYK1300 UOO1296:UOO1300 UES1296:UES1300 TUW1296:TUW1300 TLA1296:TLA1300 TBE1296:TBE1300 SRI1296:SRI1300 SHM1296:SHM1300 RXQ1296:RXQ1300 RNU1296:RNU1300 RDY1296:RDY1300 QUC1296:QUC1300 QKG1296:QKG1300 QAK1296:QAK1300 PQO1296:PQO1300 PGS1296:PGS1300 OWW1296:OWW1300 ONA1296:ONA1300 ODE1296:ODE1300 NTI1296:NTI1300 NJM1296:NJM1300 MZQ1296:MZQ1300 MPU1296:MPU1300 MFY1296:MFY1300 LWC1296:LWC1300 LMG1296:LMG1300 LCK1296:LCK1300 KSO1296:KSO1300 KIS1296:KIS1300 JYW1296:JYW1300 JPA1296:JPA1300 JFE1296:JFE1300 IVI1296:IVI1300 ILM1296:ILM1300 IBQ1296:IBQ1300 HRU1296:HRU1300 HHY1296:HHY1300 GYC1296:GYC1300 GOG1296:GOG1300 GEK1296:GEK1300 FUO1296:FUO1300 FKS1296:FKS1300 FAW1296:FAW1300 ERA1296:ERA1300 EHE1296:EHE1300 DXI1296:DXI1300 DNM1296:DNM1300 DDQ1296:DDQ1300 CTU1296:CTU1300 CJY1296:CJY1300 CAC1296:CAC1300 BQG1296:BQG1300 BGK1296:BGK1300 AWO1296:AWO1300 AMS1296:AMS1300 ACW1296:ACW1300 TA1296:TA1300 JE1296:JE1300 WLU1296:WLU1300 WVQ1296:WVQ1300 WBY1296:WBY1300 VSC1296:VSC1300 G1326:G1339 G1348:G1352 G1354:G1356 VSC1359:VSC1360 WBY1359:WBY1360 WVQ1359:WVQ1360 WLU1359:WLU1360 JE1359:JE1360 TA1359:TA1360 ACW1359:ACW1360 AMS1359:AMS1360 AWO1359:AWO1360 BGK1359:BGK1360 BQG1359:BQG1360 CAC1359:CAC1360 CJY1359:CJY1360 CTU1359:CTU1360 DDQ1359:DDQ1360 DNM1359:DNM1360 DXI1359:DXI1360 EHE1359:EHE1360 ERA1359:ERA1360 FAW1359:FAW1360 FKS1359:FKS1360 FUO1359:FUO1360 GEK1359:GEK1360 GOG1359:GOG1360 GYC1359:GYC1360 HHY1359:HHY1360 HRU1359:HRU1360 IBQ1359:IBQ1360 ILM1359:ILM1360 IVI1359:IVI1360 JFE1359:JFE1360 JPA1359:JPA1360 JYW1359:JYW1360 KIS1359:KIS1360 KSO1359:KSO1360 LCK1359:LCK1360 LMG1359:LMG1360 LWC1359:LWC1360 MFY1359:MFY1360 MPU1359:MPU1360 MZQ1359:MZQ1360 NJM1359:NJM1360 NTI1359:NTI1360 ODE1359:ODE1360 ONA1359:ONA1360 OWW1359:OWW1360 PGS1359:PGS1360 PQO1359:PQO1360 QAK1359:QAK1360 QKG1359:QKG1360 QUC1359:QUC1360 RDY1359:RDY1360 RNU1359:RNU1360 RXQ1359:RXQ1360 SHM1359:SHM1360 SRI1359:SRI1360 TBE1359:TBE1360 TLA1359:TLA1360 TUW1359:TUW1360 UES1359:UES1360 UOO1359:UOO1360 UYK1359:UYK1360 G1358:G1363 VIG1359:VIG1360 VSC1362 WBY1362 WVQ1362 WLU1362 JE1362 TA1362 ACW1362 AMS1362 AWO1362 BGK1362 BQG1362 CAC1362 CJY1362 CTU1362 DDQ1362 DNM1362 DXI1362 EHE1362 ERA1362 FAW1362 FKS1362 FUO1362 GEK1362 GOG1362 GYC1362 HHY1362 HRU1362 IBQ1362 ILM1362 IVI1362 JFE1362 JPA1362 JYW1362 KIS1362 KSO1362 LCK1362 LMG1362 LWC1362 MFY1362 MPU1362 MZQ1362 NJM1362 NTI1362 ODE1362 ONA1362 OWW1362 PGS1362 PQO1362 QAK1362 QKG1362 QUC1362 RDY1362 RNU1362 RXQ1362 SHM1362 SRI1362 TBE1362 TLA1362 TUW1362 UES1362 UOO1362 UYK1362 VIG1362 WVQ1345 WLU1345 JE1345 TA1345 ACW1345 AMS1345 AWO1345 BGK1345 BQG1345 CAC1345 CJY1345 CTU1345 DDQ1345 DNM1345 DXI1345 EHE1345 ERA1345 FAW1345 FKS1345 FUO1345 GEK1345 GOG1345 GYC1345 HHY1345 HRU1345 IBQ1345 ILM1345 IVI1345 JFE1345 JPA1345 JYW1345 KIS1345 KSO1345 LCK1345 LMG1345 LWC1345 MFY1345 MPU1345 MZQ1345 NJM1345 NTI1345 ODE1345 ONA1345 OWW1345 PGS1345 PQO1345 QAK1345 QKG1345 QUC1345 RDY1345 RNU1345 RXQ1345 SHM1345 SRI1345 TBE1345 TLA1345 TUW1345 UES1345 UOO1345 UYK1345 VIG1345 VSC1345 VSC1343 VIG1343 UYK1343 UOO1343 UES1343 TUW1343 TLA1343 TBE1343 SRI1343 SHM1343 RXQ1343 RNU1343 RDY1343 QUC1343 QKG1343 QAK1343 PQO1343 PGS1343 OWW1343 ONA1343 ODE1343 NTI1343 NJM1343 MZQ1343 MPU1343 MFY1343 LWC1343 LMG1343 LCK1343 KSO1343 KIS1343 JYW1343 JPA1343 JFE1343 IVI1343 ILM1343 IBQ1343 HRU1343 HHY1343 GYC1343 GOG1343 GEK1343 FUO1343 FKS1343 FAW1343 ERA1343 EHE1343 DXI1343 DNM1343 DDQ1343 CTU1343 CJY1343 CAC1343 BQG1343 BGK1343 AWO1343 AMS1343 ACW1343 TA1343 JE1343 WLU1343 WVQ1343 WBY1343 WBY1345 G1342:G1346 VIG1334:VIG1339 VSC1334:VSC1339 WBY1334:WBY1339 WVQ1334:WVQ1339 WLU1334:WLU1339 JE1334:JE1339 TA1334:TA1339 ACW1334:ACW1339 AMS1334:AMS1339 AWO1334:AWO1339 BGK1334:BGK1339 BQG1334:BQG1339 CAC1334:CAC1339 CJY1334:CJY1339 CTU1334:CTU1339 DDQ1334:DDQ1339 DNM1334:DNM1339 DXI1334:DXI1339 EHE1334:EHE1339 ERA1334:ERA1339 FAW1334:FAW1339 FKS1334:FKS1339 FUO1334:FUO1339 GEK1334:GEK1339 GOG1334:GOG1339 GYC1334:GYC1339 HHY1334:HHY1339 HRU1334:HRU1339 IBQ1334:IBQ1339 ILM1334:ILM1339 IVI1334:IVI1339 JFE1334:JFE1339 JPA1334:JPA1339 JYW1334:JYW1339 KIS1334:KIS1339 KSO1334:KSO1339 LCK1334:LCK1339 LMG1334:LMG1339 LWC1334:LWC1339 MFY1334:MFY1339 MPU1334:MPU1339 MZQ1334:MZQ1339 NJM1334:NJM1339 NTI1334:NTI1339 ODE1334:ODE1339 ONA1334:ONA1339 OWW1334:OWW1339 PGS1334:PGS1339 PQO1334:PQO1339 QAK1334:QAK1339 QKG1334:QKG1339 QUC1334:QUC1339 RDY1334:RDY1339 RNU1334:RNU1339 RXQ1334:RXQ1339 SHM1334:SHM1339 SRI1334:SRI1339 TBE1334:TBE1339 TLA1334:TLA1339 TUW1334:TUW1339 UES1334:UES1339 UOO1334:UOO1339 UYK1334:UYK1339 VIG1373:VIG1375 G1384:G1388 G1390:G1392 VSC1395:VSC1396 WBY1395:WBY1396 WVQ1395:WVQ1396 WLU1395:WLU1396 JE1395:JE1396 TA1395:TA1396 ACW1395:ACW1396 AMS1395:AMS1396 AWO1395:AWO1396 BGK1395:BGK1396 BQG1395:BQG1396 CAC1395:CAC1396 CJY1395:CJY1396 CTU1395:CTU1396 DDQ1395:DDQ1396 DNM1395:DNM1396 DXI1395:DXI1396 EHE1395:EHE1396 ERA1395:ERA1396 FAW1395:FAW1396 FKS1395:FKS1396 FUO1395:FUO1396 GEK1395:GEK1396 GOG1395:GOG1396 GYC1395:GYC1396 HHY1395:HHY1396 HRU1395:HRU1396 IBQ1395:IBQ1396 ILM1395:ILM1396 IVI1395:IVI1396 JFE1395:JFE1396 JPA1395:JPA1396 JYW1395:JYW1396 KIS1395:KIS1396 KSO1395:KSO1396 LCK1395:LCK1396 LMG1395:LMG1396 LWC1395:LWC1396 MFY1395:MFY1396 MPU1395:MPU1396 MZQ1395:MZQ1396 NJM1395:NJM1396 NTI1395:NTI1396 ODE1395:ODE1396 ONA1395:ONA1396 OWW1395:OWW1396 PGS1395:PGS1396 PQO1395:PQO1396 QAK1395:QAK1396 QKG1395:QKG1396 QUC1395:QUC1396 RDY1395:RDY1396 RNU1395:RNU1396 RXQ1395:RXQ1396 SHM1395:SHM1396 SRI1395:SRI1396 TBE1395:TBE1396 TLA1395:TLA1396 TUW1395:TUW1396 UES1395:UES1396 UOO1395:UOO1396 UYK1395:UYK1396 G1394:G1399 VIG1395:VIG1396 VSC1398 WBY1398 WVQ1398 WLU1398 JE1398 TA1398 ACW1398 AMS1398 AWO1398 BGK1398 BQG1398 CAC1398 CJY1398 CTU1398 DDQ1398 DNM1398 DXI1398 EHE1398 ERA1398 FAW1398 FKS1398 FUO1398 GEK1398 GOG1398 GYC1398 HHY1398 HRU1398 IBQ1398 ILM1398 IVI1398 JFE1398 JPA1398 JYW1398 KIS1398 KSO1398 LCK1398 LMG1398 LWC1398 MFY1398 MPU1398 MZQ1398 NJM1398 NTI1398 ODE1398 ONA1398 OWW1398 PGS1398 PQO1398 QAK1398 QKG1398 QUC1398 RDY1398 RNU1398 RXQ1398 SHM1398 SRI1398 TBE1398 TLA1398 TUW1398 UES1398 UOO1398 UYK1398 VIG1398 WVQ1381 WLU1381 JE1381 TA1381 ACW1381 AMS1381 AWO1381 BGK1381 BQG1381 CAC1381 CJY1381 CTU1381 DDQ1381 DNM1381 DXI1381 EHE1381 ERA1381 FAW1381 FKS1381 FUO1381 GEK1381 GOG1381 GYC1381 HHY1381 HRU1381 IBQ1381 ILM1381 IVI1381 JFE1381 JPA1381 JYW1381 KIS1381 KSO1381 LCK1381 LMG1381 LWC1381 MFY1381 MPU1381 MZQ1381 NJM1381 NTI1381 ODE1381 ONA1381 OWW1381 PGS1381 PQO1381 QAK1381 QKG1381 QUC1381 RDY1381 RNU1381 RXQ1381 SHM1381 SRI1381 TBE1381 TLA1381 TUW1381 UES1381 UOO1381 UYK1381 VIG1381 VSC1381 VSC1379 VIG1379 UYK1379 UOO1379 UES1379 TUW1379 TLA1379 TBE1379 SRI1379 SHM1379 RXQ1379 RNU1379 RDY1379 QUC1379 QKG1379 QAK1379 PQO1379 PGS1379 OWW1379 ONA1379 ODE1379 NTI1379 NJM1379 MZQ1379 MPU1379 MFY1379 LWC1379 LMG1379 LCK1379 KSO1379 KIS1379 JYW1379 JPA1379 JFE1379 IVI1379 ILM1379 IBQ1379 HRU1379 HHY1379 GYC1379 GOG1379 GEK1379 FUO1379 FKS1379 FAW1379 ERA1379 EHE1379 DXI1379 DNM1379 DDQ1379 CTU1379 CJY1379 CAC1379 BQG1379 BGK1379 AWO1379 AMS1379 ACW1379 TA1379 JE1379 WLU1379 WVQ1379 WBY1379 WBY1381 G1378:G1382 G1365:G1375 UYK1373:UYK1375 UOO1373:UOO1375 UES1373:UES1375 TUW1373:TUW1375 TLA1373:TLA1375 TBE1373:TBE1375 SRI1373:SRI1375 SHM1373:SHM1375 RXQ1373:RXQ1375 RNU1373:RNU1375 RDY1373:RDY1375 QUC1373:QUC1375 QKG1373:QKG1375 QAK1373:QAK1375 PQO1373:PQO1375 PGS1373:PGS1375 OWW1373:OWW1375 ONA1373:ONA1375 ODE1373:ODE1375 NTI1373:NTI1375 NJM1373:NJM1375 MZQ1373:MZQ1375 MPU1373:MPU1375 MFY1373:MFY1375 LWC1373:LWC1375 LMG1373:LMG1375 LCK1373:LCK1375 KSO1373:KSO1375 KIS1373:KIS1375 JYW1373:JYW1375 JPA1373:JPA1375 JFE1373:JFE1375 IVI1373:IVI1375 ILM1373:ILM1375 IBQ1373:IBQ1375 HRU1373:HRU1375 HHY1373:HHY1375 GYC1373:GYC1375 GOG1373:GOG1375 GEK1373:GEK1375 FUO1373:FUO1375 FKS1373:FKS1375 FAW1373:FAW1375 ERA1373:ERA1375 EHE1373:EHE1375 DXI1373:DXI1375 DNM1373:DNM1375 DDQ1373:DDQ1375 CTU1373:CTU1375 CJY1373:CJY1375 CAC1373:CAC1375 BQG1373:BQG1375 BGK1373:BGK1375 AWO1373:AWO1375 AMS1373:AMS1375 ACW1373:ACW1375 TA1373:TA1375 JE1373:JE1375 WLU1373:WLU1375 WVQ1373:WVQ1375 WBY1373:WBY1375 VSC1373:VSC1375 VSC1401 VIG1401 UYK1401 UOO1401 UES1401 TUW1401 TLA1401 TBE1401 SRI1401 SHM1401 RXQ1401 RNU1401 RDY1401 QUC1401 QKG1401 QAK1401 PQO1401 PGS1401 OWW1401 ONA1401 ODE1401 NTI1401 NJM1401 MZQ1401 MPU1401 MFY1401 LWC1401 LMG1401 LCK1401 KSO1401 KIS1401 JYW1401 JPA1401 JFE1401 IVI1401 ILM1401 IBQ1401 HRU1401 HHY1401 GYC1401 GOG1401 GEK1401 FUO1401 FKS1401 FAW1401 ERA1401 EHE1401 DXI1401 DNM1401 DDQ1401 CTU1401 CJY1401 CAC1401 BQG1401 BGK1401 AWO1401 AMS1401 ACW1401 TA1401 JE1401 WLU1401 WVQ1401 WBY1401 G1401:G1411 WBY1437 VIG1409:VIG1411 G1420:G1424 G1426:G1428 VSC1431:VSC1432 WBY1431:WBY1432 WVQ1431:WVQ1432 WLU1431:WLU1432 JE1431:JE1432 TA1431:TA1432 ACW1431:ACW1432 AMS1431:AMS1432 AWO1431:AWO1432 BGK1431:BGK1432 BQG1431:BQG1432 CAC1431:CAC1432 CJY1431:CJY1432 CTU1431:CTU1432 DDQ1431:DDQ1432 DNM1431:DNM1432 DXI1431:DXI1432 EHE1431:EHE1432 ERA1431:ERA1432 FAW1431:FAW1432 FKS1431:FKS1432 FUO1431:FUO1432 GEK1431:GEK1432 GOG1431:GOG1432 GYC1431:GYC1432 HHY1431:HHY1432 HRU1431:HRU1432 IBQ1431:IBQ1432 ILM1431:ILM1432 IVI1431:IVI1432 JFE1431:JFE1432 JPA1431:JPA1432 JYW1431:JYW1432 KIS1431:KIS1432 KSO1431:KSO1432 LCK1431:LCK1432 LMG1431:LMG1432 LWC1431:LWC1432 MFY1431:MFY1432 MPU1431:MPU1432 MZQ1431:MZQ1432 NJM1431:NJM1432 NTI1431:NTI1432 ODE1431:ODE1432 ONA1431:ONA1432 OWW1431:OWW1432 PGS1431:PGS1432 PQO1431:PQO1432 QAK1431:QAK1432 QKG1431:QKG1432 QUC1431:QUC1432 RDY1431:RDY1432 RNU1431:RNU1432 RXQ1431:RXQ1432 SHM1431:SHM1432 SRI1431:SRI1432 TBE1431:TBE1432 TLA1431:TLA1432 TUW1431:TUW1432 UES1431:UES1432 UOO1431:UOO1432 UYK1431:UYK1432 G1430:G1435 VIG1431:VIG1432 VSC1434 WBY1434 WVQ1434 WLU1434 JE1434 TA1434 ACW1434 AMS1434 AWO1434 BGK1434 BQG1434 CAC1434 CJY1434 CTU1434 DDQ1434 DNM1434 DXI1434 EHE1434 ERA1434 FAW1434 FKS1434 FUO1434 GEK1434 GOG1434 GYC1434 HHY1434 HRU1434 IBQ1434 ILM1434 IVI1434 JFE1434 JPA1434 JYW1434 KIS1434 KSO1434 LCK1434 LMG1434 LWC1434 MFY1434 MPU1434 MZQ1434 NJM1434 NTI1434 ODE1434 ONA1434 OWW1434 PGS1434 PQO1434 QAK1434 QKG1434 QUC1434 RDY1434 RNU1434 RXQ1434 SHM1434 SRI1434 TBE1434 TLA1434 TUW1434 UES1434 UOO1434 UYK1434 VIG1434 WVQ1417 WLU1417 JE1417 TA1417 ACW1417 AMS1417 AWO1417 BGK1417 BQG1417 CAC1417 CJY1417 CTU1417 DDQ1417 DNM1417 DXI1417 EHE1417 ERA1417 FAW1417 FKS1417 FUO1417 GEK1417 GOG1417 GYC1417 HHY1417 HRU1417 IBQ1417 ILM1417 IVI1417 JFE1417 JPA1417 JYW1417 KIS1417 KSO1417 LCK1417 LMG1417 LWC1417 MFY1417 MPU1417 MZQ1417 NJM1417 NTI1417 ODE1417 ONA1417 OWW1417 PGS1417 PQO1417 QAK1417 QKG1417 QUC1417 RDY1417 RNU1417 RXQ1417 SHM1417 SRI1417 TBE1417 TLA1417 TUW1417 UES1417 UOO1417 UYK1417 VIG1417 VSC1417 VSC1415 VIG1415 UYK1415 UOO1415 UES1415 TUW1415 TLA1415 TBE1415 SRI1415 SHM1415 RXQ1415 RNU1415 RDY1415 QUC1415 QKG1415 QAK1415 PQO1415 PGS1415 OWW1415 ONA1415 ODE1415 NTI1415 NJM1415 MZQ1415 MPU1415 MFY1415 LWC1415 LMG1415 LCK1415 KSO1415 KIS1415 JYW1415 JPA1415 JFE1415 IVI1415 ILM1415 IBQ1415 HRU1415 HHY1415 GYC1415 GOG1415 GEK1415 FUO1415 FKS1415 FAW1415 ERA1415 EHE1415 DXI1415 DNM1415 DDQ1415 CTU1415 CJY1415 CAC1415 BQG1415 BGK1415 AWO1415 AMS1415 ACW1415 TA1415 JE1415 WLU1415 WVQ1415 WBY1415 WBY1417 G1414:G1418 UYK1409:UYK1411 UOO1409:UOO1411 UES1409:UES1411 TUW1409:TUW1411 TLA1409:TLA1411 TBE1409:TBE1411 SRI1409:SRI1411 SHM1409:SHM1411 RXQ1409:RXQ1411 RNU1409:RNU1411 RDY1409:RDY1411 QUC1409:QUC1411 QKG1409:QKG1411 QAK1409:QAK1411 PQO1409:PQO1411 PGS1409:PGS1411 OWW1409:OWW1411 ONA1409:ONA1411 ODE1409:ODE1411 NTI1409:NTI1411 NJM1409:NJM1411 MZQ1409:MZQ1411 MPU1409:MPU1411 MFY1409:MFY1411 LWC1409:LWC1411 LMG1409:LMG1411 LCK1409:LCK1411 KSO1409:KSO1411 KIS1409:KIS1411 JYW1409:JYW1411 JPA1409:JPA1411 JFE1409:JFE1411 IVI1409:IVI1411 ILM1409:ILM1411 IBQ1409:IBQ1411 HRU1409:HRU1411 HHY1409:HHY1411 GYC1409:GYC1411 GOG1409:GOG1411 GEK1409:GEK1411 FUO1409:FUO1411 FKS1409:FKS1411 FAW1409:FAW1411 ERA1409:ERA1411 EHE1409:EHE1411 DXI1409:DXI1411 DNM1409:DNM1411 DDQ1409:DDQ1411 CTU1409:CTU1411 CJY1409:CJY1411 CAC1409:CAC1411 BQG1409:BQG1411 BGK1409:BGK1411 AWO1409:AWO1411 AMS1409:AMS1411 ACW1409:ACW1411 TA1409:TA1411 JE1409:JE1411 WLU1409:WLU1411 WVQ1409:WVQ1411 WBY1409:WBY1411 VSC1409:VSC1411 VSC1437 VIG1437 UYK1437 UOO1437 UES1437 TUW1437 TLA1437 TBE1437 SRI1437 SHM1437 RXQ1437 RNU1437 RDY1437 QUC1437 QKG1437 QAK1437 PQO1437 PGS1437 OWW1437 ONA1437 ODE1437 NTI1437 NJM1437 MZQ1437 MPU1437 MFY1437 LWC1437 LMG1437 LCK1437 KSO1437 KIS1437 JYW1437 JPA1437 JFE1437 IVI1437 ILM1437 IBQ1437 HRU1437 HHY1437 GYC1437 GOG1437 GEK1437 FUO1437 FKS1437 FAW1437 ERA1437 EHE1437 DXI1437 DNM1437 DDQ1437 CTU1437 CJY1437 CAC1437 BQG1437 BGK1437 AWO1437 AMS1437 ACW1437 TA1437 JE1437 WLU1437 WVQ1437 G1437:G1447 WVQ1473 WBY1473 VIG1445:VIG1447 G1456:G1460 G1462:G1464 VSC1467:VSC1468 WBY1467:WBY1468 WVQ1467:WVQ1468 WLU1467:WLU1468 JE1467:JE1468 TA1467:TA1468 ACW1467:ACW1468 AMS1467:AMS1468 AWO1467:AWO1468 BGK1467:BGK1468 BQG1467:BQG1468 CAC1467:CAC1468 CJY1467:CJY1468 CTU1467:CTU1468 DDQ1467:DDQ1468 DNM1467:DNM1468 DXI1467:DXI1468 EHE1467:EHE1468 ERA1467:ERA1468 FAW1467:FAW1468 FKS1467:FKS1468 FUO1467:FUO1468 GEK1467:GEK1468 GOG1467:GOG1468 GYC1467:GYC1468 HHY1467:HHY1468 HRU1467:HRU1468 IBQ1467:IBQ1468 ILM1467:ILM1468 IVI1467:IVI1468 JFE1467:JFE1468 JPA1467:JPA1468 JYW1467:JYW1468 KIS1467:KIS1468 KSO1467:KSO1468 LCK1467:LCK1468 LMG1467:LMG1468 LWC1467:LWC1468 MFY1467:MFY1468 MPU1467:MPU1468 MZQ1467:MZQ1468 NJM1467:NJM1468 NTI1467:NTI1468 ODE1467:ODE1468 ONA1467:ONA1468 OWW1467:OWW1468 PGS1467:PGS1468 PQO1467:PQO1468 QAK1467:QAK1468 QKG1467:QKG1468 QUC1467:QUC1468 RDY1467:RDY1468 RNU1467:RNU1468 RXQ1467:RXQ1468 SHM1467:SHM1468 SRI1467:SRI1468 TBE1467:TBE1468 TLA1467:TLA1468 TUW1467:TUW1468 UES1467:UES1468 UOO1467:UOO1468 UYK1467:UYK1468 G1466:G1471 VIG1467:VIG1468 VSC1470 WBY1470 WVQ1470 WLU1470 JE1470 TA1470 ACW1470 AMS1470 AWO1470 BGK1470 BQG1470 CAC1470 CJY1470 CTU1470 DDQ1470 DNM1470 DXI1470 EHE1470 ERA1470 FAW1470 FKS1470 FUO1470 GEK1470 GOG1470 GYC1470 HHY1470 HRU1470 IBQ1470 ILM1470 IVI1470 JFE1470 JPA1470 JYW1470 KIS1470 KSO1470 LCK1470 LMG1470 LWC1470 MFY1470 MPU1470 MZQ1470 NJM1470 NTI1470 ODE1470 ONA1470 OWW1470 PGS1470 PQO1470 QAK1470 QKG1470 QUC1470 RDY1470 RNU1470 RXQ1470 SHM1470 SRI1470 TBE1470 TLA1470 TUW1470 UES1470 UOO1470 UYK1470 VIG1470 WVQ1453 WLU1453 JE1453 TA1453 ACW1453 AMS1453 AWO1453 BGK1453 BQG1453 CAC1453 CJY1453 CTU1453 DDQ1453 DNM1453 DXI1453 EHE1453 ERA1453 FAW1453 FKS1453 FUO1453 GEK1453 GOG1453 GYC1453 HHY1453 HRU1453 IBQ1453 ILM1453 IVI1453 JFE1453 JPA1453 JYW1453 KIS1453 KSO1453 LCK1453 LMG1453 LWC1453 MFY1453 MPU1453 MZQ1453 NJM1453 NTI1453 ODE1453 ONA1453 OWW1453 PGS1453 PQO1453 QAK1453 QKG1453 QUC1453 RDY1453 RNU1453 RXQ1453 SHM1453 SRI1453 TBE1453 TLA1453 TUW1453 UES1453 UOO1453 UYK1453 VIG1453 VSC1453 VSC1451 VIG1451 UYK1451 UOO1451 UES1451 TUW1451 TLA1451 TBE1451 SRI1451 SHM1451 RXQ1451 RNU1451 RDY1451 QUC1451 QKG1451 QAK1451 PQO1451 PGS1451 OWW1451 ONA1451 ODE1451 NTI1451 NJM1451 MZQ1451 MPU1451 MFY1451 LWC1451 LMG1451 LCK1451 KSO1451 KIS1451 JYW1451 JPA1451 JFE1451 IVI1451 ILM1451 IBQ1451 HRU1451 HHY1451 GYC1451 GOG1451 GEK1451 FUO1451 FKS1451 FAW1451 ERA1451 EHE1451 DXI1451 DNM1451 DDQ1451 CTU1451 CJY1451 CAC1451 BQG1451 BGK1451 AWO1451 AMS1451 ACW1451 TA1451 JE1451 WLU1451 WVQ1451 WBY1451 WBY1453 G1450:G1454 UYK1445:UYK1447 UOO1445:UOO1447 UES1445:UES1447 TUW1445:TUW1447 TLA1445:TLA1447 TBE1445:TBE1447 SRI1445:SRI1447 SHM1445:SHM1447 RXQ1445:RXQ1447 RNU1445:RNU1447 RDY1445:RDY1447 QUC1445:QUC1447 QKG1445:QKG1447 QAK1445:QAK1447 PQO1445:PQO1447 PGS1445:PGS1447 OWW1445:OWW1447 ONA1445:ONA1447 ODE1445:ODE1447 NTI1445:NTI1447 NJM1445:NJM1447 MZQ1445:MZQ1447 MPU1445:MPU1447 MFY1445:MFY1447 LWC1445:LWC1447 LMG1445:LMG1447 LCK1445:LCK1447 KSO1445:KSO1447 KIS1445:KIS1447 JYW1445:JYW1447 JPA1445:JPA1447 JFE1445:JFE1447 IVI1445:IVI1447 ILM1445:ILM1447 IBQ1445:IBQ1447 HRU1445:HRU1447 HHY1445:HHY1447 GYC1445:GYC1447 GOG1445:GOG1447 GEK1445:GEK1447 FUO1445:FUO1447 FKS1445:FKS1447 FAW1445:FAW1447 ERA1445:ERA1447 EHE1445:EHE1447 DXI1445:DXI1447 DNM1445:DNM1447 DDQ1445:DDQ1447 CTU1445:CTU1447 CJY1445:CJY1447 CAC1445:CAC1447 BQG1445:BQG1447 BGK1445:BGK1447 AWO1445:AWO1447 AMS1445:AMS1447 ACW1445:ACW1447 TA1445:TA1447 JE1445:JE1447 WLU1445:WLU1447 WVQ1445:WVQ1447 WBY1445:WBY1447 VSC1445:VSC1447 VSC1473 VIG1473 UYK1473 UOO1473 UES1473 TUW1473 TLA1473 TBE1473 SRI1473 SHM1473 RXQ1473 RNU1473 RDY1473 QUC1473 QKG1473 QAK1473 PQO1473 PGS1473 OWW1473 ONA1473 ODE1473 NTI1473 NJM1473 MZQ1473 MPU1473 MFY1473 LWC1473 LMG1473 LCK1473 KSO1473 KIS1473 JYW1473 JPA1473 JFE1473 IVI1473 ILM1473 IBQ1473 HRU1473 HHY1473 GYC1473 GOG1473 GEK1473 FUO1473 FKS1473 FAW1473 ERA1473 EHE1473 DXI1473 DNM1473 DDQ1473 CTU1473 CJY1473 CAC1473 BQG1473 BGK1473 AWO1473 AMS1473 ACW1473 TA1473 JE1473 WLU1473 G1513:G1539 WVQ1513 WBY1513 G1496:G1500 G1502:G1504 VSC1507:VSC1508 WBY1507:WBY1508 WVQ1507:WVQ1508 WLU1507:WLU1508 JE1507:JE1508 TA1507:TA1508 ACW1507:ACW1508 AMS1507:AMS1508 AWO1507:AWO1508 BGK1507:BGK1508 BQG1507:BQG1508 CAC1507:CAC1508 CJY1507:CJY1508 CTU1507:CTU1508 DDQ1507:DDQ1508 DNM1507:DNM1508 DXI1507:DXI1508 EHE1507:EHE1508 ERA1507:ERA1508 FAW1507:FAW1508 FKS1507:FKS1508 FUO1507:FUO1508 GEK1507:GEK1508 GOG1507:GOG1508 GYC1507:GYC1508 HHY1507:HHY1508 HRU1507:HRU1508 IBQ1507:IBQ1508 ILM1507:ILM1508 IVI1507:IVI1508 JFE1507:JFE1508 JPA1507:JPA1508 JYW1507:JYW1508 KIS1507:KIS1508 KSO1507:KSO1508 LCK1507:LCK1508 LMG1507:LMG1508 LWC1507:LWC1508 MFY1507:MFY1508 MPU1507:MPU1508 MZQ1507:MZQ1508 NJM1507:NJM1508 NTI1507:NTI1508 ODE1507:ODE1508 ONA1507:ONA1508 OWW1507:OWW1508 PGS1507:PGS1508 PQO1507:PQO1508 QAK1507:QAK1508 QKG1507:QKG1508 QUC1507:QUC1508 RDY1507:RDY1508 RNU1507:RNU1508 RXQ1507:RXQ1508 SHM1507:SHM1508 SRI1507:SRI1508 TBE1507:TBE1508 TLA1507:TLA1508 TUW1507:TUW1508 UES1507:UES1508 UOO1507:UOO1508 UYK1507:UYK1508 G1506:G1511 VIG1507:VIG1508 VSC1510 WBY1510 WVQ1510 WLU1510 JE1510 TA1510 ACW1510 AMS1510 AWO1510 BGK1510 BQG1510 CAC1510 CJY1510 CTU1510 DDQ1510 DNM1510 DXI1510 EHE1510 ERA1510 FAW1510 FKS1510 FUO1510 GEK1510 GOG1510 GYC1510 HHY1510 HRU1510 IBQ1510 ILM1510 IVI1510 JFE1510 JPA1510 JYW1510 KIS1510 KSO1510 LCK1510 LMG1510 LWC1510 MFY1510 MPU1510 MZQ1510 NJM1510 NTI1510 ODE1510 ONA1510 OWW1510 PGS1510 PQO1510 QAK1510 QKG1510 QUC1510 RDY1510 RNU1510 RXQ1510 SHM1510 SRI1510 TBE1510 TLA1510 TUW1510 UES1510 UOO1510 UYK1510 VIG1510 WVQ1493 WLU1493 JE1493 TA1493 ACW1493 AMS1493 AWO1493 BGK1493 BQG1493 CAC1493 CJY1493 CTU1493 DDQ1493 DNM1493 DXI1493 EHE1493 ERA1493 FAW1493 FKS1493 FUO1493 GEK1493 GOG1493 GYC1493 HHY1493 HRU1493 IBQ1493 ILM1493 IVI1493 JFE1493 JPA1493 JYW1493 KIS1493 KSO1493 LCK1493 LMG1493 LWC1493 MFY1493 MPU1493 MZQ1493 NJM1493 NTI1493 ODE1493 ONA1493 OWW1493 PGS1493 PQO1493 QAK1493 QKG1493 QUC1493 RDY1493 RNU1493 RXQ1493 SHM1493 SRI1493 TBE1493 TLA1493 TUW1493 UES1493 UOO1493 UYK1493 VIG1493 VSC1493 VSC1491 VIG1491 UYK1491 UOO1491 UES1491 TUW1491 TLA1491 TBE1491 SRI1491 SHM1491 RXQ1491 RNU1491 RDY1491 QUC1491 QKG1491 QAK1491 PQO1491 PGS1491 OWW1491 ONA1491 ODE1491 NTI1491 NJM1491 MZQ1491 MPU1491 MFY1491 LWC1491 LMG1491 LCK1491 KSO1491 KIS1491 JYW1491 JPA1491 JFE1491 IVI1491 ILM1491 IBQ1491 HRU1491 HHY1491 GYC1491 GOG1491 GEK1491 FUO1491 FKS1491 FAW1491 ERA1491 EHE1491 DXI1491 DNM1491 DDQ1491 CTU1491 CJY1491 CAC1491 BQG1491 BGK1491 AWO1491 AMS1491 ACW1491 TA1491 JE1491 WLU1491 WVQ1491 WBY1491 WBY1493 G1490:G1494 WLU1513 VSC1513 VIG1513 UYK1513 UOO1513 UES1513 TUW1513 TLA1513 TBE1513 SRI1513 SHM1513 RXQ1513 RNU1513 RDY1513 QUC1513 QKG1513 QAK1513 PQO1513 PGS1513 OWW1513 ONA1513 ODE1513 NTI1513 NJM1513 MZQ1513 MPU1513 MFY1513 LWC1513 LMG1513 LCK1513 KSO1513 KIS1513 JYW1513 JPA1513 JFE1513 IVI1513 ILM1513 IBQ1513 HRU1513 HHY1513 GYC1513 GOG1513 GEK1513 FUO1513 FKS1513 FAW1513 ERA1513 EHE1513 DXI1513 DNM1513 DDQ1513 CTU1513 CJY1513 CAC1513 BQG1513 BGK1513 AWO1513 AMS1513 ACW1513 TA1513 JE1513 G1473:G1487 VIG1481:VIG1487 UYK1481:UYK1487 UOO1481:UOO1487 UES1481:UES1487 TUW1481:TUW1487 TLA1481:TLA1487 TBE1481:TBE1487 SRI1481:SRI1487 SHM1481:SHM1487 RXQ1481:RXQ1487 RNU1481:RNU1487 RDY1481:RDY1487 QUC1481:QUC1487 QKG1481:QKG1487 QAK1481:QAK1487 PQO1481:PQO1487 PGS1481:PGS1487 OWW1481:OWW1487 ONA1481:ONA1487 ODE1481:ODE1487 NTI1481:NTI1487 NJM1481:NJM1487 MZQ1481:MZQ1487 MPU1481:MPU1487 MFY1481:MFY1487 LWC1481:LWC1487 LMG1481:LMG1487 LCK1481:LCK1487 KSO1481:KSO1487 KIS1481:KIS1487 JYW1481:JYW1487 JPA1481:JPA1487 JFE1481:JFE1487 IVI1481:IVI1487 ILM1481:ILM1487 IBQ1481:IBQ1487 HRU1481:HRU1487 HHY1481:HHY1487 GYC1481:GYC1487 GOG1481:GOG1487 GEK1481:GEK1487 FUO1481:FUO1487 FKS1481:FKS1487 FAW1481:FAW1487 ERA1481:ERA1487 EHE1481:EHE1487 DXI1481:DXI1487 DNM1481:DNM1487 DDQ1481:DDQ1487 CTU1481:CTU1487 CJY1481:CJY1487 CAC1481:CAC1487 BQG1481:BQG1487 BGK1481:BGK1487 AWO1481:AWO1487 AMS1481:AMS1487 ACW1481:ACW1487 TA1481:TA1487 JE1481:JE1487 WLU1481:WLU1487 WVQ1481:WVQ1487 WBY1481:WBY1487 G1105:G1107 G1095:G1099 G1101:G1103 VSC1106 WBY1106 WVQ1106 WLU1106 JE1106 TA1106 ACW1106 AMS1106 AWO1106 BGK1106 BQG1106 CAC1106 CJY1106 CTU1106 DDQ1106 DNM1106 DXI1106 EHE1106 ERA1106 FAW1106 FKS1106 FUO1106 GEK1106 GOG1106 GYC1106 HHY1106 HRU1106 IBQ1106 ILM1106 IVI1106 JFE1106 JPA1106 JYW1106 KIS1106 KSO1106 LCK1106 LMG1106 LWC1106 MFY1106 MPU1106 MZQ1106 NJM1106 NTI1106 ODE1106 ONA1106 OWW1106 PGS1106 PQO1106 QAK1106 QKG1106 QUC1106 RDY1106 RNU1106 RXQ1106 SHM1106 SRI1106 TBE1106 TLA1106 TUW1106 UES1106 UOO1106 UYK1106 VIG1106 WVQ1092 WLU1092 JE1092 TA1092 ACW1092 AMS1092 AWO1092 BGK1092 BQG1092 CAC1092 CJY1092 CTU1092 DDQ1092 DNM1092 DXI1092 EHE1092 ERA1092 FAW1092 FKS1092 FUO1092 GEK1092 GOG1092 GYC1092 HHY1092 HRU1092 IBQ1092 ILM1092 IVI1092 JFE1092 JPA1092 JYW1092 KIS1092 KSO1092 LCK1092 LMG1092 LWC1092 MFY1092 MPU1092 MZQ1092 NJM1092 NTI1092 ODE1092 ONA1092 OWW1092 PGS1092 PQO1092 QAK1092 QKG1092 QUC1092 RDY1092 RNU1092 RXQ1092 SHM1092 SRI1092 TBE1092 TLA1092 TUW1092 UES1092 UOO1092 UYK1092 VIG1092 VSC1092 VSC1090 VIG1090 UYK1090 UOO1090 UES1090 TUW1090 TLA1090 TBE1090 SRI1090 SHM1090 RXQ1090 RNU1090 RDY1090 QUC1090 QKG1090 QAK1090 PQO1090 PGS1090 OWW1090 ONA1090 ODE1090 NTI1090 NJM1090 MZQ1090 MPU1090 MFY1090 LWC1090 LMG1090 LCK1090 KSO1090 KIS1090 JYW1090 JPA1090 JFE1090 IVI1090 ILM1090 IBQ1090 HRU1090 HHY1090 GYC1090 GOG1090 GEK1090 FUO1090 FKS1090 FAW1090 ERA1090 EHE1090 DXI1090 DNM1090 DDQ1090 CTU1090 CJY1090 CAC1090 BQG1090 BGK1090 AWO1090 AMS1090 ACW1090 TA1090 JE1090 WLU1090 WVQ1090 WBY1090 WBY1092 G1089:G1093 VIG1079:VIG1086 G1132:G1136 G1138:G1142 G1144:G1146 VSC1149:VSC1150 WBY1149:WBY1150 WVQ1149:WVQ1150 WLU1149:WLU1150 JE1149:JE1150 TA1149:TA1150 ACW1149:ACW1150 AMS1149:AMS1150 AWO1149:AWO1150 BGK1149:BGK1150 BQG1149:BQG1150 CAC1149:CAC1150 CJY1149:CJY1150 CTU1149:CTU1150 DDQ1149:DDQ1150 DNM1149:DNM1150 DXI1149:DXI1150 EHE1149:EHE1150 ERA1149:ERA1150 FAW1149:FAW1150 FKS1149:FKS1150 FUO1149:FUO1150 GEK1149:GEK1150 GOG1149:GOG1150 GYC1149:GYC1150 HHY1149:HHY1150 HRU1149:HRU1150 IBQ1149:IBQ1150 ILM1149:ILM1150 IVI1149:IVI1150 JFE1149:JFE1150 JPA1149:JPA1150 JYW1149:JYW1150 KIS1149:KIS1150 KSO1149:KSO1150 LCK1149:LCK1150 LMG1149:LMG1150 LWC1149:LWC1150 MFY1149:MFY1150 MPU1149:MPU1150 MZQ1149:MZQ1150 NJM1149:NJM1150 NTI1149:NTI1150 ODE1149:ODE1150 ONA1149:ONA1150 OWW1149:OWW1150 PGS1149:PGS1150 PQO1149:PQO1150 QAK1149:QAK1150 QKG1149:QKG1150 QUC1149:QUC1150 RDY1149:RDY1150 RNU1149:RNU1150 RXQ1149:RXQ1150 SHM1149:SHM1150 SRI1149:SRI1150 TBE1149:TBE1150 TLA1149:TLA1150 TUW1149:TUW1150 UES1149:UES1150 UOO1149:UOO1150 UYK1149:UYK1150 G1148:G1153 VIG1149:VIG1150 VSC1152 WBY1152 WVQ1152 WLU1152 JE1152 TA1152 ACW1152 AMS1152 AWO1152 BGK1152 BQG1152 CAC1152 CJY1152 CTU1152 DDQ1152 DNM1152 DXI1152 EHE1152 ERA1152 FAW1152 FKS1152 FUO1152 GEK1152 GOG1152 GYC1152 HHY1152 HRU1152 IBQ1152 ILM1152 IVI1152 JFE1152 JPA1152 JYW1152 KIS1152 KSO1152 LCK1152 LMG1152 LWC1152 MFY1152 MPU1152 MZQ1152 NJM1152 NTI1152 ODE1152 ONA1152 OWW1152 PGS1152 PQO1152 QAK1152 QKG1152 QUC1152 RDY1152 RNU1152 RXQ1152 SHM1152 SRI1152 TBE1152 TLA1152 TUW1152 UES1152 UOO1152 UYK1152 VIG1152 WVQ1135 WLU1135 JE1135 TA1135 ACW1135 AMS1135 AWO1135 BGK1135 BQG1135 CAC1135 CJY1135 CTU1135 DDQ1135 DNM1135 DXI1135 EHE1135 ERA1135 FAW1135 FKS1135 FUO1135 GEK1135 GOG1135 GYC1135 HHY1135 HRU1135 IBQ1135 ILM1135 IVI1135 JFE1135 JPA1135 JYW1135 KIS1135 KSO1135 LCK1135 LMG1135 LWC1135 MFY1135 MPU1135 MZQ1135 NJM1135 NTI1135 ODE1135 ONA1135 OWW1135 PGS1135 PQO1135 QAK1135 QKG1135 QUC1135 RDY1135 RNU1135 RXQ1135 SHM1135 SRI1135 TBE1135 TLA1135 TUW1135 UES1135 UOO1135 UYK1135 VIG1135 VSC1135 VSC1133 VIG1133 UYK1133 UOO1133 UES1133 TUW1133 TLA1133 TBE1133 SRI1133 SHM1133 RXQ1133 RNU1133 RDY1133 QUC1133 QKG1133 QAK1133 PQO1133 PGS1133 OWW1133 ONA1133 ODE1133 NTI1133 NJM1133 MZQ1133 MPU1133 MFY1133 LWC1133 LMG1133 LCK1133 KSO1133 KIS1133 JYW1133 JPA1133 JFE1133 IVI1133 ILM1133 IBQ1133 HRU1133 HHY1133 GYC1133 GOG1133 GEK1133 FUO1133 FKS1133 FAW1133 ERA1133 EHE1133 DXI1133 DNM1133 DDQ1133 CTU1133 CJY1133 CAC1133 BQG1133 BGK1133 AWO1133 AMS1133 ACW1133 TA1133 JE1133 WLU1133 WVQ1133 WBY1133 WBY1135 G1155:G1175 VIG1163:VIG1175 G1178:G1182 G1184:G1188 G1190:G1192 VSC1195:VSC1196 WBY1195:WBY1196 WVQ1195:WVQ1196 WLU1195:WLU1196 JE1195:JE1196 TA1195:TA1196 ACW1195:ACW1196 AMS1195:AMS1196 AWO1195:AWO1196 BGK1195:BGK1196 BQG1195:BQG1196 CAC1195:CAC1196 CJY1195:CJY1196 CTU1195:CTU1196 DDQ1195:DDQ1196 DNM1195:DNM1196 DXI1195:DXI1196 EHE1195:EHE1196 ERA1195:ERA1196 FAW1195:FAW1196 FKS1195:FKS1196 FUO1195:FUO1196 GEK1195:GEK1196 GOG1195:GOG1196 GYC1195:GYC1196 HHY1195:HHY1196 HRU1195:HRU1196 IBQ1195:IBQ1196 ILM1195:ILM1196 IVI1195:IVI1196 JFE1195:JFE1196 JPA1195:JPA1196 JYW1195:JYW1196 KIS1195:KIS1196 KSO1195:KSO1196 LCK1195:LCK1196 LMG1195:LMG1196 LWC1195:LWC1196 MFY1195:MFY1196 MPU1195:MPU1196 MZQ1195:MZQ1196 NJM1195:NJM1196 NTI1195:NTI1196 ODE1195:ODE1196 ONA1195:ONA1196 OWW1195:OWW1196 PGS1195:PGS1196 PQO1195:PQO1196 QAK1195:QAK1196 QKG1195:QKG1196 QUC1195:QUC1196 RDY1195:RDY1196 RNU1195:RNU1196 RXQ1195:RXQ1196 SHM1195:SHM1196 SRI1195:SRI1196 TBE1195:TBE1196 TLA1195:TLA1196 TUW1195:TUW1196 UES1195:UES1196 UOO1195:UOO1196 UYK1195:UYK1196 G1194:G1199 VIG1195:VIG1196 VSC1198 WBY1198 WVQ1198 WLU1198 JE1198 TA1198 ACW1198 AMS1198 AWO1198 BGK1198 BQG1198 CAC1198 CJY1198 CTU1198 DDQ1198 DNM1198 DXI1198 EHE1198 ERA1198 FAW1198 FKS1198 FUO1198 GEK1198 GOG1198 GYC1198 HHY1198 HRU1198 IBQ1198 ILM1198 IVI1198 JFE1198 JPA1198 JYW1198 KIS1198 KSO1198 LCK1198 LMG1198 LWC1198 MFY1198 MPU1198 MZQ1198 NJM1198 NTI1198 ODE1198 ONA1198 OWW1198 PGS1198 PQO1198 QAK1198 QKG1198 QUC1198 RDY1198 RNU1198 RXQ1198 SHM1198 SRI1198 TBE1198 TLA1198 TUW1198 UES1198 UOO1198 UYK1198 VIG1198 WVQ1181 WLU1181 JE1181 TA1181 ACW1181 AMS1181 AWO1181 BGK1181 BQG1181 CAC1181 CJY1181 CTU1181 DDQ1181 DNM1181 DXI1181 EHE1181 ERA1181 FAW1181 FKS1181 FUO1181 GEK1181 GOG1181 GYC1181 HHY1181 HRU1181 IBQ1181 ILM1181 IVI1181 JFE1181 JPA1181 JYW1181 KIS1181 KSO1181 LCK1181 LMG1181 LWC1181 MFY1181 MPU1181 MZQ1181 NJM1181 NTI1181 ODE1181 ONA1181 OWW1181 PGS1181 PQO1181 QAK1181 QKG1181 QUC1181 RDY1181 RNU1181 RXQ1181 SHM1181 SRI1181 TBE1181 TLA1181 TUW1181 UES1181 UOO1181 UYK1181 VIG1181 VSC1181 VSC1179 VIG1179 UYK1179 UOO1179 UES1179 TUW1179 TLA1179 TBE1179 SRI1179 SHM1179 RXQ1179 RNU1179 RDY1179 QUC1179 QKG1179 QAK1179 PQO1179 PGS1179 OWW1179 ONA1179 ODE1179 NTI1179 NJM1179 MZQ1179 MPU1179 MFY1179 LWC1179 LMG1179 LCK1179 KSO1179 KIS1179 JYW1179 JPA1179 JFE1179 IVI1179 ILM1179 IBQ1179 HRU1179 HHY1179 GYC1179 GOG1179 GEK1179 FUO1179 FKS1179 FAW1179 ERA1179 EHE1179 DXI1179 DNM1179 DDQ1179 CTU1179 CJY1179 CAC1179 BQG1179 BGK1179 AWO1179 AMS1179 ACW1179 TA1179 JE1179 WLU1179 WVQ1179 WBY1179 WBY1181 UYK1163:UYK1175 UOO1163:UOO1175 UES1163:UES1175 TUW1163:TUW1175 TLA1163:TLA1175 TBE1163:TBE1175 SRI1163:SRI1175 SHM1163:SHM1175 RXQ1163:RXQ1175 RNU1163:RNU1175 RDY1163:RDY1175 QUC1163:QUC1175 QKG1163:QKG1175 QAK1163:QAK1175 PQO1163:PQO1175 PGS1163:PGS1175 OWW1163:OWW1175 ONA1163:ONA1175 ODE1163:ODE1175 NTI1163:NTI1175 NJM1163:NJM1175 MZQ1163:MZQ1175 MPU1163:MPU1175 MFY1163:MFY1175 LWC1163:LWC1175 LMG1163:LMG1175 LCK1163:LCK1175 KSO1163:KSO1175 KIS1163:KIS1175 JYW1163:JYW1175 JPA1163:JPA1175 JFE1163:JFE1175 IVI1163:IVI1175 ILM1163:ILM1175 IBQ1163:IBQ1175 HRU1163:HRU1175 HHY1163:HHY1175 GYC1163:GYC1175 GOG1163:GOG1175 GEK1163:GEK1175 FUO1163:FUO1175 FKS1163:FKS1175 FAW1163:FAW1175 ERA1163:ERA1175 EHE1163:EHE1175 DXI1163:DXI1175 DNM1163:DNM1175 DDQ1163:DDQ1175 CTU1163:CTU1175 CJY1163:CJY1175 CAC1163:CAC1175 BQG1163:BQG1175 BGK1163:BGK1175 AWO1163:AWO1175 AMS1163:AMS1175 ACW1163:ACW1175 TA1163:TA1175 JE1163:JE1175 WLU1163:WLU1175 WVQ1163:WVQ1175 WBY1163:WBY1175 VSC1163:VSC1175 G1201:G1221 G1240:G1245 VIG1209:VIG1221 G1224:G1228 G1230:G1234 G1236:G1238 VSC1241:VSC1242 WBY1241:WBY1242 WVQ1241:WVQ1242 WLU1241:WLU1242 JE1241:JE1242 TA1241:TA1242 ACW1241:ACW1242 AMS1241:AMS1242 AWO1241:AWO1242 BGK1241:BGK1242 BQG1241:BQG1242 CAC1241:CAC1242 CJY1241:CJY1242 CTU1241:CTU1242 DDQ1241:DDQ1242 DNM1241:DNM1242 DXI1241:DXI1242 EHE1241:EHE1242 ERA1241:ERA1242 FAW1241:FAW1242 FKS1241:FKS1242 FUO1241:FUO1242 GEK1241:GEK1242 GOG1241:GOG1242 GYC1241:GYC1242 HHY1241:HHY1242 HRU1241:HRU1242 IBQ1241:IBQ1242 ILM1241:ILM1242 IVI1241:IVI1242 JFE1241:JFE1242 JPA1241:JPA1242 JYW1241:JYW1242 KIS1241:KIS1242 KSO1241:KSO1242 LCK1241:LCK1242 LMG1241:LMG1242 LWC1241:LWC1242 MFY1241:MFY1242 MPU1241:MPU1242 MZQ1241:MZQ1242 NJM1241:NJM1242 NTI1241:NTI1242 ODE1241:ODE1242 ONA1241:ONA1242 OWW1241:OWW1242 PGS1241:PGS1242 PQO1241:PQO1242 QAK1241:QAK1242 QKG1241:QKG1242 QUC1241:QUC1242 RDY1241:RDY1242 RNU1241:RNU1242 RXQ1241:RXQ1242 SHM1241:SHM1242 SRI1241:SRI1242 TBE1241:TBE1242 TLA1241:TLA1242 TUW1241:TUW1242 UES1241:UES1242 UOO1241:UOO1242 UYK1241:UYK1242 VSC1209:VSC1221 VIG1241:VIG1242 VSC1244 WBY1244 WVQ1244 WLU1244 JE1244 TA1244 ACW1244 AMS1244 AWO1244 BGK1244 BQG1244 CAC1244 CJY1244 CTU1244 DDQ1244 DNM1244 DXI1244 EHE1244 ERA1244 FAW1244 FKS1244 FUO1244 GEK1244 GOG1244 GYC1244 HHY1244 HRU1244 IBQ1244 ILM1244 IVI1244 JFE1244 JPA1244 JYW1244 KIS1244 KSO1244 LCK1244 LMG1244 LWC1244 MFY1244 MPU1244 MZQ1244 NJM1244 NTI1244 ODE1244 ONA1244 OWW1244 PGS1244 PQO1244 QAK1244 QKG1244 QUC1244 RDY1244 RNU1244 RXQ1244 SHM1244 SRI1244 TBE1244 TLA1244 TUW1244 UES1244 UOO1244 UYK1244 VIG1244 WVQ1227 WLU1227 JE1227 TA1227 ACW1227 AMS1227 AWO1227 BGK1227 BQG1227 CAC1227 CJY1227 CTU1227 DDQ1227 DNM1227 DXI1227 EHE1227 ERA1227 FAW1227 FKS1227 FUO1227 GEK1227 GOG1227 GYC1227 HHY1227 HRU1227 IBQ1227 ILM1227 IVI1227 JFE1227 JPA1227 JYW1227 KIS1227 KSO1227 LCK1227 LMG1227 LWC1227 MFY1227 MPU1227 MZQ1227 NJM1227 NTI1227 ODE1227 ONA1227 OWW1227 PGS1227 PQO1227 QAK1227 QKG1227 QUC1227 RDY1227 RNU1227 RXQ1227 SHM1227 SRI1227 TBE1227 TLA1227 TUW1227 UES1227 UOO1227 UYK1227 VIG1227 VSC1227 VSC1225 VIG1225 UYK1225 UOO1225 UES1225 TUW1225 TLA1225 TBE1225 SRI1225 SHM1225 RXQ1225 RNU1225 RDY1225 QUC1225 QKG1225 QAK1225 PQO1225 PGS1225 OWW1225 ONA1225 ODE1225 NTI1225 NJM1225 MZQ1225 MPU1225 MFY1225 LWC1225 LMG1225 LCK1225 KSO1225 KIS1225 JYW1225 JPA1225 JFE1225 IVI1225 ILM1225 IBQ1225 HRU1225 HHY1225 GYC1225 GOG1225 GEK1225 FUO1225 FKS1225 FAW1225 ERA1225 EHE1225 DXI1225 DNM1225 DDQ1225 CTU1225 CJY1225 CAC1225 BQG1225 BGK1225 AWO1225 AMS1225 ACW1225 TA1225 JE1225 WLU1225 WVQ1225 WBY1225 WBY1227 UYK1209:UYK1221 UOO1209:UOO1221 UES1209:UES1221 TUW1209:TUW1221 TLA1209:TLA1221 TBE1209:TBE1221 SRI1209:SRI1221 SHM1209:SHM1221 RXQ1209:RXQ1221 RNU1209:RNU1221 RDY1209:RDY1221 QUC1209:QUC1221 QKG1209:QKG1221 QAK1209:QAK1221 PQO1209:PQO1221 PGS1209:PGS1221 OWW1209:OWW1221 ONA1209:ONA1221 ODE1209:ODE1221 NTI1209:NTI1221 NJM1209:NJM1221 MZQ1209:MZQ1221 MPU1209:MPU1221 MFY1209:MFY1221 LWC1209:LWC1221 LMG1209:LMG1221 LCK1209:LCK1221 KSO1209:KSO1221 KIS1209:KIS1221 JYW1209:JYW1221 JPA1209:JPA1221 JFE1209:JFE1221 IVI1209:IVI1221 ILM1209:ILM1221 IBQ1209:IBQ1221 HRU1209:HRU1221 HHY1209:HHY1221 GYC1209:GYC1221 GOG1209:GOG1221 GEK1209:GEK1221 FUO1209:FUO1221 FKS1209:FKS1221 FAW1209:FAW1221 ERA1209:ERA1221 EHE1209:EHE1221 DXI1209:DXI1221 DNM1209:DNM1221 DDQ1209:DDQ1221 CTU1209:CTU1221 CJY1209:CJY1221 CAC1209:CAC1221 BQG1209:BQG1221 BGK1209:BGK1221 AWO1209:AWO1221 AMS1209:AMS1221 ACW1209:ACW1221 TA1209:TA1221 JE1209:JE1221 WLU1209:WLU1221 WVQ1209:WVQ1221 WBY1209:WBY1221 G1263:G1267 G1269:G1273 G1275:G1277 VSC1280:VSC1281 WBY1280:WBY1281 WVQ1280:WVQ1281 WLU1280:WLU1281 JE1280:JE1281 TA1280:TA1281 ACW1280:ACW1281 AMS1280:AMS1281 AWO1280:AWO1281 BGK1280:BGK1281 BQG1280:BQG1281 CAC1280:CAC1281 CJY1280:CJY1281 CTU1280:CTU1281 DDQ1280:DDQ1281 DNM1280:DNM1281 DXI1280:DXI1281 EHE1280:EHE1281 ERA1280:ERA1281 FAW1280:FAW1281 FKS1280:FKS1281 FUO1280:FUO1281 GEK1280:GEK1281 GOG1280:GOG1281 GYC1280:GYC1281 HHY1280:HHY1281 HRU1280:HRU1281 IBQ1280:IBQ1281 ILM1280:ILM1281 IVI1280:IVI1281 JFE1280:JFE1281 JPA1280:JPA1281 JYW1280:JYW1281 KIS1280:KIS1281 KSO1280:KSO1281 LCK1280:LCK1281 LMG1280:LMG1281 LWC1280:LWC1281 MFY1280:MFY1281 MPU1280:MPU1281 MZQ1280:MZQ1281 NJM1280:NJM1281 NTI1280:NTI1281 ODE1280:ODE1281 ONA1280:ONA1281 OWW1280:OWW1281 PGS1280:PGS1281 PQO1280:PQO1281 QAK1280:QAK1281 QKG1280:QKG1281 QUC1280:QUC1281 RDY1280:RDY1281 RNU1280:RNU1281 RXQ1280:RXQ1281 SHM1280:SHM1281 SRI1280:SRI1281 TBE1280:TBE1281 TLA1280:TLA1281 TUW1280:TUW1281 UES1280:UES1281 UOO1280:UOO1281 UYK1280:UYK1281 G1279:G1284 VIG1280:VIG1281 VSC1283 WBY1283 WVQ1283 WLU1283 JE1283 TA1283 ACW1283 AMS1283 AWO1283 BGK1283 BQG1283 CAC1283 CJY1283 CTU1283 DDQ1283 DNM1283 DXI1283 EHE1283 ERA1283 FAW1283 FKS1283 FUO1283 GEK1283 GOG1283 GYC1283 HHY1283 HRU1283 IBQ1283 ILM1283 IVI1283 JFE1283 JPA1283 JYW1283 KIS1283 KSO1283 LCK1283 LMG1283 LWC1283 MFY1283 MPU1283 MZQ1283 NJM1283 NTI1283 ODE1283 ONA1283 OWW1283 PGS1283 PQO1283 QAK1283 QKG1283 QUC1283 RDY1283 RNU1283 RXQ1283 SHM1283 SRI1283 TBE1283 TLA1283 TUW1283 UES1283 UOO1283 UYK1283 VIG1283 WVQ1266 WLU1266 JE1266 TA1266 ACW1266 AMS1266 AWO1266 BGK1266 BQG1266 CAC1266 CJY1266 CTU1266 DDQ1266 DNM1266 DXI1266 EHE1266 ERA1266 FAW1266 FKS1266 FUO1266 GEK1266 GOG1266 GYC1266 HHY1266 HRU1266 IBQ1266 ILM1266 IVI1266 JFE1266 JPA1266 JYW1266 KIS1266 KSO1266 LCK1266 LMG1266 LWC1266 MFY1266 MPU1266 MZQ1266 NJM1266 NTI1266 ODE1266 ONA1266 OWW1266 PGS1266 PQO1266 QAK1266 QKG1266 QUC1266 RDY1266 RNU1266 RXQ1266 SHM1266 SRI1266 TBE1266 TLA1266 TUW1266 UES1266 UOO1266 UYK1266 VIG1266 VSC1266 VSC1264 VIG1264 UYK1264 UOO1264 UES1264 TUW1264 TLA1264 TBE1264 SRI1264 SHM1264 RXQ1264 RNU1264 RDY1264 QUC1264 QKG1264 QAK1264 PQO1264 PGS1264 OWW1264 ONA1264 ODE1264 NTI1264 NJM1264 MZQ1264 MPU1264 MFY1264 LWC1264 LMG1264 LCK1264 KSO1264 KIS1264 JYW1264 JPA1264 JFE1264 IVI1264 ILM1264 IBQ1264 HRU1264 HHY1264 GYC1264 GOG1264 GEK1264 FUO1264 FKS1264 FAW1264 ERA1264 EHE1264 DXI1264 DNM1264 DDQ1264 CTU1264 CJY1264 CAC1264 BQG1264 BGK1264 AWO1264 AMS1264 ACW1264 TA1264 JE1264 WLU1264 WVQ1264 WBY1264 WBY1266 G1286:G1300 VIG1255:VIG1260 VSC1255:VSC1260 WBY1255:WBY1260 WVQ1255:WVQ1260 WLU1255:WLU1260 JE1255:JE1260 TA1255:TA1260 ACW1255:ACW1260 AMS1255:AMS1260 AWO1255:AWO1260 BGK1255:BGK1260 BQG1255:BQG1260 CAC1255:CAC1260 CJY1255:CJY1260 CTU1255:CTU1260 DDQ1255:DDQ1260 DNM1255:DNM1260 DXI1255:DXI1260 EHE1255:EHE1260 ERA1255:ERA1260 FAW1255:FAW1260 FKS1255:FKS1260 FUO1255:FUO1260 GEK1255:GEK1260 GOG1255:GOG1260 GYC1255:GYC1260 HHY1255:HHY1260 HRU1255:HRU1260 IBQ1255:IBQ1260 ILM1255:ILM1260 IVI1255:IVI1260 JFE1255:JFE1260 JPA1255:JPA1260 JYW1255:JYW1260 KIS1255:KIS1260 KSO1255:KSO1260 LCK1255:LCK1260 LMG1255:LMG1260 LWC1255:LWC1260 MFY1255:MFY1260 MPU1255:MPU1260 MZQ1255:MZQ1260 NJM1255:NJM1260 NTI1255:NTI1260 ODE1255:ODE1260 ONA1255:ONA1260 OWW1255:OWW1260 PGS1255:PGS1260 PQO1255:PQO1260 QAK1255:QAK1260 QKG1255:QKG1260 QUC1255:QUC1260 RDY1255:RDY1260 RNU1255:RNU1260 RXQ1255:RXQ1260 SHM1255:SHM1260 SRI1255:SRI1260 TBE1255:TBE1260 TLA1255:TLA1260 TUW1255:TUW1260 UES1255:UES1260 UOO1255:UOO1260 UYK1255:UYK1260 G1247:G1260 VIG1118:VIG1129 VSC1118:VSC1129 WBY1118:WBY1129 WVQ1118:WVQ1129 WLU1118:WLU1129 JE1118:JE1129 TA1118:TA1129 ACW1118:ACW1129 AMS1118:AMS1129 AWO1118:AWO1129 BGK1118:BGK1129 BQG1118:BQG1129 CAC1118:CAC1129 CJY1118:CJY1129 CTU1118:CTU1129 DDQ1118:DDQ1129 DNM1118:DNM1129 DXI1118:DXI1129 EHE1118:EHE1129 ERA1118:ERA1129 FAW1118:FAW1129 FKS1118:FKS1129 FUO1118:FUO1129 GEK1118:GEK1129 GOG1118:GOG1129 GYC1118:GYC1129 HHY1118:HHY1129 HRU1118:HRU1129 IBQ1118:IBQ1129 ILM1118:ILM1129 IVI1118:IVI1129 JFE1118:JFE1129 JPA1118:JPA1129 JYW1118:JYW1129 KIS1118:KIS1129 KSO1118:KSO1129 LCK1118:LCK1129 LMG1118:LMG1129 LWC1118:LWC1129 MFY1118:MFY1129 MPU1118:MPU1129 MZQ1118:MZQ1129 NJM1118:NJM1129 NTI1118:NTI1129 ODE1118:ODE1129 ONA1118:ONA1129 OWW1118:OWW1129 PGS1118:PGS1129 PQO1118:PQO1129 QAK1118:QAK1129 QKG1118:QKG1129 QUC1118:QUC1129 RDY1118:RDY1129 RNU1118:RNU1129 RXQ1118:RXQ1129 SHM1118:SHM1129 SRI1118:SRI1129 TBE1118:TBE1129 TLA1118:TLA1129 TUW1118:TUW1129 UES1118:UES1129 UOO1118:UOO1129 UYK1118:UYK1129 G1079:G1086 WBY1079:WBY1086 WVQ1079:WVQ1086 WLU1079:WLU1086 JE1079:JE1086 TA1079:TA1086 ACW1079:ACW1086 AMS1079:AMS1086 AWO1079:AWO1086 BGK1079:BGK1086 BQG1079:BQG1086 CAC1079:CAC1086 CJY1079:CJY1086 CTU1079:CTU1086 DDQ1079:DDQ1086 DNM1079:DNM1086 DXI1079:DXI1086 EHE1079:EHE1086 ERA1079:ERA1086 FAW1079:FAW1086 FKS1079:FKS1086 FUO1079:FUO1086 GEK1079:GEK1086 GOG1079:GOG1086 GYC1079:GYC1086 HHY1079:HHY1086 HRU1079:HRU1086 IBQ1079:IBQ1086 ILM1079:ILM1086 IVI1079:IVI1086 JFE1079:JFE1086 JPA1079:JPA1086 JYW1079:JYW1086 KIS1079:KIS1086 KSO1079:KSO1086 LCK1079:LCK1086 LMG1079:LMG1086 LWC1079:LWC1086 MFY1079:MFY1086 MPU1079:MPU1086 MZQ1079:MZQ1086 NJM1079:NJM1086 NTI1079:NTI1086 ODE1079:ODE1086 ONA1079:ONA1086 OWW1079:OWW1086 PGS1079:PGS1086 PQO1079:PQO1086 QAK1079:QAK1086 QKG1079:QKG1086 QUC1079:QUC1086 RDY1079:RDY1086 RNU1079:RNU1086 RXQ1079:RXQ1086 SHM1079:SHM1086 SRI1079:SRI1086 TBE1079:TBE1086 TLA1079:TLA1086 TUW1079:TUW1086 UES1079:UES1086 UOO1079:UOO1086 UYK1079:UYK1086 VSC1079:VSC1086 G1109:G1129 G584:G588 G590:G592 VSC595 WBY595 WVQ595 WLU595 JE595 TA595 ACW595 AMS595 AWO595 BGK595 BQG595 CAC595 CJY595 CTU595 DDQ595 DNM595 DXI595 EHE595 ERA595 FAW595 FKS595 FUO595 GEK595 GOG595 GYC595 HHY595 HRU595 IBQ595 ILM595 IVI595 JFE595 JPA595 JYW595 KIS595 KSO595 LCK595 LMG595 LWC595 MFY595 MPU595 MZQ595 NJM595 NTI595 ODE595 ONA595 OWW595 PGS595 PQO595 QAK595 QKG595 QUC595 RDY595 RNU595 RXQ595 SHM595 SRI595 TBE595 TLA595 TUW595 UES595 UOO595 UYK595 VIG595 WVQ581 WLU581 JE581 TA581 ACW581 AMS581 AWO581 BGK581 BQG581 CAC581 CJY581 CTU581 DDQ581 DNM581 DXI581 EHE581 ERA581 FAW581 FKS581 FUO581 GEK581 GOG581 GYC581 HHY581 HRU581 IBQ581 ILM581 IVI581 JFE581 JPA581 JYW581 KIS581 KSO581 LCK581 LMG581 LWC581 MFY581 MPU581 MZQ581 NJM581 NTI581 ODE581 ONA581 OWW581 PGS581 PQO581 QAK581 QKG581 QUC581 RDY581 RNU581 RXQ581 SHM581 SRI581 TBE581 TLA581 TUW581 UES581 UOO581 UYK581 VIG581 VSC581 VSC579 VIG579 UYK579 UOO579 UES579 TUW579 TLA579 TBE579 SRI579 SHM579 RXQ579 RNU579 RDY579 QUC579 QKG579 QAK579 PQO579 PGS579 OWW579 ONA579 ODE579 NTI579 NJM579 MZQ579 MPU579 MFY579 LWC579 LMG579 LCK579 KSO579 KIS579 JYW579 JPA579 JFE579 IVI579 ILM579 IBQ579 HRU579 HHY579 GYC579 GOG579 GEK579 FUO579 FKS579 FAW579 ERA579 EHE579 DXI579 DNM579 DDQ579 CTU579 CJY579 CAC579 BQG579 BGK579 AWO579 AMS579 ACW579 TA579 JE579 WLU579 WVQ579 WBY579 WBY581 G578:G582 G594:G596 VSC606:VSC608 G851:G852 VSC720:VSC725 VIG720:VIG725 UYK720:UYK725 UOO720:UOO725 UES720:UES725 TUW720:TUW725 TLA720:TLA725 TBE720:TBE725 SRI720:SRI725 SHM720:SHM725 RXQ720:RXQ725 RNU720:RNU725 RDY720:RDY725 QUC720:QUC725 QKG720:QKG725 QAK720:QAK725 PQO720:PQO725 PGS720:PGS725 OWW720:OWW725 ONA720:ONA725 ODE720:ODE725 NTI720:NTI725 NJM720:NJM725 MZQ720:MZQ725 MPU720:MPU725 MFY720:MFY725 LWC720:LWC725 LMG720:LMG725 LCK720:LCK725 KSO720:KSO725 KIS720:KIS725 JYW720:JYW725 JPA720:JPA725 JFE720:JFE725 IVI720:IVI725 ILM720:ILM725 IBQ720:IBQ725 HRU720:HRU725 HHY720:HHY725 GYC720:GYC725 GOG720:GOG725 GEK720:GEK725 FUO720:FUO725 FKS720:FKS725 FAW720:FAW725 ERA720:ERA725 EHE720:EHE725 DXI720:DXI725 DNM720:DNM725 DDQ720:DDQ725 CTU720:CTU725 CJY720:CJY725 CAC720:CAC725 BQG720:BQG725 BGK720:BGK725 AWO720:AWO725 AMS720:AMS725 ACW720:ACW725 TA720:TA725 JE720:JE725 WLU720:WLU725 WVQ720:WVQ725 WBY720:WBY725 WBY733:WBY739 G728:G739 WVQ733:WVQ739 WLU733:WLU739 JE733:JE739 TA733:TA739 ACW733:ACW739 AMS733:AMS739 AWO733:AWO739 BGK733:BGK739 BQG733:BQG739 CAC733:CAC739 CJY733:CJY739 CTU733:CTU739 DDQ733:DDQ739 DNM733:DNM739 DXI733:DXI739 EHE733:EHE739 ERA733:ERA739 FAW733:FAW739 FKS733:FKS739 FUO733:FUO739 GEK733:GEK739 GOG733:GOG739 GYC733:GYC739 HHY733:HHY739 HRU733:HRU739 IBQ733:IBQ739 ILM733:ILM739 IVI733:IVI739 JFE733:JFE739 JPA733:JPA739 JYW733:JYW739 KIS733:KIS739 KSO733:KSO739 LCK733:LCK739 LMG733:LMG739 LWC733:LWC739 MFY733:MFY739 MPU733:MPU739 MZQ733:MZQ739 NJM733:NJM739 NTI733:NTI739 ODE733:ODE739 ONA733:ONA739 OWW733:OWW739 PGS733:PGS739 PQO733:PQO739 QAK733:QAK739 QKG733:QKG739 QUC733:QUC739 RDY733:RDY739 RNU733:RNU739 RXQ733:RXQ739 SHM733:SHM739 SRI733:SRI739 TBE733:TBE739 TLA733:TLA739 TUW733:TUW739 UES733:UES739 UOO733:UOO739 UYK733:UYK739 VIG733:VIG739 VSC733:VSC739 VSC748:VSC753 G742:G753 WBY748:WBY753 WVQ748:WVQ753 WLU748:WLU753 JE748:JE753 TA748:TA753 ACW748:ACW753 AMS748:AMS753 AWO748:AWO753 BGK748:BGK753 BQG748:BQG753 CAC748:CAC753 CJY748:CJY753 CTU748:CTU753 DDQ748:DDQ753 DNM748:DNM753 DXI748:DXI753 EHE748:EHE753 ERA748:ERA753 FAW748:FAW753 FKS748:FKS753 FUO748:FUO753 GEK748:GEK753 GOG748:GOG753 GYC748:GYC753 HHY748:HHY753 HRU748:HRU753 IBQ748:IBQ753 ILM748:ILM753 IVI748:IVI753 JFE748:JFE753 JPA748:JPA753 JYW748:JYW753 KIS748:KIS753 KSO748:KSO753 LCK748:LCK753 LMG748:LMG753 LWC748:LWC753 MFY748:MFY753 MPU748:MPU753 MZQ748:MZQ753 NJM748:NJM753 NTI748:NTI753 ODE748:ODE753 ONA748:ONA753 OWW748:OWW753 PGS748:PGS753 PQO748:PQO753 QAK748:QAK753 QKG748:QKG753 QUC748:QUC753 RDY748:RDY753 RNU748:RNU753 RXQ748:RXQ753 SHM748:SHM753 SRI748:SRI753 TBE748:TBE753 TLA748:TLA753 TUW748:TUW753 UES748:UES753 UOO748:UOO753 UYK748:UYK753 VIG748:VIG753 G756:G768 VSC763:VSC768 WBY763:WBY768 WVQ763:WVQ768 WLU763:WLU768 JE763:JE768 TA763:TA768 ACW763:ACW768 AMS763:AMS768 AWO763:AWO768 BGK763:BGK768 BQG763:BQG768 CAC763:CAC768 CJY763:CJY768 CTU763:CTU768 DDQ763:DDQ768 DNM763:DNM768 DXI763:DXI768 EHE763:EHE768 ERA763:ERA768 FAW763:FAW768 FKS763:FKS768 FUO763:FUO768 GEK763:GEK768 GOG763:GOG768 GYC763:GYC768 HHY763:HHY768 HRU763:HRU768 IBQ763:IBQ768 ILM763:ILM768 IVI763:IVI768 JFE763:JFE768 JPA763:JPA768 JYW763:JYW768 KIS763:KIS768 KSO763:KSO768 LCK763:LCK768 LMG763:LMG768 LWC763:LWC768 MFY763:MFY768 MPU763:MPU768 MZQ763:MZQ768 NJM763:NJM768 NTI763:NTI768 ODE763:ODE768 ONA763:ONA768 OWW763:OWW768 PGS763:PGS768 PQO763:PQO768 QAK763:QAK768 QKG763:QKG768 QUC763:QUC768 RDY763:RDY768 RNU763:RNU768 RXQ763:RXQ768 SHM763:SHM768 SRI763:SRI768 TBE763:TBE768 TLA763:TLA768 TUW763:TUW768 UES763:UES768 UOO763:UOO768 UYK763:UYK768 VIG763:VIG768 WVQ790:WVQ793 G783:G784 WBY777:WBY780 VSC777:VSC780 VIG777:VIG780 UYK777:UYK780 UOO777:UOO780 UES777:UES780 TUW777:TUW780 TLA777:TLA780 TBE777:TBE780 SRI777:SRI780 SHM777:SHM780 RXQ777:RXQ780 RNU777:RNU780 RDY777:RDY780 QUC777:QUC780 QKG777:QKG780 QAK777:QAK780 PQO777:PQO780 PGS777:PGS780 OWW777:OWW780 ONA777:ONA780 ODE777:ODE780 NTI777:NTI780 NJM777:NJM780 MZQ777:MZQ780 MPU777:MPU780 MFY777:MFY780 LWC777:LWC780 LMG777:LMG780 LCK777:LCK780 KSO777:KSO780 KIS777:KIS780 JYW777:JYW780 JPA777:JPA780 JFE777:JFE780 IVI777:IVI780 ILM777:ILM780 IBQ777:IBQ780 HRU777:HRU780 HHY777:HHY780 GYC777:GYC780 GOG777:GOG780 GEK777:GEK780 FUO777:FUO780 FKS777:FKS780 FAW777:FAW780 ERA777:ERA780 EHE777:EHE780 DXI777:DXI780 DNM777:DNM780 DDQ777:DDQ780 CTU777:CTU780 CJY777:CJY780 CAC777:CAC780 BQG777:BQG780 BGK777:BGK780 AWO777:AWO780 AMS777:AMS780 ACW777:ACW780 TA777:TA780 JE777:JE780 WLU777:WLU780 WVQ777:WVQ780 G771:G780 G787:G793 G800:G817 G796:G797 WBY790:WBY793 VSC790:VSC793 VIG790:VIG793 UYK790:UYK793 UOO790:UOO793 UES790:UES793 TUW790:TUW793 TLA790:TLA793 TBE790:TBE793 SRI790:SRI793 SHM790:SHM793 RXQ790:RXQ793 RNU790:RNU793 RDY790:RDY793 QUC790:QUC793 QKG790:QKG793 QAK790:QAK793 PQO790:PQO793 PGS790:PGS793 OWW790:OWW793 ONA790:ONA793 ODE790:ODE793 NTI790:NTI793 NJM790:NJM793 MZQ790:MZQ793 MPU790:MPU793 MFY790:MFY793 LWC790:LWC793 LMG790:LMG793 LCK790:LCK793 KSO790:KSO793 KIS790:KIS793 JYW790:JYW793 JPA790:JPA793 JFE790:JFE793 IVI790:IVI793 ILM790:ILM793 IBQ790:IBQ793 HRU790:HRU793 HHY790:HHY793 GYC790:GYC793 GOG790:GOG793 GEK790:GEK793 FUO790:FUO793 FKS790:FKS793 FAW790:FAW793 ERA790:ERA793 EHE790:EHE793 DXI790:DXI793 DNM790:DNM793 DDQ790:DDQ793 CTU790:CTU793 CJY790:CJY793 CAC790:CAC793 BQG790:BQG793 BGK790:BGK793 AWO790:AWO793 AMS790:AMS793 ACW790:ACW793 TA790:TA793 JE790:JE793 WLU790:WLU793 G617:G621 G623:G625 VSC628 WBY628 WVQ628 WLU628 JE628 TA628 ACW628 AMS628 AWO628 BGK628 BQG628 CAC628 CJY628 CTU628 DDQ628 DNM628 DXI628 EHE628 ERA628 FAW628 FKS628 FUO628 GEK628 GOG628 GYC628 HHY628 HRU628 IBQ628 ILM628 IVI628 JFE628 JPA628 JYW628 KIS628 KSO628 LCK628 LMG628 LWC628 MFY628 MPU628 MZQ628 NJM628 NTI628 ODE628 ONA628 OWW628 PGS628 PQO628 QAK628 QKG628 QUC628 RDY628 RNU628 RXQ628 SHM628 SRI628 TBE628 TLA628 TUW628 UES628 UOO628 UYK628 VIG628 WVQ614 WLU614 JE614 TA614 ACW614 AMS614 AWO614 BGK614 BQG614 CAC614 CJY614 CTU614 DDQ614 DNM614 DXI614 EHE614 ERA614 FAW614 FKS614 FUO614 GEK614 GOG614 GYC614 HHY614 HRU614 IBQ614 ILM614 IVI614 JFE614 JPA614 JYW614 KIS614 KSO614 LCK614 LMG614 LWC614 MFY614 MPU614 MZQ614 NJM614 NTI614 ODE614 ONA614 OWW614 PGS614 PQO614 QAK614 QKG614 QUC614 RDY614 RNU614 RXQ614 SHM614 SRI614 TBE614 TLA614 TUW614 UES614 UOO614 UYK614 VIG614 VSC614 VSC612 VIG612 UYK612 UOO612 UES612 TUW612 TLA612 TBE612 SRI612 SHM612 RXQ612 RNU612 RDY612 QUC612 QKG612 QAK612 PQO612 PGS612 OWW612 ONA612 ODE612 NTI612 NJM612 MZQ612 MPU612 MFY612 LWC612 LMG612 LCK612 KSO612 KIS612 JYW612 JPA612 JFE612 IVI612 ILM612 IBQ612 HRU612 HHY612 GYC612 GOG612 GEK612 FUO612 FKS612 FAW612 ERA612 EHE612 DXI612 DNM612 DDQ612 CTU612 CJY612 CAC612 BQG612 BGK612 AWO612 AMS612 ACW612 TA612 JE612 WLU612 WVQ612 WBY612 WBY614 G611:G615 G627:G629 VIG571:VIG575 G562:G575 VIG606:VIG608 WBY606:WBY608 WVQ606:WVQ608 WLU606:WLU608 JE606:JE608 TA606:TA608 ACW606:ACW608 AMS606:AMS608 AWO606:AWO608 BGK606:BGK608 BQG606:BQG608 CAC606:CAC608 CJY606:CJY608 CTU606:CTU608 DDQ606:DDQ608 DNM606:DNM608 DXI606:DXI608 EHE606:EHE608 ERA606:ERA608 FAW606:FAW608 FKS606:FKS608 FUO606:FUO608 GEK606:GEK608 GOG606:GOG608 GYC606:GYC608 HHY606:HHY608 HRU606:HRU608 IBQ606:IBQ608 ILM606:ILM608 IVI606:IVI608 JFE606:JFE608 JPA606:JPA608 JYW606:JYW608 KIS606:KIS608 KSO606:KSO608 LCK606:LCK608 LMG606:LMG608 LWC606:LWC608 MFY606:MFY608 MPU606:MPU608 MZQ606:MZQ608 NJM606:NJM608 NTI606:NTI608 ODE606:ODE608 ONA606:ONA608 OWW606:OWW608 PGS606:PGS608 PQO606:PQO608 QAK606:QAK608 QKG606:QKG608 QUC606:QUC608 RDY606:RDY608 RNU606:RNU608 RXQ606:RXQ608 SHM606:SHM608 SRI606:SRI608 TBE606:TBE608 TLA606:TLA608 TUW606:TUW608 UES606:UES608 UOO606:UOO608 UYK606:UYK608 G631:G637 WBY571:WBY575 WVQ571:WVQ575 WLU571:WLU575 JE571:JE575 TA571:TA575 ACW571:ACW575 AMS571:AMS575 AWO571:AWO575 BGK571:BGK575 BQG571:BQG575 CAC571:CAC575 CJY571:CJY575 CTU571:CTU575 DDQ571:DDQ575 DNM571:DNM575 DXI571:DXI575 EHE571:EHE575 ERA571:ERA575 FAW571:FAW575 FKS571:FKS575 FUO571:FUO575 GEK571:GEK575 GOG571:GOG575 GYC571:GYC575 HHY571:HHY575 HRU571:HRU575 IBQ571:IBQ575 ILM571:ILM575 IVI571:IVI575 JFE571:JFE575 JPA571:JPA575 JYW571:JYW575 KIS571:KIS575 KSO571:KSO575 LCK571:LCK575 LMG571:LMG575 LWC571:LWC575 MFY571:MFY575 MPU571:MPU575 MZQ571:MZQ575 NJM571:NJM575 NTI571:NTI575 ODE571:ODE575 ONA571:ONA575 OWW571:OWW575 PGS571:PGS575 PQO571:PQO575 QAK571:QAK575 QKG571:QKG575 QUC571:QUC575 RDY571:RDY575 RNU571:RNU575 RXQ571:RXQ575 SHM571:SHM575 SRI571:SRI575 TBE571:TBE575 TLA571:TLA575 TUW571:TUW575 UES571:UES575 UOO571:UOO575 UYK571:UYK575 VSC571:VSC575 G673:G679 G652:G656 G658:G660 VSC663 WBY663 WVQ663 WLU663 JE663 TA663 ACW663 AMS663 AWO663 BGK663 BQG663 CAC663 CJY663 CTU663 DDQ663 DNM663 DXI663 EHE663 ERA663 FAW663 FKS663 FUO663 GEK663 GOG663 GYC663 HHY663 HRU663 IBQ663 ILM663 IVI663 JFE663 JPA663 JYW663 KIS663 KSO663 LCK663 LMG663 LWC663 MFY663 MPU663 MZQ663 NJM663 NTI663 ODE663 ONA663 OWW663 PGS663 PQO663 QAK663 QKG663 QUC663 RDY663 RNU663 RXQ663 SHM663 SRI663 TBE663 TLA663 TUW663 UES663 UOO663 UYK663 VIG663 WVQ649 WLU649 JE649 TA649 ACW649 AMS649 AWO649 BGK649 BQG649 CAC649 CJY649 CTU649 DDQ649 DNM649 DXI649 EHE649 ERA649 FAW649 FKS649 FUO649 GEK649 GOG649 GYC649 HHY649 HRU649 IBQ649 ILM649 IVI649 JFE649 JPA649 JYW649 KIS649 KSO649 LCK649 LMG649 LWC649 MFY649 MPU649 MZQ649 NJM649 NTI649 ODE649 ONA649 OWW649 PGS649 PQO649 QAK649 QKG649 QUC649 RDY649 RNU649 RXQ649 SHM649 SRI649 TBE649 TLA649 TUW649 UES649 UOO649 UYK649 VIG649 VSC649 VSC647 VIG647 UYK647 UOO647 UES647 TUW647 TLA647 TBE647 SRI647 SHM647 RXQ647 RNU647 RDY647 QUC647 QKG647 QAK647 PQO647 PGS647 OWW647 ONA647 ODE647 NTI647 NJM647 MZQ647 MPU647 MFY647 LWC647 LMG647 LCK647 KSO647 KIS647 JYW647 JPA647 JFE647 IVI647 ILM647 IBQ647 HRU647 HHY647 GYC647 GOG647 GEK647 FUO647 FKS647 FAW647 ERA647 EHE647 DXI647 DNM647 DDQ647 CTU647 CJY647 CAC647 BQG647 BGK647 AWO647 AMS647 ACW647 TA647 JE647 WLU647 WVQ647 WBY647 WBY649 G646:G650 G662:G664 VSC642:VSC643 UYK642:UYK643 UOO642:UOO643 UES642:UES643 TUW642:TUW643 TLA642:TLA643 TBE642:TBE643 SRI642:SRI643 SHM642:SHM643 RXQ642:RXQ643 RNU642:RNU643 RDY642:RDY643 QUC642:QUC643 QKG642:QKG643 QAK642:QAK643 PQO642:PQO643 PGS642:PGS643 OWW642:OWW643 ONA642:ONA643 ODE642:ODE643 NTI642:NTI643 NJM642:NJM643 MZQ642:MZQ643 MPU642:MPU643 MFY642:MFY643 LWC642:LWC643 LMG642:LMG643 LCK642:LCK643 KSO642:KSO643 KIS642:KIS643 JYW642:JYW643 JPA642:JPA643 JFE642:JFE643 IVI642:IVI643 ILM642:ILM643 IBQ642:IBQ643 HRU642:HRU643 HHY642:HHY643 GYC642:GYC643 GOG642:GOG643 GEK642:GEK643 FUO642:FUO643 FKS642:FKS643 FAW642:FAW643 ERA642:ERA643 EHE642:EHE643 DXI642:DXI643 DNM642:DNM643 DDQ642:DDQ643 CTU642:CTU643 CJY642:CJY643 CAC642:CAC643 BQG642:BQG643 BGK642:BGK643 AWO642:AWO643 AMS642:AMS643 ACW642:ACW643 TA642:TA643 JE642:JE643 WLU642:WLU643 WVQ642:WVQ643 WBY642:WBY643 VIG642:VIG643 VIG639:VIG640 WBY639:WBY640 WVQ639:WVQ640 WLU639:WLU640 JE639:JE640 TA639:TA640 ACW639:ACW640 AMS639:AMS640 AWO639:AWO640 BGK639:BGK640 BQG639:BQG640 CAC639:CAC640 CJY639:CJY640 CTU639:CTU640 DDQ639:DDQ640 DNM639:DNM640 DXI639:DXI640 EHE639:EHE640 ERA639:ERA640 FAW639:FAW640 FKS639:FKS640 FUO639:FUO640 GEK639:GEK640 GOG639:GOG640 GYC639:GYC640 HHY639:HHY640 HRU639:HRU640 IBQ639:IBQ640 ILM639:ILM640 IVI639:IVI640 JFE639:JFE640 JPA639:JPA640 JYW639:JYW640 KIS639:KIS640 KSO639:KSO640 LCK639:LCK640 LMG639:LMG640 LWC639:LWC640 MFY639:MFY640 MPU639:MPU640 MZQ639:MZQ640 NJM639:NJM640 NTI639:NTI640 ODE639:ODE640 ONA639:ONA640 OWW639:OWW640 PGS639:PGS640 PQO639:PQO640 QAK639:QAK640 QKG639:QKG640 QUC639:QUC640 RDY639:RDY640 RNU639:RNU640 RXQ639:RXQ640 SHM639:SHM640 SRI639:SRI640 TBE639:TBE640 TLA639:TLA640 TUW639:TUW640 UES639:UES640 UOO639:UOO640 UYK639:UYK640 VSC639:VSC640 G639:G643 G666:G671 G702:G725 G688:G692 G694:G696 VSC699 WBY699 WVQ699 WLU699 JE699 TA699 ACW699 AMS699 AWO699 BGK699 BQG699 CAC699 CJY699 CTU699 DDQ699 DNM699 DXI699 EHE699 ERA699 FAW699 FKS699 FUO699 GEK699 GOG699 GYC699 HHY699 HRU699 IBQ699 ILM699 IVI699 JFE699 JPA699 JYW699 KIS699 KSO699 LCK699 LMG699 LWC699 MFY699 MPU699 MZQ699 NJM699 NTI699 ODE699 ONA699 OWW699 PGS699 PQO699 QAK699 QKG699 QUC699 RDY699 RNU699 RXQ699 SHM699 SRI699 TBE699 TLA699 TUW699 UES699 UOO699 UYK699 VIG699 WVQ685 WLU685 JE685 TA685 ACW685 AMS685 AWO685 BGK685 BQG685 CAC685 CJY685 CTU685 DDQ685 DNM685 DXI685 EHE685 ERA685 FAW685 FKS685 FUO685 GEK685 GOG685 GYC685 HHY685 HRU685 IBQ685 ILM685 IVI685 JFE685 JPA685 JYW685 KIS685 KSO685 LCK685 LMG685 LWC685 MFY685 MPU685 MZQ685 NJM685 NTI685 ODE685 ONA685 OWW685 PGS685 PQO685 QAK685 QKG685 QUC685 RDY685 RNU685 RXQ685 SHM685 SRI685 TBE685 TLA685 TUW685 UES685 UOO685 UYK685 VIG685 VSC685 VSC683 VIG683 UYK683 UOO683 UES683 TUW683 TLA683 TBE683 SRI683 SHM683 RXQ683 RNU683 RDY683 QUC683 QKG683 QAK683 PQO683 PGS683 OWW683 ONA683 ODE683 NTI683 NJM683 MZQ683 MPU683 MFY683 LWC683 LMG683 LCK683 KSO683 KIS683 JYW683 JPA683 JFE683 IVI683 ILM683 IBQ683 HRU683 HHY683 GYC683 GOG683 GEK683 FUO683 FKS683 FAW683 ERA683 EHE683 DXI683 DNM683 DDQ683 CTU683 CJY683 CAC683 BQG683 BGK683 AWO683 AMS683 ACW683 TA683 JE683 WLU683 WVQ683 WBY683 WBY685 G682:G686 G698:G700 VIG673:VIG674 WBY673:WBY674 WVQ673:WVQ674 WLU673:WLU674 JE673:JE674 TA673:TA674 ACW673:ACW674 AMS673:AMS674 AWO673:AWO674 BGK673:BGK674 BQG673:BQG674 CAC673:CAC674 CJY673:CJY674 CTU673:CTU674 DDQ673:DDQ674 DNM673:DNM674 DXI673:DXI674 EHE673:EHE674 ERA673:ERA674 FAW673:FAW674 FKS673:FKS674 FUO673:FUO674 GEK673:GEK674 GOG673:GOG674 GYC673:GYC674 HHY673:HHY674 HRU673:HRU674 IBQ673:IBQ674 ILM673:ILM674 IVI673:IVI674 JFE673:JFE674 JPA673:JPA674 JYW673:JYW674 KIS673:KIS674 KSO673:KSO674 LCK673:LCK674 LMG673:LMG674 LWC673:LWC674 MFY673:MFY674 MPU673:MPU674 MZQ673:MZQ674 NJM673:NJM674 NTI673:NTI674 ODE673:ODE674 ONA673:ONA674 OWW673:OWW674 PGS673:PGS674 PQO673:PQO674 QAK673:QAK674 QKG673:QKG674 QUC673:QUC674 RDY673:RDY674 RNU673:RNU674 RXQ673:RXQ674 SHM673:SHM674 SRI673:SRI674 TBE673:TBE674 TLA673:TLA674 TUW673:TUW674 UES673:UES674 UOO673:UOO674 UYK673:UYK674 VSC673:VSC674 VSC676:VSC679 UYK676:UYK679 UOO676:UOO679 UES676:UES679 TUW676:TUW679 TLA676:TLA679 TBE676:TBE679 SRI676:SRI679 SHM676:SHM679 RXQ676:RXQ679 RNU676:RNU679 RDY676:RDY679 QUC676:QUC679 QKG676:QKG679 QAK676:QAK679 PQO676:PQO679 PGS676:PGS679 OWW676:OWW679 ONA676:ONA679 ODE676:ODE679 NTI676:NTI679 NJM676:NJM679 MZQ676:MZQ679 MPU676:MPU679 MFY676:MFY679 LWC676:LWC679 LMG676:LMG679 LCK676:LCK679 KSO676:KSO679 KIS676:KIS679 JYW676:JYW679 JPA676:JPA679 JFE676:JFE679 IVI676:IVI679 ILM676:ILM679 IBQ676:IBQ679 HRU676:HRU679 HHY676:HHY679 GYC676:GYC679 GOG676:GOG679 GEK676:GEK679 FUO676:FUO679 FKS676:FKS679 FAW676:FAW679 ERA676:ERA679 EHE676:EHE679 DXI676:DXI679 DNM676:DNM679 DDQ676:DDQ679 CTU676:CTU679 CJY676:CJY679 CAC676:CAC679 BQG676:BQG679 BGK676:BGK679 AWO676:AWO679 AMS676:AMS679 ACW676:ACW679 TA676:TA679 JE676:JE679 WLU676:WLU679 WVQ676:WVQ679 WBY676:WBY679 VIG676:VIG679 G547:G551 G553:G555 VSC558:VSC559 WBY558:WBY559 WVQ558:WVQ559 WLU558:WLU559 JE558:JE559 TA558:TA559 ACW558:ACW559 AMS558:AMS559 AWO558:AWO559 BGK558:BGK559 BQG558:BQG559 CAC558:CAC559 CJY558:CJY559 CTU558:CTU559 DDQ558:DDQ559 DNM558:DNM559 DXI558:DXI559 EHE558:EHE559 ERA558:ERA559 FAW558:FAW559 FKS558:FKS559 FUO558:FUO559 GEK558:GEK559 GOG558:GOG559 GYC558:GYC559 HHY558:HHY559 HRU558:HRU559 IBQ558:IBQ559 ILM558:ILM559 IVI558:IVI559 JFE558:JFE559 JPA558:JPA559 JYW558:JYW559 KIS558:KIS559 KSO558:KSO559 LCK558:LCK559 LMG558:LMG559 LWC558:LWC559 MFY558:MFY559 MPU558:MPU559 MZQ558:MZQ559 NJM558:NJM559 NTI558:NTI559 ODE558:ODE559 ONA558:ONA559 OWW558:OWW559 PGS558:PGS559 PQO558:PQO559 QAK558:QAK559 QKG558:QKG559 QUC558:QUC559 RDY558:RDY559 RNU558:RNU559 RXQ558:RXQ559 SHM558:SHM559 SRI558:SRI559 TBE558:TBE559 TLA558:TLA559 TUW558:TUW559 UES558:UES559 UOO558:UOO559 UYK558:UYK559 VIG558:VIG559 WVQ544 WLU544 JE544 TA544 ACW544 AMS544 AWO544 BGK544 BQG544 CAC544 CJY544 CTU544 DDQ544 DNM544 DXI544 EHE544 ERA544 FAW544 FKS544 FUO544 GEK544 GOG544 GYC544 HHY544 HRU544 IBQ544 ILM544 IVI544 JFE544 JPA544 JYW544 KIS544 KSO544 LCK544 LMG544 LWC544 MFY544 MPU544 MZQ544 NJM544 NTI544 ODE544 ONA544 OWW544 PGS544 PQO544 QAK544 QKG544 QUC544 RDY544 RNU544 RXQ544 SHM544 SRI544 TBE544 TLA544 TUW544 UES544 UOO544 UYK544 VIG544 VSC544 VSC542 VIG542 UYK542 UOO542 UES542 TUW542 TLA542 TBE542 SRI542 SHM542 RXQ542 RNU542 RDY542 QUC542 QKG542 QAK542 PQO542 PGS542 OWW542 ONA542 ODE542 NTI542 NJM542 MZQ542 MPU542 MFY542 LWC542 LMG542 LCK542 KSO542 KIS542 JYW542 JPA542 JFE542 IVI542 ILM542 IBQ542 HRU542 HHY542 GYC542 GOG542 GEK542 FUO542 FKS542 FAW542 ERA542 EHE542 DXI542 DNM542 DDQ542 CTU542 CJY542 CAC542 BQG542 BGK542 AWO542 AMS542 ACW542 TA542 JE542 WLU542 WVQ542 WBY542 WBY544 G541:G545 VSC531:VSC538 UYK531:UYK538 UOO531:UOO538 UES531:UES538 TUW531:TUW538 TLA531:TLA538 TBE531:TBE538 SRI531:SRI538 SHM531:SHM538 RXQ531:RXQ538 RNU531:RNU538 RDY531:RDY538 QUC531:QUC538 QKG531:QKG538 QAK531:QAK538 PQO531:PQO538 PGS531:PGS538 OWW531:OWW538 ONA531:ONA538 ODE531:ODE538 NTI531:NTI538 NJM531:NJM538 MZQ531:MZQ538 MPU531:MPU538 MFY531:MFY538 LWC531:LWC538 LMG531:LMG538 LCK531:LCK538 KSO531:KSO538 KIS531:KIS538 JYW531:JYW538 JPA531:JPA538 JFE531:JFE538 IVI531:IVI538 ILM531:ILM538 IBQ531:IBQ538 HRU531:HRU538 HHY531:HHY538 GYC531:GYC538 GOG531:GOG538 GEK531:GEK538 FUO531:FUO538 FKS531:FKS538 FAW531:FAW538 ERA531:ERA538 EHE531:EHE538 DXI531:DXI538 DNM531:DNM538 DDQ531:DDQ538 CTU531:CTU538 CJY531:CJY538 CAC531:CAC538 BQG531:BQG538 BGK531:BGK538 AWO531:AWO538 AMS531:AMS538 ACW531:ACW538 TA531:TA538 JE531:JE538 WLU531:WLU538 WVQ531:WVQ538 WBY531:WBY538 VIG531:VIG538 G598:G608 G557:G560 G114:G118 WVQ117 WLU117 JE117 TA117 ACW117 AMS117 AWO117 BGK117 BQG117 CAC117 CJY117 CTU117 DDQ117 DNM117 DXI117 EHE117 ERA117 FAW117 FKS117 FUO117 GEK117 GOG117 GYC117 HHY117 HRU117 IBQ117 ILM117 IVI117 JFE117 JPA117 JYW117 KIS117 KSO117 LCK117 LMG117 LWC117 MFY117 MPU117 MZQ117 NJM117 NTI117 ODE117 ONA117 OWW117 PGS117 PQO117 QAK117 QKG117 QUC117 RDY117 RNU117 RXQ117 SHM117 SRI117 TBE117 TLA117 TUW117 UES117 UOO117 UYK117 VIG117 VSC117 VSC115 VIG115 UYK115 UOO115 UES115 TUW115 TLA115 TBE115 SRI115 SHM115 RXQ115 RNU115 RDY115 QUC115 QKG115 QAK115 PQO115 PGS115 OWW115 ONA115 ODE115 NTI115 NJM115 MZQ115 MPU115 MFY115 LWC115 LMG115 LCK115 KSO115 KIS115 JYW115 JPA115 JFE115 IVI115 ILM115 IBQ115 HRU115 HHY115 GYC115 GOG115 GEK115 FUO115 FKS115 FAW115 ERA115 EHE115 DXI115 DNM115 DDQ115 CTU115 CJY115 CAC115 BQG115 BGK115 AWO115 AMS115 ACW115 TA115 JE115 WLU115 WVQ115 WBY115 WBY117 TBE477:TBE482 G88:G92 G101:G103 G138:G142 G144:G146 VSC149:VSC150 WBY149:WBY150 WVQ149:WVQ150 WLU149:WLU150 JE149:JE150 TA149:TA150 ACW149:ACW150 AMS149:AMS150 AWO149:AWO150 BGK149:BGK150 BQG149:BQG150 CAC149:CAC150 CJY149:CJY150 CTU149:CTU150 DDQ149:DDQ150 DNM149:DNM150 DXI149:DXI150 EHE149:EHE150 ERA149:ERA150 FAW149:FAW150 FKS149:FKS150 FUO149:FUO150 GEK149:GEK150 GOG149:GOG150 GYC149:GYC150 HHY149:HHY150 HRU149:HRU150 IBQ149:IBQ150 ILM149:ILM150 IVI149:IVI150 JFE149:JFE150 JPA149:JPA150 JYW149:JYW150 KIS149:KIS150 KSO149:KSO150 LCK149:LCK150 LMG149:LMG150 LWC149:LWC150 MFY149:MFY150 MPU149:MPU150 MZQ149:MZQ150 NJM149:NJM150 NTI149:NTI150 ODE149:ODE150 ONA149:ONA150 OWW149:OWW150 PGS149:PGS150 PQO149:PQO150 QAK149:QAK150 QKG149:QKG150 QUC149:QUC150 RDY149:RDY150 RNU149:RNU150 RXQ149:RXQ150 SHM149:SHM150 SRI149:SRI150 TBE149:TBE150 TLA149:TLA150 TUW149:TUW150 UES149:UES150 UOO149:UOO150 UYK149:UYK150 G148:G153 VIG149:VIG150 VSC152 WBY152 WVQ152 WLU152 JE152 TA152 ACW152 AMS152 AWO152 BGK152 BQG152 CAC152 CJY152 CTU152 DDQ152 DNM152 DXI152 EHE152 ERA152 FAW152 FKS152 FUO152 GEK152 GOG152 GYC152 HHY152 HRU152 IBQ152 ILM152 IVI152 JFE152 JPA152 JYW152 KIS152 KSO152 LCK152 LMG152 LWC152 MFY152 MPU152 MZQ152 NJM152 NTI152 ODE152 ONA152 OWW152 PGS152 PQO152 QAK152 QKG152 QUC152 RDY152 RNU152 RXQ152 SHM152 SRI152 TBE152 TLA152 TUW152 UES152 UOO152 UYK152 VIG152 WVQ135 WLU135 JE135 TA135 ACW135 AMS135 AWO135 BGK135 BQG135 CAC135 CJY135 CTU135 DDQ135 DNM135 DXI135 EHE135 ERA135 FAW135 FKS135 FUO135 GEK135 GOG135 GYC135 HHY135 HRU135 IBQ135 ILM135 IVI135 JFE135 JPA135 JYW135 KIS135 KSO135 LCK135 LMG135 LWC135 MFY135 MPU135 MZQ135 NJM135 NTI135 ODE135 ONA135 OWW135 PGS135 PQO135 QAK135 QKG135 QUC135 RDY135 RNU135 RXQ135 SHM135 SRI135 TBE135 TLA135 TUW135 UES135 UOO135 UYK135 VIG135 VSC135 VSC133 VIG133 UYK133 UOO133 UES133 TUW133 TLA133 TBE133 SRI133 SHM133 RXQ133 RNU133 RDY133 QUC133 QKG133 QAK133 PQO133 PGS133 OWW133 ONA133 ODE133 NTI133 NJM133 MZQ133 MPU133 MFY133 LWC133 LMG133 LCK133 KSO133 KIS133 JYW133 JPA133 JFE133 IVI133 ILM133 IBQ133 HRU133 HHY133 GYC133 GOG133 GEK133 FUO133 FKS133 FAW133 ERA133 EHE133 DXI133 DNM133 DDQ133 CTU133 CJY133 CAC133 BQG133 BGK133 AWO133 AMS133 ACW133 TA133 JE133 WLU133 WVQ133 WBY133 WBY135 G428:G444 UES289:UES293 TUW289:TUW293 G296:G300 G302:G306 G308:G310 VSC313:VSC314 WBY313:WBY314 WVQ313:WVQ314 WLU313:WLU314 JE313:JE314 TA313:TA314 ACW313:ACW314 AMS313:AMS314 AWO313:AWO314 BGK313:BGK314 BQG313:BQG314 CAC313:CAC314 CJY313:CJY314 CTU313:CTU314 DDQ313:DDQ314 DNM313:DNM314 DXI313:DXI314 EHE313:EHE314 ERA313:ERA314 FAW313:FAW314 FKS313:FKS314 FUO313:FUO314 GEK313:GEK314 GOG313:GOG314 GYC313:GYC314 HHY313:HHY314 HRU313:HRU314 IBQ313:IBQ314 ILM313:ILM314 IVI313:IVI314 JFE313:JFE314 JPA313:JPA314 JYW313:JYW314 KIS313:KIS314 KSO313:KSO314 LCK313:LCK314 LMG313:LMG314 LWC313:LWC314 MFY313:MFY314 MPU313:MPU314 MZQ313:MZQ314 NJM313:NJM314 NTI313:NTI314 ODE313:ODE314 ONA313:ONA314 OWW313:OWW314 PGS313:PGS314 PQO313:PQO314 QAK313:QAK314 QKG313:QKG314 QUC313:QUC314 RDY313:RDY314 RNU313:RNU314 RXQ313:RXQ314 SHM313:SHM314 SRI313:SRI314 TBE313:TBE314 TLA313:TLA314 TUW313:TUW314 UES313:UES314 UOO313:UOO314 UYK313:UYK314 G312:G317 VIG313:VIG314 VSC316 WBY316 WVQ316 WLU316 JE316 TA316 ACW316 AMS316 AWO316 BGK316 BQG316 CAC316 CJY316 CTU316 DDQ316 DNM316 DXI316 EHE316 ERA316 FAW316 FKS316 FUO316 GEK316 GOG316 GYC316 HHY316 HRU316 IBQ316 ILM316 IVI316 JFE316 JPA316 JYW316 KIS316 KSO316 LCK316 LMG316 LWC316 MFY316 MPU316 MZQ316 NJM316 NTI316 ODE316 ONA316 OWW316 PGS316 PQO316 QAK316 QKG316 QUC316 RDY316 RNU316 RXQ316 SHM316 SRI316 TBE316 TLA316 TUW316 UES316 UOO316 UYK316 VIG316 WVQ299 WLU299 JE299 TA299 ACW299 AMS299 AWO299 BGK299 BQG299 CAC299 CJY299 CTU299 DDQ299 DNM299 DXI299 EHE299 ERA299 FAW299 FKS299 FUO299 GEK299 GOG299 GYC299 HHY299 HRU299 IBQ299 ILM299 IVI299 JFE299 JPA299 JYW299 KIS299 KSO299 LCK299 LMG299 LWC299 MFY299 MPU299 MZQ299 NJM299 NTI299 ODE299 ONA299 OWW299 PGS299 PQO299 QAK299 QKG299 QUC299 RDY299 RNU299 RXQ299 SHM299 SRI299 TBE299 TLA299 TUW299 UES299 UOO299 UYK299 VIG299 VSC299 VSC297 VIG297 UYK297 UOO297 UES297 TUW297 TLA297 TBE297 SRI297 SHM297 RXQ297 RNU297 RDY297 QUC297 QKG297 QAK297 PQO297 PGS297 OWW297 ONA297 ODE297 NTI297 NJM297 MZQ297 MPU297 MFY297 LWC297 LMG297 LCK297 KSO297 KIS297 JYW297 JPA297 JFE297 IVI297 ILM297 IBQ297 HRU297 HHY297 GYC297 GOG297 GEK297 FUO297 FKS297 FAW297 ERA297 EHE297 DXI297 DNM297 DDQ297 CTU297 CJY297 CAC297 BQG297 BGK297 AWO297 AMS297 ACW297 TA297 JE297 WLU297 WVQ297 WBY297 WBY299 TLA289:TLA293 TBE289:TBE293 SRI289:SRI293 SHM289:SHM293 RXQ289:RXQ293 RNU289:RNU293 RDY289:RDY293 QUC289:QUC293 QKG289:QKG293 QAK289:QAK293 PQO289:PQO293 PGS289:PGS293 OWW289:OWW293 ONA289:ONA293 ODE289:ODE293 NTI289:NTI293 NJM289:NJM293 MZQ289:MZQ293 MPU289:MPU293 MFY289:MFY293 LWC289:LWC293 LMG289:LMG293 LCK289:LCK293 KSO289:KSO293 KIS289:KIS293 JYW289:JYW293 JPA289:JPA293 JFE289:JFE293 IVI289:IVI293 ILM289:ILM293 IBQ289:IBQ293 HRU289:HRU293 HHY289:HHY293 GYC289:GYC293 GOG289:GOG293 GEK289:GEK293 FUO289:FUO293 FKS289:FKS293 FAW289:FAW293 ERA289:ERA293 EHE289:EHE293 DXI289:DXI293 DNM289:DNM293 DDQ289:DDQ293 CTU289:CTU293 CJY289:CJY293 CAC289:CAC293 BQG289:BQG293 BGK289:BGK293 AWO289:AWO293 AMS289:AMS293 ACW289:ACW293 TA289:TA293 JE289:JE293 WLU289:WLU293 WVQ289:WVQ293 WBY289:WBY293 VSC289:VSC293 VIG289:VIG293 UYK289:UYK293 UOO289:UOO293 G319:G329 UES325:UES329 TUW325:TUW329 G332:G336 G338:G342 G344:G346 VSC349:VSC350 WBY349:WBY350 WVQ349:WVQ350 WLU349:WLU350 JE349:JE350 TA349:TA350 ACW349:ACW350 AMS349:AMS350 AWO349:AWO350 BGK349:BGK350 BQG349:BQG350 CAC349:CAC350 CJY349:CJY350 CTU349:CTU350 DDQ349:DDQ350 DNM349:DNM350 DXI349:DXI350 EHE349:EHE350 ERA349:ERA350 FAW349:FAW350 FKS349:FKS350 FUO349:FUO350 GEK349:GEK350 GOG349:GOG350 GYC349:GYC350 HHY349:HHY350 HRU349:HRU350 IBQ349:IBQ350 ILM349:ILM350 IVI349:IVI350 JFE349:JFE350 JPA349:JPA350 JYW349:JYW350 KIS349:KIS350 KSO349:KSO350 LCK349:LCK350 LMG349:LMG350 LWC349:LWC350 MFY349:MFY350 MPU349:MPU350 MZQ349:MZQ350 NJM349:NJM350 NTI349:NTI350 ODE349:ODE350 ONA349:ONA350 OWW349:OWW350 PGS349:PGS350 PQO349:PQO350 QAK349:QAK350 QKG349:QKG350 QUC349:QUC350 RDY349:RDY350 RNU349:RNU350 RXQ349:RXQ350 SHM349:SHM350 SRI349:SRI350 TBE349:TBE350 TLA349:TLA350 TUW349:TUW350 UES349:UES350 UOO349:UOO350 UYK349:UYK350 G348:G353 VIG349:VIG350 VSC352 WBY352 WVQ352 WLU352 JE352 TA352 ACW352 AMS352 AWO352 BGK352 BQG352 CAC352 CJY352 CTU352 DDQ352 DNM352 DXI352 EHE352 ERA352 FAW352 FKS352 FUO352 GEK352 GOG352 GYC352 HHY352 HRU352 IBQ352 ILM352 IVI352 JFE352 JPA352 JYW352 KIS352 KSO352 LCK352 LMG352 LWC352 MFY352 MPU352 MZQ352 NJM352 NTI352 ODE352 ONA352 OWW352 PGS352 PQO352 QAK352 QKG352 QUC352 RDY352 RNU352 RXQ352 SHM352 SRI352 TBE352 TLA352 TUW352 UES352 UOO352 UYK352 VIG352 WVQ335 WLU335 JE335 TA335 ACW335 AMS335 AWO335 BGK335 BQG335 CAC335 CJY335 CTU335 DDQ335 DNM335 DXI335 EHE335 ERA335 FAW335 FKS335 FUO335 GEK335 GOG335 GYC335 HHY335 HRU335 IBQ335 ILM335 IVI335 JFE335 JPA335 JYW335 KIS335 KSO335 LCK335 LMG335 LWC335 MFY335 MPU335 MZQ335 NJM335 NTI335 ODE335 ONA335 OWW335 PGS335 PQO335 QAK335 QKG335 QUC335 RDY335 RNU335 RXQ335 SHM335 SRI335 TBE335 TLA335 TUW335 UES335 UOO335 UYK335 VIG335 VSC335 VSC333 VIG333 UYK333 UOO333 UES333 TUW333 TLA333 TBE333 SRI333 SHM333 RXQ333 RNU333 RDY333 QUC333 QKG333 QAK333 PQO333 PGS333 OWW333 ONA333 ODE333 NTI333 NJM333 MZQ333 MPU333 MFY333 LWC333 LMG333 LCK333 KSO333 KIS333 JYW333 JPA333 JFE333 IVI333 ILM333 IBQ333 HRU333 HHY333 GYC333 GOG333 GEK333 FUO333 FKS333 FAW333 ERA333 EHE333 DXI333 DNM333 DDQ333 CTU333 CJY333 CAC333 BQG333 BGK333 AWO333 AMS333 ACW333 TA333 JE333 WLU333 WVQ333 WBY333 WBY335 TLA325:TLA329 TBE325:TBE329 SRI325:SRI329 SHM325:SHM329 RXQ325:RXQ329 RNU325:RNU329 RDY325:RDY329 QUC325:QUC329 QKG325:QKG329 QAK325:QAK329 PQO325:PQO329 PGS325:PGS329 OWW325:OWW329 ONA325:ONA329 ODE325:ODE329 NTI325:NTI329 NJM325:NJM329 MZQ325:MZQ329 MPU325:MPU329 MFY325:MFY329 LWC325:LWC329 LMG325:LMG329 LCK325:LCK329 KSO325:KSO329 KIS325:KIS329 JYW325:JYW329 JPA325:JPA329 JFE325:JFE329 IVI325:IVI329 ILM325:ILM329 IBQ325:IBQ329 HRU325:HRU329 HHY325:HHY329 GYC325:GYC329 GOG325:GOG329 GEK325:GEK329 FUO325:FUO329 FKS325:FKS329 FAW325:FAW329 ERA325:ERA329 EHE325:EHE329 DXI325:DXI329 DNM325:DNM329 DDQ325:DDQ329 CTU325:CTU329 CJY325:CJY329 CAC325:CAC329 BQG325:BQG329 BGK325:BGK329 AWO325:AWO329 AMS325:AMS329 ACW325:ACW329 TA325:TA329 JE325:JE329 WLU325:WLU329 WVQ325:WVQ329 WBY325:WBY329 VSC325:VSC329 VIG325:VIG329 UYK325:UYK329 UOO325:UOO329 UOO362:UOO366 G355:G366 UES362:UES366 TUW362:TUW366 G369:G373 G375:G379 G381:G383 VSC386:VSC387 WBY386:WBY387 WVQ386:WVQ387 WLU386:WLU387 JE386:JE387 TA386:TA387 ACW386:ACW387 AMS386:AMS387 AWO386:AWO387 BGK386:BGK387 BQG386:BQG387 CAC386:CAC387 CJY386:CJY387 CTU386:CTU387 DDQ386:DDQ387 DNM386:DNM387 DXI386:DXI387 EHE386:EHE387 ERA386:ERA387 FAW386:FAW387 FKS386:FKS387 FUO386:FUO387 GEK386:GEK387 GOG386:GOG387 GYC386:GYC387 HHY386:HHY387 HRU386:HRU387 IBQ386:IBQ387 ILM386:ILM387 IVI386:IVI387 JFE386:JFE387 JPA386:JPA387 JYW386:JYW387 KIS386:KIS387 KSO386:KSO387 LCK386:LCK387 LMG386:LMG387 LWC386:LWC387 MFY386:MFY387 MPU386:MPU387 MZQ386:MZQ387 NJM386:NJM387 NTI386:NTI387 ODE386:ODE387 ONA386:ONA387 OWW386:OWW387 PGS386:PGS387 PQO386:PQO387 QAK386:QAK387 QKG386:QKG387 QUC386:QUC387 RDY386:RDY387 RNU386:RNU387 RXQ386:RXQ387 SHM386:SHM387 SRI386:SRI387 TBE386:TBE387 TLA386:TLA387 TUW386:TUW387 UES386:UES387 UOO386:UOO387 UYK386:UYK387 G385:G390 VIG386:VIG387 VSC389 WBY389 WVQ389 WLU389 JE389 TA389 ACW389 AMS389 AWO389 BGK389 BQG389 CAC389 CJY389 CTU389 DDQ389 DNM389 DXI389 EHE389 ERA389 FAW389 FKS389 FUO389 GEK389 GOG389 GYC389 HHY389 HRU389 IBQ389 ILM389 IVI389 JFE389 JPA389 JYW389 KIS389 KSO389 LCK389 LMG389 LWC389 MFY389 MPU389 MZQ389 NJM389 NTI389 ODE389 ONA389 OWW389 PGS389 PQO389 QAK389 QKG389 QUC389 RDY389 RNU389 RXQ389 SHM389 SRI389 TBE389 TLA389 TUW389 UES389 UOO389 UYK389 VIG389 WVQ372 WLU372 JE372 TA372 ACW372 AMS372 AWO372 BGK372 BQG372 CAC372 CJY372 CTU372 DDQ372 DNM372 DXI372 EHE372 ERA372 FAW372 FKS372 FUO372 GEK372 GOG372 GYC372 HHY372 HRU372 IBQ372 ILM372 IVI372 JFE372 JPA372 JYW372 KIS372 KSO372 LCK372 LMG372 LWC372 MFY372 MPU372 MZQ372 NJM372 NTI372 ODE372 ONA372 OWW372 PGS372 PQO372 QAK372 QKG372 QUC372 RDY372 RNU372 RXQ372 SHM372 SRI372 TBE372 TLA372 TUW372 UES372 UOO372 UYK372 VIG372 VSC372 VSC370 VIG370 UYK370 UOO370 UES370 TUW370 TLA370 TBE370 SRI370 SHM370 RXQ370 RNU370 RDY370 QUC370 QKG370 QAK370 PQO370 PGS370 OWW370 ONA370 ODE370 NTI370 NJM370 MZQ370 MPU370 MFY370 LWC370 LMG370 LCK370 KSO370 KIS370 JYW370 JPA370 JFE370 IVI370 ILM370 IBQ370 HRU370 HHY370 GYC370 GOG370 GEK370 FUO370 FKS370 FAW370 ERA370 EHE370 DXI370 DNM370 DDQ370 CTU370 CJY370 CAC370 BQG370 BGK370 AWO370 AMS370 ACW370 TA370 JE370 WLU370 WVQ370 WBY370 WBY372 TLA362:TLA366 TBE362:TBE366 SRI362:SRI366 SHM362:SHM366 RXQ362:RXQ366 RNU362:RNU366 RDY362:RDY366 QUC362:QUC366 QKG362:QKG366 QAK362:QAK366 PQO362:PQO366 PGS362:PGS366 OWW362:OWW366 ONA362:ONA366 ODE362:ODE366 NTI362:NTI366 NJM362:NJM366 MZQ362:MZQ366 MPU362:MPU366 MFY362:MFY366 LWC362:LWC366 LMG362:LMG366 LCK362:LCK366 KSO362:KSO366 KIS362:KIS366 JYW362:JYW366 JPA362:JPA366 JFE362:JFE366 IVI362:IVI366 ILM362:ILM366 IBQ362:IBQ366 HRU362:HRU366 HHY362:HHY366 GYC362:GYC366 GOG362:GOG366 GEK362:GEK366 FUO362:FUO366 FKS362:FKS366 FAW362:FAW366 ERA362:ERA366 EHE362:EHE366 DXI362:DXI366 DNM362:DNM366 DDQ362:DDQ366 CTU362:CTU366 CJY362:CJY366 CAC362:CAC366 BQG362:BQG366 BGK362:BGK366 AWO362:AWO366 AMS362:AMS366 ACW362:ACW366 TA362:TA366 JE362:JE366 WLU362:WLU366 WVQ362:WVQ366 WBY362:WBY366 VSC362:VSC366 VIG362:VIG366 UYK362:UYK366 UES398:UES402 G392:G402 TUW398:TUW402 G405:G409 G411:G415 G417:G419 VSC422:VSC423 WBY422:WBY423 WVQ422:WVQ423 WLU422:WLU423 JE422:JE423 TA422:TA423 ACW422:ACW423 AMS422:AMS423 AWO422:AWO423 BGK422:BGK423 BQG422:BQG423 CAC422:CAC423 CJY422:CJY423 CTU422:CTU423 DDQ422:DDQ423 DNM422:DNM423 DXI422:DXI423 EHE422:EHE423 ERA422:ERA423 FAW422:FAW423 FKS422:FKS423 FUO422:FUO423 GEK422:GEK423 GOG422:GOG423 GYC422:GYC423 HHY422:HHY423 HRU422:HRU423 IBQ422:IBQ423 ILM422:ILM423 IVI422:IVI423 JFE422:JFE423 JPA422:JPA423 JYW422:JYW423 KIS422:KIS423 KSO422:KSO423 LCK422:LCK423 LMG422:LMG423 LWC422:LWC423 MFY422:MFY423 MPU422:MPU423 MZQ422:MZQ423 NJM422:NJM423 NTI422:NTI423 ODE422:ODE423 ONA422:ONA423 OWW422:OWW423 PGS422:PGS423 PQO422:PQO423 QAK422:QAK423 QKG422:QKG423 QUC422:QUC423 RDY422:RDY423 RNU422:RNU423 RXQ422:RXQ423 SHM422:SHM423 SRI422:SRI423 TBE422:TBE423 TLA422:TLA423 TUW422:TUW423 UES422:UES423 UOO422:UOO423 UYK422:UYK423 G421:G426 VIG422:VIG423 VSC425 WBY425 WVQ425 WLU425 JE425 TA425 ACW425 AMS425 AWO425 BGK425 BQG425 CAC425 CJY425 CTU425 DDQ425 DNM425 DXI425 EHE425 ERA425 FAW425 FKS425 FUO425 GEK425 GOG425 GYC425 HHY425 HRU425 IBQ425 ILM425 IVI425 JFE425 JPA425 JYW425 KIS425 KSO425 LCK425 LMG425 LWC425 MFY425 MPU425 MZQ425 NJM425 NTI425 ODE425 ONA425 OWW425 PGS425 PQO425 QAK425 QKG425 QUC425 RDY425 RNU425 RXQ425 SHM425 SRI425 TBE425 TLA425 TUW425 UES425 UOO425 UYK425 VIG425 WVQ408 WLU408 JE408 TA408 ACW408 AMS408 AWO408 BGK408 BQG408 CAC408 CJY408 CTU408 DDQ408 DNM408 DXI408 EHE408 ERA408 FAW408 FKS408 FUO408 GEK408 GOG408 GYC408 HHY408 HRU408 IBQ408 ILM408 IVI408 JFE408 JPA408 JYW408 KIS408 KSO408 LCK408 LMG408 LWC408 MFY408 MPU408 MZQ408 NJM408 NTI408 ODE408 ONA408 OWW408 PGS408 PQO408 QAK408 QKG408 QUC408 RDY408 RNU408 RXQ408 SHM408 SRI408 TBE408 TLA408 TUW408 UES408 UOO408 UYK408 VIG408 VSC408 VSC406 VIG406 UYK406 UOO406 UES406 TUW406 TLA406 TBE406 SRI406 SHM406 RXQ406 RNU406 RDY406 QUC406 QKG406 QAK406 PQO406 PGS406 OWW406 ONA406 ODE406 NTI406 NJM406 MZQ406 MPU406 MFY406 LWC406 LMG406 LCK406 KSO406 KIS406 JYW406 JPA406 JFE406 IVI406 ILM406 IBQ406 HRU406 HHY406 GYC406 GOG406 GEK406 FUO406 FKS406 FAW406 ERA406 EHE406 DXI406 DNM406 DDQ406 CTU406 CJY406 CAC406 BQG406 BGK406 AWO406 AMS406 ACW406 TA406 JE406 WLU406 WVQ406 WBY406 WBY408 TLA398:TLA402 TBE398:TBE402 SRI398:SRI402 SHM398:SHM402 RXQ398:RXQ402 RNU398:RNU402 RDY398:RDY402 QUC398:QUC402 QKG398:QKG402 QAK398:QAK402 PQO398:PQO402 PGS398:PGS402 OWW398:OWW402 ONA398:ONA402 ODE398:ODE402 NTI398:NTI402 NJM398:NJM402 MZQ398:MZQ402 MPU398:MPU402 MFY398:MFY402 LWC398:LWC402 LMG398:LMG402 LCK398:LCK402 KSO398:KSO402 KIS398:KIS402 JYW398:JYW402 JPA398:JPA402 JFE398:JFE402 IVI398:IVI402 ILM398:ILM402 IBQ398:IBQ402 HRU398:HRU402 HHY398:HHY402 GYC398:GYC402 GOG398:GOG402 GEK398:GEK402 FUO398:FUO402 FKS398:FKS402 FAW398:FAW402 ERA398:ERA402 EHE398:EHE402 DXI398:DXI402 DNM398:DNM402 DDQ398:DDQ402 CTU398:CTU402 CJY398:CJY402 CAC398:CAC402 BQG398:BQG402 BGK398:BGK402 AWO398:AWO402 AMS398:AMS402 ACW398:ACW402 TA398:TA402 JE398:JE402 WLU398:WLU402 WVQ398:WVQ402 WBY398:WBY402 VSC398:VSC402 VIG398:VIG402 UYK398:UYK402 UOO398:UOO402 G447:G451 G453:G457 G459:G461 VSC464:VSC465 WBY464:WBY465 WVQ464:WVQ465 WLU464:WLU465 JE464:JE465 TA464:TA465 ACW464:ACW465 AMS464:AMS465 AWO464:AWO465 BGK464:BGK465 BQG464:BQG465 CAC464:CAC465 CJY464:CJY465 CTU464:CTU465 DDQ464:DDQ465 DNM464:DNM465 DXI464:DXI465 EHE464:EHE465 ERA464:ERA465 FAW464:FAW465 FKS464:FKS465 FUO464:FUO465 GEK464:GEK465 GOG464:GOG465 GYC464:GYC465 HHY464:HHY465 HRU464:HRU465 IBQ464:IBQ465 ILM464:ILM465 IVI464:IVI465 JFE464:JFE465 JPA464:JPA465 JYW464:JYW465 KIS464:KIS465 KSO464:KSO465 LCK464:LCK465 LMG464:LMG465 LWC464:LWC465 MFY464:MFY465 MPU464:MPU465 MZQ464:MZQ465 NJM464:NJM465 NTI464:NTI465 ODE464:ODE465 ONA464:ONA465 OWW464:OWW465 PGS464:PGS465 PQO464:PQO465 QAK464:QAK465 QKG464:QKG465 QUC464:QUC465 RDY464:RDY465 RNU464:RNU465 RXQ464:RXQ465 SHM464:SHM465 SRI464:SRI465 TBE464:TBE465 TLA464:TLA465 TUW464:TUW465 UES464:UES465 UOO464:UOO465 UYK464:UYK465 G463:G468 VIG464:VIG465 VSC467 WBY467 WVQ467 WLU467 JE467 TA467 ACW467 AMS467 AWO467 BGK467 BQG467 CAC467 CJY467 CTU467 DDQ467 DNM467 DXI467 EHE467 ERA467 FAW467 FKS467 FUO467 GEK467 GOG467 GYC467 HHY467 HRU467 IBQ467 ILM467 IVI467 JFE467 JPA467 JYW467 KIS467 KSO467 LCK467 LMG467 LWC467 MFY467 MPU467 MZQ467 NJM467 NTI467 ODE467 ONA467 OWW467 PGS467 PQO467 QAK467 QKG467 QUC467 RDY467 RNU467 RXQ467 SHM467 SRI467 TBE467 TLA467 TUW467 UES467 UOO467 UYK467 VIG467 WVQ450 WLU450 JE450 TA450 ACW450 AMS450 AWO450 BGK450 BQG450 CAC450 CJY450 CTU450 DDQ450 DNM450 DXI450 EHE450 ERA450 FAW450 FKS450 FUO450 GEK450 GOG450 GYC450 HHY450 HRU450 IBQ450 ILM450 IVI450 JFE450 JPA450 JYW450 KIS450 KSO450 LCK450 LMG450 LWC450 MFY450 MPU450 MZQ450 NJM450 NTI450 ODE450 ONA450 OWW450 PGS450 PQO450 QAK450 QKG450 QUC450 RDY450 RNU450 RXQ450 SHM450 SRI450 TBE450 TLA450 TUW450 UES450 UOO450 UYK450 VIG450 VSC450 VSC448 VIG448 UYK448 UOO448 UES448 TUW448 TLA448 TBE448 SRI448 SHM448 RXQ448 RNU448 RDY448 QUC448 QKG448 QAK448 PQO448 PGS448 OWW448 ONA448 ODE448 NTI448 NJM448 MZQ448 MPU448 MFY448 LWC448 LMG448 LCK448 KSO448 KIS448 JYW448 JPA448 JFE448 IVI448 ILM448 IBQ448 HRU448 HHY448 GYC448 GOG448 GEK448 FUO448 FKS448 FAW448 ERA448 EHE448 DXI448 DNM448 DDQ448 CTU448 CJY448 CAC448 BQG448 BGK448 AWO448 AMS448 ACW448 TA448 JE448 WLU448 WVQ448 WBY448 WBY450 TUW435:TUW444 TLA435:TLA444 TBE435:TBE444 SRI435:SRI444 SHM435:SHM444 RXQ435:RXQ444 RNU435:RNU444 RDY435:RDY444 QUC435:QUC444 QKG435:QKG444 QAK435:QAK444 PQO435:PQO444 PGS435:PGS444 OWW435:OWW444 ONA435:ONA444 ODE435:ODE444 NTI435:NTI444 NJM435:NJM444 MZQ435:MZQ444 MPU435:MPU444 MFY435:MFY444 LWC435:LWC444 LMG435:LMG444 LCK435:LCK444 KSO435:KSO444 KIS435:KIS444 JYW435:JYW444 JPA435:JPA444 JFE435:JFE444 IVI435:IVI444 ILM435:ILM444 IBQ435:IBQ444 HRU435:HRU444 HHY435:HHY444 GYC435:GYC444 GOG435:GOG444 GEK435:GEK444 FUO435:FUO444 FKS435:FKS444 FAW435:FAW444 ERA435:ERA444 EHE435:EHE444 DXI435:DXI444 DNM435:DNM444 DDQ435:DDQ444 CTU435:CTU444 CJY435:CJY444 CAC435:CAC444 BQG435:BQG444 BGK435:BGK444 AWO435:AWO444 AMS435:AMS444 ACW435:ACW444 TA435:TA444 JE435:JE444 WLU435:WLU444 WVQ435:WVQ444 WBY435:WBY444 VSC435:VSC444 VIG435:VIG444 UYK435:UYK444 UOO435:UOO444 UES435:UES444 G173:G177 G132:G136 G508:G538 G485:G489 G491:G495 G497:G499 VSC502:VSC503 WBY502:WBY503 WVQ502:WVQ503 WLU502:WLU503 JE502:JE503 TA502:TA503 ACW502:ACW503 AMS502:AMS503 AWO502:AWO503 BGK502:BGK503 BQG502:BQG503 CAC502:CAC503 CJY502:CJY503 CTU502:CTU503 DDQ502:DDQ503 DNM502:DNM503 DXI502:DXI503 EHE502:EHE503 ERA502:ERA503 FAW502:FAW503 FKS502:FKS503 FUO502:FUO503 GEK502:GEK503 GOG502:GOG503 GYC502:GYC503 HHY502:HHY503 HRU502:HRU503 IBQ502:IBQ503 ILM502:ILM503 IVI502:IVI503 JFE502:JFE503 JPA502:JPA503 JYW502:JYW503 KIS502:KIS503 KSO502:KSO503 LCK502:LCK503 LMG502:LMG503 LWC502:LWC503 MFY502:MFY503 MPU502:MPU503 MZQ502:MZQ503 NJM502:NJM503 NTI502:NTI503 ODE502:ODE503 ONA502:ONA503 OWW502:OWW503 PGS502:PGS503 PQO502:PQO503 QAK502:QAK503 QKG502:QKG503 QUC502:QUC503 RDY502:RDY503 RNU502:RNU503 RXQ502:RXQ503 SHM502:SHM503 SRI502:SRI503 TBE502:TBE503 TLA502:TLA503 TUW502:TUW503 UES502:UES503 UOO502:UOO503 UYK502:UYK503 G501:G506 VIG502:VIG503 VSC505 WBY505 WVQ505 WLU505 JE505 TA505 ACW505 AMS505 AWO505 BGK505 BQG505 CAC505 CJY505 CTU505 DDQ505 DNM505 DXI505 EHE505 ERA505 FAW505 FKS505 FUO505 GEK505 GOG505 GYC505 HHY505 HRU505 IBQ505 ILM505 IVI505 JFE505 JPA505 JYW505 KIS505 KSO505 LCK505 LMG505 LWC505 MFY505 MPU505 MZQ505 NJM505 NTI505 ODE505 ONA505 OWW505 PGS505 PQO505 QAK505 QKG505 QUC505 RDY505 RNU505 RXQ505 SHM505 SRI505 TBE505 TLA505 TUW505 UES505 UOO505 UYK505 VIG505 WVQ488 WLU488 JE488 TA488 ACW488 AMS488 AWO488 BGK488 BQG488 CAC488 CJY488 CTU488 DDQ488 DNM488 DXI488 EHE488 ERA488 FAW488 FKS488 FUO488 GEK488 GOG488 GYC488 HHY488 HRU488 IBQ488 ILM488 IVI488 JFE488 JPA488 JYW488 KIS488 KSO488 LCK488 LMG488 LWC488 MFY488 MPU488 MZQ488 NJM488 NTI488 ODE488 ONA488 OWW488 PGS488 PQO488 QAK488 QKG488 QUC488 RDY488 RNU488 RXQ488 SHM488 SRI488 TBE488 TLA488 TUW488 UES488 UOO488 UYK488 VIG488 VSC488 VSC486 VIG486 UYK486 UOO486 UES486 TUW486 TLA486 TBE486 SRI486 SHM486 RXQ486 RNU486 RDY486 QUC486 QKG486 QAK486 PQO486 PGS486 OWW486 ONA486 ODE486 NTI486 NJM486 MZQ486 MPU486 MFY486 LWC486 LMG486 LCK486 KSO486 KIS486 JYW486 JPA486 JFE486 IVI486 ILM486 IBQ486 HRU486 HHY486 GYC486 GOG486 GEK486 FUO486 FKS486 FAW486 ERA486 EHE486 DXI486 DNM486 DDQ486 CTU486 CJY486 CAC486 BQG486 BGK486 AWO486 AMS486 ACW486 TA486 JE486 WLU486 WVQ486 WBY486 WBY488 TLA477:TLA482 G470:G482 TUW477:TUW482 UES477:UES482 UOO477:UOO482 UYK477:UYK482 VIG477:VIG482 VSC477:VSC482 WBY477:WBY482 WVQ477:WVQ482 WLU477:WLU482 JE477:JE482 TA477:TA482 ACW477:ACW482 AMS477:AMS482 AWO477:AWO482 BGK477:BGK482 BQG477:BQG482 CAC477:CAC482 CJY477:CJY482 CTU477:CTU482 DDQ477:DDQ482 DNM477:DNM482 DXI477:DXI482 EHE477:EHE482 ERA477:ERA482 FAW477:FAW482 FKS477:FKS482 FUO477:FUO482 GEK477:GEK482 GOG477:GOG482 GYC477:GYC482 HHY477:HHY482 HRU477:HRU482 IBQ477:IBQ482 ILM477:ILM482 IVI477:IVI482 JFE477:JFE482 JPA477:JPA482 JYW477:JYW482 KIS477:KIS482 KSO477:KSO482 LCK477:LCK482 LMG477:LMG482 LWC477:LWC482 MFY477:MFY482 MPU477:MPU482 MZQ477:MZQ482 NJM477:NJM482 NTI477:NTI482 ODE477:ODE482 ONA477:ONA482 OWW477:OWW482 PGS477:PGS482 PQO477:PQO482 QAK477:QAK482 QKG477:QKG482 QUC477:QUC482 RDY477:RDY482 RNU477:RNU482 RXQ477:RXQ482 SHM477:SHM482 SRI477:SRI482 VIG98 VSC95:VSC96 WBY95:WBY96 WVQ95:WVQ96 WLU95:WLU96 JE95:JE96 TA95:TA96 ACW95:ACW96 AMS95:AMS96 AWO95:AWO96 BGK95:BGK96 BQG95:BQG96 CAC95:CAC96 CJY95:CJY96 CTU95:CTU96 DDQ95:DDQ96 DNM95:DNM96 DXI95:DXI96 EHE95:EHE96 ERA95:ERA96 FAW95:FAW96 FKS95:FKS96 FUO95:FUO96 GEK95:GEK96 GOG95:GOG96 GYC95:GYC96 HHY95:HHY96 HRU95:HRU96 IBQ95:IBQ96 ILM95:ILM96 IVI95:IVI96 JFE95:JFE96 JPA95:JPA96 JYW95:JYW96 KIS95:KIS96 KSO95:KSO96 LCK95:LCK96 LMG95:LMG96 LWC95:LWC96 MFY95:MFY96 MPU95:MPU96 MZQ95:MZQ96 NJM95:NJM96 NTI95:NTI96 ODE95:ODE96 ONA95:ONA96 OWW95:OWW96 PGS95:PGS96 PQO95:PQO96 QAK95:QAK96 QKG95:QKG96 QUC95:QUC96 RDY95:RDY96 RNU95:RNU96 RXQ95:RXQ96 SHM95:SHM96 SRI95:SRI96 TBE95:TBE96 TLA95:TLA96 TUW95:TUW96 UES95:UES96 UOO95:UOO96 UYK95:UYK96 VIG95:VIG96 VSC98 WBY98 WVQ98 WLU98 JE98 TA98 ACW98 AMS98 AWO98 BGK98 BQG98 CAC98 CJY98 CTU98 DDQ98 DNM98 DXI98 EHE98 ERA98 FAW98 FKS98 FUO98 GEK98 GOG98 GYC98 HHY98 HRU98 IBQ98 ILM98 IVI98 JFE98 JPA98 JYW98 KIS98 KSO98 LCK98 LMG98 LWC98 MFY98 MPU98 MZQ98 NJM98 NTI98 ODE98 ONA98 OWW98 PGS98 PQO98 QAK98 QKG98 QUC98 RDY98 RNU98 RXQ98 SHM98 SRI98 TBE98 TLA98 TUW98 UES98 UOO98 UYK98 UES108:UES111 TUW108:TUW111 TLA108:TLA111 TBE108:TBE111 SRI108:SRI111 SHM108:SHM111 RXQ108:RXQ111 RNU108:RNU111 RDY108:RDY111 QUC108:QUC111 QKG108:QKG111 QAK108:QAK111 PQO108:PQO111 PGS108:PGS111 OWW108:OWW111 ONA108:ONA111 ODE108:ODE111 NTI108:NTI111 NJM108:NJM111 MZQ108:MZQ111 MPU108:MPU111 MFY108:MFY111 LWC108:LWC111 LMG108:LMG111 LCK108:LCK111 KSO108:KSO111 KIS108:KIS111 JYW108:JYW111 JPA108:JPA111 JFE108:JFE111 IVI108:IVI111 ILM108:ILM111 IBQ108:IBQ111 HRU108:HRU111 HHY108:HHY111 GYC108:GYC111 GOG108:GOG111 GEK108:GEK111 FUO108:FUO111 FKS108:FKS111 FAW108:FAW111 ERA108:ERA111 EHE108:EHE111 DXI108:DXI111 DNM108:DNM111 DDQ108:DDQ111 CTU108:CTU111 CJY108:CJY111 CAC108:CAC111 BQG108:BQG111 BGK108:BGK111 AWO108:AWO111 AMS108:AMS111 ACW108:ACW111 TA108:TA111 JE108:JE111 WLU108:WLU111 WVQ108:WVQ111 WBY108:WBY111 VSC108:VSC111 VIG108:VIG111 UYK108:UYK111 UOO108:UOO111 TUW122:TUW129 TLA122:TLA129 TBE122:TBE129 SRI122:SRI129 SHM122:SHM129 RXQ122:RXQ129 RNU122:RNU129 RDY122:RDY129 QUC122:QUC129 QKG122:QKG129 QAK122:QAK129 PQO122:PQO129 PGS122:PGS129 OWW122:OWW129 ONA122:ONA129 ODE122:ODE129 NTI122:NTI129 NJM122:NJM129 MZQ122:MZQ129 MPU122:MPU129 MFY122:MFY129 LWC122:LWC129 LMG122:LMG129 LCK122:LCK129 KSO122:KSO129 KIS122:KIS129 JYW122:JYW129 JPA122:JPA129 JFE122:JFE129 IVI122:IVI129 ILM122:ILM129 IBQ122:IBQ129 HRU122:HRU129 HHY122:HHY129 GYC122:GYC129 GOG122:GOG129 GEK122:GEK129 FUO122:FUO129 FKS122:FKS129 FAW122:FAW129 ERA122:ERA129 EHE122:EHE129 DXI122:DXI129 DNM122:DNM129 DDQ122:DDQ129 CTU122:CTU129 CJY122:CJY129 CAC122:CAC129 BQG122:BQG129 BGK122:BGK129 AWO122:AWO129 AMS122:AMS129 ACW122:ACW129 TA122:TA129 JE122:JE129 WLU122:WLU129 WVQ122:WVQ129 WBY122:WBY129 VSC122:VSC129 VIG122:VIG129 UYK122:UYK129 UOO122:UOO129 UES122:UES129 G180:G182 WVQ176 WLU176 JE176 TA176 ACW176 AMS176 AWO176 BGK176 BQG176 CAC176 CJY176 CTU176 DDQ176 DNM176 DXI176 EHE176 ERA176 FAW176 FKS176 FUO176 GEK176 GOG176 GYC176 HHY176 HRU176 IBQ176 ILM176 IVI176 JFE176 JPA176 JYW176 KIS176 KSO176 LCK176 LMG176 LWC176 MFY176 MPU176 MZQ176 NJM176 NTI176 ODE176 ONA176 OWW176 PGS176 PQO176 QAK176 QKG176 QUC176 RDY176 RNU176 RXQ176 SHM176 SRI176 TBE176 TLA176 TUW176 UES176 UOO176 UYK176 VIG176 VSC176 VSC174 VIG174 UYK174 UOO174 UES174 TUW174 TLA174 TBE174 SRI174 SHM174 RXQ174 RNU174 RDY174 QUC174 QKG174 QAK174 PQO174 PGS174 OWW174 ONA174 ODE174 NTI174 NJM174 MZQ174 MPU174 MFY174 LWC174 LMG174 LCK174 KSO174 KIS174 JYW174 JPA174 JFE174 IVI174 ILM174 IBQ174 HRU174 HHY174 GYC174 GOG174 GEK174 FUO174 FKS174 FAW174 ERA174 EHE174 DXI174 DNM174 DDQ174 CTU174 CJY174 CAC174 BQG174 BGK174 AWO174 AMS174 ACW174 TA174 JE174 WLU174 WVQ174 WBY174 WBY176 G155:G170 UES162:UES170 UOO162:UOO170 UYK162:UYK170 VIG162:VIG170 VSC162:VSC170 WBY162:WBY170 WVQ162:WVQ170 WLU162:WLU170 JE162:JE170 TA162:TA170 ACW162:ACW170 AMS162:AMS170 AWO162:AWO170 BGK162:BGK170 BQG162:BQG170 CAC162:CAC170 CJY162:CJY170 CTU162:CTU170 DDQ162:DDQ170 DNM162:DNM170 DXI162:DXI170 EHE162:EHE170 ERA162:ERA170 FAW162:FAW170 FKS162:FKS170 FUO162:FUO170 GEK162:GEK170 GOG162:GOG170 GYC162:GYC170 HHY162:HHY170 HRU162:HRU170 IBQ162:IBQ170 ILM162:ILM170 IVI162:IVI170 JFE162:JFE170 JPA162:JPA170 JYW162:JYW170 KIS162:KIS170 KSO162:KSO170 LCK162:LCK170 LMG162:LMG170 LWC162:LWC170 MFY162:MFY170 MPU162:MPU170 MZQ162:MZQ170 NJM162:NJM170 NTI162:NTI170 ODE162:ODE170 ONA162:ONA170 OWW162:OWW170 PGS162:PGS170 PQO162:PQO170 QAK162:QAK170 QKG162:QKG170 QUC162:QUC170 RDY162:RDY170 RNU162:RNU170 RXQ162:RXQ170 SHM162:SHM170 SRI162:SRI170 TBE162:TBE170 TLA162:TLA170 TUW162:TUW170 G105:G111 G230:G234 WVQ233 WLU233 JE233 TA233 ACW233 AMS233 AWO233 BGK233 BQG233 CAC233 CJY233 CTU233 DDQ233 DNM233 DXI233 EHE233 ERA233 FAW233 FKS233 FUO233 GEK233 GOG233 GYC233 HHY233 HRU233 IBQ233 ILM233 IVI233 JFE233 JPA233 JYW233 KIS233 KSO233 LCK233 LMG233 LWC233 MFY233 MPU233 MZQ233 NJM233 NTI233 ODE233 ONA233 OWW233 PGS233 PQO233 QAK233 QKG233 QUC233 RDY233 RNU233 RXQ233 SHM233 SRI233 TBE233 TLA233 TUW233 UES233 UOO233 UYK233 VIG233 VSC233 VSC231 VIG231 UYK231 UOO231 UES231 TUW231 TLA231 TBE231 SRI231 SHM231 RXQ231 RNU231 RDY231 QUC231 QKG231 QAK231 PQO231 PGS231 OWW231 ONA231 ODE231 NTI231 NJM231 MZQ231 MPU231 MFY231 LWC231 LMG231 LCK231 KSO231 KIS231 JYW231 JPA231 JFE231 IVI231 ILM231 IBQ231 HRU231 HHY231 GYC231 GOG231 GEK231 FUO231 FKS231 FAW231 ERA231 EHE231 DXI231 DNM231 DDQ231 CTU231 CJY231 CAC231 BQG231 BGK231 AWO231 AMS231 ACW231 TA231 JE231 WLU231 WVQ231 WBY231 WBY233 G204:G208 G217:G219 G254:G256 WVQ251 WLU251 JE251 TA251 ACW251 AMS251 AWO251 BGK251 BQG251 CAC251 CJY251 CTU251 DDQ251 DNM251 DXI251 EHE251 ERA251 FAW251 FKS251 FUO251 GEK251 GOG251 GYC251 HHY251 HRU251 IBQ251 ILM251 IVI251 JFE251 JPA251 JYW251 KIS251 KSO251 LCK251 LMG251 LWC251 MFY251 MPU251 MZQ251 NJM251 NTI251 ODE251 ONA251 OWW251 PGS251 PQO251 QAK251 QKG251 QUC251 RDY251 RNU251 RXQ251 SHM251 SRI251 TBE251 TLA251 TUW251 UES251 UOO251 UYK251 VIG251 VSC251 VSC249 VIG249 UYK249 UOO249 UES249 TUW249 TLA249 TBE249 SRI249 SHM249 RXQ249 RNU249 RDY249 QUC249 QKG249 QAK249 PQO249 PGS249 OWW249 ONA249 ODE249 NTI249 NJM249 MZQ249 MPU249 MFY249 LWC249 LMG249 LCK249 KSO249 KIS249 JYW249 JPA249 JFE249 IVI249 ILM249 IBQ249 HRU249 HHY249 GYC249 GOG249 GEK249 FUO249 FKS249 FAW249 ERA249 EHE249 DXI249 DNM249 DDQ249 CTU249 CJY249 CAC249 BQG249 BGK249 AWO249 AMS249 ACW249 TA249 JE249 WLU249 WVQ249 WBY249 WBY251 G271:G275 G248:G252 UES224:UES227 TUW224:TUW227 TLA224:TLA227 TBE224:TBE227 SRI224:SRI227 SHM224:SHM227 RXQ224:RXQ227 RNU224:RNU227 RDY224:RDY227 QUC224:QUC227 QKG224:QKG227 QAK224:QAK227 PQO224:PQO227 PGS224:PGS227 OWW224:OWW227 ONA224:ONA227 ODE224:ODE227 NTI224:NTI227 NJM224:NJM227 MZQ224:MZQ227 MPU224:MPU227 MFY224:MFY227 LWC224:LWC227 LMG224:LMG227 LCK224:LCK227 KSO224:KSO227 KIS224:KIS227 JYW224:JYW227 JPA224:JPA227 JFE224:JFE227 IVI224:IVI227 ILM224:ILM227 IBQ224:IBQ227 HRU224:HRU227 HHY224:HHY227 GYC224:GYC227 GOG224:GOG227 GEK224:GEK227 FUO224:FUO227 FKS224:FKS227 FAW224:FAW227 ERA224:ERA227 EHE224:EHE227 DXI224:DXI227 DNM224:DNM227 DDQ224:DDQ227 CTU224:CTU227 CJY224:CJY227 CAC224:CAC227 BQG224:BQG227 BGK224:BGK227 AWO224:AWO227 AMS224:AMS227 ACW224:ACW227 TA224:TA227 JE224:JE227 WLU224:WLU227 WVQ224:WVQ227 WBY224:WBY227 VSC224:VSC227 VIG224:VIG227 UYK224:UYK227 UOO224:UOO227 G278:G280 WVQ274 WLU274 JE274 TA274 ACW274 AMS274 AWO274 BGK274 BQG274 CAC274 CJY274 CTU274 DDQ274 DNM274 DXI274 EHE274 ERA274 FAW274 FKS274 FUO274 GEK274 GOG274 GYC274 HHY274 HRU274 IBQ274 ILM274 IVI274 JFE274 JPA274 JYW274 KIS274 KSO274 LCK274 LMG274 LWC274 MFY274 MPU274 MZQ274 NJM274 NTI274 ODE274 ONA274 OWW274 PGS274 PQO274 QAK274 QKG274 QUC274 RDY274 RNU274 RXQ274 SHM274 SRI274 TBE274 TLA274 TUW274 UES274 UOO274 UYK274 VIG274 VSC274 VSC272 VIG272 UYK272 UOO272 UES272 TUW272 TLA272 TBE272 SRI272 SHM272 RXQ272 RNU272 RDY272 QUC272 QKG272 QAK272 PQO272 PGS272 OWW272 ONA272 ODE272 NTI272 NJM272 MZQ272 MPU272 MFY272 LWC272 LMG272 LCK272 KSO272 KIS272 JYW272 JPA272 JFE272 IVI272 ILM272 IBQ272 HRU272 HHY272 GYC272 GOG272 GEK272 FUO272 FKS272 FAW272 ERA272 EHE272 DXI272 DNM272 DDQ272 CTU272 CJY272 CAC272 BQG272 BGK272 AWO272 AMS272 ACW272 TA272 JE272 WLU272 WVQ272 WBY272 WBY274 UES239:UES245 UOO239:UOO245 UYK239:UYK245 VIG239:VIG245 VSC239:VSC245 WBY239:WBY245 WVQ239:WVQ245 WLU239:WLU245 JE239:JE245 TA239:TA245 ACW239:ACW245 AMS239:AMS245 AWO239:AWO245 BGK239:BGK245 BQG239:BQG245 CAC239:CAC245 CJY239:CJY245 CTU239:CTU245 DDQ239:DDQ245 DNM239:DNM245 DXI239:DXI245 EHE239:EHE245 ERA239:ERA245 FAW239:FAW245 FKS239:FKS245 FUO239:FUO245 GEK239:GEK245 GOG239:GOG245 GYC239:GYC245 HHY239:HHY245 HRU239:HRU245 IBQ239:IBQ245 ILM239:ILM245 IVI239:IVI245 JFE239:JFE245 JPA239:JPA245 JYW239:JYW245 KIS239:KIS245 KSO239:KSO245 LCK239:LCK245 LMG239:LMG245 LWC239:LWC245 MFY239:MFY245 MPU239:MPU245 MZQ239:MZQ245 NJM239:NJM245 NTI239:NTI245 ODE239:ODE245 ONA239:ONA245 OWW239:OWW245 PGS239:PGS245 PQO239:PQO245 QAK239:QAK245 QKG239:QKG245 QUC239:QUC245 RDY239:RDY245 RNU239:RNU245 RXQ239:RXQ245 SHM239:SHM245 SRI239:SRI245 TBE239:TBE245 TLA239:TLA245 TUW239:TUW245 TUW262:TUW268 TLA262:TLA268 TBE262:TBE268 SRI262:SRI268 SHM262:SHM268 RXQ262:RXQ268 RNU262:RNU268 RDY262:RDY268 QUC262:QUC268 QKG262:QKG268 QAK262:QAK268 PQO262:PQO268 PGS262:PGS268 OWW262:OWW268 ONA262:ONA268 ODE262:ODE268 NTI262:NTI268 NJM262:NJM268 MZQ262:MZQ268 MPU262:MPU268 MFY262:MFY268 LWC262:LWC268 LMG262:LMG268 LCK262:LCK268 KSO262:KSO268 KIS262:KIS268 JYW262:JYW268 JPA262:JPA268 JFE262:JFE268 IVI262:IVI268 ILM262:ILM268 IBQ262:IBQ268 HRU262:HRU268 HHY262:HHY268 GYC262:GYC268 GOG262:GOG268 GEK262:GEK268 FUO262:FUO268 FKS262:FKS268 FAW262:FAW268 ERA262:ERA268 EHE262:EHE268 DXI262:DXI268 DNM262:DNM268 DDQ262:DDQ268 CTU262:CTU268 CJY262:CJY268 CAC262:CAC268 BQG262:BQG268 BGK262:BGK268 AWO262:AWO268 AMS262:AMS268 ACW262:ACW268 TA262:TA268 JE262:JE268 WLU262:WLU268 WVQ262:WVQ268 WBY262:WBY268 VSC262:VSC268 VIG262:VIG268 UYK262:UYK268 UOO262:UOO268 UES262:UES268 G221:G227 TLA82:TLA85 VIG192 VSC189:VSC190 WBY189:WBY190 WVQ189:WVQ190 WLU189:WLU190 JE189:JE190 TA189:TA190 ACW189:ACW190 AMS189:AMS190 AWO189:AWO190 BGK189:BGK190 BQG189:BQG190 CAC189:CAC190 CJY189:CJY190 CTU189:CTU190 DDQ189:DDQ190 DNM189:DNM190 DXI189:DXI190 EHE189:EHE190 ERA189:ERA190 FAW189:FAW190 FKS189:FKS190 FUO189:FUO190 GEK189:GEK190 GOG189:GOG190 GYC189:GYC190 HHY189:HHY190 HRU189:HRU190 IBQ189:IBQ190 ILM189:ILM190 IVI189:IVI190 JFE189:JFE190 JPA189:JPA190 JYW189:JYW190 KIS189:KIS190 KSO189:KSO190 LCK189:LCK190 LMG189:LMG190 LWC189:LWC190 MFY189:MFY190 MPU189:MPU190 MZQ189:MZQ190 NJM189:NJM190 NTI189:NTI190 ODE189:ODE190 ONA189:ONA190 OWW189:OWW190 PGS189:PGS190 PQO189:PQO190 QAK189:QAK190 QKG189:QKG190 QUC189:QUC190 RDY189:RDY190 RNU189:RNU190 RXQ189:RXQ190 SHM189:SHM190 SRI189:SRI190 TBE189:TBE190 TLA189:TLA190 TUW189:TUW190 UES189:UES190 UOO189:UOO190 UYK189:UYK190 VIG189:VIG190 VSC192 WBY192 WVQ192 WLU192 JE192 TA192 ACW192 AMS192 AWO192 BGK192 BQG192 CAC192 CJY192 CTU192 DDQ192 DNM192 DXI192 EHE192 ERA192 FAW192 FKS192 FUO192 GEK192 GOG192 GYC192 HHY192 HRU192 IBQ192 ILM192 IVI192 JFE192 JPA192 JYW192 KIS192 KSO192 LCK192 LMG192 LWC192 MFY192 MPU192 MZQ192 NJM192 NTI192 ODE192 ONA192 OWW192 PGS192 PQO192 QAK192 QKG192 QUC192 RDY192 RNU192 RXQ192 SHM192 SRI192 TBE192 TLA192 TUW192 UES192 UOO192 UYK192 TUW82:TUW85 UES82:UES85 UOO82:UOO85 UYK82:UYK85 VIG82:VIG85 VSC82:VSC85 WBY82:WBY85 WVQ82:WVQ85 WLU82:WLU85 JE82:JE85 TA82:TA85 ACW82:ACW85 AMS82:AMS85 AWO82:AWO85 BGK82:BGK85 BQG82:BQG85 CAC82:CAC85 CJY82:CJY85 CTU82:CTU85 DDQ82:DDQ85 DNM82:DNM85 DXI82:DXI85 EHE82:EHE85 ERA82:ERA85 FAW82:FAW85 FKS82:FKS85 FUO82:FUO85 GEK82:GEK85 GOG82:GOG85 GYC82:GYC85 HHY82:HHY85 HRU82:HRU85 IBQ82:IBQ85 ILM82:ILM85 IVI82:IVI85 JFE82:JFE85 JPA82:JPA85 JYW82:JYW85 KIS82:KIS85 KSO82:KSO85 LCK82:LCK85 LMG82:LMG85 LWC82:LWC85 MFY82:MFY85 MPU82:MPU85 MZQ82:MZQ85 NJM82:NJM85 NTI82:NTI85 ODE82:ODE85 ONA82:ONA85 OWW82:OWW85 PGS82:PGS85 PQO82:PQO85 QAK82:QAK85 QKG82:QKG85 QUC82:QUC85 RDY82:RDY85 RNU82:RNU85 RXQ82:RXQ85 SHM82:SHM85 SRI82:SRI85 TBE82:TBE85 G195:G201 TUW198:TUW201 UES198:UES201 UOO198:UOO201 UYK198:UYK201 VIG198:VIG201 VSC198:VSC201 WBY198:WBY201 WVQ198:WVQ201 WLU198:WLU201 JE198:JE201 TA198:TA201 ACW198:ACW201 AMS198:AMS201 AWO198:AWO201 BGK198:BGK201 BQG198:BQG201 CAC198:CAC201 CJY198:CJY201 CTU198:CTU201 DDQ198:DDQ201 DNM198:DNM201 DXI198:DXI201 EHE198:EHE201 ERA198:ERA201 FAW198:FAW201 FKS198:FKS201 FUO198:FUO201 GEK198:GEK201 GOG198:GOG201 GYC198:GYC201 HHY198:HHY201 HRU198:HRU201 IBQ198:IBQ201 ILM198:ILM201 IVI198:IVI201 JFE198:JFE201 JPA198:JPA201 JYW198:JYW201 KIS198:KIS201 KSO198:KSO201 LCK198:LCK201 LMG198:LMG201 LWC198:LWC201 MFY198:MFY201 MPU198:MPU201 MZQ198:MZQ201 NJM198:NJM201 NTI198:NTI201 ODE198:ODE201 ONA198:ONA201 OWW198:OWW201 PGS198:PGS201 PQO198:PQO201 QAK198:QAK201 QKG198:QKG201 QUC198:QUC201 RDY198:RDY201 RNU198:RNU201 RXQ198:RXQ201 SHM198:SHM201 SRI198:SRI201 TBE198:TBE201 TLA198:TLA201 G120:G129 G236:G245 G94:G99 VIG214 VSC211:VSC212 WBY211:WBY212 WVQ211:WVQ212 WLU211:WLU212 JE211:JE212 TA211:TA212 ACW211:ACW212 AMS211:AMS212 AWO211:AWO212 BGK211:BGK212 BQG211:BQG212 CAC211:CAC212 CJY211:CJY212 CTU211:CTU212 DDQ211:DDQ212 DNM211:DNM212 DXI211:DXI212 EHE211:EHE212 ERA211:ERA212 FAW211:FAW212 FKS211:FKS212 FUO211:FUO212 GEK211:GEK212 GOG211:GOG212 GYC211:GYC212 HHY211:HHY212 HRU211:HRU212 IBQ211:IBQ212 ILM211:ILM212 IVI211:IVI212 JFE211:JFE212 JPA211:JPA212 JYW211:JYW212 KIS211:KIS212 KSO211:KSO212 LCK211:LCK212 LMG211:LMG212 LWC211:LWC212 MFY211:MFY212 MPU211:MPU212 MZQ211:MZQ212 NJM211:NJM212 NTI211:NTI212 ODE211:ODE212 ONA211:ONA212 OWW211:OWW212 PGS211:PGS212 PQO211:PQO212 QAK211:QAK212 QKG211:QKG212 QUC211:QUC212 RDY211:RDY212 RNU211:RNU212 RXQ211:RXQ212 SHM211:SHM212 SRI211:SRI212 TBE211:TBE212 TLA211:TLA212 TUW211:TUW212 UES211:UES212 UOO211:UOO212 UYK211:UYK212 VIG211:VIG212 VSC214 WBY214 WVQ214 WLU214 JE214 TA214 ACW214 AMS214 AWO214 BGK214 BQG214 CAC214 CJY214 CTU214 DDQ214 DNM214 DXI214 EHE214 ERA214 FAW214 FKS214 FUO214 GEK214 GOG214 GYC214 HHY214 HRU214 IBQ214 ILM214 IVI214 JFE214 JPA214 JYW214 KIS214 KSO214 LCK214 LMG214 LWC214 MFY214 MPU214 MZQ214 NJM214 NTI214 ODE214 ONA214 OWW214 PGS214 PQO214 QAK214 QKG214 QUC214 RDY214 RNU214 RXQ214 SHM214 SRI214 TBE214 TLA214 TUW214 UES214 UOO214 UYK214 G210:G215 G258:G268 G282:G293 G184:G193 G9:G18 UYK12:UYK18 UOO12:UOO18 UES12:UES18 TUW12:TUW18 TLA12:TLA18 TBE12:TBE18 SRI12:SRI18 SHM12:SHM18 RXQ12:RXQ18 RNU12:RNU18 RDY12:RDY18 QUC12:QUC18 QKG12:QKG18 QAK12:QAK18 PQO12:PQO18 PGS12:PGS18 OWW12:OWW18 ONA12:ONA18 ODE12:ODE18 NTI12:NTI18 NJM12:NJM18 MZQ12:MZQ18 MPU12:MPU18 MFY12:MFY18 LWC12:LWC18 LMG12:LMG18 LCK12:LCK18 KSO12:KSO18 KIS12:KIS18 JYW12:JYW18 JPA12:JPA18 JFE12:JFE18 IVI12:IVI18 ILM12:ILM18 IBQ12:IBQ18 HRU12:HRU18 HHY12:HHY18 GYC12:GYC18 GOG12:GOG18 GEK12:GEK18 FUO12:FUO18 FKS12:FKS18 FAW12:FAW18 ERA12:ERA18 EHE12:EHE18 DXI12:DXI18 DNM12:DNM18 DDQ12:DDQ18 CTU12:CTU18 CJY12:CJY18 CAC12:CAC18 BQG12:BQG18 BGK12:BGK18 AWO12:AWO18 AMS12:AMS18 ACW12:ACW18 TA12:TA18 JE12:JE18 WLU12:WLU18 WVQ12:WVQ18 WBY12:WBY18 VSC12:VSC18 G56:G75 VIG21:VIG27 G21:G27 UYK21:UYK27 UOO21:UOO27 UES21:UES27 TUW21:TUW27 TLA21:TLA27 TBE21:TBE27 SRI21:SRI27 SHM21:SHM27 RXQ21:RXQ27 RNU21:RNU27 RDY21:RDY27 QUC21:QUC27 QKG21:QKG27 QAK21:QAK27 PQO21:PQO27 PGS21:PGS27 OWW21:OWW27 ONA21:ONA27 ODE21:ODE27 NTI21:NTI27 NJM21:NJM27 MZQ21:MZQ27 MPU21:MPU27 MFY21:MFY27 LWC21:LWC27 LMG21:LMG27 LCK21:LCK27 KSO21:KSO27 KIS21:KIS27 JYW21:JYW27 JPA21:JPA27 JFE21:JFE27 IVI21:IVI27 ILM21:ILM27 IBQ21:IBQ27 HRU21:HRU27 HHY21:HHY27 GYC21:GYC27 GOG21:GOG27 GEK21:GEK27 FUO21:FUO27 FKS21:FKS27 FAW21:FAW27 ERA21:ERA27 EHE21:EHE27 DXI21:DXI27 DNM21:DNM27 DDQ21:DDQ27 CTU21:CTU27 CJY21:CJY27 CAC21:CAC27 BQG21:BQG27 BGK21:BGK27 AWO21:AWO27 AMS21:AMS27 ACW21:ACW27 TA21:TA27 JE21:JE27 WLU21:WLU27 WVQ21:WVQ27 WBY21:WBY27 VSC21:VSC27 VIG30:VIG35 G30:G35 UYK30:UYK35 UOO30:UOO35 UES30:UES35 TUW30:TUW35 TLA30:TLA35 TBE30:TBE35 SRI30:SRI35 SHM30:SHM35 RXQ30:RXQ35 RNU30:RNU35 RDY30:RDY35 QUC30:QUC35 QKG30:QKG35 QAK30:QAK35 PQO30:PQO35 PGS30:PGS35 OWW30:OWW35 ONA30:ONA35 ODE30:ODE35 NTI30:NTI35 NJM30:NJM35 MZQ30:MZQ35 MPU30:MPU35 MFY30:MFY35 LWC30:LWC35 LMG30:LMG35 LCK30:LCK35 KSO30:KSO35 KIS30:KIS35 JYW30:JYW35 JPA30:JPA35 JFE30:JFE35 IVI30:IVI35 ILM30:ILM35 IBQ30:IBQ35 HRU30:HRU35 HHY30:HHY35 GYC30:GYC35 GOG30:GOG35 GEK30:GEK35 FUO30:FUO35 FKS30:FKS35 FAW30:FAW35 ERA30:ERA35 EHE30:EHE35 DXI30:DXI35 DNM30:DNM35 DDQ30:DDQ35 CTU30:CTU35 CJY30:CJY35 CAC30:CAC35 BQG30:BQG35 BGK30:BGK35 AWO30:AWO35 AMS30:AMS35 ACW30:ACW35 TA30:TA35 JE30:JE35 WLU30:WLU35 WVQ30:WVQ35 WBY30:WBY35 VSC30:VSC35</xm:sqref>
        </x14:dataValidation>
        <x14:dataValidation type="list" allowBlank="1" showInputMessage="1" showErrorMessage="1" xr:uid="{00000000-0002-0000-0400-000001000000}">
          <x14:formula1>
            <xm:f xml:space="preserve"> a</xm:f>
          </x14:formula1>
          <xm:sqref>JH50:JH51 TD50:TD51 ACZ50:ACZ51 AMV50:AMV51 AWR50:AWR51 BGN50:BGN51 BQJ50:BQJ51 CAF50:CAF51 CKB50:CKB51 CTX50:CTX51 DDT50:DDT51 DNP50:DNP51 DXL50:DXL51 EHH50:EHH51 ERD50:ERD51 FAZ50:FAZ51 FKV50:FKV51 FUR50:FUR51 GEN50:GEN51 GOJ50:GOJ51 GYF50:GYF51 HIB50:HIB51 HRX50:HRX51 IBT50:IBT51 ILP50:ILP51 IVL50:IVL51 JFH50:JFH51 JPD50:JPD51 JYZ50:JYZ51 KIV50:KIV51 KSR50:KSR51 LCN50:LCN51 LMJ50:LMJ51 LWF50:LWF51 MGB50:MGB51 MPX50:MPX51 MZT50:MZT51 NJP50:NJP51 NTL50:NTL51 ODH50:ODH51 OND50:OND51 OWZ50:OWZ51 PGV50:PGV51 PQR50:PQR51 QAN50:QAN51 QKJ50:QKJ51 QUF50:QUF51 REB50:REB51 RNX50:RNX51 RXT50:RXT51 SHP50:SHP51 SRL50:SRL51 TBH50:TBH51 TLD50:TLD51 TUZ50:TUZ51 UEV50:UEV51 UOR50:UOR51 UYN50:UYN51 VIJ50:VIJ51 VSF50:VSF51 WCB50:WCB51 WVT50:WVT51 WLX50:WLX51 JH53 TD53 ACZ53 AMV53 AWR53 BGN53 BQJ53 CAF53 CKB53 CTX53 DDT53 DNP53 DXL53 EHH53 ERD53 FAZ53 FKV53 FUR53 GEN53 GOJ53 GYF53 HIB53 HRX53 IBT53 ILP53 IVL53 JFH53 JPD53 JYZ53 KIV53 KSR53 LCN53 LMJ53 LWF53 MGB53 MPX53 MZT53 NJP53 NTL53 ODH53 OND53 OWZ53 PGV53 PQR53 QAN53 QKJ53 QUF53 REB53 RNX53 RXT53 SHP53 SRL53 TBH53 TLD53 TUZ53 UEV53 UOR53 UYN53 VIJ53 VSF53 WCB53 WVT53 WLX53 WCB855:WCB857 WVT855:WVT857 WLX855:WLX857 JH855:JH857 TD855:TD857 ACZ855:ACZ857 AMV855:AMV857 AWR855:AWR857 BGN855:BGN857 BQJ855:BQJ857 CAF855:CAF857 CKB855:CKB857 CTX855:CTX857 DDT855:DDT857 DNP855:DNP857 DXL855:DXL857 EHH855:EHH857 ERD855:ERD857 FAZ855:FAZ857 FKV855:FKV857 FUR855:FUR857 GEN855:GEN857 GOJ855:GOJ857 GYF855:GYF857 HIB855:HIB857 HRX855:HRX857 IBT855:IBT857 ILP855:ILP857 IVL855:IVL857 JFH855:JFH857 JPD855:JPD857 JYZ855:JYZ857 KIV855:KIV857 KSR855:KSR857 LCN855:LCN857 LMJ855:LMJ857 LWF855:LWF857 MGB855:MGB857 MPX855:MPX857 MZT855:MZT857 NJP855:NJP857 NTL855:NTL857 ODH855:ODH857 OND855:OND857 OWZ855:OWZ857 PGV855:PGV857 PQR855:PQR857 QAN855:QAN857 QKJ855:QKJ857 QUF855:QUF857 REB855:REB857 RNX855:RNX857 RXT855:RXT857 SHP855:SHP857 SRL855:SRL857 TBH855:TBH857 TLD855:TLD857 TUZ855:TUZ857 UEV855:UEV857 UOR855:UOR857 UYN855:UYN857 VIJ855:VIJ857 VSF855:VSF857 WCB868:WCB870 WVT868:WVT870 WLX868:WLX870 JH868:JH870 TD868:TD870 ACZ868:ACZ870 AMV868:AMV870 AWR868:AWR870 BGN868:BGN870 BQJ868:BQJ870 CAF868:CAF870 CKB868:CKB870 CTX868:CTX870 DDT868:DDT870 DNP868:DNP870 DXL868:DXL870 EHH868:EHH870 ERD868:ERD870 FAZ868:FAZ870 FKV868:FKV870 FUR868:FUR870 GEN868:GEN870 GOJ868:GOJ870 GYF868:GYF870 HIB868:HIB870 HRX868:HRX870 IBT868:IBT870 ILP868:ILP870 IVL868:IVL870 JFH868:JFH870 JPD868:JPD870 JYZ868:JYZ870 KIV868:KIV870 KSR868:KSR870 LCN868:LCN870 LMJ868:LMJ870 LWF868:LWF870 MGB868:MGB870 MPX868:MPX870 MZT868:MZT870 NJP868:NJP870 NTL868:NTL870 ODH868:ODH870 OND868:OND870 OWZ868:OWZ870 PGV868:PGV870 PQR868:PQR870 QAN868:QAN870 QKJ868:QKJ870 QUF868:QUF870 REB868:REB870 RNX868:RNX870 RXT868:RXT870 SHP868:SHP870 SRL868:SRL870 TBH868:TBH870 TLD868:TLD870 TUZ868:TUZ870 UEV868:UEV870 UOR868:UOR870 UYN868:UYN870 VIJ868:VIJ870 VSF868:VSF870 VSF880:VSF884 VIJ880:VIJ884 UYN880:UYN884 UOR880:UOR884 UEV880:UEV884 TUZ880:TUZ884 TLD880:TLD884 TBH880:TBH884 SRL880:SRL884 SHP880:SHP884 RXT880:RXT884 RNX880:RNX884 REB880:REB884 QUF880:QUF884 QKJ880:QKJ884 QAN880:QAN884 PQR880:PQR884 PGV880:PGV884 OWZ880:OWZ884 OND880:OND884 ODH880:ODH884 NTL880:NTL884 NJP880:NJP884 MZT880:MZT884 MPX880:MPX884 MGB880:MGB884 LWF880:LWF884 LMJ880:LMJ884 LCN880:LCN884 KSR880:KSR884 KIV880:KIV884 JYZ880:JYZ884 JPD880:JPD884 JFH880:JFH884 IVL880:IVL884 ILP880:ILP884 IBT880:IBT884 HRX880:HRX884 HIB880:HIB884 GYF880:GYF884 GOJ880:GOJ884 GEN880:GEN884 FUR880:FUR884 FKV880:FKV884 FAZ880:FAZ884 ERD880:ERD884 EHH880:EHH884 DXL880:DXL884 DNP880:DNP884 DDT880:DDT884 CTX880:CTX884 CKB880:CKB884 CAF880:CAF884 BQJ880:BQJ884 BGN880:BGN884 AWR880:AWR884 AMV880:AMV884 ACZ880:ACZ884 TD880:TD884 JH880:JH884 WLX880:WLX884 WVT880:WVT884 WCB880:WCB884 VSF888:VSF892 VIJ888:VIJ892 UYN888:UYN892 UOR888:UOR892 UEV888:UEV892 TUZ888:TUZ892 TLD888:TLD892 TBH888:TBH892 SRL888:SRL892 SHP888:SHP892 RXT888:RXT892 RNX888:RNX892 REB888:REB892 QUF888:QUF892 QKJ888:QKJ892 QAN888:QAN892 PQR888:PQR892 PGV888:PGV892 OWZ888:OWZ892 OND888:OND892 ODH888:ODH892 NTL888:NTL892 NJP888:NJP892 MZT888:MZT892 MPX888:MPX892 MGB888:MGB892 LWF888:LWF892 LMJ888:LMJ892 LCN888:LCN892 KSR888:KSR892 KIV888:KIV892 JYZ888:JYZ892 JPD888:JPD892 JFH888:JFH892 IVL888:IVL892 ILP888:ILP892 IBT888:IBT892 HRX888:HRX892 HIB888:HIB892 GYF888:GYF892 GOJ888:GOJ892 GEN888:GEN892 FUR888:FUR892 FKV888:FKV892 FAZ888:FAZ892 ERD888:ERD892 EHH888:EHH892 DXL888:DXL892 DNP888:DNP892 DDT888:DDT892 CTX888:CTX892 CKB888:CKB892 CAF888:CAF892 BQJ888:BQJ892 BGN888:BGN892 AWR888:AWR892 AMV888:AMV892 ACZ888:ACZ892 TD888:TD892 JH888:JH892 WLX888:WLX892 WVT888:WVT892 WCB888:WCB892 VSF896:VSF900 VIJ896:VIJ900 UYN896:UYN900 UOR896:UOR900 UEV896:UEV900 TUZ896:TUZ900 TLD896:TLD900 TBH896:TBH900 SRL896:SRL900 SHP896:SHP900 RXT896:RXT900 RNX896:RNX900 REB896:REB900 QUF896:QUF900 QKJ896:QKJ900 QAN896:QAN900 PQR896:PQR900 PGV896:PGV900 OWZ896:OWZ900 OND896:OND900 ODH896:ODH900 NTL896:NTL900 NJP896:NJP900 MZT896:MZT900 MPX896:MPX900 MGB896:MGB900 LWF896:LWF900 LMJ896:LMJ900 LCN896:LCN900 KSR896:KSR900 KIV896:KIV900 JYZ896:JYZ900 JPD896:JPD900 JFH896:JFH900 IVL896:IVL900 ILP896:ILP900 IBT896:IBT900 HRX896:HRX900 HIB896:HIB900 GYF896:GYF900 GOJ896:GOJ900 GEN896:GEN900 FUR896:FUR900 FKV896:FKV900 FAZ896:FAZ900 ERD896:ERD900 EHH896:EHH900 DXL896:DXL900 DNP896:DNP900 DDT896:DDT900 CTX896:CTX900 CKB896:CKB900 CAF896:CAF900 BQJ896:BQJ900 BGN896:BGN900 AWR896:AWR900 AMV896:AMV900 ACZ896:ACZ900 TD896:TD900 JH896:JH900 WLX896:WLX900 WVT896:WVT900 WCB896:WCB900 WCB905:WCB910 WVT905:WVT910 WLX905:WLX910 JH905:JH910 TD905:TD910 ACZ905:ACZ910 AMV905:AMV910 AWR905:AWR910 BGN905:BGN910 BQJ905:BQJ910 CAF905:CAF910 CKB905:CKB910 CTX905:CTX910 DDT905:DDT910 DNP905:DNP910 DXL905:DXL910 EHH905:EHH910 ERD905:ERD910 FAZ905:FAZ910 FKV905:FKV910 FUR905:FUR910 GEN905:GEN910 GOJ905:GOJ910 GYF905:GYF910 HIB905:HIB910 HRX905:HRX910 IBT905:IBT910 ILP905:ILP910 IVL905:IVL910 JFH905:JFH910 JPD905:JPD910 JYZ905:JYZ910 KIV905:KIV910 KSR905:KSR910 LCN905:LCN910 LMJ905:LMJ910 LWF905:LWF910 MGB905:MGB910 MPX905:MPX910 MZT905:MZT910 NJP905:NJP910 NTL905:NTL910 ODH905:ODH910 OND905:OND910 OWZ905:OWZ910 PGV905:PGV910 PQR905:PQR910 QAN905:QAN910 QKJ905:QKJ910 QUF905:QUF910 REB905:REB910 RNX905:RNX910 RXT905:RXT910 SHP905:SHP910 SRL905:SRL910 TBH905:TBH910 TLD905:TLD910 TUZ905:TUZ910 UEV905:UEV910 UOR905:UOR910 UYN905:UYN910 VIJ905:VIJ910 VSF905:VSF910 VSF919:VSF923 VIJ919:VIJ923 UYN919:UYN923 UOR919:UOR923 UEV919:UEV923 TUZ919:TUZ923 TLD919:TLD923 TBH919:TBH923 SRL919:SRL923 SHP919:SHP923 RXT919:RXT923 RNX919:RNX923 REB919:REB923 QUF919:QUF923 QKJ919:QKJ923 QAN919:QAN923 PQR919:PQR923 PGV919:PGV923 OWZ919:OWZ923 OND919:OND923 ODH919:ODH923 NTL919:NTL923 NJP919:NJP923 MZT919:MZT923 MPX919:MPX923 MGB919:MGB923 LWF919:LWF923 LMJ919:LMJ923 LCN919:LCN923 KSR919:KSR923 KIV919:KIV923 JYZ919:JYZ923 JPD919:JPD923 JFH919:JFH923 IVL919:IVL923 ILP919:ILP923 IBT919:IBT923 HRX919:HRX923 HIB919:HIB923 GYF919:GYF923 GOJ919:GOJ923 GEN919:GEN923 FUR919:FUR923 FKV919:FKV923 FAZ919:FAZ923 ERD919:ERD923 EHH919:EHH923 DXL919:DXL923 DNP919:DNP923 DDT919:DDT923 CTX919:CTX923 CKB919:CKB923 CAF919:CAF923 BQJ919:BQJ923 BGN919:BGN923 AWR919:AWR923 AMV919:AMV923 ACZ919:ACZ923 TD919:TD923 JH919:JH923 WLX919:WLX923 WVT919:WVT923 WCB919:WCB923 VSF952:VSF956 VIJ952:VIJ956 UYN952:UYN956 UOR952:UOR956 UEV952:UEV956 TUZ952:TUZ956 TLD952:TLD956 TBH952:TBH956 SRL952:SRL956 SHP952:SHP956 RXT952:RXT956 RNX952:RNX956 REB952:REB956 QUF952:QUF956 QKJ952:QKJ956 QAN952:QAN956 PQR952:PQR956 PGV952:PGV956 OWZ952:OWZ956 OND952:OND956 ODH952:ODH956 NTL952:NTL956 NJP952:NJP956 MZT952:MZT956 MPX952:MPX956 MGB952:MGB956 LWF952:LWF956 LMJ952:LMJ956 LCN952:LCN956 KSR952:KSR956 KIV952:KIV956 JYZ952:JYZ956 JPD952:JPD956 JFH952:JFH956 IVL952:IVL956 ILP952:ILP956 IBT952:IBT956 HRX952:HRX956 HIB952:HIB956 GYF952:GYF956 GOJ952:GOJ956 GEN952:GEN956 FUR952:FUR956 FKV952:FKV956 FAZ952:FAZ956 ERD952:ERD956 EHH952:EHH956 DXL952:DXL956 DNP952:DNP956 DDT952:DDT956 CTX952:CTX956 CKB952:CKB956 CAF952:CAF956 BQJ952:BQJ956 BGN952:BGN956 AWR952:AWR956 AMV952:AMV956 ACZ952:ACZ956 TD952:TD956 JH952:JH956 WLX952:WLX956 WVT952:WVT956 WCB952:WCB956 VSF961:VSF965 VIJ961:VIJ965 UYN961:UYN965 UOR961:UOR965 UEV961:UEV965 TUZ961:TUZ965 TLD961:TLD965 TBH961:TBH965 SRL961:SRL965 SHP961:SHP965 RXT961:RXT965 RNX961:RNX965 REB961:REB965 QUF961:QUF965 QKJ961:QKJ965 QAN961:QAN965 PQR961:PQR965 PGV961:PGV965 OWZ961:OWZ965 OND961:OND965 ODH961:ODH965 NTL961:NTL965 NJP961:NJP965 MZT961:MZT965 MPX961:MPX965 MGB961:MGB965 LWF961:LWF965 LMJ961:LMJ965 LCN961:LCN965 KSR961:KSR965 KIV961:KIV965 JYZ961:JYZ965 JPD961:JPD965 JFH961:JFH965 IVL961:IVL965 ILP961:ILP965 IBT961:IBT965 HRX961:HRX965 HIB961:HIB965 GYF961:GYF965 GOJ961:GOJ965 GEN961:GEN965 FUR961:FUR965 FKV961:FKV965 FAZ961:FAZ965 ERD961:ERD965 EHH961:EHH965 DXL961:DXL965 DNP961:DNP965 DDT961:DDT965 CTX961:CTX965 CKB961:CKB965 CAF961:CAF965 BQJ961:BQJ965 BGN961:BGN965 AWR961:AWR965 AMV961:AMV965 ACZ961:ACZ965 TD961:TD965 JH961:JH965 WLX961:WLX965 WVT961:WVT965 WCB961:WCB965 VSF981:VSF986 VSF929:VSF936 VIJ929:VIJ936 UYN929:UYN936 UOR929:UOR936 UEV929:UEV936 TUZ929:TUZ936 TLD929:TLD936 TBH929:TBH936 SRL929:SRL936 SHP929:SHP936 RXT929:RXT936 RNX929:RNX936 REB929:REB936 QUF929:QUF936 QKJ929:QKJ936 QAN929:QAN936 PQR929:PQR936 PGV929:PGV936 OWZ929:OWZ936 OND929:OND936 ODH929:ODH936 NTL929:NTL936 NJP929:NJP936 MZT929:MZT936 MPX929:MPX936 MGB929:MGB936 LWF929:LWF936 LMJ929:LMJ936 LCN929:LCN936 KSR929:KSR936 KIV929:KIV936 JYZ929:JYZ936 JPD929:JPD936 JFH929:JFH936 IVL929:IVL936 ILP929:ILP936 IBT929:IBT936 HRX929:HRX936 HIB929:HIB936 GYF929:GYF936 GOJ929:GOJ936 GEN929:GEN936 FUR929:FUR936 FKV929:FKV936 FAZ929:FAZ936 ERD929:ERD936 EHH929:EHH936 DXL929:DXL936 DNP929:DNP936 DDT929:DDT936 CTX929:CTX936 CKB929:CKB936 CAF929:CAF936 BQJ929:BQJ936 BGN929:BGN936 AWR929:AWR936 AMV929:AMV936 ACZ929:ACZ936 TD929:TD936 JH929:JH936 WLX929:WLX936 WVT929:WVT936 WCB929:WCB936 WCB981:WCB986 WVT981:WVT986 WLX981:WLX986 JH981:JH986 TD981:TD986 ACZ981:ACZ986 AMV981:AMV986 AWR981:AWR986 BGN981:BGN986 BQJ981:BQJ986 CAF981:CAF986 CKB981:CKB986 CTX981:CTX986 DDT981:DDT986 DNP981:DNP986 DXL981:DXL986 EHH981:EHH986 ERD981:ERD986 FAZ981:FAZ986 FKV981:FKV986 FUR981:FUR986 GEN981:GEN986 GOJ981:GOJ986 GYF981:GYF986 HIB981:HIB986 HRX981:HRX986 IBT981:IBT986 ILP981:ILP986 IVL981:IVL986 JFH981:JFH986 JPD981:JPD986 JYZ981:JYZ986 KIV981:KIV986 KSR981:KSR986 LCN981:LCN986 LMJ981:LMJ986 LWF981:LWF986 MGB981:MGB986 MPX981:MPX986 MZT981:MZT986 NJP981:NJP986 NTL981:NTL986 ODH981:ODH986 OND981:OND986 OWZ981:OWZ986 PGV981:PGV986 PQR981:PQR986 QAN981:QAN986 QKJ981:QKJ986 QUF981:QUF986 REB981:REB986 RNX981:RNX986 RXT981:RXT986 SHP981:SHP986 SRL981:SRL986 TBH981:TBH986 TLD981:TLD986 TUZ981:TUZ986 UEV981:UEV986 UOR981:UOR986 UYN981:UYN986 VIJ981:VIJ986 VSF970:VSF976 VIJ970:VIJ976 UYN970:UYN976 UOR970:UOR976 UEV970:UEV976 TUZ970:TUZ976 TLD970:TLD976 TBH970:TBH976 SRL970:SRL976 SHP970:SHP976 RXT970:RXT976 RNX970:RNX976 REB970:REB976 QUF970:QUF976 QKJ970:QKJ976 QAN970:QAN976 PQR970:PQR976 PGV970:PGV976 OWZ970:OWZ976 OND970:OND976 ODH970:ODH976 NTL970:NTL976 NJP970:NJP976 MZT970:MZT976 MPX970:MPX976 MGB970:MGB976 LWF970:LWF976 LMJ970:LMJ976 LCN970:LCN976 KSR970:KSR976 KIV970:KIV976 JYZ970:JYZ976 JPD970:JPD976 JFH970:JFH976 IVL970:IVL976 ILP970:ILP976 IBT970:IBT976 HRX970:HRX976 HIB970:HIB976 GYF970:GYF976 GOJ970:GOJ976 GEN970:GEN976 FUR970:FUR976 FKV970:FKV976 FAZ970:FAZ976 ERD970:ERD976 EHH970:EHH976 DXL970:DXL976 DNP970:DNP976 DDT970:DDT976 CTX970:CTX976 CKB970:CKB976 CAF970:CAF976 BQJ970:BQJ976 BGN970:BGN976 AWR970:AWR976 AMV970:AMV976 ACZ970:ACZ976 TD970:TD976 JH970:JH976 WLX970:WLX976 WVT970:WVT976 WCB970:WCB976 VSF990:VSF996 VIJ990:VIJ996 UYN990:UYN996 UOR990:UOR996 UEV990:UEV996 TUZ990:TUZ996 TLD990:TLD996 TBH990:TBH996 SRL990:SRL996 SHP990:SHP996 RXT990:RXT996 RNX990:RNX996 REB990:REB996 QUF990:QUF996 QKJ990:QKJ996 QAN990:QAN996 PQR990:PQR996 PGV990:PGV996 OWZ990:OWZ996 OND990:OND996 ODH990:ODH996 NTL990:NTL996 NJP990:NJP996 MZT990:MZT996 MPX990:MPX996 MGB990:MGB996 LWF990:LWF996 LMJ990:LMJ996 LCN990:LCN996 KSR990:KSR996 KIV990:KIV996 JYZ990:JYZ996 JPD990:JPD996 JFH990:JFH996 IVL990:IVL996 ILP990:ILP996 IBT990:IBT996 HRX990:HRX996 HIB990:HIB996 GYF990:GYF996 GOJ990:GOJ996 GEN990:GEN996 FUR990:FUR996 FKV990:FKV996 FAZ990:FAZ996 ERD990:ERD996 EHH990:EHH996 DXL990:DXL996 DNP990:DNP996 DDT990:DDT996 CTX990:CTX996 CKB990:CKB996 CAF990:CAF996 BQJ990:BQJ996 BGN990:BGN996 AWR990:AWR996 AMV990:AMV996 ACZ990:ACZ996 TD990:TD996 JH990:JH996 WLX990:WLX996 WVT990:WVT996 WCB990:WCB996 WCB811:WCB817 WVT811:WVT817 WLX811:WLX817 JH811:JH817 TD811:TD817 ACZ811:ACZ817 AMV811:AMV817 AWR811:AWR817 BGN811:BGN817 BQJ811:BQJ817 CAF811:CAF817 CKB811:CKB817 CTX811:CTX817 DDT811:DDT817 DNP811:DNP817 DXL811:DXL817 EHH811:EHH817 ERD811:ERD817 FAZ811:FAZ817 FKV811:FKV817 FUR811:FUR817 GEN811:GEN817 GOJ811:GOJ817 GYF811:GYF817 HIB811:HIB817 HRX811:HRX817 IBT811:IBT817 ILP811:ILP817 IVL811:IVL817 JFH811:JFH817 JPD811:JPD817 JYZ811:JYZ817 KIV811:KIV817 KSR811:KSR817 LCN811:LCN817 LMJ811:LMJ817 LWF811:LWF817 MGB811:MGB817 MPX811:MPX817 MZT811:MZT817 NJP811:NJP817 NTL811:NTL817 ODH811:ODH817 OND811:OND817 OWZ811:OWZ817 PGV811:PGV817 PQR811:PQR817 QAN811:QAN817 QKJ811:QKJ817 QUF811:QUF817 REB811:REB817 RNX811:RNX817 RXT811:RXT817 SHP811:SHP817 SRL811:SRL817 TBH811:TBH817 TLD811:TLD817 TUZ811:TUZ817 UEV811:UEV817 UOR811:UOR817 UYN811:UYN817 VIJ811:VIJ817 VSF811:VSF817 VSF826:VSF833 VIJ826:VIJ833 UYN826:UYN833 UOR826:UOR833 UEV826:UEV833 TUZ826:TUZ833 TLD826:TLD833 TBH826:TBH833 SRL826:SRL833 SHP826:SHP833 RXT826:RXT833 RNX826:RNX833 REB826:REB833 QUF826:QUF833 QKJ826:QKJ833 QAN826:QAN833 PQR826:PQR833 PGV826:PGV833 OWZ826:OWZ833 OND826:OND833 ODH826:ODH833 NTL826:NTL833 NJP826:NJP833 MZT826:MZT833 MPX826:MPX833 MGB826:MGB833 LWF826:LWF833 LMJ826:LMJ833 LCN826:LCN833 KSR826:KSR833 KIV826:KIV833 JYZ826:JYZ833 JPD826:JPD833 JFH826:JFH833 IVL826:IVL833 ILP826:ILP833 IBT826:IBT833 HRX826:HRX833 HIB826:HIB833 GYF826:GYF833 GOJ826:GOJ833 GEN826:GEN833 FUR826:FUR833 FKV826:FKV833 FAZ826:FAZ833 ERD826:ERD833 EHH826:EHH833 DXL826:DXL833 DNP826:DNP833 DDT826:DDT833 CTX826:CTX833 CKB826:CKB833 CAF826:CAF833 BQJ826:BQJ833 BGN826:BGN833 AWR826:AWR833 AMV826:AMV833 ACZ826:ACZ833 TD826:TD833 JH826:JH833 WLX826:WLX833 WVT826:WVT833 WCB826:WCB833 VSF841:VSF848 VIJ841:VIJ848 UYN841:UYN848 UOR841:UOR848 UEV841:UEV848 TUZ841:TUZ848 TLD841:TLD848 TBH841:TBH848 SRL841:SRL848 SHP841:SHP848 RXT841:RXT848 RNX841:RNX848 REB841:REB848 QUF841:QUF848 QKJ841:QKJ848 QAN841:QAN848 PQR841:PQR848 PGV841:PGV848 OWZ841:OWZ848 OND841:OND848 ODH841:ODH848 NTL841:NTL848 NJP841:NJP848 MZT841:MZT848 MPX841:MPX848 MGB841:MGB848 LWF841:LWF848 LMJ841:LMJ848 LCN841:LCN848 KSR841:KSR848 KIV841:KIV848 JYZ841:JYZ848 JPD841:JPD848 JFH841:JFH848 IVL841:IVL848 ILP841:ILP848 IBT841:IBT848 HRX841:HRX848 HIB841:HIB848 GYF841:GYF848 GOJ841:GOJ848 GEN841:GEN848 FUR841:FUR848 FKV841:FKV848 FAZ841:FAZ848 ERD841:ERD848 EHH841:EHH848 DXL841:DXL848 DNP841:DNP848 DDT841:DDT848 CTX841:CTX848 CKB841:CKB848 CAF841:CAF848 BQJ841:BQJ848 BGN841:BGN848 AWR841:AWR848 AMV841:AMV848 ACZ841:ACZ848 TD841:TD848 JH841:JH848 WLX841:WLX848 WVT841:WVT848 WCB841:WCB848 UYN1018:UYN1021 UOR1018:UOR1021 UEV1018:UEV1021 TUZ1018:TUZ1021 TLD1018:TLD1021 TBH1018:TBH1021 SRL1018:SRL1021 SHP1018:SHP1021 RXT1018:RXT1021 RNX1018:RNX1021 REB1018:REB1021 QUF1018:QUF1021 QKJ1018:QKJ1021 QAN1018:QAN1021 PQR1018:PQR1021 PGV1018:PGV1021 OWZ1018:OWZ1021 OND1018:OND1021 ODH1018:ODH1021 NTL1018:NTL1021 NJP1018:NJP1021 MZT1018:MZT1021 MPX1018:MPX1021 MGB1018:MGB1021 LWF1018:LWF1021 LMJ1018:LMJ1021 LCN1018:LCN1021 KSR1018:KSR1021 KIV1018:KIV1021 JYZ1018:JYZ1021 JPD1018:JPD1021 JFH1018:JFH1021 IVL1018:IVL1021 ILP1018:ILP1021 IBT1018:IBT1021 HRX1018:HRX1021 HIB1018:HIB1021 GYF1018:GYF1021 GOJ1018:GOJ1021 GEN1018:GEN1021 FUR1018:FUR1021 FKV1018:FKV1021 FAZ1018:FAZ1021 ERD1018:ERD1021 EHH1018:EHH1021 DXL1018:DXL1021 DNP1018:DNP1021 DDT1018:DDT1021 CTX1018:CTX1021 CKB1018:CKB1021 CAF1018:CAF1021 BQJ1018:BQJ1021 BGN1018:BGN1021 AWR1018:AWR1021 AMV1018:AMV1021 ACZ1018:ACZ1021 TD1018:TD1021 JH1018:JH1021 WLX1018:WLX1021 WVT1018:WVT1021 WCB1018:WCB1021 VSF1018:VSF1021 VIJ1018:VIJ1021 UYN1024:UYN1027 UOR1024:UOR1027 UEV1024:UEV1027 TUZ1024:TUZ1027 TLD1024:TLD1027 TBH1024:TBH1027 SRL1024:SRL1027 SHP1024:SHP1027 RXT1024:RXT1027 RNX1024:RNX1027 REB1024:REB1027 QUF1024:QUF1027 QKJ1024:QKJ1027 QAN1024:QAN1027 PQR1024:PQR1027 PGV1024:PGV1027 OWZ1024:OWZ1027 OND1024:OND1027 ODH1024:ODH1027 NTL1024:NTL1027 NJP1024:NJP1027 MZT1024:MZT1027 MPX1024:MPX1027 MGB1024:MGB1027 LWF1024:LWF1027 LMJ1024:LMJ1027 LCN1024:LCN1027 KSR1024:KSR1027 KIV1024:KIV1027 JYZ1024:JYZ1027 JPD1024:JPD1027 JFH1024:JFH1027 IVL1024:IVL1027 ILP1024:ILP1027 IBT1024:IBT1027 HRX1024:HRX1027 HIB1024:HIB1027 GYF1024:GYF1027 GOJ1024:GOJ1027 GEN1024:GEN1027 FUR1024:FUR1027 FKV1024:FKV1027 FAZ1024:FAZ1027 ERD1024:ERD1027 EHH1024:EHH1027 DXL1024:DXL1027 DNP1024:DNP1027 DDT1024:DDT1027 CTX1024:CTX1027 CKB1024:CKB1027 CAF1024:CAF1027 BQJ1024:BQJ1027 BGN1024:BGN1027 AWR1024:AWR1027 AMV1024:AMV1027 ACZ1024:ACZ1027 TD1024:TD1027 JH1024:JH1027 WLX1024:WLX1027 WVT1024:WVT1027 WCB1024:WCB1027 VSF1024:VSF1027 VIJ1024:VIJ1027 UYN1032:UYN1035 UOR1032:UOR1035 UEV1032:UEV1035 TUZ1032:TUZ1035 TLD1032:TLD1035 TBH1032:TBH1035 SRL1032:SRL1035 SHP1032:SHP1035 RXT1032:RXT1035 RNX1032:RNX1035 REB1032:REB1035 QUF1032:QUF1035 QKJ1032:QKJ1035 QAN1032:QAN1035 PQR1032:PQR1035 PGV1032:PGV1035 OWZ1032:OWZ1035 OND1032:OND1035 ODH1032:ODH1035 NTL1032:NTL1035 NJP1032:NJP1035 MZT1032:MZT1035 MPX1032:MPX1035 MGB1032:MGB1035 LWF1032:LWF1035 LMJ1032:LMJ1035 LCN1032:LCN1035 KSR1032:KSR1035 KIV1032:KIV1035 JYZ1032:JYZ1035 JPD1032:JPD1035 JFH1032:JFH1035 IVL1032:IVL1035 ILP1032:ILP1035 IBT1032:IBT1035 HRX1032:HRX1035 HIB1032:HIB1035 GYF1032:GYF1035 GOJ1032:GOJ1035 GEN1032:GEN1035 FUR1032:FUR1035 FKV1032:FKV1035 FAZ1032:FAZ1035 ERD1032:ERD1035 EHH1032:EHH1035 DXL1032:DXL1035 DNP1032:DNP1035 DDT1032:DDT1035 CTX1032:CTX1035 CKB1032:CKB1035 CAF1032:CAF1035 BQJ1032:BQJ1035 BGN1032:BGN1035 AWR1032:AWR1035 AMV1032:AMV1035 ACZ1032:ACZ1035 TD1032:TD1035 JH1032:JH1035 WLX1032:WLX1035 WVT1032:WVT1035 WCB1032:WCB1035 VSF1032:VSF1035 VIJ1032:VIJ1035 UYN1038:UYN1041 UOR1038:UOR1041 UEV1038:UEV1041 TUZ1038:TUZ1041 TLD1038:TLD1041 TBH1038:TBH1041 SRL1038:SRL1041 SHP1038:SHP1041 RXT1038:RXT1041 RNX1038:RNX1041 REB1038:REB1041 QUF1038:QUF1041 QKJ1038:QKJ1041 QAN1038:QAN1041 PQR1038:PQR1041 PGV1038:PGV1041 OWZ1038:OWZ1041 OND1038:OND1041 ODH1038:ODH1041 NTL1038:NTL1041 NJP1038:NJP1041 MZT1038:MZT1041 MPX1038:MPX1041 MGB1038:MGB1041 LWF1038:LWF1041 LMJ1038:LMJ1041 LCN1038:LCN1041 KSR1038:KSR1041 KIV1038:KIV1041 JYZ1038:JYZ1041 JPD1038:JPD1041 JFH1038:JFH1041 IVL1038:IVL1041 ILP1038:ILP1041 IBT1038:IBT1041 HRX1038:HRX1041 HIB1038:HIB1041 GYF1038:GYF1041 GOJ1038:GOJ1041 GEN1038:GEN1041 FUR1038:FUR1041 FKV1038:FKV1041 FAZ1038:FAZ1041 ERD1038:ERD1041 EHH1038:EHH1041 DXL1038:DXL1041 DNP1038:DNP1041 DDT1038:DDT1041 CTX1038:CTX1041 CKB1038:CKB1041 CAF1038:CAF1041 BQJ1038:BQJ1041 BGN1038:BGN1041 AWR1038:AWR1041 AMV1038:AMV1041 ACZ1038:ACZ1041 TD1038:TD1041 JH1038:JH1041 WLX1038:WLX1041 WVT1038:WVT1041 WCB1038:WCB1041 VSF1038:VSF1041 VIJ1038:VIJ1041 UYN1049:UYN1052 UOR1049:UOR1052 UEV1049:UEV1052 TUZ1049:TUZ1052 TLD1049:TLD1052 TBH1049:TBH1052 SRL1049:SRL1052 SHP1049:SHP1052 RXT1049:RXT1052 RNX1049:RNX1052 REB1049:REB1052 QUF1049:QUF1052 QKJ1049:QKJ1052 QAN1049:QAN1052 PQR1049:PQR1052 PGV1049:PGV1052 OWZ1049:OWZ1052 OND1049:OND1052 ODH1049:ODH1052 NTL1049:NTL1052 NJP1049:NJP1052 MZT1049:MZT1052 MPX1049:MPX1052 MGB1049:MGB1052 LWF1049:LWF1052 LMJ1049:LMJ1052 LCN1049:LCN1052 KSR1049:KSR1052 KIV1049:KIV1052 JYZ1049:JYZ1052 JPD1049:JPD1052 JFH1049:JFH1052 IVL1049:IVL1052 ILP1049:ILP1052 IBT1049:IBT1052 HRX1049:HRX1052 HIB1049:HIB1052 GYF1049:GYF1052 GOJ1049:GOJ1052 GEN1049:GEN1052 FUR1049:FUR1052 FKV1049:FKV1052 FAZ1049:FAZ1052 ERD1049:ERD1052 EHH1049:EHH1052 DXL1049:DXL1052 DNP1049:DNP1052 DDT1049:DDT1052 CTX1049:CTX1052 CKB1049:CKB1052 CAF1049:CAF1052 BQJ1049:BQJ1052 BGN1049:BGN1052 AWR1049:AWR1052 AMV1049:AMV1052 ACZ1049:ACZ1052 TD1049:TD1052 JH1049:JH1052 WLX1049:WLX1052 WVT1049:WVT1052 WCB1049:WCB1052 VSF1049:VSF1052 VIJ1049:VIJ1052 UYN1055:UYN1058 UOR1055:UOR1058 UEV1055:UEV1058 TUZ1055:TUZ1058 TLD1055:TLD1058 TBH1055:TBH1058 SRL1055:SRL1058 SHP1055:SHP1058 RXT1055:RXT1058 RNX1055:RNX1058 REB1055:REB1058 QUF1055:QUF1058 QKJ1055:QKJ1058 QAN1055:QAN1058 PQR1055:PQR1058 PGV1055:PGV1058 OWZ1055:OWZ1058 OND1055:OND1058 ODH1055:ODH1058 NTL1055:NTL1058 NJP1055:NJP1058 MZT1055:MZT1058 MPX1055:MPX1058 MGB1055:MGB1058 LWF1055:LWF1058 LMJ1055:LMJ1058 LCN1055:LCN1058 KSR1055:KSR1058 KIV1055:KIV1058 JYZ1055:JYZ1058 JPD1055:JPD1058 JFH1055:JFH1058 IVL1055:IVL1058 ILP1055:ILP1058 IBT1055:IBT1058 HRX1055:HRX1058 HIB1055:HIB1058 GYF1055:GYF1058 GOJ1055:GOJ1058 GEN1055:GEN1058 FUR1055:FUR1058 FKV1055:FKV1058 FAZ1055:FAZ1058 ERD1055:ERD1058 EHH1055:EHH1058 DXL1055:DXL1058 DNP1055:DNP1058 DDT1055:DDT1058 CTX1055:CTX1058 CKB1055:CKB1058 CAF1055:CAF1058 BQJ1055:BQJ1058 BGN1055:BGN1058 AWR1055:AWR1058 AMV1055:AMV1058 ACZ1055:ACZ1058 TD1055:TD1058 JH1055:JH1058 WLX1055:WLX1058 WVT1055:WVT1058 WCB1055:WCB1058 VSF1055:VSF1058 VIJ1055:VIJ1058 UYN1062:UYN1065 UOR1062:UOR1065 UEV1062:UEV1065 TUZ1062:TUZ1065 TLD1062:TLD1065 TBH1062:TBH1065 SRL1062:SRL1065 SHP1062:SHP1065 RXT1062:RXT1065 RNX1062:RNX1065 REB1062:REB1065 QUF1062:QUF1065 QKJ1062:QKJ1065 QAN1062:QAN1065 PQR1062:PQR1065 PGV1062:PGV1065 OWZ1062:OWZ1065 OND1062:OND1065 ODH1062:ODH1065 NTL1062:NTL1065 NJP1062:NJP1065 MZT1062:MZT1065 MPX1062:MPX1065 MGB1062:MGB1065 LWF1062:LWF1065 LMJ1062:LMJ1065 LCN1062:LCN1065 KSR1062:KSR1065 KIV1062:KIV1065 JYZ1062:JYZ1065 JPD1062:JPD1065 JFH1062:JFH1065 IVL1062:IVL1065 ILP1062:ILP1065 IBT1062:IBT1065 HRX1062:HRX1065 HIB1062:HIB1065 GYF1062:GYF1065 GOJ1062:GOJ1065 GEN1062:GEN1065 FUR1062:FUR1065 FKV1062:FKV1065 FAZ1062:FAZ1065 ERD1062:ERD1065 EHH1062:EHH1065 DXL1062:DXL1065 DNP1062:DNP1065 DDT1062:DDT1065 CTX1062:CTX1065 CKB1062:CKB1065 CAF1062:CAF1065 BQJ1062:BQJ1065 BGN1062:BGN1065 AWR1062:AWR1065 AMV1062:AMV1065 ACZ1062:ACZ1065 TD1062:TD1065 JH1062:JH1065 WLX1062:WLX1065 WVT1062:WVT1065 WCB1062:WCB1065 VSF1062:VSF1065 VIJ1062:VIJ1065 UYN1068:UYN1071 UOR1068:UOR1071 UEV1068:UEV1071 TUZ1068:TUZ1071 TLD1068:TLD1071 TBH1068:TBH1071 SRL1068:SRL1071 SHP1068:SHP1071 RXT1068:RXT1071 RNX1068:RNX1071 REB1068:REB1071 QUF1068:QUF1071 QKJ1068:QKJ1071 QAN1068:QAN1071 PQR1068:PQR1071 PGV1068:PGV1071 OWZ1068:OWZ1071 OND1068:OND1071 ODH1068:ODH1071 NTL1068:NTL1071 NJP1068:NJP1071 MZT1068:MZT1071 MPX1068:MPX1071 MGB1068:MGB1071 LWF1068:LWF1071 LMJ1068:LMJ1071 LCN1068:LCN1071 KSR1068:KSR1071 KIV1068:KIV1071 JYZ1068:JYZ1071 JPD1068:JPD1071 JFH1068:JFH1071 IVL1068:IVL1071 ILP1068:ILP1071 IBT1068:IBT1071 HRX1068:HRX1071 HIB1068:HIB1071 GYF1068:GYF1071 GOJ1068:GOJ1071 GEN1068:GEN1071 FUR1068:FUR1071 FKV1068:FKV1071 FAZ1068:FAZ1071 ERD1068:ERD1071 EHH1068:EHH1071 DXL1068:DXL1071 DNP1068:DNP1071 DDT1068:DDT1071 CTX1068:CTX1071 CKB1068:CKB1071 CAF1068:CAF1071 BQJ1068:BQJ1071 BGN1068:BGN1071 AWR1068:AWR1071 AMV1068:AMV1071 ACZ1068:ACZ1071 TD1068:TD1071 JH1068:JH1071 WLX1068:WLX1071 WVT1068:WVT1071 WCB1068:WCB1071 VSF1068:VSF1071 VIJ1068:VIJ1071 WCB2041:WCB2043 WVT2041:WVT2043 WLX2041:WLX2043 JH2041:JH2043 TD2041:TD2043 ACZ2041:ACZ2043 AMV2041:AMV2043 AWR2041:AWR2043 BGN2041:BGN2043 BQJ2041:BQJ2043 CAF2041:CAF2043 CKB2041:CKB2043 CTX2041:CTX2043 DDT2041:DDT2043 DNP2041:DNP2043 DXL2041:DXL2043 EHH2041:EHH2043 ERD2041:ERD2043 FAZ2041:FAZ2043 FKV2041:FKV2043 FUR2041:FUR2043 GEN2041:GEN2043 GOJ2041:GOJ2043 GYF2041:GYF2043 HIB2041:HIB2043 HRX2041:HRX2043 IBT2041:IBT2043 ILP2041:ILP2043 IVL2041:IVL2043 JFH2041:JFH2043 JPD2041:JPD2043 JYZ2041:JYZ2043 KIV2041:KIV2043 KSR2041:KSR2043 LCN2041:LCN2043 LMJ2041:LMJ2043 LWF2041:LWF2043 MGB2041:MGB2043 MPX2041:MPX2043 MZT2041:MZT2043 NJP2041:NJP2043 NTL2041:NTL2043 ODH2041:ODH2043 OND2041:OND2043 OWZ2041:OWZ2043 PGV2041:PGV2043 PQR2041:PQR2043 QAN2041:QAN2043 QKJ2041:QKJ2043 QUF2041:QUF2043 REB2041:REB2043 RNX2041:RNX2043 RXT2041:RXT2043 SHP2041:SHP2043 SRL2041:SRL2043 TBH2041:TBH2043 TLD2041:TLD2043 TUZ2041:TUZ2043 UEV2041:UEV2043 UOR2041:UOR2043 UYN2041:UYN2043 VIJ2041:VIJ2043 VSF2041:VSF2043 WCB2054:WCB2056 WVT2054:WVT2056 WLX2054:WLX2056 JH2054:JH2056 TD2054:TD2056 ACZ2054:ACZ2056 AMV2054:AMV2056 AWR2054:AWR2056 BGN2054:BGN2056 BQJ2054:BQJ2056 CAF2054:CAF2056 CKB2054:CKB2056 CTX2054:CTX2056 DDT2054:DDT2056 DNP2054:DNP2056 DXL2054:DXL2056 EHH2054:EHH2056 ERD2054:ERD2056 FAZ2054:FAZ2056 FKV2054:FKV2056 FUR2054:FUR2056 GEN2054:GEN2056 GOJ2054:GOJ2056 GYF2054:GYF2056 HIB2054:HIB2056 HRX2054:HRX2056 IBT2054:IBT2056 ILP2054:ILP2056 IVL2054:IVL2056 JFH2054:JFH2056 JPD2054:JPD2056 JYZ2054:JYZ2056 KIV2054:KIV2056 KSR2054:KSR2056 LCN2054:LCN2056 LMJ2054:LMJ2056 LWF2054:LWF2056 MGB2054:MGB2056 MPX2054:MPX2056 MZT2054:MZT2056 NJP2054:NJP2056 NTL2054:NTL2056 ODH2054:ODH2056 OND2054:OND2056 OWZ2054:OWZ2056 PGV2054:PGV2056 PQR2054:PQR2056 QAN2054:QAN2056 QKJ2054:QKJ2056 QUF2054:QUF2056 REB2054:REB2056 RNX2054:RNX2056 RXT2054:RXT2056 SHP2054:SHP2056 SRL2054:SRL2056 TBH2054:TBH2056 TLD2054:TLD2056 TUZ2054:TUZ2056 UEV2054:UEV2056 UOR2054:UOR2056 UYN2054:UYN2056 VIJ2054:VIJ2056 VSF2054:VSF2056 VSF2066:VSF2070 VIJ2066:VIJ2070 UYN2066:UYN2070 UOR2066:UOR2070 UEV2066:UEV2070 TUZ2066:TUZ2070 TLD2066:TLD2070 TBH2066:TBH2070 SRL2066:SRL2070 SHP2066:SHP2070 RXT2066:RXT2070 RNX2066:RNX2070 REB2066:REB2070 QUF2066:QUF2070 QKJ2066:QKJ2070 QAN2066:QAN2070 PQR2066:PQR2070 PGV2066:PGV2070 OWZ2066:OWZ2070 OND2066:OND2070 ODH2066:ODH2070 NTL2066:NTL2070 NJP2066:NJP2070 MZT2066:MZT2070 MPX2066:MPX2070 MGB2066:MGB2070 LWF2066:LWF2070 LMJ2066:LMJ2070 LCN2066:LCN2070 KSR2066:KSR2070 KIV2066:KIV2070 JYZ2066:JYZ2070 JPD2066:JPD2070 JFH2066:JFH2070 IVL2066:IVL2070 ILP2066:ILP2070 IBT2066:IBT2070 HRX2066:HRX2070 HIB2066:HIB2070 GYF2066:GYF2070 GOJ2066:GOJ2070 GEN2066:GEN2070 FUR2066:FUR2070 FKV2066:FKV2070 FAZ2066:FAZ2070 ERD2066:ERD2070 EHH2066:EHH2070 DXL2066:DXL2070 DNP2066:DNP2070 DDT2066:DDT2070 CTX2066:CTX2070 CKB2066:CKB2070 CAF2066:CAF2070 BQJ2066:BQJ2070 BGN2066:BGN2070 AWR2066:AWR2070 AMV2066:AMV2070 ACZ2066:ACZ2070 TD2066:TD2070 JH2066:JH2070 WLX2066:WLX2070 WVT2066:WVT2070 WCB2066:WCB2070 VSF2074:VSF2078 VIJ2074:VIJ2078 UYN2074:UYN2078 UOR2074:UOR2078 UEV2074:UEV2078 TUZ2074:TUZ2078 TLD2074:TLD2078 TBH2074:TBH2078 SRL2074:SRL2078 SHP2074:SHP2078 RXT2074:RXT2078 RNX2074:RNX2078 REB2074:REB2078 QUF2074:QUF2078 QKJ2074:QKJ2078 QAN2074:QAN2078 PQR2074:PQR2078 PGV2074:PGV2078 OWZ2074:OWZ2078 OND2074:OND2078 ODH2074:ODH2078 NTL2074:NTL2078 NJP2074:NJP2078 MZT2074:MZT2078 MPX2074:MPX2078 MGB2074:MGB2078 LWF2074:LWF2078 LMJ2074:LMJ2078 LCN2074:LCN2078 KSR2074:KSR2078 KIV2074:KIV2078 JYZ2074:JYZ2078 JPD2074:JPD2078 JFH2074:JFH2078 IVL2074:IVL2078 ILP2074:ILP2078 IBT2074:IBT2078 HRX2074:HRX2078 HIB2074:HIB2078 GYF2074:GYF2078 GOJ2074:GOJ2078 GEN2074:GEN2078 FUR2074:FUR2078 FKV2074:FKV2078 FAZ2074:FAZ2078 ERD2074:ERD2078 EHH2074:EHH2078 DXL2074:DXL2078 DNP2074:DNP2078 DDT2074:DDT2078 CTX2074:CTX2078 CKB2074:CKB2078 CAF2074:CAF2078 BQJ2074:BQJ2078 BGN2074:BGN2078 AWR2074:AWR2078 AMV2074:AMV2078 ACZ2074:ACZ2078 TD2074:TD2078 JH2074:JH2078 WLX2074:WLX2078 WVT2074:WVT2078 WCB2074:WCB2078 VSF2082:VSF2086 VIJ2082:VIJ2086 UYN2082:UYN2086 UOR2082:UOR2086 UEV2082:UEV2086 TUZ2082:TUZ2086 TLD2082:TLD2086 TBH2082:TBH2086 SRL2082:SRL2086 SHP2082:SHP2086 RXT2082:RXT2086 RNX2082:RNX2086 REB2082:REB2086 QUF2082:QUF2086 QKJ2082:QKJ2086 QAN2082:QAN2086 PQR2082:PQR2086 PGV2082:PGV2086 OWZ2082:OWZ2086 OND2082:OND2086 ODH2082:ODH2086 NTL2082:NTL2086 NJP2082:NJP2086 MZT2082:MZT2086 MPX2082:MPX2086 MGB2082:MGB2086 LWF2082:LWF2086 LMJ2082:LMJ2086 LCN2082:LCN2086 KSR2082:KSR2086 KIV2082:KIV2086 JYZ2082:JYZ2086 JPD2082:JPD2086 JFH2082:JFH2086 IVL2082:IVL2086 ILP2082:ILP2086 IBT2082:IBT2086 HRX2082:HRX2086 HIB2082:HIB2086 GYF2082:GYF2086 GOJ2082:GOJ2086 GEN2082:GEN2086 FUR2082:FUR2086 FKV2082:FKV2086 FAZ2082:FAZ2086 ERD2082:ERD2086 EHH2082:EHH2086 DXL2082:DXL2086 DNP2082:DNP2086 DDT2082:DDT2086 CTX2082:CTX2086 CKB2082:CKB2086 CAF2082:CAF2086 BQJ2082:BQJ2086 BGN2082:BGN2086 AWR2082:AWR2086 AMV2082:AMV2086 ACZ2082:ACZ2086 TD2082:TD2086 JH2082:JH2086 WLX2082:WLX2086 WVT2082:WVT2086 WCB2082:WCB2086 WCB2091:WCB2096 WVT2091:WVT2096 WLX2091:WLX2096 JH2091:JH2096 TD2091:TD2096 ACZ2091:ACZ2096 AMV2091:AMV2096 AWR2091:AWR2096 BGN2091:BGN2096 BQJ2091:BQJ2096 CAF2091:CAF2096 CKB2091:CKB2096 CTX2091:CTX2096 DDT2091:DDT2096 DNP2091:DNP2096 DXL2091:DXL2096 EHH2091:EHH2096 ERD2091:ERD2096 FAZ2091:FAZ2096 FKV2091:FKV2096 FUR2091:FUR2096 GEN2091:GEN2096 GOJ2091:GOJ2096 GYF2091:GYF2096 HIB2091:HIB2096 HRX2091:HRX2096 IBT2091:IBT2096 ILP2091:ILP2096 IVL2091:IVL2096 JFH2091:JFH2096 JPD2091:JPD2096 JYZ2091:JYZ2096 KIV2091:KIV2096 KSR2091:KSR2096 LCN2091:LCN2096 LMJ2091:LMJ2096 LWF2091:LWF2096 MGB2091:MGB2096 MPX2091:MPX2096 MZT2091:MZT2096 NJP2091:NJP2096 NTL2091:NTL2096 ODH2091:ODH2096 OND2091:OND2096 OWZ2091:OWZ2096 PGV2091:PGV2096 PQR2091:PQR2096 QAN2091:QAN2096 QKJ2091:QKJ2096 QUF2091:QUF2096 REB2091:REB2096 RNX2091:RNX2096 RXT2091:RXT2096 SHP2091:SHP2096 SRL2091:SRL2096 TBH2091:TBH2096 TLD2091:TLD2096 TUZ2091:TUZ2096 UEV2091:UEV2096 UOR2091:UOR2096 UYN2091:UYN2096 VIJ2091:VIJ2096 VSF2091:VSF2096 VSF2105:VSF2109 VIJ2105:VIJ2109 UYN2105:UYN2109 UOR2105:UOR2109 UEV2105:UEV2109 TUZ2105:TUZ2109 TLD2105:TLD2109 TBH2105:TBH2109 SRL2105:SRL2109 SHP2105:SHP2109 RXT2105:RXT2109 RNX2105:RNX2109 REB2105:REB2109 QUF2105:QUF2109 QKJ2105:QKJ2109 QAN2105:QAN2109 PQR2105:PQR2109 PGV2105:PGV2109 OWZ2105:OWZ2109 OND2105:OND2109 ODH2105:ODH2109 NTL2105:NTL2109 NJP2105:NJP2109 MZT2105:MZT2109 MPX2105:MPX2109 MGB2105:MGB2109 LWF2105:LWF2109 LMJ2105:LMJ2109 LCN2105:LCN2109 KSR2105:KSR2109 KIV2105:KIV2109 JYZ2105:JYZ2109 JPD2105:JPD2109 JFH2105:JFH2109 IVL2105:IVL2109 ILP2105:ILP2109 IBT2105:IBT2109 HRX2105:HRX2109 HIB2105:HIB2109 GYF2105:GYF2109 GOJ2105:GOJ2109 GEN2105:GEN2109 FUR2105:FUR2109 FKV2105:FKV2109 FAZ2105:FAZ2109 ERD2105:ERD2109 EHH2105:EHH2109 DXL2105:DXL2109 DNP2105:DNP2109 DDT2105:DDT2109 CTX2105:CTX2109 CKB2105:CKB2109 CAF2105:CAF2109 BQJ2105:BQJ2109 BGN2105:BGN2109 AWR2105:AWR2109 AMV2105:AMV2109 ACZ2105:ACZ2109 TD2105:TD2109 JH2105:JH2109 WLX2105:WLX2109 WVT2105:WVT2109 WCB2105:WCB2109 VSF2138:VSF2142 VIJ2138:VIJ2142 UYN2138:UYN2142 UOR2138:UOR2142 UEV2138:UEV2142 TUZ2138:TUZ2142 TLD2138:TLD2142 TBH2138:TBH2142 SRL2138:SRL2142 SHP2138:SHP2142 RXT2138:RXT2142 RNX2138:RNX2142 REB2138:REB2142 QUF2138:QUF2142 QKJ2138:QKJ2142 QAN2138:QAN2142 PQR2138:PQR2142 PGV2138:PGV2142 OWZ2138:OWZ2142 OND2138:OND2142 ODH2138:ODH2142 NTL2138:NTL2142 NJP2138:NJP2142 MZT2138:MZT2142 MPX2138:MPX2142 MGB2138:MGB2142 LWF2138:LWF2142 LMJ2138:LMJ2142 LCN2138:LCN2142 KSR2138:KSR2142 KIV2138:KIV2142 JYZ2138:JYZ2142 JPD2138:JPD2142 JFH2138:JFH2142 IVL2138:IVL2142 ILP2138:ILP2142 IBT2138:IBT2142 HRX2138:HRX2142 HIB2138:HIB2142 GYF2138:GYF2142 GOJ2138:GOJ2142 GEN2138:GEN2142 FUR2138:FUR2142 FKV2138:FKV2142 FAZ2138:FAZ2142 ERD2138:ERD2142 EHH2138:EHH2142 DXL2138:DXL2142 DNP2138:DNP2142 DDT2138:DDT2142 CTX2138:CTX2142 CKB2138:CKB2142 CAF2138:CAF2142 BQJ2138:BQJ2142 BGN2138:BGN2142 AWR2138:AWR2142 AMV2138:AMV2142 ACZ2138:ACZ2142 TD2138:TD2142 JH2138:JH2142 WLX2138:WLX2142 WVT2138:WVT2142 WCB2138:WCB2142 VSF2147:VSF2151 VIJ2147:VIJ2151 UYN2147:UYN2151 UOR2147:UOR2151 UEV2147:UEV2151 TUZ2147:TUZ2151 TLD2147:TLD2151 TBH2147:TBH2151 SRL2147:SRL2151 SHP2147:SHP2151 RXT2147:RXT2151 RNX2147:RNX2151 REB2147:REB2151 QUF2147:QUF2151 QKJ2147:QKJ2151 QAN2147:QAN2151 PQR2147:PQR2151 PGV2147:PGV2151 OWZ2147:OWZ2151 OND2147:OND2151 ODH2147:ODH2151 NTL2147:NTL2151 NJP2147:NJP2151 MZT2147:MZT2151 MPX2147:MPX2151 MGB2147:MGB2151 LWF2147:LWF2151 LMJ2147:LMJ2151 LCN2147:LCN2151 KSR2147:KSR2151 KIV2147:KIV2151 JYZ2147:JYZ2151 JPD2147:JPD2151 JFH2147:JFH2151 IVL2147:IVL2151 ILP2147:ILP2151 IBT2147:IBT2151 HRX2147:HRX2151 HIB2147:HIB2151 GYF2147:GYF2151 GOJ2147:GOJ2151 GEN2147:GEN2151 FUR2147:FUR2151 FKV2147:FKV2151 FAZ2147:FAZ2151 ERD2147:ERD2151 EHH2147:EHH2151 DXL2147:DXL2151 DNP2147:DNP2151 DDT2147:DDT2151 CTX2147:CTX2151 CKB2147:CKB2151 CAF2147:CAF2151 BQJ2147:BQJ2151 BGN2147:BGN2151 AWR2147:AWR2151 AMV2147:AMV2151 ACZ2147:ACZ2151 TD2147:TD2151 JH2147:JH2151 WLX2147:WLX2151 WVT2147:WVT2151 WCB2147:WCB2151 VSF2167:VSF2172 VSF2115:VSF2122 VIJ2115:VIJ2122 UYN2115:UYN2122 UOR2115:UOR2122 UEV2115:UEV2122 TUZ2115:TUZ2122 TLD2115:TLD2122 TBH2115:TBH2122 SRL2115:SRL2122 SHP2115:SHP2122 RXT2115:RXT2122 RNX2115:RNX2122 REB2115:REB2122 QUF2115:QUF2122 QKJ2115:QKJ2122 QAN2115:QAN2122 PQR2115:PQR2122 PGV2115:PGV2122 OWZ2115:OWZ2122 OND2115:OND2122 ODH2115:ODH2122 NTL2115:NTL2122 NJP2115:NJP2122 MZT2115:MZT2122 MPX2115:MPX2122 MGB2115:MGB2122 LWF2115:LWF2122 LMJ2115:LMJ2122 LCN2115:LCN2122 KSR2115:KSR2122 KIV2115:KIV2122 JYZ2115:JYZ2122 JPD2115:JPD2122 JFH2115:JFH2122 IVL2115:IVL2122 ILP2115:ILP2122 IBT2115:IBT2122 HRX2115:HRX2122 HIB2115:HIB2122 GYF2115:GYF2122 GOJ2115:GOJ2122 GEN2115:GEN2122 FUR2115:FUR2122 FKV2115:FKV2122 FAZ2115:FAZ2122 ERD2115:ERD2122 EHH2115:EHH2122 DXL2115:DXL2122 DNP2115:DNP2122 DDT2115:DDT2122 CTX2115:CTX2122 CKB2115:CKB2122 CAF2115:CAF2122 BQJ2115:BQJ2122 BGN2115:BGN2122 AWR2115:AWR2122 AMV2115:AMV2122 ACZ2115:ACZ2122 TD2115:TD2122 JH2115:JH2122 WLX2115:WLX2122 WVT2115:WVT2122 WCB2115:WCB2122 WCB2167:WCB2172 WVT2167:WVT2172 WLX2167:WLX2172 JH2167:JH2172 TD2167:TD2172 ACZ2167:ACZ2172 AMV2167:AMV2172 AWR2167:AWR2172 BGN2167:BGN2172 BQJ2167:BQJ2172 CAF2167:CAF2172 CKB2167:CKB2172 CTX2167:CTX2172 DDT2167:DDT2172 DNP2167:DNP2172 DXL2167:DXL2172 EHH2167:EHH2172 ERD2167:ERD2172 FAZ2167:FAZ2172 FKV2167:FKV2172 FUR2167:FUR2172 GEN2167:GEN2172 GOJ2167:GOJ2172 GYF2167:GYF2172 HIB2167:HIB2172 HRX2167:HRX2172 IBT2167:IBT2172 ILP2167:ILP2172 IVL2167:IVL2172 JFH2167:JFH2172 JPD2167:JPD2172 JYZ2167:JYZ2172 KIV2167:KIV2172 KSR2167:KSR2172 LCN2167:LCN2172 LMJ2167:LMJ2172 LWF2167:LWF2172 MGB2167:MGB2172 MPX2167:MPX2172 MZT2167:MZT2172 NJP2167:NJP2172 NTL2167:NTL2172 ODH2167:ODH2172 OND2167:OND2172 OWZ2167:OWZ2172 PGV2167:PGV2172 PQR2167:PQR2172 QAN2167:QAN2172 QKJ2167:QKJ2172 QUF2167:QUF2172 REB2167:REB2172 RNX2167:RNX2172 RXT2167:RXT2172 SHP2167:SHP2172 SRL2167:SRL2172 TBH2167:TBH2172 TLD2167:TLD2172 TUZ2167:TUZ2172 UEV2167:UEV2172 UOR2167:UOR2172 UYN2167:UYN2172 VIJ2167:VIJ2172 VSF2156:VSF2162 VIJ2156:VIJ2162 UYN2156:UYN2162 UOR2156:UOR2162 UEV2156:UEV2162 TUZ2156:TUZ2162 TLD2156:TLD2162 TBH2156:TBH2162 SRL2156:SRL2162 SHP2156:SHP2162 RXT2156:RXT2162 RNX2156:RNX2162 REB2156:REB2162 QUF2156:QUF2162 QKJ2156:QKJ2162 QAN2156:QAN2162 PQR2156:PQR2162 PGV2156:PGV2162 OWZ2156:OWZ2162 OND2156:OND2162 ODH2156:ODH2162 NTL2156:NTL2162 NJP2156:NJP2162 MZT2156:MZT2162 MPX2156:MPX2162 MGB2156:MGB2162 LWF2156:LWF2162 LMJ2156:LMJ2162 LCN2156:LCN2162 KSR2156:KSR2162 KIV2156:KIV2162 JYZ2156:JYZ2162 JPD2156:JPD2162 JFH2156:JFH2162 IVL2156:IVL2162 ILP2156:ILP2162 IBT2156:IBT2162 HRX2156:HRX2162 HIB2156:HIB2162 GYF2156:GYF2162 GOJ2156:GOJ2162 GEN2156:GEN2162 FUR2156:FUR2162 FKV2156:FKV2162 FAZ2156:FAZ2162 ERD2156:ERD2162 EHH2156:EHH2162 DXL2156:DXL2162 DNP2156:DNP2162 DDT2156:DDT2162 CTX2156:CTX2162 CKB2156:CKB2162 CAF2156:CAF2162 BQJ2156:BQJ2162 BGN2156:BGN2162 AWR2156:AWR2162 AMV2156:AMV2162 ACZ2156:ACZ2162 TD2156:TD2162 JH2156:JH2162 WLX2156:WLX2162 WVT2156:WVT2162 WCB2156:WCB2162 VSF2176:VSF2182 VIJ2176:VIJ2182 UYN2176:UYN2182 UOR2176:UOR2182 UEV2176:UEV2182 TUZ2176:TUZ2182 TLD2176:TLD2182 TBH2176:TBH2182 SRL2176:SRL2182 SHP2176:SHP2182 RXT2176:RXT2182 RNX2176:RNX2182 REB2176:REB2182 QUF2176:QUF2182 QKJ2176:QKJ2182 QAN2176:QAN2182 PQR2176:PQR2182 PGV2176:PGV2182 OWZ2176:OWZ2182 OND2176:OND2182 ODH2176:ODH2182 NTL2176:NTL2182 NJP2176:NJP2182 MZT2176:MZT2182 MPX2176:MPX2182 MGB2176:MGB2182 LWF2176:LWF2182 LMJ2176:LMJ2182 LCN2176:LCN2182 KSR2176:KSR2182 KIV2176:KIV2182 JYZ2176:JYZ2182 JPD2176:JPD2182 JFH2176:JFH2182 IVL2176:IVL2182 ILP2176:ILP2182 IBT2176:IBT2182 HRX2176:HRX2182 HIB2176:HIB2182 GYF2176:GYF2182 GOJ2176:GOJ2182 GEN2176:GEN2182 FUR2176:FUR2182 FKV2176:FKV2182 FAZ2176:FAZ2182 ERD2176:ERD2182 EHH2176:EHH2182 DXL2176:DXL2182 DNP2176:DNP2182 DDT2176:DDT2182 CTX2176:CTX2182 CKB2176:CKB2182 CAF2176:CAF2182 BQJ2176:BQJ2182 BGN2176:BGN2182 AWR2176:AWR2182 AMV2176:AMV2182 ACZ2176:ACZ2182 TD2176:TD2182 JH2176:JH2182 WLX2176:WLX2182 WVT2176:WVT2182 WCB2176:WCB2182 VSF2021:VSF2027 VSF1946:VSF1952 VIJ1946:VIJ1952 UYN1946:UYN1952 UOR1946:UOR1952 UEV1946:UEV1952 TUZ1946:TUZ1952 TLD1946:TLD1952 TBH1946:TBH1952 SRL1946:SRL1952 SHP1946:SHP1952 RXT1946:RXT1952 RNX1946:RNX1952 REB1946:REB1952 QUF1946:QUF1952 QKJ1946:QKJ1952 QAN1946:QAN1952 PQR1946:PQR1952 PGV1946:PGV1952 OWZ1946:OWZ1952 OND1946:OND1952 ODH1946:ODH1952 NTL1946:NTL1952 NJP1946:NJP1952 MZT1946:MZT1952 MPX1946:MPX1952 MGB1946:MGB1952 LWF1946:LWF1952 LMJ1946:LMJ1952 LCN1946:LCN1952 KSR1946:KSR1952 KIV1946:KIV1952 JYZ1946:JYZ1952 JPD1946:JPD1952 JFH1946:JFH1952 IVL1946:IVL1952 ILP1946:ILP1952 IBT1946:IBT1952 HRX1946:HRX1952 HIB1946:HIB1952 GYF1946:GYF1952 GOJ1946:GOJ1952 GEN1946:GEN1952 FUR1946:FUR1952 FKV1946:FKV1952 FAZ1946:FAZ1952 ERD1946:ERD1952 EHH1946:EHH1952 DXL1946:DXL1952 DNP1946:DNP1952 DDT1946:DDT1952 CTX1946:CTX1952 CKB1946:CKB1952 CAF1946:CAF1952 BQJ1946:BQJ1952 BGN1946:BGN1952 AWR1946:AWR1952 AMV1946:AMV1952 ACZ1946:ACZ1952 TD1946:TD1952 JH1946:JH1952 WLX1946:WLX1952 WVT1946:WVT1952 WCB1946:WCB1952 WCB1959:WCB1965 WVT1959:WVT1965 WLX1959:WLX1965 JH1959:JH1965 TD1959:TD1965 ACZ1959:ACZ1965 AMV1959:AMV1965 AWR1959:AWR1965 BGN1959:BGN1965 BQJ1959:BQJ1965 CAF1959:CAF1965 CKB1959:CKB1965 CTX1959:CTX1965 DDT1959:DDT1965 DNP1959:DNP1965 DXL1959:DXL1965 EHH1959:EHH1965 ERD1959:ERD1965 FAZ1959:FAZ1965 FKV1959:FKV1965 FUR1959:FUR1965 GEN1959:GEN1965 GOJ1959:GOJ1965 GYF1959:GYF1965 HIB1959:HIB1965 HRX1959:HRX1965 IBT1959:IBT1965 ILP1959:ILP1965 IVL1959:IVL1965 JFH1959:JFH1965 JPD1959:JPD1965 JYZ1959:JYZ1965 KIV1959:KIV1965 KSR1959:KSR1965 LCN1959:LCN1965 LMJ1959:LMJ1965 LWF1959:LWF1965 MGB1959:MGB1965 MPX1959:MPX1965 MZT1959:MZT1965 NJP1959:NJP1965 NTL1959:NTL1965 ODH1959:ODH1965 OND1959:OND1965 OWZ1959:OWZ1965 PGV1959:PGV1965 PQR1959:PQR1965 QAN1959:QAN1965 QKJ1959:QKJ1965 QUF1959:QUF1965 REB1959:REB1965 RNX1959:RNX1965 RXT1959:RXT1965 SHP1959:SHP1965 SRL1959:SRL1965 TBH1959:TBH1965 TLD1959:TLD1965 TUZ1959:TUZ1965 UEV1959:UEV1965 UOR1959:UOR1965 UYN1959:UYN1965 VIJ1959:VIJ1965 VSF1959:VSF1965 VSF1974:VSF1981 VIJ1974:VIJ1981 UYN1974:UYN1981 UOR1974:UOR1981 UEV1974:UEV1981 TUZ1974:TUZ1981 TLD1974:TLD1981 TBH1974:TBH1981 SRL1974:SRL1981 SHP1974:SHP1981 RXT1974:RXT1981 RNX1974:RNX1981 REB1974:REB1981 QUF1974:QUF1981 QKJ1974:QKJ1981 QAN1974:QAN1981 PQR1974:PQR1981 PGV1974:PGV1981 OWZ1974:OWZ1981 OND1974:OND1981 ODH1974:ODH1981 NTL1974:NTL1981 NJP1974:NJP1981 MZT1974:MZT1981 MPX1974:MPX1981 MGB1974:MGB1981 LWF1974:LWF1981 LMJ1974:LMJ1981 LCN1974:LCN1981 KSR1974:KSR1981 KIV1974:KIV1981 JYZ1974:JYZ1981 JPD1974:JPD1981 JFH1974:JFH1981 IVL1974:IVL1981 ILP1974:ILP1981 IBT1974:IBT1981 HRX1974:HRX1981 HIB1974:HIB1981 GYF1974:GYF1981 GOJ1974:GOJ1981 GEN1974:GEN1981 FUR1974:FUR1981 FKV1974:FKV1981 FAZ1974:FAZ1981 ERD1974:ERD1981 EHH1974:EHH1981 DXL1974:DXL1981 DNP1974:DNP1981 DDT1974:DDT1981 CTX1974:CTX1981 CKB1974:CKB1981 CAF1974:CAF1981 BQJ1974:BQJ1981 BGN1974:BGN1981 AWR1974:AWR1981 AMV1974:AMV1981 ACZ1974:ACZ1981 TD1974:TD1981 JH1974:JH1981 WLX1974:WLX1981 WVT1974:WVT1981 WCB1974:WCB1981 VSF1989:VSF1996 VIJ1989:VIJ1996 UYN1989:UYN1996 UOR1989:UOR1996 UEV1989:UEV1996 TUZ1989:TUZ1996 TLD1989:TLD1996 TBH1989:TBH1996 SRL1989:SRL1996 SHP1989:SHP1996 RXT1989:RXT1996 RNX1989:RNX1996 REB1989:REB1996 QUF1989:QUF1996 QKJ1989:QKJ1996 QAN1989:QAN1996 PQR1989:PQR1996 PGV1989:PGV1996 OWZ1989:OWZ1996 OND1989:OND1996 ODH1989:ODH1996 NTL1989:NTL1996 NJP1989:NJP1996 MZT1989:MZT1996 MPX1989:MPX1996 MGB1989:MGB1996 LWF1989:LWF1996 LMJ1989:LMJ1996 LCN1989:LCN1996 KSR1989:KSR1996 KIV1989:KIV1996 JYZ1989:JYZ1996 JPD1989:JPD1996 JFH1989:JFH1996 IVL1989:IVL1996 ILP1989:ILP1996 IBT1989:IBT1996 HRX1989:HRX1996 HIB1989:HIB1996 GYF1989:GYF1996 GOJ1989:GOJ1996 GEN1989:GEN1996 FUR1989:FUR1996 FKV1989:FKV1996 FAZ1989:FAZ1996 ERD1989:ERD1996 EHH1989:EHH1996 DXL1989:DXL1996 DNP1989:DNP1996 DDT1989:DDT1996 CTX1989:CTX1996 CKB1989:CKB1996 CAF1989:CAF1996 BQJ1989:BQJ1996 BGN1989:BGN1996 AWR1989:AWR1996 AMV1989:AMV1996 ACZ1989:ACZ1996 TD1989:TD1996 JH1989:JH1996 WLX1989:WLX1996 WVT1989:WVT1996 WCB1989:WCB1996 WCB2006:WCB2012 WVT2006:WVT2012 WLX2006:WLX2012 JH2006:JH2012 TD2006:TD2012 ACZ2006:ACZ2012 AMV2006:AMV2012 AWR2006:AWR2012 BGN2006:BGN2012 BQJ2006:BQJ2012 CAF2006:CAF2012 CKB2006:CKB2012 CTX2006:CTX2012 DDT2006:DDT2012 DNP2006:DNP2012 DXL2006:DXL2012 EHH2006:EHH2012 ERD2006:ERD2012 FAZ2006:FAZ2012 FKV2006:FKV2012 FUR2006:FUR2012 GEN2006:GEN2012 GOJ2006:GOJ2012 GYF2006:GYF2012 HIB2006:HIB2012 HRX2006:HRX2012 IBT2006:IBT2012 ILP2006:ILP2012 IVL2006:IVL2012 JFH2006:JFH2012 JPD2006:JPD2012 JYZ2006:JYZ2012 KIV2006:KIV2012 KSR2006:KSR2012 LCN2006:LCN2012 LMJ2006:LMJ2012 LWF2006:LWF2012 MGB2006:MGB2012 MPX2006:MPX2012 MZT2006:MZT2012 NJP2006:NJP2012 NTL2006:NTL2012 ODH2006:ODH2012 OND2006:OND2012 OWZ2006:OWZ2012 PGV2006:PGV2012 PQR2006:PQR2012 QAN2006:QAN2012 QKJ2006:QKJ2012 QUF2006:QUF2012 REB2006:REB2012 RNX2006:RNX2012 RXT2006:RXT2012 SHP2006:SHP2012 SRL2006:SRL2012 TBH2006:TBH2012 TLD2006:TLD2012 TUZ2006:TUZ2012 UEV2006:UEV2012 UOR2006:UOR2012 UYN2006:UYN2012 VIJ2006:VIJ2012 VSF2006:VSF2012 WCB2021:WCB2027 WVT2021:WVT2027 WLX2021:WLX2027 JH2021:JH2027 TD2021:TD2027 ACZ2021:ACZ2027 AMV2021:AMV2027 AWR2021:AWR2027 BGN2021:BGN2027 BQJ2021:BQJ2027 CAF2021:CAF2027 CKB2021:CKB2027 CTX2021:CTX2027 DDT2021:DDT2027 DNP2021:DNP2027 DXL2021:DXL2027 EHH2021:EHH2027 ERD2021:ERD2027 FAZ2021:FAZ2027 FKV2021:FKV2027 FUR2021:FUR2027 GEN2021:GEN2027 GOJ2021:GOJ2027 GYF2021:GYF2027 HIB2021:HIB2027 HRX2021:HRX2027 IBT2021:IBT2027 ILP2021:ILP2027 IVL2021:IVL2027 JFH2021:JFH2027 JPD2021:JPD2027 JYZ2021:JYZ2027 KIV2021:KIV2027 KSR2021:KSR2027 LCN2021:LCN2027 LMJ2021:LMJ2027 LWF2021:LWF2027 MGB2021:MGB2027 MPX2021:MPX2027 MZT2021:MZT2027 NJP2021:NJP2027 NTL2021:NTL2027 ODH2021:ODH2027 OND2021:OND2027 OWZ2021:OWZ2027 PGV2021:PGV2027 PQR2021:PQR2027 QAN2021:QAN2027 QKJ2021:QKJ2027 QUF2021:QUF2027 REB2021:REB2027 RNX2021:RNX2027 RXT2021:RXT2027 SHP2021:SHP2027 SRL2021:SRL2027 TBH2021:TBH2027 TLD2021:TLD2027 TUZ2021:TUZ2027 UEV2021:UEV2027 UOR2021:UOR2027 UYN2021:UYN2027 VIJ2021:VIJ2027 VSF1840:VSF1846 VIJ1840:VIJ1846 UYN1840:UYN1846 UOR1840:UOR1846 UEV1840:UEV1846 TUZ1840:TUZ1846 TLD1840:TLD1846 TBH1840:TBH1846 SRL1840:SRL1846 SHP1840:SHP1846 RXT1840:RXT1846 RNX1840:RNX1846 REB1840:REB1846 QUF1840:QUF1846 QKJ1840:QKJ1846 QAN1840:QAN1846 PQR1840:PQR1846 PGV1840:PGV1846 OWZ1840:OWZ1846 OND1840:OND1846 ODH1840:ODH1846 NTL1840:NTL1846 NJP1840:NJP1846 MZT1840:MZT1846 MPX1840:MPX1846 MGB1840:MGB1846 LWF1840:LWF1846 LMJ1840:LMJ1846 LCN1840:LCN1846 KSR1840:KSR1846 KIV1840:KIV1846 JYZ1840:JYZ1846 JPD1840:JPD1846 JFH1840:JFH1846 IVL1840:IVL1846 ILP1840:ILP1846 IBT1840:IBT1846 HRX1840:HRX1846 HIB1840:HIB1846 GYF1840:GYF1846 GOJ1840:GOJ1846 GEN1840:GEN1846 FUR1840:FUR1846 FKV1840:FKV1846 FAZ1840:FAZ1846 ERD1840:ERD1846 EHH1840:EHH1846 DXL1840:DXL1846 DNP1840:DNP1846 DDT1840:DDT1846 CTX1840:CTX1846 CKB1840:CKB1846 CAF1840:CAF1846 BQJ1840:BQJ1846 BGN1840:BGN1846 AWR1840:AWR1846 AMV1840:AMV1846 ACZ1840:ACZ1846 TD1840:TD1846 JH1840:JH1846 WLX1840:WLX1846 WVT1840:WVT1846 WCB1840:WCB1846 VSF1863:VSF1869 VIJ1863:VIJ1869 UYN1863:UYN1869 UOR1863:UOR1869 UEV1863:UEV1869 TUZ1863:TUZ1869 TLD1863:TLD1869 TBH1863:TBH1869 SRL1863:SRL1869 SHP1863:SHP1869 RXT1863:RXT1869 RNX1863:RNX1869 REB1863:REB1869 QUF1863:QUF1869 QKJ1863:QKJ1869 QAN1863:QAN1869 PQR1863:PQR1869 PGV1863:PGV1869 OWZ1863:OWZ1869 OND1863:OND1869 ODH1863:ODH1869 NTL1863:NTL1869 NJP1863:NJP1869 MZT1863:MZT1869 MPX1863:MPX1869 MGB1863:MGB1869 LWF1863:LWF1869 LMJ1863:LMJ1869 LCN1863:LCN1869 KSR1863:KSR1869 KIV1863:KIV1869 JYZ1863:JYZ1869 JPD1863:JPD1869 JFH1863:JFH1869 IVL1863:IVL1869 ILP1863:ILP1869 IBT1863:IBT1869 HRX1863:HRX1869 HIB1863:HIB1869 GYF1863:GYF1869 GOJ1863:GOJ1869 GEN1863:GEN1869 FUR1863:FUR1869 FKV1863:FKV1869 FAZ1863:FAZ1869 ERD1863:ERD1869 EHH1863:EHH1869 DXL1863:DXL1869 DNP1863:DNP1869 DDT1863:DDT1869 CTX1863:CTX1869 CKB1863:CKB1869 CAF1863:CAF1869 BQJ1863:BQJ1869 BGN1863:BGN1869 AWR1863:AWR1869 AMV1863:AMV1869 ACZ1863:ACZ1869 TD1863:TD1869 JH1863:JH1869 WLX1863:WLX1869 WVT1863:WVT1869 WCB1863:WCB1869 WCB1885:WCB1891 WVT1885:WVT1891 WLX1885:WLX1891 JH1885:JH1891 TD1885:TD1891 ACZ1885:ACZ1891 AMV1885:AMV1891 AWR1885:AWR1891 BGN1885:BGN1891 BQJ1885:BQJ1891 CAF1885:CAF1891 CKB1885:CKB1891 CTX1885:CTX1891 DDT1885:DDT1891 DNP1885:DNP1891 DXL1885:DXL1891 EHH1885:EHH1891 ERD1885:ERD1891 FAZ1885:FAZ1891 FKV1885:FKV1891 FUR1885:FUR1891 GEN1885:GEN1891 GOJ1885:GOJ1891 GYF1885:GYF1891 HIB1885:HIB1891 HRX1885:HRX1891 IBT1885:IBT1891 ILP1885:ILP1891 IVL1885:IVL1891 JFH1885:JFH1891 JPD1885:JPD1891 JYZ1885:JYZ1891 KIV1885:KIV1891 KSR1885:KSR1891 LCN1885:LCN1891 LMJ1885:LMJ1891 LWF1885:LWF1891 MGB1885:MGB1891 MPX1885:MPX1891 MZT1885:MZT1891 NJP1885:NJP1891 NTL1885:NTL1891 ODH1885:ODH1891 OND1885:OND1891 OWZ1885:OWZ1891 PGV1885:PGV1891 PQR1885:PQR1891 QAN1885:QAN1891 QKJ1885:QKJ1891 QUF1885:QUF1891 REB1885:REB1891 RNX1885:RNX1891 RXT1885:RXT1891 SHP1885:SHP1891 SRL1885:SRL1891 TBH1885:TBH1891 TLD1885:TLD1891 TUZ1885:TUZ1891 UEV1885:UEV1891 UOR1885:UOR1891 UYN1885:UYN1891 VIJ1885:VIJ1891 VSF1885:VSF1891 WCB1907:WCB1914 WVT1907:WVT1914 WLX1907:WLX1914 JH1907:JH1914 TD1907:TD1914 ACZ1907:ACZ1914 AMV1907:AMV1914 AWR1907:AWR1914 BGN1907:BGN1914 BQJ1907:BQJ1914 CAF1907:CAF1914 CKB1907:CKB1914 CTX1907:CTX1914 DDT1907:DDT1914 DNP1907:DNP1914 DXL1907:DXL1914 EHH1907:EHH1914 ERD1907:ERD1914 FAZ1907:FAZ1914 FKV1907:FKV1914 FUR1907:FUR1914 GEN1907:GEN1914 GOJ1907:GOJ1914 GYF1907:GYF1914 HIB1907:HIB1914 HRX1907:HRX1914 IBT1907:IBT1914 ILP1907:ILP1914 IVL1907:IVL1914 JFH1907:JFH1914 JPD1907:JPD1914 JYZ1907:JYZ1914 KIV1907:KIV1914 KSR1907:KSR1914 LCN1907:LCN1914 LMJ1907:LMJ1914 LWF1907:LWF1914 MGB1907:MGB1914 MPX1907:MPX1914 MZT1907:MZT1914 NJP1907:NJP1914 NTL1907:NTL1914 ODH1907:ODH1914 OND1907:OND1914 OWZ1907:OWZ1914 PGV1907:PGV1914 PQR1907:PQR1914 QAN1907:QAN1914 QKJ1907:QKJ1914 QUF1907:QUF1914 REB1907:REB1914 RNX1907:RNX1914 RXT1907:RXT1914 SHP1907:SHP1914 SRL1907:SRL1914 TBH1907:TBH1914 TLD1907:TLD1914 TUZ1907:TUZ1914 UEV1907:UEV1914 UOR1907:UOR1914 UYN1907:UYN1914 VIJ1907:VIJ1914 VSF1907:VSF1914 VSF1931:VSF1933 VIJ1931:VIJ1933 UYN1931:UYN1933 UOR1931:UOR1933 UEV1931:UEV1933 TUZ1931:TUZ1933 TLD1931:TLD1933 TBH1931:TBH1933 SRL1931:SRL1933 SHP1931:SHP1933 RXT1931:RXT1933 RNX1931:RNX1933 REB1931:REB1933 QUF1931:QUF1933 QKJ1931:QKJ1933 QAN1931:QAN1933 PQR1931:PQR1933 PGV1931:PGV1933 OWZ1931:OWZ1933 OND1931:OND1933 ODH1931:ODH1933 NTL1931:NTL1933 NJP1931:NJP1933 MZT1931:MZT1933 MPX1931:MPX1933 MGB1931:MGB1933 LWF1931:LWF1933 LMJ1931:LMJ1933 LCN1931:LCN1933 KSR1931:KSR1933 KIV1931:KIV1933 JYZ1931:JYZ1933 JPD1931:JPD1933 JFH1931:JFH1933 IVL1931:IVL1933 ILP1931:ILP1933 IBT1931:IBT1933 HRX1931:HRX1933 HIB1931:HIB1933 GYF1931:GYF1933 GOJ1931:GOJ1933 GEN1931:GEN1933 FUR1931:FUR1933 FKV1931:FKV1933 FAZ1931:FAZ1933 ERD1931:ERD1933 EHH1931:EHH1933 DXL1931:DXL1933 DNP1931:DNP1933 DDT1931:DDT1933 CTX1931:CTX1933 CKB1931:CKB1933 CAF1931:CAF1933 BQJ1931:BQJ1933 BGN1931:BGN1933 AWR1931:AWR1933 AMV1931:AMV1933 ACZ1931:ACZ1933 TD1931:TD1933 JH1931:JH1933 WLX1931:WLX1933 WVT1931:WVT1933 WCB1931:WCB1933 WCB1819:WCB1824 WVT1819:WVT1824 WLX1819:WLX1824 JH1819:JH1824 TD1819:TD1824 ACZ1819:ACZ1824 AMV1819:AMV1824 AWR1819:AWR1824 BGN1819:BGN1824 BQJ1819:BQJ1824 CAF1819:CAF1824 CKB1819:CKB1824 CTX1819:CTX1824 DDT1819:DDT1824 DNP1819:DNP1824 DXL1819:DXL1824 EHH1819:EHH1824 ERD1819:ERD1824 FAZ1819:FAZ1824 FKV1819:FKV1824 FUR1819:FUR1824 GEN1819:GEN1824 GOJ1819:GOJ1824 GYF1819:GYF1824 HIB1819:HIB1824 HRX1819:HRX1824 IBT1819:IBT1824 ILP1819:ILP1824 IVL1819:IVL1824 JFH1819:JFH1824 JPD1819:JPD1824 JYZ1819:JYZ1824 KIV1819:KIV1824 KSR1819:KSR1824 LCN1819:LCN1824 LMJ1819:LMJ1824 LWF1819:LWF1824 MGB1819:MGB1824 MPX1819:MPX1824 MZT1819:MZT1824 NJP1819:NJP1824 NTL1819:NTL1824 ODH1819:ODH1824 OND1819:OND1824 OWZ1819:OWZ1824 PGV1819:PGV1824 PQR1819:PQR1824 QAN1819:QAN1824 QKJ1819:QKJ1824 QUF1819:QUF1824 REB1819:REB1824 RNX1819:RNX1824 RXT1819:RXT1824 SHP1819:SHP1824 SRL1819:SRL1824 TBH1819:TBH1824 TLD1819:TLD1824 TUZ1819:TUZ1824 UEV1819:UEV1824 UOR1819:UOR1824 UYN1819:UYN1824 VIJ1819:VIJ1824 VSF1819:VSF1824 WVT1535:WVT1539 WLX1535:WLX1539 JH1535:JH1539 TD1535:TD1539 ACZ1535:ACZ1539 AMV1535:AMV1539 AWR1535:AWR1539 BGN1535:BGN1539 BQJ1535:BQJ1539 CAF1535:CAF1539 CKB1535:CKB1539 CTX1535:CTX1539 DDT1535:DDT1539 DNP1535:DNP1539 DXL1535:DXL1539 EHH1535:EHH1539 ERD1535:ERD1539 FAZ1535:FAZ1539 FKV1535:FKV1539 FUR1535:FUR1539 GEN1535:GEN1539 GOJ1535:GOJ1539 GYF1535:GYF1539 HIB1535:HIB1539 HRX1535:HRX1539 IBT1535:IBT1539 ILP1535:ILP1539 IVL1535:IVL1539 JFH1535:JFH1539 JPD1535:JPD1539 JYZ1535:JYZ1539 KIV1535:KIV1539 KSR1535:KSR1539 LCN1535:LCN1539 LMJ1535:LMJ1539 LWF1535:LWF1539 MGB1535:MGB1539 MPX1535:MPX1539 MZT1535:MZT1539 NJP1535:NJP1539 NTL1535:NTL1539 ODH1535:ODH1539 OND1535:OND1539 OWZ1535:OWZ1539 PGV1535:PGV1539 PQR1535:PQR1539 QAN1535:QAN1539 QKJ1535:QKJ1539 QUF1535:QUF1539 REB1535:REB1539 RNX1535:RNX1539 RXT1535:RXT1539 SHP1535:SHP1539 SRL1535:SRL1539 TBH1535:TBH1539 TLD1535:TLD1539 TUZ1535:TUZ1539 UEV1535:UEV1539 UOR1535:UOR1539 UYN1535:UYN1539 VIJ1535:VIJ1539 VSF1535:VSF1539 WCB1535:WCB1539 WVT1543 WLX1543 JH1543 TD1543 ACZ1543 AMV1543 AWR1543 BGN1543 BQJ1543 CAF1543 CKB1543 CTX1543 DDT1543 DNP1543 DXL1543 EHH1543 ERD1543 FAZ1543 FKV1543 FUR1543 GEN1543 GOJ1543 GYF1543 HIB1543 HRX1543 IBT1543 ILP1543 IVL1543 JFH1543 JPD1543 JYZ1543 KIV1543 KSR1543 LCN1543 LMJ1543 LWF1543 MGB1543 MPX1543 MZT1543 NJP1543 NTL1543 ODH1543 OND1543 OWZ1543 PGV1543 PQR1543 QAN1543 QKJ1543 QUF1543 REB1543 RNX1543 RXT1543 SHP1543 SRL1543 TBH1543 TLD1543 TUZ1543 UEV1543 UOR1543 UYN1543 VIJ1543 VSF1543 WCB1543 WVT1548 WLX1548 JH1548 TD1548 ACZ1548 AMV1548 AWR1548 BGN1548 BQJ1548 CAF1548 CKB1548 CTX1548 DDT1548 DNP1548 DXL1548 EHH1548 ERD1548 FAZ1548 FKV1548 FUR1548 GEN1548 GOJ1548 GYF1548 HIB1548 HRX1548 IBT1548 ILP1548 IVL1548 JFH1548 JPD1548 JYZ1548 KIV1548 KSR1548 LCN1548 LMJ1548 LWF1548 MGB1548 MPX1548 MZT1548 NJP1548 NTL1548 ODH1548 OND1548 OWZ1548 PGV1548 PQR1548 QAN1548 QKJ1548 QUF1548 REB1548 RNX1548 RXT1548 SHP1548 SRL1548 TBH1548 TLD1548 TUZ1548 UEV1548 UOR1548 UYN1548 VIJ1548 VSF1548 WCB1548 WVT1563:WVT1567 WLX1563:WLX1567 JH1563:JH1567 TD1563:TD1567 ACZ1563:ACZ1567 AMV1563:AMV1567 AWR1563:AWR1567 BGN1563:BGN1567 BQJ1563:BQJ1567 CAF1563:CAF1567 CKB1563:CKB1567 CTX1563:CTX1567 DDT1563:DDT1567 DNP1563:DNP1567 DXL1563:DXL1567 EHH1563:EHH1567 ERD1563:ERD1567 FAZ1563:FAZ1567 FKV1563:FKV1567 FUR1563:FUR1567 GEN1563:GEN1567 GOJ1563:GOJ1567 GYF1563:GYF1567 HIB1563:HIB1567 HRX1563:HRX1567 IBT1563:IBT1567 ILP1563:ILP1567 IVL1563:IVL1567 JFH1563:JFH1567 JPD1563:JPD1567 JYZ1563:JYZ1567 KIV1563:KIV1567 KSR1563:KSR1567 LCN1563:LCN1567 LMJ1563:LMJ1567 LWF1563:LWF1567 MGB1563:MGB1567 MPX1563:MPX1567 MZT1563:MZT1567 NJP1563:NJP1567 NTL1563:NTL1567 ODH1563:ODH1567 OND1563:OND1567 OWZ1563:OWZ1567 PGV1563:PGV1567 PQR1563:PQR1567 QAN1563:QAN1567 QKJ1563:QKJ1567 QUF1563:QUF1567 REB1563:REB1567 RNX1563:RNX1567 RXT1563:RXT1567 SHP1563:SHP1567 SRL1563:SRL1567 TBH1563:TBH1567 TLD1563:TLD1567 TUZ1563:TUZ1567 UEV1563:UEV1567 UOR1563:UOR1567 UYN1563:UYN1567 VIJ1563:VIJ1567 VSF1563:VSF1567 WCB1563:WCB1567 WCB1578 WVT1578 WLX1578 JH1578 TD1578 ACZ1578 AMV1578 AWR1578 BGN1578 BQJ1578 CAF1578 CKB1578 CTX1578 DDT1578 DNP1578 DXL1578 EHH1578 ERD1578 FAZ1578 FKV1578 FUR1578 GEN1578 GOJ1578 GYF1578 HIB1578 HRX1578 IBT1578 ILP1578 IVL1578 JFH1578 JPD1578 JYZ1578 KIV1578 KSR1578 LCN1578 LMJ1578 LWF1578 MGB1578 MPX1578 MZT1578 NJP1578 NTL1578 ODH1578 OND1578 OWZ1578 PGV1578 PQR1578 QAN1578 QKJ1578 QUF1578 REB1578 RNX1578 RXT1578 SHP1578 SRL1578 TBH1578 TLD1578 TUZ1578 UEV1578 UOR1578 UYN1578 VIJ1578 VSF1578 WVT1571:WVT1574 WCB1571:WCB1574 VSF1571:VSF1574 VIJ1571:VIJ1574 UYN1571:UYN1574 UOR1571:UOR1574 UEV1571:UEV1574 TUZ1571:TUZ1574 TLD1571:TLD1574 TBH1571:TBH1574 SRL1571:SRL1574 SHP1571:SHP1574 RXT1571:RXT1574 RNX1571:RNX1574 REB1571:REB1574 QUF1571:QUF1574 QKJ1571:QKJ1574 QAN1571:QAN1574 PQR1571:PQR1574 PGV1571:PGV1574 OWZ1571:OWZ1574 OND1571:OND1574 ODH1571:ODH1574 NTL1571:NTL1574 NJP1571:NJP1574 MZT1571:MZT1574 MPX1571:MPX1574 MGB1571:MGB1574 LWF1571:LWF1574 LMJ1571:LMJ1574 LCN1571:LCN1574 KSR1571:KSR1574 KIV1571:KIV1574 JYZ1571:JYZ1574 JPD1571:JPD1574 JFH1571:JFH1574 IVL1571:IVL1574 ILP1571:ILP1574 IBT1571:IBT1574 HRX1571:HRX1574 HIB1571:HIB1574 GYF1571:GYF1574 GOJ1571:GOJ1574 GEN1571:GEN1574 FUR1571:FUR1574 FKV1571:FKV1574 FAZ1571:FAZ1574 ERD1571:ERD1574 EHH1571:EHH1574 DXL1571:DXL1574 DNP1571:DNP1574 DDT1571:DDT1574 CTX1571:CTX1574 CKB1571:CKB1574 CAF1571:CAF1574 BQJ1571:BQJ1574 BGN1571:BGN1574 AWR1571:AWR1574 AMV1571:AMV1574 ACZ1571:ACZ1574 TD1571:TD1574 JH1571:JH1574 WLX1571:WLX1574 WCB1810 WVT1810 WLX1810 JH1810 TD1810 ACZ1810 AMV1810 AWR1810 BGN1810 BQJ1810 CAF1810 CKB1810 CTX1810 DDT1810 DNP1810 DXL1810 EHH1810 ERD1810 FAZ1810 FKV1810 FUR1810 GEN1810 GOJ1810 GYF1810 HIB1810 HRX1810 IBT1810 ILP1810 IVL1810 JFH1810 JPD1810 JYZ1810 KIV1810 KSR1810 LCN1810 LMJ1810 LWF1810 MGB1810 MPX1810 MZT1810 NJP1810 NTL1810 ODH1810 OND1810 OWZ1810 PGV1810 PQR1810 QAN1810 QKJ1810 QUF1810 REB1810 RNX1810 RXT1810 SHP1810 SRL1810 TBH1810 TLD1810 TUZ1810 UEV1810 UOR1810 UYN1810 VIJ1810 VSF1810 WLX1805:WLX1806 JH1805:JH1806 TD1805:TD1806 ACZ1805:ACZ1806 AMV1805:AMV1806 AWR1805:AWR1806 BGN1805:BGN1806 BQJ1805:BQJ1806 CAF1805:CAF1806 CKB1805:CKB1806 CTX1805:CTX1806 DDT1805:DDT1806 DNP1805:DNP1806 DXL1805:DXL1806 EHH1805:EHH1806 ERD1805:ERD1806 FAZ1805:FAZ1806 FKV1805:FKV1806 FUR1805:FUR1806 GEN1805:GEN1806 GOJ1805:GOJ1806 GYF1805:GYF1806 HIB1805:HIB1806 HRX1805:HRX1806 IBT1805:IBT1806 ILP1805:ILP1806 IVL1805:IVL1806 JFH1805:JFH1806 JPD1805:JPD1806 JYZ1805:JYZ1806 KIV1805:KIV1806 KSR1805:KSR1806 LCN1805:LCN1806 LMJ1805:LMJ1806 LWF1805:LWF1806 MGB1805:MGB1806 MPX1805:MPX1806 MZT1805:MZT1806 NJP1805:NJP1806 NTL1805:NTL1806 ODH1805:ODH1806 OND1805:OND1806 OWZ1805:OWZ1806 PGV1805:PGV1806 PQR1805:PQR1806 QAN1805:QAN1806 QKJ1805:QKJ1806 QUF1805:QUF1806 REB1805:REB1806 RNX1805:RNX1806 RXT1805:RXT1806 SHP1805:SHP1806 SRL1805:SRL1806 TBH1805:TBH1806 TLD1805:TLD1806 TUZ1805:TUZ1806 UEV1805:UEV1806 UOR1805:UOR1806 UYN1805:UYN1806 VIJ1805:VIJ1806 VSF1805:VSF1806 WCB1805:WCB1806 WVT1805:WVT1806 WLX1596:WLX1605 JH1596:JH1605 TD1596:TD1605 ACZ1596:ACZ1605 AMV1596:AMV1605 AWR1596:AWR1605 BGN1596:BGN1605 BQJ1596:BQJ1605 CAF1596:CAF1605 CKB1596:CKB1605 CTX1596:CTX1605 DDT1596:DDT1605 DNP1596:DNP1605 DXL1596:DXL1605 EHH1596:EHH1605 ERD1596:ERD1605 FAZ1596:FAZ1605 FKV1596:FKV1605 FUR1596:FUR1605 GEN1596:GEN1605 GOJ1596:GOJ1605 GYF1596:GYF1605 HIB1596:HIB1605 HRX1596:HRX1605 IBT1596:IBT1605 ILP1596:ILP1605 IVL1596:IVL1605 JFH1596:JFH1605 JPD1596:JPD1605 JYZ1596:JYZ1605 KIV1596:KIV1605 KSR1596:KSR1605 LCN1596:LCN1605 LMJ1596:LMJ1605 LWF1596:LWF1605 MGB1596:MGB1605 MPX1596:MPX1605 MZT1596:MZT1605 NJP1596:NJP1605 NTL1596:NTL1605 ODH1596:ODH1605 OND1596:OND1605 OWZ1596:OWZ1605 PGV1596:PGV1605 PQR1596:PQR1605 QAN1596:QAN1605 QKJ1596:QKJ1605 QUF1596:QUF1605 REB1596:REB1605 RNX1596:RNX1605 RXT1596:RXT1605 SHP1596:SHP1605 SRL1596:SRL1605 TBH1596:TBH1605 TLD1596:TLD1605 TUZ1596:TUZ1605 UEV1596:UEV1605 UOR1596:UOR1605 UYN1596:UYN1605 VIJ1596:VIJ1605 VSF1596:VSF1605 WCB1596:WCB1605 JH1611 JH1625:JH1626 TD1625:TD1626 ACZ1625:ACZ1626 AMV1625:AMV1626 AWR1625:AWR1626 BGN1625:BGN1626 BQJ1625:BQJ1626 CAF1625:CAF1626 CKB1625:CKB1626 CTX1625:CTX1626 DDT1625:DDT1626 DNP1625:DNP1626 DXL1625:DXL1626 EHH1625:EHH1626 ERD1625:ERD1626 FAZ1625:FAZ1626 FKV1625:FKV1626 FUR1625:FUR1626 GEN1625:GEN1626 GOJ1625:GOJ1626 GYF1625:GYF1626 HIB1625:HIB1626 HRX1625:HRX1626 IBT1625:IBT1626 ILP1625:ILP1626 IVL1625:IVL1626 JFH1625:JFH1626 JPD1625:JPD1626 JYZ1625:JYZ1626 KIV1625:KIV1626 KSR1625:KSR1626 LCN1625:LCN1626 LMJ1625:LMJ1626 LWF1625:LWF1626 MGB1625:MGB1626 MPX1625:MPX1626 MZT1625:MZT1626 NJP1625:NJP1626 NTL1625:NTL1626 ODH1625:ODH1626 OND1625:OND1626 OWZ1625:OWZ1626 PGV1625:PGV1626 PQR1625:PQR1626 QAN1625:QAN1626 QKJ1625:QKJ1626 QUF1625:QUF1626 REB1625:REB1626 RNX1625:RNX1626 RXT1625:RXT1626 SHP1625:SHP1626 SRL1625:SRL1626 TBH1625:TBH1626 TLD1625:TLD1626 TUZ1625:TUZ1626 UEV1625:UEV1626 UOR1625:UOR1626 UYN1625:UYN1626 VIJ1625:VIJ1626 VSF1625:VSF1626 WCB1625:WCB1626 WVT1625:WVT1626 WLX1625:WLX1626 JH1628 TD1628 ACZ1628 AMV1628 AWR1628 BGN1628 BQJ1628 CAF1628 CKB1628 CTX1628 DDT1628 DNP1628 DXL1628 EHH1628 ERD1628 FAZ1628 FKV1628 FUR1628 GEN1628 GOJ1628 GYF1628 HIB1628 HRX1628 IBT1628 ILP1628 IVL1628 JFH1628 JPD1628 JYZ1628 KIV1628 KSR1628 LCN1628 LMJ1628 LWF1628 MGB1628 MPX1628 MZT1628 NJP1628 NTL1628 ODH1628 OND1628 OWZ1628 PGV1628 PQR1628 QAN1628 QKJ1628 QUF1628 REB1628 RNX1628 RXT1628 SHP1628 SRL1628 TBH1628 TLD1628 TUZ1628 UEV1628 UOR1628 UYN1628 VIJ1628 VSF1628 WCB1628 WVT1628 WLX1628 TD1611 ACZ1611 AMV1611 AWR1611 BGN1611 BQJ1611 CAF1611 CKB1611 CTX1611 DDT1611 DNP1611 DXL1611 EHH1611 ERD1611 FAZ1611 FKV1611 FUR1611 GEN1611 GOJ1611 GYF1611 HIB1611 HRX1611 IBT1611 ILP1611 IVL1611 JFH1611 JPD1611 JYZ1611 KIV1611 KSR1611 LCN1611 LMJ1611 LWF1611 MGB1611 MPX1611 MZT1611 NJP1611 NTL1611 ODH1611 OND1611 OWZ1611 PGV1611 PQR1611 QAN1611 QKJ1611 QUF1611 REB1611 RNX1611 RXT1611 SHP1611 SRL1611 TBH1611 TLD1611 TUZ1611 UEV1611 UOR1611 UYN1611 VIJ1611 VSF1611 WCB1611 WVT1611 WLX1611 WLX1609 WVT1609 WCB1609 VSF1609 VIJ1609 UYN1609 UOR1609 UEV1609 TUZ1609 TLD1609 TBH1609 SRL1609 SHP1609 RXT1609 RNX1609 REB1609 QUF1609 QKJ1609 QAN1609 PQR1609 PGV1609 OWZ1609 OND1609 ODH1609 NTL1609 NJP1609 MZT1609 MPX1609 MGB1609 LWF1609 LMJ1609 LCN1609 KSR1609 KIV1609 JYZ1609 JPD1609 JFH1609 IVL1609 ILP1609 IBT1609 HRX1609 HIB1609 GYF1609 GOJ1609 GEN1609 FUR1609 FKV1609 FAZ1609 ERD1609 EHH1609 DXL1609 DNP1609 DDT1609 CTX1609 CKB1609 CAF1609 BQJ1609 BGN1609 AWR1609 AMV1609 ACZ1609 TD1609 JH1609 WVT1596:WVT1605 JH1657 JH1673:JH1674 TD1673:TD1674 ACZ1673:ACZ1674 AMV1673:AMV1674 AWR1673:AWR1674 BGN1673:BGN1674 BQJ1673:BQJ1674 CAF1673:CAF1674 CKB1673:CKB1674 CTX1673:CTX1674 DDT1673:DDT1674 DNP1673:DNP1674 DXL1673:DXL1674 EHH1673:EHH1674 ERD1673:ERD1674 FAZ1673:FAZ1674 FKV1673:FKV1674 FUR1673:FUR1674 GEN1673:GEN1674 GOJ1673:GOJ1674 GYF1673:GYF1674 HIB1673:HIB1674 HRX1673:HRX1674 IBT1673:IBT1674 ILP1673:ILP1674 IVL1673:IVL1674 JFH1673:JFH1674 JPD1673:JPD1674 JYZ1673:JYZ1674 KIV1673:KIV1674 KSR1673:KSR1674 LCN1673:LCN1674 LMJ1673:LMJ1674 LWF1673:LWF1674 MGB1673:MGB1674 MPX1673:MPX1674 MZT1673:MZT1674 NJP1673:NJP1674 NTL1673:NTL1674 ODH1673:ODH1674 OND1673:OND1674 OWZ1673:OWZ1674 PGV1673:PGV1674 PQR1673:PQR1674 QAN1673:QAN1674 QKJ1673:QKJ1674 QUF1673:QUF1674 REB1673:REB1674 RNX1673:RNX1674 RXT1673:RXT1674 SHP1673:SHP1674 SRL1673:SRL1674 TBH1673:TBH1674 TLD1673:TLD1674 TUZ1673:TUZ1674 UEV1673:UEV1674 UOR1673:UOR1674 UYN1673:UYN1674 VIJ1673:VIJ1674 VSF1673:VSF1674 WCB1673:WCB1674 WVT1673:WVT1674 WLX1673:WLX1674 JH1671 TD1671 ACZ1671 AMV1671 AWR1671 BGN1671 BQJ1671 CAF1671 CKB1671 CTX1671 DDT1671 DNP1671 DXL1671 EHH1671 ERD1671 FAZ1671 FKV1671 FUR1671 GEN1671 GOJ1671 GYF1671 HIB1671 HRX1671 IBT1671 ILP1671 IVL1671 JFH1671 JPD1671 JYZ1671 KIV1671 KSR1671 LCN1671 LMJ1671 LWF1671 MGB1671 MPX1671 MZT1671 NJP1671 NTL1671 ODH1671 OND1671 OWZ1671 PGV1671 PQR1671 QAN1671 QKJ1671 QUF1671 REB1671 RNX1671 RXT1671 SHP1671 SRL1671 TBH1671 TLD1671 TUZ1671 UEV1671 UOR1671 UYN1671 VIJ1671 VSF1671 WCB1671 WVT1671 WLX1671 TD1657 ACZ1657 AMV1657 AWR1657 BGN1657 BQJ1657 CAF1657 CKB1657 CTX1657 DDT1657 DNP1657 DXL1657 EHH1657 ERD1657 FAZ1657 FKV1657 FUR1657 GEN1657 GOJ1657 GYF1657 HIB1657 HRX1657 IBT1657 ILP1657 IVL1657 JFH1657 JPD1657 JYZ1657 KIV1657 KSR1657 LCN1657 LMJ1657 LWF1657 MGB1657 MPX1657 MZT1657 NJP1657 NTL1657 ODH1657 OND1657 OWZ1657 PGV1657 PQR1657 QAN1657 QKJ1657 QUF1657 REB1657 RNX1657 RXT1657 SHP1657 SRL1657 TBH1657 TLD1657 TUZ1657 UEV1657 UOR1657 UYN1657 VIJ1657 VSF1657 WCB1657 WVT1657 WLX1657 WLX1655 WVT1655 WCB1655 VSF1655 VIJ1655 UYN1655 UOR1655 UEV1655 TUZ1655 TLD1655 TBH1655 SRL1655 SHP1655 RXT1655 RNX1655 REB1655 QUF1655 QKJ1655 QAN1655 PQR1655 PGV1655 OWZ1655 OND1655 ODH1655 NTL1655 NJP1655 MZT1655 MPX1655 MGB1655 LWF1655 LMJ1655 LCN1655 KSR1655 KIV1655 JYZ1655 JPD1655 JFH1655 IVL1655 ILP1655 IBT1655 HRX1655 HIB1655 GYF1655 GOJ1655 GEN1655 FUR1655 FKV1655 FAZ1655 ERD1655 EHH1655 DXL1655 DNP1655 DDT1655 CTX1655 CKB1655 CAF1655 BQJ1655 BGN1655 AWR1655 AMV1655 ACZ1655 TD1655 JH1655 WVT1639:WVT1651 WCB1639:WCB1651 VSF1639:VSF1651 VIJ1639:VIJ1651 UYN1639:UYN1651 UOR1639:UOR1651 UEV1639:UEV1651 TUZ1639:TUZ1651 TLD1639:TLD1651 TBH1639:TBH1651 SRL1639:SRL1651 SHP1639:SHP1651 RXT1639:RXT1651 RNX1639:RNX1651 REB1639:REB1651 QUF1639:QUF1651 QKJ1639:QKJ1651 QAN1639:QAN1651 PQR1639:PQR1651 PGV1639:PGV1651 OWZ1639:OWZ1651 OND1639:OND1651 ODH1639:ODH1651 NTL1639:NTL1651 NJP1639:NJP1651 MZT1639:MZT1651 MPX1639:MPX1651 MGB1639:MGB1651 LWF1639:LWF1651 LMJ1639:LMJ1651 LCN1639:LCN1651 KSR1639:KSR1651 KIV1639:KIV1651 JYZ1639:JYZ1651 JPD1639:JPD1651 JFH1639:JFH1651 IVL1639:IVL1651 ILP1639:ILP1651 IBT1639:IBT1651 HRX1639:HRX1651 HIB1639:HIB1651 GYF1639:GYF1651 GOJ1639:GOJ1651 GEN1639:GEN1651 FUR1639:FUR1651 FKV1639:FKV1651 FAZ1639:FAZ1651 ERD1639:ERD1651 EHH1639:EHH1651 DXL1639:DXL1651 DNP1639:DNP1651 DDT1639:DDT1651 CTX1639:CTX1651 CKB1639:CKB1651 CAF1639:CAF1651 BQJ1639:BQJ1651 BGN1639:BGN1651 AWR1639:AWR1651 AMV1639:AMV1651 ACZ1639:ACZ1651 TD1639:TD1651 JH1639:JH1651 WLX1639:WLX1651 JH1705 TD1725:TD1726 ACZ1725:ACZ1726 AMV1725:AMV1726 AWR1725:AWR1726 BGN1725:BGN1726 BQJ1725:BQJ1726 CAF1725:CAF1726 CKB1725:CKB1726 CTX1725:CTX1726 DDT1725:DDT1726 DNP1725:DNP1726 DXL1725:DXL1726 EHH1725:EHH1726 ERD1725:ERD1726 FAZ1725:FAZ1726 FKV1725:FKV1726 FUR1725:FUR1726 GEN1725:GEN1726 GOJ1725:GOJ1726 GYF1725:GYF1726 HIB1725:HIB1726 HRX1725:HRX1726 IBT1725:IBT1726 ILP1725:ILP1726 IVL1725:IVL1726 JFH1725:JFH1726 JPD1725:JPD1726 JYZ1725:JYZ1726 KIV1725:KIV1726 KSR1725:KSR1726 LCN1725:LCN1726 LMJ1725:LMJ1726 LWF1725:LWF1726 MGB1725:MGB1726 MPX1725:MPX1726 MZT1725:MZT1726 NJP1725:NJP1726 NTL1725:NTL1726 ODH1725:ODH1726 OND1725:OND1726 OWZ1725:OWZ1726 PGV1725:PGV1726 PQR1725:PQR1726 QAN1725:QAN1726 QKJ1725:QKJ1726 QUF1725:QUF1726 REB1725:REB1726 RNX1725:RNX1726 RXT1725:RXT1726 SHP1725:SHP1726 SRL1725:SRL1726 TBH1725:TBH1726 TLD1725:TLD1726 TUZ1725:TUZ1726 UEV1725:UEV1726 UOR1725:UOR1726 UYN1725:UYN1726 VIJ1725:VIJ1726 VSF1725:VSF1726 WCB1725:WCB1726 WVT1725:WVT1726 WLX1725:WLX1726 WLX1686:WLX1699 TD1705 ACZ1705 AMV1705 AWR1705 BGN1705 BQJ1705 CAF1705 CKB1705 CTX1705 DDT1705 DNP1705 DXL1705 EHH1705 ERD1705 FAZ1705 FKV1705 FUR1705 GEN1705 GOJ1705 GYF1705 HIB1705 HRX1705 IBT1705 ILP1705 IVL1705 JFH1705 JPD1705 JYZ1705 KIV1705 KSR1705 LCN1705 LMJ1705 LWF1705 MGB1705 MPX1705 MZT1705 NJP1705 NTL1705 ODH1705 OND1705 OWZ1705 PGV1705 PQR1705 QAN1705 QKJ1705 QUF1705 REB1705 RNX1705 RXT1705 SHP1705 SRL1705 TBH1705 TLD1705 TUZ1705 UEV1705 UOR1705 UYN1705 VIJ1705 VSF1705 WCB1705 WVT1705 WLX1705 WLX1703 WVT1703 WCB1703 VSF1703 VIJ1703 UYN1703 UOR1703 UEV1703 TUZ1703 TLD1703 TBH1703 SRL1703 SHP1703 RXT1703 RNX1703 REB1703 QUF1703 QKJ1703 QAN1703 PQR1703 PGV1703 OWZ1703 OND1703 ODH1703 NTL1703 NJP1703 MZT1703 MPX1703 MGB1703 LWF1703 LMJ1703 LCN1703 KSR1703 KIV1703 JYZ1703 JPD1703 JFH1703 IVL1703 ILP1703 IBT1703 HRX1703 HIB1703 GYF1703 GOJ1703 GEN1703 FUR1703 FKV1703 FAZ1703 ERD1703 EHH1703 DXL1703 DNP1703 DDT1703 CTX1703 CKB1703 CAF1703 BQJ1703 BGN1703 AWR1703 AMV1703 ACZ1703 TD1703 JH1703 WVT1686:WVT1699 WCB1686:WCB1699 VSF1686:VSF1699 VIJ1686:VIJ1699 UYN1686:UYN1699 UOR1686:UOR1699 UEV1686:UEV1699 TUZ1686:TUZ1699 TLD1686:TLD1699 TBH1686:TBH1699 SRL1686:SRL1699 SHP1686:SHP1699 RXT1686:RXT1699 RNX1686:RNX1699 REB1686:REB1699 QUF1686:QUF1699 QKJ1686:QKJ1699 QAN1686:QAN1699 PQR1686:PQR1699 PGV1686:PGV1699 OWZ1686:OWZ1699 OND1686:OND1699 ODH1686:ODH1699 NTL1686:NTL1699 NJP1686:NJP1699 MZT1686:MZT1699 MPX1686:MPX1699 MGB1686:MGB1699 LWF1686:LWF1699 LMJ1686:LMJ1699 LCN1686:LCN1699 KSR1686:KSR1699 KIV1686:KIV1699 JYZ1686:JYZ1699 JPD1686:JPD1699 JFH1686:JFH1699 IVL1686:IVL1699 ILP1686:ILP1699 IBT1686:IBT1699 HRX1686:HRX1699 HIB1686:HIB1699 GYF1686:GYF1699 GOJ1686:GOJ1699 GEN1686:GEN1699 FUR1686:FUR1699 FKV1686:FKV1699 FAZ1686:FAZ1699 ERD1686:ERD1699 EHH1686:EHH1699 DXL1686:DXL1699 DNP1686:DNP1699 DDT1686:DDT1699 CTX1686:CTX1699 CKB1686:CKB1699 CAF1686:CAF1699 BQJ1686:BQJ1699 BGN1686:BGN1699 AWR1686:AWR1699 AMV1686:AMV1699 ACZ1686:ACZ1699 TD1686:TD1699 JH1686:JH1699 JH1725:JH1726 TD1728:TD1729 ACZ1728:ACZ1729 AMV1728:AMV1729 AWR1728:AWR1729 BGN1728:BGN1729 BQJ1728:BQJ1729 CAF1728:CAF1729 CKB1728:CKB1729 CTX1728:CTX1729 DDT1728:DDT1729 DNP1728:DNP1729 DXL1728:DXL1729 EHH1728:EHH1729 ERD1728:ERD1729 FAZ1728:FAZ1729 FKV1728:FKV1729 FUR1728:FUR1729 GEN1728:GEN1729 GOJ1728:GOJ1729 GYF1728:GYF1729 HIB1728:HIB1729 HRX1728:HRX1729 IBT1728:IBT1729 ILP1728:ILP1729 IVL1728:IVL1729 JFH1728:JFH1729 JPD1728:JPD1729 JYZ1728:JYZ1729 KIV1728:KIV1729 KSR1728:KSR1729 LCN1728:LCN1729 LMJ1728:LMJ1729 LWF1728:LWF1729 MGB1728:MGB1729 MPX1728:MPX1729 MZT1728:MZT1729 NJP1728:NJP1729 NTL1728:NTL1729 ODH1728:ODH1729 OND1728:OND1729 OWZ1728:OWZ1729 PGV1728:PGV1729 PQR1728:PQR1729 QAN1728:QAN1729 QKJ1728:QKJ1729 QUF1728:QUF1729 REB1728:REB1729 RNX1728:RNX1729 RXT1728:RXT1729 SHP1728:SHP1729 SRL1728:SRL1729 TBH1728:TBH1729 TLD1728:TLD1729 TUZ1728:TUZ1729 UEV1728:UEV1729 UOR1728:UOR1729 UYN1728:UYN1729 VIJ1728:VIJ1729 VSF1728:VSF1729 WCB1728:WCB1729 WVT1728:WVT1729 WLX1728:WLX1729 JH1728:JH1729 JH1758 ACZ1772:ACZ1773 AMV1772:AMV1773 AWR1772:AWR1773 BGN1772:BGN1773 BQJ1772:BQJ1773 CAF1772:CAF1773 CKB1772:CKB1773 CTX1772:CTX1773 DDT1772:DDT1773 DNP1772:DNP1773 DXL1772:DXL1773 EHH1772:EHH1773 ERD1772:ERD1773 FAZ1772:FAZ1773 FKV1772:FKV1773 FUR1772:FUR1773 GEN1772:GEN1773 GOJ1772:GOJ1773 GYF1772:GYF1773 HIB1772:HIB1773 HRX1772:HRX1773 IBT1772:IBT1773 ILP1772:ILP1773 IVL1772:IVL1773 JFH1772:JFH1773 JPD1772:JPD1773 JYZ1772:JYZ1773 KIV1772:KIV1773 KSR1772:KSR1773 LCN1772:LCN1773 LMJ1772:LMJ1773 LWF1772:LWF1773 MGB1772:MGB1773 MPX1772:MPX1773 MZT1772:MZT1773 NJP1772:NJP1773 NTL1772:NTL1773 ODH1772:ODH1773 OND1772:OND1773 OWZ1772:OWZ1773 PGV1772:PGV1773 PQR1772:PQR1773 QAN1772:QAN1773 QKJ1772:QKJ1773 QUF1772:QUF1773 REB1772:REB1773 RNX1772:RNX1773 RXT1772:RXT1773 SHP1772:SHP1773 SRL1772:SRL1773 TBH1772:TBH1773 TLD1772:TLD1773 TUZ1772:TUZ1773 UEV1772:UEV1773 UOR1772:UOR1773 UYN1772:UYN1773 VIJ1772:VIJ1773 VSF1772:VSF1773 WCB1772:WCB1773 WVT1772:WVT1773 WLX1772:WLX1773 JH1772:JH1773 TD1758 ACZ1758 AMV1758 AWR1758 BGN1758 BQJ1758 CAF1758 CKB1758 CTX1758 DDT1758 DNP1758 DXL1758 EHH1758 ERD1758 FAZ1758 FKV1758 FUR1758 GEN1758 GOJ1758 GYF1758 HIB1758 HRX1758 IBT1758 ILP1758 IVL1758 JFH1758 JPD1758 JYZ1758 KIV1758 KSR1758 LCN1758 LMJ1758 LWF1758 MGB1758 MPX1758 MZT1758 NJP1758 NTL1758 ODH1758 OND1758 OWZ1758 PGV1758 PQR1758 QAN1758 QKJ1758 QUF1758 REB1758 RNX1758 RXT1758 SHP1758 SRL1758 TBH1758 TLD1758 TUZ1758 UEV1758 UOR1758 UYN1758 VIJ1758 VSF1758 WCB1758 WVT1758 WLX1758 WLX1756 WVT1756 WCB1756 VSF1756 VIJ1756 UYN1756 UOR1756 UEV1756 TUZ1756 TLD1756 TBH1756 SRL1756 SHP1756 RXT1756 RNX1756 REB1756 QUF1756 QKJ1756 QAN1756 PQR1756 PGV1756 OWZ1756 OND1756 ODH1756 NTL1756 NJP1756 MZT1756 MPX1756 MGB1756 LWF1756 LMJ1756 LCN1756 KSR1756 KIV1756 JYZ1756 JPD1756 JFH1756 IVL1756 ILP1756 IBT1756 HRX1756 HIB1756 GYF1756 GOJ1756 GEN1756 FUR1756 FKV1756 FAZ1756 ERD1756 EHH1756 DXL1756 DNP1756 DDT1756 CTX1756 CKB1756 CAF1756 BQJ1756 BGN1756 AWR1756 AMV1756 ACZ1756 TD1756 JH1756 ACZ1741:ACZ1752 TD1741:TD1752 JH1741:JH1752 WLX1741:WLX1752 WVT1741:WVT1752 WCB1741:WCB1752 VSF1741:VSF1752 VIJ1741:VIJ1752 UYN1741:UYN1752 UOR1741:UOR1752 UEV1741:UEV1752 TUZ1741:TUZ1752 TLD1741:TLD1752 TBH1741:TBH1752 SRL1741:SRL1752 SHP1741:SHP1752 RXT1741:RXT1752 RNX1741:RNX1752 REB1741:REB1752 QUF1741:QUF1752 QKJ1741:QKJ1752 QAN1741:QAN1752 PQR1741:PQR1752 PGV1741:PGV1752 OWZ1741:OWZ1752 OND1741:OND1752 ODH1741:ODH1752 NTL1741:NTL1752 NJP1741:NJP1752 MZT1741:MZT1752 MPX1741:MPX1752 MGB1741:MGB1752 LWF1741:LWF1752 LMJ1741:LMJ1752 LCN1741:LCN1752 KSR1741:KSR1752 KIV1741:KIV1752 JYZ1741:JYZ1752 JPD1741:JPD1752 JFH1741:JFH1752 IVL1741:IVL1752 ILP1741:ILP1752 IBT1741:IBT1752 HRX1741:HRX1752 HIB1741:HIB1752 GYF1741:GYF1752 GOJ1741:GOJ1752 GEN1741:GEN1752 FUR1741:FUR1752 FKV1741:FKV1752 FAZ1741:FAZ1752 ERD1741:ERD1752 EHH1741:EHH1752 DXL1741:DXL1752 DNP1741:DNP1752 DDT1741:DDT1752 CTX1741:CTX1752 CKB1741:CKB1752 CAF1741:CAF1752 BQJ1741:BQJ1752 BGN1741:BGN1752 AWR1741:AWR1752 AMV1741:AMV1752 TD1772:TD1773 ACZ1786:ACZ1793 TD1786:TD1793 JH1786:JH1793 WLX1786:WLX1793 WVT1786:WVT1793 WCB1786:WCB1793 VSF1786:VSF1793 VIJ1786:VIJ1793 UYN1786:UYN1793 UOR1786:UOR1793 UEV1786:UEV1793 TUZ1786:TUZ1793 TLD1786:TLD1793 TBH1786:TBH1793 SRL1786:SRL1793 SHP1786:SHP1793 RXT1786:RXT1793 RNX1786:RNX1793 REB1786:REB1793 QUF1786:QUF1793 QKJ1786:QKJ1793 QAN1786:QAN1793 PQR1786:PQR1793 PGV1786:PGV1793 OWZ1786:OWZ1793 OND1786:OND1793 ODH1786:ODH1793 NTL1786:NTL1793 NJP1786:NJP1793 MZT1786:MZT1793 MPX1786:MPX1793 MGB1786:MGB1793 LWF1786:LWF1793 LMJ1786:LMJ1793 LCN1786:LCN1793 KSR1786:KSR1793 KIV1786:KIV1793 JYZ1786:JYZ1793 JPD1786:JPD1793 JFH1786:JFH1793 IVL1786:IVL1793 ILP1786:ILP1793 IBT1786:IBT1793 HRX1786:HRX1793 HIB1786:HIB1793 GYF1786:GYF1793 GOJ1786:GOJ1793 GEN1786:GEN1793 FUR1786:FUR1793 FKV1786:FKV1793 FAZ1786:FAZ1793 ERD1786:ERD1793 EHH1786:EHH1793 DXL1786:DXL1793 DNP1786:DNP1793 DDT1786:DDT1793 CTX1786:CTX1793 CKB1786:CKB1793 CAF1786:CAF1793 BQJ1786:BQJ1793 BGN1786:BGN1793 AWR1786:AWR1793 AMV1786:AMV1793 JH1306 JH1320:JH1321 TD1320:TD1321 ACZ1320:ACZ1321 AMV1320:AMV1321 AWR1320:AWR1321 BGN1320:BGN1321 BQJ1320:BQJ1321 CAF1320:CAF1321 CKB1320:CKB1321 CTX1320:CTX1321 DDT1320:DDT1321 DNP1320:DNP1321 DXL1320:DXL1321 EHH1320:EHH1321 ERD1320:ERD1321 FAZ1320:FAZ1321 FKV1320:FKV1321 FUR1320:FUR1321 GEN1320:GEN1321 GOJ1320:GOJ1321 GYF1320:GYF1321 HIB1320:HIB1321 HRX1320:HRX1321 IBT1320:IBT1321 ILP1320:ILP1321 IVL1320:IVL1321 JFH1320:JFH1321 JPD1320:JPD1321 JYZ1320:JYZ1321 KIV1320:KIV1321 KSR1320:KSR1321 LCN1320:LCN1321 LMJ1320:LMJ1321 LWF1320:LWF1321 MGB1320:MGB1321 MPX1320:MPX1321 MZT1320:MZT1321 NJP1320:NJP1321 NTL1320:NTL1321 ODH1320:ODH1321 OND1320:OND1321 OWZ1320:OWZ1321 PGV1320:PGV1321 PQR1320:PQR1321 QAN1320:QAN1321 QKJ1320:QKJ1321 QUF1320:QUF1321 REB1320:REB1321 RNX1320:RNX1321 RXT1320:RXT1321 SHP1320:SHP1321 SRL1320:SRL1321 TBH1320:TBH1321 TLD1320:TLD1321 TUZ1320:TUZ1321 UEV1320:UEV1321 UOR1320:UOR1321 UYN1320:UYN1321 VIJ1320:VIJ1321 VSF1320:VSF1321 WCB1320:WCB1321 WVT1320:WVT1321 WLX1320:WLX1321 JH1323 TD1323 ACZ1323 AMV1323 AWR1323 BGN1323 BQJ1323 CAF1323 CKB1323 CTX1323 DDT1323 DNP1323 DXL1323 EHH1323 ERD1323 FAZ1323 FKV1323 FUR1323 GEN1323 GOJ1323 GYF1323 HIB1323 HRX1323 IBT1323 ILP1323 IVL1323 JFH1323 JPD1323 JYZ1323 KIV1323 KSR1323 LCN1323 LMJ1323 LWF1323 MGB1323 MPX1323 MZT1323 NJP1323 NTL1323 ODH1323 OND1323 OWZ1323 PGV1323 PQR1323 QAN1323 QKJ1323 QUF1323 REB1323 RNX1323 RXT1323 SHP1323 SRL1323 TBH1323 TLD1323 TUZ1323 UEV1323 UOR1323 UYN1323 VIJ1323 VSF1323 WCB1323 WVT1323 WLX1323 TD1306 ACZ1306 AMV1306 AWR1306 BGN1306 BQJ1306 CAF1306 CKB1306 CTX1306 DDT1306 DNP1306 DXL1306 EHH1306 ERD1306 FAZ1306 FKV1306 FUR1306 GEN1306 GOJ1306 GYF1306 HIB1306 HRX1306 IBT1306 ILP1306 IVL1306 JFH1306 JPD1306 JYZ1306 KIV1306 KSR1306 LCN1306 LMJ1306 LWF1306 MGB1306 MPX1306 MZT1306 NJP1306 NTL1306 ODH1306 OND1306 OWZ1306 PGV1306 PQR1306 QAN1306 QKJ1306 QUF1306 REB1306 RNX1306 RXT1306 SHP1306 SRL1306 TBH1306 TLD1306 TUZ1306 UEV1306 UOR1306 UYN1306 VIJ1306 VSF1306 WCB1306 WVT1306 WLX1306 WLX1304 WVT1304 WCB1304 VSF1304 VIJ1304 UYN1304 UOR1304 UEV1304 TUZ1304 TLD1304 TBH1304 SRL1304 SHP1304 RXT1304 RNX1304 REB1304 QUF1304 QKJ1304 QAN1304 PQR1304 PGV1304 OWZ1304 OND1304 ODH1304 NTL1304 NJP1304 MZT1304 MPX1304 MGB1304 LWF1304 LMJ1304 LCN1304 KSR1304 KIV1304 JYZ1304 JPD1304 JFH1304 IVL1304 ILP1304 IBT1304 HRX1304 HIB1304 GYF1304 GOJ1304 GEN1304 FUR1304 FKV1304 FAZ1304 ERD1304 EHH1304 DXL1304 DNP1304 DDT1304 CTX1304 CKB1304 CAF1304 BQJ1304 BGN1304 AWR1304 AMV1304 ACZ1304 TD1304 JH1304 WVT1296:WVT1300 WCB1296:WCB1300 VSF1296:VSF1300 VIJ1296:VIJ1300 UYN1296:UYN1300 UOR1296:UOR1300 UEV1296:UEV1300 TUZ1296:TUZ1300 TLD1296:TLD1300 TBH1296:TBH1300 SRL1296:SRL1300 SHP1296:SHP1300 RXT1296:RXT1300 RNX1296:RNX1300 REB1296:REB1300 QUF1296:QUF1300 QKJ1296:QKJ1300 QAN1296:QAN1300 PQR1296:PQR1300 PGV1296:PGV1300 OWZ1296:OWZ1300 OND1296:OND1300 ODH1296:ODH1300 NTL1296:NTL1300 NJP1296:NJP1300 MZT1296:MZT1300 MPX1296:MPX1300 MGB1296:MGB1300 LWF1296:LWF1300 LMJ1296:LMJ1300 LCN1296:LCN1300 KSR1296:KSR1300 KIV1296:KIV1300 JYZ1296:JYZ1300 JPD1296:JPD1300 JFH1296:JFH1300 IVL1296:IVL1300 ILP1296:ILP1300 IBT1296:IBT1300 HRX1296:HRX1300 HIB1296:HIB1300 GYF1296:GYF1300 GOJ1296:GOJ1300 GEN1296:GEN1300 FUR1296:FUR1300 FKV1296:FKV1300 FAZ1296:FAZ1300 ERD1296:ERD1300 EHH1296:EHH1300 DXL1296:DXL1300 DNP1296:DNP1300 DDT1296:DDT1300 CTX1296:CTX1300 CKB1296:CKB1300 CAF1296:CAF1300 BQJ1296:BQJ1300 BGN1296:BGN1300 AWR1296:AWR1300 AMV1296:AMV1300 ACZ1296:ACZ1300 TD1296:TD1300 JH1296:JH1300 WLX1296:WLX1300 JH1345 JH1359:JH1360 TD1359:TD1360 ACZ1359:ACZ1360 AMV1359:AMV1360 AWR1359:AWR1360 BGN1359:BGN1360 BQJ1359:BQJ1360 CAF1359:CAF1360 CKB1359:CKB1360 CTX1359:CTX1360 DDT1359:DDT1360 DNP1359:DNP1360 DXL1359:DXL1360 EHH1359:EHH1360 ERD1359:ERD1360 FAZ1359:FAZ1360 FKV1359:FKV1360 FUR1359:FUR1360 GEN1359:GEN1360 GOJ1359:GOJ1360 GYF1359:GYF1360 HIB1359:HIB1360 HRX1359:HRX1360 IBT1359:IBT1360 ILP1359:ILP1360 IVL1359:IVL1360 JFH1359:JFH1360 JPD1359:JPD1360 JYZ1359:JYZ1360 KIV1359:KIV1360 KSR1359:KSR1360 LCN1359:LCN1360 LMJ1359:LMJ1360 LWF1359:LWF1360 MGB1359:MGB1360 MPX1359:MPX1360 MZT1359:MZT1360 NJP1359:NJP1360 NTL1359:NTL1360 ODH1359:ODH1360 OND1359:OND1360 OWZ1359:OWZ1360 PGV1359:PGV1360 PQR1359:PQR1360 QAN1359:QAN1360 QKJ1359:QKJ1360 QUF1359:QUF1360 REB1359:REB1360 RNX1359:RNX1360 RXT1359:RXT1360 SHP1359:SHP1360 SRL1359:SRL1360 TBH1359:TBH1360 TLD1359:TLD1360 TUZ1359:TUZ1360 UEV1359:UEV1360 UOR1359:UOR1360 UYN1359:UYN1360 VIJ1359:VIJ1360 VSF1359:VSF1360 WCB1359:WCB1360 WVT1359:WVT1360 WLX1359:WLX1360 JH1362 TD1362 ACZ1362 AMV1362 AWR1362 BGN1362 BQJ1362 CAF1362 CKB1362 CTX1362 DDT1362 DNP1362 DXL1362 EHH1362 ERD1362 FAZ1362 FKV1362 FUR1362 GEN1362 GOJ1362 GYF1362 HIB1362 HRX1362 IBT1362 ILP1362 IVL1362 JFH1362 JPD1362 JYZ1362 KIV1362 KSR1362 LCN1362 LMJ1362 LWF1362 MGB1362 MPX1362 MZT1362 NJP1362 NTL1362 ODH1362 OND1362 OWZ1362 PGV1362 PQR1362 QAN1362 QKJ1362 QUF1362 REB1362 RNX1362 RXT1362 SHP1362 SRL1362 TBH1362 TLD1362 TUZ1362 UEV1362 UOR1362 UYN1362 VIJ1362 VSF1362 WCB1362 WVT1362 WLX1362 TD1345 ACZ1345 AMV1345 AWR1345 BGN1345 BQJ1345 CAF1345 CKB1345 CTX1345 DDT1345 DNP1345 DXL1345 EHH1345 ERD1345 FAZ1345 FKV1345 FUR1345 GEN1345 GOJ1345 GYF1345 HIB1345 HRX1345 IBT1345 ILP1345 IVL1345 JFH1345 JPD1345 JYZ1345 KIV1345 KSR1345 LCN1345 LMJ1345 LWF1345 MGB1345 MPX1345 MZT1345 NJP1345 NTL1345 ODH1345 OND1345 OWZ1345 PGV1345 PQR1345 QAN1345 QKJ1345 QUF1345 REB1345 RNX1345 RXT1345 SHP1345 SRL1345 TBH1345 TLD1345 TUZ1345 UEV1345 UOR1345 UYN1345 VIJ1345 VSF1345 WCB1345 WVT1345 WLX1345 WLX1343 WVT1343 WCB1343 VSF1343 VIJ1343 UYN1343 UOR1343 UEV1343 TUZ1343 TLD1343 TBH1343 SRL1343 SHP1343 RXT1343 RNX1343 REB1343 QUF1343 QKJ1343 QAN1343 PQR1343 PGV1343 OWZ1343 OND1343 ODH1343 NTL1343 NJP1343 MZT1343 MPX1343 MGB1343 LWF1343 LMJ1343 LCN1343 KSR1343 KIV1343 JYZ1343 JPD1343 JFH1343 IVL1343 ILP1343 IBT1343 HRX1343 HIB1343 GYF1343 GOJ1343 GEN1343 FUR1343 FKV1343 FAZ1343 ERD1343 EHH1343 DXL1343 DNP1343 DDT1343 CTX1343 CKB1343 CAF1343 BQJ1343 BGN1343 AWR1343 AMV1343 ACZ1343 TD1343 JH1343 WLX1334:WLX1339 JH1334:JH1339 TD1334:TD1339 ACZ1334:ACZ1339 AMV1334:AMV1339 AWR1334:AWR1339 BGN1334:BGN1339 BQJ1334:BQJ1339 CAF1334:CAF1339 CKB1334:CKB1339 CTX1334:CTX1339 DDT1334:DDT1339 DNP1334:DNP1339 DXL1334:DXL1339 EHH1334:EHH1339 ERD1334:ERD1339 FAZ1334:FAZ1339 FKV1334:FKV1339 FUR1334:FUR1339 GEN1334:GEN1339 GOJ1334:GOJ1339 GYF1334:GYF1339 HIB1334:HIB1339 HRX1334:HRX1339 IBT1334:IBT1339 ILP1334:ILP1339 IVL1334:IVL1339 JFH1334:JFH1339 JPD1334:JPD1339 JYZ1334:JYZ1339 KIV1334:KIV1339 KSR1334:KSR1339 LCN1334:LCN1339 LMJ1334:LMJ1339 LWF1334:LWF1339 MGB1334:MGB1339 MPX1334:MPX1339 MZT1334:MZT1339 NJP1334:NJP1339 NTL1334:NTL1339 ODH1334:ODH1339 OND1334:OND1339 OWZ1334:OWZ1339 PGV1334:PGV1339 PQR1334:PQR1339 QAN1334:QAN1339 QKJ1334:QKJ1339 QUF1334:QUF1339 REB1334:REB1339 RNX1334:RNX1339 RXT1334:RXT1339 SHP1334:SHP1339 SRL1334:SRL1339 TBH1334:TBH1339 TLD1334:TLD1339 TUZ1334:TUZ1339 UEV1334:UEV1339 UOR1334:UOR1339 UYN1334:UYN1339 VIJ1334:VIJ1339 VSF1334:VSF1339 WCB1334:WCB1339 WVT1334:WVT1339 JH1381 JH1395:JH1396 TD1395:TD1396 ACZ1395:ACZ1396 AMV1395:AMV1396 AWR1395:AWR1396 BGN1395:BGN1396 BQJ1395:BQJ1396 CAF1395:CAF1396 CKB1395:CKB1396 CTX1395:CTX1396 DDT1395:DDT1396 DNP1395:DNP1396 DXL1395:DXL1396 EHH1395:EHH1396 ERD1395:ERD1396 FAZ1395:FAZ1396 FKV1395:FKV1396 FUR1395:FUR1396 GEN1395:GEN1396 GOJ1395:GOJ1396 GYF1395:GYF1396 HIB1395:HIB1396 HRX1395:HRX1396 IBT1395:IBT1396 ILP1395:ILP1396 IVL1395:IVL1396 JFH1395:JFH1396 JPD1395:JPD1396 JYZ1395:JYZ1396 KIV1395:KIV1396 KSR1395:KSR1396 LCN1395:LCN1396 LMJ1395:LMJ1396 LWF1395:LWF1396 MGB1395:MGB1396 MPX1395:MPX1396 MZT1395:MZT1396 NJP1395:NJP1396 NTL1395:NTL1396 ODH1395:ODH1396 OND1395:OND1396 OWZ1395:OWZ1396 PGV1395:PGV1396 PQR1395:PQR1396 QAN1395:QAN1396 QKJ1395:QKJ1396 QUF1395:QUF1396 REB1395:REB1396 RNX1395:RNX1396 RXT1395:RXT1396 SHP1395:SHP1396 SRL1395:SRL1396 TBH1395:TBH1396 TLD1395:TLD1396 TUZ1395:TUZ1396 UEV1395:UEV1396 UOR1395:UOR1396 UYN1395:UYN1396 VIJ1395:VIJ1396 VSF1395:VSF1396 WCB1395:WCB1396 WVT1395:WVT1396 WLX1395:WLX1396 JH1398 TD1398 ACZ1398 AMV1398 AWR1398 BGN1398 BQJ1398 CAF1398 CKB1398 CTX1398 DDT1398 DNP1398 DXL1398 EHH1398 ERD1398 FAZ1398 FKV1398 FUR1398 GEN1398 GOJ1398 GYF1398 HIB1398 HRX1398 IBT1398 ILP1398 IVL1398 JFH1398 JPD1398 JYZ1398 KIV1398 KSR1398 LCN1398 LMJ1398 LWF1398 MGB1398 MPX1398 MZT1398 NJP1398 NTL1398 ODH1398 OND1398 OWZ1398 PGV1398 PQR1398 QAN1398 QKJ1398 QUF1398 REB1398 RNX1398 RXT1398 SHP1398 SRL1398 TBH1398 TLD1398 TUZ1398 UEV1398 UOR1398 UYN1398 VIJ1398 VSF1398 WCB1398 WVT1398 WLX1398 TD1381 ACZ1381 AMV1381 AWR1381 BGN1381 BQJ1381 CAF1381 CKB1381 CTX1381 DDT1381 DNP1381 DXL1381 EHH1381 ERD1381 FAZ1381 FKV1381 FUR1381 GEN1381 GOJ1381 GYF1381 HIB1381 HRX1381 IBT1381 ILP1381 IVL1381 JFH1381 JPD1381 JYZ1381 KIV1381 KSR1381 LCN1381 LMJ1381 LWF1381 MGB1381 MPX1381 MZT1381 NJP1381 NTL1381 ODH1381 OND1381 OWZ1381 PGV1381 PQR1381 QAN1381 QKJ1381 QUF1381 REB1381 RNX1381 RXT1381 SHP1381 SRL1381 TBH1381 TLD1381 TUZ1381 UEV1381 UOR1381 UYN1381 VIJ1381 VSF1381 WCB1381 WVT1381 WLX1381 WLX1379 WVT1379 WCB1379 VSF1379 VIJ1379 UYN1379 UOR1379 UEV1379 TUZ1379 TLD1379 TBH1379 SRL1379 SHP1379 RXT1379 RNX1379 REB1379 QUF1379 QKJ1379 QAN1379 PQR1379 PGV1379 OWZ1379 OND1379 ODH1379 NTL1379 NJP1379 MZT1379 MPX1379 MGB1379 LWF1379 LMJ1379 LCN1379 KSR1379 KIV1379 JYZ1379 JPD1379 JFH1379 IVL1379 ILP1379 IBT1379 HRX1379 HIB1379 GYF1379 GOJ1379 GEN1379 FUR1379 FKV1379 FAZ1379 ERD1379 EHH1379 DXL1379 DNP1379 DDT1379 CTX1379 CKB1379 CAF1379 BQJ1379 BGN1379 AWR1379 AMV1379 ACZ1379 TD1379 JH1379 WLX1373:WLX1375 WVT1373:WVT1375 WCB1373:WCB1375 VSF1373:VSF1375 VIJ1373:VIJ1375 UYN1373:UYN1375 UOR1373:UOR1375 UEV1373:UEV1375 TUZ1373:TUZ1375 TLD1373:TLD1375 TBH1373:TBH1375 SRL1373:SRL1375 SHP1373:SHP1375 RXT1373:RXT1375 RNX1373:RNX1375 REB1373:REB1375 QUF1373:QUF1375 QKJ1373:QKJ1375 QAN1373:QAN1375 PQR1373:PQR1375 PGV1373:PGV1375 OWZ1373:OWZ1375 OND1373:OND1375 ODH1373:ODH1375 NTL1373:NTL1375 NJP1373:NJP1375 MZT1373:MZT1375 MPX1373:MPX1375 MGB1373:MGB1375 LWF1373:LWF1375 LMJ1373:LMJ1375 LCN1373:LCN1375 KSR1373:KSR1375 KIV1373:KIV1375 JYZ1373:JYZ1375 JPD1373:JPD1375 JFH1373:JFH1375 IVL1373:IVL1375 ILP1373:ILP1375 IBT1373:IBT1375 HRX1373:HRX1375 HIB1373:HIB1375 GYF1373:GYF1375 GOJ1373:GOJ1375 GEN1373:GEN1375 FUR1373:FUR1375 FKV1373:FKV1375 FAZ1373:FAZ1375 ERD1373:ERD1375 EHH1373:EHH1375 DXL1373:DXL1375 DNP1373:DNP1375 DDT1373:DDT1375 CTX1373:CTX1375 CKB1373:CKB1375 CAF1373:CAF1375 BQJ1373:BQJ1375 BGN1373:BGN1375 AWR1373:AWR1375 AMV1373:AMV1375 ACZ1373:ACZ1375 TD1373:TD1375 JH1373:JH1375 WVT1401 WCB1401 VSF1401 VIJ1401 UYN1401 UOR1401 UEV1401 TUZ1401 TLD1401 TBH1401 SRL1401 SHP1401 RXT1401 RNX1401 REB1401 QUF1401 QKJ1401 QAN1401 PQR1401 PGV1401 OWZ1401 OND1401 ODH1401 NTL1401 NJP1401 MZT1401 MPX1401 MGB1401 LWF1401 LMJ1401 LCN1401 KSR1401 KIV1401 JYZ1401 JPD1401 JFH1401 IVL1401 ILP1401 IBT1401 HRX1401 HIB1401 GYF1401 GOJ1401 GEN1401 FUR1401 FKV1401 FAZ1401 ERD1401 EHH1401 DXL1401 DNP1401 DDT1401 CTX1401 CKB1401 CAF1401 BQJ1401 BGN1401 AWR1401 AMV1401 ACZ1401 TD1401 JH1401 WLX1401 JH1417 JH1431:JH1432 TD1431:TD1432 ACZ1431:ACZ1432 AMV1431:AMV1432 AWR1431:AWR1432 BGN1431:BGN1432 BQJ1431:BQJ1432 CAF1431:CAF1432 CKB1431:CKB1432 CTX1431:CTX1432 DDT1431:DDT1432 DNP1431:DNP1432 DXL1431:DXL1432 EHH1431:EHH1432 ERD1431:ERD1432 FAZ1431:FAZ1432 FKV1431:FKV1432 FUR1431:FUR1432 GEN1431:GEN1432 GOJ1431:GOJ1432 GYF1431:GYF1432 HIB1431:HIB1432 HRX1431:HRX1432 IBT1431:IBT1432 ILP1431:ILP1432 IVL1431:IVL1432 JFH1431:JFH1432 JPD1431:JPD1432 JYZ1431:JYZ1432 KIV1431:KIV1432 KSR1431:KSR1432 LCN1431:LCN1432 LMJ1431:LMJ1432 LWF1431:LWF1432 MGB1431:MGB1432 MPX1431:MPX1432 MZT1431:MZT1432 NJP1431:NJP1432 NTL1431:NTL1432 ODH1431:ODH1432 OND1431:OND1432 OWZ1431:OWZ1432 PGV1431:PGV1432 PQR1431:PQR1432 QAN1431:QAN1432 QKJ1431:QKJ1432 QUF1431:QUF1432 REB1431:REB1432 RNX1431:RNX1432 RXT1431:RXT1432 SHP1431:SHP1432 SRL1431:SRL1432 TBH1431:TBH1432 TLD1431:TLD1432 TUZ1431:TUZ1432 UEV1431:UEV1432 UOR1431:UOR1432 UYN1431:UYN1432 VIJ1431:VIJ1432 VSF1431:VSF1432 WCB1431:WCB1432 WVT1431:WVT1432 WLX1431:WLX1432 JH1434 TD1434 ACZ1434 AMV1434 AWR1434 BGN1434 BQJ1434 CAF1434 CKB1434 CTX1434 DDT1434 DNP1434 DXL1434 EHH1434 ERD1434 FAZ1434 FKV1434 FUR1434 GEN1434 GOJ1434 GYF1434 HIB1434 HRX1434 IBT1434 ILP1434 IVL1434 JFH1434 JPD1434 JYZ1434 KIV1434 KSR1434 LCN1434 LMJ1434 LWF1434 MGB1434 MPX1434 MZT1434 NJP1434 NTL1434 ODH1434 OND1434 OWZ1434 PGV1434 PQR1434 QAN1434 QKJ1434 QUF1434 REB1434 RNX1434 RXT1434 SHP1434 SRL1434 TBH1434 TLD1434 TUZ1434 UEV1434 UOR1434 UYN1434 VIJ1434 VSF1434 WCB1434 WVT1434 WLX1434 TD1417 ACZ1417 AMV1417 AWR1417 BGN1417 BQJ1417 CAF1417 CKB1417 CTX1417 DDT1417 DNP1417 DXL1417 EHH1417 ERD1417 FAZ1417 FKV1417 FUR1417 GEN1417 GOJ1417 GYF1417 HIB1417 HRX1417 IBT1417 ILP1417 IVL1417 JFH1417 JPD1417 JYZ1417 KIV1417 KSR1417 LCN1417 LMJ1417 LWF1417 MGB1417 MPX1417 MZT1417 NJP1417 NTL1417 ODH1417 OND1417 OWZ1417 PGV1417 PQR1417 QAN1417 QKJ1417 QUF1417 REB1417 RNX1417 RXT1417 SHP1417 SRL1417 TBH1417 TLD1417 TUZ1417 UEV1417 UOR1417 UYN1417 VIJ1417 VSF1417 WCB1417 WVT1417 WLX1417 WLX1415 WVT1415 WCB1415 VSF1415 VIJ1415 UYN1415 UOR1415 UEV1415 TUZ1415 TLD1415 TBH1415 SRL1415 SHP1415 RXT1415 RNX1415 REB1415 QUF1415 QKJ1415 QAN1415 PQR1415 PGV1415 OWZ1415 OND1415 ODH1415 NTL1415 NJP1415 MZT1415 MPX1415 MGB1415 LWF1415 LMJ1415 LCN1415 KSR1415 KIV1415 JYZ1415 JPD1415 JFH1415 IVL1415 ILP1415 IBT1415 HRX1415 HIB1415 GYF1415 GOJ1415 GEN1415 FUR1415 FKV1415 FAZ1415 ERD1415 EHH1415 DXL1415 DNP1415 DDT1415 CTX1415 CKB1415 CAF1415 BQJ1415 BGN1415 AWR1415 AMV1415 ACZ1415 TD1415 JH1415 WLX1409:WLX1411 WVT1409:WVT1411 WCB1409:WCB1411 VSF1409:VSF1411 VIJ1409:VIJ1411 UYN1409:UYN1411 UOR1409:UOR1411 UEV1409:UEV1411 TUZ1409:TUZ1411 TLD1409:TLD1411 TBH1409:TBH1411 SRL1409:SRL1411 SHP1409:SHP1411 RXT1409:RXT1411 RNX1409:RNX1411 REB1409:REB1411 QUF1409:QUF1411 QKJ1409:QKJ1411 QAN1409:QAN1411 PQR1409:PQR1411 PGV1409:PGV1411 OWZ1409:OWZ1411 OND1409:OND1411 ODH1409:ODH1411 NTL1409:NTL1411 NJP1409:NJP1411 MZT1409:MZT1411 MPX1409:MPX1411 MGB1409:MGB1411 LWF1409:LWF1411 LMJ1409:LMJ1411 LCN1409:LCN1411 KSR1409:KSR1411 KIV1409:KIV1411 JYZ1409:JYZ1411 JPD1409:JPD1411 JFH1409:JFH1411 IVL1409:IVL1411 ILP1409:ILP1411 IBT1409:IBT1411 HRX1409:HRX1411 HIB1409:HIB1411 GYF1409:GYF1411 GOJ1409:GOJ1411 GEN1409:GEN1411 FUR1409:FUR1411 FKV1409:FKV1411 FAZ1409:FAZ1411 ERD1409:ERD1411 EHH1409:EHH1411 DXL1409:DXL1411 DNP1409:DNP1411 DDT1409:DDT1411 CTX1409:CTX1411 CKB1409:CKB1411 CAF1409:CAF1411 BQJ1409:BQJ1411 BGN1409:BGN1411 AWR1409:AWR1411 AMV1409:AMV1411 ACZ1409:ACZ1411 TD1409:TD1411 JH1409:JH1411 WVT1437 WCB1437 VSF1437 VIJ1437 UYN1437 UOR1437 UEV1437 TUZ1437 TLD1437 TBH1437 SRL1437 SHP1437 RXT1437 RNX1437 REB1437 QUF1437 QKJ1437 QAN1437 PQR1437 PGV1437 OWZ1437 OND1437 ODH1437 NTL1437 NJP1437 MZT1437 MPX1437 MGB1437 LWF1437 LMJ1437 LCN1437 KSR1437 KIV1437 JYZ1437 JPD1437 JFH1437 IVL1437 ILP1437 IBT1437 HRX1437 HIB1437 GYF1437 GOJ1437 GEN1437 FUR1437 FKV1437 FAZ1437 ERD1437 EHH1437 DXL1437 DNP1437 DDT1437 CTX1437 CKB1437 CAF1437 BQJ1437 BGN1437 AWR1437 AMV1437 ACZ1437 TD1437 JH1437 WLX1437 JH1453 JH1467:JH1468 TD1467:TD1468 ACZ1467:ACZ1468 AMV1467:AMV1468 AWR1467:AWR1468 BGN1467:BGN1468 BQJ1467:BQJ1468 CAF1467:CAF1468 CKB1467:CKB1468 CTX1467:CTX1468 DDT1467:DDT1468 DNP1467:DNP1468 DXL1467:DXL1468 EHH1467:EHH1468 ERD1467:ERD1468 FAZ1467:FAZ1468 FKV1467:FKV1468 FUR1467:FUR1468 GEN1467:GEN1468 GOJ1467:GOJ1468 GYF1467:GYF1468 HIB1467:HIB1468 HRX1467:HRX1468 IBT1467:IBT1468 ILP1467:ILP1468 IVL1467:IVL1468 JFH1467:JFH1468 JPD1467:JPD1468 JYZ1467:JYZ1468 KIV1467:KIV1468 KSR1467:KSR1468 LCN1467:LCN1468 LMJ1467:LMJ1468 LWF1467:LWF1468 MGB1467:MGB1468 MPX1467:MPX1468 MZT1467:MZT1468 NJP1467:NJP1468 NTL1467:NTL1468 ODH1467:ODH1468 OND1467:OND1468 OWZ1467:OWZ1468 PGV1467:PGV1468 PQR1467:PQR1468 QAN1467:QAN1468 QKJ1467:QKJ1468 QUF1467:QUF1468 REB1467:REB1468 RNX1467:RNX1468 RXT1467:RXT1468 SHP1467:SHP1468 SRL1467:SRL1468 TBH1467:TBH1468 TLD1467:TLD1468 TUZ1467:TUZ1468 UEV1467:UEV1468 UOR1467:UOR1468 UYN1467:UYN1468 VIJ1467:VIJ1468 VSF1467:VSF1468 WCB1467:WCB1468 WVT1467:WVT1468 WLX1467:WLX1468 JH1470 TD1470 ACZ1470 AMV1470 AWR1470 BGN1470 BQJ1470 CAF1470 CKB1470 CTX1470 DDT1470 DNP1470 DXL1470 EHH1470 ERD1470 FAZ1470 FKV1470 FUR1470 GEN1470 GOJ1470 GYF1470 HIB1470 HRX1470 IBT1470 ILP1470 IVL1470 JFH1470 JPD1470 JYZ1470 KIV1470 KSR1470 LCN1470 LMJ1470 LWF1470 MGB1470 MPX1470 MZT1470 NJP1470 NTL1470 ODH1470 OND1470 OWZ1470 PGV1470 PQR1470 QAN1470 QKJ1470 QUF1470 REB1470 RNX1470 RXT1470 SHP1470 SRL1470 TBH1470 TLD1470 TUZ1470 UEV1470 UOR1470 UYN1470 VIJ1470 VSF1470 WCB1470 WVT1470 WLX1470 TD1453 ACZ1453 AMV1453 AWR1453 BGN1453 BQJ1453 CAF1453 CKB1453 CTX1453 DDT1453 DNP1453 DXL1453 EHH1453 ERD1453 FAZ1453 FKV1453 FUR1453 GEN1453 GOJ1453 GYF1453 HIB1453 HRX1453 IBT1453 ILP1453 IVL1453 JFH1453 JPD1453 JYZ1453 KIV1453 KSR1453 LCN1453 LMJ1453 LWF1453 MGB1453 MPX1453 MZT1453 NJP1453 NTL1453 ODH1453 OND1453 OWZ1453 PGV1453 PQR1453 QAN1453 QKJ1453 QUF1453 REB1453 RNX1453 RXT1453 SHP1453 SRL1453 TBH1453 TLD1453 TUZ1453 UEV1453 UOR1453 UYN1453 VIJ1453 VSF1453 WCB1453 WVT1453 WLX1453 WLX1451 WVT1451 WCB1451 VSF1451 VIJ1451 UYN1451 UOR1451 UEV1451 TUZ1451 TLD1451 TBH1451 SRL1451 SHP1451 RXT1451 RNX1451 REB1451 QUF1451 QKJ1451 QAN1451 PQR1451 PGV1451 OWZ1451 OND1451 ODH1451 NTL1451 NJP1451 MZT1451 MPX1451 MGB1451 LWF1451 LMJ1451 LCN1451 KSR1451 KIV1451 JYZ1451 JPD1451 JFH1451 IVL1451 ILP1451 IBT1451 HRX1451 HIB1451 GYF1451 GOJ1451 GEN1451 FUR1451 FKV1451 FAZ1451 ERD1451 EHH1451 DXL1451 DNP1451 DDT1451 CTX1451 CKB1451 CAF1451 BQJ1451 BGN1451 AWR1451 AMV1451 ACZ1451 TD1451 JH1451 WLX1445:WLX1447 WVT1445:WVT1447 WCB1445:WCB1447 VSF1445:VSF1447 VIJ1445:VIJ1447 UYN1445:UYN1447 UOR1445:UOR1447 UEV1445:UEV1447 TUZ1445:TUZ1447 TLD1445:TLD1447 TBH1445:TBH1447 SRL1445:SRL1447 SHP1445:SHP1447 RXT1445:RXT1447 RNX1445:RNX1447 REB1445:REB1447 QUF1445:QUF1447 QKJ1445:QKJ1447 QAN1445:QAN1447 PQR1445:PQR1447 PGV1445:PGV1447 OWZ1445:OWZ1447 OND1445:OND1447 ODH1445:ODH1447 NTL1445:NTL1447 NJP1445:NJP1447 MZT1445:MZT1447 MPX1445:MPX1447 MGB1445:MGB1447 LWF1445:LWF1447 LMJ1445:LMJ1447 LCN1445:LCN1447 KSR1445:KSR1447 KIV1445:KIV1447 JYZ1445:JYZ1447 JPD1445:JPD1447 JFH1445:JFH1447 IVL1445:IVL1447 ILP1445:ILP1447 IBT1445:IBT1447 HRX1445:HRX1447 HIB1445:HIB1447 GYF1445:GYF1447 GOJ1445:GOJ1447 GEN1445:GEN1447 FUR1445:FUR1447 FKV1445:FKV1447 FAZ1445:FAZ1447 ERD1445:ERD1447 EHH1445:EHH1447 DXL1445:DXL1447 DNP1445:DNP1447 DDT1445:DDT1447 CTX1445:CTX1447 CKB1445:CKB1447 CAF1445:CAF1447 BQJ1445:BQJ1447 BGN1445:BGN1447 AWR1445:AWR1447 AMV1445:AMV1447 ACZ1445:ACZ1447 TD1445:TD1447 JH1445:JH1447 WVT1473 WCB1473 VSF1473 VIJ1473 UYN1473 UOR1473 UEV1473 TUZ1473 TLD1473 TBH1473 SRL1473 SHP1473 RXT1473 RNX1473 REB1473 QUF1473 QKJ1473 QAN1473 PQR1473 PGV1473 OWZ1473 OND1473 ODH1473 NTL1473 NJP1473 MZT1473 MPX1473 MGB1473 LWF1473 LMJ1473 LCN1473 KSR1473 KIV1473 JYZ1473 JPD1473 JFH1473 IVL1473 ILP1473 IBT1473 HRX1473 HIB1473 GYF1473 GOJ1473 GEN1473 FUR1473 FKV1473 FAZ1473 ERD1473 EHH1473 DXL1473 DNP1473 DDT1473 CTX1473 CKB1473 CAF1473 BQJ1473 BGN1473 AWR1473 AMV1473 ACZ1473 TD1473 JH1473 WLX1473 JH1493 JH1507:JH1508 TD1507:TD1508 ACZ1507:ACZ1508 AMV1507:AMV1508 AWR1507:AWR1508 BGN1507:BGN1508 BQJ1507:BQJ1508 CAF1507:CAF1508 CKB1507:CKB1508 CTX1507:CTX1508 DDT1507:DDT1508 DNP1507:DNP1508 DXL1507:DXL1508 EHH1507:EHH1508 ERD1507:ERD1508 FAZ1507:FAZ1508 FKV1507:FKV1508 FUR1507:FUR1508 GEN1507:GEN1508 GOJ1507:GOJ1508 GYF1507:GYF1508 HIB1507:HIB1508 HRX1507:HRX1508 IBT1507:IBT1508 ILP1507:ILP1508 IVL1507:IVL1508 JFH1507:JFH1508 JPD1507:JPD1508 JYZ1507:JYZ1508 KIV1507:KIV1508 KSR1507:KSR1508 LCN1507:LCN1508 LMJ1507:LMJ1508 LWF1507:LWF1508 MGB1507:MGB1508 MPX1507:MPX1508 MZT1507:MZT1508 NJP1507:NJP1508 NTL1507:NTL1508 ODH1507:ODH1508 OND1507:OND1508 OWZ1507:OWZ1508 PGV1507:PGV1508 PQR1507:PQR1508 QAN1507:QAN1508 QKJ1507:QKJ1508 QUF1507:QUF1508 REB1507:REB1508 RNX1507:RNX1508 RXT1507:RXT1508 SHP1507:SHP1508 SRL1507:SRL1508 TBH1507:TBH1508 TLD1507:TLD1508 TUZ1507:TUZ1508 UEV1507:UEV1508 UOR1507:UOR1508 UYN1507:UYN1508 VIJ1507:VIJ1508 VSF1507:VSF1508 WCB1507:WCB1508 WVT1507:WVT1508 WLX1507:WLX1508 JH1510 TD1510 ACZ1510 AMV1510 AWR1510 BGN1510 BQJ1510 CAF1510 CKB1510 CTX1510 DDT1510 DNP1510 DXL1510 EHH1510 ERD1510 FAZ1510 FKV1510 FUR1510 GEN1510 GOJ1510 GYF1510 HIB1510 HRX1510 IBT1510 ILP1510 IVL1510 JFH1510 JPD1510 JYZ1510 KIV1510 KSR1510 LCN1510 LMJ1510 LWF1510 MGB1510 MPX1510 MZT1510 NJP1510 NTL1510 ODH1510 OND1510 OWZ1510 PGV1510 PQR1510 QAN1510 QKJ1510 QUF1510 REB1510 RNX1510 RXT1510 SHP1510 SRL1510 TBH1510 TLD1510 TUZ1510 UEV1510 UOR1510 UYN1510 VIJ1510 VSF1510 WCB1510 WVT1510 WLX1510 TD1493 ACZ1493 AMV1493 AWR1493 BGN1493 BQJ1493 CAF1493 CKB1493 CTX1493 DDT1493 DNP1493 DXL1493 EHH1493 ERD1493 FAZ1493 FKV1493 FUR1493 GEN1493 GOJ1493 GYF1493 HIB1493 HRX1493 IBT1493 ILP1493 IVL1493 JFH1493 JPD1493 JYZ1493 KIV1493 KSR1493 LCN1493 LMJ1493 LWF1493 MGB1493 MPX1493 MZT1493 NJP1493 NTL1493 ODH1493 OND1493 OWZ1493 PGV1493 PQR1493 QAN1493 QKJ1493 QUF1493 REB1493 RNX1493 RXT1493 SHP1493 SRL1493 TBH1493 TLD1493 TUZ1493 UEV1493 UOR1493 UYN1493 VIJ1493 VSF1493 WCB1493 WVT1493 WLX1493 WLX1491 WVT1491 WCB1491 VSF1491 VIJ1491 UYN1491 UOR1491 UEV1491 TUZ1491 TLD1491 TBH1491 SRL1491 SHP1491 RXT1491 RNX1491 REB1491 QUF1491 QKJ1491 QAN1491 PQR1491 PGV1491 OWZ1491 OND1491 ODH1491 NTL1491 NJP1491 MZT1491 MPX1491 MGB1491 LWF1491 LMJ1491 LCN1491 KSR1491 KIV1491 JYZ1491 JPD1491 JFH1491 IVL1491 ILP1491 IBT1491 HRX1491 HIB1491 GYF1491 GOJ1491 GEN1491 FUR1491 FKV1491 FAZ1491 ERD1491 EHH1491 DXL1491 DNP1491 DDT1491 CTX1491 CKB1491 CAF1491 BQJ1491 BGN1491 AWR1491 AMV1491 ACZ1491 TD1491 JH1491 WLX1513 WVT1513 WCB1513 VSF1513 VIJ1513 UYN1513 UOR1513 UEV1513 TUZ1513 TLD1513 TBH1513 SRL1513 SHP1513 RXT1513 RNX1513 REB1513 QUF1513 QKJ1513 QAN1513 PQR1513 PGV1513 OWZ1513 OND1513 ODH1513 NTL1513 NJP1513 MZT1513 MPX1513 MGB1513 LWF1513 LMJ1513 LCN1513 KSR1513 KIV1513 JYZ1513 JPD1513 JFH1513 IVL1513 ILP1513 IBT1513 HRX1513 HIB1513 GYF1513 GOJ1513 GEN1513 FUR1513 FKV1513 FAZ1513 ERD1513 EHH1513 DXL1513 DNP1513 DDT1513 CTX1513 CKB1513 CAF1513 BQJ1513 BGN1513 AWR1513 AMV1513 ACZ1513 TD1513 JH1513 WLX1481:WLX1487 WVT1481:WVT1487 WCB1481:WCB1487 VSF1481:VSF1487 VIJ1481:VIJ1487 UYN1481:UYN1487 UOR1481:UOR1487 UEV1481:UEV1487 TUZ1481:TUZ1487 TLD1481:TLD1487 TBH1481:TBH1487 SRL1481:SRL1487 SHP1481:SHP1487 RXT1481:RXT1487 RNX1481:RNX1487 REB1481:REB1487 QUF1481:QUF1487 QKJ1481:QKJ1487 QAN1481:QAN1487 PQR1481:PQR1487 PGV1481:PGV1487 OWZ1481:OWZ1487 OND1481:OND1487 ODH1481:ODH1487 NTL1481:NTL1487 NJP1481:NJP1487 MZT1481:MZT1487 MPX1481:MPX1487 MGB1481:MGB1487 LWF1481:LWF1487 LMJ1481:LMJ1487 LCN1481:LCN1487 KSR1481:KSR1487 KIV1481:KIV1487 JYZ1481:JYZ1487 JPD1481:JPD1487 JFH1481:JFH1487 IVL1481:IVL1487 ILP1481:ILP1487 IBT1481:IBT1487 HRX1481:HRX1487 HIB1481:HIB1487 GYF1481:GYF1487 GOJ1481:GOJ1487 GEN1481:GEN1487 FUR1481:FUR1487 FKV1481:FKV1487 FAZ1481:FAZ1487 ERD1481:ERD1487 EHH1481:EHH1487 DXL1481:DXL1487 DNP1481:DNP1487 DDT1481:DDT1487 CTX1481:CTX1487 CKB1481:CKB1487 CAF1481:CAF1487 BQJ1481:BQJ1487 BGN1481:BGN1487 AWR1481:AWR1487 AMV1481:AMV1487 ACZ1481:ACZ1487 TD1481:TD1487 JH1481:JH1487 JH1092 JH1106 TD1106 ACZ1106 AMV1106 AWR1106 BGN1106 BQJ1106 CAF1106 CKB1106 CTX1106 DDT1106 DNP1106 DXL1106 EHH1106 ERD1106 FAZ1106 FKV1106 FUR1106 GEN1106 GOJ1106 GYF1106 HIB1106 HRX1106 IBT1106 ILP1106 IVL1106 JFH1106 JPD1106 JYZ1106 KIV1106 KSR1106 LCN1106 LMJ1106 LWF1106 MGB1106 MPX1106 MZT1106 NJP1106 NTL1106 ODH1106 OND1106 OWZ1106 PGV1106 PQR1106 QAN1106 QKJ1106 QUF1106 REB1106 RNX1106 RXT1106 SHP1106 SRL1106 TBH1106 TLD1106 TUZ1106 UEV1106 UOR1106 UYN1106 VIJ1106 VSF1106 WCB1106 WVT1106 WLX1106 TD1092 ACZ1092 AMV1092 AWR1092 BGN1092 BQJ1092 CAF1092 CKB1092 CTX1092 DDT1092 DNP1092 DXL1092 EHH1092 ERD1092 FAZ1092 FKV1092 FUR1092 GEN1092 GOJ1092 GYF1092 HIB1092 HRX1092 IBT1092 ILP1092 IVL1092 JFH1092 JPD1092 JYZ1092 KIV1092 KSR1092 LCN1092 LMJ1092 LWF1092 MGB1092 MPX1092 MZT1092 NJP1092 NTL1092 ODH1092 OND1092 OWZ1092 PGV1092 PQR1092 QAN1092 QKJ1092 QUF1092 REB1092 RNX1092 RXT1092 SHP1092 SRL1092 TBH1092 TLD1092 TUZ1092 UEV1092 UOR1092 UYN1092 VIJ1092 VSF1092 WCB1092 WVT1092 WLX1092 WLX1090 WVT1090 WCB1090 VSF1090 VIJ1090 UYN1090 UOR1090 UEV1090 TUZ1090 TLD1090 TBH1090 SRL1090 SHP1090 RXT1090 RNX1090 REB1090 QUF1090 QKJ1090 QAN1090 PQR1090 PGV1090 OWZ1090 OND1090 ODH1090 NTL1090 NJP1090 MZT1090 MPX1090 MGB1090 LWF1090 LMJ1090 LCN1090 KSR1090 KIV1090 JYZ1090 JPD1090 JFH1090 IVL1090 ILP1090 IBT1090 HRX1090 HIB1090 GYF1090 GOJ1090 GEN1090 FUR1090 FKV1090 FAZ1090 ERD1090 EHH1090 DXL1090 DNP1090 DDT1090 CTX1090 CKB1090 CAF1090 BQJ1090 BGN1090 AWR1090 AMV1090 ACZ1090 TD1090 JH1090 WVT1118:WVT1129 JH1135 JH1149:JH1150 TD1149:TD1150 ACZ1149:ACZ1150 AMV1149:AMV1150 AWR1149:AWR1150 BGN1149:BGN1150 BQJ1149:BQJ1150 CAF1149:CAF1150 CKB1149:CKB1150 CTX1149:CTX1150 DDT1149:DDT1150 DNP1149:DNP1150 DXL1149:DXL1150 EHH1149:EHH1150 ERD1149:ERD1150 FAZ1149:FAZ1150 FKV1149:FKV1150 FUR1149:FUR1150 GEN1149:GEN1150 GOJ1149:GOJ1150 GYF1149:GYF1150 HIB1149:HIB1150 HRX1149:HRX1150 IBT1149:IBT1150 ILP1149:ILP1150 IVL1149:IVL1150 JFH1149:JFH1150 JPD1149:JPD1150 JYZ1149:JYZ1150 KIV1149:KIV1150 KSR1149:KSR1150 LCN1149:LCN1150 LMJ1149:LMJ1150 LWF1149:LWF1150 MGB1149:MGB1150 MPX1149:MPX1150 MZT1149:MZT1150 NJP1149:NJP1150 NTL1149:NTL1150 ODH1149:ODH1150 OND1149:OND1150 OWZ1149:OWZ1150 PGV1149:PGV1150 PQR1149:PQR1150 QAN1149:QAN1150 QKJ1149:QKJ1150 QUF1149:QUF1150 REB1149:REB1150 RNX1149:RNX1150 RXT1149:RXT1150 SHP1149:SHP1150 SRL1149:SRL1150 TBH1149:TBH1150 TLD1149:TLD1150 TUZ1149:TUZ1150 UEV1149:UEV1150 UOR1149:UOR1150 UYN1149:UYN1150 VIJ1149:VIJ1150 VSF1149:VSF1150 WCB1149:WCB1150 WVT1149:WVT1150 WLX1149:WLX1150 JH1152 TD1152 ACZ1152 AMV1152 AWR1152 BGN1152 BQJ1152 CAF1152 CKB1152 CTX1152 DDT1152 DNP1152 DXL1152 EHH1152 ERD1152 FAZ1152 FKV1152 FUR1152 GEN1152 GOJ1152 GYF1152 HIB1152 HRX1152 IBT1152 ILP1152 IVL1152 JFH1152 JPD1152 JYZ1152 KIV1152 KSR1152 LCN1152 LMJ1152 LWF1152 MGB1152 MPX1152 MZT1152 NJP1152 NTL1152 ODH1152 OND1152 OWZ1152 PGV1152 PQR1152 QAN1152 QKJ1152 QUF1152 REB1152 RNX1152 RXT1152 SHP1152 SRL1152 TBH1152 TLD1152 TUZ1152 UEV1152 UOR1152 UYN1152 VIJ1152 VSF1152 WCB1152 WVT1152 WLX1152 TD1135 ACZ1135 AMV1135 AWR1135 BGN1135 BQJ1135 CAF1135 CKB1135 CTX1135 DDT1135 DNP1135 DXL1135 EHH1135 ERD1135 FAZ1135 FKV1135 FUR1135 GEN1135 GOJ1135 GYF1135 HIB1135 HRX1135 IBT1135 ILP1135 IVL1135 JFH1135 JPD1135 JYZ1135 KIV1135 KSR1135 LCN1135 LMJ1135 LWF1135 MGB1135 MPX1135 MZT1135 NJP1135 NTL1135 ODH1135 OND1135 OWZ1135 PGV1135 PQR1135 QAN1135 QKJ1135 QUF1135 REB1135 RNX1135 RXT1135 SHP1135 SRL1135 TBH1135 TLD1135 TUZ1135 UEV1135 UOR1135 UYN1135 VIJ1135 VSF1135 WCB1135 WVT1135 WLX1135 WLX1133 WVT1133 WCB1133 VSF1133 VIJ1133 UYN1133 UOR1133 UEV1133 TUZ1133 TLD1133 TBH1133 SRL1133 SHP1133 RXT1133 RNX1133 REB1133 QUF1133 QKJ1133 QAN1133 PQR1133 PGV1133 OWZ1133 OND1133 ODH1133 NTL1133 NJP1133 MZT1133 MPX1133 MGB1133 LWF1133 LMJ1133 LCN1133 KSR1133 KIV1133 JYZ1133 JPD1133 JFH1133 IVL1133 ILP1133 IBT1133 HRX1133 HIB1133 GYF1133 GOJ1133 GEN1133 FUR1133 FKV1133 FAZ1133 ERD1133 EHH1133 DXL1133 DNP1133 DDT1133 CTX1133 CKB1133 CAF1133 BQJ1133 BGN1133 AWR1133 AMV1133 ACZ1133 TD1133 JH1133 JH1181 JH1195:JH1196 TD1195:TD1196 ACZ1195:ACZ1196 AMV1195:AMV1196 AWR1195:AWR1196 BGN1195:BGN1196 BQJ1195:BQJ1196 CAF1195:CAF1196 CKB1195:CKB1196 CTX1195:CTX1196 DDT1195:DDT1196 DNP1195:DNP1196 DXL1195:DXL1196 EHH1195:EHH1196 ERD1195:ERD1196 FAZ1195:FAZ1196 FKV1195:FKV1196 FUR1195:FUR1196 GEN1195:GEN1196 GOJ1195:GOJ1196 GYF1195:GYF1196 HIB1195:HIB1196 HRX1195:HRX1196 IBT1195:IBT1196 ILP1195:ILP1196 IVL1195:IVL1196 JFH1195:JFH1196 JPD1195:JPD1196 JYZ1195:JYZ1196 KIV1195:KIV1196 KSR1195:KSR1196 LCN1195:LCN1196 LMJ1195:LMJ1196 LWF1195:LWF1196 MGB1195:MGB1196 MPX1195:MPX1196 MZT1195:MZT1196 NJP1195:NJP1196 NTL1195:NTL1196 ODH1195:ODH1196 OND1195:OND1196 OWZ1195:OWZ1196 PGV1195:PGV1196 PQR1195:PQR1196 QAN1195:QAN1196 QKJ1195:QKJ1196 QUF1195:QUF1196 REB1195:REB1196 RNX1195:RNX1196 RXT1195:RXT1196 SHP1195:SHP1196 SRL1195:SRL1196 TBH1195:TBH1196 TLD1195:TLD1196 TUZ1195:TUZ1196 UEV1195:UEV1196 UOR1195:UOR1196 UYN1195:UYN1196 VIJ1195:VIJ1196 VSF1195:VSF1196 WCB1195:WCB1196 WVT1195:WVT1196 WLX1195:WLX1196 JH1198 TD1198 ACZ1198 AMV1198 AWR1198 BGN1198 BQJ1198 CAF1198 CKB1198 CTX1198 DDT1198 DNP1198 DXL1198 EHH1198 ERD1198 FAZ1198 FKV1198 FUR1198 GEN1198 GOJ1198 GYF1198 HIB1198 HRX1198 IBT1198 ILP1198 IVL1198 JFH1198 JPD1198 JYZ1198 KIV1198 KSR1198 LCN1198 LMJ1198 LWF1198 MGB1198 MPX1198 MZT1198 NJP1198 NTL1198 ODH1198 OND1198 OWZ1198 PGV1198 PQR1198 QAN1198 QKJ1198 QUF1198 REB1198 RNX1198 RXT1198 SHP1198 SRL1198 TBH1198 TLD1198 TUZ1198 UEV1198 UOR1198 UYN1198 VIJ1198 VSF1198 WCB1198 WVT1198 WLX1198 TD1181 ACZ1181 AMV1181 AWR1181 BGN1181 BQJ1181 CAF1181 CKB1181 CTX1181 DDT1181 DNP1181 DXL1181 EHH1181 ERD1181 FAZ1181 FKV1181 FUR1181 GEN1181 GOJ1181 GYF1181 HIB1181 HRX1181 IBT1181 ILP1181 IVL1181 JFH1181 JPD1181 JYZ1181 KIV1181 KSR1181 LCN1181 LMJ1181 LWF1181 MGB1181 MPX1181 MZT1181 NJP1181 NTL1181 ODH1181 OND1181 OWZ1181 PGV1181 PQR1181 QAN1181 QKJ1181 QUF1181 REB1181 RNX1181 RXT1181 SHP1181 SRL1181 TBH1181 TLD1181 TUZ1181 UEV1181 UOR1181 UYN1181 VIJ1181 VSF1181 WCB1181 WVT1181 WLX1181 WLX1179 WVT1179 WCB1179 VSF1179 VIJ1179 UYN1179 UOR1179 UEV1179 TUZ1179 TLD1179 TBH1179 SRL1179 SHP1179 RXT1179 RNX1179 REB1179 QUF1179 QKJ1179 QAN1179 PQR1179 PGV1179 OWZ1179 OND1179 ODH1179 NTL1179 NJP1179 MZT1179 MPX1179 MGB1179 LWF1179 LMJ1179 LCN1179 KSR1179 KIV1179 JYZ1179 JPD1179 JFH1179 IVL1179 ILP1179 IBT1179 HRX1179 HIB1179 GYF1179 GOJ1179 GEN1179 FUR1179 FKV1179 FAZ1179 ERD1179 EHH1179 DXL1179 DNP1179 DDT1179 CTX1179 CKB1179 CAF1179 BQJ1179 BGN1179 AWR1179 AMV1179 ACZ1179 TD1179 JH1179 WVT1163:WVT1175 WCB1163:WCB1175 VSF1163:VSF1175 VIJ1163:VIJ1175 UYN1163:UYN1175 UOR1163:UOR1175 UEV1163:UEV1175 TUZ1163:TUZ1175 TLD1163:TLD1175 TBH1163:TBH1175 SRL1163:SRL1175 SHP1163:SHP1175 RXT1163:RXT1175 RNX1163:RNX1175 REB1163:REB1175 QUF1163:QUF1175 QKJ1163:QKJ1175 QAN1163:QAN1175 PQR1163:PQR1175 PGV1163:PGV1175 OWZ1163:OWZ1175 OND1163:OND1175 ODH1163:ODH1175 NTL1163:NTL1175 NJP1163:NJP1175 MZT1163:MZT1175 MPX1163:MPX1175 MGB1163:MGB1175 LWF1163:LWF1175 LMJ1163:LMJ1175 LCN1163:LCN1175 KSR1163:KSR1175 KIV1163:KIV1175 JYZ1163:JYZ1175 JPD1163:JPD1175 JFH1163:JFH1175 IVL1163:IVL1175 ILP1163:ILP1175 IBT1163:IBT1175 HRX1163:HRX1175 HIB1163:HIB1175 GYF1163:GYF1175 GOJ1163:GOJ1175 GEN1163:GEN1175 FUR1163:FUR1175 FKV1163:FKV1175 FAZ1163:FAZ1175 ERD1163:ERD1175 EHH1163:EHH1175 DXL1163:DXL1175 DNP1163:DNP1175 DDT1163:DDT1175 CTX1163:CTX1175 CKB1163:CKB1175 CAF1163:CAF1175 BQJ1163:BQJ1175 BGN1163:BGN1175 AWR1163:AWR1175 AMV1163:AMV1175 ACZ1163:ACZ1175 TD1163:TD1175 JH1163:JH1175 WLX1163:WLX1175 JH1227 JH1241:JH1242 TD1241:TD1242 ACZ1241:ACZ1242 AMV1241:AMV1242 AWR1241:AWR1242 BGN1241:BGN1242 BQJ1241:BQJ1242 CAF1241:CAF1242 CKB1241:CKB1242 CTX1241:CTX1242 DDT1241:DDT1242 DNP1241:DNP1242 DXL1241:DXL1242 EHH1241:EHH1242 ERD1241:ERD1242 FAZ1241:FAZ1242 FKV1241:FKV1242 FUR1241:FUR1242 GEN1241:GEN1242 GOJ1241:GOJ1242 GYF1241:GYF1242 HIB1241:HIB1242 HRX1241:HRX1242 IBT1241:IBT1242 ILP1241:ILP1242 IVL1241:IVL1242 JFH1241:JFH1242 JPD1241:JPD1242 JYZ1241:JYZ1242 KIV1241:KIV1242 KSR1241:KSR1242 LCN1241:LCN1242 LMJ1241:LMJ1242 LWF1241:LWF1242 MGB1241:MGB1242 MPX1241:MPX1242 MZT1241:MZT1242 NJP1241:NJP1242 NTL1241:NTL1242 ODH1241:ODH1242 OND1241:OND1242 OWZ1241:OWZ1242 PGV1241:PGV1242 PQR1241:PQR1242 QAN1241:QAN1242 QKJ1241:QKJ1242 QUF1241:QUF1242 REB1241:REB1242 RNX1241:RNX1242 RXT1241:RXT1242 SHP1241:SHP1242 SRL1241:SRL1242 TBH1241:TBH1242 TLD1241:TLD1242 TUZ1241:TUZ1242 UEV1241:UEV1242 UOR1241:UOR1242 UYN1241:UYN1242 VIJ1241:VIJ1242 VSF1241:VSF1242 WCB1241:WCB1242 WVT1241:WVT1242 WLX1241:WLX1242 JH1244 TD1244 ACZ1244 AMV1244 AWR1244 BGN1244 BQJ1244 CAF1244 CKB1244 CTX1244 DDT1244 DNP1244 DXL1244 EHH1244 ERD1244 FAZ1244 FKV1244 FUR1244 GEN1244 GOJ1244 GYF1244 HIB1244 HRX1244 IBT1244 ILP1244 IVL1244 JFH1244 JPD1244 JYZ1244 KIV1244 KSR1244 LCN1244 LMJ1244 LWF1244 MGB1244 MPX1244 MZT1244 NJP1244 NTL1244 ODH1244 OND1244 OWZ1244 PGV1244 PQR1244 QAN1244 QKJ1244 QUF1244 REB1244 RNX1244 RXT1244 SHP1244 SRL1244 TBH1244 TLD1244 TUZ1244 UEV1244 UOR1244 UYN1244 VIJ1244 VSF1244 WCB1244 WVT1244 WLX1244 TD1227 ACZ1227 AMV1227 AWR1227 BGN1227 BQJ1227 CAF1227 CKB1227 CTX1227 DDT1227 DNP1227 DXL1227 EHH1227 ERD1227 FAZ1227 FKV1227 FUR1227 GEN1227 GOJ1227 GYF1227 HIB1227 HRX1227 IBT1227 ILP1227 IVL1227 JFH1227 JPD1227 JYZ1227 KIV1227 KSR1227 LCN1227 LMJ1227 LWF1227 MGB1227 MPX1227 MZT1227 NJP1227 NTL1227 ODH1227 OND1227 OWZ1227 PGV1227 PQR1227 QAN1227 QKJ1227 QUF1227 REB1227 RNX1227 RXT1227 SHP1227 SRL1227 TBH1227 TLD1227 TUZ1227 UEV1227 UOR1227 UYN1227 VIJ1227 VSF1227 WCB1227 WVT1227 WLX1227 WLX1225 WVT1225 WCB1225 VSF1225 VIJ1225 UYN1225 UOR1225 UEV1225 TUZ1225 TLD1225 TBH1225 SRL1225 SHP1225 RXT1225 RNX1225 REB1225 QUF1225 QKJ1225 QAN1225 PQR1225 PGV1225 OWZ1225 OND1225 ODH1225 NTL1225 NJP1225 MZT1225 MPX1225 MGB1225 LWF1225 LMJ1225 LCN1225 KSR1225 KIV1225 JYZ1225 JPD1225 JFH1225 IVL1225 ILP1225 IBT1225 HRX1225 HIB1225 GYF1225 GOJ1225 GEN1225 FUR1225 FKV1225 FAZ1225 ERD1225 EHH1225 DXL1225 DNP1225 DDT1225 CTX1225 CKB1225 CAF1225 BQJ1225 BGN1225 AWR1225 AMV1225 ACZ1225 TD1225 JH1225 WVT1209:WVT1221 WCB1209:WCB1221 VSF1209:VSF1221 VIJ1209:VIJ1221 UYN1209:UYN1221 UOR1209:UOR1221 UEV1209:UEV1221 TUZ1209:TUZ1221 TLD1209:TLD1221 TBH1209:TBH1221 SRL1209:SRL1221 SHP1209:SHP1221 RXT1209:RXT1221 RNX1209:RNX1221 REB1209:REB1221 QUF1209:QUF1221 QKJ1209:QKJ1221 QAN1209:QAN1221 PQR1209:PQR1221 PGV1209:PGV1221 OWZ1209:OWZ1221 OND1209:OND1221 ODH1209:ODH1221 NTL1209:NTL1221 NJP1209:NJP1221 MZT1209:MZT1221 MPX1209:MPX1221 MGB1209:MGB1221 LWF1209:LWF1221 LMJ1209:LMJ1221 LCN1209:LCN1221 KSR1209:KSR1221 KIV1209:KIV1221 JYZ1209:JYZ1221 JPD1209:JPD1221 JFH1209:JFH1221 IVL1209:IVL1221 ILP1209:ILP1221 IBT1209:IBT1221 HRX1209:HRX1221 HIB1209:HIB1221 GYF1209:GYF1221 GOJ1209:GOJ1221 GEN1209:GEN1221 FUR1209:FUR1221 FKV1209:FKV1221 FAZ1209:FAZ1221 ERD1209:ERD1221 EHH1209:EHH1221 DXL1209:DXL1221 DNP1209:DNP1221 DDT1209:DDT1221 CTX1209:CTX1221 CKB1209:CKB1221 CAF1209:CAF1221 BQJ1209:BQJ1221 BGN1209:BGN1221 AWR1209:AWR1221 AMV1209:AMV1221 ACZ1209:ACZ1221 TD1209:TD1221 JH1209:JH1221 WLX1209:WLX1221 JH1266 JH1280:JH1281 TD1280:TD1281 ACZ1280:ACZ1281 AMV1280:AMV1281 AWR1280:AWR1281 BGN1280:BGN1281 BQJ1280:BQJ1281 CAF1280:CAF1281 CKB1280:CKB1281 CTX1280:CTX1281 DDT1280:DDT1281 DNP1280:DNP1281 DXL1280:DXL1281 EHH1280:EHH1281 ERD1280:ERD1281 FAZ1280:FAZ1281 FKV1280:FKV1281 FUR1280:FUR1281 GEN1280:GEN1281 GOJ1280:GOJ1281 GYF1280:GYF1281 HIB1280:HIB1281 HRX1280:HRX1281 IBT1280:IBT1281 ILP1280:ILP1281 IVL1280:IVL1281 JFH1280:JFH1281 JPD1280:JPD1281 JYZ1280:JYZ1281 KIV1280:KIV1281 KSR1280:KSR1281 LCN1280:LCN1281 LMJ1280:LMJ1281 LWF1280:LWF1281 MGB1280:MGB1281 MPX1280:MPX1281 MZT1280:MZT1281 NJP1280:NJP1281 NTL1280:NTL1281 ODH1280:ODH1281 OND1280:OND1281 OWZ1280:OWZ1281 PGV1280:PGV1281 PQR1280:PQR1281 QAN1280:QAN1281 QKJ1280:QKJ1281 QUF1280:QUF1281 REB1280:REB1281 RNX1280:RNX1281 RXT1280:RXT1281 SHP1280:SHP1281 SRL1280:SRL1281 TBH1280:TBH1281 TLD1280:TLD1281 TUZ1280:TUZ1281 UEV1280:UEV1281 UOR1280:UOR1281 UYN1280:UYN1281 VIJ1280:VIJ1281 VSF1280:VSF1281 WCB1280:WCB1281 WVT1280:WVT1281 WLX1280:WLX1281 JH1283 TD1283 ACZ1283 AMV1283 AWR1283 BGN1283 BQJ1283 CAF1283 CKB1283 CTX1283 DDT1283 DNP1283 DXL1283 EHH1283 ERD1283 FAZ1283 FKV1283 FUR1283 GEN1283 GOJ1283 GYF1283 HIB1283 HRX1283 IBT1283 ILP1283 IVL1283 JFH1283 JPD1283 JYZ1283 KIV1283 KSR1283 LCN1283 LMJ1283 LWF1283 MGB1283 MPX1283 MZT1283 NJP1283 NTL1283 ODH1283 OND1283 OWZ1283 PGV1283 PQR1283 QAN1283 QKJ1283 QUF1283 REB1283 RNX1283 RXT1283 SHP1283 SRL1283 TBH1283 TLD1283 TUZ1283 UEV1283 UOR1283 UYN1283 VIJ1283 VSF1283 WCB1283 WVT1283 WLX1283 TD1266 ACZ1266 AMV1266 AWR1266 BGN1266 BQJ1266 CAF1266 CKB1266 CTX1266 DDT1266 DNP1266 DXL1266 EHH1266 ERD1266 FAZ1266 FKV1266 FUR1266 GEN1266 GOJ1266 GYF1266 HIB1266 HRX1266 IBT1266 ILP1266 IVL1266 JFH1266 JPD1266 JYZ1266 KIV1266 KSR1266 LCN1266 LMJ1266 LWF1266 MGB1266 MPX1266 MZT1266 NJP1266 NTL1266 ODH1266 OND1266 OWZ1266 PGV1266 PQR1266 QAN1266 QKJ1266 QUF1266 REB1266 RNX1266 RXT1266 SHP1266 SRL1266 TBH1266 TLD1266 TUZ1266 UEV1266 UOR1266 UYN1266 VIJ1266 VSF1266 WCB1266 WVT1266 WLX1266 WLX1264 WVT1264 WCB1264 VSF1264 VIJ1264 UYN1264 UOR1264 UEV1264 TUZ1264 TLD1264 TBH1264 SRL1264 SHP1264 RXT1264 RNX1264 REB1264 QUF1264 QKJ1264 QAN1264 PQR1264 PGV1264 OWZ1264 OND1264 ODH1264 NTL1264 NJP1264 MZT1264 MPX1264 MGB1264 LWF1264 LMJ1264 LCN1264 KSR1264 KIV1264 JYZ1264 JPD1264 JFH1264 IVL1264 ILP1264 IBT1264 HRX1264 HIB1264 GYF1264 GOJ1264 GEN1264 FUR1264 FKV1264 FAZ1264 ERD1264 EHH1264 DXL1264 DNP1264 DDT1264 CTX1264 CKB1264 CAF1264 BQJ1264 BGN1264 AWR1264 AMV1264 ACZ1264 TD1264 JH1264 WLX1255:WLX1260 JH1255:JH1260 TD1255:TD1260 ACZ1255:ACZ1260 AMV1255:AMV1260 AWR1255:AWR1260 BGN1255:BGN1260 BQJ1255:BQJ1260 CAF1255:CAF1260 CKB1255:CKB1260 CTX1255:CTX1260 DDT1255:DDT1260 DNP1255:DNP1260 DXL1255:DXL1260 EHH1255:EHH1260 ERD1255:ERD1260 FAZ1255:FAZ1260 FKV1255:FKV1260 FUR1255:FUR1260 GEN1255:GEN1260 GOJ1255:GOJ1260 GYF1255:GYF1260 HIB1255:HIB1260 HRX1255:HRX1260 IBT1255:IBT1260 ILP1255:ILP1260 IVL1255:IVL1260 JFH1255:JFH1260 JPD1255:JPD1260 JYZ1255:JYZ1260 KIV1255:KIV1260 KSR1255:KSR1260 LCN1255:LCN1260 LMJ1255:LMJ1260 LWF1255:LWF1260 MGB1255:MGB1260 MPX1255:MPX1260 MZT1255:MZT1260 NJP1255:NJP1260 NTL1255:NTL1260 ODH1255:ODH1260 OND1255:OND1260 OWZ1255:OWZ1260 PGV1255:PGV1260 PQR1255:PQR1260 QAN1255:QAN1260 QKJ1255:QKJ1260 QUF1255:QUF1260 REB1255:REB1260 RNX1255:RNX1260 RXT1255:RXT1260 SHP1255:SHP1260 SRL1255:SRL1260 TBH1255:TBH1260 TLD1255:TLD1260 TUZ1255:TUZ1260 UEV1255:UEV1260 UOR1255:UOR1260 UYN1255:UYN1260 VIJ1255:VIJ1260 VSF1255:VSF1260 WCB1255:WCB1260 WVT1255:WVT1260 WLX1118:WLX1129 JH1118:JH1129 TD1118:TD1129 ACZ1118:ACZ1129 AMV1118:AMV1129 AWR1118:AWR1129 BGN1118:BGN1129 BQJ1118:BQJ1129 CAF1118:CAF1129 CKB1118:CKB1129 CTX1118:CTX1129 DDT1118:DDT1129 DNP1118:DNP1129 DXL1118:DXL1129 EHH1118:EHH1129 ERD1118:ERD1129 FAZ1118:FAZ1129 FKV1118:FKV1129 FUR1118:FUR1129 GEN1118:GEN1129 GOJ1118:GOJ1129 GYF1118:GYF1129 HIB1118:HIB1129 HRX1118:HRX1129 IBT1118:IBT1129 ILP1118:ILP1129 IVL1118:IVL1129 JFH1118:JFH1129 JPD1118:JPD1129 JYZ1118:JYZ1129 KIV1118:KIV1129 KSR1118:KSR1129 LCN1118:LCN1129 LMJ1118:LMJ1129 LWF1118:LWF1129 MGB1118:MGB1129 MPX1118:MPX1129 MZT1118:MZT1129 NJP1118:NJP1129 NTL1118:NTL1129 ODH1118:ODH1129 OND1118:OND1129 OWZ1118:OWZ1129 PGV1118:PGV1129 PQR1118:PQR1129 QAN1118:QAN1129 QKJ1118:QKJ1129 QUF1118:QUF1129 REB1118:REB1129 RNX1118:RNX1129 RXT1118:RXT1129 SHP1118:SHP1129 SRL1118:SRL1129 TBH1118:TBH1129 TLD1118:TLD1129 TUZ1118:TUZ1129 UEV1118:UEV1129 UOR1118:UOR1129 UYN1118:UYN1129 VIJ1118:VIJ1129 VSF1118:VSF1129 WCB1118:WCB1129 WVT1079:WVT1086 WLX1079:WLX1086 JH1079:JH1086 TD1079:TD1086 ACZ1079:ACZ1086 AMV1079:AMV1086 AWR1079:AWR1086 BGN1079:BGN1086 BQJ1079:BQJ1086 CAF1079:CAF1086 CKB1079:CKB1086 CTX1079:CTX1086 DDT1079:DDT1086 DNP1079:DNP1086 DXL1079:DXL1086 EHH1079:EHH1086 ERD1079:ERD1086 FAZ1079:FAZ1086 FKV1079:FKV1086 FUR1079:FUR1086 GEN1079:GEN1086 GOJ1079:GOJ1086 GYF1079:GYF1086 HIB1079:HIB1086 HRX1079:HRX1086 IBT1079:IBT1086 ILP1079:ILP1086 IVL1079:IVL1086 JFH1079:JFH1086 JPD1079:JPD1086 JYZ1079:JYZ1086 KIV1079:KIV1086 KSR1079:KSR1086 LCN1079:LCN1086 LMJ1079:LMJ1086 LWF1079:LWF1086 MGB1079:MGB1086 MPX1079:MPX1086 MZT1079:MZT1086 NJP1079:NJP1086 NTL1079:NTL1086 ODH1079:ODH1086 OND1079:OND1086 OWZ1079:OWZ1086 PGV1079:PGV1086 PQR1079:PQR1086 QAN1079:QAN1086 QKJ1079:QKJ1086 QUF1079:QUF1086 REB1079:REB1086 RNX1079:RNX1086 RXT1079:RXT1086 SHP1079:SHP1086 SRL1079:SRL1086 TBH1079:TBH1086 TLD1079:TLD1086 TUZ1079:TUZ1086 UEV1079:UEV1086 UOR1079:UOR1086 UYN1079:UYN1086 VIJ1079:VIJ1086 VSF1079:VSF1086 WCB1079:WCB1086 JH581 JH595 TD595 ACZ595 AMV595 AWR595 BGN595 BQJ595 CAF595 CKB595 CTX595 DDT595 DNP595 DXL595 EHH595 ERD595 FAZ595 FKV595 FUR595 GEN595 GOJ595 GYF595 HIB595 HRX595 IBT595 ILP595 IVL595 JFH595 JPD595 JYZ595 KIV595 KSR595 LCN595 LMJ595 LWF595 MGB595 MPX595 MZT595 NJP595 NTL595 ODH595 OND595 OWZ595 PGV595 PQR595 QAN595 QKJ595 QUF595 REB595 RNX595 RXT595 SHP595 SRL595 TBH595 TLD595 TUZ595 UEV595 UOR595 UYN595 VIJ595 VSF595 WCB595 WVT595 WLX595 TD581 ACZ581 AMV581 AWR581 BGN581 BQJ581 CAF581 CKB581 CTX581 DDT581 DNP581 DXL581 EHH581 ERD581 FAZ581 FKV581 FUR581 GEN581 GOJ581 GYF581 HIB581 HRX581 IBT581 ILP581 IVL581 JFH581 JPD581 JYZ581 KIV581 KSR581 LCN581 LMJ581 LWF581 MGB581 MPX581 MZT581 NJP581 NTL581 ODH581 OND581 OWZ581 PGV581 PQR581 QAN581 QKJ581 QUF581 REB581 RNX581 RXT581 SHP581 SRL581 TBH581 TLD581 TUZ581 UEV581 UOR581 UYN581 VIJ581 VSF581 WCB581 WVT581 WLX581 WLX579 WVT579 WCB579 VSF579 VIJ579 UYN579 UOR579 UEV579 TUZ579 TLD579 TBH579 SRL579 SHP579 RXT579 RNX579 REB579 QUF579 QKJ579 QAN579 PQR579 PGV579 OWZ579 OND579 ODH579 NTL579 NJP579 MZT579 MPX579 MGB579 LWF579 LMJ579 LCN579 KSR579 KIV579 JYZ579 JPD579 JFH579 IVL579 ILP579 IBT579 HRX579 HIB579 GYF579 GOJ579 GEN579 FUR579 FKV579 FAZ579 ERD579 EHH579 DXL579 DNP579 DDT579 CTX579 CKB579 CAF579 BQJ579 BGN579 AWR579 AMV579 ACZ579 TD579 JH579 WCB606:WCB608 VSF720:VSF725 VIJ720:VIJ725 UYN720:UYN725 UOR720:UOR725 UEV720:UEV725 TUZ720:TUZ725 TLD720:TLD725 TBH720:TBH725 SRL720:SRL725 SHP720:SHP725 RXT720:RXT725 RNX720:RNX725 REB720:REB725 QUF720:QUF725 QKJ720:QKJ725 QAN720:QAN725 PQR720:PQR725 PGV720:PGV725 OWZ720:OWZ725 OND720:OND725 ODH720:ODH725 NTL720:NTL725 NJP720:NJP725 MZT720:MZT725 MPX720:MPX725 MGB720:MGB725 LWF720:LWF725 LMJ720:LMJ725 LCN720:LCN725 KSR720:KSR725 KIV720:KIV725 JYZ720:JYZ725 JPD720:JPD725 JFH720:JFH725 IVL720:IVL725 ILP720:ILP725 IBT720:IBT725 HRX720:HRX725 HIB720:HIB725 GYF720:GYF725 GOJ720:GOJ725 GEN720:GEN725 FUR720:FUR725 FKV720:FKV725 FAZ720:FAZ725 ERD720:ERD725 EHH720:EHH725 DXL720:DXL725 DNP720:DNP725 DDT720:DDT725 CTX720:CTX725 CKB720:CKB725 CAF720:CAF725 BQJ720:BQJ725 BGN720:BGN725 AWR720:AWR725 AMV720:AMV725 ACZ720:ACZ725 TD720:TD725 JH720:JH725 WLX720:WLX725 WVT720:WVT725 WCB720:WCB725 WCB733:WCB739 WVT733:WVT739 WLX733:WLX739 JH733:JH739 TD733:TD739 ACZ733:ACZ739 AMV733:AMV739 AWR733:AWR739 BGN733:BGN739 BQJ733:BQJ739 CAF733:CAF739 CKB733:CKB739 CTX733:CTX739 DDT733:DDT739 DNP733:DNP739 DXL733:DXL739 EHH733:EHH739 ERD733:ERD739 FAZ733:FAZ739 FKV733:FKV739 FUR733:FUR739 GEN733:GEN739 GOJ733:GOJ739 GYF733:GYF739 HIB733:HIB739 HRX733:HRX739 IBT733:IBT739 ILP733:ILP739 IVL733:IVL739 JFH733:JFH739 JPD733:JPD739 JYZ733:JYZ739 KIV733:KIV739 KSR733:KSR739 LCN733:LCN739 LMJ733:LMJ739 LWF733:LWF739 MGB733:MGB739 MPX733:MPX739 MZT733:MZT739 NJP733:NJP739 NTL733:NTL739 ODH733:ODH739 OND733:OND739 OWZ733:OWZ739 PGV733:PGV739 PQR733:PQR739 QAN733:QAN739 QKJ733:QKJ739 QUF733:QUF739 REB733:REB739 RNX733:RNX739 RXT733:RXT739 SHP733:SHP739 SRL733:SRL739 TBH733:TBH739 TLD733:TLD739 TUZ733:TUZ739 UEV733:UEV739 UOR733:UOR739 UYN733:UYN739 VIJ733:VIJ739 VSF733:VSF739 WCB748:WCB753 WVT748:WVT753 WLX748:WLX753 JH748:JH753 TD748:TD753 ACZ748:ACZ753 AMV748:AMV753 AWR748:AWR753 BGN748:BGN753 BQJ748:BQJ753 CAF748:CAF753 CKB748:CKB753 CTX748:CTX753 DDT748:DDT753 DNP748:DNP753 DXL748:DXL753 EHH748:EHH753 ERD748:ERD753 FAZ748:FAZ753 FKV748:FKV753 FUR748:FUR753 GEN748:GEN753 GOJ748:GOJ753 GYF748:GYF753 HIB748:HIB753 HRX748:HRX753 IBT748:IBT753 ILP748:ILP753 IVL748:IVL753 JFH748:JFH753 JPD748:JPD753 JYZ748:JYZ753 KIV748:KIV753 KSR748:KSR753 LCN748:LCN753 LMJ748:LMJ753 LWF748:LWF753 MGB748:MGB753 MPX748:MPX753 MZT748:MZT753 NJP748:NJP753 NTL748:NTL753 ODH748:ODH753 OND748:OND753 OWZ748:OWZ753 PGV748:PGV753 PQR748:PQR753 QAN748:QAN753 QKJ748:QKJ753 QUF748:QUF753 REB748:REB753 RNX748:RNX753 RXT748:RXT753 SHP748:SHP753 SRL748:SRL753 TBH748:TBH753 TLD748:TLD753 TUZ748:TUZ753 UEV748:UEV753 UOR748:UOR753 UYN748:UYN753 VIJ748:VIJ753 VSF748:VSF753 WCB763:WCB768 WVT763:WVT768 WLX763:WLX768 JH763:JH768 TD763:TD768 ACZ763:ACZ768 AMV763:AMV768 AWR763:AWR768 BGN763:BGN768 BQJ763:BQJ768 CAF763:CAF768 CKB763:CKB768 CTX763:CTX768 DDT763:DDT768 DNP763:DNP768 DXL763:DXL768 EHH763:EHH768 ERD763:ERD768 FAZ763:FAZ768 FKV763:FKV768 FUR763:FUR768 GEN763:GEN768 GOJ763:GOJ768 GYF763:GYF768 HIB763:HIB768 HRX763:HRX768 IBT763:IBT768 ILP763:ILP768 IVL763:IVL768 JFH763:JFH768 JPD763:JPD768 JYZ763:JYZ768 KIV763:KIV768 KSR763:KSR768 LCN763:LCN768 LMJ763:LMJ768 LWF763:LWF768 MGB763:MGB768 MPX763:MPX768 MZT763:MZT768 NJP763:NJP768 NTL763:NTL768 ODH763:ODH768 OND763:OND768 OWZ763:OWZ768 PGV763:PGV768 PQR763:PQR768 QAN763:QAN768 QKJ763:QKJ768 QUF763:QUF768 REB763:REB768 RNX763:RNX768 RXT763:RXT768 SHP763:SHP768 SRL763:SRL768 TBH763:TBH768 TLD763:TLD768 TUZ763:TUZ768 UEV763:UEV768 UOR763:UOR768 UYN763:UYN768 VIJ763:VIJ768 VSF763:VSF768 VSF777:VSF780 VIJ777:VIJ780 UYN777:UYN780 UOR777:UOR780 UEV777:UEV780 TUZ777:TUZ780 TLD777:TLD780 TBH777:TBH780 SRL777:SRL780 SHP777:SHP780 RXT777:RXT780 RNX777:RNX780 REB777:REB780 QUF777:QUF780 QKJ777:QKJ780 QAN777:QAN780 PQR777:PQR780 PGV777:PGV780 OWZ777:OWZ780 OND777:OND780 ODH777:ODH780 NTL777:NTL780 NJP777:NJP780 MZT777:MZT780 MPX777:MPX780 MGB777:MGB780 LWF777:LWF780 LMJ777:LMJ780 LCN777:LCN780 KSR777:KSR780 KIV777:KIV780 JYZ777:JYZ780 JPD777:JPD780 JFH777:JFH780 IVL777:IVL780 ILP777:ILP780 IBT777:IBT780 HRX777:HRX780 HIB777:HIB780 GYF777:GYF780 GOJ777:GOJ780 GEN777:GEN780 FUR777:FUR780 FKV777:FKV780 FAZ777:FAZ780 ERD777:ERD780 EHH777:EHH780 DXL777:DXL780 DNP777:DNP780 DDT777:DDT780 CTX777:CTX780 CKB777:CKB780 CAF777:CAF780 BQJ777:BQJ780 BGN777:BGN780 AWR777:AWR780 AMV777:AMV780 ACZ777:ACZ780 TD777:TD780 JH777:JH780 WLX777:WLX780 WVT777:WVT780 WCB777:WCB780 VSF790:VSF793 VIJ790:VIJ793 UYN790:UYN793 UOR790:UOR793 UEV790:UEV793 TUZ790:TUZ793 TLD790:TLD793 TBH790:TBH793 SRL790:SRL793 SHP790:SHP793 RXT790:RXT793 RNX790:RNX793 REB790:REB793 QUF790:QUF793 QKJ790:QKJ793 QAN790:QAN793 PQR790:PQR793 PGV790:PGV793 OWZ790:OWZ793 OND790:OND793 ODH790:ODH793 NTL790:NTL793 NJP790:NJP793 MZT790:MZT793 MPX790:MPX793 MGB790:MGB793 LWF790:LWF793 LMJ790:LMJ793 LCN790:LCN793 KSR790:KSR793 KIV790:KIV793 JYZ790:JYZ793 JPD790:JPD793 JFH790:JFH793 IVL790:IVL793 ILP790:ILP793 IBT790:IBT793 HRX790:HRX793 HIB790:HIB793 GYF790:GYF793 GOJ790:GOJ793 GEN790:GEN793 FUR790:FUR793 FKV790:FKV793 FAZ790:FAZ793 ERD790:ERD793 EHH790:EHH793 DXL790:DXL793 DNP790:DNP793 DDT790:DDT793 CTX790:CTX793 CKB790:CKB793 CAF790:CAF793 BQJ790:BQJ793 BGN790:BGN793 AWR790:AWR793 AMV790:AMV793 ACZ790:ACZ793 TD790:TD793 JH790:JH793 WLX790:WLX793 WVT790:WVT793 WCB790:WCB793 JH614 JH628 TD628 ACZ628 AMV628 AWR628 BGN628 BQJ628 CAF628 CKB628 CTX628 DDT628 DNP628 DXL628 EHH628 ERD628 FAZ628 FKV628 FUR628 GEN628 GOJ628 GYF628 HIB628 HRX628 IBT628 ILP628 IVL628 JFH628 JPD628 JYZ628 KIV628 KSR628 LCN628 LMJ628 LWF628 MGB628 MPX628 MZT628 NJP628 NTL628 ODH628 OND628 OWZ628 PGV628 PQR628 QAN628 QKJ628 QUF628 REB628 RNX628 RXT628 SHP628 SRL628 TBH628 TLD628 TUZ628 UEV628 UOR628 UYN628 VIJ628 VSF628 WCB628 WVT628 WLX628 TD614 ACZ614 AMV614 AWR614 BGN614 BQJ614 CAF614 CKB614 CTX614 DDT614 DNP614 DXL614 EHH614 ERD614 FAZ614 FKV614 FUR614 GEN614 GOJ614 GYF614 HIB614 HRX614 IBT614 ILP614 IVL614 JFH614 JPD614 JYZ614 KIV614 KSR614 LCN614 LMJ614 LWF614 MGB614 MPX614 MZT614 NJP614 NTL614 ODH614 OND614 OWZ614 PGV614 PQR614 QAN614 QKJ614 QUF614 REB614 RNX614 RXT614 SHP614 SRL614 TBH614 TLD614 TUZ614 UEV614 UOR614 UYN614 VIJ614 VSF614 WCB614 WVT614 WLX614 WLX612 WVT612 WCB612 VSF612 VIJ612 UYN612 UOR612 UEV612 TUZ612 TLD612 TBH612 SRL612 SHP612 RXT612 RNX612 REB612 QUF612 QKJ612 QAN612 PQR612 PGV612 OWZ612 OND612 ODH612 NTL612 NJP612 MZT612 MPX612 MGB612 LWF612 LMJ612 LCN612 KSR612 KIV612 JYZ612 JPD612 JFH612 IVL612 ILP612 IBT612 HRX612 HIB612 GYF612 GOJ612 GEN612 FUR612 FKV612 FAZ612 ERD612 EHH612 DXL612 DNP612 DDT612 CTX612 CKB612 CAF612 BQJ612 BGN612 AWR612 AMV612 ACZ612 TD612 JH612 WVT606:WVT608 WLX606:WLX608 JH606:JH608 TD606:TD608 ACZ606:ACZ608 AMV606:AMV608 AWR606:AWR608 BGN606:BGN608 BQJ606:BQJ608 CAF606:CAF608 CKB606:CKB608 CTX606:CTX608 DDT606:DDT608 DNP606:DNP608 DXL606:DXL608 EHH606:EHH608 ERD606:ERD608 FAZ606:FAZ608 FKV606:FKV608 FUR606:FUR608 GEN606:GEN608 GOJ606:GOJ608 GYF606:GYF608 HIB606:HIB608 HRX606:HRX608 IBT606:IBT608 ILP606:ILP608 IVL606:IVL608 JFH606:JFH608 JPD606:JPD608 JYZ606:JYZ608 KIV606:KIV608 KSR606:KSR608 LCN606:LCN608 LMJ606:LMJ608 LWF606:LWF608 MGB606:MGB608 MPX606:MPX608 MZT606:MZT608 NJP606:NJP608 NTL606:NTL608 ODH606:ODH608 OND606:OND608 OWZ606:OWZ608 PGV606:PGV608 PQR606:PQR608 QAN606:QAN608 QKJ606:QKJ608 QUF606:QUF608 REB606:REB608 RNX606:RNX608 RXT606:RXT608 SHP606:SHP608 SRL606:SRL608 TBH606:TBH608 TLD606:TLD608 TUZ606:TUZ608 UEV606:UEV608 UOR606:UOR608 UYN606:UYN608 VIJ606:VIJ608 VSF606:VSF608 WVT571:WVT575 WLX571:WLX575 JH571:JH575 TD571:TD575 ACZ571:ACZ575 AMV571:AMV575 AWR571:AWR575 BGN571:BGN575 BQJ571:BQJ575 CAF571:CAF575 CKB571:CKB575 CTX571:CTX575 DDT571:DDT575 DNP571:DNP575 DXL571:DXL575 EHH571:EHH575 ERD571:ERD575 FAZ571:FAZ575 FKV571:FKV575 FUR571:FUR575 GEN571:GEN575 GOJ571:GOJ575 GYF571:GYF575 HIB571:HIB575 HRX571:HRX575 IBT571:IBT575 ILP571:ILP575 IVL571:IVL575 JFH571:JFH575 JPD571:JPD575 JYZ571:JYZ575 KIV571:KIV575 KSR571:KSR575 LCN571:LCN575 LMJ571:LMJ575 LWF571:LWF575 MGB571:MGB575 MPX571:MPX575 MZT571:MZT575 NJP571:NJP575 NTL571:NTL575 ODH571:ODH575 OND571:OND575 OWZ571:OWZ575 PGV571:PGV575 PQR571:PQR575 QAN571:QAN575 QKJ571:QKJ575 QUF571:QUF575 REB571:REB575 RNX571:RNX575 RXT571:RXT575 SHP571:SHP575 SRL571:SRL575 TBH571:TBH575 TLD571:TLD575 TUZ571:TUZ575 UEV571:UEV575 UOR571:UOR575 UYN571:UYN575 VIJ571:VIJ575 VSF571:VSF575 WCB571:WCB575 WCB642:WCB643 JH649 JH663 TD663 ACZ663 AMV663 AWR663 BGN663 BQJ663 CAF663 CKB663 CTX663 DDT663 DNP663 DXL663 EHH663 ERD663 FAZ663 FKV663 FUR663 GEN663 GOJ663 GYF663 HIB663 HRX663 IBT663 ILP663 IVL663 JFH663 JPD663 JYZ663 KIV663 KSR663 LCN663 LMJ663 LWF663 MGB663 MPX663 MZT663 NJP663 NTL663 ODH663 OND663 OWZ663 PGV663 PQR663 QAN663 QKJ663 QUF663 REB663 RNX663 RXT663 SHP663 SRL663 TBH663 TLD663 TUZ663 UEV663 UOR663 UYN663 VIJ663 VSF663 WCB663 WVT663 WLX663 TD649 ACZ649 AMV649 AWR649 BGN649 BQJ649 CAF649 CKB649 CTX649 DDT649 DNP649 DXL649 EHH649 ERD649 FAZ649 FKV649 FUR649 GEN649 GOJ649 GYF649 HIB649 HRX649 IBT649 ILP649 IVL649 JFH649 JPD649 JYZ649 KIV649 KSR649 LCN649 LMJ649 LWF649 MGB649 MPX649 MZT649 NJP649 NTL649 ODH649 OND649 OWZ649 PGV649 PQR649 QAN649 QKJ649 QUF649 REB649 RNX649 RXT649 SHP649 SRL649 TBH649 TLD649 TUZ649 UEV649 UOR649 UYN649 VIJ649 VSF649 WCB649 WVT649 WLX649 WLX647 WVT647 WCB647 VSF647 VIJ647 UYN647 UOR647 UEV647 TUZ647 TLD647 TBH647 SRL647 SHP647 RXT647 RNX647 REB647 QUF647 QKJ647 QAN647 PQR647 PGV647 OWZ647 OND647 ODH647 NTL647 NJP647 MZT647 MPX647 MGB647 LWF647 LMJ647 LCN647 KSR647 KIV647 JYZ647 JPD647 JFH647 IVL647 ILP647 IBT647 HRX647 HIB647 GYF647 GOJ647 GEN647 FUR647 FKV647 FAZ647 ERD647 EHH647 DXL647 DNP647 DDT647 CTX647 CKB647 CAF647 BQJ647 BGN647 AWR647 AMV647 ACZ647 TD647 JH647 VSF642:VSF643 VIJ642:VIJ643 UYN642:UYN643 UOR642:UOR643 UEV642:UEV643 TUZ642:TUZ643 TLD642:TLD643 TBH642:TBH643 SRL642:SRL643 SHP642:SHP643 RXT642:RXT643 RNX642:RNX643 REB642:REB643 QUF642:QUF643 QKJ642:QKJ643 QAN642:QAN643 PQR642:PQR643 PGV642:PGV643 OWZ642:OWZ643 OND642:OND643 ODH642:ODH643 NTL642:NTL643 NJP642:NJP643 MZT642:MZT643 MPX642:MPX643 MGB642:MGB643 LWF642:LWF643 LMJ642:LMJ643 LCN642:LCN643 KSR642:KSR643 KIV642:KIV643 JYZ642:JYZ643 JPD642:JPD643 JFH642:JFH643 IVL642:IVL643 ILP642:ILP643 IBT642:IBT643 HRX642:HRX643 HIB642:HIB643 GYF642:GYF643 GOJ642:GOJ643 GEN642:GEN643 FUR642:FUR643 FKV642:FKV643 FAZ642:FAZ643 ERD642:ERD643 EHH642:EHH643 DXL642:DXL643 DNP642:DNP643 DDT642:DDT643 CTX642:CTX643 CKB642:CKB643 CAF642:CAF643 BQJ642:BQJ643 BGN642:BGN643 AWR642:AWR643 AMV642:AMV643 ACZ642:ACZ643 TD642:TD643 JH642:JH643 WLX642:WLX643 WVT642:WVT643 WVT639:WVT640 WLX639:WLX640 JH639:JH640 TD639:TD640 ACZ639:ACZ640 AMV639:AMV640 AWR639:AWR640 BGN639:BGN640 BQJ639:BQJ640 CAF639:CAF640 CKB639:CKB640 CTX639:CTX640 DDT639:DDT640 DNP639:DNP640 DXL639:DXL640 EHH639:EHH640 ERD639:ERD640 FAZ639:FAZ640 FKV639:FKV640 FUR639:FUR640 GEN639:GEN640 GOJ639:GOJ640 GYF639:GYF640 HIB639:HIB640 HRX639:HRX640 IBT639:IBT640 ILP639:ILP640 IVL639:IVL640 JFH639:JFH640 JPD639:JPD640 JYZ639:JYZ640 KIV639:KIV640 KSR639:KSR640 LCN639:LCN640 LMJ639:LMJ640 LWF639:LWF640 MGB639:MGB640 MPX639:MPX640 MZT639:MZT640 NJP639:NJP640 NTL639:NTL640 ODH639:ODH640 OND639:OND640 OWZ639:OWZ640 PGV639:PGV640 PQR639:PQR640 QAN639:QAN640 QKJ639:QKJ640 QUF639:QUF640 REB639:REB640 RNX639:RNX640 RXT639:RXT640 SHP639:SHP640 SRL639:SRL640 TBH639:TBH640 TLD639:TLD640 TUZ639:TUZ640 UEV639:UEV640 UOR639:UOR640 UYN639:UYN640 VIJ639:VIJ640 VSF639:VSF640 WCB639:WCB640 JH685 JH699 TD699 ACZ699 AMV699 AWR699 BGN699 BQJ699 CAF699 CKB699 CTX699 DDT699 DNP699 DXL699 EHH699 ERD699 FAZ699 FKV699 FUR699 GEN699 GOJ699 GYF699 HIB699 HRX699 IBT699 ILP699 IVL699 JFH699 JPD699 JYZ699 KIV699 KSR699 LCN699 LMJ699 LWF699 MGB699 MPX699 MZT699 NJP699 NTL699 ODH699 OND699 OWZ699 PGV699 PQR699 QAN699 QKJ699 QUF699 REB699 RNX699 RXT699 SHP699 SRL699 TBH699 TLD699 TUZ699 UEV699 UOR699 UYN699 VIJ699 VSF699 WCB699 WVT699 WLX699 TD685 ACZ685 AMV685 AWR685 BGN685 BQJ685 CAF685 CKB685 CTX685 DDT685 DNP685 DXL685 EHH685 ERD685 FAZ685 FKV685 FUR685 GEN685 GOJ685 GYF685 HIB685 HRX685 IBT685 ILP685 IVL685 JFH685 JPD685 JYZ685 KIV685 KSR685 LCN685 LMJ685 LWF685 MGB685 MPX685 MZT685 NJP685 NTL685 ODH685 OND685 OWZ685 PGV685 PQR685 QAN685 QKJ685 QUF685 REB685 RNX685 RXT685 SHP685 SRL685 TBH685 TLD685 TUZ685 UEV685 UOR685 UYN685 VIJ685 VSF685 WCB685 WVT685 WLX685 WLX683 WVT683 WCB683 VSF683 VIJ683 UYN683 UOR683 UEV683 TUZ683 TLD683 TBH683 SRL683 SHP683 RXT683 RNX683 REB683 QUF683 QKJ683 QAN683 PQR683 PGV683 OWZ683 OND683 ODH683 NTL683 NJP683 MZT683 MPX683 MGB683 LWF683 LMJ683 LCN683 KSR683 KIV683 JYZ683 JPD683 JFH683 IVL683 ILP683 IBT683 HRX683 HIB683 GYF683 GOJ683 GEN683 FUR683 FKV683 FAZ683 ERD683 EHH683 DXL683 DNP683 DDT683 CTX683 CKB683 CAF683 BQJ683 BGN683 AWR683 AMV683 ACZ683 TD683 JH683 WCB673:WCB674 WVT673:WVT674 WLX673:WLX674 JH673:JH674 TD673:TD674 ACZ673:ACZ674 AMV673:AMV674 AWR673:AWR674 BGN673:BGN674 BQJ673:BQJ674 CAF673:CAF674 CKB673:CKB674 CTX673:CTX674 DDT673:DDT674 DNP673:DNP674 DXL673:DXL674 EHH673:EHH674 ERD673:ERD674 FAZ673:FAZ674 FKV673:FKV674 FUR673:FUR674 GEN673:GEN674 GOJ673:GOJ674 GYF673:GYF674 HIB673:HIB674 HRX673:HRX674 IBT673:IBT674 ILP673:ILP674 IVL673:IVL674 JFH673:JFH674 JPD673:JPD674 JYZ673:JYZ674 KIV673:KIV674 KSR673:KSR674 LCN673:LCN674 LMJ673:LMJ674 LWF673:LWF674 MGB673:MGB674 MPX673:MPX674 MZT673:MZT674 NJP673:NJP674 NTL673:NTL674 ODH673:ODH674 OND673:OND674 OWZ673:OWZ674 PGV673:PGV674 PQR673:PQR674 QAN673:QAN674 QKJ673:QKJ674 QUF673:QUF674 REB673:REB674 RNX673:RNX674 RXT673:RXT674 SHP673:SHP674 SRL673:SRL674 TBH673:TBH674 TLD673:TLD674 TUZ673:TUZ674 UEV673:UEV674 UOR673:UOR674 UYN673:UYN674 VIJ673:VIJ674 VSF673:VSF674 WCB676:WCB679 VSF676:VSF679 VIJ676:VIJ679 UYN676:UYN679 UOR676:UOR679 UEV676:UEV679 TUZ676:TUZ679 TLD676:TLD679 TBH676:TBH679 SRL676:SRL679 SHP676:SHP679 RXT676:RXT679 RNX676:RNX679 REB676:REB679 QUF676:QUF679 QKJ676:QKJ679 QAN676:QAN679 PQR676:PQR679 PGV676:PGV679 OWZ676:OWZ679 OND676:OND679 ODH676:ODH679 NTL676:NTL679 NJP676:NJP679 MZT676:MZT679 MPX676:MPX679 MGB676:MGB679 LWF676:LWF679 LMJ676:LMJ679 LCN676:LCN679 KSR676:KSR679 KIV676:KIV679 JYZ676:JYZ679 JPD676:JPD679 JFH676:JFH679 IVL676:IVL679 ILP676:ILP679 IBT676:IBT679 HRX676:HRX679 HIB676:HIB679 GYF676:GYF679 GOJ676:GOJ679 GEN676:GEN679 FUR676:FUR679 FKV676:FKV679 FAZ676:FAZ679 ERD676:ERD679 EHH676:EHH679 DXL676:DXL679 DNP676:DNP679 DDT676:DDT679 CTX676:CTX679 CKB676:CKB679 CAF676:CAF679 BQJ676:BQJ679 BGN676:BGN679 AWR676:AWR679 AMV676:AMV679 ACZ676:ACZ679 TD676:TD679 JH676:JH679 WLX676:WLX679 WVT676:WVT679 JH544 JH558:JH559 TD558:TD559 ACZ558:ACZ559 AMV558:AMV559 AWR558:AWR559 BGN558:BGN559 BQJ558:BQJ559 CAF558:CAF559 CKB558:CKB559 CTX558:CTX559 DDT558:DDT559 DNP558:DNP559 DXL558:DXL559 EHH558:EHH559 ERD558:ERD559 FAZ558:FAZ559 FKV558:FKV559 FUR558:FUR559 GEN558:GEN559 GOJ558:GOJ559 GYF558:GYF559 HIB558:HIB559 HRX558:HRX559 IBT558:IBT559 ILP558:ILP559 IVL558:IVL559 JFH558:JFH559 JPD558:JPD559 JYZ558:JYZ559 KIV558:KIV559 KSR558:KSR559 LCN558:LCN559 LMJ558:LMJ559 LWF558:LWF559 MGB558:MGB559 MPX558:MPX559 MZT558:MZT559 NJP558:NJP559 NTL558:NTL559 ODH558:ODH559 OND558:OND559 OWZ558:OWZ559 PGV558:PGV559 PQR558:PQR559 QAN558:QAN559 QKJ558:QKJ559 QUF558:QUF559 REB558:REB559 RNX558:RNX559 RXT558:RXT559 SHP558:SHP559 SRL558:SRL559 TBH558:TBH559 TLD558:TLD559 TUZ558:TUZ559 UEV558:UEV559 UOR558:UOR559 UYN558:UYN559 VIJ558:VIJ559 VSF558:VSF559 WCB558:WCB559 WVT558:WVT559 WLX558:WLX559 TD544 ACZ544 AMV544 AWR544 BGN544 BQJ544 CAF544 CKB544 CTX544 DDT544 DNP544 DXL544 EHH544 ERD544 FAZ544 FKV544 FUR544 GEN544 GOJ544 GYF544 HIB544 HRX544 IBT544 ILP544 IVL544 JFH544 JPD544 JYZ544 KIV544 KSR544 LCN544 LMJ544 LWF544 MGB544 MPX544 MZT544 NJP544 NTL544 ODH544 OND544 OWZ544 PGV544 PQR544 QAN544 QKJ544 QUF544 REB544 RNX544 RXT544 SHP544 SRL544 TBH544 TLD544 TUZ544 UEV544 UOR544 UYN544 VIJ544 VSF544 WCB544 WVT544 WLX544 WLX542 WVT542 WCB542 VSF542 VIJ542 UYN542 UOR542 UEV542 TUZ542 TLD542 TBH542 SRL542 SHP542 RXT542 RNX542 REB542 QUF542 QKJ542 QAN542 PQR542 PGV542 OWZ542 OND542 ODH542 NTL542 NJP542 MZT542 MPX542 MGB542 LWF542 LMJ542 LCN542 KSR542 KIV542 JYZ542 JPD542 JFH542 IVL542 ILP542 IBT542 HRX542 HIB542 GYF542 GOJ542 GEN542 FUR542 FKV542 FAZ542 ERD542 EHH542 DXL542 DNP542 DDT542 CTX542 CKB542 CAF542 BQJ542 BGN542 AWR542 AMV542 ACZ542 TD542 JH542 WCB531:WCB538 VSF531:VSF538 VIJ531:VIJ538 UYN531:UYN538 UOR531:UOR538 UEV531:UEV538 TUZ531:TUZ538 TLD531:TLD538 TBH531:TBH538 SRL531:SRL538 SHP531:SHP538 RXT531:RXT538 RNX531:RNX538 REB531:REB538 QUF531:QUF538 QKJ531:QKJ538 QAN531:QAN538 PQR531:PQR538 PGV531:PGV538 OWZ531:OWZ538 OND531:OND538 ODH531:ODH538 NTL531:NTL538 NJP531:NJP538 MZT531:MZT538 MPX531:MPX538 MGB531:MGB538 LWF531:LWF538 LMJ531:LMJ538 LCN531:LCN538 KSR531:KSR538 KIV531:KIV538 JYZ531:JYZ538 JPD531:JPD538 JFH531:JFH538 IVL531:IVL538 ILP531:ILP538 IBT531:IBT538 HRX531:HRX538 HIB531:HIB538 GYF531:GYF538 GOJ531:GOJ538 GEN531:GEN538 FUR531:FUR538 FKV531:FKV538 FAZ531:FAZ538 ERD531:ERD538 EHH531:EHH538 DXL531:DXL538 DNP531:DNP538 DDT531:DDT538 CTX531:CTX538 CKB531:CKB538 CAF531:CAF538 BQJ531:BQJ538 BGN531:BGN538 AWR531:AWR538 AMV531:AMV538 ACZ531:ACZ538 TD531:TD538 JH531:JH538 WLX531:WLX538 WVT531:WVT538 JH117 TD117 ACZ117 AMV117 AWR117 BGN117 BQJ117 CAF117 CKB117 CTX117 DDT117 DNP117 DXL117 EHH117 ERD117 FAZ117 FKV117 FUR117 GEN117 GOJ117 GYF117 HIB117 HRX117 IBT117 ILP117 IVL117 JFH117 JPD117 JYZ117 KIV117 KSR117 LCN117 LMJ117 LWF117 MGB117 MPX117 MZT117 NJP117 NTL117 ODH117 OND117 OWZ117 PGV117 PQR117 QAN117 QKJ117 QUF117 REB117 RNX117 RXT117 SHP117 SRL117 TBH117 TLD117 TUZ117 UEV117 UOR117 UYN117 VIJ117 VSF117 WCB117 WVT117 WLX117 WLX115 WVT115 WCB115 VSF115 VIJ115 UYN115 UOR115 UEV115 TUZ115 TLD115 TBH115 SRL115 SHP115 RXT115 RNX115 REB115 QUF115 QKJ115 QAN115 PQR115 PGV115 OWZ115 OND115 ODH115 NTL115 NJP115 MZT115 MPX115 MGB115 LWF115 LMJ115 LCN115 KSR115 KIV115 JYZ115 JPD115 JFH115 IVL115 ILP115 IBT115 HRX115 HIB115 GYF115 GOJ115 GEN115 FUR115 FKV115 FAZ115 ERD115 EHH115 DXL115 DNP115 DDT115 CTX115 CKB115 CAF115 BQJ115 BGN115 AWR115 AMV115 ACZ115 TD115 JH115 WLX192 JH135 JH149:JH150 TD149:TD150 ACZ149:ACZ150 AMV149:AMV150 AWR149:AWR150 BGN149:BGN150 BQJ149:BQJ150 CAF149:CAF150 CKB149:CKB150 CTX149:CTX150 DDT149:DDT150 DNP149:DNP150 DXL149:DXL150 EHH149:EHH150 ERD149:ERD150 FAZ149:FAZ150 FKV149:FKV150 FUR149:FUR150 GEN149:GEN150 GOJ149:GOJ150 GYF149:GYF150 HIB149:HIB150 HRX149:HRX150 IBT149:IBT150 ILP149:ILP150 IVL149:IVL150 JFH149:JFH150 JPD149:JPD150 JYZ149:JYZ150 KIV149:KIV150 KSR149:KSR150 LCN149:LCN150 LMJ149:LMJ150 LWF149:LWF150 MGB149:MGB150 MPX149:MPX150 MZT149:MZT150 NJP149:NJP150 NTL149:NTL150 ODH149:ODH150 OND149:OND150 OWZ149:OWZ150 PGV149:PGV150 PQR149:PQR150 QAN149:QAN150 QKJ149:QKJ150 QUF149:QUF150 REB149:REB150 RNX149:RNX150 RXT149:RXT150 SHP149:SHP150 SRL149:SRL150 TBH149:TBH150 TLD149:TLD150 TUZ149:TUZ150 UEV149:UEV150 UOR149:UOR150 UYN149:UYN150 VIJ149:VIJ150 VSF149:VSF150 WCB149:WCB150 WVT149:WVT150 WLX149:WLX150 JH152 TD152 ACZ152 AMV152 AWR152 BGN152 BQJ152 CAF152 CKB152 CTX152 DDT152 DNP152 DXL152 EHH152 ERD152 FAZ152 FKV152 FUR152 GEN152 GOJ152 GYF152 HIB152 HRX152 IBT152 ILP152 IVL152 JFH152 JPD152 JYZ152 KIV152 KSR152 LCN152 LMJ152 LWF152 MGB152 MPX152 MZT152 NJP152 NTL152 ODH152 OND152 OWZ152 PGV152 PQR152 QAN152 QKJ152 QUF152 REB152 RNX152 RXT152 SHP152 SRL152 TBH152 TLD152 TUZ152 UEV152 UOR152 UYN152 VIJ152 VSF152 WCB152 WVT152 WLX152 TD135 ACZ135 AMV135 AWR135 BGN135 BQJ135 CAF135 CKB135 CTX135 DDT135 DNP135 DXL135 EHH135 ERD135 FAZ135 FKV135 FUR135 GEN135 GOJ135 GYF135 HIB135 HRX135 IBT135 ILP135 IVL135 JFH135 JPD135 JYZ135 KIV135 KSR135 LCN135 LMJ135 LWF135 MGB135 MPX135 MZT135 NJP135 NTL135 ODH135 OND135 OWZ135 PGV135 PQR135 QAN135 QKJ135 QUF135 REB135 RNX135 RXT135 SHP135 SRL135 TBH135 TLD135 TUZ135 UEV135 UOR135 UYN135 VIJ135 VSF135 WCB135 WVT135 WLX135 WLX133 WVT133 WCB133 VSF133 VIJ133 UYN133 UOR133 UEV133 TUZ133 TLD133 TBH133 SRL133 SHP133 RXT133 RNX133 REB133 QUF133 QKJ133 QAN133 PQR133 PGV133 OWZ133 OND133 ODH133 NTL133 NJP133 MZT133 MPX133 MGB133 LWF133 LMJ133 LCN133 KSR133 KIV133 JYZ133 JPD133 JFH133 IVL133 ILP133 IBT133 HRX133 HIB133 GYF133 GOJ133 GEN133 FUR133 FKV133 FAZ133 ERD133 EHH133 DXL133 DNP133 DDT133 CTX133 CKB133 CAF133 BQJ133 BGN133 AWR133 AMV133 ACZ133 TD133 JH133 WCB108:WCB111 JH299 JH313:JH314 TD313:TD314 ACZ313:ACZ314 AMV313:AMV314 AWR313:AWR314 BGN313:BGN314 BQJ313:BQJ314 CAF313:CAF314 CKB313:CKB314 CTX313:CTX314 DDT313:DDT314 DNP313:DNP314 DXL313:DXL314 EHH313:EHH314 ERD313:ERD314 FAZ313:FAZ314 FKV313:FKV314 FUR313:FUR314 GEN313:GEN314 GOJ313:GOJ314 GYF313:GYF314 HIB313:HIB314 HRX313:HRX314 IBT313:IBT314 ILP313:ILP314 IVL313:IVL314 JFH313:JFH314 JPD313:JPD314 JYZ313:JYZ314 KIV313:KIV314 KSR313:KSR314 LCN313:LCN314 LMJ313:LMJ314 LWF313:LWF314 MGB313:MGB314 MPX313:MPX314 MZT313:MZT314 NJP313:NJP314 NTL313:NTL314 ODH313:ODH314 OND313:OND314 OWZ313:OWZ314 PGV313:PGV314 PQR313:PQR314 QAN313:QAN314 QKJ313:QKJ314 QUF313:QUF314 REB313:REB314 RNX313:RNX314 RXT313:RXT314 SHP313:SHP314 SRL313:SRL314 TBH313:TBH314 TLD313:TLD314 TUZ313:TUZ314 UEV313:UEV314 UOR313:UOR314 UYN313:UYN314 VIJ313:VIJ314 VSF313:VSF314 WCB313:WCB314 WVT313:WVT314 WLX313:WLX314 JH316 TD316 ACZ316 AMV316 AWR316 BGN316 BQJ316 CAF316 CKB316 CTX316 DDT316 DNP316 DXL316 EHH316 ERD316 FAZ316 FKV316 FUR316 GEN316 GOJ316 GYF316 HIB316 HRX316 IBT316 ILP316 IVL316 JFH316 JPD316 JYZ316 KIV316 KSR316 LCN316 LMJ316 LWF316 MGB316 MPX316 MZT316 NJP316 NTL316 ODH316 OND316 OWZ316 PGV316 PQR316 QAN316 QKJ316 QUF316 REB316 RNX316 RXT316 SHP316 SRL316 TBH316 TLD316 TUZ316 UEV316 UOR316 UYN316 VIJ316 VSF316 WCB316 WVT316 WLX316 TD299 ACZ299 AMV299 AWR299 BGN299 BQJ299 CAF299 CKB299 CTX299 DDT299 DNP299 DXL299 EHH299 ERD299 FAZ299 FKV299 FUR299 GEN299 GOJ299 GYF299 HIB299 HRX299 IBT299 ILP299 IVL299 JFH299 JPD299 JYZ299 KIV299 KSR299 LCN299 LMJ299 LWF299 MGB299 MPX299 MZT299 NJP299 NTL299 ODH299 OND299 OWZ299 PGV299 PQR299 QAN299 QKJ299 QUF299 REB299 RNX299 RXT299 SHP299 SRL299 TBH299 TLD299 TUZ299 UEV299 UOR299 UYN299 VIJ299 VSF299 WCB299 WVT299 WLX299 WLX297 WVT297 WCB297 VSF297 VIJ297 UYN297 UOR297 UEV297 TUZ297 TLD297 TBH297 SRL297 SHP297 RXT297 RNX297 REB297 QUF297 QKJ297 QAN297 PQR297 PGV297 OWZ297 OND297 ODH297 NTL297 NJP297 MZT297 MPX297 MGB297 LWF297 LMJ297 LCN297 KSR297 KIV297 JYZ297 JPD297 JFH297 IVL297 ILP297 IBT297 HRX297 HIB297 GYF297 GOJ297 GEN297 FUR297 FKV297 FAZ297 ERD297 EHH297 DXL297 DNP297 DDT297 CTX297 CKB297 CAF297 BQJ297 BGN297 AWR297 AMV297 ACZ297 TD297 JH297 VSF289:VSF293 VIJ289:VIJ293 UYN289:UYN293 UOR289:UOR293 UEV289:UEV293 TUZ289:TUZ293 TLD289:TLD293 TBH289:TBH293 SRL289:SRL293 SHP289:SHP293 RXT289:RXT293 RNX289:RNX293 REB289:REB293 QUF289:QUF293 QKJ289:QKJ293 QAN289:QAN293 PQR289:PQR293 PGV289:PGV293 OWZ289:OWZ293 OND289:OND293 ODH289:ODH293 NTL289:NTL293 NJP289:NJP293 MZT289:MZT293 MPX289:MPX293 MGB289:MGB293 LWF289:LWF293 LMJ289:LMJ293 LCN289:LCN293 KSR289:KSR293 KIV289:KIV293 JYZ289:JYZ293 JPD289:JPD293 JFH289:JFH293 IVL289:IVL293 ILP289:ILP293 IBT289:IBT293 HRX289:HRX293 HIB289:HIB293 GYF289:GYF293 GOJ289:GOJ293 GEN289:GEN293 FUR289:FUR293 FKV289:FKV293 FAZ289:FAZ293 ERD289:ERD293 EHH289:EHH293 DXL289:DXL293 DNP289:DNP293 DDT289:DDT293 CTX289:CTX293 CKB289:CKB293 CAF289:CAF293 BQJ289:BQJ293 BGN289:BGN293 AWR289:AWR293 AMV289:AMV293 ACZ289:ACZ293 TD289:TD293 JH289:JH293 WLX289:WLX293 WVT289:WVT293 WCB289:WCB293 JH335 JH349:JH350 TD349:TD350 ACZ349:ACZ350 AMV349:AMV350 AWR349:AWR350 BGN349:BGN350 BQJ349:BQJ350 CAF349:CAF350 CKB349:CKB350 CTX349:CTX350 DDT349:DDT350 DNP349:DNP350 DXL349:DXL350 EHH349:EHH350 ERD349:ERD350 FAZ349:FAZ350 FKV349:FKV350 FUR349:FUR350 GEN349:GEN350 GOJ349:GOJ350 GYF349:GYF350 HIB349:HIB350 HRX349:HRX350 IBT349:IBT350 ILP349:ILP350 IVL349:IVL350 JFH349:JFH350 JPD349:JPD350 JYZ349:JYZ350 KIV349:KIV350 KSR349:KSR350 LCN349:LCN350 LMJ349:LMJ350 LWF349:LWF350 MGB349:MGB350 MPX349:MPX350 MZT349:MZT350 NJP349:NJP350 NTL349:NTL350 ODH349:ODH350 OND349:OND350 OWZ349:OWZ350 PGV349:PGV350 PQR349:PQR350 QAN349:QAN350 QKJ349:QKJ350 QUF349:QUF350 REB349:REB350 RNX349:RNX350 RXT349:RXT350 SHP349:SHP350 SRL349:SRL350 TBH349:TBH350 TLD349:TLD350 TUZ349:TUZ350 UEV349:UEV350 UOR349:UOR350 UYN349:UYN350 VIJ349:VIJ350 VSF349:VSF350 WCB349:WCB350 WVT349:WVT350 WLX349:WLX350 JH352 TD352 ACZ352 AMV352 AWR352 BGN352 BQJ352 CAF352 CKB352 CTX352 DDT352 DNP352 DXL352 EHH352 ERD352 FAZ352 FKV352 FUR352 GEN352 GOJ352 GYF352 HIB352 HRX352 IBT352 ILP352 IVL352 JFH352 JPD352 JYZ352 KIV352 KSR352 LCN352 LMJ352 LWF352 MGB352 MPX352 MZT352 NJP352 NTL352 ODH352 OND352 OWZ352 PGV352 PQR352 QAN352 QKJ352 QUF352 REB352 RNX352 RXT352 SHP352 SRL352 TBH352 TLD352 TUZ352 UEV352 UOR352 UYN352 VIJ352 VSF352 WCB352 WVT352 WLX352 TD335 ACZ335 AMV335 AWR335 BGN335 BQJ335 CAF335 CKB335 CTX335 DDT335 DNP335 DXL335 EHH335 ERD335 FAZ335 FKV335 FUR335 GEN335 GOJ335 GYF335 HIB335 HRX335 IBT335 ILP335 IVL335 JFH335 JPD335 JYZ335 KIV335 KSR335 LCN335 LMJ335 LWF335 MGB335 MPX335 MZT335 NJP335 NTL335 ODH335 OND335 OWZ335 PGV335 PQR335 QAN335 QKJ335 QUF335 REB335 RNX335 RXT335 SHP335 SRL335 TBH335 TLD335 TUZ335 UEV335 UOR335 UYN335 VIJ335 VSF335 WCB335 WVT335 WLX335 WLX333 WVT333 WCB333 VSF333 VIJ333 UYN333 UOR333 UEV333 TUZ333 TLD333 TBH333 SRL333 SHP333 RXT333 RNX333 REB333 QUF333 QKJ333 QAN333 PQR333 PGV333 OWZ333 OND333 ODH333 NTL333 NJP333 MZT333 MPX333 MGB333 LWF333 LMJ333 LCN333 KSR333 KIV333 JYZ333 JPD333 JFH333 IVL333 ILP333 IBT333 HRX333 HIB333 GYF333 GOJ333 GEN333 FUR333 FKV333 FAZ333 ERD333 EHH333 DXL333 DNP333 DDT333 CTX333 CKB333 CAF333 BQJ333 BGN333 AWR333 AMV333 ACZ333 TD333 JH333 VSF325:VSF329 VIJ325:VIJ329 UYN325:UYN329 UOR325:UOR329 UEV325:UEV329 TUZ325:TUZ329 TLD325:TLD329 TBH325:TBH329 SRL325:SRL329 SHP325:SHP329 RXT325:RXT329 RNX325:RNX329 REB325:REB329 QUF325:QUF329 QKJ325:QKJ329 QAN325:QAN329 PQR325:PQR329 PGV325:PGV329 OWZ325:OWZ329 OND325:OND329 ODH325:ODH329 NTL325:NTL329 NJP325:NJP329 MZT325:MZT329 MPX325:MPX329 MGB325:MGB329 LWF325:LWF329 LMJ325:LMJ329 LCN325:LCN329 KSR325:KSR329 KIV325:KIV329 JYZ325:JYZ329 JPD325:JPD329 JFH325:JFH329 IVL325:IVL329 ILP325:ILP329 IBT325:IBT329 HRX325:HRX329 HIB325:HIB329 GYF325:GYF329 GOJ325:GOJ329 GEN325:GEN329 FUR325:FUR329 FKV325:FKV329 FAZ325:FAZ329 ERD325:ERD329 EHH325:EHH329 DXL325:DXL329 DNP325:DNP329 DDT325:DDT329 CTX325:CTX329 CKB325:CKB329 CAF325:CAF329 BQJ325:BQJ329 BGN325:BGN329 AWR325:AWR329 AMV325:AMV329 ACZ325:ACZ329 TD325:TD329 JH325:JH329 WLX325:WLX329 WVT325:WVT329 WCB325:WCB329 JH372 JH386:JH387 TD386:TD387 ACZ386:ACZ387 AMV386:AMV387 AWR386:AWR387 BGN386:BGN387 BQJ386:BQJ387 CAF386:CAF387 CKB386:CKB387 CTX386:CTX387 DDT386:DDT387 DNP386:DNP387 DXL386:DXL387 EHH386:EHH387 ERD386:ERD387 FAZ386:FAZ387 FKV386:FKV387 FUR386:FUR387 GEN386:GEN387 GOJ386:GOJ387 GYF386:GYF387 HIB386:HIB387 HRX386:HRX387 IBT386:IBT387 ILP386:ILP387 IVL386:IVL387 JFH386:JFH387 JPD386:JPD387 JYZ386:JYZ387 KIV386:KIV387 KSR386:KSR387 LCN386:LCN387 LMJ386:LMJ387 LWF386:LWF387 MGB386:MGB387 MPX386:MPX387 MZT386:MZT387 NJP386:NJP387 NTL386:NTL387 ODH386:ODH387 OND386:OND387 OWZ386:OWZ387 PGV386:PGV387 PQR386:PQR387 QAN386:QAN387 QKJ386:QKJ387 QUF386:QUF387 REB386:REB387 RNX386:RNX387 RXT386:RXT387 SHP386:SHP387 SRL386:SRL387 TBH386:TBH387 TLD386:TLD387 TUZ386:TUZ387 UEV386:UEV387 UOR386:UOR387 UYN386:UYN387 VIJ386:VIJ387 VSF386:VSF387 WCB386:WCB387 WVT386:WVT387 WLX386:WLX387 JH389 TD389 ACZ389 AMV389 AWR389 BGN389 BQJ389 CAF389 CKB389 CTX389 DDT389 DNP389 DXL389 EHH389 ERD389 FAZ389 FKV389 FUR389 GEN389 GOJ389 GYF389 HIB389 HRX389 IBT389 ILP389 IVL389 JFH389 JPD389 JYZ389 KIV389 KSR389 LCN389 LMJ389 LWF389 MGB389 MPX389 MZT389 NJP389 NTL389 ODH389 OND389 OWZ389 PGV389 PQR389 QAN389 QKJ389 QUF389 REB389 RNX389 RXT389 SHP389 SRL389 TBH389 TLD389 TUZ389 UEV389 UOR389 UYN389 VIJ389 VSF389 WCB389 WVT389 WLX389 TD372 ACZ372 AMV372 AWR372 BGN372 BQJ372 CAF372 CKB372 CTX372 DDT372 DNP372 DXL372 EHH372 ERD372 FAZ372 FKV372 FUR372 GEN372 GOJ372 GYF372 HIB372 HRX372 IBT372 ILP372 IVL372 JFH372 JPD372 JYZ372 KIV372 KSR372 LCN372 LMJ372 LWF372 MGB372 MPX372 MZT372 NJP372 NTL372 ODH372 OND372 OWZ372 PGV372 PQR372 QAN372 QKJ372 QUF372 REB372 RNX372 RXT372 SHP372 SRL372 TBH372 TLD372 TUZ372 UEV372 UOR372 UYN372 VIJ372 VSF372 WCB372 WVT372 WLX372 WLX370 WVT370 WCB370 VSF370 VIJ370 UYN370 UOR370 UEV370 TUZ370 TLD370 TBH370 SRL370 SHP370 RXT370 RNX370 REB370 QUF370 QKJ370 QAN370 PQR370 PGV370 OWZ370 OND370 ODH370 NTL370 NJP370 MZT370 MPX370 MGB370 LWF370 LMJ370 LCN370 KSR370 KIV370 JYZ370 JPD370 JFH370 IVL370 ILP370 IBT370 HRX370 HIB370 GYF370 GOJ370 GEN370 FUR370 FKV370 FAZ370 ERD370 EHH370 DXL370 DNP370 DDT370 CTX370 CKB370 CAF370 BQJ370 BGN370 AWR370 AMV370 ACZ370 TD370 JH370 VSF362:VSF366 VIJ362:VIJ366 UYN362:UYN366 UOR362:UOR366 UEV362:UEV366 TUZ362:TUZ366 TLD362:TLD366 TBH362:TBH366 SRL362:SRL366 SHP362:SHP366 RXT362:RXT366 RNX362:RNX366 REB362:REB366 QUF362:QUF366 QKJ362:QKJ366 QAN362:QAN366 PQR362:PQR366 PGV362:PGV366 OWZ362:OWZ366 OND362:OND366 ODH362:ODH366 NTL362:NTL366 NJP362:NJP366 MZT362:MZT366 MPX362:MPX366 MGB362:MGB366 LWF362:LWF366 LMJ362:LMJ366 LCN362:LCN366 KSR362:KSR366 KIV362:KIV366 JYZ362:JYZ366 JPD362:JPD366 JFH362:JFH366 IVL362:IVL366 ILP362:ILP366 IBT362:IBT366 HRX362:HRX366 HIB362:HIB366 GYF362:GYF366 GOJ362:GOJ366 GEN362:GEN366 FUR362:FUR366 FKV362:FKV366 FAZ362:FAZ366 ERD362:ERD366 EHH362:EHH366 DXL362:DXL366 DNP362:DNP366 DDT362:DDT366 CTX362:CTX366 CKB362:CKB366 CAF362:CAF366 BQJ362:BQJ366 BGN362:BGN366 AWR362:AWR366 AMV362:AMV366 ACZ362:ACZ366 TD362:TD366 JH362:JH366 WLX362:WLX366 WVT362:WVT366 WCB362:WCB366 JH408 JH422:JH423 TD422:TD423 ACZ422:ACZ423 AMV422:AMV423 AWR422:AWR423 BGN422:BGN423 BQJ422:BQJ423 CAF422:CAF423 CKB422:CKB423 CTX422:CTX423 DDT422:DDT423 DNP422:DNP423 DXL422:DXL423 EHH422:EHH423 ERD422:ERD423 FAZ422:FAZ423 FKV422:FKV423 FUR422:FUR423 GEN422:GEN423 GOJ422:GOJ423 GYF422:GYF423 HIB422:HIB423 HRX422:HRX423 IBT422:IBT423 ILP422:ILP423 IVL422:IVL423 JFH422:JFH423 JPD422:JPD423 JYZ422:JYZ423 KIV422:KIV423 KSR422:KSR423 LCN422:LCN423 LMJ422:LMJ423 LWF422:LWF423 MGB422:MGB423 MPX422:MPX423 MZT422:MZT423 NJP422:NJP423 NTL422:NTL423 ODH422:ODH423 OND422:OND423 OWZ422:OWZ423 PGV422:PGV423 PQR422:PQR423 QAN422:QAN423 QKJ422:QKJ423 QUF422:QUF423 REB422:REB423 RNX422:RNX423 RXT422:RXT423 SHP422:SHP423 SRL422:SRL423 TBH422:TBH423 TLD422:TLD423 TUZ422:TUZ423 UEV422:UEV423 UOR422:UOR423 UYN422:UYN423 VIJ422:VIJ423 VSF422:VSF423 WCB422:WCB423 WVT422:WVT423 WLX422:WLX423 JH425 TD425 ACZ425 AMV425 AWR425 BGN425 BQJ425 CAF425 CKB425 CTX425 DDT425 DNP425 DXL425 EHH425 ERD425 FAZ425 FKV425 FUR425 GEN425 GOJ425 GYF425 HIB425 HRX425 IBT425 ILP425 IVL425 JFH425 JPD425 JYZ425 KIV425 KSR425 LCN425 LMJ425 LWF425 MGB425 MPX425 MZT425 NJP425 NTL425 ODH425 OND425 OWZ425 PGV425 PQR425 QAN425 QKJ425 QUF425 REB425 RNX425 RXT425 SHP425 SRL425 TBH425 TLD425 TUZ425 UEV425 UOR425 UYN425 VIJ425 VSF425 WCB425 WVT425 WLX425 TD408 ACZ408 AMV408 AWR408 BGN408 BQJ408 CAF408 CKB408 CTX408 DDT408 DNP408 DXL408 EHH408 ERD408 FAZ408 FKV408 FUR408 GEN408 GOJ408 GYF408 HIB408 HRX408 IBT408 ILP408 IVL408 JFH408 JPD408 JYZ408 KIV408 KSR408 LCN408 LMJ408 LWF408 MGB408 MPX408 MZT408 NJP408 NTL408 ODH408 OND408 OWZ408 PGV408 PQR408 QAN408 QKJ408 QUF408 REB408 RNX408 RXT408 SHP408 SRL408 TBH408 TLD408 TUZ408 UEV408 UOR408 UYN408 VIJ408 VSF408 WCB408 WVT408 WLX408 WLX406 WVT406 WCB406 VSF406 VIJ406 UYN406 UOR406 UEV406 TUZ406 TLD406 TBH406 SRL406 SHP406 RXT406 RNX406 REB406 QUF406 QKJ406 QAN406 PQR406 PGV406 OWZ406 OND406 ODH406 NTL406 NJP406 MZT406 MPX406 MGB406 LWF406 LMJ406 LCN406 KSR406 KIV406 JYZ406 JPD406 JFH406 IVL406 ILP406 IBT406 HRX406 HIB406 GYF406 GOJ406 GEN406 FUR406 FKV406 FAZ406 ERD406 EHH406 DXL406 DNP406 DDT406 CTX406 CKB406 CAF406 BQJ406 BGN406 AWR406 AMV406 ACZ406 TD406 JH406 VSF398:VSF402 VIJ398:VIJ402 UYN398:UYN402 UOR398:UOR402 UEV398:UEV402 TUZ398:TUZ402 TLD398:TLD402 TBH398:TBH402 SRL398:SRL402 SHP398:SHP402 RXT398:RXT402 RNX398:RNX402 REB398:REB402 QUF398:QUF402 QKJ398:QKJ402 QAN398:QAN402 PQR398:PQR402 PGV398:PGV402 OWZ398:OWZ402 OND398:OND402 ODH398:ODH402 NTL398:NTL402 NJP398:NJP402 MZT398:MZT402 MPX398:MPX402 MGB398:MGB402 LWF398:LWF402 LMJ398:LMJ402 LCN398:LCN402 KSR398:KSR402 KIV398:KIV402 JYZ398:JYZ402 JPD398:JPD402 JFH398:JFH402 IVL398:IVL402 ILP398:ILP402 IBT398:IBT402 HRX398:HRX402 HIB398:HIB402 GYF398:GYF402 GOJ398:GOJ402 GEN398:GEN402 FUR398:FUR402 FKV398:FKV402 FAZ398:FAZ402 ERD398:ERD402 EHH398:EHH402 DXL398:DXL402 DNP398:DNP402 DDT398:DDT402 CTX398:CTX402 CKB398:CKB402 CAF398:CAF402 BQJ398:BQJ402 BGN398:BGN402 AWR398:AWR402 AMV398:AMV402 ACZ398:ACZ402 TD398:TD402 JH398:JH402 WLX398:WLX402 WVT398:WVT402 WCB398:WCB402 JH450 JH464:JH465 TD464:TD465 ACZ464:ACZ465 AMV464:AMV465 AWR464:AWR465 BGN464:BGN465 BQJ464:BQJ465 CAF464:CAF465 CKB464:CKB465 CTX464:CTX465 DDT464:DDT465 DNP464:DNP465 DXL464:DXL465 EHH464:EHH465 ERD464:ERD465 FAZ464:FAZ465 FKV464:FKV465 FUR464:FUR465 GEN464:GEN465 GOJ464:GOJ465 GYF464:GYF465 HIB464:HIB465 HRX464:HRX465 IBT464:IBT465 ILP464:ILP465 IVL464:IVL465 JFH464:JFH465 JPD464:JPD465 JYZ464:JYZ465 KIV464:KIV465 KSR464:KSR465 LCN464:LCN465 LMJ464:LMJ465 LWF464:LWF465 MGB464:MGB465 MPX464:MPX465 MZT464:MZT465 NJP464:NJP465 NTL464:NTL465 ODH464:ODH465 OND464:OND465 OWZ464:OWZ465 PGV464:PGV465 PQR464:PQR465 QAN464:QAN465 QKJ464:QKJ465 QUF464:QUF465 REB464:REB465 RNX464:RNX465 RXT464:RXT465 SHP464:SHP465 SRL464:SRL465 TBH464:TBH465 TLD464:TLD465 TUZ464:TUZ465 UEV464:UEV465 UOR464:UOR465 UYN464:UYN465 VIJ464:VIJ465 VSF464:VSF465 WCB464:WCB465 WVT464:WVT465 WLX464:WLX465 JH467 TD467 ACZ467 AMV467 AWR467 BGN467 BQJ467 CAF467 CKB467 CTX467 DDT467 DNP467 DXL467 EHH467 ERD467 FAZ467 FKV467 FUR467 GEN467 GOJ467 GYF467 HIB467 HRX467 IBT467 ILP467 IVL467 JFH467 JPD467 JYZ467 KIV467 KSR467 LCN467 LMJ467 LWF467 MGB467 MPX467 MZT467 NJP467 NTL467 ODH467 OND467 OWZ467 PGV467 PQR467 QAN467 QKJ467 QUF467 REB467 RNX467 RXT467 SHP467 SRL467 TBH467 TLD467 TUZ467 UEV467 UOR467 UYN467 VIJ467 VSF467 WCB467 WVT467 WLX467 TD450 ACZ450 AMV450 AWR450 BGN450 BQJ450 CAF450 CKB450 CTX450 DDT450 DNP450 DXL450 EHH450 ERD450 FAZ450 FKV450 FUR450 GEN450 GOJ450 GYF450 HIB450 HRX450 IBT450 ILP450 IVL450 JFH450 JPD450 JYZ450 KIV450 KSR450 LCN450 LMJ450 LWF450 MGB450 MPX450 MZT450 NJP450 NTL450 ODH450 OND450 OWZ450 PGV450 PQR450 QAN450 QKJ450 QUF450 REB450 RNX450 RXT450 SHP450 SRL450 TBH450 TLD450 TUZ450 UEV450 UOR450 UYN450 VIJ450 VSF450 WCB450 WVT450 WLX450 WLX448 WVT448 WCB448 VSF448 VIJ448 UYN448 UOR448 UEV448 TUZ448 TLD448 TBH448 SRL448 SHP448 RXT448 RNX448 REB448 QUF448 QKJ448 QAN448 PQR448 PGV448 OWZ448 OND448 ODH448 NTL448 NJP448 MZT448 MPX448 MGB448 LWF448 LMJ448 LCN448 KSR448 KIV448 JYZ448 JPD448 JFH448 IVL448 ILP448 IBT448 HRX448 HIB448 GYF448 GOJ448 GEN448 FUR448 FKV448 FAZ448 ERD448 EHH448 DXL448 DNP448 DDT448 CTX448 CKB448 CAF448 BQJ448 BGN448 AWR448 AMV448 ACZ448 TD448 JH448 VSF435:VSF444 VIJ435:VIJ444 UYN435:UYN444 UOR435:UOR444 UEV435:UEV444 TUZ435:TUZ444 TLD435:TLD444 TBH435:TBH444 SRL435:SRL444 SHP435:SHP444 RXT435:RXT444 RNX435:RNX444 REB435:REB444 QUF435:QUF444 QKJ435:QKJ444 QAN435:QAN444 PQR435:PQR444 PGV435:PGV444 OWZ435:OWZ444 OND435:OND444 ODH435:ODH444 NTL435:NTL444 NJP435:NJP444 MZT435:MZT444 MPX435:MPX444 MGB435:MGB444 LWF435:LWF444 LMJ435:LMJ444 LCN435:LCN444 KSR435:KSR444 KIV435:KIV444 JYZ435:JYZ444 JPD435:JPD444 JFH435:JFH444 IVL435:IVL444 ILP435:ILP444 IBT435:IBT444 HRX435:HRX444 HIB435:HIB444 GYF435:GYF444 GOJ435:GOJ444 GEN435:GEN444 FUR435:FUR444 FKV435:FKV444 FAZ435:FAZ444 ERD435:ERD444 EHH435:EHH444 DXL435:DXL444 DNP435:DNP444 DDT435:DDT444 CTX435:CTX444 CKB435:CKB444 CAF435:CAF444 BQJ435:BQJ444 BGN435:BGN444 AWR435:AWR444 AMV435:AMV444 ACZ435:ACZ444 TD435:TD444 JH435:JH444 WLX435:WLX444 WVT435:WVT444 WCB435:WCB444 JH488 JH502:JH503 TD502:TD503 ACZ502:ACZ503 AMV502:AMV503 AWR502:AWR503 BGN502:BGN503 BQJ502:BQJ503 CAF502:CAF503 CKB502:CKB503 CTX502:CTX503 DDT502:DDT503 DNP502:DNP503 DXL502:DXL503 EHH502:EHH503 ERD502:ERD503 FAZ502:FAZ503 FKV502:FKV503 FUR502:FUR503 GEN502:GEN503 GOJ502:GOJ503 GYF502:GYF503 HIB502:HIB503 HRX502:HRX503 IBT502:IBT503 ILP502:ILP503 IVL502:IVL503 JFH502:JFH503 JPD502:JPD503 JYZ502:JYZ503 KIV502:KIV503 KSR502:KSR503 LCN502:LCN503 LMJ502:LMJ503 LWF502:LWF503 MGB502:MGB503 MPX502:MPX503 MZT502:MZT503 NJP502:NJP503 NTL502:NTL503 ODH502:ODH503 OND502:OND503 OWZ502:OWZ503 PGV502:PGV503 PQR502:PQR503 QAN502:QAN503 QKJ502:QKJ503 QUF502:QUF503 REB502:REB503 RNX502:RNX503 RXT502:RXT503 SHP502:SHP503 SRL502:SRL503 TBH502:TBH503 TLD502:TLD503 TUZ502:TUZ503 UEV502:UEV503 UOR502:UOR503 UYN502:UYN503 VIJ502:VIJ503 VSF502:VSF503 WCB502:WCB503 WVT502:WVT503 WLX502:WLX503 JH505 TD505 ACZ505 AMV505 AWR505 BGN505 BQJ505 CAF505 CKB505 CTX505 DDT505 DNP505 DXL505 EHH505 ERD505 FAZ505 FKV505 FUR505 GEN505 GOJ505 GYF505 HIB505 HRX505 IBT505 ILP505 IVL505 JFH505 JPD505 JYZ505 KIV505 KSR505 LCN505 LMJ505 LWF505 MGB505 MPX505 MZT505 NJP505 NTL505 ODH505 OND505 OWZ505 PGV505 PQR505 QAN505 QKJ505 QUF505 REB505 RNX505 RXT505 SHP505 SRL505 TBH505 TLD505 TUZ505 UEV505 UOR505 UYN505 VIJ505 VSF505 WCB505 WVT505 WLX505 TD488 ACZ488 AMV488 AWR488 BGN488 BQJ488 CAF488 CKB488 CTX488 DDT488 DNP488 DXL488 EHH488 ERD488 FAZ488 FKV488 FUR488 GEN488 GOJ488 GYF488 HIB488 HRX488 IBT488 ILP488 IVL488 JFH488 JPD488 JYZ488 KIV488 KSR488 LCN488 LMJ488 LWF488 MGB488 MPX488 MZT488 NJP488 NTL488 ODH488 OND488 OWZ488 PGV488 PQR488 QAN488 QKJ488 QUF488 REB488 RNX488 RXT488 SHP488 SRL488 TBH488 TLD488 TUZ488 UEV488 UOR488 UYN488 VIJ488 VSF488 WCB488 WVT488 WLX488 WLX486 WVT486 WCB486 VSF486 VIJ486 UYN486 UOR486 UEV486 TUZ486 TLD486 TBH486 SRL486 SHP486 RXT486 RNX486 REB486 QUF486 QKJ486 QAN486 PQR486 PGV486 OWZ486 OND486 ODH486 NTL486 NJP486 MZT486 MPX486 MGB486 LWF486 LMJ486 LCN486 KSR486 KIV486 JYZ486 JPD486 JFH486 IVL486 ILP486 IBT486 HRX486 HIB486 GYF486 GOJ486 GEN486 FUR486 FKV486 FAZ486 ERD486 EHH486 DXL486 DNP486 DDT486 CTX486 CKB486 CAF486 BQJ486 BGN486 AWR486 AMV486 ACZ486 TD486 JH486 VSF477:VSF482 WCB477:WCB482 WVT477:WVT482 WLX477:WLX482 JH477:JH482 TD477:TD482 ACZ477:ACZ482 AMV477:AMV482 AWR477:AWR482 BGN477:BGN482 BQJ477:BQJ482 CAF477:CAF482 CKB477:CKB482 CTX477:CTX482 DDT477:DDT482 DNP477:DNP482 DXL477:DXL482 EHH477:EHH482 ERD477:ERD482 FAZ477:FAZ482 FKV477:FKV482 FUR477:FUR482 GEN477:GEN482 GOJ477:GOJ482 GYF477:GYF482 HIB477:HIB482 HRX477:HRX482 IBT477:IBT482 ILP477:ILP482 IVL477:IVL482 JFH477:JFH482 JPD477:JPD482 JYZ477:JYZ482 KIV477:KIV482 KSR477:KSR482 LCN477:LCN482 LMJ477:LMJ482 LWF477:LWF482 MGB477:MGB482 MPX477:MPX482 MZT477:MZT482 NJP477:NJP482 NTL477:NTL482 ODH477:ODH482 OND477:OND482 OWZ477:OWZ482 PGV477:PGV482 PQR477:PQR482 QAN477:QAN482 QKJ477:QKJ482 QUF477:QUF482 REB477:REB482 RNX477:RNX482 RXT477:RXT482 SHP477:SHP482 SRL477:SRL482 TBH477:TBH482 TLD477:TLD482 TUZ477:TUZ482 UEV477:UEV482 UOR477:UOR482 UYN477:UYN482 VIJ477:VIJ482 JH95:JH96 TD95:TD96 ACZ95:ACZ96 AMV95:AMV96 AWR95:AWR96 BGN95:BGN96 BQJ95:BQJ96 CAF95:CAF96 CKB95:CKB96 CTX95:CTX96 DDT95:DDT96 DNP95:DNP96 DXL95:DXL96 EHH95:EHH96 ERD95:ERD96 FAZ95:FAZ96 FKV95:FKV96 FUR95:FUR96 GEN95:GEN96 GOJ95:GOJ96 GYF95:GYF96 HIB95:HIB96 HRX95:HRX96 IBT95:IBT96 ILP95:ILP96 IVL95:IVL96 JFH95:JFH96 JPD95:JPD96 JYZ95:JYZ96 KIV95:KIV96 KSR95:KSR96 LCN95:LCN96 LMJ95:LMJ96 LWF95:LWF96 MGB95:MGB96 MPX95:MPX96 MZT95:MZT96 NJP95:NJP96 NTL95:NTL96 ODH95:ODH96 OND95:OND96 OWZ95:OWZ96 PGV95:PGV96 PQR95:PQR96 QAN95:QAN96 QKJ95:QKJ96 QUF95:QUF96 REB95:REB96 RNX95:RNX96 RXT95:RXT96 SHP95:SHP96 SRL95:SRL96 TBH95:TBH96 TLD95:TLD96 TUZ95:TUZ96 UEV95:UEV96 UOR95:UOR96 UYN95:UYN96 VIJ95:VIJ96 VSF95:VSF96 WCB95:WCB96 WVT95:WVT96 WLX95:WLX96 JH98 TD98 ACZ98 AMV98 AWR98 BGN98 BQJ98 CAF98 CKB98 CTX98 DDT98 DNP98 DXL98 EHH98 ERD98 FAZ98 FKV98 FUR98 GEN98 GOJ98 GYF98 HIB98 HRX98 IBT98 ILP98 IVL98 JFH98 JPD98 JYZ98 KIV98 KSR98 LCN98 LMJ98 LWF98 MGB98 MPX98 MZT98 NJP98 NTL98 ODH98 OND98 OWZ98 PGV98 PQR98 QAN98 QKJ98 QUF98 REB98 RNX98 RXT98 SHP98 SRL98 TBH98 TLD98 TUZ98 UEV98 UOR98 UYN98 VIJ98 VSF98 WCB98 WVT98 WLX98 VSF108:VSF111 VIJ108:VIJ111 UYN108:UYN111 UOR108:UOR111 UEV108:UEV111 TUZ108:TUZ111 TLD108:TLD111 TBH108:TBH111 SRL108:SRL111 SHP108:SHP111 RXT108:RXT111 RNX108:RNX111 REB108:REB111 QUF108:QUF111 QKJ108:QKJ111 QAN108:QAN111 PQR108:PQR111 PGV108:PGV111 OWZ108:OWZ111 OND108:OND111 ODH108:ODH111 NTL108:NTL111 NJP108:NJP111 MZT108:MZT111 MPX108:MPX111 MGB108:MGB111 LWF108:LWF111 LMJ108:LMJ111 LCN108:LCN111 KSR108:KSR111 KIV108:KIV111 JYZ108:JYZ111 JPD108:JPD111 JFH108:JFH111 IVL108:IVL111 ILP108:ILP111 IBT108:IBT111 HRX108:HRX111 HIB108:HIB111 GYF108:GYF111 GOJ108:GOJ111 GEN108:GEN111 FUR108:FUR111 FKV108:FKV111 FAZ108:FAZ111 ERD108:ERD111 EHH108:EHH111 DXL108:DXL111 DNP108:DNP111 DDT108:DDT111 CTX108:CTX111 CKB108:CKB111 CAF108:CAF111 BQJ108:BQJ111 BGN108:BGN111 AWR108:AWR111 AMV108:AMV111 ACZ108:ACZ111 TD108:TD111 JH108:JH111 WLX108:WLX111 WVT108:WVT111 VSF122:VSF129 VIJ122:VIJ129 UYN122:UYN129 UOR122:UOR129 UEV122:UEV129 TUZ122:TUZ129 TLD122:TLD129 TBH122:TBH129 SRL122:SRL129 SHP122:SHP129 RXT122:RXT129 RNX122:RNX129 REB122:REB129 QUF122:QUF129 QKJ122:QKJ129 QAN122:QAN129 PQR122:PQR129 PGV122:PGV129 OWZ122:OWZ129 OND122:OND129 ODH122:ODH129 NTL122:NTL129 NJP122:NJP129 MZT122:MZT129 MPX122:MPX129 MGB122:MGB129 LWF122:LWF129 LMJ122:LMJ129 LCN122:LCN129 KSR122:KSR129 KIV122:KIV129 JYZ122:JYZ129 JPD122:JPD129 JFH122:JFH129 IVL122:IVL129 ILP122:ILP129 IBT122:IBT129 HRX122:HRX129 HIB122:HIB129 GYF122:GYF129 GOJ122:GOJ129 GEN122:GEN129 FUR122:FUR129 FKV122:FKV129 FAZ122:FAZ129 ERD122:ERD129 EHH122:EHH129 DXL122:DXL129 DNP122:DNP129 DDT122:DDT129 CTX122:CTX129 CKB122:CKB129 CAF122:CAF129 BQJ122:BQJ129 BGN122:BGN129 AWR122:AWR129 AMV122:AMV129 ACZ122:ACZ129 TD122:TD129 JH122:JH129 WLX122:WLX129 WVT122:WVT129 WCB122:WCB129 JH176 TD176 ACZ176 AMV176 AWR176 BGN176 BQJ176 CAF176 CKB176 CTX176 DDT176 DNP176 DXL176 EHH176 ERD176 FAZ176 FKV176 FUR176 GEN176 GOJ176 GYF176 HIB176 HRX176 IBT176 ILP176 IVL176 JFH176 JPD176 JYZ176 KIV176 KSR176 LCN176 LMJ176 LWF176 MGB176 MPX176 MZT176 NJP176 NTL176 ODH176 OND176 OWZ176 PGV176 PQR176 QAN176 QKJ176 QUF176 REB176 RNX176 RXT176 SHP176 SRL176 TBH176 TLD176 TUZ176 UEV176 UOR176 UYN176 VIJ176 VSF176 WCB176 WVT176 WLX176 WLX174 WVT174 WCB174 VSF174 VIJ174 UYN174 UOR174 UEV174 TUZ174 TLD174 TBH174 SRL174 SHP174 RXT174 RNX174 REB174 QUF174 QKJ174 QAN174 PQR174 PGV174 OWZ174 OND174 ODH174 NTL174 NJP174 MZT174 MPX174 MGB174 LWF174 LMJ174 LCN174 KSR174 KIV174 JYZ174 JPD174 JFH174 IVL174 ILP174 IBT174 HRX174 HIB174 GYF174 GOJ174 GEN174 FUR174 FKV174 FAZ174 ERD174 EHH174 DXL174 DNP174 DDT174 CTX174 CKB174 CAF174 BQJ174 BGN174 AWR174 AMV174 ACZ174 TD174 JH174 WCB162:WCB170 WVT162:WVT170 WLX162:WLX170 JH162:JH170 TD162:TD170 ACZ162:ACZ170 AMV162:AMV170 AWR162:AWR170 BGN162:BGN170 BQJ162:BQJ170 CAF162:CAF170 CKB162:CKB170 CTX162:CTX170 DDT162:DDT170 DNP162:DNP170 DXL162:DXL170 EHH162:EHH170 ERD162:ERD170 FAZ162:FAZ170 FKV162:FKV170 FUR162:FUR170 GEN162:GEN170 GOJ162:GOJ170 GYF162:GYF170 HIB162:HIB170 HRX162:HRX170 IBT162:IBT170 ILP162:ILP170 IVL162:IVL170 JFH162:JFH170 JPD162:JPD170 JYZ162:JYZ170 KIV162:KIV170 KSR162:KSR170 LCN162:LCN170 LMJ162:LMJ170 LWF162:LWF170 MGB162:MGB170 MPX162:MPX170 MZT162:MZT170 NJP162:NJP170 NTL162:NTL170 ODH162:ODH170 OND162:OND170 OWZ162:OWZ170 PGV162:PGV170 PQR162:PQR170 QAN162:QAN170 QKJ162:QKJ170 QUF162:QUF170 REB162:REB170 RNX162:RNX170 RXT162:RXT170 SHP162:SHP170 SRL162:SRL170 TBH162:TBH170 TLD162:TLD170 TUZ162:TUZ170 UEV162:UEV170 UOR162:UOR170 UYN162:UYN170 VIJ162:VIJ170 VSF162:VSF170 JH233 TD233 ACZ233 AMV233 AWR233 BGN233 BQJ233 CAF233 CKB233 CTX233 DDT233 DNP233 DXL233 EHH233 ERD233 FAZ233 FKV233 FUR233 GEN233 GOJ233 GYF233 HIB233 HRX233 IBT233 ILP233 IVL233 JFH233 JPD233 JYZ233 KIV233 KSR233 LCN233 LMJ233 LWF233 MGB233 MPX233 MZT233 NJP233 NTL233 ODH233 OND233 OWZ233 PGV233 PQR233 QAN233 QKJ233 QUF233 REB233 RNX233 RXT233 SHP233 SRL233 TBH233 TLD233 TUZ233 UEV233 UOR233 UYN233 VIJ233 VSF233 WCB233 WVT233 WLX233 WLX231 WVT231 WCB231 VSF231 VIJ231 UYN231 UOR231 UEV231 TUZ231 TLD231 TBH231 SRL231 SHP231 RXT231 RNX231 REB231 QUF231 QKJ231 QAN231 PQR231 PGV231 OWZ231 OND231 ODH231 NTL231 NJP231 MZT231 MPX231 MGB231 LWF231 LMJ231 LCN231 KSR231 KIV231 JYZ231 JPD231 JFH231 IVL231 ILP231 IBT231 HRX231 HIB231 GYF231 GOJ231 GEN231 FUR231 FKV231 FAZ231 ERD231 EHH231 DXL231 DNP231 DDT231 CTX231 CKB231 CAF231 BQJ231 BGN231 AWR231 AMV231 ACZ231 TD231 JH231 VSF82:VSF85 JH251 TD251 ACZ251 AMV251 AWR251 BGN251 BQJ251 CAF251 CKB251 CTX251 DDT251 DNP251 DXL251 EHH251 ERD251 FAZ251 FKV251 FUR251 GEN251 GOJ251 GYF251 HIB251 HRX251 IBT251 ILP251 IVL251 JFH251 JPD251 JYZ251 KIV251 KSR251 LCN251 LMJ251 LWF251 MGB251 MPX251 MZT251 NJP251 NTL251 ODH251 OND251 OWZ251 PGV251 PQR251 QAN251 QKJ251 QUF251 REB251 RNX251 RXT251 SHP251 SRL251 TBH251 TLD251 TUZ251 UEV251 UOR251 UYN251 VIJ251 VSF251 WCB251 WVT251 WLX251 WLX249 WVT249 WCB249 VSF249 VIJ249 UYN249 UOR249 UEV249 TUZ249 TLD249 TBH249 SRL249 SHP249 RXT249 RNX249 REB249 QUF249 QKJ249 QAN249 PQR249 PGV249 OWZ249 OND249 ODH249 NTL249 NJP249 MZT249 MPX249 MGB249 LWF249 LMJ249 LCN249 KSR249 KIV249 JYZ249 JPD249 JFH249 IVL249 ILP249 IBT249 HRX249 HIB249 GYF249 GOJ249 GEN249 FUR249 FKV249 FAZ249 ERD249 EHH249 DXL249 DNP249 DDT249 CTX249 CKB249 CAF249 BQJ249 BGN249 AWR249 AMV249 ACZ249 TD249 JH249 WCB224:WCB227 VSF224:VSF227 VIJ224:VIJ227 UYN224:UYN227 UOR224:UOR227 UEV224:UEV227 TUZ224:TUZ227 TLD224:TLD227 TBH224:TBH227 SRL224:SRL227 SHP224:SHP227 RXT224:RXT227 RNX224:RNX227 REB224:REB227 QUF224:QUF227 QKJ224:QKJ227 QAN224:QAN227 PQR224:PQR227 PGV224:PGV227 OWZ224:OWZ227 OND224:OND227 ODH224:ODH227 NTL224:NTL227 NJP224:NJP227 MZT224:MZT227 MPX224:MPX227 MGB224:MGB227 LWF224:LWF227 LMJ224:LMJ227 LCN224:LCN227 KSR224:KSR227 KIV224:KIV227 JYZ224:JYZ227 JPD224:JPD227 JFH224:JFH227 IVL224:IVL227 ILP224:ILP227 IBT224:IBT227 HRX224:HRX227 HIB224:HIB227 GYF224:GYF227 GOJ224:GOJ227 GEN224:GEN227 FUR224:FUR227 FKV224:FKV227 FAZ224:FAZ227 ERD224:ERD227 EHH224:EHH227 DXL224:DXL227 DNP224:DNP227 DDT224:DDT227 CTX224:CTX227 CKB224:CKB227 CAF224:CAF227 BQJ224:BQJ227 BGN224:BGN227 AWR224:AWR227 AMV224:AMV227 ACZ224:ACZ227 TD224:TD227 JH224:JH227 WLX224:WLX227 WVT224:WVT227 JH274 TD274 ACZ274 AMV274 AWR274 BGN274 BQJ274 CAF274 CKB274 CTX274 DDT274 DNP274 DXL274 EHH274 ERD274 FAZ274 FKV274 FUR274 GEN274 GOJ274 GYF274 HIB274 HRX274 IBT274 ILP274 IVL274 JFH274 JPD274 JYZ274 KIV274 KSR274 LCN274 LMJ274 LWF274 MGB274 MPX274 MZT274 NJP274 NTL274 ODH274 OND274 OWZ274 PGV274 PQR274 QAN274 QKJ274 QUF274 REB274 RNX274 RXT274 SHP274 SRL274 TBH274 TLD274 TUZ274 UEV274 UOR274 UYN274 VIJ274 VSF274 WCB274 WVT274 WLX274 WLX272 WVT272 WCB272 VSF272 VIJ272 UYN272 UOR272 UEV272 TUZ272 TLD272 TBH272 SRL272 SHP272 RXT272 RNX272 REB272 QUF272 QKJ272 QAN272 PQR272 PGV272 OWZ272 OND272 ODH272 NTL272 NJP272 MZT272 MPX272 MGB272 LWF272 LMJ272 LCN272 KSR272 KIV272 JYZ272 JPD272 JFH272 IVL272 ILP272 IBT272 HRX272 HIB272 GYF272 GOJ272 GEN272 FUR272 FKV272 FAZ272 ERD272 EHH272 DXL272 DNP272 DDT272 CTX272 CKB272 CAF272 BQJ272 BGN272 AWR272 AMV272 ACZ272 TD272 JH272 WCB239:WCB245 WVT239:WVT245 WLX239:WLX245 JH239:JH245 TD239:TD245 ACZ239:ACZ245 AMV239:AMV245 AWR239:AWR245 BGN239:BGN245 BQJ239:BQJ245 CAF239:CAF245 CKB239:CKB245 CTX239:CTX245 DDT239:DDT245 DNP239:DNP245 DXL239:DXL245 EHH239:EHH245 ERD239:ERD245 FAZ239:FAZ245 FKV239:FKV245 FUR239:FUR245 GEN239:GEN245 GOJ239:GOJ245 GYF239:GYF245 HIB239:HIB245 HRX239:HRX245 IBT239:IBT245 ILP239:ILP245 IVL239:IVL245 JFH239:JFH245 JPD239:JPD245 JYZ239:JYZ245 KIV239:KIV245 KSR239:KSR245 LCN239:LCN245 LMJ239:LMJ245 LWF239:LWF245 MGB239:MGB245 MPX239:MPX245 MZT239:MZT245 NJP239:NJP245 NTL239:NTL245 ODH239:ODH245 OND239:OND245 OWZ239:OWZ245 PGV239:PGV245 PQR239:PQR245 QAN239:QAN245 QKJ239:QKJ245 QUF239:QUF245 REB239:REB245 RNX239:RNX245 RXT239:RXT245 SHP239:SHP245 SRL239:SRL245 TBH239:TBH245 TLD239:TLD245 TUZ239:TUZ245 UEV239:UEV245 UOR239:UOR245 UYN239:UYN245 VIJ239:VIJ245 VSF239:VSF245 VSF262:VSF268 VIJ262:VIJ268 UYN262:UYN268 UOR262:UOR268 UEV262:UEV268 TUZ262:TUZ268 TLD262:TLD268 TBH262:TBH268 SRL262:SRL268 SHP262:SHP268 RXT262:RXT268 RNX262:RNX268 REB262:REB268 QUF262:QUF268 QKJ262:QKJ268 QAN262:QAN268 PQR262:PQR268 PGV262:PGV268 OWZ262:OWZ268 OND262:OND268 ODH262:ODH268 NTL262:NTL268 NJP262:NJP268 MZT262:MZT268 MPX262:MPX268 MGB262:MGB268 LWF262:LWF268 LMJ262:LMJ268 LCN262:LCN268 KSR262:KSR268 KIV262:KIV268 JYZ262:JYZ268 JPD262:JPD268 JFH262:JFH268 IVL262:IVL268 ILP262:ILP268 IBT262:IBT268 HRX262:HRX268 HIB262:HIB268 GYF262:GYF268 GOJ262:GOJ268 GEN262:GEN268 FUR262:FUR268 FKV262:FKV268 FAZ262:FAZ268 ERD262:ERD268 EHH262:EHH268 DXL262:DXL268 DNP262:DNP268 DDT262:DDT268 CTX262:CTX268 CKB262:CKB268 CAF262:CAF268 BQJ262:BQJ268 BGN262:BGN268 AWR262:AWR268 AMV262:AMV268 ACZ262:ACZ268 TD262:TD268 JH262:JH268 WLX262:WLX268 WVT262:WVT268 WCB262:WCB268 JH189:JH190 TD189:TD190 ACZ189:ACZ190 AMV189:AMV190 AWR189:AWR190 BGN189:BGN190 BQJ189:BQJ190 CAF189:CAF190 CKB189:CKB190 CTX189:CTX190 DDT189:DDT190 DNP189:DNP190 DXL189:DXL190 EHH189:EHH190 ERD189:ERD190 FAZ189:FAZ190 FKV189:FKV190 FUR189:FUR190 GEN189:GEN190 GOJ189:GOJ190 GYF189:GYF190 HIB189:HIB190 HRX189:HRX190 IBT189:IBT190 ILP189:ILP190 IVL189:IVL190 JFH189:JFH190 JPD189:JPD190 JYZ189:JYZ190 KIV189:KIV190 KSR189:KSR190 LCN189:LCN190 LMJ189:LMJ190 LWF189:LWF190 MGB189:MGB190 MPX189:MPX190 MZT189:MZT190 NJP189:NJP190 NTL189:NTL190 ODH189:ODH190 OND189:OND190 OWZ189:OWZ190 PGV189:PGV190 PQR189:PQR190 QAN189:QAN190 QKJ189:QKJ190 QUF189:QUF190 REB189:REB190 RNX189:RNX190 RXT189:RXT190 SHP189:SHP190 SRL189:SRL190 TBH189:TBH190 TLD189:TLD190 TUZ189:TUZ190 UEV189:UEV190 UOR189:UOR190 UYN189:UYN190 VIJ189:VIJ190 VSF189:VSF190 WCB189:WCB190 WVT189:WVT190 WLX189:WLX190 JH192 TD192 ACZ192 AMV192 AWR192 BGN192 BQJ192 CAF192 CKB192 CTX192 DDT192 DNP192 DXL192 EHH192 ERD192 FAZ192 FKV192 FUR192 GEN192 GOJ192 GYF192 HIB192 HRX192 IBT192 ILP192 IVL192 JFH192 JPD192 JYZ192 KIV192 KSR192 LCN192 LMJ192 LWF192 MGB192 MPX192 MZT192 NJP192 NTL192 ODH192 OND192 OWZ192 PGV192 PQR192 QAN192 QKJ192 QUF192 REB192 RNX192 RXT192 SHP192 SRL192 TBH192 TLD192 TUZ192 UEV192 UOR192 UYN192 VIJ192 VSF192 WCB192 WVT192 WCB82:WCB85 WVT82:WVT85 WLX82:WLX85 JH82:JH85 TD82:TD85 ACZ82:ACZ85 AMV82:AMV85 AWR82:AWR85 BGN82:BGN85 BQJ82:BQJ85 CAF82:CAF85 CKB82:CKB85 CTX82:CTX85 DDT82:DDT85 DNP82:DNP85 DXL82:DXL85 EHH82:EHH85 ERD82:ERD85 FAZ82:FAZ85 FKV82:FKV85 FUR82:FUR85 GEN82:GEN85 GOJ82:GOJ85 GYF82:GYF85 HIB82:HIB85 HRX82:HRX85 IBT82:IBT85 ILP82:ILP85 IVL82:IVL85 JFH82:JFH85 JPD82:JPD85 JYZ82:JYZ85 KIV82:KIV85 KSR82:KSR85 LCN82:LCN85 LMJ82:LMJ85 LWF82:LWF85 MGB82:MGB85 MPX82:MPX85 MZT82:MZT85 NJP82:NJP85 NTL82:NTL85 ODH82:ODH85 OND82:OND85 OWZ82:OWZ85 PGV82:PGV85 PQR82:PQR85 QAN82:QAN85 QKJ82:QKJ85 QUF82:QUF85 REB82:REB85 RNX82:RNX85 RXT82:RXT85 SHP82:SHP85 SRL82:SRL85 TBH82:TBH85 TLD82:TLD85 TUZ82:TUZ85 UEV82:UEV85 UOR82:UOR85 UYN82:UYN85 VIJ82:VIJ85 WCB198:WCB201 WVT198:WVT201 WLX198:WLX201 JH198:JH201 TD198:TD201 ACZ198:ACZ201 AMV198:AMV201 AWR198:AWR201 BGN198:BGN201 BQJ198:BQJ201 CAF198:CAF201 CKB198:CKB201 CTX198:CTX201 DDT198:DDT201 DNP198:DNP201 DXL198:DXL201 EHH198:EHH201 ERD198:ERD201 FAZ198:FAZ201 FKV198:FKV201 FUR198:FUR201 GEN198:GEN201 GOJ198:GOJ201 GYF198:GYF201 HIB198:HIB201 HRX198:HRX201 IBT198:IBT201 ILP198:ILP201 IVL198:IVL201 JFH198:JFH201 JPD198:JPD201 JYZ198:JYZ201 KIV198:KIV201 KSR198:KSR201 LCN198:LCN201 LMJ198:LMJ201 LWF198:LWF201 MGB198:MGB201 MPX198:MPX201 MZT198:MZT201 NJP198:NJP201 NTL198:NTL201 ODH198:ODH201 OND198:OND201 OWZ198:OWZ201 PGV198:PGV201 PQR198:PQR201 QAN198:QAN201 QKJ198:QKJ201 QUF198:QUF201 REB198:REB201 RNX198:RNX201 RXT198:RXT201 SHP198:SHP201 SRL198:SRL201 TBH198:TBH201 TLD198:TLD201 TUZ198:TUZ201 UEV198:UEV201 UOR198:UOR201 UYN198:UYN201 VIJ198:VIJ201 VSF198:VSF201 JH211:JH212 TD211:TD212 ACZ211:ACZ212 AMV211:AMV212 AWR211:AWR212 BGN211:BGN212 BQJ211:BQJ212 CAF211:CAF212 CKB211:CKB212 CTX211:CTX212 DDT211:DDT212 DNP211:DNP212 DXL211:DXL212 EHH211:EHH212 ERD211:ERD212 FAZ211:FAZ212 FKV211:FKV212 FUR211:FUR212 GEN211:GEN212 GOJ211:GOJ212 GYF211:GYF212 HIB211:HIB212 HRX211:HRX212 IBT211:IBT212 ILP211:ILP212 IVL211:IVL212 JFH211:JFH212 JPD211:JPD212 JYZ211:JYZ212 KIV211:KIV212 KSR211:KSR212 LCN211:LCN212 LMJ211:LMJ212 LWF211:LWF212 MGB211:MGB212 MPX211:MPX212 MZT211:MZT212 NJP211:NJP212 NTL211:NTL212 ODH211:ODH212 OND211:OND212 OWZ211:OWZ212 PGV211:PGV212 PQR211:PQR212 QAN211:QAN212 QKJ211:QKJ212 QUF211:QUF212 REB211:REB212 RNX211:RNX212 RXT211:RXT212 SHP211:SHP212 SRL211:SRL212 TBH211:TBH212 TLD211:TLD212 TUZ211:TUZ212 UEV211:UEV212 UOR211:UOR212 UYN211:UYN212 VIJ211:VIJ212 VSF211:VSF212 WCB211:WCB212 WVT211:WVT212 WLX211:WLX212 JH214 TD214 ACZ214 AMV214 AWR214 BGN214 BQJ214 CAF214 CKB214 CTX214 DDT214 DNP214 DXL214 EHH214 ERD214 FAZ214 FKV214 FUR214 GEN214 GOJ214 GYF214 HIB214 HRX214 IBT214 ILP214 IVL214 JFH214 JPD214 JYZ214 KIV214 KSR214 LCN214 LMJ214 LWF214 MGB214 MPX214 MZT214 NJP214 NTL214 ODH214 OND214 OWZ214 PGV214 PQR214 QAN214 QKJ214 QUF214 REB214 RNX214 RXT214 SHP214 SRL214 TBH214 TLD214 TUZ214 UEV214 UOR214 UYN214 VIJ214 VSF214 WCB214 WVT214 WLX214 WVT12:WVT18 WCB12:WCB18 VSF12:VSF18 VIJ12:VIJ18 UYN12:UYN18 UOR12:UOR18 UEV12:UEV18 TUZ12:TUZ18 TLD12:TLD18 TBH12:TBH18 SRL12:SRL18 SHP12:SHP18 RXT12:RXT18 RNX12:RNX18 REB12:REB18 QUF12:QUF18 QKJ12:QKJ18 QAN12:QAN18 PQR12:PQR18 PGV12:PGV18 OWZ12:OWZ18 OND12:OND18 ODH12:ODH18 NTL12:NTL18 NJP12:NJP18 MZT12:MZT18 MPX12:MPX18 MGB12:MGB18 LWF12:LWF18 LMJ12:LMJ18 LCN12:LCN18 KSR12:KSR18 KIV12:KIV18 JYZ12:JYZ18 JPD12:JPD18 JFH12:JFH18 IVL12:IVL18 ILP12:ILP18 IBT12:IBT18 HRX12:HRX18 HIB12:HIB18 GYF12:GYF18 GOJ12:GOJ18 GEN12:GEN18 FUR12:FUR18 FKV12:FKV18 FAZ12:FAZ18 ERD12:ERD18 EHH12:EHH18 DXL12:DXL18 DNP12:DNP18 DDT12:DDT18 CTX12:CTX18 CKB12:CKB18 CAF12:CAF18 BQJ12:BQJ18 BGN12:BGN18 AWR12:AWR18 AMV12:AMV18 ACZ12:ACZ18 TD12:TD18 JH12:JH18 WLX12:WLX18 WVT21:WVT27 WCB21:WCB27 VSF21:VSF27 VIJ21:VIJ27 UYN21:UYN27 UOR21:UOR27 UEV21:UEV27 TUZ21:TUZ27 TLD21:TLD27 TBH21:TBH27 SRL21:SRL27 SHP21:SHP27 RXT21:RXT27 RNX21:RNX27 REB21:REB27 QUF21:QUF27 QKJ21:QKJ27 QAN21:QAN27 PQR21:PQR27 PGV21:PGV27 OWZ21:OWZ27 OND21:OND27 ODH21:ODH27 NTL21:NTL27 NJP21:NJP27 MZT21:MZT27 MPX21:MPX27 MGB21:MGB27 LWF21:LWF27 LMJ21:LMJ27 LCN21:LCN27 KSR21:KSR27 KIV21:KIV27 JYZ21:JYZ27 JPD21:JPD27 JFH21:JFH27 IVL21:IVL27 ILP21:ILP27 IBT21:IBT27 HRX21:HRX27 HIB21:HIB27 GYF21:GYF27 GOJ21:GOJ27 GEN21:GEN27 FUR21:FUR27 FKV21:FKV27 FAZ21:FAZ27 ERD21:ERD27 EHH21:EHH27 DXL21:DXL27 DNP21:DNP27 DDT21:DDT27 CTX21:CTX27 CKB21:CKB27 CAF21:CAF27 BQJ21:BQJ27 BGN21:BGN27 AWR21:AWR27 AMV21:AMV27 ACZ21:ACZ27 TD21:TD27 JH21:JH27 WLX21:WLX27 WVT30:WVT35 WCB30:WCB35 VSF30:VSF35 VIJ30:VIJ35 UYN30:UYN35 UOR30:UOR35 UEV30:UEV35 TUZ30:TUZ35 TLD30:TLD35 TBH30:TBH35 SRL30:SRL35 SHP30:SHP35 RXT30:RXT35 RNX30:RNX35 REB30:REB35 QUF30:QUF35 QKJ30:QKJ35 QAN30:QAN35 PQR30:PQR35 PGV30:PGV35 OWZ30:OWZ35 OND30:OND35 ODH30:ODH35 NTL30:NTL35 NJP30:NJP35 MZT30:MZT35 MPX30:MPX35 MGB30:MGB35 LWF30:LWF35 LMJ30:LMJ35 LCN30:LCN35 KSR30:KSR35 KIV30:KIV35 JYZ30:JYZ35 JPD30:JPD35 JFH30:JFH35 IVL30:IVL35 ILP30:ILP35 IBT30:IBT35 HRX30:HRX35 HIB30:HIB35 GYF30:GYF35 GOJ30:GOJ35 GEN30:GEN35 FUR30:FUR35 FKV30:FKV35 FAZ30:FAZ35 ERD30:ERD35 EHH30:EHH35 DXL30:DXL35 DNP30:DNP35 DDT30:DDT35 CTX30:CTX35 CKB30:CKB35 CAF30:CAF35 BQJ30:BQJ35 BGN30:BGN35 AWR30:AWR35 AMV30:AMV35 ACZ30:ACZ35 TD30:TD35 JH30:JH35 WLX30:WLX35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FJ949"/>
  <sheetViews>
    <sheetView zoomScale="85" zoomScaleNormal="85" workbookViewId="0">
      <pane ySplit="3" topLeftCell="A13" activePane="bottomLeft" state="frozen"/>
      <selection pane="bottomLeft" activeCell="H35" sqref="H35"/>
    </sheetView>
  </sheetViews>
  <sheetFormatPr baseColWidth="10" defaultColWidth="11.42578125" defaultRowHeight="12.75"/>
  <cols>
    <col min="1" max="1" width="9.5703125" style="124" bestFit="1" customWidth="1"/>
    <col min="2" max="2" width="10.140625" style="168" bestFit="1" customWidth="1"/>
    <col min="3" max="3" width="10.7109375" style="144" bestFit="1" customWidth="1"/>
    <col min="4" max="4" width="4.85546875" style="195" customWidth="1"/>
    <col min="5" max="5" width="10.140625" style="20" bestFit="1" customWidth="1"/>
    <col min="6" max="6" width="10.7109375" style="144" bestFit="1" customWidth="1"/>
    <col min="7" max="7" width="5.85546875" style="195" customWidth="1"/>
    <col min="8" max="8" width="11.28515625" style="20" bestFit="1" customWidth="1"/>
    <col min="9" max="9" width="10.7109375" style="144" bestFit="1" customWidth="1"/>
    <col min="10" max="10" width="8.5703125" style="195" customWidth="1"/>
    <col min="11" max="11" width="9.5703125" style="195" bestFit="1" customWidth="1"/>
    <col min="12" max="12" width="10.140625" style="195" bestFit="1" customWidth="1"/>
    <col min="13" max="13" width="10.7109375" style="195" bestFit="1" customWidth="1"/>
    <col min="14" max="14" width="2.28515625" style="195" customWidth="1"/>
    <col min="15" max="15" width="8.28515625" style="195" customWidth="1"/>
    <col min="16" max="16" width="7.85546875" style="195" customWidth="1"/>
    <col min="17" max="17" width="2.5703125" style="195" customWidth="1"/>
    <col min="18" max="18" width="7.7109375" style="195" customWidth="1"/>
    <col min="19" max="19" width="8.42578125" style="195" customWidth="1"/>
    <col min="20" max="20" width="7.42578125" style="195" customWidth="1"/>
    <col min="21" max="21" width="9.5703125" style="195" bestFit="1" customWidth="1"/>
    <col min="22" max="22" width="10.140625" style="195" bestFit="1" customWidth="1"/>
    <col min="23" max="23" width="10.7109375" style="195" bestFit="1" customWidth="1"/>
    <col min="24" max="24" width="10.140625" style="195" bestFit="1" customWidth="1"/>
    <col min="25" max="25" width="10.7109375" style="195" bestFit="1" customWidth="1"/>
    <col min="26" max="26" width="4.7109375" style="195" customWidth="1"/>
    <col min="27" max="27" width="11.28515625" style="195" bestFit="1" customWidth="1"/>
    <col min="28" max="28" width="10.7109375" style="195" bestFit="1" customWidth="1"/>
    <col min="29" max="29" width="4.7109375" style="195" customWidth="1"/>
    <col min="30" max="30" width="10.140625" style="195" bestFit="1" customWidth="1"/>
    <col min="31" max="31" width="10.7109375" style="195" bestFit="1" customWidth="1"/>
    <col min="32" max="32" width="7.42578125" style="195" customWidth="1"/>
    <col min="33" max="33" width="9.5703125" style="195" bestFit="1" customWidth="1"/>
    <col min="34" max="34" width="10.140625" style="195" bestFit="1" customWidth="1"/>
    <col min="35" max="35" width="10.7109375" style="195" bestFit="1" customWidth="1"/>
    <col min="36" max="36" width="10.140625" style="195" bestFit="1" customWidth="1"/>
    <col min="37" max="37" width="10.7109375" style="195" bestFit="1" customWidth="1"/>
    <col min="38" max="38" width="4.7109375" style="195" customWidth="1"/>
    <col min="39" max="39" width="11.28515625" style="195" bestFit="1" customWidth="1"/>
    <col min="40" max="40" width="10.7109375" style="195" customWidth="1"/>
    <col min="41" max="41" width="4.7109375" style="195" customWidth="1"/>
    <col min="42" max="42" width="10.140625" style="195" bestFit="1" customWidth="1"/>
    <col min="43" max="43" width="10.7109375" style="195" bestFit="1" customWidth="1"/>
    <col min="44" max="44" width="11.42578125" style="195"/>
    <col min="45" max="45" width="9.5703125" style="195" bestFit="1" customWidth="1"/>
    <col min="46" max="46" width="9.28515625" style="195" customWidth="1"/>
    <col min="47" max="47" width="10.140625" style="195" customWidth="1"/>
    <col min="48" max="48" width="10.140625" style="195" bestFit="1" customWidth="1"/>
    <col min="49" max="49" width="10.7109375" style="195" bestFit="1" customWidth="1"/>
    <col min="50" max="50" width="4.7109375" style="195" customWidth="1"/>
    <col min="51" max="51" width="11.28515625" style="195" bestFit="1" customWidth="1"/>
    <col min="52" max="52" width="10.7109375" style="195" bestFit="1" customWidth="1"/>
    <col min="53" max="53" width="4.7109375" style="195" customWidth="1"/>
    <col min="54" max="54" width="10.140625" style="195" bestFit="1" customWidth="1"/>
    <col min="55" max="55" width="10.7109375" style="195" bestFit="1" customWidth="1"/>
    <col min="56" max="166" width="11.42578125" style="195"/>
    <col min="167" max="16384" width="11.42578125" style="20"/>
  </cols>
  <sheetData>
    <row r="1" spans="1:166" s="171" customFormat="1" ht="14.25" customHeight="1">
      <c r="A1" s="2684"/>
      <c r="B1" s="2676" t="s">
        <v>2807</v>
      </c>
      <c r="C1" s="2677"/>
      <c r="D1" s="2677"/>
      <c r="E1" s="2677"/>
      <c r="F1" s="2677"/>
      <c r="G1" s="2677"/>
      <c r="H1" s="2677"/>
      <c r="I1" s="2678"/>
      <c r="J1" s="126"/>
      <c r="K1" s="2684"/>
      <c r="L1" s="2676" t="s">
        <v>2808</v>
      </c>
      <c r="M1" s="2677"/>
      <c r="N1" s="2677"/>
      <c r="O1" s="2677"/>
      <c r="P1" s="2677"/>
      <c r="Q1" s="2677"/>
      <c r="R1" s="2677"/>
      <c r="S1" s="2678"/>
      <c r="T1" s="126"/>
      <c r="U1" s="2684"/>
      <c r="V1" s="2676" t="s">
        <v>2490</v>
      </c>
      <c r="W1" s="2677"/>
      <c r="X1" s="2677"/>
      <c r="Y1" s="2677"/>
      <c r="Z1" s="2677"/>
      <c r="AA1" s="2677"/>
      <c r="AB1" s="2677"/>
      <c r="AC1" s="2677"/>
      <c r="AD1" s="2677"/>
      <c r="AE1" s="2678"/>
      <c r="AF1" s="126"/>
      <c r="AG1" s="659"/>
      <c r="AH1" s="2674" t="s">
        <v>1821</v>
      </c>
      <c r="AI1" s="2675"/>
      <c r="AJ1" s="2675"/>
      <c r="AK1" s="2675"/>
      <c r="AL1" s="2675"/>
      <c r="AM1" s="2675"/>
      <c r="AN1" s="2675"/>
      <c r="AO1" s="2675"/>
      <c r="AP1" s="2675"/>
      <c r="AQ1" s="2675"/>
      <c r="AR1" s="126"/>
      <c r="AS1" s="2684"/>
      <c r="AT1" s="2676" t="s">
        <v>2806</v>
      </c>
      <c r="AU1" s="2677"/>
      <c r="AV1" s="2677"/>
      <c r="AW1" s="2677"/>
      <c r="AX1" s="2677"/>
      <c r="AY1" s="2677"/>
      <c r="AZ1" s="2677"/>
      <c r="BA1" s="2677"/>
      <c r="BB1" s="2677"/>
      <c r="BC1" s="2678"/>
      <c r="BD1" s="126"/>
      <c r="BE1" s="126"/>
      <c r="BF1" s="126"/>
      <c r="BG1" s="126"/>
      <c r="BH1" s="126"/>
      <c r="BI1" s="126"/>
      <c r="BJ1" s="126"/>
      <c r="BK1" s="126"/>
      <c r="BL1" s="126"/>
      <c r="BM1" s="126"/>
      <c r="BN1" s="126"/>
      <c r="BO1" s="126"/>
      <c r="BP1" s="126"/>
      <c r="BQ1" s="126"/>
      <c r="BR1" s="126"/>
      <c r="BS1" s="126"/>
      <c r="BT1" s="126"/>
      <c r="BU1" s="126"/>
      <c r="BV1" s="126"/>
      <c r="BW1" s="126"/>
      <c r="BX1" s="126"/>
      <c r="BY1" s="126"/>
      <c r="BZ1" s="126"/>
      <c r="CA1" s="126"/>
      <c r="CB1" s="126"/>
      <c r="CC1" s="126"/>
      <c r="CD1" s="126"/>
      <c r="CE1" s="126"/>
      <c r="CF1" s="126"/>
      <c r="CG1" s="126"/>
      <c r="CH1" s="126"/>
      <c r="CI1" s="126"/>
      <c r="CJ1" s="126"/>
      <c r="CK1" s="126"/>
      <c r="CL1" s="126"/>
      <c r="CM1" s="126"/>
      <c r="CN1" s="126"/>
      <c r="CO1" s="126"/>
      <c r="CP1" s="126"/>
      <c r="CQ1" s="126"/>
      <c r="CR1" s="126"/>
      <c r="CS1" s="126"/>
      <c r="CT1" s="126"/>
      <c r="CU1" s="126"/>
      <c r="CV1" s="126"/>
      <c r="CW1" s="126"/>
      <c r="CX1" s="126"/>
      <c r="CY1" s="126"/>
      <c r="CZ1" s="126"/>
      <c r="DA1" s="126"/>
      <c r="DB1" s="126"/>
      <c r="DC1" s="126"/>
      <c r="DD1" s="126"/>
      <c r="DE1" s="126"/>
      <c r="DF1" s="126"/>
      <c r="DG1" s="126"/>
      <c r="DH1" s="126"/>
      <c r="DI1" s="126"/>
      <c r="DJ1" s="126"/>
      <c r="DK1" s="126"/>
      <c r="DL1" s="126"/>
      <c r="DM1" s="126"/>
      <c r="DN1" s="126"/>
      <c r="DO1" s="126"/>
      <c r="DP1" s="126"/>
      <c r="DQ1" s="126"/>
      <c r="DR1" s="126"/>
      <c r="DS1" s="126"/>
      <c r="DT1" s="126"/>
      <c r="DU1" s="126"/>
      <c r="DV1" s="126"/>
      <c r="DW1" s="126"/>
      <c r="DX1" s="126"/>
      <c r="DY1" s="126"/>
      <c r="DZ1" s="126"/>
      <c r="EA1" s="126"/>
      <c r="EB1" s="126"/>
      <c r="EC1" s="126"/>
      <c r="ED1" s="126"/>
      <c r="EE1" s="126"/>
      <c r="EF1" s="126"/>
      <c r="EG1" s="126"/>
      <c r="EH1" s="126"/>
      <c r="EI1" s="126"/>
      <c r="EJ1" s="126"/>
      <c r="EK1" s="126"/>
      <c r="EL1" s="126"/>
      <c r="EM1" s="126"/>
      <c r="EN1" s="126"/>
      <c r="EO1" s="126"/>
      <c r="EP1" s="126"/>
      <c r="EQ1" s="126"/>
      <c r="ER1" s="126"/>
      <c r="ES1" s="126"/>
      <c r="ET1" s="126"/>
      <c r="EU1" s="126"/>
      <c r="EV1" s="126"/>
      <c r="EW1" s="126"/>
      <c r="EX1" s="126"/>
      <c r="EY1" s="126"/>
      <c r="EZ1" s="126"/>
      <c r="FA1" s="126"/>
      <c r="FB1" s="126"/>
      <c r="FC1" s="126"/>
      <c r="FD1" s="126"/>
      <c r="FE1" s="126"/>
      <c r="FF1" s="126"/>
      <c r="FG1" s="126"/>
      <c r="FH1" s="126"/>
      <c r="FI1" s="126"/>
      <c r="FJ1" s="126"/>
    </row>
    <row r="2" spans="1:166" s="171" customFormat="1" ht="16.5" customHeight="1" thickBot="1">
      <c r="A2" s="2685"/>
      <c r="B2" s="2679"/>
      <c r="C2" s="2680"/>
      <c r="D2" s="2680"/>
      <c r="E2" s="2680"/>
      <c r="F2" s="2680"/>
      <c r="G2" s="2680"/>
      <c r="H2" s="2680"/>
      <c r="I2" s="2681"/>
      <c r="J2" s="126"/>
      <c r="K2" s="2685"/>
      <c r="L2" s="2679"/>
      <c r="M2" s="2680"/>
      <c r="N2" s="2680"/>
      <c r="O2" s="2680"/>
      <c r="P2" s="2680"/>
      <c r="Q2" s="2680"/>
      <c r="R2" s="2680"/>
      <c r="S2" s="2681"/>
      <c r="T2" s="126"/>
      <c r="U2" s="2685"/>
      <c r="V2" s="2679"/>
      <c r="W2" s="2680"/>
      <c r="X2" s="2680"/>
      <c r="Y2" s="2680"/>
      <c r="Z2" s="2680"/>
      <c r="AA2" s="2680"/>
      <c r="AB2" s="2680"/>
      <c r="AC2" s="2680"/>
      <c r="AD2" s="2680"/>
      <c r="AE2" s="2681"/>
      <c r="AF2" s="126"/>
      <c r="AG2" s="660"/>
      <c r="AH2" s="2674"/>
      <c r="AI2" s="2675"/>
      <c r="AJ2" s="2675"/>
      <c r="AK2" s="2675"/>
      <c r="AL2" s="2675"/>
      <c r="AM2" s="2675"/>
      <c r="AN2" s="2675"/>
      <c r="AO2" s="2675"/>
      <c r="AP2" s="2675"/>
      <c r="AQ2" s="2675"/>
      <c r="AR2" s="126"/>
      <c r="AS2" s="2685"/>
      <c r="AT2" s="2679"/>
      <c r="AU2" s="2680"/>
      <c r="AV2" s="2680"/>
      <c r="AW2" s="2680"/>
      <c r="AX2" s="2680"/>
      <c r="AY2" s="2680"/>
      <c r="AZ2" s="2680"/>
      <c r="BA2" s="2680"/>
      <c r="BB2" s="2680"/>
      <c r="BC2" s="2681"/>
      <c r="BD2" s="126"/>
      <c r="BE2" s="126"/>
      <c r="BF2" s="126"/>
      <c r="BG2" s="126"/>
      <c r="BH2" s="126"/>
      <c r="BI2" s="126"/>
      <c r="BJ2" s="126"/>
      <c r="BK2" s="126"/>
      <c r="BL2" s="126"/>
      <c r="BM2" s="126"/>
      <c r="BN2" s="126"/>
      <c r="BO2" s="126"/>
      <c r="BP2" s="126"/>
      <c r="BQ2" s="126"/>
      <c r="BR2" s="126"/>
      <c r="BS2" s="126"/>
      <c r="BT2" s="126"/>
      <c r="BU2" s="126"/>
      <c r="BV2" s="126"/>
      <c r="BW2" s="126"/>
      <c r="BX2" s="126"/>
      <c r="BY2" s="126"/>
      <c r="BZ2" s="126"/>
      <c r="CA2" s="126"/>
      <c r="CB2" s="126"/>
      <c r="CC2" s="126"/>
      <c r="CD2" s="126"/>
      <c r="CE2" s="126"/>
      <c r="CF2" s="126"/>
      <c r="CG2" s="126"/>
      <c r="CH2" s="126"/>
      <c r="CI2" s="126"/>
      <c r="CJ2" s="126"/>
      <c r="CK2" s="126"/>
      <c r="CL2" s="126"/>
      <c r="CM2" s="126"/>
      <c r="CN2" s="126"/>
      <c r="CO2" s="126"/>
      <c r="CP2" s="126"/>
      <c r="CQ2" s="126"/>
      <c r="CR2" s="126"/>
      <c r="CS2" s="126"/>
      <c r="CT2" s="126"/>
      <c r="CU2" s="126"/>
      <c r="CV2" s="126"/>
      <c r="CW2" s="126"/>
      <c r="CX2" s="126"/>
      <c r="CY2" s="126"/>
      <c r="CZ2" s="126"/>
      <c r="DA2" s="126"/>
      <c r="DB2" s="126"/>
      <c r="DC2" s="126"/>
      <c r="DD2" s="126"/>
      <c r="DE2" s="126"/>
      <c r="DF2" s="126"/>
      <c r="DG2" s="126"/>
      <c r="DH2" s="126"/>
      <c r="DI2" s="126"/>
      <c r="DJ2" s="126"/>
      <c r="DK2" s="126"/>
      <c r="DL2" s="126"/>
      <c r="DM2" s="126"/>
      <c r="DN2" s="126"/>
      <c r="DO2" s="126"/>
      <c r="DP2" s="126"/>
      <c r="DQ2" s="126"/>
      <c r="DR2" s="126"/>
      <c r="DS2" s="126"/>
      <c r="DT2" s="126"/>
      <c r="DU2" s="126"/>
      <c r="DV2" s="126"/>
      <c r="DW2" s="126"/>
      <c r="DX2" s="126"/>
      <c r="DY2" s="126"/>
      <c r="DZ2" s="126"/>
      <c r="EA2" s="126"/>
      <c r="EB2" s="126"/>
      <c r="EC2" s="126"/>
      <c r="ED2" s="126"/>
      <c r="EE2" s="126"/>
      <c r="EF2" s="126"/>
      <c r="EG2" s="126"/>
      <c r="EH2" s="126"/>
      <c r="EI2" s="126"/>
      <c r="EJ2" s="126"/>
      <c r="EK2" s="126"/>
      <c r="EL2" s="126"/>
      <c r="EM2" s="126"/>
      <c r="EN2" s="126"/>
      <c r="EO2" s="126"/>
      <c r="EP2" s="126"/>
      <c r="EQ2" s="126"/>
      <c r="ER2" s="126"/>
      <c r="ES2" s="126"/>
      <c r="ET2" s="126"/>
      <c r="EU2" s="126"/>
      <c r="EV2" s="126"/>
      <c r="EW2" s="126"/>
      <c r="EX2" s="126"/>
      <c r="EY2" s="126"/>
      <c r="EZ2" s="126"/>
      <c r="FA2" s="126"/>
      <c r="FB2" s="126"/>
      <c r="FC2" s="126"/>
      <c r="FD2" s="126"/>
      <c r="FE2" s="126"/>
      <c r="FF2" s="126"/>
      <c r="FG2" s="126"/>
      <c r="FH2" s="126"/>
      <c r="FI2" s="126"/>
      <c r="FJ2" s="126"/>
    </row>
    <row r="3" spans="1:166" s="171" customFormat="1" ht="38.25" customHeight="1" thickBot="1">
      <c r="A3" s="172" t="s">
        <v>727</v>
      </c>
      <c r="B3" s="2672" t="s">
        <v>716</v>
      </c>
      <c r="C3" s="2673"/>
      <c r="D3" s="173"/>
      <c r="E3" s="2672" t="s">
        <v>717</v>
      </c>
      <c r="F3" s="2673"/>
      <c r="G3" s="173"/>
      <c r="H3" s="2672" t="s">
        <v>718</v>
      </c>
      <c r="I3" s="2673"/>
      <c r="J3" s="126"/>
      <c r="K3" s="172" t="s">
        <v>727</v>
      </c>
      <c r="L3" s="2672" t="s">
        <v>716</v>
      </c>
      <c r="M3" s="2673"/>
      <c r="N3" s="174"/>
      <c r="O3" s="2686"/>
      <c r="P3" s="2687"/>
      <c r="Q3" s="174"/>
      <c r="R3" s="2686"/>
      <c r="S3" s="2687"/>
      <c r="T3" s="126"/>
      <c r="U3" s="172" t="s">
        <v>727</v>
      </c>
      <c r="V3" s="2682" t="s">
        <v>716</v>
      </c>
      <c r="W3" s="2683"/>
      <c r="X3" s="2682" t="s">
        <v>717</v>
      </c>
      <c r="Y3" s="2683"/>
      <c r="Z3" s="173"/>
      <c r="AA3" s="2682" t="s">
        <v>718</v>
      </c>
      <c r="AB3" s="2683"/>
      <c r="AC3" s="173"/>
      <c r="AD3" s="2682" t="s">
        <v>1819</v>
      </c>
      <c r="AE3" s="2683"/>
      <c r="AF3" s="126"/>
      <c r="AG3" s="172" t="s">
        <v>727</v>
      </c>
      <c r="AH3" s="2672" t="s">
        <v>716</v>
      </c>
      <c r="AI3" s="2673"/>
      <c r="AJ3" s="2672" t="s">
        <v>717</v>
      </c>
      <c r="AK3" s="2673"/>
      <c r="AL3" s="656"/>
      <c r="AM3" s="2672" t="s">
        <v>718</v>
      </c>
      <c r="AN3" s="2673"/>
      <c r="AO3" s="656"/>
      <c r="AP3" s="2672" t="s">
        <v>1819</v>
      </c>
      <c r="AQ3" s="2673"/>
      <c r="AR3" s="126"/>
      <c r="AS3" s="172" t="s">
        <v>727</v>
      </c>
      <c r="AT3" s="2672" t="s">
        <v>716</v>
      </c>
      <c r="AU3" s="2673"/>
      <c r="AV3" s="2682" t="s">
        <v>717</v>
      </c>
      <c r="AW3" s="2683"/>
      <c r="AX3" s="173"/>
      <c r="AY3" s="2682" t="s">
        <v>718</v>
      </c>
      <c r="AZ3" s="2683"/>
      <c r="BA3" s="173"/>
      <c r="BB3" s="2682" t="s">
        <v>1819</v>
      </c>
      <c r="BC3" s="2683"/>
      <c r="BD3" s="126"/>
      <c r="BE3" s="126"/>
      <c r="BF3" s="126"/>
      <c r="BG3" s="126"/>
      <c r="BH3" s="126"/>
      <c r="BI3" s="126"/>
      <c r="BJ3" s="126"/>
      <c r="BK3" s="126"/>
      <c r="BL3" s="126"/>
      <c r="BM3" s="126"/>
      <c r="BN3" s="126"/>
      <c r="BO3" s="126"/>
      <c r="BP3" s="126"/>
      <c r="BQ3" s="126"/>
      <c r="BR3" s="126"/>
      <c r="BS3" s="126"/>
      <c r="BT3" s="126"/>
      <c r="BU3" s="126"/>
      <c r="BV3" s="126"/>
      <c r="BW3" s="126"/>
      <c r="BX3" s="126"/>
      <c r="BY3" s="126"/>
      <c r="BZ3" s="126"/>
      <c r="CA3" s="126"/>
      <c r="CB3" s="126"/>
      <c r="CC3" s="126"/>
      <c r="CD3" s="126"/>
      <c r="CE3" s="126"/>
      <c r="CF3" s="126"/>
      <c r="CG3" s="126"/>
      <c r="CH3" s="126"/>
      <c r="CI3" s="126"/>
      <c r="CJ3" s="126"/>
      <c r="CK3" s="126"/>
      <c r="CL3" s="126"/>
      <c r="CM3" s="126"/>
      <c r="CN3" s="126"/>
      <c r="CO3" s="126"/>
      <c r="CP3" s="126"/>
      <c r="CQ3" s="126"/>
      <c r="CR3" s="126"/>
      <c r="CS3" s="126"/>
      <c r="CT3" s="126"/>
      <c r="CU3" s="126"/>
      <c r="CV3" s="126"/>
      <c r="CW3" s="126"/>
      <c r="CX3" s="126"/>
      <c r="CY3" s="126"/>
      <c r="CZ3" s="126"/>
      <c r="DA3" s="126"/>
      <c r="DB3" s="126"/>
      <c r="DC3" s="126"/>
      <c r="DD3" s="126"/>
      <c r="DE3" s="126"/>
      <c r="DF3" s="126"/>
      <c r="DG3" s="126"/>
      <c r="DH3" s="126"/>
      <c r="DI3" s="126"/>
      <c r="DJ3" s="126"/>
      <c r="DK3" s="126"/>
      <c r="DL3" s="126"/>
      <c r="DM3" s="126"/>
      <c r="DN3" s="126"/>
      <c r="DO3" s="126"/>
      <c r="DP3" s="126"/>
      <c r="DQ3" s="126"/>
      <c r="DR3" s="126"/>
      <c r="DS3" s="126"/>
      <c r="DT3" s="126"/>
      <c r="DU3" s="126"/>
      <c r="DV3" s="126"/>
      <c r="DW3" s="126"/>
      <c r="DX3" s="126"/>
      <c r="DY3" s="126"/>
      <c r="DZ3" s="126"/>
      <c r="EA3" s="126"/>
      <c r="EB3" s="126"/>
      <c r="EC3" s="126"/>
      <c r="ED3" s="126"/>
      <c r="EE3" s="126"/>
      <c r="EF3" s="126"/>
      <c r="EG3" s="126"/>
      <c r="EH3" s="126"/>
      <c r="EI3" s="126"/>
      <c r="EJ3" s="126"/>
      <c r="EK3" s="126"/>
      <c r="EL3" s="126"/>
      <c r="EM3" s="126"/>
      <c r="EN3" s="126"/>
      <c r="EO3" s="126"/>
      <c r="EP3" s="126"/>
      <c r="EQ3" s="126"/>
      <c r="ER3" s="126"/>
      <c r="ES3" s="126"/>
      <c r="ET3" s="126"/>
      <c r="EU3" s="126"/>
      <c r="EV3" s="126"/>
      <c r="EW3" s="126"/>
      <c r="EX3" s="126"/>
      <c r="EY3" s="126"/>
      <c r="EZ3" s="126"/>
      <c r="FA3" s="126"/>
      <c r="FB3" s="126"/>
      <c r="FC3" s="126"/>
      <c r="FD3" s="126"/>
      <c r="FE3" s="126"/>
      <c r="FF3" s="126"/>
      <c r="FG3" s="126"/>
      <c r="FH3" s="126"/>
      <c r="FI3" s="126"/>
      <c r="FJ3" s="126"/>
    </row>
    <row r="4" spans="1:166" s="171" customFormat="1" ht="21" customHeight="1" thickBot="1">
      <c r="A4" s="414" t="s">
        <v>1533</v>
      </c>
      <c r="B4" s="334" t="s">
        <v>1049</v>
      </c>
      <c r="C4" s="334" t="s">
        <v>719</v>
      </c>
      <c r="D4" s="175"/>
      <c r="E4" s="334" t="s">
        <v>1049</v>
      </c>
      <c r="F4" s="334" t="s">
        <v>719</v>
      </c>
      <c r="G4" s="175"/>
      <c r="H4" s="334" t="s">
        <v>1049</v>
      </c>
      <c r="I4" s="334" t="s">
        <v>719</v>
      </c>
      <c r="J4" s="126"/>
      <c r="K4" s="414" t="s">
        <v>1534</v>
      </c>
      <c r="L4" s="334" t="s">
        <v>1049</v>
      </c>
      <c r="M4" s="335" t="s">
        <v>719</v>
      </c>
      <c r="N4" s="176"/>
      <c r="O4" s="336"/>
      <c r="P4" s="336"/>
      <c r="Q4" s="176"/>
      <c r="R4" s="336"/>
      <c r="S4" s="336"/>
      <c r="T4" s="126"/>
      <c r="U4" s="414" t="s">
        <v>1533</v>
      </c>
      <c r="V4" s="334" t="s">
        <v>1049</v>
      </c>
      <c r="W4" s="334" t="s">
        <v>719</v>
      </c>
      <c r="X4" s="334" t="s">
        <v>1049</v>
      </c>
      <c r="Y4" s="334" t="s">
        <v>719</v>
      </c>
      <c r="Z4" s="175"/>
      <c r="AA4" s="334" t="s">
        <v>1049</v>
      </c>
      <c r="AB4" s="334" t="s">
        <v>719</v>
      </c>
      <c r="AC4" s="175"/>
      <c r="AD4" s="334" t="s">
        <v>1049</v>
      </c>
      <c r="AE4" s="334" t="s">
        <v>719</v>
      </c>
      <c r="AF4" s="126"/>
      <c r="AG4" s="414" t="s">
        <v>1533</v>
      </c>
      <c r="AH4" s="334" t="s">
        <v>1049</v>
      </c>
      <c r="AI4" s="334" t="s">
        <v>719</v>
      </c>
      <c r="AJ4" s="334" t="s">
        <v>1049</v>
      </c>
      <c r="AK4" s="334" t="s">
        <v>719</v>
      </c>
      <c r="AL4" s="175"/>
      <c r="AM4" s="334" t="s">
        <v>1049</v>
      </c>
      <c r="AN4" s="334" t="s">
        <v>719</v>
      </c>
      <c r="AO4" s="175"/>
      <c r="AP4" s="334" t="s">
        <v>1049</v>
      </c>
      <c r="AQ4" s="334" t="s">
        <v>719</v>
      </c>
      <c r="AR4" s="126"/>
      <c r="AS4" s="414" t="s">
        <v>1533</v>
      </c>
      <c r="AT4" s="334"/>
      <c r="AU4" s="334"/>
      <c r="AV4" s="334" t="s">
        <v>1049</v>
      </c>
      <c r="AW4" s="334" t="s">
        <v>719</v>
      </c>
      <c r="AX4" s="175"/>
      <c r="AY4" s="334" t="s">
        <v>1049</v>
      </c>
      <c r="AZ4" s="334" t="s">
        <v>719</v>
      </c>
      <c r="BA4" s="175"/>
      <c r="BB4" s="334" t="s">
        <v>1049</v>
      </c>
      <c r="BC4" s="334" t="s">
        <v>719</v>
      </c>
      <c r="BD4" s="126"/>
      <c r="BE4" s="126"/>
      <c r="BF4" s="126"/>
      <c r="BG4" s="126"/>
      <c r="BH4" s="126"/>
      <c r="BI4" s="126"/>
      <c r="BJ4" s="126"/>
      <c r="BK4" s="126"/>
      <c r="BL4" s="126"/>
      <c r="BM4" s="126"/>
      <c r="BN4" s="126"/>
      <c r="BO4" s="126"/>
      <c r="BP4" s="126"/>
      <c r="BQ4" s="126"/>
      <c r="BR4" s="126"/>
      <c r="BS4" s="126"/>
      <c r="BT4" s="126"/>
      <c r="BU4" s="126"/>
      <c r="BV4" s="126"/>
      <c r="BW4" s="126"/>
      <c r="BX4" s="126"/>
      <c r="BY4" s="126"/>
      <c r="BZ4" s="126"/>
      <c r="CA4" s="126"/>
      <c r="CB4" s="126"/>
      <c r="CC4" s="126"/>
      <c r="CD4" s="126"/>
      <c r="CE4" s="126"/>
      <c r="CF4" s="126"/>
      <c r="CG4" s="126"/>
      <c r="CH4" s="126"/>
      <c r="CI4" s="126"/>
      <c r="CJ4" s="126"/>
      <c r="CK4" s="126"/>
      <c r="CL4" s="126"/>
      <c r="CM4" s="126"/>
      <c r="CN4" s="126"/>
      <c r="CO4" s="126"/>
      <c r="CP4" s="126"/>
      <c r="CQ4" s="126"/>
      <c r="CR4" s="126"/>
      <c r="CS4" s="126"/>
      <c r="CT4" s="126"/>
      <c r="CU4" s="126"/>
      <c r="CV4" s="126"/>
      <c r="CW4" s="126"/>
      <c r="CX4" s="126"/>
      <c r="CY4" s="126"/>
      <c r="CZ4" s="126"/>
      <c r="DA4" s="126"/>
      <c r="DB4" s="126"/>
      <c r="DC4" s="126"/>
      <c r="DD4" s="126"/>
      <c r="DE4" s="126"/>
      <c r="DF4" s="126"/>
      <c r="DG4" s="126"/>
      <c r="DH4" s="126"/>
      <c r="DI4" s="126"/>
      <c r="DJ4" s="126"/>
      <c r="DK4" s="126"/>
      <c r="DL4" s="126"/>
      <c r="DM4" s="126"/>
      <c r="DN4" s="126"/>
      <c r="DO4" s="126"/>
      <c r="DP4" s="126"/>
      <c r="DQ4" s="126"/>
      <c r="DR4" s="126"/>
      <c r="DS4" s="126"/>
      <c r="DT4" s="126"/>
      <c r="DU4" s="126"/>
      <c r="DV4" s="126"/>
      <c r="DW4" s="126"/>
      <c r="DX4" s="126"/>
      <c r="DY4" s="126"/>
      <c r="DZ4" s="126"/>
      <c r="EA4" s="126"/>
      <c r="EB4" s="126"/>
      <c r="EC4" s="126"/>
      <c r="ED4" s="126"/>
      <c r="EE4" s="126"/>
      <c r="EF4" s="126"/>
      <c r="EG4" s="126"/>
      <c r="EH4" s="126"/>
      <c r="EI4" s="126"/>
      <c r="EJ4" s="126"/>
      <c r="EK4" s="126"/>
      <c r="EL4" s="126"/>
      <c r="EM4" s="126"/>
      <c r="EN4" s="126"/>
      <c r="EO4" s="126"/>
      <c r="EP4" s="126"/>
      <c r="EQ4" s="126"/>
      <c r="ER4" s="126"/>
      <c r="ES4" s="126"/>
      <c r="ET4" s="126"/>
      <c r="EU4" s="126"/>
      <c r="EV4" s="126"/>
      <c r="EW4" s="126"/>
      <c r="EX4" s="126"/>
      <c r="EY4" s="126"/>
      <c r="EZ4" s="126"/>
      <c r="FA4" s="126"/>
      <c r="FB4" s="126"/>
      <c r="FC4" s="126"/>
      <c r="FD4" s="126"/>
      <c r="FE4" s="126"/>
      <c r="FF4" s="126"/>
      <c r="FG4" s="126"/>
      <c r="FH4" s="126"/>
      <c r="FI4" s="126"/>
      <c r="FJ4" s="126"/>
    </row>
    <row r="5" spans="1:166" s="195" customFormat="1" ht="13.5" customHeight="1">
      <c r="A5" s="476"/>
      <c r="B5" s="177" t="s">
        <v>724</v>
      </c>
      <c r="C5" s="178">
        <v>16</v>
      </c>
      <c r="D5" s="179"/>
      <c r="E5" s="177" t="s">
        <v>724</v>
      </c>
      <c r="F5" s="180">
        <v>28.6</v>
      </c>
      <c r="G5" s="179"/>
      <c r="H5" s="177" t="s">
        <v>724</v>
      </c>
      <c r="I5" s="180">
        <v>44</v>
      </c>
      <c r="K5" s="476"/>
      <c r="L5" s="177" t="s">
        <v>724</v>
      </c>
      <c r="M5" s="181">
        <f t="shared" ref="M5:M26" si="0">C5*(9/12)</f>
        <v>12</v>
      </c>
      <c r="N5" s="179"/>
      <c r="O5" s="182"/>
      <c r="P5" s="183"/>
      <c r="Q5" s="179"/>
      <c r="R5" s="182"/>
      <c r="S5" s="337"/>
      <c r="U5" s="476"/>
      <c r="V5" s="476"/>
      <c r="W5" s="476"/>
      <c r="X5" s="177"/>
      <c r="Y5" s="180"/>
      <c r="Z5" s="179"/>
      <c r="AA5" s="177"/>
      <c r="AB5" s="180"/>
      <c r="AC5" s="179"/>
      <c r="AD5" s="177"/>
      <c r="AE5" s="180"/>
      <c r="AG5" s="476"/>
      <c r="AH5" s="476"/>
      <c r="AI5" s="467"/>
      <c r="AJ5" s="468"/>
      <c r="AK5" s="180"/>
      <c r="AL5" s="179"/>
      <c r="AM5" s="177"/>
      <c r="AN5" s="180"/>
      <c r="AO5" s="179"/>
      <c r="AP5" s="177"/>
      <c r="AQ5" s="180"/>
      <c r="AS5" s="476"/>
      <c r="AT5" s="476"/>
      <c r="AU5" s="476"/>
      <c r="AV5" s="177"/>
      <c r="AW5" s="180"/>
      <c r="AX5" s="179"/>
      <c r="AY5" s="177"/>
      <c r="AZ5" s="180"/>
      <c r="BA5" s="179"/>
      <c r="BB5" s="177"/>
      <c r="BC5" s="180"/>
    </row>
    <row r="6" spans="1:166" s="195" customFormat="1" ht="13.5" customHeight="1">
      <c r="A6" s="476"/>
      <c r="B6" s="177" t="s">
        <v>725</v>
      </c>
      <c r="C6" s="178">
        <v>24</v>
      </c>
      <c r="D6" s="179"/>
      <c r="E6" s="177" t="s">
        <v>725</v>
      </c>
      <c r="F6" s="180">
        <v>43</v>
      </c>
      <c r="G6" s="179"/>
      <c r="H6" s="177" t="s">
        <v>725</v>
      </c>
      <c r="I6" s="180">
        <v>66</v>
      </c>
      <c r="K6" s="476"/>
      <c r="L6" s="177" t="s">
        <v>725</v>
      </c>
      <c r="M6" s="180">
        <f t="shared" si="0"/>
        <v>18</v>
      </c>
      <c r="N6" s="179"/>
      <c r="O6" s="182"/>
      <c r="P6" s="337"/>
      <c r="Q6" s="179"/>
      <c r="R6" s="182"/>
      <c r="S6" s="337"/>
      <c r="U6" s="476"/>
      <c r="V6" s="405" t="str">
        <f t="shared" ref="V6:V14" si="1">$E6</f>
        <v>06</v>
      </c>
      <c r="W6" s="406">
        <f t="shared" ref="W6:W14" si="2">$C6*(25/(17.5+12))</f>
        <v>20.338983050847457</v>
      </c>
      <c r="X6" s="177" t="str">
        <f>$E6</f>
        <v>06</v>
      </c>
      <c r="Y6" s="180">
        <f t="shared" ref="Y6:Y16" si="3">$F6*(25/(17.5+12))</f>
        <v>36.440677966101696</v>
      </c>
      <c r="Z6" s="179"/>
      <c r="AA6" s="474" t="str">
        <f t="shared" ref="AA6:AA16" si="4">$H6</f>
        <v>06</v>
      </c>
      <c r="AB6" s="475">
        <v>74.28</v>
      </c>
      <c r="AC6" s="179"/>
      <c r="AD6" s="474" t="str">
        <f t="shared" ref="AD6:AD19" si="5">$H6</f>
        <v>06</v>
      </c>
      <c r="AE6" s="475">
        <v>114.48</v>
      </c>
      <c r="AG6" s="476"/>
      <c r="AH6" s="405" t="str">
        <f>$E6</f>
        <v>06</v>
      </c>
      <c r="AI6" s="406">
        <f>W6*(30/25)</f>
        <v>24.406779661016948</v>
      </c>
      <c r="AJ6" s="177" t="str">
        <f>$E6</f>
        <v>06</v>
      </c>
      <c r="AK6" s="178">
        <f>Y6*(30/25)</f>
        <v>43.728813559322035</v>
      </c>
      <c r="AL6" s="179"/>
      <c r="AM6" s="661" t="str">
        <f>$H6</f>
        <v>06</v>
      </c>
      <c r="AN6" s="662">
        <f>(AB6+AZ6)/2</f>
        <v>78.33</v>
      </c>
      <c r="AO6" s="179"/>
      <c r="AP6" s="661" t="str">
        <f>$H6</f>
        <v>06</v>
      </c>
      <c r="AQ6" s="662">
        <f>(AE6+BC6)/2</f>
        <v>122.28999999999999</v>
      </c>
      <c r="AS6" s="476"/>
      <c r="AT6" s="476"/>
      <c r="AU6" s="476"/>
      <c r="AV6" s="177" t="str">
        <f>$E6</f>
        <v>06</v>
      </c>
      <c r="AW6" s="178">
        <f>AK6*(30/25)</f>
        <v>52.474576271186443</v>
      </c>
      <c r="AX6" s="179"/>
      <c r="AY6" s="474" t="str">
        <f t="shared" ref="AY6:AY16" si="6">$H6</f>
        <v>06</v>
      </c>
      <c r="AZ6" s="475">
        <v>82.38</v>
      </c>
      <c r="BA6" s="179"/>
      <c r="BB6" s="474" t="str">
        <f t="shared" ref="BB6:BB19" si="7">$H6</f>
        <v>06</v>
      </c>
      <c r="BC6" s="475">
        <v>130.1</v>
      </c>
    </row>
    <row r="7" spans="1:166" s="195" customFormat="1" ht="13.5" customHeight="1">
      <c r="A7" s="476"/>
      <c r="B7" s="177" t="s">
        <v>726</v>
      </c>
      <c r="C7" s="178">
        <v>32</v>
      </c>
      <c r="D7" s="179"/>
      <c r="E7" s="177" t="s">
        <v>726</v>
      </c>
      <c r="F7" s="180">
        <v>57.3</v>
      </c>
      <c r="G7" s="179"/>
      <c r="H7" s="177" t="s">
        <v>726</v>
      </c>
      <c r="I7" s="180">
        <v>88</v>
      </c>
      <c r="K7" s="476"/>
      <c r="L7" s="177" t="s">
        <v>726</v>
      </c>
      <c r="M7" s="180">
        <f t="shared" si="0"/>
        <v>24</v>
      </c>
      <c r="N7" s="179"/>
      <c r="O7" s="182"/>
      <c r="P7" s="337"/>
      <c r="Q7" s="179"/>
      <c r="R7" s="182"/>
      <c r="S7" s="337"/>
      <c r="U7" s="476"/>
      <c r="V7" s="405" t="str">
        <f t="shared" si="1"/>
        <v>08</v>
      </c>
      <c r="W7" s="406">
        <f t="shared" si="2"/>
        <v>27.118644067796609</v>
      </c>
      <c r="X7" s="177" t="str">
        <f t="shared" ref="X7:X16" si="8">$E7</f>
        <v>08</v>
      </c>
      <c r="Y7" s="180">
        <f t="shared" si="3"/>
        <v>48.559322033898297</v>
      </c>
      <c r="Z7" s="179"/>
      <c r="AA7" s="657" t="str">
        <f t="shared" si="4"/>
        <v>08</v>
      </c>
      <c r="AB7" s="658">
        <f>AB$6-(AA$6-AA7)*(AB$11-AB$6)/(AA$11-AA$6)</f>
        <v>81.028333333333336</v>
      </c>
      <c r="AC7" s="179"/>
      <c r="AD7" s="657" t="str">
        <f t="shared" si="5"/>
        <v>08</v>
      </c>
      <c r="AE7" s="658">
        <f>AE$6-(AD$6-AD7)*(AE$11-AE$6)/(AD$11-AD$6)</f>
        <v>126.19083333333333</v>
      </c>
      <c r="AG7" s="476"/>
      <c r="AH7" s="405" t="str">
        <f>$E7</f>
        <v>08</v>
      </c>
      <c r="AI7" s="406">
        <f>W7*(30/25)</f>
        <v>32.542372881355931</v>
      </c>
      <c r="AJ7" s="177" t="str">
        <f t="shared" ref="AJ7:AJ16" si="9">$E7</f>
        <v>08</v>
      </c>
      <c r="AK7" s="178">
        <f>Y7*(30/25)</f>
        <v>58.271186440677951</v>
      </c>
      <c r="AL7" s="179"/>
      <c r="AM7" s="661" t="str">
        <f t="shared" ref="AM7:AM16" si="10">$H7</f>
        <v>08</v>
      </c>
      <c r="AN7" s="662">
        <f t="shared" ref="AN7:AN16" si="11">(AB7+AZ7)/2</f>
        <v>86.427916666666675</v>
      </c>
      <c r="AO7" s="179"/>
      <c r="AP7" s="661" t="str">
        <f t="shared" ref="AP7:AP19" si="12">$H7</f>
        <v>08</v>
      </c>
      <c r="AQ7" s="662">
        <f t="shared" ref="AQ7:AQ19" si="13">(AE7+BC7)/2</f>
        <v>136.60249999999999</v>
      </c>
      <c r="AS7" s="476"/>
      <c r="AT7" s="476"/>
      <c r="AU7" s="476"/>
      <c r="AV7" s="177"/>
      <c r="AW7" s="180"/>
      <c r="AX7" s="179"/>
      <c r="AY7" s="657" t="str">
        <f t="shared" si="6"/>
        <v>08</v>
      </c>
      <c r="AZ7" s="658">
        <f>AZ$6-(AY$6-AY7)*(AZ$11-AZ$6)/(AY$11-AY$6)</f>
        <v>91.827500000000001</v>
      </c>
      <c r="BA7" s="179"/>
      <c r="BB7" s="657" t="str">
        <f t="shared" si="7"/>
        <v>08</v>
      </c>
      <c r="BC7" s="658">
        <f>BC$6-(BB$6-BB7)*(BC$11-BC$6)/(BB$11-BB$6)</f>
        <v>147.01416666666665</v>
      </c>
    </row>
    <row r="8" spans="1:166" s="195" customFormat="1" ht="13.5" customHeight="1">
      <c r="A8" s="476"/>
      <c r="B8" s="177">
        <v>12</v>
      </c>
      <c r="C8" s="178">
        <v>48</v>
      </c>
      <c r="D8" s="179"/>
      <c r="E8" s="177">
        <v>12</v>
      </c>
      <c r="F8" s="180">
        <v>86</v>
      </c>
      <c r="G8" s="179"/>
      <c r="H8" s="177">
        <v>12</v>
      </c>
      <c r="I8" s="180">
        <v>132</v>
      </c>
      <c r="K8" s="476"/>
      <c r="L8" s="177">
        <v>12</v>
      </c>
      <c r="M8" s="180">
        <f t="shared" si="0"/>
        <v>36</v>
      </c>
      <c r="N8" s="179"/>
      <c r="O8" s="182"/>
      <c r="P8" s="337"/>
      <c r="Q8" s="179"/>
      <c r="R8" s="182"/>
      <c r="S8" s="337"/>
      <c r="U8" s="476"/>
      <c r="V8" s="405">
        <f t="shared" si="1"/>
        <v>12</v>
      </c>
      <c r="W8" s="406">
        <f t="shared" si="2"/>
        <v>40.677966101694913</v>
      </c>
      <c r="X8" s="177">
        <f t="shared" si="8"/>
        <v>12</v>
      </c>
      <c r="Y8" s="180">
        <f t="shared" si="3"/>
        <v>72.881355932203391</v>
      </c>
      <c r="Z8" s="179"/>
      <c r="AA8" s="657">
        <f t="shared" si="4"/>
        <v>12</v>
      </c>
      <c r="AB8" s="658">
        <f>AB$6-(AA$6-AA8)*(AB$11-AB$6)/(AA$11-AA$6)</f>
        <v>94.525000000000006</v>
      </c>
      <c r="AC8" s="179"/>
      <c r="AD8" s="657">
        <f t="shared" si="5"/>
        <v>12</v>
      </c>
      <c r="AE8" s="658">
        <f>AE$6-(AD$6-AD8)*(AE$11-AE$6)/(AD$11-AD$6)</f>
        <v>149.61250000000001</v>
      </c>
      <c r="AG8" s="476"/>
      <c r="AH8" s="405">
        <f>$E8</f>
        <v>12</v>
      </c>
      <c r="AI8" s="406">
        <f>W8*(30/25)</f>
        <v>48.813559322033896</v>
      </c>
      <c r="AJ8" s="177">
        <f t="shared" si="9"/>
        <v>12</v>
      </c>
      <c r="AK8" s="178">
        <f t="shared" ref="AK8:AK16" si="14">Y8*(30/25)</f>
        <v>87.457627118644069</v>
      </c>
      <c r="AL8" s="179"/>
      <c r="AM8" s="661">
        <f t="shared" si="10"/>
        <v>12</v>
      </c>
      <c r="AN8" s="662">
        <f t="shared" si="11"/>
        <v>102.62375</v>
      </c>
      <c r="AO8" s="179"/>
      <c r="AP8" s="661">
        <f t="shared" si="12"/>
        <v>12</v>
      </c>
      <c r="AQ8" s="662">
        <f t="shared" si="13"/>
        <v>165.22750000000002</v>
      </c>
      <c r="AS8" s="476"/>
      <c r="AT8" s="476"/>
      <c r="AU8" s="476"/>
      <c r="AV8" s="177"/>
      <c r="AW8" s="180"/>
      <c r="AX8" s="179"/>
      <c r="AY8" s="657">
        <f t="shared" si="6"/>
        <v>12</v>
      </c>
      <c r="AZ8" s="658">
        <f>AZ$6-(AY$6-AY8)*(AZ$11-AZ$6)/(AY$11-AY$6)</f>
        <v>110.7225</v>
      </c>
      <c r="BA8" s="179"/>
      <c r="BB8" s="657">
        <f t="shared" si="7"/>
        <v>12</v>
      </c>
      <c r="BC8" s="658">
        <f>BC$6-(BB$6-BB8)*(BC$11-BC$6)/(BB$11-BB$6)</f>
        <v>180.8425</v>
      </c>
    </row>
    <row r="9" spans="1:166" s="195" customFormat="1" ht="13.5" customHeight="1">
      <c r="A9" s="476"/>
      <c r="B9" s="177">
        <v>18</v>
      </c>
      <c r="C9" s="178">
        <v>59</v>
      </c>
      <c r="D9" s="179"/>
      <c r="E9" s="177">
        <v>18</v>
      </c>
      <c r="F9" s="180">
        <v>100</v>
      </c>
      <c r="G9" s="179"/>
      <c r="H9" s="177">
        <v>18</v>
      </c>
      <c r="I9" s="180">
        <v>156</v>
      </c>
      <c r="K9" s="476"/>
      <c r="L9" s="177">
        <v>18</v>
      </c>
      <c r="M9" s="180">
        <f t="shared" si="0"/>
        <v>44.25</v>
      </c>
      <c r="N9" s="179"/>
      <c r="O9" s="182"/>
      <c r="P9" s="337"/>
      <c r="Q9" s="179"/>
      <c r="R9" s="182"/>
      <c r="S9" s="337"/>
      <c r="U9" s="476"/>
      <c r="V9" s="405">
        <f t="shared" si="1"/>
        <v>18</v>
      </c>
      <c r="W9" s="406">
        <f t="shared" si="2"/>
        <v>50</v>
      </c>
      <c r="X9" s="177">
        <f t="shared" si="8"/>
        <v>18</v>
      </c>
      <c r="Y9" s="180">
        <f t="shared" si="3"/>
        <v>84.745762711864401</v>
      </c>
      <c r="Z9" s="179"/>
      <c r="AA9" s="657">
        <f t="shared" si="4"/>
        <v>18</v>
      </c>
      <c r="AB9" s="658">
        <f>AB$6-(AA$6-AA9)*(AB$11-AB$6)/(AA$11-AA$6)</f>
        <v>114.77</v>
      </c>
      <c r="AC9" s="179"/>
      <c r="AD9" s="657">
        <f t="shared" si="5"/>
        <v>18</v>
      </c>
      <c r="AE9" s="658">
        <f>AE$6-(AD$6-AD9)*(AE$11-AE$6)/(AD$11-AD$6)</f>
        <v>184.745</v>
      </c>
      <c r="AG9" s="476"/>
      <c r="AH9" s="405">
        <f>$E9</f>
        <v>18</v>
      </c>
      <c r="AI9" s="406">
        <f>W9*(30/25)</f>
        <v>60</v>
      </c>
      <c r="AJ9" s="177">
        <f t="shared" si="9"/>
        <v>18</v>
      </c>
      <c r="AK9" s="178">
        <f t="shared" si="14"/>
        <v>101.69491525423727</v>
      </c>
      <c r="AL9" s="179"/>
      <c r="AM9" s="661">
        <f t="shared" si="10"/>
        <v>18</v>
      </c>
      <c r="AN9" s="662">
        <f t="shared" si="11"/>
        <v>126.91749999999999</v>
      </c>
      <c r="AO9" s="179"/>
      <c r="AP9" s="661">
        <f t="shared" si="12"/>
        <v>18</v>
      </c>
      <c r="AQ9" s="662">
        <f t="shared" si="13"/>
        <v>208.16499999999999</v>
      </c>
      <c r="AS9" s="476"/>
      <c r="AT9" s="476"/>
      <c r="AU9" s="476"/>
      <c r="AV9" s="177"/>
      <c r="AW9" s="180"/>
      <c r="AX9" s="179"/>
      <c r="AY9" s="657">
        <f t="shared" si="6"/>
        <v>18</v>
      </c>
      <c r="AZ9" s="658">
        <f>AZ$6-(AY$6-AY9)*(AZ$11-AZ$6)/(AY$11-AY$6)</f>
        <v>139.065</v>
      </c>
      <c r="BA9" s="179"/>
      <c r="BB9" s="657">
        <f t="shared" si="7"/>
        <v>18</v>
      </c>
      <c r="BC9" s="658">
        <f>BC$6-(BB$6-BB9)*(BC$11-BC$6)/(BB$11-BB$6)</f>
        <v>231.58499999999998</v>
      </c>
    </row>
    <row r="10" spans="1:166" s="195" customFormat="1" ht="13.5" customHeight="1">
      <c r="A10" s="476"/>
      <c r="B10" s="177">
        <v>24</v>
      </c>
      <c r="C10" s="178">
        <v>70</v>
      </c>
      <c r="D10" s="179"/>
      <c r="E10" s="177">
        <v>24</v>
      </c>
      <c r="F10" s="180">
        <v>114</v>
      </c>
      <c r="G10" s="179"/>
      <c r="H10" s="177">
        <v>24</v>
      </c>
      <c r="I10" s="180">
        <v>178</v>
      </c>
      <c r="K10" s="476"/>
      <c r="L10" s="177">
        <v>24</v>
      </c>
      <c r="M10" s="180">
        <f t="shared" si="0"/>
        <v>52.5</v>
      </c>
      <c r="N10" s="179"/>
      <c r="O10" s="182"/>
      <c r="P10" s="337"/>
      <c r="Q10" s="179"/>
      <c r="R10" s="182"/>
      <c r="S10" s="337"/>
      <c r="U10" s="476"/>
      <c r="V10" s="405">
        <f t="shared" si="1"/>
        <v>24</v>
      </c>
      <c r="W10" s="406">
        <f t="shared" si="2"/>
        <v>59.322033898305079</v>
      </c>
      <c r="X10" s="177">
        <f t="shared" si="8"/>
        <v>24</v>
      </c>
      <c r="Y10" s="180">
        <f t="shared" si="3"/>
        <v>96.610169491525426</v>
      </c>
      <c r="Z10" s="179"/>
      <c r="AA10" s="657">
        <f t="shared" si="4"/>
        <v>24</v>
      </c>
      <c r="AB10" s="658">
        <f>AB$6-(AA$6-AA10)*(AB$11-AB$6)/(AA$11-AA$6)</f>
        <v>135.01499999999999</v>
      </c>
      <c r="AC10" s="179"/>
      <c r="AD10" s="657">
        <f t="shared" si="5"/>
        <v>24</v>
      </c>
      <c r="AE10" s="658">
        <f>AE$6-(AD$6-AD10)*(AE$11-AE$6)/(AD$11-AD$6)</f>
        <v>219.8775</v>
      </c>
      <c r="AG10" s="476"/>
      <c r="AH10" s="405">
        <f>$E10</f>
        <v>24</v>
      </c>
      <c r="AI10" s="406">
        <f>W10*(30/25)</f>
        <v>71.18644067796609</v>
      </c>
      <c r="AJ10" s="177">
        <f t="shared" si="9"/>
        <v>24</v>
      </c>
      <c r="AK10" s="178">
        <f t="shared" si="14"/>
        <v>115.93220338983051</v>
      </c>
      <c r="AL10" s="179"/>
      <c r="AM10" s="661">
        <f t="shared" si="10"/>
        <v>24</v>
      </c>
      <c r="AN10" s="662">
        <f t="shared" si="11"/>
        <v>151.21125000000001</v>
      </c>
      <c r="AO10" s="179"/>
      <c r="AP10" s="661">
        <f t="shared" si="12"/>
        <v>24</v>
      </c>
      <c r="AQ10" s="662">
        <f t="shared" si="13"/>
        <v>251.10249999999999</v>
      </c>
      <c r="AS10" s="476"/>
      <c r="AT10" s="476"/>
      <c r="AU10" s="476"/>
      <c r="AV10" s="177"/>
      <c r="AW10" s="180"/>
      <c r="AX10" s="179"/>
      <c r="AY10" s="657">
        <f t="shared" si="6"/>
        <v>24</v>
      </c>
      <c r="AZ10" s="658">
        <f>AZ$6-(AY$6-AY10)*(AZ$11-AZ$6)/(AY$11-AY$6)</f>
        <v>167.4075</v>
      </c>
      <c r="BA10" s="179"/>
      <c r="BB10" s="657">
        <f t="shared" si="7"/>
        <v>24</v>
      </c>
      <c r="BC10" s="658">
        <f>BC$6-(BB$6-BB10)*(BC$11-BC$6)/(BB$11-BB$6)</f>
        <v>282.32749999999999</v>
      </c>
    </row>
    <row r="11" spans="1:166" s="195" customFormat="1" ht="13.5" customHeight="1">
      <c r="A11" s="476"/>
      <c r="B11" s="177">
        <v>30</v>
      </c>
      <c r="C11" s="178">
        <v>81</v>
      </c>
      <c r="D11" s="179"/>
      <c r="E11" s="177">
        <v>30</v>
      </c>
      <c r="F11" s="180">
        <v>128</v>
      </c>
      <c r="G11" s="179"/>
      <c r="H11" s="177">
        <v>30</v>
      </c>
      <c r="I11" s="180">
        <v>201</v>
      </c>
      <c r="K11" s="476"/>
      <c r="L11" s="177">
        <v>30</v>
      </c>
      <c r="M11" s="180">
        <f t="shared" si="0"/>
        <v>60.75</v>
      </c>
      <c r="N11" s="179"/>
      <c r="O11" s="182"/>
      <c r="P11" s="337"/>
      <c r="Q11" s="179"/>
      <c r="R11" s="182"/>
      <c r="S11" s="337"/>
      <c r="U11" s="476"/>
      <c r="V11" s="405">
        <f t="shared" si="1"/>
        <v>30</v>
      </c>
      <c r="W11" s="406">
        <f t="shared" si="2"/>
        <v>68.644067796610173</v>
      </c>
      <c r="X11" s="177">
        <f t="shared" si="8"/>
        <v>30</v>
      </c>
      <c r="Y11" s="180">
        <f t="shared" si="3"/>
        <v>108.47457627118644</v>
      </c>
      <c r="Z11" s="179"/>
      <c r="AA11" s="474">
        <f t="shared" si="4"/>
        <v>30</v>
      </c>
      <c r="AB11" s="475">
        <v>155.26</v>
      </c>
      <c r="AC11" s="179"/>
      <c r="AD11" s="474">
        <f t="shared" si="5"/>
        <v>30</v>
      </c>
      <c r="AE11" s="475">
        <v>255.01</v>
      </c>
      <c r="AG11" s="476"/>
      <c r="AH11" s="476"/>
      <c r="AI11" s="402"/>
      <c r="AJ11" s="177">
        <f t="shared" si="9"/>
        <v>30</v>
      </c>
      <c r="AK11" s="178">
        <f t="shared" si="14"/>
        <v>130.16949152542372</v>
      </c>
      <c r="AL11" s="179"/>
      <c r="AM11" s="661">
        <f t="shared" si="10"/>
        <v>30</v>
      </c>
      <c r="AN11" s="662">
        <f t="shared" si="11"/>
        <v>175.505</v>
      </c>
      <c r="AO11" s="179"/>
      <c r="AP11" s="661">
        <f t="shared" si="12"/>
        <v>30</v>
      </c>
      <c r="AQ11" s="662">
        <f t="shared" si="13"/>
        <v>294.03999999999996</v>
      </c>
      <c r="AS11" s="476"/>
      <c r="AT11" s="476"/>
      <c r="AU11" s="476"/>
      <c r="AV11" s="177"/>
      <c r="AW11" s="180"/>
      <c r="AX11" s="179"/>
      <c r="AY11" s="474">
        <f t="shared" si="6"/>
        <v>30</v>
      </c>
      <c r="AZ11" s="475">
        <v>195.75</v>
      </c>
      <c r="BA11" s="179"/>
      <c r="BB11" s="474">
        <f t="shared" si="7"/>
        <v>30</v>
      </c>
      <c r="BC11" s="475">
        <v>333.07</v>
      </c>
    </row>
    <row r="12" spans="1:166" s="195" customFormat="1" ht="13.5" customHeight="1">
      <c r="A12" s="476"/>
      <c r="B12" s="177">
        <v>36</v>
      </c>
      <c r="C12" s="178">
        <v>93</v>
      </c>
      <c r="D12" s="179"/>
      <c r="E12" s="177">
        <v>36</v>
      </c>
      <c r="F12" s="180">
        <v>143</v>
      </c>
      <c r="G12" s="179"/>
      <c r="H12" s="177">
        <v>36</v>
      </c>
      <c r="I12" s="180">
        <v>224</v>
      </c>
      <c r="K12" s="476"/>
      <c r="L12" s="177">
        <v>36</v>
      </c>
      <c r="M12" s="180">
        <f t="shared" si="0"/>
        <v>69.75</v>
      </c>
      <c r="N12" s="179"/>
      <c r="O12" s="182"/>
      <c r="P12" s="337"/>
      <c r="Q12" s="179"/>
      <c r="R12" s="182"/>
      <c r="S12" s="337"/>
      <c r="U12" s="476"/>
      <c r="V12" s="405">
        <f t="shared" si="1"/>
        <v>36</v>
      </c>
      <c r="W12" s="406">
        <f t="shared" si="2"/>
        <v>78.813559322033896</v>
      </c>
      <c r="X12" s="177">
        <f t="shared" si="8"/>
        <v>36</v>
      </c>
      <c r="Y12" s="180">
        <f t="shared" si="3"/>
        <v>121.18644067796609</v>
      </c>
      <c r="Z12" s="179"/>
      <c r="AA12" s="657">
        <f t="shared" si="4"/>
        <v>36</v>
      </c>
      <c r="AB12" s="658">
        <f>AB$6-(AA$6-AA12)*(AB$11-AB$6)/(AA$11-AA$6)</f>
        <v>175.505</v>
      </c>
      <c r="AC12" s="179"/>
      <c r="AD12" s="657">
        <f t="shared" si="5"/>
        <v>36</v>
      </c>
      <c r="AE12" s="658">
        <f t="shared" ref="AE12:AE19" si="15">AE$6-(AD$6-AD12)*(AE$11-AE$6)/(AD$11-AD$6)</f>
        <v>290.14249999999998</v>
      </c>
      <c r="AG12" s="476"/>
      <c r="AH12" s="476"/>
      <c r="AI12" s="402"/>
      <c r="AJ12" s="177">
        <f t="shared" si="9"/>
        <v>36</v>
      </c>
      <c r="AK12" s="178">
        <f t="shared" si="14"/>
        <v>145.42372881355931</v>
      </c>
      <c r="AL12" s="179"/>
      <c r="AM12" s="661">
        <f t="shared" si="10"/>
        <v>36</v>
      </c>
      <c r="AN12" s="662">
        <f t="shared" si="11"/>
        <v>199.79874999999998</v>
      </c>
      <c r="AO12" s="179"/>
      <c r="AP12" s="661">
        <f t="shared" si="12"/>
        <v>36</v>
      </c>
      <c r="AQ12" s="662">
        <f t="shared" si="13"/>
        <v>336.97749999999996</v>
      </c>
      <c r="AS12" s="476"/>
      <c r="AT12" s="476"/>
      <c r="AU12" s="476"/>
      <c r="AV12" s="177"/>
      <c r="AW12" s="180"/>
      <c r="AX12" s="179"/>
      <c r="AY12" s="657">
        <f t="shared" si="6"/>
        <v>36</v>
      </c>
      <c r="AZ12" s="658">
        <f>AZ$6-(AY$6-AY12)*(AZ$11-AZ$6)/(AY$11-AY$6)</f>
        <v>224.0925</v>
      </c>
      <c r="BA12" s="179"/>
      <c r="BB12" s="657">
        <f t="shared" si="7"/>
        <v>36</v>
      </c>
      <c r="BC12" s="658">
        <f t="shared" ref="BC12:BC19" si="16">BC$6-(BB$6-BB12)*(BC$11-BC$6)/(BB$11-BB$6)</f>
        <v>383.8125</v>
      </c>
    </row>
    <row r="13" spans="1:166" s="195" customFormat="1" ht="13.5" customHeight="1">
      <c r="A13" s="476"/>
      <c r="B13" s="177">
        <v>42</v>
      </c>
      <c r="C13" s="178">
        <v>105</v>
      </c>
      <c r="D13" s="179"/>
      <c r="E13" s="177">
        <v>42</v>
      </c>
      <c r="F13" s="180">
        <v>157</v>
      </c>
      <c r="G13" s="179"/>
      <c r="H13" s="177">
        <v>42</v>
      </c>
      <c r="I13" s="180">
        <v>247</v>
      </c>
      <c r="K13" s="476"/>
      <c r="L13" s="177">
        <v>42</v>
      </c>
      <c r="M13" s="180">
        <f t="shared" si="0"/>
        <v>78.75</v>
      </c>
      <c r="N13" s="179"/>
      <c r="O13" s="182"/>
      <c r="P13" s="337"/>
      <c r="Q13" s="179"/>
      <c r="R13" s="182"/>
      <c r="S13" s="337"/>
      <c r="U13" s="476"/>
      <c r="V13" s="405">
        <f t="shared" si="1"/>
        <v>42</v>
      </c>
      <c r="W13" s="406">
        <f t="shared" si="2"/>
        <v>88.983050847457619</v>
      </c>
      <c r="X13" s="177">
        <f t="shared" si="8"/>
        <v>42</v>
      </c>
      <c r="Y13" s="180">
        <f t="shared" si="3"/>
        <v>133.0508474576271</v>
      </c>
      <c r="Z13" s="179"/>
      <c r="AA13" s="657">
        <f t="shared" si="4"/>
        <v>42</v>
      </c>
      <c r="AB13" s="658">
        <f>AB$6-(AA$6-AA13)*(AB$11-AB$6)/(AA$11-AA$6)</f>
        <v>195.75</v>
      </c>
      <c r="AC13" s="179"/>
      <c r="AD13" s="657">
        <f t="shared" si="5"/>
        <v>42</v>
      </c>
      <c r="AE13" s="658">
        <f t="shared" si="15"/>
        <v>325.27499999999998</v>
      </c>
      <c r="AG13" s="476"/>
      <c r="AH13" s="476"/>
      <c r="AI13" s="402"/>
      <c r="AJ13" s="177">
        <f t="shared" si="9"/>
        <v>42</v>
      </c>
      <c r="AK13" s="178">
        <f t="shared" si="14"/>
        <v>159.66101694915253</v>
      </c>
      <c r="AL13" s="179"/>
      <c r="AM13" s="661">
        <f t="shared" si="10"/>
        <v>42</v>
      </c>
      <c r="AN13" s="662">
        <f t="shared" si="11"/>
        <v>224.0925</v>
      </c>
      <c r="AO13" s="179"/>
      <c r="AP13" s="661">
        <f t="shared" si="12"/>
        <v>42</v>
      </c>
      <c r="AQ13" s="662">
        <f t="shared" si="13"/>
        <v>379.91499999999996</v>
      </c>
      <c r="AS13" s="476"/>
      <c r="AT13" s="476"/>
      <c r="AU13" s="476"/>
      <c r="AV13" s="177"/>
      <c r="AW13" s="180"/>
      <c r="AX13" s="179"/>
      <c r="AY13" s="657">
        <f t="shared" si="6"/>
        <v>42</v>
      </c>
      <c r="AZ13" s="658">
        <f>AZ$6-(AY$6-AY13)*(AZ$11-AZ$6)/(AY$11-AY$6)</f>
        <v>252.435</v>
      </c>
      <c r="BA13" s="179"/>
      <c r="BB13" s="657">
        <f t="shared" si="7"/>
        <v>42</v>
      </c>
      <c r="BC13" s="658">
        <f t="shared" si="16"/>
        <v>434.55499999999995</v>
      </c>
    </row>
    <row r="14" spans="1:166" s="195" customFormat="1" ht="13.5" customHeight="1">
      <c r="A14" s="476"/>
      <c r="B14" s="177">
        <v>48</v>
      </c>
      <c r="C14" s="178">
        <v>116</v>
      </c>
      <c r="D14" s="179"/>
      <c r="E14" s="177">
        <v>48</v>
      </c>
      <c r="F14" s="180">
        <v>172</v>
      </c>
      <c r="G14" s="179"/>
      <c r="H14" s="177">
        <v>48</v>
      </c>
      <c r="I14" s="180">
        <v>273</v>
      </c>
      <c r="K14" s="476"/>
      <c r="L14" s="177">
        <v>48</v>
      </c>
      <c r="M14" s="180">
        <f t="shared" si="0"/>
        <v>87</v>
      </c>
      <c r="N14" s="179"/>
      <c r="O14" s="182"/>
      <c r="P14" s="337"/>
      <c r="Q14" s="179"/>
      <c r="R14" s="182"/>
      <c r="S14" s="337"/>
      <c r="U14" s="476"/>
      <c r="V14" s="405">
        <f t="shared" si="1"/>
        <v>48</v>
      </c>
      <c r="W14" s="406">
        <f t="shared" si="2"/>
        <v>98.305084745762713</v>
      </c>
      <c r="X14" s="177">
        <f t="shared" si="8"/>
        <v>48</v>
      </c>
      <c r="Y14" s="180">
        <f t="shared" si="3"/>
        <v>145.76271186440678</v>
      </c>
      <c r="Z14" s="179"/>
      <c r="AA14" s="657">
        <f t="shared" si="4"/>
        <v>48</v>
      </c>
      <c r="AB14" s="658">
        <f>AB$6-(AA$6-AA14)*(AB$11-AB$6)/(AA$11-AA$6)</f>
        <v>215.99499999999998</v>
      </c>
      <c r="AC14" s="179"/>
      <c r="AD14" s="657">
        <f t="shared" si="5"/>
        <v>48</v>
      </c>
      <c r="AE14" s="658">
        <f t="shared" si="15"/>
        <v>360.40749999999991</v>
      </c>
      <c r="AG14" s="476"/>
      <c r="AH14" s="476"/>
      <c r="AI14" s="402"/>
      <c r="AJ14" s="177">
        <f t="shared" si="9"/>
        <v>48</v>
      </c>
      <c r="AK14" s="178">
        <f t="shared" si="14"/>
        <v>174.91525423728814</v>
      </c>
      <c r="AL14" s="179"/>
      <c r="AM14" s="661">
        <f t="shared" si="10"/>
        <v>48</v>
      </c>
      <c r="AN14" s="662">
        <f t="shared" si="11"/>
        <v>248.38625000000002</v>
      </c>
      <c r="AO14" s="179"/>
      <c r="AP14" s="661">
        <f t="shared" si="12"/>
        <v>48</v>
      </c>
      <c r="AQ14" s="662">
        <f>(AE14+BC14)/2</f>
        <v>422.85249999999996</v>
      </c>
      <c r="AS14" s="476"/>
      <c r="AT14" s="476"/>
      <c r="AU14" s="476"/>
      <c r="AV14" s="177"/>
      <c r="AW14" s="180"/>
      <c r="AX14" s="179"/>
      <c r="AY14" s="657">
        <f t="shared" si="6"/>
        <v>48</v>
      </c>
      <c r="AZ14" s="658">
        <f>AZ$6-(AY$6-AY14)*(AZ$11-AZ$6)/(AY$11-AY$6)</f>
        <v>280.77750000000003</v>
      </c>
      <c r="BA14" s="179"/>
      <c r="BB14" s="657">
        <f t="shared" si="7"/>
        <v>48</v>
      </c>
      <c r="BC14" s="658">
        <f t="shared" si="16"/>
        <v>485.29750000000001</v>
      </c>
    </row>
    <row r="15" spans="1:166" s="195" customFormat="1" ht="13.5" customHeight="1">
      <c r="A15" s="476"/>
      <c r="B15" s="177">
        <v>54</v>
      </c>
      <c r="C15" s="178">
        <v>127</v>
      </c>
      <c r="D15" s="179"/>
      <c r="E15" s="177">
        <v>54</v>
      </c>
      <c r="F15" s="180">
        <v>186</v>
      </c>
      <c r="G15" s="179"/>
      <c r="H15" s="177">
        <v>54</v>
      </c>
      <c r="I15" s="180">
        <v>296</v>
      </c>
      <c r="K15" s="476"/>
      <c r="L15" s="177">
        <v>54</v>
      </c>
      <c r="M15" s="180">
        <f t="shared" si="0"/>
        <v>95.25</v>
      </c>
      <c r="N15" s="179"/>
      <c r="O15" s="182"/>
      <c r="P15" s="337"/>
      <c r="Q15" s="179"/>
      <c r="R15" s="182"/>
      <c r="S15" s="337"/>
      <c r="U15" s="476"/>
      <c r="V15" s="476"/>
      <c r="W15" s="476"/>
      <c r="X15" s="177">
        <f t="shared" si="8"/>
        <v>54</v>
      </c>
      <c r="Y15" s="180">
        <f t="shared" si="3"/>
        <v>157.62711864406779</v>
      </c>
      <c r="Z15" s="179"/>
      <c r="AA15" s="657">
        <f t="shared" si="4"/>
        <v>54</v>
      </c>
      <c r="AB15" s="658">
        <f>AB$6-(AA$6-AA15)*(AB$11-AB$6)/(AA$11-AA$6)</f>
        <v>236.23999999999998</v>
      </c>
      <c r="AC15" s="179"/>
      <c r="AD15" s="657">
        <f t="shared" si="5"/>
        <v>54</v>
      </c>
      <c r="AE15" s="658">
        <f t="shared" si="15"/>
        <v>395.53999999999996</v>
      </c>
      <c r="AG15" s="476"/>
      <c r="AH15" s="476"/>
      <c r="AI15" s="402"/>
      <c r="AJ15" s="177">
        <f t="shared" si="9"/>
        <v>54</v>
      </c>
      <c r="AK15" s="178">
        <f t="shared" si="14"/>
        <v>189.15254237288136</v>
      </c>
      <c r="AL15" s="179"/>
      <c r="AM15" s="661">
        <f t="shared" si="10"/>
        <v>54</v>
      </c>
      <c r="AN15" s="662">
        <f t="shared" si="11"/>
        <v>272.68</v>
      </c>
      <c r="AO15" s="179"/>
      <c r="AP15" s="661">
        <f t="shared" si="12"/>
        <v>54</v>
      </c>
      <c r="AQ15" s="662">
        <f t="shared" si="13"/>
        <v>465.78999999999996</v>
      </c>
      <c r="AS15" s="476"/>
      <c r="AT15" s="476"/>
      <c r="AU15" s="476"/>
      <c r="AV15" s="177"/>
      <c r="AW15" s="180"/>
      <c r="AX15" s="179"/>
      <c r="AY15" s="657">
        <f t="shared" si="6"/>
        <v>54</v>
      </c>
      <c r="AZ15" s="658">
        <f>AZ$6-(AY$6-AY15)*(AZ$11-AZ$6)/(AY$11-AY$6)</f>
        <v>309.12</v>
      </c>
      <c r="BA15" s="179"/>
      <c r="BB15" s="657">
        <f t="shared" si="7"/>
        <v>54</v>
      </c>
      <c r="BC15" s="658">
        <f t="shared" si="16"/>
        <v>536.04</v>
      </c>
    </row>
    <row r="16" spans="1:166" s="195" customFormat="1" ht="13.5" customHeight="1">
      <c r="A16" s="476"/>
      <c r="B16" s="177">
        <v>60</v>
      </c>
      <c r="C16" s="178">
        <v>139</v>
      </c>
      <c r="D16" s="179"/>
      <c r="E16" s="177">
        <v>60</v>
      </c>
      <c r="F16" s="180">
        <v>200</v>
      </c>
      <c r="G16" s="179"/>
      <c r="H16" s="177">
        <v>60</v>
      </c>
      <c r="I16" s="180">
        <v>319</v>
      </c>
      <c r="K16" s="476"/>
      <c r="L16" s="177">
        <v>60</v>
      </c>
      <c r="M16" s="180">
        <f t="shared" si="0"/>
        <v>104.25</v>
      </c>
      <c r="N16" s="179"/>
      <c r="O16" s="182"/>
      <c r="P16" s="337"/>
      <c r="Q16" s="179"/>
      <c r="R16" s="182"/>
      <c r="S16" s="337"/>
      <c r="U16" s="476"/>
      <c r="V16" s="476"/>
      <c r="W16" s="476"/>
      <c r="X16" s="177">
        <f t="shared" si="8"/>
        <v>60</v>
      </c>
      <c r="Y16" s="180">
        <f t="shared" si="3"/>
        <v>169.4915254237288</v>
      </c>
      <c r="Z16" s="179"/>
      <c r="AA16" s="657">
        <f t="shared" si="4"/>
        <v>60</v>
      </c>
      <c r="AB16" s="658">
        <f>AB$6-(AA$6-AA16)*(AB$11-AB$6)/(AA$11-AA$6)</f>
        <v>256.48499999999996</v>
      </c>
      <c r="AC16" s="179"/>
      <c r="AD16" s="657">
        <f t="shared" si="5"/>
        <v>60</v>
      </c>
      <c r="AE16" s="658">
        <f t="shared" si="15"/>
        <v>430.67249999999996</v>
      </c>
      <c r="AG16" s="476"/>
      <c r="AH16" s="476"/>
      <c r="AI16" s="402"/>
      <c r="AJ16" s="177">
        <f t="shared" si="9"/>
        <v>60</v>
      </c>
      <c r="AK16" s="178">
        <f t="shared" si="14"/>
        <v>203.38983050847455</v>
      </c>
      <c r="AL16" s="179"/>
      <c r="AM16" s="661">
        <f t="shared" si="10"/>
        <v>60</v>
      </c>
      <c r="AN16" s="662">
        <f t="shared" si="11"/>
        <v>296.97375</v>
      </c>
      <c r="AO16" s="179"/>
      <c r="AP16" s="661">
        <f t="shared" si="12"/>
        <v>60</v>
      </c>
      <c r="AQ16" s="662">
        <f t="shared" si="13"/>
        <v>508.72749999999996</v>
      </c>
      <c r="AS16" s="476"/>
      <c r="AT16" s="476"/>
      <c r="AU16" s="476"/>
      <c r="AV16" s="177"/>
      <c r="AW16" s="180"/>
      <c r="AX16" s="179"/>
      <c r="AY16" s="657">
        <f t="shared" si="6"/>
        <v>60</v>
      </c>
      <c r="AZ16" s="658">
        <f>AZ$6-(AY$6-AY16)*(AZ$11-AZ$6)/(AY$11-AY$6)</f>
        <v>337.46249999999998</v>
      </c>
      <c r="BA16" s="179"/>
      <c r="BB16" s="657">
        <f t="shared" si="7"/>
        <v>60</v>
      </c>
      <c r="BC16" s="658">
        <f t="shared" si="16"/>
        <v>586.78249999999991</v>
      </c>
    </row>
    <row r="17" spans="1:166" s="195" customFormat="1" ht="13.5" customHeight="1">
      <c r="A17" s="476"/>
      <c r="B17" s="177">
        <v>66</v>
      </c>
      <c r="C17" s="178">
        <v>150</v>
      </c>
      <c r="D17" s="179"/>
      <c r="E17" s="177">
        <v>66</v>
      </c>
      <c r="F17" s="180">
        <v>214</v>
      </c>
      <c r="H17" s="177">
        <v>66</v>
      </c>
      <c r="I17" s="180">
        <v>342</v>
      </c>
      <c r="K17" s="476"/>
      <c r="L17" s="177">
        <v>66</v>
      </c>
      <c r="M17" s="180">
        <f t="shared" si="0"/>
        <v>112.5</v>
      </c>
      <c r="N17" s="179"/>
      <c r="O17" s="182"/>
      <c r="P17" s="337"/>
      <c r="R17" s="182"/>
      <c r="S17" s="337"/>
      <c r="U17" s="476"/>
      <c r="V17" s="476"/>
      <c r="W17" s="476"/>
      <c r="X17" s="177"/>
      <c r="Y17" s="180"/>
      <c r="AA17" s="177"/>
      <c r="AB17" s="180"/>
      <c r="AD17" s="657">
        <f t="shared" si="5"/>
        <v>66</v>
      </c>
      <c r="AE17" s="658">
        <f t="shared" si="15"/>
        <v>465.80500000000001</v>
      </c>
      <c r="AG17" s="476"/>
      <c r="AH17" s="476"/>
      <c r="AI17" s="402"/>
      <c r="AJ17" s="177"/>
      <c r="AK17" s="178"/>
      <c r="AM17" s="661"/>
      <c r="AN17" s="662"/>
      <c r="AP17" s="661">
        <f t="shared" si="12"/>
        <v>66</v>
      </c>
      <c r="AQ17" s="662">
        <f t="shared" si="13"/>
        <v>551.66499999999996</v>
      </c>
      <c r="AS17" s="476"/>
      <c r="AT17" s="476"/>
      <c r="AU17" s="476"/>
      <c r="AV17" s="177"/>
      <c r="AW17" s="180"/>
      <c r="AY17" s="177"/>
      <c r="AZ17" s="180"/>
      <c r="BB17" s="657">
        <f t="shared" si="7"/>
        <v>66</v>
      </c>
      <c r="BC17" s="658">
        <f t="shared" si="16"/>
        <v>637.52499999999998</v>
      </c>
    </row>
    <row r="18" spans="1:166" s="195" customFormat="1" ht="13.5" customHeight="1">
      <c r="A18" s="476"/>
      <c r="B18" s="177">
        <v>72</v>
      </c>
      <c r="C18" s="178">
        <v>161</v>
      </c>
      <c r="D18" s="179"/>
      <c r="E18" s="177">
        <v>72</v>
      </c>
      <c r="F18" s="180">
        <v>228</v>
      </c>
      <c r="H18" s="177">
        <v>72</v>
      </c>
      <c r="I18" s="180">
        <v>365</v>
      </c>
      <c r="K18" s="476"/>
      <c r="L18" s="177">
        <v>72</v>
      </c>
      <c r="M18" s="180">
        <f t="shared" si="0"/>
        <v>120.75</v>
      </c>
      <c r="N18" s="179"/>
      <c r="O18" s="182"/>
      <c r="P18" s="337"/>
      <c r="R18" s="182"/>
      <c r="S18" s="337"/>
      <c r="U18" s="476"/>
      <c r="V18" s="476"/>
      <c r="W18" s="476"/>
      <c r="X18" s="177"/>
      <c r="Y18" s="180"/>
      <c r="AA18" s="177"/>
      <c r="AB18" s="180"/>
      <c r="AD18" s="657">
        <f t="shared" si="5"/>
        <v>72</v>
      </c>
      <c r="AE18" s="658">
        <f t="shared" si="15"/>
        <v>500.93749999999994</v>
      </c>
      <c r="AG18" s="476"/>
      <c r="AH18" s="476"/>
      <c r="AI18" s="402"/>
      <c r="AJ18" s="177"/>
      <c r="AK18" s="178"/>
      <c r="AM18" s="661"/>
      <c r="AN18" s="662"/>
      <c r="AP18" s="661">
        <f t="shared" si="12"/>
        <v>72</v>
      </c>
      <c r="AQ18" s="662">
        <f t="shared" si="13"/>
        <v>594.60249999999996</v>
      </c>
      <c r="AS18" s="476"/>
      <c r="AT18" s="476"/>
      <c r="AU18" s="476"/>
      <c r="AV18" s="177"/>
      <c r="AW18" s="180"/>
      <c r="AY18" s="177"/>
      <c r="AZ18" s="180"/>
      <c r="BB18" s="657">
        <f t="shared" si="7"/>
        <v>72</v>
      </c>
      <c r="BC18" s="658">
        <f t="shared" si="16"/>
        <v>688.26750000000004</v>
      </c>
    </row>
    <row r="19" spans="1:166" s="195" customFormat="1" ht="13.5" customHeight="1">
      <c r="A19" s="476"/>
      <c r="B19" s="177">
        <v>78</v>
      </c>
      <c r="C19" s="178">
        <f t="shared" ref="C19:C26" si="17">+C18+11</f>
        <v>172</v>
      </c>
      <c r="E19" s="177">
        <v>78</v>
      </c>
      <c r="F19" s="180">
        <f>+F18+14</f>
        <v>242</v>
      </c>
      <c r="H19" s="177">
        <v>78</v>
      </c>
      <c r="I19" s="180">
        <f>+I18+23</f>
        <v>388</v>
      </c>
      <c r="K19" s="476"/>
      <c r="L19" s="177">
        <v>78</v>
      </c>
      <c r="M19" s="180">
        <f t="shared" si="0"/>
        <v>129</v>
      </c>
      <c r="O19" s="182"/>
      <c r="P19" s="337"/>
      <c r="R19" s="182"/>
      <c r="S19" s="337"/>
      <c r="U19" s="476"/>
      <c r="V19" s="476"/>
      <c r="W19" s="476"/>
      <c r="X19" s="177"/>
      <c r="Y19" s="180"/>
      <c r="AA19" s="177"/>
      <c r="AB19" s="180"/>
      <c r="AD19" s="657">
        <f t="shared" si="5"/>
        <v>78</v>
      </c>
      <c r="AE19" s="658">
        <f t="shared" si="15"/>
        <v>536.06999999999994</v>
      </c>
      <c r="AG19" s="476"/>
      <c r="AH19" s="476"/>
      <c r="AI19" s="402"/>
      <c r="AJ19" s="177"/>
      <c r="AK19" s="178"/>
      <c r="AM19" s="177"/>
      <c r="AN19" s="180"/>
      <c r="AP19" s="661">
        <f t="shared" si="12"/>
        <v>78</v>
      </c>
      <c r="AQ19" s="662">
        <f t="shared" si="13"/>
        <v>637.54</v>
      </c>
      <c r="AS19" s="476"/>
      <c r="AT19" s="476"/>
      <c r="AU19" s="476"/>
      <c r="AV19" s="177"/>
      <c r="AW19" s="180"/>
      <c r="AY19" s="177"/>
      <c r="AZ19" s="180"/>
      <c r="BB19" s="657">
        <f t="shared" si="7"/>
        <v>78</v>
      </c>
      <c r="BC19" s="658">
        <f t="shared" si="16"/>
        <v>739.01</v>
      </c>
    </row>
    <row r="20" spans="1:166" s="195" customFormat="1" ht="13.5" customHeight="1">
      <c r="A20" s="476"/>
      <c r="B20" s="177">
        <f>+B19+6</f>
        <v>84</v>
      </c>
      <c r="C20" s="178">
        <f t="shared" si="17"/>
        <v>183</v>
      </c>
      <c r="E20" s="177">
        <f>+E19+6</f>
        <v>84</v>
      </c>
      <c r="F20" s="180">
        <f>+F19+14</f>
        <v>256</v>
      </c>
      <c r="H20" s="177">
        <f>+H19+6</f>
        <v>84</v>
      </c>
      <c r="I20" s="180">
        <f>+I19+23</f>
        <v>411</v>
      </c>
      <c r="K20" s="476"/>
      <c r="L20" s="177">
        <f>+L19+6</f>
        <v>84</v>
      </c>
      <c r="M20" s="180">
        <f t="shared" si="0"/>
        <v>137.25</v>
      </c>
      <c r="O20" s="182"/>
      <c r="P20" s="337"/>
      <c r="R20" s="182"/>
      <c r="S20" s="337"/>
      <c r="U20" s="476"/>
      <c r="V20" s="476"/>
      <c r="W20" s="476"/>
      <c r="X20" s="177"/>
      <c r="Y20" s="180"/>
      <c r="AA20" s="177"/>
      <c r="AB20" s="180"/>
      <c r="AD20" s="657"/>
      <c r="AE20" s="658"/>
      <c r="AG20" s="476"/>
      <c r="AH20" s="476"/>
      <c r="AI20" s="402"/>
      <c r="AJ20" s="177"/>
      <c r="AK20" s="178"/>
      <c r="AM20" s="177"/>
      <c r="AN20" s="180"/>
      <c r="AP20" s="661"/>
      <c r="AQ20" s="662"/>
      <c r="AS20" s="476"/>
      <c r="AT20" s="476"/>
      <c r="AU20" s="476"/>
      <c r="AV20" s="177"/>
      <c r="AW20" s="180"/>
      <c r="AY20" s="177"/>
      <c r="AZ20" s="180"/>
      <c r="BB20" s="657"/>
      <c r="BC20" s="658"/>
    </row>
    <row r="21" spans="1:166" s="195" customFormat="1" ht="13.5" customHeight="1">
      <c r="A21" s="476"/>
      <c r="B21" s="177">
        <v>90</v>
      </c>
      <c r="C21" s="178">
        <f t="shared" si="17"/>
        <v>194</v>
      </c>
      <c r="E21" s="177">
        <v>90</v>
      </c>
      <c r="F21" s="180">
        <f>+F20+14</f>
        <v>270</v>
      </c>
      <c r="H21" s="177">
        <v>90</v>
      </c>
      <c r="I21" s="180">
        <f>+I20+23</f>
        <v>434</v>
      </c>
      <c r="K21" s="476"/>
      <c r="L21" s="177">
        <v>90</v>
      </c>
      <c r="M21" s="180">
        <f t="shared" si="0"/>
        <v>145.5</v>
      </c>
      <c r="O21" s="182"/>
      <c r="P21" s="337"/>
      <c r="R21" s="182"/>
      <c r="S21" s="337"/>
      <c r="U21" s="476"/>
      <c r="V21" s="476"/>
      <c r="W21" s="476"/>
      <c r="X21" s="177"/>
      <c r="Y21" s="180"/>
      <c r="AA21" s="177"/>
      <c r="AB21" s="180"/>
      <c r="AD21" s="657"/>
      <c r="AE21" s="658"/>
      <c r="AG21" s="476"/>
      <c r="AH21" s="476"/>
      <c r="AI21" s="402"/>
      <c r="AJ21" s="177"/>
      <c r="AK21" s="178"/>
      <c r="AM21" s="177"/>
      <c r="AN21" s="180"/>
      <c r="AP21" s="661"/>
      <c r="AQ21" s="662"/>
      <c r="AS21" s="476"/>
      <c r="AT21" s="476"/>
      <c r="AU21" s="476"/>
      <c r="AV21" s="177"/>
      <c r="AW21" s="180"/>
      <c r="AY21" s="177"/>
      <c r="AZ21" s="180"/>
      <c r="BB21" s="657"/>
      <c r="BC21" s="658"/>
    </row>
    <row r="22" spans="1:166" s="195" customFormat="1" ht="13.5" customHeight="1">
      <c r="A22" s="476"/>
      <c r="B22" s="177">
        <v>96</v>
      </c>
      <c r="C22" s="178">
        <f t="shared" si="17"/>
        <v>205</v>
      </c>
      <c r="E22" s="177">
        <v>96</v>
      </c>
      <c r="F22" s="180">
        <f>+F21+11</f>
        <v>281</v>
      </c>
      <c r="H22" s="177">
        <v>94</v>
      </c>
      <c r="I22" s="180">
        <f>+I21+11</f>
        <v>445</v>
      </c>
      <c r="K22" s="476"/>
      <c r="L22" s="177">
        <v>96</v>
      </c>
      <c r="M22" s="180">
        <f t="shared" si="0"/>
        <v>153.75</v>
      </c>
      <c r="O22" s="182"/>
      <c r="P22" s="337"/>
      <c r="R22" s="182"/>
      <c r="S22" s="337"/>
      <c r="U22" s="476"/>
      <c r="V22" s="476"/>
      <c r="W22" s="476"/>
      <c r="X22" s="177"/>
      <c r="Y22" s="180"/>
      <c r="AA22" s="177"/>
      <c r="AB22" s="180"/>
      <c r="AD22" s="657"/>
      <c r="AE22" s="658"/>
      <c r="AG22" s="476"/>
      <c r="AH22" s="476"/>
      <c r="AI22" s="402"/>
      <c r="AJ22" s="177"/>
      <c r="AK22" s="178"/>
      <c r="AM22" s="177"/>
      <c r="AN22" s="180"/>
      <c r="AP22" s="661"/>
      <c r="AQ22" s="662"/>
      <c r="AS22" s="476"/>
      <c r="AT22" s="476"/>
      <c r="AU22" s="476"/>
      <c r="AV22" s="177"/>
      <c r="AW22" s="180"/>
      <c r="AY22" s="177"/>
      <c r="AZ22" s="180"/>
      <c r="BB22" s="657"/>
      <c r="BC22" s="658"/>
    </row>
    <row r="23" spans="1:166" s="195" customFormat="1" ht="13.5" customHeight="1">
      <c r="A23" s="476"/>
      <c r="B23" s="177">
        <v>102</v>
      </c>
      <c r="C23" s="178">
        <f t="shared" si="17"/>
        <v>216</v>
      </c>
      <c r="E23" s="177">
        <v>102</v>
      </c>
      <c r="F23" s="410">
        <f>(F22-F21)*(E23-E22)/(E22-E21)+F22</f>
        <v>292</v>
      </c>
      <c r="H23" s="177">
        <v>102</v>
      </c>
      <c r="I23" s="410">
        <f>(I22-I21)*(H23-H22)/(H22-H21)+I22</f>
        <v>467</v>
      </c>
      <c r="K23" s="476"/>
      <c r="L23" s="177">
        <v>102</v>
      </c>
      <c r="M23" s="180">
        <f t="shared" si="0"/>
        <v>162</v>
      </c>
      <c r="O23" s="182"/>
      <c r="P23" s="337"/>
      <c r="R23" s="182"/>
      <c r="S23" s="337"/>
      <c r="U23" s="476"/>
      <c r="V23" s="476"/>
      <c r="W23" s="476"/>
      <c r="X23" s="177"/>
      <c r="Y23" s="180"/>
      <c r="AA23" s="177"/>
      <c r="AB23" s="180"/>
      <c r="AD23" s="657"/>
      <c r="AE23" s="658"/>
      <c r="AG23" s="476"/>
      <c r="AH23" s="476"/>
      <c r="AI23" s="402"/>
      <c r="AJ23" s="177"/>
      <c r="AK23" s="178"/>
      <c r="AM23" s="177"/>
      <c r="AN23" s="180"/>
      <c r="AP23" s="661"/>
      <c r="AQ23" s="662"/>
      <c r="AS23" s="476"/>
      <c r="AT23" s="476"/>
      <c r="AU23" s="476"/>
      <c r="AV23" s="177"/>
      <c r="AW23" s="180"/>
      <c r="AY23" s="177"/>
      <c r="AZ23" s="180"/>
      <c r="BB23" s="657"/>
      <c r="BC23" s="658"/>
    </row>
    <row r="24" spans="1:166" s="195" customFormat="1" ht="13.5" customHeight="1">
      <c r="A24" s="476"/>
      <c r="B24" s="177">
        <v>108</v>
      </c>
      <c r="C24" s="178">
        <f t="shared" si="17"/>
        <v>227</v>
      </c>
      <c r="E24" s="177">
        <v>108</v>
      </c>
      <c r="F24" s="410">
        <f>(F23-F22)*(E24-E23)/(E23-E22)+F23</f>
        <v>303</v>
      </c>
      <c r="H24" s="177">
        <v>108</v>
      </c>
      <c r="I24" s="410">
        <f>(I23-I22)*(H24-H23)/(H23-H22)+I23</f>
        <v>483.5</v>
      </c>
      <c r="K24" s="476"/>
      <c r="L24" s="177">
        <v>108</v>
      </c>
      <c r="M24" s="180">
        <f t="shared" si="0"/>
        <v>170.25</v>
      </c>
      <c r="O24" s="182"/>
      <c r="P24" s="337"/>
      <c r="R24" s="182"/>
      <c r="S24" s="337"/>
      <c r="U24" s="476"/>
      <c r="V24" s="476"/>
      <c r="W24" s="476"/>
      <c r="X24" s="177"/>
      <c r="Y24" s="180"/>
      <c r="AA24" s="177"/>
      <c r="AB24" s="180"/>
      <c r="AD24" s="657"/>
      <c r="AE24" s="658"/>
      <c r="AG24" s="476"/>
      <c r="AH24" s="476"/>
      <c r="AI24" s="402"/>
      <c r="AJ24" s="177"/>
      <c r="AK24" s="178"/>
      <c r="AM24" s="177"/>
      <c r="AN24" s="180"/>
      <c r="AP24" s="661"/>
      <c r="AQ24" s="662"/>
      <c r="AS24" s="476"/>
      <c r="AT24" s="476"/>
      <c r="AU24" s="476"/>
      <c r="AV24" s="177"/>
      <c r="AW24" s="180"/>
      <c r="AY24" s="177"/>
      <c r="AZ24" s="180"/>
      <c r="BB24" s="657"/>
      <c r="BC24" s="658"/>
    </row>
    <row r="25" spans="1:166" s="195" customFormat="1" ht="13.5" customHeight="1">
      <c r="A25" s="476"/>
      <c r="B25" s="177">
        <v>114</v>
      </c>
      <c r="C25" s="178">
        <f t="shared" si="17"/>
        <v>238</v>
      </c>
      <c r="E25" s="177">
        <v>114</v>
      </c>
      <c r="F25" s="410">
        <f>(F24-F23)*(E25-E24)/(E24-E23)+F24</f>
        <v>314</v>
      </c>
      <c r="H25" s="177">
        <v>114</v>
      </c>
      <c r="I25" s="410">
        <f>(I24-I23)*(H25-H24)/(H24-H23)+I24</f>
        <v>500</v>
      </c>
      <c r="K25" s="476"/>
      <c r="L25" s="177">
        <v>114</v>
      </c>
      <c r="M25" s="180">
        <f t="shared" si="0"/>
        <v>178.5</v>
      </c>
      <c r="O25" s="182"/>
      <c r="P25" s="337"/>
      <c r="R25" s="182"/>
      <c r="S25" s="337"/>
      <c r="U25" s="476"/>
      <c r="V25" s="476"/>
      <c r="W25" s="476"/>
      <c r="X25" s="177"/>
      <c r="Y25" s="180"/>
      <c r="AA25" s="177"/>
      <c r="AB25" s="180"/>
      <c r="AD25" s="657"/>
      <c r="AE25" s="658"/>
      <c r="AG25" s="476"/>
      <c r="AH25" s="476"/>
      <c r="AI25" s="402"/>
      <c r="AJ25" s="177"/>
      <c r="AK25" s="178"/>
      <c r="AM25" s="177"/>
      <c r="AN25" s="180"/>
      <c r="AP25" s="661"/>
      <c r="AQ25" s="662"/>
      <c r="AS25" s="476"/>
      <c r="AT25" s="476"/>
      <c r="AU25" s="476"/>
      <c r="AV25" s="177"/>
      <c r="AW25" s="180"/>
      <c r="AY25" s="177"/>
      <c r="AZ25" s="180"/>
      <c r="BB25" s="657"/>
      <c r="BC25" s="658"/>
    </row>
    <row r="26" spans="1:166" s="195" customFormat="1" ht="13.5" customHeight="1">
      <c r="A26" s="476"/>
      <c r="B26" s="184">
        <v>120</v>
      </c>
      <c r="C26" s="185">
        <f t="shared" si="17"/>
        <v>249</v>
      </c>
      <c r="D26" s="194"/>
      <c r="E26" s="184">
        <v>120</v>
      </c>
      <c r="F26" s="410">
        <f>(F25-F24)*(E26-E25)/(E25-E24)+F25</f>
        <v>325</v>
      </c>
      <c r="G26" s="194"/>
      <c r="H26" s="184">
        <v>120</v>
      </c>
      <c r="I26" s="410">
        <f>(I25-I24)*(H26-H25)/(H25-H24)+I25</f>
        <v>516.5</v>
      </c>
      <c r="K26" s="476"/>
      <c r="L26" s="184">
        <v>120</v>
      </c>
      <c r="M26" s="186">
        <f t="shared" si="0"/>
        <v>186.75</v>
      </c>
      <c r="N26" s="194"/>
      <c r="O26" s="187"/>
      <c r="P26" s="188"/>
      <c r="Q26" s="194"/>
      <c r="R26" s="187"/>
      <c r="S26" s="188"/>
      <c r="U26" s="476"/>
      <c r="V26" s="476"/>
      <c r="W26" s="476"/>
      <c r="X26" s="184"/>
      <c r="Y26" s="186"/>
      <c r="Z26" s="194"/>
      <c r="AA26" s="184"/>
      <c r="AB26" s="186"/>
      <c r="AC26" s="194"/>
      <c r="AD26" s="184"/>
      <c r="AE26" s="186"/>
      <c r="AG26" s="476"/>
      <c r="AH26" s="476"/>
      <c r="AI26" s="402"/>
      <c r="AJ26" s="184"/>
      <c r="AK26" s="185"/>
      <c r="AL26" s="194"/>
      <c r="AM26" s="184"/>
      <c r="AN26" s="186"/>
      <c r="AO26" s="194"/>
      <c r="AP26" s="184"/>
      <c r="AQ26" s="186"/>
      <c r="AS26" s="476"/>
      <c r="AT26" s="476"/>
      <c r="AU26" s="476"/>
      <c r="AV26" s="184"/>
      <c r="AW26" s="186"/>
      <c r="AX26" s="194"/>
      <c r="AY26" s="184"/>
      <c r="AZ26" s="186"/>
      <c r="BA26" s="194"/>
      <c r="BB26" s="184"/>
      <c r="BC26" s="186"/>
    </row>
    <row r="27" spans="1:166" s="195" customFormat="1" ht="16.5" customHeight="1" thickBot="1">
      <c r="A27" s="476"/>
      <c r="B27" s="189"/>
      <c r="C27" s="123"/>
      <c r="D27" s="194"/>
      <c r="E27" s="122"/>
      <c r="F27" s="123"/>
      <c r="G27" s="194"/>
      <c r="H27" s="122"/>
      <c r="I27" s="123"/>
    </row>
    <row r="28" spans="1:166" s="171" customFormat="1" ht="25.5" customHeight="1" thickBot="1">
      <c r="A28" s="414" t="s">
        <v>1535</v>
      </c>
      <c r="B28" s="334" t="s">
        <v>1049</v>
      </c>
      <c r="C28" s="334" t="s">
        <v>719</v>
      </c>
      <c r="D28" s="175"/>
      <c r="E28" s="334" t="s">
        <v>1049</v>
      </c>
      <c r="F28" s="334" t="s">
        <v>719</v>
      </c>
      <c r="G28" s="175"/>
      <c r="H28" s="334" t="s">
        <v>1049</v>
      </c>
      <c r="I28" s="334" t="s">
        <v>719</v>
      </c>
      <c r="J28" s="126"/>
      <c r="K28" s="126"/>
      <c r="L28" s="126"/>
      <c r="M28" s="126"/>
      <c r="N28" s="126"/>
      <c r="O28" s="126"/>
      <c r="P28" s="126"/>
      <c r="Q28" s="126"/>
      <c r="R28" s="126"/>
      <c r="S28" s="126"/>
      <c r="T28" s="126"/>
      <c r="U28" s="414" t="s">
        <v>1535</v>
      </c>
      <c r="V28" s="334" t="s">
        <v>1049</v>
      </c>
      <c r="W28" s="334" t="s">
        <v>719</v>
      </c>
      <c r="X28" s="334" t="s">
        <v>1049</v>
      </c>
      <c r="Y28" s="334" t="s">
        <v>719</v>
      </c>
      <c r="Z28" s="175"/>
      <c r="AA28" s="334" t="s">
        <v>1049</v>
      </c>
      <c r="AB28" s="334" t="s">
        <v>719</v>
      </c>
      <c r="AC28" s="175"/>
      <c r="AD28" s="334" t="s">
        <v>1049</v>
      </c>
      <c r="AE28" s="334" t="s">
        <v>719</v>
      </c>
      <c r="AF28" s="126"/>
      <c r="AG28" s="414" t="s">
        <v>1535</v>
      </c>
      <c r="AH28" s="334"/>
      <c r="AI28" s="334"/>
      <c r="AJ28" s="334" t="s">
        <v>1049</v>
      </c>
      <c r="AK28" s="334" t="s">
        <v>719</v>
      </c>
      <c r="AL28" s="175"/>
      <c r="AM28" s="334" t="s">
        <v>1049</v>
      </c>
      <c r="AN28" s="334" t="s">
        <v>719</v>
      </c>
      <c r="AO28" s="175"/>
      <c r="AP28" s="334" t="s">
        <v>1049</v>
      </c>
      <c r="AQ28" s="334" t="s">
        <v>719</v>
      </c>
      <c r="AR28" s="126"/>
      <c r="AS28" s="414" t="s">
        <v>1535</v>
      </c>
      <c r="AT28" s="334"/>
      <c r="AU28" s="334"/>
      <c r="AV28" s="334" t="s">
        <v>1049</v>
      </c>
      <c r="AW28" s="334" t="s">
        <v>719</v>
      </c>
      <c r="AX28" s="175"/>
      <c r="AY28" s="334" t="s">
        <v>1049</v>
      </c>
      <c r="AZ28" s="334" t="s">
        <v>719</v>
      </c>
      <c r="BA28" s="175"/>
      <c r="BB28" s="334" t="s">
        <v>1049</v>
      </c>
      <c r="BC28" s="334" t="s">
        <v>719</v>
      </c>
      <c r="BD28" s="126"/>
      <c r="BE28" s="126"/>
      <c r="BF28" s="126"/>
      <c r="BG28" s="126"/>
      <c r="BH28" s="126"/>
      <c r="BI28" s="126"/>
      <c r="BJ28" s="126"/>
      <c r="BK28" s="126"/>
      <c r="BL28" s="126"/>
      <c r="BM28" s="126"/>
      <c r="BN28" s="126"/>
      <c r="BO28" s="126"/>
      <c r="BP28" s="126"/>
      <c r="BQ28" s="126"/>
      <c r="BR28" s="126"/>
      <c r="BS28" s="126"/>
      <c r="BT28" s="126"/>
      <c r="BU28" s="126"/>
      <c r="BV28" s="126"/>
      <c r="BW28" s="126"/>
      <c r="BX28" s="126"/>
      <c r="BY28" s="126"/>
      <c r="BZ28" s="126"/>
      <c r="CA28" s="126"/>
      <c r="CB28" s="126"/>
      <c r="CC28" s="126"/>
      <c r="CD28" s="126"/>
      <c r="CE28" s="126"/>
      <c r="CF28" s="126"/>
      <c r="CG28" s="126"/>
      <c r="CH28" s="126"/>
      <c r="CI28" s="126"/>
      <c r="CJ28" s="126"/>
      <c r="CK28" s="126"/>
      <c r="CL28" s="126"/>
      <c r="CM28" s="126"/>
      <c r="CN28" s="126"/>
      <c r="CO28" s="126"/>
      <c r="CP28" s="126"/>
      <c r="CQ28" s="126"/>
      <c r="CR28" s="126"/>
      <c r="CS28" s="126"/>
      <c r="CT28" s="126"/>
      <c r="CU28" s="126"/>
      <c r="CV28" s="126"/>
      <c r="CW28" s="126"/>
      <c r="CX28" s="126"/>
      <c r="CY28" s="126"/>
      <c r="CZ28" s="126"/>
      <c r="DA28" s="126"/>
      <c r="DB28" s="126"/>
      <c r="DC28" s="126"/>
      <c r="DD28" s="126"/>
      <c r="DE28" s="126"/>
      <c r="DF28" s="126"/>
      <c r="DG28" s="126"/>
      <c r="DH28" s="126"/>
      <c r="DI28" s="126"/>
      <c r="DJ28" s="126"/>
      <c r="DK28" s="126"/>
      <c r="DL28" s="126"/>
      <c r="DM28" s="126"/>
      <c r="DN28" s="126"/>
      <c r="DO28" s="126"/>
      <c r="DP28" s="126"/>
      <c r="DQ28" s="126"/>
      <c r="DR28" s="126"/>
      <c r="DS28" s="126"/>
      <c r="DT28" s="126"/>
      <c r="DU28" s="126"/>
      <c r="DV28" s="126"/>
      <c r="DW28" s="126"/>
      <c r="DX28" s="126"/>
      <c r="DY28" s="126"/>
      <c r="DZ28" s="126"/>
      <c r="EA28" s="126"/>
      <c r="EB28" s="126"/>
      <c r="EC28" s="126"/>
      <c r="ED28" s="126"/>
      <c r="EE28" s="126"/>
      <c r="EF28" s="126"/>
      <c r="EG28" s="126"/>
      <c r="EH28" s="126"/>
      <c r="EI28" s="126"/>
      <c r="EJ28" s="126"/>
      <c r="EK28" s="126"/>
      <c r="EL28" s="126"/>
      <c r="EM28" s="126"/>
      <c r="EN28" s="126"/>
      <c r="EO28" s="126"/>
      <c r="EP28" s="126"/>
      <c r="EQ28" s="126"/>
      <c r="ER28" s="126"/>
      <c r="ES28" s="126"/>
      <c r="ET28" s="126"/>
      <c r="EU28" s="126"/>
      <c r="EV28" s="126"/>
      <c r="EW28" s="126"/>
      <c r="EX28" s="126"/>
      <c r="EY28" s="126"/>
      <c r="EZ28" s="126"/>
      <c r="FA28" s="126"/>
      <c r="FB28" s="126"/>
      <c r="FC28" s="126"/>
      <c r="FD28" s="126"/>
      <c r="FE28" s="126"/>
      <c r="FF28" s="126"/>
      <c r="FG28" s="126"/>
      <c r="FH28" s="126"/>
      <c r="FI28" s="126"/>
      <c r="FJ28" s="126"/>
    </row>
    <row r="29" spans="1:166" s="195" customFormat="1">
      <c r="A29" s="476"/>
      <c r="B29" s="190" t="s">
        <v>724</v>
      </c>
      <c r="C29" s="180">
        <v>20.8</v>
      </c>
      <c r="D29" s="179"/>
      <c r="E29" s="190" t="s">
        <v>724</v>
      </c>
      <c r="F29" s="180">
        <v>37.18</v>
      </c>
      <c r="G29" s="179"/>
      <c r="H29" s="190" t="s">
        <v>724</v>
      </c>
      <c r="I29" s="180">
        <v>57.2</v>
      </c>
      <c r="U29" s="476"/>
      <c r="V29" s="476"/>
      <c r="W29" s="476"/>
      <c r="X29" s="177"/>
      <c r="Y29" s="180"/>
      <c r="Z29" s="179"/>
      <c r="AA29" s="177"/>
      <c r="AB29" s="180"/>
      <c r="AC29" s="179"/>
      <c r="AD29" s="177"/>
      <c r="AE29" s="180"/>
      <c r="AG29" s="476"/>
      <c r="AH29" s="476"/>
      <c r="AI29" s="476"/>
      <c r="AJ29" s="177"/>
      <c r="AK29" s="180"/>
      <c r="AL29" s="179"/>
      <c r="AM29" s="177"/>
      <c r="AN29" s="180"/>
      <c r="AO29" s="179"/>
      <c r="AP29" s="177"/>
      <c r="AQ29" s="180"/>
      <c r="AS29" s="476"/>
      <c r="AT29" s="476"/>
      <c r="AU29" s="476"/>
      <c r="AV29" s="177"/>
      <c r="AW29" s="180"/>
      <c r="AX29" s="179"/>
      <c r="AY29" s="177"/>
      <c r="AZ29" s="180"/>
      <c r="BA29" s="179"/>
      <c r="BB29" s="177"/>
      <c r="BC29" s="180"/>
    </row>
    <row r="30" spans="1:166" s="195" customFormat="1">
      <c r="A30" s="476"/>
      <c r="B30" s="177" t="s">
        <v>725</v>
      </c>
      <c r="C30" s="180">
        <v>31.2</v>
      </c>
      <c r="D30" s="179"/>
      <c r="E30" s="177" t="s">
        <v>725</v>
      </c>
      <c r="F30" s="180">
        <v>55.9</v>
      </c>
      <c r="G30" s="179"/>
      <c r="H30" s="177" t="s">
        <v>725</v>
      </c>
      <c r="I30" s="180">
        <v>85.8</v>
      </c>
      <c r="U30" s="476"/>
      <c r="V30" s="405" t="str">
        <f>$E30</f>
        <v>06</v>
      </c>
      <c r="W30" s="406">
        <f>$C30*(25/(17.5+12))</f>
        <v>26.440677966101692</v>
      </c>
      <c r="X30" s="177" t="str">
        <f>$B30</f>
        <v>06</v>
      </c>
      <c r="Y30" s="180">
        <f t="shared" ref="Y30:Y40" si="18">$F30*(25/(17.5+11))</f>
        <v>49.03508771929824</v>
      </c>
      <c r="Z30" s="179"/>
      <c r="AA30" s="474" t="str">
        <f t="shared" ref="AA30:AA40" si="19">$H30</f>
        <v>06</v>
      </c>
      <c r="AB30" s="475">
        <v>96.71</v>
      </c>
      <c r="AC30" s="179"/>
      <c r="AD30" s="474" t="str">
        <f t="shared" ref="AD30:AD43" si="20">$H30</f>
        <v>06</v>
      </c>
      <c r="AE30" s="475">
        <v>148.44999999999999</v>
      </c>
      <c r="AG30" s="476"/>
      <c r="AH30" s="469" t="str">
        <f>$E30</f>
        <v>06</v>
      </c>
      <c r="AI30" s="406">
        <f>W30*(30/25)</f>
        <v>31.728813559322028</v>
      </c>
      <c r="AJ30" s="177" t="str">
        <f>$E30</f>
        <v>06</v>
      </c>
      <c r="AK30" s="178">
        <f>Y30*(30/25)</f>
        <v>58.842105263157883</v>
      </c>
      <c r="AL30" s="179"/>
      <c r="AM30" s="661" t="str">
        <f>$H30</f>
        <v>06</v>
      </c>
      <c r="AN30" s="662">
        <f>(AB30+AZ30)/2</f>
        <v>101.50999999999999</v>
      </c>
      <c r="AO30" s="179"/>
      <c r="AP30" s="661" t="str">
        <f>$H30</f>
        <v>06</v>
      </c>
      <c r="AQ30" s="662">
        <f>(AE30+BC30)/2</f>
        <v>157.755</v>
      </c>
      <c r="AS30" s="476"/>
      <c r="AT30" s="476"/>
      <c r="AU30" s="476"/>
      <c r="AV30" s="177" t="str">
        <f>$E30</f>
        <v>06</v>
      </c>
      <c r="AW30" s="178">
        <f>AK30*(30/25)</f>
        <v>70.610526315789457</v>
      </c>
      <c r="AX30" s="179"/>
      <c r="AY30" s="474" t="str">
        <f t="shared" ref="AY30:AY40" si="21">$H30</f>
        <v>06</v>
      </c>
      <c r="AZ30" s="475">
        <v>106.31</v>
      </c>
      <c r="BA30" s="179"/>
      <c r="BB30" s="474" t="str">
        <f t="shared" ref="BB30:BB43" si="22">$H30</f>
        <v>06</v>
      </c>
      <c r="BC30" s="475">
        <v>167.06</v>
      </c>
    </row>
    <row r="31" spans="1:166" s="195" customFormat="1">
      <c r="A31" s="476"/>
      <c r="B31" s="177" t="s">
        <v>726</v>
      </c>
      <c r="C31" s="180">
        <v>41.6</v>
      </c>
      <c r="D31" s="179"/>
      <c r="E31" s="177" t="s">
        <v>726</v>
      </c>
      <c r="F31" s="180">
        <v>74.489999999999995</v>
      </c>
      <c r="G31" s="179"/>
      <c r="H31" s="177" t="s">
        <v>726</v>
      </c>
      <c r="I31" s="180">
        <v>114.4</v>
      </c>
      <c r="U31" s="476"/>
      <c r="V31" s="405" t="str">
        <f t="shared" ref="V31:V39" si="23">$E31</f>
        <v>08</v>
      </c>
      <c r="W31" s="406">
        <f>$C31*(25/(17.5+12))</f>
        <v>35.254237288135592</v>
      </c>
      <c r="X31" s="177" t="str">
        <f t="shared" ref="X31:X38" si="24">$B31</f>
        <v>08</v>
      </c>
      <c r="Y31" s="180">
        <f t="shared" si="18"/>
        <v>65.34210526315789</v>
      </c>
      <c r="Z31" s="179"/>
      <c r="AA31" s="657" t="str">
        <f t="shared" si="19"/>
        <v>08</v>
      </c>
      <c r="AB31" s="658">
        <f>AB$30-(AA$30-AA31)*(AB$35-AB$30)/(AA$35-AA$30)</f>
        <v>104.7075</v>
      </c>
      <c r="AC31" s="179"/>
      <c r="AD31" s="657" t="str">
        <f t="shared" si="20"/>
        <v>08</v>
      </c>
      <c r="AE31" s="658">
        <f>AE$30-(AD$30-AD31)*(AE$35-AE$30)/(AD$35-AD$30)</f>
        <v>162.66333333333333</v>
      </c>
      <c r="AG31" s="476"/>
      <c r="AH31" s="470" t="str">
        <f>$E31</f>
        <v>08</v>
      </c>
      <c r="AI31" s="406">
        <f>W31*(30/25)</f>
        <v>42.305084745762706</v>
      </c>
      <c r="AJ31" s="177" t="str">
        <f t="shared" ref="AJ31:AJ40" si="25">$E31</f>
        <v>08</v>
      </c>
      <c r="AK31" s="178">
        <f>Y31*(30/25)</f>
        <v>78.410526315789468</v>
      </c>
      <c r="AL31" s="179"/>
      <c r="AM31" s="661" t="str">
        <f t="shared" ref="AM31:AM40" si="26">$H31</f>
        <v>08</v>
      </c>
      <c r="AN31" s="662">
        <f t="shared" ref="AN31:AN40" si="27">(AB31+AZ31)/2</f>
        <v>111.10666666666665</v>
      </c>
      <c r="AO31" s="179"/>
      <c r="AP31" s="661" t="str">
        <f t="shared" ref="AP31:AP43" si="28">$H31</f>
        <v>08</v>
      </c>
      <c r="AQ31" s="662">
        <f t="shared" ref="AQ31:AQ43" si="29">(AE31+BC31)/2</f>
        <v>175.07124999999999</v>
      </c>
      <c r="AS31" s="476"/>
      <c r="AT31" s="476"/>
      <c r="AU31" s="476"/>
      <c r="AV31" s="177"/>
      <c r="AW31" s="180"/>
      <c r="AX31" s="179"/>
      <c r="AY31" s="657" t="str">
        <f t="shared" si="21"/>
        <v>08</v>
      </c>
      <c r="AZ31" s="658">
        <f>AZ$30-(AY$30-AY31)*(AZ$35-AZ$30)/(AY$35-AY$30)</f>
        <v>117.50583333333333</v>
      </c>
      <c r="BA31" s="179"/>
      <c r="BB31" s="657" t="str">
        <f t="shared" si="22"/>
        <v>08</v>
      </c>
      <c r="BC31" s="658">
        <f>BC$30-(BB$30-BB31)*(BC$35-BC$30)/(BB$35-BB$30)</f>
        <v>187.47916666666666</v>
      </c>
    </row>
    <row r="32" spans="1:166" s="195" customFormat="1">
      <c r="A32" s="476"/>
      <c r="B32" s="177">
        <v>12</v>
      </c>
      <c r="C32" s="180">
        <v>62.4</v>
      </c>
      <c r="D32" s="179"/>
      <c r="E32" s="177">
        <v>12</v>
      </c>
      <c r="F32" s="180">
        <v>111.8</v>
      </c>
      <c r="G32" s="179"/>
      <c r="H32" s="177">
        <v>12</v>
      </c>
      <c r="I32" s="180">
        <v>171.6</v>
      </c>
      <c r="U32" s="476"/>
      <c r="V32" s="405">
        <f t="shared" si="23"/>
        <v>12</v>
      </c>
      <c r="W32" s="406">
        <f t="shared" ref="W32:W39" si="30">$C32*(25/(17.5+12))</f>
        <v>52.881355932203384</v>
      </c>
      <c r="X32" s="177">
        <f t="shared" si="24"/>
        <v>12</v>
      </c>
      <c r="Y32" s="180">
        <f t="shared" si="18"/>
        <v>98.070175438596479</v>
      </c>
      <c r="Z32" s="179"/>
      <c r="AA32" s="657">
        <f t="shared" si="19"/>
        <v>12</v>
      </c>
      <c r="AB32" s="658">
        <f>AB$30-(AA$30-AA32)*(AB$35-AB$30)/(AA$35-AA$30)</f>
        <v>120.7025</v>
      </c>
      <c r="AC32" s="179"/>
      <c r="AD32" s="657">
        <f t="shared" si="20"/>
        <v>12</v>
      </c>
      <c r="AE32" s="658">
        <f>AE$30-(AD$30-AD32)*(AE$35-AE$30)/(AD$35-AD$30)</f>
        <v>191.08999999999997</v>
      </c>
      <c r="AG32" s="476"/>
      <c r="AH32" s="471">
        <f>$E32</f>
        <v>12</v>
      </c>
      <c r="AI32" s="406">
        <f>W32*(30/25)</f>
        <v>63.457627118644055</v>
      </c>
      <c r="AJ32" s="182">
        <f t="shared" si="25"/>
        <v>12</v>
      </c>
      <c r="AK32" s="178">
        <f>Y32*(30/25)</f>
        <v>117.68421052631577</v>
      </c>
      <c r="AL32" s="179"/>
      <c r="AM32" s="661">
        <f t="shared" si="26"/>
        <v>12</v>
      </c>
      <c r="AN32" s="662">
        <f t="shared" si="27"/>
        <v>130.30000000000001</v>
      </c>
      <c r="AO32" s="179"/>
      <c r="AP32" s="661">
        <f t="shared" si="28"/>
        <v>12</v>
      </c>
      <c r="AQ32" s="662">
        <f t="shared" si="29"/>
        <v>209.70374999999999</v>
      </c>
      <c r="AS32" s="476"/>
      <c r="AT32" s="476"/>
      <c r="AU32" s="476"/>
      <c r="AV32" s="177"/>
      <c r="AW32" s="180"/>
      <c r="AX32" s="179"/>
      <c r="AY32" s="657">
        <f t="shared" si="21"/>
        <v>12</v>
      </c>
      <c r="AZ32" s="658">
        <f>AZ$30-(AY$30-AY32)*(AZ$35-AZ$30)/(AY$35-AY$30)</f>
        <v>139.89750000000001</v>
      </c>
      <c r="BA32" s="179"/>
      <c r="BB32" s="657">
        <f t="shared" si="22"/>
        <v>12</v>
      </c>
      <c r="BC32" s="658">
        <f>BC$30-(BB$30-BB32)*(BC$35-BC$30)/(BB$35-BB$30)</f>
        <v>228.3175</v>
      </c>
    </row>
    <row r="33" spans="1:55" s="195" customFormat="1">
      <c r="A33" s="476"/>
      <c r="B33" s="177">
        <v>18</v>
      </c>
      <c r="C33" s="180">
        <v>76.7</v>
      </c>
      <c r="D33" s="179"/>
      <c r="E33" s="177">
        <v>18</v>
      </c>
      <c r="F33" s="180">
        <v>130</v>
      </c>
      <c r="G33" s="179"/>
      <c r="H33" s="177">
        <v>18</v>
      </c>
      <c r="I33" s="180">
        <v>202.8</v>
      </c>
      <c r="U33" s="476"/>
      <c r="V33" s="405">
        <f t="shared" si="23"/>
        <v>18</v>
      </c>
      <c r="W33" s="406">
        <f t="shared" si="30"/>
        <v>65</v>
      </c>
      <c r="X33" s="177">
        <f t="shared" si="24"/>
        <v>18</v>
      </c>
      <c r="Y33" s="180">
        <f t="shared" si="18"/>
        <v>114.03508771929823</v>
      </c>
      <c r="Z33" s="179"/>
      <c r="AA33" s="657">
        <f t="shared" si="19"/>
        <v>18</v>
      </c>
      <c r="AB33" s="658">
        <f>AB$30-(AA$30-AA33)*(AB$35-AB$30)/(AA$35-AA$30)</f>
        <v>144.69499999999999</v>
      </c>
      <c r="AC33" s="179"/>
      <c r="AD33" s="657">
        <f t="shared" si="20"/>
        <v>18</v>
      </c>
      <c r="AE33" s="658">
        <f>AE$30-(AD$30-AD33)*(AE$35-AE$30)/(AD$35-AD$30)</f>
        <v>233.73</v>
      </c>
      <c r="AG33" s="476"/>
      <c r="AH33" s="426"/>
      <c r="AI33" s="401"/>
      <c r="AJ33" s="182">
        <f t="shared" si="25"/>
        <v>18</v>
      </c>
      <c r="AK33" s="178">
        <f t="shared" ref="AK33:AK40" si="31">Y33*(30/25)</f>
        <v>136.84210526315786</v>
      </c>
      <c r="AL33" s="179"/>
      <c r="AM33" s="661">
        <f t="shared" si="26"/>
        <v>18</v>
      </c>
      <c r="AN33" s="662">
        <f t="shared" si="27"/>
        <v>159.09</v>
      </c>
      <c r="AO33" s="179"/>
      <c r="AP33" s="661">
        <f t="shared" si="28"/>
        <v>18</v>
      </c>
      <c r="AQ33" s="662">
        <f t="shared" si="29"/>
        <v>261.65249999999997</v>
      </c>
      <c r="AS33" s="476"/>
      <c r="AT33" s="476"/>
      <c r="AU33" s="476"/>
      <c r="AV33" s="177"/>
      <c r="AW33" s="180"/>
      <c r="AX33" s="179"/>
      <c r="AY33" s="657">
        <f t="shared" si="21"/>
        <v>18</v>
      </c>
      <c r="AZ33" s="658">
        <f>AZ$30-(AY$30-AY33)*(AZ$35-AZ$30)/(AY$35-AY$30)</f>
        <v>173.48500000000001</v>
      </c>
      <c r="BA33" s="179"/>
      <c r="BB33" s="657">
        <f t="shared" si="22"/>
        <v>18</v>
      </c>
      <c r="BC33" s="658">
        <f>BC$30-(BB$30-BB33)*(BC$35-BC$30)/(BB$35-BB$30)</f>
        <v>289.57499999999999</v>
      </c>
    </row>
    <row r="34" spans="1:55" s="195" customFormat="1">
      <c r="A34" s="476"/>
      <c r="B34" s="177">
        <v>24</v>
      </c>
      <c r="C34" s="180">
        <v>91</v>
      </c>
      <c r="D34" s="179"/>
      <c r="E34" s="177">
        <v>24</v>
      </c>
      <c r="F34" s="180">
        <v>148.19999999999999</v>
      </c>
      <c r="G34" s="179"/>
      <c r="H34" s="177">
        <v>24</v>
      </c>
      <c r="I34" s="180">
        <v>231.4</v>
      </c>
      <c r="U34" s="476"/>
      <c r="V34" s="405">
        <f t="shared" si="23"/>
        <v>24</v>
      </c>
      <c r="W34" s="406">
        <f t="shared" si="30"/>
        <v>77.118644067796609</v>
      </c>
      <c r="X34" s="177">
        <f t="shared" si="24"/>
        <v>24</v>
      </c>
      <c r="Y34" s="180">
        <f t="shared" si="18"/>
        <v>129.99999999999997</v>
      </c>
      <c r="Z34" s="179"/>
      <c r="AA34" s="657">
        <f t="shared" si="19"/>
        <v>24</v>
      </c>
      <c r="AB34" s="658">
        <f>AB$30-(AA$30-AA34)*(AB$35-AB$30)/(AA$35-AA$30)</f>
        <v>168.6875</v>
      </c>
      <c r="AC34" s="179"/>
      <c r="AD34" s="657">
        <f t="shared" si="20"/>
        <v>24</v>
      </c>
      <c r="AE34" s="658">
        <f>AE$30-(AD$30-AD34)*(AE$35-AE$30)/(AD$35-AD$30)</f>
        <v>276.37</v>
      </c>
      <c r="AG34" s="476"/>
      <c r="AH34" s="476"/>
      <c r="AI34" s="402"/>
      <c r="AJ34" s="177">
        <f t="shared" si="25"/>
        <v>24</v>
      </c>
      <c r="AK34" s="178">
        <f t="shared" si="31"/>
        <v>155.99999999999997</v>
      </c>
      <c r="AL34" s="179"/>
      <c r="AM34" s="661">
        <f t="shared" si="26"/>
        <v>24</v>
      </c>
      <c r="AN34" s="662">
        <f t="shared" si="27"/>
        <v>187.88</v>
      </c>
      <c r="AO34" s="179"/>
      <c r="AP34" s="661">
        <f t="shared" si="28"/>
        <v>24</v>
      </c>
      <c r="AQ34" s="662">
        <f t="shared" si="29"/>
        <v>313.60124999999999</v>
      </c>
      <c r="AS34" s="476"/>
      <c r="AT34" s="476"/>
      <c r="AU34" s="476"/>
      <c r="AV34" s="177"/>
      <c r="AW34" s="180"/>
      <c r="AX34" s="179"/>
      <c r="AY34" s="657">
        <f t="shared" si="21"/>
        <v>24</v>
      </c>
      <c r="AZ34" s="658">
        <f>AZ$30-(AY$30-AY34)*(AZ$35-AZ$30)/(AY$35-AY$30)</f>
        <v>207.07249999999999</v>
      </c>
      <c r="BA34" s="179"/>
      <c r="BB34" s="657">
        <f t="shared" si="22"/>
        <v>24</v>
      </c>
      <c r="BC34" s="658">
        <f>BC$30-(BB$30-BB34)*(BC$35-BC$30)/(BB$35-BB$30)</f>
        <v>350.83249999999998</v>
      </c>
    </row>
    <row r="35" spans="1:55" s="195" customFormat="1">
      <c r="A35" s="476"/>
      <c r="B35" s="177">
        <v>30</v>
      </c>
      <c r="C35" s="180">
        <v>105.3</v>
      </c>
      <c r="D35" s="179"/>
      <c r="E35" s="177">
        <v>30</v>
      </c>
      <c r="F35" s="180">
        <v>166.4</v>
      </c>
      <c r="G35" s="179"/>
      <c r="H35" s="177">
        <v>30</v>
      </c>
      <c r="I35" s="180">
        <v>261.3</v>
      </c>
      <c r="U35" s="476"/>
      <c r="V35" s="405">
        <f t="shared" si="23"/>
        <v>30</v>
      </c>
      <c r="W35" s="406">
        <f t="shared" si="30"/>
        <v>89.237288135593218</v>
      </c>
      <c r="X35" s="177">
        <f t="shared" si="24"/>
        <v>30</v>
      </c>
      <c r="Y35" s="180">
        <f t="shared" si="18"/>
        <v>145.96491228070175</v>
      </c>
      <c r="Z35" s="179"/>
      <c r="AA35" s="474">
        <f t="shared" si="19"/>
        <v>30</v>
      </c>
      <c r="AB35" s="475">
        <v>192.68</v>
      </c>
      <c r="AC35" s="179"/>
      <c r="AD35" s="474">
        <f t="shared" si="20"/>
        <v>30</v>
      </c>
      <c r="AE35" s="475">
        <v>319.01</v>
      </c>
      <c r="AG35" s="476"/>
      <c r="AH35" s="476"/>
      <c r="AI35" s="402"/>
      <c r="AJ35" s="177">
        <f t="shared" si="25"/>
        <v>30</v>
      </c>
      <c r="AK35" s="178">
        <f t="shared" si="31"/>
        <v>175.15789473684211</v>
      </c>
      <c r="AL35" s="179"/>
      <c r="AM35" s="661">
        <f t="shared" si="26"/>
        <v>30</v>
      </c>
      <c r="AN35" s="662">
        <f t="shared" si="27"/>
        <v>216.67000000000002</v>
      </c>
      <c r="AO35" s="179"/>
      <c r="AP35" s="661">
        <f t="shared" si="28"/>
        <v>30</v>
      </c>
      <c r="AQ35" s="662">
        <f t="shared" si="29"/>
        <v>365.54999999999995</v>
      </c>
      <c r="AS35" s="476"/>
      <c r="AT35" s="476"/>
      <c r="AU35" s="476"/>
      <c r="AV35" s="177"/>
      <c r="AW35" s="180"/>
      <c r="AX35" s="179"/>
      <c r="AY35" s="474">
        <f t="shared" si="21"/>
        <v>30</v>
      </c>
      <c r="AZ35" s="475">
        <v>240.66</v>
      </c>
      <c r="BA35" s="179"/>
      <c r="BB35" s="474">
        <f t="shared" si="22"/>
        <v>30</v>
      </c>
      <c r="BC35" s="475">
        <v>412.09</v>
      </c>
    </row>
    <row r="36" spans="1:55" s="195" customFormat="1">
      <c r="A36" s="476"/>
      <c r="B36" s="177">
        <v>36</v>
      </c>
      <c r="C36" s="180">
        <v>120.9</v>
      </c>
      <c r="D36" s="179"/>
      <c r="E36" s="177">
        <v>36</v>
      </c>
      <c r="F36" s="180">
        <v>185.9</v>
      </c>
      <c r="G36" s="179"/>
      <c r="H36" s="177">
        <v>36</v>
      </c>
      <c r="I36" s="180">
        <v>291.2</v>
      </c>
      <c r="U36" s="476"/>
      <c r="V36" s="405">
        <f t="shared" si="23"/>
        <v>36</v>
      </c>
      <c r="W36" s="406">
        <f t="shared" si="30"/>
        <v>102.45762711864407</v>
      </c>
      <c r="X36" s="177">
        <f t="shared" si="24"/>
        <v>36</v>
      </c>
      <c r="Y36" s="180">
        <f t="shared" si="18"/>
        <v>163.07017543859649</v>
      </c>
      <c r="Z36" s="179"/>
      <c r="AA36" s="657">
        <f t="shared" si="19"/>
        <v>36</v>
      </c>
      <c r="AB36" s="658">
        <f>AB$30-(AA$30-AA36)*(AB$35-AB$30)/(AA$35-AA$30)</f>
        <v>216.67250000000001</v>
      </c>
      <c r="AC36" s="179"/>
      <c r="AD36" s="657">
        <f t="shared" si="20"/>
        <v>36</v>
      </c>
      <c r="AE36" s="658">
        <f t="shared" ref="AE36:AE43" si="32">AE$30-(AD$30-AD36)*(AE$35-AE$30)/(AD$35-AD$30)</f>
        <v>361.65</v>
      </c>
      <c r="AG36" s="476"/>
      <c r="AH36" s="476"/>
      <c r="AI36" s="402"/>
      <c r="AJ36" s="177">
        <f t="shared" si="25"/>
        <v>36</v>
      </c>
      <c r="AK36" s="178">
        <f t="shared" si="31"/>
        <v>195.68421052631578</v>
      </c>
      <c r="AL36" s="179"/>
      <c r="AM36" s="661">
        <f t="shared" si="26"/>
        <v>36</v>
      </c>
      <c r="AN36" s="662">
        <f t="shared" si="27"/>
        <v>245.46</v>
      </c>
      <c r="AO36" s="179"/>
      <c r="AP36" s="661">
        <f t="shared" si="28"/>
        <v>36</v>
      </c>
      <c r="AQ36" s="662">
        <f t="shared" si="29"/>
        <v>417.49874999999997</v>
      </c>
      <c r="AS36" s="476"/>
      <c r="AT36" s="476"/>
      <c r="AU36" s="476"/>
      <c r="AV36" s="177"/>
      <c r="AW36" s="180"/>
      <c r="AX36" s="179"/>
      <c r="AY36" s="657">
        <f t="shared" si="21"/>
        <v>36</v>
      </c>
      <c r="AZ36" s="658">
        <f>AZ$30-(AY$30-AY36)*(AZ$35-AZ$30)/(AY$35-AY$30)</f>
        <v>274.2475</v>
      </c>
      <c r="BA36" s="179"/>
      <c r="BB36" s="657">
        <f t="shared" si="22"/>
        <v>36</v>
      </c>
      <c r="BC36" s="658">
        <f t="shared" ref="BC36:BC43" si="33">BC$30-(BB$30-BB36)*(BC$35-BC$30)/(BB$35-BB$30)</f>
        <v>473.34749999999997</v>
      </c>
    </row>
    <row r="37" spans="1:55" s="195" customFormat="1">
      <c r="A37" s="476"/>
      <c r="B37" s="177">
        <v>42</v>
      </c>
      <c r="C37" s="180">
        <v>136.5</v>
      </c>
      <c r="D37" s="179"/>
      <c r="E37" s="177">
        <v>42</v>
      </c>
      <c r="F37" s="180">
        <v>204.1</v>
      </c>
      <c r="G37" s="179"/>
      <c r="H37" s="177">
        <v>42</v>
      </c>
      <c r="I37" s="180">
        <v>321.10000000000002</v>
      </c>
      <c r="U37" s="476"/>
      <c r="V37" s="405">
        <f t="shared" si="23"/>
        <v>42</v>
      </c>
      <c r="W37" s="406">
        <f t="shared" si="30"/>
        <v>115.67796610169491</v>
      </c>
      <c r="X37" s="177">
        <f t="shared" si="24"/>
        <v>42</v>
      </c>
      <c r="Y37" s="180">
        <f t="shared" si="18"/>
        <v>179.03508771929822</v>
      </c>
      <c r="Z37" s="179"/>
      <c r="AA37" s="657">
        <f t="shared" si="19"/>
        <v>42</v>
      </c>
      <c r="AB37" s="658">
        <f>AB$30-(AA$30-AA37)*(AB$35-AB$30)/(AA$35-AA$30)</f>
        <v>240.66500000000002</v>
      </c>
      <c r="AC37" s="179"/>
      <c r="AD37" s="657">
        <f t="shared" si="20"/>
        <v>42</v>
      </c>
      <c r="AE37" s="658">
        <f t="shared" si="32"/>
        <v>404.28999999999996</v>
      </c>
      <c r="AG37" s="476"/>
      <c r="AH37" s="476"/>
      <c r="AI37" s="402"/>
      <c r="AJ37" s="177">
        <f t="shared" si="25"/>
        <v>42</v>
      </c>
      <c r="AK37" s="178">
        <f t="shared" si="31"/>
        <v>214.84210526315786</v>
      </c>
      <c r="AL37" s="179"/>
      <c r="AM37" s="661">
        <f t="shared" si="26"/>
        <v>42</v>
      </c>
      <c r="AN37" s="662">
        <f t="shared" si="27"/>
        <v>274.25</v>
      </c>
      <c r="AO37" s="179"/>
      <c r="AP37" s="661">
        <f t="shared" si="28"/>
        <v>42</v>
      </c>
      <c r="AQ37" s="662">
        <f t="shared" si="29"/>
        <v>469.44749999999993</v>
      </c>
      <c r="AS37" s="476"/>
      <c r="AT37" s="476"/>
      <c r="AU37" s="476"/>
      <c r="AV37" s="177"/>
      <c r="AW37" s="180"/>
      <c r="AX37" s="179"/>
      <c r="AY37" s="657">
        <f t="shared" si="21"/>
        <v>42</v>
      </c>
      <c r="AZ37" s="658">
        <f>AZ$30-(AY$30-AY37)*(AZ$35-AZ$30)/(AY$35-AY$30)</f>
        <v>307.83499999999998</v>
      </c>
      <c r="BA37" s="179"/>
      <c r="BB37" s="657">
        <f t="shared" si="22"/>
        <v>42</v>
      </c>
      <c r="BC37" s="658">
        <f t="shared" si="33"/>
        <v>534.6049999999999</v>
      </c>
    </row>
    <row r="38" spans="1:55" s="195" customFormat="1">
      <c r="A38" s="476"/>
      <c r="B38" s="177">
        <v>48</v>
      </c>
      <c r="C38" s="180">
        <v>150.80000000000001</v>
      </c>
      <c r="D38" s="179"/>
      <c r="E38" s="177">
        <v>48</v>
      </c>
      <c r="F38" s="180">
        <v>223.6</v>
      </c>
      <c r="G38" s="179"/>
      <c r="H38" s="177">
        <v>48</v>
      </c>
      <c r="I38" s="180">
        <v>354.9</v>
      </c>
      <c r="U38" s="476"/>
      <c r="V38" s="405">
        <f t="shared" si="23"/>
        <v>48</v>
      </c>
      <c r="W38" s="406">
        <f t="shared" si="30"/>
        <v>127.79661016949153</v>
      </c>
      <c r="X38" s="177">
        <f t="shared" si="24"/>
        <v>48</v>
      </c>
      <c r="Y38" s="180">
        <f t="shared" si="18"/>
        <v>196.14035087719296</v>
      </c>
      <c r="Z38" s="179"/>
      <c r="AA38" s="657">
        <f t="shared" si="19"/>
        <v>48</v>
      </c>
      <c r="AB38" s="658">
        <f>AB$30-(AA$30-AA38)*(AB$35-AB$30)/(AA$35-AA$30)</f>
        <v>264.65750000000003</v>
      </c>
      <c r="AC38" s="179"/>
      <c r="AD38" s="657">
        <f t="shared" si="20"/>
        <v>48</v>
      </c>
      <c r="AE38" s="658">
        <f t="shared" si="32"/>
        <v>446.93</v>
      </c>
      <c r="AG38" s="476"/>
      <c r="AH38" s="476"/>
      <c r="AI38" s="402"/>
      <c r="AJ38" s="177">
        <f t="shared" si="25"/>
        <v>48</v>
      </c>
      <c r="AK38" s="178">
        <f t="shared" si="31"/>
        <v>235.36842105263153</v>
      </c>
      <c r="AL38" s="179"/>
      <c r="AM38" s="661">
        <f t="shared" si="26"/>
        <v>48</v>
      </c>
      <c r="AN38" s="662">
        <f t="shared" si="27"/>
        <v>303.04000000000002</v>
      </c>
      <c r="AO38" s="179"/>
      <c r="AP38" s="661">
        <f t="shared" si="28"/>
        <v>48</v>
      </c>
      <c r="AQ38" s="662">
        <f t="shared" si="29"/>
        <v>521.39625000000001</v>
      </c>
      <c r="AS38" s="476"/>
      <c r="AT38" s="476"/>
      <c r="AU38" s="476"/>
      <c r="AV38" s="177"/>
      <c r="AW38" s="180"/>
      <c r="AX38" s="179"/>
      <c r="AY38" s="657">
        <f t="shared" si="21"/>
        <v>48</v>
      </c>
      <c r="AZ38" s="658">
        <f>AZ$30-(AY$30-AY38)*(AZ$35-AZ$30)/(AY$35-AY$30)</f>
        <v>341.42250000000001</v>
      </c>
      <c r="BA38" s="179"/>
      <c r="BB38" s="657">
        <f t="shared" si="22"/>
        <v>48</v>
      </c>
      <c r="BC38" s="658">
        <f t="shared" si="33"/>
        <v>595.86249999999995</v>
      </c>
    </row>
    <row r="39" spans="1:55" s="195" customFormat="1">
      <c r="A39" s="476"/>
      <c r="B39" s="177">
        <v>54</v>
      </c>
      <c r="C39" s="180">
        <v>165.1</v>
      </c>
      <c r="D39" s="179"/>
      <c r="E39" s="177">
        <v>54</v>
      </c>
      <c r="F39" s="180">
        <v>241.8</v>
      </c>
      <c r="G39" s="179"/>
      <c r="H39" s="177">
        <v>54</v>
      </c>
      <c r="I39" s="180">
        <v>384.8</v>
      </c>
      <c r="U39" s="476"/>
      <c r="V39" s="405">
        <f t="shared" si="23"/>
        <v>54</v>
      </c>
      <c r="W39" s="406">
        <f t="shared" si="30"/>
        <v>139.91525423728814</v>
      </c>
      <c r="X39" s="177">
        <f>$B39</f>
        <v>54</v>
      </c>
      <c r="Y39" s="180">
        <f t="shared" si="18"/>
        <v>212.10526315789474</v>
      </c>
      <c r="Z39" s="179"/>
      <c r="AA39" s="657">
        <f t="shared" si="19"/>
        <v>54</v>
      </c>
      <c r="AB39" s="658">
        <f>AB$30-(AA$30-AA39)*(AB$35-AB$30)/(AA$35-AA$30)</f>
        <v>288.65000000000003</v>
      </c>
      <c r="AC39" s="179"/>
      <c r="AD39" s="657">
        <f t="shared" si="20"/>
        <v>54</v>
      </c>
      <c r="AE39" s="658">
        <f t="shared" si="32"/>
        <v>489.57</v>
      </c>
      <c r="AG39" s="476"/>
      <c r="AH39" s="476"/>
      <c r="AI39" s="402"/>
      <c r="AJ39" s="177">
        <f t="shared" si="25"/>
        <v>54</v>
      </c>
      <c r="AK39" s="178">
        <f t="shared" si="31"/>
        <v>254.52631578947367</v>
      </c>
      <c r="AL39" s="179"/>
      <c r="AM39" s="661">
        <f t="shared" si="26"/>
        <v>54</v>
      </c>
      <c r="AN39" s="662">
        <f t="shared" si="27"/>
        <v>331.83000000000004</v>
      </c>
      <c r="AO39" s="179"/>
      <c r="AP39" s="661">
        <f t="shared" si="28"/>
        <v>54</v>
      </c>
      <c r="AQ39" s="662">
        <f t="shared" si="29"/>
        <v>573.34499999999991</v>
      </c>
      <c r="AS39" s="476"/>
      <c r="AT39" s="476"/>
      <c r="AU39" s="476"/>
      <c r="AV39" s="177"/>
      <c r="AW39" s="180"/>
      <c r="AX39" s="179"/>
      <c r="AY39" s="657">
        <f t="shared" si="21"/>
        <v>54</v>
      </c>
      <c r="AZ39" s="658">
        <f>AZ$30-(AY$30-AY39)*(AZ$35-AZ$30)/(AY$35-AY$30)</f>
        <v>375.01</v>
      </c>
      <c r="BA39" s="179"/>
      <c r="BB39" s="657">
        <f t="shared" si="22"/>
        <v>54</v>
      </c>
      <c r="BC39" s="658">
        <f t="shared" si="33"/>
        <v>657.11999999999989</v>
      </c>
    </row>
    <row r="40" spans="1:55" s="195" customFormat="1">
      <c r="A40" s="476"/>
      <c r="B40" s="177">
        <v>60</v>
      </c>
      <c r="C40" s="180">
        <v>180.7</v>
      </c>
      <c r="D40" s="179"/>
      <c r="E40" s="177">
        <v>60</v>
      </c>
      <c r="F40" s="180">
        <v>260</v>
      </c>
      <c r="G40" s="179"/>
      <c r="H40" s="177">
        <v>60</v>
      </c>
      <c r="I40" s="180">
        <v>414.7</v>
      </c>
      <c r="U40" s="476"/>
      <c r="V40" s="476"/>
      <c r="W40" s="476"/>
      <c r="X40" s="177">
        <f>$B40</f>
        <v>60</v>
      </c>
      <c r="Y40" s="180">
        <f t="shared" si="18"/>
        <v>228.07017543859646</v>
      </c>
      <c r="Z40" s="179"/>
      <c r="AA40" s="657">
        <f t="shared" si="19"/>
        <v>60</v>
      </c>
      <c r="AB40" s="658">
        <f>AB$30-(AA$30-AA40)*(AB$35-AB$30)/(AA$35-AA$30)</f>
        <v>312.64250000000004</v>
      </c>
      <c r="AC40" s="179"/>
      <c r="AD40" s="657">
        <f t="shared" si="20"/>
        <v>60</v>
      </c>
      <c r="AE40" s="658">
        <f t="shared" si="32"/>
        <v>532.21</v>
      </c>
      <c r="AG40" s="476"/>
      <c r="AH40" s="476"/>
      <c r="AI40" s="402"/>
      <c r="AJ40" s="177">
        <f t="shared" si="25"/>
        <v>60</v>
      </c>
      <c r="AK40" s="178">
        <f t="shared" si="31"/>
        <v>273.68421052631572</v>
      </c>
      <c r="AL40" s="179"/>
      <c r="AM40" s="661">
        <f t="shared" si="26"/>
        <v>60</v>
      </c>
      <c r="AN40" s="662">
        <f t="shared" si="27"/>
        <v>360.62</v>
      </c>
      <c r="AO40" s="179"/>
      <c r="AP40" s="661">
        <f t="shared" si="28"/>
        <v>60</v>
      </c>
      <c r="AQ40" s="662">
        <f t="shared" si="29"/>
        <v>625.29375000000005</v>
      </c>
      <c r="AS40" s="476"/>
      <c r="AT40" s="476"/>
      <c r="AU40" s="476"/>
      <c r="AV40" s="177"/>
      <c r="AW40" s="180"/>
      <c r="AX40" s="179"/>
      <c r="AY40" s="657">
        <f t="shared" si="21"/>
        <v>60</v>
      </c>
      <c r="AZ40" s="658">
        <f>AZ$30-(AY$30-AY40)*(AZ$35-AZ$30)/(AY$35-AY$30)</f>
        <v>408.59749999999997</v>
      </c>
      <c r="BA40" s="179"/>
      <c r="BB40" s="657">
        <f t="shared" si="22"/>
        <v>60</v>
      </c>
      <c r="BC40" s="658">
        <f t="shared" si="33"/>
        <v>718.37750000000005</v>
      </c>
    </row>
    <row r="41" spans="1:55" s="195" customFormat="1">
      <c r="A41" s="476"/>
      <c r="B41" s="177">
        <v>66</v>
      </c>
      <c r="C41" s="180">
        <v>195</v>
      </c>
      <c r="D41" s="179"/>
      <c r="E41" s="177">
        <v>66</v>
      </c>
      <c r="F41" s="180">
        <v>278.2</v>
      </c>
      <c r="H41" s="177">
        <v>66</v>
      </c>
      <c r="I41" s="180">
        <v>444.6</v>
      </c>
      <c r="U41" s="476"/>
      <c r="V41" s="476"/>
      <c r="W41" s="476"/>
      <c r="X41" s="177"/>
      <c r="Y41" s="180"/>
      <c r="AA41" s="177"/>
      <c r="AB41" s="180"/>
      <c r="AD41" s="657">
        <f t="shared" si="20"/>
        <v>66</v>
      </c>
      <c r="AE41" s="658">
        <f t="shared" si="32"/>
        <v>574.85</v>
      </c>
      <c r="AG41" s="476"/>
      <c r="AH41" s="476"/>
      <c r="AI41" s="402"/>
      <c r="AJ41" s="177"/>
      <c r="AK41" s="178"/>
      <c r="AM41" s="177"/>
      <c r="AN41" s="180"/>
      <c r="AP41" s="661">
        <f t="shared" si="28"/>
        <v>66</v>
      </c>
      <c r="AQ41" s="662">
        <f t="shared" si="29"/>
        <v>677.24250000000006</v>
      </c>
      <c r="AS41" s="476"/>
      <c r="AT41" s="476"/>
      <c r="AU41" s="476"/>
      <c r="AV41" s="177"/>
      <c r="AW41" s="180"/>
      <c r="AY41" s="177"/>
      <c r="AZ41" s="180"/>
      <c r="BB41" s="657">
        <f t="shared" si="22"/>
        <v>66</v>
      </c>
      <c r="BC41" s="658">
        <f t="shared" si="33"/>
        <v>779.63499999999999</v>
      </c>
    </row>
    <row r="42" spans="1:55" s="195" customFormat="1">
      <c r="A42" s="476"/>
      <c r="B42" s="177">
        <v>72</v>
      </c>
      <c r="C42" s="180">
        <v>209.3</v>
      </c>
      <c r="D42" s="179"/>
      <c r="E42" s="177">
        <v>72</v>
      </c>
      <c r="F42" s="180">
        <v>296.39999999999998</v>
      </c>
      <c r="H42" s="177">
        <v>72</v>
      </c>
      <c r="I42" s="180">
        <v>474.5</v>
      </c>
      <c r="U42" s="476"/>
      <c r="V42" s="476"/>
      <c r="W42" s="476"/>
      <c r="X42" s="177"/>
      <c r="Y42" s="180"/>
      <c r="AA42" s="177"/>
      <c r="AB42" s="180"/>
      <c r="AD42" s="657">
        <f t="shared" si="20"/>
        <v>72</v>
      </c>
      <c r="AE42" s="658">
        <f t="shared" si="32"/>
        <v>617.49</v>
      </c>
      <c r="AG42" s="476"/>
      <c r="AH42" s="476"/>
      <c r="AI42" s="476"/>
      <c r="AJ42" s="177"/>
      <c r="AK42" s="180"/>
      <c r="AM42" s="177"/>
      <c r="AN42" s="180"/>
      <c r="AP42" s="661">
        <f t="shared" si="28"/>
        <v>72</v>
      </c>
      <c r="AQ42" s="662">
        <f t="shared" si="29"/>
        <v>729.19124999999997</v>
      </c>
      <c r="AS42" s="476"/>
      <c r="AT42" s="476"/>
      <c r="AU42" s="476"/>
      <c r="AV42" s="177"/>
      <c r="AW42" s="180"/>
      <c r="AY42" s="177"/>
      <c r="AZ42" s="180"/>
      <c r="BB42" s="657">
        <f t="shared" si="22"/>
        <v>72</v>
      </c>
      <c r="BC42" s="658">
        <f t="shared" si="33"/>
        <v>840.89249999999993</v>
      </c>
    </row>
    <row r="43" spans="1:55" s="195" customFormat="1">
      <c r="A43" s="476"/>
      <c r="B43" s="177">
        <v>78</v>
      </c>
      <c r="C43" s="180">
        <v>223.6</v>
      </c>
      <c r="E43" s="177">
        <v>78</v>
      </c>
      <c r="F43" s="180">
        <v>314.60000000000002</v>
      </c>
      <c r="H43" s="177">
        <v>78</v>
      </c>
      <c r="I43" s="180">
        <v>504.4</v>
      </c>
      <c r="U43" s="476"/>
      <c r="V43" s="476"/>
      <c r="W43" s="476"/>
      <c r="X43" s="177"/>
      <c r="Y43" s="180"/>
      <c r="AA43" s="177"/>
      <c r="AB43" s="180"/>
      <c r="AD43" s="657">
        <f t="shared" si="20"/>
        <v>78</v>
      </c>
      <c r="AE43" s="658">
        <f t="shared" si="32"/>
        <v>660.13</v>
      </c>
      <c r="AG43" s="476"/>
      <c r="AH43" s="476"/>
      <c r="AI43" s="476"/>
      <c r="AJ43" s="177"/>
      <c r="AK43" s="180"/>
      <c r="AM43" s="177"/>
      <c r="AN43" s="180"/>
      <c r="AP43" s="661">
        <f t="shared" si="28"/>
        <v>78</v>
      </c>
      <c r="AQ43" s="662">
        <f t="shared" si="29"/>
        <v>781.13999999999987</v>
      </c>
      <c r="AS43" s="476"/>
      <c r="AT43" s="476"/>
      <c r="AU43" s="476"/>
      <c r="AV43" s="177"/>
      <c r="AW43" s="180"/>
      <c r="AY43" s="177"/>
      <c r="AZ43" s="180"/>
      <c r="BB43" s="657">
        <f t="shared" si="22"/>
        <v>78</v>
      </c>
      <c r="BC43" s="658">
        <f t="shared" si="33"/>
        <v>902.14999999999986</v>
      </c>
    </row>
    <row r="44" spans="1:55" s="195" customFormat="1">
      <c r="A44" s="476"/>
      <c r="B44" s="177">
        <f>+B43+6</f>
        <v>84</v>
      </c>
      <c r="C44" s="180">
        <v>237.9</v>
      </c>
      <c r="E44" s="177">
        <f>+E43+6</f>
        <v>84</v>
      </c>
      <c r="F44" s="180">
        <v>332.8</v>
      </c>
      <c r="H44" s="177">
        <f>+H43+6</f>
        <v>84</v>
      </c>
      <c r="I44" s="180">
        <v>534.29999999999995</v>
      </c>
      <c r="U44" s="476"/>
      <c r="V44" s="476"/>
      <c r="W44" s="476"/>
      <c r="X44" s="177"/>
      <c r="Y44" s="180"/>
      <c r="AA44" s="177"/>
      <c r="AB44" s="180"/>
      <c r="AD44" s="657"/>
      <c r="AE44" s="658"/>
      <c r="AG44" s="476"/>
      <c r="AH44" s="476"/>
      <c r="AI44" s="476"/>
      <c r="AJ44" s="177"/>
      <c r="AK44" s="180"/>
      <c r="AM44" s="177"/>
      <c r="AN44" s="180"/>
      <c r="AP44" s="661"/>
      <c r="AQ44" s="662"/>
      <c r="AS44" s="476"/>
      <c r="AT44" s="476"/>
      <c r="AU44" s="476"/>
      <c r="AV44" s="177"/>
      <c r="AW44" s="180"/>
      <c r="AY44" s="177"/>
      <c r="AZ44" s="180"/>
      <c r="BB44" s="657"/>
      <c r="BC44" s="658"/>
    </row>
    <row r="45" spans="1:55" s="195" customFormat="1">
      <c r="A45" s="476"/>
      <c r="B45" s="177">
        <v>90</v>
      </c>
      <c r="C45" s="180">
        <v>252.2</v>
      </c>
      <c r="E45" s="177">
        <v>90</v>
      </c>
      <c r="F45" s="180">
        <v>351</v>
      </c>
      <c r="H45" s="177">
        <v>90</v>
      </c>
      <c r="I45" s="180">
        <v>564.20000000000005</v>
      </c>
      <c r="U45" s="476"/>
      <c r="V45" s="476"/>
      <c r="W45" s="476"/>
      <c r="X45" s="177"/>
      <c r="Y45" s="180"/>
      <c r="AA45" s="177"/>
      <c r="AB45" s="180"/>
      <c r="AD45" s="177"/>
      <c r="AE45" s="180"/>
      <c r="AG45" s="476"/>
      <c r="AH45" s="476"/>
      <c r="AI45" s="476"/>
      <c r="AJ45" s="177"/>
      <c r="AK45" s="180"/>
      <c r="AM45" s="177"/>
      <c r="AN45" s="180"/>
      <c r="AP45" s="177"/>
      <c r="AQ45" s="180"/>
      <c r="AS45" s="476"/>
      <c r="AT45" s="476"/>
      <c r="AU45" s="476"/>
      <c r="AV45" s="177"/>
      <c r="AW45" s="180"/>
      <c r="AY45" s="177"/>
      <c r="AZ45" s="180"/>
      <c r="BB45" s="177"/>
      <c r="BC45" s="180"/>
    </row>
    <row r="46" spans="1:55" s="195" customFormat="1">
      <c r="A46" s="476"/>
      <c r="B46" s="177">
        <v>96</v>
      </c>
      <c r="C46" s="180">
        <v>266.5</v>
      </c>
      <c r="E46" s="177">
        <v>96</v>
      </c>
      <c r="F46" s="180">
        <v>365.3</v>
      </c>
      <c r="H46" s="177">
        <v>94</v>
      </c>
      <c r="I46" s="180">
        <v>578.5</v>
      </c>
      <c r="U46" s="476"/>
      <c r="V46" s="476"/>
      <c r="W46" s="476"/>
      <c r="X46" s="177"/>
      <c r="Y46" s="180"/>
      <c r="AA46" s="177"/>
      <c r="AB46" s="180"/>
      <c r="AD46" s="177"/>
      <c r="AE46" s="180"/>
      <c r="AG46" s="476"/>
      <c r="AH46" s="476"/>
      <c r="AI46" s="476"/>
      <c r="AJ46" s="177"/>
      <c r="AK46" s="180"/>
      <c r="AM46" s="177"/>
      <c r="AN46" s="180"/>
      <c r="AP46" s="177"/>
      <c r="AQ46" s="180"/>
      <c r="AS46" s="476"/>
      <c r="AT46" s="476"/>
      <c r="AU46" s="476"/>
      <c r="AV46" s="177"/>
      <c r="AW46" s="180"/>
      <c r="AY46" s="177"/>
      <c r="AZ46" s="180"/>
      <c r="BB46" s="177"/>
      <c r="BC46" s="180"/>
    </row>
    <row r="47" spans="1:55" s="195" customFormat="1">
      <c r="A47" s="476"/>
      <c r="B47" s="177">
        <v>102</v>
      </c>
      <c r="C47" s="180">
        <v>280.8</v>
      </c>
      <c r="E47" s="177">
        <v>102</v>
      </c>
      <c r="F47" s="410">
        <f>(F46-F45)*(E47-E46)/(E46-E45)+F46</f>
        <v>379.6</v>
      </c>
      <c r="H47" s="177">
        <v>102</v>
      </c>
      <c r="I47" s="410">
        <f>(I46-I45)*(H47-H46)/(H46-H45)+I46</f>
        <v>607.09999999999991</v>
      </c>
      <c r="U47" s="476"/>
      <c r="V47" s="476"/>
      <c r="W47" s="476"/>
      <c r="X47" s="177"/>
      <c r="Y47" s="180"/>
      <c r="AA47" s="177"/>
      <c r="AB47" s="180"/>
      <c r="AD47" s="177"/>
      <c r="AE47" s="180"/>
      <c r="AG47" s="476"/>
      <c r="AH47" s="476"/>
      <c r="AI47" s="476"/>
      <c r="AJ47" s="177"/>
      <c r="AK47" s="180"/>
      <c r="AM47" s="177"/>
      <c r="AN47" s="180"/>
      <c r="AP47" s="177"/>
      <c r="AQ47" s="180"/>
      <c r="AS47" s="476"/>
      <c r="AT47" s="476"/>
      <c r="AU47" s="476"/>
      <c r="AV47" s="177"/>
      <c r="AW47" s="180"/>
      <c r="AY47" s="177"/>
      <c r="AZ47" s="180"/>
      <c r="BB47" s="177"/>
      <c r="BC47" s="180"/>
    </row>
    <row r="48" spans="1:55" s="195" customFormat="1">
      <c r="A48" s="476"/>
      <c r="B48" s="177">
        <v>108</v>
      </c>
      <c r="C48" s="180">
        <v>295.10000000000002</v>
      </c>
      <c r="E48" s="177">
        <v>108</v>
      </c>
      <c r="F48" s="410">
        <f>(F47-F46)*(E48-E47)/(E47-E46)+F47</f>
        <v>393.90000000000003</v>
      </c>
      <c r="H48" s="177">
        <v>108</v>
      </c>
      <c r="I48" s="410">
        <f>(I47-I46)*(H48-H47)/(H47-H46)+I47</f>
        <v>628.54999999999984</v>
      </c>
      <c r="U48" s="476"/>
      <c r="V48" s="476"/>
      <c r="W48" s="476"/>
      <c r="X48" s="177"/>
      <c r="Y48" s="180"/>
      <c r="AA48" s="177"/>
      <c r="AB48" s="180"/>
      <c r="AD48" s="177"/>
      <c r="AE48" s="180"/>
      <c r="AG48" s="476"/>
      <c r="AH48" s="476"/>
      <c r="AI48" s="476"/>
      <c r="AJ48" s="177"/>
      <c r="AK48" s="180"/>
      <c r="AM48" s="177"/>
      <c r="AN48" s="180"/>
      <c r="AP48" s="177"/>
      <c r="AQ48" s="180"/>
      <c r="AS48" s="476"/>
      <c r="AT48" s="476"/>
      <c r="AU48" s="476"/>
      <c r="AV48" s="177"/>
      <c r="AW48" s="180"/>
      <c r="AY48" s="177"/>
      <c r="AZ48" s="180"/>
      <c r="BB48" s="177"/>
      <c r="BC48" s="180"/>
    </row>
    <row r="49" spans="1:55" s="195" customFormat="1">
      <c r="A49" s="476"/>
      <c r="B49" s="177">
        <v>114</v>
      </c>
      <c r="C49" s="180">
        <v>309.39999999999998</v>
      </c>
      <c r="E49" s="177">
        <v>114</v>
      </c>
      <c r="F49" s="410">
        <f>(F48-F47)*(E49-E48)/(E48-E47)+F48</f>
        <v>408.20000000000005</v>
      </c>
      <c r="H49" s="177">
        <v>114</v>
      </c>
      <c r="I49" s="410">
        <f>(I48-I47)*(H49-H48)/(H48-H47)+I48</f>
        <v>649.99999999999977</v>
      </c>
      <c r="U49" s="476"/>
      <c r="V49" s="476"/>
      <c r="W49" s="476"/>
      <c r="X49" s="177"/>
      <c r="Y49" s="180"/>
      <c r="AA49" s="177"/>
      <c r="AB49" s="180"/>
      <c r="AD49" s="177"/>
      <c r="AE49" s="180"/>
      <c r="AG49" s="476"/>
      <c r="AH49" s="476"/>
      <c r="AI49" s="476"/>
      <c r="AJ49" s="177"/>
      <c r="AK49" s="180"/>
      <c r="AM49" s="177"/>
      <c r="AN49" s="180"/>
      <c r="AP49" s="177"/>
      <c r="AQ49" s="180"/>
      <c r="AS49" s="476"/>
      <c r="AT49" s="476"/>
      <c r="AU49" s="476"/>
      <c r="AV49" s="177"/>
      <c r="AW49" s="180"/>
      <c r="AY49" s="177"/>
      <c r="AZ49" s="180"/>
      <c r="BB49" s="177"/>
      <c r="BC49" s="180"/>
    </row>
    <row r="50" spans="1:55" s="195" customFormat="1">
      <c r="A50" s="476"/>
      <c r="B50" s="184">
        <v>120</v>
      </c>
      <c r="C50" s="186">
        <v>323.7</v>
      </c>
      <c r="D50" s="194"/>
      <c r="E50" s="184">
        <v>120</v>
      </c>
      <c r="F50" s="410">
        <f>(F49-F48)*(E50-E49)/(E49-E48)+F49</f>
        <v>422.50000000000006</v>
      </c>
      <c r="G50" s="194"/>
      <c r="H50" s="184">
        <v>120</v>
      </c>
      <c r="I50" s="410">
        <f>(I49-I48)*(H50-H49)/(H49-H48)+I49</f>
        <v>671.4499999999997</v>
      </c>
      <c r="U50" s="476"/>
      <c r="V50" s="476"/>
      <c r="W50" s="476"/>
      <c r="X50" s="184"/>
      <c r="Y50" s="186"/>
      <c r="Z50" s="194"/>
      <c r="AA50" s="184"/>
      <c r="AB50" s="186"/>
      <c r="AC50" s="194"/>
      <c r="AD50" s="184"/>
      <c r="AE50" s="186"/>
      <c r="AG50" s="476"/>
      <c r="AH50" s="476"/>
      <c r="AI50" s="476"/>
      <c r="AJ50" s="184"/>
      <c r="AK50" s="186"/>
      <c r="AL50" s="194"/>
      <c r="AM50" s="184"/>
      <c r="AN50" s="186"/>
      <c r="AO50" s="194"/>
      <c r="AP50" s="184"/>
      <c r="AQ50" s="186"/>
      <c r="AS50" s="476"/>
      <c r="AT50" s="476"/>
      <c r="AU50" s="476"/>
      <c r="AV50" s="184"/>
      <c r="AW50" s="186"/>
      <c r="AX50" s="194"/>
      <c r="AY50" s="184"/>
      <c r="AZ50" s="186"/>
      <c r="BA50" s="194"/>
      <c r="BB50" s="184"/>
      <c r="BC50" s="186"/>
    </row>
    <row r="51" spans="1:55" s="195" customFormat="1">
      <c r="A51" s="476"/>
      <c r="B51" s="476"/>
      <c r="C51" s="125"/>
      <c r="D51" s="194"/>
      <c r="F51" s="125"/>
      <c r="G51" s="194"/>
      <c r="I51" s="125"/>
    </row>
    <row r="52" spans="1:55" s="195" customFormat="1">
      <c r="A52" s="476"/>
      <c r="B52" s="476"/>
      <c r="C52" s="125"/>
      <c r="F52" s="125"/>
      <c r="I52" s="125"/>
    </row>
    <row r="53" spans="1:55" s="195" customFormat="1">
      <c r="A53" s="476"/>
      <c r="B53" s="476"/>
      <c r="C53" s="125"/>
      <c r="F53" s="125"/>
      <c r="I53" s="125"/>
    </row>
    <row r="54" spans="1:55" s="195" customFormat="1">
      <c r="A54" s="476"/>
      <c r="B54" s="476"/>
      <c r="C54" s="125"/>
      <c r="F54" s="125"/>
      <c r="I54" s="125"/>
    </row>
    <row r="55" spans="1:55" s="195" customFormat="1">
      <c r="A55" s="476"/>
      <c r="B55" s="476"/>
      <c r="C55" s="125"/>
      <c r="F55" s="125"/>
      <c r="I55" s="125"/>
    </row>
    <row r="56" spans="1:55" s="195" customFormat="1">
      <c r="A56" s="476"/>
      <c r="B56" s="476"/>
      <c r="C56" s="125"/>
      <c r="F56" s="125"/>
      <c r="I56" s="125"/>
    </row>
    <row r="57" spans="1:55" s="195" customFormat="1">
      <c r="A57" s="476"/>
      <c r="B57" s="476"/>
      <c r="C57" s="125"/>
      <c r="F57" s="125"/>
      <c r="I57" s="125"/>
    </row>
    <row r="58" spans="1:55" s="195" customFormat="1">
      <c r="A58" s="476"/>
      <c r="B58" s="476"/>
      <c r="C58" s="125"/>
      <c r="F58" s="125"/>
      <c r="I58" s="125"/>
    </row>
    <row r="59" spans="1:55" s="195" customFormat="1">
      <c r="A59" s="476"/>
      <c r="B59" s="476"/>
      <c r="C59" s="125"/>
      <c r="F59" s="125"/>
      <c r="I59" s="125"/>
    </row>
    <row r="60" spans="1:55" s="195" customFormat="1">
      <c r="A60" s="476"/>
      <c r="B60" s="476"/>
      <c r="C60" s="125"/>
      <c r="F60" s="125"/>
      <c r="I60" s="125"/>
    </row>
    <row r="61" spans="1:55" s="195" customFormat="1">
      <c r="A61" s="476"/>
      <c r="B61" s="476"/>
      <c r="C61" s="125"/>
      <c r="F61" s="125"/>
      <c r="I61" s="125"/>
    </row>
    <row r="62" spans="1:55" s="195" customFormat="1">
      <c r="A62" s="476"/>
      <c r="B62" s="476"/>
      <c r="C62" s="125"/>
      <c r="F62" s="125"/>
      <c r="I62" s="125"/>
    </row>
    <row r="63" spans="1:55" s="195" customFormat="1">
      <c r="A63" s="476"/>
      <c r="B63" s="476"/>
      <c r="C63" s="125"/>
      <c r="F63" s="125"/>
      <c r="I63" s="125"/>
    </row>
    <row r="64" spans="1:55" s="195" customFormat="1">
      <c r="A64" s="476"/>
      <c r="B64" s="476"/>
      <c r="C64" s="125"/>
      <c r="F64" s="125"/>
      <c r="I64" s="125"/>
    </row>
    <row r="65" spans="1:9" s="195" customFormat="1">
      <c r="A65" s="476"/>
      <c r="B65" s="476"/>
      <c r="C65" s="125"/>
      <c r="F65" s="125"/>
      <c r="I65" s="125"/>
    </row>
    <row r="66" spans="1:9" s="195" customFormat="1">
      <c r="A66" s="476"/>
      <c r="B66" s="476"/>
      <c r="C66" s="125"/>
      <c r="F66" s="125"/>
      <c r="I66" s="125"/>
    </row>
    <row r="67" spans="1:9" s="195" customFormat="1">
      <c r="A67" s="476"/>
      <c r="B67" s="476"/>
      <c r="C67" s="125"/>
      <c r="F67" s="125"/>
      <c r="I67" s="125"/>
    </row>
    <row r="68" spans="1:9" s="195" customFormat="1">
      <c r="A68" s="476"/>
      <c r="B68" s="476"/>
      <c r="C68" s="125"/>
      <c r="F68" s="125"/>
      <c r="I68" s="125"/>
    </row>
    <row r="69" spans="1:9" s="195" customFormat="1">
      <c r="A69" s="476"/>
      <c r="B69" s="476"/>
      <c r="C69" s="125"/>
      <c r="F69" s="125"/>
      <c r="I69" s="125"/>
    </row>
    <row r="70" spans="1:9" s="195" customFormat="1">
      <c r="A70" s="476"/>
      <c r="B70" s="476"/>
      <c r="C70" s="125"/>
      <c r="F70" s="125"/>
      <c r="I70" s="125"/>
    </row>
    <row r="71" spans="1:9" s="195" customFormat="1">
      <c r="A71" s="476"/>
      <c r="B71" s="476"/>
      <c r="C71" s="125"/>
      <c r="F71" s="125"/>
      <c r="I71" s="125"/>
    </row>
    <row r="72" spans="1:9" s="195" customFormat="1">
      <c r="A72" s="476"/>
      <c r="B72" s="476"/>
      <c r="C72" s="125"/>
      <c r="F72" s="125"/>
      <c r="I72" s="125"/>
    </row>
    <row r="73" spans="1:9" s="195" customFormat="1">
      <c r="A73" s="476"/>
      <c r="B73" s="476"/>
      <c r="C73" s="125"/>
      <c r="F73" s="125"/>
      <c r="I73" s="125"/>
    </row>
    <row r="74" spans="1:9" s="195" customFormat="1">
      <c r="A74" s="476"/>
      <c r="B74" s="476"/>
      <c r="C74" s="125"/>
      <c r="F74" s="125"/>
      <c r="I74" s="125"/>
    </row>
    <row r="75" spans="1:9" s="195" customFormat="1">
      <c r="A75" s="476"/>
      <c r="B75" s="476"/>
      <c r="C75" s="125"/>
      <c r="F75" s="125"/>
      <c r="I75" s="125"/>
    </row>
    <row r="76" spans="1:9" s="195" customFormat="1">
      <c r="A76" s="476"/>
      <c r="B76" s="476"/>
      <c r="C76" s="125"/>
      <c r="F76" s="125"/>
      <c r="I76" s="125"/>
    </row>
    <row r="77" spans="1:9" s="195" customFormat="1">
      <c r="A77" s="476"/>
      <c r="B77" s="476"/>
      <c r="C77" s="125"/>
      <c r="F77" s="125"/>
      <c r="I77" s="125"/>
    </row>
    <row r="78" spans="1:9" s="195" customFormat="1">
      <c r="A78" s="476"/>
      <c r="B78" s="476"/>
      <c r="C78" s="125"/>
      <c r="F78" s="125"/>
      <c r="I78" s="125"/>
    </row>
    <row r="79" spans="1:9" s="195" customFormat="1">
      <c r="A79" s="476"/>
      <c r="B79" s="476"/>
      <c r="C79" s="125"/>
      <c r="F79" s="125"/>
      <c r="I79" s="125"/>
    </row>
    <row r="80" spans="1:9" s="195" customFormat="1">
      <c r="A80" s="476"/>
      <c r="B80" s="476"/>
      <c r="C80" s="125"/>
      <c r="F80" s="125"/>
      <c r="I80" s="125"/>
    </row>
    <row r="81" spans="1:9" s="195" customFormat="1">
      <c r="A81" s="476"/>
      <c r="B81" s="476"/>
      <c r="C81" s="125"/>
      <c r="F81" s="125"/>
      <c r="I81" s="125"/>
    </row>
    <row r="82" spans="1:9" s="195" customFormat="1">
      <c r="A82" s="476"/>
      <c r="B82" s="476"/>
      <c r="C82" s="125"/>
      <c r="F82" s="125"/>
      <c r="I82" s="125"/>
    </row>
    <row r="83" spans="1:9" s="195" customFormat="1">
      <c r="A83" s="476"/>
      <c r="B83" s="476"/>
      <c r="C83" s="125"/>
      <c r="F83" s="125"/>
      <c r="I83" s="125"/>
    </row>
    <row r="84" spans="1:9" s="195" customFormat="1">
      <c r="A84" s="476"/>
      <c r="B84" s="476"/>
      <c r="C84" s="125"/>
      <c r="F84" s="125"/>
      <c r="I84" s="125"/>
    </row>
    <row r="85" spans="1:9" s="195" customFormat="1">
      <c r="A85" s="476"/>
      <c r="B85" s="476"/>
      <c r="C85" s="125"/>
      <c r="F85" s="125"/>
      <c r="I85" s="125"/>
    </row>
    <row r="86" spans="1:9" s="195" customFormat="1">
      <c r="A86" s="476"/>
      <c r="B86" s="476"/>
      <c r="C86" s="125"/>
      <c r="F86" s="125"/>
      <c r="I86" s="125"/>
    </row>
    <row r="87" spans="1:9" s="195" customFormat="1">
      <c r="A87" s="476"/>
      <c r="B87" s="476"/>
      <c r="C87" s="125"/>
      <c r="F87" s="125"/>
      <c r="I87" s="125"/>
    </row>
    <row r="88" spans="1:9" s="195" customFormat="1">
      <c r="A88" s="476"/>
      <c r="B88" s="476"/>
      <c r="C88" s="125"/>
      <c r="F88" s="125"/>
      <c r="I88" s="125"/>
    </row>
    <row r="89" spans="1:9" s="195" customFormat="1">
      <c r="A89" s="476"/>
      <c r="B89" s="476"/>
      <c r="C89" s="125"/>
      <c r="F89" s="125"/>
      <c r="I89" s="125"/>
    </row>
    <row r="90" spans="1:9" s="195" customFormat="1">
      <c r="A90" s="476"/>
      <c r="B90" s="476"/>
      <c r="C90" s="125"/>
      <c r="F90" s="125"/>
      <c r="I90" s="125"/>
    </row>
    <row r="91" spans="1:9" s="195" customFormat="1">
      <c r="A91" s="476"/>
      <c r="B91" s="476"/>
      <c r="C91" s="125"/>
      <c r="F91" s="125"/>
      <c r="I91" s="125"/>
    </row>
    <row r="92" spans="1:9" s="195" customFormat="1">
      <c r="A92" s="476"/>
      <c r="B92" s="476"/>
      <c r="C92" s="125"/>
      <c r="F92" s="125"/>
      <c r="I92" s="125"/>
    </row>
    <row r="93" spans="1:9" s="195" customFormat="1">
      <c r="A93" s="476"/>
      <c r="B93" s="476"/>
      <c r="C93" s="125"/>
      <c r="F93" s="125"/>
      <c r="I93" s="125"/>
    </row>
    <row r="94" spans="1:9" s="195" customFormat="1">
      <c r="A94" s="476"/>
      <c r="B94" s="476"/>
      <c r="C94" s="125"/>
      <c r="F94" s="125"/>
      <c r="I94" s="125"/>
    </row>
    <row r="95" spans="1:9" s="195" customFormat="1">
      <c r="A95" s="476"/>
      <c r="B95" s="476"/>
      <c r="C95" s="125"/>
      <c r="F95" s="125"/>
      <c r="I95" s="125"/>
    </row>
    <row r="96" spans="1:9" s="195" customFormat="1">
      <c r="A96" s="476"/>
      <c r="B96" s="476"/>
      <c r="C96" s="125"/>
      <c r="F96" s="125"/>
      <c r="I96" s="125"/>
    </row>
    <row r="97" spans="1:9" s="195" customFormat="1">
      <c r="A97" s="476"/>
      <c r="B97" s="476"/>
      <c r="C97" s="125"/>
      <c r="F97" s="125"/>
      <c r="I97" s="125"/>
    </row>
    <row r="98" spans="1:9" s="195" customFormat="1">
      <c r="A98" s="476"/>
      <c r="B98" s="476"/>
      <c r="C98" s="125"/>
      <c r="F98" s="125"/>
      <c r="I98" s="125"/>
    </row>
    <row r="99" spans="1:9" s="195" customFormat="1">
      <c r="A99" s="476"/>
      <c r="B99" s="476"/>
      <c r="C99" s="125"/>
      <c r="F99" s="125"/>
      <c r="I99" s="125"/>
    </row>
    <row r="100" spans="1:9" s="195" customFormat="1">
      <c r="A100" s="476"/>
      <c r="B100" s="476"/>
      <c r="C100" s="125"/>
      <c r="F100" s="125"/>
      <c r="I100" s="125"/>
    </row>
    <row r="101" spans="1:9" s="195" customFormat="1">
      <c r="A101" s="476"/>
      <c r="B101" s="476"/>
      <c r="C101" s="125"/>
      <c r="F101" s="125"/>
      <c r="I101" s="125"/>
    </row>
    <row r="102" spans="1:9" s="195" customFormat="1">
      <c r="A102" s="476"/>
      <c r="B102" s="476"/>
      <c r="C102" s="125"/>
      <c r="F102" s="125"/>
      <c r="I102" s="125"/>
    </row>
    <row r="103" spans="1:9" s="195" customFormat="1">
      <c r="A103" s="476"/>
      <c r="B103" s="476"/>
      <c r="C103" s="125"/>
      <c r="F103" s="125"/>
      <c r="I103" s="125"/>
    </row>
    <row r="104" spans="1:9" s="195" customFormat="1">
      <c r="A104" s="476"/>
      <c r="B104" s="476"/>
      <c r="C104" s="125"/>
      <c r="F104" s="125"/>
      <c r="I104" s="125"/>
    </row>
    <row r="105" spans="1:9" s="195" customFormat="1">
      <c r="A105" s="476"/>
      <c r="B105" s="476"/>
      <c r="C105" s="125"/>
      <c r="F105" s="125"/>
      <c r="I105" s="125"/>
    </row>
    <row r="106" spans="1:9" s="195" customFormat="1">
      <c r="A106" s="476"/>
      <c r="B106" s="476"/>
      <c r="C106" s="125"/>
      <c r="F106" s="125"/>
      <c r="I106" s="125"/>
    </row>
    <row r="107" spans="1:9" s="195" customFormat="1">
      <c r="A107" s="476"/>
      <c r="B107" s="476"/>
      <c r="C107" s="125"/>
      <c r="F107" s="125"/>
      <c r="I107" s="125"/>
    </row>
    <row r="108" spans="1:9" s="195" customFormat="1">
      <c r="A108" s="476"/>
      <c r="B108" s="476"/>
      <c r="C108" s="125"/>
      <c r="F108" s="125"/>
      <c r="I108" s="125"/>
    </row>
    <row r="109" spans="1:9" s="195" customFormat="1">
      <c r="A109" s="476"/>
      <c r="B109" s="476"/>
      <c r="C109" s="125"/>
      <c r="F109" s="125"/>
      <c r="I109" s="125"/>
    </row>
    <row r="110" spans="1:9" s="195" customFormat="1">
      <c r="A110" s="476"/>
      <c r="B110" s="476"/>
      <c r="C110" s="125"/>
      <c r="F110" s="125"/>
      <c r="I110" s="125"/>
    </row>
    <row r="111" spans="1:9" s="195" customFormat="1">
      <c r="A111" s="476"/>
      <c r="B111" s="476"/>
      <c r="C111" s="125"/>
      <c r="F111" s="125"/>
      <c r="I111" s="125"/>
    </row>
    <row r="112" spans="1:9" s="195" customFormat="1">
      <c r="A112" s="476"/>
      <c r="B112" s="476"/>
      <c r="C112" s="125"/>
      <c r="F112" s="125"/>
      <c r="I112" s="125"/>
    </row>
    <row r="113" spans="1:9" s="195" customFormat="1">
      <c r="A113" s="476"/>
      <c r="B113" s="476"/>
      <c r="C113" s="125"/>
      <c r="F113" s="125"/>
      <c r="I113" s="125"/>
    </row>
    <row r="114" spans="1:9" s="195" customFormat="1">
      <c r="A114" s="476"/>
      <c r="B114" s="476"/>
      <c r="C114" s="125"/>
      <c r="F114" s="125"/>
      <c r="I114" s="125"/>
    </row>
    <row r="115" spans="1:9" s="195" customFormat="1">
      <c r="A115" s="476"/>
      <c r="B115" s="476"/>
      <c r="C115" s="125"/>
      <c r="F115" s="125"/>
      <c r="I115" s="125"/>
    </row>
    <row r="116" spans="1:9" s="195" customFormat="1">
      <c r="A116" s="476"/>
      <c r="B116" s="476"/>
      <c r="C116" s="125"/>
      <c r="F116" s="125"/>
      <c r="I116" s="125"/>
    </row>
    <row r="117" spans="1:9" s="195" customFormat="1">
      <c r="A117" s="476"/>
      <c r="B117" s="476"/>
      <c r="C117" s="125"/>
      <c r="F117" s="125"/>
      <c r="I117" s="125"/>
    </row>
    <row r="118" spans="1:9" s="195" customFormat="1">
      <c r="A118" s="476"/>
      <c r="B118" s="476"/>
      <c r="C118" s="125"/>
      <c r="F118" s="125"/>
      <c r="I118" s="125"/>
    </row>
    <row r="119" spans="1:9" s="195" customFormat="1">
      <c r="A119" s="476"/>
      <c r="B119" s="476"/>
      <c r="C119" s="125"/>
      <c r="F119" s="125"/>
      <c r="I119" s="125"/>
    </row>
    <row r="120" spans="1:9" s="195" customFormat="1">
      <c r="A120" s="476"/>
      <c r="B120" s="476"/>
      <c r="C120" s="125"/>
      <c r="F120" s="125"/>
      <c r="I120" s="125"/>
    </row>
    <row r="121" spans="1:9" s="195" customFormat="1">
      <c r="A121" s="476"/>
      <c r="B121" s="476"/>
      <c r="C121" s="125"/>
      <c r="F121" s="125"/>
      <c r="I121" s="125"/>
    </row>
    <row r="122" spans="1:9" s="195" customFormat="1">
      <c r="A122" s="476"/>
      <c r="B122" s="476"/>
      <c r="C122" s="125"/>
      <c r="F122" s="125"/>
      <c r="I122" s="125"/>
    </row>
    <row r="123" spans="1:9" s="195" customFormat="1">
      <c r="A123" s="476"/>
      <c r="B123" s="476"/>
      <c r="C123" s="125"/>
      <c r="F123" s="125"/>
      <c r="I123" s="125"/>
    </row>
    <row r="124" spans="1:9" s="195" customFormat="1">
      <c r="A124" s="476"/>
      <c r="B124" s="476"/>
      <c r="C124" s="125"/>
      <c r="F124" s="125"/>
      <c r="I124" s="125"/>
    </row>
    <row r="125" spans="1:9" s="195" customFormat="1">
      <c r="A125" s="476"/>
      <c r="B125" s="476"/>
      <c r="C125" s="125"/>
      <c r="F125" s="125"/>
      <c r="I125" s="125"/>
    </row>
    <row r="126" spans="1:9" s="195" customFormat="1">
      <c r="A126" s="476"/>
      <c r="B126" s="476"/>
      <c r="C126" s="125"/>
      <c r="F126" s="125"/>
      <c r="I126" s="125"/>
    </row>
    <row r="127" spans="1:9" s="195" customFormat="1">
      <c r="A127" s="476"/>
      <c r="B127" s="476"/>
      <c r="C127" s="125"/>
      <c r="F127" s="125"/>
      <c r="I127" s="125"/>
    </row>
    <row r="128" spans="1:9" s="195" customFormat="1">
      <c r="A128" s="476"/>
      <c r="B128" s="476"/>
      <c r="C128" s="125"/>
      <c r="F128" s="125"/>
      <c r="I128" s="125"/>
    </row>
    <row r="129" spans="1:9" s="195" customFormat="1">
      <c r="A129" s="476"/>
      <c r="B129" s="476"/>
      <c r="C129" s="125"/>
      <c r="F129" s="125"/>
      <c r="I129" s="125"/>
    </row>
    <row r="130" spans="1:9" s="195" customFormat="1">
      <c r="A130" s="476"/>
      <c r="B130" s="476"/>
      <c r="C130" s="125"/>
      <c r="F130" s="125"/>
      <c r="I130" s="125"/>
    </row>
    <row r="131" spans="1:9" s="195" customFormat="1">
      <c r="A131" s="476"/>
      <c r="B131" s="476"/>
      <c r="C131" s="125"/>
      <c r="F131" s="125"/>
      <c r="I131" s="125"/>
    </row>
    <row r="132" spans="1:9" s="195" customFormat="1">
      <c r="A132" s="476"/>
      <c r="B132" s="476"/>
      <c r="C132" s="125"/>
      <c r="F132" s="125"/>
      <c r="I132" s="125"/>
    </row>
    <row r="133" spans="1:9" s="195" customFormat="1">
      <c r="A133" s="476"/>
      <c r="B133" s="476"/>
      <c r="C133" s="125"/>
      <c r="F133" s="125"/>
      <c r="I133" s="125"/>
    </row>
    <row r="134" spans="1:9" s="195" customFormat="1">
      <c r="A134" s="476"/>
      <c r="B134" s="476"/>
      <c r="C134" s="125"/>
      <c r="F134" s="125"/>
      <c r="I134" s="125"/>
    </row>
    <row r="135" spans="1:9" s="195" customFormat="1">
      <c r="A135" s="476"/>
      <c r="B135" s="476"/>
      <c r="C135" s="125"/>
      <c r="F135" s="125"/>
      <c r="I135" s="125"/>
    </row>
    <row r="136" spans="1:9" s="195" customFormat="1">
      <c r="A136" s="476"/>
      <c r="B136" s="476"/>
      <c r="C136" s="125"/>
      <c r="F136" s="125"/>
      <c r="I136" s="125"/>
    </row>
    <row r="137" spans="1:9" s="195" customFormat="1">
      <c r="A137" s="476"/>
      <c r="B137" s="476"/>
      <c r="C137" s="125"/>
      <c r="F137" s="125"/>
      <c r="I137" s="125"/>
    </row>
    <row r="138" spans="1:9" s="195" customFormat="1">
      <c r="A138" s="476"/>
      <c r="B138" s="476"/>
      <c r="C138" s="125"/>
      <c r="F138" s="125"/>
      <c r="I138" s="125"/>
    </row>
    <row r="139" spans="1:9" s="195" customFormat="1">
      <c r="A139" s="476"/>
      <c r="B139" s="476"/>
      <c r="C139" s="125"/>
      <c r="F139" s="125"/>
      <c r="I139" s="125"/>
    </row>
    <row r="140" spans="1:9" s="195" customFormat="1">
      <c r="A140" s="476"/>
      <c r="B140" s="476"/>
      <c r="C140" s="125"/>
      <c r="F140" s="125"/>
      <c r="I140" s="125"/>
    </row>
    <row r="141" spans="1:9" s="195" customFormat="1">
      <c r="A141" s="476"/>
      <c r="B141" s="476"/>
      <c r="C141" s="125"/>
      <c r="F141" s="125"/>
      <c r="I141" s="125"/>
    </row>
    <row r="142" spans="1:9" s="195" customFormat="1">
      <c r="A142" s="476"/>
      <c r="B142" s="476"/>
      <c r="C142" s="125"/>
      <c r="F142" s="125"/>
      <c r="I142" s="125"/>
    </row>
    <row r="143" spans="1:9" s="195" customFormat="1">
      <c r="A143" s="476"/>
      <c r="B143" s="476"/>
      <c r="C143" s="125"/>
      <c r="F143" s="125"/>
      <c r="I143" s="125"/>
    </row>
    <row r="144" spans="1:9" s="195" customFormat="1">
      <c r="A144" s="476"/>
      <c r="B144" s="476"/>
      <c r="C144" s="125"/>
      <c r="F144" s="125"/>
      <c r="I144" s="125"/>
    </row>
    <row r="145" spans="1:9" s="195" customFormat="1">
      <c r="A145" s="476"/>
      <c r="B145" s="476"/>
      <c r="C145" s="125"/>
      <c r="F145" s="125"/>
      <c r="I145" s="125"/>
    </row>
    <row r="146" spans="1:9" s="195" customFormat="1">
      <c r="A146" s="476"/>
      <c r="B146" s="476"/>
      <c r="C146" s="125"/>
      <c r="F146" s="125"/>
      <c r="I146" s="125"/>
    </row>
    <row r="147" spans="1:9" s="195" customFormat="1">
      <c r="A147" s="476"/>
      <c r="B147" s="476"/>
      <c r="C147" s="125"/>
      <c r="F147" s="125"/>
      <c r="I147" s="125"/>
    </row>
    <row r="148" spans="1:9" s="195" customFormat="1">
      <c r="A148" s="476"/>
      <c r="B148" s="476"/>
      <c r="C148" s="125"/>
      <c r="F148" s="125"/>
      <c r="I148" s="125"/>
    </row>
    <row r="149" spans="1:9" s="195" customFormat="1">
      <c r="A149" s="476"/>
      <c r="B149" s="476"/>
      <c r="C149" s="125"/>
      <c r="F149" s="125"/>
      <c r="I149" s="125"/>
    </row>
    <row r="150" spans="1:9" s="195" customFormat="1">
      <c r="A150" s="476"/>
      <c r="B150" s="476"/>
      <c r="C150" s="125"/>
      <c r="F150" s="125"/>
      <c r="I150" s="125"/>
    </row>
    <row r="151" spans="1:9" s="195" customFormat="1">
      <c r="A151" s="476"/>
      <c r="B151" s="476"/>
      <c r="C151" s="125"/>
      <c r="F151" s="125"/>
      <c r="I151" s="125"/>
    </row>
    <row r="152" spans="1:9" s="195" customFormat="1">
      <c r="A152" s="476"/>
      <c r="B152" s="476"/>
      <c r="C152" s="125"/>
      <c r="F152" s="125"/>
      <c r="I152" s="125"/>
    </row>
    <row r="153" spans="1:9" s="195" customFormat="1">
      <c r="A153" s="476"/>
      <c r="B153" s="476"/>
      <c r="C153" s="125"/>
      <c r="F153" s="125"/>
      <c r="I153" s="125"/>
    </row>
    <row r="154" spans="1:9" s="195" customFormat="1">
      <c r="A154" s="476"/>
      <c r="B154" s="476"/>
      <c r="C154" s="125"/>
      <c r="F154" s="125"/>
      <c r="I154" s="125"/>
    </row>
    <row r="155" spans="1:9" s="195" customFormat="1">
      <c r="A155" s="476"/>
      <c r="B155" s="476"/>
      <c r="C155" s="125"/>
      <c r="F155" s="125"/>
      <c r="I155" s="125"/>
    </row>
    <row r="156" spans="1:9" s="195" customFormat="1">
      <c r="A156" s="476"/>
      <c r="B156" s="476"/>
      <c r="C156" s="125"/>
      <c r="F156" s="125"/>
      <c r="I156" s="125"/>
    </row>
    <row r="157" spans="1:9" s="195" customFormat="1">
      <c r="A157" s="476"/>
      <c r="B157" s="476"/>
      <c r="C157" s="125"/>
      <c r="F157" s="125"/>
      <c r="I157" s="125"/>
    </row>
    <row r="158" spans="1:9" s="195" customFormat="1">
      <c r="A158" s="124"/>
      <c r="B158" s="124"/>
      <c r="C158" s="125"/>
      <c r="F158" s="125"/>
      <c r="I158" s="125"/>
    </row>
    <row r="159" spans="1:9" s="195" customFormat="1">
      <c r="A159" s="124"/>
      <c r="B159" s="124"/>
      <c r="C159" s="125"/>
      <c r="F159" s="125"/>
      <c r="I159" s="125"/>
    </row>
    <row r="160" spans="1:9" s="195" customFormat="1">
      <c r="A160" s="124"/>
      <c r="B160" s="124"/>
      <c r="C160" s="125"/>
      <c r="F160" s="125"/>
      <c r="I160" s="125"/>
    </row>
    <row r="161" spans="1:9" s="195" customFormat="1">
      <c r="A161" s="124"/>
      <c r="B161" s="124"/>
      <c r="C161" s="125"/>
      <c r="F161" s="125"/>
      <c r="I161" s="125"/>
    </row>
    <row r="162" spans="1:9" s="195" customFormat="1">
      <c r="A162" s="124"/>
      <c r="B162" s="124"/>
      <c r="C162" s="125"/>
      <c r="F162" s="125"/>
      <c r="I162" s="125"/>
    </row>
    <row r="163" spans="1:9" s="195" customFormat="1">
      <c r="A163" s="124"/>
      <c r="B163" s="124"/>
      <c r="C163" s="125"/>
      <c r="F163" s="125"/>
      <c r="I163" s="125"/>
    </row>
    <row r="164" spans="1:9" s="195" customFormat="1">
      <c r="A164" s="124"/>
      <c r="B164" s="124"/>
      <c r="C164" s="125"/>
      <c r="F164" s="125"/>
      <c r="I164" s="125"/>
    </row>
    <row r="165" spans="1:9" s="195" customFormat="1">
      <c r="A165" s="124"/>
      <c r="B165" s="124"/>
      <c r="C165" s="125"/>
      <c r="F165" s="125"/>
      <c r="I165" s="125"/>
    </row>
    <row r="166" spans="1:9" s="195" customFormat="1">
      <c r="A166" s="124"/>
      <c r="B166" s="124"/>
      <c r="C166" s="125"/>
      <c r="F166" s="125"/>
      <c r="I166" s="125"/>
    </row>
    <row r="167" spans="1:9" s="195" customFormat="1">
      <c r="A167" s="124"/>
      <c r="B167" s="124"/>
      <c r="C167" s="125"/>
      <c r="F167" s="125"/>
      <c r="I167" s="125"/>
    </row>
    <row r="168" spans="1:9" s="195" customFormat="1">
      <c r="A168" s="124"/>
      <c r="B168" s="124"/>
      <c r="C168" s="125"/>
      <c r="F168" s="125"/>
      <c r="I168" s="125"/>
    </row>
    <row r="169" spans="1:9" s="195" customFormat="1">
      <c r="A169" s="124"/>
      <c r="B169" s="124"/>
      <c r="C169" s="125"/>
      <c r="F169" s="125"/>
      <c r="I169" s="125"/>
    </row>
    <row r="170" spans="1:9" s="195" customFormat="1">
      <c r="A170" s="124"/>
      <c r="B170" s="124"/>
      <c r="C170" s="125"/>
      <c r="F170" s="125"/>
      <c r="I170" s="125"/>
    </row>
    <row r="171" spans="1:9" s="195" customFormat="1">
      <c r="A171" s="124"/>
      <c r="B171" s="124"/>
      <c r="C171" s="125"/>
      <c r="F171" s="125"/>
      <c r="I171" s="125"/>
    </row>
    <row r="172" spans="1:9" s="195" customFormat="1">
      <c r="A172" s="124"/>
      <c r="B172" s="124"/>
      <c r="C172" s="125"/>
      <c r="F172" s="125"/>
      <c r="I172" s="125"/>
    </row>
    <row r="173" spans="1:9" s="195" customFormat="1">
      <c r="A173" s="124"/>
      <c r="B173" s="124"/>
      <c r="C173" s="125"/>
      <c r="F173" s="125"/>
      <c r="I173" s="125"/>
    </row>
    <row r="174" spans="1:9" s="195" customFormat="1">
      <c r="A174" s="124"/>
      <c r="B174" s="124"/>
      <c r="C174" s="125"/>
      <c r="F174" s="125"/>
      <c r="I174" s="125"/>
    </row>
    <row r="175" spans="1:9" s="195" customFormat="1">
      <c r="A175" s="124"/>
      <c r="B175" s="124"/>
      <c r="C175" s="125"/>
      <c r="F175" s="125"/>
      <c r="I175" s="125"/>
    </row>
    <row r="176" spans="1:9" s="195" customFormat="1">
      <c r="A176" s="124"/>
      <c r="B176" s="124"/>
      <c r="C176" s="125"/>
      <c r="F176" s="125"/>
      <c r="I176" s="125"/>
    </row>
    <row r="177" spans="1:9" s="195" customFormat="1">
      <c r="A177" s="124"/>
      <c r="B177" s="124"/>
      <c r="C177" s="125"/>
      <c r="F177" s="125"/>
      <c r="I177" s="125"/>
    </row>
    <row r="178" spans="1:9" s="195" customFormat="1">
      <c r="A178" s="124"/>
      <c r="B178" s="124"/>
      <c r="C178" s="125"/>
      <c r="F178" s="125"/>
      <c r="I178" s="125"/>
    </row>
    <row r="179" spans="1:9" s="195" customFormat="1">
      <c r="A179" s="124"/>
      <c r="B179" s="124"/>
      <c r="C179" s="125"/>
      <c r="F179" s="125"/>
      <c r="I179" s="125"/>
    </row>
    <row r="180" spans="1:9" s="195" customFormat="1">
      <c r="A180" s="124"/>
      <c r="B180" s="124"/>
      <c r="C180" s="125"/>
      <c r="F180" s="125"/>
      <c r="I180" s="125"/>
    </row>
    <row r="181" spans="1:9" s="195" customFormat="1">
      <c r="A181" s="124"/>
      <c r="B181" s="124"/>
      <c r="C181" s="125"/>
      <c r="F181" s="125"/>
      <c r="I181" s="125"/>
    </row>
    <row r="182" spans="1:9" s="195" customFormat="1">
      <c r="A182" s="124"/>
      <c r="B182" s="124"/>
      <c r="C182" s="125"/>
      <c r="F182" s="125"/>
      <c r="I182" s="125"/>
    </row>
    <row r="183" spans="1:9" s="195" customFormat="1">
      <c r="A183" s="124"/>
      <c r="B183" s="124"/>
      <c r="C183" s="125"/>
      <c r="F183" s="125"/>
      <c r="I183" s="125"/>
    </row>
    <row r="184" spans="1:9" s="195" customFormat="1">
      <c r="A184" s="124"/>
      <c r="B184" s="124"/>
      <c r="C184" s="125"/>
      <c r="F184" s="125"/>
      <c r="I184" s="125"/>
    </row>
    <row r="185" spans="1:9" s="195" customFormat="1">
      <c r="A185" s="124"/>
      <c r="B185" s="124"/>
      <c r="C185" s="125"/>
      <c r="F185" s="125"/>
      <c r="I185" s="125"/>
    </row>
    <row r="186" spans="1:9" s="195" customFormat="1">
      <c r="A186" s="124"/>
      <c r="B186" s="124"/>
      <c r="C186" s="125"/>
      <c r="F186" s="125"/>
      <c r="I186" s="125"/>
    </row>
    <row r="187" spans="1:9" s="195" customFormat="1">
      <c r="A187" s="124"/>
      <c r="B187" s="124"/>
      <c r="C187" s="125"/>
      <c r="F187" s="125"/>
      <c r="I187" s="125"/>
    </row>
    <row r="188" spans="1:9" s="195" customFormat="1">
      <c r="A188" s="124"/>
      <c r="B188" s="124"/>
      <c r="C188" s="125"/>
      <c r="F188" s="125"/>
      <c r="I188" s="125"/>
    </row>
    <row r="189" spans="1:9" s="195" customFormat="1">
      <c r="A189" s="124"/>
      <c r="B189" s="124"/>
      <c r="C189" s="125"/>
      <c r="F189" s="125"/>
      <c r="I189" s="125"/>
    </row>
    <row r="190" spans="1:9" s="195" customFormat="1">
      <c r="A190" s="124"/>
      <c r="B190" s="124"/>
      <c r="C190" s="125"/>
      <c r="F190" s="125"/>
      <c r="I190" s="125"/>
    </row>
    <row r="191" spans="1:9" s="195" customFormat="1">
      <c r="A191" s="124"/>
      <c r="B191" s="124"/>
      <c r="C191" s="125"/>
      <c r="F191" s="125"/>
      <c r="I191" s="125"/>
    </row>
    <row r="192" spans="1:9" s="195" customFormat="1">
      <c r="A192" s="124"/>
      <c r="B192" s="124"/>
      <c r="C192" s="125"/>
      <c r="F192" s="125"/>
      <c r="I192" s="125"/>
    </row>
    <row r="193" spans="1:9" s="195" customFormat="1">
      <c r="A193" s="124"/>
      <c r="B193" s="124"/>
      <c r="C193" s="125"/>
      <c r="F193" s="125"/>
      <c r="I193" s="125"/>
    </row>
    <row r="194" spans="1:9" s="195" customFormat="1">
      <c r="A194" s="124"/>
      <c r="B194" s="124"/>
      <c r="C194" s="125"/>
      <c r="F194" s="125"/>
      <c r="I194" s="125"/>
    </row>
    <row r="195" spans="1:9" s="195" customFormat="1">
      <c r="A195" s="124"/>
      <c r="B195" s="124"/>
      <c r="C195" s="125"/>
      <c r="F195" s="125"/>
      <c r="I195" s="125"/>
    </row>
    <row r="196" spans="1:9" s="195" customFormat="1">
      <c r="A196" s="124"/>
      <c r="B196" s="124"/>
      <c r="C196" s="125"/>
      <c r="F196" s="125"/>
      <c r="I196" s="125"/>
    </row>
    <row r="197" spans="1:9" s="195" customFormat="1">
      <c r="A197" s="124"/>
      <c r="B197" s="124"/>
      <c r="C197" s="125"/>
      <c r="F197" s="125"/>
      <c r="I197" s="125"/>
    </row>
    <row r="198" spans="1:9" s="195" customFormat="1">
      <c r="A198" s="124"/>
      <c r="B198" s="124"/>
      <c r="C198" s="125"/>
      <c r="F198" s="125"/>
      <c r="I198" s="125"/>
    </row>
    <row r="199" spans="1:9" s="195" customFormat="1">
      <c r="A199" s="124"/>
      <c r="B199" s="124"/>
      <c r="C199" s="125"/>
      <c r="F199" s="125"/>
      <c r="I199" s="125"/>
    </row>
    <row r="200" spans="1:9" s="195" customFormat="1">
      <c r="A200" s="124"/>
      <c r="B200" s="124"/>
      <c r="C200" s="125"/>
      <c r="F200" s="125"/>
      <c r="I200" s="125"/>
    </row>
    <row r="201" spans="1:9" s="195" customFormat="1">
      <c r="A201" s="124"/>
      <c r="B201" s="124"/>
      <c r="C201" s="125"/>
      <c r="F201" s="125"/>
      <c r="I201" s="125"/>
    </row>
    <row r="202" spans="1:9" s="195" customFormat="1">
      <c r="A202" s="124"/>
      <c r="B202" s="124"/>
      <c r="C202" s="125"/>
      <c r="F202" s="125"/>
      <c r="I202" s="125"/>
    </row>
    <row r="203" spans="1:9" s="195" customFormat="1">
      <c r="A203" s="124"/>
      <c r="B203" s="124"/>
      <c r="C203" s="125"/>
      <c r="F203" s="125"/>
      <c r="I203" s="125"/>
    </row>
    <row r="204" spans="1:9" s="195" customFormat="1">
      <c r="A204" s="124"/>
      <c r="B204" s="124"/>
      <c r="C204" s="125"/>
      <c r="F204" s="125"/>
      <c r="I204" s="125"/>
    </row>
    <row r="205" spans="1:9" s="195" customFormat="1">
      <c r="A205" s="124"/>
      <c r="B205" s="124"/>
      <c r="C205" s="125"/>
      <c r="F205" s="125"/>
      <c r="I205" s="125"/>
    </row>
    <row r="206" spans="1:9" s="195" customFormat="1">
      <c r="A206" s="124"/>
      <c r="B206" s="124"/>
      <c r="C206" s="125"/>
      <c r="F206" s="125"/>
      <c r="I206" s="125"/>
    </row>
    <row r="207" spans="1:9" s="195" customFormat="1">
      <c r="A207" s="124"/>
      <c r="B207" s="124"/>
      <c r="C207" s="125"/>
      <c r="F207" s="125"/>
      <c r="I207" s="125"/>
    </row>
    <row r="208" spans="1:9" s="195" customFormat="1">
      <c r="A208" s="124"/>
      <c r="B208" s="124"/>
      <c r="C208" s="125"/>
      <c r="F208" s="125"/>
      <c r="I208" s="125"/>
    </row>
    <row r="209" spans="1:9" s="195" customFormat="1">
      <c r="A209" s="124"/>
      <c r="B209" s="124"/>
      <c r="C209" s="125"/>
      <c r="F209" s="125"/>
      <c r="I209" s="125"/>
    </row>
    <row r="210" spans="1:9" s="195" customFormat="1">
      <c r="A210" s="124"/>
      <c r="B210" s="124"/>
      <c r="C210" s="125"/>
      <c r="F210" s="125"/>
      <c r="I210" s="125"/>
    </row>
    <row r="211" spans="1:9" s="195" customFormat="1">
      <c r="A211" s="124"/>
      <c r="B211" s="124"/>
      <c r="C211" s="125"/>
      <c r="F211" s="125"/>
      <c r="I211" s="125"/>
    </row>
    <row r="212" spans="1:9" s="195" customFormat="1">
      <c r="A212" s="124"/>
      <c r="B212" s="124"/>
      <c r="C212" s="125"/>
      <c r="F212" s="125"/>
      <c r="I212" s="125"/>
    </row>
    <row r="213" spans="1:9" s="195" customFormat="1">
      <c r="A213" s="124"/>
      <c r="B213" s="124"/>
      <c r="C213" s="125"/>
      <c r="F213" s="125"/>
      <c r="I213" s="125"/>
    </row>
    <row r="214" spans="1:9" s="195" customFormat="1">
      <c r="A214" s="124"/>
      <c r="B214" s="124"/>
      <c r="C214" s="125"/>
      <c r="F214" s="125"/>
      <c r="I214" s="125"/>
    </row>
    <row r="215" spans="1:9" s="195" customFormat="1">
      <c r="A215" s="124"/>
      <c r="B215" s="124"/>
      <c r="C215" s="125"/>
      <c r="F215" s="125"/>
      <c r="I215" s="125"/>
    </row>
    <row r="216" spans="1:9" s="195" customFormat="1">
      <c r="A216" s="124"/>
      <c r="B216" s="124"/>
      <c r="C216" s="125"/>
      <c r="F216" s="125"/>
      <c r="I216" s="125"/>
    </row>
    <row r="217" spans="1:9" s="195" customFormat="1">
      <c r="A217" s="124"/>
      <c r="B217" s="124"/>
      <c r="C217" s="125"/>
      <c r="F217" s="125"/>
      <c r="I217" s="125"/>
    </row>
    <row r="218" spans="1:9" s="195" customFormat="1">
      <c r="A218" s="124"/>
      <c r="B218" s="124"/>
      <c r="C218" s="125"/>
      <c r="F218" s="125"/>
      <c r="I218" s="125"/>
    </row>
    <row r="219" spans="1:9" s="195" customFormat="1">
      <c r="A219" s="124"/>
      <c r="B219" s="124"/>
      <c r="C219" s="125"/>
      <c r="F219" s="125"/>
      <c r="I219" s="125"/>
    </row>
    <row r="220" spans="1:9" s="195" customFormat="1">
      <c r="A220" s="124"/>
      <c r="B220" s="124"/>
      <c r="C220" s="125"/>
      <c r="F220" s="125"/>
      <c r="I220" s="125"/>
    </row>
    <row r="221" spans="1:9" s="195" customFormat="1">
      <c r="A221" s="124"/>
      <c r="B221" s="124"/>
      <c r="C221" s="125"/>
      <c r="F221" s="125"/>
      <c r="I221" s="125"/>
    </row>
    <row r="222" spans="1:9" s="195" customFormat="1">
      <c r="A222" s="124"/>
      <c r="B222" s="124"/>
      <c r="C222" s="125"/>
      <c r="F222" s="125"/>
      <c r="I222" s="125"/>
    </row>
    <row r="223" spans="1:9" s="195" customFormat="1">
      <c r="A223" s="124"/>
      <c r="B223" s="124"/>
      <c r="C223" s="125"/>
      <c r="F223" s="125"/>
      <c r="I223" s="125"/>
    </row>
    <row r="224" spans="1:9" s="195" customFormat="1">
      <c r="A224" s="124"/>
      <c r="B224" s="124"/>
      <c r="C224" s="125"/>
      <c r="F224" s="125"/>
      <c r="I224" s="125"/>
    </row>
    <row r="225" spans="1:9" s="195" customFormat="1">
      <c r="A225" s="124"/>
      <c r="B225" s="124"/>
      <c r="C225" s="125"/>
      <c r="F225" s="125"/>
      <c r="I225" s="125"/>
    </row>
    <row r="226" spans="1:9" s="195" customFormat="1">
      <c r="A226" s="124"/>
      <c r="B226" s="124"/>
      <c r="C226" s="125"/>
      <c r="F226" s="125"/>
      <c r="I226" s="125"/>
    </row>
    <row r="227" spans="1:9" s="195" customFormat="1">
      <c r="A227" s="124"/>
      <c r="B227" s="124"/>
      <c r="C227" s="125"/>
      <c r="F227" s="125"/>
      <c r="I227" s="125"/>
    </row>
    <row r="228" spans="1:9" s="195" customFormat="1">
      <c r="A228" s="124"/>
      <c r="B228" s="124"/>
      <c r="C228" s="125"/>
      <c r="F228" s="125"/>
      <c r="I228" s="125"/>
    </row>
    <row r="229" spans="1:9" s="195" customFormat="1">
      <c r="A229" s="124"/>
      <c r="B229" s="124"/>
      <c r="C229" s="125"/>
      <c r="F229" s="125"/>
      <c r="I229" s="125"/>
    </row>
    <row r="230" spans="1:9" s="195" customFormat="1">
      <c r="A230" s="124"/>
      <c r="B230" s="124"/>
      <c r="C230" s="125"/>
      <c r="F230" s="125"/>
      <c r="I230" s="125"/>
    </row>
    <row r="231" spans="1:9" s="195" customFormat="1">
      <c r="A231" s="124"/>
      <c r="B231" s="124"/>
      <c r="C231" s="125"/>
      <c r="F231" s="125"/>
      <c r="I231" s="125"/>
    </row>
    <row r="232" spans="1:9" s="195" customFormat="1">
      <c r="A232" s="124"/>
      <c r="B232" s="124"/>
      <c r="C232" s="125"/>
      <c r="F232" s="125"/>
      <c r="I232" s="125"/>
    </row>
    <row r="233" spans="1:9" s="195" customFormat="1">
      <c r="A233" s="124"/>
      <c r="B233" s="124"/>
      <c r="C233" s="125"/>
      <c r="F233" s="125"/>
      <c r="I233" s="125"/>
    </row>
    <row r="234" spans="1:9" s="195" customFormat="1">
      <c r="A234" s="124"/>
      <c r="B234" s="124"/>
      <c r="C234" s="125"/>
      <c r="F234" s="125"/>
      <c r="I234" s="125"/>
    </row>
    <row r="235" spans="1:9" s="195" customFormat="1">
      <c r="A235" s="124"/>
      <c r="B235" s="124"/>
      <c r="C235" s="125"/>
      <c r="F235" s="125"/>
      <c r="I235" s="125"/>
    </row>
    <row r="236" spans="1:9" s="195" customFormat="1">
      <c r="A236" s="124"/>
      <c r="B236" s="124"/>
      <c r="C236" s="125"/>
      <c r="F236" s="125"/>
      <c r="I236" s="125"/>
    </row>
    <row r="237" spans="1:9" s="195" customFormat="1">
      <c r="A237" s="124"/>
      <c r="B237" s="124"/>
      <c r="C237" s="125"/>
      <c r="F237" s="125"/>
      <c r="I237" s="125"/>
    </row>
    <row r="238" spans="1:9" s="195" customFormat="1">
      <c r="A238" s="124"/>
      <c r="B238" s="124"/>
      <c r="C238" s="125"/>
      <c r="F238" s="125"/>
      <c r="I238" s="125"/>
    </row>
    <row r="239" spans="1:9" s="195" customFormat="1">
      <c r="A239" s="124"/>
      <c r="B239" s="124"/>
      <c r="C239" s="125"/>
      <c r="F239" s="125"/>
      <c r="I239" s="125"/>
    </row>
    <row r="240" spans="1:9" s="195" customFormat="1">
      <c r="A240" s="124"/>
      <c r="B240" s="124"/>
      <c r="C240" s="125"/>
      <c r="F240" s="125"/>
      <c r="I240" s="125"/>
    </row>
    <row r="241" spans="1:9" s="195" customFormat="1">
      <c r="A241" s="124"/>
      <c r="B241" s="124"/>
      <c r="C241" s="125"/>
      <c r="F241" s="125"/>
      <c r="I241" s="125"/>
    </row>
    <row r="242" spans="1:9" s="195" customFormat="1">
      <c r="A242" s="124"/>
      <c r="B242" s="124"/>
      <c r="C242" s="125"/>
      <c r="F242" s="125"/>
      <c r="I242" s="125"/>
    </row>
    <row r="243" spans="1:9" s="195" customFormat="1">
      <c r="A243" s="124"/>
      <c r="B243" s="124"/>
      <c r="C243" s="125"/>
      <c r="F243" s="125"/>
      <c r="I243" s="125"/>
    </row>
    <row r="244" spans="1:9" s="195" customFormat="1">
      <c r="A244" s="124"/>
      <c r="B244" s="124"/>
      <c r="C244" s="125"/>
      <c r="F244" s="125"/>
      <c r="I244" s="125"/>
    </row>
    <row r="245" spans="1:9" s="195" customFormat="1">
      <c r="A245" s="124"/>
      <c r="B245" s="124"/>
      <c r="C245" s="125"/>
      <c r="F245" s="125"/>
      <c r="I245" s="125"/>
    </row>
    <row r="246" spans="1:9" s="195" customFormat="1">
      <c r="A246" s="124"/>
      <c r="B246" s="124"/>
      <c r="C246" s="125"/>
      <c r="F246" s="125"/>
      <c r="I246" s="125"/>
    </row>
    <row r="247" spans="1:9" s="195" customFormat="1">
      <c r="A247" s="124"/>
      <c r="B247" s="124"/>
      <c r="C247" s="125"/>
      <c r="F247" s="125"/>
      <c r="I247" s="125"/>
    </row>
    <row r="248" spans="1:9" s="195" customFormat="1">
      <c r="A248" s="124"/>
      <c r="B248" s="124"/>
      <c r="C248" s="125"/>
      <c r="F248" s="125"/>
      <c r="I248" s="125"/>
    </row>
    <row r="249" spans="1:9" s="195" customFormat="1">
      <c r="A249" s="124"/>
      <c r="B249" s="124"/>
      <c r="C249" s="125"/>
      <c r="F249" s="125"/>
      <c r="I249" s="125"/>
    </row>
    <row r="250" spans="1:9" s="195" customFormat="1">
      <c r="A250" s="124"/>
      <c r="B250" s="124"/>
      <c r="C250" s="125"/>
      <c r="F250" s="125"/>
      <c r="I250" s="125"/>
    </row>
    <row r="251" spans="1:9" s="195" customFormat="1">
      <c r="A251" s="124"/>
      <c r="B251" s="124"/>
      <c r="C251" s="125"/>
      <c r="F251" s="125"/>
      <c r="I251" s="125"/>
    </row>
    <row r="252" spans="1:9" s="195" customFormat="1">
      <c r="A252" s="124"/>
      <c r="B252" s="124"/>
      <c r="C252" s="125"/>
      <c r="F252" s="125"/>
      <c r="I252" s="125"/>
    </row>
    <row r="253" spans="1:9" s="195" customFormat="1">
      <c r="A253" s="124"/>
      <c r="B253" s="124"/>
      <c r="C253" s="125"/>
      <c r="F253" s="125"/>
      <c r="I253" s="125"/>
    </row>
    <row r="254" spans="1:9" s="195" customFormat="1">
      <c r="A254" s="124"/>
      <c r="B254" s="124"/>
      <c r="C254" s="125"/>
      <c r="F254" s="125"/>
      <c r="I254" s="125"/>
    </row>
    <row r="255" spans="1:9" s="195" customFormat="1">
      <c r="A255" s="124"/>
      <c r="B255" s="124"/>
      <c r="C255" s="125"/>
      <c r="F255" s="125"/>
      <c r="I255" s="125"/>
    </row>
    <row r="256" spans="1:9" s="195" customFormat="1">
      <c r="A256" s="124"/>
      <c r="B256" s="124"/>
      <c r="C256" s="125"/>
      <c r="F256" s="125"/>
      <c r="I256" s="125"/>
    </row>
    <row r="257" spans="1:9" s="195" customFormat="1">
      <c r="A257" s="124"/>
      <c r="B257" s="124"/>
      <c r="C257" s="125"/>
      <c r="F257" s="125"/>
      <c r="I257" s="125"/>
    </row>
    <row r="258" spans="1:9" s="195" customFormat="1">
      <c r="A258" s="124"/>
      <c r="B258" s="124"/>
      <c r="C258" s="125"/>
      <c r="F258" s="125"/>
      <c r="I258" s="125"/>
    </row>
    <row r="259" spans="1:9" s="195" customFormat="1">
      <c r="A259" s="124"/>
      <c r="B259" s="124"/>
      <c r="C259" s="125"/>
      <c r="F259" s="125"/>
      <c r="I259" s="125"/>
    </row>
    <row r="260" spans="1:9" s="195" customFormat="1">
      <c r="A260" s="124"/>
      <c r="B260" s="124"/>
      <c r="C260" s="125"/>
      <c r="F260" s="125"/>
      <c r="I260" s="125"/>
    </row>
    <row r="261" spans="1:9" s="195" customFormat="1">
      <c r="A261" s="124"/>
      <c r="B261" s="124"/>
      <c r="C261" s="125"/>
      <c r="F261" s="125"/>
      <c r="I261" s="125"/>
    </row>
    <row r="262" spans="1:9" s="195" customFormat="1">
      <c r="A262" s="124"/>
      <c r="B262" s="124"/>
      <c r="C262" s="125"/>
      <c r="F262" s="125"/>
      <c r="I262" s="125"/>
    </row>
    <row r="263" spans="1:9" s="195" customFormat="1">
      <c r="A263" s="124"/>
      <c r="B263" s="124"/>
      <c r="C263" s="125"/>
      <c r="F263" s="125"/>
      <c r="I263" s="125"/>
    </row>
    <row r="264" spans="1:9" s="195" customFormat="1">
      <c r="A264" s="124"/>
      <c r="B264" s="124"/>
      <c r="C264" s="125"/>
      <c r="F264" s="125"/>
      <c r="I264" s="125"/>
    </row>
    <row r="265" spans="1:9" s="195" customFormat="1">
      <c r="A265" s="124"/>
      <c r="B265" s="124"/>
      <c r="C265" s="125"/>
      <c r="F265" s="125"/>
      <c r="I265" s="125"/>
    </row>
    <row r="266" spans="1:9" s="195" customFormat="1">
      <c r="A266" s="124"/>
      <c r="B266" s="124"/>
      <c r="C266" s="125"/>
      <c r="F266" s="125"/>
      <c r="I266" s="125"/>
    </row>
    <row r="267" spans="1:9" s="195" customFormat="1">
      <c r="A267" s="124"/>
      <c r="B267" s="124"/>
      <c r="C267" s="125"/>
      <c r="F267" s="125"/>
      <c r="I267" s="125"/>
    </row>
    <row r="268" spans="1:9" s="195" customFormat="1">
      <c r="A268" s="124"/>
      <c r="B268" s="124"/>
      <c r="C268" s="125"/>
      <c r="F268" s="125"/>
      <c r="I268" s="125"/>
    </row>
    <row r="269" spans="1:9" s="195" customFormat="1">
      <c r="A269" s="124"/>
      <c r="B269" s="124"/>
      <c r="C269" s="125"/>
      <c r="F269" s="125"/>
      <c r="I269" s="125"/>
    </row>
    <row r="270" spans="1:9" s="195" customFormat="1">
      <c r="A270" s="124"/>
      <c r="B270" s="124"/>
      <c r="C270" s="125"/>
      <c r="F270" s="125"/>
      <c r="I270" s="125"/>
    </row>
    <row r="271" spans="1:9" s="195" customFormat="1">
      <c r="A271" s="124"/>
      <c r="B271" s="124"/>
      <c r="C271" s="125"/>
      <c r="F271" s="125"/>
      <c r="I271" s="125"/>
    </row>
    <row r="272" spans="1:9" s="195" customFormat="1">
      <c r="A272" s="124"/>
      <c r="B272" s="124"/>
      <c r="C272" s="125"/>
      <c r="F272" s="125"/>
      <c r="I272" s="125"/>
    </row>
    <row r="273" spans="1:9" s="195" customFormat="1">
      <c r="A273" s="124"/>
      <c r="B273" s="124"/>
      <c r="C273" s="125"/>
      <c r="F273" s="125"/>
      <c r="I273" s="125"/>
    </row>
    <row r="274" spans="1:9" s="195" customFormat="1">
      <c r="A274" s="124"/>
      <c r="B274" s="124"/>
      <c r="C274" s="125"/>
      <c r="F274" s="125"/>
      <c r="I274" s="125"/>
    </row>
    <row r="275" spans="1:9" s="195" customFormat="1">
      <c r="A275" s="124"/>
      <c r="B275" s="124"/>
      <c r="C275" s="125"/>
      <c r="F275" s="125"/>
      <c r="I275" s="125"/>
    </row>
    <row r="276" spans="1:9" s="195" customFormat="1">
      <c r="A276" s="124"/>
      <c r="B276" s="124"/>
      <c r="C276" s="125"/>
      <c r="F276" s="125"/>
      <c r="I276" s="125"/>
    </row>
    <row r="277" spans="1:9" s="195" customFormat="1">
      <c r="A277" s="124"/>
      <c r="B277" s="124"/>
      <c r="C277" s="125"/>
      <c r="F277" s="125"/>
      <c r="I277" s="125"/>
    </row>
    <row r="278" spans="1:9" s="195" customFormat="1">
      <c r="A278" s="124"/>
      <c r="B278" s="124"/>
      <c r="C278" s="125"/>
      <c r="F278" s="125"/>
      <c r="I278" s="125"/>
    </row>
    <row r="279" spans="1:9" s="195" customFormat="1">
      <c r="A279" s="124"/>
      <c r="B279" s="124"/>
      <c r="C279" s="125"/>
      <c r="F279" s="125"/>
      <c r="I279" s="125"/>
    </row>
    <row r="280" spans="1:9" s="195" customFormat="1">
      <c r="A280" s="124"/>
      <c r="B280" s="124"/>
      <c r="C280" s="125"/>
      <c r="F280" s="125"/>
      <c r="I280" s="125"/>
    </row>
    <row r="281" spans="1:9" s="195" customFormat="1">
      <c r="A281" s="124"/>
      <c r="B281" s="124"/>
      <c r="C281" s="125"/>
      <c r="F281" s="125"/>
      <c r="I281" s="125"/>
    </row>
    <row r="282" spans="1:9" s="195" customFormat="1">
      <c r="A282" s="124"/>
      <c r="B282" s="124"/>
      <c r="C282" s="125"/>
      <c r="F282" s="125"/>
      <c r="I282" s="125"/>
    </row>
    <row r="283" spans="1:9" s="195" customFormat="1">
      <c r="A283" s="124"/>
      <c r="B283" s="124"/>
      <c r="C283" s="125"/>
      <c r="F283" s="125"/>
      <c r="I283" s="125"/>
    </row>
    <row r="284" spans="1:9" s="195" customFormat="1">
      <c r="A284" s="124"/>
      <c r="B284" s="124"/>
      <c r="C284" s="125"/>
      <c r="F284" s="125"/>
      <c r="I284" s="125"/>
    </row>
    <row r="285" spans="1:9" s="195" customFormat="1">
      <c r="A285" s="124"/>
      <c r="B285" s="124"/>
      <c r="C285" s="125"/>
      <c r="F285" s="125"/>
      <c r="I285" s="125"/>
    </row>
    <row r="286" spans="1:9" s="195" customFormat="1">
      <c r="A286" s="124"/>
      <c r="B286" s="124"/>
      <c r="C286" s="125"/>
      <c r="F286" s="125"/>
      <c r="I286" s="125"/>
    </row>
    <row r="287" spans="1:9" s="195" customFormat="1">
      <c r="A287" s="124"/>
      <c r="B287" s="124"/>
      <c r="C287" s="125"/>
      <c r="F287" s="125"/>
      <c r="I287" s="125"/>
    </row>
    <row r="288" spans="1:9" s="195" customFormat="1">
      <c r="A288" s="124"/>
      <c r="B288" s="124"/>
      <c r="C288" s="125"/>
      <c r="F288" s="125"/>
      <c r="I288" s="125"/>
    </row>
    <row r="289" spans="1:9" s="195" customFormat="1">
      <c r="A289" s="124"/>
      <c r="B289" s="124"/>
      <c r="C289" s="125"/>
      <c r="F289" s="125"/>
      <c r="I289" s="125"/>
    </row>
    <row r="290" spans="1:9" s="195" customFormat="1">
      <c r="A290" s="124"/>
      <c r="B290" s="124"/>
      <c r="C290" s="125"/>
      <c r="F290" s="125"/>
      <c r="I290" s="125"/>
    </row>
    <row r="291" spans="1:9" s="195" customFormat="1">
      <c r="A291" s="124"/>
      <c r="B291" s="124"/>
      <c r="C291" s="125"/>
      <c r="F291" s="125"/>
      <c r="I291" s="125"/>
    </row>
    <row r="292" spans="1:9" s="195" customFormat="1">
      <c r="A292" s="124"/>
      <c r="B292" s="124"/>
      <c r="C292" s="125"/>
      <c r="F292" s="125"/>
      <c r="I292" s="125"/>
    </row>
    <row r="293" spans="1:9" s="195" customFormat="1">
      <c r="A293" s="124"/>
      <c r="B293" s="124"/>
      <c r="C293" s="125"/>
      <c r="F293" s="125"/>
      <c r="I293" s="125"/>
    </row>
    <row r="294" spans="1:9" s="195" customFormat="1">
      <c r="A294" s="124"/>
      <c r="B294" s="124"/>
      <c r="C294" s="125"/>
      <c r="F294" s="125"/>
      <c r="I294" s="125"/>
    </row>
    <row r="295" spans="1:9" s="195" customFormat="1">
      <c r="A295" s="124"/>
      <c r="B295" s="124"/>
      <c r="C295" s="125"/>
      <c r="F295" s="125"/>
      <c r="I295" s="125"/>
    </row>
    <row r="296" spans="1:9" s="195" customFormat="1">
      <c r="A296" s="124"/>
      <c r="B296" s="124"/>
      <c r="C296" s="125"/>
      <c r="F296" s="125"/>
      <c r="I296" s="125"/>
    </row>
    <row r="297" spans="1:9" s="195" customFormat="1">
      <c r="A297" s="124"/>
      <c r="B297" s="124"/>
      <c r="C297" s="125"/>
      <c r="F297" s="125"/>
      <c r="I297" s="125"/>
    </row>
    <row r="298" spans="1:9" s="195" customFormat="1">
      <c r="A298" s="124"/>
      <c r="B298" s="124"/>
      <c r="C298" s="125"/>
      <c r="F298" s="125"/>
      <c r="I298" s="125"/>
    </row>
    <row r="299" spans="1:9" s="195" customFormat="1">
      <c r="A299" s="124"/>
      <c r="B299" s="124"/>
      <c r="C299" s="125"/>
      <c r="F299" s="125"/>
      <c r="I299" s="125"/>
    </row>
    <row r="300" spans="1:9" s="195" customFormat="1">
      <c r="A300" s="124"/>
      <c r="B300" s="124"/>
      <c r="C300" s="125"/>
      <c r="F300" s="125"/>
      <c r="I300" s="125"/>
    </row>
    <row r="301" spans="1:9" s="195" customFormat="1">
      <c r="A301" s="124"/>
      <c r="B301" s="124"/>
      <c r="C301" s="125"/>
      <c r="F301" s="125"/>
      <c r="I301" s="125"/>
    </row>
    <row r="302" spans="1:9" s="195" customFormat="1">
      <c r="A302" s="124"/>
      <c r="B302" s="124"/>
      <c r="C302" s="125"/>
      <c r="F302" s="125"/>
      <c r="I302" s="125"/>
    </row>
    <row r="303" spans="1:9" s="195" customFormat="1">
      <c r="A303" s="124"/>
      <c r="B303" s="124"/>
      <c r="C303" s="125"/>
      <c r="F303" s="125"/>
      <c r="I303" s="125"/>
    </row>
    <row r="304" spans="1:9" s="195" customFormat="1">
      <c r="A304" s="124"/>
      <c r="B304" s="124"/>
      <c r="C304" s="125"/>
      <c r="F304" s="125"/>
      <c r="I304" s="125"/>
    </row>
    <row r="305" spans="1:9" s="195" customFormat="1">
      <c r="A305" s="124"/>
      <c r="B305" s="124"/>
      <c r="C305" s="125"/>
      <c r="F305" s="125"/>
      <c r="I305" s="125"/>
    </row>
    <row r="306" spans="1:9" s="195" customFormat="1">
      <c r="A306" s="124"/>
      <c r="B306" s="124"/>
      <c r="C306" s="125"/>
      <c r="F306" s="125"/>
      <c r="I306" s="125"/>
    </row>
    <row r="307" spans="1:9" s="195" customFormat="1">
      <c r="A307" s="124"/>
      <c r="B307" s="124"/>
      <c r="C307" s="125"/>
      <c r="F307" s="125"/>
      <c r="I307" s="125"/>
    </row>
    <row r="308" spans="1:9" s="195" customFormat="1">
      <c r="A308" s="124"/>
      <c r="B308" s="124"/>
      <c r="C308" s="125"/>
      <c r="F308" s="125"/>
      <c r="I308" s="125"/>
    </row>
    <row r="309" spans="1:9" s="195" customFormat="1">
      <c r="A309" s="124"/>
      <c r="B309" s="124"/>
      <c r="C309" s="125"/>
      <c r="F309" s="125"/>
      <c r="I309" s="125"/>
    </row>
    <row r="310" spans="1:9" s="195" customFormat="1">
      <c r="A310" s="124"/>
      <c r="B310" s="124"/>
      <c r="C310" s="125"/>
      <c r="F310" s="125"/>
      <c r="I310" s="125"/>
    </row>
    <row r="311" spans="1:9" s="195" customFormat="1">
      <c r="A311" s="124"/>
      <c r="B311" s="124"/>
      <c r="C311" s="125"/>
      <c r="F311" s="125"/>
      <c r="I311" s="125"/>
    </row>
    <row r="312" spans="1:9" s="195" customFormat="1">
      <c r="A312" s="124"/>
      <c r="B312" s="124"/>
      <c r="C312" s="125"/>
      <c r="F312" s="125"/>
      <c r="I312" s="125"/>
    </row>
    <row r="313" spans="1:9" s="195" customFormat="1">
      <c r="A313" s="124"/>
      <c r="B313" s="124"/>
      <c r="C313" s="125"/>
      <c r="F313" s="125"/>
      <c r="I313" s="125"/>
    </row>
    <row r="314" spans="1:9" s="195" customFormat="1">
      <c r="A314" s="124"/>
      <c r="B314" s="124"/>
      <c r="C314" s="125"/>
      <c r="F314" s="125"/>
      <c r="I314" s="125"/>
    </row>
    <row r="315" spans="1:9" s="195" customFormat="1">
      <c r="A315" s="124"/>
      <c r="B315" s="124"/>
      <c r="C315" s="125"/>
      <c r="F315" s="125"/>
      <c r="I315" s="125"/>
    </row>
    <row r="316" spans="1:9" s="195" customFormat="1">
      <c r="A316" s="124"/>
      <c r="B316" s="124"/>
      <c r="C316" s="125"/>
      <c r="F316" s="125"/>
      <c r="I316" s="125"/>
    </row>
    <row r="317" spans="1:9" s="195" customFormat="1">
      <c r="A317" s="124"/>
      <c r="B317" s="124"/>
      <c r="C317" s="125"/>
      <c r="F317" s="125"/>
      <c r="I317" s="125"/>
    </row>
    <row r="318" spans="1:9" s="195" customFormat="1">
      <c r="A318" s="124"/>
      <c r="B318" s="124"/>
      <c r="C318" s="125"/>
      <c r="F318" s="125"/>
      <c r="I318" s="125"/>
    </row>
    <row r="319" spans="1:9" s="195" customFormat="1">
      <c r="A319" s="124"/>
      <c r="B319" s="124"/>
      <c r="C319" s="125"/>
      <c r="F319" s="125"/>
      <c r="I319" s="125"/>
    </row>
    <row r="320" spans="1:9" s="195" customFormat="1">
      <c r="A320" s="124"/>
      <c r="B320" s="124"/>
      <c r="C320" s="125"/>
      <c r="F320" s="125"/>
      <c r="I320" s="125"/>
    </row>
    <row r="321" spans="1:9" s="195" customFormat="1">
      <c r="A321" s="124"/>
      <c r="B321" s="124"/>
      <c r="C321" s="125"/>
      <c r="F321" s="125"/>
      <c r="I321" s="125"/>
    </row>
    <row r="322" spans="1:9" s="195" customFormat="1">
      <c r="A322" s="124"/>
      <c r="B322" s="124"/>
      <c r="C322" s="125"/>
      <c r="F322" s="125"/>
      <c r="I322" s="125"/>
    </row>
    <row r="323" spans="1:9" s="195" customFormat="1">
      <c r="A323" s="124"/>
      <c r="B323" s="124"/>
      <c r="C323" s="125"/>
      <c r="F323" s="125"/>
      <c r="I323" s="125"/>
    </row>
    <row r="324" spans="1:9" s="195" customFormat="1">
      <c r="A324" s="124"/>
      <c r="B324" s="124"/>
      <c r="C324" s="125"/>
      <c r="F324" s="125"/>
      <c r="I324" s="125"/>
    </row>
    <row r="325" spans="1:9" s="195" customFormat="1">
      <c r="A325" s="124"/>
      <c r="B325" s="124"/>
      <c r="C325" s="125"/>
      <c r="F325" s="125"/>
      <c r="I325" s="125"/>
    </row>
    <row r="326" spans="1:9" s="195" customFormat="1">
      <c r="A326" s="124"/>
      <c r="B326" s="124"/>
      <c r="C326" s="125"/>
      <c r="F326" s="125"/>
      <c r="I326" s="125"/>
    </row>
    <row r="327" spans="1:9" s="195" customFormat="1">
      <c r="A327" s="124"/>
      <c r="B327" s="124"/>
      <c r="C327" s="125"/>
      <c r="F327" s="125"/>
      <c r="I327" s="125"/>
    </row>
    <row r="328" spans="1:9" s="195" customFormat="1">
      <c r="A328" s="124"/>
      <c r="B328" s="124"/>
      <c r="C328" s="125"/>
      <c r="F328" s="125"/>
      <c r="I328" s="125"/>
    </row>
    <row r="329" spans="1:9" s="195" customFormat="1">
      <c r="A329" s="124"/>
      <c r="B329" s="124"/>
      <c r="C329" s="125"/>
      <c r="F329" s="125"/>
      <c r="I329" s="125"/>
    </row>
    <row r="330" spans="1:9" s="195" customFormat="1">
      <c r="A330" s="124"/>
      <c r="B330" s="124"/>
      <c r="C330" s="125"/>
      <c r="F330" s="125"/>
      <c r="I330" s="125"/>
    </row>
    <row r="331" spans="1:9" s="195" customFormat="1">
      <c r="A331" s="124"/>
      <c r="B331" s="124"/>
      <c r="C331" s="125"/>
      <c r="F331" s="125"/>
      <c r="I331" s="125"/>
    </row>
    <row r="332" spans="1:9" s="195" customFormat="1">
      <c r="A332" s="124"/>
      <c r="B332" s="124"/>
      <c r="C332" s="125"/>
      <c r="F332" s="125"/>
      <c r="I332" s="125"/>
    </row>
    <row r="333" spans="1:9" s="195" customFormat="1">
      <c r="A333" s="124"/>
      <c r="B333" s="124"/>
      <c r="C333" s="125"/>
      <c r="F333" s="125"/>
      <c r="I333" s="125"/>
    </row>
    <row r="334" spans="1:9" s="195" customFormat="1">
      <c r="A334" s="124"/>
      <c r="B334" s="124"/>
      <c r="C334" s="125"/>
      <c r="F334" s="125"/>
      <c r="I334" s="125"/>
    </row>
    <row r="335" spans="1:9" s="195" customFormat="1">
      <c r="A335" s="124"/>
      <c r="B335" s="124"/>
      <c r="C335" s="125"/>
      <c r="F335" s="125"/>
      <c r="I335" s="125"/>
    </row>
    <row r="336" spans="1:9" s="195" customFormat="1">
      <c r="A336" s="124"/>
      <c r="B336" s="124"/>
      <c r="C336" s="125"/>
      <c r="F336" s="125"/>
      <c r="I336" s="125"/>
    </row>
    <row r="337" spans="1:9" s="195" customFormat="1">
      <c r="A337" s="124"/>
      <c r="B337" s="124"/>
      <c r="C337" s="125"/>
      <c r="F337" s="125"/>
      <c r="I337" s="125"/>
    </row>
    <row r="338" spans="1:9" s="195" customFormat="1">
      <c r="A338" s="124"/>
      <c r="B338" s="124"/>
      <c r="C338" s="125"/>
      <c r="F338" s="125"/>
      <c r="I338" s="125"/>
    </row>
    <row r="339" spans="1:9" s="195" customFormat="1">
      <c r="A339" s="124"/>
      <c r="B339" s="124"/>
      <c r="C339" s="125"/>
      <c r="F339" s="125"/>
      <c r="I339" s="125"/>
    </row>
    <row r="340" spans="1:9" s="195" customFormat="1">
      <c r="A340" s="124"/>
      <c r="B340" s="124"/>
      <c r="C340" s="125"/>
      <c r="F340" s="125"/>
      <c r="I340" s="125"/>
    </row>
    <row r="341" spans="1:9" s="195" customFormat="1">
      <c r="A341" s="124"/>
      <c r="B341" s="124"/>
      <c r="C341" s="125"/>
      <c r="F341" s="125"/>
      <c r="I341" s="125"/>
    </row>
    <row r="342" spans="1:9" s="195" customFormat="1">
      <c r="A342" s="124"/>
      <c r="B342" s="124"/>
      <c r="C342" s="125"/>
      <c r="F342" s="125"/>
      <c r="I342" s="125"/>
    </row>
    <row r="343" spans="1:9" s="195" customFormat="1">
      <c r="A343" s="124"/>
      <c r="B343" s="124"/>
      <c r="C343" s="125"/>
      <c r="F343" s="125"/>
      <c r="I343" s="125"/>
    </row>
    <row r="344" spans="1:9" s="195" customFormat="1">
      <c r="A344" s="124"/>
      <c r="B344" s="124"/>
      <c r="C344" s="125"/>
      <c r="F344" s="125"/>
      <c r="I344" s="125"/>
    </row>
    <row r="345" spans="1:9" s="195" customFormat="1">
      <c r="A345" s="124"/>
      <c r="B345" s="124"/>
      <c r="C345" s="125"/>
      <c r="F345" s="125"/>
      <c r="I345" s="125"/>
    </row>
    <row r="346" spans="1:9" s="195" customFormat="1">
      <c r="A346" s="124"/>
      <c r="B346" s="124"/>
      <c r="C346" s="125"/>
      <c r="F346" s="125"/>
      <c r="I346" s="125"/>
    </row>
    <row r="347" spans="1:9" s="195" customFormat="1">
      <c r="A347" s="124"/>
      <c r="B347" s="124"/>
      <c r="C347" s="125"/>
      <c r="F347" s="125"/>
      <c r="I347" s="125"/>
    </row>
    <row r="348" spans="1:9" s="195" customFormat="1">
      <c r="A348" s="124"/>
      <c r="B348" s="124"/>
      <c r="C348" s="125"/>
      <c r="F348" s="125"/>
      <c r="I348" s="125"/>
    </row>
    <row r="349" spans="1:9" s="195" customFormat="1">
      <c r="A349" s="124"/>
      <c r="B349" s="124"/>
      <c r="C349" s="125"/>
      <c r="F349" s="125"/>
      <c r="I349" s="125"/>
    </row>
    <row r="350" spans="1:9" s="195" customFormat="1">
      <c r="A350" s="124"/>
      <c r="B350" s="124"/>
      <c r="C350" s="125"/>
      <c r="F350" s="125"/>
      <c r="I350" s="125"/>
    </row>
    <row r="351" spans="1:9" s="195" customFormat="1">
      <c r="A351" s="124"/>
      <c r="B351" s="124"/>
      <c r="C351" s="125"/>
      <c r="F351" s="125"/>
      <c r="I351" s="125"/>
    </row>
    <row r="352" spans="1:9" s="195" customFormat="1">
      <c r="A352" s="124"/>
      <c r="B352" s="124"/>
      <c r="C352" s="125"/>
      <c r="F352" s="125"/>
      <c r="I352" s="125"/>
    </row>
    <row r="353" spans="1:9" s="195" customFormat="1">
      <c r="A353" s="124"/>
      <c r="B353" s="124"/>
      <c r="C353" s="125"/>
      <c r="F353" s="125"/>
      <c r="I353" s="125"/>
    </row>
    <row r="354" spans="1:9" s="195" customFormat="1">
      <c r="A354" s="124"/>
      <c r="B354" s="124"/>
      <c r="C354" s="125"/>
      <c r="F354" s="125"/>
      <c r="I354" s="125"/>
    </row>
    <row r="355" spans="1:9" s="195" customFormat="1">
      <c r="A355" s="124"/>
      <c r="B355" s="124"/>
      <c r="C355" s="125"/>
      <c r="F355" s="125"/>
      <c r="I355" s="125"/>
    </row>
    <row r="356" spans="1:9" s="195" customFormat="1">
      <c r="A356" s="124"/>
      <c r="B356" s="124"/>
      <c r="C356" s="125"/>
      <c r="F356" s="125"/>
      <c r="I356" s="125"/>
    </row>
    <row r="357" spans="1:9" s="195" customFormat="1">
      <c r="A357" s="124"/>
      <c r="B357" s="124"/>
      <c r="C357" s="125"/>
      <c r="F357" s="125"/>
      <c r="I357" s="125"/>
    </row>
    <row r="358" spans="1:9" s="195" customFormat="1">
      <c r="A358" s="124"/>
      <c r="B358" s="124"/>
      <c r="C358" s="125"/>
      <c r="F358" s="125"/>
      <c r="I358" s="125"/>
    </row>
    <row r="359" spans="1:9" s="195" customFormat="1">
      <c r="A359" s="124"/>
      <c r="B359" s="124"/>
      <c r="C359" s="125"/>
      <c r="F359" s="125"/>
      <c r="I359" s="125"/>
    </row>
    <row r="360" spans="1:9" s="195" customFormat="1">
      <c r="A360" s="124"/>
      <c r="B360" s="124"/>
      <c r="C360" s="125"/>
      <c r="F360" s="125"/>
      <c r="I360" s="125"/>
    </row>
    <row r="361" spans="1:9" s="195" customFormat="1">
      <c r="A361" s="124"/>
      <c r="B361" s="124"/>
      <c r="C361" s="125"/>
      <c r="F361" s="125"/>
      <c r="I361" s="125"/>
    </row>
    <row r="362" spans="1:9" s="195" customFormat="1">
      <c r="A362" s="124"/>
      <c r="B362" s="124"/>
      <c r="C362" s="125"/>
      <c r="F362" s="125"/>
      <c r="I362" s="125"/>
    </row>
    <row r="363" spans="1:9" s="195" customFormat="1">
      <c r="A363" s="124"/>
      <c r="B363" s="124"/>
      <c r="C363" s="125"/>
      <c r="F363" s="125"/>
      <c r="I363" s="125"/>
    </row>
    <row r="364" spans="1:9" s="195" customFormat="1">
      <c r="A364" s="124"/>
      <c r="B364" s="124"/>
      <c r="C364" s="125"/>
      <c r="F364" s="125"/>
      <c r="I364" s="125"/>
    </row>
    <row r="365" spans="1:9" s="195" customFormat="1">
      <c r="A365" s="124"/>
      <c r="B365" s="124"/>
      <c r="C365" s="125"/>
      <c r="F365" s="125"/>
      <c r="I365" s="125"/>
    </row>
    <row r="366" spans="1:9" s="195" customFormat="1">
      <c r="A366" s="124"/>
      <c r="B366" s="124"/>
      <c r="C366" s="125"/>
      <c r="F366" s="125"/>
      <c r="I366" s="125"/>
    </row>
    <row r="367" spans="1:9" s="195" customFormat="1">
      <c r="A367" s="124"/>
      <c r="B367" s="124"/>
      <c r="C367" s="125"/>
      <c r="F367" s="125"/>
      <c r="I367" s="125"/>
    </row>
    <row r="368" spans="1:9" s="195" customFormat="1">
      <c r="A368" s="124"/>
      <c r="B368" s="124"/>
      <c r="C368" s="125"/>
      <c r="F368" s="125"/>
      <c r="I368" s="125"/>
    </row>
    <row r="369" spans="1:9" s="195" customFormat="1">
      <c r="A369" s="124"/>
      <c r="B369" s="124"/>
      <c r="C369" s="125"/>
      <c r="F369" s="125"/>
      <c r="I369" s="125"/>
    </row>
    <row r="370" spans="1:9" s="195" customFormat="1">
      <c r="A370" s="124"/>
      <c r="B370" s="124"/>
      <c r="C370" s="125"/>
      <c r="F370" s="125"/>
      <c r="I370" s="125"/>
    </row>
    <row r="371" spans="1:9" s="195" customFormat="1">
      <c r="A371" s="124"/>
      <c r="B371" s="124"/>
      <c r="C371" s="125"/>
      <c r="F371" s="125"/>
      <c r="I371" s="125"/>
    </row>
    <row r="372" spans="1:9" s="195" customFormat="1">
      <c r="A372" s="124"/>
      <c r="B372" s="124"/>
      <c r="C372" s="125"/>
      <c r="F372" s="125"/>
      <c r="I372" s="125"/>
    </row>
    <row r="373" spans="1:9" s="195" customFormat="1">
      <c r="A373" s="124"/>
      <c r="B373" s="124"/>
      <c r="C373" s="125"/>
      <c r="F373" s="125"/>
      <c r="I373" s="125"/>
    </row>
    <row r="374" spans="1:9" s="195" customFormat="1">
      <c r="A374" s="124"/>
      <c r="B374" s="124"/>
      <c r="C374" s="125"/>
      <c r="F374" s="125"/>
      <c r="I374" s="125"/>
    </row>
    <row r="375" spans="1:9" s="195" customFormat="1">
      <c r="A375" s="124"/>
      <c r="B375" s="124"/>
      <c r="C375" s="125"/>
      <c r="F375" s="125"/>
      <c r="I375" s="125"/>
    </row>
    <row r="376" spans="1:9" s="195" customFormat="1">
      <c r="A376" s="124"/>
      <c r="B376" s="124"/>
      <c r="C376" s="125"/>
      <c r="F376" s="125"/>
      <c r="I376" s="125"/>
    </row>
    <row r="377" spans="1:9" s="195" customFormat="1">
      <c r="A377" s="124"/>
      <c r="B377" s="124"/>
      <c r="C377" s="125"/>
      <c r="F377" s="125"/>
      <c r="I377" s="125"/>
    </row>
    <row r="378" spans="1:9" s="195" customFormat="1">
      <c r="A378" s="124"/>
      <c r="B378" s="124"/>
      <c r="C378" s="125"/>
      <c r="F378" s="125"/>
      <c r="I378" s="125"/>
    </row>
    <row r="379" spans="1:9" s="195" customFormat="1">
      <c r="A379" s="124"/>
      <c r="B379" s="124"/>
      <c r="C379" s="125"/>
      <c r="F379" s="125"/>
      <c r="I379" s="125"/>
    </row>
    <row r="380" spans="1:9" s="195" customFormat="1">
      <c r="A380" s="124"/>
      <c r="B380" s="124"/>
      <c r="C380" s="125"/>
      <c r="F380" s="125"/>
      <c r="I380" s="125"/>
    </row>
    <row r="381" spans="1:9" s="195" customFormat="1">
      <c r="A381" s="124"/>
      <c r="B381" s="124"/>
      <c r="C381" s="125"/>
      <c r="F381" s="125"/>
      <c r="I381" s="125"/>
    </row>
    <row r="382" spans="1:9" s="195" customFormat="1">
      <c r="A382" s="124"/>
      <c r="B382" s="124"/>
      <c r="C382" s="125"/>
      <c r="F382" s="125"/>
      <c r="I382" s="125"/>
    </row>
    <row r="383" spans="1:9" s="195" customFormat="1">
      <c r="A383" s="124"/>
      <c r="B383" s="124"/>
      <c r="C383" s="125"/>
      <c r="F383" s="125"/>
      <c r="I383" s="125"/>
    </row>
    <row r="384" spans="1:9" s="195" customFormat="1">
      <c r="A384" s="124"/>
      <c r="B384" s="124"/>
      <c r="C384" s="125"/>
      <c r="F384" s="125"/>
      <c r="I384" s="125"/>
    </row>
    <row r="385" spans="1:9" s="195" customFormat="1">
      <c r="A385" s="124"/>
      <c r="B385" s="124"/>
      <c r="C385" s="125"/>
      <c r="F385" s="125"/>
      <c r="I385" s="125"/>
    </row>
    <row r="386" spans="1:9" s="195" customFormat="1">
      <c r="A386" s="124"/>
      <c r="B386" s="124"/>
      <c r="C386" s="125"/>
      <c r="F386" s="125"/>
      <c r="I386" s="125"/>
    </row>
    <row r="387" spans="1:9" s="195" customFormat="1">
      <c r="A387" s="124"/>
      <c r="B387" s="124"/>
      <c r="C387" s="125"/>
      <c r="F387" s="125"/>
      <c r="I387" s="125"/>
    </row>
    <row r="388" spans="1:9" s="195" customFormat="1">
      <c r="A388" s="124"/>
      <c r="B388" s="124"/>
      <c r="C388" s="125"/>
      <c r="F388" s="125"/>
      <c r="I388" s="125"/>
    </row>
    <row r="389" spans="1:9" s="195" customFormat="1">
      <c r="A389" s="124"/>
      <c r="B389" s="124"/>
      <c r="C389" s="125"/>
      <c r="F389" s="125"/>
      <c r="I389" s="125"/>
    </row>
    <row r="390" spans="1:9" s="195" customFormat="1">
      <c r="A390" s="124"/>
      <c r="B390" s="124"/>
      <c r="C390" s="125"/>
      <c r="F390" s="125"/>
      <c r="I390" s="125"/>
    </row>
    <row r="391" spans="1:9" s="195" customFormat="1">
      <c r="A391" s="124"/>
      <c r="B391" s="124"/>
      <c r="C391" s="125"/>
      <c r="F391" s="125"/>
      <c r="I391" s="125"/>
    </row>
    <row r="392" spans="1:9" s="195" customFormat="1">
      <c r="A392" s="124"/>
      <c r="B392" s="124"/>
      <c r="C392" s="125"/>
      <c r="F392" s="125"/>
      <c r="I392" s="125"/>
    </row>
    <row r="393" spans="1:9" s="195" customFormat="1">
      <c r="A393" s="124"/>
      <c r="B393" s="124"/>
      <c r="C393" s="125"/>
      <c r="F393" s="125"/>
      <c r="I393" s="125"/>
    </row>
    <row r="394" spans="1:9" s="195" customFormat="1">
      <c r="A394" s="124"/>
      <c r="B394" s="124"/>
      <c r="C394" s="125"/>
      <c r="F394" s="125"/>
      <c r="I394" s="125"/>
    </row>
    <row r="395" spans="1:9" s="195" customFormat="1">
      <c r="A395" s="124"/>
      <c r="B395" s="124"/>
      <c r="C395" s="125"/>
      <c r="F395" s="125"/>
      <c r="I395" s="125"/>
    </row>
    <row r="396" spans="1:9" s="195" customFormat="1">
      <c r="A396" s="124"/>
      <c r="B396" s="124"/>
      <c r="C396" s="125"/>
      <c r="F396" s="125"/>
      <c r="I396" s="125"/>
    </row>
    <row r="397" spans="1:9" s="195" customFormat="1">
      <c r="A397" s="124"/>
      <c r="B397" s="124"/>
      <c r="C397" s="125"/>
      <c r="F397" s="125"/>
      <c r="I397" s="125"/>
    </row>
    <row r="398" spans="1:9" s="195" customFormat="1">
      <c r="A398" s="124"/>
      <c r="B398" s="124"/>
      <c r="C398" s="125"/>
      <c r="F398" s="125"/>
      <c r="I398" s="125"/>
    </row>
    <row r="399" spans="1:9" s="195" customFormat="1">
      <c r="A399" s="124"/>
      <c r="B399" s="124"/>
      <c r="C399" s="125"/>
      <c r="F399" s="125"/>
      <c r="I399" s="125"/>
    </row>
    <row r="400" spans="1:9" s="195" customFormat="1">
      <c r="A400" s="124"/>
      <c r="B400" s="124"/>
      <c r="C400" s="125"/>
      <c r="F400" s="125"/>
      <c r="I400" s="125"/>
    </row>
    <row r="401" spans="1:9" s="195" customFormat="1">
      <c r="A401" s="124"/>
      <c r="B401" s="124"/>
      <c r="C401" s="125"/>
      <c r="F401" s="125"/>
      <c r="I401" s="125"/>
    </row>
    <row r="402" spans="1:9" s="195" customFormat="1">
      <c r="A402" s="124"/>
      <c r="B402" s="124"/>
      <c r="C402" s="125"/>
      <c r="F402" s="125"/>
      <c r="I402" s="125"/>
    </row>
    <row r="403" spans="1:9" s="195" customFormat="1">
      <c r="A403" s="124"/>
      <c r="B403" s="124"/>
      <c r="C403" s="125"/>
      <c r="F403" s="125"/>
      <c r="I403" s="125"/>
    </row>
    <row r="404" spans="1:9" s="195" customFormat="1">
      <c r="A404" s="124"/>
      <c r="B404" s="124"/>
      <c r="C404" s="125"/>
      <c r="F404" s="125"/>
      <c r="I404" s="125"/>
    </row>
    <row r="405" spans="1:9" s="195" customFormat="1">
      <c r="A405" s="124"/>
      <c r="B405" s="124"/>
      <c r="C405" s="125"/>
      <c r="F405" s="125"/>
      <c r="I405" s="125"/>
    </row>
    <row r="406" spans="1:9" s="195" customFormat="1">
      <c r="A406" s="124"/>
      <c r="B406" s="124"/>
      <c r="C406" s="125"/>
      <c r="F406" s="125"/>
      <c r="I406" s="125"/>
    </row>
    <row r="407" spans="1:9" s="195" customFormat="1">
      <c r="A407" s="124"/>
      <c r="B407" s="124"/>
      <c r="C407" s="125"/>
      <c r="F407" s="125"/>
      <c r="I407" s="125"/>
    </row>
    <row r="408" spans="1:9" s="195" customFormat="1">
      <c r="A408" s="124"/>
      <c r="B408" s="124"/>
      <c r="C408" s="125"/>
      <c r="F408" s="125"/>
      <c r="I408" s="125"/>
    </row>
    <row r="409" spans="1:9" s="195" customFormat="1">
      <c r="A409" s="124"/>
      <c r="B409" s="124"/>
      <c r="C409" s="125"/>
      <c r="F409" s="125"/>
      <c r="I409" s="125"/>
    </row>
    <row r="410" spans="1:9" s="195" customFormat="1">
      <c r="A410" s="124"/>
      <c r="B410" s="124"/>
      <c r="C410" s="125"/>
      <c r="F410" s="125"/>
      <c r="I410" s="125"/>
    </row>
    <row r="411" spans="1:9" s="195" customFormat="1">
      <c r="A411" s="124"/>
      <c r="B411" s="124"/>
      <c r="C411" s="125"/>
      <c r="F411" s="125"/>
      <c r="I411" s="125"/>
    </row>
    <row r="412" spans="1:9" s="195" customFormat="1">
      <c r="A412" s="124"/>
      <c r="B412" s="124"/>
      <c r="C412" s="125"/>
      <c r="F412" s="125"/>
      <c r="I412" s="125"/>
    </row>
    <row r="413" spans="1:9" s="195" customFormat="1">
      <c r="A413" s="124"/>
      <c r="B413" s="124"/>
      <c r="C413" s="125"/>
      <c r="F413" s="125"/>
      <c r="I413" s="125"/>
    </row>
    <row r="414" spans="1:9" s="195" customFormat="1">
      <c r="A414" s="124"/>
      <c r="B414" s="124"/>
      <c r="C414" s="125"/>
      <c r="F414" s="125"/>
      <c r="I414" s="125"/>
    </row>
    <row r="415" spans="1:9" s="195" customFormat="1">
      <c r="A415" s="124"/>
      <c r="B415" s="124"/>
      <c r="C415" s="125"/>
      <c r="F415" s="125"/>
      <c r="I415" s="125"/>
    </row>
    <row r="416" spans="1:9" s="195" customFormat="1">
      <c r="A416" s="124"/>
      <c r="B416" s="124"/>
      <c r="C416" s="125"/>
      <c r="F416" s="125"/>
      <c r="I416" s="125"/>
    </row>
    <row r="417" spans="1:9" s="195" customFormat="1">
      <c r="A417" s="124"/>
      <c r="B417" s="124"/>
      <c r="C417" s="125"/>
      <c r="F417" s="125"/>
      <c r="I417" s="125"/>
    </row>
    <row r="418" spans="1:9" s="195" customFormat="1">
      <c r="A418" s="124"/>
      <c r="B418" s="124"/>
      <c r="C418" s="125"/>
      <c r="F418" s="125"/>
      <c r="I418" s="125"/>
    </row>
    <row r="419" spans="1:9" s="195" customFormat="1">
      <c r="A419" s="124"/>
      <c r="B419" s="124"/>
      <c r="C419" s="125"/>
      <c r="F419" s="125"/>
      <c r="I419" s="125"/>
    </row>
    <row r="420" spans="1:9" s="195" customFormat="1">
      <c r="A420" s="124"/>
      <c r="B420" s="124"/>
      <c r="C420" s="125"/>
      <c r="F420" s="125"/>
      <c r="I420" s="125"/>
    </row>
    <row r="421" spans="1:9" s="195" customFormat="1">
      <c r="A421" s="124"/>
      <c r="B421" s="124"/>
      <c r="C421" s="125"/>
      <c r="F421" s="125"/>
      <c r="I421" s="125"/>
    </row>
    <row r="422" spans="1:9" s="195" customFormat="1">
      <c r="A422" s="124"/>
      <c r="B422" s="124"/>
      <c r="C422" s="125"/>
      <c r="F422" s="125"/>
      <c r="I422" s="125"/>
    </row>
    <row r="423" spans="1:9" s="195" customFormat="1">
      <c r="A423" s="124"/>
      <c r="B423" s="124"/>
      <c r="C423" s="125"/>
      <c r="F423" s="125"/>
      <c r="I423" s="125"/>
    </row>
    <row r="424" spans="1:9" s="195" customFormat="1">
      <c r="A424" s="124"/>
      <c r="B424" s="124"/>
      <c r="C424" s="125"/>
      <c r="F424" s="125"/>
      <c r="I424" s="125"/>
    </row>
    <row r="425" spans="1:9" s="195" customFormat="1">
      <c r="A425" s="124"/>
      <c r="B425" s="124"/>
      <c r="C425" s="125"/>
      <c r="F425" s="125"/>
      <c r="I425" s="125"/>
    </row>
    <row r="426" spans="1:9" s="195" customFormat="1">
      <c r="A426" s="124"/>
      <c r="B426" s="124"/>
      <c r="C426" s="125"/>
      <c r="F426" s="125"/>
      <c r="I426" s="125"/>
    </row>
    <row r="427" spans="1:9" s="195" customFormat="1">
      <c r="A427" s="124"/>
      <c r="B427" s="124"/>
      <c r="C427" s="125"/>
      <c r="F427" s="125"/>
      <c r="I427" s="125"/>
    </row>
    <row r="428" spans="1:9" s="195" customFormat="1">
      <c r="A428" s="124"/>
      <c r="B428" s="124"/>
      <c r="C428" s="125"/>
      <c r="F428" s="125"/>
      <c r="I428" s="125"/>
    </row>
    <row r="429" spans="1:9" s="195" customFormat="1">
      <c r="A429" s="124"/>
      <c r="B429" s="124"/>
      <c r="C429" s="125"/>
      <c r="F429" s="125"/>
      <c r="I429" s="125"/>
    </row>
    <row r="430" spans="1:9" s="195" customFormat="1">
      <c r="A430" s="124"/>
      <c r="B430" s="124"/>
      <c r="C430" s="125"/>
      <c r="F430" s="125"/>
      <c r="I430" s="125"/>
    </row>
    <row r="431" spans="1:9" s="195" customFormat="1">
      <c r="A431" s="124"/>
      <c r="B431" s="124"/>
      <c r="C431" s="125"/>
      <c r="F431" s="125"/>
      <c r="I431" s="125"/>
    </row>
    <row r="432" spans="1:9" s="195" customFormat="1">
      <c r="A432" s="124"/>
      <c r="B432" s="124"/>
      <c r="C432" s="125"/>
      <c r="F432" s="125"/>
      <c r="I432" s="125"/>
    </row>
    <row r="433" spans="1:9" s="195" customFormat="1">
      <c r="A433" s="124"/>
      <c r="B433" s="124"/>
      <c r="C433" s="125"/>
      <c r="F433" s="125"/>
      <c r="I433" s="125"/>
    </row>
    <row r="434" spans="1:9" s="195" customFormat="1">
      <c r="A434" s="124"/>
      <c r="B434" s="124"/>
      <c r="C434" s="125"/>
      <c r="F434" s="125"/>
      <c r="I434" s="125"/>
    </row>
    <row r="435" spans="1:9" s="195" customFormat="1">
      <c r="A435" s="124"/>
      <c r="B435" s="124"/>
      <c r="C435" s="125"/>
      <c r="F435" s="125"/>
      <c r="I435" s="125"/>
    </row>
    <row r="436" spans="1:9" s="195" customFormat="1">
      <c r="A436" s="124"/>
      <c r="B436" s="124"/>
      <c r="C436" s="125"/>
      <c r="F436" s="125"/>
      <c r="I436" s="125"/>
    </row>
    <row r="437" spans="1:9" s="195" customFormat="1">
      <c r="A437" s="124"/>
      <c r="B437" s="124"/>
      <c r="C437" s="125"/>
      <c r="F437" s="125"/>
      <c r="I437" s="125"/>
    </row>
    <row r="438" spans="1:9" s="195" customFormat="1">
      <c r="A438" s="124"/>
      <c r="B438" s="124"/>
      <c r="C438" s="125"/>
      <c r="F438" s="125"/>
      <c r="I438" s="125"/>
    </row>
    <row r="439" spans="1:9" s="195" customFormat="1">
      <c r="A439" s="124"/>
      <c r="B439" s="124"/>
      <c r="C439" s="125"/>
      <c r="F439" s="125"/>
      <c r="I439" s="125"/>
    </row>
    <row r="440" spans="1:9" s="195" customFormat="1">
      <c r="A440" s="124"/>
      <c r="B440" s="124"/>
      <c r="C440" s="125"/>
      <c r="F440" s="125"/>
      <c r="I440" s="125"/>
    </row>
    <row r="441" spans="1:9" s="195" customFormat="1">
      <c r="A441" s="124"/>
      <c r="B441" s="124"/>
      <c r="C441" s="125"/>
      <c r="F441" s="125"/>
      <c r="I441" s="125"/>
    </row>
    <row r="442" spans="1:9" s="195" customFormat="1">
      <c r="A442" s="124"/>
      <c r="B442" s="124"/>
      <c r="C442" s="125"/>
      <c r="F442" s="125"/>
      <c r="I442" s="125"/>
    </row>
    <row r="443" spans="1:9" s="195" customFormat="1">
      <c r="A443" s="124"/>
      <c r="B443" s="124"/>
      <c r="C443" s="125"/>
      <c r="F443" s="125"/>
      <c r="I443" s="125"/>
    </row>
    <row r="444" spans="1:9" s="195" customFormat="1">
      <c r="A444" s="124"/>
      <c r="B444" s="124"/>
      <c r="C444" s="125"/>
      <c r="F444" s="125"/>
      <c r="I444" s="125"/>
    </row>
    <row r="445" spans="1:9" s="195" customFormat="1">
      <c r="A445" s="124"/>
      <c r="B445" s="124"/>
      <c r="C445" s="125"/>
      <c r="F445" s="125"/>
      <c r="I445" s="125"/>
    </row>
    <row r="446" spans="1:9" s="195" customFormat="1">
      <c r="A446" s="124"/>
      <c r="B446" s="124"/>
      <c r="C446" s="125"/>
      <c r="F446" s="125"/>
      <c r="I446" s="125"/>
    </row>
    <row r="447" spans="1:9" s="195" customFormat="1">
      <c r="A447" s="124"/>
      <c r="B447" s="124"/>
      <c r="C447" s="125"/>
      <c r="F447" s="125"/>
      <c r="I447" s="125"/>
    </row>
    <row r="448" spans="1:9" s="195" customFormat="1">
      <c r="A448" s="124"/>
      <c r="B448" s="124"/>
      <c r="C448" s="125"/>
      <c r="F448" s="125"/>
      <c r="I448" s="125"/>
    </row>
    <row r="449" spans="1:9" s="195" customFormat="1">
      <c r="A449" s="124"/>
      <c r="B449" s="124"/>
      <c r="C449" s="125"/>
      <c r="F449" s="125"/>
      <c r="I449" s="125"/>
    </row>
    <row r="450" spans="1:9" s="195" customFormat="1">
      <c r="A450" s="124"/>
      <c r="B450" s="124"/>
      <c r="C450" s="125"/>
      <c r="F450" s="125"/>
      <c r="I450" s="125"/>
    </row>
    <row r="451" spans="1:9" s="195" customFormat="1">
      <c r="A451" s="124"/>
      <c r="B451" s="124"/>
      <c r="C451" s="125"/>
      <c r="F451" s="125"/>
      <c r="I451" s="125"/>
    </row>
    <row r="452" spans="1:9" s="195" customFormat="1">
      <c r="A452" s="124"/>
      <c r="B452" s="124"/>
      <c r="C452" s="125"/>
      <c r="F452" s="125"/>
      <c r="I452" s="125"/>
    </row>
    <row r="453" spans="1:9" s="195" customFormat="1">
      <c r="A453" s="124"/>
      <c r="B453" s="124"/>
      <c r="C453" s="125"/>
      <c r="F453" s="125"/>
      <c r="I453" s="125"/>
    </row>
    <row r="454" spans="1:9" s="195" customFormat="1">
      <c r="A454" s="124"/>
      <c r="B454" s="124"/>
      <c r="C454" s="125"/>
      <c r="F454" s="125"/>
      <c r="I454" s="125"/>
    </row>
    <row r="455" spans="1:9" s="195" customFormat="1">
      <c r="A455" s="124"/>
      <c r="B455" s="124"/>
      <c r="C455" s="125"/>
      <c r="F455" s="125"/>
      <c r="I455" s="125"/>
    </row>
    <row r="456" spans="1:9" s="195" customFormat="1">
      <c r="A456" s="124"/>
      <c r="B456" s="124"/>
      <c r="C456" s="125"/>
      <c r="F456" s="125"/>
      <c r="I456" s="125"/>
    </row>
    <row r="457" spans="1:9" s="195" customFormat="1">
      <c r="A457" s="124"/>
      <c r="B457" s="124"/>
      <c r="C457" s="125"/>
      <c r="F457" s="125"/>
      <c r="I457" s="125"/>
    </row>
    <row r="458" spans="1:9" s="195" customFormat="1">
      <c r="A458" s="124"/>
      <c r="B458" s="124"/>
      <c r="C458" s="125"/>
      <c r="F458" s="125"/>
      <c r="I458" s="125"/>
    </row>
    <row r="459" spans="1:9" s="195" customFormat="1">
      <c r="A459" s="124"/>
      <c r="B459" s="124"/>
      <c r="C459" s="125"/>
      <c r="F459" s="125"/>
      <c r="I459" s="125"/>
    </row>
    <row r="460" spans="1:9" s="195" customFormat="1">
      <c r="A460" s="124"/>
      <c r="B460" s="124"/>
      <c r="C460" s="125"/>
      <c r="F460" s="125"/>
      <c r="I460" s="125"/>
    </row>
    <row r="461" spans="1:9" s="195" customFormat="1">
      <c r="A461" s="124"/>
      <c r="B461" s="124"/>
      <c r="C461" s="125"/>
      <c r="F461" s="125"/>
      <c r="I461" s="125"/>
    </row>
    <row r="462" spans="1:9" s="195" customFormat="1">
      <c r="A462" s="124"/>
      <c r="B462" s="124"/>
      <c r="C462" s="125"/>
      <c r="F462" s="125"/>
      <c r="I462" s="125"/>
    </row>
    <row r="463" spans="1:9" s="195" customFormat="1">
      <c r="A463" s="124"/>
      <c r="B463" s="124"/>
      <c r="C463" s="125"/>
      <c r="F463" s="125"/>
      <c r="I463" s="125"/>
    </row>
    <row r="464" spans="1:9" s="195" customFormat="1">
      <c r="A464" s="124"/>
      <c r="B464" s="124"/>
      <c r="C464" s="125"/>
      <c r="F464" s="125"/>
      <c r="I464" s="125"/>
    </row>
    <row r="465" spans="1:9" s="195" customFormat="1">
      <c r="A465" s="124"/>
      <c r="B465" s="124"/>
      <c r="C465" s="125"/>
      <c r="F465" s="125"/>
      <c r="I465" s="125"/>
    </row>
    <row r="466" spans="1:9" s="195" customFormat="1">
      <c r="A466" s="124"/>
      <c r="B466" s="124"/>
      <c r="C466" s="125"/>
      <c r="F466" s="125"/>
      <c r="I466" s="125"/>
    </row>
    <row r="467" spans="1:9" s="195" customFormat="1">
      <c r="A467" s="124"/>
      <c r="B467" s="124"/>
      <c r="C467" s="125"/>
      <c r="F467" s="125"/>
      <c r="I467" s="125"/>
    </row>
    <row r="468" spans="1:9" s="195" customFormat="1">
      <c r="A468" s="124"/>
      <c r="B468" s="124"/>
      <c r="C468" s="125"/>
      <c r="F468" s="125"/>
      <c r="I468" s="125"/>
    </row>
    <row r="469" spans="1:9" s="195" customFormat="1">
      <c r="A469" s="124"/>
      <c r="B469" s="124"/>
      <c r="C469" s="125"/>
      <c r="F469" s="125"/>
      <c r="I469" s="125"/>
    </row>
    <row r="470" spans="1:9" s="195" customFormat="1">
      <c r="A470" s="124"/>
      <c r="B470" s="124"/>
      <c r="C470" s="125"/>
      <c r="F470" s="125"/>
      <c r="I470" s="125"/>
    </row>
    <row r="471" spans="1:9" s="195" customFormat="1">
      <c r="A471" s="124"/>
      <c r="B471" s="124"/>
      <c r="C471" s="125"/>
      <c r="F471" s="125"/>
      <c r="I471" s="125"/>
    </row>
    <row r="472" spans="1:9" s="195" customFormat="1">
      <c r="A472" s="124"/>
      <c r="B472" s="124"/>
      <c r="C472" s="125"/>
      <c r="F472" s="125"/>
      <c r="I472" s="125"/>
    </row>
    <row r="473" spans="1:9" s="195" customFormat="1">
      <c r="A473" s="124"/>
      <c r="B473" s="124"/>
      <c r="C473" s="125"/>
      <c r="F473" s="125"/>
      <c r="I473" s="125"/>
    </row>
    <row r="474" spans="1:9" s="195" customFormat="1">
      <c r="A474" s="124"/>
      <c r="B474" s="124"/>
      <c r="C474" s="125"/>
      <c r="F474" s="125"/>
      <c r="I474" s="125"/>
    </row>
    <row r="475" spans="1:9" s="195" customFormat="1">
      <c r="A475" s="124"/>
      <c r="B475" s="124"/>
      <c r="C475" s="125"/>
      <c r="F475" s="125"/>
      <c r="I475" s="125"/>
    </row>
    <row r="476" spans="1:9" s="195" customFormat="1">
      <c r="A476" s="124"/>
      <c r="B476" s="124"/>
      <c r="C476" s="125"/>
      <c r="F476" s="125"/>
      <c r="I476" s="125"/>
    </row>
    <row r="477" spans="1:9" s="195" customFormat="1">
      <c r="A477" s="124"/>
      <c r="B477" s="124"/>
      <c r="C477" s="125"/>
      <c r="F477" s="125"/>
      <c r="I477" s="125"/>
    </row>
    <row r="478" spans="1:9" s="195" customFormat="1">
      <c r="A478" s="124"/>
      <c r="B478" s="124"/>
      <c r="C478" s="125"/>
      <c r="F478" s="125"/>
      <c r="I478" s="125"/>
    </row>
    <row r="479" spans="1:9" s="195" customFormat="1">
      <c r="A479" s="124"/>
      <c r="B479" s="124"/>
      <c r="C479" s="125"/>
      <c r="F479" s="125"/>
      <c r="I479" s="125"/>
    </row>
    <row r="480" spans="1:9" s="195" customFormat="1">
      <c r="A480" s="124"/>
      <c r="B480" s="124"/>
      <c r="C480" s="125"/>
      <c r="F480" s="125"/>
      <c r="I480" s="125"/>
    </row>
    <row r="481" spans="1:9" s="195" customFormat="1">
      <c r="A481" s="124"/>
      <c r="B481" s="124"/>
      <c r="C481" s="125"/>
      <c r="F481" s="125"/>
      <c r="I481" s="125"/>
    </row>
    <row r="482" spans="1:9" s="195" customFormat="1">
      <c r="A482" s="124"/>
      <c r="B482" s="124"/>
      <c r="C482" s="125"/>
      <c r="F482" s="125"/>
      <c r="I482" s="125"/>
    </row>
    <row r="483" spans="1:9" s="195" customFormat="1">
      <c r="A483" s="124"/>
      <c r="B483" s="124"/>
      <c r="C483" s="125"/>
      <c r="F483" s="125"/>
      <c r="I483" s="125"/>
    </row>
    <row r="484" spans="1:9" s="195" customFormat="1">
      <c r="A484" s="124"/>
      <c r="B484" s="124"/>
      <c r="C484" s="125"/>
      <c r="F484" s="125"/>
      <c r="I484" s="125"/>
    </row>
    <row r="485" spans="1:9" s="195" customFormat="1">
      <c r="A485" s="124"/>
      <c r="B485" s="124"/>
      <c r="C485" s="125"/>
      <c r="F485" s="125"/>
      <c r="I485" s="125"/>
    </row>
    <row r="486" spans="1:9" s="195" customFormat="1">
      <c r="A486" s="124"/>
      <c r="B486" s="124"/>
      <c r="C486" s="125"/>
      <c r="F486" s="125"/>
      <c r="I486" s="125"/>
    </row>
    <row r="487" spans="1:9" s="195" customFormat="1">
      <c r="A487" s="124"/>
      <c r="B487" s="124"/>
      <c r="C487" s="125"/>
      <c r="F487" s="125"/>
      <c r="I487" s="125"/>
    </row>
    <row r="488" spans="1:9" s="195" customFormat="1">
      <c r="A488" s="124"/>
      <c r="B488" s="124"/>
      <c r="C488" s="125"/>
      <c r="F488" s="125"/>
      <c r="I488" s="125"/>
    </row>
    <row r="489" spans="1:9" s="195" customFormat="1">
      <c r="A489" s="124"/>
      <c r="B489" s="124"/>
      <c r="C489" s="125"/>
      <c r="F489" s="125"/>
      <c r="I489" s="125"/>
    </row>
    <row r="490" spans="1:9" s="195" customFormat="1">
      <c r="A490" s="124"/>
      <c r="B490" s="124"/>
      <c r="C490" s="125"/>
      <c r="F490" s="125"/>
      <c r="I490" s="125"/>
    </row>
    <row r="491" spans="1:9" s="195" customFormat="1">
      <c r="A491" s="124"/>
      <c r="B491" s="124"/>
      <c r="C491" s="125"/>
      <c r="F491" s="125"/>
      <c r="I491" s="125"/>
    </row>
    <row r="492" spans="1:9" s="195" customFormat="1">
      <c r="A492" s="124"/>
      <c r="B492" s="124"/>
      <c r="C492" s="125"/>
      <c r="F492" s="125"/>
      <c r="I492" s="125"/>
    </row>
    <row r="493" spans="1:9" s="195" customFormat="1">
      <c r="A493" s="124"/>
      <c r="B493" s="124"/>
      <c r="C493" s="125"/>
      <c r="F493" s="125"/>
      <c r="I493" s="125"/>
    </row>
    <row r="494" spans="1:9" s="195" customFormat="1">
      <c r="A494" s="124"/>
      <c r="B494" s="124"/>
      <c r="C494" s="125"/>
      <c r="F494" s="125"/>
      <c r="I494" s="125"/>
    </row>
    <row r="495" spans="1:9" s="195" customFormat="1">
      <c r="A495" s="124"/>
      <c r="B495" s="124"/>
      <c r="C495" s="125"/>
      <c r="F495" s="125"/>
      <c r="I495" s="125"/>
    </row>
    <row r="496" spans="1:9" s="195" customFormat="1">
      <c r="A496" s="124"/>
      <c r="B496" s="124"/>
      <c r="C496" s="125"/>
      <c r="F496" s="125"/>
      <c r="I496" s="125"/>
    </row>
    <row r="497" spans="1:9" s="195" customFormat="1">
      <c r="A497" s="124"/>
      <c r="B497" s="124"/>
      <c r="C497" s="125"/>
      <c r="F497" s="125"/>
      <c r="I497" s="125"/>
    </row>
    <row r="498" spans="1:9" s="195" customFormat="1">
      <c r="A498" s="124"/>
      <c r="B498" s="124"/>
      <c r="C498" s="125"/>
      <c r="F498" s="125"/>
      <c r="I498" s="125"/>
    </row>
    <row r="499" spans="1:9" s="195" customFormat="1">
      <c r="A499" s="124"/>
      <c r="B499" s="124"/>
      <c r="C499" s="125"/>
      <c r="F499" s="125"/>
      <c r="I499" s="125"/>
    </row>
    <row r="500" spans="1:9" s="195" customFormat="1">
      <c r="A500" s="124"/>
      <c r="B500" s="124"/>
      <c r="C500" s="125"/>
      <c r="F500" s="125"/>
      <c r="I500" s="125"/>
    </row>
    <row r="501" spans="1:9" s="195" customFormat="1">
      <c r="A501" s="124"/>
      <c r="B501" s="124"/>
      <c r="C501" s="125"/>
      <c r="F501" s="125"/>
      <c r="I501" s="125"/>
    </row>
    <row r="502" spans="1:9" s="195" customFormat="1">
      <c r="A502" s="124"/>
      <c r="B502" s="124"/>
      <c r="C502" s="125"/>
      <c r="F502" s="125"/>
      <c r="I502" s="125"/>
    </row>
    <row r="503" spans="1:9" s="195" customFormat="1">
      <c r="A503" s="124"/>
      <c r="B503" s="124"/>
      <c r="C503" s="125"/>
      <c r="F503" s="125"/>
      <c r="I503" s="125"/>
    </row>
    <row r="504" spans="1:9" s="195" customFormat="1">
      <c r="A504" s="124"/>
      <c r="B504" s="124"/>
      <c r="C504" s="125"/>
      <c r="F504" s="125"/>
      <c r="I504" s="125"/>
    </row>
    <row r="505" spans="1:9" s="195" customFormat="1">
      <c r="A505" s="124"/>
      <c r="B505" s="124"/>
      <c r="C505" s="125"/>
      <c r="F505" s="125"/>
      <c r="I505" s="125"/>
    </row>
    <row r="506" spans="1:9" s="195" customFormat="1">
      <c r="A506" s="124"/>
      <c r="B506" s="124"/>
      <c r="C506" s="125"/>
      <c r="F506" s="125"/>
      <c r="I506" s="125"/>
    </row>
    <row r="507" spans="1:9" s="195" customFormat="1">
      <c r="A507" s="124"/>
      <c r="B507" s="124"/>
      <c r="C507" s="125"/>
      <c r="F507" s="125"/>
      <c r="I507" s="125"/>
    </row>
    <row r="508" spans="1:9" s="195" customFormat="1">
      <c r="A508" s="124"/>
      <c r="B508" s="124"/>
      <c r="C508" s="125"/>
      <c r="F508" s="125"/>
      <c r="I508" s="125"/>
    </row>
    <row r="509" spans="1:9" s="195" customFormat="1">
      <c r="A509" s="124"/>
      <c r="B509" s="124"/>
      <c r="C509" s="125"/>
      <c r="F509" s="125"/>
      <c r="I509" s="125"/>
    </row>
    <row r="510" spans="1:9" s="195" customFormat="1">
      <c r="A510" s="124"/>
      <c r="B510" s="124"/>
      <c r="C510" s="125"/>
      <c r="F510" s="125"/>
      <c r="I510" s="125"/>
    </row>
    <row r="511" spans="1:9" s="195" customFormat="1">
      <c r="A511" s="124"/>
      <c r="B511" s="124"/>
      <c r="C511" s="125"/>
      <c r="F511" s="125"/>
      <c r="I511" s="125"/>
    </row>
    <row r="512" spans="1:9" s="195" customFormat="1">
      <c r="A512" s="124"/>
      <c r="B512" s="124"/>
      <c r="C512" s="125"/>
      <c r="F512" s="125"/>
      <c r="I512" s="125"/>
    </row>
    <row r="513" spans="1:9" s="195" customFormat="1">
      <c r="A513" s="124"/>
      <c r="B513" s="124"/>
      <c r="C513" s="125"/>
      <c r="F513" s="125"/>
      <c r="I513" s="125"/>
    </row>
    <row r="514" spans="1:9" s="195" customFormat="1">
      <c r="A514" s="124"/>
      <c r="B514" s="124"/>
      <c r="C514" s="125"/>
      <c r="F514" s="125"/>
      <c r="I514" s="125"/>
    </row>
    <row r="515" spans="1:9" s="195" customFormat="1">
      <c r="A515" s="124"/>
      <c r="B515" s="124"/>
      <c r="C515" s="125"/>
      <c r="F515" s="125"/>
      <c r="I515" s="125"/>
    </row>
    <row r="516" spans="1:9" s="195" customFormat="1">
      <c r="A516" s="124"/>
      <c r="B516" s="124"/>
      <c r="C516" s="125"/>
      <c r="F516" s="125"/>
      <c r="I516" s="125"/>
    </row>
    <row r="517" spans="1:9" s="195" customFormat="1">
      <c r="A517" s="124"/>
      <c r="B517" s="124"/>
      <c r="C517" s="125"/>
      <c r="F517" s="125"/>
      <c r="I517" s="125"/>
    </row>
    <row r="518" spans="1:9" s="195" customFormat="1">
      <c r="A518" s="124"/>
      <c r="B518" s="124"/>
      <c r="C518" s="125"/>
      <c r="F518" s="125"/>
      <c r="I518" s="125"/>
    </row>
    <row r="519" spans="1:9" s="195" customFormat="1">
      <c r="A519" s="124"/>
      <c r="B519" s="124"/>
      <c r="C519" s="125"/>
      <c r="F519" s="125"/>
      <c r="I519" s="125"/>
    </row>
    <row r="520" spans="1:9" s="195" customFormat="1">
      <c r="A520" s="124"/>
      <c r="B520" s="124"/>
      <c r="C520" s="125"/>
      <c r="F520" s="125"/>
      <c r="I520" s="125"/>
    </row>
    <row r="521" spans="1:9" s="195" customFormat="1">
      <c r="A521" s="124"/>
      <c r="B521" s="124"/>
      <c r="C521" s="125"/>
      <c r="F521" s="125"/>
      <c r="I521" s="125"/>
    </row>
    <row r="522" spans="1:9" s="195" customFormat="1">
      <c r="A522" s="124"/>
      <c r="B522" s="124"/>
      <c r="C522" s="125"/>
      <c r="F522" s="125"/>
      <c r="I522" s="125"/>
    </row>
    <row r="523" spans="1:9" s="195" customFormat="1">
      <c r="A523" s="124"/>
      <c r="B523" s="124"/>
      <c r="C523" s="125"/>
      <c r="F523" s="125"/>
      <c r="I523" s="125"/>
    </row>
    <row r="524" spans="1:9" s="195" customFormat="1">
      <c r="A524" s="124"/>
      <c r="B524" s="124"/>
      <c r="C524" s="125"/>
      <c r="F524" s="125"/>
      <c r="I524" s="125"/>
    </row>
    <row r="525" spans="1:9" s="195" customFormat="1">
      <c r="A525" s="124"/>
      <c r="B525" s="124"/>
      <c r="C525" s="125"/>
      <c r="F525" s="125"/>
      <c r="I525" s="125"/>
    </row>
    <row r="526" spans="1:9" s="195" customFormat="1">
      <c r="A526" s="124"/>
      <c r="B526" s="124"/>
      <c r="C526" s="125"/>
      <c r="F526" s="125"/>
      <c r="I526" s="125"/>
    </row>
    <row r="527" spans="1:9" s="195" customFormat="1">
      <c r="A527" s="124"/>
      <c r="B527" s="124"/>
      <c r="C527" s="125"/>
      <c r="F527" s="125"/>
      <c r="I527" s="125"/>
    </row>
    <row r="528" spans="1:9" s="195" customFormat="1">
      <c r="A528" s="124"/>
      <c r="B528" s="124"/>
      <c r="C528" s="125"/>
      <c r="F528" s="125"/>
      <c r="I528" s="125"/>
    </row>
    <row r="529" spans="1:9" s="195" customFormat="1">
      <c r="A529" s="124"/>
      <c r="B529" s="124"/>
      <c r="C529" s="125"/>
      <c r="F529" s="125"/>
      <c r="I529" s="125"/>
    </row>
    <row r="530" spans="1:9" s="195" customFormat="1">
      <c r="A530" s="124"/>
      <c r="B530" s="124"/>
      <c r="C530" s="125"/>
      <c r="F530" s="125"/>
      <c r="I530" s="125"/>
    </row>
    <row r="531" spans="1:9" s="195" customFormat="1">
      <c r="A531" s="124"/>
      <c r="B531" s="124"/>
      <c r="C531" s="125"/>
      <c r="F531" s="125"/>
      <c r="I531" s="125"/>
    </row>
    <row r="532" spans="1:9" s="195" customFormat="1">
      <c r="A532" s="124"/>
      <c r="B532" s="124"/>
      <c r="C532" s="125"/>
      <c r="F532" s="125"/>
      <c r="I532" s="125"/>
    </row>
    <row r="533" spans="1:9" s="195" customFormat="1">
      <c r="A533" s="124"/>
      <c r="B533" s="124"/>
      <c r="C533" s="125"/>
      <c r="F533" s="125"/>
      <c r="I533" s="125"/>
    </row>
    <row r="534" spans="1:9" s="195" customFormat="1">
      <c r="A534" s="124"/>
      <c r="B534" s="124"/>
      <c r="C534" s="125"/>
      <c r="F534" s="125"/>
      <c r="I534" s="125"/>
    </row>
    <row r="535" spans="1:9" s="195" customFormat="1">
      <c r="A535" s="124"/>
      <c r="B535" s="124"/>
      <c r="C535" s="125"/>
      <c r="F535" s="125"/>
      <c r="I535" s="125"/>
    </row>
    <row r="536" spans="1:9" s="195" customFormat="1">
      <c r="A536" s="124"/>
      <c r="B536" s="124"/>
      <c r="C536" s="125"/>
      <c r="F536" s="125"/>
      <c r="I536" s="125"/>
    </row>
    <row r="537" spans="1:9" s="195" customFormat="1">
      <c r="A537" s="124"/>
      <c r="B537" s="124"/>
      <c r="C537" s="125"/>
      <c r="F537" s="125"/>
      <c r="I537" s="125"/>
    </row>
    <row r="538" spans="1:9" s="195" customFormat="1">
      <c r="A538" s="124"/>
      <c r="B538" s="124"/>
      <c r="C538" s="125"/>
      <c r="F538" s="125"/>
      <c r="I538" s="125"/>
    </row>
    <row r="539" spans="1:9" s="195" customFormat="1">
      <c r="A539" s="124"/>
      <c r="B539" s="124"/>
      <c r="C539" s="125"/>
      <c r="F539" s="125"/>
      <c r="I539" s="125"/>
    </row>
    <row r="540" spans="1:9" s="195" customFormat="1">
      <c r="A540" s="124"/>
      <c r="B540" s="124"/>
      <c r="C540" s="125"/>
      <c r="F540" s="125"/>
      <c r="I540" s="125"/>
    </row>
    <row r="541" spans="1:9" s="195" customFormat="1">
      <c r="A541" s="124"/>
      <c r="B541" s="124"/>
      <c r="C541" s="125"/>
      <c r="F541" s="125"/>
      <c r="I541" s="125"/>
    </row>
    <row r="542" spans="1:9" s="195" customFormat="1">
      <c r="A542" s="124"/>
      <c r="B542" s="124"/>
      <c r="C542" s="125"/>
      <c r="F542" s="125"/>
      <c r="I542" s="125"/>
    </row>
    <row r="543" spans="1:9" s="195" customFormat="1">
      <c r="A543" s="124"/>
      <c r="B543" s="124"/>
      <c r="C543" s="125"/>
      <c r="F543" s="125"/>
      <c r="I543" s="125"/>
    </row>
    <row r="544" spans="1:9" s="195" customFormat="1">
      <c r="A544" s="124"/>
      <c r="B544" s="124"/>
      <c r="C544" s="125"/>
      <c r="F544" s="125"/>
      <c r="I544" s="125"/>
    </row>
    <row r="545" spans="1:9" s="195" customFormat="1">
      <c r="A545" s="124"/>
      <c r="B545" s="124"/>
      <c r="C545" s="125"/>
      <c r="F545" s="125"/>
      <c r="I545" s="125"/>
    </row>
    <row r="546" spans="1:9" s="195" customFormat="1">
      <c r="A546" s="124"/>
      <c r="B546" s="124"/>
      <c r="C546" s="125"/>
      <c r="F546" s="125"/>
      <c r="I546" s="125"/>
    </row>
    <row r="547" spans="1:9" s="195" customFormat="1">
      <c r="A547" s="124"/>
      <c r="B547" s="124"/>
      <c r="C547" s="125"/>
      <c r="F547" s="125"/>
      <c r="I547" s="125"/>
    </row>
    <row r="548" spans="1:9" s="195" customFormat="1">
      <c r="A548" s="124"/>
      <c r="B548" s="124"/>
      <c r="C548" s="125"/>
      <c r="F548" s="125"/>
      <c r="I548" s="125"/>
    </row>
    <row r="549" spans="1:9" s="195" customFormat="1">
      <c r="A549" s="124"/>
      <c r="B549" s="124"/>
      <c r="C549" s="125"/>
      <c r="F549" s="125"/>
      <c r="I549" s="125"/>
    </row>
    <row r="550" spans="1:9" s="195" customFormat="1">
      <c r="A550" s="124"/>
      <c r="B550" s="124"/>
      <c r="C550" s="125"/>
      <c r="F550" s="125"/>
      <c r="I550" s="125"/>
    </row>
    <row r="551" spans="1:9" s="195" customFormat="1">
      <c r="A551" s="124"/>
      <c r="B551" s="124"/>
      <c r="C551" s="125"/>
      <c r="F551" s="125"/>
      <c r="I551" s="125"/>
    </row>
    <row r="552" spans="1:9" s="195" customFormat="1">
      <c r="A552" s="124"/>
      <c r="B552" s="124"/>
      <c r="C552" s="125"/>
      <c r="F552" s="125"/>
      <c r="I552" s="125"/>
    </row>
    <row r="553" spans="1:9" s="195" customFormat="1">
      <c r="A553" s="124"/>
      <c r="B553" s="124"/>
      <c r="C553" s="125"/>
      <c r="F553" s="125"/>
      <c r="I553" s="125"/>
    </row>
    <row r="554" spans="1:9" s="195" customFormat="1">
      <c r="A554" s="124"/>
      <c r="B554" s="124"/>
      <c r="C554" s="125"/>
      <c r="F554" s="125"/>
      <c r="I554" s="125"/>
    </row>
    <row r="555" spans="1:9" s="195" customFormat="1">
      <c r="A555" s="124"/>
      <c r="B555" s="124"/>
      <c r="C555" s="125"/>
      <c r="F555" s="125"/>
      <c r="I555" s="125"/>
    </row>
    <row r="556" spans="1:9" s="195" customFormat="1">
      <c r="A556" s="124"/>
      <c r="B556" s="124"/>
      <c r="C556" s="125"/>
      <c r="F556" s="125"/>
      <c r="I556" s="125"/>
    </row>
    <row r="557" spans="1:9" s="195" customFormat="1">
      <c r="A557" s="124"/>
      <c r="B557" s="124"/>
      <c r="C557" s="125"/>
      <c r="F557" s="125"/>
      <c r="I557" s="125"/>
    </row>
    <row r="558" spans="1:9" s="195" customFormat="1">
      <c r="A558" s="124"/>
      <c r="B558" s="124"/>
      <c r="C558" s="125"/>
      <c r="F558" s="125"/>
      <c r="I558" s="125"/>
    </row>
    <row r="559" spans="1:9" s="195" customFormat="1">
      <c r="A559" s="124"/>
      <c r="B559" s="124"/>
      <c r="C559" s="125"/>
      <c r="F559" s="125"/>
      <c r="I559" s="125"/>
    </row>
    <row r="560" spans="1:9" s="195" customFormat="1">
      <c r="A560" s="124"/>
      <c r="B560" s="124"/>
      <c r="C560" s="125"/>
      <c r="F560" s="125"/>
      <c r="I560" s="125"/>
    </row>
    <row r="561" spans="1:9" s="195" customFormat="1">
      <c r="A561" s="124"/>
      <c r="B561" s="124"/>
      <c r="C561" s="125"/>
      <c r="F561" s="125"/>
      <c r="I561" s="125"/>
    </row>
    <row r="562" spans="1:9" s="195" customFormat="1">
      <c r="A562" s="124"/>
      <c r="B562" s="124"/>
      <c r="C562" s="125"/>
      <c r="F562" s="125"/>
      <c r="I562" s="125"/>
    </row>
    <row r="563" spans="1:9" s="195" customFormat="1">
      <c r="A563" s="124"/>
      <c r="B563" s="124"/>
      <c r="C563" s="125"/>
      <c r="F563" s="125"/>
      <c r="I563" s="125"/>
    </row>
    <row r="564" spans="1:9" s="195" customFormat="1">
      <c r="A564" s="124"/>
      <c r="B564" s="124"/>
      <c r="C564" s="125"/>
      <c r="F564" s="125"/>
      <c r="I564" s="125"/>
    </row>
    <row r="565" spans="1:9" s="195" customFormat="1">
      <c r="A565" s="124"/>
      <c r="B565" s="124"/>
      <c r="C565" s="125"/>
      <c r="F565" s="125"/>
      <c r="I565" s="125"/>
    </row>
    <row r="566" spans="1:9" s="195" customFormat="1">
      <c r="A566" s="124"/>
      <c r="B566" s="124"/>
      <c r="C566" s="125"/>
      <c r="F566" s="125"/>
      <c r="I566" s="125"/>
    </row>
    <row r="567" spans="1:9" s="195" customFormat="1">
      <c r="A567" s="124"/>
      <c r="B567" s="124"/>
      <c r="C567" s="125"/>
      <c r="F567" s="125"/>
      <c r="I567" s="125"/>
    </row>
    <row r="568" spans="1:9" s="195" customFormat="1">
      <c r="A568" s="124"/>
      <c r="B568" s="124"/>
      <c r="C568" s="125"/>
      <c r="F568" s="125"/>
      <c r="I568" s="125"/>
    </row>
    <row r="569" spans="1:9" s="195" customFormat="1">
      <c r="A569" s="124"/>
      <c r="B569" s="124"/>
      <c r="C569" s="125"/>
      <c r="F569" s="125"/>
      <c r="I569" s="125"/>
    </row>
    <row r="570" spans="1:9" s="195" customFormat="1">
      <c r="A570" s="124"/>
      <c r="B570" s="124"/>
      <c r="C570" s="125"/>
      <c r="F570" s="125"/>
      <c r="I570" s="125"/>
    </row>
    <row r="571" spans="1:9" s="195" customFormat="1">
      <c r="A571" s="124"/>
      <c r="B571" s="124"/>
      <c r="C571" s="125"/>
      <c r="F571" s="125"/>
      <c r="I571" s="125"/>
    </row>
    <row r="572" spans="1:9" s="195" customFormat="1">
      <c r="A572" s="124"/>
      <c r="B572" s="124"/>
      <c r="C572" s="125"/>
      <c r="F572" s="125"/>
      <c r="I572" s="125"/>
    </row>
    <row r="573" spans="1:9" s="195" customFormat="1">
      <c r="A573" s="124"/>
      <c r="B573" s="124"/>
      <c r="C573" s="125"/>
      <c r="F573" s="125"/>
      <c r="I573" s="125"/>
    </row>
    <row r="574" spans="1:9" s="195" customFormat="1">
      <c r="A574" s="124"/>
      <c r="B574" s="124"/>
      <c r="C574" s="125"/>
      <c r="F574" s="125"/>
      <c r="I574" s="125"/>
    </row>
    <row r="575" spans="1:9" s="195" customFormat="1">
      <c r="A575" s="124"/>
      <c r="B575" s="124"/>
      <c r="C575" s="125"/>
      <c r="F575" s="125"/>
      <c r="I575" s="125"/>
    </row>
    <row r="576" spans="1:9" s="195" customFormat="1">
      <c r="A576" s="124"/>
      <c r="B576" s="124"/>
      <c r="C576" s="125"/>
      <c r="F576" s="125"/>
      <c r="I576" s="125"/>
    </row>
    <row r="577" spans="1:9" s="195" customFormat="1">
      <c r="A577" s="124"/>
      <c r="B577" s="124"/>
      <c r="C577" s="125"/>
      <c r="F577" s="125"/>
      <c r="I577" s="125"/>
    </row>
    <row r="578" spans="1:9" s="195" customFormat="1">
      <c r="A578" s="124"/>
      <c r="B578" s="124"/>
      <c r="C578" s="125"/>
      <c r="F578" s="125"/>
      <c r="I578" s="125"/>
    </row>
    <row r="579" spans="1:9" s="195" customFormat="1">
      <c r="A579" s="124"/>
      <c r="B579" s="124"/>
      <c r="C579" s="125"/>
      <c r="F579" s="125"/>
      <c r="I579" s="125"/>
    </row>
    <row r="580" spans="1:9" s="195" customFormat="1">
      <c r="A580" s="124"/>
      <c r="B580" s="124"/>
      <c r="C580" s="125"/>
      <c r="F580" s="125"/>
      <c r="I580" s="125"/>
    </row>
    <row r="581" spans="1:9" s="195" customFormat="1">
      <c r="A581" s="124"/>
      <c r="B581" s="124"/>
      <c r="C581" s="125"/>
      <c r="F581" s="125"/>
      <c r="I581" s="125"/>
    </row>
    <row r="582" spans="1:9" s="195" customFormat="1">
      <c r="A582" s="124"/>
      <c r="B582" s="124"/>
      <c r="C582" s="125"/>
      <c r="F582" s="125"/>
      <c r="I582" s="125"/>
    </row>
    <row r="583" spans="1:9" s="195" customFormat="1">
      <c r="A583" s="124"/>
      <c r="B583" s="124"/>
      <c r="C583" s="125"/>
      <c r="F583" s="125"/>
      <c r="I583" s="125"/>
    </row>
    <row r="584" spans="1:9" s="195" customFormat="1">
      <c r="A584" s="124"/>
      <c r="B584" s="124"/>
      <c r="C584" s="125"/>
      <c r="F584" s="125"/>
      <c r="I584" s="125"/>
    </row>
    <row r="585" spans="1:9" s="195" customFormat="1">
      <c r="A585" s="124"/>
      <c r="B585" s="124"/>
      <c r="C585" s="125"/>
      <c r="F585" s="125"/>
      <c r="I585" s="125"/>
    </row>
    <row r="586" spans="1:9" s="195" customFormat="1">
      <c r="A586" s="124"/>
      <c r="B586" s="124"/>
      <c r="C586" s="125"/>
      <c r="F586" s="125"/>
      <c r="I586" s="125"/>
    </row>
    <row r="587" spans="1:9" s="195" customFormat="1">
      <c r="A587" s="124"/>
      <c r="B587" s="124"/>
      <c r="C587" s="125"/>
      <c r="F587" s="125"/>
      <c r="I587" s="125"/>
    </row>
    <row r="588" spans="1:9" s="195" customFormat="1">
      <c r="A588" s="124"/>
      <c r="B588" s="124"/>
      <c r="C588" s="125"/>
      <c r="F588" s="125"/>
      <c r="I588" s="125"/>
    </row>
    <row r="589" spans="1:9" s="195" customFormat="1">
      <c r="A589" s="124"/>
      <c r="B589" s="124"/>
      <c r="C589" s="125"/>
      <c r="F589" s="125"/>
      <c r="I589" s="125"/>
    </row>
    <row r="590" spans="1:9" s="195" customFormat="1">
      <c r="A590" s="124"/>
      <c r="B590" s="124"/>
      <c r="C590" s="125"/>
      <c r="F590" s="125"/>
      <c r="I590" s="125"/>
    </row>
    <row r="591" spans="1:9" s="195" customFormat="1">
      <c r="A591" s="124"/>
      <c r="B591" s="124"/>
      <c r="C591" s="125"/>
      <c r="F591" s="125"/>
      <c r="I591" s="125"/>
    </row>
    <row r="592" spans="1:9" s="195" customFormat="1">
      <c r="A592" s="124"/>
      <c r="B592" s="124"/>
      <c r="C592" s="125"/>
      <c r="F592" s="125"/>
      <c r="I592" s="125"/>
    </row>
    <row r="593" spans="1:9" s="195" customFormat="1">
      <c r="A593" s="124"/>
      <c r="B593" s="124"/>
      <c r="C593" s="125"/>
      <c r="F593" s="125"/>
      <c r="I593" s="125"/>
    </row>
    <row r="594" spans="1:9" s="195" customFormat="1">
      <c r="A594" s="124"/>
      <c r="B594" s="124"/>
      <c r="C594" s="125"/>
      <c r="F594" s="125"/>
      <c r="I594" s="125"/>
    </row>
    <row r="595" spans="1:9" s="195" customFormat="1">
      <c r="A595" s="124"/>
      <c r="B595" s="124"/>
      <c r="C595" s="125"/>
      <c r="F595" s="125"/>
      <c r="I595" s="125"/>
    </row>
    <row r="596" spans="1:9" s="195" customFormat="1">
      <c r="A596" s="124"/>
      <c r="B596" s="124"/>
      <c r="C596" s="125"/>
      <c r="F596" s="125"/>
      <c r="I596" s="125"/>
    </row>
    <row r="597" spans="1:9" s="195" customFormat="1">
      <c r="A597" s="124"/>
      <c r="B597" s="124"/>
      <c r="C597" s="125"/>
      <c r="F597" s="125"/>
      <c r="I597" s="125"/>
    </row>
    <row r="598" spans="1:9" s="195" customFormat="1">
      <c r="A598" s="124"/>
      <c r="B598" s="124"/>
      <c r="C598" s="125"/>
      <c r="F598" s="125"/>
      <c r="I598" s="125"/>
    </row>
    <row r="599" spans="1:9" s="195" customFormat="1">
      <c r="A599" s="124"/>
      <c r="B599" s="124"/>
      <c r="C599" s="125"/>
      <c r="F599" s="125"/>
      <c r="I599" s="125"/>
    </row>
    <row r="600" spans="1:9" s="195" customFormat="1">
      <c r="A600" s="124"/>
      <c r="B600" s="124"/>
      <c r="C600" s="125"/>
      <c r="F600" s="125"/>
      <c r="I600" s="125"/>
    </row>
    <row r="601" spans="1:9" s="195" customFormat="1">
      <c r="A601" s="124"/>
      <c r="B601" s="124"/>
      <c r="C601" s="125"/>
      <c r="F601" s="125"/>
      <c r="I601" s="125"/>
    </row>
    <row r="602" spans="1:9" s="195" customFormat="1">
      <c r="A602" s="124"/>
      <c r="B602" s="124"/>
      <c r="C602" s="125"/>
      <c r="F602" s="125"/>
      <c r="I602" s="125"/>
    </row>
    <row r="603" spans="1:9" s="195" customFormat="1">
      <c r="A603" s="124"/>
      <c r="B603" s="124"/>
      <c r="C603" s="125"/>
      <c r="F603" s="125"/>
      <c r="I603" s="125"/>
    </row>
    <row r="604" spans="1:9" s="195" customFormat="1">
      <c r="A604" s="124"/>
      <c r="B604" s="124"/>
      <c r="C604" s="125"/>
      <c r="F604" s="125"/>
      <c r="I604" s="125"/>
    </row>
    <row r="605" spans="1:9" s="195" customFormat="1">
      <c r="A605" s="124"/>
      <c r="B605" s="124"/>
      <c r="C605" s="125"/>
      <c r="F605" s="125"/>
      <c r="I605" s="125"/>
    </row>
    <row r="606" spans="1:9" s="195" customFormat="1">
      <c r="A606" s="124"/>
      <c r="B606" s="124"/>
      <c r="C606" s="125"/>
      <c r="F606" s="125"/>
      <c r="I606" s="125"/>
    </row>
    <row r="607" spans="1:9" s="195" customFormat="1">
      <c r="A607" s="124"/>
      <c r="B607" s="124"/>
      <c r="C607" s="125"/>
      <c r="F607" s="125"/>
      <c r="I607" s="125"/>
    </row>
    <row r="608" spans="1:9" s="195" customFormat="1">
      <c r="A608" s="124"/>
      <c r="B608" s="124"/>
      <c r="C608" s="125"/>
      <c r="F608" s="125"/>
      <c r="I608" s="125"/>
    </row>
    <row r="609" spans="1:9" s="195" customFormat="1">
      <c r="A609" s="124"/>
      <c r="B609" s="124"/>
      <c r="C609" s="125"/>
      <c r="F609" s="125"/>
      <c r="I609" s="125"/>
    </row>
    <row r="610" spans="1:9" s="195" customFormat="1">
      <c r="A610" s="124"/>
      <c r="B610" s="124"/>
      <c r="C610" s="125"/>
      <c r="F610" s="125"/>
      <c r="I610" s="125"/>
    </row>
    <row r="611" spans="1:9" s="195" customFormat="1">
      <c r="A611" s="124"/>
      <c r="B611" s="124"/>
      <c r="C611" s="125"/>
      <c r="F611" s="125"/>
      <c r="I611" s="125"/>
    </row>
    <row r="612" spans="1:9" s="195" customFormat="1">
      <c r="A612" s="124"/>
      <c r="B612" s="124"/>
      <c r="C612" s="125"/>
      <c r="F612" s="125"/>
      <c r="I612" s="125"/>
    </row>
    <row r="613" spans="1:9" s="195" customFormat="1">
      <c r="A613" s="124"/>
      <c r="B613" s="124"/>
      <c r="C613" s="125"/>
      <c r="F613" s="125"/>
      <c r="I613" s="125"/>
    </row>
    <row r="614" spans="1:9" s="195" customFormat="1">
      <c r="A614" s="124"/>
      <c r="B614" s="124"/>
      <c r="C614" s="125"/>
      <c r="F614" s="125"/>
      <c r="I614" s="125"/>
    </row>
    <row r="615" spans="1:9" s="195" customFormat="1">
      <c r="A615" s="124"/>
      <c r="B615" s="124"/>
      <c r="C615" s="125"/>
      <c r="F615" s="125"/>
      <c r="I615" s="125"/>
    </row>
    <row r="616" spans="1:9" s="195" customFormat="1">
      <c r="A616" s="124"/>
      <c r="B616" s="124"/>
      <c r="C616" s="125"/>
      <c r="F616" s="125"/>
      <c r="I616" s="125"/>
    </row>
    <row r="617" spans="1:9" s="195" customFormat="1">
      <c r="A617" s="124"/>
      <c r="B617" s="124"/>
      <c r="C617" s="125"/>
      <c r="F617" s="125"/>
      <c r="I617" s="125"/>
    </row>
    <row r="618" spans="1:9" s="195" customFormat="1">
      <c r="A618" s="124"/>
      <c r="B618" s="124"/>
      <c r="C618" s="125"/>
      <c r="F618" s="125"/>
      <c r="I618" s="125"/>
    </row>
    <row r="619" spans="1:9" s="195" customFormat="1">
      <c r="A619" s="124"/>
      <c r="B619" s="124"/>
      <c r="C619" s="125"/>
      <c r="F619" s="125"/>
      <c r="I619" s="125"/>
    </row>
    <row r="620" spans="1:9" s="195" customFormat="1">
      <c r="A620" s="124"/>
      <c r="B620" s="124"/>
      <c r="C620" s="125"/>
      <c r="F620" s="125"/>
      <c r="I620" s="125"/>
    </row>
    <row r="621" spans="1:9" s="195" customFormat="1">
      <c r="A621" s="124"/>
      <c r="B621" s="124"/>
      <c r="C621" s="125"/>
      <c r="F621" s="125"/>
      <c r="I621" s="125"/>
    </row>
    <row r="622" spans="1:9" s="195" customFormat="1">
      <c r="A622" s="124"/>
      <c r="B622" s="124"/>
      <c r="C622" s="125"/>
      <c r="F622" s="125"/>
      <c r="I622" s="125"/>
    </row>
    <row r="623" spans="1:9" s="195" customFormat="1">
      <c r="A623" s="124"/>
      <c r="B623" s="124"/>
      <c r="C623" s="125"/>
      <c r="F623" s="125"/>
      <c r="I623" s="125"/>
    </row>
    <row r="624" spans="1:9" s="195" customFormat="1">
      <c r="A624" s="124"/>
      <c r="B624" s="124"/>
      <c r="C624" s="125"/>
      <c r="F624" s="125"/>
      <c r="I624" s="125"/>
    </row>
    <row r="625" spans="1:9" s="195" customFormat="1">
      <c r="A625" s="124"/>
      <c r="B625" s="124"/>
      <c r="C625" s="125"/>
      <c r="F625" s="125"/>
      <c r="I625" s="125"/>
    </row>
    <row r="626" spans="1:9" s="195" customFormat="1">
      <c r="A626" s="124"/>
      <c r="B626" s="124"/>
      <c r="C626" s="125"/>
      <c r="F626" s="125"/>
      <c r="I626" s="125"/>
    </row>
    <row r="627" spans="1:9" s="195" customFormat="1">
      <c r="A627" s="124"/>
      <c r="B627" s="124"/>
      <c r="C627" s="125"/>
      <c r="F627" s="125"/>
      <c r="I627" s="125"/>
    </row>
    <row r="628" spans="1:9" s="195" customFormat="1">
      <c r="A628" s="124"/>
      <c r="B628" s="124"/>
      <c r="C628" s="125"/>
      <c r="F628" s="125"/>
      <c r="I628" s="125"/>
    </row>
    <row r="629" spans="1:9" s="195" customFormat="1">
      <c r="A629" s="124"/>
      <c r="B629" s="124"/>
      <c r="C629" s="125"/>
      <c r="F629" s="125"/>
      <c r="I629" s="125"/>
    </row>
    <row r="630" spans="1:9" s="195" customFormat="1">
      <c r="A630" s="124"/>
      <c r="B630" s="124"/>
      <c r="C630" s="125"/>
      <c r="F630" s="125"/>
      <c r="I630" s="125"/>
    </row>
    <row r="631" spans="1:9" s="195" customFormat="1">
      <c r="A631" s="124"/>
      <c r="B631" s="124"/>
      <c r="C631" s="125"/>
      <c r="F631" s="125"/>
      <c r="I631" s="125"/>
    </row>
    <row r="632" spans="1:9" s="195" customFormat="1">
      <c r="A632" s="124"/>
      <c r="B632" s="124"/>
      <c r="C632" s="125"/>
      <c r="F632" s="125"/>
      <c r="I632" s="125"/>
    </row>
    <row r="633" spans="1:9" s="195" customFormat="1">
      <c r="A633" s="124"/>
      <c r="B633" s="124"/>
      <c r="C633" s="125"/>
      <c r="F633" s="125"/>
      <c r="I633" s="125"/>
    </row>
    <row r="634" spans="1:9" s="195" customFormat="1">
      <c r="A634" s="124"/>
      <c r="B634" s="124"/>
      <c r="C634" s="125"/>
      <c r="F634" s="125"/>
      <c r="I634" s="125"/>
    </row>
    <row r="635" spans="1:9" s="195" customFormat="1">
      <c r="A635" s="124"/>
      <c r="B635" s="124"/>
      <c r="C635" s="125"/>
      <c r="F635" s="125"/>
      <c r="I635" s="125"/>
    </row>
    <row r="636" spans="1:9" s="195" customFormat="1">
      <c r="A636" s="124"/>
      <c r="B636" s="124"/>
      <c r="C636" s="125"/>
      <c r="F636" s="125"/>
      <c r="I636" s="125"/>
    </row>
    <row r="637" spans="1:9" s="195" customFormat="1">
      <c r="A637" s="124"/>
      <c r="B637" s="124"/>
      <c r="C637" s="125"/>
      <c r="F637" s="125"/>
      <c r="I637" s="125"/>
    </row>
    <row r="638" spans="1:9" s="195" customFormat="1">
      <c r="A638" s="124"/>
      <c r="B638" s="124"/>
      <c r="C638" s="125"/>
      <c r="F638" s="125"/>
      <c r="I638" s="125"/>
    </row>
    <row r="639" spans="1:9" s="195" customFormat="1">
      <c r="A639" s="124"/>
      <c r="B639" s="124"/>
      <c r="C639" s="125"/>
      <c r="F639" s="125"/>
      <c r="I639" s="125"/>
    </row>
    <row r="640" spans="1:9" s="195" customFormat="1">
      <c r="A640" s="124"/>
      <c r="B640" s="124"/>
      <c r="C640" s="125"/>
      <c r="F640" s="125"/>
      <c r="I640" s="125"/>
    </row>
    <row r="641" spans="1:9" s="195" customFormat="1">
      <c r="A641" s="124"/>
      <c r="B641" s="124"/>
      <c r="C641" s="125"/>
      <c r="F641" s="125"/>
      <c r="I641" s="125"/>
    </row>
    <row r="642" spans="1:9" s="195" customFormat="1">
      <c r="A642" s="124"/>
      <c r="B642" s="124"/>
      <c r="C642" s="125"/>
      <c r="F642" s="125"/>
      <c r="I642" s="125"/>
    </row>
    <row r="643" spans="1:9" s="195" customFormat="1">
      <c r="A643" s="124"/>
      <c r="B643" s="124"/>
      <c r="C643" s="125"/>
      <c r="F643" s="125"/>
      <c r="I643" s="125"/>
    </row>
    <row r="644" spans="1:9" s="195" customFormat="1">
      <c r="A644" s="124"/>
      <c r="B644" s="124"/>
      <c r="C644" s="125"/>
      <c r="F644" s="125"/>
      <c r="I644" s="125"/>
    </row>
    <row r="645" spans="1:9" s="195" customFormat="1">
      <c r="A645" s="124"/>
      <c r="B645" s="124"/>
      <c r="C645" s="125"/>
      <c r="F645" s="125"/>
      <c r="I645" s="125"/>
    </row>
    <row r="646" spans="1:9" s="195" customFormat="1">
      <c r="A646" s="124"/>
      <c r="B646" s="124"/>
      <c r="C646" s="125"/>
      <c r="F646" s="125"/>
      <c r="I646" s="125"/>
    </row>
    <row r="647" spans="1:9" s="195" customFormat="1">
      <c r="A647" s="124"/>
      <c r="B647" s="124"/>
      <c r="C647" s="125"/>
      <c r="F647" s="125"/>
      <c r="I647" s="125"/>
    </row>
    <row r="648" spans="1:9" s="195" customFormat="1">
      <c r="A648" s="124"/>
      <c r="B648" s="124"/>
      <c r="C648" s="125"/>
      <c r="F648" s="125"/>
      <c r="I648" s="125"/>
    </row>
    <row r="649" spans="1:9" s="195" customFormat="1">
      <c r="A649" s="124"/>
      <c r="B649" s="124"/>
      <c r="C649" s="125"/>
      <c r="F649" s="125"/>
      <c r="I649" s="125"/>
    </row>
    <row r="650" spans="1:9" s="195" customFormat="1">
      <c r="A650" s="124"/>
      <c r="B650" s="124"/>
      <c r="C650" s="125"/>
      <c r="F650" s="125"/>
      <c r="I650" s="125"/>
    </row>
    <row r="651" spans="1:9" s="195" customFormat="1">
      <c r="A651" s="124"/>
      <c r="B651" s="124"/>
      <c r="C651" s="125"/>
      <c r="F651" s="125"/>
      <c r="I651" s="125"/>
    </row>
    <row r="652" spans="1:9" s="195" customFormat="1">
      <c r="A652" s="124"/>
      <c r="B652" s="124"/>
      <c r="C652" s="125"/>
      <c r="F652" s="125"/>
      <c r="I652" s="125"/>
    </row>
    <row r="653" spans="1:9" s="195" customFormat="1">
      <c r="A653" s="124"/>
      <c r="B653" s="124"/>
      <c r="C653" s="125"/>
      <c r="F653" s="125"/>
      <c r="I653" s="125"/>
    </row>
    <row r="654" spans="1:9" s="195" customFormat="1">
      <c r="A654" s="124"/>
      <c r="B654" s="124"/>
      <c r="C654" s="125"/>
      <c r="F654" s="125"/>
      <c r="I654" s="125"/>
    </row>
    <row r="655" spans="1:9" s="195" customFormat="1">
      <c r="A655" s="124"/>
      <c r="B655" s="124"/>
      <c r="C655" s="125"/>
      <c r="F655" s="125"/>
      <c r="I655" s="125"/>
    </row>
    <row r="656" spans="1:9" s="195" customFormat="1">
      <c r="A656" s="124"/>
      <c r="B656" s="124"/>
      <c r="C656" s="125"/>
      <c r="F656" s="125"/>
      <c r="I656" s="125"/>
    </row>
    <row r="657" spans="1:9" s="195" customFormat="1">
      <c r="A657" s="124"/>
      <c r="B657" s="124"/>
      <c r="C657" s="125"/>
      <c r="F657" s="125"/>
      <c r="I657" s="125"/>
    </row>
    <row r="658" spans="1:9" s="195" customFormat="1">
      <c r="A658" s="124"/>
      <c r="B658" s="124"/>
      <c r="C658" s="125"/>
      <c r="F658" s="125"/>
      <c r="I658" s="125"/>
    </row>
    <row r="659" spans="1:9" s="195" customFormat="1">
      <c r="A659" s="124"/>
      <c r="B659" s="124"/>
      <c r="C659" s="125"/>
      <c r="F659" s="125"/>
      <c r="I659" s="125"/>
    </row>
    <row r="660" spans="1:9" s="195" customFormat="1">
      <c r="A660" s="124"/>
      <c r="B660" s="124"/>
      <c r="C660" s="125"/>
      <c r="F660" s="125"/>
      <c r="I660" s="125"/>
    </row>
    <row r="661" spans="1:9" s="195" customFormat="1">
      <c r="A661" s="124"/>
      <c r="B661" s="124"/>
      <c r="C661" s="125"/>
      <c r="F661" s="125"/>
      <c r="I661" s="125"/>
    </row>
    <row r="662" spans="1:9" s="195" customFormat="1">
      <c r="A662" s="124"/>
      <c r="B662" s="124"/>
      <c r="C662" s="125"/>
      <c r="F662" s="125"/>
      <c r="I662" s="125"/>
    </row>
    <row r="663" spans="1:9" s="195" customFormat="1">
      <c r="A663" s="124"/>
      <c r="B663" s="124"/>
      <c r="C663" s="125"/>
      <c r="F663" s="125"/>
      <c r="I663" s="125"/>
    </row>
    <row r="664" spans="1:9" s="195" customFormat="1">
      <c r="A664" s="124"/>
      <c r="B664" s="124"/>
      <c r="C664" s="125"/>
      <c r="F664" s="125"/>
      <c r="I664" s="125"/>
    </row>
    <row r="665" spans="1:9" s="195" customFormat="1">
      <c r="A665" s="124"/>
      <c r="B665" s="124"/>
      <c r="C665" s="125"/>
      <c r="F665" s="125"/>
      <c r="I665" s="125"/>
    </row>
    <row r="666" spans="1:9" s="195" customFormat="1">
      <c r="A666" s="124"/>
      <c r="B666" s="124"/>
      <c r="C666" s="125"/>
      <c r="F666" s="125"/>
      <c r="I666" s="125"/>
    </row>
    <row r="667" spans="1:9" s="195" customFormat="1">
      <c r="A667" s="124"/>
      <c r="B667" s="124"/>
      <c r="C667" s="125"/>
      <c r="F667" s="125"/>
      <c r="I667" s="125"/>
    </row>
    <row r="668" spans="1:9" s="195" customFormat="1">
      <c r="A668" s="124"/>
      <c r="B668" s="124"/>
      <c r="C668" s="125"/>
      <c r="F668" s="125"/>
      <c r="I668" s="125"/>
    </row>
    <row r="669" spans="1:9" s="195" customFormat="1">
      <c r="A669" s="124"/>
      <c r="B669" s="124"/>
      <c r="C669" s="125"/>
      <c r="F669" s="125"/>
      <c r="I669" s="125"/>
    </row>
    <row r="670" spans="1:9" s="195" customFormat="1">
      <c r="A670" s="124"/>
      <c r="B670" s="124"/>
      <c r="C670" s="125"/>
      <c r="F670" s="125"/>
      <c r="I670" s="125"/>
    </row>
    <row r="671" spans="1:9" s="195" customFormat="1">
      <c r="A671" s="124"/>
      <c r="B671" s="124"/>
      <c r="C671" s="125"/>
      <c r="F671" s="125"/>
      <c r="I671" s="125"/>
    </row>
    <row r="672" spans="1:9" s="195" customFormat="1">
      <c r="A672" s="124"/>
      <c r="B672" s="124"/>
      <c r="C672" s="125"/>
      <c r="F672" s="125"/>
      <c r="I672" s="125"/>
    </row>
    <row r="673" spans="1:9" s="195" customFormat="1">
      <c r="A673" s="124"/>
      <c r="B673" s="124"/>
      <c r="C673" s="125"/>
      <c r="F673" s="125"/>
      <c r="I673" s="125"/>
    </row>
    <row r="674" spans="1:9" s="195" customFormat="1">
      <c r="A674" s="124"/>
      <c r="B674" s="124"/>
      <c r="C674" s="125"/>
      <c r="F674" s="125"/>
      <c r="I674" s="125"/>
    </row>
    <row r="675" spans="1:9" s="195" customFormat="1">
      <c r="A675" s="124"/>
      <c r="B675" s="124"/>
      <c r="C675" s="125"/>
      <c r="F675" s="125"/>
      <c r="I675" s="125"/>
    </row>
    <row r="676" spans="1:9" s="195" customFormat="1">
      <c r="A676" s="124"/>
      <c r="B676" s="124"/>
      <c r="C676" s="125"/>
      <c r="F676" s="125"/>
      <c r="I676" s="125"/>
    </row>
    <row r="677" spans="1:9" s="195" customFormat="1">
      <c r="A677" s="124"/>
      <c r="B677" s="124"/>
      <c r="C677" s="125"/>
      <c r="F677" s="125"/>
      <c r="I677" s="125"/>
    </row>
    <row r="678" spans="1:9" s="195" customFormat="1">
      <c r="A678" s="124"/>
      <c r="B678" s="124"/>
      <c r="C678" s="125"/>
      <c r="F678" s="125"/>
      <c r="I678" s="125"/>
    </row>
    <row r="679" spans="1:9" s="195" customFormat="1">
      <c r="A679" s="124"/>
      <c r="B679" s="124"/>
      <c r="C679" s="125"/>
      <c r="F679" s="125"/>
      <c r="I679" s="125"/>
    </row>
    <row r="680" spans="1:9" s="195" customFormat="1">
      <c r="A680" s="124"/>
      <c r="B680" s="124"/>
      <c r="C680" s="125"/>
      <c r="F680" s="125"/>
      <c r="I680" s="125"/>
    </row>
    <row r="681" spans="1:9" s="195" customFormat="1">
      <c r="A681" s="124"/>
      <c r="B681" s="124"/>
      <c r="C681" s="125"/>
      <c r="F681" s="125"/>
      <c r="I681" s="125"/>
    </row>
    <row r="682" spans="1:9" s="195" customFormat="1">
      <c r="A682" s="124"/>
      <c r="B682" s="124"/>
      <c r="C682" s="125"/>
      <c r="F682" s="125"/>
      <c r="I682" s="125"/>
    </row>
    <row r="683" spans="1:9" s="195" customFormat="1">
      <c r="A683" s="124"/>
      <c r="B683" s="124"/>
      <c r="C683" s="125"/>
      <c r="F683" s="125"/>
      <c r="I683" s="125"/>
    </row>
    <row r="684" spans="1:9" s="195" customFormat="1">
      <c r="A684" s="124"/>
      <c r="B684" s="124"/>
      <c r="C684" s="125"/>
      <c r="F684" s="125"/>
      <c r="I684" s="125"/>
    </row>
    <row r="685" spans="1:9" s="195" customFormat="1">
      <c r="A685" s="124"/>
      <c r="B685" s="124"/>
      <c r="C685" s="125"/>
      <c r="F685" s="125"/>
      <c r="I685" s="125"/>
    </row>
    <row r="686" spans="1:9" s="195" customFormat="1">
      <c r="A686" s="124"/>
      <c r="B686" s="124"/>
      <c r="C686" s="125"/>
      <c r="F686" s="125"/>
      <c r="I686" s="125"/>
    </row>
    <row r="687" spans="1:9" s="195" customFormat="1">
      <c r="A687" s="124"/>
      <c r="B687" s="124"/>
      <c r="C687" s="125"/>
      <c r="F687" s="125"/>
      <c r="I687" s="125"/>
    </row>
    <row r="688" spans="1:9" s="195" customFormat="1">
      <c r="A688" s="124"/>
      <c r="B688" s="124"/>
      <c r="C688" s="125"/>
      <c r="F688" s="125"/>
      <c r="I688" s="125"/>
    </row>
    <row r="689" spans="1:9" s="195" customFormat="1">
      <c r="A689" s="124"/>
      <c r="B689" s="124"/>
      <c r="C689" s="125"/>
      <c r="F689" s="125"/>
      <c r="I689" s="125"/>
    </row>
    <row r="690" spans="1:9" s="195" customFormat="1">
      <c r="A690" s="124"/>
      <c r="B690" s="124"/>
      <c r="C690" s="125"/>
      <c r="F690" s="125"/>
      <c r="I690" s="125"/>
    </row>
    <row r="691" spans="1:9" s="195" customFormat="1">
      <c r="A691" s="124"/>
      <c r="B691" s="124"/>
      <c r="C691" s="125"/>
      <c r="F691" s="125"/>
      <c r="I691" s="125"/>
    </row>
    <row r="692" spans="1:9" s="195" customFormat="1">
      <c r="A692" s="124"/>
      <c r="B692" s="124"/>
      <c r="C692" s="125"/>
      <c r="F692" s="125"/>
      <c r="I692" s="125"/>
    </row>
    <row r="693" spans="1:9" s="195" customFormat="1">
      <c r="A693" s="124"/>
      <c r="B693" s="124"/>
      <c r="C693" s="125"/>
      <c r="F693" s="125"/>
      <c r="I693" s="125"/>
    </row>
    <row r="694" spans="1:9" s="195" customFormat="1">
      <c r="A694" s="124"/>
      <c r="B694" s="124"/>
      <c r="C694" s="125"/>
      <c r="F694" s="125"/>
      <c r="I694" s="125"/>
    </row>
    <row r="695" spans="1:9" s="195" customFormat="1">
      <c r="A695" s="124"/>
      <c r="B695" s="124"/>
      <c r="C695" s="125"/>
      <c r="F695" s="125"/>
      <c r="I695" s="125"/>
    </row>
    <row r="696" spans="1:9" s="195" customFormat="1">
      <c r="A696" s="124"/>
      <c r="B696" s="124"/>
      <c r="C696" s="125"/>
      <c r="F696" s="125"/>
      <c r="I696" s="125"/>
    </row>
    <row r="697" spans="1:9" s="195" customFormat="1">
      <c r="A697" s="124"/>
      <c r="B697" s="124"/>
      <c r="C697" s="125"/>
      <c r="F697" s="125"/>
      <c r="I697" s="125"/>
    </row>
    <row r="698" spans="1:9" s="195" customFormat="1">
      <c r="A698" s="124"/>
      <c r="B698" s="124"/>
      <c r="C698" s="125"/>
      <c r="F698" s="125"/>
      <c r="I698" s="125"/>
    </row>
    <row r="699" spans="1:9" s="195" customFormat="1">
      <c r="A699" s="124"/>
      <c r="B699" s="124"/>
      <c r="C699" s="125"/>
      <c r="F699" s="125"/>
      <c r="I699" s="125"/>
    </row>
    <row r="700" spans="1:9" s="195" customFormat="1">
      <c r="A700" s="124"/>
      <c r="B700" s="124"/>
      <c r="C700" s="125"/>
      <c r="F700" s="125"/>
      <c r="I700" s="125"/>
    </row>
    <row r="701" spans="1:9" s="195" customFormat="1">
      <c r="A701" s="124"/>
      <c r="B701" s="124"/>
      <c r="C701" s="125"/>
      <c r="F701" s="125"/>
      <c r="I701" s="125"/>
    </row>
    <row r="702" spans="1:9" s="195" customFormat="1">
      <c r="A702" s="124"/>
      <c r="B702" s="124"/>
      <c r="C702" s="125"/>
      <c r="F702" s="125"/>
      <c r="I702" s="125"/>
    </row>
    <row r="703" spans="1:9" s="195" customFormat="1">
      <c r="A703" s="124"/>
      <c r="B703" s="124"/>
      <c r="C703" s="125"/>
      <c r="F703" s="125"/>
      <c r="I703" s="125"/>
    </row>
    <row r="704" spans="1:9" s="195" customFormat="1">
      <c r="A704" s="124"/>
      <c r="B704" s="124"/>
      <c r="C704" s="125"/>
      <c r="F704" s="125"/>
      <c r="I704" s="125"/>
    </row>
    <row r="705" spans="1:9" s="195" customFormat="1">
      <c r="A705" s="124"/>
      <c r="B705" s="124"/>
      <c r="C705" s="125"/>
      <c r="F705" s="125"/>
      <c r="I705" s="125"/>
    </row>
    <row r="706" spans="1:9" s="195" customFormat="1">
      <c r="A706" s="124"/>
      <c r="B706" s="124"/>
      <c r="C706" s="125"/>
      <c r="F706" s="125"/>
      <c r="I706" s="125"/>
    </row>
    <row r="707" spans="1:9" s="195" customFormat="1">
      <c r="A707" s="124"/>
      <c r="B707" s="124"/>
      <c r="C707" s="125"/>
      <c r="F707" s="125"/>
      <c r="I707" s="125"/>
    </row>
    <row r="708" spans="1:9" s="195" customFormat="1">
      <c r="A708" s="124"/>
      <c r="B708" s="124"/>
      <c r="C708" s="125"/>
      <c r="F708" s="125"/>
      <c r="I708" s="125"/>
    </row>
    <row r="709" spans="1:9" s="195" customFormat="1">
      <c r="A709" s="124"/>
      <c r="B709" s="124"/>
      <c r="C709" s="125"/>
      <c r="F709" s="125"/>
      <c r="I709" s="125"/>
    </row>
    <row r="710" spans="1:9" s="195" customFormat="1">
      <c r="A710" s="124"/>
      <c r="B710" s="124"/>
      <c r="C710" s="125"/>
      <c r="F710" s="125"/>
      <c r="I710" s="125"/>
    </row>
    <row r="711" spans="1:9" s="195" customFormat="1">
      <c r="A711" s="124"/>
      <c r="B711" s="124"/>
      <c r="C711" s="125"/>
      <c r="F711" s="125"/>
      <c r="I711" s="125"/>
    </row>
    <row r="712" spans="1:9" s="195" customFormat="1">
      <c r="A712" s="124"/>
      <c r="B712" s="124"/>
      <c r="C712" s="125"/>
      <c r="F712" s="125"/>
      <c r="I712" s="125"/>
    </row>
    <row r="713" spans="1:9" s="195" customFormat="1">
      <c r="A713" s="124"/>
      <c r="B713" s="124"/>
      <c r="C713" s="125"/>
      <c r="F713" s="125"/>
      <c r="I713" s="125"/>
    </row>
    <row r="714" spans="1:9" s="195" customFormat="1">
      <c r="A714" s="124"/>
      <c r="B714" s="124"/>
      <c r="C714" s="125"/>
      <c r="F714" s="125"/>
      <c r="I714" s="125"/>
    </row>
    <row r="715" spans="1:9" s="195" customFormat="1">
      <c r="A715" s="124"/>
      <c r="B715" s="124"/>
      <c r="C715" s="125"/>
      <c r="F715" s="125"/>
      <c r="I715" s="125"/>
    </row>
    <row r="716" spans="1:9" s="195" customFormat="1">
      <c r="A716" s="124"/>
      <c r="B716" s="124"/>
      <c r="C716" s="125"/>
      <c r="F716" s="125"/>
      <c r="I716" s="125"/>
    </row>
    <row r="717" spans="1:9" s="195" customFormat="1">
      <c r="A717" s="124"/>
      <c r="B717" s="124"/>
      <c r="C717" s="125"/>
      <c r="F717" s="125"/>
      <c r="I717" s="125"/>
    </row>
    <row r="718" spans="1:9" s="195" customFormat="1">
      <c r="A718" s="124"/>
      <c r="B718" s="124"/>
      <c r="C718" s="125"/>
      <c r="F718" s="125"/>
      <c r="I718" s="125"/>
    </row>
    <row r="719" spans="1:9" s="195" customFormat="1">
      <c r="A719" s="124"/>
      <c r="B719" s="124"/>
      <c r="C719" s="125"/>
      <c r="F719" s="125"/>
      <c r="I719" s="125"/>
    </row>
    <row r="720" spans="1:9" s="195" customFormat="1">
      <c r="A720" s="124"/>
      <c r="B720" s="124"/>
      <c r="C720" s="125"/>
      <c r="F720" s="125"/>
      <c r="I720" s="125"/>
    </row>
    <row r="721" spans="1:9" s="195" customFormat="1">
      <c r="A721" s="124"/>
      <c r="B721" s="124"/>
      <c r="C721" s="125"/>
      <c r="F721" s="125"/>
      <c r="I721" s="125"/>
    </row>
    <row r="722" spans="1:9" s="195" customFormat="1">
      <c r="A722" s="124"/>
      <c r="B722" s="124"/>
      <c r="C722" s="125"/>
      <c r="F722" s="125"/>
      <c r="I722" s="125"/>
    </row>
    <row r="723" spans="1:9" s="195" customFormat="1">
      <c r="A723" s="124"/>
      <c r="B723" s="124"/>
      <c r="C723" s="125"/>
      <c r="F723" s="125"/>
      <c r="I723" s="125"/>
    </row>
    <row r="724" spans="1:9" s="195" customFormat="1">
      <c r="A724" s="124"/>
      <c r="B724" s="124"/>
      <c r="C724" s="125"/>
      <c r="F724" s="125"/>
      <c r="I724" s="125"/>
    </row>
    <row r="725" spans="1:9" s="195" customFormat="1">
      <c r="A725" s="124"/>
      <c r="B725" s="124"/>
      <c r="C725" s="125"/>
      <c r="F725" s="125"/>
      <c r="I725" s="125"/>
    </row>
    <row r="726" spans="1:9" s="195" customFormat="1">
      <c r="A726" s="124"/>
      <c r="B726" s="124"/>
      <c r="C726" s="125"/>
      <c r="F726" s="125"/>
      <c r="I726" s="125"/>
    </row>
    <row r="727" spans="1:9" s="195" customFormat="1">
      <c r="A727" s="124"/>
      <c r="B727" s="124"/>
      <c r="C727" s="125"/>
      <c r="F727" s="125"/>
      <c r="I727" s="125"/>
    </row>
    <row r="728" spans="1:9" s="195" customFormat="1">
      <c r="A728" s="124"/>
      <c r="B728" s="124"/>
      <c r="C728" s="125"/>
      <c r="F728" s="125"/>
      <c r="I728" s="125"/>
    </row>
    <row r="729" spans="1:9" s="195" customFormat="1">
      <c r="A729" s="124"/>
      <c r="B729" s="124"/>
      <c r="C729" s="125"/>
      <c r="F729" s="125"/>
      <c r="I729" s="125"/>
    </row>
    <row r="730" spans="1:9" s="195" customFormat="1">
      <c r="A730" s="124"/>
      <c r="B730" s="124"/>
      <c r="C730" s="125"/>
      <c r="F730" s="125"/>
      <c r="I730" s="125"/>
    </row>
    <row r="731" spans="1:9" s="195" customFormat="1">
      <c r="A731" s="124"/>
      <c r="B731" s="124"/>
      <c r="C731" s="125"/>
      <c r="F731" s="125"/>
      <c r="I731" s="125"/>
    </row>
    <row r="732" spans="1:9" s="195" customFormat="1">
      <c r="A732" s="124"/>
      <c r="B732" s="124"/>
      <c r="C732" s="125"/>
      <c r="F732" s="125"/>
      <c r="I732" s="125"/>
    </row>
    <row r="733" spans="1:9" s="195" customFormat="1">
      <c r="A733" s="124"/>
      <c r="B733" s="124"/>
      <c r="C733" s="125"/>
      <c r="F733" s="125"/>
      <c r="I733" s="125"/>
    </row>
    <row r="734" spans="1:9" s="195" customFormat="1">
      <c r="A734" s="124"/>
      <c r="B734" s="124"/>
      <c r="C734" s="125"/>
      <c r="F734" s="125"/>
      <c r="I734" s="125"/>
    </row>
    <row r="735" spans="1:9" s="195" customFormat="1">
      <c r="A735" s="124"/>
      <c r="B735" s="124"/>
      <c r="C735" s="125"/>
      <c r="F735" s="125"/>
      <c r="I735" s="125"/>
    </row>
    <row r="736" spans="1:9" s="195" customFormat="1">
      <c r="A736" s="124"/>
      <c r="B736" s="124"/>
      <c r="C736" s="125"/>
      <c r="F736" s="125"/>
      <c r="I736" s="125"/>
    </row>
    <row r="737" spans="1:9" s="195" customFormat="1">
      <c r="A737" s="124"/>
      <c r="B737" s="124"/>
      <c r="C737" s="125"/>
      <c r="F737" s="125"/>
      <c r="I737" s="125"/>
    </row>
    <row r="738" spans="1:9" s="195" customFormat="1">
      <c r="A738" s="124"/>
      <c r="B738" s="124"/>
      <c r="C738" s="125"/>
      <c r="F738" s="125"/>
      <c r="I738" s="125"/>
    </row>
    <row r="739" spans="1:9" s="195" customFormat="1">
      <c r="A739" s="124"/>
      <c r="B739" s="124"/>
      <c r="C739" s="125"/>
      <c r="F739" s="125"/>
      <c r="I739" s="125"/>
    </row>
    <row r="740" spans="1:9" s="195" customFormat="1">
      <c r="A740" s="124"/>
      <c r="B740" s="124"/>
      <c r="C740" s="125"/>
      <c r="F740" s="125"/>
      <c r="I740" s="125"/>
    </row>
    <row r="741" spans="1:9" s="195" customFormat="1">
      <c r="A741" s="124"/>
      <c r="B741" s="124"/>
      <c r="C741" s="125"/>
      <c r="F741" s="125"/>
      <c r="I741" s="125"/>
    </row>
    <row r="742" spans="1:9" s="195" customFormat="1">
      <c r="A742" s="124"/>
      <c r="B742" s="124"/>
      <c r="C742" s="125"/>
      <c r="F742" s="125"/>
      <c r="I742" s="125"/>
    </row>
    <row r="743" spans="1:9" s="195" customFormat="1">
      <c r="A743" s="124"/>
      <c r="B743" s="124"/>
      <c r="C743" s="125"/>
      <c r="F743" s="125"/>
      <c r="I743" s="125"/>
    </row>
    <row r="744" spans="1:9" s="195" customFormat="1">
      <c r="A744" s="124"/>
      <c r="B744" s="124"/>
      <c r="C744" s="125"/>
      <c r="F744" s="125"/>
      <c r="I744" s="125"/>
    </row>
    <row r="745" spans="1:9" s="195" customFormat="1">
      <c r="A745" s="124"/>
      <c r="B745" s="124"/>
      <c r="C745" s="125"/>
      <c r="F745" s="125"/>
      <c r="I745" s="125"/>
    </row>
    <row r="746" spans="1:9" s="195" customFormat="1">
      <c r="A746" s="124"/>
      <c r="B746" s="124"/>
      <c r="C746" s="125"/>
      <c r="F746" s="125"/>
      <c r="I746" s="125"/>
    </row>
    <row r="747" spans="1:9" s="195" customFormat="1">
      <c r="A747" s="124"/>
      <c r="B747" s="124"/>
      <c r="C747" s="125"/>
      <c r="F747" s="125"/>
      <c r="I747" s="125"/>
    </row>
    <row r="748" spans="1:9" s="195" customFormat="1">
      <c r="A748" s="124"/>
      <c r="B748" s="124"/>
      <c r="C748" s="125"/>
      <c r="F748" s="125"/>
      <c r="I748" s="125"/>
    </row>
    <row r="749" spans="1:9" s="195" customFormat="1">
      <c r="A749" s="124"/>
      <c r="B749" s="124"/>
      <c r="C749" s="125"/>
      <c r="F749" s="125"/>
      <c r="I749" s="125"/>
    </row>
    <row r="750" spans="1:9" s="195" customFormat="1">
      <c r="A750" s="124"/>
      <c r="B750" s="124"/>
      <c r="C750" s="125"/>
      <c r="F750" s="125"/>
      <c r="I750" s="125"/>
    </row>
    <row r="751" spans="1:9" s="195" customFormat="1">
      <c r="A751" s="124"/>
      <c r="B751" s="124"/>
      <c r="C751" s="125"/>
      <c r="F751" s="125"/>
      <c r="I751" s="125"/>
    </row>
    <row r="752" spans="1:9" s="195" customFormat="1">
      <c r="A752" s="124"/>
      <c r="B752" s="124"/>
      <c r="C752" s="125"/>
      <c r="F752" s="125"/>
      <c r="I752" s="125"/>
    </row>
    <row r="753" spans="1:9" s="195" customFormat="1">
      <c r="A753" s="124"/>
      <c r="B753" s="124"/>
      <c r="C753" s="125"/>
      <c r="F753" s="125"/>
      <c r="I753" s="125"/>
    </row>
    <row r="754" spans="1:9" s="195" customFormat="1">
      <c r="A754" s="124"/>
      <c r="B754" s="124"/>
      <c r="C754" s="125"/>
      <c r="F754" s="125"/>
      <c r="I754" s="125"/>
    </row>
    <row r="755" spans="1:9" s="195" customFormat="1">
      <c r="A755" s="124"/>
      <c r="B755" s="124"/>
      <c r="C755" s="125"/>
      <c r="F755" s="125"/>
      <c r="I755" s="125"/>
    </row>
    <row r="756" spans="1:9" s="195" customFormat="1">
      <c r="A756" s="124"/>
      <c r="B756" s="124"/>
      <c r="C756" s="125"/>
      <c r="F756" s="125"/>
      <c r="I756" s="125"/>
    </row>
    <row r="757" spans="1:9" s="195" customFormat="1">
      <c r="A757" s="124"/>
      <c r="B757" s="124"/>
      <c r="C757" s="125"/>
      <c r="F757" s="125"/>
      <c r="I757" s="125"/>
    </row>
    <row r="758" spans="1:9" s="195" customFormat="1">
      <c r="A758" s="124"/>
      <c r="B758" s="124"/>
      <c r="C758" s="125"/>
      <c r="F758" s="125"/>
      <c r="I758" s="125"/>
    </row>
    <row r="759" spans="1:9" s="195" customFormat="1">
      <c r="A759" s="124"/>
      <c r="B759" s="124"/>
      <c r="C759" s="125"/>
      <c r="F759" s="125"/>
      <c r="I759" s="125"/>
    </row>
    <row r="760" spans="1:9" s="195" customFormat="1">
      <c r="A760" s="124"/>
      <c r="B760" s="124"/>
      <c r="C760" s="125"/>
      <c r="F760" s="125"/>
      <c r="I760" s="125"/>
    </row>
    <row r="761" spans="1:9" s="195" customFormat="1">
      <c r="A761" s="124"/>
      <c r="B761" s="124"/>
      <c r="C761" s="125"/>
      <c r="F761" s="125"/>
      <c r="I761" s="125"/>
    </row>
    <row r="762" spans="1:9" s="195" customFormat="1">
      <c r="A762" s="124"/>
      <c r="B762" s="124"/>
      <c r="C762" s="125"/>
      <c r="F762" s="125"/>
      <c r="I762" s="125"/>
    </row>
    <row r="763" spans="1:9" s="195" customFormat="1">
      <c r="A763" s="124"/>
      <c r="B763" s="124"/>
      <c r="C763" s="125"/>
      <c r="F763" s="125"/>
      <c r="I763" s="125"/>
    </row>
    <row r="764" spans="1:9" s="195" customFormat="1">
      <c r="A764" s="124"/>
      <c r="B764" s="124"/>
      <c r="C764" s="125"/>
      <c r="F764" s="125"/>
      <c r="I764" s="125"/>
    </row>
    <row r="765" spans="1:9" s="195" customFormat="1">
      <c r="A765" s="124"/>
      <c r="B765" s="124"/>
      <c r="C765" s="125"/>
      <c r="F765" s="125"/>
      <c r="I765" s="125"/>
    </row>
    <row r="766" spans="1:9" s="195" customFormat="1">
      <c r="A766" s="124"/>
      <c r="B766" s="124"/>
      <c r="C766" s="125"/>
      <c r="F766" s="125"/>
      <c r="I766" s="125"/>
    </row>
    <row r="767" spans="1:9" s="195" customFormat="1">
      <c r="A767" s="124"/>
      <c r="B767" s="124"/>
      <c r="C767" s="125"/>
      <c r="F767" s="125"/>
      <c r="I767" s="125"/>
    </row>
    <row r="768" spans="1:9" s="195" customFormat="1">
      <c r="A768" s="124"/>
      <c r="B768" s="124"/>
      <c r="C768" s="125"/>
      <c r="F768" s="125"/>
      <c r="I768" s="125"/>
    </row>
    <row r="769" spans="1:9" s="195" customFormat="1">
      <c r="A769" s="124"/>
      <c r="B769" s="124"/>
      <c r="C769" s="125"/>
      <c r="F769" s="125"/>
      <c r="I769" s="125"/>
    </row>
    <row r="770" spans="1:9" s="195" customFormat="1">
      <c r="A770" s="124"/>
      <c r="B770" s="124"/>
      <c r="C770" s="125"/>
      <c r="F770" s="125"/>
      <c r="I770" s="125"/>
    </row>
    <row r="771" spans="1:9" s="195" customFormat="1">
      <c r="A771" s="124"/>
      <c r="B771" s="124"/>
      <c r="C771" s="125"/>
      <c r="F771" s="125"/>
      <c r="I771" s="125"/>
    </row>
    <row r="772" spans="1:9" s="195" customFormat="1">
      <c r="A772" s="124"/>
      <c r="B772" s="124"/>
      <c r="C772" s="125"/>
      <c r="F772" s="125"/>
      <c r="I772" s="125"/>
    </row>
    <row r="773" spans="1:9" s="195" customFormat="1">
      <c r="A773" s="124"/>
      <c r="B773" s="124"/>
      <c r="C773" s="125"/>
      <c r="F773" s="125"/>
      <c r="I773" s="125"/>
    </row>
    <row r="774" spans="1:9" s="195" customFormat="1">
      <c r="A774" s="124"/>
      <c r="B774" s="124"/>
      <c r="C774" s="125"/>
      <c r="F774" s="125"/>
      <c r="I774" s="125"/>
    </row>
    <row r="775" spans="1:9" s="195" customFormat="1">
      <c r="A775" s="124"/>
      <c r="B775" s="124"/>
      <c r="C775" s="125"/>
      <c r="F775" s="125"/>
      <c r="I775" s="125"/>
    </row>
    <row r="776" spans="1:9" s="195" customFormat="1">
      <c r="A776" s="124"/>
      <c r="B776" s="124"/>
      <c r="C776" s="125"/>
      <c r="F776" s="125"/>
      <c r="I776" s="125"/>
    </row>
    <row r="777" spans="1:9" s="195" customFormat="1">
      <c r="A777" s="124"/>
      <c r="B777" s="124"/>
      <c r="C777" s="125"/>
      <c r="F777" s="125"/>
      <c r="I777" s="125"/>
    </row>
    <row r="778" spans="1:9" s="195" customFormat="1">
      <c r="A778" s="124"/>
      <c r="B778" s="124"/>
      <c r="C778" s="125"/>
      <c r="F778" s="125"/>
      <c r="I778" s="125"/>
    </row>
    <row r="779" spans="1:9" s="195" customFormat="1">
      <c r="A779" s="124"/>
      <c r="B779" s="124"/>
      <c r="C779" s="125"/>
      <c r="F779" s="125"/>
      <c r="I779" s="125"/>
    </row>
    <row r="780" spans="1:9" s="195" customFormat="1">
      <c r="A780" s="124"/>
      <c r="B780" s="124"/>
      <c r="C780" s="125"/>
      <c r="F780" s="125"/>
      <c r="I780" s="125"/>
    </row>
    <row r="781" spans="1:9" s="195" customFormat="1">
      <c r="A781" s="124"/>
      <c r="B781" s="124"/>
      <c r="C781" s="125"/>
      <c r="F781" s="125"/>
      <c r="I781" s="125"/>
    </row>
    <row r="782" spans="1:9" s="195" customFormat="1">
      <c r="A782" s="124"/>
      <c r="B782" s="124"/>
      <c r="C782" s="125"/>
      <c r="F782" s="125"/>
      <c r="I782" s="125"/>
    </row>
    <row r="783" spans="1:9" s="195" customFormat="1">
      <c r="A783" s="124"/>
      <c r="B783" s="124"/>
      <c r="C783" s="125"/>
      <c r="F783" s="125"/>
      <c r="I783" s="125"/>
    </row>
    <row r="784" spans="1:9" s="195" customFormat="1">
      <c r="A784" s="124"/>
      <c r="B784" s="124"/>
      <c r="C784" s="125"/>
      <c r="F784" s="125"/>
      <c r="I784" s="125"/>
    </row>
    <row r="785" spans="1:9" s="195" customFormat="1">
      <c r="A785" s="124"/>
      <c r="B785" s="124"/>
      <c r="C785" s="125"/>
      <c r="F785" s="125"/>
      <c r="I785" s="125"/>
    </row>
    <row r="786" spans="1:9" s="195" customFormat="1">
      <c r="A786" s="124"/>
      <c r="B786" s="124"/>
      <c r="C786" s="125"/>
      <c r="F786" s="125"/>
      <c r="I786" s="125"/>
    </row>
    <row r="787" spans="1:9" s="195" customFormat="1">
      <c r="A787" s="124"/>
      <c r="B787" s="124"/>
      <c r="C787" s="125"/>
      <c r="F787" s="125"/>
      <c r="I787" s="125"/>
    </row>
    <row r="788" spans="1:9" s="195" customFormat="1">
      <c r="A788" s="124"/>
      <c r="B788" s="124"/>
      <c r="C788" s="125"/>
      <c r="F788" s="125"/>
      <c r="I788" s="125"/>
    </row>
    <row r="789" spans="1:9" s="195" customFormat="1">
      <c r="A789" s="124"/>
      <c r="B789" s="124"/>
      <c r="C789" s="125"/>
      <c r="F789" s="125"/>
      <c r="I789" s="125"/>
    </row>
    <row r="790" spans="1:9" s="195" customFormat="1">
      <c r="A790" s="124"/>
      <c r="B790" s="124"/>
      <c r="C790" s="125"/>
      <c r="F790" s="125"/>
      <c r="I790" s="125"/>
    </row>
    <row r="791" spans="1:9" s="195" customFormat="1">
      <c r="A791" s="124"/>
      <c r="B791" s="124"/>
      <c r="C791" s="125"/>
      <c r="F791" s="125"/>
      <c r="I791" s="125"/>
    </row>
    <row r="792" spans="1:9" s="195" customFormat="1">
      <c r="A792" s="124"/>
      <c r="B792" s="124"/>
      <c r="C792" s="125"/>
      <c r="F792" s="125"/>
      <c r="I792" s="125"/>
    </row>
    <row r="793" spans="1:9" s="195" customFormat="1">
      <c r="A793" s="124"/>
      <c r="B793" s="124"/>
      <c r="C793" s="125"/>
      <c r="F793" s="125"/>
      <c r="I793" s="125"/>
    </row>
    <row r="794" spans="1:9" s="195" customFormat="1">
      <c r="A794" s="124"/>
      <c r="B794" s="124"/>
      <c r="C794" s="125"/>
      <c r="F794" s="125"/>
      <c r="I794" s="125"/>
    </row>
    <row r="795" spans="1:9" s="195" customFormat="1">
      <c r="A795" s="124"/>
      <c r="B795" s="124"/>
      <c r="C795" s="125"/>
      <c r="F795" s="125"/>
      <c r="I795" s="125"/>
    </row>
    <row r="796" spans="1:9" s="195" customFormat="1">
      <c r="A796" s="124"/>
      <c r="B796" s="124"/>
      <c r="C796" s="125"/>
      <c r="F796" s="125"/>
      <c r="I796" s="125"/>
    </row>
    <row r="797" spans="1:9" s="195" customFormat="1">
      <c r="A797" s="124"/>
      <c r="B797" s="124"/>
      <c r="C797" s="125"/>
      <c r="F797" s="125"/>
      <c r="I797" s="125"/>
    </row>
    <row r="798" spans="1:9" s="195" customFormat="1">
      <c r="A798" s="124"/>
      <c r="B798" s="124"/>
      <c r="C798" s="125"/>
      <c r="F798" s="125"/>
      <c r="I798" s="125"/>
    </row>
    <row r="799" spans="1:9" s="195" customFormat="1">
      <c r="A799" s="124"/>
      <c r="B799" s="124"/>
      <c r="C799" s="125"/>
      <c r="F799" s="125"/>
      <c r="I799" s="125"/>
    </row>
    <row r="800" spans="1:9" s="195" customFormat="1">
      <c r="A800" s="124"/>
      <c r="B800" s="124"/>
      <c r="C800" s="125"/>
      <c r="F800" s="125"/>
      <c r="I800" s="125"/>
    </row>
    <row r="801" spans="1:9" s="195" customFormat="1">
      <c r="A801" s="124"/>
      <c r="B801" s="124"/>
      <c r="C801" s="125"/>
      <c r="F801" s="125"/>
      <c r="I801" s="125"/>
    </row>
    <row r="802" spans="1:9" s="195" customFormat="1">
      <c r="A802" s="124"/>
      <c r="B802" s="124"/>
      <c r="C802" s="125"/>
      <c r="F802" s="125"/>
      <c r="I802" s="125"/>
    </row>
    <row r="803" spans="1:9" s="195" customFormat="1">
      <c r="A803" s="124"/>
      <c r="B803" s="124"/>
      <c r="C803" s="125"/>
      <c r="F803" s="125"/>
      <c r="I803" s="125"/>
    </row>
    <row r="804" spans="1:9" s="195" customFormat="1">
      <c r="A804" s="124"/>
      <c r="B804" s="124"/>
      <c r="C804" s="125"/>
      <c r="F804" s="125"/>
      <c r="I804" s="125"/>
    </row>
    <row r="805" spans="1:9" s="195" customFormat="1">
      <c r="A805" s="124"/>
      <c r="B805" s="124"/>
      <c r="C805" s="125"/>
      <c r="F805" s="125"/>
      <c r="I805" s="125"/>
    </row>
    <row r="806" spans="1:9" s="195" customFormat="1">
      <c r="A806" s="124"/>
      <c r="B806" s="124"/>
      <c r="C806" s="125"/>
      <c r="F806" s="125"/>
      <c r="I806" s="125"/>
    </row>
    <row r="807" spans="1:9" s="195" customFormat="1">
      <c r="A807" s="124"/>
      <c r="B807" s="124"/>
      <c r="C807" s="125"/>
      <c r="F807" s="125"/>
      <c r="I807" s="125"/>
    </row>
    <row r="808" spans="1:9" s="195" customFormat="1">
      <c r="A808" s="124"/>
      <c r="B808" s="124"/>
      <c r="C808" s="125"/>
      <c r="F808" s="125"/>
      <c r="I808" s="125"/>
    </row>
    <row r="809" spans="1:9" s="195" customFormat="1">
      <c r="A809" s="124"/>
      <c r="B809" s="124"/>
      <c r="C809" s="125"/>
      <c r="F809" s="125"/>
      <c r="I809" s="125"/>
    </row>
    <row r="810" spans="1:9" s="195" customFormat="1">
      <c r="A810" s="124"/>
      <c r="B810" s="124"/>
      <c r="C810" s="125"/>
      <c r="F810" s="125"/>
      <c r="I810" s="125"/>
    </row>
    <row r="811" spans="1:9" s="195" customFormat="1">
      <c r="A811" s="124"/>
      <c r="B811" s="124"/>
      <c r="C811" s="125"/>
      <c r="F811" s="125"/>
      <c r="I811" s="125"/>
    </row>
    <row r="812" spans="1:9" s="195" customFormat="1">
      <c r="A812" s="124"/>
      <c r="B812" s="124"/>
      <c r="C812" s="125"/>
      <c r="F812" s="125"/>
      <c r="I812" s="125"/>
    </row>
    <row r="813" spans="1:9" s="195" customFormat="1">
      <c r="A813" s="124"/>
      <c r="B813" s="124"/>
      <c r="C813" s="125"/>
      <c r="F813" s="125"/>
      <c r="I813" s="125"/>
    </row>
    <row r="814" spans="1:9" s="195" customFormat="1">
      <c r="A814" s="124"/>
      <c r="B814" s="124"/>
      <c r="C814" s="125"/>
      <c r="F814" s="125"/>
      <c r="I814" s="125"/>
    </row>
    <row r="815" spans="1:9" s="195" customFormat="1">
      <c r="A815" s="124"/>
      <c r="B815" s="124"/>
      <c r="C815" s="125"/>
      <c r="F815" s="125"/>
      <c r="I815" s="125"/>
    </row>
    <row r="816" spans="1:9" s="195" customFormat="1">
      <c r="A816" s="124"/>
      <c r="B816" s="124"/>
      <c r="C816" s="125"/>
      <c r="F816" s="125"/>
      <c r="I816" s="125"/>
    </row>
    <row r="817" spans="1:9" s="195" customFormat="1">
      <c r="A817" s="124"/>
      <c r="B817" s="124"/>
      <c r="C817" s="125"/>
      <c r="F817" s="125"/>
      <c r="I817" s="125"/>
    </row>
    <row r="818" spans="1:9" s="195" customFormat="1">
      <c r="A818" s="124"/>
      <c r="B818" s="124"/>
      <c r="C818" s="125"/>
      <c r="F818" s="125"/>
      <c r="I818" s="125"/>
    </row>
    <row r="819" spans="1:9" s="195" customFormat="1">
      <c r="A819" s="124"/>
      <c r="B819" s="124"/>
      <c r="C819" s="125"/>
      <c r="F819" s="125"/>
      <c r="I819" s="125"/>
    </row>
    <row r="820" spans="1:9" s="195" customFormat="1">
      <c r="A820" s="124"/>
      <c r="B820" s="124"/>
      <c r="C820" s="125"/>
      <c r="F820" s="125"/>
      <c r="I820" s="125"/>
    </row>
    <row r="821" spans="1:9" s="195" customFormat="1">
      <c r="A821" s="124"/>
      <c r="B821" s="124"/>
      <c r="C821" s="125"/>
      <c r="F821" s="125"/>
      <c r="I821" s="125"/>
    </row>
    <row r="822" spans="1:9" s="195" customFormat="1">
      <c r="A822" s="124"/>
      <c r="B822" s="124"/>
      <c r="C822" s="125"/>
      <c r="F822" s="125"/>
      <c r="I822" s="125"/>
    </row>
    <row r="823" spans="1:9" s="195" customFormat="1">
      <c r="A823" s="124"/>
      <c r="B823" s="124"/>
      <c r="C823" s="125"/>
      <c r="F823" s="125"/>
      <c r="I823" s="125"/>
    </row>
    <row r="824" spans="1:9" s="195" customFormat="1">
      <c r="A824" s="124"/>
      <c r="B824" s="124"/>
      <c r="C824" s="125"/>
      <c r="F824" s="125"/>
      <c r="I824" s="125"/>
    </row>
    <row r="825" spans="1:9" s="195" customFormat="1">
      <c r="A825" s="124"/>
      <c r="B825" s="124"/>
      <c r="C825" s="125"/>
      <c r="F825" s="125"/>
      <c r="I825" s="125"/>
    </row>
    <row r="826" spans="1:9" s="195" customFormat="1">
      <c r="A826" s="124"/>
      <c r="B826" s="124"/>
      <c r="C826" s="125"/>
      <c r="F826" s="125"/>
      <c r="I826" s="125"/>
    </row>
    <row r="827" spans="1:9" s="195" customFormat="1">
      <c r="A827" s="124"/>
      <c r="B827" s="124"/>
      <c r="C827" s="125"/>
      <c r="F827" s="125"/>
      <c r="I827" s="125"/>
    </row>
    <row r="828" spans="1:9" s="195" customFormat="1">
      <c r="A828" s="124"/>
      <c r="B828" s="124"/>
      <c r="C828" s="125"/>
      <c r="F828" s="125"/>
      <c r="I828" s="125"/>
    </row>
    <row r="829" spans="1:9" s="195" customFormat="1">
      <c r="A829" s="124"/>
      <c r="B829" s="124"/>
      <c r="C829" s="125"/>
      <c r="F829" s="125"/>
      <c r="I829" s="125"/>
    </row>
    <row r="830" spans="1:9" s="195" customFormat="1">
      <c r="A830" s="124"/>
      <c r="B830" s="124"/>
      <c r="C830" s="125"/>
      <c r="F830" s="125"/>
      <c r="I830" s="125"/>
    </row>
    <row r="831" spans="1:9" s="195" customFormat="1">
      <c r="A831" s="124"/>
      <c r="B831" s="124"/>
      <c r="C831" s="125"/>
      <c r="F831" s="125"/>
      <c r="I831" s="125"/>
    </row>
    <row r="832" spans="1:9" s="195" customFormat="1">
      <c r="A832" s="124"/>
      <c r="B832" s="124"/>
      <c r="C832" s="125"/>
      <c r="F832" s="125"/>
      <c r="I832" s="125"/>
    </row>
    <row r="833" spans="1:9" s="195" customFormat="1">
      <c r="A833" s="124"/>
      <c r="B833" s="124"/>
      <c r="C833" s="125"/>
      <c r="F833" s="125"/>
      <c r="I833" s="125"/>
    </row>
    <row r="834" spans="1:9" s="195" customFormat="1">
      <c r="A834" s="124"/>
      <c r="B834" s="124"/>
      <c r="C834" s="125"/>
      <c r="F834" s="125"/>
      <c r="I834" s="125"/>
    </row>
    <row r="835" spans="1:9" s="195" customFormat="1">
      <c r="A835" s="124"/>
      <c r="B835" s="124"/>
      <c r="C835" s="125"/>
      <c r="F835" s="125"/>
      <c r="I835" s="125"/>
    </row>
    <row r="836" spans="1:9" s="195" customFormat="1">
      <c r="A836" s="124"/>
      <c r="B836" s="124"/>
      <c r="C836" s="125"/>
      <c r="F836" s="125"/>
      <c r="I836" s="125"/>
    </row>
    <row r="837" spans="1:9" s="195" customFormat="1">
      <c r="A837" s="124"/>
      <c r="B837" s="124"/>
      <c r="C837" s="125"/>
      <c r="F837" s="125"/>
      <c r="I837" s="125"/>
    </row>
    <row r="838" spans="1:9" s="195" customFormat="1">
      <c r="A838" s="124"/>
      <c r="B838" s="124"/>
      <c r="C838" s="125"/>
      <c r="F838" s="125"/>
      <c r="I838" s="125"/>
    </row>
    <row r="839" spans="1:9" s="195" customFormat="1">
      <c r="A839" s="124"/>
      <c r="B839" s="124"/>
      <c r="C839" s="125"/>
      <c r="F839" s="125"/>
      <c r="I839" s="125"/>
    </row>
    <row r="840" spans="1:9" s="195" customFormat="1">
      <c r="A840" s="124"/>
      <c r="B840" s="124"/>
      <c r="C840" s="125"/>
      <c r="F840" s="125"/>
      <c r="I840" s="125"/>
    </row>
    <row r="841" spans="1:9" s="195" customFormat="1">
      <c r="A841" s="124"/>
      <c r="B841" s="124"/>
      <c r="C841" s="125"/>
      <c r="F841" s="125"/>
      <c r="I841" s="125"/>
    </row>
    <row r="842" spans="1:9" s="195" customFormat="1">
      <c r="A842" s="124"/>
      <c r="B842" s="124"/>
      <c r="C842" s="125"/>
      <c r="F842" s="125"/>
      <c r="I842" s="125"/>
    </row>
    <row r="843" spans="1:9" s="195" customFormat="1">
      <c r="A843" s="124"/>
      <c r="B843" s="124"/>
      <c r="C843" s="125"/>
      <c r="F843" s="125"/>
      <c r="I843" s="125"/>
    </row>
    <row r="844" spans="1:9" s="195" customFormat="1">
      <c r="A844" s="124"/>
      <c r="B844" s="124"/>
      <c r="C844" s="125"/>
      <c r="F844" s="125"/>
      <c r="I844" s="125"/>
    </row>
    <row r="845" spans="1:9" s="195" customFormat="1">
      <c r="A845" s="124"/>
      <c r="B845" s="124"/>
      <c r="C845" s="125"/>
      <c r="F845" s="125"/>
      <c r="I845" s="125"/>
    </row>
    <row r="846" spans="1:9" s="195" customFormat="1">
      <c r="A846" s="124"/>
      <c r="B846" s="124"/>
      <c r="C846" s="125"/>
      <c r="F846" s="125"/>
      <c r="I846" s="125"/>
    </row>
    <row r="847" spans="1:9" s="195" customFormat="1">
      <c r="A847" s="124"/>
      <c r="B847" s="124"/>
      <c r="C847" s="125"/>
      <c r="F847" s="125"/>
      <c r="I847" s="125"/>
    </row>
    <row r="848" spans="1:9" s="195" customFormat="1">
      <c r="A848" s="124"/>
      <c r="B848" s="124"/>
      <c r="C848" s="125"/>
      <c r="F848" s="125"/>
      <c r="I848" s="125"/>
    </row>
    <row r="849" spans="1:9" s="195" customFormat="1">
      <c r="A849" s="124"/>
      <c r="B849" s="124"/>
      <c r="C849" s="125"/>
      <c r="F849" s="125"/>
      <c r="I849" s="125"/>
    </row>
    <row r="850" spans="1:9" s="195" customFormat="1">
      <c r="A850" s="124"/>
      <c r="B850" s="124"/>
      <c r="C850" s="125"/>
      <c r="F850" s="125"/>
      <c r="I850" s="125"/>
    </row>
    <row r="851" spans="1:9" s="195" customFormat="1">
      <c r="A851" s="124"/>
      <c r="B851" s="124"/>
      <c r="C851" s="125"/>
      <c r="F851" s="125"/>
      <c r="I851" s="125"/>
    </row>
    <row r="852" spans="1:9" s="195" customFormat="1">
      <c r="A852" s="124"/>
      <c r="B852" s="124"/>
      <c r="C852" s="125"/>
      <c r="F852" s="125"/>
      <c r="I852" s="125"/>
    </row>
    <row r="853" spans="1:9" s="195" customFormat="1">
      <c r="A853" s="124"/>
      <c r="B853" s="124"/>
      <c r="C853" s="125"/>
      <c r="F853" s="125"/>
      <c r="I853" s="125"/>
    </row>
    <row r="854" spans="1:9" s="195" customFormat="1">
      <c r="A854" s="124"/>
      <c r="B854" s="124"/>
      <c r="C854" s="125"/>
      <c r="F854" s="125"/>
      <c r="I854" s="125"/>
    </row>
    <row r="855" spans="1:9" s="195" customFormat="1">
      <c r="A855" s="124"/>
      <c r="B855" s="124"/>
      <c r="C855" s="125"/>
      <c r="F855" s="125"/>
      <c r="I855" s="125"/>
    </row>
    <row r="856" spans="1:9" s="195" customFormat="1">
      <c r="A856" s="124"/>
      <c r="B856" s="124"/>
      <c r="C856" s="125"/>
      <c r="F856" s="125"/>
      <c r="I856" s="125"/>
    </row>
    <row r="857" spans="1:9" s="195" customFormat="1">
      <c r="A857" s="124"/>
      <c r="B857" s="124"/>
      <c r="C857" s="125"/>
      <c r="F857" s="125"/>
      <c r="I857" s="125"/>
    </row>
    <row r="858" spans="1:9" s="195" customFormat="1">
      <c r="A858" s="124"/>
      <c r="B858" s="124"/>
      <c r="C858" s="125"/>
      <c r="F858" s="125"/>
      <c r="I858" s="125"/>
    </row>
    <row r="859" spans="1:9" s="195" customFormat="1">
      <c r="A859" s="124"/>
      <c r="B859" s="124"/>
      <c r="C859" s="125"/>
      <c r="F859" s="125"/>
      <c r="I859" s="125"/>
    </row>
    <row r="860" spans="1:9" s="195" customFormat="1">
      <c r="A860" s="124"/>
      <c r="B860" s="124"/>
      <c r="C860" s="125"/>
      <c r="F860" s="125"/>
      <c r="I860" s="125"/>
    </row>
    <row r="861" spans="1:9" s="195" customFormat="1">
      <c r="A861" s="124"/>
      <c r="B861" s="124"/>
      <c r="C861" s="125"/>
      <c r="F861" s="125"/>
      <c r="I861" s="125"/>
    </row>
    <row r="862" spans="1:9" s="195" customFormat="1">
      <c r="A862" s="124"/>
      <c r="B862" s="124"/>
      <c r="C862" s="125"/>
      <c r="F862" s="125"/>
      <c r="I862" s="125"/>
    </row>
    <row r="863" spans="1:9" s="195" customFormat="1">
      <c r="A863" s="124"/>
      <c r="B863" s="124"/>
      <c r="C863" s="125"/>
      <c r="F863" s="125"/>
      <c r="I863" s="125"/>
    </row>
    <row r="864" spans="1:9" s="195" customFormat="1">
      <c r="A864" s="124"/>
      <c r="B864" s="124"/>
      <c r="C864" s="125"/>
      <c r="F864" s="125"/>
      <c r="I864" s="125"/>
    </row>
    <row r="865" spans="1:9" s="195" customFormat="1">
      <c r="A865" s="124"/>
      <c r="B865" s="124"/>
      <c r="C865" s="125"/>
      <c r="F865" s="125"/>
      <c r="I865" s="125"/>
    </row>
    <row r="866" spans="1:9" s="195" customFormat="1">
      <c r="A866" s="124"/>
      <c r="B866" s="124"/>
      <c r="C866" s="125"/>
      <c r="F866" s="125"/>
      <c r="I866" s="125"/>
    </row>
    <row r="867" spans="1:9" s="195" customFormat="1">
      <c r="A867" s="124"/>
      <c r="B867" s="124"/>
      <c r="C867" s="125"/>
      <c r="F867" s="125"/>
      <c r="I867" s="125"/>
    </row>
    <row r="868" spans="1:9" s="195" customFormat="1">
      <c r="A868" s="124"/>
      <c r="B868" s="124"/>
      <c r="C868" s="125"/>
      <c r="F868" s="125"/>
      <c r="I868" s="125"/>
    </row>
    <row r="869" spans="1:9" s="195" customFormat="1">
      <c r="A869" s="124"/>
      <c r="B869" s="124"/>
      <c r="C869" s="125"/>
      <c r="F869" s="125"/>
      <c r="I869" s="125"/>
    </row>
    <row r="870" spans="1:9" s="195" customFormat="1">
      <c r="A870" s="124"/>
      <c r="B870" s="124"/>
      <c r="C870" s="125"/>
      <c r="F870" s="125"/>
      <c r="I870" s="125"/>
    </row>
    <row r="871" spans="1:9" s="195" customFormat="1">
      <c r="A871" s="124"/>
      <c r="B871" s="124"/>
      <c r="C871" s="125"/>
      <c r="F871" s="125"/>
      <c r="I871" s="125"/>
    </row>
    <row r="872" spans="1:9" s="195" customFormat="1">
      <c r="A872" s="124"/>
      <c r="B872" s="124"/>
      <c r="C872" s="125"/>
      <c r="F872" s="125"/>
      <c r="I872" s="125"/>
    </row>
    <row r="873" spans="1:9" s="195" customFormat="1">
      <c r="A873" s="124"/>
      <c r="B873" s="124"/>
      <c r="C873" s="125"/>
      <c r="F873" s="125"/>
      <c r="I873" s="125"/>
    </row>
    <row r="874" spans="1:9" s="195" customFormat="1">
      <c r="A874" s="124"/>
      <c r="B874" s="124"/>
      <c r="C874" s="125"/>
      <c r="F874" s="125"/>
      <c r="I874" s="125"/>
    </row>
    <row r="875" spans="1:9" s="195" customFormat="1">
      <c r="A875" s="124"/>
      <c r="B875" s="124"/>
      <c r="C875" s="125"/>
      <c r="F875" s="125"/>
      <c r="I875" s="125"/>
    </row>
    <row r="876" spans="1:9" s="195" customFormat="1">
      <c r="A876" s="124"/>
      <c r="B876" s="124"/>
      <c r="C876" s="125"/>
      <c r="F876" s="125"/>
      <c r="I876" s="125"/>
    </row>
    <row r="877" spans="1:9" s="195" customFormat="1">
      <c r="A877" s="124"/>
      <c r="B877" s="124"/>
      <c r="C877" s="125"/>
      <c r="F877" s="125"/>
      <c r="I877" s="125"/>
    </row>
    <row r="878" spans="1:9" s="195" customFormat="1">
      <c r="A878" s="124"/>
      <c r="B878" s="124"/>
      <c r="C878" s="125"/>
      <c r="F878" s="125"/>
      <c r="I878" s="125"/>
    </row>
    <row r="879" spans="1:9" s="195" customFormat="1">
      <c r="A879" s="124"/>
      <c r="B879" s="124"/>
      <c r="C879" s="125"/>
      <c r="F879" s="125"/>
      <c r="I879" s="125"/>
    </row>
    <row r="880" spans="1:9" s="195" customFormat="1">
      <c r="A880" s="124"/>
      <c r="B880" s="124"/>
      <c r="C880" s="125"/>
      <c r="F880" s="125"/>
      <c r="I880" s="125"/>
    </row>
    <row r="881" spans="1:9" s="195" customFormat="1">
      <c r="A881" s="124"/>
      <c r="B881" s="124"/>
      <c r="C881" s="125"/>
      <c r="F881" s="125"/>
      <c r="I881" s="125"/>
    </row>
    <row r="882" spans="1:9" s="195" customFormat="1">
      <c r="A882" s="124"/>
      <c r="B882" s="124"/>
      <c r="C882" s="125"/>
      <c r="F882" s="125"/>
      <c r="I882" s="125"/>
    </row>
    <row r="883" spans="1:9" s="195" customFormat="1">
      <c r="A883" s="124"/>
      <c r="B883" s="124"/>
      <c r="C883" s="125"/>
      <c r="F883" s="125"/>
      <c r="I883" s="125"/>
    </row>
    <row r="884" spans="1:9" s="195" customFormat="1">
      <c r="A884" s="124"/>
      <c r="B884" s="124"/>
      <c r="C884" s="125"/>
      <c r="F884" s="125"/>
      <c r="I884" s="125"/>
    </row>
    <row r="885" spans="1:9" s="195" customFormat="1">
      <c r="A885" s="124"/>
      <c r="B885" s="124"/>
      <c r="C885" s="125"/>
      <c r="F885" s="125"/>
      <c r="I885" s="125"/>
    </row>
    <row r="886" spans="1:9" s="195" customFormat="1">
      <c r="A886" s="124"/>
      <c r="B886" s="124"/>
      <c r="C886" s="125"/>
      <c r="F886" s="125"/>
      <c r="I886" s="125"/>
    </row>
    <row r="887" spans="1:9" s="195" customFormat="1">
      <c r="A887" s="124"/>
      <c r="B887" s="124"/>
      <c r="C887" s="125"/>
      <c r="F887" s="125"/>
      <c r="I887" s="125"/>
    </row>
    <row r="888" spans="1:9" s="195" customFormat="1">
      <c r="A888" s="124"/>
      <c r="B888" s="124"/>
      <c r="C888" s="125"/>
      <c r="F888" s="125"/>
      <c r="I888" s="125"/>
    </row>
    <row r="889" spans="1:9" s="195" customFormat="1">
      <c r="A889" s="124"/>
      <c r="B889" s="124"/>
      <c r="C889" s="125"/>
      <c r="F889" s="125"/>
      <c r="I889" s="125"/>
    </row>
    <row r="890" spans="1:9" s="195" customFormat="1">
      <c r="A890" s="124"/>
      <c r="B890" s="124"/>
      <c r="C890" s="125"/>
      <c r="F890" s="125"/>
      <c r="I890" s="125"/>
    </row>
    <row r="891" spans="1:9" s="195" customFormat="1">
      <c r="A891" s="124"/>
      <c r="B891" s="124"/>
      <c r="C891" s="125"/>
      <c r="F891" s="125"/>
      <c r="I891" s="125"/>
    </row>
    <row r="892" spans="1:9" s="195" customFormat="1">
      <c r="A892" s="124"/>
      <c r="B892" s="124"/>
      <c r="C892" s="125"/>
      <c r="F892" s="125"/>
      <c r="I892" s="125"/>
    </row>
    <row r="893" spans="1:9" s="195" customFormat="1">
      <c r="A893" s="124"/>
      <c r="B893" s="124"/>
      <c r="C893" s="125"/>
      <c r="F893" s="125"/>
      <c r="I893" s="125"/>
    </row>
    <row r="894" spans="1:9" s="195" customFormat="1">
      <c r="A894" s="124"/>
      <c r="B894" s="124"/>
      <c r="C894" s="125"/>
      <c r="F894" s="125"/>
      <c r="I894" s="125"/>
    </row>
    <row r="895" spans="1:9" s="195" customFormat="1">
      <c r="A895" s="124"/>
      <c r="B895" s="124"/>
      <c r="C895" s="125"/>
      <c r="F895" s="125"/>
      <c r="I895" s="125"/>
    </row>
    <row r="896" spans="1:9" s="195" customFormat="1">
      <c r="A896" s="124"/>
      <c r="B896" s="124"/>
      <c r="C896" s="125"/>
      <c r="F896" s="125"/>
      <c r="I896" s="125"/>
    </row>
    <row r="897" spans="1:9" s="195" customFormat="1">
      <c r="A897" s="124"/>
      <c r="B897" s="124"/>
      <c r="C897" s="125"/>
      <c r="F897" s="125"/>
      <c r="I897" s="125"/>
    </row>
    <row r="898" spans="1:9" s="195" customFormat="1">
      <c r="A898" s="124"/>
      <c r="B898" s="124"/>
      <c r="C898" s="125"/>
      <c r="F898" s="125"/>
      <c r="I898" s="125"/>
    </row>
    <row r="899" spans="1:9" s="195" customFormat="1">
      <c r="A899" s="124"/>
      <c r="B899" s="124"/>
      <c r="C899" s="125"/>
      <c r="F899" s="125"/>
      <c r="I899" s="125"/>
    </row>
    <row r="900" spans="1:9" s="195" customFormat="1">
      <c r="A900" s="124"/>
      <c r="B900" s="124"/>
      <c r="C900" s="125"/>
      <c r="F900" s="125"/>
      <c r="I900" s="125"/>
    </row>
    <row r="901" spans="1:9" s="195" customFormat="1">
      <c r="A901" s="124"/>
      <c r="B901" s="124"/>
      <c r="C901" s="125"/>
      <c r="F901" s="125"/>
      <c r="I901" s="125"/>
    </row>
    <row r="902" spans="1:9" s="195" customFormat="1">
      <c r="A902" s="124"/>
      <c r="B902" s="124"/>
      <c r="C902" s="125"/>
      <c r="F902" s="125"/>
      <c r="I902" s="125"/>
    </row>
    <row r="903" spans="1:9" s="195" customFormat="1">
      <c r="A903" s="124"/>
      <c r="B903" s="124"/>
      <c r="C903" s="125"/>
      <c r="F903" s="125"/>
      <c r="I903" s="125"/>
    </row>
    <row r="904" spans="1:9" s="195" customFormat="1">
      <c r="A904" s="124"/>
      <c r="B904" s="124"/>
      <c r="C904" s="125"/>
      <c r="F904" s="125"/>
      <c r="I904" s="125"/>
    </row>
    <row r="905" spans="1:9" s="195" customFormat="1">
      <c r="A905" s="124"/>
      <c r="B905" s="124"/>
      <c r="C905" s="125"/>
      <c r="F905" s="125"/>
      <c r="I905" s="125"/>
    </row>
    <row r="906" spans="1:9" s="195" customFormat="1">
      <c r="A906" s="124"/>
      <c r="B906" s="124"/>
      <c r="C906" s="125"/>
      <c r="F906" s="125"/>
      <c r="I906" s="125"/>
    </row>
    <row r="907" spans="1:9" s="195" customFormat="1">
      <c r="A907" s="124"/>
      <c r="B907" s="124"/>
      <c r="C907" s="125"/>
      <c r="F907" s="125"/>
      <c r="I907" s="125"/>
    </row>
    <row r="908" spans="1:9" s="195" customFormat="1">
      <c r="A908" s="124"/>
      <c r="B908" s="124"/>
      <c r="C908" s="125"/>
      <c r="F908" s="125"/>
      <c r="I908" s="125"/>
    </row>
    <row r="909" spans="1:9" s="195" customFormat="1">
      <c r="A909" s="124"/>
      <c r="B909" s="124"/>
      <c r="C909" s="125"/>
      <c r="F909" s="125"/>
      <c r="I909" s="125"/>
    </row>
    <row r="910" spans="1:9" s="195" customFormat="1">
      <c r="A910" s="124"/>
      <c r="B910" s="124"/>
      <c r="C910" s="125"/>
      <c r="F910" s="125"/>
      <c r="I910" s="125"/>
    </row>
    <row r="911" spans="1:9" s="195" customFormat="1">
      <c r="A911" s="124"/>
      <c r="B911" s="124"/>
      <c r="C911" s="125"/>
      <c r="F911" s="125"/>
      <c r="I911" s="125"/>
    </row>
    <row r="912" spans="1:9" s="195" customFormat="1">
      <c r="A912" s="124"/>
      <c r="B912" s="124"/>
      <c r="C912" s="125"/>
      <c r="F912" s="125"/>
      <c r="I912" s="125"/>
    </row>
    <row r="913" spans="1:9" s="195" customFormat="1">
      <c r="A913" s="124"/>
      <c r="B913" s="124"/>
      <c r="C913" s="125"/>
      <c r="F913" s="125"/>
      <c r="I913" s="125"/>
    </row>
    <row r="914" spans="1:9" s="195" customFormat="1">
      <c r="A914" s="124"/>
      <c r="B914" s="124"/>
      <c r="C914" s="125"/>
      <c r="F914" s="125"/>
      <c r="I914" s="125"/>
    </row>
    <row r="915" spans="1:9" s="195" customFormat="1">
      <c r="A915" s="124"/>
      <c r="B915" s="124"/>
      <c r="C915" s="125"/>
      <c r="F915" s="125"/>
      <c r="I915" s="125"/>
    </row>
    <row r="916" spans="1:9" s="195" customFormat="1">
      <c r="A916" s="124"/>
      <c r="B916" s="124"/>
      <c r="C916" s="125"/>
      <c r="F916" s="125"/>
      <c r="I916" s="125"/>
    </row>
    <row r="917" spans="1:9" s="195" customFormat="1">
      <c r="A917" s="124"/>
      <c r="B917" s="124"/>
      <c r="C917" s="125"/>
      <c r="F917" s="125"/>
      <c r="I917" s="125"/>
    </row>
    <row r="918" spans="1:9" s="195" customFormat="1">
      <c r="A918" s="124"/>
      <c r="B918" s="124"/>
      <c r="C918" s="125"/>
      <c r="F918" s="125"/>
      <c r="I918" s="125"/>
    </row>
    <row r="919" spans="1:9" s="195" customFormat="1">
      <c r="A919" s="124"/>
      <c r="B919" s="124"/>
      <c r="C919" s="125"/>
      <c r="F919" s="125"/>
      <c r="I919" s="125"/>
    </row>
    <row r="920" spans="1:9" s="195" customFormat="1">
      <c r="A920" s="124"/>
      <c r="B920" s="124"/>
      <c r="C920" s="125"/>
      <c r="F920" s="125"/>
      <c r="I920" s="125"/>
    </row>
    <row r="921" spans="1:9" s="195" customFormat="1">
      <c r="A921" s="124"/>
      <c r="B921" s="124"/>
      <c r="C921" s="125"/>
      <c r="F921" s="125"/>
      <c r="I921" s="125"/>
    </row>
    <row r="922" spans="1:9" s="195" customFormat="1">
      <c r="A922" s="124"/>
      <c r="B922" s="124"/>
      <c r="C922" s="125"/>
      <c r="F922" s="125"/>
      <c r="I922" s="125"/>
    </row>
    <row r="923" spans="1:9" s="195" customFormat="1">
      <c r="A923" s="124"/>
      <c r="B923" s="124"/>
      <c r="C923" s="125"/>
      <c r="F923" s="125"/>
      <c r="I923" s="125"/>
    </row>
    <row r="924" spans="1:9" s="195" customFormat="1">
      <c r="A924" s="124"/>
      <c r="B924" s="124"/>
      <c r="C924" s="125"/>
      <c r="F924" s="125"/>
      <c r="I924" s="125"/>
    </row>
    <row r="925" spans="1:9" s="195" customFormat="1">
      <c r="A925" s="124"/>
      <c r="B925" s="124"/>
      <c r="C925" s="125"/>
      <c r="F925" s="125"/>
      <c r="I925" s="125"/>
    </row>
    <row r="926" spans="1:9" s="195" customFormat="1">
      <c r="A926" s="124"/>
      <c r="B926" s="124"/>
      <c r="C926" s="125"/>
      <c r="F926" s="125"/>
      <c r="I926" s="125"/>
    </row>
    <row r="927" spans="1:9" s="195" customFormat="1">
      <c r="A927" s="124"/>
      <c r="B927" s="124"/>
      <c r="C927" s="125"/>
      <c r="F927" s="125"/>
      <c r="I927" s="125"/>
    </row>
    <row r="928" spans="1:9" s="195" customFormat="1">
      <c r="A928" s="124"/>
      <c r="B928" s="124"/>
      <c r="C928" s="125"/>
      <c r="F928" s="125"/>
      <c r="I928" s="125"/>
    </row>
    <row r="929" spans="1:9" s="195" customFormat="1">
      <c r="A929" s="124"/>
      <c r="B929" s="124"/>
      <c r="C929" s="125"/>
      <c r="F929" s="125"/>
      <c r="I929" s="125"/>
    </row>
    <row r="930" spans="1:9" s="195" customFormat="1">
      <c r="A930" s="124"/>
      <c r="B930" s="124"/>
      <c r="C930" s="125"/>
      <c r="F930" s="125"/>
      <c r="I930" s="125"/>
    </row>
    <row r="931" spans="1:9" s="195" customFormat="1">
      <c r="A931" s="124"/>
      <c r="B931" s="124"/>
      <c r="C931" s="125"/>
      <c r="F931" s="125"/>
      <c r="I931" s="125"/>
    </row>
    <row r="932" spans="1:9" s="195" customFormat="1">
      <c r="A932" s="124"/>
      <c r="B932" s="124"/>
      <c r="C932" s="125"/>
      <c r="F932" s="125"/>
      <c r="I932" s="125"/>
    </row>
    <row r="933" spans="1:9" s="195" customFormat="1">
      <c r="A933" s="124"/>
      <c r="B933" s="124"/>
      <c r="C933" s="125"/>
      <c r="F933" s="125"/>
      <c r="I933" s="125"/>
    </row>
    <row r="934" spans="1:9" s="195" customFormat="1">
      <c r="A934" s="124"/>
      <c r="B934" s="124"/>
      <c r="C934" s="125"/>
      <c r="F934" s="125"/>
      <c r="I934" s="125"/>
    </row>
    <row r="935" spans="1:9" s="195" customFormat="1">
      <c r="A935" s="124"/>
      <c r="B935" s="124"/>
      <c r="C935" s="125"/>
      <c r="F935" s="125"/>
      <c r="I935" s="125"/>
    </row>
    <row r="936" spans="1:9" s="195" customFormat="1">
      <c r="A936" s="124"/>
      <c r="B936" s="124"/>
      <c r="C936" s="125"/>
      <c r="F936" s="125"/>
      <c r="I936" s="125"/>
    </row>
    <row r="937" spans="1:9" s="195" customFormat="1">
      <c r="A937" s="124"/>
      <c r="B937" s="124"/>
      <c r="C937" s="125"/>
      <c r="F937" s="125"/>
      <c r="I937" s="125"/>
    </row>
    <row r="938" spans="1:9" s="195" customFormat="1">
      <c r="A938" s="124"/>
      <c r="B938" s="124"/>
      <c r="C938" s="125"/>
      <c r="F938" s="125"/>
      <c r="I938" s="125"/>
    </row>
    <row r="939" spans="1:9" s="195" customFormat="1">
      <c r="A939" s="124"/>
      <c r="B939" s="124"/>
      <c r="C939" s="125"/>
      <c r="F939" s="125"/>
      <c r="I939" s="125"/>
    </row>
    <row r="940" spans="1:9" s="195" customFormat="1">
      <c r="A940" s="124"/>
      <c r="B940" s="124"/>
      <c r="C940" s="125"/>
      <c r="F940" s="125"/>
      <c r="I940" s="125"/>
    </row>
    <row r="941" spans="1:9" s="195" customFormat="1">
      <c r="A941" s="124"/>
      <c r="B941" s="124"/>
      <c r="C941" s="125"/>
      <c r="F941" s="125"/>
      <c r="I941" s="125"/>
    </row>
    <row r="942" spans="1:9" s="195" customFormat="1">
      <c r="A942" s="124"/>
      <c r="B942" s="124"/>
      <c r="C942" s="125"/>
      <c r="F942" s="125"/>
      <c r="I942" s="125"/>
    </row>
    <row r="943" spans="1:9" s="195" customFormat="1">
      <c r="A943" s="124"/>
      <c r="B943" s="124"/>
      <c r="C943" s="125"/>
      <c r="F943" s="125"/>
      <c r="I943" s="125"/>
    </row>
    <row r="944" spans="1:9" s="195" customFormat="1">
      <c r="A944" s="124"/>
      <c r="B944" s="124"/>
      <c r="C944" s="125"/>
      <c r="F944" s="125"/>
      <c r="I944" s="125"/>
    </row>
    <row r="945" spans="1:9" s="195" customFormat="1">
      <c r="A945" s="124"/>
      <c r="B945" s="124"/>
      <c r="C945" s="125"/>
      <c r="F945" s="125"/>
      <c r="I945" s="125"/>
    </row>
    <row r="946" spans="1:9" s="195" customFormat="1">
      <c r="A946" s="124"/>
      <c r="B946" s="124"/>
      <c r="C946" s="125"/>
      <c r="F946" s="125"/>
      <c r="I946" s="125"/>
    </row>
    <row r="947" spans="1:9" s="195" customFormat="1">
      <c r="A947" s="124"/>
      <c r="B947" s="124"/>
      <c r="C947" s="125"/>
      <c r="F947" s="125"/>
      <c r="I947" s="125"/>
    </row>
    <row r="948" spans="1:9" s="195" customFormat="1">
      <c r="A948" s="124"/>
      <c r="B948" s="124"/>
      <c r="C948" s="125"/>
      <c r="F948" s="125"/>
      <c r="I948" s="125"/>
    </row>
    <row r="949" spans="1:9" s="195" customFormat="1">
      <c r="A949" s="124"/>
      <c r="B949" s="124"/>
      <c r="C949" s="125"/>
      <c r="F949" s="125"/>
      <c r="I949" s="125"/>
    </row>
  </sheetData>
  <mergeCells count="27">
    <mergeCell ref="AV3:AW3"/>
    <mergeCell ref="AS1:AS2"/>
    <mergeCell ref="AT1:BC2"/>
    <mergeCell ref="AT3:AU3"/>
    <mergeCell ref="AY3:AZ3"/>
    <mergeCell ref="BB3:BC3"/>
    <mergeCell ref="A1:A2"/>
    <mergeCell ref="B3:C3"/>
    <mergeCell ref="E3:F3"/>
    <mergeCell ref="H3:I3"/>
    <mergeCell ref="B1:I2"/>
    <mergeCell ref="U1:U2"/>
    <mergeCell ref="K1:K2"/>
    <mergeCell ref="L1:S2"/>
    <mergeCell ref="X3:Y3"/>
    <mergeCell ref="AA3:AB3"/>
    <mergeCell ref="L3:M3"/>
    <mergeCell ref="O3:P3"/>
    <mergeCell ref="R3:S3"/>
    <mergeCell ref="V3:W3"/>
    <mergeCell ref="AP3:AQ3"/>
    <mergeCell ref="AH1:AQ2"/>
    <mergeCell ref="AJ3:AK3"/>
    <mergeCell ref="V1:AE2"/>
    <mergeCell ref="AD3:AE3"/>
    <mergeCell ref="AH3:AI3"/>
    <mergeCell ref="AM3:AN3"/>
  </mergeCells>
  <pageMargins left="0.7" right="0.7" top="0.75" bottom="0.75" header="0.3" footer="0.3"/>
  <pageSetup paperSize="9" orientation="portrait" verticalDpi="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DG1046"/>
  <sheetViews>
    <sheetView topLeftCell="A25" zoomScaleNormal="100" workbookViewId="0">
      <selection activeCell="A38" sqref="A38:XFD38"/>
    </sheetView>
  </sheetViews>
  <sheetFormatPr baseColWidth="10" defaultRowHeight="12.75"/>
  <cols>
    <col min="1" max="1" width="7.140625" style="127" customWidth="1"/>
    <col min="2" max="2" width="2.28515625" style="127" customWidth="1"/>
    <col min="3" max="6" width="6.7109375" style="127" customWidth="1"/>
    <col min="7" max="7" width="6.7109375" style="953" customWidth="1"/>
    <col min="8" max="11" width="6.7109375" style="127" customWidth="1"/>
    <col min="12" max="12" width="6.7109375" style="953" customWidth="1"/>
    <col min="13" max="13" width="6.7109375" style="127" customWidth="1"/>
    <col min="14" max="14" width="6.7109375" customWidth="1"/>
    <col min="15" max="16" width="6.7109375" style="954" customWidth="1"/>
    <col min="17" max="27" width="6.7109375" customWidth="1"/>
    <col min="28" max="43" width="6.7109375" style="106" customWidth="1"/>
    <col min="44" max="111" width="11.42578125" style="106"/>
  </cols>
  <sheetData>
    <row r="1" spans="1:27" s="106" customFormat="1" ht="12" customHeight="1" thickBot="1">
      <c r="A1" s="2698"/>
      <c r="B1" s="2698"/>
      <c r="C1" s="128"/>
      <c r="D1" s="128"/>
      <c r="E1" s="128"/>
      <c r="F1" s="128"/>
      <c r="G1" s="128"/>
      <c r="H1" s="128"/>
      <c r="I1" s="128"/>
      <c r="J1" s="128"/>
      <c r="K1" s="128"/>
      <c r="L1" s="128"/>
      <c r="M1" s="128"/>
    </row>
    <row r="2" spans="1:27" s="106" customFormat="1" ht="17.25" customHeight="1" thickBot="1">
      <c r="A2" s="2699" t="s">
        <v>545</v>
      </c>
      <c r="B2" s="2700"/>
      <c r="C2" s="955"/>
      <c r="D2" s="955"/>
      <c r="E2" s="955"/>
      <c r="F2" s="955"/>
      <c r="G2" s="955"/>
      <c r="H2" s="955"/>
      <c r="I2" s="955"/>
      <c r="J2" s="955"/>
      <c r="K2" s="955"/>
      <c r="L2" s="955"/>
      <c r="M2" s="955"/>
      <c r="N2" s="956"/>
      <c r="O2" s="956"/>
      <c r="P2" s="956"/>
      <c r="Q2" s="956"/>
      <c r="R2" s="956"/>
      <c r="S2" s="956"/>
      <c r="T2" s="956"/>
      <c r="U2" s="956"/>
      <c r="V2" s="956"/>
      <c r="W2" s="956"/>
      <c r="X2" s="956" t="s">
        <v>1418</v>
      </c>
      <c r="Y2" s="956"/>
      <c r="Z2" s="956"/>
      <c r="AA2" s="956" t="s">
        <v>1418</v>
      </c>
    </row>
    <row r="3" spans="1:27" ht="12" customHeight="1">
      <c r="A3" s="2703" t="s">
        <v>720</v>
      </c>
      <c r="B3" s="2704"/>
      <c r="C3" s="957">
        <v>4.5</v>
      </c>
      <c r="D3" s="957">
        <v>2.5</v>
      </c>
      <c r="E3" s="957">
        <v>3.5</v>
      </c>
      <c r="F3" s="957">
        <v>4.5</v>
      </c>
      <c r="G3" s="958">
        <v>6</v>
      </c>
      <c r="H3" s="957">
        <v>8</v>
      </c>
      <c r="I3" s="957">
        <v>10</v>
      </c>
      <c r="J3" s="957">
        <v>12</v>
      </c>
      <c r="K3" s="959">
        <v>4.5</v>
      </c>
      <c r="L3" s="959">
        <v>6</v>
      </c>
      <c r="M3" s="959">
        <v>8</v>
      </c>
      <c r="N3" s="957">
        <v>4.5</v>
      </c>
      <c r="O3" s="960">
        <v>6</v>
      </c>
      <c r="P3" s="961">
        <v>8</v>
      </c>
      <c r="Q3" s="957">
        <v>10</v>
      </c>
      <c r="R3" s="957">
        <v>12</v>
      </c>
      <c r="S3" s="957">
        <v>4.5</v>
      </c>
      <c r="T3" s="957">
        <v>6</v>
      </c>
      <c r="U3" s="957">
        <v>8</v>
      </c>
      <c r="V3" s="957">
        <v>10</v>
      </c>
      <c r="W3" s="957">
        <v>12</v>
      </c>
      <c r="X3" s="959">
        <v>6</v>
      </c>
      <c r="Y3" s="957">
        <v>12</v>
      </c>
      <c r="Z3" s="957">
        <v>12</v>
      </c>
      <c r="AA3" s="959">
        <v>12</v>
      </c>
    </row>
    <row r="4" spans="1:27" ht="12" customHeight="1">
      <c r="A4" s="2705" t="s">
        <v>721</v>
      </c>
      <c r="B4" s="2706"/>
      <c r="C4" s="962">
        <v>10</v>
      </c>
      <c r="D4" s="962">
        <v>12</v>
      </c>
      <c r="E4" s="962">
        <v>12</v>
      </c>
      <c r="F4" s="962">
        <v>14.5</v>
      </c>
      <c r="G4" s="958">
        <v>14.5</v>
      </c>
      <c r="H4" s="962">
        <v>14.5</v>
      </c>
      <c r="I4" s="962">
        <v>14.5</v>
      </c>
      <c r="J4" s="962">
        <v>14.5</v>
      </c>
      <c r="K4" s="963">
        <v>16.5</v>
      </c>
      <c r="L4" s="963">
        <v>16.5</v>
      </c>
      <c r="M4" s="963">
        <v>16.5</v>
      </c>
      <c r="N4" s="962">
        <v>20</v>
      </c>
      <c r="O4" s="960">
        <v>20</v>
      </c>
      <c r="P4" s="961">
        <v>20</v>
      </c>
      <c r="Q4" s="962">
        <v>20</v>
      </c>
      <c r="R4" s="962">
        <v>20</v>
      </c>
      <c r="S4" s="962">
        <v>24</v>
      </c>
      <c r="T4" s="962">
        <v>24</v>
      </c>
      <c r="U4" s="962">
        <v>24</v>
      </c>
      <c r="V4" s="962">
        <v>24</v>
      </c>
      <c r="W4" s="962">
        <v>24</v>
      </c>
      <c r="X4" s="963">
        <v>26</v>
      </c>
      <c r="Y4" s="962">
        <v>30</v>
      </c>
      <c r="Z4" s="962">
        <v>36</v>
      </c>
      <c r="AA4" s="963">
        <v>46</v>
      </c>
    </row>
    <row r="5" spans="1:27" ht="12" customHeight="1">
      <c r="A5" s="2688" t="s">
        <v>722</v>
      </c>
      <c r="B5" s="2689"/>
      <c r="C5" s="964"/>
      <c r="D5" s="964"/>
      <c r="E5" s="964"/>
      <c r="F5" s="964"/>
      <c r="G5" s="965"/>
      <c r="H5" s="964"/>
      <c r="I5" s="964"/>
      <c r="J5" s="964"/>
      <c r="K5" s="964"/>
      <c r="L5" s="964"/>
      <c r="M5" s="964"/>
      <c r="N5" s="966"/>
      <c r="O5" s="967"/>
      <c r="P5" s="968"/>
      <c r="Q5" s="966"/>
      <c r="R5" s="966"/>
      <c r="S5" s="966"/>
      <c r="T5" s="966"/>
      <c r="U5" s="966"/>
      <c r="V5" s="966"/>
      <c r="W5" s="966"/>
      <c r="X5" s="964"/>
      <c r="Y5" s="966"/>
      <c r="Z5" s="966"/>
      <c r="AA5" s="964"/>
    </row>
    <row r="6" spans="1:27" ht="12" customHeight="1">
      <c r="A6" s="2690">
        <v>10</v>
      </c>
      <c r="B6" s="2689"/>
      <c r="C6" s="969">
        <v>32</v>
      </c>
      <c r="D6" s="969">
        <v>32</v>
      </c>
      <c r="E6" s="970">
        <v>33</v>
      </c>
      <c r="F6" s="969">
        <v>34</v>
      </c>
      <c r="G6" s="971">
        <v>36</v>
      </c>
      <c r="H6" s="969">
        <v>42</v>
      </c>
      <c r="I6" s="969">
        <v>44</v>
      </c>
      <c r="J6" s="970">
        <v>46</v>
      </c>
      <c r="K6" s="972">
        <f>(N6-F6)*($K$4-$F$4)/($N$4-$F$4)+F6</f>
        <v>38</v>
      </c>
      <c r="L6" s="972">
        <f>(O6-G6)*($L$4-$G$4)/($O$4-$G$4)+G6</f>
        <v>40</v>
      </c>
      <c r="M6" s="972">
        <f>(P6-H6)*($M$4-$H$4)/($P$4-$H$4)+H6</f>
        <v>45.636363636363633</v>
      </c>
      <c r="N6" s="973">
        <v>45</v>
      </c>
      <c r="O6" s="974">
        <v>47</v>
      </c>
      <c r="P6" s="975">
        <v>52</v>
      </c>
      <c r="Q6" s="969">
        <v>52</v>
      </c>
      <c r="R6" s="970">
        <v>55</v>
      </c>
      <c r="S6" s="973">
        <v>50</v>
      </c>
      <c r="T6" s="969">
        <v>52</v>
      </c>
      <c r="U6" s="976">
        <v>55</v>
      </c>
      <c r="V6" s="969">
        <v>58</v>
      </c>
      <c r="W6" s="970">
        <v>62</v>
      </c>
      <c r="X6" s="977">
        <f>(T6-O6)*(X$4-O$4)/(T$4-O$4)+O6</f>
        <v>54.5</v>
      </c>
      <c r="Y6" s="969">
        <v>71</v>
      </c>
      <c r="Z6" s="969">
        <v>81</v>
      </c>
      <c r="AA6" s="977">
        <f t="shared" ref="AA6:AA11" si="0">(Z6-Y6)*(AA$4-Y$4)/(Z$4-Y$4)+Y6</f>
        <v>97.666666666666671</v>
      </c>
    </row>
    <row r="7" spans="1:27" ht="12" customHeight="1">
      <c r="A7" s="2690">
        <v>13</v>
      </c>
      <c r="B7" s="2689"/>
      <c r="C7" s="969">
        <v>36</v>
      </c>
      <c r="D7" s="969">
        <v>36</v>
      </c>
      <c r="E7" s="970">
        <v>37</v>
      </c>
      <c r="F7" s="969">
        <v>38</v>
      </c>
      <c r="G7" s="971">
        <v>40</v>
      </c>
      <c r="H7" s="969">
        <v>47</v>
      </c>
      <c r="I7" s="969">
        <v>49</v>
      </c>
      <c r="J7" s="970">
        <v>52</v>
      </c>
      <c r="K7" s="972">
        <f t="shared" ref="K7:K26" si="1">(N7-F7)*($K$4-$F$4)/($N$4-$F$4)+F7</f>
        <v>42.36363636363636</v>
      </c>
      <c r="L7" s="972">
        <f t="shared" ref="L7:L26" si="2">(O7-G7)*($L$4-$G$4)/($O$4-$G$4)+G7</f>
        <v>44.727272727272727</v>
      </c>
      <c r="M7" s="972">
        <f t="shared" ref="M7:M26" si="3">(P7-H7)*($M$4-$H$4)/($P$4-$H$4)+H7</f>
        <v>50.272727272727273</v>
      </c>
      <c r="N7" s="973">
        <v>50</v>
      </c>
      <c r="O7" s="974">
        <v>53</v>
      </c>
      <c r="P7" s="975">
        <v>56</v>
      </c>
      <c r="Q7" s="969">
        <v>59</v>
      </c>
      <c r="R7" s="970">
        <v>62</v>
      </c>
      <c r="S7" s="973">
        <v>56</v>
      </c>
      <c r="T7" s="969">
        <v>59</v>
      </c>
      <c r="U7" s="976">
        <v>62</v>
      </c>
      <c r="V7" s="969">
        <v>66</v>
      </c>
      <c r="W7" s="970">
        <v>69</v>
      </c>
      <c r="X7" s="977">
        <f>(T7-O7)*(X$4-O$4)/(T$4-O$4)+O7</f>
        <v>62</v>
      </c>
      <c r="Y7" s="969">
        <v>80</v>
      </c>
      <c r="Z7" s="969">
        <v>90</v>
      </c>
      <c r="AA7" s="977">
        <f t="shared" si="0"/>
        <v>106.66666666666667</v>
      </c>
    </row>
    <row r="8" spans="1:27" ht="12" customHeight="1">
      <c r="A8" s="2690">
        <v>16</v>
      </c>
      <c r="B8" s="2689"/>
      <c r="C8" s="969">
        <v>40</v>
      </c>
      <c r="D8" s="969">
        <v>40</v>
      </c>
      <c r="E8" s="970">
        <v>42</v>
      </c>
      <c r="F8" s="969">
        <v>43</v>
      </c>
      <c r="G8" s="971">
        <v>45</v>
      </c>
      <c r="H8" s="969">
        <v>52</v>
      </c>
      <c r="I8" s="969">
        <v>55</v>
      </c>
      <c r="J8" s="970">
        <v>58</v>
      </c>
      <c r="K8" s="972">
        <f t="shared" si="1"/>
        <v>47.727272727272727</v>
      </c>
      <c r="L8" s="972">
        <f t="shared" si="2"/>
        <v>49.727272727272727</v>
      </c>
      <c r="M8" s="972">
        <f t="shared" si="3"/>
        <v>55.636363636363633</v>
      </c>
      <c r="N8" s="973">
        <v>56</v>
      </c>
      <c r="O8" s="974">
        <v>58</v>
      </c>
      <c r="P8" s="975">
        <v>62</v>
      </c>
      <c r="Q8" s="969">
        <v>65</v>
      </c>
      <c r="R8" s="970">
        <v>68</v>
      </c>
      <c r="S8" s="973">
        <v>63</v>
      </c>
      <c r="T8" s="969">
        <v>65</v>
      </c>
      <c r="U8" s="976">
        <v>69</v>
      </c>
      <c r="V8" s="969">
        <v>73</v>
      </c>
      <c r="W8" s="970">
        <v>76</v>
      </c>
      <c r="X8" s="977">
        <f t="shared" ref="X8:X26" si="4">(T8-O8)*(X$4-O$4)/(T$4-O$4)+O8</f>
        <v>68.5</v>
      </c>
      <c r="Y8" s="969">
        <v>88</v>
      </c>
      <c r="Z8" s="969">
        <v>100</v>
      </c>
      <c r="AA8" s="977">
        <f t="shared" si="0"/>
        <v>120</v>
      </c>
    </row>
    <row r="9" spans="1:27" ht="12" customHeight="1">
      <c r="A9" s="2690">
        <v>19</v>
      </c>
      <c r="B9" s="2689"/>
      <c r="C9" s="969">
        <v>44</v>
      </c>
      <c r="D9" s="969">
        <v>44</v>
      </c>
      <c r="E9" s="970">
        <v>46</v>
      </c>
      <c r="F9" s="969">
        <v>47</v>
      </c>
      <c r="G9" s="971">
        <v>49</v>
      </c>
      <c r="H9" s="969">
        <v>57</v>
      </c>
      <c r="I9" s="969">
        <v>60</v>
      </c>
      <c r="J9" s="970">
        <v>63</v>
      </c>
      <c r="K9" s="972">
        <f t="shared" si="1"/>
        <v>52.454545454545453</v>
      </c>
      <c r="L9" s="972">
        <f t="shared" si="2"/>
        <v>54.454545454545453</v>
      </c>
      <c r="M9" s="972">
        <f t="shared" si="3"/>
        <v>61</v>
      </c>
      <c r="N9" s="973">
        <v>62</v>
      </c>
      <c r="O9" s="974">
        <v>64</v>
      </c>
      <c r="P9" s="975">
        <v>68</v>
      </c>
      <c r="Q9" s="969">
        <v>71</v>
      </c>
      <c r="R9" s="970">
        <v>75</v>
      </c>
      <c r="S9" s="973">
        <v>69</v>
      </c>
      <c r="T9" s="969">
        <v>72</v>
      </c>
      <c r="U9" s="976">
        <v>76</v>
      </c>
      <c r="V9" s="969">
        <v>80</v>
      </c>
      <c r="W9" s="970">
        <v>83</v>
      </c>
      <c r="X9" s="977">
        <f t="shared" si="4"/>
        <v>76</v>
      </c>
      <c r="Y9" s="969">
        <v>96</v>
      </c>
      <c r="Z9" s="969">
        <v>109</v>
      </c>
      <c r="AA9" s="977">
        <f t="shared" si="0"/>
        <v>130.66666666666666</v>
      </c>
    </row>
    <row r="10" spans="1:27" ht="12" customHeight="1">
      <c r="A10" s="2690">
        <v>22</v>
      </c>
      <c r="B10" s="2689"/>
      <c r="C10" s="969">
        <v>48</v>
      </c>
      <c r="D10" s="969">
        <v>48</v>
      </c>
      <c r="E10" s="970">
        <v>50</v>
      </c>
      <c r="F10" s="969">
        <v>51</v>
      </c>
      <c r="G10" s="971">
        <v>54</v>
      </c>
      <c r="H10" s="969">
        <v>62</v>
      </c>
      <c r="I10" s="969">
        <v>66</v>
      </c>
      <c r="J10" s="970">
        <v>69</v>
      </c>
      <c r="K10" s="972">
        <f t="shared" si="1"/>
        <v>56.81818181818182</v>
      </c>
      <c r="L10" s="972">
        <f t="shared" si="2"/>
        <v>59.81818181818182</v>
      </c>
      <c r="M10" s="972">
        <f t="shared" si="3"/>
        <v>66.36363636363636</v>
      </c>
      <c r="N10" s="973">
        <v>67</v>
      </c>
      <c r="O10" s="974">
        <v>70</v>
      </c>
      <c r="P10" s="975">
        <v>74</v>
      </c>
      <c r="Q10" s="969">
        <v>78</v>
      </c>
      <c r="R10" s="970">
        <v>82</v>
      </c>
      <c r="S10" s="973">
        <v>75</v>
      </c>
      <c r="T10" s="969">
        <v>78</v>
      </c>
      <c r="U10" s="976">
        <v>82</v>
      </c>
      <c r="V10" s="969">
        <v>87</v>
      </c>
      <c r="W10" s="970">
        <v>91</v>
      </c>
      <c r="X10" s="977">
        <f t="shared" si="4"/>
        <v>82</v>
      </c>
      <c r="Y10" s="969">
        <v>104</v>
      </c>
      <c r="Z10" s="969">
        <v>118</v>
      </c>
      <c r="AA10" s="977">
        <f t="shared" si="0"/>
        <v>141.33333333333334</v>
      </c>
    </row>
    <row r="11" spans="1:27" ht="12" customHeight="1">
      <c r="A11" s="2690">
        <v>25</v>
      </c>
      <c r="B11" s="2689"/>
      <c r="C11" s="969">
        <v>52</v>
      </c>
      <c r="D11" s="969">
        <v>52</v>
      </c>
      <c r="E11" s="970">
        <v>54</v>
      </c>
      <c r="F11" s="969">
        <v>56</v>
      </c>
      <c r="G11" s="971">
        <v>58</v>
      </c>
      <c r="H11" s="969">
        <v>67</v>
      </c>
      <c r="I11" s="969">
        <v>71</v>
      </c>
      <c r="J11" s="970">
        <v>75</v>
      </c>
      <c r="K11" s="972">
        <f t="shared" si="1"/>
        <v>62.18181818181818</v>
      </c>
      <c r="L11" s="972">
        <f t="shared" si="2"/>
        <v>64.545454545454547</v>
      </c>
      <c r="M11" s="972">
        <f t="shared" si="3"/>
        <v>71.727272727272734</v>
      </c>
      <c r="N11" s="973">
        <v>73</v>
      </c>
      <c r="O11" s="974">
        <v>76</v>
      </c>
      <c r="P11" s="975">
        <v>80</v>
      </c>
      <c r="Q11" s="969">
        <v>84</v>
      </c>
      <c r="R11" s="970">
        <v>88</v>
      </c>
      <c r="S11" s="973">
        <v>82</v>
      </c>
      <c r="T11" s="969">
        <v>85</v>
      </c>
      <c r="U11" s="976">
        <v>89</v>
      </c>
      <c r="V11" s="969">
        <v>94</v>
      </c>
      <c r="W11" s="970">
        <v>98</v>
      </c>
      <c r="X11" s="977">
        <f t="shared" si="4"/>
        <v>89.5</v>
      </c>
      <c r="Y11" s="969">
        <v>113</v>
      </c>
      <c r="Z11" s="969">
        <v>127</v>
      </c>
      <c r="AA11" s="977">
        <f t="shared" si="0"/>
        <v>150.33333333333334</v>
      </c>
    </row>
    <row r="12" spans="1:27" ht="12" customHeight="1">
      <c r="A12" s="2690">
        <v>28</v>
      </c>
      <c r="B12" s="2689"/>
      <c r="C12" s="969">
        <v>55</v>
      </c>
      <c r="D12" s="969">
        <v>57</v>
      </c>
      <c r="E12" s="970">
        <v>58</v>
      </c>
      <c r="F12" s="969">
        <v>60</v>
      </c>
      <c r="G12" s="971">
        <v>63</v>
      </c>
      <c r="H12" s="969">
        <v>73</v>
      </c>
      <c r="I12" s="969">
        <v>76</v>
      </c>
      <c r="J12" s="970">
        <v>80</v>
      </c>
      <c r="K12" s="972">
        <f t="shared" si="1"/>
        <v>66.909090909090907</v>
      </c>
      <c r="L12" s="972">
        <f t="shared" si="2"/>
        <v>69.909090909090907</v>
      </c>
      <c r="M12" s="972">
        <f t="shared" si="3"/>
        <v>77.727272727272734</v>
      </c>
      <c r="N12" s="973">
        <v>79</v>
      </c>
      <c r="O12" s="974">
        <v>82</v>
      </c>
      <c r="P12" s="975">
        <v>86</v>
      </c>
      <c r="Q12" s="969">
        <v>90</v>
      </c>
      <c r="R12" s="970">
        <v>95</v>
      </c>
      <c r="S12" s="973">
        <v>88</v>
      </c>
      <c r="T12" s="969">
        <v>91</v>
      </c>
      <c r="U12" s="976">
        <v>96</v>
      </c>
      <c r="V12" s="969">
        <v>101</v>
      </c>
      <c r="W12" s="970">
        <v>105</v>
      </c>
      <c r="X12" s="977">
        <f t="shared" si="4"/>
        <v>95.5</v>
      </c>
      <c r="Y12" s="969">
        <v>121</v>
      </c>
      <c r="Z12" s="969">
        <v>137</v>
      </c>
      <c r="AA12" s="977">
        <f t="shared" ref="AA12:AA27" si="5">(Z12-Y12)*(AA$4-Y$4)/(Z$4-Y$4)+Y12</f>
        <v>163.66666666666666</v>
      </c>
    </row>
    <row r="13" spans="1:27" ht="12" customHeight="1">
      <c r="A13" s="2690">
        <v>31</v>
      </c>
      <c r="B13" s="2689"/>
      <c r="C13" s="969">
        <v>59</v>
      </c>
      <c r="D13" s="969">
        <v>61</v>
      </c>
      <c r="E13" s="970">
        <v>63</v>
      </c>
      <c r="F13" s="969">
        <v>64</v>
      </c>
      <c r="G13" s="971">
        <v>67</v>
      </c>
      <c r="H13" s="969">
        <v>78</v>
      </c>
      <c r="I13" s="969">
        <v>82</v>
      </c>
      <c r="J13" s="970">
        <v>86</v>
      </c>
      <c r="K13" s="972">
        <f t="shared" si="1"/>
        <v>71.272727272727266</v>
      </c>
      <c r="L13" s="972">
        <f t="shared" si="2"/>
        <v>74.63636363636364</v>
      </c>
      <c r="M13" s="972">
        <f t="shared" si="3"/>
        <v>83.090909090909093</v>
      </c>
      <c r="N13" s="973">
        <v>84</v>
      </c>
      <c r="O13" s="974">
        <v>88</v>
      </c>
      <c r="P13" s="975">
        <v>92</v>
      </c>
      <c r="Q13" s="969">
        <v>97</v>
      </c>
      <c r="R13" s="970">
        <v>101</v>
      </c>
      <c r="S13" s="973">
        <v>94</v>
      </c>
      <c r="T13" s="978">
        <v>98</v>
      </c>
      <c r="U13" s="976">
        <v>103</v>
      </c>
      <c r="V13" s="969">
        <v>108</v>
      </c>
      <c r="W13" s="970">
        <v>112</v>
      </c>
      <c r="X13" s="977">
        <f t="shared" si="4"/>
        <v>103</v>
      </c>
      <c r="Y13" s="969">
        <v>129</v>
      </c>
      <c r="Z13" s="969">
        <v>146</v>
      </c>
      <c r="AA13" s="977">
        <f>(Z13-Y13)*(AA$4-Y$4)/(Z$4-Y$4)+Y13</f>
        <v>174.33333333333334</v>
      </c>
    </row>
    <row r="14" spans="1:27" ht="12" customHeight="1">
      <c r="A14" s="2690">
        <v>34</v>
      </c>
      <c r="B14" s="2689"/>
      <c r="C14" s="969">
        <v>63</v>
      </c>
      <c r="D14" s="969">
        <v>65</v>
      </c>
      <c r="E14" s="970">
        <v>67</v>
      </c>
      <c r="F14" s="969">
        <v>69</v>
      </c>
      <c r="G14" s="971">
        <v>71</v>
      </c>
      <c r="H14" s="969">
        <v>83</v>
      </c>
      <c r="I14" s="969">
        <v>87</v>
      </c>
      <c r="J14" s="970">
        <v>92</v>
      </c>
      <c r="K14" s="972">
        <f t="shared" si="1"/>
        <v>76.63636363636364</v>
      </c>
      <c r="L14" s="972">
        <f t="shared" si="2"/>
        <v>79.36363636363636</v>
      </c>
      <c r="M14" s="972">
        <f t="shared" si="3"/>
        <v>88.454545454545453</v>
      </c>
      <c r="N14" s="973">
        <v>90</v>
      </c>
      <c r="O14" s="974">
        <v>94</v>
      </c>
      <c r="P14" s="975">
        <v>98</v>
      </c>
      <c r="Q14" s="969">
        <v>103</v>
      </c>
      <c r="R14" s="970">
        <v>108</v>
      </c>
      <c r="S14" s="973">
        <v>101</v>
      </c>
      <c r="T14" s="969">
        <v>104</v>
      </c>
      <c r="U14" s="976">
        <v>110</v>
      </c>
      <c r="V14" s="969">
        <v>115</v>
      </c>
      <c r="W14" s="970">
        <v>120</v>
      </c>
      <c r="X14" s="977">
        <f t="shared" si="4"/>
        <v>109</v>
      </c>
      <c r="Y14" s="969">
        <v>138</v>
      </c>
      <c r="Z14" s="969">
        <v>155</v>
      </c>
      <c r="AA14" s="977">
        <f t="shared" si="5"/>
        <v>183.33333333333334</v>
      </c>
    </row>
    <row r="15" spans="1:27" ht="12" customHeight="1">
      <c r="A15" s="2690">
        <v>37</v>
      </c>
      <c r="B15" s="2689"/>
      <c r="C15" s="969">
        <v>67</v>
      </c>
      <c r="D15" s="969">
        <v>69</v>
      </c>
      <c r="E15" s="970">
        <v>71</v>
      </c>
      <c r="F15" s="969">
        <v>73</v>
      </c>
      <c r="G15" s="971">
        <v>76</v>
      </c>
      <c r="H15" s="969">
        <v>88</v>
      </c>
      <c r="I15" s="969">
        <v>93</v>
      </c>
      <c r="J15" s="970">
        <v>97</v>
      </c>
      <c r="K15" s="972">
        <f t="shared" si="1"/>
        <v>81</v>
      </c>
      <c r="L15" s="972">
        <f t="shared" si="2"/>
        <v>84.36363636363636</v>
      </c>
      <c r="M15" s="972">
        <f t="shared" si="3"/>
        <v>93.818181818181813</v>
      </c>
      <c r="N15" s="973">
        <v>95</v>
      </c>
      <c r="O15" s="974">
        <v>99</v>
      </c>
      <c r="P15" s="975">
        <v>104</v>
      </c>
      <c r="Q15" s="969">
        <v>109</v>
      </c>
      <c r="R15" s="970">
        <v>114</v>
      </c>
      <c r="S15" s="973">
        <v>107</v>
      </c>
      <c r="T15" s="969">
        <v>111</v>
      </c>
      <c r="U15" s="976">
        <v>116</v>
      </c>
      <c r="V15" s="969">
        <v>122</v>
      </c>
      <c r="W15" s="970">
        <v>127</v>
      </c>
      <c r="X15" s="977">
        <f t="shared" si="4"/>
        <v>117</v>
      </c>
      <c r="Y15" s="969">
        <v>146</v>
      </c>
      <c r="Z15" s="969">
        <v>165</v>
      </c>
      <c r="AA15" s="977">
        <f t="shared" si="5"/>
        <v>196.66666666666666</v>
      </c>
    </row>
    <row r="16" spans="1:27" ht="12" customHeight="1">
      <c r="A16" s="2690">
        <v>40</v>
      </c>
      <c r="B16" s="2689"/>
      <c r="C16" s="969">
        <v>71</v>
      </c>
      <c r="D16" s="969">
        <v>73</v>
      </c>
      <c r="E16" s="970">
        <v>75</v>
      </c>
      <c r="F16" s="969">
        <v>77</v>
      </c>
      <c r="G16" s="971">
        <v>80</v>
      </c>
      <c r="H16" s="969">
        <v>93</v>
      </c>
      <c r="I16" s="969">
        <v>98</v>
      </c>
      <c r="J16" s="970">
        <v>103</v>
      </c>
      <c r="K16" s="972">
        <f t="shared" si="1"/>
        <v>85.72727272727272</v>
      </c>
      <c r="L16" s="972">
        <f t="shared" si="2"/>
        <v>89.090909090909093</v>
      </c>
      <c r="M16" s="972">
        <f t="shared" si="3"/>
        <v>99.545454545454547</v>
      </c>
      <c r="N16" s="973">
        <v>101</v>
      </c>
      <c r="O16" s="974">
        <v>105</v>
      </c>
      <c r="P16" s="975">
        <v>111</v>
      </c>
      <c r="Q16" s="969">
        <v>116</v>
      </c>
      <c r="R16" s="970">
        <v>121</v>
      </c>
      <c r="S16" s="973">
        <v>113</v>
      </c>
      <c r="T16" s="978">
        <v>118</v>
      </c>
      <c r="U16" s="976">
        <v>123</v>
      </c>
      <c r="V16" s="969">
        <v>129</v>
      </c>
      <c r="W16" s="970">
        <v>134</v>
      </c>
      <c r="X16" s="977">
        <f t="shared" si="4"/>
        <v>124.5</v>
      </c>
      <c r="Y16" s="969">
        <v>154</v>
      </c>
      <c r="Z16" s="969">
        <v>174</v>
      </c>
      <c r="AA16" s="977">
        <f t="shared" si="5"/>
        <v>207.33333333333334</v>
      </c>
    </row>
    <row r="17" spans="1:111" ht="12" customHeight="1">
      <c r="A17" s="2690">
        <v>43</v>
      </c>
      <c r="B17" s="2689"/>
      <c r="C17" s="969">
        <v>75</v>
      </c>
      <c r="D17" s="969">
        <v>77</v>
      </c>
      <c r="E17" s="970">
        <v>79</v>
      </c>
      <c r="F17" s="969">
        <v>81</v>
      </c>
      <c r="G17" s="971">
        <v>85</v>
      </c>
      <c r="H17" s="969">
        <v>98</v>
      </c>
      <c r="I17" s="969">
        <v>103</v>
      </c>
      <c r="J17" s="970">
        <v>109</v>
      </c>
      <c r="K17" s="972">
        <f t="shared" si="1"/>
        <v>90.454545454545453</v>
      </c>
      <c r="L17" s="972">
        <f t="shared" si="2"/>
        <v>94.454545454545453</v>
      </c>
      <c r="M17" s="972">
        <f t="shared" si="3"/>
        <v>104.90909090909091</v>
      </c>
      <c r="N17" s="973">
        <v>107</v>
      </c>
      <c r="O17" s="974">
        <v>111</v>
      </c>
      <c r="P17" s="975">
        <v>117</v>
      </c>
      <c r="Q17" s="969">
        <v>122</v>
      </c>
      <c r="R17" s="970">
        <v>128</v>
      </c>
      <c r="S17" s="973">
        <v>120</v>
      </c>
      <c r="T17" s="969">
        <v>124</v>
      </c>
      <c r="U17" s="976">
        <v>130</v>
      </c>
      <c r="V17" s="969">
        <v>136</v>
      </c>
      <c r="W17" s="970">
        <v>142</v>
      </c>
      <c r="X17" s="977">
        <f t="shared" si="4"/>
        <v>130.5</v>
      </c>
      <c r="Y17" s="969">
        <v>162</v>
      </c>
      <c r="Z17" s="969">
        <v>183</v>
      </c>
      <c r="AA17" s="977">
        <f t="shared" si="5"/>
        <v>218</v>
      </c>
    </row>
    <row r="18" spans="1:111" ht="12" customHeight="1">
      <c r="A18" s="2690">
        <v>46</v>
      </c>
      <c r="B18" s="2689"/>
      <c r="C18" s="969">
        <v>79</v>
      </c>
      <c r="D18" s="969">
        <v>81</v>
      </c>
      <c r="E18" s="970">
        <v>83</v>
      </c>
      <c r="F18" s="1714">
        <v>86</v>
      </c>
      <c r="G18" s="971">
        <v>89</v>
      </c>
      <c r="H18" s="969">
        <v>104</v>
      </c>
      <c r="I18" s="969">
        <v>109</v>
      </c>
      <c r="J18" s="970">
        <v>114</v>
      </c>
      <c r="K18" s="972">
        <f t="shared" si="1"/>
        <v>95.818181818181813</v>
      </c>
      <c r="L18" s="972">
        <f t="shared" si="2"/>
        <v>99.181818181818187</v>
      </c>
      <c r="M18" s="972">
        <f t="shared" si="3"/>
        <v>110.90909090909091</v>
      </c>
      <c r="N18" s="1713">
        <v>113</v>
      </c>
      <c r="O18" s="974">
        <v>117</v>
      </c>
      <c r="P18" s="975">
        <v>123</v>
      </c>
      <c r="Q18" s="969">
        <v>128</v>
      </c>
      <c r="R18" s="970">
        <v>134</v>
      </c>
      <c r="S18" s="973">
        <v>126</v>
      </c>
      <c r="T18" s="969">
        <v>131</v>
      </c>
      <c r="U18" s="976">
        <v>137</v>
      </c>
      <c r="V18" s="969">
        <v>143</v>
      </c>
      <c r="W18" s="970">
        <v>149</v>
      </c>
      <c r="X18" s="977">
        <f t="shared" si="4"/>
        <v>138</v>
      </c>
      <c r="Y18" s="969">
        <v>171</v>
      </c>
      <c r="Z18" s="969">
        <v>193</v>
      </c>
      <c r="AA18" s="977">
        <f t="shared" si="5"/>
        <v>229.66666666666666</v>
      </c>
    </row>
    <row r="19" spans="1:111" ht="12" customHeight="1">
      <c r="A19" s="2690">
        <v>48</v>
      </c>
      <c r="B19" s="2689"/>
      <c r="C19" s="969">
        <v>82</v>
      </c>
      <c r="D19" s="969">
        <v>84</v>
      </c>
      <c r="E19" s="970">
        <v>86</v>
      </c>
      <c r="F19" s="969">
        <v>89</v>
      </c>
      <c r="G19" s="971">
        <v>92</v>
      </c>
      <c r="H19" s="969">
        <v>107</v>
      </c>
      <c r="I19" s="969">
        <v>113</v>
      </c>
      <c r="J19" s="970">
        <v>118</v>
      </c>
      <c r="K19" s="972">
        <f t="shared" si="1"/>
        <v>98.818181818181813</v>
      </c>
      <c r="L19" s="972">
        <f t="shared" si="2"/>
        <v>102.54545454545455</v>
      </c>
      <c r="M19" s="972">
        <f t="shared" si="3"/>
        <v>114.27272727272727</v>
      </c>
      <c r="N19" s="973">
        <v>116</v>
      </c>
      <c r="O19" s="974">
        <v>121</v>
      </c>
      <c r="P19" s="975">
        <v>127</v>
      </c>
      <c r="Q19" s="969">
        <v>133</v>
      </c>
      <c r="R19" s="970">
        <v>139</v>
      </c>
      <c r="S19" s="973">
        <v>130</v>
      </c>
      <c r="T19" s="978">
        <v>135</v>
      </c>
      <c r="U19" s="976">
        <v>141</v>
      </c>
      <c r="V19" s="969">
        <v>147</v>
      </c>
      <c r="W19" s="970">
        <v>154</v>
      </c>
      <c r="X19" s="977">
        <f t="shared" si="4"/>
        <v>142</v>
      </c>
      <c r="Y19" s="969">
        <v>176</v>
      </c>
      <c r="Z19" s="969">
        <v>199</v>
      </c>
      <c r="AA19" s="977">
        <f t="shared" si="5"/>
        <v>237.33333333333334</v>
      </c>
    </row>
    <row r="20" spans="1:111" ht="12" customHeight="1">
      <c r="A20" s="2690">
        <v>52</v>
      </c>
      <c r="B20" s="2689"/>
      <c r="C20" s="969">
        <v>87</v>
      </c>
      <c r="D20" s="969">
        <v>89</v>
      </c>
      <c r="E20" s="970">
        <v>92</v>
      </c>
      <c r="F20" s="969">
        <v>94</v>
      </c>
      <c r="G20" s="971">
        <v>98</v>
      </c>
      <c r="H20" s="969">
        <v>114</v>
      </c>
      <c r="I20" s="969">
        <v>120</v>
      </c>
      <c r="J20" s="970">
        <v>126</v>
      </c>
      <c r="K20" s="972">
        <f t="shared" si="1"/>
        <v>104.90909090909091</v>
      </c>
      <c r="L20" s="972">
        <f t="shared" si="2"/>
        <v>109.27272727272728</v>
      </c>
      <c r="M20" s="972">
        <f t="shared" si="3"/>
        <v>121.63636363636364</v>
      </c>
      <c r="N20" s="973">
        <v>124</v>
      </c>
      <c r="O20" s="974">
        <v>129</v>
      </c>
      <c r="P20" s="975">
        <v>135</v>
      </c>
      <c r="Q20" s="969">
        <v>141</v>
      </c>
      <c r="R20" s="970">
        <v>147</v>
      </c>
      <c r="S20" s="973">
        <v>139</v>
      </c>
      <c r="T20" s="969">
        <v>144</v>
      </c>
      <c r="U20" s="976">
        <v>150</v>
      </c>
      <c r="V20" s="969">
        <v>157</v>
      </c>
      <c r="W20" s="970">
        <v>163</v>
      </c>
      <c r="X20" s="977">
        <f t="shared" si="4"/>
        <v>151.5</v>
      </c>
      <c r="Y20" s="969">
        <v>187</v>
      </c>
      <c r="Z20" s="969">
        <v>211</v>
      </c>
      <c r="AA20" s="977">
        <f t="shared" si="5"/>
        <v>251</v>
      </c>
    </row>
    <row r="21" spans="1:111" ht="12" customHeight="1">
      <c r="A21" s="2690">
        <v>55</v>
      </c>
      <c r="B21" s="2689"/>
      <c r="C21" s="969">
        <v>91</v>
      </c>
      <c r="D21" s="969">
        <v>93</v>
      </c>
      <c r="E21" s="970">
        <v>96</v>
      </c>
      <c r="F21" s="969">
        <v>99</v>
      </c>
      <c r="G21" s="971">
        <v>103</v>
      </c>
      <c r="H21" s="969">
        <v>119</v>
      </c>
      <c r="I21" s="969">
        <v>125</v>
      </c>
      <c r="J21" s="970">
        <v>131</v>
      </c>
      <c r="K21" s="972">
        <f t="shared" si="1"/>
        <v>110.27272727272728</v>
      </c>
      <c r="L21" s="972">
        <f t="shared" si="2"/>
        <v>114.63636363636364</v>
      </c>
      <c r="M21" s="972">
        <f t="shared" si="3"/>
        <v>127</v>
      </c>
      <c r="N21" s="973">
        <v>130</v>
      </c>
      <c r="O21" s="974">
        <v>135</v>
      </c>
      <c r="P21" s="975">
        <v>141</v>
      </c>
      <c r="Q21" s="969">
        <v>148</v>
      </c>
      <c r="R21" s="970">
        <v>154</v>
      </c>
      <c r="S21" s="973">
        <v>145</v>
      </c>
      <c r="T21" s="969">
        <v>150</v>
      </c>
      <c r="U21" s="976">
        <v>157</v>
      </c>
      <c r="V21" s="969">
        <v>164</v>
      </c>
      <c r="W21" s="970">
        <v>171</v>
      </c>
      <c r="X21" s="977">
        <f t="shared" si="4"/>
        <v>157.5</v>
      </c>
      <c r="Y21" s="969">
        <v>196</v>
      </c>
      <c r="Z21" s="969">
        <v>220</v>
      </c>
      <c r="AA21" s="977">
        <f t="shared" si="5"/>
        <v>260</v>
      </c>
    </row>
    <row r="22" spans="1:111" ht="12" customHeight="1">
      <c r="A22" s="2690">
        <v>58</v>
      </c>
      <c r="B22" s="2689"/>
      <c r="C22" s="969">
        <v>95</v>
      </c>
      <c r="D22" s="969">
        <v>97</v>
      </c>
      <c r="E22" s="970">
        <v>100</v>
      </c>
      <c r="F22" s="969">
        <v>103</v>
      </c>
      <c r="G22" s="971">
        <v>107</v>
      </c>
      <c r="H22" s="969">
        <v>124</v>
      </c>
      <c r="I22" s="969">
        <v>131</v>
      </c>
      <c r="J22" s="970">
        <v>137</v>
      </c>
      <c r="K22" s="972">
        <f t="shared" si="1"/>
        <v>114.63636363636364</v>
      </c>
      <c r="L22" s="972">
        <f t="shared" si="2"/>
        <v>119</v>
      </c>
      <c r="M22" s="972">
        <f t="shared" si="3"/>
        <v>132.36363636363637</v>
      </c>
      <c r="N22" s="973">
        <v>135</v>
      </c>
      <c r="O22" s="974">
        <v>140</v>
      </c>
      <c r="P22" s="975">
        <v>147</v>
      </c>
      <c r="Q22" s="969">
        <v>154</v>
      </c>
      <c r="R22" s="970">
        <v>161</v>
      </c>
      <c r="S22" s="973">
        <v>151</v>
      </c>
      <c r="T22" s="978">
        <v>157</v>
      </c>
      <c r="U22" s="976">
        <v>164</v>
      </c>
      <c r="V22" s="969">
        <v>171</v>
      </c>
      <c r="W22" s="970">
        <v>178</v>
      </c>
      <c r="X22" s="977">
        <f t="shared" si="4"/>
        <v>165.5</v>
      </c>
      <c r="Y22" s="969">
        <v>204</v>
      </c>
      <c r="Z22" s="969">
        <v>230</v>
      </c>
      <c r="AA22" s="977">
        <f t="shared" si="5"/>
        <v>273.33333333333331</v>
      </c>
    </row>
    <row r="23" spans="1:111" ht="12" customHeight="1">
      <c r="A23" s="2690">
        <v>61</v>
      </c>
      <c r="B23" s="2689"/>
      <c r="C23" s="969">
        <v>99</v>
      </c>
      <c r="D23" s="969">
        <v>101</v>
      </c>
      <c r="E23" s="970">
        <v>104</v>
      </c>
      <c r="F23" s="969">
        <v>107</v>
      </c>
      <c r="G23" s="971">
        <v>112</v>
      </c>
      <c r="H23" s="969">
        <v>129</v>
      </c>
      <c r="I23" s="969">
        <v>136</v>
      </c>
      <c r="J23" s="970">
        <v>142</v>
      </c>
      <c r="K23" s="972">
        <f t="shared" si="1"/>
        <v>119.36363636363636</v>
      </c>
      <c r="L23" s="972">
        <f t="shared" si="2"/>
        <v>124.36363636363636</v>
      </c>
      <c r="M23" s="972">
        <f t="shared" si="3"/>
        <v>137.72727272727272</v>
      </c>
      <c r="N23" s="973">
        <v>141</v>
      </c>
      <c r="O23" s="974">
        <v>146</v>
      </c>
      <c r="P23" s="975">
        <v>153</v>
      </c>
      <c r="Q23" s="969">
        <v>160</v>
      </c>
      <c r="R23" s="970">
        <v>167</v>
      </c>
      <c r="S23" s="973">
        <v>158</v>
      </c>
      <c r="T23" s="969">
        <v>163</v>
      </c>
      <c r="U23" s="976">
        <v>171</v>
      </c>
      <c r="V23" s="969">
        <v>178</v>
      </c>
      <c r="W23" s="970">
        <v>185</v>
      </c>
      <c r="X23" s="977">
        <f t="shared" si="4"/>
        <v>171.5</v>
      </c>
      <c r="Y23" s="969">
        <v>212</v>
      </c>
      <c r="Z23" s="969">
        <v>239</v>
      </c>
      <c r="AA23" s="977">
        <f t="shared" si="5"/>
        <v>284</v>
      </c>
    </row>
    <row r="24" spans="1:111" ht="12" customHeight="1">
      <c r="A24" s="2690">
        <v>64</v>
      </c>
      <c r="B24" s="2689"/>
      <c r="C24" s="969">
        <v>103</v>
      </c>
      <c r="D24" s="969">
        <v>105</v>
      </c>
      <c r="E24" s="970">
        <v>109</v>
      </c>
      <c r="F24" s="969">
        <v>112</v>
      </c>
      <c r="G24" s="971">
        <v>116</v>
      </c>
      <c r="H24" s="969">
        <v>135</v>
      </c>
      <c r="I24" s="969">
        <v>141</v>
      </c>
      <c r="J24" s="970">
        <v>148</v>
      </c>
      <c r="K24" s="972">
        <f t="shared" si="1"/>
        <v>124.72727272727272</v>
      </c>
      <c r="L24" s="972">
        <f t="shared" si="2"/>
        <v>129.09090909090909</v>
      </c>
      <c r="M24" s="972">
        <f t="shared" si="3"/>
        <v>143.72727272727272</v>
      </c>
      <c r="N24" s="973">
        <v>147</v>
      </c>
      <c r="O24" s="974">
        <v>152</v>
      </c>
      <c r="P24" s="975">
        <v>159</v>
      </c>
      <c r="Q24" s="969">
        <v>167</v>
      </c>
      <c r="R24" s="970">
        <v>174</v>
      </c>
      <c r="S24" s="973">
        <v>164</v>
      </c>
      <c r="T24" s="969">
        <v>170</v>
      </c>
      <c r="U24" s="976">
        <v>177</v>
      </c>
      <c r="V24" s="969">
        <v>185</v>
      </c>
      <c r="W24" s="970">
        <v>192</v>
      </c>
      <c r="X24" s="977">
        <f t="shared" si="4"/>
        <v>179</v>
      </c>
      <c r="Y24" s="969">
        <v>220</v>
      </c>
      <c r="Z24" s="969">
        <v>246</v>
      </c>
      <c r="AA24" s="977">
        <f t="shared" si="5"/>
        <v>289.33333333333331</v>
      </c>
    </row>
    <row r="25" spans="1:111" ht="12" customHeight="1">
      <c r="A25" s="2690">
        <v>67</v>
      </c>
      <c r="B25" s="2689"/>
      <c r="C25" s="969">
        <v>107</v>
      </c>
      <c r="D25" s="969">
        <v>109</v>
      </c>
      <c r="E25" s="970">
        <v>113</v>
      </c>
      <c r="F25" s="969">
        <v>116</v>
      </c>
      <c r="G25" s="971">
        <v>121</v>
      </c>
      <c r="H25" s="969">
        <v>140</v>
      </c>
      <c r="I25" s="969">
        <v>147</v>
      </c>
      <c r="J25" s="970">
        <v>154</v>
      </c>
      <c r="K25" s="972">
        <f t="shared" si="1"/>
        <v>129.09090909090909</v>
      </c>
      <c r="L25" s="972">
        <f t="shared" si="2"/>
        <v>134.45454545454547</v>
      </c>
      <c r="M25" s="972">
        <f t="shared" si="3"/>
        <v>149.09090909090909</v>
      </c>
      <c r="N25" s="973">
        <v>152</v>
      </c>
      <c r="O25" s="974">
        <v>158</v>
      </c>
      <c r="P25" s="975">
        <v>165</v>
      </c>
      <c r="Q25" s="969">
        <v>173</v>
      </c>
      <c r="R25" s="970">
        <v>180</v>
      </c>
      <c r="S25" s="973">
        <v>170</v>
      </c>
      <c r="T25" s="969">
        <v>176</v>
      </c>
      <c r="U25" s="976">
        <v>184</v>
      </c>
      <c r="V25" s="969">
        <v>192</v>
      </c>
      <c r="W25" s="970">
        <v>200</v>
      </c>
      <c r="X25" s="977">
        <f t="shared" si="4"/>
        <v>185</v>
      </c>
      <c r="Y25" s="969">
        <v>229</v>
      </c>
      <c r="Z25" s="969">
        <v>258</v>
      </c>
      <c r="AA25" s="977">
        <f t="shared" si="5"/>
        <v>306.33333333333331</v>
      </c>
    </row>
    <row r="26" spans="1:111" ht="12" customHeight="1">
      <c r="A26" s="2688">
        <v>70</v>
      </c>
      <c r="B26" s="2689"/>
      <c r="C26" s="979">
        <v>111</v>
      </c>
      <c r="D26" s="979">
        <v>113</v>
      </c>
      <c r="E26" s="980">
        <v>117</v>
      </c>
      <c r="F26" s="979">
        <v>120</v>
      </c>
      <c r="G26" s="981">
        <v>125</v>
      </c>
      <c r="H26" s="979">
        <v>145</v>
      </c>
      <c r="I26" s="979">
        <v>152</v>
      </c>
      <c r="J26" s="980">
        <v>159</v>
      </c>
      <c r="K26" s="972">
        <f t="shared" si="1"/>
        <v>133.09090909090909</v>
      </c>
      <c r="L26" s="972">
        <f t="shared" si="2"/>
        <v>139.18181818181819</v>
      </c>
      <c r="M26" s="972">
        <f t="shared" si="3"/>
        <v>154.81818181818181</v>
      </c>
      <c r="N26" s="982">
        <v>156</v>
      </c>
      <c r="O26" s="983">
        <v>164</v>
      </c>
      <c r="P26" s="984">
        <v>172</v>
      </c>
      <c r="Q26" s="979">
        <v>179</v>
      </c>
      <c r="R26" s="980">
        <v>187</v>
      </c>
      <c r="S26" s="982">
        <v>177</v>
      </c>
      <c r="T26" s="979">
        <v>183</v>
      </c>
      <c r="U26" s="985">
        <v>191</v>
      </c>
      <c r="V26" s="979">
        <v>199</v>
      </c>
      <c r="W26" s="980">
        <v>207</v>
      </c>
      <c r="X26" s="977">
        <f t="shared" si="4"/>
        <v>192.5</v>
      </c>
      <c r="Y26" s="979">
        <v>237</v>
      </c>
      <c r="Z26" s="979">
        <v>267</v>
      </c>
      <c r="AA26" s="977">
        <f t="shared" si="5"/>
        <v>317</v>
      </c>
    </row>
    <row r="27" spans="1:111" ht="12" customHeight="1">
      <c r="A27" s="2701">
        <v>73</v>
      </c>
      <c r="B27" s="2702"/>
      <c r="C27" s="986">
        <f>(C25-C26)*($A$27-$A$26)/($A$25-$A$26)+C26</f>
        <v>115</v>
      </c>
      <c r="D27" s="986">
        <f t="shared" ref="D27:Z27" si="6">(D25-D26)*($A$27-$A$26)/($A$25-$A$26)+D26</f>
        <v>117</v>
      </c>
      <c r="E27" s="986">
        <f t="shared" si="6"/>
        <v>121</v>
      </c>
      <c r="F27" s="986">
        <f t="shared" si="6"/>
        <v>124</v>
      </c>
      <c r="G27" s="986">
        <f t="shared" si="6"/>
        <v>129</v>
      </c>
      <c r="H27" s="986">
        <f t="shared" si="6"/>
        <v>150</v>
      </c>
      <c r="I27" s="986">
        <f t="shared" si="6"/>
        <v>157</v>
      </c>
      <c r="J27" s="986">
        <f t="shared" si="6"/>
        <v>164</v>
      </c>
      <c r="K27" s="986">
        <f t="shared" si="6"/>
        <v>137.09090909090909</v>
      </c>
      <c r="L27" s="986">
        <f t="shared" si="6"/>
        <v>143.90909090909091</v>
      </c>
      <c r="M27" s="986">
        <f t="shared" si="6"/>
        <v>160.54545454545453</v>
      </c>
      <c r="N27" s="986">
        <f t="shared" si="6"/>
        <v>160</v>
      </c>
      <c r="O27" s="986">
        <f t="shared" si="6"/>
        <v>170</v>
      </c>
      <c r="P27" s="986">
        <f t="shared" si="6"/>
        <v>179</v>
      </c>
      <c r="Q27" s="986">
        <f t="shared" si="6"/>
        <v>185</v>
      </c>
      <c r="R27" s="986">
        <f t="shared" si="6"/>
        <v>194</v>
      </c>
      <c r="S27" s="986">
        <f t="shared" si="6"/>
        <v>184</v>
      </c>
      <c r="T27" s="986">
        <f t="shared" si="6"/>
        <v>190</v>
      </c>
      <c r="U27" s="986">
        <f t="shared" si="6"/>
        <v>198</v>
      </c>
      <c r="V27" s="986">
        <f t="shared" si="6"/>
        <v>206</v>
      </c>
      <c r="W27" s="986">
        <f t="shared" si="6"/>
        <v>214</v>
      </c>
      <c r="X27" s="987">
        <f t="shared" si="6"/>
        <v>200</v>
      </c>
      <c r="Y27" s="986">
        <f t="shared" si="6"/>
        <v>245</v>
      </c>
      <c r="Z27" s="986">
        <f t="shared" si="6"/>
        <v>276</v>
      </c>
      <c r="AA27" s="987">
        <f t="shared" si="5"/>
        <v>327.66666666666669</v>
      </c>
      <c r="DC27"/>
      <c r="DD27"/>
      <c r="DE27"/>
      <c r="DF27"/>
      <c r="DG27"/>
    </row>
    <row r="28" spans="1:111" s="106" customFormat="1" ht="12" customHeight="1" thickBot="1">
      <c r="A28" s="955"/>
      <c r="B28" s="955"/>
      <c r="C28" s="955"/>
      <c r="D28" s="955"/>
      <c r="E28" s="955"/>
      <c r="F28" s="955"/>
      <c r="G28" s="955"/>
      <c r="H28" s="955"/>
      <c r="I28" s="955"/>
      <c r="J28" s="955"/>
      <c r="K28" s="955"/>
      <c r="L28" s="955"/>
      <c r="M28" s="955"/>
      <c r="N28" s="956"/>
      <c r="O28" s="956"/>
      <c r="P28" s="956"/>
      <c r="Q28" s="956"/>
      <c r="R28" s="956"/>
      <c r="S28" s="956"/>
      <c r="T28" s="956"/>
      <c r="U28" s="956"/>
      <c r="V28" s="956"/>
      <c r="W28" s="956"/>
      <c r="X28" s="956"/>
      <c r="Y28" s="956"/>
      <c r="Z28" s="956"/>
      <c r="AA28" s="956"/>
    </row>
    <row r="29" spans="1:111" s="106" customFormat="1" ht="17.25" customHeight="1" thickBot="1">
      <c r="A29" s="2699" t="s">
        <v>458</v>
      </c>
      <c r="B29" s="2700"/>
      <c r="C29" s="955"/>
      <c r="D29" s="955"/>
      <c r="E29" s="955"/>
      <c r="F29" s="955"/>
      <c r="G29" s="955"/>
      <c r="H29" s="955"/>
      <c r="I29" s="955"/>
      <c r="J29" s="955"/>
      <c r="K29" s="956"/>
      <c r="L29" s="956"/>
      <c r="M29" s="956" t="s">
        <v>1418</v>
      </c>
      <c r="N29" s="956"/>
      <c r="O29" s="956"/>
      <c r="P29" s="956"/>
      <c r="Q29" s="956"/>
      <c r="R29" s="956" t="s">
        <v>1418</v>
      </c>
      <c r="S29" s="956" t="s">
        <v>1418</v>
      </c>
      <c r="T29" s="956" t="s">
        <v>1418</v>
      </c>
      <c r="U29" s="956" t="s">
        <v>1418</v>
      </c>
      <c r="V29" s="956"/>
      <c r="W29" s="956"/>
      <c r="X29" s="956" t="s">
        <v>1418</v>
      </c>
      <c r="Y29" s="956"/>
      <c r="Z29" s="956"/>
      <c r="AA29" s="956"/>
    </row>
    <row r="30" spans="1:111" s="106" customFormat="1" ht="12" customHeight="1">
      <c r="A30" s="2693" t="s">
        <v>720</v>
      </c>
      <c r="B30" s="2693"/>
      <c r="C30" s="957">
        <v>4.5</v>
      </c>
      <c r="D30" s="957">
        <v>6</v>
      </c>
      <c r="E30" s="957">
        <v>8</v>
      </c>
      <c r="F30" s="957">
        <v>10</v>
      </c>
      <c r="G30" s="957">
        <v>12</v>
      </c>
      <c r="H30" s="957">
        <v>4.5</v>
      </c>
      <c r="I30" s="957">
        <v>6</v>
      </c>
      <c r="J30" s="957">
        <v>8</v>
      </c>
      <c r="K30" s="957">
        <v>10</v>
      </c>
      <c r="L30" s="957">
        <v>12</v>
      </c>
      <c r="M30" s="959">
        <v>5</v>
      </c>
      <c r="N30" s="957">
        <v>6</v>
      </c>
      <c r="O30" s="957">
        <v>8</v>
      </c>
      <c r="P30" s="957">
        <v>10</v>
      </c>
      <c r="Q30" s="957">
        <v>12</v>
      </c>
      <c r="R30" s="959">
        <v>6</v>
      </c>
      <c r="S30" s="959">
        <v>8</v>
      </c>
      <c r="T30" s="959">
        <v>8</v>
      </c>
      <c r="U30" s="959">
        <v>8</v>
      </c>
      <c r="V30" s="957">
        <v>12</v>
      </c>
      <c r="W30" s="957">
        <v>12</v>
      </c>
      <c r="X30" s="959">
        <v>12</v>
      </c>
      <c r="Y30" s="956"/>
      <c r="Z30" s="956"/>
      <c r="AA30" s="956"/>
    </row>
    <row r="31" spans="1:111" s="106" customFormat="1" ht="12" customHeight="1">
      <c r="A31" s="2694" t="s">
        <v>721</v>
      </c>
      <c r="B31" s="2694"/>
      <c r="C31" s="988">
        <v>16.5</v>
      </c>
      <c r="D31" s="988">
        <v>16.5</v>
      </c>
      <c r="E31" s="988">
        <v>16.5</v>
      </c>
      <c r="F31" s="988">
        <v>16.5</v>
      </c>
      <c r="G31" s="988">
        <v>16.5</v>
      </c>
      <c r="H31" s="988">
        <v>20</v>
      </c>
      <c r="I31" s="988">
        <v>20</v>
      </c>
      <c r="J31" s="988">
        <v>20</v>
      </c>
      <c r="K31" s="988">
        <v>20</v>
      </c>
      <c r="L31" s="988">
        <v>20</v>
      </c>
      <c r="M31" s="963">
        <v>24</v>
      </c>
      <c r="N31" s="988">
        <v>24</v>
      </c>
      <c r="O31" s="988">
        <v>24</v>
      </c>
      <c r="P31" s="988">
        <v>24</v>
      </c>
      <c r="Q31" s="988">
        <v>24</v>
      </c>
      <c r="R31" s="963">
        <v>26</v>
      </c>
      <c r="S31" s="963">
        <v>26</v>
      </c>
      <c r="T31" s="963">
        <v>30</v>
      </c>
      <c r="U31" s="963">
        <v>50</v>
      </c>
      <c r="V31" s="988">
        <v>30</v>
      </c>
      <c r="W31" s="988">
        <v>36</v>
      </c>
      <c r="X31" s="963">
        <v>46</v>
      </c>
      <c r="Y31" s="956"/>
      <c r="Z31" s="956"/>
      <c r="AA31" s="956"/>
    </row>
    <row r="32" spans="1:111" s="106" customFormat="1" ht="12" customHeight="1">
      <c r="A32" s="2695" t="s">
        <v>722</v>
      </c>
      <c r="B32" s="2695"/>
      <c r="C32" s="964"/>
      <c r="D32" s="964"/>
      <c r="E32" s="964"/>
      <c r="F32" s="964"/>
      <c r="G32" s="964"/>
      <c r="H32" s="964"/>
      <c r="I32" s="964"/>
      <c r="J32" s="964"/>
      <c r="K32" s="964"/>
      <c r="L32" s="964"/>
      <c r="M32" s="964"/>
      <c r="N32" s="964"/>
      <c r="O32" s="964"/>
      <c r="P32" s="964"/>
      <c r="Q32" s="964"/>
      <c r="R32" s="964"/>
      <c r="S32" s="964"/>
      <c r="T32" s="964"/>
      <c r="U32" s="964"/>
      <c r="V32" s="964"/>
      <c r="W32" s="964"/>
      <c r="X32" s="964"/>
      <c r="Y32" s="956"/>
      <c r="Z32" s="956"/>
      <c r="AA32" s="956"/>
    </row>
    <row r="33" spans="1:34" s="106" customFormat="1" ht="12" customHeight="1">
      <c r="A33" s="2696">
        <v>17.5</v>
      </c>
      <c r="B33" s="2697"/>
      <c r="C33" s="969">
        <v>87</v>
      </c>
      <c r="D33" s="969">
        <v>91</v>
      </c>
      <c r="E33" s="969">
        <v>98</v>
      </c>
      <c r="F33" s="969">
        <v>104</v>
      </c>
      <c r="G33" s="969">
        <v>110</v>
      </c>
      <c r="H33" s="969">
        <v>96</v>
      </c>
      <c r="I33" s="969">
        <v>102</v>
      </c>
      <c r="J33" s="969">
        <v>109</v>
      </c>
      <c r="K33" s="969">
        <v>116</v>
      </c>
      <c r="L33" s="969">
        <v>123</v>
      </c>
      <c r="M33" s="972">
        <f t="shared" ref="M33:M49" si="7">(N33-O33)*($M$30-$N$30)/($N$30-$O$30)+N33</f>
        <v>110.5</v>
      </c>
      <c r="N33" s="969">
        <v>114</v>
      </c>
      <c r="O33" s="969">
        <v>121</v>
      </c>
      <c r="P33" s="969">
        <v>129</v>
      </c>
      <c r="Q33" s="969">
        <v>137</v>
      </c>
      <c r="R33" s="977">
        <f t="shared" ref="R33:R49" si="8">($R$31-$N$31)*(N33-I33)/($N$31-$I$31)+N33</f>
        <v>120</v>
      </c>
      <c r="S33" s="977">
        <f t="shared" ref="S33:S49" si="9">($S$31-$O$31)*(O33-J33)/($O$31-$J$31)+O33</f>
        <v>127</v>
      </c>
      <c r="T33" s="977">
        <f t="shared" ref="T33:T49" si="10">(S33-O33)*($T$31-$S$31)/($S$31-$O$31)+S33</f>
        <v>139</v>
      </c>
      <c r="U33" s="977">
        <f t="shared" ref="U33:U51" si="11">(T33-S33)*($U$31-$T$31)/($T$31-$S$31)+T33</f>
        <v>199</v>
      </c>
      <c r="V33" s="969">
        <v>159</v>
      </c>
      <c r="W33" s="969">
        <v>180</v>
      </c>
      <c r="X33" s="977">
        <f t="shared" ref="X33:X49" si="12">(W33-V33)*($X$31-$W$31)/($W$31-$V$31)+W33</f>
        <v>215</v>
      </c>
      <c r="Y33" s="956"/>
      <c r="Z33" s="347" t="s">
        <v>1170</v>
      </c>
      <c r="AF33" s="955"/>
      <c r="AG33" s="955"/>
      <c r="AH33" s="955"/>
    </row>
    <row r="34" spans="1:34" s="106" customFormat="1" ht="12" customHeight="1">
      <c r="A34" s="2692">
        <v>20.5</v>
      </c>
      <c r="B34" s="2688"/>
      <c r="C34" s="969">
        <v>94</v>
      </c>
      <c r="D34" s="969">
        <v>99</v>
      </c>
      <c r="E34" s="969">
        <v>105</v>
      </c>
      <c r="F34" s="969">
        <v>112</v>
      </c>
      <c r="G34" s="969">
        <v>119</v>
      </c>
      <c r="H34" s="969">
        <v>104</v>
      </c>
      <c r="I34" s="969">
        <v>110</v>
      </c>
      <c r="J34" s="969">
        <v>117</v>
      </c>
      <c r="K34" s="969">
        <v>124</v>
      </c>
      <c r="L34" s="969">
        <v>132</v>
      </c>
      <c r="M34" s="972">
        <f t="shared" si="7"/>
        <v>118</v>
      </c>
      <c r="N34" s="969">
        <v>122</v>
      </c>
      <c r="O34" s="969">
        <v>130</v>
      </c>
      <c r="P34" s="969">
        <v>139</v>
      </c>
      <c r="Q34" s="969">
        <v>147</v>
      </c>
      <c r="R34" s="972">
        <f t="shared" si="8"/>
        <v>128</v>
      </c>
      <c r="S34" s="972">
        <f t="shared" si="9"/>
        <v>136.5</v>
      </c>
      <c r="T34" s="972">
        <f t="shared" si="10"/>
        <v>149.5</v>
      </c>
      <c r="U34" s="972">
        <f t="shared" si="11"/>
        <v>214.5</v>
      </c>
      <c r="V34" s="969">
        <v>170</v>
      </c>
      <c r="W34" s="969">
        <v>192</v>
      </c>
      <c r="X34" s="972">
        <f t="shared" si="12"/>
        <v>228.66666666666666</v>
      </c>
      <c r="Y34" s="956"/>
      <c r="Z34" s="1072" t="s">
        <v>732</v>
      </c>
      <c r="AA34" s="1073"/>
      <c r="AB34" s="1074" t="s">
        <v>1169</v>
      </c>
      <c r="AC34" s="1074"/>
      <c r="AD34" s="1074"/>
      <c r="AE34" s="1074"/>
      <c r="AF34" s="1074"/>
      <c r="AG34" s="1074"/>
      <c r="AH34" s="1075"/>
    </row>
    <row r="35" spans="1:34" s="106" customFormat="1" ht="12" customHeight="1">
      <c r="A35" s="2692">
        <v>23.5</v>
      </c>
      <c r="B35" s="2688"/>
      <c r="C35" s="969">
        <v>100</v>
      </c>
      <c r="D35" s="969">
        <v>106</v>
      </c>
      <c r="E35" s="969">
        <v>113</v>
      </c>
      <c r="F35" s="969">
        <v>120</v>
      </c>
      <c r="G35" s="969">
        <v>127</v>
      </c>
      <c r="H35" s="969">
        <v>112</v>
      </c>
      <c r="I35" s="969">
        <v>118</v>
      </c>
      <c r="J35" s="969">
        <v>125</v>
      </c>
      <c r="K35" s="969">
        <v>133</v>
      </c>
      <c r="L35" s="969">
        <v>141</v>
      </c>
      <c r="M35" s="972">
        <f t="shared" si="7"/>
        <v>126.5</v>
      </c>
      <c r="N35" s="969">
        <v>131</v>
      </c>
      <c r="O35" s="969">
        <v>140</v>
      </c>
      <c r="P35" s="969">
        <v>148</v>
      </c>
      <c r="Q35" s="969">
        <v>157</v>
      </c>
      <c r="R35" s="972">
        <f t="shared" si="8"/>
        <v>137.5</v>
      </c>
      <c r="S35" s="972">
        <f t="shared" si="9"/>
        <v>147.5</v>
      </c>
      <c r="T35" s="972">
        <f t="shared" si="10"/>
        <v>162.5</v>
      </c>
      <c r="U35" s="972">
        <f t="shared" si="11"/>
        <v>237.5</v>
      </c>
      <c r="V35" s="969">
        <v>181</v>
      </c>
      <c r="W35" s="969">
        <v>205</v>
      </c>
      <c r="X35" s="972">
        <f t="shared" si="12"/>
        <v>245</v>
      </c>
      <c r="Y35" s="956"/>
      <c r="Z35" s="1076"/>
      <c r="AA35" s="1077"/>
      <c r="AB35" s="1077"/>
      <c r="AC35" s="1078"/>
      <c r="AD35" s="1078"/>
      <c r="AE35" s="1078"/>
      <c r="AF35" s="1079"/>
      <c r="AG35" s="1079"/>
      <c r="AH35" s="1080"/>
    </row>
    <row r="36" spans="1:34" s="106" customFormat="1" ht="12" customHeight="1">
      <c r="A36" s="2692">
        <v>26.5</v>
      </c>
      <c r="B36" s="2688"/>
      <c r="C36" s="969">
        <v>107</v>
      </c>
      <c r="D36" s="969">
        <v>113</v>
      </c>
      <c r="E36" s="969">
        <v>120</v>
      </c>
      <c r="F36" s="969">
        <v>128</v>
      </c>
      <c r="G36" s="969">
        <v>135</v>
      </c>
      <c r="H36" s="969">
        <v>119</v>
      </c>
      <c r="I36" s="969">
        <v>125</v>
      </c>
      <c r="J36" s="969">
        <v>134</v>
      </c>
      <c r="K36" s="969">
        <v>142</v>
      </c>
      <c r="L36" s="969">
        <v>150</v>
      </c>
      <c r="M36" s="972">
        <f t="shared" si="7"/>
        <v>135.5</v>
      </c>
      <c r="N36" s="969">
        <v>140</v>
      </c>
      <c r="O36" s="969">
        <v>149</v>
      </c>
      <c r="P36" s="969">
        <v>157</v>
      </c>
      <c r="Q36" s="969">
        <v>166</v>
      </c>
      <c r="R36" s="972">
        <f t="shared" si="8"/>
        <v>147.5</v>
      </c>
      <c r="S36" s="972">
        <f t="shared" si="9"/>
        <v>156.5</v>
      </c>
      <c r="T36" s="972">
        <f t="shared" si="10"/>
        <v>171.5</v>
      </c>
      <c r="U36" s="972">
        <f t="shared" si="11"/>
        <v>246.5</v>
      </c>
      <c r="V36" s="969">
        <v>192</v>
      </c>
      <c r="W36" s="969">
        <v>217</v>
      </c>
      <c r="X36" s="972">
        <f t="shared" si="12"/>
        <v>258.66666666666669</v>
      </c>
      <c r="Y36" s="956"/>
      <c r="Z36" s="1081"/>
      <c r="AA36" s="1082"/>
      <c r="AB36" s="1083" t="s">
        <v>730</v>
      </c>
      <c r="AC36" s="1083"/>
      <c r="AD36" s="1083"/>
      <c r="AE36" s="1083"/>
      <c r="AF36" s="1083"/>
      <c r="AG36" s="1083"/>
      <c r="AH36" s="1084"/>
    </row>
    <row r="37" spans="1:34" s="106" customFormat="1" ht="12" customHeight="1">
      <c r="A37" s="2692">
        <v>29.5</v>
      </c>
      <c r="B37" s="2688"/>
      <c r="C37" s="969">
        <v>114</v>
      </c>
      <c r="D37" s="969">
        <v>120</v>
      </c>
      <c r="E37" s="969">
        <v>128</v>
      </c>
      <c r="F37" s="969">
        <v>135</v>
      </c>
      <c r="G37" s="969">
        <v>143</v>
      </c>
      <c r="H37" s="969">
        <v>127</v>
      </c>
      <c r="I37" s="969">
        <v>133</v>
      </c>
      <c r="J37" s="969">
        <v>142</v>
      </c>
      <c r="K37" s="969">
        <v>150</v>
      </c>
      <c r="L37" s="969">
        <v>158</v>
      </c>
      <c r="M37" s="972">
        <f t="shared" si="7"/>
        <v>144.5</v>
      </c>
      <c r="N37" s="969">
        <v>149</v>
      </c>
      <c r="O37" s="969">
        <v>158</v>
      </c>
      <c r="P37" s="969">
        <v>167</v>
      </c>
      <c r="Q37" s="969">
        <v>176</v>
      </c>
      <c r="R37" s="972">
        <f t="shared" si="8"/>
        <v>157</v>
      </c>
      <c r="S37" s="972">
        <f t="shared" si="9"/>
        <v>166</v>
      </c>
      <c r="T37" s="972">
        <f t="shared" si="10"/>
        <v>182</v>
      </c>
      <c r="U37" s="972">
        <f t="shared" si="11"/>
        <v>262</v>
      </c>
      <c r="V37" s="969">
        <v>202</v>
      </c>
      <c r="W37" s="969">
        <v>229</v>
      </c>
      <c r="X37" s="972">
        <f t="shared" si="12"/>
        <v>274</v>
      </c>
      <c r="Y37" s="956"/>
      <c r="Z37" s="956"/>
      <c r="AA37" s="956"/>
    </row>
    <row r="38" spans="1:34" s="106" customFormat="1" ht="12" customHeight="1">
      <c r="A38" s="2692">
        <v>32.5</v>
      </c>
      <c r="B38" s="2688"/>
      <c r="C38" s="969">
        <v>121</v>
      </c>
      <c r="D38" s="969">
        <v>127</v>
      </c>
      <c r="E38" s="969">
        <v>135</v>
      </c>
      <c r="F38" s="969">
        <v>143</v>
      </c>
      <c r="G38" s="969">
        <v>151</v>
      </c>
      <c r="H38" s="969">
        <v>135</v>
      </c>
      <c r="I38" s="969">
        <v>141</v>
      </c>
      <c r="J38" s="969">
        <v>150</v>
      </c>
      <c r="K38" s="969">
        <v>159</v>
      </c>
      <c r="L38" s="969">
        <v>167</v>
      </c>
      <c r="M38" s="972">
        <f t="shared" si="7"/>
        <v>152</v>
      </c>
      <c r="N38" s="978">
        <v>157</v>
      </c>
      <c r="O38" s="969">
        <v>167</v>
      </c>
      <c r="P38" s="969">
        <v>176</v>
      </c>
      <c r="Q38" s="969">
        <v>186</v>
      </c>
      <c r="R38" s="972">
        <f t="shared" si="8"/>
        <v>165</v>
      </c>
      <c r="S38" s="972">
        <f t="shared" si="9"/>
        <v>175.5</v>
      </c>
      <c r="T38" s="972">
        <f t="shared" si="10"/>
        <v>192.5</v>
      </c>
      <c r="U38" s="972">
        <f t="shared" si="11"/>
        <v>277.5</v>
      </c>
      <c r="V38" s="969">
        <v>213</v>
      </c>
      <c r="W38" s="969">
        <v>241</v>
      </c>
      <c r="X38" s="972">
        <f t="shared" si="12"/>
        <v>287.66666666666669</v>
      </c>
      <c r="Y38" s="956"/>
      <c r="Z38" s="956"/>
      <c r="AA38" s="956"/>
    </row>
    <row r="39" spans="1:34" s="106" customFormat="1" ht="12" customHeight="1">
      <c r="A39" s="2692">
        <v>35.5</v>
      </c>
      <c r="B39" s="2688"/>
      <c r="C39" s="969">
        <v>128</v>
      </c>
      <c r="D39" s="969">
        <v>135</v>
      </c>
      <c r="E39" s="969">
        <v>143</v>
      </c>
      <c r="F39" s="969">
        <v>151</v>
      </c>
      <c r="G39" s="969">
        <v>159</v>
      </c>
      <c r="H39" s="969">
        <v>143</v>
      </c>
      <c r="I39" s="969">
        <v>149</v>
      </c>
      <c r="J39" s="969">
        <v>156</v>
      </c>
      <c r="K39" s="969">
        <v>167</v>
      </c>
      <c r="L39" s="969">
        <v>176</v>
      </c>
      <c r="M39" s="972">
        <f t="shared" si="7"/>
        <v>161</v>
      </c>
      <c r="N39" s="969">
        <v>166</v>
      </c>
      <c r="O39" s="969">
        <v>176</v>
      </c>
      <c r="P39" s="969">
        <v>186</v>
      </c>
      <c r="Q39" s="969">
        <v>195</v>
      </c>
      <c r="R39" s="972">
        <f t="shared" si="8"/>
        <v>174.5</v>
      </c>
      <c r="S39" s="972">
        <f t="shared" si="9"/>
        <v>186</v>
      </c>
      <c r="T39" s="972">
        <f t="shared" si="10"/>
        <v>206</v>
      </c>
      <c r="U39" s="972">
        <f t="shared" si="11"/>
        <v>306</v>
      </c>
      <c r="V39" s="969">
        <v>224</v>
      </c>
      <c r="W39" s="969">
        <v>253</v>
      </c>
      <c r="X39" s="972">
        <f t="shared" si="12"/>
        <v>301.33333333333331</v>
      </c>
      <c r="Y39" s="956"/>
      <c r="Z39" s="956"/>
      <c r="AA39" s="956"/>
    </row>
    <row r="40" spans="1:34" s="106" customFormat="1" ht="12" customHeight="1">
      <c r="A40" s="2692">
        <v>38.5</v>
      </c>
      <c r="B40" s="2688"/>
      <c r="C40" s="969">
        <v>135</v>
      </c>
      <c r="D40" s="969">
        <v>142</v>
      </c>
      <c r="E40" s="969">
        <v>150</v>
      </c>
      <c r="F40" s="969">
        <v>159</v>
      </c>
      <c r="G40" s="969">
        <v>167</v>
      </c>
      <c r="H40" s="969">
        <v>150</v>
      </c>
      <c r="I40" s="969">
        <v>157</v>
      </c>
      <c r="J40" s="969">
        <v>167</v>
      </c>
      <c r="K40" s="969">
        <v>176</v>
      </c>
      <c r="L40" s="969">
        <v>185</v>
      </c>
      <c r="M40" s="972">
        <f t="shared" si="7"/>
        <v>170</v>
      </c>
      <c r="N40" s="969">
        <v>175</v>
      </c>
      <c r="O40" s="969">
        <v>185</v>
      </c>
      <c r="P40" s="969">
        <v>195</v>
      </c>
      <c r="Q40" s="969">
        <v>205</v>
      </c>
      <c r="R40" s="972">
        <f t="shared" si="8"/>
        <v>184</v>
      </c>
      <c r="S40" s="972">
        <f t="shared" si="9"/>
        <v>194</v>
      </c>
      <c r="T40" s="972">
        <f t="shared" si="10"/>
        <v>212</v>
      </c>
      <c r="U40" s="972">
        <f t="shared" si="11"/>
        <v>302</v>
      </c>
      <c r="V40" s="969">
        <v>235</v>
      </c>
      <c r="W40" s="969">
        <v>265</v>
      </c>
      <c r="X40" s="972">
        <f t="shared" si="12"/>
        <v>315</v>
      </c>
      <c r="Y40" s="956"/>
      <c r="Z40" s="956"/>
      <c r="AA40" s="956"/>
    </row>
    <row r="41" spans="1:34" s="106" customFormat="1" ht="12" customHeight="1">
      <c r="A41" s="2692">
        <v>41.5</v>
      </c>
      <c r="B41" s="2688"/>
      <c r="C41" s="969">
        <v>142</v>
      </c>
      <c r="D41" s="969">
        <v>149</v>
      </c>
      <c r="E41" s="969">
        <v>158</v>
      </c>
      <c r="F41" s="969">
        <v>167</v>
      </c>
      <c r="G41" s="969">
        <v>176</v>
      </c>
      <c r="H41" s="969">
        <v>158</v>
      </c>
      <c r="I41" s="969">
        <v>165</v>
      </c>
      <c r="J41" s="969">
        <v>175</v>
      </c>
      <c r="K41" s="969">
        <v>184</v>
      </c>
      <c r="L41" s="969">
        <v>194</v>
      </c>
      <c r="M41" s="972">
        <f t="shared" si="7"/>
        <v>179</v>
      </c>
      <c r="N41" s="978">
        <v>184</v>
      </c>
      <c r="O41" s="969">
        <v>194</v>
      </c>
      <c r="P41" s="969">
        <v>204</v>
      </c>
      <c r="Q41" s="969">
        <v>215</v>
      </c>
      <c r="R41" s="972">
        <f t="shared" si="8"/>
        <v>193.5</v>
      </c>
      <c r="S41" s="972">
        <f t="shared" si="9"/>
        <v>203.5</v>
      </c>
      <c r="T41" s="972">
        <f t="shared" si="10"/>
        <v>222.5</v>
      </c>
      <c r="U41" s="972">
        <f t="shared" si="11"/>
        <v>317.5</v>
      </c>
      <c r="V41" s="969">
        <v>246</v>
      </c>
      <c r="W41" s="969">
        <v>277</v>
      </c>
      <c r="X41" s="972">
        <f t="shared" si="12"/>
        <v>328.66666666666669</v>
      </c>
      <c r="Y41" s="956"/>
      <c r="Z41" s="956"/>
      <c r="AA41" s="956"/>
    </row>
    <row r="42" spans="1:34" s="106" customFormat="1" ht="12" customHeight="1">
      <c r="A42" s="2692">
        <v>44.5</v>
      </c>
      <c r="B42" s="2688"/>
      <c r="C42" s="989">
        <v>149</v>
      </c>
      <c r="D42" s="969">
        <v>156</v>
      </c>
      <c r="E42" s="969">
        <v>165</v>
      </c>
      <c r="F42" s="969">
        <v>175</v>
      </c>
      <c r="G42" s="969">
        <v>184</v>
      </c>
      <c r="H42" s="969">
        <v>166</v>
      </c>
      <c r="I42" s="969">
        <v>173</v>
      </c>
      <c r="J42" s="969">
        <v>188</v>
      </c>
      <c r="K42" s="969">
        <v>193</v>
      </c>
      <c r="L42" s="969">
        <v>203</v>
      </c>
      <c r="M42" s="972">
        <f t="shared" si="7"/>
        <v>186.5</v>
      </c>
      <c r="N42" s="969">
        <v>192</v>
      </c>
      <c r="O42" s="969">
        <v>203</v>
      </c>
      <c r="P42" s="969">
        <v>214</v>
      </c>
      <c r="Q42" s="969">
        <v>224</v>
      </c>
      <c r="R42" s="972">
        <f t="shared" si="8"/>
        <v>201.5</v>
      </c>
      <c r="S42" s="972">
        <f t="shared" si="9"/>
        <v>210.5</v>
      </c>
      <c r="T42" s="972">
        <f t="shared" si="10"/>
        <v>225.5</v>
      </c>
      <c r="U42" s="972">
        <f t="shared" si="11"/>
        <v>300.5</v>
      </c>
      <c r="V42" s="969">
        <v>257</v>
      </c>
      <c r="W42" s="969">
        <v>290</v>
      </c>
      <c r="X42" s="972">
        <f t="shared" si="12"/>
        <v>345</v>
      </c>
      <c r="Y42" s="956"/>
      <c r="Z42" s="956"/>
      <c r="AA42" s="956"/>
    </row>
    <row r="43" spans="1:34" s="106" customFormat="1" ht="12" customHeight="1">
      <c r="A43" s="2692">
        <v>47.5</v>
      </c>
      <c r="B43" s="2688"/>
      <c r="C43" s="969">
        <v>156</v>
      </c>
      <c r="D43" s="969">
        <v>164</v>
      </c>
      <c r="E43" s="969">
        <v>173</v>
      </c>
      <c r="F43" s="969">
        <v>182</v>
      </c>
      <c r="G43" s="969">
        <v>192</v>
      </c>
      <c r="H43" s="969">
        <v>173</v>
      </c>
      <c r="I43" s="969">
        <v>181</v>
      </c>
      <c r="J43" s="969">
        <v>191</v>
      </c>
      <c r="K43" s="969">
        <v>201</v>
      </c>
      <c r="L43" s="969">
        <v>212</v>
      </c>
      <c r="M43" s="972">
        <f t="shared" si="7"/>
        <v>195.5</v>
      </c>
      <c r="N43" s="969">
        <v>201</v>
      </c>
      <c r="O43" s="969">
        <v>212</v>
      </c>
      <c r="P43" s="969">
        <v>223</v>
      </c>
      <c r="Q43" s="969">
        <v>234</v>
      </c>
      <c r="R43" s="972">
        <f t="shared" si="8"/>
        <v>211</v>
      </c>
      <c r="S43" s="972">
        <f t="shared" si="9"/>
        <v>222.5</v>
      </c>
      <c r="T43" s="972">
        <f t="shared" si="10"/>
        <v>243.5</v>
      </c>
      <c r="U43" s="972">
        <f t="shared" si="11"/>
        <v>348.5</v>
      </c>
      <c r="V43" s="969">
        <v>268</v>
      </c>
      <c r="W43" s="969">
        <v>302</v>
      </c>
      <c r="X43" s="972">
        <f t="shared" si="12"/>
        <v>358.66666666666669</v>
      </c>
      <c r="Y43" s="956"/>
      <c r="Z43" s="956"/>
      <c r="AA43" s="956"/>
    </row>
    <row r="44" spans="1:34" s="106" customFormat="1" ht="12" customHeight="1">
      <c r="A44" s="2692">
        <v>50.5</v>
      </c>
      <c r="B44" s="2688"/>
      <c r="C44" s="969">
        <v>163</v>
      </c>
      <c r="D44" s="969">
        <v>171</v>
      </c>
      <c r="E44" s="969">
        <v>181</v>
      </c>
      <c r="F44" s="969">
        <v>190</v>
      </c>
      <c r="G44" s="969">
        <v>200</v>
      </c>
      <c r="H44" s="969">
        <v>181</v>
      </c>
      <c r="I44" s="969">
        <v>189</v>
      </c>
      <c r="J44" s="969">
        <v>200</v>
      </c>
      <c r="K44" s="969">
        <v>210</v>
      </c>
      <c r="L44" s="969">
        <v>221</v>
      </c>
      <c r="M44" s="972">
        <f t="shared" si="7"/>
        <v>209</v>
      </c>
      <c r="N44" s="978">
        <v>210</v>
      </c>
      <c r="O44" s="969">
        <v>212</v>
      </c>
      <c r="P44" s="969">
        <v>233</v>
      </c>
      <c r="Q44" s="969">
        <v>244</v>
      </c>
      <c r="R44" s="972">
        <f t="shared" si="8"/>
        <v>220.5</v>
      </c>
      <c r="S44" s="972">
        <f t="shared" si="9"/>
        <v>218</v>
      </c>
      <c r="T44" s="972">
        <f t="shared" si="10"/>
        <v>230</v>
      </c>
      <c r="U44" s="972">
        <f t="shared" si="11"/>
        <v>290</v>
      </c>
      <c r="V44" s="969">
        <v>279</v>
      </c>
      <c r="W44" s="969">
        <v>314</v>
      </c>
      <c r="X44" s="972">
        <f t="shared" si="12"/>
        <v>372.33333333333331</v>
      </c>
      <c r="Y44" s="956"/>
      <c r="Z44" s="956"/>
      <c r="AA44" s="956"/>
    </row>
    <row r="45" spans="1:34" s="106" customFormat="1" ht="12" customHeight="1">
      <c r="A45" s="2692">
        <v>53.5</v>
      </c>
      <c r="B45" s="2688"/>
      <c r="C45" s="969">
        <v>170</v>
      </c>
      <c r="D45" s="969">
        <v>178</v>
      </c>
      <c r="E45" s="969">
        <v>188</v>
      </c>
      <c r="F45" s="969">
        <v>196</v>
      </c>
      <c r="G45" s="969">
        <v>208</v>
      </c>
      <c r="H45" s="969">
        <v>189</v>
      </c>
      <c r="I45" s="969">
        <v>197</v>
      </c>
      <c r="J45" s="969">
        <v>208</v>
      </c>
      <c r="K45" s="969">
        <v>219</v>
      </c>
      <c r="L45" s="969">
        <v>222</v>
      </c>
      <c r="M45" s="972">
        <f t="shared" si="7"/>
        <v>213.5</v>
      </c>
      <c r="N45" s="969">
        <v>219</v>
      </c>
      <c r="O45" s="969">
        <v>230</v>
      </c>
      <c r="P45" s="969">
        <v>242</v>
      </c>
      <c r="Q45" s="969">
        <v>254</v>
      </c>
      <c r="R45" s="972">
        <f t="shared" si="8"/>
        <v>230</v>
      </c>
      <c r="S45" s="972">
        <f t="shared" si="9"/>
        <v>241</v>
      </c>
      <c r="T45" s="972">
        <f t="shared" si="10"/>
        <v>263</v>
      </c>
      <c r="U45" s="972">
        <f t="shared" si="11"/>
        <v>373</v>
      </c>
      <c r="V45" s="969">
        <v>290</v>
      </c>
      <c r="W45" s="969">
        <v>326</v>
      </c>
      <c r="X45" s="972">
        <f t="shared" si="12"/>
        <v>386</v>
      </c>
      <c r="Y45" s="956"/>
      <c r="Z45" s="956"/>
      <c r="AA45" s="956"/>
    </row>
    <row r="46" spans="1:34" s="106" customFormat="1" ht="12" customHeight="1">
      <c r="A46" s="2692">
        <v>56.5</v>
      </c>
      <c r="B46" s="2688"/>
      <c r="C46" s="969">
        <v>177</v>
      </c>
      <c r="D46" s="969">
        <v>185</v>
      </c>
      <c r="E46" s="969">
        <v>198</v>
      </c>
      <c r="F46" s="969">
        <v>206</v>
      </c>
      <c r="G46" s="969">
        <v>216</v>
      </c>
      <c r="H46" s="969">
        <v>197</v>
      </c>
      <c r="I46" s="969">
        <v>205</v>
      </c>
      <c r="J46" s="969">
        <v>216</v>
      </c>
      <c r="K46" s="969">
        <v>227</v>
      </c>
      <c r="L46" s="969">
        <v>236</v>
      </c>
      <c r="M46" s="972">
        <f t="shared" si="7"/>
        <v>221</v>
      </c>
      <c r="N46" s="969">
        <v>227</v>
      </c>
      <c r="O46" s="969">
        <v>239</v>
      </c>
      <c r="P46" s="969">
        <v>251</v>
      </c>
      <c r="Q46" s="969">
        <v>263</v>
      </c>
      <c r="R46" s="972">
        <f t="shared" si="8"/>
        <v>238</v>
      </c>
      <c r="S46" s="972">
        <f t="shared" si="9"/>
        <v>250.5</v>
      </c>
      <c r="T46" s="972">
        <f t="shared" si="10"/>
        <v>273.5</v>
      </c>
      <c r="U46" s="972">
        <f t="shared" si="11"/>
        <v>388.5</v>
      </c>
      <c r="V46" s="969">
        <v>301</v>
      </c>
      <c r="W46" s="969">
        <v>338</v>
      </c>
      <c r="X46" s="972">
        <f t="shared" si="12"/>
        <v>399.66666666666669</v>
      </c>
      <c r="Y46" s="956"/>
      <c r="Z46" s="956"/>
      <c r="AA46" s="956"/>
    </row>
    <row r="47" spans="1:34" s="106" customFormat="1" ht="12" customHeight="1">
      <c r="A47" s="2692">
        <v>59.5</v>
      </c>
      <c r="B47" s="2688"/>
      <c r="C47" s="969">
        <v>184</v>
      </c>
      <c r="D47" s="969">
        <v>192</v>
      </c>
      <c r="E47" s="969">
        <v>203</v>
      </c>
      <c r="F47" s="969">
        <v>214</v>
      </c>
      <c r="G47" s="969">
        <v>225</v>
      </c>
      <c r="H47" s="969">
        <v>204</v>
      </c>
      <c r="I47" s="969">
        <v>213</v>
      </c>
      <c r="J47" s="969">
        <v>224</v>
      </c>
      <c r="K47" s="969">
        <v>236</v>
      </c>
      <c r="L47" s="969">
        <v>247</v>
      </c>
      <c r="M47" s="972">
        <f t="shared" si="7"/>
        <v>230</v>
      </c>
      <c r="N47" s="978">
        <v>236</v>
      </c>
      <c r="O47" s="969">
        <v>248</v>
      </c>
      <c r="P47" s="969">
        <v>261</v>
      </c>
      <c r="Q47" s="969">
        <v>273</v>
      </c>
      <c r="R47" s="972">
        <f t="shared" si="8"/>
        <v>247.5</v>
      </c>
      <c r="S47" s="972">
        <f t="shared" si="9"/>
        <v>260</v>
      </c>
      <c r="T47" s="972">
        <f t="shared" si="10"/>
        <v>284</v>
      </c>
      <c r="U47" s="972">
        <f t="shared" si="11"/>
        <v>404</v>
      </c>
      <c r="V47" s="969">
        <v>312</v>
      </c>
      <c r="W47" s="969">
        <v>350</v>
      </c>
      <c r="X47" s="972">
        <f t="shared" si="12"/>
        <v>413.33333333333331</v>
      </c>
      <c r="Y47" s="956"/>
      <c r="Z47" s="956"/>
      <c r="AA47" s="956"/>
    </row>
    <row r="48" spans="1:34" s="106" customFormat="1" ht="12" customHeight="1">
      <c r="A48" s="2692">
        <v>62.5</v>
      </c>
      <c r="B48" s="2688"/>
      <c r="C48" s="969">
        <v>191</v>
      </c>
      <c r="D48" s="969">
        <v>200</v>
      </c>
      <c r="E48" s="969">
        <v>211</v>
      </c>
      <c r="F48" s="969">
        <v>222</v>
      </c>
      <c r="G48" s="969">
        <v>233</v>
      </c>
      <c r="H48" s="969">
        <v>212</v>
      </c>
      <c r="I48" s="969">
        <v>221</v>
      </c>
      <c r="J48" s="969">
        <v>233</v>
      </c>
      <c r="K48" s="969">
        <v>244</v>
      </c>
      <c r="L48" s="969">
        <v>256</v>
      </c>
      <c r="M48" s="972">
        <f t="shared" si="7"/>
        <v>238.5</v>
      </c>
      <c r="N48" s="969">
        <v>245</v>
      </c>
      <c r="O48" s="969">
        <v>258</v>
      </c>
      <c r="P48" s="969">
        <v>270</v>
      </c>
      <c r="Q48" s="969">
        <v>283</v>
      </c>
      <c r="R48" s="972">
        <f t="shared" si="8"/>
        <v>257</v>
      </c>
      <c r="S48" s="972">
        <f t="shared" si="9"/>
        <v>270.5</v>
      </c>
      <c r="T48" s="972">
        <f t="shared" si="10"/>
        <v>295.5</v>
      </c>
      <c r="U48" s="972">
        <f t="shared" si="11"/>
        <v>420.5</v>
      </c>
      <c r="V48" s="969">
        <v>323</v>
      </c>
      <c r="W48" s="969">
        <v>363</v>
      </c>
      <c r="X48" s="972">
        <f t="shared" si="12"/>
        <v>429.66666666666669</v>
      </c>
      <c r="Y48" s="956"/>
      <c r="Z48" s="956"/>
      <c r="AA48" s="956"/>
    </row>
    <row r="49" spans="1:27" s="106" customFormat="1" ht="12" customHeight="1">
      <c r="A49" s="2695">
        <v>65.5</v>
      </c>
      <c r="B49" s="2695"/>
      <c r="C49" s="979">
        <v>198</v>
      </c>
      <c r="D49" s="979">
        <v>207</v>
      </c>
      <c r="E49" s="979">
        <v>218</v>
      </c>
      <c r="F49" s="979">
        <v>230</v>
      </c>
      <c r="G49" s="979">
        <v>241</v>
      </c>
      <c r="H49" s="979">
        <v>220</v>
      </c>
      <c r="I49" s="979">
        <v>229</v>
      </c>
      <c r="J49" s="979">
        <v>241</v>
      </c>
      <c r="K49" s="979">
        <v>253</v>
      </c>
      <c r="L49" s="969">
        <v>265</v>
      </c>
      <c r="M49" s="972">
        <f t="shared" si="7"/>
        <v>247.5</v>
      </c>
      <c r="N49" s="969">
        <v>254</v>
      </c>
      <c r="O49" s="969">
        <v>267</v>
      </c>
      <c r="P49" s="969">
        <v>279</v>
      </c>
      <c r="Q49" s="969">
        <v>292</v>
      </c>
      <c r="R49" s="972">
        <f t="shared" si="8"/>
        <v>266.5</v>
      </c>
      <c r="S49" s="972">
        <f t="shared" si="9"/>
        <v>280</v>
      </c>
      <c r="T49" s="972">
        <f t="shared" si="10"/>
        <v>306</v>
      </c>
      <c r="U49" s="972">
        <f t="shared" si="11"/>
        <v>436</v>
      </c>
      <c r="V49" s="969">
        <v>334</v>
      </c>
      <c r="W49" s="969">
        <v>375</v>
      </c>
      <c r="X49" s="972">
        <f t="shared" si="12"/>
        <v>443.33333333333331</v>
      </c>
      <c r="Y49" s="956"/>
      <c r="Z49" s="956"/>
      <c r="AA49" s="956"/>
    </row>
    <row r="50" spans="1:27" s="106" customFormat="1" ht="12" customHeight="1">
      <c r="A50" s="2691">
        <v>68.5</v>
      </c>
      <c r="B50" s="2691"/>
      <c r="C50" s="986">
        <f t="shared" ref="C50:T50" si="13">(C48-C49)*($A$50-$A$49)/($A$48-$A$49)+C49</f>
        <v>205</v>
      </c>
      <c r="D50" s="986">
        <f t="shared" si="13"/>
        <v>214</v>
      </c>
      <c r="E50" s="986">
        <f t="shared" si="13"/>
        <v>225</v>
      </c>
      <c r="F50" s="986">
        <f t="shared" si="13"/>
        <v>238</v>
      </c>
      <c r="G50" s="986">
        <f t="shared" si="13"/>
        <v>249</v>
      </c>
      <c r="H50" s="986">
        <f t="shared" si="13"/>
        <v>228</v>
      </c>
      <c r="I50" s="986">
        <f t="shared" si="13"/>
        <v>237</v>
      </c>
      <c r="J50" s="986">
        <f t="shared" si="13"/>
        <v>249</v>
      </c>
      <c r="K50" s="986">
        <f t="shared" si="13"/>
        <v>262</v>
      </c>
      <c r="L50" s="987">
        <f t="shared" si="13"/>
        <v>274</v>
      </c>
      <c r="M50" s="987">
        <f t="shared" si="13"/>
        <v>256.5</v>
      </c>
      <c r="N50" s="987">
        <f t="shared" si="13"/>
        <v>263</v>
      </c>
      <c r="O50" s="987">
        <f t="shared" si="13"/>
        <v>276</v>
      </c>
      <c r="P50" s="987">
        <f t="shared" si="13"/>
        <v>288</v>
      </c>
      <c r="Q50" s="987">
        <f t="shared" si="13"/>
        <v>301</v>
      </c>
      <c r="R50" s="987">
        <f t="shared" si="13"/>
        <v>276</v>
      </c>
      <c r="S50" s="987">
        <f t="shared" si="13"/>
        <v>289.5</v>
      </c>
      <c r="T50" s="987">
        <f t="shared" si="13"/>
        <v>316.5</v>
      </c>
      <c r="U50" s="987">
        <f t="shared" si="11"/>
        <v>451.5</v>
      </c>
      <c r="V50" s="987">
        <f>(V48-V49)*($A$50-$A$49)/($A$48-$A$49)+V49</f>
        <v>345</v>
      </c>
      <c r="W50" s="987">
        <f>(W48-W49)*($A$50-$A$49)/($A$48-$A$49)+W49</f>
        <v>387</v>
      </c>
      <c r="X50" s="987">
        <f>(X48-X49)*($A$50-$A$49)/($A$48-$A$49)+X49</f>
        <v>456.99999999999994</v>
      </c>
      <c r="Y50" s="956"/>
      <c r="Z50" s="956"/>
      <c r="AA50" s="956"/>
    </row>
    <row r="51" spans="1:27" s="106" customFormat="1" ht="12" customHeight="1">
      <c r="A51" s="2691">
        <v>71.5</v>
      </c>
      <c r="B51" s="2691"/>
      <c r="C51" s="986">
        <f t="shared" ref="C51:T51" si="14">(C49-C50)*($A$51-$A$50)/($A$49-$A$50)+C50</f>
        <v>212</v>
      </c>
      <c r="D51" s="986">
        <f t="shared" si="14"/>
        <v>221</v>
      </c>
      <c r="E51" s="986">
        <f t="shared" si="14"/>
        <v>232</v>
      </c>
      <c r="F51" s="986">
        <f t="shared" si="14"/>
        <v>246</v>
      </c>
      <c r="G51" s="986">
        <f t="shared" si="14"/>
        <v>257</v>
      </c>
      <c r="H51" s="986">
        <f t="shared" si="14"/>
        <v>236</v>
      </c>
      <c r="I51" s="986">
        <f t="shared" si="14"/>
        <v>245</v>
      </c>
      <c r="J51" s="986">
        <f t="shared" si="14"/>
        <v>257</v>
      </c>
      <c r="K51" s="986">
        <f t="shared" si="14"/>
        <v>271</v>
      </c>
      <c r="L51" s="987">
        <f t="shared" si="14"/>
        <v>283</v>
      </c>
      <c r="M51" s="987">
        <f t="shared" si="14"/>
        <v>265.5</v>
      </c>
      <c r="N51" s="987">
        <f t="shared" si="14"/>
        <v>272</v>
      </c>
      <c r="O51" s="987">
        <f t="shared" si="14"/>
        <v>285</v>
      </c>
      <c r="P51" s="987">
        <f t="shared" si="14"/>
        <v>297</v>
      </c>
      <c r="Q51" s="987">
        <f t="shared" si="14"/>
        <v>310</v>
      </c>
      <c r="R51" s="987">
        <f t="shared" si="14"/>
        <v>285.5</v>
      </c>
      <c r="S51" s="987">
        <f t="shared" si="14"/>
        <v>299</v>
      </c>
      <c r="T51" s="987">
        <f t="shared" si="14"/>
        <v>327</v>
      </c>
      <c r="U51" s="987">
        <f t="shared" si="11"/>
        <v>467</v>
      </c>
      <c r="V51" s="987">
        <f>(V49-V50)*($A$51-$A$50)/($A$49-$A$50)+V50</f>
        <v>356</v>
      </c>
      <c r="W51" s="987">
        <f>(W49-W50)*($A$51-$A$50)/($A$49-$A$50)+W50</f>
        <v>399</v>
      </c>
      <c r="X51" s="987">
        <f>(X49-X50)*($A$51-$A$50)/($A$49-$A$50)+X50</f>
        <v>470.66666666666657</v>
      </c>
      <c r="Y51" s="956"/>
      <c r="Z51" s="956"/>
      <c r="AA51" s="956"/>
    </row>
    <row r="52" spans="1:27" s="106" customFormat="1" ht="12" customHeight="1">
      <c r="A52" s="955"/>
      <c r="B52" s="955"/>
      <c r="C52" s="955"/>
      <c r="D52" s="955"/>
      <c r="E52" s="955"/>
      <c r="F52" s="955"/>
      <c r="G52" s="955"/>
      <c r="H52" s="955"/>
      <c r="I52" s="955"/>
      <c r="J52" s="955"/>
      <c r="K52" s="955"/>
      <c r="L52" s="955"/>
      <c r="M52" s="955"/>
      <c r="N52" s="956"/>
      <c r="O52" s="956"/>
      <c r="P52" s="956"/>
      <c r="Q52" s="956"/>
      <c r="R52" s="956"/>
      <c r="S52" s="956"/>
      <c r="T52" s="956"/>
      <c r="U52" s="956"/>
      <c r="V52" s="956"/>
      <c r="W52" s="956"/>
      <c r="X52" s="956"/>
      <c r="Y52" s="956"/>
      <c r="Z52" s="956"/>
      <c r="AA52" s="956"/>
    </row>
    <row r="53" spans="1:27" s="106" customFormat="1">
      <c r="A53" s="955"/>
      <c r="B53" s="955"/>
      <c r="C53" s="955"/>
      <c r="D53" s="955"/>
      <c r="E53" s="955"/>
      <c r="F53" s="955"/>
      <c r="G53" s="955"/>
      <c r="H53" s="955"/>
      <c r="I53" s="955"/>
      <c r="J53" s="955"/>
      <c r="K53" s="955"/>
      <c r="L53" s="955"/>
      <c r="M53" s="955"/>
      <c r="N53" s="956"/>
      <c r="O53" s="956"/>
      <c r="P53" s="956"/>
      <c r="Q53" s="956"/>
      <c r="R53" s="956"/>
      <c r="S53" s="956"/>
      <c r="T53" s="956"/>
      <c r="U53" s="956"/>
      <c r="V53" s="956"/>
      <c r="W53" s="956"/>
      <c r="X53" s="956"/>
      <c r="Y53" s="956"/>
      <c r="Z53" s="956"/>
      <c r="AA53" s="956"/>
    </row>
    <row r="54" spans="1:27" s="106" customFormat="1">
      <c r="A54" s="955"/>
      <c r="B54" s="955"/>
      <c r="L54" s="955"/>
      <c r="M54" s="955"/>
      <c r="N54" s="956"/>
      <c r="O54" s="956"/>
      <c r="P54" s="956"/>
      <c r="Q54" s="956"/>
      <c r="R54" s="956"/>
      <c r="S54" s="956"/>
      <c r="T54" s="956"/>
      <c r="U54" s="956"/>
      <c r="V54" s="956"/>
      <c r="W54" s="956"/>
      <c r="X54" s="956"/>
      <c r="Y54" s="956"/>
      <c r="Z54" s="956"/>
      <c r="AA54" s="956"/>
    </row>
    <row r="55" spans="1:27" s="106" customFormat="1">
      <c r="A55" s="955"/>
      <c r="B55" s="955"/>
      <c r="L55" s="955"/>
      <c r="M55" s="955"/>
      <c r="N55" s="956"/>
      <c r="O55" s="956"/>
      <c r="P55" s="956"/>
      <c r="Q55" s="956"/>
      <c r="R55" s="956"/>
      <c r="S55" s="956"/>
      <c r="T55" s="956"/>
      <c r="U55" s="956"/>
      <c r="V55" s="956"/>
      <c r="W55" s="956"/>
      <c r="X55" s="956"/>
      <c r="Y55" s="956"/>
      <c r="Z55" s="956"/>
      <c r="AA55" s="956"/>
    </row>
    <row r="56" spans="1:27" s="106" customFormat="1">
      <c r="A56" s="955"/>
      <c r="B56" s="955"/>
      <c r="L56" s="955"/>
      <c r="M56" s="955"/>
      <c r="N56" s="956"/>
      <c r="O56" s="956"/>
      <c r="P56" s="956"/>
      <c r="Q56" s="956"/>
      <c r="R56" s="956"/>
      <c r="S56" s="956"/>
      <c r="T56" s="956"/>
      <c r="U56" s="956"/>
      <c r="V56" s="956"/>
      <c r="W56" s="956"/>
      <c r="X56" s="956"/>
      <c r="Y56" s="956"/>
      <c r="Z56" s="956"/>
      <c r="AA56" s="956"/>
    </row>
    <row r="57" spans="1:27" s="106" customFormat="1">
      <c r="A57" s="955"/>
      <c r="B57" s="955"/>
      <c r="L57" s="955"/>
      <c r="M57" s="955"/>
      <c r="N57" s="956"/>
      <c r="O57" s="956"/>
      <c r="P57" s="956"/>
      <c r="Q57" s="956"/>
      <c r="R57" s="956"/>
      <c r="S57" s="956"/>
      <c r="T57" s="956"/>
      <c r="U57" s="956"/>
      <c r="V57" s="956"/>
      <c r="W57" s="956"/>
      <c r="X57" s="956"/>
      <c r="Y57" s="956"/>
      <c r="Z57" s="956"/>
      <c r="AA57" s="956"/>
    </row>
    <row r="58" spans="1:27" s="106" customFormat="1">
      <c r="A58" s="955"/>
      <c r="B58" s="955"/>
      <c r="C58" s="955"/>
      <c r="D58" s="955"/>
      <c r="E58" s="955"/>
      <c r="F58" s="955"/>
      <c r="G58" s="955"/>
      <c r="H58" s="955"/>
      <c r="I58" s="955"/>
      <c r="J58" s="955"/>
      <c r="K58" s="955"/>
      <c r="L58" s="955"/>
      <c r="M58" s="955"/>
      <c r="N58" s="956"/>
      <c r="O58" s="956"/>
      <c r="P58" s="956"/>
      <c r="Q58" s="956"/>
      <c r="R58" s="956"/>
      <c r="S58" s="956"/>
      <c r="T58" s="956"/>
      <c r="U58" s="956"/>
      <c r="V58" s="956"/>
      <c r="W58" s="956"/>
      <c r="X58" s="956"/>
      <c r="Y58" s="956"/>
      <c r="Z58" s="956"/>
      <c r="AA58" s="956"/>
    </row>
    <row r="59" spans="1:27" s="106" customFormat="1">
      <c r="A59" s="955"/>
      <c r="B59" s="955"/>
      <c r="C59" s="955"/>
      <c r="D59" s="955"/>
      <c r="E59" s="955"/>
      <c r="F59" s="955"/>
      <c r="G59" s="955"/>
      <c r="H59" s="955"/>
      <c r="I59" s="955"/>
      <c r="J59" s="955"/>
      <c r="K59" s="955"/>
      <c r="L59" s="955"/>
      <c r="M59" s="955"/>
      <c r="N59" s="956"/>
      <c r="O59" s="956"/>
      <c r="P59" s="956"/>
      <c r="Q59" s="956"/>
      <c r="R59" s="956"/>
      <c r="S59" s="956"/>
      <c r="T59" s="956"/>
      <c r="U59" s="956"/>
      <c r="V59" s="956"/>
      <c r="W59" s="956"/>
      <c r="X59" s="956"/>
      <c r="Y59" s="956"/>
      <c r="Z59" s="956"/>
      <c r="AA59" s="956"/>
    </row>
    <row r="60" spans="1:27" s="106" customFormat="1">
      <c r="A60" s="955"/>
      <c r="B60" s="955"/>
      <c r="C60" s="955"/>
      <c r="D60" s="955"/>
      <c r="E60" s="955"/>
      <c r="F60" s="955"/>
      <c r="G60" s="955"/>
      <c r="H60" s="955"/>
      <c r="I60" s="955"/>
      <c r="J60" s="955"/>
      <c r="K60" s="955"/>
      <c r="L60" s="955"/>
      <c r="M60" s="955"/>
      <c r="N60" s="956"/>
      <c r="O60" s="956"/>
      <c r="P60" s="956"/>
      <c r="Q60" s="956"/>
      <c r="R60" s="956"/>
      <c r="S60" s="956"/>
      <c r="T60" s="956"/>
      <c r="U60" s="956"/>
      <c r="V60" s="956"/>
      <c r="W60" s="956"/>
      <c r="X60" s="956"/>
      <c r="Y60" s="956"/>
      <c r="Z60" s="956"/>
      <c r="AA60" s="956"/>
    </row>
    <row r="61" spans="1:27" s="106" customFormat="1">
      <c r="A61" s="955"/>
      <c r="B61" s="955"/>
      <c r="C61" s="955"/>
      <c r="D61" s="955"/>
      <c r="E61" s="955"/>
      <c r="F61" s="955"/>
      <c r="G61" s="955"/>
      <c r="H61" s="955"/>
      <c r="I61" s="955"/>
      <c r="J61" s="955"/>
      <c r="K61" s="955"/>
      <c r="L61" s="955"/>
      <c r="M61" s="955"/>
      <c r="N61" s="956"/>
      <c r="O61" s="956"/>
      <c r="P61" s="956"/>
      <c r="Q61" s="956"/>
      <c r="R61" s="956"/>
      <c r="S61" s="956"/>
      <c r="T61" s="956"/>
      <c r="U61" s="956"/>
      <c r="V61" s="956"/>
      <c r="W61" s="956"/>
      <c r="X61" s="956"/>
      <c r="Y61" s="956"/>
      <c r="Z61" s="956"/>
      <c r="AA61" s="956"/>
    </row>
    <row r="62" spans="1:27" s="106" customFormat="1">
      <c r="A62" s="955"/>
      <c r="B62" s="955"/>
      <c r="C62" s="955"/>
      <c r="D62" s="955"/>
      <c r="E62" s="955"/>
      <c r="F62" s="955"/>
      <c r="G62" s="955"/>
      <c r="H62" s="955"/>
      <c r="I62" s="955"/>
      <c r="J62" s="955"/>
      <c r="K62" s="955"/>
      <c r="L62" s="955"/>
      <c r="M62" s="955"/>
      <c r="N62" s="956"/>
      <c r="O62" s="956"/>
      <c r="P62" s="956"/>
      <c r="Q62" s="956"/>
      <c r="R62" s="956"/>
      <c r="S62" s="956"/>
      <c r="T62" s="956"/>
      <c r="U62" s="956"/>
      <c r="V62" s="956"/>
      <c r="W62" s="956"/>
      <c r="X62" s="956"/>
      <c r="Y62" s="956"/>
      <c r="Z62" s="956"/>
      <c r="AA62" s="956"/>
    </row>
    <row r="63" spans="1:27" s="106" customFormat="1">
      <c r="A63" s="955"/>
      <c r="B63" s="955"/>
      <c r="C63" s="955"/>
      <c r="D63" s="955"/>
      <c r="E63" s="955"/>
      <c r="F63" s="955"/>
      <c r="G63" s="955"/>
      <c r="H63" s="955"/>
      <c r="I63" s="955"/>
      <c r="J63" s="955"/>
      <c r="K63" s="955"/>
      <c r="L63" s="955"/>
      <c r="M63" s="955"/>
      <c r="N63" s="956"/>
      <c r="O63" s="956"/>
      <c r="P63" s="956"/>
      <c r="Q63" s="956"/>
      <c r="R63" s="956"/>
      <c r="S63" s="956"/>
      <c r="T63" s="956"/>
      <c r="U63" s="956"/>
      <c r="V63" s="956"/>
      <c r="W63" s="956"/>
      <c r="X63" s="956"/>
      <c r="Y63" s="956"/>
      <c r="Z63" s="956"/>
      <c r="AA63" s="956"/>
    </row>
    <row r="64" spans="1:27" s="106" customFormat="1">
      <c r="A64" s="955"/>
      <c r="B64" s="955"/>
      <c r="C64" s="955"/>
      <c r="D64" s="955"/>
      <c r="E64" s="955"/>
      <c r="F64" s="955"/>
      <c r="G64" s="955"/>
      <c r="H64" s="955"/>
      <c r="I64" s="955"/>
      <c r="J64" s="955"/>
      <c r="K64" s="955"/>
      <c r="L64" s="955"/>
      <c r="M64" s="955"/>
      <c r="N64" s="956"/>
      <c r="O64" s="956"/>
      <c r="P64" s="956"/>
      <c r="Q64" s="956"/>
      <c r="R64" s="956"/>
      <c r="S64" s="956"/>
      <c r="T64" s="956"/>
      <c r="U64" s="956"/>
      <c r="V64" s="956"/>
      <c r="W64" s="956"/>
      <c r="X64" s="956"/>
      <c r="Y64" s="956"/>
      <c r="Z64" s="956"/>
      <c r="AA64" s="956"/>
    </row>
    <row r="65" spans="1:27" s="106" customFormat="1">
      <c r="A65" s="955"/>
      <c r="B65" s="955"/>
      <c r="C65" s="955"/>
      <c r="D65" s="955"/>
      <c r="E65" s="955"/>
      <c r="F65" s="955"/>
      <c r="G65" s="955"/>
      <c r="H65" s="955"/>
      <c r="I65" s="955"/>
      <c r="J65" s="955"/>
      <c r="K65" s="955"/>
      <c r="L65" s="955"/>
      <c r="M65" s="955"/>
      <c r="N65" s="956"/>
      <c r="O65" s="956"/>
      <c r="P65" s="956"/>
      <c r="Q65" s="956"/>
      <c r="R65" s="956"/>
      <c r="S65" s="956"/>
      <c r="T65" s="956"/>
      <c r="U65" s="956"/>
      <c r="V65" s="956"/>
      <c r="W65" s="956"/>
      <c r="X65" s="956"/>
      <c r="Y65" s="956"/>
      <c r="Z65" s="956"/>
      <c r="AA65" s="956"/>
    </row>
    <row r="66" spans="1:27" s="106" customFormat="1">
      <c r="A66" s="955"/>
      <c r="B66" s="955"/>
      <c r="C66" s="955"/>
      <c r="D66" s="955"/>
      <c r="E66" s="955"/>
      <c r="F66" s="955"/>
      <c r="G66" s="955"/>
      <c r="H66" s="955"/>
      <c r="I66" s="955"/>
      <c r="J66" s="955"/>
      <c r="K66" s="955"/>
      <c r="L66" s="955"/>
      <c r="M66" s="955"/>
      <c r="N66" s="956"/>
      <c r="O66" s="956"/>
      <c r="P66" s="956"/>
      <c r="Q66" s="956"/>
      <c r="R66" s="956"/>
      <c r="S66" s="956"/>
      <c r="T66" s="956"/>
      <c r="U66" s="956"/>
      <c r="V66" s="956"/>
      <c r="W66" s="956"/>
      <c r="X66" s="956"/>
      <c r="Y66" s="956"/>
      <c r="Z66" s="956"/>
      <c r="AA66" s="956"/>
    </row>
    <row r="67" spans="1:27" s="106" customFormat="1">
      <c r="A67" s="955"/>
      <c r="B67" s="955"/>
      <c r="C67" s="955"/>
      <c r="D67" s="955"/>
      <c r="E67" s="955"/>
      <c r="F67" s="955"/>
      <c r="G67" s="955"/>
      <c r="H67" s="955"/>
      <c r="I67" s="955"/>
      <c r="J67" s="955"/>
      <c r="K67" s="955"/>
      <c r="L67" s="955"/>
      <c r="M67" s="955"/>
      <c r="N67" s="956"/>
      <c r="O67" s="956"/>
      <c r="P67" s="956"/>
      <c r="Q67" s="956"/>
      <c r="R67" s="956"/>
      <c r="S67" s="956"/>
      <c r="T67" s="956"/>
      <c r="U67" s="956"/>
      <c r="V67" s="956"/>
      <c r="W67" s="956"/>
      <c r="X67" s="956"/>
      <c r="Y67" s="956"/>
      <c r="Z67" s="956"/>
      <c r="AA67" s="956"/>
    </row>
    <row r="68" spans="1:27" s="106" customFormat="1">
      <c r="A68" s="128"/>
      <c r="B68" s="128"/>
      <c r="C68" s="128"/>
      <c r="D68" s="128"/>
      <c r="E68" s="128"/>
      <c r="F68" s="128"/>
      <c r="G68" s="128"/>
      <c r="H68" s="128"/>
      <c r="I68" s="128"/>
      <c r="J68" s="128"/>
      <c r="K68" s="128"/>
      <c r="L68" s="128"/>
      <c r="M68" s="128"/>
    </row>
    <row r="69" spans="1:27" s="106" customFormat="1">
      <c r="A69" s="128"/>
      <c r="B69" s="128"/>
      <c r="C69" s="128"/>
      <c r="D69" s="128"/>
      <c r="E69" s="128"/>
      <c r="F69" s="128"/>
      <c r="G69" s="128"/>
      <c r="H69" s="128"/>
      <c r="I69" s="128"/>
      <c r="J69" s="128"/>
      <c r="K69" s="128"/>
      <c r="L69" s="128"/>
      <c r="M69" s="128"/>
    </row>
    <row r="70" spans="1:27" s="106" customFormat="1">
      <c r="A70" s="128"/>
      <c r="B70" s="128"/>
      <c r="C70" s="128"/>
      <c r="D70" s="128"/>
      <c r="E70" s="128"/>
      <c r="F70" s="128"/>
      <c r="G70" s="128"/>
      <c r="H70" s="128"/>
      <c r="I70" s="128"/>
      <c r="J70" s="128"/>
      <c r="K70" s="128"/>
      <c r="L70" s="128"/>
      <c r="M70" s="128"/>
    </row>
    <row r="71" spans="1:27" s="106" customFormat="1">
      <c r="A71" s="128"/>
      <c r="B71" s="128"/>
      <c r="C71" s="128"/>
      <c r="D71" s="128"/>
      <c r="E71" s="128"/>
      <c r="F71" s="128"/>
      <c r="G71" s="128"/>
      <c r="H71" s="128"/>
      <c r="I71" s="128"/>
      <c r="J71" s="128"/>
      <c r="K71" s="128"/>
      <c r="L71" s="128"/>
      <c r="M71" s="128"/>
    </row>
    <row r="72" spans="1:27" s="106" customFormat="1">
      <c r="A72" s="128"/>
      <c r="B72" s="128"/>
      <c r="C72" s="128"/>
      <c r="D72" s="128"/>
      <c r="E72" s="128"/>
      <c r="F72" s="128"/>
      <c r="G72" s="128"/>
      <c r="H72" s="128"/>
      <c r="I72" s="128"/>
      <c r="J72" s="128"/>
      <c r="K72" s="128"/>
      <c r="L72" s="128"/>
      <c r="M72" s="128"/>
    </row>
    <row r="73" spans="1:27" s="106" customFormat="1">
      <c r="A73" s="128"/>
      <c r="B73" s="128"/>
      <c r="C73" s="128"/>
      <c r="D73" s="128"/>
      <c r="E73" s="128"/>
      <c r="F73" s="128"/>
      <c r="G73" s="128"/>
      <c r="H73" s="128"/>
      <c r="I73" s="128"/>
      <c r="J73" s="128"/>
      <c r="K73" s="128"/>
      <c r="L73" s="128"/>
      <c r="M73" s="128"/>
    </row>
    <row r="74" spans="1:27" s="106" customFormat="1">
      <c r="A74" s="128"/>
      <c r="B74" s="128"/>
      <c r="C74" s="128"/>
      <c r="D74" s="128"/>
      <c r="E74" s="128"/>
      <c r="F74" s="128"/>
      <c r="G74" s="128"/>
      <c r="H74" s="128"/>
      <c r="I74" s="128"/>
      <c r="J74" s="128"/>
      <c r="K74" s="128"/>
      <c r="L74" s="128"/>
      <c r="M74" s="128"/>
    </row>
    <row r="75" spans="1:27" s="106" customFormat="1">
      <c r="A75" s="128"/>
      <c r="B75" s="128"/>
      <c r="C75" s="128"/>
      <c r="D75" s="128"/>
      <c r="E75" s="128"/>
      <c r="F75" s="128"/>
      <c r="G75" s="128"/>
      <c r="H75" s="128"/>
      <c r="I75" s="128"/>
      <c r="J75" s="128"/>
      <c r="K75" s="128"/>
      <c r="L75" s="128"/>
      <c r="M75" s="128"/>
    </row>
    <row r="76" spans="1:27" s="106" customFormat="1">
      <c r="A76" s="128"/>
      <c r="B76" s="128"/>
      <c r="C76" s="128"/>
      <c r="D76" s="128"/>
      <c r="E76" s="128"/>
      <c r="F76" s="128"/>
      <c r="G76" s="128"/>
      <c r="H76" s="128"/>
      <c r="I76" s="128"/>
      <c r="J76" s="128"/>
      <c r="K76" s="128"/>
      <c r="L76" s="128"/>
      <c r="M76" s="128"/>
    </row>
    <row r="77" spans="1:27" s="106" customFormat="1">
      <c r="A77" s="128"/>
      <c r="B77" s="128"/>
      <c r="C77" s="128"/>
      <c r="D77" s="128"/>
      <c r="E77" s="128"/>
      <c r="F77" s="128"/>
      <c r="G77" s="128"/>
      <c r="H77" s="128"/>
      <c r="I77" s="128"/>
      <c r="J77" s="128"/>
      <c r="K77" s="128"/>
      <c r="L77" s="128"/>
      <c r="M77" s="128"/>
    </row>
    <row r="78" spans="1:27" s="106" customFormat="1">
      <c r="A78" s="128"/>
      <c r="B78" s="128"/>
      <c r="C78" s="128"/>
      <c r="D78" s="128"/>
      <c r="E78" s="128"/>
      <c r="F78" s="128"/>
      <c r="G78" s="128"/>
      <c r="H78" s="128"/>
      <c r="I78" s="128"/>
      <c r="J78" s="128"/>
      <c r="K78" s="128"/>
      <c r="L78" s="128"/>
      <c r="M78" s="128"/>
    </row>
    <row r="79" spans="1:27" s="106" customFormat="1">
      <c r="A79" s="128"/>
      <c r="B79" s="128"/>
      <c r="C79" s="128"/>
      <c r="D79" s="128"/>
      <c r="E79" s="128"/>
      <c r="F79" s="128"/>
      <c r="G79" s="128"/>
      <c r="H79" s="128"/>
      <c r="I79" s="128"/>
      <c r="J79" s="128"/>
      <c r="K79" s="128"/>
      <c r="L79" s="128"/>
      <c r="M79" s="128"/>
    </row>
    <row r="80" spans="1:27" s="106" customFormat="1">
      <c r="A80" s="128"/>
      <c r="B80" s="128"/>
      <c r="C80" s="128"/>
      <c r="D80" s="128"/>
      <c r="E80" s="128"/>
      <c r="F80" s="128"/>
      <c r="G80" s="128"/>
      <c r="H80" s="128"/>
      <c r="I80" s="128"/>
      <c r="J80" s="128"/>
      <c r="K80" s="128"/>
      <c r="L80" s="128"/>
      <c r="M80" s="128"/>
    </row>
    <row r="81" spans="1:13" s="106" customFormat="1">
      <c r="A81" s="128"/>
      <c r="B81" s="128"/>
      <c r="C81" s="128"/>
      <c r="D81" s="128"/>
      <c r="E81" s="128"/>
      <c r="F81" s="128"/>
      <c r="G81" s="128"/>
      <c r="H81" s="128"/>
      <c r="I81" s="128"/>
      <c r="J81" s="128"/>
      <c r="K81" s="128"/>
      <c r="L81" s="128"/>
      <c r="M81" s="128"/>
    </row>
    <row r="82" spans="1:13" s="106" customFormat="1">
      <c r="A82" s="128"/>
      <c r="B82" s="128"/>
      <c r="C82" s="128"/>
      <c r="D82" s="128"/>
      <c r="E82" s="128"/>
      <c r="F82" s="128"/>
      <c r="G82" s="128"/>
      <c r="H82" s="128"/>
      <c r="I82" s="128"/>
      <c r="J82" s="128"/>
      <c r="K82" s="128"/>
      <c r="L82" s="128"/>
      <c r="M82" s="128"/>
    </row>
    <row r="83" spans="1:13" s="106" customFormat="1">
      <c r="A83" s="128"/>
      <c r="B83" s="128"/>
      <c r="C83" s="128"/>
      <c r="D83" s="128"/>
      <c r="E83" s="128"/>
      <c r="F83" s="128"/>
      <c r="G83" s="128"/>
      <c r="H83" s="128"/>
      <c r="I83" s="128"/>
      <c r="J83" s="128"/>
      <c r="K83" s="128"/>
      <c r="L83" s="128"/>
      <c r="M83" s="128"/>
    </row>
    <row r="84" spans="1:13" s="106" customFormat="1">
      <c r="A84" s="128"/>
      <c r="B84" s="128"/>
      <c r="C84" s="128"/>
      <c r="D84" s="128"/>
      <c r="E84" s="128"/>
      <c r="F84" s="128"/>
      <c r="G84" s="128"/>
      <c r="H84" s="128"/>
      <c r="I84" s="128"/>
      <c r="J84" s="128"/>
      <c r="K84" s="128"/>
      <c r="L84" s="128"/>
      <c r="M84" s="128"/>
    </row>
    <row r="85" spans="1:13" s="106" customFormat="1">
      <c r="A85" s="128"/>
      <c r="B85" s="128"/>
      <c r="C85" s="128"/>
      <c r="D85" s="128"/>
      <c r="E85" s="128"/>
      <c r="F85" s="128"/>
      <c r="G85" s="128"/>
      <c r="H85" s="128"/>
      <c r="I85" s="128"/>
      <c r="J85" s="128"/>
      <c r="K85" s="128"/>
      <c r="L85" s="128"/>
      <c r="M85" s="128"/>
    </row>
    <row r="86" spans="1:13" s="106" customFormat="1">
      <c r="A86" s="128"/>
      <c r="B86" s="128"/>
      <c r="C86" s="128"/>
      <c r="D86" s="128"/>
      <c r="E86" s="128"/>
      <c r="F86" s="128"/>
      <c r="G86" s="128"/>
      <c r="H86" s="128"/>
      <c r="I86" s="128"/>
      <c r="J86" s="128"/>
      <c r="K86" s="128"/>
      <c r="L86" s="128"/>
      <c r="M86" s="128"/>
    </row>
    <row r="87" spans="1:13" s="106" customFormat="1">
      <c r="A87" s="128"/>
      <c r="B87" s="128"/>
      <c r="C87" s="128"/>
      <c r="D87" s="128"/>
      <c r="E87" s="128"/>
      <c r="F87" s="128"/>
      <c r="G87" s="128"/>
      <c r="H87" s="128"/>
      <c r="I87" s="128"/>
      <c r="J87" s="128"/>
      <c r="K87" s="128"/>
      <c r="L87" s="128"/>
      <c r="M87" s="128"/>
    </row>
    <row r="88" spans="1:13" s="106" customFormat="1">
      <c r="A88" s="128"/>
      <c r="B88" s="128"/>
      <c r="C88" s="128"/>
      <c r="D88" s="128"/>
      <c r="E88" s="128"/>
      <c r="F88" s="128"/>
      <c r="G88" s="128"/>
      <c r="H88" s="128"/>
      <c r="I88" s="128"/>
      <c r="J88" s="128"/>
      <c r="K88" s="128"/>
      <c r="L88" s="128"/>
      <c r="M88" s="128"/>
    </row>
    <row r="89" spans="1:13" s="106" customFormat="1">
      <c r="A89" s="128"/>
      <c r="B89" s="128"/>
      <c r="C89" s="128"/>
      <c r="D89" s="128"/>
      <c r="E89" s="128"/>
      <c r="F89" s="128"/>
      <c r="G89" s="128"/>
      <c r="H89" s="128"/>
      <c r="I89" s="128"/>
      <c r="J89" s="128"/>
      <c r="K89" s="128"/>
      <c r="L89" s="128"/>
      <c r="M89" s="128"/>
    </row>
    <row r="90" spans="1:13" s="106" customFormat="1">
      <c r="A90" s="128"/>
      <c r="B90" s="128"/>
      <c r="C90" s="128"/>
      <c r="D90" s="128"/>
      <c r="E90" s="128"/>
      <c r="F90" s="128"/>
      <c r="G90" s="128"/>
      <c r="H90" s="128"/>
      <c r="I90" s="128"/>
      <c r="J90" s="128"/>
      <c r="K90" s="128"/>
      <c r="L90" s="128"/>
      <c r="M90" s="128"/>
    </row>
    <row r="91" spans="1:13" s="106" customFormat="1">
      <c r="A91" s="128"/>
      <c r="B91" s="128"/>
      <c r="C91" s="128"/>
      <c r="D91" s="128"/>
      <c r="E91" s="128"/>
      <c r="F91" s="128"/>
      <c r="G91" s="128"/>
      <c r="H91" s="128"/>
      <c r="I91" s="128"/>
      <c r="J91" s="128"/>
      <c r="K91" s="128"/>
      <c r="L91" s="128"/>
      <c r="M91" s="128"/>
    </row>
    <row r="92" spans="1:13" s="106" customFormat="1">
      <c r="A92" s="128"/>
      <c r="B92" s="128"/>
      <c r="C92" s="128"/>
      <c r="D92" s="128"/>
      <c r="E92" s="128"/>
      <c r="F92" s="128"/>
      <c r="G92" s="128"/>
      <c r="H92" s="128"/>
      <c r="I92" s="128"/>
      <c r="J92" s="128"/>
      <c r="K92" s="128"/>
      <c r="L92" s="128"/>
      <c r="M92" s="128"/>
    </row>
    <row r="93" spans="1:13" s="106" customFormat="1">
      <c r="A93" s="128"/>
      <c r="B93" s="128"/>
      <c r="C93" s="128"/>
      <c r="D93" s="128"/>
      <c r="E93" s="128"/>
      <c r="F93" s="128"/>
      <c r="G93" s="128"/>
      <c r="H93" s="128"/>
      <c r="I93" s="128"/>
      <c r="J93" s="128"/>
      <c r="K93" s="128"/>
      <c r="L93" s="128"/>
      <c r="M93" s="128"/>
    </row>
    <row r="94" spans="1:13" s="106" customFormat="1">
      <c r="A94" s="128"/>
      <c r="B94" s="128"/>
      <c r="C94" s="128"/>
      <c r="D94" s="128"/>
      <c r="E94" s="128"/>
      <c r="F94" s="128"/>
      <c r="G94" s="128"/>
      <c r="H94" s="128"/>
      <c r="I94" s="128"/>
      <c r="J94" s="128"/>
      <c r="K94" s="128"/>
      <c r="L94" s="128"/>
      <c r="M94" s="128"/>
    </row>
    <row r="95" spans="1:13" s="106" customFormat="1">
      <c r="A95" s="128"/>
      <c r="B95" s="128"/>
      <c r="C95" s="128"/>
      <c r="D95" s="128"/>
      <c r="E95" s="128"/>
      <c r="F95" s="128"/>
      <c r="G95" s="128"/>
      <c r="H95" s="128"/>
      <c r="I95" s="128"/>
      <c r="J95" s="128"/>
      <c r="K95" s="128"/>
      <c r="L95" s="128"/>
      <c r="M95" s="128"/>
    </row>
    <row r="96" spans="1:13" s="106" customFormat="1">
      <c r="A96" s="128"/>
      <c r="B96" s="128"/>
      <c r="C96" s="128"/>
      <c r="D96" s="128"/>
      <c r="E96" s="128"/>
      <c r="F96" s="128"/>
      <c r="G96" s="128"/>
      <c r="H96" s="128"/>
      <c r="I96" s="128"/>
      <c r="J96" s="128"/>
      <c r="K96" s="128"/>
      <c r="L96" s="128"/>
      <c r="M96" s="128"/>
    </row>
    <row r="97" spans="1:13" s="106" customFormat="1">
      <c r="A97" s="128"/>
      <c r="B97" s="128"/>
      <c r="C97" s="128"/>
      <c r="D97" s="128"/>
      <c r="E97" s="128"/>
      <c r="F97" s="128"/>
      <c r="G97" s="128"/>
      <c r="H97" s="128"/>
      <c r="I97" s="128"/>
      <c r="J97" s="128"/>
      <c r="K97" s="128"/>
      <c r="L97" s="128"/>
      <c r="M97" s="128"/>
    </row>
    <row r="98" spans="1:13" s="106" customFormat="1">
      <c r="A98" s="128"/>
      <c r="B98" s="128"/>
      <c r="C98" s="128"/>
      <c r="D98" s="128"/>
      <c r="E98" s="128"/>
      <c r="F98" s="128"/>
      <c r="G98" s="128"/>
      <c r="H98" s="128"/>
      <c r="I98" s="128"/>
      <c r="J98" s="128"/>
      <c r="K98" s="128"/>
      <c r="L98" s="128"/>
      <c r="M98" s="128"/>
    </row>
    <row r="99" spans="1:13" s="106" customFormat="1">
      <c r="A99" s="128"/>
      <c r="B99" s="128"/>
      <c r="C99" s="128"/>
      <c r="D99" s="128"/>
      <c r="E99" s="128"/>
      <c r="F99" s="128"/>
      <c r="G99" s="128"/>
      <c r="H99" s="128"/>
      <c r="I99" s="128"/>
      <c r="J99" s="128"/>
      <c r="K99" s="128"/>
      <c r="L99" s="128"/>
      <c r="M99" s="128"/>
    </row>
    <row r="100" spans="1:13" s="106" customFormat="1">
      <c r="A100" s="128"/>
      <c r="B100" s="128"/>
      <c r="C100" s="128"/>
      <c r="D100" s="128"/>
      <c r="E100" s="128"/>
      <c r="F100" s="128"/>
      <c r="G100" s="128"/>
      <c r="H100" s="128"/>
      <c r="I100" s="128"/>
      <c r="J100" s="128"/>
      <c r="K100" s="128"/>
      <c r="L100" s="128"/>
      <c r="M100" s="128"/>
    </row>
    <row r="101" spans="1:13" s="106" customFormat="1">
      <c r="A101" s="128"/>
      <c r="B101" s="128"/>
      <c r="C101" s="128"/>
      <c r="D101" s="128"/>
      <c r="E101" s="128"/>
      <c r="F101" s="128"/>
      <c r="G101" s="128"/>
      <c r="H101" s="128"/>
      <c r="I101" s="128"/>
      <c r="J101" s="128"/>
      <c r="K101" s="128"/>
      <c r="L101" s="128"/>
      <c r="M101" s="128"/>
    </row>
    <row r="102" spans="1:13" s="106" customFormat="1">
      <c r="A102" s="128"/>
      <c r="B102" s="128"/>
      <c r="C102" s="128"/>
      <c r="D102" s="128"/>
      <c r="E102" s="128"/>
      <c r="F102" s="128"/>
      <c r="G102" s="128"/>
      <c r="H102" s="128"/>
      <c r="I102" s="128"/>
      <c r="J102" s="128"/>
      <c r="K102" s="128"/>
      <c r="L102" s="128"/>
      <c r="M102" s="128"/>
    </row>
    <row r="103" spans="1:13" s="106" customFormat="1">
      <c r="A103" s="128"/>
      <c r="B103" s="128"/>
      <c r="C103" s="128"/>
      <c r="D103" s="128"/>
      <c r="E103" s="128"/>
      <c r="F103" s="128"/>
      <c r="G103" s="128"/>
      <c r="H103" s="128"/>
      <c r="I103" s="128"/>
      <c r="J103" s="128"/>
      <c r="K103" s="128"/>
      <c r="L103" s="128"/>
      <c r="M103" s="128"/>
    </row>
    <row r="104" spans="1:13" s="106" customFormat="1">
      <c r="A104" s="128"/>
      <c r="B104" s="128"/>
      <c r="C104" s="128"/>
      <c r="D104" s="128"/>
      <c r="E104" s="128"/>
      <c r="F104" s="128"/>
      <c r="G104" s="128"/>
      <c r="H104" s="128"/>
      <c r="I104" s="128"/>
      <c r="J104" s="128"/>
      <c r="K104" s="128"/>
      <c r="L104" s="128"/>
      <c r="M104" s="128"/>
    </row>
    <row r="105" spans="1:13" s="106" customFormat="1">
      <c r="A105" s="128"/>
      <c r="B105" s="128"/>
      <c r="C105" s="128"/>
      <c r="D105" s="128"/>
      <c r="E105" s="128"/>
      <c r="F105" s="128"/>
      <c r="G105" s="128"/>
      <c r="H105" s="128"/>
      <c r="I105" s="128"/>
      <c r="J105" s="128"/>
      <c r="K105" s="128"/>
      <c r="L105" s="128"/>
      <c r="M105" s="128"/>
    </row>
    <row r="106" spans="1:13" s="106" customFormat="1">
      <c r="A106" s="128"/>
      <c r="B106" s="128"/>
      <c r="C106" s="128"/>
      <c r="D106" s="128"/>
      <c r="E106" s="128"/>
      <c r="F106" s="128"/>
      <c r="G106" s="128"/>
      <c r="H106" s="128"/>
      <c r="I106" s="128"/>
      <c r="J106" s="128"/>
      <c r="K106" s="128"/>
      <c r="L106" s="128"/>
      <c r="M106" s="128"/>
    </row>
    <row r="107" spans="1:13" s="106" customFormat="1">
      <c r="A107" s="128"/>
      <c r="B107" s="128"/>
      <c r="C107" s="128"/>
      <c r="D107" s="128"/>
      <c r="E107" s="128"/>
      <c r="F107" s="128"/>
      <c r="G107" s="128"/>
      <c r="H107" s="128"/>
      <c r="I107" s="128"/>
      <c r="J107" s="128"/>
      <c r="K107" s="128"/>
      <c r="L107" s="128"/>
      <c r="M107" s="128"/>
    </row>
    <row r="108" spans="1:13" s="106" customFormat="1">
      <c r="A108" s="128"/>
      <c r="B108" s="128"/>
      <c r="C108" s="128"/>
      <c r="D108" s="128"/>
      <c r="E108" s="128"/>
      <c r="F108" s="128"/>
      <c r="G108" s="128"/>
      <c r="H108" s="128"/>
      <c r="I108" s="128"/>
      <c r="J108" s="128"/>
      <c r="K108" s="128"/>
      <c r="L108" s="128"/>
      <c r="M108" s="128"/>
    </row>
    <row r="109" spans="1:13" s="106" customFormat="1">
      <c r="A109" s="128"/>
      <c r="B109" s="128"/>
      <c r="C109" s="128"/>
      <c r="D109" s="128"/>
      <c r="E109" s="128"/>
      <c r="F109" s="128"/>
      <c r="G109" s="128"/>
      <c r="H109" s="128"/>
      <c r="I109" s="128"/>
      <c r="J109" s="128"/>
      <c r="K109" s="128"/>
      <c r="L109" s="128"/>
      <c r="M109" s="128"/>
    </row>
    <row r="110" spans="1:13" s="106" customFormat="1">
      <c r="A110" s="128"/>
      <c r="B110" s="128"/>
      <c r="C110" s="128"/>
      <c r="D110" s="128"/>
      <c r="E110" s="128"/>
      <c r="F110" s="128"/>
      <c r="G110" s="128"/>
      <c r="H110" s="128"/>
      <c r="I110" s="128"/>
      <c r="J110" s="128"/>
      <c r="K110" s="128"/>
      <c r="L110" s="128"/>
      <c r="M110" s="128"/>
    </row>
    <row r="111" spans="1:13" s="106" customFormat="1">
      <c r="A111" s="128"/>
      <c r="B111" s="128"/>
      <c r="C111" s="128"/>
      <c r="D111" s="128"/>
      <c r="E111" s="128"/>
      <c r="F111" s="128"/>
      <c r="G111" s="128"/>
      <c r="H111" s="128"/>
      <c r="I111" s="128"/>
      <c r="J111" s="128"/>
      <c r="K111" s="128"/>
      <c r="L111" s="128"/>
      <c r="M111" s="128"/>
    </row>
    <row r="112" spans="1:13" s="106" customFormat="1">
      <c r="A112" s="128"/>
      <c r="B112" s="128"/>
      <c r="C112" s="128"/>
      <c r="D112" s="128"/>
      <c r="E112" s="128"/>
      <c r="F112" s="128"/>
      <c r="G112" s="128"/>
      <c r="H112" s="128"/>
      <c r="I112" s="128"/>
      <c r="J112" s="128"/>
      <c r="K112" s="128"/>
      <c r="L112" s="128"/>
      <c r="M112" s="128"/>
    </row>
    <row r="113" spans="1:13" s="106" customFormat="1">
      <c r="A113" s="128"/>
      <c r="B113" s="128"/>
      <c r="C113" s="128"/>
      <c r="D113" s="128"/>
      <c r="E113" s="128"/>
      <c r="F113" s="128"/>
      <c r="G113" s="128"/>
      <c r="H113" s="128"/>
      <c r="I113" s="128"/>
      <c r="J113" s="128"/>
      <c r="K113" s="128"/>
      <c r="L113" s="128"/>
      <c r="M113" s="128"/>
    </row>
    <row r="114" spans="1:13" s="106" customFormat="1">
      <c r="A114" s="128"/>
      <c r="B114" s="128"/>
      <c r="C114" s="128"/>
      <c r="D114" s="128"/>
      <c r="E114" s="128"/>
      <c r="F114" s="128"/>
      <c r="G114" s="128"/>
      <c r="H114" s="128"/>
      <c r="I114" s="128"/>
      <c r="J114" s="128"/>
      <c r="K114" s="128"/>
      <c r="L114" s="128"/>
      <c r="M114" s="128"/>
    </row>
    <row r="115" spans="1:13" s="106" customFormat="1">
      <c r="A115" s="128"/>
      <c r="B115" s="128"/>
      <c r="C115" s="128"/>
      <c r="D115" s="128"/>
      <c r="E115" s="128"/>
      <c r="F115" s="128"/>
      <c r="G115" s="128"/>
      <c r="H115" s="128"/>
      <c r="I115" s="128"/>
      <c r="J115" s="128"/>
      <c r="K115" s="128"/>
      <c r="L115" s="128"/>
      <c r="M115" s="128"/>
    </row>
    <row r="116" spans="1:13" s="106" customFormat="1">
      <c r="A116" s="128"/>
      <c r="B116" s="128"/>
      <c r="C116" s="128"/>
      <c r="D116" s="128"/>
      <c r="E116" s="128"/>
      <c r="F116" s="128"/>
      <c r="G116" s="128"/>
      <c r="H116" s="128"/>
      <c r="I116" s="128"/>
      <c r="J116" s="128"/>
      <c r="K116" s="128"/>
      <c r="L116" s="128"/>
      <c r="M116" s="128"/>
    </row>
    <row r="117" spans="1:13" s="106" customFormat="1">
      <c r="A117" s="128"/>
      <c r="B117" s="128"/>
      <c r="C117" s="128"/>
      <c r="D117" s="128"/>
      <c r="E117" s="128"/>
      <c r="F117" s="128"/>
      <c r="G117" s="128"/>
      <c r="H117" s="128"/>
      <c r="I117" s="128"/>
      <c r="J117" s="128"/>
      <c r="K117" s="128"/>
      <c r="L117" s="128"/>
      <c r="M117" s="128"/>
    </row>
    <row r="118" spans="1:13" s="106" customFormat="1">
      <c r="A118" s="128"/>
      <c r="B118" s="128"/>
      <c r="C118" s="128"/>
      <c r="D118" s="128"/>
      <c r="E118" s="128"/>
      <c r="F118" s="128"/>
      <c r="G118" s="128"/>
      <c r="H118" s="128"/>
      <c r="I118" s="128"/>
      <c r="J118" s="128"/>
      <c r="K118" s="128"/>
      <c r="L118" s="128"/>
      <c r="M118" s="128"/>
    </row>
    <row r="119" spans="1:13" s="106" customFormat="1">
      <c r="A119" s="128"/>
      <c r="B119" s="128"/>
      <c r="C119" s="128"/>
      <c r="D119" s="128"/>
      <c r="E119" s="128"/>
      <c r="F119" s="128"/>
      <c r="G119" s="128"/>
      <c r="H119" s="128"/>
      <c r="I119" s="128"/>
      <c r="J119" s="128"/>
      <c r="K119" s="128"/>
      <c r="L119" s="128"/>
      <c r="M119" s="128"/>
    </row>
    <row r="120" spans="1:13" s="106" customFormat="1">
      <c r="A120" s="128"/>
      <c r="B120" s="128"/>
      <c r="C120" s="128"/>
      <c r="D120" s="128"/>
      <c r="E120" s="128"/>
      <c r="F120" s="128"/>
      <c r="G120" s="128"/>
      <c r="H120" s="128"/>
      <c r="I120" s="128"/>
      <c r="J120" s="128"/>
      <c r="K120" s="128"/>
      <c r="L120" s="128"/>
      <c r="M120" s="128"/>
    </row>
    <row r="121" spans="1:13" s="106" customFormat="1">
      <c r="A121" s="128"/>
      <c r="B121" s="128"/>
      <c r="C121" s="128"/>
      <c r="D121" s="128"/>
      <c r="E121" s="128"/>
      <c r="F121" s="128"/>
      <c r="G121" s="128"/>
      <c r="H121" s="128"/>
      <c r="I121" s="128"/>
      <c r="J121" s="128"/>
      <c r="K121" s="128"/>
      <c r="L121" s="128"/>
      <c r="M121" s="128"/>
    </row>
    <row r="122" spans="1:13" s="106" customFormat="1">
      <c r="A122" s="128"/>
      <c r="B122" s="128"/>
      <c r="C122" s="128"/>
      <c r="D122" s="128"/>
      <c r="E122" s="128"/>
      <c r="F122" s="128"/>
      <c r="G122" s="128"/>
      <c r="H122" s="128"/>
      <c r="I122" s="128"/>
      <c r="J122" s="128"/>
      <c r="K122" s="128"/>
      <c r="L122" s="128"/>
      <c r="M122" s="128"/>
    </row>
    <row r="123" spans="1:13" s="106" customFormat="1">
      <c r="A123" s="128"/>
      <c r="B123" s="128"/>
      <c r="C123" s="128"/>
      <c r="D123" s="128"/>
      <c r="E123" s="128"/>
      <c r="F123" s="128"/>
      <c r="G123" s="128"/>
      <c r="H123" s="128"/>
      <c r="I123" s="128"/>
      <c r="J123" s="128"/>
      <c r="K123" s="128"/>
      <c r="L123" s="128"/>
      <c r="M123" s="128"/>
    </row>
    <row r="124" spans="1:13" s="106" customFormat="1">
      <c r="A124" s="128"/>
      <c r="B124" s="128"/>
      <c r="C124" s="128"/>
      <c r="D124" s="128"/>
      <c r="E124" s="128"/>
      <c r="F124" s="128"/>
      <c r="G124" s="128"/>
      <c r="H124" s="128"/>
      <c r="I124" s="128"/>
      <c r="J124" s="128"/>
      <c r="K124" s="128"/>
      <c r="L124" s="128"/>
      <c r="M124" s="128"/>
    </row>
    <row r="125" spans="1:13" s="106" customFormat="1">
      <c r="A125" s="128"/>
      <c r="B125" s="128"/>
      <c r="C125" s="128"/>
      <c r="D125" s="128"/>
      <c r="E125" s="128"/>
      <c r="F125" s="128"/>
      <c r="G125" s="128"/>
      <c r="H125" s="128"/>
      <c r="I125" s="128"/>
      <c r="J125" s="128"/>
      <c r="K125" s="128"/>
      <c r="L125" s="128"/>
      <c r="M125" s="128"/>
    </row>
    <row r="126" spans="1:13" s="106" customFormat="1">
      <c r="A126" s="128"/>
      <c r="B126" s="128"/>
      <c r="C126" s="128"/>
      <c r="D126" s="128"/>
      <c r="E126" s="128"/>
      <c r="F126" s="128"/>
      <c r="G126" s="128"/>
      <c r="H126" s="128"/>
      <c r="I126" s="128"/>
      <c r="J126" s="128"/>
      <c r="K126" s="128"/>
      <c r="L126" s="128"/>
      <c r="M126" s="128"/>
    </row>
    <row r="127" spans="1:13" s="106" customFormat="1">
      <c r="A127" s="128"/>
      <c r="B127" s="128"/>
      <c r="C127" s="128"/>
      <c r="D127" s="128"/>
      <c r="E127" s="128"/>
      <c r="F127" s="128"/>
      <c r="G127" s="128"/>
      <c r="H127" s="128"/>
      <c r="I127" s="128"/>
      <c r="J127" s="128"/>
      <c r="K127" s="128"/>
      <c r="L127" s="128"/>
      <c r="M127" s="128"/>
    </row>
    <row r="128" spans="1:13" s="106" customFormat="1">
      <c r="A128" s="128"/>
      <c r="B128" s="128"/>
      <c r="C128" s="128"/>
      <c r="D128" s="128"/>
      <c r="E128" s="128"/>
      <c r="F128" s="128"/>
      <c r="G128" s="128"/>
      <c r="H128" s="128"/>
      <c r="I128" s="128"/>
      <c r="J128" s="128"/>
      <c r="K128" s="128"/>
      <c r="L128" s="128"/>
      <c r="M128" s="128"/>
    </row>
    <row r="129" spans="1:13" s="106" customFormat="1">
      <c r="A129" s="128"/>
      <c r="B129" s="128"/>
      <c r="C129" s="128"/>
      <c r="D129" s="128"/>
      <c r="E129" s="128"/>
      <c r="F129" s="128"/>
      <c r="G129" s="128"/>
      <c r="H129" s="128"/>
      <c r="I129" s="128"/>
      <c r="J129" s="128"/>
      <c r="K129" s="128"/>
      <c r="L129" s="128"/>
      <c r="M129" s="128"/>
    </row>
    <row r="130" spans="1:13" s="106" customFormat="1">
      <c r="A130" s="128"/>
      <c r="B130" s="128"/>
      <c r="C130" s="128"/>
      <c r="D130" s="128"/>
      <c r="E130" s="128"/>
      <c r="F130" s="128"/>
      <c r="G130" s="128"/>
      <c r="H130" s="128"/>
      <c r="I130" s="128"/>
      <c r="J130" s="128"/>
      <c r="K130" s="128"/>
      <c r="L130" s="128"/>
      <c r="M130" s="128"/>
    </row>
    <row r="131" spans="1:13" s="106" customFormat="1">
      <c r="A131" s="128"/>
      <c r="B131" s="128"/>
      <c r="C131" s="128"/>
      <c r="D131" s="128"/>
      <c r="E131" s="128"/>
      <c r="F131" s="128"/>
      <c r="G131" s="128"/>
      <c r="H131" s="128"/>
      <c r="I131" s="128"/>
      <c r="J131" s="128"/>
      <c r="K131" s="128"/>
      <c r="L131" s="128"/>
      <c r="M131" s="128"/>
    </row>
    <row r="132" spans="1:13" s="106" customFormat="1">
      <c r="A132" s="128"/>
      <c r="B132" s="128"/>
      <c r="C132" s="128"/>
      <c r="D132" s="128"/>
      <c r="E132" s="128"/>
      <c r="F132" s="128"/>
      <c r="G132" s="128"/>
      <c r="H132" s="128"/>
      <c r="I132" s="128"/>
      <c r="J132" s="128"/>
      <c r="K132" s="128"/>
      <c r="L132" s="128"/>
      <c r="M132" s="128"/>
    </row>
    <row r="133" spans="1:13" s="106" customFormat="1">
      <c r="A133" s="128"/>
      <c r="B133" s="128"/>
      <c r="C133" s="128"/>
      <c r="D133" s="128"/>
      <c r="E133" s="128"/>
      <c r="F133" s="128"/>
      <c r="G133" s="128"/>
      <c r="H133" s="128"/>
      <c r="I133" s="128"/>
      <c r="J133" s="128"/>
      <c r="K133" s="128"/>
      <c r="L133" s="128"/>
      <c r="M133" s="128"/>
    </row>
    <row r="134" spans="1:13" s="106" customFormat="1">
      <c r="A134" s="128"/>
      <c r="B134" s="128"/>
      <c r="C134" s="128"/>
      <c r="D134" s="128"/>
      <c r="E134" s="128"/>
      <c r="F134" s="128"/>
      <c r="G134" s="128"/>
      <c r="H134" s="128"/>
      <c r="I134" s="128"/>
      <c r="J134" s="128"/>
      <c r="K134" s="128"/>
      <c r="L134" s="128"/>
      <c r="M134" s="128"/>
    </row>
    <row r="135" spans="1:13" s="106" customFormat="1">
      <c r="A135" s="128"/>
      <c r="B135" s="128"/>
      <c r="C135" s="128"/>
      <c r="D135" s="128"/>
      <c r="E135" s="128"/>
      <c r="F135" s="128"/>
      <c r="G135" s="128"/>
      <c r="H135" s="128"/>
      <c r="I135" s="128"/>
      <c r="J135" s="128"/>
      <c r="K135" s="128"/>
      <c r="L135" s="128"/>
      <c r="M135" s="128"/>
    </row>
    <row r="136" spans="1:13" s="106" customFormat="1">
      <c r="A136" s="128"/>
      <c r="B136" s="128"/>
      <c r="C136" s="128"/>
      <c r="D136" s="128"/>
      <c r="E136" s="128"/>
      <c r="F136" s="128"/>
      <c r="G136" s="128"/>
      <c r="H136" s="128"/>
      <c r="I136" s="128"/>
      <c r="J136" s="128"/>
      <c r="K136" s="128"/>
      <c r="L136" s="128"/>
      <c r="M136" s="128"/>
    </row>
    <row r="137" spans="1:13" s="106" customFormat="1">
      <c r="A137" s="128"/>
      <c r="B137" s="128"/>
      <c r="C137" s="128"/>
      <c r="D137" s="128"/>
      <c r="E137" s="128"/>
      <c r="F137" s="128"/>
      <c r="G137" s="128"/>
      <c r="H137" s="128"/>
      <c r="I137" s="128"/>
      <c r="J137" s="128"/>
      <c r="K137" s="128"/>
      <c r="L137" s="128"/>
      <c r="M137" s="128"/>
    </row>
    <row r="138" spans="1:13" s="106" customFormat="1">
      <c r="A138" s="128"/>
      <c r="B138" s="128"/>
      <c r="C138" s="128"/>
      <c r="D138" s="128"/>
      <c r="E138" s="128"/>
      <c r="F138" s="128"/>
      <c r="G138" s="128"/>
      <c r="H138" s="128"/>
      <c r="I138" s="128"/>
      <c r="J138" s="128"/>
      <c r="K138" s="128"/>
      <c r="L138" s="128"/>
      <c r="M138" s="128"/>
    </row>
    <row r="139" spans="1:13" s="106" customFormat="1">
      <c r="A139" s="128"/>
      <c r="B139" s="128"/>
      <c r="C139" s="128"/>
      <c r="D139" s="128"/>
      <c r="E139" s="128"/>
      <c r="F139" s="128"/>
      <c r="G139" s="128"/>
      <c r="H139" s="128"/>
      <c r="I139" s="128"/>
      <c r="J139" s="128"/>
      <c r="K139" s="128"/>
      <c r="L139" s="128"/>
      <c r="M139" s="128"/>
    </row>
    <row r="140" spans="1:13" s="106" customFormat="1">
      <c r="A140" s="128"/>
      <c r="B140" s="128"/>
      <c r="C140" s="128"/>
      <c r="D140" s="128"/>
      <c r="E140" s="128"/>
      <c r="F140" s="128"/>
      <c r="G140" s="128"/>
      <c r="H140" s="128"/>
      <c r="I140" s="128"/>
      <c r="J140" s="128"/>
      <c r="K140" s="128"/>
      <c r="L140" s="128"/>
      <c r="M140" s="128"/>
    </row>
    <row r="141" spans="1:13" s="106" customFormat="1">
      <c r="A141" s="128"/>
      <c r="B141" s="128"/>
      <c r="C141" s="128"/>
      <c r="D141" s="128"/>
      <c r="E141" s="128"/>
      <c r="F141" s="128"/>
      <c r="G141" s="128"/>
      <c r="H141" s="128"/>
      <c r="I141" s="128"/>
      <c r="J141" s="128"/>
      <c r="K141" s="128"/>
      <c r="L141" s="128"/>
      <c r="M141" s="128"/>
    </row>
    <row r="142" spans="1:13" s="106" customFormat="1">
      <c r="A142" s="128"/>
      <c r="B142" s="128"/>
      <c r="C142" s="128"/>
      <c r="D142" s="128"/>
      <c r="E142" s="128"/>
      <c r="F142" s="128"/>
      <c r="G142" s="128"/>
      <c r="H142" s="128"/>
      <c r="I142" s="128"/>
      <c r="J142" s="128"/>
      <c r="K142" s="128"/>
      <c r="L142" s="128"/>
      <c r="M142" s="128"/>
    </row>
    <row r="143" spans="1:13" s="106" customFormat="1">
      <c r="A143" s="128"/>
      <c r="B143" s="128"/>
      <c r="C143" s="128"/>
      <c r="D143" s="128"/>
      <c r="E143" s="128"/>
      <c r="F143" s="128"/>
      <c r="G143" s="128"/>
      <c r="H143" s="128"/>
      <c r="I143" s="128"/>
      <c r="J143" s="128"/>
      <c r="K143" s="128"/>
      <c r="L143" s="128"/>
      <c r="M143" s="128"/>
    </row>
    <row r="144" spans="1:13" s="106" customFormat="1">
      <c r="A144" s="128"/>
      <c r="B144" s="128"/>
      <c r="C144" s="128"/>
      <c r="D144" s="128"/>
      <c r="E144" s="128"/>
      <c r="F144" s="128"/>
      <c r="G144" s="128"/>
      <c r="H144" s="128"/>
      <c r="I144" s="128"/>
      <c r="J144" s="128"/>
      <c r="K144" s="128"/>
      <c r="L144" s="128"/>
      <c r="M144" s="128"/>
    </row>
    <row r="145" spans="1:13" s="106" customFormat="1">
      <c r="A145" s="128"/>
      <c r="B145" s="128"/>
      <c r="C145" s="128"/>
      <c r="D145" s="128"/>
      <c r="E145" s="128"/>
      <c r="F145" s="128"/>
      <c r="G145" s="128"/>
      <c r="H145" s="128"/>
      <c r="I145" s="128"/>
      <c r="J145" s="128"/>
      <c r="K145" s="128"/>
      <c r="L145" s="128"/>
      <c r="M145" s="128"/>
    </row>
    <row r="146" spans="1:13" s="106" customFormat="1">
      <c r="A146" s="128"/>
      <c r="B146" s="128"/>
      <c r="C146" s="128"/>
      <c r="D146" s="128"/>
      <c r="E146" s="128"/>
      <c r="F146" s="128"/>
      <c r="G146" s="128"/>
      <c r="H146" s="128"/>
      <c r="I146" s="128"/>
      <c r="J146" s="128"/>
      <c r="K146" s="128"/>
      <c r="L146" s="128"/>
      <c r="M146" s="128"/>
    </row>
    <row r="147" spans="1:13" s="106" customFormat="1">
      <c r="A147" s="128"/>
      <c r="B147" s="128"/>
      <c r="C147" s="128"/>
      <c r="D147" s="128"/>
      <c r="E147" s="128"/>
      <c r="F147" s="128"/>
      <c r="G147" s="128"/>
      <c r="H147" s="128"/>
      <c r="I147" s="128"/>
      <c r="J147" s="128"/>
      <c r="K147" s="128"/>
      <c r="L147" s="128"/>
      <c r="M147" s="128"/>
    </row>
    <row r="148" spans="1:13" s="106" customFormat="1">
      <c r="A148" s="128"/>
      <c r="B148" s="128"/>
      <c r="C148" s="128"/>
      <c r="D148" s="128"/>
      <c r="E148" s="128"/>
      <c r="F148" s="128"/>
      <c r="G148" s="128"/>
      <c r="H148" s="128"/>
      <c r="I148" s="128"/>
      <c r="J148" s="128"/>
      <c r="K148" s="128"/>
      <c r="L148" s="128"/>
      <c r="M148" s="128"/>
    </row>
    <row r="149" spans="1:13" s="106" customFormat="1">
      <c r="A149" s="128"/>
      <c r="B149" s="128"/>
      <c r="C149" s="128"/>
      <c r="D149" s="128"/>
      <c r="E149" s="128"/>
      <c r="F149" s="128"/>
      <c r="G149" s="128"/>
      <c r="H149" s="128"/>
      <c r="I149" s="128"/>
      <c r="J149" s="128"/>
      <c r="K149" s="128"/>
      <c r="L149" s="128"/>
      <c r="M149" s="128"/>
    </row>
    <row r="150" spans="1:13" s="106" customFormat="1">
      <c r="A150" s="128"/>
      <c r="B150" s="128"/>
      <c r="C150" s="128"/>
      <c r="D150" s="128"/>
      <c r="E150" s="128"/>
      <c r="F150" s="128"/>
      <c r="G150" s="128"/>
      <c r="H150" s="128"/>
      <c r="I150" s="128"/>
      <c r="J150" s="128"/>
      <c r="K150" s="128"/>
      <c r="L150" s="128"/>
      <c r="M150" s="128"/>
    </row>
    <row r="151" spans="1:13" s="106" customFormat="1">
      <c r="A151" s="128"/>
      <c r="B151" s="128"/>
      <c r="C151" s="128"/>
      <c r="D151" s="128"/>
      <c r="E151" s="128"/>
      <c r="F151" s="128"/>
      <c r="G151" s="128"/>
      <c r="H151" s="128"/>
      <c r="I151" s="128"/>
      <c r="J151" s="128"/>
      <c r="K151" s="128"/>
      <c r="L151" s="128"/>
      <c r="M151" s="128"/>
    </row>
    <row r="152" spans="1:13" s="106" customFormat="1">
      <c r="A152" s="128"/>
      <c r="B152" s="128"/>
      <c r="C152" s="128"/>
      <c r="D152" s="128"/>
      <c r="E152" s="128"/>
      <c r="F152" s="128"/>
      <c r="G152" s="128"/>
      <c r="H152" s="128"/>
      <c r="I152" s="128"/>
      <c r="J152" s="128"/>
      <c r="K152" s="128"/>
      <c r="L152" s="128"/>
      <c r="M152" s="128"/>
    </row>
    <row r="153" spans="1:13" s="106" customFormat="1">
      <c r="A153" s="128"/>
      <c r="B153" s="128"/>
      <c r="C153" s="128"/>
      <c r="D153" s="128"/>
      <c r="E153" s="128"/>
      <c r="F153" s="128"/>
      <c r="G153" s="128"/>
      <c r="H153" s="128"/>
      <c r="I153" s="128"/>
      <c r="J153" s="128"/>
      <c r="K153" s="128"/>
      <c r="L153" s="128"/>
      <c r="M153" s="128"/>
    </row>
    <row r="154" spans="1:13" s="106" customFormat="1">
      <c r="A154" s="128"/>
      <c r="B154" s="128"/>
      <c r="C154" s="128"/>
      <c r="D154" s="128"/>
      <c r="E154" s="128"/>
      <c r="F154" s="128"/>
      <c r="G154" s="128"/>
      <c r="H154" s="128"/>
      <c r="I154" s="128"/>
      <c r="J154" s="128"/>
      <c r="K154" s="128"/>
      <c r="L154" s="128"/>
      <c r="M154" s="128"/>
    </row>
    <row r="155" spans="1:13" s="106" customFormat="1">
      <c r="A155" s="128"/>
      <c r="B155" s="128"/>
      <c r="C155" s="128"/>
      <c r="D155" s="128"/>
      <c r="E155" s="128"/>
      <c r="F155" s="128"/>
      <c r="G155" s="128"/>
      <c r="H155" s="128"/>
      <c r="I155" s="128"/>
      <c r="J155" s="128"/>
      <c r="K155" s="128"/>
      <c r="L155" s="128"/>
      <c r="M155" s="128"/>
    </row>
    <row r="156" spans="1:13" s="106" customFormat="1">
      <c r="A156" s="128"/>
      <c r="B156" s="128"/>
      <c r="C156" s="128"/>
      <c r="D156" s="128"/>
      <c r="E156" s="128"/>
      <c r="F156" s="128"/>
      <c r="G156" s="128"/>
      <c r="H156" s="128"/>
      <c r="I156" s="128"/>
      <c r="J156" s="128"/>
      <c r="K156" s="128"/>
      <c r="L156" s="128"/>
      <c r="M156" s="128"/>
    </row>
    <row r="157" spans="1:13" s="106" customFormat="1">
      <c r="A157" s="128"/>
      <c r="B157" s="128"/>
      <c r="C157" s="128"/>
      <c r="D157" s="128"/>
      <c r="E157" s="128"/>
      <c r="F157" s="128"/>
      <c r="G157" s="128"/>
      <c r="H157" s="128"/>
      <c r="I157" s="128"/>
      <c r="J157" s="128"/>
      <c r="K157" s="128"/>
      <c r="L157" s="128"/>
      <c r="M157" s="128"/>
    </row>
    <row r="158" spans="1:13" s="106" customFormat="1">
      <c r="A158" s="128"/>
      <c r="B158" s="128"/>
      <c r="C158" s="128"/>
      <c r="D158" s="128"/>
      <c r="E158" s="128"/>
      <c r="F158" s="128"/>
      <c r="G158" s="128"/>
      <c r="H158" s="128"/>
      <c r="I158" s="128"/>
      <c r="J158" s="128"/>
      <c r="K158" s="128"/>
      <c r="L158" s="128"/>
      <c r="M158" s="128"/>
    </row>
    <row r="159" spans="1:13" s="106" customFormat="1">
      <c r="A159" s="128"/>
      <c r="B159" s="128"/>
      <c r="C159" s="128"/>
      <c r="D159" s="128"/>
      <c r="E159" s="128"/>
      <c r="F159" s="128"/>
      <c r="G159" s="128"/>
      <c r="H159" s="128"/>
      <c r="I159" s="128"/>
      <c r="J159" s="128"/>
      <c r="K159" s="128"/>
      <c r="L159" s="128"/>
      <c r="M159" s="128"/>
    </row>
    <row r="160" spans="1:13" s="106" customFormat="1">
      <c r="A160" s="128"/>
      <c r="B160" s="128"/>
      <c r="C160" s="128"/>
      <c r="D160" s="128"/>
      <c r="E160" s="128"/>
      <c r="F160" s="128"/>
      <c r="G160" s="128"/>
      <c r="H160" s="128"/>
      <c r="I160" s="128"/>
      <c r="J160" s="128"/>
      <c r="K160" s="128"/>
      <c r="L160" s="128"/>
      <c r="M160" s="128"/>
    </row>
    <row r="161" spans="1:16" s="106" customFormat="1">
      <c r="A161" s="128"/>
      <c r="B161" s="128"/>
      <c r="C161" s="128"/>
      <c r="D161" s="128"/>
      <c r="E161" s="128"/>
      <c r="F161" s="128"/>
      <c r="G161" s="128"/>
      <c r="H161" s="128"/>
      <c r="I161" s="128"/>
      <c r="J161" s="128"/>
      <c r="K161" s="128"/>
      <c r="L161" s="128"/>
      <c r="M161" s="128"/>
    </row>
    <row r="162" spans="1:16" s="106" customFormat="1">
      <c r="A162" s="128"/>
      <c r="B162" s="128"/>
      <c r="C162" s="128"/>
      <c r="D162" s="128"/>
      <c r="E162" s="128"/>
      <c r="F162" s="128"/>
      <c r="G162" s="128"/>
      <c r="H162" s="128"/>
      <c r="I162" s="128"/>
      <c r="J162" s="128"/>
      <c r="K162" s="128"/>
      <c r="L162" s="128"/>
      <c r="M162" s="128"/>
    </row>
    <row r="163" spans="1:16" s="106" customFormat="1">
      <c r="A163" s="128"/>
      <c r="B163" s="128"/>
      <c r="C163" s="128"/>
      <c r="D163" s="128"/>
      <c r="E163" s="128"/>
      <c r="F163" s="128"/>
      <c r="G163" s="953"/>
      <c r="H163" s="128"/>
      <c r="I163" s="128"/>
      <c r="J163" s="128"/>
      <c r="K163" s="128"/>
      <c r="L163" s="953"/>
      <c r="M163" s="128"/>
      <c r="O163" s="954"/>
      <c r="P163" s="954"/>
    </row>
    <row r="164" spans="1:16" s="106" customFormat="1">
      <c r="A164" s="128"/>
      <c r="B164" s="128"/>
      <c r="C164" s="128"/>
      <c r="D164" s="128"/>
      <c r="E164" s="128"/>
      <c r="F164" s="128"/>
      <c r="G164" s="953"/>
      <c r="H164" s="128"/>
      <c r="I164" s="128"/>
      <c r="J164" s="128"/>
      <c r="K164" s="128"/>
      <c r="L164" s="953"/>
      <c r="M164" s="128"/>
      <c r="O164" s="954"/>
      <c r="P164" s="954"/>
    </row>
    <row r="165" spans="1:16" s="106" customFormat="1">
      <c r="A165" s="128"/>
      <c r="B165" s="128"/>
      <c r="C165" s="128"/>
      <c r="D165" s="128"/>
      <c r="E165" s="128"/>
      <c r="F165" s="128"/>
      <c r="G165" s="953"/>
      <c r="H165" s="128"/>
      <c r="I165" s="128"/>
      <c r="J165" s="128"/>
      <c r="K165" s="128"/>
      <c r="L165" s="953"/>
      <c r="M165" s="128"/>
      <c r="O165" s="954"/>
      <c r="P165" s="954"/>
    </row>
    <row r="166" spans="1:16" s="106" customFormat="1">
      <c r="A166" s="128"/>
      <c r="B166" s="128"/>
      <c r="C166" s="128"/>
      <c r="D166" s="128"/>
      <c r="E166" s="128"/>
      <c r="F166" s="128"/>
      <c r="G166" s="953"/>
      <c r="H166" s="128"/>
      <c r="I166" s="128"/>
      <c r="J166" s="128"/>
      <c r="K166" s="128"/>
      <c r="L166" s="953"/>
      <c r="M166" s="128"/>
      <c r="O166" s="954"/>
      <c r="P166" s="954"/>
    </row>
    <row r="167" spans="1:16" s="106" customFormat="1">
      <c r="A167" s="128"/>
      <c r="B167" s="128"/>
      <c r="C167" s="128"/>
      <c r="D167" s="128"/>
      <c r="E167" s="128"/>
      <c r="F167" s="128"/>
      <c r="G167" s="953"/>
      <c r="H167" s="128"/>
      <c r="I167" s="128"/>
      <c r="J167" s="128"/>
      <c r="K167" s="128"/>
      <c r="L167" s="953"/>
      <c r="M167" s="128"/>
      <c r="O167" s="954"/>
      <c r="P167" s="954"/>
    </row>
    <row r="168" spans="1:16" s="106" customFormat="1">
      <c r="A168" s="128"/>
      <c r="B168" s="128"/>
      <c r="C168" s="128"/>
      <c r="D168" s="128"/>
      <c r="E168" s="128"/>
      <c r="F168" s="128"/>
      <c r="G168" s="953"/>
      <c r="H168" s="128"/>
      <c r="I168" s="128"/>
      <c r="J168" s="128"/>
      <c r="K168" s="128"/>
      <c r="L168" s="953"/>
      <c r="M168" s="128"/>
      <c r="O168" s="954"/>
      <c r="P168" s="954"/>
    </row>
    <row r="169" spans="1:16" s="106" customFormat="1">
      <c r="A169" s="128"/>
      <c r="B169" s="128"/>
      <c r="C169" s="128"/>
      <c r="D169" s="128"/>
      <c r="E169" s="128"/>
      <c r="F169" s="128"/>
      <c r="G169" s="953"/>
      <c r="H169" s="128"/>
      <c r="I169" s="128"/>
      <c r="J169" s="128"/>
      <c r="K169" s="128"/>
      <c r="L169" s="953"/>
      <c r="M169" s="128"/>
      <c r="O169" s="954"/>
      <c r="P169" s="954"/>
    </row>
    <row r="170" spans="1:16" s="106" customFormat="1">
      <c r="A170" s="128"/>
      <c r="B170" s="128"/>
      <c r="C170" s="128"/>
      <c r="D170" s="128"/>
      <c r="E170" s="128"/>
      <c r="F170" s="128"/>
      <c r="G170" s="953"/>
      <c r="H170" s="128"/>
      <c r="I170" s="128"/>
      <c r="J170" s="128"/>
      <c r="K170" s="128"/>
      <c r="L170" s="953"/>
      <c r="M170" s="128"/>
      <c r="O170" s="954"/>
      <c r="P170" s="954"/>
    </row>
    <row r="171" spans="1:16" s="106" customFormat="1">
      <c r="A171" s="128"/>
      <c r="B171" s="128"/>
      <c r="C171" s="128"/>
      <c r="D171" s="128"/>
      <c r="E171" s="128"/>
      <c r="F171" s="128"/>
      <c r="G171" s="953"/>
      <c r="H171" s="128"/>
      <c r="I171" s="128"/>
      <c r="J171" s="128"/>
      <c r="K171" s="128"/>
      <c r="L171" s="953"/>
      <c r="M171" s="128"/>
      <c r="O171" s="954"/>
      <c r="P171" s="954"/>
    </row>
    <row r="172" spans="1:16" s="106" customFormat="1">
      <c r="A172" s="128"/>
      <c r="B172" s="128"/>
      <c r="C172" s="128"/>
      <c r="D172" s="128"/>
      <c r="E172" s="128"/>
      <c r="F172" s="128"/>
      <c r="G172" s="953"/>
      <c r="H172" s="128"/>
      <c r="I172" s="128"/>
      <c r="J172" s="128"/>
      <c r="K172" s="128"/>
      <c r="L172" s="953"/>
      <c r="M172" s="128"/>
      <c r="O172" s="954"/>
      <c r="P172" s="954"/>
    </row>
    <row r="173" spans="1:16" s="106" customFormat="1">
      <c r="A173" s="128"/>
      <c r="B173" s="128"/>
      <c r="C173" s="128"/>
      <c r="D173" s="128"/>
      <c r="E173" s="128"/>
      <c r="F173" s="128"/>
      <c r="G173" s="953"/>
      <c r="H173" s="128"/>
      <c r="I173" s="128"/>
      <c r="J173" s="128"/>
      <c r="K173" s="128"/>
      <c r="L173" s="953"/>
      <c r="M173" s="128"/>
      <c r="O173" s="954"/>
      <c r="P173" s="954"/>
    </row>
    <row r="174" spans="1:16" s="106" customFormat="1">
      <c r="A174" s="128"/>
      <c r="B174" s="128"/>
      <c r="C174" s="128"/>
      <c r="D174" s="128"/>
      <c r="E174" s="128"/>
      <c r="F174" s="128"/>
      <c r="G174" s="953"/>
      <c r="H174" s="128"/>
      <c r="I174" s="128"/>
      <c r="J174" s="128"/>
      <c r="K174" s="128"/>
      <c r="L174" s="953"/>
      <c r="M174" s="128"/>
      <c r="O174" s="954"/>
      <c r="P174" s="954"/>
    </row>
    <row r="175" spans="1:16" s="106" customFormat="1">
      <c r="A175" s="128"/>
      <c r="B175" s="128"/>
      <c r="C175" s="128"/>
      <c r="D175" s="128"/>
      <c r="E175" s="128"/>
      <c r="F175" s="128"/>
      <c r="G175" s="953"/>
      <c r="H175" s="128"/>
      <c r="I175" s="128"/>
      <c r="J175" s="128"/>
      <c r="K175" s="128"/>
      <c r="L175" s="953"/>
      <c r="M175" s="128"/>
      <c r="O175" s="954"/>
      <c r="P175" s="954"/>
    </row>
    <row r="176" spans="1:16" s="106" customFormat="1">
      <c r="A176" s="128"/>
      <c r="B176" s="128"/>
      <c r="C176" s="128"/>
      <c r="D176" s="128"/>
      <c r="E176" s="128"/>
      <c r="F176" s="128"/>
      <c r="G176" s="953"/>
      <c r="H176" s="128"/>
      <c r="I176" s="128"/>
      <c r="J176" s="128"/>
      <c r="K176" s="128"/>
      <c r="L176" s="953"/>
      <c r="M176" s="128"/>
      <c r="O176" s="954"/>
      <c r="P176" s="954"/>
    </row>
    <row r="177" spans="1:16" s="106" customFormat="1">
      <c r="A177" s="128"/>
      <c r="B177" s="128"/>
      <c r="C177" s="128"/>
      <c r="D177" s="128"/>
      <c r="E177" s="128"/>
      <c r="F177" s="128"/>
      <c r="G177" s="953"/>
      <c r="H177" s="128"/>
      <c r="I177" s="128"/>
      <c r="J177" s="128"/>
      <c r="K177" s="128"/>
      <c r="L177" s="953"/>
      <c r="M177" s="128"/>
      <c r="O177" s="954"/>
      <c r="P177" s="954"/>
    </row>
    <row r="178" spans="1:16" s="106" customFormat="1">
      <c r="A178" s="128"/>
      <c r="B178" s="128"/>
      <c r="C178" s="128"/>
      <c r="D178" s="128"/>
      <c r="E178" s="128"/>
      <c r="F178" s="128"/>
      <c r="G178" s="953"/>
      <c r="H178" s="128"/>
      <c r="I178" s="128"/>
      <c r="J178" s="128"/>
      <c r="K178" s="128"/>
      <c r="L178" s="953"/>
      <c r="M178" s="128"/>
      <c r="O178" s="954"/>
      <c r="P178" s="954"/>
    </row>
    <row r="179" spans="1:16" s="106" customFormat="1">
      <c r="A179" s="128"/>
      <c r="B179" s="128"/>
      <c r="C179" s="128"/>
      <c r="D179" s="128"/>
      <c r="E179" s="128"/>
      <c r="F179" s="128"/>
      <c r="G179" s="953"/>
      <c r="H179" s="128"/>
      <c r="I179" s="128"/>
      <c r="J179" s="128"/>
      <c r="K179" s="128"/>
      <c r="L179" s="953"/>
      <c r="M179" s="128"/>
      <c r="O179" s="954"/>
      <c r="P179" s="954"/>
    </row>
    <row r="180" spans="1:16" s="106" customFormat="1">
      <c r="A180" s="128"/>
      <c r="B180" s="128"/>
      <c r="C180" s="128"/>
      <c r="D180" s="128"/>
      <c r="E180" s="128"/>
      <c r="F180" s="128"/>
      <c r="G180" s="953"/>
      <c r="H180" s="128"/>
      <c r="I180" s="128"/>
      <c r="J180" s="128"/>
      <c r="K180" s="128"/>
      <c r="L180" s="953"/>
      <c r="M180" s="128"/>
      <c r="O180" s="954"/>
      <c r="P180" s="954"/>
    </row>
    <row r="181" spans="1:16" s="106" customFormat="1">
      <c r="A181" s="128"/>
      <c r="B181" s="128"/>
      <c r="C181" s="128"/>
      <c r="D181" s="128"/>
      <c r="E181" s="128"/>
      <c r="F181" s="128"/>
      <c r="G181" s="953"/>
      <c r="H181" s="128"/>
      <c r="I181" s="128"/>
      <c r="J181" s="128"/>
      <c r="K181" s="128"/>
      <c r="L181" s="953"/>
      <c r="M181" s="128"/>
      <c r="O181" s="954"/>
      <c r="P181" s="954"/>
    </row>
    <row r="182" spans="1:16" s="106" customFormat="1">
      <c r="A182" s="128"/>
      <c r="B182" s="128"/>
      <c r="C182" s="128"/>
      <c r="D182" s="128"/>
      <c r="E182" s="128"/>
      <c r="F182" s="128"/>
      <c r="G182" s="953"/>
      <c r="H182" s="128"/>
      <c r="I182" s="128"/>
      <c r="J182" s="128"/>
      <c r="K182" s="128"/>
      <c r="L182" s="953"/>
      <c r="M182" s="128"/>
      <c r="O182" s="954"/>
      <c r="P182" s="954"/>
    </row>
    <row r="183" spans="1:16" s="106" customFormat="1">
      <c r="A183" s="128"/>
      <c r="B183" s="128"/>
      <c r="C183" s="128"/>
      <c r="D183" s="128"/>
      <c r="E183" s="128"/>
      <c r="F183" s="128"/>
      <c r="G183" s="953"/>
      <c r="H183" s="128"/>
      <c r="I183" s="128"/>
      <c r="J183" s="128"/>
      <c r="K183" s="128"/>
      <c r="L183" s="953"/>
      <c r="M183" s="128"/>
      <c r="O183" s="954"/>
      <c r="P183" s="954"/>
    </row>
    <row r="184" spans="1:16" s="106" customFormat="1">
      <c r="A184" s="128"/>
      <c r="B184" s="128"/>
      <c r="C184" s="128"/>
      <c r="D184" s="128"/>
      <c r="E184" s="128"/>
      <c r="F184" s="128"/>
      <c r="G184" s="953"/>
      <c r="H184" s="128"/>
      <c r="I184" s="128"/>
      <c r="J184" s="128"/>
      <c r="K184" s="128"/>
      <c r="L184" s="953"/>
      <c r="M184" s="128"/>
      <c r="O184" s="954"/>
      <c r="P184" s="954"/>
    </row>
    <row r="185" spans="1:16" s="106" customFormat="1">
      <c r="A185" s="128"/>
      <c r="B185" s="128"/>
      <c r="C185" s="128"/>
      <c r="D185" s="128"/>
      <c r="E185" s="128"/>
      <c r="F185" s="128"/>
      <c r="G185" s="953"/>
      <c r="H185" s="128"/>
      <c r="I185" s="128"/>
      <c r="J185" s="128"/>
      <c r="K185" s="128"/>
      <c r="L185" s="953"/>
      <c r="M185" s="128"/>
      <c r="O185" s="954"/>
      <c r="P185" s="954"/>
    </row>
    <row r="186" spans="1:16" s="106" customFormat="1">
      <c r="A186" s="128"/>
      <c r="B186" s="128"/>
      <c r="C186" s="128"/>
      <c r="D186" s="128"/>
      <c r="E186" s="128"/>
      <c r="F186" s="128"/>
      <c r="G186" s="953"/>
      <c r="H186" s="128"/>
      <c r="I186" s="128"/>
      <c r="J186" s="128"/>
      <c r="K186" s="128"/>
      <c r="L186" s="953"/>
      <c r="M186" s="128"/>
      <c r="O186" s="954"/>
      <c r="P186" s="954"/>
    </row>
    <row r="187" spans="1:16" s="106" customFormat="1">
      <c r="A187" s="128"/>
      <c r="B187" s="128"/>
      <c r="C187" s="128"/>
      <c r="D187" s="128"/>
      <c r="E187" s="128"/>
      <c r="F187" s="128"/>
      <c r="G187" s="953"/>
      <c r="H187" s="128"/>
      <c r="I187" s="128"/>
      <c r="J187" s="128"/>
      <c r="K187" s="128"/>
      <c r="L187" s="953"/>
      <c r="M187" s="128"/>
      <c r="O187" s="954"/>
      <c r="P187" s="954"/>
    </row>
    <row r="188" spans="1:16" s="106" customFormat="1">
      <c r="A188" s="128"/>
      <c r="B188" s="128"/>
      <c r="C188" s="128"/>
      <c r="D188" s="128"/>
      <c r="E188" s="128"/>
      <c r="F188" s="128"/>
      <c r="G188" s="953"/>
      <c r="H188" s="128"/>
      <c r="I188" s="128"/>
      <c r="J188" s="128"/>
      <c r="K188" s="128"/>
      <c r="L188" s="953"/>
      <c r="M188" s="128"/>
      <c r="O188" s="954"/>
      <c r="P188" s="954"/>
    </row>
    <row r="189" spans="1:16" s="106" customFormat="1">
      <c r="A189" s="128"/>
      <c r="B189" s="128"/>
      <c r="C189" s="128"/>
      <c r="D189" s="128"/>
      <c r="E189" s="128"/>
      <c r="F189" s="128"/>
      <c r="G189" s="953"/>
      <c r="H189" s="128"/>
      <c r="I189" s="128"/>
      <c r="J189" s="128"/>
      <c r="K189" s="128"/>
      <c r="L189" s="953"/>
      <c r="M189" s="128"/>
      <c r="O189" s="954"/>
      <c r="P189" s="954"/>
    </row>
    <row r="190" spans="1:16" s="106" customFormat="1">
      <c r="A190" s="128"/>
      <c r="B190" s="128"/>
      <c r="C190" s="128"/>
      <c r="D190" s="128"/>
      <c r="E190" s="128"/>
      <c r="F190" s="128"/>
      <c r="G190" s="953"/>
      <c r="H190" s="128"/>
      <c r="I190" s="128"/>
      <c r="J190" s="128"/>
      <c r="K190" s="128"/>
      <c r="L190" s="953"/>
      <c r="M190" s="128"/>
      <c r="O190" s="954"/>
      <c r="P190" s="954"/>
    </row>
    <row r="191" spans="1:16" s="106" customFormat="1">
      <c r="A191" s="128"/>
      <c r="B191" s="128"/>
      <c r="C191" s="128"/>
      <c r="D191" s="128"/>
      <c r="E191" s="128"/>
      <c r="F191" s="128"/>
      <c r="G191" s="953"/>
      <c r="H191" s="128"/>
      <c r="I191" s="128"/>
      <c r="J191" s="128"/>
      <c r="K191" s="128"/>
      <c r="L191" s="953"/>
      <c r="M191" s="128"/>
      <c r="O191" s="954"/>
      <c r="P191" s="954"/>
    </row>
    <row r="192" spans="1:16" s="106" customFormat="1">
      <c r="A192" s="128"/>
      <c r="B192" s="128"/>
      <c r="C192" s="128"/>
      <c r="D192" s="128"/>
      <c r="E192" s="128"/>
      <c r="F192" s="128"/>
      <c r="G192" s="953"/>
      <c r="H192" s="128"/>
      <c r="I192" s="128"/>
      <c r="J192" s="128"/>
      <c r="K192" s="128"/>
      <c r="L192" s="953"/>
      <c r="M192" s="128"/>
      <c r="O192" s="954"/>
      <c r="P192" s="954"/>
    </row>
    <row r="193" spans="1:16" s="106" customFormat="1">
      <c r="A193" s="128"/>
      <c r="B193" s="128"/>
      <c r="C193" s="128"/>
      <c r="D193" s="128"/>
      <c r="E193" s="128"/>
      <c r="F193" s="128"/>
      <c r="G193" s="953"/>
      <c r="H193" s="128"/>
      <c r="I193" s="128"/>
      <c r="J193" s="128"/>
      <c r="K193" s="128"/>
      <c r="L193" s="953"/>
      <c r="M193" s="128"/>
      <c r="O193" s="954"/>
      <c r="P193" s="954"/>
    </row>
    <row r="194" spans="1:16" s="106" customFormat="1">
      <c r="A194" s="128"/>
      <c r="B194" s="128"/>
      <c r="C194" s="128"/>
      <c r="D194" s="128"/>
      <c r="E194" s="128"/>
      <c r="F194" s="128"/>
      <c r="G194" s="953"/>
      <c r="H194" s="128"/>
      <c r="I194" s="128"/>
      <c r="J194" s="128"/>
      <c r="K194" s="128"/>
      <c r="L194" s="953"/>
      <c r="M194" s="128"/>
      <c r="O194" s="954"/>
      <c r="P194" s="954"/>
    </row>
    <row r="195" spans="1:16" s="106" customFormat="1">
      <c r="A195" s="128"/>
      <c r="B195" s="128"/>
      <c r="C195" s="128"/>
      <c r="D195" s="128"/>
      <c r="E195" s="128"/>
      <c r="F195" s="128"/>
      <c r="G195" s="953"/>
      <c r="H195" s="128"/>
      <c r="I195" s="128"/>
      <c r="J195" s="128"/>
      <c r="K195" s="128"/>
      <c r="L195" s="953"/>
      <c r="M195" s="128"/>
      <c r="O195" s="954"/>
      <c r="P195" s="954"/>
    </row>
    <row r="196" spans="1:16" s="106" customFormat="1">
      <c r="A196" s="128"/>
      <c r="B196" s="128"/>
      <c r="C196" s="128"/>
      <c r="D196" s="128"/>
      <c r="E196" s="128"/>
      <c r="F196" s="128"/>
      <c r="G196" s="953"/>
      <c r="H196" s="128"/>
      <c r="I196" s="128"/>
      <c r="J196" s="128"/>
      <c r="K196" s="128"/>
      <c r="L196" s="953"/>
      <c r="M196" s="128"/>
      <c r="O196" s="954"/>
      <c r="P196" s="954"/>
    </row>
    <row r="197" spans="1:16" s="106" customFormat="1">
      <c r="A197" s="128"/>
      <c r="B197" s="128"/>
      <c r="C197" s="128"/>
      <c r="D197" s="128"/>
      <c r="E197" s="128"/>
      <c r="F197" s="128"/>
      <c r="G197" s="953"/>
      <c r="H197" s="128"/>
      <c r="I197" s="128"/>
      <c r="J197" s="128"/>
      <c r="K197" s="128"/>
      <c r="L197" s="953"/>
      <c r="M197" s="128"/>
      <c r="O197" s="954"/>
      <c r="P197" s="954"/>
    </row>
    <row r="198" spans="1:16" s="106" customFormat="1">
      <c r="A198" s="128"/>
      <c r="B198" s="128"/>
      <c r="C198" s="128"/>
      <c r="D198" s="128"/>
      <c r="E198" s="128"/>
      <c r="F198" s="128"/>
      <c r="G198" s="953"/>
      <c r="H198" s="128"/>
      <c r="I198" s="128"/>
      <c r="J198" s="128"/>
      <c r="K198" s="128"/>
      <c r="L198" s="953"/>
      <c r="M198" s="128"/>
      <c r="O198" s="954"/>
      <c r="P198" s="954"/>
    </row>
    <row r="199" spans="1:16" s="106" customFormat="1">
      <c r="A199" s="128"/>
      <c r="B199" s="128"/>
      <c r="C199" s="128"/>
      <c r="D199" s="128"/>
      <c r="E199" s="128"/>
      <c r="F199" s="128"/>
      <c r="G199" s="953"/>
      <c r="H199" s="128"/>
      <c r="I199" s="128"/>
      <c r="J199" s="128"/>
      <c r="K199" s="128"/>
      <c r="L199" s="953"/>
      <c r="M199" s="128"/>
      <c r="O199" s="954"/>
      <c r="P199" s="954"/>
    </row>
    <row r="200" spans="1:16" s="106" customFormat="1">
      <c r="A200" s="128"/>
      <c r="B200" s="128"/>
      <c r="C200" s="128"/>
      <c r="D200" s="128"/>
      <c r="E200" s="128"/>
      <c r="F200" s="128"/>
      <c r="G200" s="953"/>
      <c r="H200" s="128"/>
      <c r="I200" s="128"/>
      <c r="J200" s="128"/>
      <c r="K200" s="128"/>
      <c r="L200" s="953"/>
      <c r="M200" s="128"/>
      <c r="O200" s="954"/>
      <c r="P200" s="954"/>
    </row>
    <row r="201" spans="1:16" s="106" customFormat="1">
      <c r="A201" s="128"/>
      <c r="B201" s="128"/>
      <c r="C201" s="128"/>
      <c r="D201" s="128"/>
      <c r="E201" s="128"/>
      <c r="F201" s="128"/>
      <c r="G201" s="953"/>
      <c r="H201" s="128"/>
      <c r="I201" s="128"/>
      <c r="J201" s="128"/>
      <c r="K201" s="128"/>
      <c r="L201" s="953"/>
      <c r="M201" s="128"/>
      <c r="O201" s="954"/>
      <c r="P201" s="954"/>
    </row>
    <row r="202" spans="1:16" s="106" customFormat="1">
      <c r="A202" s="128"/>
      <c r="B202" s="128"/>
      <c r="C202" s="128"/>
      <c r="D202" s="128"/>
      <c r="E202" s="128"/>
      <c r="F202" s="128"/>
      <c r="G202" s="953"/>
      <c r="H202" s="128"/>
      <c r="I202" s="128"/>
      <c r="J202" s="128"/>
      <c r="K202" s="128"/>
      <c r="L202" s="953"/>
      <c r="M202" s="128"/>
      <c r="O202" s="954"/>
      <c r="P202" s="954"/>
    </row>
    <row r="203" spans="1:16" s="106" customFormat="1">
      <c r="A203" s="128"/>
      <c r="B203" s="128"/>
      <c r="C203" s="128"/>
      <c r="D203" s="128"/>
      <c r="E203" s="128"/>
      <c r="F203" s="128"/>
      <c r="G203" s="953"/>
      <c r="H203" s="128"/>
      <c r="I203" s="128"/>
      <c r="J203" s="128"/>
      <c r="K203" s="128"/>
      <c r="L203" s="953"/>
      <c r="M203" s="128"/>
      <c r="O203" s="954"/>
      <c r="P203" s="954"/>
    </row>
    <row r="204" spans="1:16" s="106" customFormat="1">
      <c r="A204" s="128"/>
      <c r="B204" s="128"/>
      <c r="C204" s="128"/>
      <c r="D204" s="128"/>
      <c r="E204" s="128"/>
      <c r="F204" s="128"/>
      <c r="G204" s="953"/>
      <c r="H204" s="128"/>
      <c r="I204" s="128"/>
      <c r="J204" s="128"/>
      <c r="K204" s="128"/>
      <c r="L204" s="953"/>
      <c r="M204" s="128"/>
      <c r="O204" s="954"/>
      <c r="P204" s="954"/>
    </row>
    <row r="205" spans="1:16" s="106" customFormat="1">
      <c r="A205" s="128"/>
      <c r="B205" s="128"/>
      <c r="C205" s="128"/>
      <c r="D205" s="128"/>
      <c r="E205" s="128"/>
      <c r="F205" s="128"/>
      <c r="G205" s="953"/>
      <c r="H205" s="128"/>
      <c r="I205" s="128"/>
      <c r="J205" s="128"/>
      <c r="K205" s="128"/>
      <c r="L205" s="953"/>
      <c r="M205" s="128"/>
      <c r="O205" s="954"/>
      <c r="P205" s="954"/>
    </row>
    <row r="206" spans="1:16" s="106" customFormat="1">
      <c r="A206" s="128"/>
      <c r="B206" s="128"/>
      <c r="C206" s="128"/>
      <c r="D206" s="128"/>
      <c r="E206" s="128"/>
      <c r="F206" s="128"/>
      <c r="G206" s="953"/>
      <c r="H206" s="128"/>
      <c r="I206" s="128"/>
      <c r="J206" s="128"/>
      <c r="K206" s="128"/>
      <c r="L206" s="953"/>
      <c r="M206" s="128"/>
      <c r="O206" s="954"/>
      <c r="P206" s="954"/>
    </row>
    <row r="207" spans="1:16" s="106" customFormat="1">
      <c r="A207" s="128"/>
      <c r="B207" s="128"/>
      <c r="C207" s="128"/>
      <c r="D207" s="128"/>
      <c r="E207" s="128"/>
      <c r="F207" s="128"/>
      <c r="G207" s="953"/>
      <c r="H207" s="128"/>
      <c r="I207" s="128"/>
      <c r="J207" s="128"/>
      <c r="K207" s="128"/>
      <c r="L207" s="953"/>
      <c r="M207" s="128"/>
      <c r="O207" s="954"/>
      <c r="P207" s="954"/>
    </row>
    <row r="208" spans="1:16" s="106" customFormat="1">
      <c r="A208" s="128"/>
      <c r="B208" s="128"/>
      <c r="C208" s="128"/>
      <c r="D208" s="128"/>
      <c r="E208" s="128"/>
      <c r="F208" s="128"/>
      <c r="G208" s="953"/>
      <c r="H208" s="128"/>
      <c r="I208" s="128"/>
      <c r="J208" s="128"/>
      <c r="K208" s="128"/>
      <c r="L208" s="953"/>
      <c r="M208" s="128"/>
      <c r="O208" s="954"/>
      <c r="P208" s="954"/>
    </row>
    <row r="209" spans="1:16" s="106" customFormat="1">
      <c r="A209" s="128"/>
      <c r="B209" s="128"/>
      <c r="C209" s="128"/>
      <c r="D209" s="128"/>
      <c r="E209" s="128"/>
      <c r="F209" s="128"/>
      <c r="G209" s="953"/>
      <c r="H209" s="128"/>
      <c r="I209" s="128"/>
      <c r="J209" s="128"/>
      <c r="K209" s="128"/>
      <c r="L209" s="953"/>
      <c r="M209" s="128"/>
      <c r="O209" s="954"/>
      <c r="P209" s="954"/>
    </row>
    <row r="210" spans="1:16" s="106" customFormat="1">
      <c r="A210" s="128"/>
      <c r="B210" s="128"/>
      <c r="C210" s="128"/>
      <c r="D210" s="128"/>
      <c r="E210" s="128"/>
      <c r="F210" s="128"/>
      <c r="G210" s="953"/>
      <c r="H210" s="128"/>
      <c r="I210" s="128"/>
      <c r="J210" s="128"/>
      <c r="K210" s="128"/>
      <c r="L210" s="953"/>
      <c r="M210" s="128"/>
      <c r="O210" s="954"/>
      <c r="P210" s="954"/>
    </row>
    <row r="211" spans="1:16" s="106" customFormat="1">
      <c r="A211" s="128"/>
      <c r="B211" s="128"/>
      <c r="C211" s="128"/>
      <c r="D211" s="128"/>
      <c r="E211" s="128"/>
      <c r="F211" s="128"/>
      <c r="G211" s="953"/>
      <c r="H211" s="128"/>
      <c r="I211" s="128"/>
      <c r="J211" s="128"/>
      <c r="K211" s="128"/>
      <c r="L211" s="953"/>
      <c r="M211" s="128"/>
      <c r="O211" s="954"/>
      <c r="P211" s="954"/>
    </row>
    <row r="212" spans="1:16" s="106" customFormat="1">
      <c r="A212" s="128"/>
      <c r="B212" s="128"/>
      <c r="C212" s="128"/>
      <c r="D212" s="128"/>
      <c r="E212" s="128"/>
      <c r="F212" s="128"/>
      <c r="G212" s="953"/>
      <c r="H212" s="128"/>
      <c r="I212" s="128"/>
      <c r="J212" s="128"/>
      <c r="K212" s="128"/>
      <c r="L212" s="953"/>
      <c r="M212" s="128"/>
      <c r="O212" s="954"/>
      <c r="P212" s="954"/>
    </row>
    <row r="213" spans="1:16" s="106" customFormat="1">
      <c r="A213" s="128"/>
      <c r="B213" s="128"/>
      <c r="C213" s="128"/>
      <c r="D213" s="128"/>
      <c r="E213" s="128"/>
      <c r="F213" s="128"/>
      <c r="G213" s="953"/>
      <c r="H213" s="128"/>
      <c r="I213" s="128"/>
      <c r="J213" s="128"/>
      <c r="K213" s="128"/>
      <c r="L213" s="953"/>
      <c r="M213" s="128"/>
      <c r="O213" s="954"/>
      <c r="P213" s="954"/>
    </row>
    <row r="214" spans="1:16" s="106" customFormat="1">
      <c r="A214" s="128"/>
      <c r="B214" s="128"/>
      <c r="C214" s="128"/>
      <c r="D214" s="128"/>
      <c r="E214" s="128"/>
      <c r="F214" s="128"/>
      <c r="G214" s="953"/>
      <c r="H214" s="128"/>
      <c r="I214" s="128"/>
      <c r="J214" s="128"/>
      <c r="K214" s="128"/>
      <c r="L214" s="953"/>
      <c r="M214" s="128"/>
      <c r="O214" s="954"/>
      <c r="P214" s="954"/>
    </row>
    <row r="215" spans="1:16" s="106" customFormat="1">
      <c r="A215" s="128"/>
      <c r="B215" s="128"/>
      <c r="C215" s="128"/>
      <c r="D215" s="128"/>
      <c r="E215" s="128"/>
      <c r="F215" s="128"/>
      <c r="G215" s="953"/>
      <c r="H215" s="128"/>
      <c r="I215" s="128"/>
      <c r="J215" s="128"/>
      <c r="K215" s="128"/>
      <c r="L215" s="953"/>
      <c r="M215" s="128"/>
      <c r="O215" s="954"/>
      <c r="P215" s="954"/>
    </row>
    <row r="216" spans="1:16" s="106" customFormat="1">
      <c r="A216" s="128"/>
      <c r="B216" s="128"/>
      <c r="C216" s="128"/>
      <c r="D216" s="128"/>
      <c r="E216" s="128"/>
      <c r="F216" s="128"/>
      <c r="G216" s="953"/>
      <c r="H216" s="128"/>
      <c r="I216" s="128"/>
      <c r="J216" s="128"/>
      <c r="K216" s="128"/>
      <c r="L216" s="953"/>
      <c r="M216" s="128"/>
      <c r="O216" s="954"/>
      <c r="P216" s="954"/>
    </row>
    <row r="217" spans="1:16" s="106" customFormat="1">
      <c r="A217" s="128"/>
      <c r="B217" s="128"/>
      <c r="C217" s="128"/>
      <c r="D217" s="128"/>
      <c r="E217" s="128"/>
      <c r="F217" s="128"/>
      <c r="G217" s="953"/>
      <c r="H217" s="128"/>
      <c r="I217" s="128"/>
      <c r="J217" s="128"/>
      <c r="K217" s="128"/>
      <c r="L217" s="953"/>
      <c r="M217" s="128"/>
      <c r="O217" s="954"/>
      <c r="P217" s="954"/>
    </row>
    <row r="218" spans="1:16" s="106" customFormat="1">
      <c r="A218" s="128"/>
      <c r="B218" s="128"/>
      <c r="C218" s="128"/>
      <c r="D218" s="128"/>
      <c r="E218" s="128"/>
      <c r="F218" s="128"/>
      <c r="G218" s="953"/>
      <c r="H218" s="128"/>
      <c r="I218" s="128"/>
      <c r="J218" s="128"/>
      <c r="K218" s="128"/>
      <c r="L218" s="953"/>
      <c r="M218" s="128"/>
      <c r="O218" s="954"/>
      <c r="P218" s="954"/>
    </row>
    <row r="219" spans="1:16" s="106" customFormat="1">
      <c r="A219" s="128"/>
      <c r="B219" s="128"/>
      <c r="C219" s="128"/>
      <c r="D219" s="128"/>
      <c r="E219" s="128"/>
      <c r="F219" s="128"/>
      <c r="G219" s="953"/>
      <c r="H219" s="128"/>
      <c r="I219" s="128"/>
      <c r="J219" s="128"/>
      <c r="K219" s="128"/>
      <c r="L219" s="953"/>
      <c r="M219" s="128"/>
      <c r="O219" s="954"/>
      <c r="P219" s="954"/>
    </row>
    <row r="220" spans="1:16" s="106" customFormat="1">
      <c r="A220" s="128"/>
      <c r="B220" s="128"/>
      <c r="C220" s="128"/>
      <c r="D220" s="128"/>
      <c r="E220" s="128"/>
      <c r="F220" s="128"/>
      <c r="G220" s="953"/>
      <c r="H220" s="128"/>
      <c r="I220" s="128"/>
      <c r="J220" s="128"/>
      <c r="K220" s="128"/>
      <c r="L220" s="953"/>
      <c r="M220" s="128"/>
      <c r="O220" s="954"/>
      <c r="P220" s="954"/>
    </row>
    <row r="221" spans="1:16" s="106" customFormat="1">
      <c r="A221" s="128"/>
      <c r="B221" s="128"/>
      <c r="C221" s="128"/>
      <c r="D221" s="128"/>
      <c r="E221" s="128"/>
      <c r="F221" s="128"/>
      <c r="G221" s="953"/>
      <c r="H221" s="128"/>
      <c r="I221" s="128"/>
      <c r="J221" s="128"/>
      <c r="K221" s="128"/>
      <c r="L221" s="953"/>
      <c r="M221" s="128"/>
      <c r="O221" s="954"/>
      <c r="P221" s="954"/>
    </row>
    <row r="222" spans="1:16" s="106" customFormat="1">
      <c r="A222" s="128"/>
      <c r="B222" s="128"/>
      <c r="C222" s="128"/>
      <c r="D222" s="128"/>
      <c r="E222" s="128"/>
      <c r="F222" s="128"/>
      <c r="G222" s="953"/>
      <c r="H222" s="128"/>
      <c r="I222" s="128"/>
      <c r="J222" s="128"/>
      <c r="K222" s="128"/>
      <c r="L222" s="953"/>
      <c r="M222" s="128"/>
      <c r="O222" s="954"/>
      <c r="P222" s="954"/>
    </row>
    <row r="223" spans="1:16" s="106" customFormat="1">
      <c r="A223" s="128"/>
      <c r="B223" s="128"/>
      <c r="C223" s="128"/>
      <c r="D223" s="128"/>
      <c r="E223" s="128"/>
      <c r="F223" s="128"/>
      <c r="G223" s="953"/>
      <c r="H223" s="128"/>
      <c r="I223" s="128"/>
      <c r="J223" s="128"/>
      <c r="K223" s="128"/>
      <c r="L223" s="953"/>
      <c r="M223" s="128"/>
      <c r="O223" s="954"/>
      <c r="P223" s="954"/>
    </row>
    <row r="224" spans="1:16" s="106" customFormat="1">
      <c r="A224" s="128"/>
      <c r="B224" s="128"/>
      <c r="C224" s="128"/>
      <c r="D224" s="128"/>
      <c r="E224" s="128"/>
      <c r="F224" s="128"/>
      <c r="G224" s="953"/>
      <c r="H224" s="128"/>
      <c r="I224" s="128"/>
      <c r="J224" s="128"/>
      <c r="K224" s="128"/>
      <c r="L224" s="953"/>
      <c r="M224" s="128"/>
      <c r="O224" s="954"/>
      <c r="P224" s="954"/>
    </row>
    <row r="225" spans="1:16" s="106" customFormat="1">
      <c r="A225" s="128"/>
      <c r="B225" s="128"/>
      <c r="C225" s="128"/>
      <c r="D225" s="128"/>
      <c r="E225" s="128"/>
      <c r="F225" s="128"/>
      <c r="G225" s="953"/>
      <c r="H225" s="128"/>
      <c r="I225" s="128"/>
      <c r="J225" s="128"/>
      <c r="K225" s="128"/>
      <c r="L225" s="953"/>
      <c r="M225" s="128"/>
      <c r="O225" s="954"/>
      <c r="P225" s="954"/>
    </row>
    <row r="226" spans="1:16" s="106" customFormat="1">
      <c r="A226" s="128"/>
      <c r="B226" s="128"/>
      <c r="C226" s="128"/>
      <c r="D226" s="128"/>
      <c r="E226" s="128"/>
      <c r="F226" s="128"/>
      <c r="G226" s="953"/>
      <c r="H226" s="128"/>
      <c r="I226" s="128"/>
      <c r="J226" s="128"/>
      <c r="K226" s="128"/>
      <c r="L226" s="953"/>
      <c r="M226" s="128"/>
      <c r="O226" s="954"/>
      <c r="P226" s="954"/>
    </row>
    <row r="227" spans="1:16" s="106" customFormat="1">
      <c r="A227" s="128"/>
      <c r="B227" s="128"/>
      <c r="C227" s="128"/>
      <c r="D227" s="128"/>
      <c r="E227" s="128"/>
      <c r="F227" s="128"/>
      <c r="G227" s="953"/>
      <c r="H227" s="128"/>
      <c r="I227" s="128"/>
      <c r="J227" s="128"/>
      <c r="K227" s="128"/>
      <c r="L227" s="953"/>
      <c r="M227" s="128"/>
      <c r="O227" s="954"/>
      <c r="P227" s="954"/>
    </row>
    <row r="228" spans="1:16" s="106" customFormat="1">
      <c r="A228" s="128"/>
      <c r="B228" s="128"/>
      <c r="C228" s="128"/>
      <c r="D228" s="128"/>
      <c r="E228" s="128"/>
      <c r="F228" s="128"/>
      <c r="G228" s="953"/>
      <c r="H228" s="128"/>
      <c r="I228" s="128"/>
      <c r="J228" s="128"/>
      <c r="K228" s="128"/>
      <c r="L228" s="953"/>
      <c r="M228" s="128"/>
      <c r="O228" s="954"/>
      <c r="P228" s="954"/>
    </row>
    <row r="229" spans="1:16" s="106" customFormat="1">
      <c r="A229" s="128"/>
      <c r="B229" s="128"/>
      <c r="C229" s="128"/>
      <c r="D229" s="128"/>
      <c r="E229" s="128"/>
      <c r="F229" s="128"/>
      <c r="G229" s="953"/>
      <c r="H229" s="128"/>
      <c r="I229" s="128"/>
      <c r="J229" s="128"/>
      <c r="K229" s="128"/>
      <c r="L229" s="953"/>
      <c r="M229" s="128"/>
      <c r="O229" s="954"/>
      <c r="P229" s="954"/>
    </row>
    <row r="230" spans="1:16" s="106" customFormat="1">
      <c r="A230" s="128"/>
      <c r="B230" s="128"/>
      <c r="C230" s="128"/>
      <c r="D230" s="128"/>
      <c r="E230" s="128"/>
      <c r="F230" s="128"/>
      <c r="G230" s="953"/>
      <c r="H230" s="128"/>
      <c r="I230" s="128"/>
      <c r="J230" s="128"/>
      <c r="K230" s="128"/>
      <c r="L230" s="953"/>
      <c r="M230" s="128"/>
      <c r="O230" s="954"/>
      <c r="P230" s="954"/>
    </row>
    <row r="231" spans="1:16" s="106" customFormat="1">
      <c r="A231" s="128"/>
      <c r="B231" s="128"/>
      <c r="C231" s="128"/>
      <c r="D231" s="128"/>
      <c r="E231" s="128"/>
      <c r="F231" s="128"/>
      <c r="G231" s="953"/>
      <c r="H231" s="128"/>
      <c r="I231" s="128"/>
      <c r="J231" s="128"/>
      <c r="K231" s="128"/>
      <c r="L231" s="953"/>
      <c r="M231" s="128"/>
      <c r="O231" s="954"/>
      <c r="P231" s="954"/>
    </row>
    <row r="232" spans="1:16" s="106" customFormat="1">
      <c r="A232" s="128"/>
      <c r="B232" s="128"/>
      <c r="C232" s="128"/>
      <c r="D232" s="128"/>
      <c r="E232" s="128"/>
      <c r="F232" s="128"/>
      <c r="G232" s="953"/>
      <c r="H232" s="128"/>
      <c r="I232" s="128"/>
      <c r="J232" s="128"/>
      <c r="K232" s="128"/>
      <c r="L232" s="953"/>
      <c r="M232" s="128"/>
      <c r="O232" s="954"/>
      <c r="P232" s="954"/>
    </row>
    <row r="233" spans="1:16" s="106" customFormat="1">
      <c r="A233" s="128"/>
      <c r="B233" s="128"/>
      <c r="C233" s="128"/>
      <c r="D233" s="128"/>
      <c r="E233" s="128"/>
      <c r="F233" s="128"/>
      <c r="G233" s="953"/>
      <c r="H233" s="128"/>
      <c r="I233" s="128"/>
      <c r="J233" s="128"/>
      <c r="K233" s="128"/>
      <c r="L233" s="953"/>
      <c r="M233" s="128"/>
      <c r="O233" s="954"/>
      <c r="P233" s="954"/>
    </row>
    <row r="234" spans="1:16" s="106" customFormat="1">
      <c r="A234" s="128"/>
      <c r="B234" s="128"/>
      <c r="C234" s="128"/>
      <c r="D234" s="128"/>
      <c r="E234" s="128"/>
      <c r="F234" s="128"/>
      <c r="G234" s="953"/>
      <c r="H234" s="128"/>
      <c r="I234" s="128"/>
      <c r="J234" s="128"/>
      <c r="K234" s="128"/>
      <c r="L234" s="953"/>
      <c r="M234" s="128"/>
      <c r="O234" s="954"/>
      <c r="P234" s="954"/>
    </row>
    <row r="235" spans="1:16" s="106" customFormat="1">
      <c r="A235" s="128"/>
      <c r="B235" s="128"/>
      <c r="C235" s="128"/>
      <c r="D235" s="128"/>
      <c r="E235" s="128"/>
      <c r="F235" s="128"/>
      <c r="G235" s="953"/>
      <c r="H235" s="128"/>
      <c r="I235" s="128"/>
      <c r="J235" s="128"/>
      <c r="K235" s="128"/>
      <c r="L235" s="953"/>
      <c r="M235" s="128"/>
      <c r="O235" s="954"/>
      <c r="P235" s="954"/>
    </row>
    <row r="236" spans="1:16" s="106" customFormat="1">
      <c r="A236" s="128"/>
      <c r="B236" s="128"/>
      <c r="C236" s="128"/>
      <c r="D236" s="128"/>
      <c r="E236" s="128"/>
      <c r="F236" s="128"/>
      <c r="G236" s="953"/>
      <c r="H236" s="128"/>
      <c r="I236" s="128"/>
      <c r="J236" s="128"/>
      <c r="K236" s="128"/>
      <c r="L236" s="953"/>
      <c r="M236" s="128"/>
      <c r="O236" s="954"/>
      <c r="P236" s="954"/>
    </row>
    <row r="237" spans="1:16" s="106" customFormat="1">
      <c r="A237" s="128"/>
      <c r="B237" s="128"/>
      <c r="C237" s="128"/>
      <c r="D237" s="128"/>
      <c r="E237" s="128"/>
      <c r="F237" s="128"/>
      <c r="G237" s="953"/>
      <c r="H237" s="128"/>
      <c r="I237" s="128"/>
      <c r="J237" s="128"/>
      <c r="K237" s="128"/>
      <c r="L237" s="953"/>
      <c r="M237" s="128"/>
      <c r="O237" s="954"/>
      <c r="P237" s="954"/>
    </row>
    <row r="238" spans="1:16" s="106" customFormat="1">
      <c r="A238" s="128"/>
      <c r="B238" s="128"/>
      <c r="C238" s="128"/>
      <c r="D238" s="128"/>
      <c r="E238" s="128"/>
      <c r="F238" s="128"/>
      <c r="G238" s="953"/>
      <c r="H238" s="128"/>
      <c r="I238" s="128"/>
      <c r="J238" s="128"/>
      <c r="K238" s="128"/>
      <c r="L238" s="953"/>
      <c r="M238" s="128"/>
      <c r="O238" s="954"/>
      <c r="P238" s="954"/>
    </row>
    <row r="239" spans="1:16" s="106" customFormat="1">
      <c r="A239" s="128"/>
      <c r="B239" s="128"/>
      <c r="C239" s="128"/>
      <c r="D239" s="128"/>
      <c r="E239" s="128"/>
      <c r="F239" s="128"/>
      <c r="G239" s="953"/>
      <c r="H239" s="128"/>
      <c r="I239" s="128"/>
      <c r="J239" s="128"/>
      <c r="K239" s="128"/>
      <c r="L239" s="953"/>
      <c r="M239" s="128"/>
      <c r="O239" s="954"/>
      <c r="P239" s="954"/>
    </row>
    <row r="240" spans="1:16" s="106" customFormat="1">
      <c r="A240" s="128"/>
      <c r="B240" s="128"/>
      <c r="C240" s="128"/>
      <c r="D240" s="128"/>
      <c r="E240" s="128"/>
      <c r="F240" s="128"/>
      <c r="G240" s="953"/>
      <c r="H240" s="128"/>
      <c r="I240" s="128"/>
      <c r="J240" s="128"/>
      <c r="K240" s="128"/>
      <c r="L240" s="953"/>
      <c r="M240" s="128"/>
      <c r="O240" s="954"/>
      <c r="P240" s="954"/>
    </row>
    <row r="241" spans="1:16" s="106" customFormat="1">
      <c r="A241" s="128"/>
      <c r="B241" s="128"/>
      <c r="C241" s="128"/>
      <c r="D241" s="128"/>
      <c r="E241" s="128"/>
      <c r="F241" s="128"/>
      <c r="G241" s="953"/>
      <c r="H241" s="128"/>
      <c r="I241" s="128"/>
      <c r="J241" s="128"/>
      <c r="K241" s="128"/>
      <c r="L241" s="953"/>
      <c r="M241" s="128"/>
      <c r="O241" s="954"/>
      <c r="P241" s="954"/>
    </row>
    <row r="242" spans="1:16" s="106" customFormat="1">
      <c r="A242" s="128"/>
      <c r="B242" s="128"/>
      <c r="C242" s="128"/>
      <c r="D242" s="128"/>
      <c r="E242" s="128"/>
      <c r="F242" s="128"/>
      <c r="G242" s="953"/>
      <c r="H242" s="128"/>
      <c r="I242" s="128"/>
      <c r="J242" s="128"/>
      <c r="K242" s="128"/>
      <c r="L242" s="953"/>
      <c r="M242" s="128"/>
      <c r="O242" s="954"/>
      <c r="P242" s="954"/>
    </row>
    <row r="243" spans="1:16" s="106" customFormat="1">
      <c r="A243" s="128"/>
      <c r="B243" s="128"/>
      <c r="C243" s="128"/>
      <c r="D243" s="128"/>
      <c r="E243" s="128"/>
      <c r="F243" s="128"/>
      <c r="G243" s="953"/>
      <c r="H243" s="128"/>
      <c r="I243" s="128"/>
      <c r="J243" s="128"/>
      <c r="K243" s="128"/>
      <c r="L243" s="953"/>
      <c r="M243" s="128"/>
      <c r="O243" s="954"/>
      <c r="P243" s="954"/>
    </row>
    <row r="244" spans="1:16" s="106" customFormat="1">
      <c r="A244" s="128"/>
      <c r="B244" s="128"/>
      <c r="C244" s="128"/>
      <c r="D244" s="128"/>
      <c r="E244" s="128"/>
      <c r="F244" s="128"/>
      <c r="G244" s="953"/>
      <c r="H244" s="128"/>
      <c r="I244" s="128"/>
      <c r="J244" s="128"/>
      <c r="K244" s="128"/>
      <c r="L244" s="953"/>
      <c r="M244" s="128"/>
      <c r="O244" s="954"/>
      <c r="P244" s="954"/>
    </row>
    <row r="245" spans="1:16" s="106" customFormat="1">
      <c r="A245" s="128"/>
      <c r="B245" s="128"/>
      <c r="C245" s="128"/>
      <c r="D245" s="128"/>
      <c r="E245" s="128"/>
      <c r="F245" s="128"/>
      <c r="G245" s="953"/>
      <c r="H245" s="128"/>
      <c r="I245" s="128"/>
      <c r="J245" s="128"/>
      <c r="K245" s="128"/>
      <c r="L245" s="953"/>
      <c r="M245" s="128"/>
      <c r="O245" s="954"/>
      <c r="P245" s="954"/>
    </row>
    <row r="246" spans="1:16" s="106" customFormat="1">
      <c r="A246" s="128"/>
      <c r="B246" s="128"/>
      <c r="C246" s="128"/>
      <c r="D246" s="128"/>
      <c r="E246" s="128"/>
      <c r="F246" s="128"/>
      <c r="G246" s="953"/>
      <c r="H246" s="128"/>
      <c r="I246" s="128"/>
      <c r="J246" s="128"/>
      <c r="K246" s="128"/>
      <c r="L246" s="953"/>
      <c r="M246" s="128"/>
      <c r="O246" s="954"/>
      <c r="P246" s="954"/>
    </row>
    <row r="247" spans="1:16" s="106" customFormat="1">
      <c r="A247" s="128"/>
      <c r="B247" s="128"/>
      <c r="C247" s="128"/>
      <c r="D247" s="128"/>
      <c r="E247" s="128"/>
      <c r="F247" s="128"/>
      <c r="G247" s="953"/>
      <c r="H247" s="128"/>
      <c r="I247" s="128"/>
      <c r="J247" s="128"/>
      <c r="K247" s="128"/>
      <c r="L247" s="953"/>
      <c r="M247" s="128"/>
      <c r="O247" s="954"/>
      <c r="P247" s="954"/>
    </row>
    <row r="248" spans="1:16" s="106" customFormat="1">
      <c r="A248" s="128"/>
      <c r="B248" s="128"/>
      <c r="C248" s="128"/>
      <c r="D248" s="128"/>
      <c r="E248" s="128"/>
      <c r="F248" s="128"/>
      <c r="G248" s="953"/>
      <c r="H248" s="128"/>
      <c r="I248" s="128"/>
      <c r="J248" s="128"/>
      <c r="K248" s="128"/>
      <c r="L248" s="953"/>
      <c r="M248" s="128"/>
      <c r="O248" s="954"/>
      <c r="P248" s="954"/>
    </row>
    <row r="249" spans="1:16" s="106" customFormat="1">
      <c r="A249" s="128"/>
      <c r="B249" s="128"/>
      <c r="C249" s="128"/>
      <c r="D249" s="128"/>
      <c r="E249" s="128"/>
      <c r="F249" s="128"/>
      <c r="G249" s="953"/>
      <c r="H249" s="128"/>
      <c r="I249" s="128"/>
      <c r="J249" s="128"/>
      <c r="K249" s="128"/>
      <c r="L249" s="953"/>
      <c r="M249" s="128"/>
      <c r="O249" s="954"/>
      <c r="P249" s="954"/>
    </row>
    <row r="250" spans="1:16" s="106" customFormat="1">
      <c r="A250" s="128"/>
      <c r="B250" s="128"/>
      <c r="C250" s="128"/>
      <c r="D250" s="128"/>
      <c r="E250" s="128"/>
      <c r="F250" s="128"/>
      <c r="G250" s="953"/>
      <c r="H250" s="128"/>
      <c r="I250" s="128"/>
      <c r="J250" s="128"/>
      <c r="K250" s="128"/>
      <c r="L250" s="953"/>
      <c r="M250" s="128"/>
      <c r="O250" s="954"/>
      <c r="P250" s="954"/>
    </row>
    <row r="251" spans="1:16" s="106" customFormat="1">
      <c r="A251" s="128"/>
      <c r="B251" s="128"/>
      <c r="C251" s="128"/>
      <c r="D251" s="128"/>
      <c r="E251" s="128"/>
      <c r="F251" s="128"/>
      <c r="G251" s="953"/>
      <c r="H251" s="128"/>
      <c r="I251" s="128"/>
      <c r="J251" s="128"/>
      <c r="K251" s="128"/>
      <c r="L251" s="953"/>
      <c r="M251" s="128"/>
      <c r="O251" s="954"/>
      <c r="P251" s="954"/>
    </row>
    <row r="252" spans="1:16" s="106" customFormat="1">
      <c r="A252" s="128"/>
      <c r="B252" s="128"/>
      <c r="C252" s="128"/>
      <c r="D252" s="128"/>
      <c r="E252" s="128"/>
      <c r="F252" s="128"/>
      <c r="G252" s="953"/>
      <c r="H252" s="128"/>
      <c r="I252" s="128"/>
      <c r="J252" s="128"/>
      <c r="K252" s="128"/>
      <c r="L252" s="953"/>
      <c r="M252" s="128"/>
      <c r="O252" s="954"/>
      <c r="P252" s="954"/>
    </row>
    <row r="253" spans="1:16" s="106" customFormat="1">
      <c r="A253" s="128"/>
      <c r="B253" s="128"/>
      <c r="C253" s="128"/>
      <c r="D253" s="128"/>
      <c r="E253" s="128"/>
      <c r="F253" s="128"/>
      <c r="G253" s="953"/>
      <c r="H253" s="128"/>
      <c r="I253" s="128"/>
      <c r="J253" s="128"/>
      <c r="K253" s="128"/>
      <c r="L253" s="953"/>
      <c r="M253" s="128"/>
      <c r="O253" s="954"/>
      <c r="P253" s="954"/>
    </row>
    <row r="254" spans="1:16" s="106" customFormat="1">
      <c r="A254" s="128"/>
      <c r="B254" s="128"/>
      <c r="C254" s="128"/>
      <c r="D254" s="128"/>
      <c r="E254" s="128"/>
      <c r="F254" s="128"/>
      <c r="G254" s="953"/>
      <c r="H254" s="128"/>
      <c r="I254" s="128"/>
      <c r="J254" s="128"/>
      <c r="K254" s="128"/>
      <c r="L254" s="953"/>
      <c r="M254" s="128"/>
      <c r="O254" s="954"/>
      <c r="P254" s="954"/>
    </row>
    <row r="255" spans="1:16" s="106" customFormat="1">
      <c r="A255" s="128"/>
      <c r="B255" s="128"/>
      <c r="C255" s="128"/>
      <c r="D255" s="128"/>
      <c r="E255" s="128"/>
      <c r="F255" s="128"/>
      <c r="G255" s="953"/>
      <c r="H255" s="128"/>
      <c r="I255" s="128"/>
      <c r="J255" s="128"/>
      <c r="K255" s="128"/>
      <c r="L255" s="953"/>
      <c r="M255" s="128"/>
      <c r="O255" s="954"/>
      <c r="P255" s="954"/>
    </row>
    <row r="256" spans="1:16" s="106" customFormat="1">
      <c r="A256" s="128"/>
      <c r="B256" s="128"/>
      <c r="C256" s="128"/>
      <c r="D256" s="128"/>
      <c r="E256" s="128"/>
      <c r="F256" s="128"/>
      <c r="G256" s="953"/>
      <c r="H256" s="128"/>
      <c r="I256" s="128"/>
      <c r="J256" s="128"/>
      <c r="K256" s="128"/>
      <c r="L256" s="953"/>
      <c r="M256" s="128"/>
      <c r="O256" s="954"/>
      <c r="P256" s="954"/>
    </row>
    <row r="257" spans="1:16" s="106" customFormat="1">
      <c r="A257" s="128"/>
      <c r="B257" s="128"/>
      <c r="C257" s="128"/>
      <c r="D257" s="128"/>
      <c r="E257" s="128"/>
      <c r="F257" s="128"/>
      <c r="G257" s="953"/>
      <c r="H257" s="128"/>
      <c r="I257" s="128"/>
      <c r="J257" s="128"/>
      <c r="K257" s="128"/>
      <c r="L257" s="953"/>
      <c r="M257" s="128"/>
      <c r="O257" s="954"/>
      <c r="P257" s="954"/>
    </row>
    <row r="258" spans="1:16" s="106" customFormat="1">
      <c r="A258" s="128"/>
      <c r="B258" s="128"/>
      <c r="C258" s="128"/>
      <c r="D258" s="128"/>
      <c r="E258" s="128"/>
      <c r="F258" s="128"/>
      <c r="G258" s="953"/>
      <c r="H258" s="128"/>
      <c r="I258" s="128"/>
      <c r="J258" s="128"/>
      <c r="K258" s="128"/>
      <c r="L258" s="953"/>
      <c r="M258" s="128"/>
      <c r="O258" s="954"/>
      <c r="P258" s="954"/>
    </row>
    <row r="259" spans="1:16" s="106" customFormat="1">
      <c r="A259" s="128"/>
      <c r="B259" s="128"/>
      <c r="C259" s="128"/>
      <c r="D259" s="128"/>
      <c r="E259" s="128"/>
      <c r="F259" s="128"/>
      <c r="G259" s="953"/>
      <c r="H259" s="128"/>
      <c r="I259" s="128"/>
      <c r="J259" s="128"/>
      <c r="K259" s="128"/>
      <c r="L259" s="953"/>
      <c r="M259" s="128"/>
      <c r="O259" s="954"/>
      <c r="P259" s="954"/>
    </row>
    <row r="260" spans="1:16" s="106" customFormat="1">
      <c r="A260" s="128"/>
      <c r="B260" s="128"/>
      <c r="C260" s="128"/>
      <c r="D260" s="128"/>
      <c r="E260" s="128"/>
      <c r="F260" s="128"/>
      <c r="G260" s="953"/>
      <c r="H260" s="128"/>
      <c r="I260" s="128"/>
      <c r="J260" s="128"/>
      <c r="K260" s="128"/>
      <c r="L260" s="953"/>
      <c r="M260" s="128"/>
      <c r="O260" s="954"/>
      <c r="P260" s="954"/>
    </row>
    <row r="261" spans="1:16" s="106" customFormat="1">
      <c r="A261" s="128"/>
      <c r="B261" s="128"/>
      <c r="C261" s="128"/>
      <c r="D261" s="128"/>
      <c r="E261" s="128"/>
      <c r="F261" s="128"/>
      <c r="G261" s="953"/>
      <c r="H261" s="128"/>
      <c r="I261" s="128"/>
      <c r="J261" s="128"/>
      <c r="K261" s="128"/>
      <c r="L261" s="953"/>
      <c r="M261" s="128"/>
      <c r="O261" s="954"/>
      <c r="P261" s="954"/>
    </row>
    <row r="262" spans="1:16" s="106" customFormat="1">
      <c r="A262" s="128"/>
      <c r="B262" s="128"/>
      <c r="C262" s="128"/>
      <c r="D262" s="128"/>
      <c r="E262" s="128"/>
      <c r="F262" s="128"/>
      <c r="G262" s="953"/>
      <c r="H262" s="128"/>
      <c r="I262" s="128"/>
      <c r="J262" s="128"/>
      <c r="K262" s="128"/>
      <c r="L262" s="953"/>
      <c r="M262" s="128"/>
      <c r="O262" s="954"/>
      <c r="P262" s="954"/>
    </row>
    <row r="263" spans="1:16" s="106" customFormat="1">
      <c r="A263" s="128"/>
      <c r="B263" s="128"/>
      <c r="C263" s="128"/>
      <c r="D263" s="128"/>
      <c r="E263" s="128"/>
      <c r="F263" s="128"/>
      <c r="G263" s="953"/>
      <c r="H263" s="128"/>
      <c r="I263" s="128"/>
      <c r="J263" s="128"/>
      <c r="K263" s="128"/>
      <c r="L263" s="953"/>
      <c r="M263" s="128"/>
      <c r="O263" s="954"/>
      <c r="P263" s="954"/>
    </row>
    <row r="264" spans="1:16" s="106" customFormat="1">
      <c r="A264" s="128"/>
      <c r="B264" s="128"/>
      <c r="C264" s="128"/>
      <c r="D264" s="128"/>
      <c r="E264" s="128"/>
      <c r="F264" s="128"/>
      <c r="G264" s="953"/>
      <c r="H264" s="128"/>
      <c r="I264" s="128"/>
      <c r="J264" s="128"/>
      <c r="K264" s="128"/>
      <c r="L264" s="953"/>
      <c r="M264" s="128"/>
      <c r="O264" s="954"/>
      <c r="P264" s="954"/>
    </row>
    <row r="265" spans="1:16" s="106" customFormat="1">
      <c r="A265" s="128"/>
      <c r="B265" s="128"/>
      <c r="C265" s="128"/>
      <c r="D265" s="128"/>
      <c r="E265" s="128"/>
      <c r="F265" s="128"/>
      <c r="G265" s="953"/>
      <c r="H265" s="128"/>
      <c r="I265" s="128"/>
      <c r="J265" s="128"/>
      <c r="K265" s="128"/>
      <c r="L265" s="953"/>
      <c r="M265" s="128"/>
      <c r="O265" s="954"/>
      <c r="P265" s="954"/>
    </row>
    <row r="266" spans="1:16" s="106" customFormat="1">
      <c r="A266" s="128"/>
      <c r="B266" s="128"/>
      <c r="C266" s="128"/>
      <c r="D266" s="128"/>
      <c r="E266" s="128"/>
      <c r="F266" s="128"/>
      <c r="G266" s="953"/>
      <c r="H266" s="128"/>
      <c r="I266" s="128"/>
      <c r="J266" s="128"/>
      <c r="K266" s="128"/>
      <c r="L266" s="953"/>
      <c r="M266" s="128"/>
      <c r="O266" s="954"/>
      <c r="P266" s="954"/>
    </row>
    <row r="267" spans="1:16" s="106" customFormat="1">
      <c r="A267" s="128"/>
      <c r="B267" s="128"/>
      <c r="C267" s="128"/>
      <c r="D267" s="128"/>
      <c r="E267" s="128"/>
      <c r="F267" s="128"/>
      <c r="G267" s="953"/>
      <c r="H267" s="128"/>
      <c r="I267" s="128"/>
      <c r="J267" s="128"/>
      <c r="K267" s="128"/>
      <c r="L267" s="953"/>
      <c r="M267" s="128"/>
      <c r="O267" s="954"/>
      <c r="P267" s="954"/>
    </row>
    <row r="268" spans="1:16" s="106" customFormat="1">
      <c r="A268" s="128"/>
      <c r="B268" s="128"/>
      <c r="C268" s="128"/>
      <c r="D268" s="128"/>
      <c r="E268" s="128"/>
      <c r="F268" s="128"/>
      <c r="G268" s="953"/>
      <c r="H268" s="128"/>
      <c r="I268" s="128"/>
      <c r="J268" s="128"/>
      <c r="K268" s="128"/>
      <c r="L268" s="953"/>
      <c r="M268" s="128"/>
      <c r="O268" s="954"/>
      <c r="P268" s="954"/>
    </row>
    <row r="269" spans="1:16" s="106" customFormat="1">
      <c r="A269" s="128"/>
      <c r="B269" s="128"/>
      <c r="C269" s="128"/>
      <c r="D269" s="128"/>
      <c r="E269" s="128"/>
      <c r="F269" s="128"/>
      <c r="G269" s="953"/>
      <c r="H269" s="128"/>
      <c r="I269" s="128"/>
      <c r="J269" s="128"/>
      <c r="K269" s="128"/>
      <c r="L269" s="953"/>
      <c r="M269" s="128"/>
      <c r="O269" s="954"/>
      <c r="P269" s="954"/>
    </row>
    <row r="270" spans="1:16" s="106" customFormat="1">
      <c r="A270" s="128"/>
      <c r="B270" s="128"/>
      <c r="C270" s="128"/>
      <c r="D270" s="128"/>
      <c r="E270" s="128"/>
      <c r="F270" s="128"/>
      <c r="G270" s="953"/>
      <c r="H270" s="128"/>
      <c r="I270" s="128"/>
      <c r="J270" s="128"/>
      <c r="K270" s="128"/>
      <c r="L270" s="953"/>
      <c r="M270" s="128"/>
      <c r="O270" s="954"/>
      <c r="P270" s="954"/>
    </row>
    <row r="271" spans="1:16" s="106" customFormat="1">
      <c r="A271" s="128"/>
      <c r="B271" s="128"/>
      <c r="C271" s="128"/>
      <c r="D271" s="128"/>
      <c r="E271" s="128"/>
      <c r="F271" s="128"/>
      <c r="G271" s="953"/>
      <c r="H271" s="128"/>
      <c r="I271" s="128"/>
      <c r="J271" s="128"/>
      <c r="K271" s="128"/>
      <c r="L271" s="953"/>
      <c r="M271" s="128"/>
      <c r="O271" s="954"/>
      <c r="P271" s="954"/>
    </row>
    <row r="272" spans="1:16" s="106" customFormat="1">
      <c r="A272" s="128"/>
      <c r="B272" s="128"/>
      <c r="C272" s="128"/>
      <c r="D272" s="128"/>
      <c r="E272" s="128"/>
      <c r="F272" s="128"/>
      <c r="G272" s="953"/>
      <c r="H272" s="128"/>
      <c r="I272" s="128"/>
      <c r="J272" s="128"/>
      <c r="K272" s="128"/>
      <c r="L272" s="953"/>
      <c r="M272" s="128"/>
      <c r="O272" s="954"/>
      <c r="P272" s="954"/>
    </row>
    <row r="273" spans="1:16" s="106" customFormat="1">
      <c r="A273" s="128"/>
      <c r="B273" s="128"/>
      <c r="C273" s="128"/>
      <c r="D273" s="128"/>
      <c r="E273" s="128"/>
      <c r="F273" s="128"/>
      <c r="G273" s="953"/>
      <c r="H273" s="128"/>
      <c r="I273" s="128"/>
      <c r="J273" s="128"/>
      <c r="K273" s="128"/>
      <c r="L273" s="953"/>
      <c r="M273" s="128"/>
      <c r="O273" s="954"/>
      <c r="P273" s="954"/>
    </row>
    <row r="274" spans="1:16" s="106" customFormat="1">
      <c r="A274" s="128"/>
      <c r="B274" s="128"/>
      <c r="C274" s="128"/>
      <c r="D274" s="128"/>
      <c r="E274" s="128"/>
      <c r="F274" s="128"/>
      <c r="G274" s="953"/>
      <c r="H274" s="128"/>
      <c r="I274" s="128"/>
      <c r="J274" s="128"/>
      <c r="K274" s="128"/>
      <c r="L274" s="953"/>
      <c r="M274" s="128"/>
      <c r="O274" s="954"/>
      <c r="P274" s="954"/>
    </row>
    <row r="275" spans="1:16" s="106" customFormat="1">
      <c r="A275" s="128"/>
      <c r="B275" s="128"/>
      <c r="C275" s="128"/>
      <c r="D275" s="128"/>
      <c r="E275" s="128"/>
      <c r="F275" s="128"/>
      <c r="G275" s="953"/>
      <c r="H275" s="128"/>
      <c r="I275" s="128"/>
      <c r="J275" s="128"/>
      <c r="K275" s="128"/>
      <c r="L275" s="953"/>
      <c r="M275" s="128"/>
      <c r="O275" s="954"/>
      <c r="P275" s="954"/>
    </row>
    <row r="276" spans="1:16" s="106" customFormat="1">
      <c r="A276" s="128"/>
      <c r="B276" s="128"/>
      <c r="C276" s="128"/>
      <c r="D276" s="128"/>
      <c r="E276" s="128"/>
      <c r="F276" s="128"/>
      <c r="G276" s="953"/>
      <c r="H276" s="128"/>
      <c r="I276" s="128"/>
      <c r="J276" s="128"/>
      <c r="K276" s="128"/>
      <c r="L276" s="953"/>
      <c r="M276" s="128"/>
      <c r="O276" s="954"/>
      <c r="P276" s="954"/>
    </row>
    <row r="277" spans="1:16" s="106" customFormat="1">
      <c r="A277" s="128"/>
      <c r="B277" s="128"/>
      <c r="C277" s="128"/>
      <c r="D277" s="128"/>
      <c r="E277" s="128"/>
      <c r="F277" s="128"/>
      <c r="G277" s="953"/>
      <c r="H277" s="128"/>
      <c r="I277" s="128"/>
      <c r="J277" s="128"/>
      <c r="K277" s="128"/>
      <c r="L277" s="953"/>
      <c r="M277" s="128"/>
      <c r="O277" s="954"/>
      <c r="P277" s="954"/>
    </row>
    <row r="278" spans="1:16" s="106" customFormat="1">
      <c r="A278" s="128"/>
      <c r="B278" s="128"/>
      <c r="C278" s="128"/>
      <c r="D278" s="128"/>
      <c r="E278" s="128"/>
      <c r="F278" s="128"/>
      <c r="G278" s="953"/>
      <c r="H278" s="128"/>
      <c r="I278" s="128"/>
      <c r="J278" s="128"/>
      <c r="K278" s="128"/>
      <c r="L278" s="953"/>
      <c r="M278" s="128"/>
      <c r="O278" s="954"/>
      <c r="P278" s="954"/>
    </row>
    <row r="279" spans="1:16" s="106" customFormat="1">
      <c r="A279" s="128"/>
      <c r="B279" s="128"/>
      <c r="C279" s="128"/>
      <c r="D279" s="128"/>
      <c r="E279" s="128"/>
      <c r="F279" s="128"/>
      <c r="G279" s="953"/>
      <c r="H279" s="128"/>
      <c r="I279" s="128"/>
      <c r="J279" s="128"/>
      <c r="K279" s="128"/>
      <c r="L279" s="953"/>
      <c r="M279" s="128"/>
      <c r="O279" s="954"/>
      <c r="P279" s="954"/>
    </row>
    <row r="280" spans="1:16" s="106" customFormat="1">
      <c r="A280" s="128"/>
      <c r="B280" s="128"/>
      <c r="C280" s="128"/>
      <c r="D280" s="128"/>
      <c r="E280" s="128"/>
      <c r="F280" s="128"/>
      <c r="G280" s="953"/>
      <c r="H280" s="128"/>
      <c r="I280" s="128"/>
      <c r="J280" s="128"/>
      <c r="K280" s="128"/>
      <c r="L280" s="953"/>
      <c r="M280" s="128"/>
      <c r="O280" s="954"/>
      <c r="P280" s="954"/>
    </row>
    <row r="281" spans="1:16" s="106" customFormat="1">
      <c r="A281" s="128"/>
      <c r="B281" s="128"/>
      <c r="C281" s="128"/>
      <c r="D281" s="128"/>
      <c r="E281" s="128"/>
      <c r="F281" s="128"/>
      <c r="G281" s="953"/>
      <c r="H281" s="128"/>
      <c r="I281" s="128"/>
      <c r="J281" s="128"/>
      <c r="K281" s="128"/>
      <c r="L281" s="953"/>
      <c r="M281" s="128"/>
      <c r="O281" s="954"/>
      <c r="P281" s="954"/>
    </row>
    <row r="282" spans="1:16" s="106" customFormat="1">
      <c r="A282" s="128"/>
      <c r="B282" s="128"/>
      <c r="C282" s="128"/>
      <c r="D282" s="128"/>
      <c r="E282" s="128"/>
      <c r="F282" s="128"/>
      <c r="G282" s="953"/>
      <c r="H282" s="128"/>
      <c r="I282" s="128"/>
      <c r="J282" s="128"/>
      <c r="K282" s="128"/>
      <c r="L282" s="953"/>
      <c r="M282" s="128"/>
      <c r="O282" s="954"/>
      <c r="P282" s="954"/>
    </row>
    <row r="283" spans="1:16" s="106" customFormat="1">
      <c r="A283" s="128"/>
      <c r="B283" s="128"/>
      <c r="C283" s="128"/>
      <c r="D283" s="128"/>
      <c r="E283" s="128"/>
      <c r="F283" s="128"/>
      <c r="G283" s="953"/>
      <c r="H283" s="128"/>
      <c r="I283" s="128"/>
      <c r="J283" s="128"/>
      <c r="K283" s="128"/>
      <c r="L283" s="953"/>
      <c r="M283" s="128"/>
      <c r="O283" s="954"/>
      <c r="P283" s="954"/>
    </row>
    <row r="284" spans="1:16" s="106" customFormat="1">
      <c r="A284" s="128"/>
      <c r="B284" s="128"/>
      <c r="C284" s="128"/>
      <c r="D284" s="128"/>
      <c r="E284" s="128"/>
      <c r="F284" s="128"/>
      <c r="G284" s="953"/>
      <c r="H284" s="128"/>
      <c r="I284" s="128"/>
      <c r="J284" s="128"/>
      <c r="K284" s="128"/>
      <c r="L284" s="953"/>
      <c r="M284" s="128"/>
      <c r="O284" s="954"/>
      <c r="P284" s="954"/>
    </row>
    <row r="285" spans="1:16" s="106" customFormat="1">
      <c r="A285" s="128"/>
      <c r="B285" s="128"/>
      <c r="C285" s="128"/>
      <c r="D285" s="128"/>
      <c r="E285" s="128"/>
      <c r="F285" s="128"/>
      <c r="G285" s="953"/>
      <c r="H285" s="128"/>
      <c r="I285" s="128"/>
      <c r="J285" s="128"/>
      <c r="K285" s="128"/>
      <c r="L285" s="953"/>
      <c r="M285" s="128"/>
      <c r="O285" s="954"/>
      <c r="P285" s="954"/>
    </row>
    <row r="286" spans="1:16" s="106" customFormat="1">
      <c r="A286" s="128"/>
      <c r="B286" s="128"/>
      <c r="C286" s="128"/>
      <c r="D286" s="128"/>
      <c r="E286" s="128"/>
      <c r="F286" s="128"/>
      <c r="G286" s="953"/>
      <c r="H286" s="128"/>
      <c r="I286" s="128"/>
      <c r="J286" s="128"/>
      <c r="K286" s="128"/>
      <c r="L286" s="953"/>
      <c r="M286" s="128"/>
      <c r="O286" s="954"/>
      <c r="P286" s="954"/>
    </row>
    <row r="287" spans="1:16" s="106" customFormat="1">
      <c r="A287" s="128"/>
      <c r="B287" s="128"/>
      <c r="C287" s="128"/>
      <c r="D287" s="128"/>
      <c r="E287" s="128"/>
      <c r="F287" s="128"/>
      <c r="G287" s="953"/>
      <c r="H287" s="128"/>
      <c r="I287" s="128"/>
      <c r="J287" s="128"/>
      <c r="K287" s="128"/>
      <c r="L287" s="953"/>
      <c r="M287" s="128"/>
      <c r="O287" s="954"/>
      <c r="P287" s="954"/>
    </row>
    <row r="288" spans="1:16" s="106" customFormat="1">
      <c r="A288" s="128"/>
      <c r="B288" s="128"/>
      <c r="C288" s="128"/>
      <c r="D288" s="128"/>
      <c r="E288" s="128"/>
      <c r="F288" s="128"/>
      <c r="G288" s="953"/>
      <c r="H288" s="128"/>
      <c r="I288" s="128"/>
      <c r="J288" s="128"/>
      <c r="K288" s="128"/>
      <c r="L288" s="953"/>
      <c r="M288" s="128"/>
      <c r="O288" s="954"/>
      <c r="P288" s="954"/>
    </row>
    <row r="289" spans="1:16" s="106" customFormat="1">
      <c r="A289" s="128"/>
      <c r="B289" s="128"/>
      <c r="C289" s="128"/>
      <c r="D289" s="128"/>
      <c r="E289" s="128"/>
      <c r="F289" s="128"/>
      <c r="G289" s="953"/>
      <c r="H289" s="128"/>
      <c r="I289" s="128"/>
      <c r="J289" s="128"/>
      <c r="K289" s="128"/>
      <c r="L289" s="953"/>
      <c r="M289" s="128"/>
      <c r="O289" s="954"/>
      <c r="P289" s="954"/>
    </row>
    <row r="290" spans="1:16" s="106" customFormat="1">
      <c r="A290" s="128"/>
      <c r="B290" s="128"/>
      <c r="C290" s="128"/>
      <c r="D290" s="128"/>
      <c r="E290" s="128"/>
      <c r="F290" s="128"/>
      <c r="G290" s="953"/>
      <c r="H290" s="128"/>
      <c r="I290" s="128"/>
      <c r="J290" s="128"/>
      <c r="K290" s="128"/>
      <c r="L290" s="953"/>
      <c r="M290" s="128"/>
      <c r="O290" s="954"/>
      <c r="P290" s="954"/>
    </row>
    <row r="291" spans="1:16" s="106" customFormat="1">
      <c r="A291" s="128"/>
      <c r="B291" s="128"/>
      <c r="C291" s="128"/>
      <c r="D291" s="128"/>
      <c r="E291" s="128"/>
      <c r="F291" s="128"/>
      <c r="G291" s="953"/>
      <c r="H291" s="128"/>
      <c r="I291" s="128"/>
      <c r="J291" s="128"/>
      <c r="K291" s="128"/>
      <c r="L291" s="953"/>
      <c r="M291" s="128"/>
      <c r="O291" s="954"/>
      <c r="P291" s="954"/>
    </row>
    <row r="292" spans="1:16" s="106" customFormat="1">
      <c r="A292" s="128"/>
      <c r="B292" s="128"/>
      <c r="C292" s="128"/>
      <c r="D292" s="128"/>
      <c r="E292" s="128"/>
      <c r="F292" s="128"/>
      <c r="G292" s="953"/>
      <c r="H292" s="128"/>
      <c r="I292" s="128"/>
      <c r="J292" s="128"/>
      <c r="K292" s="128"/>
      <c r="L292" s="953"/>
      <c r="M292" s="128"/>
      <c r="O292" s="954"/>
      <c r="P292" s="954"/>
    </row>
    <row r="293" spans="1:16" s="106" customFormat="1">
      <c r="A293" s="128"/>
      <c r="B293" s="128"/>
      <c r="C293" s="128"/>
      <c r="D293" s="128"/>
      <c r="E293" s="128"/>
      <c r="F293" s="128"/>
      <c r="G293" s="953"/>
      <c r="H293" s="128"/>
      <c r="I293" s="128"/>
      <c r="J293" s="128"/>
      <c r="K293" s="128"/>
      <c r="L293" s="953"/>
      <c r="M293" s="128"/>
      <c r="O293" s="954"/>
      <c r="P293" s="954"/>
    </row>
    <row r="294" spans="1:16" s="106" customFormat="1">
      <c r="A294" s="128"/>
      <c r="B294" s="128"/>
      <c r="C294" s="128"/>
      <c r="D294" s="128"/>
      <c r="E294" s="128"/>
      <c r="F294" s="128"/>
      <c r="G294" s="953"/>
      <c r="H294" s="128"/>
      <c r="I294" s="128"/>
      <c r="J294" s="128"/>
      <c r="K294" s="128"/>
      <c r="L294" s="953"/>
      <c r="M294" s="128"/>
      <c r="O294" s="954"/>
      <c r="P294" s="954"/>
    </row>
    <row r="295" spans="1:16" s="106" customFormat="1">
      <c r="A295" s="128"/>
      <c r="B295" s="128"/>
      <c r="C295" s="128"/>
      <c r="D295" s="128"/>
      <c r="E295" s="128"/>
      <c r="F295" s="128"/>
      <c r="G295" s="953"/>
      <c r="H295" s="128"/>
      <c r="I295" s="128"/>
      <c r="J295" s="128"/>
      <c r="K295" s="128"/>
      <c r="L295" s="953"/>
      <c r="M295" s="128"/>
      <c r="O295" s="954"/>
      <c r="P295" s="954"/>
    </row>
    <row r="296" spans="1:16" s="106" customFormat="1">
      <c r="A296" s="128"/>
      <c r="B296" s="128"/>
      <c r="C296" s="128"/>
      <c r="D296" s="128"/>
      <c r="E296" s="128"/>
      <c r="F296" s="128"/>
      <c r="G296" s="953"/>
      <c r="H296" s="128"/>
      <c r="I296" s="128"/>
      <c r="J296" s="128"/>
      <c r="K296" s="128"/>
      <c r="L296" s="953"/>
      <c r="M296" s="128"/>
      <c r="O296" s="954"/>
      <c r="P296" s="954"/>
    </row>
    <row r="297" spans="1:16" s="106" customFormat="1">
      <c r="A297" s="128"/>
      <c r="B297" s="128"/>
      <c r="C297" s="128"/>
      <c r="D297" s="128"/>
      <c r="E297" s="128"/>
      <c r="F297" s="128"/>
      <c r="G297" s="953"/>
      <c r="H297" s="128"/>
      <c r="I297" s="128"/>
      <c r="J297" s="128"/>
      <c r="K297" s="128"/>
      <c r="L297" s="953"/>
      <c r="M297" s="128"/>
      <c r="O297" s="954"/>
      <c r="P297" s="954"/>
    </row>
    <row r="298" spans="1:16" s="106" customFormat="1">
      <c r="A298" s="128"/>
      <c r="B298" s="128"/>
      <c r="C298" s="128"/>
      <c r="D298" s="128"/>
      <c r="E298" s="128"/>
      <c r="F298" s="128"/>
      <c r="G298" s="953"/>
      <c r="H298" s="128"/>
      <c r="I298" s="128"/>
      <c r="J298" s="128"/>
      <c r="K298" s="128"/>
      <c r="L298" s="953"/>
      <c r="M298" s="128"/>
      <c r="O298" s="954"/>
      <c r="P298" s="954"/>
    </row>
    <row r="299" spans="1:16" s="106" customFormat="1">
      <c r="A299" s="128"/>
      <c r="B299" s="128"/>
      <c r="C299" s="128"/>
      <c r="D299" s="128"/>
      <c r="E299" s="128"/>
      <c r="F299" s="128"/>
      <c r="G299" s="953"/>
      <c r="H299" s="128"/>
      <c r="I299" s="128"/>
      <c r="J299" s="128"/>
      <c r="K299" s="128"/>
      <c r="L299" s="953"/>
      <c r="M299" s="128"/>
      <c r="O299" s="954"/>
      <c r="P299" s="954"/>
    </row>
    <row r="300" spans="1:16" s="106" customFormat="1">
      <c r="A300" s="128"/>
      <c r="B300" s="128"/>
      <c r="C300" s="128"/>
      <c r="D300" s="128"/>
      <c r="E300" s="128"/>
      <c r="F300" s="128"/>
      <c r="G300" s="953"/>
      <c r="H300" s="128"/>
      <c r="I300" s="128"/>
      <c r="J300" s="128"/>
      <c r="K300" s="128"/>
      <c r="L300" s="953"/>
      <c r="M300" s="128"/>
      <c r="O300" s="954"/>
      <c r="P300" s="954"/>
    </row>
    <row r="301" spans="1:16" s="106" customFormat="1">
      <c r="A301" s="128"/>
      <c r="B301" s="128"/>
      <c r="C301" s="128"/>
      <c r="D301" s="128"/>
      <c r="E301" s="128"/>
      <c r="F301" s="128"/>
      <c r="G301" s="953"/>
      <c r="H301" s="128"/>
      <c r="I301" s="128"/>
      <c r="J301" s="128"/>
      <c r="K301" s="128"/>
      <c r="L301" s="953"/>
      <c r="M301" s="128"/>
      <c r="O301" s="954"/>
      <c r="P301" s="954"/>
    </row>
    <row r="302" spans="1:16" s="106" customFormat="1">
      <c r="A302" s="128"/>
      <c r="B302" s="128"/>
      <c r="C302" s="128"/>
      <c r="D302" s="128"/>
      <c r="E302" s="128"/>
      <c r="F302" s="128"/>
      <c r="G302" s="953"/>
      <c r="H302" s="128"/>
      <c r="I302" s="128"/>
      <c r="J302" s="128"/>
      <c r="K302" s="128"/>
      <c r="L302" s="953"/>
      <c r="M302" s="128"/>
      <c r="O302" s="954"/>
      <c r="P302" s="954"/>
    </row>
    <row r="303" spans="1:16" s="106" customFormat="1">
      <c r="A303" s="128"/>
      <c r="B303" s="128"/>
      <c r="C303" s="128"/>
      <c r="D303" s="128"/>
      <c r="E303" s="128"/>
      <c r="F303" s="128"/>
      <c r="G303" s="953"/>
      <c r="H303" s="128"/>
      <c r="I303" s="128"/>
      <c r="J303" s="128"/>
      <c r="K303" s="128"/>
      <c r="L303" s="953"/>
      <c r="M303" s="128"/>
      <c r="O303" s="954"/>
      <c r="P303" s="954"/>
    </row>
    <row r="304" spans="1:16" s="106" customFormat="1">
      <c r="A304" s="128"/>
      <c r="B304" s="128"/>
      <c r="C304" s="128"/>
      <c r="D304" s="128"/>
      <c r="E304" s="128"/>
      <c r="F304" s="128"/>
      <c r="G304" s="953"/>
      <c r="H304" s="128"/>
      <c r="I304" s="128"/>
      <c r="J304" s="128"/>
      <c r="K304" s="128"/>
      <c r="L304" s="953"/>
      <c r="M304" s="128"/>
      <c r="O304" s="954"/>
      <c r="P304" s="954"/>
    </row>
    <row r="305" spans="1:16" s="106" customFormat="1">
      <c r="A305" s="128"/>
      <c r="B305" s="128"/>
      <c r="C305" s="128"/>
      <c r="D305" s="128"/>
      <c r="E305" s="128"/>
      <c r="F305" s="128"/>
      <c r="G305" s="953"/>
      <c r="H305" s="128"/>
      <c r="I305" s="128"/>
      <c r="J305" s="128"/>
      <c r="K305" s="128"/>
      <c r="L305" s="953"/>
      <c r="M305" s="128"/>
      <c r="O305" s="954"/>
      <c r="P305" s="954"/>
    </row>
    <row r="306" spans="1:16" s="106" customFormat="1">
      <c r="A306" s="128"/>
      <c r="B306" s="128"/>
      <c r="C306" s="128"/>
      <c r="D306" s="128"/>
      <c r="E306" s="128"/>
      <c r="F306" s="128"/>
      <c r="G306" s="953"/>
      <c r="H306" s="128"/>
      <c r="I306" s="128"/>
      <c r="J306" s="128"/>
      <c r="K306" s="128"/>
      <c r="L306" s="953"/>
      <c r="M306" s="128"/>
      <c r="O306" s="954"/>
      <c r="P306" s="954"/>
    </row>
    <row r="307" spans="1:16" s="106" customFormat="1">
      <c r="A307" s="128"/>
      <c r="B307" s="128"/>
      <c r="C307" s="128"/>
      <c r="D307" s="128"/>
      <c r="E307" s="128"/>
      <c r="F307" s="128"/>
      <c r="G307" s="953"/>
      <c r="H307" s="128"/>
      <c r="I307" s="128"/>
      <c r="J307" s="128"/>
      <c r="K307" s="128"/>
      <c r="L307" s="953"/>
      <c r="M307" s="128"/>
      <c r="O307" s="954"/>
      <c r="P307" s="954"/>
    </row>
    <row r="308" spans="1:16" s="106" customFormat="1">
      <c r="A308" s="128"/>
      <c r="B308" s="128"/>
      <c r="C308" s="128"/>
      <c r="D308" s="128"/>
      <c r="E308" s="128"/>
      <c r="F308" s="128"/>
      <c r="G308" s="953"/>
      <c r="H308" s="128"/>
      <c r="I308" s="128"/>
      <c r="J308" s="128"/>
      <c r="K308" s="128"/>
      <c r="L308" s="953"/>
      <c r="M308" s="128"/>
      <c r="O308" s="954"/>
      <c r="P308" s="954"/>
    </row>
    <row r="309" spans="1:16" s="106" customFormat="1">
      <c r="A309" s="128"/>
      <c r="B309" s="128"/>
      <c r="C309" s="128"/>
      <c r="D309" s="128"/>
      <c r="E309" s="128"/>
      <c r="F309" s="128"/>
      <c r="G309" s="953"/>
      <c r="H309" s="128"/>
      <c r="I309" s="128"/>
      <c r="J309" s="128"/>
      <c r="K309" s="128"/>
      <c r="L309" s="953"/>
      <c r="M309" s="128"/>
      <c r="O309" s="954"/>
      <c r="P309" s="954"/>
    </row>
    <row r="310" spans="1:16" s="106" customFormat="1">
      <c r="A310" s="128"/>
      <c r="B310" s="128"/>
      <c r="C310" s="128"/>
      <c r="D310" s="128"/>
      <c r="E310" s="128"/>
      <c r="F310" s="128"/>
      <c r="G310" s="953"/>
      <c r="H310" s="128"/>
      <c r="I310" s="128"/>
      <c r="J310" s="128"/>
      <c r="K310" s="128"/>
      <c r="L310" s="953"/>
      <c r="M310" s="128"/>
      <c r="O310" s="954"/>
      <c r="P310" s="954"/>
    </row>
    <row r="311" spans="1:16" s="106" customFormat="1">
      <c r="A311" s="128"/>
      <c r="B311" s="128"/>
      <c r="C311" s="128"/>
      <c r="D311" s="128"/>
      <c r="E311" s="128"/>
      <c r="F311" s="128"/>
      <c r="G311" s="953"/>
      <c r="H311" s="128"/>
      <c r="I311" s="128"/>
      <c r="J311" s="128"/>
      <c r="K311" s="128"/>
      <c r="L311" s="953"/>
      <c r="M311" s="128"/>
      <c r="O311" s="954"/>
      <c r="P311" s="954"/>
    </row>
    <row r="312" spans="1:16" s="106" customFormat="1">
      <c r="A312" s="128"/>
      <c r="B312" s="128"/>
      <c r="C312" s="128"/>
      <c r="D312" s="128"/>
      <c r="E312" s="128"/>
      <c r="F312" s="128"/>
      <c r="G312" s="953"/>
      <c r="H312" s="128"/>
      <c r="I312" s="128"/>
      <c r="J312" s="128"/>
      <c r="K312" s="128"/>
      <c r="L312" s="953"/>
      <c r="M312" s="128"/>
      <c r="O312" s="954"/>
      <c r="P312" s="954"/>
    </row>
    <row r="313" spans="1:16" s="106" customFormat="1">
      <c r="A313" s="128"/>
      <c r="B313" s="128"/>
      <c r="C313" s="128"/>
      <c r="D313" s="128"/>
      <c r="E313" s="128"/>
      <c r="F313" s="128"/>
      <c r="G313" s="953"/>
      <c r="H313" s="128"/>
      <c r="I313" s="128"/>
      <c r="J313" s="128"/>
      <c r="K313" s="128"/>
      <c r="L313" s="953"/>
      <c r="M313" s="128"/>
      <c r="O313" s="954"/>
      <c r="P313" s="954"/>
    </row>
    <row r="314" spans="1:16" s="106" customFormat="1">
      <c r="A314" s="128"/>
      <c r="B314" s="128"/>
      <c r="C314" s="128"/>
      <c r="D314" s="128"/>
      <c r="E314" s="128"/>
      <c r="F314" s="128"/>
      <c r="G314" s="953"/>
      <c r="H314" s="128"/>
      <c r="I314" s="128"/>
      <c r="J314" s="128"/>
      <c r="K314" s="128"/>
      <c r="L314" s="953"/>
      <c r="M314" s="128"/>
      <c r="O314" s="954"/>
      <c r="P314" s="954"/>
    </row>
    <row r="315" spans="1:16" s="106" customFormat="1">
      <c r="A315" s="128"/>
      <c r="B315" s="128"/>
      <c r="C315" s="128"/>
      <c r="D315" s="128"/>
      <c r="E315" s="128"/>
      <c r="F315" s="128"/>
      <c r="G315" s="953"/>
      <c r="H315" s="128"/>
      <c r="I315" s="128"/>
      <c r="J315" s="128"/>
      <c r="K315" s="128"/>
      <c r="L315" s="953"/>
      <c r="M315" s="128"/>
      <c r="O315" s="954"/>
      <c r="P315" s="954"/>
    </row>
    <row r="316" spans="1:16" s="106" customFormat="1">
      <c r="A316" s="128"/>
      <c r="B316" s="128"/>
      <c r="C316" s="128"/>
      <c r="D316" s="128"/>
      <c r="E316" s="128"/>
      <c r="F316" s="128"/>
      <c r="G316" s="953"/>
      <c r="H316" s="128"/>
      <c r="I316" s="128"/>
      <c r="J316" s="128"/>
      <c r="K316" s="128"/>
      <c r="L316" s="953"/>
      <c r="M316" s="128"/>
      <c r="O316" s="954"/>
      <c r="P316" s="954"/>
    </row>
    <row r="317" spans="1:16" s="106" customFormat="1">
      <c r="A317" s="128"/>
      <c r="B317" s="128"/>
      <c r="C317" s="128"/>
      <c r="D317" s="128"/>
      <c r="E317" s="128"/>
      <c r="F317" s="128"/>
      <c r="G317" s="953"/>
      <c r="H317" s="128"/>
      <c r="I317" s="128"/>
      <c r="J317" s="128"/>
      <c r="K317" s="128"/>
      <c r="L317" s="953"/>
      <c r="M317" s="128"/>
      <c r="O317" s="954"/>
      <c r="P317" s="954"/>
    </row>
    <row r="318" spans="1:16" s="106" customFormat="1">
      <c r="A318" s="128"/>
      <c r="B318" s="128"/>
      <c r="C318" s="128"/>
      <c r="D318" s="128"/>
      <c r="E318" s="128"/>
      <c r="F318" s="128"/>
      <c r="G318" s="953"/>
      <c r="H318" s="128"/>
      <c r="I318" s="128"/>
      <c r="J318" s="128"/>
      <c r="K318" s="128"/>
      <c r="L318" s="953"/>
      <c r="M318" s="128"/>
      <c r="O318" s="954"/>
      <c r="P318" s="954"/>
    </row>
    <row r="319" spans="1:16" s="106" customFormat="1">
      <c r="A319" s="128"/>
      <c r="B319" s="128"/>
      <c r="C319" s="128"/>
      <c r="D319" s="128"/>
      <c r="E319" s="128"/>
      <c r="F319" s="128"/>
      <c r="G319" s="953"/>
      <c r="H319" s="128"/>
      <c r="I319" s="128"/>
      <c r="J319" s="128"/>
      <c r="K319" s="128"/>
      <c r="L319" s="953"/>
      <c r="M319" s="128"/>
      <c r="O319" s="954"/>
      <c r="P319" s="954"/>
    </row>
    <row r="320" spans="1:16" s="106" customFormat="1">
      <c r="A320" s="128"/>
      <c r="B320" s="128"/>
      <c r="C320" s="128"/>
      <c r="D320" s="128"/>
      <c r="E320" s="128"/>
      <c r="F320" s="128"/>
      <c r="G320" s="953"/>
      <c r="H320" s="128"/>
      <c r="I320" s="128"/>
      <c r="J320" s="128"/>
      <c r="K320" s="128"/>
      <c r="L320" s="953"/>
      <c r="M320" s="128"/>
      <c r="O320" s="954"/>
      <c r="P320" s="954"/>
    </row>
    <row r="321" spans="1:16" s="106" customFormat="1">
      <c r="A321" s="128"/>
      <c r="B321" s="128"/>
      <c r="C321" s="128"/>
      <c r="D321" s="128"/>
      <c r="E321" s="128"/>
      <c r="F321" s="128"/>
      <c r="G321" s="953"/>
      <c r="H321" s="128"/>
      <c r="I321" s="128"/>
      <c r="J321" s="128"/>
      <c r="K321" s="128"/>
      <c r="L321" s="953"/>
      <c r="M321" s="128"/>
      <c r="O321" s="954"/>
      <c r="P321" s="954"/>
    </row>
    <row r="322" spans="1:16" s="106" customFormat="1">
      <c r="A322" s="128"/>
      <c r="B322" s="128"/>
      <c r="C322" s="128"/>
      <c r="D322" s="128"/>
      <c r="E322" s="128"/>
      <c r="F322" s="128"/>
      <c r="G322" s="953"/>
      <c r="H322" s="128"/>
      <c r="I322" s="128"/>
      <c r="J322" s="128"/>
      <c r="K322" s="128"/>
      <c r="L322" s="953"/>
      <c r="M322" s="128"/>
      <c r="O322" s="954"/>
      <c r="P322" s="954"/>
    </row>
    <row r="323" spans="1:16" s="106" customFormat="1">
      <c r="A323" s="128"/>
      <c r="B323" s="128"/>
      <c r="C323" s="128"/>
      <c r="D323" s="128"/>
      <c r="E323" s="128"/>
      <c r="F323" s="128"/>
      <c r="G323" s="953"/>
      <c r="H323" s="128"/>
      <c r="I323" s="128"/>
      <c r="J323" s="128"/>
      <c r="K323" s="128"/>
      <c r="L323" s="953"/>
      <c r="M323" s="128"/>
      <c r="O323" s="954"/>
      <c r="P323" s="954"/>
    </row>
    <row r="324" spans="1:16" s="106" customFormat="1">
      <c r="A324" s="128"/>
      <c r="B324" s="128"/>
      <c r="C324" s="128"/>
      <c r="D324" s="128"/>
      <c r="E324" s="128"/>
      <c r="F324" s="128"/>
      <c r="G324" s="953"/>
      <c r="H324" s="128"/>
      <c r="I324" s="128"/>
      <c r="J324" s="128"/>
      <c r="K324" s="128"/>
      <c r="L324" s="953"/>
      <c r="M324" s="128"/>
      <c r="O324" s="954"/>
      <c r="P324" s="954"/>
    </row>
    <row r="325" spans="1:16" s="106" customFormat="1">
      <c r="A325" s="128"/>
      <c r="B325" s="128"/>
      <c r="C325" s="128"/>
      <c r="D325" s="128"/>
      <c r="E325" s="128"/>
      <c r="F325" s="128"/>
      <c r="G325" s="953"/>
      <c r="H325" s="128"/>
      <c r="I325" s="128"/>
      <c r="J325" s="128"/>
      <c r="K325" s="128"/>
      <c r="L325" s="953"/>
      <c r="M325" s="128"/>
      <c r="O325" s="954"/>
      <c r="P325" s="954"/>
    </row>
    <row r="326" spans="1:16" s="106" customFormat="1">
      <c r="A326" s="128"/>
      <c r="B326" s="128"/>
      <c r="C326" s="128"/>
      <c r="D326" s="128"/>
      <c r="E326" s="128"/>
      <c r="F326" s="128"/>
      <c r="G326" s="953"/>
      <c r="H326" s="128"/>
      <c r="I326" s="128"/>
      <c r="J326" s="128"/>
      <c r="K326" s="128"/>
      <c r="L326" s="953"/>
      <c r="M326" s="128"/>
      <c r="O326" s="954"/>
      <c r="P326" s="954"/>
    </row>
    <row r="327" spans="1:16" s="106" customFormat="1">
      <c r="A327" s="128"/>
      <c r="B327" s="128"/>
      <c r="C327" s="128"/>
      <c r="D327" s="128"/>
      <c r="E327" s="128"/>
      <c r="F327" s="128"/>
      <c r="G327" s="953"/>
      <c r="H327" s="128"/>
      <c r="I327" s="128"/>
      <c r="J327" s="128"/>
      <c r="K327" s="128"/>
      <c r="L327" s="953"/>
      <c r="M327" s="128"/>
      <c r="O327" s="954"/>
      <c r="P327" s="954"/>
    </row>
    <row r="328" spans="1:16" s="106" customFormat="1">
      <c r="A328" s="128"/>
      <c r="B328" s="128"/>
      <c r="C328" s="128"/>
      <c r="D328" s="128"/>
      <c r="E328" s="128"/>
      <c r="F328" s="128"/>
      <c r="G328" s="953"/>
      <c r="H328" s="128"/>
      <c r="I328" s="128"/>
      <c r="J328" s="128"/>
      <c r="K328" s="128"/>
      <c r="L328" s="953"/>
      <c r="M328" s="128"/>
      <c r="O328" s="954"/>
      <c r="P328" s="954"/>
    </row>
    <row r="329" spans="1:16" s="106" customFormat="1">
      <c r="A329" s="128"/>
      <c r="B329" s="128"/>
      <c r="C329" s="128"/>
      <c r="D329" s="128"/>
      <c r="E329" s="128"/>
      <c r="F329" s="128"/>
      <c r="G329" s="953"/>
      <c r="H329" s="128"/>
      <c r="I329" s="128"/>
      <c r="J329" s="128"/>
      <c r="K329" s="128"/>
      <c r="L329" s="953"/>
      <c r="M329" s="128"/>
      <c r="O329" s="954"/>
      <c r="P329" s="954"/>
    </row>
    <row r="330" spans="1:16" s="106" customFormat="1">
      <c r="A330" s="128"/>
      <c r="B330" s="128"/>
      <c r="C330" s="128"/>
      <c r="D330" s="128"/>
      <c r="E330" s="128"/>
      <c r="F330" s="128"/>
      <c r="G330" s="953"/>
      <c r="H330" s="128"/>
      <c r="I330" s="128"/>
      <c r="J330" s="128"/>
      <c r="K330" s="128"/>
      <c r="L330" s="953"/>
      <c r="M330" s="128"/>
      <c r="O330" s="954"/>
      <c r="P330" s="954"/>
    </row>
    <row r="331" spans="1:16" s="106" customFormat="1">
      <c r="A331" s="128"/>
      <c r="B331" s="128"/>
      <c r="C331" s="128"/>
      <c r="D331" s="128"/>
      <c r="E331" s="128"/>
      <c r="F331" s="128"/>
      <c r="G331" s="953"/>
      <c r="H331" s="128"/>
      <c r="I331" s="128"/>
      <c r="J331" s="128"/>
      <c r="K331" s="128"/>
      <c r="L331" s="953"/>
      <c r="M331" s="128"/>
      <c r="O331" s="954"/>
      <c r="P331" s="954"/>
    </row>
    <row r="332" spans="1:16" s="106" customFormat="1">
      <c r="A332" s="128"/>
      <c r="B332" s="128"/>
      <c r="C332" s="128"/>
      <c r="D332" s="128"/>
      <c r="E332" s="128"/>
      <c r="F332" s="128"/>
      <c r="G332" s="953"/>
      <c r="H332" s="128"/>
      <c r="I332" s="128"/>
      <c r="J332" s="128"/>
      <c r="K332" s="128"/>
      <c r="L332" s="953"/>
      <c r="M332" s="128"/>
      <c r="O332" s="954"/>
      <c r="P332" s="954"/>
    </row>
    <row r="333" spans="1:16" s="106" customFormat="1">
      <c r="A333" s="128"/>
      <c r="B333" s="128"/>
      <c r="C333" s="128"/>
      <c r="D333" s="128"/>
      <c r="E333" s="128"/>
      <c r="F333" s="128"/>
      <c r="G333" s="953"/>
      <c r="H333" s="128"/>
      <c r="I333" s="128"/>
      <c r="J333" s="128"/>
      <c r="K333" s="128"/>
      <c r="L333" s="953"/>
      <c r="M333" s="128"/>
      <c r="O333" s="954"/>
      <c r="P333" s="954"/>
    </row>
    <row r="334" spans="1:16" s="106" customFormat="1">
      <c r="A334" s="128"/>
      <c r="B334" s="128"/>
      <c r="C334" s="128"/>
      <c r="D334" s="128"/>
      <c r="E334" s="128"/>
      <c r="F334" s="128"/>
      <c r="G334" s="953"/>
      <c r="H334" s="128"/>
      <c r="I334" s="128"/>
      <c r="J334" s="128"/>
      <c r="K334" s="128"/>
      <c r="L334" s="953"/>
      <c r="M334" s="128"/>
      <c r="O334" s="954"/>
      <c r="P334" s="954"/>
    </row>
    <row r="335" spans="1:16" s="106" customFormat="1">
      <c r="A335" s="128"/>
      <c r="B335" s="128"/>
      <c r="C335" s="128"/>
      <c r="D335" s="128"/>
      <c r="E335" s="128"/>
      <c r="F335" s="128"/>
      <c r="G335" s="953"/>
      <c r="H335" s="128"/>
      <c r="I335" s="128"/>
      <c r="J335" s="128"/>
      <c r="K335" s="128"/>
      <c r="L335" s="953"/>
      <c r="M335" s="128"/>
      <c r="O335" s="954"/>
      <c r="P335" s="954"/>
    </row>
    <row r="336" spans="1:16" s="106" customFormat="1">
      <c r="A336" s="128"/>
      <c r="B336" s="128"/>
      <c r="C336" s="128"/>
      <c r="D336" s="128"/>
      <c r="E336" s="128"/>
      <c r="F336" s="128"/>
      <c r="G336" s="953"/>
      <c r="H336" s="128"/>
      <c r="I336" s="128"/>
      <c r="J336" s="128"/>
      <c r="K336" s="128"/>
      <c r="L336" s="953"/>
      <c r="M336" s="128"/>
      <c r="O336" s="954"/>
      <c r="P336" s="954"/>
    </row>
    <row r="337" spans="1:16" s="106" customFormat="1">
      <c r="A337" s="128"/>
      <c r="B337" s="128"/>
      <c r="C337" s="128"/>
      <c r="D337" s="128"/>
      <c r="E337" s="128"/>
      <c r="F337" s="128"/>
      <c r="G337" s="953"/>
      <c r="H337" s="128"/>
      <c r="I337" s="128"/>
      <c r="J337" s="128"/>
      <c r="K337" s="128"/>
      <c r="L337" s="953"/>
      <c r="M337" s="128"/>
      <c r="O337" s="954"/>
      <c r="P337" s="954"/>
    </row>
    <row r="338" spans="1:16" s="106" customFormat="1">
      <c r="A338" s="128"/>
      <c r="B338" s="128"/>
      <c r="C338" s="128"/>
      <c r="D338" s="128"/>
      <c r="E338" s="128"/>
      <c r="F338" s="128"/>
      <c r="G338" s="953"/>
      <c r="H338" s="128"/>
      <c r="I338" s="128"/>
      <c r="J338" s="128"/>
      <c r="K338" s="128"/>
      <c r="L338" s="953"/>
      <c r="M338" s="128"/>
      <c r="O338" s="954"/>
      <c r="P338" s="954"/>
    </row>
    <row r="339" spans="1:16" s="106" customFormat="1">
      <c r="A339" s="128"/>
      <c r="B339" s="128"/>
      <c r="C339" s="128"/>
      <c r="D339" s="128"/>
      <c r="E339" s="128"/>
      <c r="F339" s="128"/>
      <c r="G339" s="953"/>
      <c r="H339" s="128"/>
      <c r="I339" s="128"/>
      <c r="J339" s="128"/>
      <c r="K339" s="128"/>
      <c r="L339" s="953"/>
      <c r="M339" s="128"/>
      <c r="O339" s="954"/>
      <c r="P339" s="954"/>
    </row>
    <row r="340" spans="1:16" s="106" customFormat="1">
      <c r="A340" s="128"/>
      <c r="B340" s="128"/>
      <c r="C340" s="128"/>
      <c r="D340" s="128"/>
      <c r="E340" s="128"/>
      <c r="F340" s="128"/>
      <c r="G340" s="953"/>
      <c r="H340" s="128"/>
      <c r="I340" s="128"/>
      <c r="J340" s="128"/>
      <c r="K340" s="128"/>
      <c r="L340" s="953"/>
      <c r="M340" s="128"/>
      <c r="O340" s="954"/>
      <c r="P340" s="954"/>
    </row>
    <row r="341" spans="1:16" s="106" customFormat="1">
      <c r="A341" s="128"/>
      <c r="B341" s="128"/>
      <c r="C341" s="128"/>
      <c r="D341" s="128"/>
      <c r="E341" s="128"/>
      <c r="F341" s="128"/>
      <c r="G341" s="953"/>
      <c r="H341" s="128"/>
      <c r="I341" s="128"/>
      <c r="J341" s="128"/>
      <c r="K341" s="128"/>
      <c r="L341" s="953"/>
      <c r="M341" s="128"/>
      <c r="O341" s="954"/>
      <c r="P341" s="954"/>
    </row>
    <row r="342" spans="1:16" s="106" customFormat="1">
      <c r="A342" s="128"/>
      <c r="B342" s="128"/>
      <c r="C342" s="128"/>
      <c r="D342" s="128"/>
      <c r="E342" s="128"/>
      <c r="F342" s="128"/>
      <c r="G342" s="953"/>
      <c r="H342" s="128"/>
      <c r="I342" s="128"/>
      <c r="J342" s="128"/>
      <c r="K342" s="128"/>
      <c r="L342" s="953"/>
      <c r="M342" s="128"/>
      <c r="O342" s="954"/>
      <c r="P342" s="954"/>
    </row>
    <row r="343" spans="1:16" s="106" customFormat="1">
      <c r="A343" s="128"/>
      <c r="B343" s="128"/>
      <c r="C343" s="128"/>
      <c r="D343" s="128"/>
      <c r="E343" s="128"/>
      <c r="F343" s="128"/>
      <c r="G343" s="953"/>
      <c r="H343" s="128"/>
      <c r="I343" s="128"/>
      <c r="J343" s="128"/>
      <c r="K343" s="128"/>
      <c r="L343" s="953"/>
      <c r="M343" s="128"/>
      <c r="O343" s="954"/>
      <c r="P343" s="954"/>
    </row>
    <row r="344" spans="1:16" s="106" customFormat="1">
      <c r="A344" s="128"/>
      <c r="B344" s="128"/>
      <c r="C344" s="128"/>
      <c r="D344" s="128"/>
      <c r="E344" s="128"/>
      <c r="F344" s="128"/>
      <c r="G344" s="953"/>
      <c r="H344" s="128"/>
      <c r="I344" s="128"/>
      <c r="J344" s="128"/>
      <c r="K344" s="128"/>
      <c r="L344" s="953"/>
      <c r="M344" s="128"/>
      <c r="O344" s="954"/>
      <c r="P344" s="954"/>
    </row>
    <row r="345" spans="1:16" s="106" customFormat="1">
      <c r="A345" s="128"/>
      <c r="B345" s="128"/>
      <c r="C345" s="128"/>
      <c r="D345" s="128"/>
      <c r="E345" s="128"/>
      <c r="F345" s="128"/>
      <c r="G345" s="953"/>
      <c r="H345" s="128"/>
      <c r="I345" s="128"/>
      <c r="J345" s="128"/>
      <c r="K345" s="128"/>
      <c r="L345" s="953"/>
      <c r="M345" s="128"/>
      <c r="O345" s="954"/>
      <c r="P345" s="954"/>
    </row>
    <row r="346" spans="1:16" s="106" customFormat="1">
      <c r="A346" s="128"/>
      <c r="B346" s="128"/>
      <c r="C346" s="128"/>
      <c r="D346" s="128"/>
      <c r="E346" s="128"/>
      <c r="F346" s="128"/>
      <c r="G346" s="953"/>
      <c r="H346" s="128"/>
      <c r="I346" s="128"/>
      <c r="J346" s="128"/>
      <c r="K346" s="128"/>
      <c r="L346" s="953"/>
      <c r="M346" s="128"/>
      <c r="O346" s="954"/>
      <c r="P346" s="954"/>
    </row>
    <row r="347" spans="1:16" s="106" customFormat="1">
      <c r="A347" s="128"/>
      <c r="B347" s="128"/>
      <c r="C347" s="128"/>
      <c r="D347" s="128"/>
      <c r="E347" s="128"/>
      <c r="F347" s="128"/>
      <c r="G347" s="953"/>
      <c r="H347" s="128"/>
      <c r="I347" s="128"/>
      <c r="J347" s="128"/>
      <c r="K347" s="128"/>
      <c r="L347" s="953"/>
      <c r="M347" s="128"/>
      <c r="O347" s="954"/>
      <c r="P347" s="954"/>
    </row>
    <row r="348" spans="1:16" s="106" customFormat="1">
      <c r="A348" s="128"/>
      <c r="B348" s="128"/>
      <c r="C348" s="128"/>
      <c r="D348" s="128"/>
      <c r="E348" s="128"/>
      <c r="F348" s="128"/>
      <c r="G348" s="953"/>
      <c r="H348" s="128"/>
      <c r="I348" s="128"/>
      <c r="J348" s="128"/>
      <c r="K348" s="128"/>
      <c r="L348" s="953"/>
      <c r="M348" s="128"/>
      <c r="O348" s="954"/>
      <c r="P348" s="954"/>
    </row>
    <row r="349" spans="1:16" s="106" customFormat="1">
      <c r="A349" s="128"/>
      <c r="B349" s="128"/>
      <c r="C349" s="128"/>
      <c r="D349" s="128"/>
      <c r="E349" s="128"/>
      <c r="F349" s="128"/>
      <c r="G349" s="953"/>
      <c r="H349" s="128"/>
      <c r="I349" s="128"/>
      <c r="J349" s="128"/>
      <c r="K349" s="128"/>
      <c r="L349" s="953"/>
      <c r="M349" s="128"/>
      <c r="O349" s="954"/>
      <c r="P349" s="954"/>
    </row>
    <row r="350" spans="1:16" s="106" customFormat="1">
      <c r="A350" s="128"/>
      <c r="B350" s="128"/>
      <c r="C350" s="128"/>
      <c r="D350" s="128"/>
      <c r="E350" s="128"/>
      <c r="F350" s="128"/>
      <c r="G350" s="953"/>
      <c r="H350" s="128"/>
      <c r="I350" s="128"/>
      <c r="J350" s="128"/>
      <c r="K350" s="128"/>
      <c r="L350" s="953"/>
      <c r="M350" s="128"/>
      <c r="O350" s="954"/>
      <c r="P350" s="954"/>
    </row>
    <row r="351" spans="1:16" s="106" customFormat="1">
      <c r="A351" s="128"/>
      <c r="B351" s="128"/>
      <c r="C351" s="128"/>
      <c r="D351" s="128"/>
      <c r="E351" s="128"/>
      <c r="F351" s="128"/>
      <c r="G351" s="953"/>
      <c r="H351" s="128"/>
      <c r="I351" s="128"/>
      <c r="J351" s="128"/>
      <c r="K351" s="128"/>
      <c r="L351" s="953"/>
      <c r="M351" s="128"/>
      <c r="O351" s="954"/>
      <c r="P351" s="954"/>
    </row>
    <row r="352" spans="1:16" s="106" customFormat="1">
      <c r="A352" s="128"/>
      <c r="B352" s="128"/>
      <c r="C352" s="128"/>
      <c r="D352" s="128"/>
      <c r="E352" s="128"/>
      <c r="F352" s="128"/>
      <c r="G352" s="953"/>
      <c r="H352" s="128"/>
      <c r="I352" s="128"/>
      <c r="J352" s="128"/>
      <c r="K352" s="128"/>
      <c r="L352" s="953"/>
      <c r="M352" s="128"/>
      <c r="O352" s="954"/>
      <c r="P352" s="954"/>
    </row>
    <row r="353" spans="1:16" s="106" customFormat="1">
      <c r="A353" s="128"/>
      <c r="B353" s="128"/>
      <c r="C353" s="128"/>
      <c r="D353" s="128"/>
      <c r="E353" s="128"/>
      <c r="F353" s="128"/>
      <c r="G353" s="953"/>
      <c r="H353" s="128"/>
      <c r="I353" s="128"/>
      <c r="J353" s="128"/>
      <c r="K353" s="128"/>
      <c r="L353" s="953"/>
      <c r="M353" s="128"/>
      <c r="O353" s="954"/>
      <c r="P353" s="954"/>
    </row>
    <row r="354" spans="1:16" s="106" customFormat="1">
      <c r="A354" s="128"/>
      <c r="B354" s="128"/>
      <c r="C354" s="128"/>
      <c r="D354" s="128"/>
      <c r="E354" s="128"/>
      <c r="F354" s="128"/>
      <c r="G354" s="953"/>
      <c r="H354" s="128"/>
      <c r="I354" s="128"/>
      <c r="J354" s="128"/>
      <c r="K354" s="128"/>
      <c r="L354" s="953"/>
      <c r="M354" s="128"/>
      <c r="O354" s="954"/>
      <c r="P354" s="954"/>
    </row>
    <row r="355" spans="1:16" s="106" customFormat="1">
      <c r="A355" s="128"/>
      <c r="B355" s="128"/>
      <c r="C355" s="128"/>
      <c r="D355" s="128"/>
      <c r="E355" s="128"/>
      <c r="F355" s="128"/>
      <c r="G355" s="953"/>
      <c r="H355" s="128"/>
      <c r="I355" s="128"/>
      <c r="J355" s="128"/>
      <c r="K355" s="128"/>
      <c r="L355" s="953"/>
      <c r="M355" s="128"/>
      <c r="O355" s="954"/>
      <c r="P355" s="954"/>
    </row>
    <row r="356" spans="1:16" s="106" customFormat="1">
      <c r="A356" s="128"/>
      <c r="B356" s="128"/>
      <c r="C356" s="128"/>
      <c r="D356" s="128"/>
      <c r="E356" s="128"/>
      <c r="F356" s="128"/>
      <c r="G356" s="953"/>
      <c r="H356" s="128"/>
      <c r="I356" s="128"/>
      <c r="J356" s="128"/>
      <c r="K356" s="128"/>
      <c r="L356" s="953"/>
      <c r="M356" s="128"/>
      <c r="O356" s="954"/>
      <c r="P356" s="954"/>
    </row>
    <row r="357" spans="1:16" s="106" customFormat="1">
      <c r="A357" s="128"/>
      <c r="B357" s="128"/>
      <c r="C357" s="128"/>
      <c r="D357" s="128"/>
      <c r="E357" s="128"/>
      <c r="F357" s="128"/>
      <c r="G357" s="953"/>
      <c r="H357" s="128"/>
      <c r="I357" s="128"/>
      <c r="J357" s="128"/>
      <c r="K357" s="128"/>
      <c r="L357" s="953"/>
      <c r="M357" s="128"/>
      <c r="O357" s="954"/>
      <c r="P357" s="954"/>
    </row>
    <row r="358" spans="1:16" s="106" customFormat="1">
      <c r="A358" s="128"/>
      <c r="B358" s="128"/>
      <c r="C358" s="128"/>
      <c r="D358" s="128"/>
      <c r="E358" s="128"/>
      <c r="F358" s="128"/>
      <c r="G358" s="953"/>
      <c r="H358" s="128"/>
      <c r="I358" s="128"/>
      <c r="J358" s="128"/>
      <c r="K358" s="128"/>
      <c r="L358" s="953"/>
      <c r="M358" s="128"/>
      <c r="O358" s="954"/>
      <c r="P358" s="954"/>
    </row>
    <row r="359" spans="1:16" s="106" customFormat="1">
      <c r="A359" s="128"/>
      <c r="B359" s="128"/>
      <c r="C359" s="128"/>
      <c r="D359" s="128"/>
      <c r="E359" s="128"/>
      <c r="F359" s="128"/>
      <c r="G359" s="953"/>
      <c r="H359" s="128"/>
      <c r="I359" s="128"/>
      <c r="J359" s="128"/>
      <c r="K359" s="128"/>
      <c r="L359" s="953"/>
      <c r="M359" s="128"/>
      <c r="O359" s="954"/>
      <c r="P359" s="954"/>
    </row>
    <row r="360" spans="1:16" s="106" customFormat="1">
      <c r="A360" s="128"/>
      <c r="B360" s="128"/>
      <c r="C360" s="128"/>
      <c r="D360" s="128"/>
      <c r="E360" s="128"/>
      <c r="F360" s="128"/>
      <c r="G360" s="953"/>
      <c r="H360" s="128"/>
      <c r="I360" s="128"/>
      <c r="J360" s="128"/>
      <c r="K360" s="128"/>
      <c r="L360" s="953"/>
      <c r="M360" s="128"/>
      <c r="O360" s="954"/>
      <c r="P360" s="954"/>
    </row>
    <row r="361" spans="1:16" s="106" customFormat="1">
      <c r="A361" s="128"/>
      <c r="B361" s="128"/>
      <c r="C361" s="128"/>
      <c r="D361" s="128"/>
      <c r="E361" s="128"/>
      <c r="F361" s="128"/>
      <c r="G361" s="953"/>
      <c r="H361" s="128"/>
      <c r="I361" s="128"/>
      <c r="J361" s="128"/>
      <c r="K361" s="128"/>
      <c r="L361" s="953"/>
      <c r="M361" s="128"/>
      <c r="O361" s="954"/>
      <c r="P361" s="954"/>
    </row>
    <row r="362" spans="1:16" s="106" customFormat="1">
      <c r="A362" s="128"/>
      <c r="B362" s="128"/>
      <c r="C362" s="128"/>
      <c r="D362" s="128"/>
      <c r="E362" s="128"/>
      <c r="F362" s="128"/>
      <c r="G362" s="953"/>
      <c r="H362" s="128"/>
      <c r="I362" s="128"/>
      <c r="J362" s="128"/>
      <c r="K362" s="128"/>
      <c r="L362" s="953"/>
      <c r="M362" s="128"/>
      <c r="O362" s="954"/>
      <c r="P362" s="954"/>
    </row>
    <row r="363" spans="1:16" s="106" customFormat="1">
      <c r="A363" s="128"/>
      <c r="B363" s="128"/>
      <c r="C363" s="128"/>
      <c r="D363" s="128"/>
      <c r="E363" s="128"/>
      <c r="F363" s="128"/>
      <c r="G363" s="953"/>
      <c r="H363" s="128"/>
      <c r="I363" s="128"/>
      <c r="J363" s="128"/>
      <c r="K363" s="128"/>
      <c r="L363" s="953"/>
      <c r="M363" s="128"/>
      <c r="O363" s="954"/>
      <c r="P363" s="954"/>
    </row>
    <row r="364" spans="1:16" s="106" customFormat="1">
      <c r="A364" s="128"/>
      <c r="B364" s="128"/>
      <c r="C364" s="128"/>
      <c r="D364" s="128"/>
      <c r="E364" s="128"/>
      <c r="F364" s="128"/>
      <c r="G364" s="953"/>
      <c r="H364" s="128"/>
      <c r="I364" s="128"/>
      <c r="J364" s="128"/>
      <c r="K364" s="128"/>
      <c r="L364" s="953"/>
      <c r="M364" s="128"/>
      <c r="O364" s="954"/>
      <c r="P364" s="954"/>
    </row>
    <row r="365" spans="1:16" s="106" customFormat="1">
      <c r="A365" s="128"/>
      <c r="B365" s="128"/>
      <c r="C365" s="128"/>
      <c r="D365" s="128"/>
      <c r="E365" s="128"/>
      <c r="F365" s="128"/>
      <c r="G365" s="953"/>
      <c r="H365" s="128"/>
      <c r="I365" s="128"/>
      <c r="J365" s="128"/>
      <c r="K365" s="128"/>
      <c r="L365" s="953"/>
      <c r="M365" s="128"/>
      <c r="O365" s="954"/>
      <c r="P365" s="954"/>
    </row>
    <row r="366" spans="1:16" s="106" customFormat="1">
      <c r="A366" s="128"/>
      <c r="B366" s="128"/>
      <c r="C366" s="128"/>
      <c r="D366" s="128"/>
      <c r="E366" s="128"/>
      <c r="F366" s="128"/>
      <c r="G366" s="953"/>
      <c r="H366" s="128"/>
      <c r="I366" s="128"/>
      <c r="J366" s="128"/>
      <c r="K366" s="128"/>
      <c r="L366" s="953"/>
      <c r="M366" s="128"/>
      <c r="O366" s="954"/>
      <c r="P366" s="954"/>
    </row>
    <row r="367" spans="1:16" s="106" customFormat="1">
      <c r="A367" s="128"/>
      <c r="B367" s="128"/>
      <c r="C367" s="128"/>
      <c r="D367" s="128"/>
      <c r="E367" s="128"/>
      <c r="F367" s="128"/>
      <c r="G367" s="953"/>
      <c r="H367" s="128"/>
      <c r="I367" s="128"/>
      <c r="J367" s="128"/>
      <c r="K367" s="128"/>
      <c r="L367" s="953"/>
      <c r="M367" s="128"/>
      <c r="O367" s="954"/>
      <c r="P367" s="954"/>
    </row>
    <row r="368" spans="1:16" s="106" customFormat="1">
      <c r="A368" s="128"/>
      <c r="B368" s="128"/>
      <c r="C368" s="128"/>
      <c r="D368" s="128"/>
      <c r="E368" s="128"/>
      <c r="F368" s="128"/>
      <c r="G368" s="953"/>
      <c r="H368" s="128"/>
      <c r="I368" s="128"/>
      <c r="J368" s="128"/>
      <c r="K368" s="128"/>
      <c r="L368" s="953"/>
      <c r="M368" s="128"/>
      <c r="O368" s="954"/>
      <c r="P368" s="954"/>
    </row>
    <row r="369" spans="1:16" s="106" customFormat="1">
      <c r="A369" s="128"/>
      <c r="B369" s="128"/>
      <c r="C369" s="128"/>
      <c r="D369" s="128"/>
      <c r="E369" s="128"/>
      <c r="F369" s="128"/>
      <c r="G369" s="953"/>
      <c r="H369" s="128"/>
      <c r="I369" s="128"/>
      <c r="J369" s="128"/>
      <c r="K369" s="128"/>
      <c r="L369" s="953"/>
      <c r="M369" s="128"/>
      <c r="O369" s="954"/>
      <c r="P369" s="954"/>
    </row>
    <row r="370" spans="1:16" s="106" customFormat="1">
      <c r="A370" s="128"/>
      <c r="B370" s="128"/>
      <c r="C370" s="128"/>
      <c r="D370" s="128"/>
      <c r="E370" s="128"/>
      <c r="F370" s="128"/>
      <c r="G370" s="953"/>
      <c r="H370" s="128"/>
      <c r="I370" s="128"/>
      <c r="J370" s="128"/>
      <c r="K370" s="128"/>
      <c r="L370" s="953"/>
      <c r="M370" s="128"/>
      <c r="O370" s="954"/>
      <c r="P370" s="954"/>
    </row>
    <row r="371" spans="1:16" s="106" customFormat="1">
      <c r="A371" s="128"/>
      <c r="B371" s="128"/>
      <c r="C371" s="128"/>
      <c r="D371" s="128"/>
      <c r="E371" s="128"/>
      <c r="F371" s="128"/>
      <c r="G371" s="953"/>
      <c r="H371" s="128"/>
      <c r="I371" s="128"/>
      <c r="J371" s="128"/>
      <c r="K371" s="128"/>
      <c r="L371" s="953"/>
      <c r="M371" s="128"/>
      <c r="O371" s="954"/>
      <c r="P371" s="954"/>
    </row>
    <row r="372" spans="1:16" s="106" customFormat="1">
      <c r="A372" s="128"/>
      <c r="B372" s="128"/>
      <c r="C372" s="128"/>
      <c r="D372" s="128"/>
      <c r="E372" s="128"/>
      <c r="F372" s="128"/>
      <c r="G372" s="953"/>
      <c r="H372" s="128"/>
      <c r="I372" s="128"/>
      <c r="J372" s="128"/>
      <c r="K372" s="128"/>
      <c r="L372" s="953"/>
      <c r="M372" s="128"/>
      <c r="O372" s="954"/>
      <c r="P372" s="954"/>
    </row>
    <row r="373" spans="1:16" s="106" customFormat="1">
      <c r="A373" s="128"/>
      <c r="B373" s="128"/>
      <c r="C373" s="128"/>
      <c r="D373" s="128"/>
      <c r="E373" s="128"/>
      <c r="F373" s="128"/>
      <c r="G373" s="953"/>
      <c r="H373" s="128"/>
      <c r="I373" s="128"/>
      <c r="J373" s="128"/>
      <c r="K373" s="128"/>
      <c r="L373" s="953"/>
      <c r="M373" s="128"/>
      <c r="O373" s="954"/>
      <c r="P373" s="954"/>
    </row>
    <row r="374" spans="1:16" s="106" customFormat="1">
      <c r="A374" s="128"/>
      <c r="B374" s="128"/>
      <c r="C374" s="128"/>
      <c r="D374" s="128"/>
      <c r="E374" s="128"/>
      <c r="F374" s="128"/>
      <c r="G374" s="953"/>
      <c r="H374" s="128"/>
      <c r="I374" s="128"/>
      <c r="J374" s="128"/>
      <c r="K374" s="128"/>
      <c r="L374" s="953"/>
      <c r="M374" s="128"/>
      <c r="O374" s="954"/>
      <c r="P374" s="954"/>
    </row>
    <row r="375" spans="1:16" s="106" customFormat="1">
      <c r="A375" s="128"/>
      <c r="B375" s="128"/>
      <c r="C375" s="128"/>
      <c r="D375" s="128"/>
      <c r="E375" s="128"/>
      <c r="F375" s="128"/>
      <c r="G375" s="953"/>
      <c r="H375" s="128"/>
      <c r="I375" s="128"/>
      <c r="J375" s="128"/>
      <c r="K375" s="128"/>
      <c r="L375" s="953"/>
      <c r="M375" s="128"/>
      <c r="O375" s="954"/>
      <c r="P375" s="954"/>
    </row>
    <row r="376" spans="1:16" s="106" customFormat="1">
      <c r="A376" s="128"/>
      <c r="B376" s="128"/>
      <c r="C376" s="128"/>
      <c r="D376" s="128"/>
      <c r="E376" s="128"/>
      <c r="F376" s="128"/>
      <c r="G376" s="953"/>
      <c r="H376" s="128"/>
      <c r="I376" s="128"/>
      <c r="J376" s="128"/>
      <c r="K376" s="128"/>
      <c r="L376" s="953"/>
      <c r="M376" s="128"/>
      <c r="O376" s="954"/>
      <c r="P376" s="954"/>
    </row>
    <row r="377" spans="1:16" s="106" customFormat="1">
      <c r="A377" s="128"/>
      <c r="B377" s="128"/>
      <c r="C377" s="128"/>
      <c r="D377" s="128"/>
      <c r="E377" s="128"/>
      <c r="F377" s="128"/>
      <c r="G377" s="953"/>
      <c r="H377" s="128"/>
      <c r="I377" s="128"/>
      <c r="J377" s="128"/>
      <c r="K377" s="128"/>
      <c r="L377" s="953"/>
      <c r="M377" s="128"/>
      <c r="O377" s="954"/>
      <c r="P377" s="954"/>
    </row>
    <row r="378" spans="1:16" s="106" customFormat="1">
      <c r="A378" s="128"/>
      <c r="B378" s="128"/>
      <c r="C378" s="128"/>
      <c r="D378" s="128"/>
      <c r="E378" s="128"/>
      <c r="F378" s="128"/>
      <c r="G378" s="953"/>
      <c r="H378" s="128"/>
      <c r="I378" s="128"/>
      <c r="J378" s="128"/>
      <c r="K378" s="128"/>
      <c r="L378" s="953"/>
      <c r="M378" s="128"/>
      <c r="O378" s="954"/>
      <c r="P378" s="954"/>
    </row>
    <row r="379" spans="1:16" s="106" customFormat="1">
      <c r="A379" s="128"/>
      <c r="B379" s="128"/>
      <c r="C379" s="128"/>
      <c r="D379" s="128"/>
      <c r="E379" s="128"/>
      <c r="F379" s="128"/>
      <c r="G379" s="953"/>
      <c r="H379" s="128"/>
      <c r="I379" s="128"/>
      <c r="J379" s="128"/>
      <c r="K379" s="128"/>
      <c r="L379" s="953"/>
      <c r="M379" s="128"/>
      <c r="O379" s="954"/>
      <c r="P379" s="954"/>
    </row>
    <row r="380" spans="1:16" s="106" customFormat="1">
      <c r="A380" s="128"/>
      <c r="B380" s="128"/>
      <c r="C380" s="128"/>
      <c r="D380" s="128"/>
      <c r="E380" s="128"/>
      <c r="F380" s="128"/>
      <c r="G380" s="953"/>
      <c r="H380" s="128"/>
      <c r="I380" s="128"/>
      <c r="J380" s="128"/>
      <c r="K380" s="128"/>
      <c r="L380" s="953"/>
      <c r="M380" s="128"/>
      <c r="O380" s="954"/>
      <c r="P380" s="954"/>
    </row>
    <row r="381" spans="1:16" s="106" customFormat="1">
      <c r="A381" s="128"/>
      <c r="B381" s="128"/>
      <c r="C381" s="128"/>
      <c r="D381" s="128"/>
      <c r="E381" s="128"/>
      <c r="F381" s="128"/>
      <c r="G381" s="953"/>
      <c r="H381" s="128"/>
      <c r="I381" s="128"/>
      <c r="J381" s="128"/>
      <c r="K381" s="128"/>
      <c r="L381" s="953"/>
      <c r="M381" s="128"/>
      <c r="O381" s="954"/>
      <c r="P381" s="954"/>
    </row>
    <row r="382" spans="1:16" s="106" customFormat="1">
      <c r="A382" s="128"/>
      <c r="B382" s="128"/>
      <c r="C382" s="128"/>
      <c r="D382" s="128"/>
      <c r="E382" s="128"/>
      <c r="F382" s="128"/>
      <c r="G382" s="953"/>
      <c r="H382" s="128"/>
      <c r="I382" s="128"/>
      <c r="J382" s="128"/>
      <c r="K382" s="128"/>
      <c r="L382" s="953"/>
      <c r="M382" s="128"/>
      <c r="O382" s="954"/>
      <c r="P382" s="954"/>
    </row>
    <row r="383" spans="1:16" s="106" customFormat="1">
      <c r="A383" s="128"/>
      <c r="B383" s="128"/>
      <c r="C383" s="128"/>
      <c r="D383" s="128"/>
      <c r="E383" s="128"/>
      <c r="F383" s="128"/>
      <c r="G383" s="953"/>
      <c r="H383" s="128"/>
      <c r="I383" s="128"/>
      <c r="J383" s="128"/>
      <c r="K383" s="128"/>
      <c r="L383" s="953"/>
      <c r="M383" s="128"/>
      <c r="O383" s="954"/>
      <c r="P383" s="954"/>
    </row>
    <row r="384" spans="1:16" s="106" customFormat="1">
      <c r="A384" s="128"/>
      <c r="B384" s="128"/>
      <c r="C384" s="128"/>
      <c r="D384" s="128"/>
      <c r="E384" s="128"/>
      <c r="F384" s="128"/>
      <c r="G384" s="953"/>
      <c r="H384" s="128"/>
      <c r="I384" s="128"/>
      <c r="J384" s="128"/>
      <c r="K384" s="128"/>
      <c r="L384" s="953"/>
      <c r="M384" s="128"/>
      <c r="O384" s="954"/>
      <c r="P384" s="954"/>
    </row>
    <row r="385" spans="1:16" s="106" customFormat="1">
      <c r="A385" s="128"/>
      <c r="B385" s="128"/>
      <c r="C385" s="128"/>
      <c r="D385" s="128"/>
      <c r="E385" s="128"/>
      <c r="F385" s="128"/>
      <c r="G385" s="953"/>
      <c r="H385" s="128"/>
      <c r="I385" s="128"/>
      <c r="J385" s="128"/>
      <c r="K385" s="128"/>
      <c r="L385" s="953"/>
      <c r="M385" s="128"/>
      <c r="O385" s="954"/>
      <c r="P385" s="954"/>
    </row>
    <row r="386" spans="1:16" s="106" customFormat="1">
      <c r="A386" s="128"/>
      <c r="B386" s="128"/>
      <c r="C386" s="128"/>
      <c r="D386" s="128"/>
      <c r="E386" s="128"/>
      <c r="F386" s="128"/>
      <c r="G386" s="953"/>
      <c r="H386" s="128"/>
      <c r="I386" s="128"/>
      <c r="J386" s="128"/>
      <c r="K386" s="128"/>
      <c r="L386" s="953"/>
      <c r="M386" s="128"/>
      <c r="O386" s="954"/>
      <c r="P386" s="954"/>
    </row>
    <row r="387" spans="1:16" s="106" customFormat="1">
      <c r="A387" s="128"/>
      <c r="B387" s="128"/>
      <c r="C387" s="128"/>
      <c r="D387" s="128"/>
      <c r="E387" s="128"/>
      <c r="F387" s="128"/>
      <c r="G387" s="953"/>
      <c r="H387" s="128"/>
      <c r="I387" s="128"/>
      <c r="J387" s="128"/>
      <c r="K387" s="128"/>
      <c r="L387" s="953"/>
      <c r="M387" s="128"/>
      <c r="O387" s="954"/>
      <c r="P387" s="954"/>
    </row>
    <row r="388" spans="1:16" s="106" customFormat="1">
      <c r="A388" s="128"/>
      <c r="B388" s="128"/>
      <c r="C388" s="128"/>
      <c r="D388" s="128"/>
      <c r="E388" s="128"/>
      <c r="F388" s="128"/>
      <c r="G388" s="953"/>
      <c r="H388" s="128"/>
      <c r="I388" s="128"/>
      <c r="J388" s="128"/>
      <c r="K388" s="128"/>
      <c r="L388" s="953"/>
      <c r="M388" s="128"/>
      <c r="O388" s="954"/>
      <c r="P388" s="954"/>
    </row>
    <row r="389" spans="1:16" s="106" customFormat="1">
      <c r="A389" s="128"/>
      <c r="B389" s="128"/>
      <c r="C389" s="128"/>
      <c r="D389" s="128"/>
      <c r="E389" s="128"/>
      <c r="F389" s="128"/>
      <c r="G389" s="953"/>
      <c r="H389" s="128"/>
      <c r="I389" s="128"/>
      <c r="J389" s="128"/>
      <c r="K389" s="128"/>
      <c r="L389" s="953"/>
      <c r="M389" s="128"/>
      <c r="O389" s="954"/>
      <c r="P389" s="954"/>
    </row>
    <row r="390" spans="1:16" s="106" customFormat="1">
      <c r="A390" s="128"/>
      <c r="B390" s="128"/>
      <c r="C390" s="128"/>
      <c r="D390" s="128"/>
      <c r="E390" s="128"/>
      <c r="F390" s="128"/>
      <c r="G390" s="953"/>
      <c r="H390" s="128"/>
      <c r="I390" s="128"/>
      <c r="J390" s="128"/>
      <c r="K390" s="128"/>
      <c r="L390" s="953"/>
      <c r="M390" s="128"/>
      <c r="O390" s="954"/>
      <c r="P390" s="954"/>
    </row>
    <row r="391" spans="1:16" s="106" customFormat="1">
      <c r="A391" s="128"/>
      <c r="B391" s="128"/>
      <c r="C391" s="128"/>
      <c r="D391" s="128"/>
      <c r="E391" s="128"/>
      <c r="F391" s="128"/>
      <c r="G391" s="953"/>
      <c r="H391" s="128"/>
      <c r="I391" s="128"/>
      <c r="J391" s="128"/>
      <c r="K391" s="128"/>
      <c r="L391" s="953"/>
      <c r="M391" s="128"/>
      <c r="O391" s="954"/>
      <c r="P391" s="954"/>
    </row>
    <row r="392" spans="1:16" s="106" customFormat="1">
      <c r="A392" s="128"/>
      <c r="B392" s="128"/>
      <c r="C392" s="128"/>
      <c r="D392" s="128"/>
      <c r="E392" s="128"/>
      <c r="F392" s="128"/>
      <c r="G392" s="953"/>
      <c r="H392" s="128"/>
      <c r="I392" s="128"/>
      <c r="J392" s="128"/>
      <c r="K392" s="128"/>
      <c r="L392" s="953"/>
      <c r="M392" s="128"/>
      <c r="O392" s="954"/>
      <c r="P392" s="954"/>
    </row>
    <row r="393" spans="1:16" s="106" customFormat="1">
      <c r="A393" s="128"/>
      <c r="B393" s="128"/>
      <c r="C393" s="128"/>
      <c r="D393" s="128"/>
      <c r="E393" s="128"/>
      <c r="F393" s="128"/>
      <c r="G393" s="953"/>
      <c r="H393" s="128"/>
      <c r="I393" s="128"/>
      <c r="J393" s="128"/>
      <c r="K393" s="128"/>
      <c r="L393" s="953"/>
      <c r="M393" s="128"/>
      <c r="O393" s="954"/>
      <c r="P393" s="954"/>
    </row>
    <row r="394" spans="1:16" s="106" customFormat="1">
      <c r="A394" s="128"/>
      <c r="B394" s="128"/>
      <c r="C394" s="128"/>
      <c r="D394" s="128"/>
      <c r="E394" s="128"/>
      <c r="F394" s="128"/>
      <c r="G394" s="953"/>
      <c r="H394" s="128"/>
      <c r="I394" s="128"/>
      <c r="J394" s="128"/>
      <c r="K394" s="128"/>
      <c r="L394" s="953"/>
      <c r="M394" s="128"/>
      <c r="O394" s="954"/>
      <c r="P394" s="954"/>
    </row>
    <row r="395" spans="1:16" s="106" customFormat="1">
      <c r="A395" s="128"/>
      <c r="B395" s="128"/>
      <c r="C395" s="128"/>
      <c r="D395" s="128"/>
      <c r="E395" s="128"/>
      <c r="F395" s="128"/>
      <c r="G395" s="953"/>
      <c r="H395" s="128"/>
      <c r="I395" s="128"/>
      <c r="J395" s="128"/>
      <c r="K395" s="128"/>
      <c r="L395" s="953"/>
      <c r="M395" s="128"/>
      <c r="O395" s="954"/>
      <c r="P395" s="954"/>
    </row>
    <row r="396" spans="1:16" s="106" customFormat="1">
      <c r="A396" s="128"/>
      <c r="B396" s="128"/>
      <c r="C396" s="128"/>
      <c r="D396" s="128"/>
      <c r="E396" s="128"/>
      <c r="F396" s="128"/>
      <c r="G396" s="953"/>
      <c r="H396" s="128"/>
      <c r="I396" s="128"/>
      <c r="J396" s="128"/>
      <c r="K396" s="128"/>
      <c r="L396" s="953"/>
      <c r="M396" s="128"/>
      <c r="O396" s="954"/>
      <c r="P396" s="954"/>
    </row>
    <row r="397" spans="1:16" s="106" customFormat="1">
      <c r="A397" s="128"/>
      <c r="B397" s="128"/>
      <c r="C397" s="128"/>
      <c r="D397" s="128"/>
      <c r="E397" s="128"/>
      <c r="F397" s="128"/>
      <c r="G397" s="953"/>
      <c r="H397" s="128"/>
      <c r="I397" s="128"/>
      <c r="J397" s="128"/>
      <c r="K397" s="128"/>
      <c r="L397" s="953"/>
      <c r="M397" s="128"/>
      <c r="O397" s="954"/>
      <c r="P397" s="954"/>
    </row>
    <row r="398" spans="1:16" s="106" customFormat="1">
      <c r="A398" s="128"/>
      <c r="B398" s="128"/>
      <c r="C398" s="128"/>
      <c r="D398" s="128"/>
      <c r="E398" s="128"/>
      <c r="F398" s="128"/>
      <c r="G398" s="953"/>
      <c r="H398" s="128"/>
      <c r="I398" s="128"/>
      <c r="J398" s="128"/>
      <c r="K398" s="128"/>
      <c r="L398" s="953"/>
      <c r="M398" s="128"/>
      <c r="O398" s="954"/>
      <c r="P398" s="954"/>
    </row>
    <row r="399" spans="1:16" s="106" customFormat="1">
      <c r="A399" s="128"/>
      <c r="B399" s="128"/>
      <c r="C399" s="128"/>
      <c r="D399" s="128"/>
      <c r="E399" s="128"/>
      <c r="F399" s="128"/>
      <c r="G399" s="953"/>
      <c r="H399" s="128"/>
      <c r="I399" s="128"/>
      <c r="J399" s="128"/>
      <c r="K399" s="128"/>
      <c r="L399" s="953"/>
      <c r="M399" s="128"/>
      <c r="O399" s="954"/>
      <c r="P399" s="954"/>
    </row>
    <row r="400" spans="1:16" s="106" customFormat="1">
      <c r="A400" s="128"/>
      <c r="B400" s="128"/>
      <c r="C400" s="128"/>
      <c r="D400" s="128"/>
      <c r="E400" s="128"/>
      <c r="F400" s="128"/>
      <c r="G400" s="953"/>
      <c r="H400" s="128"/>
      <c r="I400" s="128"/>
      <c r="J400" s="128"/>
      <c r="K400" s="128"/>
      <c r="L400" s="953"/>
      <c r="M400" s="128"/>
      <c r="O400" s="954"/>
      <c r="P400" s="954"/>
    </row>
    <row r="401" spans="1:16" s="106" customFormat="1">
      <c r="A401" s="128"/>
      <c r="B401" s="128"/>
      <c r="C401" s="128"/>
      <c r="D401" s="128"/>
      <c r="E401" s="128"/>
      <c r="F401" s="128"/>
      <c r="G401" s="953"/>
      <c r="H401" s="128"/>
      <c r="I401" s="128"/>
      <c r="J401" s="128"/>
      <c r="K401" s="128"/>
      <c r="L401" s="953"/>
      <c r="M401" s="128"/>
      <c r="O401" s="954"/>
      <c r="P401" s="954"/>
    </row>
    <row r="402" spans="1:16" s="106" customFormat="1">
      <c r="A402" s="128"/>
      <c r="B402" s="128"/>
      <c r="C402" s="128"/>
      <c r="D402" s="128"/>
      <c r="E402" s="128"/>
      <c r="F402" s="128"/>
      <c r="G402" s="953"/>
      <c r="H402" s="128"/>
      <c r="I402" s="128"/>
      <c r="J402" s="128"/>
      <c r="K402" s="128"/>
      <c r="L402" s="953"/>
      <c r="M402" s="128"/>
      <c r="O402" s="954"/>
      <c r="P402" s="954"/>
    </row>
    <row r="403" spans="1:16" s="106" customFormat="1">
      <c r="A403" s="128"/>
      <c r="B403" s="128"/>
      <c r="C403" s="128"/>
      <c r="D403" s="128"/>
      <c r="E403" s="128"/>
      <c r="F403" s="128"/>
      <c r="G403" s="953"/>
      <c r="H403" s="128"/>
      <c r="I403" s="128"/>
      <c r="J403" s="128"/>
      <c r="K403" s="128"/>
      <c r="L403" s="953"/>
      <c r="M403" s="128"/>
      <c r="O403" s="954"/>
      <c r="P403" s="954"/>
    </row>
    <row r="404" spans="1:16" s="106" customFormat="1">
      <c r="A404" s="128"/>
      <c r="B404" s="128"/>
      <c r="C404" s="128"/>
      <c r="D404" s="128"/>
      <c r="E404" s="128"/>
      <c r="F404" s="128"/>
      <c r="G404" s="953"/>
      <c r="H404" s="128"/>
      <c r="I404" s="128"/>
      <c r="J404" s="128"/>
      <c r="K404" s="128"/>
      <c r="L404" s="953"/>
      <c r="M404" s="128"/>
      <c r="O404" s="954"/>
      <c r="P404" s="954"/>
    </row>
    <row r="405" spans="1:16" s="106" customFormat="1">
      <c r="A405" s="128"/>
      <c r="B405" s="128"/>
      <c r="C405" s="128"/>
      <c r="D405" s="128"/>
      <c r="E405" s="128"/>
      <c r="F405" s="128"/>
      <c r="G405" s="953"/>
      <c r="H405" s="128"/>
      <c r="I405" s="128"/>
      <c r="J405" s="128"/>
      <c r="K405" s="128"/>
      <c r="L405" s="953"/>
      <c r="M405" s="128"/>
      <c r="O405" s="954"/>
      <c r="P405" s="954"/>
    </row>
    <row r="406" spans="1:16" s="106" customFormat="1">
      <c r="A406" s="128"/>
      <c r="B406" s="128"/>
      <c r="C406" s="128"/>
      <c r="D406" s="128"/>
      <c r="E406" s="128"/>
      <c r="F406" s="128"/>
      <c r="G406" s="953"/>
      <c r="H406" s="128"/>
      <c r="I406" s="128"/>
      <c r="J406" s="128"/>
      <c r="K406" s="128"/>
      <c r="L406" s="953"/>
      <c r="M406" s="128"/>
      <c r="O406" s="954"/>
      <c r="P406" s="954"/>
    </row>
    <row r="407" spans="1:16" s="106" customFormat="1">
      <c r="A407" s="128"/>
      <c r="B407" s="128"/>
      <c r="C407" s="128"/>
      <c r="D407" s="128"/>
      <c r="E407" s="128"/>
      <c r="F407" s="128"/>
      <c r="G407" s="953"/>
      <c r="H407" s="128"/>
      <c r="I407" s="128"/>
      <c r="J407" s="128"/>
      <c r="K407" s="128"/>
      <c r="L407" s="953"/>
      <c r="M407" s="128"/>
      <c r="O407" s="954"/>
      <c r="P407" s="954"/>
    </row>
    <row r="408" spans="1:16" s="106" customFormat="1">
      <c r="A408" s="128"/>
      <c r="B408" s="128"/>
      <c r="C408" s="128"/>
      <c r="D408" s="128"/>
      <c r="E408" s="128"/>
      <c r="F408" s="128"/>
      <c r="G408" s="953"/>
      <c r="H408" s="128"/>
      <c r="I408" s="128"/>
      <c r="J408" s="128"/>
      <c r="K408" s="128"/>
      <c r="L408" s="953"/>
      <c r="M408" s="128"/>
      <c r="O408" s="954"/>
      <c r="P408" s="954"/>
    </row>
    <row r="409" spans="1:16" s="106" customFormat="1">
      <c r="A409" s="128"/>
      <c r="B409" s="128"/>
      <c r="C409" s="128"/>
      <c r="D409" s="128"/>
      <c r="E409" s="128"/>
      <c r="F409" s="128"/>
      <c r="G409" s="953"/>
      <c r="H409" s="128"/>
      <c r="I409" s="128"/>
      <c r="J409" s="128"/>
      <c r="K409" s="128"/>
      <c r="L409" s="953"/>
      <c r="M409" s="128"/>
      <c r="O409" s="954"/>
      <c r="P409" s="954"/>
    </row>
    <row r="410" spans="1:16" s="106" customFormat="1">
      <c r="A410" s="128"/>
      <c r="B410" s="128"/>
      <c r="C410" s="128"/>
      <c r="D410" s="128"/>
      <c r="E410" s="128"/>
      <c r="F410" s="128"/>
      <c r="G410" s="953"/>
      <c r="H410" s="128"/>
      <c r="I410" s="128"/>
      <c r="J410" s="128"/>
      <c r="K410" s="128"/>
      <c r="L410" s="953"/>
      <c r="M410" s="128"/>
      <c r="O410" s="954"/>
      <c r="P410" s="954"/>
    </row>
    <row r="411" spans="1:16" s="106" customFormat="1">
      <c r="A411" s="128"/>
      <c r="B411" s="128"/>
      <c r="C411" s="128"/>
      <c r="D411" s="128"/>
      <c r="E411" s="128"/>
      <c r="F411" s="128"/>
      <c r="G411" s="953"/>
      <c r="H411" s="128"/>
      <c r="I411" s="128"/>
      <c r="J411" s="128"/>
      <c r="K411" s="128"/>
      <c r="L411" s="953"/>
      <c r="M411" s="128"/>
      <c r="O411" s="954"/>
      <c r="P411" s="954"/>
    </row>
    <row r="412" spans="1:16" s="106" customFormat="1">
      <c r="A412" s="128"/>
      <c r="B412" s="128"/>
      <c r="C412" s="128"/>
      <c r="D412" s="128"/>
      <c r="E412" s="128"/>
      <c r="F412" s="128"/>
      <c r="G412" s="953"/>
      <c r="H412" s="128"/>
      <c r="I412" s="128"/>
      <c r="J412" s="128"/>
      <c r="K412" s="128"/>
      <c r="L412" s="953"/>
      <c r="M412" s="128"/>
      <c r="O412" s="954"/>
      <c r="P412" s="954"/>
    </row>
    <row r="413" spans="1:16" s="106" customFormat="1">
      <c r="A413" s="128"/>
      <c r="B413" s="128"/>
      <c r="C413" s="128"/>
      <c r="D413" s="128"/>
      <c r="E413" s="128"/>
      <c r="F413" s="128"/>
      <c r="G413" s="953"/>
      <c r="H413" s="128"/>
      <c r="I413" s="128"/>
      <c r="J413" s="128"/>
      <c r="K413" s="128"/>
      <c r="L413" s="953"/>
      <c r="M413" s="128"/>
      <c r="O413" s="954"/>
      <c r="P413" s="954"/>
    </row>
    <row r="414" spans="1:16" s="106" customFormat="1">
      <c r="A414" s="128"/>
      <c r="B414" s="128"/>
      <c r="C414" s="128"/>
      <c r="D414" s="128"/>
      <c r="E414" s="128"/>
      <c r="F414" s="128"/>
      <c r="G414" s="953"/>
      <c r="H414" s="128"/>
      <c r="I414" s="128"/>
      <c r="J414" s="128"/>
      <c r="K414" s="128"/>
      <c r="L414" s="953"/>
      <c r="M414" s="128"/>
      <c r="O414" s="954"/>
      <c r="P414" s="954"/>
    </row>
    <row r="415" spans="1:16" s="106" customFormat="1">
      <c r="A415" s="128"/>
      <c r="B415" s="128"/>
      <c r="C415" s="128"/>
      <c r="D415" s="128"/>
      <c r="E415" s="128"/>
      <c r="F415" s="128"/>
      <c r="G415" s="953"/>
      <c r="H415" s="128"/>
      <c r="I415" s="128"/>
      <c r="J415" s="128"/>
      <c r="K415" s="128"/>
      <c r="L415" s="953"/>
      <c r="M415" s="128"/>
      <c r="O415" s="954"/>
      <c r="P415" s="954"/>
    </row>
    <row r="416" spans="1:16" s="106" customFormat="1">
      <c r="A416" s="128"/>
      <c r="B416" s="128"/>
      <c r="C416" s="128"/>
      <c r="D416" s="128"/>
      <c r="E416" s="128"/>
      <c r="F416" s="128"/>
      <c r="G416" s="953"/>
      <c r="H416" s="128"/>
      <c r="I416" s="128"/>
      <c r="J416" s="128"/>
      <c r="K416" s="128"/>
      <c r="L416" s="953"/>
      <c r="M416" s="128"/>
      <c r="O416" s="954"/>
      <c r="P416" s="954"/>
    </row>
    <row r="417" spans="1:16" s="106" customFormat="1">
      <c r="A417" s="128"/>
      <c r="B417" s="128"/>
      <c r="C417" s="128"/>
      <c r="D417" s="128"/>
      <c r="E417" s="128"/>
      <c r="F417" s="128"/>
      <c r="G417" s="953"/>
      <c r="H417" s="128"/>
      <c r="I417" s="128"/>
      <c r="J417" s="128"/>
      <c r="K417" s="128"/>
      <c r="L417" s="953"/>
      <c r="M417" s="128"/>
      <c r="O417" s="954"/>
      <c r="P417" s="954"/>
    </row>
    <row r="418" spans="1:16" s="106" customFormat="1">
      <c r="A418" s="128"/>
      <c r="B418" s="128"/>
      <c r="C418" s="128"/>
      <c r="D418" s="128"/>
      <c r="E418" s="128"/>
      <c r="F418" s="128"/>
      <c r="G418" s="953"/>
      <c r="H418" s="128"/>
      <c r="I418" s="128"/>
      <c r="J418" s="128"/>
      <c r="K418" s="128"/>
      <c r="L418" s="953"/>
      <c r="M418" s="128"/>
      <c r="O418" s="954"/>
      <c r="P418" s="954"/>
    </row>
    <row r="419" spans="1:16" s="106" customFormat="1">
      <c r="A419" s="128"/>
      <c r="B419" s="128"/>
      <c r="C419" s="128"/>
      <c r="D419" s="128"/>
      <c r="E419" s="128"/>
      <c r="F419" s="128"/>
      <c r="G419" s="953"/>
      <c r="H419" s="128"/>
      <c r="I419" s="128"/>
      <c r="J419" s="128"/>
      <c r="K419" s="128"/>
      <c r="L419" s="953"/>
      <c r="M419" s="128"/>
      <c r="O419" s="954"/>
      <c r="P419" s="954"/>
    </row>
    <row r="420" spans="1:16" s="106" customFormat="1">
      <c r="A420" s="128"/>
      <c r="B420" s="128"/>
      <c r="C420" s="128"/>
      <c r="D420" s="128"/>
      <c r="E420" s="128"/>
      <c r="F420" s="128"/>
      <c r="G420" s="953"/>
      <c r="H420" s="128"/>
      <c r="I420" s="128"/>
      <c r="J420" s="128"/>
      <c r="K420" s="128"/>
      <c r="L420" s="953"/>
      <c r="M420" s="128"/>
      <c r="O420" s="954"/>
      <c r="P420" s="954"/>
    </row>
    <row r="421" spans="1:16" s="106" customFormat="1">
      <c r="A421" s="128"/>
      <c r="B421" s="128"/>
      <c r="C421" s="128"/>
      <c r="D421" s="128"/>
      <c r="E421" s="128"/>
      <c r="F421" s="128"/>
      <c r="G421" s="953"/>
      <c r="H421" s="128"/>
      <c r="I421" s="128"/>
      <c r="J421" s="128"/>
      <c r="K421" s="128"/>
      <c r="L421" s="953"/>
      <c r="M421" s="128"/>
      <c r="O421" s="954"/>
      <c r="P421" s="954"/>
    </row>
    <row r="422" spans="1:16" s="106" customFormat="1">
      <c r="A422" s="128"/>
      <c r="B422" s="128"/>
      <c r="C422" s="128"/>
      <c r="D422" s="128"/>
      <c r="E422" s="128"/>
      <c r="F422" s="128"/>
      <c r="G422" s="953"/>
      <c r="H422" s="128"/>
      <c r="I422" s="128"/>
      <c r="J422" s="128"/>
      <c r="K422" s="128"/>
      <c r="L422" s="953"/>
      <c r="M422" s="128"/>
      <c r="O422" s="954"/>
      <c r="P422" s="954"/>
    </row>
    <row r="423" spans="1:16" s="106" customFormat="1">
      <c r="A423" s="128"/>
      <c r="B423" s="128"/>
      <c r="C423" s="128"/>
      <c r="D423" s="128"/>
      <c r="E423" s="128"/>
      <c r="F423" s="128"/>
      <c r="G423" s="953"/>
      <c r="H423" s="128"/>
      <c r="I423" s="128"/>
      <c r="J423" s="128"/>
      <c r="K423" s="128"/>
      <c r="L423" s="953"/>
      <c r="M423" s="128"/>
      <c r="O423" s="954"/>
      <c r="P423" s="954"/>
    </row>
    <row r="424" spans="1:16" s="106" customFormat="1">
      <c r="A424" s="128"/>
      <c r="B424" s="128"/>
      <c r="C424" s="128"/>
      <c r="D424" s="128"/>
      <c r="E424" s="128"/>
      <c r="F424" s="128"/>
      <c r="G424" s="953"/>
      <c r="H424" s="128"/>
      <c r="I424" s="128"/>
      <c r="J424" s="128"/>
      <c r="K424" s="128"/>
      <c r="L424" s="953"/>
      <c r="M424" s="128"/>
      <c r="O424" s="954"/>
      <c r="P424" s="954"/>
    </row>
    <row r="425" spans="1:16" s="106" customFormat="1">
      <c r="A425" s="128"/>
      <c r="B425" s="128"/>
      <c r="C425" s="128"/>
      <c r="D425" s="128"/>
      <c r="E425" s="128"/>
      <c r="F425" s="128"/>
      <c r="G425" s="953"/>
      <c r="H425" s="128"/>
      <c r="I425" s="128"/>
      <c r="J425" s="128"/>
      <c r="K425" s="128"/>
      <c r="L425" s="953"/>
      <c r="M425" s="128"/>
      <c r="O425" s="954"/>
      <c r="P425" s="954"/>
    </row>
    <row r="426" spans="1:16" s="106" customFormat="1">
      <c r="A426" s="128"/>
      <c r="B426" s="128"/>
      <c r="C426" s="128"/>
      <c r="D426" s="128"/>
      <c r="E426" s="128"/>
      <c r="F426" s="128"/>
      <c r="G426" s="953"/>
      <c r="H426" s="128"/>
      <c r="I426" s="128"/>
      <c r="J426" s="128"/>
      <c r="K426" s="128"/>
      <c r="L426" s="953"/>
      <c r="M426" s="128"/>
      <c r="O426" s="954"/>
      <c r="P426" s="954"/>
    </row>
    <row r="427" spans="1:16" s="106" customFormat="1">
      <c r="A427" s="128"/>
      <c r="B427" s="128"/>
      <c r="C427" s="128"/>
      <c r="D427" s="128"/>
      <c r="E427" s="128"/>
      <c r="F427" s="128"/>
      <c r="G427" s="953"/>
      <c r="H427" s="128"/>
      <c r="I427" s="128"/>
      <c r="J427" s="128"/>
      <c r="K427" s="128"/>
      <c r="L427" s="953"/>
      <c r="M427" s="128"/>
      <c r="O427" s="954"/>
      <c r="P427" s="954"/>
    </row>
    <row r="428" spans="1:16" s="106" customFormat="1">
      <c r="A428" s="128"/>
      <c r="B428" s="128"/>
      <c r="C428" s="128"/>
      <c r="D428" s="128"/>
      <c r="E428" s="128"/>
      <c r="F428" s="128"/>
      <c r="G428" s="953"/>
      <c r="H428" s="128"/>
      <c r="I428" s="128"/>
      <c r="J428" s="128"/>
      <c r="K428" s="128"/>
      <c r="L428" s="953"/>
      <c r="M428" s="128"/>
      <c r="O428" s="954"/>
      <c r="P428" s="954"/>
    </row>
    <row r="429" spans="1:16" s="106" customFormat="1">
      <c r="A429" s="128"/>
      <c r="B429" s="128"/>
      <c r="C429" s="128"/>
      <c r="D429" s="128"/>
      <c r="E429" s="128"/>
      <c r="F429" s="128"/>
      <c r="G429" s="953"/>
      <c r="H429" s="128"/>
      <c r="I429" s="128"/>
      <c r="J429" s="128"/>
      <c r="K429" s="128"/>
      <c r="L429" s="953"/>
      <c r="M429" s="128"/>
      <c r="O429" s="954"/>
      <c r="P429" s="954"/>
    </row>
    <row r="430" spans="1:16" s="106" customFormat="1">
      <c r="A430" s="128"/>
      <c r="B430" s="128"/>
      <c r="C430" s="128"/>
      <c r="D430" s="128"/>
      <c r="E430" s="128"/>
      <c r="F430" s="128"/>
      <c r="G430" s="953"/>
      <c r="H430" s="128"/>
      <c r="I430" s="128"/>
      <c r="J430" s="128"/>
      <c r="K430" s="128"/>
      <c r="L430" s="953"/>
      <c r="M430" s="128"/>
      <c r="O430" s="954"/>
      <c r="P430" s="954"/>
    </row>
    <row r="431" spans="1:16" s="106" customFormat="1">
      <c r="A431" s="128"/>
      <c r="B431" s="128"/>
      <c r="C431" s="128"/>
      <c r="D431" s="128"/>
      <c r="E431" s="128"/>
      <c r="F431" s="128"/>
      <c r="G431" s="953"/>
      <c r="H431" s="128"/>
      <c r="I431" s="128"/>
      <c r="J431" s="128"/>
      <c r="K431" s="128"/>
      <c r="L431" s="953"/>
      <c r="M431" s="128"/>
      <c r="O431" s="954"/>
      <c r="P431" s="954"/>
    </row>
    <row r="432" spans="1:16" s="106" customFormat="1">
      <c r="A432" s="128"/>
      <c r="B432" s="128"/>
      <c r="C432" s="128"/>
      <c r="D432" s="128"/>
      <c r="E432" s="128"/>
      <c r="F432" s="128"/>
      <c r="G432" s="953"/>
      <c r="H432" s="128"/>
      <c r="I432" s="128"/>
      <c r="J432" s="128"/>
      <c r="K432" s="128"/>
      <c r="L432" s="953"/>
      <c r="M432" s="128"/>
      <c r="O432" s="954"/>
      <c r="P432" s="954"/>
    </row>
    <row r="433" spans="1:16" s="106" customFormat="1">
      <c r="A433" s="128"/>
      <c r="B433" s="128"/>
      <c r="C433" s="128"/>
      <c r="D433" s="128"/>
      <c r="E433" s="128"/>
      <c r="F433" s="128"/>
      <c r="G433" s="953"/>
      <c r="H433" s="128"/>
      <c r="I433" s="128"/>
      <c r="J433" s="128"/>
      <c r="K433" s="128"/>
      <c r="L433" s="953"/>
      <c r="M433" s="128"/>
      <c r="O433" s="954"/>
      <c r="P433" s="954"/>
    </row>
    <row r="434" spans="1:16" s="106" customFormat="1">
      <c r="A434" s="128"/>
      <c r="B434" s="128"/>
      <c r="C434" s="128"/>
      <c r="D434" s="128"/>
      <c r="E434" s="128"/>
      <c r="F434" s="128"/>
      <c r="G434" s="953"/>
      <c r="H434" s="128"/>
      <c r="I434" s="128"/>
      <c r="J434" s="128"/>
      <c r="K434" s="128"/>
      <c r="L434" s="953"/>
      <c r="M434" s="128"/>
      <c r="O434" s="954"/>
      <c r="P434" s="954"/>
    </row>
    <row r="435" spans="1:16" s="106" customFormat="1">
      <c r="A435" s="128"/>
      <c r="B435" s="128"/>
      <c r="C435" s="128"/>
      <c r="D435" s="128"/>
      <c r="E435" s="128"/>
      <c r="F435" s="128"/>
      <c r="G435" s="953"/>
      <c r="H435" s="128"/>
      <c r="I435" s="128"/>
      <c r="J435" s="128"/>
      <c r="K435" s="128"/>
      <c r="L435" s="953"/>
      <c r="M435" s="128"/>
      <c r="O435" s="954"/>
      <c r="P435" s="954"/>
    </row>
    <row r="436" spans="1:16" s="106" customFormat="1">
      <c r="A436" s="128"/>
      <c r="B436" s="128"/>
      <c r="C436" s="128"/>
      <c r="D436" s="128"/>
      <c r="E436" s="128"/>
      <c r="F436" s="128"/>
      <c r="G436" s="953"/>
      <c r="H436" s="128"/>
      <c r="I436" s="128"/>
      <c r="J436" s="128"/>
      <c r="K436" s="128"/>
      <c r="L436" s="953"/>
      <c r="M436" s="128"/>
      <c r="O436" s="954"/>
      <c r="P436" s="954"/>
    </row>
    <row r="437" spans="1:16" s="106" customFormat="1">
      <c r="A437" s="128"/>
      <c r="B437" s="128"/>
      <c r="C437" s="128"/>
      <c r="D437" s="128"/>
      <c r="E437" s="128"/>
      <c r="F437" s="128"/>
      <c r="G437" s="953"/>
      <c r="H437" s="128"/>
      <c r="I437" s="128"/>
      <c r="J437" s="128"/>
      <c r="K437" s="128"/>
      <c r="L437" s="953"/>
      <c r="M437" s="128"/>
      <c r="O437" s="954"/>
      <c r="P437" s="954"/>
    </row>
    <row r="438" spans="1:16" s="106" customFormat="1">
      <c r="A438" s="128"/>
      <c r="B438" s="128"/>
      <c r="C438" s="128"/>
      <c r="D438" s="128"/>
      <c r="E438" s="128"/>
      <c r="F438" s="128"/>
      <c r="G438" s="953"/>
      <c r="H438" s="128"/>
      <c r="I438" s="128"/>
      <c r="J438" s="128"/>
      <c r="K438" s="128"/>
      <c r="L438" s="953"/>
      <c r="M438" s="128"/>
      <c r="O438" s="954"/>
      <c r="P438" s="954"/>
    </row>
    <row r="439" spans="1:16" s="106" customFormat="1">
      <c r="A439" s="128"/>
      <c r="B439" s="128"/>
      <c r="C439" s="128"/>
      <c r="D439" s="128"/>
      <c r="E439" s="128"/>
      <c r="F439" s="128"/>
      <c r="G439" s="953"/>
      <c r="H439" s="128"/>
      <c r="I439" s="128"/>
      <c r="J439" s="128"/>
      <c r="K439" s="128"/>
      <c r="L439" s="953"/>
      <c r="M439" s="128"/>
      <c r="O439" s="954"/>
      <c r="P439" s="954"/>
    </row>
    <row r="440" spans="1:16" s="106" customFormat="1">
      <c r="A440" s="128"/>
      <c r="B440" s="128"/>
      <c r="C440" s="128"/>
      <c r="D440" s="128"/>
      <c r="E440" s="128"/>
      <c r="F440" s="128"/>
      <c r="G440" s="953"/>
      <c r="H440" s="128"/>
      <c r="I440" s="128"/>
      <c r="J440" s="128"/>
      <c r="K440" s="128"/>
      <c r="L440" s="953"/>
      <c r="M440" s="128"/>
      <c r="O440" s="954"/>
      <c r="P440" s="954"/>
    </row>
    <row r="441" spans="1:16" s="106" customFormat="1">
      <c r="A441" s="128"/>
      <c r="B441" s="128"/>
      <c r="C441" s="128"/>
      <c r="D441" s="128"/>
      <c r="E441" s="128"/>
      <c r="F441" s="128"/>
      <c r="G441" s="953"/>
      <c r="H441" s="128"/>
      <c r="I441" s="128"/>
      <c r="J441" s="128"/>
      <c r="K441" s="128"/>
      <c r="L441" s="953"/>
      <c r="M441" s="128"/>
      <c r="O441" s="954"/>
      <c r="P441" s="954"/>
    </row>
    <row r="442" spans="1:16" s="106" customFormat="1">
      <c r="A442" s="128"/>
      <c r="B442" s="128"/>
      <c r="C442" s="128"/>
      <c r="D442" s="128"/>
      <c r="E442" s="128"/>
      <c r="F442" s="128"/>
      <c r="G442" s="953"/>
      <c r="H442" s="128"/>
      <c r="I442" s="128"/>
      <c r="J442" s="128"/>
      <c r="K442" s="128"/>
      <c r="L442" s="953"/>
      <c r="M442" s="128"/>
      <c r="O442" s="954"/>
      <c r="P442" s="954"/>
    </row>
    <row r="443" spans="1:16" s="106" customFormat="1">
      <c r="A443" s="128"/>
      <c r="B443" s="128"/>
      <c r="C443" s="128"/>
      <c r="D443" s="128"/>
      <c r="E443" s="128"/>
      <c r="F443" s="128"/>
      <c r="G443" s="953"/>
      <c r="H443" s="128"/>
      <c r="I443" s="128"/>
      <c r="J443" s="128"/>
      <c r="K443" s="128"/>
      <c r="L443" s="953"/>
      <c r="M443" s="128"/>
      <c r="O443" s="954"/>
      <c r="P443" s="954"/>
    </row>
    <row r="444" spans="1:16" s="106" customFormat="1">
      <c r="A444" s="128"/>
      <c r="B444" s="128"/>
      <c r="C444" s="128"/>
      <c r="D444" s="128"/>
      <c r="E444" s="128"/>
      <c r="F444" s="128"/>
      <c r="G444" s="953"/>
      <c r="H444" s="128"/>
      <c r="I444" s="128"/>
      <c r="J444" s="128"/>
      <c r="K444" s="128"/>
      <c r="L444" s="953"/>
      <c r="M444" s="128"/>
      <c r="O444" s="954"/>
      <c r="P444" s="954"/>
    </row>
    <row r="445" spans="1:16" s="106" customFormat="1">
      <c r="A445" s="128"/>
      <c r="B445" s="128"/>
      <c r="C445" s="128"/>
      <c r="D445" s="128"/>
      <c r="E445" s="128"/>
      <c r="F445" s="128"/>
      <c r="G445" s="953"/>
      <c r="H445" s="128"/>
      <c r="I445" s="128"/>
      <c r="J445" s="128"/>
      <c r="K445" s="128"/>
      <c r="L445" s="953"/>
      <c r="M445" s="128"/>
      <c r="O445" s="954"/>
      <c r="P445" s="954"/>
    </row>
    <row r="446" spans="1:16" s="106" customFormat="1">
      <c r="A446" s="128"/>
      <c r="B446" s="128"/>
      <c r="C446" s="128"/>
      <c r="D446" s="128"/>
      <c r="E446" s="128"/>
      <c r="F446" s="128"/>
      <c r="G446" s="953"/>
      <c r="H446" s="128"/>
      <c r="I446" s="128"/>
      <c r="J446" s="128"/>
      <c r="K446" s="128"/>
      <c r="L446" s="953"/>
      <c r="M446" s="128"/>
      <c r="O446" s="954"/>
      <c r="P446" s="954"/>
    </row>
    <row r="447" spans="1:16" s="106" customFormat="1">
      <c r="A447" s="128"/>
      <c r="B447" s="128"/>
      <c r="C447" s="128"/>
      <c r="D447" s="128"/>
      <c r="E447" s="128"/>
      <c r="F447" s="128"/>
      <c r="G447" s="953"/>
      <c r="H447" s="128"/>
      <c r="I447" s="128"/>
      <c r="J447" s="128"/>
      <c r="K447" s="128"/>
      <c r="L447" s="953"/>
      <c r="M447" s="128"/>
      <c r="O447" s="954"/>
      <c r="P447" s="954"/>
    </row>
    <row r="448" spans="1:16" s="106" customFormat="1">
      <c r="A448" s="128"/>
      <c r="B448" s="128"/>
      <c r="C448" s="128"/>
      <c r="D448" s="128"/>
      <c r="E448" s="128"/>
      <c r="F448" s="128"/>
      <c r="G448" s="953"/>
      <c r="H448" s="128"/>
      <c r="I448" s="128"/>
      <c r="J448" s="128"/>
      <c r="K448" s="128"/>
      <c r="L448" s="953"/>
      <c r="M448" s="128"/>
      <c r="O448" s="954"/>
      <c r="P448" s="954"/>
    </row>
    <row r="449" spans="1:16" s="106" customFormat="1">
      <c r="A449" s="128"/>
      <c r="B449" s="128"/>
      <c r="C449" s="128"/>
      <c r="D449" s="128"/>
      <c r="E449" s="128"/>
      <c r="F449" s="128"/>
      <c r="G449" s="953"/>
      <c r="H449" s="128"/>
      <c r="I449" s="128"/>
      <c r="J449" s="128"/>
      <c r="K449" s="128"/>
      <c r="L449" s="953"/>
      <c r="M449" s="128"/>
      <c r="O449" s="954"/>
      <c r="P449" s="954"/>
    </row>
    <row r="450" spans="1:16" s="106" customFormat="1">
      <c r="A450" s="128"/>
      <c r="B450" s="128"/>
      <c r="C450" s="128"/>
      <c r="D450" s="128"/>
      <c r="E450" s="128"/>
      <c r="F450" s="128"/>
      <c r="G450" s="953"/>
      <c r="H450" s="128"/>
      <c r="I450" s="128"/>
      <c r="J450" s="128"/>
      <c r="K450" s="128"/>
      <c r="L450" s="953"/>
      <c r="M450" s="128"/>
      <c r="O450" s="954"/>
      <c r="P450" s="954"/>
    </row>
    <row r="451" spans="1:16" s="106" customFormat="1">
      <c r="A451" s="128"/>
      <c r="B451" s="128"/>
      <c r="C451" s="128"/>
      <c r="D451" s="128"/>
      <c r="E451" s="128"/>
      <c r="F451" s="128"/>
      <c r="G451" s="953"/>
      <c r="H451" s="128"/>
      <c r="I451" s="128"/>
      <c r="J451" s="128"/>
      <c r="K451" s="128"/>
      <c r="L451" s="953"/>
      <c r="M451" s="128"/>
      <c r="O451" s="954"/>
      <c r="P451" s="954"/>
    </row>
    <row r="452" spans="1:16" s="106" customFormat="1">
      <c r="A452" s="128"/>
      <c r="B452" s="128"/>
      <c r="C452" s="128"/>
      <c r="D452" s="128"/>
      <c r="E452" s="128"/>
      <c r="F452" s="128"/>
      <c r="G452" s="953"/>
      <c r="H452" s="128"/>
      <c r="I452" s="128"/>
      <c r="J452" s="128"/>
      <c r="K452" s="128"/>
      <c r="L452" s="953"/>
      <c r="M452" s="128"/>
      <c r="O452" s="954"/>
      <c r="P452" s="954"/>
    </row>
    <row r="453" spans="1:16" s="106" customFormat="1">
      <c r="A453" s="128"/>
      <c r="B453" s="128"/>
      <c r="C453" s="128"/>
      <c r="D453" s="128"/>
      <c r="E453" s="128"/>
      <c r="F453" s="128"/>
      <c r="G453" s="953"/>
      <c r="H453" s="128"/>
      <c r="I453" s="128"/>
      <c r="J453" s="128"/>
      <c r="K453" s="128"/>
      <c r="L453" s="953"/>
      <c r="M453" s="128"/>
      <c r="O453" s="954"/>
      <c r="P453" s="954"/>
    </row>
    <row r="454" spans="1:16" s="106" customFormat="1">
      <c r="A454" s="128"/>
      <c r="B454" s="128"/>
      <c r="C454" s="128"/>
      <c r="D454" s="128"/>
      <c r="E454" s="128"/>
      <c r="F454" s="128"/>
      <c r="G454" s="953"/>
      <c r="H454" s="128"/>
      <c r="I454" s="128"/>
      <c r="J454" s="128"/>
      <c r="K454" s="128"/>
      <c r="L454" s="953"/>
      <c r="M454" s="128"/>
      <c r="O454" s="954"/>
      <c r="P454" s="954"/>
    </row>
    <row r="455" spans="1:16" s="106" customFormat="1">
      <c r="A455" s="128"/>
      <c r="B455" s="128"/>
      <c r="C455" s="128"/>
      <c r="D455" s="128"/>
      <c r="E455" s="128"/>
      <c r="F455" s="128"/>
      <c r="G455" s="953"/>
      <c r="H455" s="128"/>
      <c r="I455" s="128"/>
      <c r="J455" s="128"/>
      <c r="K455" s="128"/>
      <c r="L455" s="953"/>
      <c r="M455" s="128"/>
      <c r="O455" s="954"/>
      <c r="P455" s="954"/>
    </row>
    <row r="456" spans="1:16" s="106" customFormat="1">
      <c r="A456" s="128"/>
      <c r="B456" s="128"/>
      <c r="C456" s="128"/>
      <c r="D456" s="128"/>
      <c r="E456" s="128"/>
      <c r="F456" s="128"/>
      <c r="G456" s="953"/>
      <c r="H456" s="128"/>
      <c r="I456" s="128"/>
      <c r="J456" s="128"/>
      <c r="K456" s="128"/>
      <c r="L456" s="953"/>
      <c r="M456" s="128"/>
      <c r="O456" s="954"/>
      <c r="P456" s="954"/>
    </row>
    <row r="457" spans="1:16" s="106" customFormat="1">
      <c r="A457" s="128"/>
      <c r="B457" s="128"/>
      <c r="C457" s="128"/>
      <c r="D457" s="128"/>
      <c r="E457" s="128"/>
      <c r="F457" s="128"/>
      <c r="G457" s="953"/>
      <c r="H457" s="128"/>
      <c r="I457" s="128"/>
      <c r="J457" s="128"/>
      <c r="K457" s="128"/>
      <c r="L457" s="953"/>
      <c r="M457" s="128"/>
      <c r="O457" s="954"/>
      <c r="P457" s="954"/>
    </row>
    <row r="458" spans="1:16" s="106" customFormat="1">
      <c r="A458" s="128"/>
      <c r="B458" s="128"/>
      <c r="C458" s="128"/>
      <c r="D458" s="128"/>
      <c r="E458" s="128"/>
      <c r="F458" s="128"/>
      <c r="G458" s="953"/>
      <c r="H458" s="128"/>
      <c r="I458" s="128"/>
      <c r="J458" s="128"/>
      <c r="K458" s="128"/>
      <c r="L458" s="953"/>
      <c r="M458" s="128"/>
      <c r="O458" s="954"/>
      <c r="P458" s="954"/>
    </row>
    <row r="459" spans="1:16" s="106" customFormat="1">
      <c r="A459" s="128"/>
      <c r="B459" s="128"/>
      <c r="C459" s="128"/>
      <c r="D459" s="128"/>
      <c r="E459" s="128"/>
      <c r="F459" s="128"/>
      <c r="G459" s="953"/>
      <c r="H459" s="128"/>
      <c r="I459" s="128"/>
      <c r="J459" s="128"/>
      <c r="K459" s="128"/>
      <c r="L459" s="953"/>
      <c r="M459" s="128"/>
      <c r="O459" s="954"/>
      <c r="P459" s="954"/>
    </row>
    <row r="460" spans="1:16" s="106" customFormat="1">
      <c r="A460" s="128"/>
      <c r="B460" s="128"/>
      <c r="C460" s="128"/>
      <c r="D460" s="128"/>
      <c r="E460" s="128"/>
      <c r="F460" s="128"/>
      <c r="G460" s="953"/>
      <c r="H460" s="128"/>
      <c r="I460" s="128"/>
      <c r="J460" s="128"/>
      <c r="K460" s="128"/>
      <c r="L460" s="953"/>
      <c r="M460" s="128"/>
      <c r="O460" s="954"/>
      <c r="P460" s="954"/>
    </row>
    <row r="461" spans="1:16" s="106" customFormat="1">
      <c r="A461" s="128"/>
      <c r="B461" s="128"/>
      <c r="C461" s="128"/>
      <c r="D461" s="128"/>
      <c r="E461" s="128"/>
      <c r="F461" s="128"/>
      <c r="G461" s="953"/>
      <c r="H461" s="128"/>
      <c r="I461" s="128"/>
      <c r="J461" s="128"/>
      <c r="K461" s="128"/>
      <c r="L461" s="953"/>
      <c r="M461" s="128"/>
      <c r="O461" s="954"/>
      <c r="P461" s="954"/>
    </row>
    <row r="462" spans="1:16" s="106" customFormat="1">
      <c r="A462" s="128"/>
      <c r="B462" s="128"/>
      <c r="C462" s="128"/>
      <c r="D462" s="128"/>
      <c r="E462" s="128"/>
      <c r="F462" s="128"/>
      <c r="G462" s="953"/>
      <c r="H462" s="128"/>
      <c r="I462" s="128"/>
      <c r="J462" s="128"/>
      <c r="K462" s="128"/>
      <c r="L462" s="953"/>
      <c r="M462" s="128"/>
      <c r="O462" s="954"/>
      <c r="P462" s="954"/>
    </row>
    <row r="463" spans="1:16" s="106" customFormat="1">
      <c r="A463" s="128"/>
      <c r="B463" s="128"/>
      <c r="C463" s="128"/>
      <c r="D463" s="128"/>
      <c r="E463" s="128"/>
      <c r="F463" s="128"/>
      <c r="G463" s="953"/>
      <c r="H463" s="128"/>
      <c r="I463" s="128"/>
      <c r="J463" s="128"/>
      <c r="K463" s="128"/>
      <c r="L463" s="953"/>
      <c r="M463" s="128"/>
      <c r="O463" s="954"/>
      <c r="P463" s="954"/>
    </row>
    <row r="464" spans="1:16" s="106" customFormat="1">
      <c r="A464" s="128"/>
      <c r="B464" s="128"/>
      <c r="C464" s="128"/>
      <c r="D464" s="128"/>
      <c r="E464" s="128"/>
      <c r="F464" s="128"/>
      <c r="G464" s="953"/>
      <c r="H464" s="128"/>
      <c r="I464" s="128"/>
      <c r="J464" s="128"/>
      <c r="K464" s="128"/>
      <c r="L464" s="953"/>
      <c r="M464" s="128"/>
      <c r="O464" s="954"/>
      <c r="P464" s="954"/>
    </row>
    <row r="465" spans="1:16" s="106" customFormat="1">
      <c r="A465" s="128"/>
      <c r="B465" s="128"/>
      <c r="C465" s="128"/>
      <c r="D465" s="128"/>
      <c r="E465" s="128"/>
      <c r="F465" s="128"/>
      <c r="G465" s="953"/>
      <c r="H465" s="128"/>
      <c r="I465" s="128"/>
      <c r="J465" s="128"/>
      <c r="K465" s="128"/>
      <c r="L465" s="953"/>
      <c r="M465" s="128"/>
      <c r="O465" s="954"/>
      <c r="P465" s="954"/>
    </row>
    <row r="466" spans="1:16" s="106" customFormat="1">
      <c r="A466" s="128"/>
      <c r="B466" s="128"/>
      <c r="C466" s="128"/>
      <c r="D466" s="128"/>
      <c r="E466" s="128"/>
      <c r="F466" s="128"/>
      <c r="G466" s="953"/>
      <c r="H466" s="128"/>
      <c r="I466" s="128"/>
      <c r="J466" s="128"/>
      <c r="K466" s="128"/>
      <c r="L466" s="953"/>
      <c r="M466" s="128"/>
      <c r="O466" s="954"/>
      <c r="P466" s="954"/>
    </row>
    <row r="467" spans="1:16" s="106" customFormat="1">
      <c r="A467" s="128"/>
      <c r="B467" s="128"/>
      <c r="C467" s="128"/>
      <c r="D467" s="128"/>
      <c r="E467" s="128"/>
      <c r="F467" s="128"/>
      <c r="G467" s="953"/>
      <c r="H467" s="128"/>
      <c r="I467" s="128"/>
      <c r="J467" s="128"/>
      <c r="K467" s="128"/>
      <c r="L467" s="953"/>
      <c r="M467" s="128"/>
      <c r="O467" s="954"/>
      <c r="P467" s="954"/>
    </row>
    <row r="468" spans="1:16" s="106" customFormat="1">
      <c r="A468" s="128"/>
      <c r="B468" s="128"/>
      <c r="C468" s="128"/>
      <c r="D468" s="128"/>
      <c r="E468" s="128"/>
      <c r="F468" s="128"/>
      <c r="G468" s="953"/>
      <c r="H468" s="128"/>
      <c r="I468" s="128"/>
      <c r="J468" s="128"/>
      <c r="K468" s="128"/>
      <c r="L468" s="953"/>
      <c r="M468" s="128"/>
      <c r="O468" s="954"/>
      <c r="P468" s="954"/>
    </row>
    <row r="469" spans="1:16" s="106" customFormat="1">
      <c r="A469" s="128"/>
      <c r="B469" s="128"/>
      <c r="C469" s="128"/>
      <c r="D469" s="128"/>
      <c r="E469" s="128"/>
      <c r="F469" s="128"/>
      <c r="G469" s="953"/>
      <c r="H469" s="128"/>
      <c r="I469" s="128"/>
      <c r="J469" s="128"/>
      <c r="K469" s="128"/>
      <c r="L469" s="953"/>
      <c r="M469" s="128"/>
      <c r="O469" s="954"/>
      <c r="P469" s="954"/>
    </row>
    <row r="470" spans="1:16" s="106" customFormat="1">
      <c r="A470" s="128"/>
      <c r="B470" s="128"/>
      <c r="C470" s="128"/>
      <c r="D470" s="128"/>
      <c r="E470" s="128"/>
      <c r="F470" s="128"/>
      <c r="G470" s="953"/>
      <c r="H470" s="128"/>
      <c r="I470" s="128"/>
      <c r="J470" s="128"/>
      <c r="K470" s="128"/>
      <c r="L470" s="953"/>
      <c r="M470" s="128"/>
      <c r="O470" s="954"/>
      <c r="P470" s="954"/>
    </row>
    <row r="471" spans="1:16" s="106" customFormat="1">
      <c r="A471" s="128"/>
      <c r="B471" s="128"/>
      <c r="C471" s="128"/>
      <c r="D471" s="128"/>
      <c r="E471" s="128"/>
      <c r="F471" s="128"/>
      <c r="G471" s="953"/>
      <c r="H471" s="128"/>
      <c r="I471" s="128"/>
      <c r="J471" s="128"/>
      <c r="K471" s="128"/>
      <c r="L471" s="953"/>
      <c r="M471" s="128"/>
      <c r="O471" s="954"/>
      <c r="P471" s="954"/>
    </row>
    <row r="472" spans="1:16" s="106" customFormat="1">
      <c r="A472" s="128"/>
      <c r="B472" s="128"/>
      <c r="C472" s="128"/>
      <c r="D472" s="128"/>
      <c r="E472" s="128"/>
      <c r="F472" s="128"/>
      <c r="G472" s="953"/>
      <c r="H472" s="128"/>
      <c r="I472" s="128"/>
      <c r="J472" s="128"/>
      <c r="K472" s="128"/>
      <c r="L472" s="953"/>
      <c r="M472" s="128"/>
      <c r="O472" s="954"/>
      <c r="P472" s="954"/>
    </row>
    <row r="473" spans="1:16" s="106" customFormat="1">
      <c r="A473" s="128"/>
      <c r="B473" s="128"/>
      <c r="C473" s="128"/>
      <c r="D473" s="128"/>
      <c r="E473" s="128"/>
      <c r="F473" s="128"/>
      <c r="G473" s="953"/>
      <c r="H473" s="128"/>
      <c r="I473" s="128"/>
      <c r="J473" s="128"/>
      <c r="K473" s="128"/>
      <c r="L473" s="953"/>
      <c r="M473" s="128"/>
      <c r="O473" s="954"/>
      <c r="P473" s="954"/>
    </row>
    <row r="474" spans="1:16" s="106" customFormat="1">
      <c r="A474" s="128"/>
      <c r="B474" s="128"/>
      <c r="C474" s="128"/>
      <c r="D474" s="128"/>
      <c r="E474" s="128"/>
      <c r="F474" s="128"/>
      <c r="G474" s="953"/>
      <c r="H474" s="128"/>
      <c r="I474" s="128"/>
      <c r="J474" s="128"/>
      <c r="K474" s="128"/>
      <c r="L474" s="953"/>
      <c r="M474" s="128"/>
      <c r="O474" s="954"/>
      <c r="P474" s="954"/>
    </row>
    <row r="475" spans="1:16" s="106" customFormat="1">
      <c r="A475" s="128"/>
      <c r="B475" s="128"/>
      <c r="C475" s="128"/>
      <c r="D475" s="128"/>
      <c r="E475" s="128"/>
      <c r="F475" s="128"/>
      <c r="G475" s="953"/>
      <c r="H475" s="128"/>
      <c r="I475" s="128"/>
      <c r="J475" s="128"/>
      <c r="K475" s="128"/>
      <c r="L475" s="953"/>
      <c r="M475" s="128"/>
      <c r="O475" s="954"/>
      <c r="P475" s="954"/>
    </row>
    <row r="476" spans="1:16" s="106" customFormat="1">
      <c r="A476" s="128"/>
      <c r="B476" s="128"/>
      <c r="C476" s="128"/>
      <c r="D476" s="128"/>
      <c r="E476" s="128"/>
      <c r="F476" s="128"/>
      <c r="G476" s="953"/>
      <c r="H476" s="128"/>
      <c r="I476" s="128"/>
      <c r="J476" s="128"/>
      <c r="K476" s="128"/>
      <c r="L476" s="953"/>
      <c r="M476" s="128"/>
      <c r="O476" s="954"/>
      <c r="P476" s="954"/>
    </row>
    <row r="477" spans="1:16" s="106" customFormat="1">
      <c r="A477" s="128"/>
      <c r="B477" s="128"/>
      <c r="C477" s="128"/>
      <c r="D477" s="128"/>
      <c r="E477" s="128"/>
      <c r="F477" s="128"/>
      <c r="G477" s="953"/>
      <c r="H477" s="128"/>
      <c r="I477" s="128"/>
      <c r="J477" s="128"/>
      <c r="K477" s="128"/>
      <c r="L477" s="953"/>
      <c r="M477" s="128"/>
      <c r="O477" s="954"/>
      <c r="P477" s="954"/>
    </row>
    <row r="478" spans="1:16" s="106" customFormat="1">
      <c r="A478" s="128"/>
      <c r="B478" s="128"/>
      <c r="C478" s="128"/>
      <c r="D478" s="128"/>
      <c r="E478" s="128"/>
      <c r="F478" s="128"/>
      <c r="G478" s="953"/>
      <c r="H478" s="128"/>
      <c r="I478" s="128"/>
      <c r="J478" s="128"/>
      <c r="K478" s="128"/>
      <c r="L478" s="953"/>
      <c r="M478" s="128"/>
      <c r="O478" s="954"/>
      <c r="P478" s="954"/>
    </row>
    <row r="479" spans="1:16" s="106" customFormat="1">
      <c r="A479" s="128"/>
      <c r="B479" s="128"/>
      <c r="C479" s="128"/>
      <c r="D479" s="128"/>
      <c r="E479" s="128"/>
      <c r="F479" s="128"/>
      <c r="G479" s="953"/>
      <c r="H479" s="128"/>
      <c r="I479" s="128"/>
      <c r="J479" s="128"/>
      <c r="K479" s="128"/>
      <c r="L479" s="953"/>
      <c r="M479" s="128"/>
      <c r="O479" s="954"/>
      <c r="P479" s="954"/>
    </row>
    <row r="480" spans="1:16" s="106" customFormat="1">
      <c r="A480" s="128"/>
      <c r="B480" s="128"/>
      <c r="C480" s="128"/>
      <c r="D480" s="128"/>
      <c r="E480" s="128"/>
      <c r="F480" s="128"/>
      <c r="G480" s="953"/>
      <c r="H480" s="128"/>
      <c r="I480" s="128"/>
      <c r="J480" s="128"/>
      <c r="K480" s="128"/>
      <c r="L480" s="953"/>
      <c r="M480" s="128"/>
      <c r="O480" s="954"/>
      <c r="P480" s="954"/>
    </row>
    <row r="481" spans="1:16" s="106" customFormat="1">
      <c r="A481" s="128"/>
      <c r="B481" s="128"/>
      <c r="C481" s="128"/>
      <c r="D481" s="128"/>
      <c r="E481" s="128"/>
      <c r="F481" s="128"/>
      <c r="G481" s="953"/>
      <c r="H481" s="128"/>
      <c r="I481" s="128"/>
      <c r="J481" s="128"/>
      <c r="K481" s="128"/>
      <c r="L481" s="953"/>
      <c r="M481" s="128"/>
      <c r="O481" s="954"/>
      <c r="P481" s="954"/>
    </row>
    <row r="482" spans="1:16" s="106" customFormat="1">
      <c r="A482" s="128"/>
      <c r="B482" s="128"/>
      <c r="C482" s="128"/>
      <c r="D482" s="128"/>
      <c r="E482" s="128"/>
      <c r="F482" s="128"/>
      <c r="G482" s="953"/>
      <c r="H482" s="128"/>
      <c r="I482" s="128"/>
      <c r="J482" s="128"/>
      <c r="K482" s="128"/>
      <c r="L482" s="953"/>
      <c r="M482" s="128"/>
      <c r="O482" s="954"/>
      <c r="P482" s="954"/>
    </row>
    <row r="483" spans="1:16" s="106" customFormat="1">
      <c r="A483" s="128"/>
      <c r="B483" s="128"/>
      <c r="C483" s="128"/>
      <c r="D483" s="128"/>
      <c r="E483" s="128"/>
      <c r="F483" s="128"/>
      <c r="G483" s="953"/>
      <c r="H483" s="128"/>
      <c r="I483" s="128"/>
      <c r="J483" s="128"/>
      <c r="K483" s="128"/>
      <c r="L483" s="953"/>
      <c r="M483" s="128"/>
      <c r="O483" s="954"/>
      <c r="P483" s="954"/>
    </row>
    <row r="484" spans="1:16" s="106" customFormat="1">
      <c r="A484" s="128"/>
      <c r="B484" s="128"/>
      <c r="C484" s="128"/>
      <c r="D484" s="128"/>
      <c r="E484" s="128"/>
      <c r="F484" s="128"/>
      <c r="G484" s="953"/>
      <c r="H484" s="128"/>
      <c r="I484" s="128"/>
      <c r="J484" s="128"/>
      <c r="K484" s="128"/>
      <c r="L484" s="953"/>
      <c r="M484" s="128"/>
      <c r="O484" s="954"/>
      <c r="P484" s="954"/>
    </row>
    <row r="485" spans="1:16" s="106" customFormat="1">
      <c r="A485" s="128"/>
      <c r="B485" s="128"/>
      <c r="C485" s="128"/>
      <c r="D485" s="128"/>
      <c r="E485" s="128"/>
      <c r="F485" s="128"/>
      <c r="G485" s="953"/>
      <c r="H485" s="128"/>
      <c r="I485" s="128"/>
      <c r="J485" s="128"/>
      <c r="K485" s="128"/>
      <c r="L485" s="953"/>
      <c r="M485" s="128"/>
      <c r="O485" s="954"/>
      <c r="P485" s="954"/>
    </row>
    <row r="486" spans="1:16" s="106" customFormat="1">
      <c r="A486" s="128"/>
      <c r="B486" s="128"/>
      <c r="C486" s="128"/>
      <c r="D486" s="128"/>
      <c r="E486" s="128"/>
      <c r="F486" s="128"/>
      <c r="G486" s="953"/>
      <c r="H486" s="128"/>
      <c r="I486" s="128"/>
      <c r="J486" s="128"/>
      <c r="K486" s="128"/>
      <c r="L486" s="953"/>
      <c r="M486" s="128"/>
      <c r="O486" s="954"/>
      <c r="P486" s="954"/>
    </row>
    <row r="487" spans="1:16" s="106" customFormat="1">
      <c r="A487" s="128"/>
      <c r="B487" s="128"/>
      <c r="C487" s="128"/>
      <c r="D487" s="128"/>
      <c r="E487" s="128"/>
      <c r="F487" s="128"/>
      <c r="G487" s="953"/>
      <c r="H487" s="128"/>
      <c r="I487" s="128"/>
      <c r="J487" s="128"/>
      <c r="K487" s="128"/>
      <c r="L487" s="953"/>
      <c r="M487" s="128"/>
      <c r="O487" s="954"/>
      <c r="P487" s="954"/>
    </row>
    <row r="488" spans="1:16" s="106" customFormat="1">
      <c r="A488" s="128"/>
      <c r="B488" s="128"/>
      <c r="C488" s="128"/>
      <c r="D488" s="128"/>
      <c r="E488" s="128"/>
      <c r="F488" s="128"/>
      <c r="G488" s="953"/>
      <c r="H488" s="128"/>
      <c r="I488" s="128"/>
      <c r="J488" s="128"/>
      <c r="K488" s="128"/>
      <c r="L488" s="953"/>
      <c r="M488" s="128"/>
      <c r="O488" s="954"/>
      <c r="P488" s="954"/>
    </row>
    <row r="489" spans="1:16" s="106" customFormat="1">
      <c r="A489" s="128"/>
      <c r="B489" s="128"/>
      <c r="C489" s="128"/>
      <c r="D489" s="128"/>
      <c r="E489" s="128"/>
      <c r="F489" s="128"/>
      <c r="G489" s="953"/>
      <c r="H489" s="128"/>
      <c r="I489" s="128"/>
      <c r="J489" s="128"/>
      <c r="K489" s="128"/>
      <c r="L489" s="953"/>
      <c r="M489" s="128"/>
      <c r="O489" s="954"/>
      <c r="P489" s="954"/>
    </row>
    <row r="490" spans="1:16" s="106" customFormat="1">
      <c r="A490" s="128"/>
      <c r="B490" s="128"/>
      <c r="C490" s="128"/>
      <c r="D490" s="128"/>
      <c r="E490" s="128"/>
      <c r="F490" s="128"/>
      <c r="G490" s="953"/>
      <c r="H490" s="128"/>
      <c r="I490" s="128"/>
      <c r="J490" s="128"/>
      <c r="K490" s="128"/>
      <c r="L490" s="953"/>
      <c r="M490" s="128"/>
      <c r="O490" s="954"/>
      <c r="P490" s="954"/>
    </row>
    <row r="491" spans="1:16" s="106" customFormat="1">
      <c r="A491" s="128"/>
      <c r="B491" s="128"/>
      <c r="C491" s="128"/>
      <c r="D491" s="128"/>
      <c r="E491" s="128"/>
      <c r="F491" s="128"/>
      <c r="G491" s="953"/>
      <c r="H491" s="128"/>
      <c r="I491" s="128"/>
      <c r="J491" s="128"/>
      <c r="K491" s="128"/>
      <c r="L491" s="953"/>
      <c r="M491" s="128"/>
      <c r="O491" s="954"/>
      <c r="P491" s="954"/>
    </row>
    <row r="492" spans="1:16" s="106" customFormat="1">
      <c r="A492" s="128"/>
      <c r="B492" s="128"/>
      <c r="C492" s="128"/>
      <c r="D492" s="128"/>
      <c r="E492" s="128"/>
      <c r="F492" s="128"/>
      <c r="G492" s="953"/>
      <c r="H492" s="128"/>
      <c r="I492" s="128"/>
      <c r="J492" s="128"/>
      <c r="K492" s="128"/>
      <c r="L492" s="953"/>
      <c r="M492" s="128"/>
      <c r="O492" s="954"/>
      <c r="P492" s="954"/>
    </row>
    <row r="493" spans="1:16" s="106" customFormat="1">
      <c r="A493" s="128"/>
      <c r="B493" s="128"/>
      <c r="C493" s="128"/>
      <c r="D493" s="128"/>
      <c r="E493" s="128"/>
      <c r="F493" s="128"/>
      <c r="G493" s="953"/>
      <c r="H493" s="128"/>
      <c r="I493" s="128"/>
      <c r="J493" s="128"/>
      <c r="K493" s="128"/>
      <c r="L493" s="953"/>
      <c r="M493" s="128"/>
      <c r="O493" s="954"/>
      <c r="P493" s="954"/>
    </row>
    <row r="494" spans="1:16" s="106" customFormat="1">
      <c r="A494" s="128"/>
      <c r="B494" s="128"/>
      <c r="C494" s="128"/>
      <c r="D494" s="128"/>
      <c r="E494" s="128"/>
      <c r="F494" s="128"/>
      <c r="G494" s="953"/>
      <c r="H494" s="128"/>
      <c r="I494" s="128"/>
      <c r="J494" s="128"/>
      <c r="K494" s="128"/>
      <c r="L494" s="953"/>
      <c r="M494" s="128"/>
      <c r="O494" s="954"/>
      <c r="P494" s="954"/>
    </row>
    <row r="495" spans="1:16" s="106" customFormat="1">
      <c r="A495" s="128"/>
      <c r="B495" s="128"/>
      <c r="C495" s="128"/>
      <c r="D495" s="128"/>
      <c r="E495" s="128"/>
      <c r="F495" s="128"/>
      <c r="G495" s="953"/>
      <c r="H495" s="128"/>
      <c r="I495" s="128"/>
      <c r="J495" s="128"/>
      <c r="K495" s="128"/>
      <c r="L495" s="953"/>
      <c r="M495" s="128"/>
      <c r="O495" s="954"/>
      <c r="P495" s="954"/>
    </row>
    <row r="496" spans="1:16" s="106" customFormat="1">
      <c r="A496" s="128"/>
      <c r="B496" s="128"/>
      <c r="C496" s="128"/>
      <c r="D496" s="128"/>
      <c r="E496" s="128"/>
      <c r="F496" s="128"/>
      <c r="G496" s="953"/>
      <c r="H496" s="128"/>
      <c r="I496" s="128"/>
      <c r="J496" s="128"/>
      <c r="K496" s="128"/>
      <c r="L496" s="953"/>
      <c r="M496" s="128"/>
      <c r="O496" s="954"/>
      <c r="P496" s="954"/>
    </row>
    <row r="497" spans="1:16" s="106" customFormat="1">
      <c r="A497" s="128"/>
      <c r="B497" s="128"/>
      <c r="C497" s="128"/>
      <c r="D497" s="128"/>
      <c r="E497" s="128"/>
      <c r="F497" s="128"/>
      <c r="G497" s="953"/>
      <c r="H497" s="128"/>
      <c r="I497" s="128"/>
      <c r="J497" s="128"/>
      <c r="K497" s="128"/>
      <c r="L497" s="953"/>
      <c r="M497" s="128"/>
      <c r="O497" s="954"/>
      <c r="P497" s="954"/>
    </row>
    <row r="498" spans="1:16" s="106" customFormat="1">
      <c r="A498" s="128"/>
      <c r="B498" s="128"/>
      <c r="C498" s="128"/>
      <c r="D498" s="128"/>
      <c r="E498" s="128"/>
      <c r="F498" s="128"/>
      <c r="G498" s="953"/>
      <c r="H498" s="128"/>
      <c r="I498" s="128"/>
      <c r="J498" s="128"/>
      <c r="K498" s="128"/>
      <c r="L498" s="953"/>
      <c r="M498" s="128"/>
      <c r="O498" s="954"/>
      <c r="P498" s="954"/>
    </row>
    <row r="499" spans="1:16" s="106" customFormat="1">
      <c r="A499" s="128"/>
      <c r="B499" s="128"/>
      <c r="C499" s="128"/>
      <c r="D499" s="128"/>
      <c r="E499" s="128"/>
      <c r="F499" s="128"/>
      <c r="G499" s="953"/>
      <c r="H499" s="128"/>
      <c r="I499" s="128"/>
      <c r="J499" s="128"/>
      <c r="K499" s="128"/>
      <c r="L499" s="953"/>
      <c r="M499" s="128"/>
      <c r="O499" s="954"/>
      <c r="P499" s="954"/>
    </row>
    <row r="500" spans="1:16" s="106" customFormat="1">
      <c r="A500" s="128"/>
      <c r="B500" s="128"/>
      <c r="C500" s="128"/>
      <c r="D500" s="128"/>
      <c r="E500" s="128"/>
      <c r="F500" s="128"/>
      <c r="G500" s="953"/>
      <c r="H500" s="128"/>
      <c r="I500" s="128"/>
      <c r="J500" s="128"/>
      <c r="K500" s="128"/>
      <c r="L500" s="953"/>
      <c r="M500" s="128"/>
      <c r="O500" s="954"/>
      <c r="P500" s="954"/>
    </row>
    <row r="501" spans="1:16" s="106" customFormat="1">
      <c r="A501" s="128"/>
      <c r="B501" s="128"/>
      <c r="C501" s="128"/>
      <c r="D501" s="128"/>
      <c r="E501" s="128"/>
      <c r="F501" s="128"/>
      <c r="G501" s="953"/>
      <c r="H501" s="128"/>
      <c r="I501" s="128"/>
      <c r="J501" s="128"/>
      <c r="K501" s="128"/>
      <c r="L501" s="953"/>
      <c r="M501" s="128"/>
      <c r="O501" s="954"/>
      <c r="P501" s="954"/>
    </row>
    <row r="502" spans="1:16" s="106" customFormat="1">
      <c r="A502" s="128"/>
      <c r="B502" s="128"/>
      <c r="C502" s="128"/>
      <c r="D502" s="128"/>
      <c r="E502" s="128"/>
      <c r="F502" s="128"/>
      <c r="G502" s="953"/>
      <c r="H502" s="128"/>
      <c r="I502" s="128"/>
      <c r="J502" s="128"/>
      <c r="K502" s="128"/>
      <c r="L502" s="953"/>
      <c r="M502" s="128"/>
      <c r="O502" s="954"/>
      <c r="P502" s="954"/>
    </row>
    <row r="503" spans="1:16" s="106" customFormat="1">
      <c r="A503" s="128"/>
      <c r="B503" s="128"/>
      <c r="C503" s="128"/>
      <c r="D503" s="128"/>
      <c r="E503" s="128"/>
      <c r="F503" s="128"/>
      <c r="G503" s="953"/>
      <c r="H503" s="128"/>
      <c r="I503" s="128"/>
      <c r="J503" s="128"/>
      <c r="K503" s="128"/>
      <c r="L503" s="953"/>
      <c r="M503" s="128"/>
      <c r="O503" s="954"/>
      <c r="P503" s="954"/>
    </row>
    <row r="504" spans="1:16" s="106" customFormat="1">
      <c r="A504" s="128"/>
      <c r="B504" s="128"/>
      <c r="C504" s="128"/>
      <c r="D504" s="128"/>
      <c r="E504" s="128"/>
      <c r="F504" s="128"/>
      <c r="G504" s="953"/>
      <c r="H504" s="128"/>
      <c r="I504" s="128"/>
      <c r="J504" s="128"/>
      <c r="K504" s="128"/>
      <c r="L504" s="953"/>
      <c r="M504" s="128"/>
      <c r="O504" s="954"/>
      <c r="P504" s="954"/>
    </row>
    <row r="505" spans="1:16" s="106" customFormat="1">
      <c r="A505" s="128"/>
      <c r="B505" s="128"/>
      <c r="C505" s="128"/>
      <c r="D505" s="128"/>
      <c r="E505" s="128"/>
      <c r="F505" s="128"/>
      <c r="G505" s="953"/>
      <c r="H505" s="128"/>
      <c r="I505" s="128"/>
      <c r="J505" s="128"/>
      <c r="K505" s="128"/>
      <c r="L505" s="953"/>
      <c r="M505" s="128"/>
      <c r="O505" s="954"/>
      <c r="P505" s="954"/>
    </row>
    <row r="506" spans="1:16" s="106" customFormat="1">
      <c r="A506" s="128"/>
      <c r="B506" s="128"/>
      <c r="C506" s="128"/>
      <c r="D506" s="128"/>
      <c r="E506" s="128"/>
      <c r="F506" s="128"/>
      <c r="G506" s="953"/>
      <c r="H506" s="128"/>
      <c r="I506" s="128"/>
      <c r="J506" s="128"/>
      <c r="K506" s="128"/>
      <c r="L506" s="953"/>
      <c r="M506" s="128"/>
      <c r="O506" s="954"/>
      <c r="P506" s="954"/>
    </row>
    <row r="507" spans="1:16" s="106" customFormat="1">
      <c r="A507" s="128"/>
      <c r="B507" s="128"/>
      <c r="C507" s="128"/>
      <c r="D507" s="128"/>
      <c r="E507" s="128"/>
      <c r="F507" s="128"/>
      <c r="G507" s="953"/>
      <c r="H507" s="128"/>
      <c r="I507" s="128"/>
      <c r="J507" s="128"/>
      <c r="K507" s="128"/>
      <c r="L507" s="953"/>
      <c r="M507" s="128"/>
      <c r="O507" s="954"/>
      <c r="P507" s="954"/>
    </row>
    <row r="508" spans="1:16" s="106" customFormat="1">
      <c r="A508" s="128"/>
      <c r="B508" s="128"/>
      <c r="C508" s="128"/>
      <c r="D508" s="128"/>
      <c r="E508" s="128"/>
      <c r="F508" s="128"/>
      <c r="G508" s="953"/>
      <c r="H508" s="128"/>
      <c r="I508" s="128"/>
      <c r="J508" s="128"/>
      <c r="K508" s="128"/>
      <c r="L508" s="953"/>
      <c r="M508" s="128"/>
      <c r="O508" s="954"/>
      <c r="P508" s="954"/>
    </row>
    <row r="509" spans="1:16" s="106" customFormat="1">
      <c r="A509" s="128"/>
      <c r="B509" s="128"/>
      <c r="C509" s="128"/>
      <c r="D509" s="128"/>
      <c r="E509" s="128"/>
      <c r="F509" s="128"/>
      <c r="G509" s="953"/>
      <c r="H509" s="128"/>
      <c r="I509" s="128"/>
      <c r="J509" s="128"/>
      <c r="K509" s="128"/>
      <c r="L509" s="953"/>
      <c r="M509" s="128"/>
      <c r="O509" s="954"/>
      <c r="P509" s="954"/>
    </row>
    <row r="510" spans="1:16" s="106" customFormat="1">
      <c r="A510" s="128"/>
      <c r="B510" s="128"/>
      <c r="C510" s="128"/>
      <c r="D510" s="128"/>
      <c r="E510" s="128"/>
      <c r="F510" s="128"/>
      <c r="G510" s="953"/>
      <c r="H510" s="128"/>
      <c r="I510" s="128"/>
      <c r="J510" s="128"/>
      <c r="K510" s="128"/>
      <c r="L510" s="953"/>
      <c r="M510" s="128"/>
      <c r="O510" s="954"/>
      <c r="P510" s="954"/>
    </row>
    <row r="511" spans="1:16" s="106" customFormat="1">
      <c r="A511" s="128"/>
      <c r="B511" s="128"/>
      <c r="C511" s="128"/>
      <c r="D511" s="128"/>
      <c r="E511" s="128"/>
      <c r="F511" s="128"/>
      <c r="G511" s="953"/>
      <c r="H511" s="128"/>
      <c r="I511" s="128"/>
      <c r="J511" s="128"/>
      <c r="K511" s="128"/>
      <c r="L511" s="953"/>
      <c r="M511" s="128"/>
      <c r="O511" s="954"/>
      <c r="P511" s="954"/>
    </row>
    <row r="512" spans="1:16" s="106" customFormat="1">
      <c r="A512" s="128"/>
      <c r="B512" s="128"/>
      <c r="C512" s="128"/>
      <c r="D512" s="128"/>
      <c r="E512" s="128"/>
      <c r="F512" s="128"/>
      <c r="G512" s="953"/>
      <c r="H512" s="128"/>
      <c r="I512" s="128"/>
      <c r="J512" s="128"/>
      <c r="K512" s="128"/>
      <c r="L512" s="953"/>
      <c r="M512" s="128"/>
      <c r="O512" s="954"/>
      <c r="P512" s="954"/>
    </row>
    <row r="513" spans="1:16" s="106" customFormat="1">
      <c r="A513" s="128"/>
      <c r="B513" s="128"/>
      <c r="C513" s="128"/>
      <c r="D513" s="128"/>
      <c r="E513" s="128"/>
      <c r="F513" s="128"/>
      <c r="G513" s="953"/>
      <c r="H513" s="128"/>
      <c r="I513" s="128"/>
      <c r="J513" s="128"/>
      <c r="K513" s="128"/>
      <c r="L513" s="953"/>
      <c r="M513" s="128"/>
      <c r="O513" s="954"/>
      <c r="P513" s="954"/>
    </row>
    <row r="514" spans="1:16" s="106" customFormat="1">
      <c r="A514" s="128"/>
      <c r="B514" s="128"/>
      <c r="C514" s="128"/>
      <c r="D514" s="128"/>
      <c r="E514" s="128"/>
      <c r="F514" s="128"/>
      <c r="G514" s="953"/>
      <c r="H514" s="128"/>
      <c r="I514" s="128"/>
      <c r="J514" s="128"/>
      <c r="K514" s="128"/>
      <c r="L514" s="953"/>
      <c r="M514" s="128"/>
      <c r="O514" s="954"/>
      <c r="P514" s="954"/>
    </row>
    <row r="515" spans="1:16" s="106" customFormat="1">
      <c r="A515" s="128"/>
      <c r="B515" s="128"/>
      <c r="C515" s="128"/>
      <c r="D515" s="128"/>
      <c r="E515" s="128"/>
      <c r="F515" s="128"/>
      <c r="G515" s="953"/>
      <c r="H515" s="128"/>
      <c r="I515" s="128"/>
      <c r="J515" s="128"/>
      <c r="K515" s="128"/>
      <c r="L515" s="953"/>
      <c r="M515" s="128"/>
      <c r="O515" s="954"/>
      <c r="P515" s="954"/>
    </row>
    <row r="516" spans="1:16" s="106" customFormat="1">
      <c r="A516" s="128"/>
      <c r="B516" s="128"/>
      <c r="C516" s="128"/>
      <c r="D516" s="128"/>
      <c r="E516" s="128"/>
      <c r="F516" s="128"/>
      <c r="G516" s="953"/>
      <c r="H516" s="128"/>
      <c r="I516" s="128"/>
      <c r="J516" s="128"/>
      <c r="K516" s="128"/>
      <c r="L516" s="953"/>
      <c r="M516" s="128"/>
      <c r="O516" s="954"/>
      <c r="P516" s="954"/>
    </row>
    <row r="517" spans="1:16" s="106" customFormat="1">
      <c r="A517" s="128"/>
      <c r="B517" s="128"/>
      <c r="C517" s="128"/>
      <c r="D517" s="128"/>
      <c r="E517" s="128"/>
      <c r="F517" s="128"/>
      <c r="G517" s="953"/>
      <c r="H517" s="128"/>
      <c r="I517" s="128"/>
      <c r="J517" s="128"/>
      <c r="K517" s="128"/>
      <c r="L517" s="953"/>
      <c r="M517" s="128"/>
      <c r="O517" s="954"/>
      <c r="P517" s="954"/>
    </row>
    <row r="518" spans="1:16" s="106" customFormat="1">
      <c r="A518" s="128"/>
      <c r="B518" s="128"/>
      <c r="C518" s="128"/>
      <c r="D518" s="128"/>
      <c r="E518" s="128"/>
      <c r="F518" s="128"/>
      <c r="G518" s="953"/>
      <c r="H518" s="128"/>
      <c r="I518" s="128"/>
      <c r="J518" s="128"/>
      <c r="K518" s="128"/>
      <c r="L518" s="953"/>
      <c r="M518" s="128"/>
      <c r="O518" s="954"/>
      <c r="P518" s="954"/>
    </row>
    <row r="519" spans="1:16" s="106" customFormat="1">
      <c r="A519" s="128"/>
      <c r="B519" s="128"/>
      <c r="C519" s="128"/>
      <c r="D519" s="128"/>
      <c r="E519" s="128"/>
      <c r="F519" s="128"/>
      <c r="G519" s="953"/>
      <c r="H519" s="128"/>
      <c r="I519" s="128"/>
      <c r="J519" s="128"/>
      <c r="K519" s="128"/>
      <c r="L519" s="953"/>
      <c r="M519" s="128"/>
      <c r="O519" s="954"/>
      <c r="P519" s="954"/>
    </row>
    <row r="520" spans="1:16" s="106" customFormat="1">
      <c r="A520" s="128"/>
      <c r="B520" s="128"/>
      <c r="C520" s="128"/>
      <c r="D520" s="128"/>
      <c r="E520" s="128"/>
      <c r="F520" s="128"/>
      <c r="G520" s="953"/>
      <c r="H520" s="128"/>
      <c r="I520" s="128"/>
      <c r="J520" s="128"/>
      <c r="K520" s="128"/>
      <c r="L520" s="953"/>
      <c r="M520" s="128"/>
      <c r="O520" s="954"/>
      <c r="P520" s="954"/>
    </row>
    <row r="521" spans="1:16" s="106" customFormat="1">
      <c r="A521" s="128"/>
      <c r="B521" s="128"/>
      <c r="C521" s="128"/>
      <c r="D521" s="128"/>
      <c r="E521" s="128"/>
      <c r="F521" s="128"/>
      <c r="G521" s="953"/>
      <c r="H521" s="128"/>
      <c r="I521" s="128"/>
      <c r="J521" s="128"/>
      <c r="K521" s="128"/>
      <c r="L521" s="953"/>
      <c r="M521" s="128"/>
      <c r="O521" s="954"/>
      <c r="P521" s="954"/>
    </row>
    <row r="522" spans="1:16" s="106" customFormat="1">
      <c r="A522" s="128"/>
      <c r="B522" s="128"/>
      <c r="C522" s="128"/>
      <c r="D522" s="128"/>
      <c r="E522" s="128"/>
      <c r="F522" s="128"/>
      <c r="G522" s="953"/>
      <c r="H522" s="128"/>
      <c r="I522" s="128"/>
      <c r="J522" s="128"/>
      <c r="K522" s="128"/>
      <c r="L522" s="953"/>
      <c r="M522" s="128"/>
      <c r="O522" s="954"/>
      <c r="P522" s="954"/>
    </row>
    <row r="523" spans="1:16" s="106" customFormat="1">
      <c r="A523" s="128"/>
      <c r="B523" s="128"/>
      <c r="C523" s="128"/>
      <c r="D523" s="128"/>
      <c r="E523" s="128"/>
      <c r="F523" s="128"/>
      <c r="G523" s="953"/>
      <c r="H523" s="128"/>
      <c r="I523" s="128"/>
      <c r="J523" s="128"/>
      <c r="K523" s="128"/>
      <c r="L523" s="953"/>
      <c r="M523" s="128"/>
      <c r="O523" s="954"/>
      <c r="P523" s="954"/>
    </row>
    <row r="524" spans="1:16" s="106" customFormat="1">
      <c r="A524" s="128"/>
      <c r="B524" s="128"/>
      <c r="C524" s="128"/>
      <c r="D524" s="128"/>
      <c r="E524" s="128"/>
      <c r="F524" s="128"/>
      <c r="G524" s="953"/>
      <c r="H524" s="128"/>
      <c r="I524" s="128"/>
      <c r="J524" s="128"/>
      <c r="K524" s="128"/>
      <c r="L524" s="953"/>
      <c r="M524" s="128"/>
      <c r="O524" s="954"/>
      <c r="P524" s="954"/>
    </row>
    <row r="525" spans="1:16" s="106" customFormat="1">
      <c r="A525" s="128"/>
      <c r="B525" s="128"/>
      <c r="C525" s="128"/>
      <c r="D525" s="128"/>
      <c r="E525" s="128"/>
      <c r="F525" s="128"/>
      <c r="G525" s="953"/>
      <c r="H525" s="128"/>
      <c r="I525" s="128"/>
      <c r="J525" s="128"/>
      <c r="K525" s="128"/>
      <c r="L525" s="953"/>
      <c r="M525" s="128"/>
      <c r="O525" s="954"/>
      <c r="P525" s="954"/>
    </row>
    <row r="526" spans="1:16" s="106" customFormat="1">
      <c r="A526" s="128"/>
      <c r="B526" s="128"/>
      <c r="C526" s="128"/>
      <c r="D526" s="128"/>
      <c r="E526" s="128"/>
      <c r="F526" s="128"/>
      <c r="G526" s="953"/>
      <c r="H526" s="128"/>
      <c r="I526" s="128"/>
      <c r="J526" s="128"/>
      <c r="K526" s="128"/>
      <c r="L526" s="953"/>
      <c r="M526" s="128"/>
      <c r="O526" s="954"/>
      <c r="P526" s="954"/>
    </row>
    <row r="527" spans="1:16" s="106" customFormat="1">
      <c r="A527" s="128"/>
      <c r="B527" s="128"/>
      <c r="C527" s="128"/>
      <c r="D527" s="128"/>
      <c r="E527" s="128"/>
      <c r="F527" s="128"/>
      <c r="G527" s="953"/>
      <c r="H527" s="128"/>
      <c r="I527" s="128"/>
      <c r="J527" s="128"/>
      <c r="K527" s="128"/>
      <c r="L527" s="953"/>
      <c r="M527" s="128"/>
      <c r="O527" s="954"/>
      <c r="P527" s="954"/>
    </row>
    <row r="528" spans="1:16" s="106" customFormat="1">
      <c r="A528" s="128"/>
      <c r="B528" s="128"/>
      <c r="C528" s="128"/>
      <c r="D528" s="128"/>
      <c r="E528" s="128"/>
      <c r="F528" s="128"/>
      <c r="G528" s="953"/>
      <c r="H528" s="128"/>
      <c r="I528" s="128"/>
      <c r="J528" s="128"/>
      <c r="K528" s="128"/>
      <c r="L528" s="953"/>
      <c r="M528" s="128"/>
      <c r="O528" s="954"/>
      <c r="P528" s="954"/>
    </row>
    <row r="529" spans="1:16" s="106" customFormat="1">
      <c r="A529" s="128"/>
      <c r="B529" s="128"/>
      <c r="C529" s="128"/>
      <c r="D529" s="128"/>
      <c r="E529" s="128"/>
      <c r="F529" s="128"/>
      <c r="G529" s="953"/>
      <c r="H529" s="128"/>
      <c r="I529" s="128"/>
      <c r="J529" s="128"/>
      <c r="K529" s="128"/>
      <c r="L529" s="953"/>
      <c r="M529" s="128"/>
      <c r="O529" s="954"/>
      <c r="P529" s="954"/>
    </row>
    <row r="530" spans="1:16" s="106" customFormat="1">
      <c r="A530" s="128"/>
      <c r="B530" s="128"/>
      <c r="C530" s="128"/>
      <c r="D530" s="128"/>
      <c r="E530" s="128"/>
      <c r="F530" s="128"/>
      <c r="G530" s="953"/>
      <c r="H530" s="128"/>
      <c r="I530" s="128"/>
      <c r="J530" s="128"/>
      <c r="K530" s="128"/>
      <c r="L530" s="953"/>
      <c r="M530" s="128"/>
      <c r="O530" s="954"/>
      <c r="P530" s="954"/>
    </row>
    <row r="531" spans="1:16" s="106" customFormat="1">
      <c r="A531" s="128"/>
      <c r="B531" s="128"/>
      <c r="C531" s="128"/>
      <c r="D531" s="128"/>
      <c r="E531" s="128"/>
      <c r="F531" s="128"/>
      <c r="G531" s="953"/>
      <c r="H531" s="128"/>
      <c r="I531" s="128"/>
      <c r="J531" s="128"/>
      <c r="K531" s="128"/>
      <c r="L531" s="953"/>
      <c r="M531" s="128"/>
      <c r="O531" s="954"/>
      <c r="P531" s="954"/>
    </row>
    <row r="532" spans="1:16" s="106" customFormat="1">
      <c r="A532" s="128"/>
      <c r="B532" s="128"/>
      <c r="C532" s="128"/>
      <c r="D532" s="128"/>
      <c r="E532" s="128"/>
      <c r="F532" s="128"/>
      <c r="G532" s="953"/>
      <c r="H532" s="128"/>
      <c r="I532" s="128"/>
      <c r="J532" s="128"/>
      <c r="K532" s="128"/>
      <c r="L532" s="953"/>
      <c r="M532" s="128"/>
      <c r="O532" s="954"/>
      <c r="P532" s="954"/>
    </row>
    <row r="533" spans="1:16" s="106" customFormat="1">
      <c r="A533" s="128"/>
      <c r="B533" s="128"/>
      <c r="C533" s="128"/>
      <c r="D533" s="128"/>
      <c r="E533" s="128"/>
      <c r="F533" s="128"/>
      <c r="G533" s="953"/>
      <c r="H533" s="128"/>
      <c r="I533" s="128"/>
      <c r="J533" s="128"/>
      <c r="K533" s="128"/>
      <c r="L533" s="953"/>
      <c r="M533" s="128"/>
      <c r="O533" s="954"/>
      <c r="P533" s="954"/>
    </row>
    <row r="534" spans="1:16" s="106" customFormat="1">
      <c r="A534" s="128"/>
      <c r="B534" s="128"/>
      <c r="C534" s="128"/>
      <c r="D534" s="128"/>
      <c r="E534" s="128"/>
      <c r="F534" s="128"/>
      <c r="G534" s="953"/>
      <c r="H534" s="128"/>
      <c r="I534" s="128"/>
      <c r="J534" s="128"/>
      <c r="K534" s="128"/>
      <c r="L534" s="953"/>
      <c r="M534" s="128"/>
      <c r="O534" s="954"/>
      <c r="P534" s="954"/>
    </row>
    <row r="535" spans="1:16" s="106" customFormat="1">
      <c r="A535" s="128"/>
      <c r="B535" s="128"/>
      <c r="C535" s="128"/>
      <c r="D535" s="128"/>
      <c r="E535" s="128"/>
      <c r="F535" s="128"/>
      <c r="G535" s="953"/>
      <c r="H535" s="128"/>
      <c r="I535" s="128"/>
      <c r="J535" s="128"/>
      <c r="K535" s="128"/>
      <c r="L535" s="953"/>
      <c r="M535" s="128"/>
      <c r="O535" s="954"/>
      <c r="P535" s="954"/>
    </row>
    <row r="536" spans="1:16" s="106" customFormat="1">
      <c r="A536" s="128"/>
      <c r="B536" s="128"/>
      <c r="C536" s="128"/>
      <c r="D536" s="128"/>
      <c r="E536" s="128"/>
      <c r="F536" s="128"/>
      <c r="G536" s="953"/>
      <c r="H536" s="128"/>
      <c r="I536" s="128"/>
      <c r="J536" s="128"/>
      <c r="K536" s="128"/>
      <c r="L536" s="953"/>
      <c r="M536" s="128"/>
      <c r="O536" s="954"/>
      <c r="P536" s="954"/>
    </row>
    <row r="537" spans="1:16" s="106" customFormat="1">
      <c r="A537" s="128"/>
      <c r="B537" s="128"/>
      <c r="C537" s="128"/>
      <c r="D537" s="128"/>
      <c r="E537" s="128"/>
      <c r="F537" s="128"/>
      <c r="G537" s="953"/>
      <c r="H537" s="128"/>
      <c r="I537" s="128"/>
      <c r="J537" s="128"/>
      <c r="K537" s="128"/>
      <c r="L537" s="953"/>
      <c r="M537" s="128"/>
      <c r="O537" s="954"/>
      <c r="P537" s="954"/>
    </row>
    <row r="538" spans="1:16" s="106" customFormat="1">
      <c r="A538" s="128"/>
      <c r="B538" s="128"/>
      <c r="C538" s="128"/>
      <c r="D538" s="128"/>
      <c r="E538" s="128"/>
      <c r="F538" s="128"/>
      <c r="G538" s="953"/>
      <c r="H538" s="128"/>
      <c r="I538" s="128"/>
      <c r="J538" s="128"/>
      <c r="K538" s="128"/>
      <c r="L538" s="953"/>
      <c r="M538" s="128"/>
      <c r="O538" s="954"/>
      <c r="P538" s="954"/>
    </row>
    <row r="539" spans="1:16" s="106" customFormat="1">
      <c r="A539" s="128"/>
      <c r="B539" s="128"/>
      <c r="C539" s="128"/>
      <c r="D539" s="128"/>
      <c r="E539" s="128"/>
      <c r="F539" s="128"/>
      <c r="G539" s="953"/>
      <c r="H539" s="128"/>
      <c r="I539" s="128"/>
      <c r="J539" s="128"/>
      <c r="K539" s="128"/>
      <c r="L539" s="953"/>
      <c r="M539" s="128"/>
      <c r="O539" s="954"/>
      <c r="P539" s="954"/>
    </row>
    <row r="540" spans="1:16" s="106" customFormat="1">
      <c r="A540" s="128"/>
      <c r="B540" s="128"/>
      <c r="C540" s="128"/>
      <c r="D540" s="128"/>
      <c r="E540" s="128"/>
      <c r="F540" s="128"/>
      <c r="G540" s="953"/>
      <c r="H540" s="128"/>
      <c r="I540" s="128"/>
      <c r="J540" s="128"/>
      <c r="K540" s="128"/>
      <c r="L540" s="953"/>
      <c r="M540" s="128"/>
      <c r="O540" s="954"/>
      <c r="P540" s="954"/>
    </row>
    <row r="541" spans="1:16" s="106" customFormat="1">
      <c r="A541" s="128"/>
      <c r="B541" s="128"/>
      <c r="C541" s="128"/>
      <c r="D541" s="128"/>
      <c r="E541" s="128"/>
      <c r="F541" s="128"/>
      <c r="G541" s="953"/>
      <c r="H541" s="128"/>
      <c r="I541" s="128"/>
      <c r="J541" s="128"/>
      <c r="K541" s="128"/>
      <c r="L541" s="953"/>
      <c r="M541" s="128"/>
      <c r="O541" s="954"/>
      <c r="P541" s="954"/>
    </row>
    <row r="542" spans="1:16" s="106" customFormat="1">
      <c r="A542" s="128"/>
      <c r="B542" s="128"/>
      <c r="C542" s="128"/>
      <c r="D542" s="128"/>
      <c r="E542" s="128"/>
      <c r="F542" s="128"/>
      <c r="G542" s="953"/>
      <c r="H542" s="128"/>
      <c r="I542" s="128"/>
      <c r="J542" s="128"/>
      <c r="K542" s="128"/>
      <c r="L542" s="953"/>
      <c r="M542" s="128"/>
      <c r="O542" s="954"/>
      <c r="P542" s="954"/>
    </row>
    <row r="543" spans="1:16" s="106" customFormat="1">
      <c r="A543" s="128"/>
      <c r="B543" s="128"/>
      <c r="C543" s="128"/>
      <c r="D543" s="128"/>
      <c r="E543" s="128"/>
      <c r="F543" s="128"/>
      <c r="G543" s="953"/>
      <c r="H543" s="128"/>
      <c r="I543" s="128"/>
      <c r="J543" s="128"/>
      <c r="K543" s="128"/>
      <c r="L543" s="953"/>
      <c r="M543" s="128"/>
      <c r="O543" s="954"/>
      <c r="P543" s="954"/>
    </row>
    <row r="544" spans="1:16" s="106" customFormat="1">
      <c r="A544" s="128"/>
      <c r="B544" s="128"/>
      <c r="C544" s="128"/>
      <c r="D544" s="128"/>
      <c r="E544" s="128"/>
      <c r="F544" s="128"/>
      <c r="G544" s="953"/>
      <c r="H544" s="128"/>
      <c r="I544" s="128"/>
      <c r="J544" s="128"/>
      <c r="K544" s="128"/>
      <c r="L544" s="953"/>
      <c r="M544" s="128"/>
      <c r="O544" s="954"/>
      <c r="P544" s="954"/>
    </row>
    <row r="545" spans="1:16" s="106" customFormat="1">
      <c r="A545" s="128"/>
      <c r="B545" s="128"/>
      <c r="C545" s="128"/>
      <c r="D545" s="128"/>
      <c r="E545" s="128"/>
      <c r="F545" s="128"/>
      <c r="G545" s="953"/>
      <c r="H545" s="128"/>
      <c r="I545" s="128"/>
      <c r="J545" s="128"/>
      <c r="K545" s="128"/>
      <c r="L545" s="953"/>
      <c r="M545" s="128"/>
      <c r="O545" s="954"/>
      <c r="P545" s="954"/>
    </row>
    <row r="546" spans="1:16" s="106" customFormat="1">
      <c r="A546" s="128"/>
      <c r="B546" s="128"/>
      <c r="C546" s="128"/>
      <c r="D546" s="128"/>
      <c r="E546" s="128"/>
      <c r="F546" s="128"/>
      <c r="G546" s="953"/>
      <c r="H546" s="128"/>
      <c r="I546" s="128"/>
      <c r="J546" s="128"/>
      <c r="K546" s="128"/>
      <c r="L546" s="953"/>
      <c r="M546" s="128"/>
      <c r="O546" s="954"/>
      <c r="P546" s="954"/>
    </row>
    <row r="547" spans="1:16" s="106" customFormat="1">
      <c r="A547" s="128"/>
      <c r="B547" s="128"/>
      <c r="C547" s="128"/>
      <c r="D547" s="128"/>
      <c r="E547" s="128"/>
      <c r="F547" s="128"/>
      <c r="G547" s="953"/>
      <c r="H547" s="128"/>
      <c r="I547" s="128"/>
      <c r="J547" s="128"/>
      <c r="K547" s="128"/>
      <c r="L547" s="953"/>
      <c r="M547" s="128"/>
      <c r="O547" s="954"/>
      <c r="P547" s="954"/>
    </row>
    <row r="548" spans="1:16" s="106" customFormat="1">
      <c r="A548" s="128"/>
      <c r="B548" s="128"/>
      <c r="C548" s="128"/>
      <c r="D548" s="128"/>
      <c r="E548" s="128"/>
      <c r="F548" s="128"/>
      <c r="G548" s="953"/>
      <c r="H548" s="128"/>
      <c r="I548" s="128"/>
      <c r="J548" s="128"/>
      <c r="K548" s="128"/>
      <c r="L548" s="953"/>
      <c r="M548" s="128"/>
      <c r="O548" s="954"/>
      <c r="P548" s="954"/>
    </row>
    <row r="549" spans="1:16" s="106" customFormat="1">
      <c r="A549" s="128"/>
      <c r="B549" s="128"/>
      <c r="C549" s="128"/>
      <c r="D549" s="128"/>
      <c r="E549" s="128"/>
      <c r="F549" s="128"/>
      <c r="G549" s="953"/>
      <c r="H549" s="128"/>
      <c r="I549" s="128"/>
      <c r="J549" s="128"/>
      <c r="K549" s="128"/>
      <c r="L549" s="953"/>
      <c r="M549" s="128"/>
      <c r="O549" s="954"/>
      <c r="P549" s="954"/>
    </row>
    <row r="550" spans="1:16" s="106" customFormat="1">
      <c r="A550" s="128"/>
      <c r="B550" s="128"/>
      <c r="C550" s="128"/>
      <c r="D550" s="128"/>
      <c r="E550" s="128"/>
      <c r="F550" s="128"/>
      <c r="G550" s="953"/>
      <c r="H550" s="128"/>
      <c r="I550" s="128"/>
      <c r="J550" s="128"/>
      <c r="K550" s="128"/>
      <c r="L550" s="953"/>
      <c r="M550" s="128"/>
      <c r="O550" s="954"/>
      <c r="P550" s="954"/>
    </row>
    <row r="551" spans="1:16" s="106" customFormat="1">
      <c r="A551" s="128"/>
      <c r="B551" s="128"/>
      <c r="C551" s="128"/>
      <c r="D551" s="128"/>
      <c r="E551" s="128"/>
      <c r="F551" s="128"/>
      <c r="G551" s="953"/>
      <c r="H551" s="128"/>
      <c r="I551" s="128"/>
      <c r="J551" s="128"/>
      <c r="K551" s="128"/>
      <c r="L551" s="953"/>
      <c r="M551" s="128"/>
      <c r="O551" s="954"/>
      <c r="P551" s="954"/>
    </row>
    <row r="552" spans="1:16" s="106" customFormat="1">
      <c r="A552" s="128"/>
      <c r="B552" s="128"/>
      <c r="C552" s="128"/>
      <c r="D552" s="128"/>
      <c r="E552" s="128"/>
      <c r="F552" s="128"/>
      <c r="G552" s="953"/>
      <c r="H552" s="128"/>
      <c r="I552" s="128"/>
      <c r="J552" s="128"/>
      <c r="K552" s="128"/>
      <c r="L552" s="953"/>
      <c r="M552" s="128"/>
      <c r="O552" s="954"/>
      <c r="P552" s="954"/>
    </row>
    <row r="553" spans="1:16" s="106" customFormat="1">
      <c r="A553" s="128"/>
      <c r="B553" s="128"/>
      <c r="C553" s="128"/>
      <c r="D553" s="128"/>
      <c r="E553" s="128"/>
      <c r="F553" s="128"/>
      <c r="G553" s="953"/>
      <c r="H553" s="128"/>
      <c r="I553" s="128"/>
      <c r="J553" s="128"/>
      <c r="K553" s="128"/>
      <c r="L553" s="953"/>
      <c r="M553" s="128"/>
      <c r="O553" s="954"/>
      <c r="P553" s="954"/>
    </row>
    <row r="554" spans="1:16" s="106" customFormat="1">
      <c r="A554" s="128"/>
      <c r="B554" s="128"/>
      <c r="C554" s="128"/>
      <c r="D554" s="128"/>
      <c r="E554" s="128"/>
      <c r="F554" s="128"/>
      <c r="G554" s="953"/>
      <c r="H554" s="128"/>
      <c r="I554" s="128"/>
      <c r="J554" s="128"/>
      <c r="K554" s="128"/>
      <c r="L554" s="953"/>
      <c r="M554" s="128"/>
      <c r="O554" s="954"/>
      <c r="P554" s="954"/>
    </row>
    <row r="555" spans="1:16" s="106" customFormat="1">
      <c r="A555" s="128"/>
      <c r="B555" s="128"/>
      <c r="C555" s="128"/>
      <c r="D555" s="128"/>
      <c r="E555" s="128"/>
      <c r="F555" s="128"/>
      <c r="G555" s="953"/>
      <c r="H555" s="128"/>
      <c r="I555" s="128"/>
      <c r="J555" s="128"/>
      <c r="K555" s="128"/>
      <c r="L555" s="953"/>
      <c r="M555" s="128"/>
      <c r="O555" s="954"/>
      <c r="P555" s="954"/>
    </row>
    <row r="556" spans="1:16" s="106" customFormat="1">
      <c r="A556" s="128"/>
      <c r="B556" s="128"/>
      <c r="C556" s="128"/>
      <c r="D556" s="128"/>
      <c r="E556" s="128"/>
      <c r="F556" s="128"/>
      <c r="G556" s="953"/>
      <c r="H556" s="128"/>
      <c r="I556" s="128"/>
      <c r="J556" s="128"/>
      <c r="K556" s="128"/>
      <c r="L556" s="953"/>
      <c r="M556" s="128"/>
      <c r="O556" s="954"/>
      <c r="P556" s="954"/>
    </row>
    <row r="557" spans="1:16" s="106" customFormat="1">
      <c r="A557" s="128"/>
      <c r="B557" s="128"/>
      <c r="C557" s="128"/>
      <c r="D557" s="128"/>
      <c r="E557" s="128"/>
      <c r="F557" s="128"/>
      <c r="G557" s="953"/>
      <c r="H557" s="128"/>
      <c r="I557" s="128"/>
      <c r="J557" s="128"/>
      <c r="K557" s="128"/>
      <c r="L557" s="953"/>
      <c r="M557" s="128"/>
      <c r="O557" s="954"/>
      <c r="P557" s="954"/>
    </row>
    <row r="558" spans="1:16" s="106" customFormat="1">
      <c r="A558" s="128"/>
      <c r="B558" s="128"/>
      <c r="C558" s="128"/>
      <c r="D558" s="128"/>
      <c r="E558" s="128"/>
      <c r="F558" s="128"/>
      <c r="G558" s="953"/>
      <c r="H558" s="128"/>
      <c r="I558" s="128"/>
      <c r="J558" s="128"/>
      <c r="K558" s="128"/>
      <c r="L558" s="953"/>
      <c r="M558" s="128"/>
      <c r="O558" s="954"/>
      <c r="P558" s="954"/>
    </row>
    <row r="559" spans="1:16" s="106" customFormat="1">
      <c r="A559" s="128"/>
      <c r="B559" s="128"/>
      <c r="C559" s="128"/>
      <c r="D559" s="128"/>
      <c r="E559" s="128"/>
      <c r="F559" s="128"/>
      <c r="G559" s="953"/>
      <c r="H559" s="128"/>
      <c r="I559" s="128"/>
      <c r="J559" s="128"/>
      <c r="K559" s="128"/>
      <c r="L559" s="953"/>
      <c r="M559" s="128"/>
      <c r="O559" s="954"/>
      <c r="P559" s="954"/>
    </row>
    <row r="560" spans="1:16" s="106" customFormat="1">
      <c r="A560" s="128"/>
      <c r="B560" s="128"/>
      <c r="C560" s="128"/>
      <c r="D560" s="128"/>
      <c r="E560" s="128"/>
      <c r="F560" s="128"/>
      <c r="G560" s="953"/>
      <c r="H560" s="128"/>
      <c r="I560" s="128"/>
      <c r="J560" s="128"/>
      <c r="K560" s="128"/>
      <c r="L560" s="953"/>
      <c r="M560" s="128"/>
      <c r="O560" s="954"/>
      <c r="P560" s="954"/>
    </row>
    <row r="561" spans="1:16" s="106" customFormat="1">
      <c r="A561" s="128"/>
      <c r="B561" s="128"/>
      <c r="C561" s="128"/>
      <c r="D561" s="128"/>
      <c r="E561" s="128"/>
      <c r="F561" s="128"/>
      <c r="G561" s="953"/>
      <c r="H561" s="128"/>
      <c r="I561" s="128"/>
      <c r="J561" s="128"/>
      <c r="K561" s="128"/>
      <c r="L561" s="953"/>
      <c r="M561" s="128"/>
      <c r="O561" s="954"/>
      <c r="P561" s="954"/>
    </row>
    <row r="562" spans="1:16" s="106" customFormat="1">
      <c r="A562" s="128"/>
      <c r="B562" s="128"/>
      <c r="C562" s="128"/>
      <c r="D562" s="128"/>
      <c r="E562" s="128"/>
      <c r="F562" s="128"/>
      <c r="G562" s="953"/>
      <c r="H562" s="128"/>
      <c r="I562" s="128"/>
      <c r="J562" s="128"/>
      <c r="K562" s="128"/>
      <c r="L562" s="953"/>
      <c r="M562" s="128"/>
      <c r="O562" s="954"/>
      <c r="P562" s="954"/>
    </row>
    <row r="563" spans="1:16" s="106" customFormat="1">
      <c r="A563" s="128"/>
      <c r="B563" s="128"/>
      <c r="C563" s="128"/>
      <c r="D563" s="128"/>
      <c r="E563" s="128"/>
      <c r="F563" s="128"/>
      <c r="G563" s="953"/>
      <c r="H563" s="128"/>
      <c r="I563" s="128"/>
      <c r="J563" s="128"/>
      <c r="K563" s="128"/>
      <c r="L563" s="953"/>
      <c r="M563" s="128"/>
      <c r="O563" s="954"/>
      <c r="P563" s="954"/>
    </row>
    <row r="564" spans="1:16" s="106" customFormat="1">
      <c r="A564" s="128"/>
      <c r="B564" s="128"/>
      <c r="C564" s="128"/>
      <c r="D564" s="128"/>
      <c r="E564" s="128"/>
      <c r="F564" s="128"/>
      <c r="G564" s="953"/>
      <c r="H564" s="128"/>
      <c r="I564" s="128"/>
      <c r="J564" s="128"/>
      <c r="K564" s="128"/>
      <c r="L564" s="953"/>
      <c r="M564" s="128"/>
      <c r="O564" s="954"/>
      <c r="P564" s="954"/>
    </row>
    <row r="565" spans="1:16" s="106" customFormat="1">
      <c r="A565" s="128"/>
      <c r="B565" s="128"/>
      <c r="C565" s="128"/>
      <c r="D565" s="128"/>
      <c r="E565" s="128"/>
      <c r="F565" s="128"/>
      <c r="G565" s="953"/>
      <c r="H565" s="128"/>
      <c r="I565" s="128"/>
      <c r="J565" s="128"/>
      <c r="K565" s="128"/>
      <c r="L565" s="953"/>
      <c r="M565" s="128"/>
      <c r="O565" s="954"/>
      <c r="P565" s="954"/>
    </row>
    <row r="566" spans="1:16" s="106" customFormat="1">
      <c r="A566" s="128"/>
      <c r="B566" s="128"/>
      <c r="C566" s="128"/>
      <c r="D566" s="128"/>
      <c r="E566" s="128"/>
      <c r="F566" s="128"/>
      <c r="G566" s="953"/>
      <c r="H566" s="128"/>
      <c r="I566" s="128"/>
      <c r="J566" s="128"/>
      <c r="K566" s="128"/>
      <c r="L566" s="953"/>
      <c r="M566" s="128"/>
      <c r="O566" s="954"/>
      <c r="P566" s="954"/>
    </row>
    <row r="567" spans="1:16" s="106" customFormat="1">
      <c r="A567" s="128"/>
      <c r="B567" s="128"/>
      <c r="C567" s="128"/>
      <c r="D567" s="128"/>
      <c r="E567" s="128"/>
      <c r="F567" s="128"/>
      <c r="G567" s="953"/>
      <c r="H567" s="128"/>
      <c r="I567" s="128"/>
      <c r="J567" s="128"/>
      <c r="K567" s="128"/>
      <c r="L567" s="953"/>
      <c r="M567" s="128"/>
      <c r="O567" s="954"/>
      <c r="P567" s="954"/>
    </row>
    <row r="568" spans="1:16" s="106" customFormat="1">
      <c r="A568" s="128"/>
      <c r="B568" s="128"/>
      <c r="C568" s="128"/>
      <c r="D568" s="128"/>
      <c r="E568" s="128"/>
      <c r="F568" s="128"/>
      <c r="G568" s="953"/>
      <c r="H568" s="128"/>
      <c r="I568" s="128"/>
      <c r="J568" s="128"/>
      <c r="K568" s="128"/>
      <c r="L568" s="953"/>
      <c r="M568" s="128"/>
      <c r="O568" s="954"/>
      <c r="P568" s="954"/>
    </row>
    <row r="569" spans="1:16" s="106" customFormat="1">
      <c r="A569" s="128"/>
      <c r="B569" s="128"/>
      <c r="C569" s="128"/>
      <c r="D569" s="128"/>
      <c r="E569" s="128"/>
      <c r="F569" s="128"/>
      <c r="G569" s="953"/>
      <c r="H569" s="128"/>
      <c r="I569" s="128"/>
      <c r="J569" s="128"/>
      <c r="K569" s="128"/>
      <c r="L569" s="953"/>
      <c r="M569" s="128"/>
      <c r="O569" s="954"/>
      <c r="P569" s="954"/>
    </row>
    <row r="570" spans="1:16" s="106" customFormat="1">
      <c r="A570" s="128"/>
      <c r="B570" s="128"/>
      <c r="C570" s="128"/>
      <c r="D570" s="128"/>
      <c r="E570" s="128"/>
      <c r="F570" s="128"/>
      <c r="G570" s="953"/>
      <c r="H570" s="128"/>
      <c r="I570" s="128"/>
      <c r="J570" s="128"/>
      <c r="K570" s="128"/>
      <c r="L570" s="953"/>
      <c r="M570" s="128"/>
      <c r="O570" s="954"/>
      <c r="P570" s="954"/>
    </row>
    <row r="571" spans="1:16" s="106" customFormat="1">
      <c r="A571" s="128"/>
      <c r="B571" s="128"/>
      <c r="C571" s="128"/>
      <c r="D571" s="128"/>
      <c r="E571" s="128"/>
      <c r="F571" s="128"/>
      <c r="G571" s="953"/>
      <c r="H571" s="128"/>
      <c r="I571" s="128"/>
      <c r="J571" s="128"/>
      <c r="K571" s="128"/>
      <c r="L571" s="953"/>
      <c r="M571" s="128"/>
      <c r="O571" s="954"/>
      <c r="P571" s="954"/>
    </row>
    <row r="572" spans="1:16" s="106" customFormat="1">
      <c r="A572" s="128"/>
      <c r="B572" s="128"/>
      <c r="C572" s="128"/>
      <c r="D572" s="128"/>
      <c r="E572" s="128"/>
      <c r="F572" s="128"/>
      <c r="G572" s="953"/>
      <c r="H572" s="128"/>
      <c r="I572" s="128"/>
      <c r="J572" s="128"/>
      <c r="K572" s="128"/>
      <c r="L572" s="953"/>
      <c r="M572" s="128"/>
      <c r="O572" s="954"/>
      <c r="P572" s="954"/>
    </row>
    <row r="573" spans="1:16" s="106" customFormat="1">
      <c r="A573" s="128"/>
      <c r="B573" s="128"/>
      <c r="C573" s="128"/>
      <c r="D573" s="128"/>
      <c r="E573" s="128"/>
      <c r="F573" s="128"/>
      <c r="G573" s="953"/>
      <c r="H573" s="128"/>
      <c r="I573" s="128"/>
      <c r="J573" s="128"/>
      <c r="K573" s="128"/>
      <c r="L573" s="953"/>
      <c r="M573" s="128"/>
      <c r="O573" s="954"/>
      <c r="P573" s="954"/>
    </row>
    <row r="574" spans="1:16" s="106" customFormat="1">
      <c r="A574" s="128"/>
      <c r="B574" s="128"/>
      <c r="C574" s="128"/>
      <c r="D574" s="128"/>
      <c r="E574" s="128"/>
      <c r="F574" s="128"/>
      <c r="G574" s="953"/>
      <c r="H574" s="128"/>
      <c r="I574" s="128"/>
      <c r="J574" s="128"/>
      <c r="K574" s="128"/>
      <c r="L574" s="953"/>
      <c r="M574" s="128"/>
      <c r="O574" s="954"/>
      <c r="P574" s="954"/>
    </row>
    <row r="575" spans="1:16" s="106" customFormat="1">
      <c r="A575" s="128"/>
      <c r="B575" s="128"/>
      <c r="C575" s="128"/>
      <c r="D575" s="128"/>
      <c r="E575" s="128"/>
      <c r="F575" s="128"/>
      <c r="G575" s="953"/>
      <c r="H575" s="128"/>
      <c r="I575" s="128"/>
      <c r="J575" s="128"/>
      <c r="K575" s="128"/>
      <c r="L575" s="953"/>
      <c r="M575" s="128"/>
      <c r="O575" s="954"/>
      <c r="P575" s="954"/>
    </row>
    <row r="576" spans="1:16" s="106" customFormat="1">
      <c r="A576" s="128"/>
      <c r="B576" s="128"/>
      <c r="C576" s="128"/>
      <c r="D576" s="128"/>
      <c r="E576" s="128"/>
      <c r="F576" s="128"/>
      <c r="G576" s="953"/>
      <c r="H576" s="128"/>
      <c r="I576" s="128"/>
      <c r="J576" s="128"/>
      <c r="K576" s="128"/>
      <c r="L576" s="953"/>
      <c r="M576" s="128"/>
      <c r="O576" s="954"/>
      <c r="P576" s="954"/>
    </row>
    <row r="577" spans="1:16" s="106" customFormat="1">
      <c r="A577" s="128"/>
      <c r="B577" s="128"/>
      <c r="C577" s="128"/>
      <c r="D577" s="128"/>
      <c r="E577" s="128"/>
      <c r="F577" s="128"/>
      <c r="G577" s="953"/>
      <c r="H577" s="128"/>
      <c r="I577" s="128"/>
      <c r="J577" s="128"/>
      <c r="K577" s="128"/>
      <c r="L577" s="953"/>
      <c r="M577" s="128"/>
      <c r="O577" s="954"/>
      <c r="P577" s="954"/>
    </row>
    <row r="578" spans="1:16" s="106" customFormat="1">
      <c r="A578" s="128"/>
      <c r="B578" s="128"/>
      <c r="C578" s="128"/>
      <c r="D578" s="128"/>
      <c r="E578" s="128"/>
      <c r="F578" s="128"/>
      <c r="G578" s="953"/>
      <c r="H578" s="128"/>
      <c r="I578" s="128"/>
      <c r="J578" s="128"/>
      <c r="K578" s="128"/>
      <c r="L578" s="953"/>
      <c r="M578" s="128"/>
      <c r="O578" s="954"/>
      <c r="P578" s="954"/>
    </row>
    <row r="579" spans="1:16" s="106" customFormat="1">
      <c r="A579" s="128"/>
      <c r="B579" s="128"/>
      <c r="C579" s="128"/>
      <c r="D579" s="128"/>
      <c r="E579" s="128"/>
      <c r="F579" s="128"/>
      <c r="G579" s="953"/>
      <c r="H579" s="128"/>
      <c r="I579" s="128"/>
      <c r="J579" s="128"/>
      <c r="K579" s="128"/>
      <c r="L579" s="953"/>
      <c r="M579" s="128"/>
      <c r="O579" s="954"/>
      <c r="P579" s="954"/>
    </row>
    <row r="580" spans="1:16" s="106" customFormat="1">
      <c r="A580" s="128"/>
      <c r="B580" s="128"/>
      <c r="C580" s="128"/>
      <c r="D580" s="128"/>
      <c r="E580" s="128"/>
      <c r="F580" s="128"/>
      <c r="G580" s="953"/>
      <c r="H580" s="128"/>
      <c r="I580" s="128"/>
      <c r="J580" s="128"/>
      <c r="K580" s="128"/>
      <c r="L580" s="953"/>
      <c r="M580" s="128"/>
      <c r="O580" s="954"/>
      <c r="P580" s="954"/>
    </row>
    <row r="581" spans="1:16" s="106" customFormat="1">
      <c r="A581" s="128"/>
      <c r="B581" s="128"/>
      <c r="C581" s="128"/>
      <c r="D581" s="128"/>
      <c r="E581" s="128"/>
      <c r="F581" s="128"/>
      <c r="G581" s="953"/>
      <c r="H581" s="128"/>
      <c r="I581" s="128"/>
      <c r="J581" s="128"/>
      <c r="K581" s="128"/>
      <c r="L581" s="953"/>
      <c r="M581" s="128"/>
      <c r="O581" s="954"/>
      <c r="P581" s="954"/>
    </row>
    <row r="582" spans="1:16" s="106" customFormat="1">
      <c r="A582" s="128"/>
      <c r="B582" s="128"/>
      <c r="C582" s="128"/>
      <c r="D582" s="128"/>
      <c r="E582" s="128"/>
      <c r="F582" s="128"/>
      <c r="G582" s="953"/>
      <c r="H582" s="128"/>
      <c r="I582" s="128"/>
      <c r="J582" s="128"/>
      <c r="K582" s="128"/>
      <c r="L582" s="953"/>
      <c r="M582" s="128"/>
      <c r="O582" s="954"/>
      <c r="P582" s="954"/>
    </row>
    <row r="583" spans="1:16" s="106" customFormat="1">
      <c r="A583" s="128"/>
      <c r="B583" s="128"/>
      <c r="C583" s="128"/>
      <c r="D583" s="128"/>
      <c r="E583" s="128"/>
      <c r="F583" s="128"/>
      <c r="G583" s="953"/>
      <c r="H583" s="128"/>
      <c r="I583" s="128"/>
      <c r="J583" s="128"/>
      <c r="K583" s="128"/>
      <c r="L583" s="953"/>
      <c r="M583" s="128"/>
      <c r="O583" s="954"/>
      <c r="P583" s="954"/>
    </row>
    <row r="584" spans="1:16" s="106" customFormat="1">
      <c r="A584" s="128"/>
      <c r="B584" s="128"/>
      <c r="C584" s="128"/>
      <c r="D584" s="128"/>
      <c r="E584" s="128"/>
      <c r="F584" s="128"/>
      <c r="G584" s="953"/>
      <c r="H584" s="128"/>
      <c r="I584" s="128"/>
      <c r="J584" s="128"/>
      <c r="K584" s="128"/>
      <c r="L584" s="953"/>
      <c r="M584" s="128"/>
      <c r="O584" s="954"/>
      <c r="P584" s="954"/>
    </row>
    <row r="585" spans="1:16" s="106" customFormat="1">
      <c r="A585" s="128"/>
      <c r="B585" s="128"/>
      <c r="C585" s="128"/>
      <c r="D585" s="128"/>
      <c r="E585" s="128"/>
      <c r="F585" s="128"/>
      <c r="G585" s="953"/>
      <c r="H585" s="128"/>
      <c r="I585" s="128"/>
      <c r="J585" s="128"/>
      <c r="K585" s="128"/>
      <c r="L585" s="953"/>
      <c r="M585" s="128"/>
      <c r="O585" s="954"/>
      <c r="P585" s="954"/>
    </row>
    <row r="586" spans="1:16" s="106" customFormat="1">
      <c r="A586" s="128"/>
      <c r="B586" s="128"/>
      <c r="C586" s="128"/>
      <c r="D586" s="128"/>
      <c r="E586" s="128"/>
      <c r="F586" s="128"/>
      <c r="G586" s="953"/>
      <c r="H586" s="128"/>
      <c r="I586" s="128"/>
      <c r="J586" s="128"/>
      <c r="K586" s="128"/>
      <c r="L586" s="953"/>
      <c r="M586" s="128"/>
      <c r="O586" s="954"/>
      <c r="P586" s="954"/>
    </row>
    <row r="587" spans="1:16" s="106" customFormat="1">
      <c r="A587" s="128"/>
      <c r="B587" s="128"/>
      <c r="C587" s="128"/>
      <c r="D587" s="128"/>
      <c r="E587" s="128"/>
      <c r="F587" s="128"/>
      <c r="G587" s="953"/>
      <c r="H587" s="128"/>
      <c r="I587" s="128"/>
      <c r="J587" s="128"/>
      <c r="K587" s="128"/>
      <c r="L587" s="953"/>
      <c r="M587" s="128"/>
      <c r="O587" s="954"/>
      <c r="P587" s="954"/>
    </row>
    <row r="588" spans="1:16" s="106" customFormat="1">
      <c r="A588" s="128"/>
      <c r="B588" s="128"/>
      <c r="C588" s="128"/>
      <c r="D588" s="128"/>
      <c r="E588" s="128"/>
      <c r="F588" s="128"/>
      <c r="G588" s="953"/>
      <c r="H588" s="128"/>
      <c r="I588" s="128"/>
      <c r="J588" s="128"/>
      <c r="K588" s="128"/>
      <c r="L588" s="953"/>
      <c r="M588" s="128"/>
      <c r="O588" s="954"/>
      <c r="P588" s="954"/>
    </row>
    <row r="589" spans="1:16" s="106" customFormat="1">
      <c r="A589" s="128"/>
      <c r="B589" s="128"/>
      <c r="C589" s="128"/>
      <c r="D589" s="128"/>
      <c r="E589" s="128"/>
      <c r="F589" s="128"/>
      <c r="G589" s="953"/>
      <c r="H589" s="128"/>
      <c r="I589" s="128"/>
      <c r="J589" s="128"/>
      <c r="K589" s="128"/>
      <c r="L589" s="953"/>
      <c r="M589" s="128"/>
      <c r="O589" s="954"/>
      <c r="P589" s="954"/>
    </row>
    <row r="590" spans="1:16" s="106" customFormat="1">
      <c r="A590" s="128"/>
      <c r="B590" s="128"/>
      <c r="C590" s="128"/>
      <c r="D590" s="128"/>
      <c r="E590" s="128"/>
      <c r="F590" s="128"/>
      <c r="G590" s="953"/>
      <c r="H590" s="128"/>
      <c r="I590" s="128"/>
      <c r="J590" s="128"/>
      <c r="K590" s="128"/>
      <c r="L590" s="953"/>
      <c r="M590" s="128"/>
      <c r="O590" s="954"/>
      <c r="P590" s="954"/>
    </row>
    <row r="591" spans="1:16" s="106" customFormat="1">
      <c r="A591" s="128"/>
      <c r="B591" s="128"/>
      <c r="C591" s="128"/>
      <c r="D591" s="128"/>
      <c r="E591" s="128"/>
      <c r="F591" s="128"/>
      <c r="G591" s="953"/>
      <c r="H591" s="128"/>
      <c r="I591" s="128"/>
      <c r="J591" s="128"/>
      <c r="K591" s="128"/>
      <c r="L591" s="953"/>
      <c r="M591" s="128"/>
      <c r="O591" s="954"/>
      <c r="P591" s="954"/>
    </row>
    <row r="592" spans="1:16" s="106" customFormat="1">
      <c r="A592" s="128"/>
      <c r="B592" s="128"/>
      <c r="C592" s="128"/>
      <c r="D592" s="128"/>
      <c r="E592" s="128"/>
      <c r="F592" s="128"/>
      <c r="G592" s="953"/>
      <c r="H592" s="128"/>
      <c r="I592" s="128"/>
      <c r="J592" s="128"/>
      <c r="K592" s="128"/>
      <c r="L592" s="953"/>
      <c r="M592" s="128"/>
      <c r="O592" s="954"/>
      <c r="P592" s="954"/>
    </row>
    <row r="593" spans="1:16" s="106" customFormat="1">
      <c r="A593" s="128"/>
      <c r="B593" s="128"/>
      <c r="C593" s="128"/>
      <c r="D593" s="128"/>
      <c r="E593" s="128"/>
      <c r="F593" s="128"/>
      <c r="G593" s="953"/>
      <c r="H593" s="128"/>
      <c r="I593" s="128"/>
      <c r="J593" s="128"/>
      <c r="K593" s="128"/>
      <c r="L593" s="953"/>
      <c r="M593" s="128"/>
      <c r="O593" s="954"/>
      <c r="P593" s="954"/>
    </row>
    <row r="594" spans="1:16" s="106" customFormat="1">
      <c r="A594" s="128"/>
      <c r="B594" s="128"/>
      <c r="C594" s="128"/>
      <c r="D594" s="128"/>
      <c r="E594" s="128"/>
      <c r="F594" s="128"/>
      <c r="G594" s="953"/>
      <c r="H594" s="128"/>
      <c r="I594" s="128"/>
      <c r="J594" s="128"/>
      <c r="K594" s="128"/>
      <c r="L594" s="953"/>
      <c r="M594" s="128"/>
      <c r="O594" s="954"/>
      <c r="P594" s="954"/>
    </row>
    <row r="595" spans="1:16" s="106" customFormat="1">
      <c r="A595" s="128"/>
      <c r="B595" s="128"/>
      <c r="C595" s="128"/>
      <c r="D595" s="128"/>
      <c r="E595" s="128"/>
      <c r="F595" s="128"/>
      <c r="G595" s="953"/>
      <c r="H595" s="128"/>
      <c r="I595" s="128"/>
      <c r="J595" s="128"/>
      <c r="K595" s="128"/>
      <c r="L595" s="953"/>
      <c r="M595" s="128"/>
      <c r="O595" s="954"/>
      <c r="P595" s="954"/>
    </row>
    <row r="596" spans="1:16" s="106" customFormat="1">
      <c r="A596" s="128"/>
      <c r="B596" s="128"/>
      <c r="C596" s="128"/>
      <c r="D596" s="128"/>
      <c r="E596" s="128"/>
      <c r="F596" s="128"/>
      <c r="G596" s="953"/>
      <c r="H596" s="128"/>
      <c r="I596" s="128"/>
      <c r="J596" s="128"/>
      <c r="K596" s="128"/>
      <c r="L596" s="953"/>
      <c r="M596" s="128"/>
      <c r="O596" s="954"/>
      <c r="P596" s="954"/>
    </row>
    <row r="597" spans="1:16" s="106" customFormat="1">
      <c r="A597" s="128"/>
      <c r="B597" s="128"/>
      <c r="C597" s="128"/>
      <c r="D597" s="128"/>
      <c r="E597" s="128"/>
      <c r="F597" s="128"/>
      <c r="G597" s="953"/>
      <c r="H597" s="128"/>
      <c r="I597" s="128"/>
      <c r="J597" s="128"/>
      <c r="K597" s="128"/>
      <c r="L597" s="953"/>
      <c r="M597" s="128"/>
      <c r="O597" s="954"/>
      <c r="P597" s="954"/>
    </row>
    <row r="598" spans="1:16" s="106" customFormat="1">
      <c r="A598" s="128"/>
      <c r="B598" s="128"/>
      <c r="C598" s="128"/>
      <c r="D598" s="128"/>
      <c r="E598" s="128"/>
      <c r="F598" s="128"/>
      <c r="G598" s="953"/>
      <c r="H598" s="128"/>
      <c r="I598" s="128"/>
      <c r="J598" s="128"/>
      <c r="K598" s="128"/>
      <c r="L598" s="953"/>
      <c r="M598" s="128"/>
      <c r="O598" s="954"/>
      <c r="P598" s="954"/>
    </row>
    <row r="599" spans="1:16" s="106" customFormat="1">
      <c r="A599" s="128"/>
      <c r="B599" s="128"/>
      <c r="C599" s="128"/>
      <c r="D599" s="128"/>
      <c r="E599" s="128"/>
      <c r="F599" s="128"/>
      <c r="G599" s="953"/>
      <c r="H599" s="128"/>
      <c r="I599" s="128"/>
      <c r="J599" s="128"/>
      <c r="K599" s="128"/>
      <c r="L599" s="953"/>
      <c r="M599" s="128"/>
      <c r="O599" s="954"/>
      <c r="P599" s="954"/>
    </row>
    <row r="600" spans="1:16" s="106" customFormat="1">
      <c r="A600" s="128"/>
      <c r="B600" s="128"/>
      <c r="C600" s="128"/>
      <c r="D600" s="128"/>
      <c r="E600" s="128"/>
      <c r="F600" s="128"/>
      <c r="G600" s="953"/>
      <c r="H600" s="128"/>
      <c r="I600" s="128"/>
      <c r="J600" s="128"/>
      <c r="K600" s="128"/>
      <c r="L600" s="953"/>
      <c r="M600" s="128"/>
      <c r="O600" s="954"/>
      <c r="P600" s="954"/>
    </row>
    <row r="601" spans="1:16" s="106" customFormat="1">
      <c r="A601" s="128"/>
      <c r="B601" s="128"/>
      <c r="C601" s="128"/>
      <c r="D601" s="128"/>
      <c r="E601" s="128"/>
      <c r="F601" s="128"/>
      <c r="G601" s="953"/>
      <c r="H601" s="128"/>
      <c r="I601" s="128"/>
      <c r="J601" s="128"/>
      <c r="K601" s="128"/>
      <c r="L601" s="953"/>
      <c r="M601" s="128"/>
      <c r="O601" s="954"/>
      <c r="P601" s="954"/>
    </row>
    <row r="602" spans="1:16" s="106" customFormat="1">
      <c r="A602" s="128"/>
      <c r="B602" s="128"/>
      <c r="C602" s="128"/>
      <c r="D602" s="128"/>
      <c r="E602" s="128"/>
      <c r="F602" s="128"/>
      <c r="G602" s="953"/>
      <c r="H602" s="128"/>
      <c r="I602" s="128"/>
      <c r="J602" s="128"/>
      <c r="K602" s="128"/>
      <c r="L602" s="953"/>
      <c r="M602" s="128"/>
      <c r="O602" s="954"/>
      <c r="P602" s="954"/>
    </row>
    <row r="603" spans="1:16" s="106" customFormat="1">
      <c r="A603" s="128"/>
      <c r="B603" s="128"/>
      <c r="C603" s="128"/>
      <c r="D603" s="128"/>
      <c r="E603" s="128"/>
      <c r="F603" s="128"/>
      <c r="G603" s="953"/>
      <c r="H603" s="128"/>
      <c r="I603" s="128"/>
      <c r="J603" s="128"/>
      <c r="K603" s="128"/>
      <c r="L603" s="953"/>
      <c r="M603" s="128"/>
      <c r="O603" s="954"/>
      <c r="P603" s="954"/>
    </row>
    <row r="604" spans="1:16" s="106" customFormat="1">
      <c r="A604" s="128"/>
      <c r="B604" s="128"/>
      <c r="C604" s="128"/>
      <c r="D604" s="128"/>
      <c r="E604" s="128"/>
      <c r="F604" s="128"/>
      <c r="G604" s="953"/>
      <c r="H604" s="128"/>
      <c r="I604" s="128"/>
      <c r="J604" s="128"/>
      <c r="K604" s="128"/>
      <c r="L604" s="953"/>
      <c r="M604" s="128"/>
      <c r="O604" s="954"/>
      <c r="P604" s="954"/>
    </row>
    <row r="605" spans="1:16" s="106" customFormat="1">
      <c r="A605" s="128"/>
      <c r="B605" s="128"/>
      <c r="C605" s="128"/>
      <c r="D605" s="128"/>
      <c r="E605" s="128"/>
      <c r="F605" s="128"/>
      <c r="G605" s="953"/>
      <c r="H605" s="128"/>
      <c r="I605" s="128"/>
      <c r="J605" s="128"/>
      <c r="K605" s="128"/>
      <c r="L605" s="953"/>
      <c r="M605" s="128"/>
      <c r="O605" s="954"/>
      <c r="P605" s="954"/>
    </row>
    <row r="606" spans="1:16" s="106" customFormat="1">
      <c r="A606" s="128"/>
      <c r="B606" s="128"/>
      <c r="C606" s="128"/>
      <c r="D606" s="128"/>
      <c r="E606" s="128"/>
      <c r="F606" s="128"/>
      <c r="G606" s="953"/>
      <c r="H606" s="128"/>
      <c r="I606" s="128"/>
      <c r="J606" s="128"/>
      <c r="K606" s="128"/>
      <c r="L606" s="953"/>
      <c r="M606" s="128"/>
      <c r="O606" s="954"/>
      <c r="P606" s="954"/>
    </row>
    <row r="607" spans="1:16" s="106" customFormat="1">
      <c r="A607" s="128"/>
      <c r="B607" s="128"/>
      <c r="C607" s="128"/>
      <c r="D607" s="128"/>
      <c r="E607" s="128"/>
      <c r="F607" s="128"/>
      <c r="G607" s="953"/>
      <c r="H607" s="128"/>
      <c r="I607" s="128"/>
      <c r="J607" s="128"/>
      <c r="K607" s="128"/>
      <c r="L607" s="953"/>
      <c r="M607" s="128"/>
      <c r="O607" s="954"/>
      <c r="P607" s="954"/>
    </row>
    <row r="608" spans="1:16" s="106" customFormat="1">
      <c r="A608" s="128"/>
      <c r="B608" s="128"/>
      <c r="C608" s="128"/>
      <c r="D608" s="128"/>
      <c r="E608" s="128"/>
      <c r="F608" s="128"/>
      <c r="G608" s="953"/>
      <c r="H608" s="128"/>
      <c r="I608" s="128"/>
      <c r="J608" s="128"/>
      <c r="K608" s="128"/>
      <c r="L608" s="953"/>
      <c r="M608" s="128"/>
      <c r="O608" s="954"/>
      <c r="P608" s="954"/>
    </row>
    <row r="609" spans="1:16" s="106" customFormat="1">
      <c r="A609" s="128"/>
      <c r="B609" s="128"/>
      <c r="C609" s="128"/>
      <c r="D609" s="128"/>
      <c r="E609" s="128"/>
      <c r="F609" s="128"/>
      <c r="G609" s="953"/>
      <c r="H609" s="128"/>
      <c r="I609" s="128"/>
      <c r="J609" s="128"/>
      <c r="K609" s="128"/>
      <c r="L609" s="953"/>
      <c r="M609" s="128"/>
      <c r="O609" s="954"/>
      <c r="P609" s="954"/>
    </row>
    <row r="610" spans="1:16" s="106" customFormat="1">
      <c r="A610" s="128"/>
      <c r="B610" s="128"/>
      <c r="C610" s="128"/>
      <c r="D610" s="128"/>
      <c r="E610" s="128"/>
      <c r="F610" s="128"/>
      <c r="G610" s="953"/>
      <c r="H610" s="128"/>
      <c r="I610" s="128"/>
      <c r="J610" s="128"/>
      <c r="K610" s="128"/>
      <c r="L610" s="953"/>
      <c r="M610" s="128"/>
      <c r="O610" s="954"/>
      <c r="P610" s="954"/>
    </row>
    <row r="611" spans="1:16" s="106" customFormat="1">
      <c r="A611" s="128"/>
      <c r="B611" s="128"/>
      <c r="C611" s="128"/>
      <c r="D611" s="128"/>
      <c r="E611" s="128"/>
      <c r="F611" s="128"/>
      <c r="G611" s="953"/>
      <c r="H611" s="128"/>
      <c r="I611" s="128"/>
      <c r="J611" s="128"/>
      <c r="K611" s="128"/>
      <c r="L611" s="953"/>
      <c r="M611" s="128"/>
      <c r="O611" s="954"/>
      <c r="P611" s="954"/>
    </row>
    <row r="612" spans="1:16" s="106" customFormat="1">
      <c r="A612" s="128"/>
      <c r="B612" s="128"/>
      <c r="C612" s="128"/>
      <c r="D612" s="128"/>
      <c r="E612" s="128"/>
      <c r="F612" s="128"/>
      <c r="G612" s="953"/>
      <c r="H612" s="128"/>
      <c r="I612" s="128"/>
      <c r="J612" s="128"/>
      <c r="K612" s="128"/>
      <c r="L612" s="953"/>
      <c r="M612" s="128"/>
      <c r="O612" s="954"/>
      <c r="P612" s="954"/>
    </row>
    <row r="613" spans="1:16" s="106" customFormat="1">
      <c r="A613" s="128"/>
      <c r="B613" s="128"/>
      <c r="C613" s="128"/>
      <c r="D613" s="128"/>
      <c r="E613" s="128"/>
      <c r="F613" s="128"/>
      <c r="G613" s="953"/>
      <c r="H613" s="128"/>
      <c r="I613" s="128"/>
      <c r="J613" s="128"/>
      <c r="K613" s="128"/>
      <c r="L613" s="953"/>
      <c r="M613" s="128"/>
      <c r="O613" s="954"/>
      <c r="P613" s="954"/>
    </row>
    <row r="614" spans="1:16" s="106" customFormat="1">
      <c r="A614" s="128"/>
      <c r="B614" s="128"/>
      <c r="C614" s="128"/>
      <c r="D614" s="128"/>
      <c r="E614" s="128"/>
      <c r="F614" s="128"/>
      <c r="G614" s="953"/>
      <c r="H614" s="128"/>
      <c r="I614" s="128"/>
      <c r="J614" s="128"/>
      <c r="K614" s="128"/>
      <c r="L614" s="953"/>
      <c r="M614" s="128"/>
      <c r="O614" s="954"/>
      <c r="P614" s="954"/>
    </row>
    <row r="615" spans="1:16" s="106" customFormat="1">
      <c r="A615" s="128"/>
      <c r="B615" s="128"/>
      <c r="C615" s="128"/>
      <c r="D615" s="128"/>
      <c r="E615" s="128"/>
      <c r="F615" s="128"/>
      <c r="G615" s="953"/>
      <c r="H615" s="128"/>
      <c r="I615" s="128"/>
      <c r="J615" s="128"/>
      <c r="K615" s="128"/>
      <c r="L615" s="953"/>
      <c r="M615" s="128"/>
      <c r="O615" s="954"/>
      <c r="P615" s="954"/>
    </row>
    <row r="616" spans="1:16" s="106" customFormat="1">
      <c r="A616" s="128"/>
      <c r="B616" s="128"/>
      <c r="C616" s="128"/>
      <c r="D616" s="128"/>
      <c r="E616" s="128"/>
      <c r="F616" s="128"/>
      <c r="G616" s="953"/>
      <c r="H616" s="128"/>
      <c r="I616" s="128"/>
      <c r="J616" s="128"/>
      <c r="K616" s="128"/>
      <c r="L616" s="953"/>
      <c r="M616" s="128"/>
      <c r="O616" s="954"/>
      <c r="P616" s="954"/>
    </row>
    <row r="617" spans="1:16" s="106" customFormat="1">
      <c r="A617" s="128"/>
      <c r="B617" s="128"/>
      <c r="C617" s="128"/>
      <c r="D617" s="128"/>
      <c r="E617" s="128"/>
      <c r="F617" s="128"/>
      <c r="G617" s="953"/>
      <c r="H617" s="128"/>
      <c r="I617" s="128"/>
      <c r="J617" s="128"/>
      <c r="K617" s="128"/>
      <c r="L617" s="953"/>
      <c r="M617" s="128"/>
      <c r="O617" s="954"/>
      <c r="P617" s="954"/>
    </row>
    <row r="618" spans="1:16" s="106" customFormat="1">
      <c r="A618" s="128"/>
      <c r="B618" s="128"/>
      <c r="C618" s="128"/>
      <c r="D618" s="128"/>
      <c r="E618" s="128"/>
      <c r="F618" s="128"/>
      <c r="G618" s="953"/>
      <c r="H618" s="128"/>
      <c r="I618" s="128"/>
      <c r="J618" s="128"/>
      <c r="K618" s="128"/>
      <c r="L618" s="953"/>
      <c r="M618" s="128"/>
      <c r="O618" s="954"/>
      <c r="P618" s="954"/>
    </row>
    <row r="619" spans="1:16" s="106" customFormat="1">
      <c r="A619" s="128"/>
      <c r="B619" s="128"/>
      <c r="C619" s="128"/>
      <c r="D619" s="128"/>
      <c r="E619" s="128"/>
      <c r="F619" s="128"/>
      <c r="G619" s="953"/>
      <c r="H619" s="128"/>
      <c r="I619" s="128"/>
      <c r="J619" s="128"/>
      <c r="K619" s="128"/>
      <c r="L619" s="953"/>
      <c r="M619" s="128"/>
      <c r="O619" s="954"/>
      <c r="P619" s="954"/>
    </row>
    <row r="620" spans="1:16" s="106" customFormat="1">
      <c r="A620" s="128"/>
      <c r="B620" s="128"/>
      <c r="C620" s="128"/>
      <c r="D620" s="128"/>
      <c r="E620" s="128"/>
      <c r="F620" s="128"/>
      <c r="G620" s="953"/>
      <c r="H620" s="128"/>
      <c r="I620" s="128"/>
      <c r="J620" s="128"/>
      <c r="K620" s="128"/>
      <c r="L620" s="953"/>
      <c r="M620" s="128"/>
      <c r="O620" s="954"/>
      <c r="P620" s="954"/>
    </row>
    <row r="621" spans="1:16" s="106" customFormat="1">
      <c r="A621" s="128"/>
      <c r="B621" s="128"/>
      <c r="C621" s="128"/>
      <c r="D621" s="128"/>
      <c r="E621" s="128"/>
      <c r="F621" s="128"/>
      <c r="G621" s="953"/>
      <c r="H621" s="128"/>
      <c r="I621" s="128"/>
      <c r="J621" s="128"/>
      <c r="K621" s="128"/>
      <c r="L621" s="953"/>
      <c r="M621" s="128"/>
      <c r="O621" s="954"/>
      <c r="P621" s="954"/>
    </row>
    <row r="622" spans="1:16" s="106" customFormat="1">
      <c r="A622" s="128"/>
      <c r="B622" s="128"/>
      <c r="C622" s="128"/>
      <c r="D622" s="128"/>
      <c r="E622" s="128"/>
      <c r="F622" s="128"/>
      <c r="G622" s="953"/>
      <c r="H622" s="128"/>
      <c r="I622" s="128"/>
      <c r="J622" s="128"/>
      <c r="K622" s="128"/>
      <c r="L622" s="953"/>
      <c r="M622" s="128"/>
      <c r="O622" s="954"/>
      <c r="P622" s="954"/>
    </row>
    <row r="623" spans="1:16" s="106" customFormat="1">
      <c r="A623" s="128"/>
      <c r="B623" s="128"/>
      <c r="C623" s="128"/>
      <c r="D623" s="128"/>
      <c r="E623" s="128"/>
      <c r="F623" s="128"/>
      <c r="G623" s="953"/>
      <c r="H623" s="128"/>
      <c r="I623" s="128"/>
      <c r="J623" s="128"/>
      <c r="K623" s="128"/>
      <c r="L623" s="953"/>
      <c r="M623" s="128"/>
      <c r="O623" s="954"/>
      <c r="P623" s="954"/>
    </row>
    <row r="624" spans="1:16" s="106" customFormat="1">
      <c r="A624" s="128"/>
      <c r="B624" s="128"/>
      <c r="C624" s="128"/>
      <c r="D624" s="128"/>
      <c r="E624" s="128"/>
      <c r="F624" s="128"/>
      <c r="G624" s="953"/>
      <c r="H624" s="128"/>
      <c r="I624" s="128"/>
      <c r="J624" s="128"/>
      <c r="K624" s="128"/>
      <c r="L624" s="953"/>
      <c r="M624" s="128"/>
      <c r="O624" s="954"/>
      <c r="P624" s="954"/>
    </row>
    <row r="625" spans="1:16" s="106" customFormat="1">
      <c r="A625" s="128"/>
      <c r="B625" s="128"/>
      <c r="C625" s="128"/>
      <c r="D625" s="128"/>
      <c r="E625" s="128"/>
      <c r="F625" s="128"/>
      <c r="G625" s="953"/>
      <c r="H625" s="128"/>
      <c r="I625" s="128"/>
      <c r="J625" s="128"/>
      <c r="K625" s="128"/>
      <c r="L625" s="953"/>
      <c r="M625" s="128"/>
      <c r="O625" s="954"/>
      <c r="P625" s="954"/>
    </row>
    <row r="626" spans="1:16" s="106" customFormat="1">
      <c r="A626" s="128"/>
      <c r="B626" s="128"/>
      <c r="C626" s="128"/>
      <c r="D626" s="128"/>
      <c r="E626" s="128"/>
      <c r="F626" s="128"/>
      <c r="G626" s="953"/>
      <c r="H626" s="128"/>
      <c r="I626" s="128"/>
      <c r="J626" s="128"/>
      <c r="K626" s="128"/>
      <c r="L626" s="953"/>
      <c r="M626" s="128"/>
      <c r="O626" s="954"/>
      <c r="P626" s="954"/>
    </row>
    <row r="627" spans="1:16" s="106" customFormat="1">
      <c r="A627" s="128"/>
      <c r="B627" s="128"/>
      <c r="C627" s="128"/>
      <c r="D627" s="128"/>
      <c r="E627" s="128"/>
      <c r="F627" s="128"/>
      <c r="G627" s="953"/>
      <c r="H627" s="128"/>
      <c r="I627" s="128"/>
      <c r="J627" s="128"/>
      <c r="K627" s="128"/>
      <c r="L627" s="953"/>
      <c r="M627" s="128"/>
      <c r="O627" s="954"/>
      <c r="P627" s="954"/>
    </row>
    <row r="628" spans="1:16" s="106" customFormat="1">
      <c r="A628" s="128"/>
      <c r="B628" s="128"/>
      <c r="C628" s="128"/>
      <c r="D628" s="128"/>
      <c r="E628" s="128"/>
      <c r="F628" s="128"/>
      <c r="G628" s="953"/>
      <c r="H628" s="128"/>
      <c r="I628" s="128"/>
      <c r="J628" s="128"/>
      <c r="K628" s="128"/>
      <c r="L628" s="953"/>
      <c r="M628" s="128"/>
      <c r="O628" s="954"/>
      <c r="P628" s="954"/>
    </row>
    <row r="629" spans="1:16" s="106" customFormat="1">
      <c r="A629" s="128"/>
      <c r="B629" s="128"/>
      <c r="C629" s="128"/>
      <c r="D629" s="128"/>
      <c r="E629" s="128"/>
      <c r="F629" s="128"/>
      <c r="G629" s="953"/>
      <c r="H629" s="128"/>
      <c r="I629" s="128"/>
      <c r="J629" s="128"/>
      <c r="K629" s="128"/>
      <c r="L629" s="953"/>
      <c r="M629" s="128"/>
      <c r="O629" s="954"/>
      <c r="P629" s="954"/>
    </row>
    <row r="630" spans="1:16" s="106" customFormat="1">
      <c r="A630" s="128"/>
      <c r="B630" s="128"/>
      <c r="C630" s="128"/>
      <c r="D630" s="128"/>
      <c r="E630" s="128"/>
      <c r="F630" s="128"/>
      <c r="G630" s="953"/>
      <c r="H630" s="128"/>
      <c r="I630" s="128"/>
      <c r="J630" s="128"/>
      <c r="K630" s="128"/>
      <c r="L630" s="953"/>
      <c r="M630" s="128"/>
      <c r="O630" s="954"/>
      <c r="P630" s="954"/>
    </row>
    <row r="631" spans="1:16" s="106" customFormat="1">
      <c r="A631" s="128"/>
      <c r="B631" s="128"/>
      <c r="C631" s="128"/>
      <c r="D631" s="128"/>
      <c r="E631" s="128"/>
      <c r="F631" s="128"/>
      <c r="G631" s="953"/>
      <c r="H631" s="128"/>
      <c r="I631" s="128"/>
      <c r="J631" s="128"/>
      <c r="K631" s="128"/>
      <c r="L631" s="953"/>
      <c r="M631" s="128"/>
      <c r="O631" s="954"/>
      <c r="P631" s="954"/>
    </row>
    <row r="632" spans="1:16" s="106" customFormat="1">
      <c r="A632" s="128"/>
      <c r="B632" s="128"/>
      <c r="C632" s="128"/>
      <c r="D632" s="128"/>
      <c r="E632" s="128"/>
      <c r="F632" s="128"/>
      <c r="G632" s="953"/>
      <c r="H632" s="128"/>
      <c r="I632" s="128"/>
      <c r="J632" s="128"/>
      <c r="K632" s="128"/>
      <c r="L632" s="953"/>
      <c r="M632" s="128"/>
      <c r="O632" s="954"/>
      <c r="P632" s="954"/>
    </row>
    <row r="633" spans="1:16" s="106" customFormat="1">
      <c r="A633" s="128"/>
      <c r="B633" s="128"/>
      <c r="C633" s="128"/>
      <c r="D633" s="128"/>
      <c r="E633" s="128"/>
      <c r="F633" s="128"/>
      <c r="G633" s="953"/>
      <c r="H633" s="128"/>
      <c r="I633" s="128"/>
      <c r="J633" s="128"/>
      <c r="K633" s="128"/>
      <c r="L633" s="953"/>
      <c r="M633" s="128"/>
      <c r="O633" s="954"/>
      <c r="P633" s="954"/>
    </row>
    <row r="634" spans="1:16" s="106" customFormat="1">
      <c r="A634" s="128"/>
      <c r="B634" s="128"/>
      <c r="C634" s="128"/>
      <c r="D634" s="128"/>
      <c r="E634" s="128"/>
      <c r="F634" s="128"/>
      <c r="G634" s="953"/>
      <c r="H634" s="128"/>
      <c r="I634" s="128"/>
      <c r="J634" s="128"/>
      <c r="K634" s="128"/>
      <c r="L634" s="953"/>
      <c r="M634" s="128"/>
      <c r="O634" s="954"/>
      <c r="P634" s="954"/>
    </row>
    <row r="635" spans="1:16" s="106" customFormat="1">
      <c r="A635" s="128"/>
      <c r="B635" s="128"/>
      <c r="C635" s="128"/>
      <c r="D635" s="128"/>
      <c r="E635" s="128"/>
      <c r="F635" s="128"/>
      <c r="G635" s="953"/>
      <c r="H635" s="128"/>
      <c r="I635" s="128"/>
      <c r="J635" s="128"/>
      <c r="K635" s="128"/>
      <c r="L635" s="953"/>
      <c r="M635" s="128"/>
      <c r="O635" s="954"/>
      <c r="P635" s="954"/>
    </row>
    <row r="636" spans="1:16" s="106" customFormat="1">
      <c r="A636" s="128"/>
      <c r="B636" s="128"/>
      <c r="C636" s="128"/>
      <c r="D636" s="128"/>
      <c r="E636" s="128"/>
      <c r="F636" s="128"/>
      <c r="G636" s="953"/>
      <c r="H636" s="128"/>
      <c r="I636" s="128"/>
      <c r="J636" s="128"/>
      <c r="K636" s="128"/>
      <c r="L636" s="953"/>
      <c r="M636" s="128"/>
      <c r="O636" s="954"/>
      <c r="P636" s="954"/>
    </row>
    <row r="637" spans="1:16" s="106" customFormat="1">
      <c r="A637" s="128"/>
      <c r="B637" s="128"/>
      <c r="C637" s="128"/>
      <c r="D637" s="128"/>
      <c r="E637" s="128"/>
      <c r="F637" s="128"/>
      <c r="G637" s="953"/>
      <c r="H637" s="128"/>
      <c r="I637" s="128"/>
      <c r="J637" s="128"/>
      <c r="K637" s="128"/>
      <c r="L637" s="953"/>
      <c r="M637" s="128"/>
      <c r="O637" s="954"/>
      <c r="P637" s="954"/>
    </row>
    <row r="638" spans="1:16" s="106" customFormat="1">
      <c r="A638" s="128"/>
      <c r="B638" s="128"/>
      <c r="C638" s="128"/>
      <c r="D638" s="128"/>
      <c r="E638" s="128"/>
      <c r="F638" s="128"/>
      <c r="G638" s="953"/>
      <c r="H638" s="128"/>
      <c r="I638" s="128"/>
      <c r="J638" s="128"/>
      <c r="K638" s="128"/>
      <c r="L638" s="953"/>
      <c r="M638" s="128"/>
      <c r="O638" s="954"/>
      <c r="P638" s="954"/>
    </row>
    <row r="639" spans="1:16" s="106" customFormat="1">
      <c r="A639" s="128"/>
      <c r="B639" s="128"/>
      <c r="C639" s="128"/>
      <c r="D639" s="128"/>
      <c r="E639" s="128"/>
      <c r="F639" s="128"/>
      <c r="G639" s="953"/>
      <c r="H639" s="128"/>
      <c r="I639" s="128"/>
      <c r="J639" s="128"/>
      <c r="K639" s="128"/>
      <c r="L639" s="953"/>
      <c r="M639" s="128"/>
      <c r="O639" s="954"/>
      <c r="P639" s="954"/>
    </row>
    <row r="640" spans="1:16" s="106" customFormat="1">
      <c r="A640" s="128"/>
      <c r="B640" s="128"/>
      <c r="C640" s="128"/>
      <c r="D640" s="128"/>
      <c r="E640" s="128"/>
      <c r="F640" s="128"/>
      <c r="G640" s="953"/>
      <c r="H640" s="128"/>
      <c r="I640" s="128"/>
      <c r="J640" s="128"/>
      <c r="K640" s="128"/>
      <c r="L640" s="953"/>
      <c r="M640" s="128"/>
      <c r="O640" s="954"/>
      <c r="P640" s="954"/>
    </row>
    <row r="641" spans="1:16" s="106" customFormat="1">
      <c r="A641" s="128"/>
      <c r="B641" s="128"/>
      <c r="C641" s="128"/>
      <c r="D641" s="128"/>
      <c r="E641" s="128"/>
      <c r="F641" s="128"/>
      <c r="G641" s="953"/>
      <c r="H641" s="128"/>
      <c r="I641" s="128"/>
      <c r="J641" s="128"/>
      <c r="K641" s="128"/>
      <c r="L641" s="953"/>
      <c r="M641" s="128"/>
      <c r="O641" s="954"/>
      <c r="P641" s="954"/>
    </row>
    <row r="642" spans="1:16" s="106" customFormat="1">
      <c r="A642" s="128"/>
      <c r="B642" s="128"/>
      <c r="C642" s="128"/>
      <c r="D642" s="128"/>
      <c r="E642" s="128"/>
      <c r="F642" s="128"/>
      <c r="G642" s="953"/>
      <c r="H642" s="128"/>
      <c r="I642" s="128"/>
      <c r="J642" s="128"/>
      <c r="K642" s="128"/>
      <c r="L642" s="953"/>
      <c r="M642" s="128"/>
      <c r="O642" s="954"/>
      <c r="P642" s="954"/>
    </row>
    <row r="643" spans="1:16" s="106" customFormat="1">
      <c r="A643" s="128"/>
      <c r="B643" s="128"/>
      <c r="C643" s="128"/>
      <c r="D643" s="128"/>
      <c r="E643" s="128"/>
      <c r="F643" s="128"/>
      <c r="G643" s="953"/>
      <c r="H643" s="128"/>
      <c r="I643" s="128"/>
      <c r="J643" s="128"/>
      <c r="K643" s="128"/>
      <c r="L643" s="953"/>
      <c r="M643" s="128"/>
      <c r="O643" s="954"/>
      <c r="P643" s="954"/>
    </row>
    <row r="644" spans="1:16" s="106" customFormat="1">
      <c r="A644" s="128"/>
      <c r="B644" s="128"/>
      <c r="C644" s="128"/>
      <c r="D644" s="128"/>
      <c r="E644" s="128"/>
      <c r="F644" s="128"/>
      <c r="G644" s="953"/>
      <c r="H644" s="128"/>
      <c r="I644" s="128"/>
      <c r="J644" s="128"/>
      <c r="K644" s="128"/>
      <c r="L644" s="953"/>
      <c r="M644" s="128"/>
      <c r="O644" s="954"/>
      <c r="P644" s="954"/>
    </row>
    <row r="645" spans="1:16" s="106" customFormat="1">
      <c r="A645" s="128"/>
      <c r="B645" s="128"/>
      <c r="C645" s="128"/>
      <c r="D645" s="128"/>
      <c r="E645" s="128"/>
      <c r="F645" s="128"/>
      <c r="G645" s="953"/>
      <c r="H645" s="128"/>
      <c r="I645" s="128"/>
      <c r="J645" s="128"/>
      <c r="K645" s="128"/>
      <c r="L645" s="953"/>
      <c r="M645" s="128"/>
      <c r="O645" s="954"/>
      <c r="P645" s="954"/>
    </row>
    <row r="646" spans="1:16" s="106" customFormat="1">
      <c r="A646" s="128"/>
      <c r="B646" s="128"/>
      <c r="C646" s="128"/>
      <c r="D646" s="128"/>
      <c r="E646" s="128"/>
      <c r="F646" s="128"/>
      <c r="G646" s="953"/>
      <c r="H646" s="128"/>
      <c r="I646" s="128"/>
      <c r="J646" s="128"/>
      <c r="K646" s="128"/>
      <c r="L646" s="953"/>
      <c r="M646" s="128"/>
      <c r="O646" s="954"/>
      <c r="P646" s="954"/>
    </row>
    <row r="647" spans="1:16" s="106" customFormat="1">
      <c r="A647" s="128"/>
      <c r="B647" s="128"/>
      <c r="C647" s="128"/>
      <c r="D647" s="128"/>
      <c r="E647" s="128"/>
      <c r="F647" s="128"/>
      <c r="G647" s="953"/>
      <c r="H647" s="128"/>
      <c r="I647" s="128"/>
      <c r="J647" s="128"/>
      <c r="K647" s="128"/>
      <c r="L647" s="953"/>
      <c r="M647" s="128"/>
      <c r="O647" s="954"/>
      <c r="P647" s="954"/>
    </row>
    <row r="648" spans="1:16" s="106" customFormat="1">
      <c r="A648" s="128"/>
      <c r="B648" s="128"/>
      <c r="C648" s="128"/>
      <c r="D648" s="128"/>
      <c r="E648" s="128"/>
      <c r="F648" s="128"/>
      <c r="G648" s="953"/>
      <c r="H648" s="128"/>
      <c r="I648" s="128"/>
      <c r="J648" s="128"/>
      <c r="K648" s="128"/>
      <c r="L648" s="953"/>
      <c r="M648" s="128"/>
      <c r="O648" s="954"/>
      <c r="P648" s="954"/>
    </row>
    <row r="649" spans="1:16" s="106" customFormat="1">
      <c r="A649" s="128"/>
      <c r="B649" s="128"/>
      <c r="C649" s="128"/>
      <c r="D649" s="128"/>
      <c r="E649" s="128"/>
      <c r="F649" s="128"/>
      <c r="G649" s="953"/>
      <c r="H649" s="128"/>
      <c r="I649" s="128"/>
      <c r="J649" s="128"/>
      <c r="K649" s="128"/>
      <c r="L649" s="953"/>
      <c r="M649" s="128"/>
      <c r="O649" s="954"/>
      <c r="P649" s="954"/>
    </row>
    <row r="650" spans="1:16" s="106" customFormat="1">
      <c r="A650" s="128"/>
      <c r="B650" s="128"/>
      <c r="C650" s="128"/>
      <c r="D650" s="128"/>
      <c r="E650" s="128"/>
      <c r="F650" s="128"/>
      <c r="G650" s="953"/>
      <c r="H650" s="128"/>
      <c r="I650" s="128"/>
      <c r="J650" s="128"/>
      <c r="K650" s="128"/>
      <c r="L650" s="953"/>
      <c r="M650" s="128"/>
      <c r="O650" s="954"/>
      <c r="P650" s="954"/>
    </row>
    <row r="651" spans="1:16" s="106" customFormat="1">
      <c r="A651" s="128"/>
      <c r="B651" s="128"/>
      <c r="C651" s="128"/>
      <c r="D651" s="128"/>
      <c r="E651" s="128"/>
      <c r="F651" s="128"/>
      <c r="G651" s="953"/>
      <c r="H651" s="128"/>
      <c r="I651" s="128"/>
      <c r="J651" s="128"/>
      <c r="K651" s="128"/>
      <c r="L651" s="953"/>
      <c r="M651" s="128"/>
      <c r="O651" s="954"/>
      <c r="P651" s="954"/>
    </row>
    <row r="652" spans="1:16" s="106" customFormat="1">
      <c r="A652" s="128"/>
      <c r="B652" s="128"/>
      <c r="C652" s="128"/>
      <c r="D652" s="128"/>
      <c r="E652" s="128"/>
      <c r="F652" s="128"/>
      <c r="G652" s="953"/>
      <c r="H652" s="128"/>
      <c r="I652" s="128"/>
      <c r="J652" s="128"/>
      <c r="K652" s="128"/>
      <c r="L652" s="953"/>
      <c r="M652" s="128"/>
      <c r="O652" s="954"/>
      <c r="P652" s="954"/>
    </row>
    <row r="653" spans="1:16" s="106" customFormat="1">
      <c r="A653" s="128"/>
      <c r="B653" s="128"/>
      <c r="C653" s="128"/>
      <c r="D653" s="128"/>
      <c r="E653" s="128"/>
      <c r="F653" s="128"/>
      <c r="G653" s="953"/>
      <c r="H653" s="128"/>
      <c r="I653" s="128"/>
      <c r="J653" s="128"/>
      <c r="K653" s="128"/>
      <c r="L653" s="953"/>
      <c r="M653" s="128"/>
      <c r="O653" s="954"/>
      <c r="P653" s="954"/>
    </row>
    <row r="654" spans="1:16" s="106" customFormat="1">
      <c r="A654" s="128"/>
      <c r="B654" s="128"/>
      <c r="C654" s="128"/>
      <c r="D654" s="128"/>
      <c r="E654" s="128"/>
      <c r="F654" s="128"/>
      <c r="G654" s="953"/>
      <c r="H654" s="128"/>
      <c r="I654" s="128"/>
      <c r="J654" s="128"/>
      <c r="K654" s="128"/>
      <c r="L654" s="953"/>
      <c r="M654" s="128"/>
      <c r="O654" s="954"/>
      <c r="P654" s="954"/>
    </row>
    <row r="655" spans="1:16" s="106" customFormat="1">
      <c r="A655" s="128"/>
      <c r="B655" s="128"/>
      <c r="C655" s="128"/>
      <c r="D655" s="128"/>
      <c r="E655" s="128"/>
      <c r="F655" s="128"/>
      <c r="G655" s="953"/>
      <c r="H655" s="128"/>
      <c r="I655" s="128"/>
      <c r="J655" s="128"/>
      <c r="K655" s="128"/>
      <c r="L655" s="953"/>
      <c r="M655" s="128"/>
      <c r="O655" s="954"/>
      <c r="P655" s="954"/>
    </row>
    <row r="656" spans="1:16" s="106" customFormat="1">
      <c r="A656" s="128"/>
      <c r="B656" s="128"/>
      <c r="C656" s="128"/>
      <c r="D656" s="128"/>
      <c r="E656" s="128"/>
      <c r="F656" s="128"/>
      <c r="G656" s="953"/>
      <c r="H656" s="128"/>
      <c r="I656" s="128"/>
      <c r="J656" s="128"/>
      <c r="K656" s="128"/>
      <c r="L656" s="953"/>
      <c r="M656" s="128"/>
      <c r="O656" s="954"/>
      <c r="P656" s="954"/>
    </row>
    <row r="657" spans="1:16" s="106" customFormat="1">
      <c r="A657" s="128"/>
      <c r="B657" s="128"/>
      <c r="C657" s="128"/>
      <c r="D657" s="128"/>
      <c r="E657" s="128"/>
      <c r="F657" s="128"/>
      <c r="G657" s="953"/>
      <c r="H657" s="128"/>
      <c r="I657" s="128"/>
      <c r="J657" s="128"/>
      <c r="K657" s="128"/>
      <c r="L657" s="953"/>
      <c r="M657" s="128"/>
      <c r="O657" s="954"/>
      <c r="P657" s="954"/>
    </row>
    <row r="658" spans="1:16" s="106" customFormat="1">
      <c r="A658" s="128"/>
      <c r="B658" s="128"/>
      <c r="C658" s="128"/>
      <c r="D658" s="128"/>
      <c r="E658" s="128"/>
      <c r="F658" s="128"/>
      <c r="G658" s="953"/>
      <c r="H658" s="128"/>
      <c r="I658" s="128"/>
      <c r="J658" s="128"/>
      <c r="K658" s="128"/>
      <c r="L658" s="953"/>
      <c r="M658" s="128"/>
      <c r="O658" s="954"/>
      <c r="P658" s="954"/>
    </row>
    <row r="659" spans="1:16" s="106" customFormat="1">
      <c r="A659" s="128"/>
      <c r="B659" s="128"/>
      <c r="C659" s="128"/>
      <c r="D659" s="128"/>
      <c r="E659" s="128"/>
      <c r="F659" s="128"/>
      <c r="G659" s="953"/>
      <c r="H659" s="128"/>
      <c r="I659" s="128"/>
      <c r="J659" s="128"/>
      <c r="K659" s="128"/>
      <c r="L659" s="953"/>
      <c r="M659" s="128"/>
      <c r="O659" s="954"/>
      <c r="P659" s="954"/>
    </row>
    <row r="660" spans="1:16" s="106" customFormat="1">
      <c r="A660" s="128"/>
      <c r="B660" s="128"/>
      <c r="C660" s="128"/>
      <c r="D660" s="128"/>
      <c r="E660" s="128"/>
      <c r="F660" s="128"/>
      <c r="G660" s="953"/>
      <c r="H660" s="128"/>
      <c r="I660" s="128"/>
      <c r="J660" s="128"/>
      <c r="K660" s="128"/>
      <c r="L660" s="953"/>
      <c r="M660" s="128"/>
      <c r="O660" s="954"/>
      <c r="P660" s="954"/>
    </row>
    <row r="661" spans="1:16" s="106" customFormat="1">
      <c r="A661" s="128"/>
      <c r="B661" s="128"/>
      <c r="C661" s="128"/>
      <c r="D661" s="128"/>
      <c r="E661" s="128"/>
      <c r="F661" s="128"/>
      <c r="G661" s="953"/>
      <c r="H661" s="128"/>
      <c r="I661" s="128"/>
      <c r="J661" s="128"/>
      <c r="K661" s="128"/>
      <c r="L661" s="953"/>
      <c r="M661" s="128"/>
      <c r="O661" s="954"/>
      <c r="P661" s="954"/>
    </row>
    <row r="662" spans="1:16" s="106" customFormat="1">
      <c r="A662" s="128"/>
      <c r="B662" s="128"/>
      <c r="C662" s="128"/>
      <c r="D662" s="128"/>
      <c r="E662" s="128"/>
      <c r="F662" s="128"/>
      <c r="G662" s="953"/>
      <c r="H662" s="128"/>
      <c r="I662" s="128"/>
      <c r="J662" s="128"/>
      <c r="K662" s="128"/>
      <c r="L662" s="953"/>
      <c r="M662" s="128"/>
      <c r="O662" s="954"/>
      <c r="P662" s="954"/>
    </row>
    <row r="663" spans="1:16" s="106" customFormat="1">
      <c r="A663" s="128"/>
      <c r="B663" s="128"/>
      <c r="C663" s="128"/>
      <c r="D663" s="128"/>
      <c r="E663" s="128"/>
      <c r="F663" s="128"/>
      <c r="G663" s="953"/>
      <c r="H663" s="128"/>
      <c r="I663" s="128"/>
      <c r="J663" s="128"/>
      <c r="K663" s="128"/>
      <c r="L663" s="953"/>
      <c r="M663" s="128"/>
      <c r="O663" s="954"/>
      <c r="P663" s="954"/>
    </row>
    <row r="664" spans="1:16" s="106" customFormat="1">
      <c r="A664" s="128"/>
      <c r="B664" s="128"/>
      <c r="C664" s="128"/>
      <c r="D664" s="128"/>
      <c r="E664" s="128"/>
      <c r="F664" s="128"/>
      <c r="G664" s="953"/>
      <c r="H664" s="128"/>
      <c r="I664" s="128"/>
      <c r="J664" s="128"/>
      <c r="K664" s="128"/>
      <c r="L664" s="953"/>
      <c r="M664" s="128"/>
      <c r="O664" s="954"/>
      <c r="P664" s="954"/>
    </row>
    <row r="665" spans="1:16" s="106" customFormat="1">
      <c r="A665" s="128"/>
      <c r="B665" s="128"/>
      <c r="C665" s="128"/>
      <c r="D665" s="128"/>
      <c r="E665" s="128"/>
      <c r="F665" s="128"/>
      <c r="G665" s="953"/>
      <c r="H665" s="128"/>
      <c r="I665" s="128"/>
      <c r="J665" s="128"/>
      <c r="K665" s="128"/>
      <c r="L665" s="953"/>
      <c r="M665" s="128"/>
      <c r="O665" s="954"/>
      <c r="P665" s="954"/>
    </row>
    <row r="666" spans="1:16" s="106" customFormat="1">
      <c r="A666" s="128"/>
      <c r="B666" s="128"/>
      <c r="C666" s="128"/>
      <c r="D666" s="128"/>
      <c r="E666" s="128"/>
      <c r="F666" s="128"/>
      <c r="G666" s="953"/>
      <c r="H666" s="128"/>
      <c r="I666" s="128"/>
      <c r="J666" s="128"/>
      <c r="K666" s="128"/>
      <c r="L666" s="953"/>
      <c r="M666" s="128"/>
      <c r="O666" s="954"/>
      <c r="P666" s="954"/>
    </row>
    <row r="667" spans="1:16" s="106" customFormat="1">
      <c r="A667" s="128"/>
      <c r="B667" s="128"/>
      <c r="C667" s="128"/>
      <c r="D667" s="128"/>
      <c r="E667" s="128"/>
      <c r="F667" s="128"/>
      <c r="G667" s="953"/>
      <c r="H667" s="128"/>
      <c r="I667" s="128"/>
      <c r="J667" s="128"/>
      <c r="K667" s="128"/>
      <c r="L667" s="953"/>
      <c r="M667" s="128"/>
      <c r="O667" s="954"/>
      <c r="P667" s="954"/>
    </row>
    <row r="668" spans="1:16" s="106" customFormat="1">
      <c r="A668" s="128"/>
      <c r="B668" s="128"/>
      <c r="C668" s="128"/>
      <c r="D668" s="128"/>
      <c r="E668" s="128"/>
      <c r="F668" s="128"/>
      <c r="G668" s="953"/>
      <c r="H668" s="128"/>
      <c r="I668" s="128"/>
      <c r="J668" s="128"/>
      <c r="K668" s="128"/>
      <c r="L668" s="953"/>
      <c r="M668" s="128"/>
      <c r="O668" s="954"/>
      <c r="P668" s="954"/>
    </row>
    <row r="669" spans="1:16" s="106" customFormat="1">
      <c r="A669" s="128"/>
      <c r="B669" s="128"/>
      <c r="C669" s="128"/>
      <c r="D669" s="128"/>
      <c r="E669" s="128"/>
      <c r="F669" s="128"/>
      <c r="G669" s="953"/>
      <c r="H669" s="128"/>
      <c r="I669" s="128"/>
      <c r="J669" s="128"/>
      <c r="K669" s="128"/>
      <c r="L669" s="953"/>
      <c r="M669" s="128"/>
      <c r="O669" s="954"/>
      <c r="P669" s="954"/>
    </row>
    <row r="670" spans="1:16" s="106" customFormat="1">
      <c r="A670" s="128"/>
      <c r="B670" s="128"/>
      <c r="C670" s="128"/>
      <c r="D670" s="128"/>
      <c r="E670" s="128"/>
      <c r="F670" s="128"/>
      <c r="G670" s="953"/>
      <c r="H670" s="128"/>
      <c r="I670" s="128"/>
      <c r="J670" s="128"/>
      <c r="K670" s="128"/>
      <c r="L670" s="953"/>
      <c r="M670" s="128"/>
      <c r="O670" s="954"/>
      <c r="P670" s="954"/>
    </row>
    <row r="671" spans="1:16" s="106" customFormat="1">
      <c r="A671" s="128"/>
      <c r="B671" s="128"/>
      <c r="C671" s="128"/>
      <c r="D671" s="128"/>
      <c r="E671" s="128"/>
      <c r="F671" s="128"/>
      <c r="G671" s="953"/>
      <c r="H671" s="128"/>
      <c r="I671" s="128"/>
      <c r="J671" s="128"/>
      <c r="K671" s="128"/>
      <c r="L671" s="953"/>
      <c r="M671" s="128"/>
      <c r="O671" s="954"/>
      <c r="P671" s="954"/>
    </row>
    <row r="672" spans="1:16" s="106" customFormat="1">
      <c r="A672" s="128"/>
      <c r="B672" s="128"/>
      <c r="C672" s="128"/>
      <c r="D672" s="128"/>
      <c r="E672" s="128"/>
      <c r="F672" s="128"/>
      <c r="G672" s="953"/>
      <c r="H672" s="128"/>
      <c r="I672" s="128"/>
      <c r="J672" s="128"/>
      <c r="K672" s="128"/>
      <c r="L672" s="953"/>
      <c r="M672" s="128"/>
      <c r="O672" s="954"/>
      <c r="P672" s="954"/>
    </row>
    <row r="673" spans="1:16" s="106" customFormat="1">
      <c r="A673" s="128"/>
      <c r="B673" s="128"/>
      <c r="C673" s="128"/>
      <c r="D673" s="128"/>
      <c r="E673" s="128"/>
      <c r="F673" s="128"/>
      <c r="G673" s="953"/>
      <c r="H673" s="128"/>
      <c r="I673" s="128"/>
      <c r="J673" s="128"/>
      <c r="K673" s="128"/>
      <c r="L673" s="953"/>
      <c r="M673" s="128"/>
      <c r="O673" s="954"/>
      <c r="P673" s="954"/>
    </row>
    <row r="674" spans="1:16" s="106" customFormat="1">
      <c r="A674" s="128"/>
      <c r="B674" s="128"/>
      <c r="C674" s="128"/>
      <c r="D674" s="128"/>
      <c r="E674" s="128"/>
      <c r="F674" s="128"/>
      <c r="G674" s="953"/>
      <c r="H674" s="128"/>
      <c r="I674" s="128"/>
      <c r="J674" s="128"/>
      <c r="K674" s="128"/>
      <c r="L674" s="953"/>
      <c r="M674" s="128"/>
      <c r="O674" s="954"/>
      <c r="P674" s="954"/>
    </row>
    <row r="675" spans="1:16" s="106" customFormat="1">
      <c r="A675" s="128"/>
      <c r="B675" s="128"/>
      <c r="C675" s="128"/>
      <c r="D675" s="128"/>
      <c r="E675" s="128"/>
      <c r="F675" s="128"/>
      <c r="G675" s="953"/>
      <c r="H675" s="128"/>
      <c r="I675" s="128"/>
      <c r="J675" s="128"/>
      <c r="K675" s="128"/>
      <c r="L675" s="953"/>
      <c r="M675" s="128"/>
      <c r="O675" s="954"/>
      <c r="P675" s="954"/>
    </row>
    <row r="676" spans="1:16" s="106" customFormat="1">
      <c r="A676" s="128"/>
      <c r="B676" s="128"/>
      <c r="C676" s="128"/>
      <c r="D676" s="128"/>
      <c r="E676" s="128"/>
      <c r="F676" s="128"/>
      <c r="G676" s="953"/>
      <c r="H676" s="128"/>
      <c r="I676" s="128"/>
      <c r="J676" s="128"/>
      <c r="K676" s="128"/>
      <c r="L676" s="953"/>
      <c r="M676" s="128"/>
      <c r="O676" s="954"/>
      <c r="P676" s="954"/>
    </row>
    <row r="677" spans="1:16" s="106" customFormat="1">
      <c r="A677" s="128"/>
      <c r="B677" s="128"/>
      <c r="C677" s="128"/>
      <c r="D677" s="128"/>
      <c r="E677" s="128"/>
      <c r="F677" s="128"/>
      <c r="G677" s="953"/>
      <c r="H677" s="128"/>
      <c r="I677" s="128"/>
      <c r="J677" s="128"/>
      <c r="K677" s="128"/>
      <c r="L677" s="953"/>
      <c r="M677" s="128"/>
      <c r="O677" s="954"/>
      <c r="P677" s="954"/>
    </row>
    <row r="678" spans="1:16" s="106" customFormat="1">
      <c r="A678" s="128"/>
      <c r="B678" s="128"/>
      <c r="C678" s="128"/>
      <c r="D678" s="128"/>
      <c r="E678" s="128"/>
      <c r="F678" s="128"/>
      <c r="G678" s="953"/>
      <c r="H678" s="128"/>
      <c r="I678" s="128"/>
      <c r="J678" s="128"/>
      <c r="K678" s="128"/>
      <c r="L678" s="953"/>
      <c r="M678" s="128"/>
      <c r="O678" s="954"/>
      <c r="P678" s="954"/>
    </row>
    <row r="679" spans="1:16" s="106" customFormat="1">
      <c r="A679" s="128"/>
      <c r="B679" s="128"/>
      <c r="C679" s="128"/>
      <c r="D679" s="128"/>
      <c r="E679" s="128"/>
      <c r="F679" s="128"/>
      <c r="G679" s="953"/>
      <c r="H679" s="128"/>
      <c r="I679" s="128"/>
      <c r="J679" s="128"/>
      <c r="K679" s="128"/>
      <c r="L679" s="953"/>
      <c r="M679" s="128"/>
      <c r="O679" s="954"/>
      <c r="P679" s="954"/>
    </row>
    <row r="680" spans="1:16" s="106" customFormat="1">
      <c r="A680" s="128"/>
      <c r="B680" s="128"/>
      <c r="C680" s="128"/>
      <c r="D680" s="128"/>
      <c r="E680" s="128"/>
      <c r="F680" s="128"/>
      <c r="G680" s="953"/>
      <c r="H680" s="128"/>
      <c r="I680" s="128"/>
      <c r="J680" s="128"/>
      <c r="K680" s="128"/>
      <c r="L680" s="953"/>
      <c r="M680" s="128"/>
      <c r="O680" s="954"/>
      <c r="P680" s="954"/>
    </row>
    <row r="681" spans="1:16" s="106" customFormat="1">
      <c r="A681" s="128"/>
      <c r="B681" s="128"/>
      <c r="C681" s="128"/>
      <c r="D681" s="128"/>
      <c r="E681" s="128"/>
      <c r="F681" s="128"/>
      <c r="G681" s="953"/>
      <c r="H681" s="128"/>
      <c r="I681" s="128"/>
      <c r="J681" s="128"/>
      <c r="K681" s="128"/>
      <c r="L681" s="953"/>
      <c r="M681" s="128"/>
      <c r="O681" s="954"/>
      <c r="P681" s="954"/>
    </row>
    <row r="682" spans="1:16" s="106" customFormat="1">
      <c r="A682" s="128"/>
      <c r="B682" s="128"/>
      <c r="C682" s="128"/>
      <c r="D682" s="128"/>
      <c r="E682" s="128"/>
      <c r="F682" s="128"/>
      <c r="G682" s="953"/>
      <c r="H682" s="128"/>
      <c r="I682" s="128"/>
      <c r="J682" s="128"/>
      <c r="K682" s="128"/>
      <c r="L682" s="953"/>
      <c r="M682" s="128"/>
      <c r="O682" s="954"/>
      <c r="P682" s="954"/>
    </row>
    <row r="683" spans="1:16" s="106" customFormat="1">
      <c r="A683" s="128"/>
      <c r="B683" s="128"/>
      <c r="C683" s="128"/>
      <c r="D683" s="128"/>
      <c r="E683" s="128"/>
      <c r="F683" s="128"/>
      <c r="G683" s="953"/>
      <c r="H683" s="128"/>
      <c r="I683" s="128"/>
      <c r="J683" s="128"/>
      <c r="K683" s="128"/>
      <c r="L683" s="953"/>
      <c r="M683" s="128"/>
      <c r="O683" s="954"/>
      <c r="P683" s="954"/>
    </row>
    <row r="684" spans="1:16" s="106" customFormat="1">
      <c r="A684" s="128"/>
      <c r="B684" s="128"/>
      <c r="C684" s="128"/>
      <c r="D684" s="128"/>
      <c r="E684" s="128"/>
      <c r="F684" s="128"/>
      <c r="G684" s="953"/>
      <c r="H684" s="128"/>
      <c r="I684" s="128"/>
      <c r="J684" s="128"/>
      <c r="K684" s="128"/>
      <c r="L684" s="953"/>
      <c r="M684" s="128"/>
      <c r="O684" s="954"/>
      <c r="P684" s="954"/>
    </row>
    <row r="685" spans="1:16" s="106" customFormat="1">
      <c r="A685" s="128"/>
      <c r="B685" s="128"/>
      <c r="C685" s="128"/>
      <c r="D685" s="128"/>
      <c r="E685" s="128"/>
      <c r="F685" s="128"/>
      <c r="G685" s="953"/>
      <c r="H685" s="128"/>
      <c r="I685" s="128"/>
      <c r="J685" s="128"/>
      <c r="K685" s="128"/>
      <c r="L685" s="953"/>
      <c r="M685" s="128"/>
      <c r="O685" s="954"/>
      <c r="P685" s="954"/>
    </row>
    <row r="686" spans="1:16" s="106" customFormat="1">
      <c r="A686" s="128"/>
      <c r="B686" s="128"/>
      <c r="C686" s="128"/>
      <c r="D686" s="128"/>
      <c r="E686" s="128"/>
      <c r="F686" s="128"/>
      <c r="G686" s="953"/>
      <c r="H686" s="128"/>
      <c r="I686" s="128"/>
      <c r="J686" s="128"/>
      <c r="K686" s="128"/>
      <c r="L686" s="953"/>
      <c r="M686" s="128"/>
      <c r="O686" s="954"/>
      <c r="P686" s="954"/>
    </row>
    <row r="687" spans="1:16" s="106" customFormat="1">
      <c r="A687" s="128"/>
      <c r="B687" s="128"/>
      <c r="C687" s="128"/>
      <c r="D687" s="128"/>
      <c r="E687" s="128"/>
      <c r="F687" s="128"/>
      <c r="G687" s="953"/>
      <c r="H687" s="128"/>
      <c r="I687" s="128"/>
      <c r="J687" s="128"/>
      <c r="K687" s="128"/>
      <c r="L687" s="953"/>
      <c r="M687" s="128"/>
      <c r="O687" s="954"/>
      <c r="P687" s="954"/>
    </row>
    <row r="688" spans="1:16" s="106" customFormat="1">
      <c r="A688" s="128"/>
      <c r="B688" s="128"/>
      <c r="C688" s="128"/>
      <c r="D688" s="128"/>
      <c r="E688" s="128"/>
      <c r="F688" s="128"/>
      <c r="G688" s="953"/>
      <c r="H688" s="128"/>
      <c r="I688" s="128"/>
      <c r="J688" s="128"/>
      <c r="K688" s="128"/>
      <c r="L688" s="953"/>
      <c r="M688" s="128"/>
      <c r="O688" s="954"/>
      <c r="P688" s="954"/>
    </row>
    <row r="689" spans="1:16" s="106" customFormat="1">
      <c r="A689" s="128"/>
      <c r="B689" s="128"/>
      <c r="C689" s="128"/>
      <c r="D689" s="128"/>
      <c r="E689" s="128"/>
      <c r="F689" s="128"/>
      <c r="G689" s="953"/>
      <c r="H689" s="128"/>
      <c r="I689" s="128"/>
      <c r="J689" s="128"/>
      <c r="K689" s="128"/>
      <c r="L689" s="953"/>
      <c r="M689" s="128"/>
      <c r="O689" s="954"/>
      <c r="P689" s="954"/>
    </row>
    <row r="690" spans="1:16" s="106" customFormat="1">
      <c r="A690" s="128"/>
      <c r="B690" s="128"/>
      <c r="C690" s="128"/>
      <c r="D690" s="128"/>
      <c r="E690" s="128"/>
      <c r="F690" s="128"/>
      <c r="G690" s="953"/>
      <c r="H690" s="128"/>
      <c r="I690" s="128"/>
      <c r="J690" s="128"/>
      <c r="K690" s="128"/>
      <c r="L690" s="953"/>
      <c r="M690" s="128"/>
      <c r="O690" s="954"/>
      <c r="P690" s="954"/>
    </row>
    <row r="691" spans="1:16" s="106" customFormat="1">
      <c r="A691" s="128"/>
      <c r="B691" s="128"/>
      <c r="C691" s="128"/>
      <c r="D691" s="128"/>
      <c r="E691" s="128"/>
      <c r="F691" s="128"/>
      <c r="G691" s="953"/>
      <c r="H691" s="128"/>
      <c r="I691" s="128"/>
      <c r="J691" s="128"/>
      <c r="K691" s="128"/>
      <c r="L691" s="953"/>
      <c r="M691" s="128"/>
      <c r="O691" s="954"/>
      <c r="P691" s="954"/>
    </row>
    <row r="692" spans="1:16" s="106" customFormat="1">
      <c r="A692" s="128"/>
      <c r="B692" s="128"/>
      <c r="C692" s="128"/>
      <c r="D692" s="128"/>
      <c r="E692" s="128"/>
      <c r="F692" s="128"/>
      <c r="G692" s="953"/>
      <c r="H692" s="128"/>
      <c r="I692" s="128"/>
      <c r="J692" s="128"/>
      <c r="K692" s="128"/>
      <c r="L692" s="953"/>
      <c r="M692" s="128"/>
      <c r="O692" s="954"/>
      <c r="P692" s="954"/>
    </row>
    <row r="693" spans="1:16" s="106" customFormat="1">
      <c r="A693" s="128"/>
      <c r="B693" s="128"/>
      <c r="C693" s="128"/>
      <c r="D693" s="128"/>
      <c r="E693" s="128"/>
      <c r="F693" s="128"/>
      <c r="G693" s="953"/>
      <c r="H693" s="128"/>
      <c r="I693" s="128"/>
      <c r="J693" s="128"/>
      <c r="K693" s="128"/>
      <c r="L693" s="953"/>
      <c r="M693" s="128"/>
      <c r="O693" s="954"/>
      <c r="P693" s="954"/>
    </row>
    <row r="694" spans="1:16" s="106" customFormat="1">
      <c r="A694" s="128"/>
      <c r="B694" s="128"/>
      <c r="C694" s="128"/>
      <c r="D694" s="128"/>
      <c r="E694" s="128"/>
      <c r="F694" s="128"/>
      <c r="G694" s="953"/>
      <c r="H694" s="128"/>
      <c r="I694" s="128"/>
      <c r="J694" s="128"/>
      <c r="K694" s="128"/>
      <c r="L694" s="953"/>
      <c r="M694" s="128"/>
      <c r="O694" s="954"/>
      <c r="P694" s="954"/>
    </row>
    <row r="695" spans="1:16" s="106" customFormat="1">
      <c r="A695" s="128"/>
      <c r="B695" s="128"/>
      <c r="C695" s="128"/>
      <c r="D695" s="128"/>
      <c r="E695" s="128"/>
      <c r="F695" s="128"/>
      <c r="G695" s="953"/>
      <c r="H695" s="128"/>
      <c r="I695" s="128"/>
      <c r="J695" s="128"/>
      <c r="K695" s="128"/>
      <c r="L695" s="953"/>
      <c r="M695" s="128"/>
      <c r="O695" s="954"/>
      <c r="P695" s="954"/>
    </row>
    <row r="696" spans="1:16" s="106" customFormat="1">
      <c r="A696" s="128"/>
      <c r="B696" s="128"/>
      <c r="C696" s="128"/>
      <c r="D696" s="128"/>
      <c r="E696" s="128"/>
      <c r="F696" s="128"/>
      <c r="G696" s="953"/>
      <c r="H696" s="128"/>
      <c r="I696" s="128"/>
      <c r="J696" s="128"/>
      <c r="K696" s="128"/>
      <c r="L696" s="953"/>
      <c r="M696" s="128"/>
      <c r="O696" s="954"/>
      <c r="P696" s="954"/>
    </row>
    <row r="697" spans="1:16" s="106" customFormat="1">
      <c r="A697" s="128"/>
      <c r="B697" s="128"/>
      <c r="C697" s="128"/>
      <c r="D697" s="128"/>
      <c r="E697" s="128"/>
      <c r="F697" s="128"/>
      <c r="G697" s="953"/>
      <c r="H697" s="128"/>
      <c r="I697" s="128"/>
      <c r="J697" s="128"/>
      <c r="K697" s="128"/>
      <c r="L697" s="953"/>
      <c r="M697" s="128"/>
      <c r="O697" s="954"/>
      <c r="P697" s="954"/>
    </row>
    <row r="698" spans="1:16" s="106" customFormat="1">
      <c r="A698" s="128"/>
      <c r="B698" s="128"/>
      <c r="C698" s="128"/>
      <c r="D698" s="128"/>
      <c r="E698" s="128"/>
      <c r="F698" s="128"/>
      <c r="G698" s="953"/>
      <c r="H698" s="128"/>
      <c r="I698" s="128"/>
      <c r="J698" s="128"/>
      <c r="K698" s="128"/>
      <c r="L698" s="953"/>
      <c r="M698" s="128"/>
      <c r="O698" s="954"/>
      <c r="P698" s="954"/>
    </row>
    <row r="699" spans="1:16" s="106" customFormat="1">
      <c r="A699" s="128"/>
      <c r="B699" s="128"/>
      <c r="C699" s="128"/>
      <c r="D699" s="128"/>
      <c r="E699" s="128"/>
      <c r="F699" s="128"/>
      <c r="G699" s="953"/>
      <c r="H699" s="128"/>
      <c r="I699" s="128"/>
      <c r="J699" s="128"/>
      <c r="K699" s="128"/>
      <c r="L699" s="953"/>
      <c r="M699" s="128"/>
      <c r="O699" s="954"/>
      <c r="P699" s="954"/>
    </row>
    <row r="700" spans="1:16" s="106" customFormat="1">
      <c r="A700" s="128"/>
      <c r="B700" s="128"/>
      <c r="C700" s="128"/>
      <c r="D700" s="128"/>
      <c r="E700" s="128"/>
      <c r="F700" s="128"/>
      <c r="G700" s="953"/>
      <c r="H700" s="128"/>
      <c r="I700" s="128"/>
      <c r="J700" s="128"/>
      <c r="K700" s="128"/>
      <c r="L700" s="953"/>
      <c r="M700" s="128"/>
      <c r="O700" s="954"/>
      <c r="P700" s="954"/>
    </row>
    <row r="701" spans="1:16" s="106" customFormat="1">
      <c r="A701" s="128"/>
      <c r="B701" s="128"/>
      <c r="C701" s="128"/>
      <c r="D701" s="128"/>
      <c r="E701" s="128"/>
      <c r="F701" s="128"/>
      <c r="G701" s="953"/>
      <c r="H701" s="128"/>
      <c r="I701" s="128"/>
      <c r="J701" s="128"/>
      <c r="K701" s="128"/>
      <c r="L701" s="953"/>
      <c r="M701" s="128"/>
      <c r="O701" s="954"/>
      <c r="P701" s="954"/>
    </row>
    <row r="702" spans="1:16" s="106" customFormat="1">
      <c r="A702" s="128"/>
      <c r="B702" s="128"/>
      <c r="C702" s="128"/>
      <c r="D702" s="128"/>
      <c r="E702" s="128"/>
      <c r="F702" s="128"/>
      <c r="G702" s="953"/>
      <c r="H702" s="128"/>
      <c r="I702" s="128"/>
      <c r="J702" s="128"/>
      <c r="K702" s="128"/>
      <c r="L702" s="953"/>
      <c r="M702" s="128"/>
      <c r="O702" s="954"/>
      <c r="P702" s="954"/>
    </row>
    <row r="703" spans="1:16" s="106" customFormat="1">
      <c r="A703" s="128"/>
      <c r="B703" s="128"/>
      <c r="C703" s="128"/>
      <c r="D703" s="128"/>
      <c r="E703" s="128"/>
      <c r="F703" s="128"/>
      <c r="G703" s="953"/>
      <c r="H703" s="128"/>
      <c r="I703" s="128"/>
      <c r="J703" s="128"/>
      <c r="K703" s="128"/>
      <c r="L703" s="953"/>
      <c r="M703" s="128"/>
      <c r="O703" s="954"/>
      <c r="P703" s="954"/>
    </row>
    <row r="704" spans="1:16" s="106" customFormat="1">
      <c r="A704" s="128"/>
      <c r="B704" s="128"/>
      <c r="C704" s="128"/>
      <c r="D704" s="128"/>
      <c r="E704" s="128"/>
      <c r="F704" s="128"/>
      <c r="G704" s="953"/>
      <c r="H704" s="128"/>
      <c r="I704" s="128"/>
      <c r="J704" s="128"/>
      <c r="K704" s="128"/>
      <c r="L704" s="953"/>
      <c r="M704" s="128"/>
      <c r="O704" s="954"/>
      <c r="P704" s="954"/>
    </row>
    <row r="705" spans="1:16" s="106" customFormat="1">
      <c r="A705" s="128"/>
      <c r="B705" s="128"/>
      <c r="C705" s="128"/>
      <c r="D705" s="128"/>
      <c r="E705" s="128"/>
      <c r="F705" s="128"/>
      <c r="G705" s="953"/>
      <c r="H705" s="128"/>
      <c r="I705" s="128"/>
      <c r="J705" s="128"/>
      <c r="K705" s="128"/>
      <c r="L705" s="953"/>
      <c r="M705" s="128"/>
      <c r="O705" s="954"/>
      <c r="P705" s="954"/>
    </row>
    <row r="706" spans="1:16" s="106" customFormat="1">
      <c r="A706" s="128"/>
      <c r="B706" s="128"/>
      <c r="C706" s="128"/>
      <c r="D706" s="128"/>
      <c r="E706" s="128"/>
      <c r="F706" s="128"/>
      <c r="G706" s="953"/>
      <c r="H706" s="128"/>
      <c r="I706" s="128"/>
      <c r="J706" s="128"/>
      <c r="K706" s="128"/>
      <c r="L706" s="953"/>
      <c r="M706" s="128"/>
      <c r="O706" s="954"/>
      <c r="P706" s="954"/>
    </row>
    <row r="707" spans="1:16" s="106" customFormat="1">
      <c r="A707" s="128"/>
      <c r="B707" s="128"/>
      <c r="C707" s="128"/>
      <c r="D707" s="128"/>
      <c r="E707" s="128"/>
      <c r="F707" s="128"/>
      <c r="G707" s="953"/>
      <c r="H707" s="128"/>
      <c r="I707" s="128"/>
      <c r="J707" s="128"/>
      <c r="K707" s="128"/>
      <c r="L707" s="953"/>
      <c r="M707" s="128"/>
      <c r="O707" s="954"/>
      <c r="P707" s="954"/>
    </row>
    <row r="708" spans="1:16" s="106" customFormat="1">
      <c r="A708" s="128"/>
      <c r="B708" s="128"/>
      <c r="C708" s="128"/>
      <c r="D708" s="128"/>
      <c r="E708" s="128"/>
      <c r="F708" s="128"/>
      <c r="G708" s="953"/>
      <c r="H708" s="128"/>
      <c r="I708" s="128"/>
      <c r="J708" s="128"/>
      <c r="K708" s="128"/>
      <c r="L708" s="953"/>
      <c r="M708" s="128"/>
      <c r="O708" s="954"/>
      <c r="P708" s="954"/>
    </row>
    <row r="709" spans="1:16" s="106" customFormat="1">
      <c r="A709" s="128"/>
      <c r="B709" s="128"/>
      <c r="C709" s="128"/>
      <c r="D709" s="128"/>
      <c r="E709" s="128"/>
      <c r="F709" s="128"/>
      <c r="G709" s="953"/>
      <c r="H709" s="128"/>
      <c r="I709" s="128"/>
      <c r="J709" s="128"/>
      <c r="K709" s="128"/>
      <c r="L709" s="953"/>
      <c r="M709" s="128"/>
      <c r="O709" s="954"/>
      <c r="P709" s="954"/>
    </row>
    <row r="710" spans="1:16" s="106" customFormat="1">
      <c r="A710" s="128"/>
      <c r="B710" s="128"/>
      <c r="C710" s="128"/>
      <c r="D710" s="128"/>
      <c r="E710" s="128"/>
      <c r="F710" s="128"/>
      <c r="G710" s="953"/>
      <c r="H710" s="128"/>
      <c r="I710" s="128"/>
      <c r="J710" s="128"/>
      <c r="K710" s="128"/>
      <c r="L710" s="953"/>
      <c r="M710" s="128"/>
      <c r="O710" s="954"/>
      <c r="P710" s="954"/>
    </row>
    <row r="711" spans="1:16" s="106" customFormat="1">
      <c r="A711" s="128"/>
      <c r="B711" s="128"/>
      <c r="C711" s="128"/>
      <c r="D711" s="128"/>
      <c r="E711" s="128"/>
      <c r="F711" s="128"/>
      <c r="G711" s="953"/>
      <c r="H711" s="128"/>
      <c r="I711" s="128"/>
      <c r="J711" s="128"/>
      <c r="K711" s="128"/>
      <c r="L711" s="953"/>
      <c r="M711" s="128"/>
      <c r="O711" s="954"/>
      <c r="P711" s="954"/>
    </row>
    <row r="712" spans="1:16" s="106" customFormat="1">
      <c r="A712" s="128"/>
      <c r="B712" s="128"/>
      <c r="C712" s="128"/>
      <c r="D712" s="128"/>
      <c r="E712" s="128"/>
      <c r="F712" s="128"/>
      <c r="G712" s="953"/>
      <c r="H712" s="128"/>
      <c r="I712" s="128"/>
      <c r="J712" s="128"/>
      <c r="K712" s="128"/>
      <c r="L712" s="953"/>
      <c r="M712" s="128"/>
      <c r="O712" s="954"/>
      <c r="P712" s="954"/>
    </row>
    <row r="713" spans="1:16" s="106" customFormat="1">
      <c r="A713" s="128"/>
      <c r="B713" s="128"/>
      <c r="C713" s="128"/>
      <c r="D713" s="128"/>
      <c r="E713" s="128"/>
      <c r="F713" s="128"/>
      <c r="G713" s="953"/>
      <c r="H713" s="128"/>
      <c r="I713" s="128"/>
      <c r="J713" s="128"/>
      <c r="K713" s="128"/>
      <c r="L713" s="953"/>
      <c r="M713" s="128"/>
      <c r="O713" s="954"/>
      <c r="P713" s="954"/>
    </row>
    <row r="714" spans="1:16" s="106" customFormat="1">
      <c r="A714" s="128"/>
      <c r="B714" s="128"/>
      <c r="C714" s="128"/>
      <c r="D714" s="128"/>
      <c r="E714" s="128"/>
      <c r="F714" s="128"/>
      <c r="G714" s="953"/>
      <c r="H714" s="128"/>
      <c r="I714" s="128"/>
      <c r="J714" s="128"/>
      <c r="K714" s="128"/>
      <c r="L714" s="953"/>
      <c r="M714" s="128"/>
      <c r="O714" s="954"/>
      <c r="P714" s="954"/>
    </row>
    <row r="715" spans="1:16" s="106" customFormat="1">
      <c r="A715" s="128"/>
      <c r="B715" s="128"/>
      <c r="C715" s="128"/>
      <c r="D715" s="128"/>
      <c r="E715" s="128"/>
      <c r="F715" s="128"/>
      <c r="G715" s="953"/>
      <c r="H715" s="128"/>
      <c r="I715" s="128"/>
      <c r="J715" s="128"/>
      <c r="K715" s="128"/>
      <c r="L715" s="953"/>
      <c r="M715" s="128"/>
      <c r="O715" s="954"/>
      <c r="P715" s="954"/>
    </row>
    <row r="716" spans="1:16" s="106" customFormat="1">
      <c r="A716" s="128"/>
      <c r="B716" s="128"/>
      <c r="C716" s="128"/>
      <c r="D716" s="128"/>
      <c r="E716" s="128"/>
      <c r="F716" s="128"/>
      <c r="G716" s="953"/>
      <c r="H716" s="128"/>
      <c r="I716" s="128"/>
      <c r="J716" s="128"/>
      <c r="K716" s="128"/>
      <c r="L716" s="953"/>
      <c r="M716" s="128"/>
      <c r="O716" s="954"/>
      <c r="P716" s="954"/>
    </row>
    <row r="717" spans="1:16" s="106" customFormat="1">
      <c r="A717" s="128"/>
      <c r="B717" s="128"/>
      <c r="C717" s="128"/>
      <c r="D717" s="128"/>
      <c r="E717" s="128"/>
      <c r="F717" s="128"/>
      <c r="G717" s="953"/>
      <c r="H717" s="128"/>
      <c r="I717" s="128"/>
      <c r="J717" s="128"/>
      <c r="K717" s="128"/>
      <c r="L717" s="953"/>
      <c r="M717" s="128"/>
      <c r="O717" s="954"/>
      <c r="P717" s="954"/>
    </row>
    <row r="718" spans="1:16" s="106" customFormat="1">
      <c r="A718" s="128"/>
      <c r="B718" s="128"/>
      <c r="C718" s="128"/>
      <c r="D718" s="128"/>
      <c r="E718" s="128"/>
      <c r="F718" s="128"/>
      <c r="G718" s="953"/>
      <c r="H718" s="128"/>
      <c r="I718" s="128"/>
      <c r="J718" s="128"/>
      <c r="K718" s="128"/>
      <c r="L718" s="953"/>
      <c r="M718" s="128"/>
      <c r="O718" s="954"/>
      <c r="P718" s="954"/>
    </row>
    <row r="719" spans="1:16" s="106" customFormat="1">
      <c r="A719" s="128"/>
      <c r="B719" s="128"/>
      <c r="C719" s="128"/>
      <c r="D719" s="128"/>
      <c r="E719" s="128"/>
      <c r="F719" s="128"/>
      <c r="G719" s="953"/>
      <c r="H719" s="128"/>
      <c r="I719" s="128"/>
      <c r="J719" s="128"/>
      <c r="K719" s="128"/>
      <c r="L719" s="953"/>
      <c r="M719" s="128"/>
      <c r="O719" s="954"/>
      <c r="P719" s="954"/>
    </row>
    <row r="720" spans="1:16" s="106" customFormat="1">
      <c r="A720" s="128"/>
      <c r="B720" s="128"/>
      <c r="C720" s="128"/>
      <c r="D720" s="128"/>
      <c r="E720" s="128"/>
      <c r="F720" s="128"/>
      <c r="G720" s="953"/>
      <c r="H720" s="128"/>
      <c r="I720" s="128"/>
      <c r="J720" s="128"/>
      <c r="K720" s="128"/>
      <c r="L720" s="953"/>
      <c r="M720" s="128"/>
      <c r="O720" s="954"/>
      <c r="P720" s="954"/>
    </row>
    <row r="721" spans="1:16" s="106" customFormat="1">
      <c r="A721" s="128"/>
      <c r="B721" s="128"/>
      <c r="C721" s="128"/>
      <c r="D721" s="128"/>
      <c r="E721" s="128"/>
      <c r="F721" s="128"/>
      <c r="G721" s="953"/>
      <c r="H721" s="128"/>
      <c r="I721" s="128"/>
      <c r="J721" s="128"/>
      <c r="K721" s="128"/>
      <c r="L721" s="953"/>
      <c r="M721" s="128"/>
      <c r="O721" s="954"/>
      <c r="P721" s="954"/>
    </row>
    <row r="722" spans="1:16" s="106" customFormat="1">
      <c r="A722" s="128"/>
      <c r="B722" s="128"/>
      <c r="C722" s="128"/>
      <c r="D722" s="128"/>
      <c r="E722" s="128"/>
      <c r="F722" s="128"/>
      <c r="G722" s="953"/>
      <c r="H722" s="128"/>
      <c r="I722" s="128"/>
      <c r="J722" s="128"/>
      <c r="K722" s="128"/>
      <c r="L722" s="953"/>
      <c r="M722" s="128"/>
      <c r="O722" s="954"/>
      <c r="P722" s="954"/>
    </row>
    <row r="723" spans="1:16" s="106" customFormat="1">
      <c r="A723" s="128"/>
      <c r="B723" s="128"/>
      <c r="C723" s="128"/>
      <c r="D723" s="128"/>
      <c r="E723" s="128"/>
      <c r="F723" s="128"/>
      <c r="G723" s="953"/>
      <c r="H723" s="128"/>
      <c r="I723" s="128"/>
      <c r="J723" s="128"/>
      <c r="K723" s="128"/>
      <c r="L723" s="953"/>
      <c r="M723" s="128"/>
      <c r="O723" s="954"/>
      <c r="P723" s="954"/>
    </row>
    <row r="724" spans="1:16" s="106" customFormat="1">
      <c r="A724" s="128"/>
      <c r="B724" s="128"/>
      <c r="C724" s="128"/>
      <c r="D724" s="128"/>
      <c r="E724" s="128"/>
      <c r="F724" s="128"/>
      <c r="G724" s="953"/>
      <c r="H724" s="128"/>
      <c r="I724" s="128"/>
      <c r="J724" s="128"/>
      <c r="K724" s="128"/>
      <c r="L724" s="953"/>
      <c r="M724" s="128"/>
      <c r="O724" s="954"/>
      <c r="P724" s="954"/>
    </row>
    <row r="725" spans="1:16" s="106" customFormat="1">
      <c r="A725" s="128"/>
      <c r="B725" s="128"/>
      <c r="C725" s="128"/>
      <c r="D725" s="128"/>
      <c r="E725" s="128"/>
      <c r="F725" s="128"/>
      <c r="G725" s="953"/>
      <c r="H725" s="128"/>
      <c r="I725" s="128"/>
      <c r="J725" s="128"/>
      <c r="K725" s="128"/>
      <c r="L725" s="953"/>
      <c r="M725" s="128"/>
      <c r="O725" s="954"/>
      <c r="P725" s="954"/>
    </row>
    <row r="726" spans="1:16" s="106" customFormat="1">
      <c r="A726" s="128"/>
      <c r="B726" s="128"/>
      <c r="C726" s="128"/>
      <c r="D726" s="128"/>
      <c r="E726" s="128"/>
      <c r="F726" s="128"/>
      <c r="G726" s="953"/>
      <c r="H726" s="128"/>
      <c r="I726" s="128"/>
      <c r="J726" s="128"/>
      <c r="K726" s="128"/>
      <c r="L726" s="953"/>
      <c r="M726" s="128"/>
      <c r="O726" s="954"/>
      <c r="P726" s="954"/>
    </row>
    <row r="727" spans="1:16" s="106" customFormat="1">
      <c r="A727" s="128"/>
      <c r="B727" s="128"/>
      <c r="C727" s="128"/>
      <c r="D727" s="128"/>
      <c r="E727" s="128"/>
      <c r="F727" s="128"/>
      <c r="G727" s="953"/>
      <c r="H727" s="128"/>
      <c r="I727" s="128"/>
      <c r="J727" s="128"/>
      <c r="K727" s="128"/>
      <c r="L727" s="953"/>
      <c r="M727" s="128"/>
      <c r="O727" s="954"/>
      <c r="P727" s="954"/>
    </row>
    <row r="728" spans="1:16" s="106" customFormat="1">
      <c r="A728" s="128"/>
      <c r="B728" s="128"/>
      <c r="C728" s="128"/>
      <c r="D728" s="128"/>
      <c r="E728" s="128"/>
      <c r="F728" s="128"/>
      <c r="G728" s="953"/>
      <c r="H728" s="128"/>
      <c r="I728" s="128"/>
      <c r="J728" s="128"/>
      <c r="K728" s="128"/>
      <c r="L728" s="953"/>
      <c r="M728" s="128"/>
      <c r="O728" s="954"/>
      <c r="P728" s="954"/>
    </row>
    <row r="729" spans="1:16" s="106" customFormat="1">
      <c r="A729" s="128"/>
      <c r="B729" s="128"/>
      <c r="C729" s="128"/>
      <c r="D729" s="128"/>
      <c r="E729" s="128"/>
      <c r="F729" s="128"/>
      <c r="G729" s="953"/>
      <c r="H729" s="128"/>
      <c r="I729" s="128"/>
      <c r="J729" s="128"/>
      <c r="K729" s="128"/>
      <c r="L729" s="953"/>
      <c r="M729" s="128"/>
      <c r="O729" s="954"/>
      <c r="P729" s="954"/>
    </row>
    <row r="730" spans="1:16" s="106" customFormat="1">
      <c r="A730" s="128"/>
      <c r="B730" s="128"/>
      <c r="C730" s="128"/>
      <c r="D730" s="128"/>
      <c r="E730" s="128"/>
      <c r="F730" s="128"/>
      <c r="G730" s="953"/>
      <c r="H730" s="128"/>
      <c r="I730" s="128"/>
      <c r="J730" s="128"/>
      <c r="K730" s="128"/>
      <c r="L730" s="953"/>
      <c r="M730" s="128"/>
      <c r="O730" s="954"/>
      <c r="P730" s="954"/>
    </row>
    <row r="731" spans="1:16" s="106" customFormat="1">
      <c r="A731" s="128"/>
      <c r="B731" s="128"/>
      <c r="C731" s="128"/>
      <c r="D731" s="128"/>
      <c r="E731" s="128"/>
      <c r="F731" s="128"/>
      <c r="G731" s="953"/>
      <c r="H731" s="128"/>
      <c r="I731" s="128"/>
      <c r="J731" s="128"/>
      <c r="K731" s="128"/>
      <c r="L731" s="953"/>
      <c r="M731" s="128"/>
      <c r="O731" s="954"/>
      <c r="P731" s="954"/>
    </row>
    <row r="732" spans="1:16" s="106" customFormat="1">
      <c r="A732" s="128"/>
      <c r="B732" s="128"/>
      <c r="C732" s="128"/>
      <c r="D732" s="128"/>
      <c r="E732" s="128"/>
      <c r="F732" s="128"/>
      <c r="G732" s="953"/>
      <c r="H732" s="128"/>
      <c r="I732" s="128"/>
      <c r="J732" s="128"/>
      <c r="K732" s="128"/>
      <c r="L732" s="953"/>
      <c r="M732" s="128"/>
      <c r="O732" s="954"/>
      <c r="P732" s="954"/>
    </row>
    <row r="733" spans="1:16" s="106" customFormat="1">
      <c r="A733" s="128"/>
      <c r="B733" s="128"/>
      <c r="C733" s="128"/>
      <c r="D733" s="128"/>
      <c r="E733" s="128"/>
      <c r="F733" s="128"/>
      <c r="G733" s="953"/>
      <c r="H733" s="128"/>
      <c r="I733" s="128"/>
      <c r="J733" s="128"/>
      <c r="K733" s="128"/>
      <c r="L733" s="953"/>
      <c r="M733" s="128"/>
      <c r="O733" s="954"/>
      <c r="P733" s="954"/>
    </row>
    <row r="734" spans="1:16" s="106" customFormat="1">
      <c r="A734" s="128"/>
      <c r="B734" s="128"/>
      <c r="C734" s="128"/>
      <c r="D734" s="128"/>
      <c r="E734" s="128"/>
      <c r="F734" s="128"/>
      <c r="G734" s="953"/>
      <c r="H734" s="128"/>
      <c r="I734" s="128"/>
      <c r="J734" s="128"/>
      <c r="K734" s="128"/>
      <c r="L734" s="953"/>
      <c r="M734" s="128"/>
      <c r="O734" s="954"/>
      <c r="P734" s="954"/>
    </row>
    <row r="735" spans="1:16" s="106" customFormat="1">
      <c r="A735" s="128"/>
      <c r="B735" s="128"/>
      <c r="C735" s="128"/>
      <c r="D735" s="128"/>
      <c r="E735" s="128"/>
      <c r="F735" s="128"/>
      <c r="G735" s="953"/>
      <c r="H735" s="128"/>
      <c r="I735" s="128"/>
      <c r="J735" s="128"/>
      <c r="K735" s="128"/>
      <c r="L735" s="953"/>
      <c r="M735" s="128"/>
      <c r="O735" s="954"/>
      <c r="P735" s="954"/>
    </row>
    <row r="736" spans="1:16" s="106" customFormat="1">
      <c r="A736" s="128"/>
      <c r="B736" s="128"/>
      <c r="C736" s="128"/>
      <c r="D736" s="128"/>
      <c r="E736" s="128"/>
      <c r="F736" s="128"/>
      <c r="G736" s="953"/>
      <c r="H736" s="128"/>
      <c r="I736" s="128"/>
      <c r="J736" s="128"/>
      <c r="K736" s="128"/>
      <c r="L736" s="953"/>
      <c r="M736" s="128"/>
      <c r="O736" s="954"/>
      <c r="P736" s="954"/>
    </row>
    <row r="737" spans="1:16" s="106" customFormat="1">
      <c r="A737" s="128"/>
      <c r="B737" s="128"/>
      <c r="C737" s="128"/>
      <c r="D737" s="128"/>
      <c r="E737" s="128"/>
      <c r="F737" s="128"/>
      <c r="G737" s="953"/>
      <c r="H737" s="128"/>
      <c r="I737" s="128"/>
      <c r="J737" s="128"/>
      <c r="K737" s="128"/>
      <c r="L737" s="953"/>
      <c r="M737" s="128"/>
      <c r="O737" s="954"/>
      <c r="P737" s="954"/>
    </row>
    <row r="738" spans="1:16" s="106" customFormat="1">
      <c r="A738" s="128"/>
      <c r="B738" s="128"/>
      <c r="C738" s="128"/>
      <c r="D738" s="128"/>
      <c r="E738" s="128"/>
      <c r="F738" s="128"/>
      <c r="G738" s="953"/>
      <c r="H738" s="128"/>
      <c r="I738" s="128"/>
      <c r="J738" s="128"/>
      <c r="K738" s="128"/>
      <c r="L738" s="953"/>
      <c r="M738" s="128"/>
      <c r="O738" s="954"/>
      <c r="P738" s="954"/>
    </row>
    <row r="739" spans="1:16" s="106" customFormat="1">
      <c r="A739" s="128"/>
      <c r="B739" s="128"/>
      <c r="C739" s="128"/>
      <c r="D739" s="128"/>
      <c r="E739" s="128"/>
      <c r="F739" s="128"/>
      <c r="G739" s="953"/>
      <c r="H739" s="128"/>
      <c r="I739" s="128"/>
      <c r="J739" s="128"/>
      <c r="K739" s="128"/>
      <c r="L739" s="953"/>
      <c r="M739" s="128"/>
      <c r="O739" s="954"/>
      <c r="P739" s="954"/>
    </row>
    <row r="740" spans="1:16" s="106" customFormat="1">
      <c r="A740" s="128"/>
      <c r="B740" s="128"/>
      <c r="C740" s="128"/>
      <c r="D740" s="128"/>
      <c r="E740" s="128"/>
      <c r="F740" s="128"/>
      <c r="G740" s="953"/>
      <c r="H740" s="128"/>
      <c r="I740" s="128"/>
      <c r="J740" s="128"/>
      <c r="K740" s="128"/>
      <c r="L740" s="953"/>
      <c r="M740" s="128"/>
      <c r="O740" s="954"/>
      <c r="P740" s="954"/>
    </row>
    <row r="741" spans="1:16" s="106" customFormat="1">
      <c r="A741" s="128"/>
      <c r="B741" s="128"/>
      <c r="C741" s="128"/>
      <c r="D741" s="128"/>
      <c r="E741" s="128"/>
      <c r="F741" s="128"/>
      <c r="G741" s="953"/>
      <c r="H741" s="128"/>
      <c r="I741" s="128"/>
      <c r="J741" s="128"/>
      <c r="K741" s="128"/>
      <c r="L741" s="953"/>
      <c r="M741" s="128"/>
      <c r="O741" s="954"/>
      <c r="P741" s="954"/>
    </row>
    <row r="742" spans="1:16" s="106" customFormat="1">
      <c r="A742" s="128"/>
      <c r="B742" s="128"/>
      <c r="C742" s="128"/>
      <c r="D742" s="128"/>
      <c r="E742" s="128"/>
      <c r="F742" s="128"/>
      <c r="G742" s="953"/>
      <c r="H742" s="128"/>
      <c r="I742" s="128"/>
      <c r="J742" s="128"/>
      <c r="K742" s="128"/>
      <c r="L742" s="953"/>
      <c r="M742" s="128"/>
      <c r="O742" s="954"/>
      <c r="P742" s="954"/>
    </row>
    <row r="743" spans="1:16" s="106" customFormat="1">
      <c r="A743" s="128"/>
      <c r="B743" s="128"/>
      <c r="C743" s="128"/>
      <c r="D743" s="128"/>
      <c r="E743" s="128"/>
      <c r="F743" s="128"/>
      <c r="G743" s="953"/>
      <c r="H743" s="128"/>
      <c r="I743" s="128"/>
      <c r="J743" s="128"/>
      <c r="K743" s="128"/>
      <c r="L743" s="953"/>
      <c r="M743" s="128"/>
      <c r="O743" s="954"/>
      <c r="P743" s="954"/>
    </row>
    <row r="744" spans="1:16" s="106" customFormat="1">
      <c r="A744" s="128"/>
      <c r="B744" s="128"/>
      <c r="C744" s="128"/>
      <c r="D744" s="128"/>
      <c r="E744" s="128"/>
      <c r="F744" s="128"/>
      <c r="G744" s="953"/>
      <c r="H744" s="128"/>
      <c r="I744" s="128"/>
      <c r="J744" s="128"/>
      <c r="K744" s="128"/>
      <c r="L744" s="953"/>
      <c r="M744" s="128"/>
      <c r="O744" s="954"/>
      <c r="P744" s="954"/>
    </row>
    <row r="745" spans="1:16" s="106" customFormat="1">
      <c r="A745" s="128"/>
      <c r="B745" s="128"/>
      <c r="C745" s="128"/>
      <c r="D745" s="128"/>
      <c r="E745" s="128"/>
      <c r="F745" s="128"/>
      <c r="G745" s="953"/>
      <c r="H745" s="128"/>
      <c r="I745" s="128"/>
      <c r="J745" s="128"/>
      <c r="K745" s="128"/>
      <c r="L745" s="953"/>
      <c r="M745" s="128"/>
      <c r="O745" s="954"/>
      <c r="P745" s="954"/>
    </row>
    <row r="746" spans="1:16" s="106" customFormat="1">
      <c r="A746" s="128"/>
      <c r="B746" s="128"/>
      <c r="C746" s="128"/>
      <c r="D746" s="128"/>
      <c r="E746" s="128"/>
      <c r="F746" s="128"/>
      <c r="G746" s="953"/>
      <c r="H746" s="128"/>
      <c r="I746" s="128"/>
      <c r="J746" s="128"/>
      <c r="K746" s="128"/>
      <c r="L746" s="953"/>
      <c r="M746" s="128"/>
      <c r="O746" s="954"/>
      <c r="P746" s="954"/>
    </row>
    <row r="747" spans="1:16" s="106" customFormat="1">
      <c r="A747" s="128"/>
      <c r="B747" s="128"/>
      <c r="C747" s="128"/>
      <c r="D747" s="128"/>
      <c r="E747" s="128"/>
      <c r="F747" s="128"/>
      <c r="G747" s="953"/>
      <c r="H747" s="128"/>
      <c r="I747" s="128"/>
      <c r="J747" s="128"/>
      <c r="K747" s="128"/>
      <c r="L747" s="953"/>
      <c r="M747" s="128"/>
      <c r="O747" s="954"/>
      <c r="P747" s="954"/>
    </row>
    <row r="748" spans="1:16" s="106" customFormat="1">
      <c r="A748" s="128"/>
      <c r="B748" s="128"/>
      <c r="C748" s="128"/>
      <c r="D748" s="128"/>
      <c r="E748" s="128"/>
      <c r="F748" s="128"/>
      <c r="G748" s="953"/>
      <c r="H748" s="128"/>
      <c r="I748" s="128"/>
      <c r="J748" s="128"/>
      <c r="K748" s="128"/>
      <c r="L748" s="953"/>
      <c r="M748" s="128"/>
      <c r="O748" s="954"/>
      <c r="P748" s="954"/>
    </row>
    <row r="749" spans="1:16" s="106" customFormat="1">
      <c r="A749" s="128"/>
      <c r="B749" s="128"/>
      <c r="C749" s="128"/>
      <c r="D749" s="128"/>
      <c r="E749" s="128"/>
      <c r="F749" s="128"/>
      <c r="G749" s="953"/>
      <c r="H749" s="128"/>
      <c r="I749" s="128"/>
      <c r="J749" s="128"/>
      <c r="K749" s="128"/>
      <c r="L749" s="953"/>
      <c r="M749" s="128"/>
      <c r="O749" s="954"/>
      <c r="P749" s="954"/>
    </row>
    <row r="750" spans="1:16" s="106" customFormat="1">
      <c r="A750" s="128"/>
      <c r="B750" s="128"/>
      <c r="C750" s="128"/>
      <c r="D750" s="128"/>
      <c r="E750" s="128"/>
      <c r="F750" s="128"/>
      <c r="G750" s="953"/>
      <c r="H750" s="128"/>
      <c r="I750" s="128"/>
      <c r="J750" s="128"/>
      <c r="K750" s="128"/>
      <c r="L750" s="953"/>
      <c r="M750" s="128"/>
      <c r="O750" s="954"/>
      <c r="P750" s="954"/>
    </row>
    <row r="751" spans="1:16" s="106" customFormat="1">
      <c r="A751" s="128"/>
      <c r="B751" s="128"/>
      <c r="C751" s="128"/>
      <c r="D751" s="128"/>
      <c r="E751" s="128"/>
      <c r="F751" s="128"/>
      <c r="G751" s="953"/>
      <c r="H751" s="128"/>
      <c r="I751" s="128"/>
      <c r="J751" s="128"/>
      <c r="K751" s="128"/>
      <c r="L751" s="953"/>
      <c r="M751" s="128"/>
      <c r="O751" s="954"/>
      <c r="P751" s="954"/>
    </row>
    <row r="752" spans="1:16" s="106" customFormat="1">
      <c r="A752" s="128"/>
      <c r="B752" s="128"/>
      <c r="C752" s="128"/>
      <c r="D752" s="128"/>
      <c r="E752" s="128"/>
      <c r="F752" s="128"/>
      <c r="G752" s="953"/>
      <c r="H752" s="128"/>
      <c r="I752" s="128"/>
      <c r="J752" s="128"/>
      <c r="K752" s="128"/>
      <c r="L752" s="953"/>
      <c r="M752" s="128"/>
      <c r="O752" s="954"/>
      <c r="P752" s="954"/>
    </row>
    <row r="753" spans="1:16" s="106" customFormat="1">
      <c r="A753" s="128"/>
      <c r="B753" s="128"/>
      <c r="C753" s="128"/>
      <c r="D753" s="128"/>
      <c r="E753" s="128"/>
      <c r="F753" s="128"/>
      <c r="G753" s="953"/>
      <c r="H753" s="128"/>
      <c r="I753" s="128"/>
      <c r="J753" s="128"/>
      <c r="K753" s="128"/>
      <c r="L753" s="953"/>
      <c r="M753" s="128"/>
      <c r="O753" s="954"/>
      <c r="P753" s="954"/>
    </row>
    <row r="754" spans="1:16" s="106" customFormat="1">
      <c r="A754" s="128"/>
      <c r="B754" s="128"/>
      <c r="C754" s="128"/>
      <c r="D754" s="128"/>
      <c r="E754" s="128"/>
      <c r="F754" s="128"/>
      <c r="G754" s="953"/>
      <c r="H754" s="128"/>
      <c r="I754" s="128"/>
      <c r="J754" s="128"/>
      <c r="K754" s="128"/>
      <c r="L754" s="953"/>
      <c r="M754" s="128"/>
      <c r="O754" s="954"/>
      <c r="P754" s="954"/>
    </row>
    <row r="755" spans="1:16" s="106" customFormat="1">
      <c r="A755" s="128"/>
      <c r="B755" s="128"/>
      <c r="C755" s="128"/>
      <c r="D755" s="128"/>
      <c r="E755" s="128"/>
      <c r="F755" s="128"/>
      <c r="G755" s="953"/>
      <c r="H755" s="128"/>
      <c r="I755" s="128"/>
      <c r="J755" s="128"/>
      <c r="K755" s="128"/>
      <c r="L755" s="953"/>
      <c r="M755" s="128"/>
      <c r="O755" s="954"/>
      <c r="P755" s="954"/>
    </row>
    <row r="756" spans="1:16" s="106" customFormat="1">
      <c r="A756" s="128"/>
      <c r="B756" s="128"/>
      <c r="C756" s="128"/>
      <c r="D756" s="128"/>
      <c r="E756" s="128"/>
      <c r="F756" s="128"/>
      <c r="G756" s="953"/>
      <c r="H756" s="128"/>
      <c r="I756" s="128"/>
      <c r="J756" s="128"/>
      <c r="K756" s="128"/>
      <c r="L756" s="953"/>
      <c r="M756" s="128"/>
      <c r="O756" s="954"/>
      <c r="P756" s="954"/>
    </row>
    <row r="757" spans="1:16" s="106" customFormat="1">
      <c r="A757" s="128"/>
      <c r="B757" s="128"/>
      <c r="C757" s="128"/>
      <c r="D757" s="128"/>
      <c r="E757" s="128"/>
      <c r="F757" s="128"/>
      <c r="G757" s="953"/>
      <c r="H757" s="128"/>
      <c r="I757" s="128"/>
      <c r="J757" s="128"/>
      <c r="K757" s="128"/>
      <c r="L757" s="953"/>
      <c r="M757" s="128"/>
      <c r="O757" s="954"/>
      <c r="P757" s="954"/>
    </row>
    <row r="758" spans="1:16" s="106" customFormat="1">
      <c r="A758" s="128"/>
      <c r="B758" s="128"/>
      <c r="C758" s="128"/>
      <c r="D758" s="128"/>
      <c r="E758" s="128"/>
      <c r="F758" s="128"/>
      <c r="G758" s="953"/>
      <c r="H758" s="128"/>
      <c r="I758" s="128"/>
      <c r="J758" s="128"/>
      <c r="K758" s="128"/>
      <c r="L758" s="953"/>
      <c r="M758" s="128"/>
      <c r="O758" s="954"/>
      <c r="P758" s="954"/>
    </row>
    <row r="759" spans="1:16" s="106" customFormat="1">
      <c r="A759" s="128"/>
      <c r="B759" s="128"/>
      <c r="C759" s="128"/>
      <c r="D759" s="128"/>
      <c r="E759" s="128"/>
      <c r="F759" s="128"/>
      <c r="G759" s="953"/>
      <c r="H759" s="128"/>
      <c r="I759" s="128"/>
      <c r="J759" s="128"/>
      <c r="K759" s="128"/>
      <c r="L759" s="953"/>
      <c r="M759" s="128"/>
      <c r="O759" s="954"/>
      <c r="P759" s="954"/>
    </row>
    <row r="760" spans="1:16" s="106" customFormat="1">
      <c r="A760" s="128"/>
      <c r="B760" s="128"/>
      <c r="C760" s="128"/>
      <c r="D760" s="128"/>
      <c r="E760" s="128"/>
      <c r="F760" s="128"/>
      <c r="G760" s="953"/>
      <c r="H760" s="128"/>
      <c r="I760" s="128"/>
      <c r="J760" s="128"/>
      <c r="K760" s="128"/>
      <c r="L760" s="953"/>
      <c r="M760" s="128"/>
      <c r="O760" s="954"/>
      <c r="P760" s="954"/>
    </row>
    <row r="761" spans="1:16" s="106" customFormat="1">
      <c r="A761" s="128"/>
      <c r="B761" s="128"/>
      <c r="C761" s="128"/>
      <c r="D761" s="128"/>
      <c r="E761" s="128"/>
      <c r="F761" s="128"/>
      <c r="G761" s="953"/>
      <c r="H761" s="128"/>
      <c r="I761" s="128"/>
      <c r="J761" s="128"/>
      <c r="K761" s="128"/>
      <c r="L761" s="953"/>
      <c r="M761" s="128"/>
      <c r="O761" s="954"/>
      <c r="P761" s="954"/>
    </row>
    <row r="762" spans="1:16" s="106" customFormat="1">
      <c r="A762" s="128"/>
      <c r="B762" s="128"/>
      <c r="C762" s="128"/>
      <c r="D762" s="128"/>
      <c r="E762" s="128"/>
      <c r="F762" s="128"/>
      <c r="G762" s="953"/>
      <c r="H762" s="128"/>
      <c r="I762" s="128"/>
      <c r="J762" s="128"/>
      <c r="K762" s="128"/>
      <c r="L762" s="953"/>
      <c r="M762" s="128"/>
      <c r="O762" s="954"/>
      <c r="P762" s="954"/>
    </row>
    <row r="763" spans="1:16" s="106" customFormat="1">
      <c r="A763" s="128"/>
      <c r="B763" s="128"/>
      <c r="C763" s="128"/>
      <c r="D763" s="128"/>
      <c r="E763" s="128"/>
      <c r="F763" s="128"/>
      <c r="G763" s="953"/>
      <c r="H763" s="128"/>
      <c r="I763" s="128"/>
      <c r="J763" s="128"/>
      <c r="K763" s="128"/>
      <c r="L763" s="953"/>
      <c r="M763" s="128"/>
      <c r="O763" s="954"/>
      <c r="P763" s="954"/>
    </row>
    <row r="764" spans="1:16" s="106" customFormat="1">
      <c r="A764" s="128"/>
      <c r="B764" s="128"/>
      <c r="C764" s="128"/>
      <c r="D764" s="128"/>
      <c r="E764" s="128"/>
      <c r="F764" s="128"/>
      <c r="G764" s="953"/>
      <c r="H764" s="128"/>
      <c r="I764" s="128"/>
      <c r="J764" s="128"/>
      <c r="K764" s="128"/>
      <c r="L764" s="953"/>
      <c r="M764" s="128"/>
      <c r="O764" s="954"/>
      <c r="P764" s="954"/>
    </row>
    <row r="765" spans="1:16" s="106" customFormat="1">
      <c r="A765" s="128"/>
      <c r="B765" s="128"/>
      <c r="C765" s="128"/>
      <c r="D765" s="128"/>
      <c r="E765" s="128"/>
      <c r="F765" s="128"/>
      <c r="G765" s="953"/>
      <c r="H765" s="128"/>
      <c r="I765" s="128"/>
      <c r="J765" s="128"/>
      <c r="K765" s="128"/>
      <c r="L765" s="953"/>
      <c r="M765" s="128"/>
      <c r="O765" s="954"/>
      <c r="P765" s="954"/>
    </row>
    <row r="766" spans="1:16" s="106" customFormat="1">
      <c r="A766" s="128"/>
      <c r="B766" s="128"/>
      <c r="C766" s="128"/>
      <c r="D766" s="128"/>
      <c r="E766" s="128"/>
      <c r="F766" s="128"/>
      <c r="G766" s="953"/>
      <c r="H766" s="128"/>
      <c r="I766" s="128"/>
      <c r="J766" s="128"/>
      <c r="K766" s="128"/>
      <c r="L766" s="953"/>
      <c r="M766" s="128"/>
      <c r="O766" s="954"/>
      <c r="P766" s="954"/>
    </row>
    <row r="767" spans="1:16" s="106" customFormat="1">
      <c r="A767" s="128"/>
      <c r="B767" s="128"/>
      <c r="C767" s="128"/>
      <c r="D767" s="128"/>
      <c r="E767" s="128"/>
      <c r="F767" s="128"/>
      <c r="G767" s="953"/>
      <c r="H767" s="128"/>
      <c r="I767" s="128"/>
      <c r="J767" s="128"/>
      <c r="K767" s="128"/>
      <c r="L767" s="953"/>
      <c r="M767" s="128"/>
      <c r="O767" s="954"/>
      <c r="P767" s="954"/>
    </row>
    <row r="768" spans="1:16" s="106" customFormat="1">
      <c r="A768" s="128"/>
      <c r="B768" s="128"/>
      <c r="C768" s="128"/>
      <c r="D768" s="128"/>
      <c r="E768" s="128"/>
      <c r="F768" s="128"/>
      <c r="G768" s="953"/>
      <c r="H768" s="128"/>
      <c r="I768" s="128"/>
      <c r="J768" s="128"/>
      <c r="K768" s="128"/>
      <c r="L768" s="953"/>
      <c r="M768" s="128"/>
      <c r="O768" s="954"/>
      <c r="P768" s="954"/>
    </row>
    <row r="769" spans="1:16" s="106" customFormat="1">
      <c r="A769" s="128"/>
      <c r="B769" s="128"/>
      <c r="C769" s="128"/>
      <c r="D769" s="128"/>
      <c r="E769" s="128"/>
      <c r="F769" s="128"/>
      <c r="G769" s="953"/>
      <c r="H769" s="128"/>
      <c r="I769" s="128"/>
      <c r="J769" s="128"/>
      <c r="K769" s="128"/>
      <c r="L769" s="953"/>
      <c r="M769" s="128"/>
      <c r="O769" s="954"/>
      <c r="P769" s="954"/>
    </row>
    <row r="770" spans="1:16" s="106" customFormat="1">
      <c r="A770" s="128"/>
      <c r="B770" s="128"/>
      <c r="C770" s="128"/>
      <c r="D770" s="128"/>
      <c r="E770" s="128"/>
      <c r="F770" s="128"/>
      <c r="G770" s="953"/>
      <c r="H770" s="128"/>
      <c r="I770" s="128"/>
      <c r="J770" s="128"/>
      <c r="K770" s="128"/>
      <c r="L770" s="953"/>
      <c r="M770" s="128"/>
      <c r="O770" s="954"/>
      <c r="P770" s="954"/>
    </row>
    <row r="771" spans="1:16" s="106" customFormat="1">
      <c r="A771" s="128"/>
      <c r="B771" s="128"/>
      <c r="C771" s="128"/>
      <c r="D771" s="128"/>
      <c r="E771" s="128"/>
      <c r="F771" s="128"/>
      <c r="G771" s="953"/>
      <c r="H771" s="128"/>
      <c r="I771" s="128"/>
      <c r="J771" s="128"/>
      <c r="K771" s="128"/>
      <c r="L771" s="953"/>
      <c r="M771" s="128"/>
      <c r="O771" s="954"/>
      <c r="P771" s="954"/>
    </row>
    <row r="772" spans="1:16" s="106" customFormat="1">
      <c r="A772" s="128"/>
      <c r="B772" s="128"/>
      <c r="C772" s="128"/>
      <c r="D772" s="128"/>
      <c r="E772" s="128"/>
      <c r="F772" s="128"/>
      <c r="G772" s="953"/>
      <c r="H772" s="128"/>
      <c r="I772" s="128"/>
      <c r="J772" s="128"/>
      <c r="K772" s="128"/>
      <c r="L772" s="953"/>
      <c r="M772" s="128"/>
      <c r="O772" s="954"/>
      <c r="P772" s="954"/>
    </row>
    <row r="773" spans="1:16" s="106" customFormat="1">
      <c r="A773" s="128"/>
      <c r="B773" s="128"/>
      <c r="C773" s="128"/>
      <c r="D773" s="128"/>
      <c r="E773" s="128"/>
      <c r="F773" s="128"/>
      <c r="G773" s="953"/>
      <c r="H773" s="128"/>
      <c r="I773" s="128"/>
      <c r="J773" s="128"/>
      <c r="K773" s="128"/>
      <c r="L773" s="953"/>
      <c r="M773" s="128"/>
      <c r="O773" s="954"/>
      <c r="P773" s="954"/>
    </row>
    <row r="774" spans="1:16" s="106" customFormat="1">
      <c r="A774" s="128"/>
      <c r="B774" s="128"/>
      <c r="C774" s="128"/>
      <c r="D774" s="128"/>
      <c r="E774" s="128"/>
      <c r="F774" s="128"/>
      <c r="G774" s="953"/>
      <c r="H774" s="128"/>
      <c r="I774" s="128"/>
      <c r="J774" s="128"/>
      <c r="K774" s="128"/>
      <c r="L774" s="953"/>
      <c r="M774" s="128"/>
      <c r="O774" s="954"/>
      <c r="P774" s="954"/>
    </row>
    <row r="775" spans="1:16" s="106" customFormat="1">
      <c r="A775" s="128"/>
      <c r="B775" s="128"/>
      <c r="C775" s="128"/>
      <c r="D775" s="128"/>
      <c r="E775" s="128"/>
      <c r="F775" s="128"/>
      <c r="G775" s="953"/>
      <c r="H775" s="128"/>
      <c r="I775" s="128"/>
      <c r="J775" s="128"/>
      <c r="K775" s="128"/>
      <c r="L775" s="953"/>
      <c r="M775" s="128"/>
      <c r="O775" s="954"/>
      <c r="P775" s="954"/>
    </row>
    <row r="776" spans="1:16" s="106" customFormat="1">
      <c r="A776" s="128"/>
      <c r="B776" s="128"/>
      <c r="C776" s="128"/>
      <c r="D776" s="128"/>
      <c r="E776" s="128"/>
      <c r="F776" s="128"/>
      <c r="G776" s="953"/>
      <c r="H776" s="128"/>
      <c r="I776" s="128"/>
      <c r="J776" s="128"/>
      <c r="K776" s="128"/>
      <c r="L776" s="953"/>
      <c r="M776" s="128"/>
      <c r="O776" s="954"/>
      <c r="P776" s="954"/>
    </row>
    <row r="777" spans="1:16" s="106" customFormat="1">
      <c r="A777" s="128"/>
      <c r="B777" s="128"/>
      <c r="C777" s="128"/>
      <c r="D777" s="128"/>
      <c r="E777" s="128"/>
      <c r="F777" s="128"/>
      <c r="G777" s="953"/>
      <c r="H777" s="128"/>
      <c r="I777" s="128"/>
      <c r="J777" s="128"/>
      <c r="K777" s="128"/>
      <c r="L777" s="953"/>
      <c r="M777" s="128"/>
      <c r="O777" s="954"/>
      <c r="P777" s="954"/>
    </row>
    <row r="778" spans="1:16" s="106" customFormat="1">
      <c r="A778" s="128"/>
      <c r="B778" s="128"/>
      <c r="C778" s="128"/>
      <c r="D778" s="128"/>
      <c r="E778" s="128"/>
      <c r="F778" s="128"/>
      <c r="G778" s="953"/>
      <c r="H778" s="128"/>
      <c r="I778" s="128"/>
      <c r="J778" s="128"/>
      <c r="K778" s="128"/>
      <c r="L778" s="953"/>
      <c r="M778" s="128"/>
      <c r="O778" s="954"/>
      <c r="P778" s="954"/>
    </row>
    <row r="779" spans="1:16" s="106" customFormat="1">
      <c r="A779" s="128"/>
      <c r="B779" s="128"/>
      <c r="C779" s="128"/>
      <c r="D779" s="128"/>
      <c r="E779" s="128"/>
      <c r="F779" s="128"/>
      <c r="G779" s="953"/>
      <c r="H779" s="128"/>
      <c r="I779" s="128"/>
      <c r="J779" s="128"/>
      <c r="K779" s="128"/>
      <c r="L779" s="953"/>
      <c r="M779" s="128"/>
      <c r="O779" s="954"/>
      <c r="P779" s="954"/>
    </row>
    <row r="780" spans="1:16" s="106" customFormat="1">
      <c r="A780" s="128"/>
      <c r="B780" s="128"/>
      <c r="C780" s="128"/>
      <c r="D780" s="128"/>
      <c r="E780" s="128"/>
      <c r="F780" s="128"/>
      <c r="G780" s="953"/>
      <c r="H780" s="128"/>
      <c r="I780" s="128"/>
      <c r="J780" s="128"/>
      <c r="K780" s="128"/>
      <c r="L780" s="953"/>
      <c r="M780" s="128"/>
      <c r="O780" s="954"/>
      <c r="P780" s="954"/>
    </row>
    <row r="781" spans="1:16" s="106" customFormat="1">
      <c r="A781" s="128"/>
      <c r="B781" s="128"/>
      <c r="C781" s="128"/>
      <c r="D781" s="128"/>
      <c r="E781" s="128"/>
      <c r="F781" s="128"/>
      <c r="G781" s="953"/>
      <c r="H781" s="128"/>
      <c r="I781" s="128"/>
      <c r="J781" s="128"/>
      <c r="K781" s="128"/>
      <c r="L781" s="953"/>
      <c r="M781" s="128"/>
      <c r="O781" s="954"/>
      <c r="P781" s="954"/>
    </row>
    <row r="782" spans="1:16" s="106" customFormat="1">
      <c r="A782" s="128"/>
      <c r="B782" s="128"/>
      <c r="C782" s="128"/>
      <c r="D782" s="128"/>
      <c r="E782" s="128"/>
      <c r="F782" s="128"/>
      <c r="G782" s="953"/>
      <c r="H782" s="128"/>
      <c r="I782" s="128"/>
      <c r="J782" s="128"/>
      <c r="K782" s="128"/>
      <c r="L782" s="953"/>
      <c r="M782" s="128"/>
      <c r="O782" s="954"/>
      <c r="P782" s="954"/>
    </row>
    <row r="783" spans="1:16" s="106" customFormat="1">
      <c r="A783" s="128"/>
      <c r="B783" s="128"/>
      <c r="C783" s="128"/>
      <c r="D783" s="128"/>
      <c r="E783" s="128"/>
      <c r="F783" s="128"/>
      <c r="G783" s="953"/>
      <c r="H783" s="128"/>
      <c r="I783" s="128"/>
      <c r="J783" s="128"/>
      <c r="K783" s="128"/>
      <c r="L783" s="953"/>
      <c r="M783" s="128"/>
      <c r="O783" s="954"/>
      <c r="P783" s="954"/>
    </row>
    <row r="784" spans="1:16" s="106" customFormat="1">
      <c r="A784" s="128"/>
      <c r="B784" s="128"/>
      <c r="C784" s="128"/>
      <c r="D784" s="128"/>
      <c r="E784" s="128"/>
      <c r="F784" s="128"/>
      <c r="G784" s="953"/>
      <c r="H784" s="128"/>
      <c r="I784" s="128"/>
      <c r="J784" s="128"/>
      <c r="K784" s="128"/>
      <c r="L784" s="953"/>
      <c r="M784" s="128"/>
      <c r="O784" s="954"/>
      <c r="P784" s="954"/>
    </row>
    <row r="785" spans="1:16" s="106" customFormat="1">
      <c r="A785" s="128"/>
      <c r="B785" s="128"/>
      <c r="C785" s="128"/>
      <c r="D785" s="128"/>
      <c r="E785" s="128"/>
      <c r="F785" s="128"/>
      <c r="G785" s="953"/>
      <c r="H785" s="128"/>
      <c r="I785" s="128"/>
      <c r="J785" s="128"/>
      <c r="K785" s="128"/>
      <c r="L785" s="953"/>
      <c r="M785" s="128"/>
      <c r="O785" s="954"/>
      <c r="P785" s="954"/>
    </row>
    <row r="786" spans="1:16" s="106" customFormat="1">
      <c r="A786" s="128"/>
      <c r="B786" s="128"/>
      <c r="C786" s="128"/>
      <c r="D786" s="128"/>
      <c r="E786" s="128"/>
      <c r="F786" s="128"/>
      <c r="G786" s="953"/>
      <c r="H786" s="128"/>
      <c r="I786" s="128"/>
      <c r="J786" s="128"/>
      <c r="K786" s="128"/>
      <c r="L786" s="953"/>
      <c r="M786" s="128"/>
      <c r="O786" s="954"/>
      <c r="P786" s="954"/>
    </row>
    <row r="787" spans="1:16" s="106" customFormat="1">
      <c r="A787" s="128"/>
      <c r="B787" s="128"/>
      <c r="C787" s="128"/>
      <c r="D787" s="128"/>
      <c r="E787" s="128"/>
      <c r="F787" s="128"/>
      <c r="G787" s="953"/>
      <c r="H787" s="128"/>
      <c r="I787" s="128"/>
      <c r="J787" s="128"/>
      <c r="K787" s="128"/>
      <c r="L787" s="953"/>
      <c r="M787" s="128"/>
      <c r="O787" s="954"/>
      <c r="P787" s="954"/>
    </row>
    <row r="788" spans="1:16" s="106" customFormat="1">
      <c r="A788" s="128"/>
      <c r="B788" s="128"/>
      <c r="C788" s="128"/>
      <c r="D788" s="128"/>
      <c r="E788" s="128"/>
      <c r="F788" s="128"/>
      <c r="G788" s="953"/>
      <c r="H788" s="128"/>
      <c r="I788" s="128"/>
      <c r="J788" s="128"/>
      <c r="K788" s="128"/>
      <c r="L788" s="953"/>
      <c r="M788" s="128"/>
      <c r="O788" s="954"/>
      <c r="P788" s="954"/>
    </row>
    <row r="789" spans="1:16" s="106" customFormat="1">
      <c r="A789" s="128"/>
      <c r="B789" s="128"/>
      <c r="C789" s="128"/>
      <c r="D789" s="128"/>
      <c r="E789" s="128"/>
      <c r="F789" s="128"/>
      <c r="G789" s="953"/>
      <c r="H789" s="128"/>
      <c r="I789" s="128"/>
      <c r="J789" s="128"/>
      <c r="K789" s="128"/>
      <c r="L789" s="953"/>
      <c r="M789" s="128"/>
      <c r="O789" s="954"/>
      <c r="P789" s="954"/>
    </row>
    <row r="790" spans="1:16" s="106" customFormat="1">
      <c r="A790" s="128"/>
      <c r="B790" s="128"/>
      <c r="C790" s="128"/>
      <c r="D790" s="128"/>
      <c r="E790" s="128"/>
      <c r="F790" s="128"/>
      <c r="G790" s="953"/>
      <c r="H790" s="128"/>
      <c r="I790" s="128"/>
      <c r="J790" s="128"/>
      <c r="K790" s="128"/>
      <c r="L790" s="953"/>
      <c r="M790" s="128"/>
      <c r="O790" s="954"/>
      <c r="P790" s="954"/>
    </row>
    <row r="791" spans="1:16" s="106" customFormat="1">
      <c r="A791" s="128"/>
      <c r="B791" s="128"/>
      <c r="C791" s="128"/>
      <c r="D791" s="128"/>
      <c r="E791" s="128"/>
      <c r="F791" s="128"/>
      <c r="G791" s="953"/>
      <c r="H791" s="128"/>
      <c r="I791" s="128"/>
      <c r="J791" s="128"/>
      <c r="K791" s="128"/>
      <c r="L791" s="953"/>
      <c r="M791" s="128"/>
      <c r="O791" s="954"/>
      <c r="P791" s="954"/>
    </row>
    <row r="792" spans="1:16" s="106" customFormat="1">
      <c r="A792" s="128"/>
      <c r="B792" s="128"/>
      <c r="C792" s="128"/>
      <c r="D792" s="128"/>
      <c r="E792" s="128"/>
      <c r="F792" s="128"/>
      <c r="G792" s="953"/>
      <c r="H792" s="128"/>
      <c r="I792" s="128"/>
      <c r="J792" s="128"/>
      <c r="K792" s="128"/>
      <c r="L792" s="953"/>
      <c r="M792" s="128"/>
      <c r="O792" s="954"/>
      <c r="P792" s="954"/>
    </row>
    <row r="793" spans="1:16" s="106" customFormat="1">
      <c r="A793" s="128"/>
      <c r="B793" s="128"/>
      <c r="C793" s="128"/>
      <c r="D793" s="128"/>
      <c r="E793" s="128"/>
      <c r="F793" s="128"/>
      <c r="G793" s="953"/>
      <c r="H793" s="128"/>
      <c r="I793" s="128"/>
      <c r="J793" s="128"/>
      <c r="K793" s="128"/>
      <c r="L793" s="953"/>
      <c r="M793" s="128"/>
      <c r="O793" s="954"/>
      <c r="P793" s="954"/>
    </row>
    <row r="794" spans="1:16" s="106" customFormat="1">
      <c r="A794" s="128"/>
      <c r="B794" s="128"/>
      <c r="C794" s="128"/>
      <c r="D794" s="128"/>
      <c r="E794" s="128"/>
      <c r="F794" s="128"/>
      <c r="G794" s="953"/>
      <c r="H794" s="128"/>
      <c r="I794" s="128"/>
      <c r="J794" s="128"/>
      <c r="K794" s="128"/>
      <c r="L794" s="953"/>
      <c r="M794" s="128"/>
      <c r="O794" s="954"/>
      <c r="P794" s="954"/>
    </row>
    <row r="795" spans="1:16" s="106" customFormat="1">
      <c r="A795" s="128"/>
      <c r="B795" s="128"/>
      <c r="C795" s="128"/>
      <c r="D795" s="128"/>
      <c r="E795" s="128"/>
      <c r="F795" s="128"/>
      <c r="G795" s="953"/>
      <c r="H795" s="128"/>
      <c r="I795" s="128"/>
      <c r="J795" s="128"/>
      <c r="K795" s="128"/>
      <c r="L795" s="953"/>
      <c r="M795" s="128"/>
      <c r="O795" s="954"/>
      <c r="P795" s="954"/>
    </row>
    <row r="796" spans="1:16" s="106" customFormat="1">
      <c r="A796" s="128"/>
      <c r="B796" s="128"/>
      <c r="C796" s="128"/>
      <c r="D796" s="128"/>
      <c r="E796" s="128"/>
      <c r="F796" s="128"/>
      <c r="G796" s="953"/>
      <c r="H796" s="128"/>
      <c r="I796" s="128"/>
      <c r="J796" s="128"/>
      <c r="K796" s="128"/>
      <c r="L796" s="953"/>
      <c r="M796" s="128"/>
      <c r="O796" s="954"/>
      <c r="P796" s="954"/>
    </row>
    <row r="797" spans="1:16" s="106" customFormat="1">
      <c r="A797" s="128"/>
      <c r="B797" s="128"/>
      <c r="C797" s="128"/>
      <c r="D797" s="128"/>
      <c r="E797" s="128"/>
      <c r="F797" s="128"/>
      <c r="G797" s="953"/>
      <c r="H797" s="128"/>
      <c r="I797" s="128"/>
      <c r="J797" s="128"/>
      <c r="K797" s="128"/>
      <c r="L797" s="953"/>
      <c r="M797" s="128"/>
      <c r="O797" s="954"/>
      <c r="P797" s="954"/>
    </row>
    <row r="798" spans="1:16" s="106" customFormat="1">
      <c r="A798" s="128"/>
      <c r="B798" s="128"/>
      <c r="C798" s="128"/>
      <c r="D798" s="128"/>
      <c r="E798" s="128"/>
      <c r="F798" s="128"/>
      <c r="G798" s="953"/>
      <c r="H798" s="128"/>
      <c r="I798" s="128"/>
      <c r="J798" s="128"/>
      <c r="K798" s="128"/>
      <c r="L798" s="953"/>
      <c r="M798" s="128"/>
      <c r="O798" s="954"/>
      <c r="P798" s="954"/>
    </row>
    <row r="799" spans="1:16" s="106" customFormat="1">
      <c r="A799" s="128"/>
      <c r="B799" s="128"/>
      <c r="C799" s="128"/>
      <c r="D799" s="128"/>
      <c r="E799" s="128"/>
      <c r="F799" s="128"/>
      <c r="G799" s="953"/>
      <c r="H799" s="128"/>
      <c r="I799" s="128"/>
      <c r="J799" s="128"/>
      <c r="K799" s="128"/>
      <c r="L799" s="953"/>
      <c r="M799" s="128"/>
      <c r="O799" s="954"/>
      <c r="P799" s="954"/>
    </row>
    <row r="800" spans="1:16" s="106" customFormat="1">
      <c r="A800" s="128"/>
      <c r="B800" s="128"/>
      <c r="C800" s="128"/>
      <c r="D800" s="128"/>
      <c r="E800" s="128"/>
      <c r="F800" s="128"/>
      <c r="G800" s="953"/>
      <c r="H800" s="128"/>
      <c r="I800" s="128"/>
      <c r="J800" s="128"/>
      <c r="K800" s="128"/>
      <c r="L800" s="953"/>
      <c r="M800" s="128"/>
      <c r="O800" s="954"/>
      <c r="P800" s="954"/>
    </row>
    <row r="801" spans="1:16" s="106" customFormat="1">
      <c r="A801" s="128"/>
      <c r="B801" s="128"/>
      <c r="C801" s="128"/>
      <c r="D801" s="128"/>
      <c r="E801" s="128"/>
      <c r="F801" s="128"/>
      <c r="G801" s="953"/>
      <c r="H801" s="128"/>
      <c r="I801" s="128"/>
      <c r="J801" s="128"/>
      <c r="K801" s="128"/>
      <c r="L801" s="953"/>
      <c r="M801" s="128"/>
      <c r="O801" s="954"/>
      <c r="P801" s="954"/>
    </row>
    <row r="802" spans="1:16" s="106" customFormat="1">
      <c r="A802" s="128"/>
      <c r="B802" s="128"/>
      <c r="C802" s="128"/>
      <c r="D802" s="128"/>
      <c r="E802" s="128"/>
      <c r="F802" s="128"/>
      <c r="G802" s="953"/>
      <c r="H802" s="128"/>
      <c r="I802" s="128"/>
      <c r="J802" s="128"/>
      <c r="K802" s="128"/>
      <c r="L802" s="953"/>
      <c r="M802" s="128"/>
      <c r="O802" s="954"/>
      <c r="P802" s="954"/>
    </row>
    <row r="803" spans="1:16" s="106" customFormat="1">
      <c r="A803" s="128"/>
      <c r="B803" s="128"/>
      <c r="C803" s="128"/>
      <c r="D803" s="128"/>
      <c r="E803" s="128"/>
      <c r="F803" s="128"/>
      <c r="G803" s="953"/>
      <c r="H803" s="128"/>
      <c r="I803" s="128"/>
      <c r="J803" s="128"/>
      <c r="K803" s="128"/>
      <c r="L803" s="953"/>
      <c r="M803" s="128"/>
      <c r="O803" s="954"/>
      <c r="P803" s="954"/>
    </row>
    <row r="804" spans="1:16" s="106" customFormat="1">
      <c r="A804" s="128"/>
      <c r="B804" s="128"/>
      <c r="C804" s="128"/>
      <c r="D804" s="128"/>
      <c r="E804" s="128"/>
      <c r="F804" s="128"/>
      <c r="G804" s="953"/>
      <c r="H804" s="128"/>
      <c r="I804" s="128"/>
      <c r="J804" s="128"/>
      <c r="K804" s="128"/>
      <c r="L804" s="953"/>
      <c r="M804" s="128"/>
      <c r="O804" s="954"/>
      <c r="P804" s="954"/>
    </row>
    <row r="805" spans="1:16" s="106" customFormat="1">
      <c r="A805" s="128"/>
      <c r="B805" s="128"/>
      <c r="C805" s="128"/>
      <c r="D805" s="128"/>
      <c r="E805" s="128"/>
      <c r="F805" s="128"/>
      <c r="G805" s="953"/>
      <c r="H805" s="128"/>
      <c r="I805" s="128"/>
      <c r="J805" s="128"/>
      <c r="K805" s="128"/>
      <c r="L805" s="953"/>
      <c r="M805" s="128"/>
      <c r="O805" s="954"/>
      <c r="P805" s="954"/>
    </row>
    <row r="806" spans="1:16" s="106" customFormat="1">
      <c r="A806" s="128"/>
      <c r="B806" s="128"/>
      <c r="C806" s="128"/>
      <c r="D806" s="128"/>
      <c r="E806" s="128"/>
      <c r="F806" s="128"/>
      <c r="G806" s="953"/>
      <c r="H806" s="128"/>
      <c r="I806" s="128"/>
      <c r="J806" s="128"/>
      <c r="K806" s="128"/>
      <c r="L806" s="953"/>
      <c r="M806" s="128"/>
      <c r="O806" s="954"/>
      <c r="P806" s="954"/>
    </row>
    <row r="807" spans="1:16" s="106" customFormat="1">
      <c r="A807" s="128"/>
      <c r="B807" s="128"/>
      <c r="C807" s="128"/>
      <c r="D807" s="128"/>
      <c r="E807" s="128"/>
      <c r="F807" s="128"/>
      <c r="G807" s="953"/>
      <c r="H807" s="128"/>
      <c r="I807" s="128"/>
      <c r="J807" s="128"/>
      <c r="K807" s="128"/>
      <c r="L807" s="953"/>
      <c r="M807" s="128"/>
      <c r="O807" s="954"/>
      <c r="P807" s="954"/>
    </row>
    <row r="808" spans="1:16" s="106" customFormat="1">
      <c r="A808" s="128"/>
      <c r="B808" s="128"/>
      <c r="C808" s="128"/>
      <c r="D808" s="128"/>
      <c r="E808" s="128"/>
      <c r="F808" s="128"/>
      <c r="G808" s="953"/>
      <c r="H808" s="128"/>
      <c r="I808" s="128"/>
      <c r="J808" s="128"/>
      <c r="K808" s="128"/>
      <c r="L808" s="953"/>
      <c r="M808" s="128"/>
      <c r="O808" s="954"/>
      <c r="P808" s="954"/>
    </row>
    <row r="809" spans="1:16" s="106" customFormat="1">
      <c r="A809" s="128"/>
      <c r="B809" s="128"/>
      <c r="C809" s="128"/>
      <c r="D809" s="128"/>
      <c r="E809" s="128"/>
      <c r="F809" s="128"/>
      <c r="G809" s="953"/>
      <c r="H809" s="128"/>
      <c r="I809" s="128"/>
      <c r="J809" s="128"/>
      <c r="K809" s="128"/>
      <c r="L809" s="953"/>
      <c r="M809" s="128"/>
      <c r="O809" s="954"/>
      <c r="P809" s="954"/>
    </row>
    <row r="810" spans="1:16" s="106" customFormat="1">
      <c r="A810" s="128"/>
      <c r="B810" s="128"/>
      <c r="C810" s="128"/>
      <c r="D810" s="128"/>
      <c r="E810" s="128"/>
      <c r="F810" s="128"/>
      <c r="G810" s="953"/>
      <c r="H810" s="128"/>
      <c r="I810" s="128"/>
      <c r="J810" s="128"/>
      <c r="K810" s="128"/>
      <c r="L810" s="953"/>
      <c r="M810" s="128"/>
      <c r="O810" s="954"/>
      <c r="P810" s="954"/>
    </row>
    <row r="811" spans="1:16" s="106" customFormat="1">
      <c r="A811" s="128"/>
      <c r="B811" s="128"/>
      <c r="C811" s="128"/>
      <c r="D811" s="128"/>
      <c r="E811" s="128"/>
      <c r="F811" s="128"/>
      <c r="G811" s="953"/>
      <c r="H811" s="128"/>
      <c r="I811" s="128"/>
      <c r="J811" s="128"/>
      <c r="K811" s="128"/>
      <c r="L811" s="953"/>
      <c r="M811" s="128"/>
      <c r="O811" s="954"/>
      <c r="P811" s="954"/>
    </row>
    <row r="812" spans="1:16" s="106" customFormat="1">
      <c r="A812" s="128"/>
      <c r="B812" s="128"/>
      <c r="C812" s="128"/>
      <c r="D812" s="128"/>
      <c r="E812" s="128"/>
      <c r="F812" s="128"/>
      <c r="G812" s="953"/>
      <c r="H812" s="128"/>
      <c r="I812" s="128"/>
      <c r="J812" s="128"/>
      <c r="K812" s="128"/>
      <c r="L812" s="953"/>
      <c r="M812" s="128"/>
      <c r="O812" s="954"/>
      <c r="P812" s="954"/>
    </row>
    <row r="813" spans="1:16" s="106" customFormat="1">
      <c r="A813" s="128"/>
      <c r="B813" s="128"/>
      <c r="C813" s="128"/>
      <c r="D813" s="128"/>
      <c r="E813" s="128"/>
      <c r="F813" s="128"/>
      <c r="G813" s="953"/>
      <c r="H813" s="128"/>
      <c r="I813" s="128"/>
      <c r="J813" s="128"/>
      <c r="K813" s="128"/>
      <c r="L813" s="953"/>
      <c r="M813" s="128"/>
      <c r="O813" s="954"/>
      <c r="P813" s="954"/>
    </row>
    <row r="814" spans="1:16" s="106" customFormat="1">
      <c r="A814" s="128"/>
      <c r="B814" s="128"/>
      <c r="C814" s="128"/>
      <c r="D814" s="128"/>
      <c r="E814" s="128"/>
      <c r="F814" s="128"/>
      <c r="G814" s="953"/>
      <c r="H814" s="128"/>
      <c r="I814" s="128"/>
      <c r="J814" s="128"/>
      <c r="K814" s="128"/>
      <c r="L814" s="953"/>
      <c r="M814" s="128"/>
      <c r="O814" s="954"/>
      <c r="P814" s="954"/>
    </row>
    <row r="815" spans="1:16" s="106" customFormat="1">
      <c r="A815" s="128"/>
      <c r="B815" s="128"/>
      <c r="C815" s="128"/>
      <c r="D815" s="128"/>
      <c r="E815" s="128"/>
      <c r="F815" s="128"/>
      <c r="G815" s="953"/>
      <c r="H815" s="128"/>
      <c r="I815" s="128"/>
      <c r="J815" s="128"/>
      <c r="K815" s="128"/>
      <c r="L815" s="953"/>
      <c r="M815" s="128"/>
      <c r="O815" s="954"/>
      <c r="P815" s="954"/>
    </row>
    <row r="816" spans="1:16" s="106" customFormat="1">
      <c r="A816" s="128"/>
      <c r="B816" s="128"/>
      <c r="C816" s="128"/>
      <c r="D816" s="128"/>
      <c r="E816" s="128"/>
      <c r="F816" s="128"/>
      <c r="G816" s="953"/>
      <c r="H816" s="128"/>
      <c r="I816" s="128"/>
      <c r="J816" s="128"/>
      <c r="K816" s="128"/>
      <c r="L816" s="953"/>
      <c r="M816" s="128"/>
      <c r="O816" s="954"/>
      <c r="P816" s="954"/>
    </row>
    <row r="817" spans="1:16" s="106" customFormat="1">
      <c r="A817" s="128"/>
      <c r="B817" s="128"/>
      <c r="C817" s="128"/>
      <c r="D817" s="128"/>
      <c r="E817" s="128"/>
      <c r="F817" s="128"/>
      <c r="G817" s="953"/>
      <c r="H817" s="128"/>
      <c r="I817" s="128"/>
      <c r="J817" s="128"/>
      <c r="K817" s="128"/>
      <c r="L817" s="953"/>
      <c r="M817" s="128"/>
      <c r="O817" s="954"/>
      <c r="P817" s="954"/>
    </row>
    <row r="818" spans="1:16" s="106" customFormat="1">
      <c r="A818" s="128"/>
      <c r="B818" s="128"/>
      <c r="C818" s="128"/>
      <c r="D818" s="128"/>
      <c r="E818" s="128"/>
      <c r="F818" s="128"/>
      <c r="G818" s="953"/>
      <c r="H818" s="128"/>
      <c r="I818" s="128"/>
      <c r="J818" s="128"/>
      <c r="K818" s="128"/>
      <c r="L818" s="953"/>
      <c r="M818" s="128"/>
      <c r="O818" s="954"/>
      <c r="P818" s="954"/>
    </row>
    <row r="819" spans="1:16" s="106" customFormat="1">
      <c r="A819" s="128"/>
      <c r="B819" s="128"/>
      <c r="C819" s="128"/>
      <c r="D819" s="128"/>
      <c r="E819" s="128"/>
      <c r="F819" s="128"/>
      <c r="G819" s="953"/>
      <c r="H819" s="128"/>
      <c r="I819" s="128"/>
      <c r="J819" s="128"/>
      <c r="K819" s="128"/>
      <c r="L819" s="953"/>
      <c r="M819" s="128"/>
      <c r="O819" s="954"/>
      <c r="P819" s="954"/>
    </row>
    <row r="820" spans="1:16" s="106" customFormat="1">
      <c r="A820" s="128"/>
      <c r="B820" s="128"/>
      <c r="C820" s="128"/>
      <c r="D820" s="128"/>
      <c r="E820" s="128"/>
      <c r="F820" s="128"/>
      <c r="G820" s="953"/>
      <c r="H820" s="128"/>
      <c r="I820" s="128"/>
      <c r="J820" s="128"/>
      <c r="K820" s="128"/>
      <c r="L820" s="953"/>
      <c r="M820" s="128"/>
      <c r="O820" s="954"/>
      <c r="P820" s="954"/>
    </row>
    <row r="821" spans="1:16" s="106" customFormat="1">
      <c r="A821" s="128"/>
      <c r="B821" s="128"/>
      <c r="C821" s="128"/>
      <c r="D821" s="128"/>
      <c r="E821" s="128"/>
      <c r="F821" s="128"/>
      <c r="G821" s="953"/>
      <c r="H821" s="128"/>
      <c r="I821" s="128"/>
      <c r="J821" s="128"/>
      <c r="K821" s="128"/>
      <c r="L821" s="953"/>
      <c r="M821" s="128"/>
      <c r="O821" s="954"/>
      <c r="P821" s="954"/>
    </row>
    <row r="822" spans="1:16" s="106" customFormat="1">
      <c r="A822" s="128"/>
      <c r="B822" s="128"/>
      <c r="C822" s="128"/>
      <c r="D822" s="128"/>
      <c r="E822" s="128"/>
      <c r="F822" s="128"/>
      <c r="G822" s="953"/>
      <c r="H822" s="128"/>
      <c r="I822" s="128"/>
      <c r="J822" s="128"/>
      <c r="K822" s="128"/>
      <c r="L822" s="953"/>
      <c r="M822" s="128"/>
      <c r="O822" s="954"/>
      <c r="P822" s="954"/>
    </row>
    <row r="823" spans="1:16" s="106" customFormat="1">
      <c r="A823" s="128"/>
      <c r="B823" s="128"/>
      <c r="C823" s="128"/>
      <c r="D823" s="128"/>
      <c r="E823" s="128"/>
      <c r="F823" s="128"/>
      <c r="G823" s="953"/>
      <c r="H823" s="128"/>
      <c r="I823" s="128"/>
      <c r="J823" s="128"/>
      <c r="K823" s="128"/>
      <c r="L823" s="953"/>
      <c r="M823" s="128"/>
      <c r="O823" s="954"/>
      <c r="P823" s="954"/>
    </row>
    <row r="824" spans="1:16" s="106" customFormat="1">
      <c r="A824" s="128"/>
      <c r="B824" s="128"/>
      <c r="C824" s="128"/>
      <c r="D824" s="128"/>
      <c r="E824" s="128"/>
      <c r="F824" s="128"/>
      <c r="G824" s="953"/>
      <c r="H824" s="128"/>
      <c r="I824" s="128"/>
      <c r="J824" s="128"/>
      <c r="K824" s="128"/>
      <c r="L824" s="953"/>
      <c r="M824" s="128"/>
      <c r="O824" s="954"/>
      <c r="P824" s="954"/>
    </row>
    <row r="825" spans="1:16" s="106" customFormat="1">
      <c r="A825" s="128"/>
      <c r="B825" s="128"/>
      <c r="C825" s="128"/>
      <c r="D825" s="128"/>
      <c r="E825" s="128"/>
      <c r="F825" s="128"/>
      <c r="G825" s="953"/>
      <c r="H825" s="128"/>
      <c r="I825" s="128"/>
      <c r="J825" s="128"/>
      <c r="K825" s="128"/>
      <c r="L825" s="953"/>
      <c r="M825" s="128"/>
      <c r="O825" s="954"/>
      <c r="P825" s="954"/>
    </row>
    <row r="826" spans="1:16" s="106" customFormat="1">
      <c r="A826" s="128"/>
      <c r="B826" s="128"/>
      <c r="C826" s="128"/>
      <c r="D826" s="128"/>
      <c r="E826" s="128"/>
      <c r="F826" s="128"/>
      <c r="G826" s="953"/>
      <c r="H826" s="128"/>
      <c r="I826" s="128"/>
      <c r="J826" s="128"/>
      <c r="K826" s="128"/>
      <c r="L826" s="953"/>
      <c r="M826" s="128"/>
      <c r="O826" s="954"/>
      <c r="P826" s="954"/>
    </row>
    <row r="827" spans="1:16" s="106" customFormat="1">
      <c r="A827" s="128"/>
      <c r="B827" s="128"/>
      <c r="C827" s="128"/>
      <c r="D827" s="128"/>
      <c r="E827" s="128"/>
      <c r="F827" s="128"/>
      <c r="G827" s="953"/>
      <c r="H827" s="128"/>
      <c r="I827" s="128"/>
      <c r="J827" s="128"/>
      <c r="K827" s="128"/>
      <c r="L827" s="953"/>
      <c r="M827" s="128"/>
      <c r="O827" s="954"/>
      <c r="P827" s="954"/>
    </row>
    <row r="828" spans="1:16" s="106" customFormat="1">
      <c r="A828" s="128"/>
      <c r="B828" s="128"/>
      <c r="C828" s="128"/>
      <c r="D828" s="128"/>
      <c r="E828" s="128"/>
      <c r="F828" s="128"/>
      <c r="G828" s="953"/>
      <c r="H828" s="128"/>
      <c r="I828" s="128"/>
      <c r="J828" s="128"/>
      <c r="K828" s="128"/>
      <c r="L828" s="953"/>
      <c r="M828" s="128"/>
      <c r="O828" s="954"/>
      <c r="P828" s="954"/>
    </row>
    <row r="829" spans="1:16" s="106" customFormat="1">
      <c r="A829" s="128"/>
      <c r="B829" s="128"/>
      <c r="C829" s="128"/>
      <c r="D829" s="128"/>
      <c r="E829" s="128"/>
      <c r="F829" s="128"/>
      <c r="G829" s="953"/>
      <c r="H829" s="128"/>
      <c r="I829" s="128"/>
      <c r="J829" s="128"/>
      <c r="K829" s="128"/>
      <c r="L829" s="953"/>
      <c r="M829" s="128"/>
      <c r="O829" s="954"/>
      <c r="P829" s="954"/>
    </row>
    <row r="830" spans="1:16" s="106" customFormat="1">
      <c r="A830" s="128"/>
      <c r="B830" s="128"/>
      <c r="C830" s="128"/>
      <c r="D830" s="128"/>
      <c r="E830" s="128"/>
      <c r="F830" s="128"/>
      <c r="G830" s="953"/>
      <c r="H830" s="128"/>
      <c r="I830" s="128"/>
      <c r="J830" s="128"/>
      <c r="K830" s="128"/>
      <c r="L830" s="953"/>
      <c r="M830" s="128"/>
      <c r="O830" s="954"/>
      <c r="P830" s="954"/>
    </row>
    <row r="831" spans="1:16" s="106" customFormat="1">
      <c r="A831" s="128"/>
      <c r="B831" s="128"/>
      <c r="C831" s="128"/>
      <c r="D831" s="128"/>
      <c r="E831" s="128"/>
      <c r="F831" s="128"/>
      <c r="G831" s="953"/>
      <c r="H831" s="128"/>
      <c r="I831" s="128"/>
      <c r="J831" s="128"/>
      <c r="K831" s="128"/>
      <c r="L831" s="953"/>
      <c r="M831" s="128"/>
      <c r="O831" s="954"/>
      <c r="P831" s="954"/>
    </row>
    <row r="832" spans="1:16" s="106" customFormat="1">
      <c r="A832" s="128"/>
      <c r="B832" s="128"/>
      <c r="C832" s="128"/>
      <c r="D832" s="128"/>
      <c r="E832" s="128"/>
      <c r="F832" s="128"/>
      <c r="G832" s="953"/>
      <c r="H832" s="128"/>
      <c r="I832" s="128"/>
      <c r="J832" s="128"/>
      <c r="K832" s="128"/>
      <c r="L832" s="953"/>
      <c r="M832" s="128"/>
      <c r="O832" s="954"/>
      <c r="P832" s="954"/>
    </row>
    <row r="833" spans="1:16" s="106" customFormat="1">
      <c r="A833" s="128"/>
      <c r="B833" s="128"/>
      <c r="C833" s="128"/>
      <c r="D833" s="128"/>
      <c r="E833" s="128"/>
      <c r="F833" s="128"/>
      <c r="G833" s="953"/>
      <c r="H833" s="128"/>
      <c r="I833" s="128"/>
      <c r="J833" s="128"/>
      <c r="K833" s="128"/>
      <c r="L833" s="953"/>
      <c r="M833" s="128"/>
      <c r="O833" s="954"/>
      <c r="P833" s="954"/>
    </row>
    <row r="834" spans="1:16" s="106" customFormat="1">
      <c r="A834" s="128"/>
      <c r="B834" s="128"/>
      <c r="C834" s="128"/>
      <c r="D834" s="128"/>
      <c r="E834" s="128"/>
      <c r="F834" s="128"/>
      <c r="G834" s="953"/>
      <c r="H834" s="128"/>
      <c r="I834" s="128"/>
      <c r="J834" s="128"/>
      <c r="K834" s="128"/>
      <c r="L834" s="953"/>
      <c r="M834" s="128"/>
      <c r="O834" s="954"/>
      <c r="P834" s="954"/>
    </row>
    <row r="835" spans="1:16" s="106" customFormat="1">
      <c r="A835" s="128"/>
      <c r="B835" s="128"/>
      <c r="C835" s="128"/>
      <c r="D835" s="128"/>
      <c r="E835" s="128"/>
      <c r="F835" s="128"/>
      <c r="G835" s="953"/>
      <c r="H835" s="128"/>
      <c r="I835" s="128"/>
      <c r="J835" s="128"/>
      <c r="K835" s="128"/>
      <c r="L835" s="953"/>
      <c r="M835" s="128"/>
      <c r="O835" s="954"/>
      <c r="P835" s="954"/>
    </row>
    <row r="836" spans="1:16" s="106" customFormat="1">
      <c r="A836" s="128"/>
      <c r="B836" s="128"/>
      <c r="C836" s="128"/>
      <c r="D836" s="128"/>
      <c r="E836" s="128"/>
      <c r="F836" s="128"/>
      <c r="G836" s="953"/>
      <c r="H836" s="128"/>
      <c r="I836" s="128"/>
      <c r="J836" s="128"/>
      <c r="K836" s="128"/>
      <c r="L836" s="953"/>
      <c r="M836" s="128"/>
      <c r="O836" s="954"/>
      <c r="P836" s="954"/>
    </row>
    <row r="837" spans="1:16" s="106" customFormat="1">
      <c r="A837" s="128"/>
      <c r="B837" s="128"/>
      <c r="C837" s="128"/>
      <c r="D837" s="128"/>
      <c r="E837" s="128"/>
      <c r="F837" s="128"/>
      <c r="G837" s="953"/>
      <c r="H837" s="128"/>
      <c r="I837" s="128"/>
      <c r="J837" s="128"/>
      <c r="K837" s="128"/>
      <c r="L837" s="953"/>
      <c r="M837" s="128"/>
      <c r="O837" s="954"/>
      <c r="P837" s="954"/>
    </row>
    <row r="838" spans="1:16" s="106" customFormat="1">
      <c r="A838" s="128"/>
      <c r="B838" s="128"/>
      <c r="C838" s="128"/>
      <c r="D838" s="128"/>
      <c r="E838" s="128"/>
      <c r="F838" s="128"/>
      <c r="G838" s="953"/>
      <c r="H838" s="128"/>
      <c r="I838" s="128"/>
      <c r="J838" s="128"/>
      <c r="K838" s="128"/>
      <c r="L838" s="953"/>
      <c r="M838" s="128"/>
      <c r="O838" s="954"/>
      <c r="P838" s="954"/>
    </row>
    <row r="839" spans="1:16" s="106" customFormat="1">
      <c r="A839" s="128"/>
      <c r="B839" s="128"/>
      <c r="C839" s="128"/>
      <c r="D839" s="128"/>
      <c r="E839" s="128"/>
      <c r="F839" s="128"/>
      <c r="G839" s="953"/>
      <c r="H839" s="128"/>
      <c r="I839" s="128"/>
      <c r="J839" s="128"/>
      <c r="K839" s="128"/>
      <c r="L839" s="953"/>
      <c r="M839" s="128"/>
      <c r="O839" s="954"/>
      <c r="P839" s="954"/>
    </row>
    <row r="840" spans="1:16" s="106" customFormat="1">
      <c r="A840" s="128"/>
      <c r="B840" s="128"/>
      <c r="C840" s="128"/>
      <c r="D840" s="128"/>
      <c r="E840" s="128"/>
      <c r="F840" s="128"/>
      <c r="G840" s="953"/>
      <c r="H840" s="128"/>
      <c r="I840" s="128"/>
      <c r="J840" s="128"/>
      <c r="K840" s="128"/>
      <c r="L840" s="953"/>
      <c r="M840" s="128"/>
      <c r="O840" s="954"/>
      <c r="P840" s="954"/>
    </row>
    <row r="841" spans="1:16" s="106" customFormat="1">
      <c r="A841" s="128"/>
      <c r="B841" s="128"/>
      <c r="C841" s="128"/>
      <c r="D841" s="128"/>
      <c r="E841" s="128"/>
      <c r="F841" s="128"/>
      <c r="G841" s="953"/>
      <c r="H841" s="128"/>
      <c r="I841" s="128"/>
      <c r="J841" s="128"/>
      <c r="K841" s="128"/>
      <c r="L841" s="953"/>
      <c r="M841" s="128"/>
      <c r="O841" s="954"/>
      <c r="P841" s="954"/>
    </row>
    <row r="842" spans="1:16" s="106" customFormat="1">
      <c r="A842" s="128"/>
      <c r="B842" s="128"/>
      <c r="C842" s="128"/>
      <c r="D842" s="128"/>
      <c r="E842" s="128"/>
      <c r="F842" s="128"/>
      <c r="G842" s="953"/>
      <c r="H842" s="128"/>
      <c r="I842" s="128"/>
      <c r="J842" s="128"/>
      <c r="K842" s="128"/>
      <c r="L842" s="953"/>
      <c r="M842" s="128"/>
      <c r="O842" s="954"/>
      <c r="P842" s="954"/>
    </row>
    <row r="843" spans="1:16" s="106" customFormat="1">
      <c r="A843" s="128"/>
      <c r="B843" s="128"/>
      <c r="C843" s="128"/>
      <c r="D843" s="128"/>
      <c r="E843" s="128"/>
      <c r="F843" s="128"/>
      <c r="G843" s="953"/>
      <c r="H843" s="128"/>
      <c r="I843" s="128"/>
      <c r="J843" s="128"/>
      <c r="K843" s="128"/>
      <c r="L843" s="953"/>
      <c r="M843" s="128"/>
      <c r="O843" s="954"/>
      <c r="P843" s="954"/>
    </row>
    <row r="844" spans="1:16" s="106" customFormat="1">
      <c r="A844" s="128"/>
      <c r="B844" s="128"/>
      <c r="C844" s="128"/>
      <c r="D844" s="128"/>
      <c r="E844" s="128"/>
      <c r="F844" s="128"/>
      <c r="G844" s="953"/>
      <c r="H844" s="128"/>
      <c r="I844" s="128"/>
      <c r="J844" s="128"/>
      <c r="K844" s="128"/>
      <c r="L844" s="953"/>
      <c r="M844" s="128"/>
      <c r="O844" s="954"/>
      <c r="P844" s="954"/>
    </row>
    <row r="845" spans="1:16" s="106" customFormat="1">
      <c r="A845" s="128"/>
      <c r="B845" s="128"/>
      <c r="C845" s="128"/>
      <c r="D845" s="128"/>
      <c r="E845" s="128"/>
      <c r="F845" s="128"/>
      <c r="G845" s="953"/>
      <c r="H845" s="128"/>
      <c r="I845" s="128"/>
      <c r="J845" s="128"/>
      <c r="K845" s="128"/>
      <c r="L845" s="953"/>
      <c r="M845" s="128"/>
      <c r="O845" s="954"/>
      <c r="P845" s="954"/>
    </row>
    <row r="846" spans="1:16" s="106" customFormat="1">
      <c r="A846" s="128"/>
      <c r="B846" s="128"/>
      <c r="C846" s="128"/>
      <c r="D846" s="128"/>
      <c r="E846" s="128"/>
      <c r="F846" s="128"/>
      <c r="G846" s="953"/>
      <c r="H846" s="128"/>
      <c r="I846" s="128"/>
      <c r="J846" s="128"/>
      <c r="K846" s="128"/>
      <c r="L846" s="953"/>
      <c r="M846" s="128"/>
      <c r="O846" s="954"/>
      <c r="P846" s="954"/>
    </row>
    <row r="847" spans="1:16" s="106" customFormat="1">
      <c r="A847" s="128"/>
      <c r="B847" s="128"/>
      <c r="C847" s="128"/>
      <c r="D847" s="128"/>
      <c r="E847" s="128"/>
      <c r="F847" s="128"/>
      <c r="G847" s="953"/>
      <c r="H847" s="128"/>
      <c r="I847" s="128"/>
      <c r="J847" s="128"/>
      <c r="K847" s="128"/>
      <c r="L847" s="953"/>
      <c r="M847" s="128"/>
      <c r="O847" s="954"/>
      <c r="P847" s="954"/>
    </row>
    <row r="848" spans="1:16" s="106" customFormat="1">
      <c r="A848" s="128"/>
      <c r="B848" s="128"/>
      <c r="C848" s="128"/>
      <c r="D848" s="128"/>
      <c r="E848" s="128"/>
      <c r="F848" s="128"/>
      <c r="G848" s="953"/>
      <c r="H848" s="128"/>
      <c r="I848" s="128"/>
      <c r="J848" s="128"/>
      <c r="K848" s="128"/>
      <c r="L848" s="953"/>
      <c r="M848" s="128"/>
      <c r="O848" s="954"/>
      <c r="P848" s="954"/>
    </row>
    <row r="849" spans="1:16" s="106" customFormat="1">
      <c r="A849" s="128"/>
      <c r="B849" s="128"/>
      <c r="C849" s="128"/>
      <c r="D849" s="128"/>
      <c r="E849" s="128"/>
      <c r="F849" s="128"/>
      <c r="G849" s="953"/>
      <c r="H849" s="128"/>
      <c r="I849" s="128"/>
      <c r="J849" s="128"/>
      <c r="K849" s="128"/>
      <c r="L849" s="953"/>
      <c r="M849" s="128"/>
      <c r="O849" s="954"/>
      <c r="P849" s="954"/>
    </row>
    <row r="850" spans="1:16" s="106" customFormat="1">
      <c r="A850" s="128"/>
      <c r="B850" s="128"/>
      <c r="C850" s="128"/>
      <c r="D850" s="128"/>
      <c r="E850" s="128"/>
      <c r="F850" s="128"/>
      <c r="G850" s="953"/>
      <c r="H850" s="128"/>
      <c r="I850" s="128"/>
      <c r="J850" s="128"/>
      <c r="K850" s="128"/>
      <c r="L850" s="953"/>
      <c r="M850" s="128"/>
      <c r="O850" s="954"/>
      <c r="P850" s="954"/>
    </row>
    <row r="851" spans="1:16" s="106" customFormat="1">
      <c r="A851" s="128"/>
      <c r="B851" s="128"/>
      <c r="C851" s="128"/>
      <c r="D851" s="128"/>
      <c r="E851" s="128"/>
      <c r="F851" s="128"/>
      <c r="G851" s="953"/>
      <c r="H851" s="128"/>
      <c r="I851" s="128"/>
      <c r="J851" s="128"/>
      <c r="K851" s="128"/>
      <c r="L851" s="953"/>
      <c r="M851" s="128"/>
      <c r="O851" s="954"/>
      <c r="P851" s="954"/>
    </row>
    <row r="852" spans="1:16" s="106" customFormat="1">
      <c r="A852" s="128"/>
      <c r="B852" s="128"/>
      <c r="C852" s="128"/>
      <c r="D852" s="128"/>
      <c r="E852" s="128"/>
      <c r="F852" s="128"/>
      <c r="G852" s="953"/>
      <c r="H852" s="128"/>
      <c r="I852" s="128"/>
      <c r="J852" s="128"/>
      <c r="K852" s="128"/>
      <c r="L852" s="953"/>
      <c r="M852" s="128"/>
      <c r="O852" s="954"/>
      <c r="P852" s="954"/>
    </row>
    <row r="853" spans="1:16" s="106" customFormat="1">
      <c r="A853" s="128"/>
      <c r="B853" s="128"/>
      <c r="C853" s="128"/>
      <c r="D853" s="128"/>
      <c r="E853" s="128"/>
      <c r="F853" s="128"/>
      <c r="G853" s="953"/>
      <c r="H853" s="128"/>
      <c r="I853" s="128"/>
      <c r="J853" s="128"/>
      <c r="K853" s="128"/>
      <c r="L853" s="953"/>
      <c r="M853" s="128"/>
      <c r="O853" s="954"/>
      <c r="P853" s="954"/>
    </row>
    <row r="854" spans="1:16" s="106" customFormat="1">
      <c r="A854" s="128"/>
      <c r="B854" s="128"/>
      <c r="C854" s="128"/>
      <c r="D854" s="128"/>
      <c r="E854" s="128"/>
      <c r="F854" s="128"/>
      <c r="G854" s="953"/>
      <c r="H854" s="128"/>
      <c r="I854" s="128"/>
      <c r="J854" s="128"/>
      <c r="K854" s="128"/>
      <c r="L854" s="953"/>
      <c r="M854" s="128"/>
      <c r="O854" s="954"/>
      <c r="P854" s="954"/>
    </row>
    <row r="855" spans="1:16" s="106" customFormat="1">
      <c r="A855" s="128"/>
      <c r="B855" s="128"/>
      <c r="C855" s="128"/>
      <c r="D855" s="128"/>
      <c r="E855" s="128"/>
      <c r="F855" s="128"/>
      <c r="G855" s="953"/>
      <c r="H855" s="128"/>
      <c r="I855" s="128"/>
      <c r="J855" s="128"/>
      <c r="K855" s="128"/>
      <c r="L855" s="953"/>
      <c r="M855" s="128"/>
      <c r="O855" s="954"/>
      <c r="P855" s="954"/>
    </row>
    <row r="856" spans="1:16" s="106" customFormat="1">
      <c r="A856" s="128"/>
      <c r="B856" s="128"/>
      <c r="C856" s="128"/>
      <c r="D856" s="128"/>
      <c r="E856" s="128"/>
      <c r="F856" s="128"/>
      <c r="G856" s="953"/>
      <c r="H856" s="128"/>
      <c r="I856" s="128"/>
      <c r="J856" s="128"/>
      <c r="K856" s="128"/>
      <c r="L856" s="953"/>
      <c r="M856" s="128"/>
      <c r="O856" s="954"/>
      <c r="P856" s="954"/>
    </row>
    <row r="857" spans="1:16" s="106" customFormat="1">
      <c r="A857" s="128"/>
      <c r="B857" s="128"/>
      <c r="C857" s="128"/>
      <c r="D857" s="128"/>
      <c r="E857" s="128"/>
      <c r="F857" s="128"/>
      <c r="G857" s="953"/>
      <c r="H857" s="128"/>
      <c r="I857" s="128"/>
      <c r="J857" s="128"/>
      <c r="K857" s="128"/>
      <c r="L857" s="953"/>
      <c r="M857" s="128"/>
      <c r="O857" s="954"/>
      <c r="P857" s="954"/>
    </row>
    <row r="858" spans="1:16" s="106" customFormat="1">
      <c r="A858" s="128"/>
      <c r="B858" s="128"/>
      <c r="C858" s="128"/>
      <c r="D858" s="128"/>
      <c r="E858" s="128"/>
      <c r="F858" s="128"/>
      <c r="G858" s="953"/>
      <c r="H858" s="128"/>
      <c r="I858" s="128"/>
      <c r="J858" s="128"/>
      <c r="K858" s="128"/>
      <c r="L858" s="953"/>
      <c r="M858" s="128"/>
      <c r="O858" s="954"/>
      <c r="P858" s="954"/>
    </row>
    <row r="859" spans="1:16" s="106" customFormat="1">
      <c r="A859" s="128"/>
      <c r="B859" s="128"/>
      <c r="C859" s="128"/>
      <c r="D859" s="128"/>
      <c r="E859" s="128"/>
      <c r="F859" s="128"/>
      <c r="G859" s="953"/>
      <c r="H859" s="128"/>
      <c r="I859" s="128"/>
      <c r="J859" s="128"/>
      <c r="K859" s="128"/>
      <c r="L859" s="953"/>
      <c r="M859" s="128"/>
      <c r="O859" s="954"/>
      <c r="P859" s="954"/>
    </row>
    <row r="860" spans="1:16" s="106" customFormat="1">
      <c r="A860" s="128"/>
      <c r="B860" s="128"/>
      <c r="C860" s="128"/>
      <c r="D860" s="128"/>
      <c r="E860" s="128"/>
      <c r="F860" s="128"/>
      <c r="G860" s="953"/>
      <c r="H860" s="128"/>
      <c r="I860" s="128"/>
      <c r="J860" s="128"/>
      <c r="K860" s="128"/>
      <c r="L860" s="953"/>
      <c r="M860" s="128"/>
      <c r="O860" s="954"/>
      <c r="P860" s="954"/>
    </row>
    <row r="861" spans="1:16" s="106" customFormat="1">
      <c r="A861" s="128"/>
      <c r="B861" s="128"/>
      <c r="C861" s="128"/>
      <c r="D861" s="128"/>
      <c r="E861" s="128"/>
      <c r="F861" s="128"/>
      <c r="G861" s="953"/>
      <c r="H861" s="128"/>
      <c r="I861" s="128"/>
      <c r="J861" s="128"/>
      <c r="K861" s="128"/>
      <c r="L861" s="953"/>
      <c r="M861" s="128"/>
      <c r="O861" s="954"/>
      <c r="P861" s="954"/>
    </row>
    <row r="862" spans="1:16" s="106" customFormat="1">
      <c r="A862" s="128"/>
      <c r="B862" s="128"/>
      <c r="C862" s="128"/>
      <c r="D862" s="128"/>
      <c r="E862" s="128"/>
      <c r="F862" s="128"/>
      <c r="G862" s="953"/>
      <c r="H862" s="128"/>
      <c r="I862" s="128"/>
      <c r="J862" s="128"/>
      <c r="K862" s="128"/>
      <c r="L862" s="953"/>
      <c r="M862" s="128"/>
      <c r="O862" s="954"/>
      <c r="P862" s="954"/>
    </row>
    <row r="863" spans="1:16" s="106" customFormat="1">
      <c r="A863" s="128"/>
      <c r="B863" s="128"/>
      <c r="C863" s="128"/>
      <c r="D863" s="128"/>
      <c r="E863" s="128"/>
      <c r="F863" s="128"/>
      <c r="G863" s="953"/>
      <c r="H863" s="128"/>
      <c r="I863" s="128"/>
      <c r="J863" s="128"/>
      <c r="K863" s="128"/>
      <c r="L863" s="953"/>
      <c r="M863" s="128"/>
      <c r="O863" s="954"/>
      <c r="P863" s="954"/>
    </row>
    <row r="864" spans="1:16" s="106" customFormat="1">
      <c r="A864" s="128"/>
      <c r="B864" s="128"/>
      <c r="C864" s="128"/>
      <c r="D864" s="128"/>
      <c r="E864" s="128"/>
      <c r="F864" s="128"/>
      <c r="G864" s="953"/>
      <c r="H864" s="128"/>
      <c r="I864" s="128"/>
      <c r="J864" s="128"/>
      <c r="K864" s="128"/>
      <c r="L864" s="953"/>
      <c r="M864" s="128"/>
      <c r="O864" s="954"/>
      <c r="P864" s="954"/>
    </row>
    <row r="865" spans="1:16" s="106" customFormat="1">
      <c r="A865" s="128"/>
      <c r="B865" s="128"/>
      <c r="C865" s="128"/>
      <c r="D865" s="128"/>
      <c r="E865" s="128"/>
      <c r="F865" s="128"/>
      <c r="G865" s="953"/>
      <c r="H865" s="128"/>
      <c r="I865" s="128"/>
      <c r="J865" s="128"/>
      <c r="K865" s="128"/>
      <c r="L865" s="953"/>
      <c r="M865" s="128"/>
      <c r="O865" s="954"/>
      <c r="P865" s="954"/>
    </row>
    <row r="866" spans="1:16" s="106" customFormat="1">
      <c r="A866" s="128"/>
      <c r="B866" s="128"/>
      <c r="C866" s="128"/>
      <c r="D866" s="128"/>
      <c r="E866" s="128"/>
      <c r="F866" s="128"/>
      <c r="G866" s="953"/>
      <c r="H866" s="128"/>
      <c r="I866" s="128"/>
      <c r="J866" s="128"/>
      <c r="K866" s="128"/>
      <c r="L866" s="953"/>
      <c r="M866" s="128"/>
      <c r="O866" s="954"/>
      <c r="P866" s="954"/>
    </row>
    <row r="867" spans="1:16" s="106" customFormat="1">
      <c r="A867" s="128"/>
      <c r="B867" s="128"/>
      <c r="C867" s="128"/>
      <c r="D867" s="128"/>
      <c r="E867" s="128"/>
      <c r="F867" s="128"/>
      <c r="G867" s="953"/>
      <c r="H867" s="128"/>
      <c r="I867" s="128"/>
      <c r="J867" s="128"/>
      <c r="K867" s="128"/>
      <c r="L867" s="953"/>
      <c r="M867" s="128"/>
      <c r="O867" s="954"/>
      <c r="P867" s="954"/>
    </row>
    <row r="868" spans="1:16" s="106" customFormat="1">
      <c r="A868" s="128"/>
      <c r="B868" s="128"/>
      <c r="C868" s="128"/>
      <c r="D868" s="128"/>
      <c r="E868" s="128"/>
      <c r="F868" s="128"/>
      <c r="G868" s="953"/>
      <c r="H868" s="128"/>
      <c r="I868" s="128"/>
      <c r="J868" s="128"/>
      <c r="K868" s="128"/>
      <c r="L868" s="953"/>
      <c r="M868" s="128"/>
      <c r="O868" s="954"/>
      <c r="P868" s="954"/>
    </row>
    <row r="869" spans="1:16" s="106" customFormat="1">
      <c r="A869" s="128"/>
      <c r="B869" s="128"/>
      <c r="C869" s="128"/>
      <c r="D869" s="128"/>
      <c r="E869" s="128"/>
      <c r="F869" s="128"/>
      <c r="G869" s="953"/>
      <c r="H869" s="128"/>
      <c r="I869" s="128"/>
      <c r="J869" s="128"/>
      <c r="K869" s="128"/>
      <c r="L869" s="953"/>
      <c r="M869" s="128"/>
      <c r="O869" s="954"/>
      <c r="P869" s="954"/>
    </row>
    <row r="870" spans="1:16" s="106" customFormat="1">
      <c r="A870" s="128"/>
      <c r="B870" s="128"/>
      <c r="C870" s="128"/>
      <c r="D870" s="128"/>
      <c r="E870" s="128"/>
      <c r="F870" s="128"/>
      <c r="G870" s="953"/>
      <c r="H870" s="128"/>
      <c r="I870" s="128"/>
      <c r="J870" s="128"/>
      <c r="K870" s="128"/>
      <c r="L870" s="953"/>
      <c r="M870" s="128"/>
      <c r="O870" s="954"/>
      <c r="P870" s="954"/>
    </row>
    <row r="871" spans="1:16" s="106" customFormat="1">
      <c r="A871" s="128"/>
      <c r="B871" s="128"/>
      <c r="C871" s="128"/>
      <c r="D871" s="128"/>
      <c r="E871" s="128"/>
      <c r="F871" s="128"/>
      <c r="G871" s="953"/>
      <c r="H871" s="128"/>
      <c r="I871" s="128"/>
      <c r="J871" s="128"/>
      <c r="K871" s="128"/>
      <c r="L871" s="953"/>
      <c r="M871" s="128"/>
      <c r="O871" s="954"/>
      <c r="P871" s="954"/>
    </row>
    <row r="872" spans="1:16" s="106" customFormat="1">
      <c r="A872" s="128"/>
      <c r="B872" s="128"/>
      <c r="C872" s="128"/>
      <c r="D872" s="128"/>
      <c r="E872" s="128"/>
      <c r="F872" s="128"/>
      <c r="G872" s="953"/>
      <c r="H872" s="128"/>
      <c r="I872" s="128"/>
      <c r="J872" s="128"/>
      <c r="K872" s="128"/>
      <c r="L872" s="953"/>
      <c r="M872" s="128"/>
      <c r="O872" s="954"/>
      <c r="P872" s="954"/>
    </row>
    <row r="873" spans="1:16" s="106" customFormat="1">
      <c r="A873" s="128"/>
      <c r="B873" s="128"/>
      <c r="C873" s="128"/>
      <c r="D873" s="128"/>
      <c r="E873" s="128"/>
      <c r="F873" s="128"/>
      <c r="G873" s="953"/>
      <c r="H873" s="128"/>
      <c r="I873" s="128"/>
      <c r="J873" s="128"/>
      <c r="K873" s="128"/>
      <c r="L873" s="953"/>
      <c r="M873" s="128"/>
      <c r="O873" s="954"/>
      <c r="P873" s="954"/>
    </row>
    <row r="874" spans="1:16" s="106" customFormat="1">
      <c r="A874" s="128"/>
      <c r="B874" s="128"/>
      <c r="C874" s="128"/>
      <c r="D874" s="128"/>
      <c r="E874" s="128"/>
      <c r="F874" s="128"/>
      <c r="G874" s="953"/>
      <c r="H874" s="128"/>
      <c r="I874" s="128"/>
      <c r="J874" s="128"/>
      <c r="K874" s="128"/>
      <c r="L874" s="953"/>
      <c r="M874" s="128"/>
      <c r="O874" s="954"/>
      <c r="P874" s="954"/>
    </row>
    <row r="875" spans="1:16" s="106" customFormat="1">
      <c r="A875" s="128"/>
      <c r="B875" s="128"/>
      <c r="C875" s="128"/>
      <c r="D875" s="128"/>
      <c r="E875" s="128"/>
      <c r="F875" s="128"/>
      <c r="G875" s="953"/>
      <c r="H875" s="128"/>
      <c r="I875" s="128"/>
      <c r="J875" s="128"/>
      <c r="K875" s="128"/>
      <c r="L875" s="953"/>
      <c r="M875" s="128"/>
      <c r="O875" s="954"/>
      <c r="P875" s="954"/>
    </row>
    <row r="876" spans="1:16" s="106" customFormat="1">
      <c r="A876" s="128"/>
      <c r="B876" s="128"/>
      <c r="C876" s="128"/>
      <c r="D876" s="128"/>
      <c r="E876" s="128"/>
      <c r="F876" s="128"/>
      <c r="G876" s="953"/>
      <c r="H876" s="128"/>
      <c r="I876" s="128"/>
      <c r="J876" s="128"/>
      <c r="K876" s="128"/>
      <c r="L876" s="953"/>
      <c r="M876" s="128"/>
      <c r="O876" s="954"/>
      <c r="P876" s="954"/>
    </row>
    <row r="877" spans="1:16" s="106" customFormat="1">
      <c r="A877" s="128"/>
      <c r="B877" s="128"/>
      <c r="C877" s="128"/>
      <c r="D877" s="128"/>
      <c r="E877" s="128"/>
      <c r="F877" s="128"/>
      <c r="G877" s="953"/>
      <c r="H877" s="128"/>
      <c r="I877" s="128"/>
      <c r="J877" s="128"/>
      <c r="K877" s="128"/>
      <c r="L877" s="953"/>
      <c r="M877" s="128"/>
      <c r="O877" s="954"/>
      <c r="P877" s="954"/>
    </row>
    <row r="878" spans="1:16" s="106" customFormat="1">
      <c r="A878" s="128"/>
      <c r="B878" s="128"/>
      <c r="C878" s="128"/>
      <c r="D878" s="128"/>
      <c r="E878" s="128"/>
      <c r="F878" s="128"/>
      <c r="G878" s="953"/>
      <c r="H878" s="128"/>
      <c r="I878" s="128"/>
      <c r="J878" s="128"/>
      <c r="K878" s="128"/>
      <c r="L878" s="953"/>
      <c r="M878" s="128"/>
      <c r="O878" s="954"/>
      <c r="P878" s="954"/>
    </row>
    <row r="879" spans="1:16" s="106" customFormat="1">
      <c r="A879" s="128"/>
      <c r="B879" s="128"/>
      <c r="C879" s="128"/>
      <c r="D879" s="128"/>
      <c r="E879" s="128"/>
      <c r="F879" s="128"/>
      <c r="G879" s="953"/>
      <c r="H879" s="128"/>
      <c r="I879" s="128"/>
      <c r="J879" s="128"/>
      <c r="K879" s="128"/>
      <c r="L879" s="953"/>
      <c r="M879" s="128"/>
      <c r="O879" s="954"/>
      <c r="P879" s="954"/>
    </row>
    <row r="880" spans="1:16" s="106" customFormat="1">
      <c r="A880" s="128"/>
      <c r="B880" s="128"/>
      <c r="C880" s="128"/>
      <c r="D880" s="128"/>
      <c r="E880" s="128"/>
      <c r="F880" s="128"/>
      <c r="G880" s="953"/>
      <c r="H880" s="128"/>
      <c r="I880" s="128"/>
      <c r="J880" s="128"/>
      <c r="K880" s="128"/>
      <c r="L880" s="953"/>
      <c r="M880" s="128"/>
      <c r="O880" s="954"/>
      <c r="P880" s="954"/>
    </row>
    <row r="881" spans="1:16" s="106" customFormat="1">
      <c r="A881" s="128"/>
      <c r="B881" s="128"/>
      <c r="C881" s="128"/>
      <c r="D881" s="128"/>
      <c r="E881" s="128"/>
      <c r="F881" s="128"/>
      <c r="G881" s="953"/>
      <c r="H881" s="128"/>
      <c r="I881" s="128"/>
      <c r="J881" s="128"/>
      <c r="K881" s="128"/>
      <c r="L881" s="953"/>
      <c r="M881" s="128"/>
      <c r="O881" s="954"/>
      <c r="P881" s="954"/>
    </row>
    <row r="882" spans="1:16" s="106" customFormat="1">
      <c r="A882" s="128"/>
      <c r="B882" s="128"/>
      <c r="C882" s="128"/>
      <c r="D882" s="128"/>
      <c r="E882" s="128"/>
      <c r="F882" s="128"/>
      <c r="G882" s="953"/>
      <c r="H882" s="128"/>
      <c r="I882" s="128"/>
      <c r="J882" s="128"/>
      <c r="K882" s="128"/>
      <c r="L882" s="953"/>
      <c r="M882" s="128"/>
      <c r="O882" s="954"/>
      <c r="P882" s="954"/>
    </row>
    <row r="883" spans="1:16" s="106" customFormat="1">
      <c r="A883" s="128"/>
      <c r="B883" s="128"/>
      <c r="C883" s="128"/>
      <c r="D883" s="128"/>
      <c r="E883" s="128"/>
      <c r="F883" s="128"/>
      <c r="G883" s="953"/>
      <c r="H883" s="128"/>
      <c r="I883" s="128"/>
      <c r="J883" s="128"/>
      <c r="K883" s="128"/>
      <c r="L883" s="953"/>
      <c r="M883" s="128"/>
      <c r="O883" s="954"/>
      <c r="P883" s="954"/>
    </row>
    <row r="884" spans="1:16" s="106" customFormat="1">
      <c r="A884" s="128"/>
      <c r="B884" s="128"/>
      <c r="C884" s="128"/>
      <c r="D884" s="128"/>
      <c r="E884" s="128"/>
      <c r="F884" s="128"/>
      <c r="G884" s="953"/>
      <c r="H884" s="128"/>
      <c r="I884" s="128"/>
      <c r="J884" s="128"/>
      <c r="K884" s="128"/>
      <c r="L884" s="953"/>
      <c r="M884" s="128"/>
      <c r="O884" s="954"/>
      <c r="P884" s="954"/>
    </row>
    <row r="885" spans="1:16" s="106" customFormat="1">
      <c r="A885" s="128"/>
      <c r="B885" s="128"/>
      <c r="C885" s="128"/>
      <c r="D885" s="128"/>
      <c r="E885" s="128"/>
      <c r="F885" s="128"/>
      <c r="G885" s="953"/>
      <c r="H885" s="128"/>
      <c r="I885" s="128"/>
      <c r="J885" s="128"/>
      <c r="K885" s="128"/>
      <c r="L885" s="953"/>
      <c r="M885" s="128"/>
      <c r="O885" s="954"/>
      <c r="P885" s="954"/>
    </row>
    <row r="886" spans="1:16" s="106" customFormat="1">
      <c r="A886" s="128"/>
      <c r="B886" s="128"/>
      <c r="C886" s="128"/>
      <c r="D886" s="128"/>
      <c r="E886" s="128"/>
      <c r="F886" s="128"/>
      <c r="G886" s="953"/>
      <c r="H886" s="128"/>
      <c r="I886" s="128"/>
      <c r="J886" s="128"/>
      <c r="K886" s="128"/>
      <c r="L886" s="953"/>
      <c r="M886" s="128"/>
      <c r="O886" s="954"/>
      <c r="P886" s="954"/>
    </row>
    <row r="887" spans="1:16" s="106" customFormat="1">
      <c r="A887" s="128"/>
      <c r="B887" s="128"/>
      <c r="C887" s="128"/>
      <c r="D887" s="128"/>
      <c r="E887" s="128"/>
      <c r="F887" s="128"/>
      <c r="G887" s="953"/>
      <c r="H887" s="128"/>
      <c r="I887" s="128"/>
      <c r="J887" s="128"/>
      <c r="K887" s="128"/>
      <c r="L887" s="953"/>
      <c r="M887" s="128"/>
      <c r="O887" s="954"/>
      <c r="P887" s="954"/>
    </row>
    <row r="888" spans="1:16" s="106" customFormat="1">
      <c r="A888" s="128"/>
      <c r="B888" s="128"/>
      <c r="C888" s="128"/>
      <c r="D888" s="128"/>
      <c r="E888" s="128"/>
      <c r="F888" s="128"/>
      <c r="G888" s="953"/>
      <c r="H888" s="128"/>
      <c r="I888" s="128"/>
      <c r="J888" s="128"/>
      <c r="K888" s="128"/>
      <c r="L888" s="953"/>
      <c r="M888" s="128"/>
      <c r="O888" s="954"/>
      <c r="P888" s="954"/>
    </row>
    <row r="889" spans="1:16" s="106" customFormat="1">
      <c r="A889" s="128"/>
      <c r="B889" s="128"/>
      <c r="C889" s="128"/>
      <c r="D889" s="128"/>
      <c r="E889" s="128"/>
      <c r="F889" s="128"/>
      <c r="G889" s="953"/>
      <c r="H889" s="128"/>
      <c r="I889" s="128"/>
      <c r="J889" s="128"/>
      <c r="K889" s="128"/>
      <c r="L889" s="953"/>
      <c r="M889" s="128"/>
      <c r="O889" s="954"/>
      <c r="P889" s="954"/>
    </row>
    <row r="890" spans="1:16" s="106" customFormat="1">
      <c r="A890" s="128"/>
      <c r="B890" s="128"/>
      <c r="C890" s="128"/>
      <c r="D890" s="128"/>
      <c r="E890" s="128"/>
      <c r="F890" s="128"/>
      <c r="G890" s="953"/>
      <c r="H890" s="128"/>
      <c r="I890" s="128"/>
      <c r="J890" s="128"/>
      <c r="K890" s="128"/>
      <c r="L890" s="953"/>
      <c r="M890" s="128"/>
      <c r="O890" s="954"/>
      <c r="P890" s="954"/>
    </row>
    <row r="891" spans="1:16" s="106" customFormat="1">
      <c r="A891" s="128"/>
      <c r="B891" s="128"/>
      <c r="C891" s="128"/>
      <c r="D891" s="128"/>
      <c r="E891" s="128"/>
      <c r="F891" s="128"/>
      <c r="G891" s="953"/>
      <c r="H891" s="128"/>
      <c r="I891" s="128"/>
      <c r="J891" s="128"/>
      <c r="K891" s="128"/>
      <c r="L891" s="953"/>
      <c r="M891" s="128"/>
      <c r="O891" s="954"/>
      <c r="P891" s="954"/>
    </row>
    <row r="892" spans="1:16" s="106" customFormat="1">
      <c r="A892" s="128"/>
      <c r="B892" s="128"/>
      <c r="C892" s="128"/>
      <c r="D892" s="128"/>
      <c r="E892" s="128"/>
      <c r="F892" s="128"/>
      <c r="G892" s="953"/>
      <c r="H892" s="128"/>
      <c r="I892" s="128"/>
      <c r="J892" s="128"/>
      <c r="K892" s="128"/>
      <c r="L892" s="953"/>
      <c r="M892" s="128"/>
      <c r="O892" s="954"/>
      <c r="P892" s="954"/>
    </row>
    <row r="893" spans="1:16" s="106" customFormat="1">
      <c r="A893" s="128"/>
      <c r="B893" s="128"/>
      <c r="C893" s="128"/>
      <c r="D893" s="128"/>
      <c r="E893" s="128"/>
      <c r="F893" s="128"/>
      <c r="G893" s="953"/>
      <c r="H893" s="128"/>
      <c r="I893" s="128"/>
      <c r="J893" s="128"/>
      <c r="K893" s="128"/>
      <c r="L893" s="953"/>
      <c r="M893" s="128"/>
      <c r="O893" s="954"/>
      <c r="P893" s="954"/>
    </row>
    <row r="894" spans="1:16" s="106" customFormat="1">
      <c r="A894" s="128"/>
      <c r="B894" s="128"/>
      <c r="C894" s="128"/>
      <c r="D894" s="128"/>
      <c r="E894" s="128"/>
      <c r="F894" s="128"/>
      <c r="G894" s="953"/>
      <c r="H894" s="128"/>
      <c r="I894" s="128"/>
      <c r="J894" s="128"/>
      <c r="K894" s="128"/>
      <c r="L894" s="953"/>
      <c r="M894" s="128"/>
      <c r="O894" s="954"/>
      <c r="P894" s="954"/>
    </row>
    <row r="895" spans="1:16" s="106" customFormat="1">
      <c r="A895" s="128"/>
      <c r="B895" s="128"/>
      <c r="C895" s="128"/>
      <c r="D895" s="128"/>
      <c r="E895" s="128"/>
      <c r="F895" s="128"/>
      <c r="G895" s="953"/>
      <c r="H895" s="128"/>
      <c r="I895" s="128"/>
      <c r="J895" s="128"/>
      <c r="K895" s="128"/>
      <c r="L895" s="953"/>
      <c r="M895" s="128"/>
      <c r="O895" s="954"/>
      <c r="P895" s="954"/>
    </row>
    <row r="896" spans="1:16" s="106" customFormat="1">
      <c r="A896" s="128"/>
      <c r="B896" s="128"/>
      <c r="C896" s="128"/>
      <c r="D896" s="128"/>
      <c r="E896" s="128"/>
      <c r="F896" s="128"/>
      <c r="G896" s="953"/>
      <c r="H896" s="128"/>
      <c r="I896" s="128"/>
      <c r="J896" s="128"/>
      <c r="K896" s="128"/>
      <c r="L896" s="953"/>
      <c r="M896" s="128"/>
      <c r="O896" s="954"/>
      <c r="P896" s="954"/>
    </row>
    <row r="897" spans="1:16" s="106" customFormat="1">
      <c r="A897" s="128"/>
      <c r="B897" s="128"/>
      <c r="C897" s="128"/>
      <c r="D897" s="128"/>
      <c r="E897" s="128"/>
      <c r="F897" s="128"/>
      <c r="G897" s="953"/>
      <c r="H897" s="128"/>
      <c r="I897" s="128"/>
      <c r="J897" s="128"/>
      <c r="K897" s="128"/>
      <c r="L897" s="953"/>
      <c r="M897" s="128"/>
      <c r="O897" s="954"/>
      <c r="P897" s="954"/>
    </row>
    <row r="898" spans="1:16" s="106" customFormat="1">
      <c r="A898" s="128"/>
      <c r="B898" s="128"/>
      <c r="C898" s="128"/>
      <c r="D898" s="128"/>
      <c r="E898" s="128"/>
      <c r="F898" s="128"/>
      <c r="G898" s="953"/>
      <c r="H898" s="128"/>
      <c r="I898" s="128"/>
      <c r="J898" s="128"/>
      <c r="K898" s="128"/>
      <c r="L898" s="953"/>
      <c r="M898" s="128"/>
      <c r="O898" s="954"/>
      <c r="P898" s="954"/>
    </row>
    <row r="899" spans="1:16" s="106" customFormat="1">
      <c r="A899" s="128"/>
      <c r="B899" s="128"/>
      <c r="C899" s="128"/>
      <c r="D899" s="128"/>
      <c r="E899" s="128"/>
      <c r="F899" s="128"/>
      <c r="G899" s="953"/>
      <c r="H899" s="128"/>
      <c r="I899" s="128"/>
      <c r="J899" s="128"/>
      <c r="K899" s="128"/>
      <c r="L899" s="953"/>
      <c r="M899" s="128"/>
      <c r="O899" s="954"/>
      <c r="P899" s="954"/>
    </row>
    <row r="900" spans="1:16" s="106" customFormat="1">
      <c r="A900" s="128"/>
      <c r="B900" s="128"/>
      <c r="C900" s="128"/>
      <c r="D900" s="128"/>
      <c r="E900" s="128"/>
      <c r="F900" s="128"/>
      <c r="G900" s="953"/>
      <c r="H900" s="128"/>
      <c r="I900" s="128"/>
      <c r="J900" s="128"/>
      <c r="K900" s="128"/>
      <c r="L900" s="953"/>
      <c r="M900" s="128"/>
      <c r="O900" s="954"/>
      <c r="P900" s="954"/>
    </row>
    <row r="901" spans="1:16" s="106" customFormat="1">
      <c r="A901" s="128"/>
      <c r="B901" s="128"/>
      <c r="C901" s="128"/>
      <c r="D901" s="128"/>
      <c r="E901" s="128"/>
      <c r="F901" s="128"/>
      <c r="G901" s="953"/>
      <c r="H901" s="128"/>
      <c r="I901" s="128"/>
      <c r="J901" s="128"/>
      <c r="K901" s="128"/>
      <c r="L901" s="953"/>
      <c r="M901" s="128"/>
      <c r="O901" s="954"/>
      <c r="P901" s="954"/>
    </row>
    <row r="902" spans="1:16" s="106" customFormat="1">
      <c r="A902" s="128"/>
      <c r="B902" s="128"/>
      <c r="C902" s="128"/>
      <c r="D902" s="128"/>
      <c r="E902" s="128"/>
      <c r="F902" s="128"/>
      <c r="G902" s="953"/>
      <c r="H902" s="128"/>
      <c r="I902" s="128"/>
      <c r="J902" s="128"/>
      <c r="K902" s="128"/>
      <c r="L902" s="953"/>
      <c r="M902" s="128"/>
      <c r="O902" s="954"/>
      <c r="P902" s="954"/>
    </row>
    <row r="903" spans="1:16" s="106" customFormat="1">
      <c r="A903" s="128"/>
      <c r="B903" s="128"/>
      <c r="C903" s="128"/>
      <c r="D903" s="128"/>
      <c r="E903" s="128"/>
      <c r="F903" s="128"/>
      <c r="G903" s="953"/>
      <c r="H903" s="128"/>
      <c r="I903" s="128"/>
      <c r="J903" s="128"/>
      <c r="K903" s="128"/>
      <c r="L903" s="953"/>
      <c r="M903" s="128"/>
      <c r="O903" s="954"/>
      <c r="P903" s="954"/>
    </row>
    <row r="904" spans="1:16" s="106" customFormat="1">
      <c r="A904" s="128"/>
      <c r="B904" s="128"/>
      <c r="C904" s="128"/>
      <c r="D904" s="128"/>
      <c r="E904" s="128"/>
      <c r="F904" s="128"/>
      <c r="G904" s="953"/>
      <c r="H904" s="128"/>
      <c r="I904" s="128"/>
      <c r="J904" s="128"/>
      <c r="K904" s="128"/>
      <c r="L904" s="953"/>
      <c r="M904" s="128"/>
      <c r="O904" s="954"/>
      <c r="P904" s="954"/>
    </row>
    <row r="905" spans="1:16" s="106" customFormat="1">
      <c r="A905" s="128"/>
      <c r="B905" s="128"/>
      <c r="C905" s="128"/>
      <c r="D905" s="128"/>
      <c r="E905" s="128"/>
      <c r="F905" s="128"/>
      <c r="G905" s="953"/>
      <c r="H905" s="128"/>
      <c r="I905" s="128"/>
      <c r="J905" s="128"/>
      <c r="K905" s="128"/>
      <c r="L905" s="953"/>
      <c r="M905" s="128"/>
      <c r="O905" s="954"/>
      <c r="P905" s="954"/>
    </row>
    <row r="906" spans="1:16" s="106" customFormat="1">
      <c r="A906" s="128"/>
      <c r="B906" s="128"/>
      <c r="C906" s="128"/>
      <c r="D906" s="128"/>
      <c r="E906" s="128"/>
      <c r="F906" s="128"/>
      <c r="G906" s="953"/>
      <c r="H906" s="128"/>
      <c r="I906" s="128"/>
      <c r="J906" s="128"/>
      <c r="K906" s="128"/>
      <c r="L906" s="953"/>
      <c r="M906" s="128"/>
      <c r="O906" s="954"/>
      <c r="P906" s="954"/>
    </row>
    <row r="907" spans="1:16" s="106" customFormat="1">
      <c r="A907" s="128"/>
      <c r="B907" s="128"/>
      <c r="C907" s="128"/>
      <c r="D907" s="128"/>
      <c r="E907" s="128"/>
      <c r="F907" s="128"/>
      <c r="G907" s="953"/>
      <c r="H907" s="128"/>
      <c r="I907" s="128"/>
      <c r="J907" s="128"/>
      <c r="K907" s="128"/>
      <c r="L907" s="953"/>
      <c r="M907" s="128"/>
      <c r="O907" s="954"/>
      <c r="P907" s="954"/>
    </row>
    <row r="908" spans="1:16" s="106" customFormat="1">
      <c r="A908" s="128"/>
      <c r="B908" s="128"/>
      <c r="C908" s="128"/>
      <c r="D908" s="128"/>
      <c r="E908" s="128"/>
      <c r="F908" s="128"/>
      <c r="G908" s="953"/>
      <c r="H908" s="128"/>
      <c r="I908" s="128"/>
      <c r="J908" s="128"/>
      <c r="K908" s="128"/>
      <c r="L908" s="953"/>
      <c r="M908" s="128"/>
      <c r="O908" s="954"/>
      <c r="P908" s="954"/>
    </row>
    <row r="909" spans="1:16" s="106" customFormat="1">
      <c r="A909" s="128"/>
      <c r="B909" s="128"/>
      <c r="C909" s="128"/>
      <c r="D909" s="128"/>
      <c r="E909" s="128"/>
      <c r="F909" s="128"/>
      <c r="G909" s="953"/>
      <c r="H909" s="128"/>
      <c r="I909" s="128"/>
      <c r="J909" s="128"/>
      <c r="K909" s="128"/>
      <c r="L909" s="953"/>
      <c r="M909" s="128"/>
      <c r="O909" s="954"/>
      <c r="P909" s="954"/>
    </row>
    <row r="910" spans="1:16" s="106" customFormat="1">
      <c r="A910" s="128"/>
      <c r="B910" s="128"/>
      <c r="C910" s="128"/>
      <c r="D910" s="128"/>
      <c r="E910" s="128"/>
      <c r="F910" s="128"/>
      <c r="G910" s="953"/>
      <c r="H910" s="128"/>
      <c r="I910" s="128"/>
      <c r="J910" s="128"/>
      <c r="K910" s="128"/>
      <c r="L910" s="953"/>
      <c r="M910" s="128"/>
      <c r="O910" s="954"/>
      <c r="P910" s="954"/>
    </row>
    <row r="911" spans="1:16" s="106" customFormat="1">
      <c r="A911" s="128"/>
      <c r="B911" s="128"/>
      <c r="C911" s="128"/>
      <c r="D911" s="128"/>
      <c r="E911" s="128"/>
      <c r="F911" s="128"/>
      <c r="G911" s="953"/>
      <c r="H911" s="128"/>
      <c r="I911" s="128"/>
      <c r="J911" s="128"/>
      <c r="K911" s="128"/>
      <c r="L911" s="953"/>
      <c r="M911" s="128"/>
      <c r="O911" s="954"/>
      <c r="P911" s="954"/>
    </row>
    <row r="912" spans="1:16" s="106" customFormat="1">
      <c r="A912" s="128"/>
      <c r="B912" s="128"/>
      <c r="C912" s="128"/>
      <c r="D912" s="128"/>
      <c r="E912" s="128"/>
      <c r="F912" s="128"/>
      <c r="G912" s="953"/>
      <c r="H912" s="128"/>
      <c r="I912" s="128"/>
      <c r="J912" s="128"/>
      <c r="K912" s="128"/>
      <c r="L912" s="953"/>
      <c r="M912" s="128"/>
      <c r="O912" s="954"/>
      <c r="P912" s="954"/>
    </row>
    <row r="913" spans="1:16" s="106" customFormat="1">
      <c r="A913" s="128"/>
      <c r="B913" s="128"/>
      <c r="C913" s="128"/>
      <c r="D913" s="128"/>
      <c r="E913" s="128"/>
      <c r="F913" s="128"/>
      <c r="G913" s="953"/>
      <c r="H913" s="128"/>
      <c r="I913" s="128"/>
      <c r="J913" s="128"/>
      <c r="K913" s="128"/>
      <c r="L913" s="953"/>
      <c r="M913" s="128"/>
      <c r="O913" s="954"/>
      <c r="P913" s="954"/>
    </row>
    <row r="914" spans="1:16" s="106" customFormat="1">
      <c r="A914" s="128"/>
      <c r="B914" s="128"/>
      <c r="C914" s="128"/>
      <c r="D914" s="128"/>
      <c r="E914" s="128"/>
      <c r="F914" s="128"/>
      <c r="G914" s="953"/>
      <c r="H914" s="128"/>
      <c r="I914" s="128"/>
      <c r="J914" s="128"/>
      <c r="K914" s="128"/>
      <c r="L914" s="953"/>
      <c r="M914" s="128"/>
      <c r="O914" s="954"/>
      <c r="P914" s="954"/>
    </row>
    <row r="915" spans="1:16" s="106" customFormat="1">
      <c r="A915" s="128"/>
      <c r="B915" s="128"/>
      <c r="C915" s="128"/>
      <c r="D915" s="128"/>
      <c r="E915" s="128"/>
      <c r="F915" s="128"/>
      <c r="G915" s="953"/>
      <c r="H915" s="128"/>
      <c r="I915" s="128"/>
      <c r="J915" s="128"/>
      <c r="K915" s="128"/>
      <c r="L915" s="953"/>
      <c r="M915" s="128"/>
      <c r="O915" s="954"/>
      <c r="P915" s="954"/>
    </row>
    <row r="916" spans="1:16" s="106" customFormat="1">
      <c r="A916" s="128"/>
      <c r="B916" s="128"/>
      <c r="C916" s="128"/>
      <c r="D916" s="128"/>
      <c r="E916" s="128"/>
      <c r="F916" s="128"/>
      <c r="G916" s="953"/>
      <c r="H916" s="128"/>
      <c r="I916" s="128"/>
      <c r="J916" s="128"/>
      <c r="K916" s="128"/>
      <c r="L916" s="953"/>
      <c r="M916" s="128"/>
      <c r="O916" s="954"/>
      <c r="P916" s="954"/>
    </row>
    <row r="917" spans="1:16" s="106" customFormat="1">
      <c r="A917" s="128"/>
      <c r="B917" s="128"/>
      <c r="C917" s="128"/>
      <c r="D917" s="128"/>
      <c r="E917" s="128"/>
      <c r="F917" s="128"/>
      <c r="G917" s="953"/>
      <c r="H917" s="128"/>
      <c r="I917" s="128"/>
      <c r="J917" s="128"/>
      <c r="K917" s="128"/>
      <c r="L917" s="953"/>
      <c r="M917" s="128"/>
      <c r="O917" s="954"/>
      <c r="P917" s="954"/>
    </row>
    <row r="918" spans="1:16" s="106" customFormat="1">
      <c r="A918" s="128"/>
      <c r="B918" s="128"/>
      <c r="C918" s="128"/>
      <c r="D918" s="128"/>
      <c r="E918" s="128"/>
      <c r="F918" s="128"/>
      <c r="G918" s="953"/>
      <c r="H918" s="128"/>
      <c r="I918" s="128"/>
      <c r="J918" s="128"/>
      <c r="K918" s="128"/>
      <c r="L918" s="953"/>
      <c r="M918" s="128"/>
      <c r="O918" s="954"/>
      <c r="P918" s="954"/>
    </row>
    <row r="919" spans="1:16" s="106" customFormat="1">
      <c r="A919" s="128"/>
      <c r="B919" s="128"/>
      <c r="C919" s="128"/>
      <c r="D919" s="128"/>
      <c r="E919" s="128"/>
      <c r="F919" s="128"/>
      <c r="G919" s="953"/>
      <c r="H919" s="128"/>
      <c r="I919" s="128"/>
      <c r="J919" s="128"/>
      <c r="K919" s="128"/>
      <c r="L919" s="953"/>
      <c r="M919" s="128"/>
      <c r="O919" s="954"/>
      <c r="P919" s="954"/>
    </row>
    <row r="920" spans="1:16" s="106" customFormat="1">
      <c r="A920" s="128"/>
      <c r="B920" s="128"/>
      <c r="C920" s="128"/>
      <c r="D920" s="128"/>
      <c r="E920" s="128"/>
      <c r="F920" s="128"/>
      <c r="G920" s="953"/>
      <c r="H920" s="128"/>
      <c r="I920" s="128"/>
      <c r="J920" s="128"/>
      <c r="K920" s="128"/>
      <c r="L920" s="953"/>
      <c r="M920" s="128"/>
      <c r="O920" s="954"/>
      <c r="P920" s="954"/>
    </row>
    <row r="921" spans="1:16" s="106" customFormat="1">
      <c r="A921" s="128"/>
      <c r="B921" s="128"/>
      <c r="C921" s="128"/>
      <c r="D921" s="128"/>
      <c r="E921" s="128"/>
      <c r="F921" s="128"/>
      <c r="G921" s="953"/>
      <c r="H921" s="128"/>
      <c r="I921" s="128"/>
      <c r="J921" s="128"/>
      <c r="K921" s="128"/>
      <c r="L921" s="953"/>
      <c r="M921" s="128"/>
      <c r="O921" s="954"/>
      <c r="P921" s="954"/>
    </row>
    <row r="922" spans="1:16" s="106" customFormat="1">
      <c r="A922" s="128"/>
      <c r="B922" s="128"/>
      <c r="C922" s="128"/>
      <c r="D922" s="128"/>
      <c r="E922" s="128"/>
      <c r="F922" s="128"/>
      <c r="G922" s="953"/>
      <c r="H922" s="128"/>
      <c r="I922" s="128"/>
      <c r="J922" s="128"/>
      <c r="K922" s="128"/>
      <c r="L922" s="953"/>
      <c r="M922" s="128"/>
      <c r="O922" s="954"/>
      <c r="P922" s="954"/>
    </row>
    <row r="923" spans="1:16" s="106" customFormat="1">
      <c r="A923" s="128"/>
      <c r="B923" s="128"/>
      <c r="C923" s="128"/>
      <c r="D923" s="128"/>
      <c r="E923" s="128"/>
      <c r="F923" s="128"/>
      <c r="G923" s="953"/>
      <c r="H923" s="128"/>
      <c r="I923" s="128"/>
      <c r="J923" s="128"/>
      <c r="K923" s="128"/>
      <c r="L923" s="953"/>
      <c r="M923" s="128"/>
      <c r="O923" s="954"/>
      <c r="P923" s="954"/>
    </row>
    <row r="924" spans="1:16" s="106" customFormat="1">
      <c r="A924" s="128"/>
      <c r="B924" s="128"/>
      <c r="C924" s="128"/>
      <c r="D924" s="128"/>
      <c r="E924" s="128"/>
      <c r="F924" s="128"/>
      <c r="G924" s="953"/>
      <c r="H924" s="128"/>
      <c r="I924" s="128"/>
      <c r="J924" s="128"/>
      <c r="K924" s="128"/>
      <c r="L924" s="953"/>
      <c r="M924" s="128"/>
      <c r="O924" s="954"/>
      <c r="P924" s="954"/>
    </row>
    <row r="925" spans="1:16" s="106" customFormat="1">
      <c r="A925" s="128"/>
      <c r="B925" s="128"/>
      <c r="C925" s="128"/>
      <c r="D925" s="128"/>
      <c r="E925" s="128"/>
      <c r="F925" s="128"/>
      <c r="G925" s="953"/>
      <c r="H925" s="128"/>
      <c r="I925" s="128"/>
      <c r="J925" s="128"/>
      <c r="K925" s="128"/>
      <c r="L925" s="953"/>
      <c r="M925" s="128"/>
      <c r="O925" s="954"/>
      <c r="P925" s="954"/>
    </row>
    <row r="926" spans="1:16" s="106" customFormat="1">
      <c r="A926" s="128"/>
      <c r="B926" s="128"/>
      <c r="C926" s="128"/>
      <c r="D926" s="128"/>
      <c r="E926" s="128"/>
      <c r="F926" s="128"/>
      <c r="G926" s="953"/>
      <c r="H926" s="128"/>
      <c r="I926" s="128"/>
      <c r="J926" s="128"/>
      <c r="K926" s="128"/>
      <c r="L926" s="953"/>
      <c r="M926" s="128"/>
      <c r="O926" s="954"/>
      <c r="P926" s="954"/>
    </row>
    <row r="927" spans="1:16" s="106" customFormat="1">
      <c r="A927" s="128"/>
      <c r="B927" s="128"/>
      <c r="C927" s="128"/>
      <c r="D927" s="128"/>
      <c r="E927" s="128"/>
      <c r="F927" s="128"/>
      <c r="G927" s="953"/>
      <c r="H927" s="128"/>
      <c r="I927" s="128"/>
      <c r="J927" s="128"/>
      <c r="K927" s="128"/>
      <c r="L927" s="953"/>
      <c r="M927" s="128"/>
      <c r="O927" s="954"/>
      <c r="P927" s="954"/>
    </row>
    <row r="928" spans="1:16" s="106" customFormat="1">
      <c r="A928" s="128"/>
      <c r="B928" s="128"/>
      <c r="C928" s="128"/>
      <c r="D928" s="128"/>
      <c r="E928" s="128"/>
      <c r="F928" s="128"/>
      <c r="G928" s="953"/>
      <c r="H928" s="128"/>
      <c r="I928" s="128"/>
      <c r="J928" s="128"/>
      <c r="K928" s="128"/>
      <c r="L928" s="953"/>
      <c r="M928" s="128"/>
      <c r="O928" s="954"/>
      <c r="P928" s="954"/>
    </row>
    <row r="929" spans="24:27">
      <c r="X929" s="106"/>
      <c r="AA929" s="106"/>
    </row>
    <row r="930" spans="24:27">
      <c r="X930" s="106"/>
      <c r="AA930" s="106"/>
    </row>
    <row r="931" spans="24:27">
      <c r="X931" s="106"/>
      <c r="AA931" s="106"/>
    </row>
    <row r="932" spans="24:27">
      <c r="X932" s="106"/>
      <c r="AA932" s="106"/>
    </row>
    <row r="933" spans="24:27">
      <c r="X933" s="106"/>
      <c r="AA933" s="106"/>
    </row>
    <row r="934" spans="24:27">
      <c r="X934" s="106"/>
      <c r="AA934" s="106"/>
    </row>
    <row r="935" spans="24:27">
      <c r="X935" s="106"/>
      <c r="AA935" s="106"/>
    </row>
    <row r="936" spans="24:27">
      <c r="X936" s="106"/>
      <c r="AA936" s="106"/>
    </row>
    <row r="937" spans="24:27">
      <c r="X937" s="106"/>
      <c r="AA937" s="106"/>
    </row>
    <row r="938" spans="24:27">
      <c r="X938" s="106"/>
      <c r="AA938" s="106"/>
    </row>
    <row r="939" spans="24:27">
      <c r="X939" s="106"/>
      <c r="AA939" s="106"/>
    </row>
    <row r="940" spans="24:27">
      <c r="X940" s="106"/>
      <c r="AA940" s="106"/>
    </row>
    <row r="941" spans="24:27">
      <c r="X941" s="106"/>
      <c r="AA941" s="106"/>
    </row>
    <row r="942" spans="24:27">
      <c r="X942" s="106"/>
      <c r="AA942" s="106"/>
    </row>
    <row r="943" spans="24:27">
      <c r="X943" s="106"/>
      <c r="AA943" s="106"/>
    </row>
    <row r="944" spans="24:27">
      <c r="X944" s="106"/>
      <c r="AA944" s="106"/>
    </row>
    <row r="945" spans="24:27">
      <c r="X945" s="106"/>
      <c r="AA945" s="106"/>
    </row>
    <row r="946" spans="24:27">
      <c r="X946" s="106"/>
      <c r="AA946" s="106"/>
    </row>
    <row r="947" spans="24:27">
      <c r="X947" s="106"/>
      <c r="AA947" s="106"/>
    </row>
    <row r="948" spans="24:27">
      <c r="X948" s="106"/>
      <c r="AA948" s="106"/>
    </row>
    <row r="949" spans="24:27">
      <c r="X949" s="106"/>
      <c r="AA949" s="106"/>
    </row>
    <row r="950" spans="24:27">
      <c r="X950" s="106"/>
      <c r="AA950" s="106"/>
    </row>
    <row r="951" spans="24:27">
      <c r="X951" s="106"/>
      <c r="AA951" s="106"/>
    </row>
    <row r="952" spans="24:27">
      <c r="X952" s="106"/>
      <c r="AA952" s="106"/>
    </row>
    <row r="953" spans="24:27">
      <c r="X953" s="106"/>
      <c r="AA953" s="106"/>
    </row>
    <row r="954" spans="24:27">
      <c r="X954" s="106"/>
      <c r="AA954" s="106"/>
    </row>
    <row r="955" spans="24:27">
      <c r="X955" s="106"/>
      <c r="AA955" s="106"/>
    </row>
    <row r="956" spans="24:27">
      <c r="X956" s="106"/>
      <c r="AA956" s="106"/>
    </row>
    <row r="957" spans="24:27">
      <c r="X957" s="106"/>
      <c r="AA957" s="106"/>
    </row>
    <row r="958" spans="24:27">
      <c r="X958" s="106"/>
      <c r="AA958" s="106"/>
    </row>
    <row r="959" spans="24:27">
      <c r="X959" s="106"/>
      <c r="AA959" s="106"/>
    </row>
    <row r="960" spans="24:27">
      <c r="X960" s="106"/>
      <c r="AA960" s="106"/>
    </row>
    <row r="961" spans="24:27">
      <c r="X961" s="106"/>
      <c r="AA961" s="106"/>
    </row>
    <row r="962" spans="24:27">
      <c r="X962" s="106"/>
      <c r="AA962" s="106"/>
    </row>
    <row r="963" spans="24:27">
      <c r="X963" s="106"/>
      <c r="AA963" s="106"/>
    </row>
    <row r="964" spans="24:27">
      <c r="X964" s="106"/>
      <c r="AA964" s="106"/>
    </row>
    <row r="965" spans="24:27">
      <c r="X965" s="106"/>
      <c r="AA965" s="106"/>
    </row>
    <row r="966" spans="24:27">
      <c r="X966" s="106"/>
      <c r="AA966" s="106"/>
    </row>
    <row r="967" spans="24:27">
      <c r="X967" s="106"/>
      <c r="AA967" s="106"/>
    </row>
    <row r="968" spans="24:27">
      <c r="X968" s="106"/>
      <c r="AA968" s="106"/>
    </row>
    <row r="969" spans="24:27">
      <c r="X969" s="106"/>
      <c r="AA969" s="106"/>
    </row>
    <row r="970" spans="24:27">
      <c r="X970" s="106"/>
      <c r="AA970" s="106"/>
    </row>
    <row r="971" spans="24:27">
      <c r="X971" s="106"/>
      <c r="AA971" s="106"/>
    </row>
    <row r="972" spans="24:27">
      <c r="X972" s="106"/>
      <c r="AA972" s="106"/>
    </row>
    <row r="973" spans="24:27">
      <c r="X973" s="106"/>
      <c r="AA973" s="106"/>
    </row>
    <row r="974" spans="24:27">
      <c r="X974" s="106"/>
      <c r="AA974" s="106"/>
    </row>
    <row r="975" spans="24:27">
      <c r="X975" s="106"/>
      <c r="AA975" s="106"/>
    </row>
    <row r="976" spans="24:27">
      <c r="X976" s="106"/>
      <c r="AA976" s="106"/>
    </row>
    <row r="977" spans="24:27">
      <c r="X977" s="106"/>
      <c r="AA977" s="106"/>
    </row>
    <row r="978" spans="24:27">
      <c r="X978" s="106"/>
      <c r="AA978" s="106"/>
    </row>
    <row r="979" spans="24:27">
      <c r="X979" s="106"/>
      <c r="AA979" s="106"/>
    </row>
    <row r="980" spans="24:27">
      <c r="X980" s="106"/>
      <c r="AA980" s="106"/>
    </row>
    <row r="981" spans="24:27">
      <c r="X981" s="106"/>
      <c r="AA981" s="106"/>
    </row>
    <row r="982" spans="24:27">
      <c r="X982" s="106"/>
      <c r="AA982" s="106"/>
    </row>
    <row r="983" spans="24:27">
      <c r="X983" s="106"/>
      <c r="AA983" s="106"/>
    </row>
    <row r="984" spans="24:27">
      <c r="X984" s="106"/>
      <c r="AA984" s="106"/>
    </row>
    <row r="985" spans="24:27">
      <c r="X985" s="106"/>
      <c r="AA985" s="106"/>
    </row>
    <row r="986" spans="24:27">
      <c r="X986" s="106"/>
      <c r="AA986" s="106"/>
    </row>
    <row r="987" spans="24:27">
      <c r="X987" s="106"/>
      <c r="AA987" s="106"/>
    </row>
    <row r="988" spans="24:27">
      <c r="X988" s="106"/>
      <c r="AA988" s="106"/>
    </row>
    <row r="989" spans="24:27">
      <c r="X989" s="106"/>
      <c r="AA989" s="106"/>
    </row>
    <row r="990" spans="24:27">
      <c r="X990" s="106"/>
      <c r="AA990" s="106"/>
    </row>
    <row r="991" spans="24:27">
      <c r="X991" s="106"/>
      <c r="AA991" s="106"/>
    </row>
    <row r="992" spans="24:27">
      <c r="X992" s="106"/>
      <c r="AA992" s="106"/>
    </row>
    <row r="993" spans="24:27">
      <c r="X993" s="106"/>
      <c r="AA993" s="106"/>
    </row>
    <row r="994" spans="24:27">
      <c r="X994" s="106"/>
      <c r="AA994" s="106"/>
    </row>
    <row r="995" spans="24:27">
      <c r="X995" s="106"/>
      <c r="AA995" s="106"/>
    </row>
    <row r="996" spans="24:27">
      <c r="X996" s="106"/>
      <c r="AA996" s="106"/>
    </row>
    <row r="997" spans="24:27">
      <c r="X997" s="106"/>
      <c r="AA997" s="106"/>
    </row>
    <row r="998" spans="24:27">
      <c r="X998" s="106"/>
      <c r="AA998" s="106"/>
    </row>
    <row r="999" spans="24:27">
      <c r="X999" s="106"/>
      <c r="AA999" s="106"/>
    </row>
    <row r="1000" spans="24:27">
      <c r="X1000" s="106"/>
      <c r="AA1000" s="106"/>
    </row>
    <row r="1001" spans="24:27">
      <c r="X1001" s="106"/>
      <c r="AA1001" s="106"/>
    </row>
    <row r="1002" spans="24:27">
      <c r="X1002" s="106"/>
      <c r="AA1002" s="106"/>
    </row>
    <row r="1003" spans="24:27">
      <c r="X1003" s="106"/>
      <c r="AA1003" s="106"/>
    </row>
    <row r="1004" spans="24:27">
      <c r="X1004" s="106"/>
      <c r="AA1004" s="106"/>
    </row>
    <row r="1005" spans="24:27">
      <c r="X1005" s="106"/>
      <c r="AA1005" s="106"/>
    </row>
    <row r="1006" spans="24:27">
      <c r="X1006" s="106"/>
      <c r="AA1006" s="106"/>
    </row>
    <row r="1007" spans="24:27">
      <c r="X1007" s="106"/>
      <c r="AA1007" s="106"/>
    </row>
    <row r="1008" spans="24:27">
      <c r="X1008" s="106"/>
      <c r="AA1008" s="106"/>
    </row>
    <row r="1009" spans="24:27">
      <c r="X1009" s="106"/>
      <c r="AA1009" s="106"/>
    </row>
    <row r="1010" spans="24:27">
      <c r="X1010" s="106"/>
      <c r="AA1010" s="106"/>
    </row>
    <row r="1011" spans="24:27">
      <c r="X1011" s="106"/>
      <c r="AA1011" s="106"/>
    </row>
    <row r="1012" spans="24:27">
      <c r="X1012" s="106"/>
      <c r="AA1012" s="106"/>
    </row>
    <row r="1013" spans="24:27">
      <c r="X1013" s="106"/>
      <c r="AA1013" s="106"/>
    </row>
    <row r="1014" spans="24:27">
      <c r="X1014" s="106"/>
      <c r="AA1014" s="106"/>
    </row>
    <row r="1015" spans="24:27">
      <c r="X1015" s="106"/>
      <c r="AA1015" s="106"/>
    </row>
    <row r="1016" spans="24:27">
      <c r="X1016" s="106"/>
      <c r="AA1016" s="106"/>
    </row>
    <row r="1017" spans="24:27">
      <c r="X1017" s="106"/>
      <c r="AA1017" s="106"/>
    </row>
    <row r="1018" spans="24:27">
      <c r="X1018" s="106"/>
      <c r="AA1018" s="106"/>
    </row>
    <row r="1019" spans="24:27">
      <c r="X1019" s="106"/>
      <c r="AA1019" s="106"/>
    </row>
    <row r="1020" spans="24:27">
      <c r="X1020" s="106"/>
      <c r="AA1020" s="106"/>
    </row>
    <row r="1021" spans="24:27">
      <c r="X1021" s="106"/>
      <c r="AA1021" s="106"/>
    </row>
    <row r="1022" spans="24:27">
      <c r="X1022" s="106"/>
      <c r="AA1022" s="106"/>
    </row>
    <row r="1023" spans="24:27">
      <c r="X1023" s="106"/>
      <c r="AA1023" s="106"/>
    </row>
    <row r="1024" spans="24:27">
      <c r="X1024" s="106"/>
      <c r="AA1024" s="106"/>
    </row>
    <row r="1025" spans="24:27">
      <c r="X1025" s="106"/>
      <c r="AA1025" s="106"/>
    </row>
    <row r="1026" spans="24:27">
      <c r="X1026" s="106"/>
      <c r="AA1026" s="106"/>
    </row>
    <row r="1027" spans="24:27">
      <c r="X1027" s="106"/>
      <c r="AA1027" s="106"/>
    </row>
    <row r="1028" spans="24:27">
      <c r="X1028" s="106"/>
      <c r="AA1028" s="106"/>
    </row>
    <row r="1029" spans="24:27">
      <c r="X1029" s="106"/>
      <c r="AA1029" s="106"/>
    </row>
    <row r="1030" spans="24:27">
      <c r="X1030" s="106"/>
      <c r="AA1030" s="106"/>
    </row>
    <row r="1031" spans="24:27">
      <c r="X1031" s="106"/>
      <c r="AA1031" s="106"/>
    </row>
    <row r="1032" spans="24:27">
      <c r="X1032" s="106"/>
      <c r="AA1032" s="106"/>
    </row>
    <row r="1033" spans="24:27">
      <c r="X1033" s="106"/>
      <c r="AA1033" s="106"/>
    </row>
    <row r="1034" spans="24:27">
      <c r="X1034" s="106"/>
      <c r="AA1034" s="106"/>
    </row>
    <row r="1035" spans="24:27">
      <c r="X1035" s="106"/>
      <c r="AA1035" s="106"/>
    </row>
    <row r="1036" spans="24:27">
      <c r="X1036" s="106"/>
      <c r="AA1036" s="106"/>
    </row>
    <row r="1037" spans="24:27">
      <c r="X1037" s="106"/>
      <c r="AA1037" s="106"/>
    </row>
    <row r="1038" spans="24:27">
      <c r="X1038" s="106"/>
      <c r="AA1038" s="106"/>
    </row>
    <row r="1039" spans="24:27">
      <c r="X1039" s="106"/>
      <c r="AA1039" s="106"/>
    </row>
    <row r="1040" spans="24:27">
      <c r="X1040" s="106"/>
      <c r="AA1040" s="106"/>
    </row>
    <row r="1041" spans="24:27">
      <c r="X1041" s="106"/>
      <c r="AA1041" s="106"/>
    </row>
    <row r="1042" spans="24:27">
      <c r="X1042" s="106"/>
      <c r="AA1042" s="106"/>
    </row>
    <row r="1043" spans="24:27">
      <c r="X1043" s="106"/>
      <c r="AA1043" s="106"/>
    </row>
    <row r="1044" spans="24:27">
      <c r="X1044" s="106"/>
      <c r="AA1044" s="106"/>
    </row>
    <row r="1045" spans="24:27">
      <c r="X1045" s="106"/>
      <c r="AA1045" s="106"/>
    </row>
    <row r="1046" spans="24:27">
      <c r="X1046" s="106"/>
      <c r="AA1046" s="106"/>
    </row>
  </sheetData>
  <mergeCells count="50">
    <mergeCell ref="A1:B1"/>
    <mergeCell ref="A29:B29"/>
    <mergeCell ref="A48:B48"/>
    <mergeCell ref="A49:B49"/>
    <mergeCell ref="A41:B41"/>
    <mergeCell ref="A42:B42"/>
    <mergeCell ref="A43:B43"/>
    <mergeCell ref="A44:B44"/>
    <mergeCell ref="A45:B45"/>
    <mergeCell ref="A46:B46"/>
    <mergeCell ref="A2:B2"/>
    <mergeCell ref="A27:B27"/>
    <mergeCell ref="A7:B7"/>
    <mergeCell ref="A3:B3"/>
    <mergeCell ref="A4:B4"/>
    <mergeCell ref="A5:B5"/>
    <mergeCell ref="A50:B50"/>
    <mergeCell ref="A51:B51"/>
    <mergeCell ref="A40:B40"/>
    <mergeCell ref="A30:B30"/>
    <mergeCell ref="A31:B31"/>
    <mergeCell ref="A32:B32"/>
    <mergeCell ref="A33:B33"/>
    <mergeCell ref="A34:B34"/>
    <mergeCell ref="A35:B35"/>
    <mergeCell ref="A36:B36"/>
    <mergeCell ref="A37:B37"/>
    <mergeCell ref="A38:B38"/>
    <mergeCell ref="A39:B39"/>
    <mergeCell ref="A47:B47"/>
    <mergeCell ref="A6:B6"/>
    <mergeCell ref="A19:B19"/>
    <mergeCell ref="A8:B8"/>
    <mergeCell ref="A9:B9"/>
    <mergeCell ref="A10:B10"/>
    <mergeCell ref="A11:B11"/>
    <mergeCell ref="A12:B12"/>
    <mergeCell ref="A13:B13"/>
    <mergeCell ref="A14:B14"/>
    <mergeCell ref="A15:B15"/>
    <mergeCell ref="A16:B16"/>
    <mergeCell ref="A17:B17"/>
    <mergeCell ref="A18:B18"/>
    <mergeCell ref="A26:B26"/>
    <mergeCell ref="A20:B20"/>
    <mergeCell ref="A21:B21"/>
    <mergeCell ref="A22:B22"/>
    <mergeCell ref="A23:B23"/>
    <mergeCell ref="A24:B24"/>
    <mergeCell ref="A25:B25"/>
  </mergeCells>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dimension ref="A1:DD887"/>
  <sheetViews>
    <sheetView zoomScaleNormal="100" workbookViewId="0">
      <pane ySplit="3" topLeftCell="A25" activePane="bottomLeft" state="frozen"/>
      <selection pane="bottomLeft" activeCell="B44" sqref="B44"/>
    </sheetView>
  </sheetViews>
  <sheetFormatPr baseColWidth="10" defaultRowHeight="12.75"/>
  <cols>
    <col min="1" max="1" width="19" style="106" customWidth="1"/>
    <col min="2" max="2" width="18.85546875" customWidth="1"/>
    <col min="3" max="3" width="19.28515625" customWidth="1"/>
    <col min="4" max="4" width="23.140625" customWidth="1"/>
    <col min="5" max="5" width="14.140625" customWidth="1"/>
    <col min="6" max="6" width="19.28515625" customWidth="1"/>
    <col min="7" max="7" width="16.7109375" style="106" customWidth="1"/>
    <col min="8" max="8" width="27.28515625" style="106" customWidth="1"/>
    <col min="9" max="9" width="14" style="106" customWidth="1"/>
    <col min="10" max="108" width="11.42578125" style="106"/>
  </cols>
  <sheetData>
    <row r="1" spans="1:108" s="106" customFormat="1" ht="13.5" thickBot="1"/>
    <row r="2" spans="1:108">
      <c r="C2" s="2714" t="s">
        <v>723</v>
      </c>
      <c r="D2" s="2715"/>
      <c r="E2" s="2715"/>
      <c r="F2" s="2716"/>
    </row>
    <row r="3" spans="1:108" s="106" customFormat="1" ht="13.5" thickBot="1">
      <c r="C3" s="2717"/>
      <c r="D3" s="2718"/>
      <c r="E3" s="2718"/>
      <c r="F3" s="2719"/>
    </row>
    <row r="4" spans="1:108" s="106" customFormat="1" ht="13.5" thickBot="1"/>
    <row r="5" spans="1:108" s="68" customFormat="1" ht="17.25" customHeight="1" thickBot="1">
      <c r="A5" s="113"/>
      <c r="B5" s="2725" t="s">
        <v>545</v>
      </c>
      <c r="C5" s="2726"/>
      <c r="E5" s="2725" t="s">
        <v>458</v>
      </c>
      <c r="F5" s="2726"/>
      <c r="G5" s="113"/>
      <c r="H5" s="113"/>
      <c r="I5" s="113"/>
      <c r="J5" s="113"/>
      <c r="K5" s="113"/>
      <c r="L5" s="113"/>
      <c r="M5" s="113"/>
      <c r="N5" s="113"/>
      <c r="O5" s="113"/>
      <c r="P5" s="113"/>
      <c r="Q5" s="113"/>
      <c r="R5" s="113"/>
      <c r="S5" s="113"/>
      <c r="T5" s="113"/>
      <c r="U5" s="113"/>
      <c r="V5" s="113"/>
      <c r="W5" s="113"/>
      <c r="X5" s="113"/>
      <c r="Y5" s="113"/>
      <c r="Z5" s="113"/>
      <c r="AA5" s="113"/>
      <c r="AB5" s="113"/>
      <c r="AC5" s="113"/>
      <c r="AD5" s="113"/>
      <c r="AE5" s="113"/>
      <c r="AF5" s="113"/>
      <c r="AG5" s="113"/>
      <c r="AH5" s="113"/>
      <c r="AI5" s="113"/>
      <c r="AJ5" s="113"/>
      <c r="AK5" s="113"/>
      <c r="AL5" s="113"/>
      <c r="AM5" s="113"/>
      <c r="AN5" s="113"/>
      <c r="AO5" s="113"/>
      <c r="AP5" s="113"/>
      <c r="AQ5" s="113"/>
      <c r="AR5" s="113"/>
      <c r="AS5" s="113"/>
      <c r="AT5" s="113"/>
      <c r="AU5" s="113"/>
      <c r="AV5" s="113"/>
      <c r="AW5" s="113"/>
      <c r="AX5" s="113"/>
      <c r="AY5" s="113"/>
      <c r="AZ5" s="113"/>
      <c r="BA5" s="113"/>
      <c r="BB5" s="113"/>
      <c r="BC5" s="113"/>
      <c r="BD5" s="113"/>
      <c r="BE5" s="113"/>
      <c r="BF5" s="113"/>
      <c r="BG5" s="113"/>
      <c r="BH5" s="113"/>
      <c r="BI5" s="113"/>
      <c r="BJ5" s="113"/>
      <c r="BK5" s="113"/>
      <c r="BL5" s="113"/>
      <c r="BM5" s="113"/>
      <c r="BN5" s="113"/>
      <c r="BO5" s="113"/>
      <c r="BP5" s="113"/>
      <c r="BQ5" s="113"/>
      <c r="BR5" s="113"/>
      <c r="BS5" s="113"/>
      <c r="BT5" s="113"/>
      <c r="BU5" s="113"/>
      <c r="BV5" s="113"/>
      <c r="BW5" s="113"/>
      <c r="BX5" s="113"/>
      <c r="BY5" s="113"/>
      <c r="BZ5" s="113"/>
      <c r="CA5" s="113"/>
      <c r="CB5" s="113"/>
      <c r="CC5" s="113"/>
      <c r="CD5" s="113"/>
      <c r="CE5" s="113"/>
      <c r="CF5" s="113"/>
      <c r="CG5" s="113"/>
      <c r="CH5" s="113"/>
      <c r="CI5" s="113"/>
      <c r="CJ5" s="113"/>
      <c r="CK5" s="113"/>
      <c r="CL5" s="113"/>
      <c r="CM5" s="113"/>
      <c r="CN5" s="113"/>
      <c r="CO5" s="113"/>
      <c r="CP5" s="113"/>
      <c r="CQ5" s="113"/>
      <c r="CR5" s="113"/>
      <c r="CS5" s="113"/>
      <c r="CT5" s="113"/>
      <c r="CU5" s="113"/>
      <c r="CV5" s="113"/>
      <c r="CW5" s="113"/>
      <c r="CX5" s="113"/>
      <c r="CY5" s="113"/>
      <c r="CZ5" s="113"/>
      <c r="DA5" s="113"/>
      <c r="DB5" s="113"/>
      <c r="DC5" s="113"/>
      <c r="DD5" s="113"/>
    </row>
    <row r="6" spans="1:108" s="71" customFormat="1" ht="18.75" customHeight="1" thickBot="1">
      <c r="A6" s="114"/>
      <c r="B6" s="69" t="s">
        <v>546</v>
      </c>
      <c r="C6" s="70" t="s">
        <v>559</v>
      </c>
      <c r="D6" s="114"/>
      <c r="E6" s="69" t="s">
        <v>546</v>
      </c>
      <c r="F6" s="70" t="s">
        <v>560</v>
      </c>
      <c r="G6" s="114"/>
      <c r="H6" s="114"/>
      <c r="I6" s="114"/>
      <c r="J6" s="114"/>
      <c r="K6" s="114"/>
      <c r="L6" s="114"/>
      <c r="M6" s="114"/>
      <c r="N6" s="114"/>
      <c r="O6" s="114"/>
      <c r="P6" s="114"/>
      <c r="Q6" s="114"/>
      <c r="R6" s="114"/>
      <c r="S6" s="114"/>
      <c r="T6" s="114"/>
      <c r="U6" s="114"/>
      <c r="V6" s="114"/>
      <c r="W6" s="114"/>
      <c r="X6" s="114"/>
      <c r="Y6" s="114"/>
      <c r="Z6" s="114"/>
      <c r="AA6" s="114"/>
      <c r="AB6" s="114"/>
      <c r="AC6" s="114"/>
      <c r="AD6" s="114"/>
      <c r="AE6" s="114"/>
      <c r="AF6" s="114"/>
      <c r="AG6" s="114"/>
      <c r="AH6" s="114"/>
      <c r="AI6" s="114"/>
      <c r="AJ6" s="114"/>
      <c r="AK6" s="114"/>
      <c r="AL6" s="114"/>
      <c r="AM6" s="114"/>
      <c r="AN6" s="114"/>
      <c r="AO6" s="114"/>
      <c r="AP6" s="114"/>
      <c r="AQ6" s="114"/>
      <c r="AR6" s="114"/>
      <c r="AS6" s="114"/>
      <c r="AT6" s="114"/>
      <c r="AU6" s="114"/>
      <c r="AV6" s="114"/>
      <c r="AW6" s="114"/>
      <c r="AX6" s="114"/>
      <c r="AY6" s="114"/>
      <c r="AZ6" s="114"/>
      <c r="BA6" s="114"/>
      <c r="BB6" s="114"/>
      <c r="BC6" s="114"/>
      <c r="BD6" s="114"/>
      <c r="BE6" s="114"/>
      <c r="BF6" s="114"/>
      <c r="BG6" s="114"/>
      <c r="BH6" s="114"/>
      <c r="BI6" s="114"/>
      <c r="BJ6" s="114"/>
      <c r="BK6" s="114"/>
      <c r="BL6" s="114"/>
      <c r="BM6" s="114"/>
      <c r="BN6" s="114"/>
      <c r="BO6" s="114"/>
      <c r="BP6" s="114"/>
      <c r="BQ6" s="114"/>
      <c r="BR6" s="114"/>
      <c r="BS6" s="114"/>
      <c r="BT6" s="114"/>
      <c r="BU6" s="114"/>
      <c r="BV6" s="114"/>
      <c r="BW6" s="114"/>
      <c r="BX6" s="114"/>
      <c r="BY6" s="114"/>
      <c r="BZ6" s="114"/>
      <c r="CA6" s="114"/>
      <c r="CB6" s="114"/>
      <c r="CC6" s="114"/>
      <c r="CD6" s="114"/>
      <c r="CE6" s="114"/>
      <c r="CF6" s="114"/>
      <c r="CG6" s="114"/>
      <c r="CH6" s="114"/>
      <c r="CI6" s="114"/>
      <c r="CJ6" s="114"/>
      <c r="CK6" s="114"/>
      <c r="CL6" s="114"/>
      <c r="CM6" s="114"/>
      <c r="CN6" s="114"/>
      <c r="CO6" s="114"/>
      <c r="CP6" s="114"/>
      <c r="CQ6" s="114"/>
      <c r="CR6" s="114"/>
      <c r="CS6" s="114"/>
      <c r="CT6" s="114"/>
      <c r="CU6" s="114"/>
      <c r="CV6" s="114"/>
      <c r="CW6" s="114"/>
      <c r="CX6" s="114"/>
      <c r="CY6" s="114"/>
      <c r="CZ6" s="114"/>
      <c r="DA6" s="114"/>
      <c r="DB6" s="114"/>
      <c r="DC6" s="114"/>
      <c r="DD6" s="114"/>
    </row>
    <row r="7" spans="1:108" s="64" customFormat="1" ht="18" customHeight="1" thickBot="1">
      <c r="A7" s="115"/>
      <c r="B7" s="169">
        <f>(0.5)*C7</f>
        <v>1600</v>
      </c>
      <c r="C7" s="65">
        <f>2*(1000+600)</f>
        <v>3200</v>
      </c>
      <c r="D7" s="116"/>
      <c r="E7" s="169">
        <f>(13/24)*F7</f>
        <v>2600</v>
      </c>
      <c r="F7" s="65">
        <f>2*(2*800+800)</f>
        <v>4800</v>
      </c>
      <c r="G7" s="115"/>
      <c r="H7" s="115"/>
      <c r="I7" s="115"/>
      <c r="J7" s="115"/>
      <c r="K7" s="115"/>
      <c r="L7" s="115"/>
      <c r="M7" s="115"/>
      <c r="N7" s="115"/>
      <c r="O7" s="115"/>
      <c r="P7" s="115"/>
      <c r="Q7" s="115"/>
      <c r="R7" s="115"/>
      <c r="S7" s="115"/>
      <c r="T7" s="115"/>
      <c r="U7" s="115"/>
      <c r="V7" s="115"/>
      <c r="W7" s="115"/>
      <c r="X7" s="115"/>
      <c r="Y7" s="115"/>
      <c r="Z7" s="115"/>
      <c r="AA7" s="115"/>
      <c r="AB7" s="115"/>
      <c r="AC7" s="115"/>
      <c r="AD7" s="115"/>
      <c r="AE7" s="115"/>
      <c r="AF7" s="115"/>
      <c r="AG7" s="115"/>
      <c r="AH7" s="115"/>
      <c r="AI7" s="115"/>
      <c r="AJ7" s="115"/>
      <c r="AK7" s="115"/>
      <c r="AL7" s="115"/>
      <c r="AM7" s="115"/>
      <c r="AN7" s="115"/>
      <c r="AO7" s="115"/>
      <c r="AP7" s="115"/>
      <c r="AQ7" s="115"/>
      <c r="AR7" s="115"/>
      <c r="AS7" s="115"/>
      <c r="AT7" s="115"/>
      <c r="AU7" s="115"/>
      <c r="AV7" s="115"/>
      <c r="AW7" s="115"/>
      <c r="AX7" s="115"/>
      <c r="AY7" s="115"/>
      <c r="AZ7" s="115"/>
      <c r="BA7" s="115"/>
      <c r="BB7" s="115"/>
      <c r="BC7" s="115"/>
      <c r="BD7" s="115"/>
      <c r="BE7" s="115"/>
      <c r="BF7" s="115"/>
      <c r="BG7" s="115"/>
      <c r="BH7" s="115"/>
      <c r="BI7" s="115"/>
      <c r="BJ7" s="115"/>
      <c r="BK7" s="115"/>
      <c r="BL7" s="115"/>
      <c r="BM7" s="115"/>
      <c r="BN7" s="115"/>
      <c r="BO7" s="115"/>
      <c r="BP7" s="115"/>
      <c r="BQ7" s="115"/>
      <c r="BR7" s="115"/>
      <c r="BS7" s="115"/>
      <c r="BT7" s="115"/>
      <c r="BU7" s="115"/>
      <c r="BV7" s="115"/>
      <c r="BW7" s="115"/>
      <c r="BX7" s="115"/>
      <c r="BY7" s="115"/>
      <c r="BZ7" s="115"/>
      <c r="CA7" s="115"/>
      <c r="CB7" s="115"/>
      <c r="CC7" s="115"/>
      <c r="CD7" s="115"/>
      <c r="CE7" s="115"/>
      <c r="CF7" s="115"/>
      <c r="CG7" s="115"/>
      <c r="CH7" s="115"/>
      <c r="CI7" s="115"/>
      <c r="CJ7" s="115"/>
      <c r="CK7" s="115"/>
      <c r="CL7" s="115"/>
      <c r="CM7" s="115"/>
      <c r="CN7" s="115"/>
      <c r="CO7" s="115"/>
      <c r="CP7" s="115"/>
      <c r="CQ7" s="115"/>
      <c r="CR7" s="115"/>
      <c r="CS7" s="115"/>
      <c r="CT7" s="115"/>
      <c r="CU7" s="115"/>
      <c r="CV7" s="115"/>
      <c r="CW7" s="115"/>
      <c r="CX7" s="115"/>
      <c r="CY7" s="115"/>
      <c r="CZ7" s="115"/>
      <c r="DA7" s="115"/>
      <c r="DB7" s="115"/>
      <c r="DC7" s="115"/>
      <c r="DD7" s="115"/>
    </row>
    <row r="8" spans="1:108">
      <c r="B8" s="106"/>
      <c r="C8" s="66" t="s">
        <v>547</v>
      </c>
      <c r="D8" s="106"/>
      <c r="E8" s="106"/>
      <c r="F8" s="66" t="s">
        <v>547</v>
      </c>
    </row>
    <row r="9" spans="1:108" ht="13.5" thickBot="1">
      <c r="B9" s="106"/>
      <c r="C9" s="67" t="s">
        <v>548</v>
      </c>
      <c r="D9" s="106"/>
      <c r="F9" s="67" t="s">
        <v>548</v>
      </c>
    </row>
    <row r="10" spans="1:108" s="106" customFormat="1">
      <c r="C10" s="117"/>
      <c r="F10" s="117"/>
    </row>
    <row r="11" spans="1:108" s="106" customFormat="1" ht="13.5" thickBot="1">
      <c r="C11" s="117"/>
      <c r="F11" s="117"/>
    </row>
    <row r="12" spans="1:108" ht="17.25" thickBot="1">
      <c r="B12" s="106"/>
      <c r="C12" s="2720" t="s">
        <v>564</v>
      </c>
      <c r="D12" s="2721"/>
      <c r="E12" s="2722"/>
      <c r="F12" s="117"/>
    </row>
    <row r="13" spans="1:108" ht="20.25" thickBot="1">
      <c r="B13" s="106"/>
      <c r="C13" s="2720" t="s">
        <v>562</v>
      </c>
      <c r="D13" s="2721"/>
      <c r="E13" s="2722"/>
      <c r="F13" s="117"/>
    </row>
    <row r="14" spans="1:108" ht="17.25" thickBot="1">
      <c r="B14" s="106"/>
      <c r="C14" s="72" t="s">
        <v>550</v>
      </c>
      <c r="D14" s="73" t="s">
        <v>561</v>
      </c>
      <c r="E14" s="80" t="s">
        <v>546</v>
      </c>
      <c r="F14" s="117"/>
      <c r="G14" s="81"/>
    </row>
    <row r="15" spans="1:108" ht="15.75" thickBot="1">
      <c r="B15" s="106"/>
      <c r="C15" s="74" t="s">
        <v>545</v>
      </c>
      <c r="D15" s="75" t="s">
        <v>563</v>
      </c>
      <c r="E15" s="82">
        <v>1200</v>
      </c>
      <c r="F15" s="117"/>
    </row>
    <row r="16" spans="1:108" ht="5.25" customHeight="1" thickBot="1">
      <c r="B16" s="106"/>
      <c r="C16" s="76"/>
      <c r="D16" s="77"/>
      <c r="E16" s="77"/>
      <c r="F16" s="117"/>
    </row>
    <row r="17" spans="2:8" ht="15.75" thickBot="1">
      <c r="B17" s="106"/>
      <c r="C17" s="74" t="s">
        <v>458</v>
      </c>
      <c r="D17" s="75" t="s">
        <v>563</v>
      </c>
      <c r="E17" s="82">
        <v>1300</v>
      </c>
      <c r="F17" s="117"/>
    </row>
    <row r="18" spans="2:8" s="106" customFormat="1" ht="15.75" thickBot="1">
      <c r="C18" s="118"/>
      <c r="D18" s="119"/>
      <c r="E18" s="119"/>
      <c r="F18" s="117"/>
    </row>
    <row r="19" spans="2:8" ht="13.5" thickBot="1">
      <c r="B19" s="106"/>
      <c r="C19" s="78" t="s">
        <v>551</v>
      </c>
      <c r="D19" s="106"/>
      <c r="E19" s="106"/>
      <c r="F19" s="117"/>
    </row>
    <row r="20" spans="2:8" ht="13.5" thickBot="1">
      <c r="B20" s="106"/>
      <c r="C20" s="79" t="s">
        <v>552</v>
      </c>
      <c r="D20" s="106"/>
      <c r="E20" s="106"/>
      <c r="F20" s="117"/>
    </row>
    <row r="21" spans="2:8" ht="13.5" thickBot="1">
      <c r="B21" s="106"/>
      <c r="C21" s="79" t="s">
        <v>553</v>
      </c>
      <c r="D21" s="106"/>
      <c r="E21" s="106"/>
      <c r="F21" s="117"/>
    </row>
    <row r="22" spans="2:8" s="106" customFormat="1">
      <c r="C22" s="117"/>
    </row>
    <row r="23" spans="2:8" ht="15">
      <c r="B23" s="106"/>
      <c r="C23" s="133" t="s">
        <v>732</v>
      </c>
      <c r="D23" s="2723" t="s">
        <v>731</v>
      </c>
      <c r="E23" s="2724"/>
      <c r="F23" s="133" t="s">
        <v>733</v>
      </c>
      <c r="G23" s="200" t="s">
        <v>1168</v>
      </c>
      <c r="H23" s="134"/>
    </row>
    <row r="24" spans="2:8" s="106" customFormat="1" ht="15">
      <c r="C24" s="131"/>
      <c r="D24" s="120"/>
      <c r="E24" s="130"/>
      <c r="F24" s="131"/>
      <c r="G24" s="107" t="s">
        <v>734</v>
      </c>
      <c r="H24" s="132"/>
    </row>
    <row r="25" spans="2:8" s="106" customFormat="1" ht="15">
      <c r="C25" s="135"/>
      <c r="D25" s="2712" t="s">
        <v>730</v>
      </c>
      <c r="E25" s="2713"/>
      <c r="F25" s="135"/>
      <c r="G25" s="136"/>
      <c r="H25" s="137"/>
    </row>
    <row r="26" spans="2:8" s="106" customFormat="1"/>
    <row r="27" spans="2:8" s="106" customFormat="1">
      <c r="C27" s="347" t="s">
        <v>1170</v>
      </c>
    </row>
    <row r="28" spans="2:8" s="106" customFormat="1" ht="15">
      <c r="C28" s="348" t="s">
        <v>732</v>
      </c>
      <c r="D28" s="2708" t="s">
        <v>1169</v>
      </c>
      <c r="E28" s="2709"/>
      <c r="F28" s="348" t="s">
        <v>733</v>
      </c>
      <c r="G28" s="349" t="s">
        <v>1168</v>
      </c>
      <c r="H28" s="350"/>
    </row>
    <row r="29" spans="2:8" s="106" customFormat="1" ht="15">
      <c r="C29" s="351"/>
      <c r="D29" s="352"/>
      <c r="E29" s="353"/>
      <c r="F29" s="351"/>
      <c r="G29" s="354" t="s">
        <v>734</v>
      </c>
      <c r="H29" s="355"/>
    </row>
    <row r="30" spans="2:8" s="106" customFormat="1" ht="15">
      <c r="C30" s="356"/>
      <c r="D30" s="2710" t="s">
        <v>730</v>
      </c>
      <c r="E30" s="2711"/>
      <c r="F30" s="356"/>
      <c r="G30" s="357"/>
      <c r="H30" s="358"/>
    </row>
    <row r="31" spans="2:8" s="106" customFormat="1"/>
    <row r="32" spans="2:8" s="106" customFormat="1"/>
    <row r="33" spans="1:3" s="106" customFormat="1">
      <c r="A33" s="126"/>
      <c r="B33" s="115"/>
      <c r="C33" s="115"/>
    </row>
    <row r="34" spans="1:3" s="106" customFormat="1" ht="18">
      <c r="A34" s="392" t="s">
        <v>13941</v>
      </c>
      <c r="B34" s="2707" t="s">
        <v>458</v>
      </c>
      <c r="C34" s="2707"/>
    </row>
    <row r="35" spans="1:3" s="106" customFormat="1" ht="16.5">
      <c r="A35" s="115"/>
      <c r="B35" s="391" t="s">
        <v>560</v>
      </c>
      <c r="C35" s="391" t="s">
        <v>546</v>
      </c>
    </row>
    <row r="36" spans="1:3" s="106" customFormat="1" ht="15">
      <c r="A36" s="115"/>
      <c r="B36" s="387">
        <f>2*((900+900)+1000)</f>
        <v>5600</v>
      </c>
      <c r="C36" s="390">
        <f>(13/24)*B36</f>
        <v>3033.333333333333</v>
      </c>
    </row>
    <row r="37" spans="1:3" s="106" customFormat="1"/>
    <row r="38" spans="1:3" s="106" customFormat="1" ht="18">
      <c r="A38" s="392" t="s">
        <v>14104</v>
      </c>
      <c r="B38" s="2707" t="s">
        <v>458</v>
      </c>
      <c r="C38" s="2707"/>
    </row>
    <row r="39" spans="1:3" s="106" customFormat="1" ht="16.5">
      <c r="A39" s="115"/>
      <c r="B39" s="391" t="s">
        <v>560</v>
      </c>
      <c r="C39" s="391" t="s">
        <v>546</v>
      </c>
    </row>
    <row r="40" spans="1:3" s="106" customFormat="1" ht="15">
      <c r="A40" s="115"/>
      <c r="B40" s="387">
        <f>2*((1000+800)+1000)</f>
        <v>5600</v>
      </c>
      <c r="C40" s="390">
        <f>(13/24)*B40</f>
        <v>3033.333333333333</v>
      </c>
    </row>
    <row r="41" spans="1:3" s="106" customFormat="1"/>
    <row r="42" spans="1:3" s="106" customFormat="1" ht="18">
      <c r="A42" s="392" t="s">
        <v>2579</v>
      </c>
      <c r="B42" s="2707" t="s">
        <v>458</v>
      </c>
      <c r="C42" s="2707"/>
    </row>
    <row r="43" spans="1:3" s="106" customFormat="1" ht="16.5">
      <c r="A43" s="115"/>
      <c r="B43" s="391" t="s">
        <v>560</v>
      </c>
      <c r="C43" s="391" t="s">
        <v>546</v>
      </c>
    </row>
    <row r="44" spans="1:3" s="106" customFormat="1" ht="15">
      <c r="A44" s="115"/>
      <c r="B44" s="387">
        <f>2*((1000+900+1000)+1200)</f>
        <v>8200</v>
      </c>
      <c r="C44" s="390">
        <f>(13/24)*B44</f>
        <v>4441.6666666666661</v>
      </c>
    </row>
    <row r="45" spans="1:3" s="106" customFormat="1"/>
    <row r="46" spans="1:3" s="106" customFormat="1" ht="18">
      <c r="A46" s="392" t="s">
        <v>14150</v>
      </c>
      <c r="B46" s="2707" t="s">
        <v>458</v>
      </c>
      <c r="C46" s="2707"/>
    </row>
    <row r="47" spans="1:3" s="106" customFormat="1" ht="16.5">
      <c r="A47" s="115"/>
      <c r="B47" s="391" t="s">
        <v>560</v>
      </c>
      <c r="C47" s="391" t="s">
        <v>546</v>
      </c>
    </row>
    <row r="48" spans="1:3" s="106" customFormat="1" ht="15">
      <c r="A48" s="115"/>
      <c r="B48" s="387">
        <f>2*((1100+1000+800)+1200)</f>
        <v>8200</v>
      </c>
      <c r="C48" s="390">
        <f>(13/24)*B48</f>
        <v>4441.6666666666661</v>
      </c>
    </row>
    <row r="49" spans="1:3" s="106" customFormat="1"/>
    <row r="50" spans="1:3" s="106" customFormat="1" ht="18">
      <c r="A50" s="392" t="s">
        <v>3632</v>
      </c>
      <c r="B50" s="2707" t="s">
        <v>458</v>
      </c>
      <c r="C50" s="2707"/>
    </row>
    <row r="51" spans="1:3" s="106" customFormat="1" ht="16.5">
      <c r="A51" s="115"/>
      <c r="B51" s="391" t="s">
        <v>560</v>
      </c>
      <c r="C51" s="391" t="s">
        <v>546</v>
      </c>
    </row>
    <row r="52" spans="1:3" s="106" customFormat="1" ht="15">
      <c r="A52" s="115"/>
      <c r="B52" s="387">
        <f>2*((900)+800)</f>
        <v>3400</v>
      </c>
      <c r="C52" s="390">
        <f>(13/24)*B52</f>
        <v>1841.6666666666665</v>
      </c>
    </row>
    <row r="53" spans="1:3" s="106" customFormat="1"/>
    <row r="54" spans="1:3" s="106" customFormat="1" ht="18">
      <c r="A54" s="392" t="s">
        <v>3636</v>
      </c>
      <c r="B54" s="2707" t="s">
        <v>458</v>
      </c>
      <c r="C54" s="2707"/>
    </row>
    <row r="55" spans="1:3" s="106" customFormat="1" ht="16.5">
      <c r="A55" s="115"/>
      <c r="B55" s="391" t="s">
        <v>560</v>
      </c>
      <c r="C55" s="391" t="s">
        <v>546</v>
      </c>
    </row>
    <row r="56" spans="1:3" s="106" customFormat="1" ht="15">
      <c r="A56" s="115"/>
      <c r="B56" s="387">
        <f>2*((800+800)+800)</f>
        <v>4800</v>
      </c>
      <c r="C56" s="390">
        <f>(13/24)*B56</f>
        <v>2600</v>
      </c>
    </row>
    <row r="57" spans="1:3" s="106" customFormat="1"/>
    <row r="58" spans="1:3" s="106" customFormat="1" ht="18">
      <c r="A58" s="392" t="s">
        <v>3684</v>
      </c>
      <c r="B58" s="2707" t="s">
        <v>458</v>
      </c>
      <c r="C58" s="2707"/>
    </row>
    <row r="59" spans="1:3" s="106" customFormat="1" ht="16.5">
      <c r="A59" s="115"/>
      <c r="B59" s="391" t="s">
        <v>560</v>
      </c>
      <c r="C59" s="391" t="s">
        <v>546</v>
      </c>
    </row>
    <row r="60" spans="1:3" s="106" customFormat="1" ht="15">
      <c r="A60" s="115"/>
      <c r="B60" s="387">
        <f>2*((800+900)+800)</f>
        <v>5000</v>
      </c>
      <c r="C60" s="390">
        <f>(13/24)*B60</f>
        <v>2708.333333333333</v>
      </c>
    </row>
    <row r="61" spans="1:3" s="106" customFormat="1"/>
    <row r="62" spans="1:3" s="106" customFormat="1" ht="18">
      <c r="A62" s="392" t="s">
        <v>3703</v>
      </c>
      <c r="B62" s="2707" t="s">
        <v>458</v>
      </c>
      <c r="C62" s="2707"/>
    </row>
    <row r="63" spans="1:3" s="106" customFormat="1" ht="16.5">
      <c r="A63" s="115"/>
      <c r="B63" s="391" t="s">
        <v>560</v>
      </c>
      <c r="C63" s="391" t="s">
        <v>546</v>
      </c>
    </row>
    <row r="64" spans="1:3" s="106" customFormat="1" ht="15">
      <c r="A64" s="115"/>
      <c r="B64" s="387">
        <f>2*((1200+900+900+1200)+1200)</f>
        <v>10800</v>
      </c>
      <c r="C64" s="390">
        <f>(13/24)*B64</f>
        <v>5850</v>
      </c>
    </row>
    <row r="65" spans="1:3" s="106" customFormat="1"/>
    <row r="66" spans="1:3" s="106" customFormat="1"/>
    <row r="67" spans="1:3" s="106" customFormat="1" ht="15">
      <c r="A67" s="115"/>
      <c r="B67" s="787"/>
      <c r="C67" s="788"/>
    </row>
    <row r="68" spans="1:3" s="106" customFormat="1">
      <c r="A68" s="782" t="s">
        <v>2634</v>
      </c>
    </row>
    <row r="69" spans="1:3" s="106" customFormat="1"/>
    <row r="70" spans="1:3" s="106" customFormat="1" ht="18">
      <c r="A70" s="392" t="s">
        <v>1708</v>
      </c>
      <c r="B70" s="2707" t="s">
        <v>458</v>
      </c>
      <c r="C70" s="2707"/>
    </row>
    <row r="71" spans="1:3" s="106" customFormat="1" ht="16.5">
      <c r="A71" s="115"/>
      <c r="B71" s="391" t="s">
        <v>560</v>
      </c>
      <c r="C71" s="391" t="s">
        <v>546</v>
      </c>
    </row>
    <row r="72" spans="1:3" s="106" customFormat="1" ht="15">
      <c r="A72" s="115"/>
      <c r="B72" s="387">
        <f>2*((800+800)+800)</f>
        <v>4800</v>
      </c>
      <c r="C72" s="390">
        <f>(13/24)*B72</f>
        <v>2600</v>
      </c>
    </row>
    <row r="73" spans="1:3" s="106" customFormat="1"/>
    <row r="74" spans="1:3" s="106" customFormat="1"/>
    <row r="75" spans="1:3" s="106" customFormat="1" ht="18">
      <c r="A75" s="392" t="s">
        <v>1714</v>
      </c>
      <c r="B75" s="2707" t="s">
        <v>458</v>
      </c>
      <c r="C75" s="2707"/>
    </row>
    <row r="76" spans="1:3" s="106" customFormat="1" ht="16.5">
      <c r="A76" s="115"/>
      <c r="B76" s="391" t="s">
        <v>560</v>
      </c>
      <c r="C76" s="391" t="s">
        <v>546</v>
      </c>
    </row>
    <row r="77" spans="1:3" s="106" customFormat="1" ht="15">
      <c r="A77" s="115"/>
      <c r="B77" s="387">
        <f>2*((800+800)+800)</f>
        <v>4800</v>
      </c>
      <c r="C77" s="390">
        <f>(13/24)*B77</f>
        <v>2600</v>
      </c>
    </row>
    <row r="78" spans="1:3" s="106" customFormat="1"/>
    <row r="79" spans="1:3" s="106" customFormat="1"/>
    <row r="80" spans="1:3" s="106" customFormat="1"/>
    <row r="81" spans="1:3" s="106" customFormat="1" ht="18">
      <c r="A81" s="392" t="s">
        <v>2643</v>
      </c>
      <c r="B81" s="2707" t="s">
        <v>458</v>
      </c>
      <c r="C81" s="2707"/>
    </row>
    <row r="82" spans="1:3" s="106" customFormat="1" ht="16.5">
      <c r="A82" s="115"/>
      <c r="B82" s="391" t="s">
        <v>560</v>
      </c>
      <c r="C82" s="391" t="s">
        <v>546</v>
      </c>
    </row>
    <row r="83" spans="1:3" s="106" customFormat="1" ht="15">
      <c r="A83" s="115"/>
      <c r="B83" s="387">
        <f>2*((800+800)+800)</f>
        <v>4800</v>
      </c>
      <c r="C83" s="390">
        <f>(13/24)*B83</f>
        <v>2600</v>
      </c>
    </row>
    <row r="84" spans="1:3" s="106" customFormat="1"/>
    <row r="85" spans="1:3" s="106" customFormat="1"/>
    <row r="86" spans="1:3" s="106" customFormat="1" ht="18">
      <c r="A86" s="392" t="s">
        <v>2683</v>
      </c>
      <c r="B86" s="2707" t="s">
        <v>458</v>
      </c>
      <c r="C86" s="2707"/>
    </row>
    <row r="87" spans="1:3" s="106" customFormat="1" ht="16.5">
      <c r="A87" s="115"/>
      <c r="B87" s="391" t="s">
        <v>560</v>
      </c>
      <c r="C87" s="391" t="s">
        <v>546</v>
      </c>
    </row>
    <row r="88" spans="1:3" s="106" customFormat="1" ht="15">
      <c r="A88" s="115"/>
      <c r="B88" s="387">
        <f>2*((800)+800)</f>
        <v>3200</v>
      </c>
      <c r="C88" s="390">
        <f>(13/24)*B88</f>
        <v>1733.3333333333333</v>
      </c>
    </row>
    <row r="89" spans="1:3" s="106" customFormat="1"/>
    <row r="90" spans="1:3" s="106" customFormat="1"/>
    <row r="91" spans="1:3" s="106" customFormat="1" ht="18">
      <c r="A91" s="392" t="s">
        <v>2685</v>
      </c>
      <c r="B91" s="2707" t="s">
        <v>458</v>
      </c>
      <c r="C91" s="2707"/>
    </row>
    <row r="92" spans="1:3" s="106" customFormat="1" ht="16.5">
      <c r="A92" s="115"/>
      <c r="B92" s="391" t="s">
        <v>560</v>
      </c>
      <c r="C92" s="391" t="s">
        <v>546</v>
      </c>
    </row>
    <row r="93" spans="1:3" s="106" customFormat="1" ht="15">
      <c r="A93" s="115"/>
      <c r="B93" s="387">
        <f>2*((800)+800)</f>
        <v>3200</v>
      </c>
      <c r="C93" s="390">
        <f>(13/24)*B93</f>
        <v>1733.3333333333333</v>
      </c>
    </row>
    <row r="94" spans="1:3" s="106" customFormat="1"/>
    <row r="95" spans="1:3" s="106" customFormat="1"/>
    <row r="96" spans="1:3" s="106" customFormat="1" ht="18">
      <c r="A96" s="397"/>
      <c r="B96" s="2707"/>
      <c r="C96" s="2707"/>
    </row>
    <row r="97" spans="1:3" s="106" customFormat="1" ht="15">
      <c r="A97" s="115"/>
      <c r="B97" s="391"/>
      <c r="C97" s="391"/>
    </row>
    <row r="98" spans="1:3" s="106" customFormat="1" ht="15">
      <c r="A98" s="115"/>
      <c r="B98" s="387"/>
      <c r="C98" s="390"/>
    </row>
    <row r="99" spans="1:3" s="106" customFormat="1"/>
    <row r="100" spans="1:3" s="106" customFormat="1"/>
    <row r="101" spans="1:3" s="106" customFormat="1" ht="18">
      <c r="A101" s="397"/>
      <c r="B101" s="2707"/>
      <c r="C101" s="2707"/>
    </row>
    <row r="102" spans="1:3" s="106" customFormat="1" ht="15">
      <c r="A102" s="115"/>
      <c r="B102" s="391"/>
      <c r="C102" s="391"/>
    </row>
    <row r="103" spans="1:3" s="106" customFormat="1" ht="15">
      <c r="A103" s="115"/>
      <c r="B103" s="387"/>
      <c r="C103" s="390"/>
    </row>
    <row r="104" spans="1:3" s="106" customFormat="1"/>
    <row r="105" spans="1:3" s="106" customFormat="1"/>
    <row r="106" spans="1:3" s="106" customFormat="1" ht="18">
      <c r="A106" s="397"/>
      <c r="B106" s="2707"/>
      <c r="C106" s="2707"/>
    </row>
    <row r="107" spans="1:3" s="106" customFormat="1" ht="15">
      <c r="A107" s="115"/>
      <c r="B107" s="391"/>
      <c r="C107" s="391"/>
    </row>
    <row r="108" spans="1:3" s="106" customFormat="1" ht="15">
      <c r="A108" s="115"/>
      <c r="B108" s="387"/>
      <c r="C108" s="390"/>
    </row>
    <row r="109" spans="1:3" s="106" customFormat="1"/>
    <row r="110" spans="1:3" s="106" customFormat="1"/>
    <row r="111" spans="1:3" s="106" customFormat="1" ht="18">
      <c r="A111" s="397"/>
      <c r="B111" s="2707"/>
      <c r="C111" s="2707"/>
    </row>
    <row r="112" spans="1:3" s="106" customFormat="1" ht="15">
      <c r="A112" s="115"/>
      <c r="B112" s="391"/>
      <c r="C112" s="391"/>
    </row>
    <row r="113" spans="1:3" s="106" customFormat="1" ht="15">
      <c r="A113" s="115"/>
      <c r="B113" s="387"/>
      <c r="C113" s="390"/>
    </row>
    <row r="114" spans="1:3" s="106" customFormat="1"/>
    <row r="115" spans="1:3" s="106" customFormat="1"/>
    <row r="116" spans="1:3" s="106" customFormat="1"/>
    <row r="117" spans="1:3" s="106" customFormat="1"/>
    <row r="118" spans="1:3" s="106" customFormat="1"/>
    <row r="119" spans="1:3" s="106" customFormat="1"/>
    <row r="120" spans="1:3" s="106" customFormat="1"/>
    <row r="121" spans="1:3" s="106" customFormat="1"/>
    <row r="122" spans="1:3" s="106" customFormat="1"/>
    <row r="123" spans="1:3" s="106" customFormat="1"/>
    <row r="124" spans="1:3" s="106" customFormat="1"/>
    <row r="125" spans="1:3" s="106" customFormat="1"/>
    <row r="126" spans="1:3" s="106" customFormat="1"/>
    <row r="127" spans="1:3" s="106" customFormat="1"/>
    <row r="128" spans="1:3" s="106" customFormat="1"/>
    <row r="129" s="106" customFormat="1"/>
    <row r="130" s="106" customFormat="1"/>
    <row r="131" s="106" customFormat="1"/>
    <row r="132" s="106" customFormat="1"/>
    <row r="133" s="106" customFormat="1"/>
    <row r="134" s="106" customFormat="1"/>
    <row r="135" s="106" customFormat="1"/>
    <row r="136" s="106" customFormat="1"/>
    <row r="137" s="106" customFormat="1"/>
    <row r="138" s="106" customFormat="1"/>
    <row r="139" s="106" customFormat="1"/>
    <row r="140" s="106" customFormat="1"/>
    <row r="141" s="106" customFormat="1"/>
    <row r="142" s="106" customFormat="1"/>
    <row r="143" s="106" customFormat="1"/>
    <row r="144" s="106" customFormat="1"/>
    <row r="145" s="106" customFormat="1"/>
    <row r="146" s="106" customFormat="1"/>
    <row r="147" s="106" customFormat="1"/>
    <row r="148" s="106" customFormat="1"/>
    <row r="149" s="106" customFormat="1"/>
    <row r="150" s="106" customFormat="1"/>
    <row r="151" s="106" customFormat="1"/>
    <row r="152" s="106" customFormat="1"/>
    <row r="153" s="106" customFormat="1"/>
    <row r="154" s="106" customFormat="1"/>
    <row r="155" s="106" customFormat="1"/>
    <row r="156" s="106" customFormat="1"/>
    <row r="157" s="106" customFormat="1"/>
    <row r="158" s="106" customFormat="1"/>
    <row r="159" s="106" customFormat="1"/>
    <row r="160" s="106" customFormat="1"/>
    <row r="161" s="106" customFormat="1"/>
    <row r="162" s="106" customFormat="1"/>
    <row r="163" s="106" customFormat="1"/>
    <row r="164" s="106" customFormat="1"/>
    <row r="165" s="106" customFormat="1"/>
    <row r="166" s="106" customFormat="1"/>
    <row r="167" s="106" customFormat="1"/>
    <row r="168" s="106" customFormat="1"/>
    <row r="169" s="106" customFormat="1"/>
    <row r="170" s="106" customFormat="1"/>
    <row r="171" s="106" customFormat="1"/>
    <row r="172" s="106" customFormat="1"/>
    <row r="173" s="106" customFormat="1"/>
    <row r="174" s="106" customFormat="1"/>
    <row r="175" s="106" customFormat="1"/>
    <row r="176" s="106" customFormat="1"/>
    <row r="177" s="106" customFormat="1"/>
    <row r="178" s="106" customFormat="1"/>
    <row r="179" s="106" customFormat="1"/>
    <row r="180" s="106" customFormat="1"/>
    <row r="181" s="106" customFormat="1"/>
    <row r="182" s="106" customFormat="1"/>
    <row r="183" s="106" customFormat="1"/>
    <row r="184" s="106" customFormat="1"/>
    <row r="185" s="106" customFormat="1"/>
    <row r="186" s="106" customFormat="1"/>
    <row r="187" s="106" customFormat="1"/>
    <row r="188" s="106" customFormat="1"/>
    <row r="189" s="106" customFormat="1"/>
    <row r="190" s="106" customFormat="1"/>
    <row r="191" s="106" customFormat="1"/>
    <row r="192" s="106" customFormat="1"/>
    <row r="193" s="106" customFormat="1"/>
    <row r="194" s="106" customFormat="1"/>
    <row r="195" s="106" customFormat="1"/>
    <row r="196" s="106" customFormat="1"/>
    <row r="197" s="106" customFormat="1"/>
    <row r="198" s="106" customFormat="1"/>
    <row r="199" s="106" customFormat="1"/>
    <row r="200" s="106" customFormat="1"/>
    <row r="201" s="106" customFormat="1"/>
    <row r="202" s="106" customFormat="1"/>
    <row r="203" s="106" customFormat="1"/>
    <row r="204" s="106" customFormat="1"/>
    <row r="205" s="106" customFormat="1"/>
    <row r="206" s="106" customFormat="1"/>
    <row r="207" s="106" customFormat="1"/>
    <row r="208" s="106" customFormat="1"/>
    <row r="209" s="106" customFormat="1"/>
    <row r="210" s="106" customFormat="1"/>
    <row r="211" s="106" customFormat="1"/>
    <row r="212" s="106" customFormat="1"/>
    <row r="213" s="106" customFormat="1"/>
    <row r="214" s="106" customFormat="1"/>
    <row r="215" s="106" customFormat="1"/>
    <row r="216" s="106" customFormat="1"/>
    <row r="217" s="106" customFormat="1"/>
    <row r="218" s="106" customFormat="1"/>
    <row r="219" s="106" customFormat="1"/>
    <row r="220" s="106" customFormat="1"/>
    <row r="221" s="106" customFormat="1"/>
    <row r="222" s="106" customFormat="1"/>
    <row r="223" s="106" customFormat="1"/>
    <row r="224" s="106" customFormat="1"/>
    <row r="225" s="106" customFormat="1"/>
    <row r="226" s="106" customFormat="1"/>
    <row r="227" s="106" customFormat="1"/>
    <row r="228" s="106" customFormat="1"/>
    <row r="229" s="106" customFormat="1"/>
    <row r="230" s="106" customFormat="1"/>
    <row r="231" s="106" customFormat="1"/>
    <row r="232" s="106" customFormat="1"/>
    <row r="233" s="106" customFormat="1"/>
    <row r="234" s="106" customFormat="1"/>
    <row r="235" s="106" customFormat="1"/>
    <row r="236" s="106" customFormat="1"/>
    <row r="237" s="106" customFormat="1"/>
    <row r="238" s="106" customFormat="1"/>
    <row r="239" s="106" customFormat="1"/>
    <row r="240" s="106" customFormat="1"/>
    <row r="241" s="106" customFormat="1"/>
    <row r="242" s="106" customFormat="1"/>
    <row r="243" s="106" customFormat="1"/>
    <row r="244" s="106" customFormat="1"/>
    <row r="245" s="106" customFormat="1"/>
    <row r="246" s="106" customFormat="1"/>
    <row r="247" s="106" customFormat="1"/>
    <row r="248" s="106" customFormat="1"/>
    <row r="249" s="106" customFormat="1"/>
    <row r="250" s="106" customFormat="1"/>
    <row r="251" s="106" customFormat="1"/>
    <row r="252" s="106" customFormat="1"/>
    <row r="253" s="106" customFormat="1"/>
    <row r="254" s="106" customFormat="1"/>
    <row r="255" s="106" customFormat="1"/>
    <row r="256" s="106" customFormat="1"/>
    <row r="257" s="106" customFormat="1"/>
    <row r="258" s="106" customFormat="1"/>
    <row r="259" s="106" customFormat="1"/>
    <row r="260" s="106" customFormat="1"/>
    <row r="261" s="106" customFormat="1"/>
    <row r="262" s="106" customFormat="1"/>
    <row r="263" s="106" customFormat="1"/>
    <row r="264" s="106" customFormat="1"/>
    <row r="265" s="106" customFormat="1"/>
    <row r="266" s="106" customFormat="1"/>
    <row r="267" s="106" customFormat="1"/>
    <row r="268" s="106" customFormat="1"/>
    <row r="269" s="106" customFormat="1"/>
    <row r="270" s="106" customFormat="1"/>
    <row r="271" s="106" customFormat="1"/>
    <row r="272" s="106" customFormat="1"/>
    <row r="273" s="106" customFormat="1"/>
    <row r="274" s="106" customFormat="1"/>
    <row r="275" s="106" customFormat="1"/>
    <row r="276" s="106" customFormat="1"/>
    <row r="277" s="106" customFormat="1"/>
    <row r="278" s="106" customFormat="1"/>
    <row r="279" s="106" customFormat="1"/>
    <row r="280" s="106" customFormat="1"/>
    <row r="281" s="106" customFormat="1"/>
    <row r="282" s="106" customFormat="1"/>
    <row r="283" s="106" customFormat="1"/>
    <row r="284" s="106" customFormat="1"/>
    <row r="285" s="106" customFormat="1"/>
    <row r="286" s="106" customFormat="1"/>
    <row r="287" s="106" customFormat="1"/>
    <row r="288" s="106" customFormat="1"/>
    <row r="289" s="106" customFormat="1"/>
    <row r="290" s="106" customFormat="1"/>
    <row r="291" s="106" customFormat="1"/>
    <row r="292" s="106" customFormat="1"/>
    <row r="293" s="106" customFormat="1"/>
    <row r="294" s="106" customFormat="1"/>
    <row r="295" s="106" customFormat="1"/>
    <row r="296" s="106" customFormat="1"/>
    <row r="297" s="106" customFormat="1"/>
    <row r="298" s="106" customFormat="1"/>
    <row r="299" s="106" customFormat="1"/>
    <row r="300" s="106" customFormat="1"/>
    <row r="301" s="106" customFormat="1"/>
    <row r="302" s="106" customFormat="1"/>
    <row r="303" s="106" customFormat="1"/>
    <row r="304" s="106" customFormat="1"/>
    <row r="305" s="106" customFormat="1"/>
    <row r="306" s="106" customFormat="1"/>
    <row r="307" s="106" customFormat="1"/>
    <row r="308" s="106" customFormat="1"/>
    <row r="309" s="106" customFormat="1"/>
    <row r="310" s="106" customFormat="1"/>
    <row r="311" s="106" customFormat="1"/>
    <row r="312" s="106" customFormat="1"/>
    <row r="313" s="106" customFormat="1"/>
    <row r="314" s="106" customFormat="1"/>
    <row r="315" s="106" customFormat="1"/>
    <row r="316" s="106" customFormat="1"/>
    <row r="317" s="106" customFormat="1"/>
    <row r="318" s="106" customFormat="1"/>
    <row r="319" s="106" customFormat="1"/>
    <row r="320" s="106" customFormat="1"/>
    <row r="321" s="106" customFormat="1"/>
    <row r="322" s="106" customFormat="1"/>
    <row r="323" s="106" customFormat="1"/>
    <row r="324" s="106" customFormat="1"/>
    <row r="325" s="106" customFormat="1"/>
    <row r="326" s="106" customFormat="1"/>
    <row r="327" s="106" customFormat="1"/>
    <row r="328" s="106" customFormat="1"/>
    <row r="329" s="106" customFormat="1"/>
    <row r="330" s="106" customFormat="1"/>
    <row r="331" s="106" customFormat="1"/>
    <row r="332" s="106" customFormat="1"/>
    <row r="333" s="106" customFormat="1"/>
    <row r="334" s="106" customFormat="1"/>
    <row r="335" s="106" customFormat="1"/>
    <row r="336" s="106" customFormat="1"/>
    <row r="337" s="106" customFormat="1"/>
    <row r="338" s="106" customFormat="1"/>
    <row r="339" s="106" customFormat="1"/>
    <row r="340" s="106" customFormat="1"/>
    <row r="341" s="106" customFormat="1"/>
    <row r="342" s="106" customFormat="1"/>
    <row r="343" s="106" customFormat="1"/>
    <row r="344" s="106" customFormat="1"/>
    <row r="345" s="106" customFormat="1"/>
    <row r="346" s="106" customFormat="1"/>
    <row r="347" s="106" customFormat="1"/>
    <row r="348" s="106" customFormat="1"/>
    <row r="349" s="106" customFormat="1"/>
    <row r="350" s="106" customFormat="1"/>
    <row r="351" s="106" customFormat="1"/>
    <row r="352" s="106" customFormat="1"/>
    <row r="353" s="106" customFormat="1"/>
    <row r="354" s="106" customFormat="1"/>
    <row r="355" s="106" customFormat="1"/>
    <row r="356" s="106" customFormat="1"/>
    <row r="357" s="106" customFormat="1"/>
    <row r="358" s="106" customFormat="1"/>
    <row r="359" s="106" customFormat="1"/>
    <row r="360" s="106" customFormat="1"/>
    <row r="361" s="106" customFormat="1"/>
    <row r="362" s="106" customFormat="1"/>
    <row r="363" s="106" customFormat="1"/>
    <row r="364" s="106" customFormat="1"/>
    <row r="365" s="106" customFormat="1"/>
    <row r="366" s="106" customFormat="1"/>
    <row r="367" s="106" customFormat="1"/>
    <row r="368" s="106" customFormat="1"/>
    <row r="369" s="106" customFormat="1"/>
    <row r="370" s="106" customFormat="1"/>
    <row r="371" s="106" customFormat="1"/>
    <row r="372" s="106" customFormat="1"/>
    <row r="373" s="106" customFormat="1"/>
    <row r="374" s="106" customFormat="1"/>
    <row r="375" s="106" customFormat="1"/>
    <row r="376" s="106" customFormat="1"/>
    <row r="377" s="106" customFormat="1"/>
    <row r="378" s="106" customFormat="1"/>
    <row r="379" s="106" customFormat="1"/>
    <row r="380" s="106" customFormat="1"/>
    <row r="381" s="106" customFormat="1"/>
    <row r="382" s="106" customFormat="1"/>
    <row r="383" s="106" customFormat="1"/>
    <row r="384" s="106" customFormat="1"/>
    <row r="385" s="106" customFormat="1"/>
    <row r="386" s="106" customFormat="1"/>
    <row r="387" s="106" customFormat="1"/>
    <row r="388" s="106" customFormat="1"/>
    <row r="389" s="106" customFormat="1"/>
    <row r="390" s="106" customFormat="1"/>
    <row r="391" s="106" customFormat="1"/>
    <row r="392" s="106" customFormat="1"/>
    <row r="393" s="106" customFormat="1"/>
    <row r="394" s="106" customFormat="1"/>
    <row r="395" s="106" customFormat="1"/>
    <row r="396" s="106" customFormat="1"/>
    <row r="397" s="106" customFormat="1"/>
    <row r="398" s="106" customFormat="1"/>
    <row r="399" s="106" customFormat="1"/>
    <row r="400" s="106" customFormat="1"/>
    <row r="401" s="106" customFormat="1"/>
    <row r="402" s="106" customFormat="1"/>
    <row r="403" s="106" customFormat="1"/>
    <row r="404" s="106" customFormat="1"/>
    <row r="405" s="106" customFormat="1"/>
    <row r="406" s="106" customFormat="1"/>
    <row r="407" s="106" customFormat="1"/>
    <row r="408" s="106" customFormat="1"/>
    <row r="409" s="106" customFormat="1"/>
    <row r="410" s="106" customFormat="1"/>
    <row r="411" s="106" customFormat="1"/>
    <row r="412" s="106" customFormat="1"/>
    <row r="413" s="106" customFormat="1"/>
    <row r="414" s="106" customFormat="1"/>
    <row r="415" s="106" customFormat="1"/>
    <row r="416" s="106" customFormat="1"/>
    <row r="417" s="106" customFormat="1"/>
    <row r="418" s="106" customFormat="1"/>
    <row r="419" s="106" customFormat="1"/>
    <row r="420" s="106" customFormat="1"/>
    <row r="421" s="106" customFormat="1"/>
    <row r="422" s="106" customFormat="1"/>
    <row r="423" s="106" customFormat="1"/>
    <row r="424" s="106" customFormat="1"/>
    <row r="425" s="106" customFormat="1"/>
    <row r="426" s="106" customFormat="1"/>
    <row r="427" s="106" customFormat="1"/>
    <row r="428" s="106" customFormat="1"/>
    <row r="429" s="106" customFormat="1"/>
    <row r="430" s="106" customFormat="1"/>
    <row r="431" s="106" customFormat="1"/>
    <row r="432" s="106" customFormat="1"/>
    <row r="433" s="106" customFormat="1"/>
    <row r="434" s="106" customFormat="1"/>
    <row r="435" s="106" customFormat="1"/>
    <row r="436" s="106" customFormat="1"/>
    <row r="437" s="106" customFormat="1"/>
    <row r="438" s="106" customFormat="1"/>
    <row r="439" s="106" customFormat="1"/>
    <row r="440" s="106" customFormat="1"/>
    <row r="441" s="106" customFormat="1"/>
    <row r="442" s="106" customFormat="1"/>
    <row r="443" s="106" customFormat="1"/>
    <row r="444" s="106" customFormat="1"/>
    <row r="445" s="106" customFormat="1"/>
    <row r="446" s="106" customFormat="1"/>
    <row r="447" s="106" customFormat="1"/>
    <row r="448" s="106" customFormat="1"/>
    <row r="449" s="106" customFormat="1"/>
    <row r="450" s="106" customFormat="1"/>
    <row r="451" s="106" customFormat="1"/>
    <row r="452" s="106" customFormat="1"/>
    <row r="453" s="106" customFormat="1"/>
    <row r="454" s="106" customFormat="1"/>
    <row r="455" s="106" customFormat="1"/>
    <row r="456" s="106" customFormat="1"/>
    <row r="457" s="106" customFormat="1"/>
    <row r="458" s="106" customFormat="1"/>
    <row r="459" s="106" customFormat="1"/>
    <row r="460" s="106" customFormat="1"/>
    <row r="461" s="106" customFormat="1"/>
    <row r="462" s="106" customFormat="1"/>
    <row r="463" s="106" customFormat="1"/>
    <row r="464" s="106" customFormat="1"/>
    <row r="465" s="106" customFormat="1"/>
    <row r="466" s="106" customFormat="1"/>
    <row r="467" s="106" customFormat="1"/>
    <row r="468" s="106" customFormat="1"/>
    <row r="469" s="106" customFormat="1"/>
    <row r="470" s="106" customFormat="1"/>
    <row r="471" s="106" customFormat="1"/>
    <row r="472" s="106" customFormat="1"/>
    <row r="473" s="106" customFormat="1"/>
    <row r="474" s="106" customFormat="1"/>
    <row r="475" s="106" customFormat="1"/>
    <row r="476" s="106" customFormat="1"/>
    <row r="477" s="106" customFormat="1"/>
    <row r="478" s="106" customFormat="1"/>
    <row r="479" s="106" customFormat="1"/>
    <row r="480" s="106" customFormat="1"/>
    <row r="481" s="106" customFormat="1"/>
    <row r="482" s="106" customFormat="1"/>
    <row r="483" s="106" customFormat="1"/>
    <row r="484" s="106" customFormat="1"/>
    <row r="485" s="106" customFormat="1"/>
    <row r="486" s="106" customFormat="1"/>
    <row r="487" s="106" customFormat="1"/>
    <row r="488" s="106" customFormat="1"/>
    <row r="489" s="106" customFormat="1"/>
    <row r="490" s="106" customFormat="1"/>
    <row r="491" s="106" customFormat="1"/>
    <row r="492" s="106" customFormat="1"/>
    <row r="493" s="106" customFormat="1"/>
    <row r="494" s="106" customFormat="1"/>
    <row r="495" s="106" customFormat="1"/>
    <row r="496" s="106" customFormat="1"/>
    <row r="497" s="106" customFormat="1"/>
    <row r="498" s="106" customFormat="1"/>
    <row r="499" s="106" customFormat="1"/>
    <row r="500" s="106" customFormat="1"/>
    <row r="501" s="106" customFormat="1"/>
    <row r="502" s="106" customFormat="1"/>
    <row r="503" s="106" customFormat="1"/>
    <row r="504" s="106" customFormat="1"/>
    <row r="505" s="106" customFormat="1"/>
    <row r="506" s="106" customFormat="1"/>
    <row r="507" s="106" customFormat="1"/>
    <row r="508" s="106" customFormat="1"/>
    <row r="509" s="106" customFormat="1"/>
    <row r="510" s="106" customFormat="1"/>
    <row r="511" s="106" customFormat="1"/>
    <row r="512" s="106" customFormat="1"/>
    <row r="513" s="106" customFormat="1"/>
    <row r="514" s="106" customFormat="1"/>
    <row r="515" s="106" customFormat="1"/>
    <row r="516" s="106" customFormat="1"/>
    <row r="517" s="106" customFormat="1"/>
    <row r="518" s="106" customFormat="1"/>
    <row r="519" s="106" customFormat="1"/>
    <row r="520" s="106" customFormat="1"/>
    <row r="521" s="106" customFormat="1"/>
    <row r="522" s="106" customFormat="1"/>
    <row r="523" s="106" customFormat="1"/>
    <row r="524" s="106" customFormat="1"/>
    <row r="525" s="106" customFormat="1"/>
    <row r="526" s="106" customFormat="1"/>
    <row r="527" s="106" customFormat="1"/>
    <row r="528" s="106" customFormat="1"/>
    <row r="529" s="106" customFormat="1"/>
    <row r="530" s="106" customFormat="1"/>
    <row r="531" s="106" customFormat="1"/>
    <row r="532" s="106" customFormat="1"/>
    <row r="533" s="106" customFormat="1"/>
    <row r="534" s="106" customFormat="1"/>
    <row r="535" s="106" customFormat="1"/>
    <row r="536" s="106" customFormat="1"/>
    <row r="537" s="106" customFormat="1"/>
    <row r="538" s="106" customFormat="1"/>
    <row r="539" s="106" customFormat="1"/>
    <row r="540" s="106" customFormat="1"/>
    <row r="541" s="106" customFormat="1"/>
    <row r="542" s="106" customFormat="1"/>
    <row r="543" s="106" customFormat="1"/>
    <row r="544" s="106" customFormat="1"/>
    <row r="545" s="106" customFormat="1"/>
    <row r="546" s="106" customFormat="1"/>
    <row r="547" s="106" customFormat="1"/>
    <row r="548" s="106" customFormat="1"/>
    <row r="549" s="106" customFormat="1"/>
    <row r="550" s="106" customFormat="1"/>
    <row r="551" s="106" customFormat="1"/>
    <row r="552" s="106" customFormat="1"/>
    <row r="553" s="106" customFormat="1"/>
    <row r="554" s="106" customFormat="1"/>
    <row r="555" s="106" customFormat="1"/>
    <row r="556" s="106" customFormat="1"/>
    <row r="557" s="106" customFormat="1"/>
    <row r="558" s="106" customFormat="1"/>
    <row r="559" s="106" customFormat="1"/>
    <row r="560" s="106" customFormat="1"/>
    <row r="561" s="106" customFormat="1"/>
    <row r="562" s="106" customFormat="1"/>
    <row r="563" s="106" customFormat="1"/>
    <row r="564" s="106" customFormat="1"/>
    <row r="565" s="106" customFormat="1"/>
    <row r="566" s="106" customFormat="1"/>
    <row r="567" s="106" customFormat="1"/>
    <row r="568" s="106" customFormat="1"/>
    <row r="569" s="106" customFormat="1"/>
    <row r="570" s="106" customFormat="1"/>
    <row r="571" s="106" customFormat="1"/>
    <row r="572" s="106" customFormat="1"/>
    <row r="573" s="106" customFormat="1"/>
    <row r="574" s="106" customFormat="1"/>
    <row r="575" s="106" customFormat="1"/>
    <row r="576" s="106" customFormat="1"/>
    <row r="577" s="106" customFormat="1"/>
    <row r="578" s="106" customFormat="1"/>
    <row r="579" s="106" customFormat="1"/>
    <row r="580" s="106" customFormat="1"/>
    <row r="581" s="106" customFormat="1"/>
    <row r="582" s="106" customFormat="1"/>
    <row r="583" s="106" customFormat="1"/>
    <row r="584" s="106" customFormat="1"/>
    <row r="585" s="106" customFormat="1"/>
    <row r="586" s="106" customFormat="1"/>
    <row r="587" s="106" customFormat="1"/>
    <row r="588" s="106" customFormat="1"/>
    <row r="589" s="106" customFormat="1"/>
    <row r="590" s="106" customFormat="1"/>
    <row r="591" s="106" customFormat="1"/>
    <row r="592" s="106" customFormat="1"/>
    <row r="593" s="106" customFormat="1"/>
    <row r="594" s="106" customFormat="1"/>
    <row r="595" s="106" customFormat="1"/>
    <row r="596" s="106" customFormat="1"/>
    <row r="597" s="106" customFormat="1"/>
    <row r="598" s="106" customFormat="1"/>
    <row r="599" s="106" customFormat="1"/>
    <row r="600" s="106" customFormat="1"/>
    <row r="601" s="106" customFormat="1"/>
    <row r="602" s="106" customFormat="1"/>
    <row r="603" s="106" customFormat="1"/>
    <row r="604" s="106" customFormat="1"/>
    <row r="605" s="106" customFormat="1"/>
    <row r="606" s="106" customFormat="1"/>
    <row r="607" s="106" customFormat="1"/>
    <row r="608" s="106" customFormat="1"/>
    <row r="609" s="106" customFormat="1"/>
    <row r="610" s="106" customFormat="1"/>
    <row r="611" s="106" customFormat="1"/>
    <row r="612" s="106" customFormat="1"/>
    <row r="613" s="106" customFormat="1"/>
    <row r="614" s="106" customFormat="1"/>
    <row r="615" s="106" customFormat="1"/>
    <row r="616" s="106" customFormat="1"/>
    <row r="617" s="106" customFormat="1"/>
    <row r="618" s="106" customFormat="1"/>
    <row r="619" s="106" customFormat="1"/>
    <row r="620" s="106" customFormat="1"/>
    <row r="621" s="106" customFormat="1"/>
    <row r="622" s="106" customFormat="1"/>
    <row r="623" s="106" customFormat="1"/>
    <row r="624" s="106" customFormat="1"/>
    <row r="625" s="106" customFormat="1"/>
    <row r="626" s="106" customFormat="1"/>
    <row r="627" s="106" customFormat="1"/>
    <row r="628" s="106" customFormat="1"/>
    <row r="629" s="106" customFormat="1"/>
    <row r="630" s="106" customFormat="1"/>
    <row r="631" s="106" customFormat="1"/>
    <row r="632" s="106" customFormat="1"/>
    <row r="633" s="106" customFormat="1"/>
    <row r="634" s="106" customFormat="1"/>
    <row r="635" s="106" customFormat="1"/>
    <row r="636" s="106" customFormat="1"/>
    <row r="637" s="106" customFormat="1"/>
    <row r="638" s="106" customFormat="1"/>
    <row r="639" s="106" customFormat="1"/>
    <row r="640" s="106" customFormat="1"/>
    <row r="641" s="106" customFormat="1"/>
    <row r="642" s="106" customFormat="1"/>
    <row r="643" s="106" customFormat="1"/>
    <row r="644" s="106" customFormat="1"/>
    <row r="645" s="106" customFormat="1"/>
    <row r="646" s="106" customFormat="1"/>
    <row r="647" s="106" customFormat="1"/>
    <row r="648" s="106" customFormat="1"/>
    <row r="649" s="106" customFormat="1"/>
    <row r="650" s="106" customFormat="1"/>
    <row r="651" s="106" customFormat="1"/>
    <row r="652" s="106" customFormat="1"/>
    <row r="653" s="106" customFormat="1"/>
    <row r="654" s="106" customFormat="1"/>
    <row r="655" s="106" customFormat="1"/>
    <row r="656" s="106" customFormat="1"/>
    <row r="657" s="106" customFormat="1"/>
    <row r="658" s="106" customFormat="1"/>
    <row r="659" s="106" customFormat="1"/>
    <row r="660" s="106" customFormat="1"/>
    <row r="661" s="106" customFormat="1"/>
    <row r="662" s="106" customFormat="1"/>
    <row r="663" s="106" customFormat="1"/>
    <row r="664" s="106" customFormat="1"/>
    <row r="665" s="106" customFormat="1"/>
    <row r="666" s="106" customFormat="1"/>
    <row r="667" s="106" customFormat="1"/>
    <row r="668" s="106" customFormat="1"/>
    <row r="669" s="106" customFormat="1"/>
    <row r="670" s="106" customFormat="1"/>
    <row r="671" s="106" customFormat="1"/>
    <row r="672" s="106" customFormat="1"/>
    <row r="673" s="106" customFormat="1"/>
    <row r="674" s="106" customFormat="1"/>
    <row r="675" s="106" customFormat="1"/>
    <row r="676" s="106" customFormat="1"/>
    <row r="677" s="106" customFormat="1"/>
    <row r="678" s="106" customFormat="1"/>
    <row r="679" s="106" customFormat="1"/>
    <row r="680" s="106" customFormat="1"/>
    <row r="681" s="106" customFormat="1"/>
    <row r="682" s="106" customFormat="1"/>
    <row r="683" s="106" customFormat="1"/>
    <row r="684" s="106" customFormat="1"/>
    <row r="685" s="106" customFormat="1"/>
    <row r="686" s="106" customFormat="1"/>
    <row r="687" s="106" customFormat="1"/>
    <row r="688" s="106" customFormat="1"/>
    <row r="689" s="106" customFormat="1"/>
    <row r="690" s="106" customFormat="1"/>
    <row r="691" s="106" customFormat="1"/>
    <row r="692" s="106" customFormat="1"/>
    <row r="693" s="106" customFormat="1"/>
    <row r="694" s="106" customFormat="1"/>
    <row r="695" s="106" customFormat="1"/>
    <row r="696" s="106" customFormat="1"/>
    <row r="697" s="106" customFormat="1"/>
    <row r="698" s="106" customFormat="1"/>
    <row r="699" s="106" customFormat="1"/>
    <row r="700" s="106" customFormat="1"/>
    <row r="701" s="106" customFormat="1"/>
    <row r="702" s="106" customFormat="1"/>
    <row r="703" s="106" customFormat="1"/>
    <row r="704" s="106" customFormat="1"/>
    <row r="705" s="106" customFormat="1"/>
    <row r="706" s="106" customFormat="1"/>
    <row r="707" s="106" customFormat="1"/>
    <row r="708" s="106" customFormat="1"/>
    <row r="709" s="106" customFormat="1"/>
    <row r="710" s="106" customFormat="1"/>
    <row r="711" s="106" customFormat="1"/>
    <row r="712" s="106" customFormat="1"/>
    <row r="713" s="106" customFormat="1"/>
    <row r="714" s="106" customFormat="1"/>
    <row r="715" s="106" customFormat="1"/>
    <row r="716" s="106" customFormat="1"/>
    <row r="717" s="106" customFormat="1"/>
    <row r="718" s="106" customFormat="1"/>
    <row r="719" s="106" customFormat="1"/>
    <row r="720" s="106" customFormat="1"/>
    <row r="721" s="106" customFormat="1"/>
    <row r="722" s="106" customFormat="1"/>
    <row r="723" s="106" customFormat="1"/>
    <row r="724" s="106" customFormat="1"/>
    <row r="725" s="106" customFormat="1"/>
    <row r="726" s="106" customFormat="1"/>
    <row r="727" s="106" customFormat="1"/>
    <row r="728" s="106" customFormat="1"/>
    <row r="729" s="106" customFormat="1"/>
    <row r="730" s="106" customFormat="1"/>
    <row r="731" s="106" customFormat="1"/>
    <row r="732" s="106" customFormat="1"/>
    <row r="733" s="106" customFormat="1"/>
    <row r="734" s="106" customFormat="1"/>
    <row r="735" s="106" customFormat="1"/>
    <row r="736" s="106" customFormat="1"/>
    <row r="737" s="106" customFormat="1"/>
    <row r="738" s="106" customFormat="1"/>
    <row r="739" s="106" customFormat="1"/>
    <row r="740" s="106" customFormat="1"/>
    <row r="741" s="106" customFormat="1"/>
    <row r="742" s="106" customFormat="1"/>
    <row r="743" s="106" customFormat="1"/>
    <row r="744" s="106" customFormat="1"/>
    <row r="745" s="106" customFormat="1"/>
    <row r="746" s="106" customFormat="1"/>
    <row r="747" s="106" customFormat="1"/>
    <row r="748" s="106" customFormat="1"/>
    <row r="749" s="106" customFormat="1"/>
    <row r="750" s="106" customFormat="1"/>
    <row r="751" s="106" customFormat="1"/>
    <row r="752" s="106" customFormat="1"/>
    <row r="753" s="106" customFormat="1"/>
    <row r="754" s="106" customFormat="1"/>
    <row r="755" s="106" customFormat="1"/>
    <row r="756" s="106" customFormat="1"/>
    <row r="757" s="106" customFormat="1"/>
    <row r="758" s="106" customFormat="1"/>
    <row r="759" s="106" customFormat="1"/>
    <row r="760" s="106" customFormat="1"/>
    <row r="761" s="106" customFormat="1"/>
    <row r="762" s="106" customFormat="1"/>
    <row r="763" s="106" customFormat="1"/>
    <row r="764" s="106" customFormat="1"/>
    <row r="765" s="106" customFormat="1"/>
    <row r="766" s="106" customFormat="1"/>
    <row r="767" s="106" customFormat="1"/>
    <row r="768" s="106" customFormat="1"/>
    <row r="769" s="106" customFormat="1"/>
    <row r="770" s="106" customFormat="1"/>
    <row r="771" s="106" customFormat="1"/>
    <row r="772" s="106" customFormat="1"/>
    <row r="773" s="106" customFormat="1"/>
    <row r="774" s="106" customFormat="1"/>
    <row r="775" s="106" customFormat="1"/>
    <row r="776" s="106" customFormat="1"/>
    <row r="777" s="106" customFormat="1"/>
    <row r="778" s="106" customFormat="1"/>
    <row r="779" s="106" customFormat="1"/>
    <row r="780" s="106" customFormat="1"/>
    <row r="781" s="106" customFormat="1"/>
    <row r="782" s="106" customFormat="1"/>
    <row r="783" s="106" customFormat="1"/>
    <row r="784" s="106" customFormat="1"/>
    <row r="785" s="106" customFormat="1"/>
    <row r="786" s="106" customFormat="1"/>
    <row r="787" s="106" customFormat="1"/>
    <row r="788" s="106" customFormat="1"/>
    <row r="789" s="106" customFormat="1"/>
    <row r="790" s="106" customFormat="1"/>
    <row r="791" s="106" customFormat="1"/>
    <row r="792" s="106" customFormat="1"/>
    <row r="793" s="106" customFormat="1"/>
    <row r="794" s="106" customFormat="1"/>
    <row r="795" s="106" customFormat="1"/>
    <row r="796" s="106" customFormat="1"/>
    <row r="797" s="106" customFormat="1"/>
    <row r="798" s="106" customFormat="1"/>
    <row r="799" s="106" customFormat="1"/>
    <row r="800" s="106" customFormat="1"/>
    <row r="801" s="106" customFormat="1"/>
    <row r="802" s="106" customFormat="1"/>
    <row r="803" s="106" customFormat="1"/>
    <row r="804" s="106" customFormat="1"/>
    <row r="805" s="106" customFormat="1"/>
    <row r="806" s="106" customFormat="1"/>
    <row r="807" s="106" customFormat="1"/>
    <row r="808" s="106" customFormat="1"/>
    <row r="809" s="106" customFormat="1"/>
    <row r="810" s="106" customFormat="1"/>
    <row r="811" s="106" customFormat="1"/>
    <row r="812" s="106" customFormat="1"/>
    <row r="813" s="106" customFormat="1"/>
    <row r="814" s="106" customFormat="1"/>
    <row r="815" s="106" customFormat="1"/>
    <row r="816" s="106" customFormat="1"/>
    <row r="817" spans="2:2" s="106" customFormat="1"/>
    <row r="818" spans="2:2" s="106" customFormat="1"/>
    <row r="819" spans="2:2" s="106" customFormat="1"/>
    <row r="820" spans="2:2" s="106" customFormat="1"/>
    <row r="821" spans="2:2" s="106" customFormat="1"/>
    <row r="822" spans="2:2" s="106" customFormat="1"/>
    <row r="823" spans="2:2" s="106" customFormat="1"/>
    <row r="824" spans="2:2" s="106" customFormat="1"/>
    <row r="825" spans="2:2" s="106" customFormat="1"/>
    <row r="826" spans="2:2" s="106" customFormat="1"/>
    <row r="827" spans="2:2" s="106" customFormat="1"/>
    <row r="828" spans="2:2" s="106" customFormat="1"/>
    <row r="829" spans="2:2" s="106" customFormat="1"/>
    <row r="830" spans="2:2" s="106" customFormat="1"/>
    <row r="831" spans="2:2" s="106" customFormat="1"/>
    <row r="832" spans="2:2">
      <c r="B832" s="106"/>
    </row>
    <row r="833" spans="2:2">
      <c r="B833" s="106"/>
    </row>
    <row r="834" spans="2:2">
      <c r="B834" s="106"/>
    </row>
    <row r="835" spans="2:2">
      <c r="B835" s="106"/>
    </row>
    <row r="836" spans="2:2">
      <c r="B836" s="106"/>
    </row>
    <row r="837" spans="2:2">
      <c r="B837" s="106"/>
    </row>
    <row r="838" spans="2:2">
      <c r="B838" s="106"/>
    </row>
    <row r="839" spans="2:2">
      <c r="B839" s="106"/>
    </row>
    <row r="840" spans="2:2">
      <c r="B840" s="106"/>
    </row>
    <row r="841" spans="2:2">
      <c r="B841" s="106"/>
    </row>
    <row r="842" spans="2:2">
      <c r="B842" s="106"/>
    </row>
    <row r="843" spans="2:2">
      <c r="B843" s="106"/>
    </row>
    <row r="844" spans="2:2">
      <c r="B844" s="106"/>
    </row>
    <row r="845" spans="2:2">
      <c r="B845" s="106"/>
    </row>
    <row r="846" spans="2:2">
      <c r="B846" s="106"/>
    </row>
    <row r="847" spans="2:2">
      <c r="B847" s="106"/>
    </row>
    <row r="848" spans="2:2">
      <c r="B848" s="106"/>
    </row>
    <row r="849" spans="2:2">
      <c r="B849" s="106"/>
    </row>
    <row r="850" spans="2:2">
      <c r="B850" s="106"/>
    </row>
    <row r="851" spans="2:2">
      <c r="B851" s="106"/>
    </row>
    <row r="852" spans="2:2">
      <c r="B852" s="106"/>
    </row>
    <row r="853" spans="2:2">
      <c r="B853" s="106"/>
    </row>
    <row r="854" spans="2:2">
      <c r="B854" s="106"/>
    </row>
    <row r="855" spans="2:2">
      <c r="B855" s="106"/>
    </row>
    <row r="856" spans="2:2">
      <c r="B856" s="106"/>
    </row>
    <row r="857" spans="2:2">
      <c r="B857" s="106"/>
    </row>
    <row r="858" spans="2:2">
      <c r="B858" s="106"/>
    </row>
    <row r="859" spans="2:2">
      <c r="B859" s="106"/>
    </row>
    <row r="860" spans="2:2">
      <c r="B860" s="106"/>
    </row>
    <row r="861" spans="2:2">
      <c r="B861" s="106"/>
    </row>
    <row r="862" spans="2:2">
      <c r="B862" s="106"/>
    </row>
    <row r="863" spans="2:2">
      <c r="B863" s="106"/>
    </row>
    <row r="864" spans="2:2">
      <c r="B864" s="106"/>
    </row>
    <row r="865" spans="2:2">
      <c r="B865" s="106"/>
    </row>
    <row r="866" spans="2:2">
      <c r="B866" s="106"/>
    </row>
    <row r="867" spans="2:2">
      <c r="B867" s="106"/>
    </row>
    <row r="868" spans="2:2">
      <c r="B868" s="106"/>
    </row>
    <row r="869" spans="2:2">
      <c r="B869" s="106"/>
    </row>
    <row r="870" spans="2:2">
      <c r="B870" s="106"/>
    </row>
    <row r="871" spans="2:2">
      <c r="B871" s="106"/>
    </row>
    <row r="872" spans="2:2">
      <c r="B872" s="106"/>
    </row>
    <row r="873" spans="2:2">
      <c r="B873" s="106"/>
    </row>
    <row r="874" spans="2:2">
      <c r="B874" s="106"/>
    </row>
    <row r="875" spans="2:2">
      <c r="B875" s="106"/>
    </row>
    <row r="876" spans="2:2">
      <c r="B876" s="106"/>
    </row>
    <row r="877" spans="2:2">
      <c r="B877" s="106"/>
    </row>
    <row r="878" spans="2:2">
      <c r="B878" s="106"/>
    </row>
    <row r="879" spans="2:2">
      <c r="B879" s="106"/>
    </row>
    <row r="880" spans="2:2">
      <c r="B880" s="106"/>
    </row>
    <row r="881" spans="2:2">
      <c r="B881" s="106"/>
    </row>
    <row r="882" spans="2:2">
      <c r="B882" s="106"/>
    </row>
    <row r="883" spans="2:2">
      <c r="B883" s="106"/>
    </row>
    <row r="884" spans="2:2">
      <c r="B884" s="106"/>
    </row>
    <row r="885" spans="2:2">
      <c r="B885" s="106"/>
    </row>
    <row r="886" spans="2:2">
      <c r="B886" s="106"/>
    </row>
    <row r="887" spans="2:2">
      <c r="B887" s="106"/>
    </row>
  </sheetData>
  <mergeCells count="26">
    <mergeCell ref="B50:C50"/>
    <mergeCell ref="B54:C54"/>
    <mergeCell ref="B58:C58"/>
    <mergeCell ref="B62:C62"/>
    <mergeCell ref="C2:F3"/>
    <mergeCell ref="C13:E13"/>
    <mergeCell ref="C12:E12"/>
    <mergeCell ref="D23:E23"/>
    <mergeCell ref="B5:C5"/>
    <mergeCell ref="E5:F5"/>
    <mergeCell ref="B111:C111"/>
    <mergeCell ref="D28:E28"/>
    <mergeCell ref="D30:E30"/>
    <mergeCell ref="D25:E25"/>
    <mergeCell ref="B96:C96"/>
    <mergeCell ref="B101:C101"/>
    <mergeCell ref="B106:C106"/>
    <mergeCell ref="B86:C86"/>
    <mergeCell ref="B91:C91"/>
    <mergeCell ref="B70:C70"/>
    <mergeCell ref="B75:C75"/>
    <mergeCell ref="B81:C81"/>
    <mergeCell ref="B34:C34"/>
    <mergeCell ref="B38:C38"/>
    <mergeCell ref="B42:C42"/>
    <mergeCell ref="B46:C46"/>
  </mergeCells>
  <pageMargins left="0.7" right="0.7" top="0.75" bottom="0.75" header="0.3" footer="0.3"/>
  <pageSetup paperSize="9" orientation="portrait" verticalDpi="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dimension ref="A1:C138"/>
  <sheetViews>
    <sheetView workbookViewId="0"/>
  </sheetViews>
  <sheetFormatPr baseColWidth="10" defaultRowHeight="12.75"/>
  <cols>
    <col min="3" max="3" width="80.28515625" customWidth="1"/>
  </cols>
  <sheetData>
    <row r="1" spans="1:3" ht="24" customHeight="1">
      <c r="A1" s="990" t="s">
        <v>1835</v>
      </c>
    </row>
    <row r="2" spans="1:3" ht="15">
      <c r="C2" s="87" t="s">
        <v>636</v>
      </c>
    </row>
    <row r="4" spans="1:3">
      <c r="C4" s="85" t="s">
        <v>637</v>
      </c>
    </row>
    <row r="5" spans="1:3">
      <c r="C5" s="85" t="s">
        <v>638</v>
      </c>
    </row>
    <row r="6" spans="1:3">
      <c r="C6" s="85" t="s">
        <v>639</v>
      </c>
    </row>
    <row r="7" spans="1:3">
      <c r="C7" s="85" t="s">
        <v>640</v>
      </c>
    </row>
    <row r="8" spans="1:3">
      <c r="C8" s="85" t="s">
        <v>641</v>
      </c>
    </row>
    <row r="9" spans="1:3">
      <c r="C9" s="85" t="s">
        <v>642</v>
      </c>
    </row>
    <row r="10" spans="1:3">
      <c r="C10" s="85" t="s">
        <v>643</v>
      </c>
    </row>
    <row r="11" spans="1:3">
      <c r="C11" s="85" t="s">
        <v>644</v>
      </c>
    </row>
    <row r="12" spans="1:3">
      <c r="C12" s="85" t="s">
        <v>645</v>
      </c>
    </row>
    <row r="13" spans="1:3">
      <c r="C13" s="85" t="s">
        <v>646</v>
      </c>
    </row>
    <row r="14" spans="1:3">
      <c r="C14" s="85" t="s">
        <v>647</v>
      </c>
    </row>
    <row r="15" spans="1:3">
      <c r="C15" s="85" t="s">
        <v>648</v>
      </c>
    </row>
    <row r="16" spans="1:3">
      <c r="C16" s="85" t="s">
        <v>649</v>
      </c>
    </row>
    <row r="17" spans="3:3">
      <c r="C17" s="85" t="s">
        <v>650</v>
      </c>
    </row>
    <row r="18" spans="3:3">
      <c r="C18" s="85" t="s">
        <v>651</v>
      </c>
    </row>
    <row r="19" spans="3:3">
      <c r="C19" s="85" t="s">
        <v>652</v>
      </c>
    </row>
    <row r="20" spans="3:3">
      <c r="C20" s="88" t="s">
        <v>653</v>
      </c>
    </row>
    <row r="21" spans="3:3">
      <c r="C21" s="88" t="s">
        <v>654</v>
      </c>
    </row>
    <row r="22" spans="3:3">
      <c r="C22" s="85" t="s">
        <v>655</v>
      </c>
    </row>
    <row r="23" spans="3:3">
      <c r="C23" s="85" t="s">
        <v>656</v>
      </c>
    </row>
    <row r="24" spans="3:3">
      <c r="C24" s="85" t="s">
        <v>657</v>
      </c>
    </row>
    <row r="25" spans="3:3">
      <c r="C25" s="85" t="s">
        <v>658</v>
      </c>
    </row>
    <row r="26" spans="3:3">
      <c r="C26" s="85" t="s">
        <v>659</v>
      </c>
    </row>
    <row r="27" spans="3:3">
      <c r="C27" s="85" t="s">
        <v>660</v>
      </c>
    </row>
    <row r="28" spans="3:3">
      <c r="C28" s="85" t="s">
        <v>661</v>
      </c>
    </row>
    <row r="29" spans="3:3">
      <c r="C29" s="85" t="s">
        <v>662</v>
      </c>
    </row>
    <row r="30" spans="3:3">
      <c r="C30" s="85" t="s">
        <v>663</v>
      </c>
    </row>
    <row r="31" spans="3:3">
      <c r="C31" s="85" t="s">
        <v>664</v>
      </c>
    </row>
    <row r="32" spans="3:3">
      <c r="C32" t="s">
        <v>665</v>
      </c>
    </row>
    <row r="35" spans="3:3" ht="15">
      <c r="C35" s="87" t="s">
        <v>666</v>
      </c>
    </row>
    <row r="36" spans="3:3" ht="15">
      <c r="C36" s="89" t="s">
        <v>667</v>
      </c>
    </row>
    <row r="37" spans="3:3" ht="15">
      <c r="C37" s="89" t="s">
        <v>668</v>
      </c>
    </row>
    <row r="38" spans="3:3" ht="15">
      <c r="C38" s="89" t="s">
        <v>669</v>
      </c>
    </row>
    <row r="39" spans="3:3" ht="15">
      <c r="C39" s="89" t="s">
        <v>670</v>
      </c>
    </row>
    <row r="40" spans="3:3" ht="15">
      <c r="C40" s="89" t="s">
        <v>671</v>
      </c>
    </row>
    <row r="41" spans="3:3" ht="15">
      <c r="C41" s="89" t="s">
        <v>672</v>
      </c>
    </row>
    <row r="42" spans="3:3" ht="15">
      <c r="C42" s="89" t="s">
        <v>673</v>
      </c>
    </row>
    <row r="43" spans="3:3" ht="17.25">
      <c r="C43" s="90" t="s">
        <v>674</v>
      </c>
    </row>
    <row r="44" spans="3:3" ht="14.25">
      <c r="C44" s="90" t="s">
        <v>675</v>
      </c>
    </row>
    <row r="45" spans="3:3" ht="15">
      <c r="C45" s="89" t="s">
        <v>676</v>
      </c>
    </row>
    <row r="46" spans="3:3" ht="15">
      <c r="C46" s="91" t="s">
        <v>677</v>
      </c>
    </row>
    <row r="47" spans="3:3" ht="15">
      <c r="C47" s="91" t="s">
        <v>678</v>
      </c>
    </row>
    <row r="48" spans="3:3" ht="15">
      <c r="C48" s="91" t="s">
        <v>679</v>
      </c>
    </row>
    <row r="49" spans="3:3" ht="15">
      <c r="C49" s="91" t="s">
        <v>680</v>
      </c>
    </row>
    <row r="50" spans="3:3" ht="15">
      <c r="C50" s="91" t="s">
        <v>681</v>
      </c>
    </row>
    <row r="51" spans="3:3" ht="15">
      <c r="C51" s="92" t="s">
        <v>682</v>
      </c>
    </row>
    <row r="52" spans="3:3" ht="15">
      <c r="C52" s="93" t="s">
        <v>683</v>
      </c>
    </row>
    <row r="53" spans="3:3" ht="15">
      <c r="C53" s="93" t="s">
        <v>684</v>
      </c>
    </row>
    <row r="54" spans="3:3" ht="15">
      <c r="C54" s="93" t="s">
        <v>685</v>
      </c>
    </row>
    <row r="55" spans="3:3" ht="15">
      <c r="C55" s="93" t="s">
        <v>686</v>
      </c>
    </row>
    <row r="56" spans="3:3" ht="15">
      <c r="C56" s="93" t="s">
        <v>687</v>
      </c>
    </row>
    <row r="57" spans="3:3" ht="15">
      <c r="C57" s="93" t="s">
        <v>688</v>
      </c>
    </row>
    <row r="58" spans="3:3">
      <c r="C58" s="94"/>
    </row>
    <row r="59" spans="3:3">
      <c r="C59" s="94" t="s">
        <v>689</v>
      </c>
    </row>
    <row r="60" spans="3:3">
      <c r="C60" s="94"/>
    </row>
    <row r="61" spans="3:3">
      <c r="C61" s="95" t="s">
        <v>690</v>
      </c>
    </row>
    <row r="62" spans="3:3">
      <c r="C62" s="96" t="s">
        <v>691</v>
      </c>
    </row>
    <row r="63" spans="3:3">
      <c r="C63" s="97" t="s">
        <v>692</v>
      </c>
    </row>
    <row r="67" spans="1:3" ht="24" customHeight="1">
      <c r="A67" s="990" t="s">
        <v>753</v>
      </c>
    </row>
    <row r="68" spans="1:3">
      <c r="C68" s="86" t="s">
        <v>2605</v>
      </c>
    </row>
    <row r="69" spans="1:3">
      <c r="C69" s="85" t="s">
        <v>606</v>
      </c>
    </row>
    <row r="70" spans="1:3">
      <c r="C70" s="85" t="s">
        <v>607</v>
      </c>
    </row>
    <row r="71" spans="1:3">
      <c r="C71" s="85" t="s">
        <v>608</v>
      </c>
    </row>
    <row r="72" spans="1:3">
      <c r="C72" s="85" t="s">
        <v>609</v>
      </c>
    </row>
    <row r="73" spans="1:3">
      <c r="C73" s="85" t="s">
        <v>610</v>
      </c>
    </row>
    <row r="74" spans="1:3">
      <c r="C74" s="85" t="s">
        <v>611</v>
      </c>
    </row>
    <row r="75" spans="1:3">
      <c r="C75" s="85" t="s">
        <v>612</v>
      </c>
    </row>
    <row r="76" spans="1:3">
      <c r="C76" s="85" t="s">
        <v>613</v>
      </c>
    </row>
    <row r="77" spans="1:3">
      <c r="C77" s="85" t="s">
        <v>614</v>
      </c>
    </row>
    <row r="78" spans="1:3">
      <c r="C78" s="85" t="s">
        <v>615</v>
      </c>
    </row>
    <row r="79" spans="1:3">
      <c r="C79" s="85" t="s">
        <v>616</v>
      </c>
    </row>
    <row r="80" spans="1:3">
      <c r="C80" s="85" t="s">
        <v>617</v>
      </c>
    </row>
    <row r="81" spans="3:3">
      <c r="C81" s="85" t="s">
        <v>618</v>
      </c>
    </row>
    <row r="82" spans="3:3">
      <c r="C82" s="85" t="s">
        <v>619</v>
      </c>
    </row>
    <row r="83" spans="3:3">
      <c r="C83" s="85" t="s">
        <v>620</v>
      </c>
    </row>
    <row r="84" spans="3:3">
      <c r="C84" s="85" t="s">
        <v>621</v>
      </c>
    </row>
    <row r="85" spans="3:3">
      <c r="C85" s="85" t="s">
        <v>622</v>
      </c>
    </row>
    <row r="86" spans="3:3">
      <c r="C86" s="85" t="s">
        <v>623</v>
      </c>
    </row>
    <row r="87" spans="3:3">
      <c r="C87" s="85" t="s">
        <v>624</v>
      </c>
    </row>
    <row r="88" spans="3:3">
      <c r="C88" s="85" t="s">
        <v>625</v>
      </c>
    </row>
    <row r="89" spans="3:3">
      <c r="C89" s="85" t="s">
        <v>626</v>
      </c>
    </row>
    <row r="90" spans="3:3">
      <c r="C90" s="85" t="s">
        <v>627</v>
      </c>
    </row>
    <row r="91" spans="3:3">
      <c r="C91" s="85" t="s">
        <v>628</v>
      </c>
    </row>
    <row r="92" spans="3:3">
      <c r="C92" s="85" t="s">
        <v>629</v>
      </c>
    </row>
    <row r="93" spans="3:3">
      <c r="C93" s="85" t="s">
        <v>630</v>
      </c>
    </row>
    <row r="94" spans="3:3">
      <c r="C94" s="85" t="s">
        <v>631</v>
      </c>
    </row>
    <row r="95" spans="3:3">
      <c r="C95" s="85" t="s">
        <v>632</v>
      </c>
    </row>
    <row r="96" spans="3:3">
      <c r="C96" s="85" t="s">
        <v>633</v>
      </c>
    </row>
    <row r="97" spans="1:3">
      <c r="C97" s="85" t="s">
        <v>634</v>
      </c>
    </row>
    <row r="98" spans="1:3">
      <c r="C98" t="s">
        <v>635</v>
      </c>
    </row>
    <row r="102" spans="1:3" ht="24" customHeight="1">
      <c r="A102" s="990" t="s">
        <v>3123</v>
      </c>
    </row>
    <row r="104" spans="1:3">
      <c r="C104" s="45" t="s">
        <v>586</v>
      </c>
    </row>
    <row r="105" spans="1:3">
      <c r="C105" s="21" t="s">
        <v>587</v>
      </c>
    </row>
    <row r="106" spans="1:3">
      <c r="C106" s="85" t="s">
        <v>588</v>
      </c>
    </row>
    <row r="107" spans="1:3">
      <c r="C107" s="85" t="s">
        <v>589</v>
      </c>
    </row>
    <row r="108" spans="1:3">
      <c r="C108" s="85" t="s">
        <v>590</v>
      </c>
    </row>
    <row r="109" spans="1:3">
      <c r="C109" s="85" t="s">
        <v>591</v>
      </c>
    </row>
    <row r="110" spans="1:3">
      <c r="C110" s="85" t="s">
        <v>592</v>
      </c>
    </row>
    <row r="111" spans="1:3">
      <c r="C111" s="85" t="s">
        <v>593</v>
      </c>
    </row>
    <row r="112" spans="1:3">
      <c r="C112" s="85" t="s">
        <v>594</v>
      </c>
    </row>
    <row r="113" spans="3:3">
      <c r="C113" s="85" t="s">
        <v>595</v>
      </c>
    </row>
    <row r="114" spans="3:3">
      <c r="C114" s="85" t="s">
        <v>596</v>
      </c>
    </row>
    <row r="115" spans="3:3">
      <c r="C115" s="85" t="s">
        <v>597</v>
      </c>
    </row>
    <row r="116" spans="3:3">
      <c r="C116" s="85" t="s">
        <v>598</v>
      </c>
    </row>
    <row r="117" spans="3:3">
      <c r="C117" s="85" t="s">
        <v>599</v>
      </c>
    </row>
    <row r="118" spans="3:3">
      <c r="C118" s="85" t="s">
        <v>600</v>
      </c>
    </row>
    <row r="119" spans="3:3">
      <c r="C119" s="85" t="s">
        <v>601</v>
      </c>
    </row>
    <row r="120" spans="3:3">
      <c r="C120" s="85" t="s">
        <v>602</v>
      </c>
    </row>
    <row r="123" spans="3:3">
      <c r="C123" s="45" t="s">
        <v>603</v>
      </c>
    </row>
    <row r="124" spans="3:3">
      <c r="C124" s="21" t="s">
        <v>587</v>
      </c>
    </row>
    <row r="125" spans="3:3">
      <c r="C125" s="85" t="s">
        <v>588</v>
      </c>
    </row>
    <row r="126" spans="3:3">
      <c r="C126" s="85" t="s">
        <v>589</v>
      </c>
    </row>
    <row r="127" spans="3:3">
      <c r="C127" s="85" t="s">
        <v>590</v>
      </c>
    </row>
    <row r="128" spans="3:3">
      <c r="C128" s="85" t="s">
        <v>591</v>
      </c>
    </row>
    <row r="129" spans="3:3">
      <c r="C129" s="85" t="s">
        <v>592</v>
      </c>
    </row>
    <row r="130" spans="3:3">
      <c r="C130" s="85" t="s">
        <v>593</v>
      </c>
    </row>
    <row r="131" spans="3:3">
      <c r="C131" s="85" t="s">
        <v>594</v>
      </c>
    </row>
    <row r="132" spans="3:3">
      <c r="C132" s="85" t="s">
        <v>595</v>
      </c>
    </row>
    <row r="133" spans="3:3">
      <c r="C133" s="85" t="s">
        <v>596</v>
      </c>
    </row>
    <row r="134" spans="3:3">
      <c r="C134" s="85" t="s">
        <v>597</v>
      </c>
    </row>
    <row r="135" spans="3:3">
      <c r="C135" s="85" t="s">
        <v>604</v>
      </c>
    </row>
    <row r="136" spans="3:3">
      <c r="C136" s="85" t="s">
        <v>600</v>
      </c>
    </row>
    <row r="137" spans="3:3">
      <c r="C137" s="85" t="s">
        <v>601</v>
      </c>
    </row>
    <row r="138" spans="3:3">
      <c r="C138" s="85" t="s">
        <v>605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5">
    <pageSetUpPr fitToPage="1"/>
  </sheetPr>
  <dimension ref="A1:IQ240"/>
  <sheetViews>
    <sheetView zoomScale="85" zoomScaleNormal="85" workbookViewId="0">
      <selection activeCell="F18" sqref="F18:G18"/>
    </sheetView>
  </sheetViews>
  <sheetFormatPr baseColWidth="10" defaultRowHeight="12.75"/>
  <cols>
    <col min="1" max="1" width="4.5703125" customWidth="1"/>
    <col min="2" max="2" width="3.7109375" bestFit="1" customWidth="1"/>
    <col min="3" max="3" width="5.28515625" style="101" customWidth="1"/>
    <col min="4" max="4" width="6.5703125" style="4" customWidth="1"/>
    <col min="5" max="5" width="88" style="4" customWidth="1"/>
    <col min="6" max="6" width="10.140625" style="4" customWidth="1"/>
    <col min="7" max="7" width="5.28515625" style="4" customWidth="1"/>
    <col min="8" max="8" width="15.85546875" style="4" customWidth="1"/>
    <col min="10" max="11" width="0" hidden="1" customWidth="1"/>
  </cols>
  <sheetData>
    <row r="1" spans="2:8">
      <c r="B1" s="6"/>
      <c r="C1" s="99"/>
      <c r="D1" s="7"/>
      <c r="E1" s="7"/>
      <c r="F1" s="8"/>
      <c r="G1" s="8"/>
      <c r="H1" s="8"/>
    </row>
    <row r="2" spans="2:8">
      <c r="B2" s="6"/>
      <c r="C2" s="99"/>
      <c r="D2" s="7"/>
      <c r="E2" s="7"/>
      <c r="F2" s="8"/>
      <c r="G2" s="8"/>
      <c r="H2" s="8"/>
    </row>
    <row r="3" spans="2:8">
      <c r="B3" s="6"/>
      <c r="C3" s="99"/>
      <c r="D3" s="7"/>
      <c r="E3" s="7"/>
      <c r="F3" s="8"/>
      <c r="G3" s="8"/>
      <c r="H3" s="8"/>
    </row>
    <row r="4" spans="2:8">
      <c r="B4" s="6"/>
      <c r="C4" s="99"/>
      <c r="D4" s="7"/>
      <c r="E4" s="7"/>
      <c r="F4" s="8"/>
      <c r="G4" s="8"/>
      <c r="H4" s="8"/>
    </row>
    <row r="5" spans="2:8">
      <c r="B5" s="6"/>
      <c r="C5" s="99"/>
      <c r="D5" s="7"/>
      <c r="E5" s="7"/>
      <c r="F5" s="8"/>
      <c r="G5" s="8"/>
      <c r="H5" s="8"/>
    </row>
    <row r="6" spans="2:8" ht="15">
      <c r="B6" s="6"/>
      <c r="C6" s="99"/>
      <c r="D6" s="7"/>
      <c r="E6" s="671" t="s">
        <v>2495</v>
      </c>
      <c r="F6" s="8"/>
      <c r="G6" s="8"/>
      <c r="H6" s="8"/>
    </row>
    <row r="7" spans="2:8">
      <c r="B7" s="6"/>
      <c r="C7" s="99"/>
      <c r="D7" s="7"/>
      <c r="E7" s="7"/>
      <c r="F7" s="8"/>
      <c r="G7" s="8"/>
      <c r="H7" s="8"/>
    </row>
    <row r="8" spans="2:8">
      <c r="B8" s="6"/>
      <c r="C8" s="99"/>
      <c r="D8" s="7"/>
      <c r="E8" s="7"/>
      <c r="F8" s="8"/>
      <c r="G8" s="8"/>
      <c r="H8" s="9" t="s">
        <v>3942</v>
      </c>
    </row>
    <row r="9" spans="2:8" ht="15">
      <c r="C9" s="1153" t="s">
        <v>3531</v>
      </c>
      <c r="D9" s="1154"/>
      <c r="E9" s="1154"/>
      <c r="H9" s="98" t="s">
        <v>3943</v>
      </c>
    </row>
    <row r="10" spans="2:8" ht="15">
      <c r="C10" s="1155" t="s">
        <v>3944</v>
      </c>
      <c r="D10" s="1154"/>
      <c r="E10" s="1154"/>
      <c r="F10" s="10"/>
      <c r="G10" s="10"/>
    </row>
    <row r="11" spans="2:8" ht="15">
      <c r="C11" s="1156" t="s">
        <v>2494</v>
      </c>
      <c r="D11" s="1157"/>
      <c r="E11" s="1158" t="s">
        <v>3945</v>
      </c>
      <c r="F11" s="686"/>
      <c r="G11" s="1158"/>
      <c r="H11" s="686"/>
    </row>
    <row r="12" spans="2:8">
      <c r="C12" s="100"/>
      <c r="D12" s="3"/>
      <c r="E12" s="5"/>
      <c r="F12" s="11"/>
      <c r="G12" s="11"/>
      <c r="H12" s="11"/>
    </row>
    <row r="13" spans="2:8">
      <c r="C13" s="100"/>
      <c r="D13" s="3"/>
      <c r="E13" s="5"/>
      <c r="F13" s="11"/>
      <c r="G13" s="11"/>
      <c r="H13" s="11"/>
    </row>
    <row r="14" spans="2:8">
      <c r="C14" s="99" t="s">
        <v>43</v>
      </c>
      <c r="D14" s="7"/>
      <c r="E14" s="7"/>
      <c r="F14" s="8"/>
      <c r="G14" s="8"/>
      <c r="H14" s="8"/>
    </row>
    <row r="15" spans="2:8">
      <c r="C15" s="99" t="s">
        <v>44</v>
      </c>
      <c r="D15" s="7"/>
      <c r="E15" s="7"/>
      <c r="F15" s="8"/>
      <c r="G15" s="8"/>
      <c r="H15" s="8"/>
    </row>
    <row r="16" spans="2:8" ht="13.5" thickBot="1"/>
    <row r="17" spans="3:8" s="64" customFormat="1" ht="31.5" customHeight="1">
      <c r="C17" s="921" t="s">
        <v>45</v>
      </c>
      <c r="D17" s="922" t="s">
        <v>46</v>
      </c>
      <c r="E17" s="922" t="s">
        <v>0</v>
      </c>
      <c r="F17" s="2728" t="s">
        <v>3532</v>
      </c>
      <c r="G17" s="2729"/>
      <c r="H17" s="1148" t="s">
        <v>3533</v>
      </c>
    </row>
    <row r="18" spans="3:8" s="64" customFormat="1" ht="21" customHeight="1">
      <c r="C18" s="672">
        <v>1</v>
      </c>
      <c r="D18" s="674" t="s">
        <v>2493</v>
      </c>
      <c r="E18" s="673" t="s">
        <v>3541</v>
      </c>
      <c r="F18" s="2727" t="e">
        <f t="shared" ref="F18:F39" si="0">VLOOKUP(E18,TABLEROS,7,FALSE)</f>
        <v>#N/A</v>
      </c>
      <c r="G18" s="2727"/>
      <c r="H18" s="1144" t="e">
        <f t="shared" ref="H18:H39" si="1">+F18*D18</f>
        <v>#N/A</v>
      </c>
    </row>
    <row r="19" spans="3:8" s="64" customFormat="1" ht="21" customHeight="1">
      <c r="C19" s="672">
        <f t="shared" ref="C19:C35" si="2">C18+1</f>
        <v>2</v>
      </c>
      <c r="D19" s="674" t="s">
        <v>2493</v>
      </c>
      <c r="E19" s="923" t="s">
        <v>3560</v>
      </c>
      <c r="F19" s="2727" t="e">
        <f t="shared" si="0"/>
        <v>#N/A</v>
      </c>
      <c r="G19" s="2727"/>
      <c r="H19" s="1144" t="e">
        <f t="shared" si="1"/>
        <v>#N/A</v>
      </c>
    </row>
    <row r="20" spans="3:8" s="64" customFormat="1" ht="21" customHeight="1">
      <c r="C20" s="672">
        <f t="shared" si="2"/>
        <v>3</v>
      </c>
      <c r="D20" s="674" t="s">
        <v>2493</v>
      </c>
      <c r="E20" s="923" t="s">
        <v>3935</v>
      </c>
      <c r="F20" s="2727" t="e">
        <f t="shared" si="0"/>
        <v>#N/A</v>
      </c>
      <c r="G20" s="2727"/>
      <c r="H20" s="1144" t="e">
        <f t="shared" si="1"/>
        <v>#N/A</v>
      </c>
    </row>
    <row r="21" spans="3:8" s="64" customFormat="1" ht="21" customHeight="1">
      <c r="C21" s="672">
        <f t="shared" si="2"/>
        <v>4</v>
      </c>
      <c r="D21" s="674" t="s">
        <v>2493</v>
      </c>
      <c r="E21" s="923" t="s">
        <v>3626</v>
      </c>
      <c r="F21" s="2727" t="e">
        <f t="shared" si="0"/>
        <v>#N/A</v>
      </c>
      <c r="G21" s="2727"/>
      <c r="H21" s="1144" t="e">
        <f t="shared" si="1"/>
        <v>#N/A</v>
      </c>
    </row>
    <row r="22" spans="3:8" s="64" customFormat="1" ht="21" customHeight="1">
      <c r="C22" s="672">
        <f t="shared" si="2"/>
        <v>5</v>
      </c>
      <c r="D22" s="674" t="s">
        <v>2493</v>
      </c>
      <c r="E22" s="923" t="s">
        <v>3630</v>
      </c>
      <c r="F22" s="2727" t="e">
        <f t="shared" si="0"/>
        <v>#N/A</v>
      </c>
      <c r="G22" s="2727"/>
      <c r="H22" s="1144" t="e">
        <f t="shared" si="1"/>
        <v>#N/A</v>
      </c>
    </row>
    <row r="23" spans="3:8" s="64" customFormat="1" ht="21" customHeight="1">
      <c r="C23" s="672">
        <f t="shared" si="2"/>
        <v>6</v>
      </c>
      <c r="D23" s="674" t="s">
        <v>2493</v>
      </c>
      <c r="E23" s="923" t="s">
        <v>3634</v>
      </c>
      <c r="F23" s="2727" t="e">
        <f t="shared" si="0"/>
        <v>#N/A</v>
      </c>
      <c r="G23" s="2727"/>
      <c r="H23" s="1144" t="e">
        <f t="shared" si="1"/>
        <v>#N/A</v>
      </c>
    </row>
    <row r="24" spans="3:8" s="64" customFormat="1" ht="21" customHeight="1">
      <c r="C24" s="672">
        <f t="shared" si="2"/>
        <v>7</v>
      </c>
      <c r="D24" s="674" t="s">
        <v>2493</v>
      </c>
      <c r="E24" s="923" t="s">
        <v>3635</v>
      </c>
      <c r="F24" s="2727" t="e">
        <f t="shared" si="0"/>
        <v>#N/A</v>
      </c>
      <c r="G24" s="2727"/>
      <c r="H24" s="1144" t="e">
        <f t="shared" si="1"/>
        <v>#N/A</v>
      </c>
    </row>
    <row r="25" spans="3:8" s="64" customFormat="1" ht="21" customHeight="1">
      <c r="C25" s="672">
        <f t="shared" si="2"/>
        <v>8</v>
      </c>
      <c r="D25" s="674" t="s">
        <v>2493</v>
      </c>
      <c r="E25" s="923" t="s">
        <v>3645</v>
      </c>
      <c r="F25" s="2727" t="e">
        <f t="shared" si="0"/>
        <v>#N/A</v>
      </c>
      <c r="G25" s="2727"/>
      <c r="H25" s="1144" t="e">
        <f t="shared" si="1"/>
        <v>#N/A</v>
      </c>
    </row>
    <row r="26" spans="3:8" s="64" customFormat="1" ht="21" customHeight="1">
      <c r="C26" s="672">
        <f t="shared" si="2"/>
        <v>9</v>
      </c>
      <c r="D26" s="674" t="s">
        <v>2493</v>
      </c>
      <c r="E26" s="923" t="s">
        <v>3646</v>
      </c>
      <c r="F26" s="2727" t="e">
        <f t="shared" si="0"/>
        <v>#N/A</v>
      </c>
      <c r="G26" s="2727"/>
      <c r="H26" s="1144" t="e">
        <f t="shared" si="1"/>
        <v>#N/A</v>
      </c>
    </row>
    <row r="27" spans="3:8" s="64" customFormat="1" ht="21" customHeight="1">
      <c r="C27" s="672">
        <f t="shared" si="2"/>
        <v>10</v>
      </c>
      <c r="D27" s="674" t="s">
        <v>2493</v>
      </c>
      <c r="E27" s="923" t="s">
        <v>3647</v>
      </c>
      <c r="F27" s="2727" t="e">
        <f t="shared" si="0"/>
        <v>#N/A</v>
      </c>
      <c r="G27" s="2727"/>
      <c r="H27" s="1144" t="e">
        <f t="shared" si="1"/>
        <v>#N/A</v>
      </c>
    </row>
    <row r="28" spans="3:8" s="64" customFormat="1" ht="21" customHeight="1">
      <c r="C28" s="672">
        <f t="shared" si="2"/>
        <v>11</v>
      </c>
      <c r="D28" s="674" t="s">
        <v>2493</v>
      </c>
      <c r="E28" s="923" t="s">
        <v>3548</v>
      </c>
      <c r="F28" s="2727" t="e">
        <f t="shared" si="0"/>
        <v>#N/A</v>
      </c>
      <c r="G28" s="2727"/>
      <c r="H28" s="1144" t="e">
        <f t="shared" si="1"/>
        <v>#N/A</v>
      </c>
    </row>
    <row r="29" spans="3:8" s="64" customFormat="1" ht="21" customHeight="1">
      <c r="C29" s="672">
        <f t="shared" si="2"/>
        <v>12</v>
      </c>
      <c r="D29" s="674" t="s">
        <v>2493</v>
      </c>
      <c r="E29" s="923" t="s">
        <v>3681</v>
      </c>
      <c r="F29" s="2727" t="e">
        <f t="shared" si="0"/>
        <v>#N/A</v>
      </c>
      <c r="G29" s="2727"/>
      <c r="H29" s="1144" t="e">
        <f t="shared" si="1"/>
        <v>#N/A</v>
      </c>
    </row>
    <row r="30" spans="3:8" s="64" customFormat="1" ht="21" customHeight="1">
      <c r="C30" s="672">
        <f t="shared" si="2"/>
        <v>13</v>
      </c>
      <c r="D30" s="674" t="s">
        <v>2493</v>
      </c>
      <c r="E30" s="923" t="s">
        <v>3936</v>
      </c>
      <c r="F30" s="2727" t="e">
        <f t="shared" si="0"/>
        <v>#N/A</v>
      </c>
      <c r="G30" s="2727"/>
      <c r="H30" s="1144" t="e">
        <f t="shared" si="1"/>
        <v>#N/A</v>
      </c>
    </row>
    <row r="31" spans="3:8" s="64" customFormat="1" ht="21" customHeight="1">
      <c r="C31" s="672">
        <f t="shared" si="2"/>
        <v>14</v>
      </c>
      <c r="D31" s="674" t="s">
        <v>2493</v>
      </c>
      <c r="E31" s="923" t="s">
        <v>3682</v>
      </c>
      <c r="F31" s="2727" t="e">
        <f t="shared" si="0"/>
        <v>#N/A</v>
      </c>
      <c r="G31" s="2727"/>
      <c r="H31" s="1144" t="e">
        <f t="shared" si="1"/>
        <v>#N/A</v>
      </c>
    </row>
    <row r="32" spans="3:8" s="64" customFormat="1" ht="21" customHeight="1">
      <c r="C32" s="672">
        <f t="shared" si="2"/>
        <v>15</v>
      </c>
      <c r="D32" s="674" t="s">
        <v>2493</v>
      </c>
      <c r="E32" s="923" t="s">
        <v>3683</v>
      </c>
      <c r="F32" s="2727" t="e">
        <f t="shared" si="0"/>
        <v>#N/A</v>
      </c>
      <c r="G32" s="2727"/>
      <c r="H32" s="1144" t="e">
        <f t="shared" si="1"/>
        <v>#N/A</v>
      </c>
    </row>
    <row r="33" spans="3:8" s="64" customFormat="1" ht="21" customHeight="1">
      <c r="C33" s="672">
        <f t="shared" si="2"/>
        <v>16</v>
      </c>
      <c r="D33" s="674" t="s">
        <v>2493</v>
      </c>
      <c r="E33" s="923" t="s">
        <v>3685</v>
      </c>
      <c r="F33" s="2727" t="e">
        <f t="shared" si="0"/>
        <v>#N/A</v>
      </c>
      <c r="G33" s="2727"/>
      <c r="H33" s="1144" t="e">
        <f t="shared" si="1"/>
        <v>#N/A</v>
      </c>
    </row>
    <row r="34" spans="3:8" s="64" customFormat="1" ht="21" customHeight="1">
      <c r="C34" s="672">
        <f t="shared" si="2"/>
        <v>17</v>
      </c>
      <c r="D34" s="674" t="s">
        <v>2493</v>
      </c>
      <c r="E34" s="923" t="s">
        <v>3686</v>
      </c>
      <c r="F34" s="2727" t="e">
        <f t="shared" si="0"/>
        <v>#N/A</v>
      </c>
      <c r="G34" s="2727"/>
      <c r="H34" s="1144" t="e">
        <f t="shared" si="1"/>
        <v>#N/A</v>
      </c>
    </row>
    <row r="35" spans="3:8" s="64" customFormat="1" ht="21" customHeight="1">
      <c r="C35" s="672">
        <f t="shared" si="2"/>
        <v>18</v>
      </c>
      <c r="D35" s="674" t="s">
        <v>2493</v>
      </c>
      <c r="E35" s="923" t="s">
        <v>3694</v>
      </c>
      <c r="F35" s="2727" t="e">
        <f t="shared" si="0"/>
        <v>#N/A</v>
      </c>
      <c r="G35" s="2727"/>
      <c r="H35" s="1144" t="e">
        <f t="shared" si="1"/>
        <v>#N/A</v>
      </c>
    </row>
    <row r="36" spans="3:8" s="64" customFormat="1" ht="21" customHeight="1">
      <c r="C36" s="672">
        <f t="shared" ref="C36:C99" si="3">C35+1</f>
        <v>19</v>
      </c>
      <c r="D36" s="674" t="s">
        <v>2493</v>
      </c>
      <c r="E36" s="923" t="s">
        <v>3695</v>
      </c>
      <c r="F36" s="2727" t="e">
        <f t="shared" si="0"/>
        <v>#N/A</v>
      </c>
      <c r="G36" s="2727"/>
      <c r="H36" s="1144" t="e">
        <f t="shared" si="1"/>
        <v>#N/A</v>
      </c>
    </row>
    <row r="37" spans="3:8" s="64" customFormat="1" ht="21" customHeight="1">
      <c r="C37" s="672">
        <f t="shared" si="3"/>
        <v>20</v>
      </c>
      <c r="D37" s="674" t="s">
        <v>2493</v>
      </c>
      <c r="E37" s="923" t="s">
        <v>3698</v>
      </c>
      <c r="F37" s="2727" t="e">
        <f t="shared" si="0"/>
        <v>#N/A</v>
      </c>
      <c r="G37" s="2727"/>
      <c r="H37" s="1144" t="e">
        <f t="shared" si="1"/>
        <v>#N/A</v>
      </c>
    </row>
    <row r="38" spans="3:8" s="64" customFormat="1" ht="21" customHeight="1">
      <c r="C38" s="672">
        <f t="shared" si="3"/>
        <v>21</v>
      </c>
      <c r="D38" s="674" t="s">
        <v>2493</v>
      </c>
      <c r="E38" s="923" t="s">
        <v>3700</v>
      </c>
      <c r="F38" s="2727" t="e">
        <f t="shared" si="0"/>
        <v>#N/A</v>
      </c>
      <c r="G38" s="2727"/>
      <c r="H38" s="1144" t="e">
        <f t="shared" si="1"/>
        <v>#N/A</v>
      </c>
    </row>
    <row r="39" spans="3:8" s="64" customFormat="1" ht="21" customHeight="1">
      <c r="C39" s="672">
        <f t="shared" si="3"/>
        <v>22</v>
      </c>
      <c r="D39" s="674" t="s">
        <v>2493</v>
      </c>
      <c r="E39" s="923" t="s">
        <v>3701</v>
      </c>
      <c r="F39" s="2727" t="e">
        <f t="shared" si="0"/>
        <v>#N/A</v>
      </c>
      <c r="G39" s="2727"/>
      <c r="H39" s="1144" t="e">
        <f t="shared" si="1"/>
        <v>#N/A</v>
      </c>
    </row>
    <row r="40" spans="3:8" s="64" customFormat="1" ht="21" customHeight="1">
      <c r="C40" s="672">
        <f t="shared" si="3"/>
        <v>23</v>
      </c>
      <c r="D40" s="674" t="s">
        <v>2493</v>
      </c>
      <c r="E40" s="923" t="s">
        <v>3549</v>
      </c>
      <c r="F40" s="2727" t="e">
        <f t="shared" ref="F40:F60" si="4">VLOOKUP(E40,TABLEROS,7,FALSE)</f>
        <v>#N/A</v>
      </c>
      <c r="G40" s="2727"/>
      <c r="H40" s="1144" t="e">
        <f t="shared" ref="H40:H60" si="5">+F40*D40</f>
        <v>#N/A</v>
      </c>
    </row>
    <row r="41" spans="3:8" s="64" customFormat="1" ht="21" customHeight="1">
      <c r="C41" s="672">
        <f t="shared" si="3"/>
        <v>24</v>
      </c>
      <c r="D41" s="674" t="s">
        <v>2493</v>
      </c>
      <c r="E41" s="923" t="s">
        <v>3702</v>
      </c>
      <c r="F41" s="2727" t="e">
        <f t="shared" si="4"/>
        <v>#N/A</v>
      </c>
      <c r="G41" s="2727"/>
      <c r="H41" s="1144" t="e">
        <f t="shared" si="5"/>
        <v>#N/A</v>
      </c>
    </row>
    <row r="42" spans="3:8" s="64" customFormat="1" ht="21" customHeight="1">
      <c r="C42" s="672">
        <f t="shared" si="3"/>
        <v>25</v>
      </c>
      <c r="D42" s="674" t="s">
        <v>2493</v>
      </c>
      <c r="E42" s="923" t="s">
        <v>3937</v>
      </c>
      <c r="F42" s="2727" t="e">
        <f t="shared" si="4"/>
        <v>#N/A</v>
      </c>
      <c r="G42" s="2727"/>
      <c r="H42" s="1144" t="e">
        <f t="shared" si="5"/>
        <v>#N/A</v>
      </c>
    </row>
    <row r="43" spans="3:8" s="64" customFormat="1" ht="21" customHeight="1">
      <c r="C43" s="672">
        <f t="shared" si="3"/>
        <v>26</v>
      </c>
      <c r="D43" s="674" t="s">
        <v>2493</v>
      </c>
      <c r="E43" s="923" t="s">
        <v>3706</v>
      </c>
      <c r="F43" s="2727" t="e">
        <f t="shared" si="4"/>
        <v>#N/A</v>
      </c>
      <c r="G43" s="2727"/>
      <c r="H43" s="1144" t="e">
        <f t="shared" si="5"/>
        <v>#N/A</v>
      </c>
    </row>
    <row r="44" spans="3:8" s="64" customFormat="1" ht="21" customHeight="1">
      <c r="C44" s="672">
        <f t="shared" si="3"/>
        <v>27</v>
      </c>
      <c r="D44" s="674" t="s">
        <v>2493</v>
      </c>
      <c r="E44" s="923" t="s">
        <v>3720</v>
      </c>
      <c r="F44" s="2727" t="e">
        <f t="shared" si="4"/>
        <v>#N/A</v>
      </c>
      <c r="G44" s="2727"/>
      <c r="H44" s="1144" t="e">
        <f t="shared" si="5"/>
        <v>#N/A</v>
      </c>
    </row>
    <row r="45" spans="3:8" s="64" customFormat="1" ht="21" customHeight="1">
      <c r="C45" s="672">
        <f t="shared" si="3"/>
        <v>28</v>
      </c>
      <c r="D45" s="674" t="s">
        <v>2493</v>
      </c>
      <c r="E45" s="923" t="s">
        <v>3721</v>
      </c>
      <c r="F45" s="2727" t="e">
        <f t="shared" si="4"/>
        <v>#N/A</v>
      </c>
      <c r="G45" s="2727"/>
      <c r="H45" s="1144" t="e">
        <f t="shared" si="5"/>
        <v>#N/A</v>
      </c>
    </row>
    <row r="46" spans="3:8" s="64" customFormat="1" ht="21" customHeight="1">
      <c r="C46" s="672">
        <f t="shared" si="3"/>
        <v>29</v>
      </c>
      <c r="D46" s="674" t="s">
        <v>2493</v>
      </c>
      <c r="E46" s="923" t="s">
        <v>3550</v>
      </c>
      <c r="F46" s="2727" t="e">
        <f t="shared" si="4"/>
        <v>#N/A</v>
      </c>
      <c r="G46" s="2727"/>
      <c r="H46" s="1144" t="e">
        <f t="shared" si="5"/>
        <v>#N/A</v>
      </c>
    </row>
    <row r="47" spans="3:8" s="64" customFormat="1" ht="21" customHeight="1">
      <c r="C47" s="672">
        <f t="shared" si="3"/>
        <v>30</v>
      </c>
      <c r="D47" s="674" t="s">
        <v>2493</v>
      </c>
      <c r="E47" s="923" t="s">
        <v>3722</v>
      </c>
      <c r="F47" s="2727" t="e">
        <f t="shared" si="4"/>
        <v>#N/A</v>
      </c>
      <c r="G47" s="2727"/>
      <c r="H47" s="1144" t="e">
        <f t="shared" si="5"/>
        <v>#N/A</v>
      </c>
    </row>
    <row r="48" spans="3:8" s="64" customFormat="1" ht="21" customHeight="1">
      <c r="C48" s="672">
        <f t="shared" si="3"/>
        <v>31</v>
      </c>
      <c r="D48" s="674" t="s">
        <v>2493</v>
      </c>
      <c r="E48" s="923" t="s">
        <v>3938</v>
      </c>
      <c r="F48" s="2727" t="e">
        <f t="shared" si="4"/>
        <v>#N/A</v>
      </c>
      <c r="G48" s="2727"/>
      <c r="H48" s="1144" t="e">
        <f t="shared" si="5"/>
        <v>#N/A</v>
      </c>
    </row>
    <row r="49" spans="3:8" s="64" customFormat="1" ht="21" customHeight="1">
      <c r="C49" s="672">
        <f t="shared" si="3"/>
        <v>32</v>
      </c>
      <c r="D49" s="674" t="s">
        <v>2493</v>
      </c>
      <c r="E49" s="923" t="s">
        <v>3723</v>
      </c>
      <c r="F49" s="2727" t="e">
        <f t="shared" si="4"/>
        <v>#N/A</v>
      </c>
      <c r="G49" s="2727"/>
      <c r="H49" s="1144" t="e">
        <f t="shared" si="5"/>
        <v>#N/A</v>
      </c>
    </row>
    <row r="50" spans="3:8" s="64" customFormat="1" ht="21" customHeight="1">
      <c r="C50" s="672">
        <f t="shared" si="3"/>
        <v>33</v>
      </c>
      <c r="D50" s="674" t="s">
        <v>2493</v>
      </c>
      <c r="E50" s="923" t="s">
        <v>3729</v>
      </c>
      <c r="F50" s="2727" t="e">
        <f t="shared" si="4"/>
        <v>#N/A</v>
      </c>
      <c r="G50" s="2727"/>
      <c r="H50" s="1144" t="e">
        <f t="shared" si="5"/>
        <v>#N/A</v>
      </c>
    </row>
    <row r="51" spans="3:8" s="64" customFormat="1" ht="21" customHeight="1">
      <c r="C51" s="672">
        <f t="shared" si="3"/>
        <v>34</v>
      </c>
      <c r="D51" s="674" t="s">
        <v>2493</v>
      </c>
      <c r="E51" s="923" t="s">
        <v>3737</v>
      </c>
      <c r="F51" s="2727" t="e">
        <f t="shared" si="4"/>
        <v>#N/A</v>
      </c>
      <c r="G51" s="2727"/>
      <c r="H51" s="1144" t="e">
        <f t="shared" si="5"/>
        <v>#N/A</v>
      </c>
    </row>
    <row r="52" spans="3:8" s="64" customFormat="1" ht="21" customHeight="1">
      <c r="C52" s="672">
        <f t="shared" si="3"/>
        <v>35</v>
      </c>
      <c r="D52" s="674" t="s">
        <v>2493</v>
      </c>
      <c r="E52" s="923" t="s">
        <v>3736</v>
      </c>
      <c r="F52" s="2727" t="e">
        <f t="shared" si="4"/>
        <v>#N/A</v>
      </c>
      <c r="G52" s="2727"/>
      <c r="H52" s="1144" t="e">
        <f t="shared" si="5"/>
        <v>#N/A</v>
      </c>
    </row>
    <row r="53" spans="3:8" s="64" customFormat="1" ht="21" customHeight="1">
      <c r="C53" s="672">
        <f t="shared" si="3"/>
        <v>36</v>
      </c>
      <c r="D53" s="674" t="s">
        <v>2493</v>
      </c>
      <c r="E53" s="923" t="s">
        <v>3735</v>
      </c>
      <c r="F53" s="2727" t="e">
        <f t="shared" si="4"/>
        <v>#N/A</v>
      </c>
      <c r="G53" s="2727"/>
      <c r="H53" s="1144" t="e">
        <f t="shared" si="5"/>
        <v>#N/A</v>
      </c>
    </row>
    <row r="54" spans="3:8" s="64" customFormat="1" ht="21" customHeight="1">
      <c r="C54" s="672">
        <f t="shared" si="3"/>
        <v>37</v>
      </c>
      <c r="D54" s="674" t="s">
        <v>2493</v>
      </c>
      <c r="E54" s="923" t="s">
        <v>3734</v>
      </c>
      <c r="F54" s="2727" t="e">
        <f t="shared" si="4"/>
        <v>#N/A</v>
      </c>
      <c r="G54" s="2727"/>
      <c r="H54" s="1144" t="e">
        <f t="shared" si="5"/>
        <v>#N/A</v>
      </c>
    </row>
    <row r="55" spans="3:8" s="64" customFormat="1" ht="21" customHeight="1">
      <c r="C55" s="672">
        <f t="shared" si="3"/>
        <v>38</v>
      </c>
      <c r="D55" s="674" t="s">
        <v>2493</v>
      </c>
      <c r="E55" s="923" t="s">
        <v>3733</v>
      </c>
      <c r="F55" s="2727" t="e">
        <f t="shared" si="4"/>
        <v>#N/A</v>
      </c>
      <c r="G55" s="2727"/>
      <c r="H55" s="1144" t="e">
        <f t="shared" si="5"/>
        <v>#N/A</v>
      </c>
    </row>
    <row r="56" spans="3:8" s="64" customFormat="1" ht="21" customHeight="1">
      <c r="C56" s="672">
        <f t="shared" si="3"/>
        <v>39</v>
      </c>
      <c r="D56" s="674" t="s">
        <v>2493</v>
      </c>
      <c r="E56" s="923" t="s">
        <v>3732</v>
      </c>
      <c r="F56" s="2727" t="e">
        <f t="shared" si="4"/>
        <v>#N/A</v>
      </c>
      <c r="G56" s="2727"/>
      <c r="H56" s="1144" t="e">
        <f t="shared" si="5"/>
        <v>#N/A</v>
      </c>
    </row>
    <row r="57" spans="3:8" s="64" customFormat="1" ht="21" customHeight="1">
      <c r="C57" s="672">
        <f t="shared" si="3"/>
        <v>40</v>
      </c>
      <c r="D57" s="674" t="s">
        <v>2493</v>
      </c>
      <c r="E57" s="923" t="s">
        <v>3731</v>
      </c>
      <c r="F57" s="2727" t="e">
        <f t="shared" si="4"/>
        <v>#N/A</v>
      </c>
      <c r="G57" s="2727"/>
      <c r="H57" s="1144" t="e">
        <f t="shared" si="5"/>
        <v>#N/A</v>
      </c>
    </row>
    <row r="58" spans="3:8" s="64" customFormat="1" ht="21" customHeight="1">
      <c r="C58" s="672">
        <f t="shared" si="3"/>
        <v>41</v>
      </c>
      <c r="D58" s="674" t="s">
        <v>2493</v>
      </c>
      <c r="E58" s="923" t="s">
        <v>3730</v>
      </c>
      <c r="F58" s="2727" t="e">
        <f t="shared" si="4"/>
        <v>#N/A</v>
      </c>
      <c r="G58" s="2727"/>
      <c r="H58" s="1144" t="e">
        <f t="shared" si="5"/>
        <v>#N/A</v>
      </c>
    </row>
    <row r="59" spans="3:8" s="64" customFormat="1" ht="21" customHeight="1">
      <c r="C59" s="672">
        <f t="shared" si="3"/>
        <v>42</v>
      </c>
      <c r="D59" s="674" t="s">
        <v>2493</v>
      </c>
      <c r="E59" s="923" t="s">
        <v>3551</v>
      </c>
      <c r="F59" s="2727" t="e">
        <f t="shared" si="4"/>
        <v>#N/A</v>
      </c>
      <c r="G59" s="2727"/>
      <c r="H59" s="1144" t="e">
        <f t="shared" si="5"/>
        <v>#N/A</v>
      </c>
    </row>
    <row r="60" spans="3:8" s="64" customFormat="1" ht="21" customHeight="1">
      <c r="C60" s="672">
        <f t="shared" si="3"/>
        <v>43</v>
      </c>
      <c r="D60" s="674" t="s">
        <v>2493</v>
      </c>
      <c r="E60" s="923" t="s">
        <v>3739</v>
      </c>
      <c r="F60" s="2727" t="e">
        <f t="shared" si="4"/>
        <v>#N/A</v>
      </c>
      <c r="G60" s="2727"/>
      <c r="H60" s="1144" t="e">
        <f t="shared" si="5"/>
        <v>#N/A</v>
      </c>
    </row>
    <row r="61" spans="3:8" s="64" customFormat="1" ht="21" customHeight="1">
      <c r="C61" s="672">
        <f t="shared" si="3"/>
        <v>44</v>
      </c>
      <c r="D61" s="674" t="s">
        <v>2493</v>
      </c>
      <c r="E61" s="923" t="s">
        <v>3763</v>
      </c>
      <c r="F61" s="2727" t="e">
        <f t="shared" ref="F61:F81" si="6">VLOOKUP(E61,TABLEROS,7,FALSE)</f>
        <v>#N/A</v>
      </c>
      <c r="G61" s="2727"/>
      <c r="H61" s="1144" t="e">
        <f t="shared" ref="H61:H81" si="7">+F61*D61</f>
        <v>#N/A</v>
      </c>
    </row>
    <row r="62" spans="3:8" s="64" customFormat="1" ht="21" customHeight="1">
      <c r="C62" s="672">
        <f t="shared" si="3"/>
        <v>45</v>
      </c>
      <c r="D62" s="674" t="s">
        <v>2493</v>
      </c>
      <c r="E62" s="923" t="s">
        <v>3764</v>
      </c>
      <c r="F62" s="2727" t="e">
        <f t="shared" si="6"/>
        <v>#N/A</v>
      </c>
      <c r="G62" s="2727"/>
      <c r="H62" s="1144" t="e">
        <f t="shared" si="7"/>
        <v>#N/A</v>
      </c>
    </row>
    <row r="63" spans="3:8" s="64" customFormat="1" ht="21" customHeight="1">
      <c r="C63" s="672">
        <f t="shared" si="3"/>
        <v>46</v>
      </c>
      <c r="D63" s="674" t="s">
        <v>2493</v>
      </c>
      <c r="E63" s="923" t="s">
        <v>3765</v>
      </c>
      <c r="F63" s="2727" t="e">
        <f t="shared" si="6"/>
        <v>#N/A</v>
      </c>
      <c r="G63" s="2727"/>
      <c r="H63" s="1144" t="e">
        <f t="shared" si="7"/>
        <v>#N/A</v>
      </c>
    </row>
    <row r="64" spans="3:8" s="64" customFormat="1" ht="21" customHeight="1">
      <c r="C64" s="672">
        <f t="shared" si="3"/>
        <v>47</v>
      </c>
      <c r="D64" s="674" t="s">
        <v>2493</v>
      </c>
      <c r="E64" s="923" t="s">
        <v>3766</v>
      </c>
      <c r="F64" s="2727" t="e">
        <f t="shared" si="6"/>
        <v>#N/A</v>
      </c>
      <c r="G64" s="2727"/>
      <c r="H64" s="1144" t="e">
        <f t="shared" si="7"/>
        <v>#N/A</v>
      </c>
    </row>
    <row r="65" spans="3:8" s="64" customFormat="1" ht="21" customHeight="1">
      <c r="C65" s="672">
        <f t="shared" si="3"/>
        <v>48</v>
      </c>
      <c r="D65" s="674" t="s">
        <v>2493</v>
      </c>
      <c r="E65" s="923" t="s">
        <v>3775</v>
      </c>
      <c r="F65" s="2727" t="e">
        <f t="shared" si="6"/>
        <v>#N/A</v>
      </c>
      <c r="G65" s="2727"/>
      <c r="H65" s="1144" t="e">
        <f t="shared" si="7"/>
        <v>#N/A</v>
      </c>
    </row>
    <row r="66" spans="3:8" s="64" customFormat="1" ht="21" customHeight="1">
      <c r="C66" s="672">
        <f t="shared" si="3"/>
        <v>49</v>
      </c>
      <c r="D66" s="674" t="s">
        <v>2493</v>
      </c>
      <c r="E66" s="923" t="s">
        <v>3776</v>
      </c>
      <c r="F66" s="2727" t="e">
        <f t="shared" si="6"/>
        <v>#N/A</v>
      </c>
      <c r="G66" s="2727"/>
      <c r="H66" s="1144" t="e">
        <f t="shared" si="7"/>
        <v>#N/A</v>
      </c>
    </row>
    <row r="67" spans="3:8" s="64" customFormat="1" ht="21" customHeight="1">
      <c r="C67" s="672">
        <f t="shared" si="3"/>
        <v>50</v>
      </c>
      <c r="D67" s="674" t="s">
        <v>2493</v>
      </c>
      <c r="E67" s="923" t="s">
        <v>3777</v>
      </c>
      <c r="F67" s="2727" t="e">
        <f t="shared" si="6"/>
        <v>#N/A</v>
      </c>
      <c r="G67" s="2727"/>
      <c r="H67" s="1144" t="e">
        <f t="shared" si="7"/>
        <v>#N/A</v>
      </c>
    </row>
    <row r="68" spans="3:8" s="64" customFormat="1" ht="21" customHeight="1">
      <c r="C68" s="672">
        <f t="shared" si="3"/>
        <v>51</v>
      </c>
      <c r="D68" s="674" t="s">
        <v>2493</v>
      </c>
      <c r="E68" s="923" t="s">
        <v>3778</v>
      </c>
      <c r="F68" s="2727" t="e">
        <f t="shared" si="6"/>
        <v>#N/A</v>
      </c>
      <c r="G68" s="2727"/>
      <c r="H68" s="1144" t="e">
        <f t="shared" si="7"/>
        <v>#N/A</v>
      </c>
    </row>
    <row r="69" spans="3:8" s="64" customFormat="1" ht="21" customHeight="1">
      <c r="C69" s="672">
        <f t="shared" si="3"/>
        <v>52</v>
      </c>
      <c r="D69" s="674" t="s">
        <v>2493</v>
      </c>
      <c r="E69" s="923" t="s">
        <v>3779</v>
      </c>
      <c r="F69" s="2727" t="e">
        <f t="shared" si="6"/>
        <v>#N/A</v>
      </c>
      <c r="G69" s="2727"/>
      <c r="H69" s="1144" t="e">
        <f t="shared" si="7"/>
        <v>#N/A</v>
      </c>
    </row>
    <row r="70" spans="3:8" s="64" customFormat="1" ht="21" customHeight="1">
      <c r="C70" s="672">
        <f t="shared" si="3"/>
        <v>53</v>
      </c>
      <c r="D70" s="674" t="s">
        <v>2493</v>
      </c>
      <c r="E70" s="923" t="s">
        <v>3780</v>
      </c>
      <c r="F70" s="2727" t="e">
        <f t="shared" si="6"/>
        <v>#N/A</v>
      </c>
      <c r="G70" s="2727"/>
      <c r="H70" s="1144" t="e">
        <f t="shared" si="7"/>
        <v>#N/A</v>
      </c>
    </row>
    <row r="71" spans="3:8" s="64" customFormat="1" ht="21" customHeight="1">
      <c r="C71" s="672">
        <f t="shared" si="3"/>
        <v>54</v>
      </c>
      <c r="D71" s="674" t="s">
        <v>2493</v>
      </c>
      <c r="E71" s="923" t="s">
        <v>3781</v>
      </c>
      <c r="F71" s="2727" t="e">
        <f t="shared" si="6"/>
        <v>#N/A</v>
      </c>
      <c r="G71" s="2727"/>
      <c r="H71" s="1144" t="e">
        <f t="shared" si="7"/>
        <v>#N/A</v>
      </c>
    </row>
    <row r="72" spans="3:8" s="64" customFormat="1" ht="21" customHeight="1">
      <c r="C72" s="672">
        <f t="shared" si="3"/>
        <v>55</v>
      </c>
      <c r="D72" s="674" t="s">
        <v>2493</v>
      </c>
      <c r="E72" s="923" t="s">
        <v>3743</v>
      </c>
      <c r="F72" s="2727" t="e">
        <f t="shared" si="6"/>
        <v>#N/A</v>
      </c>
      <c r="G72" s="2727"/>
      <c r="H72" s="1144" t="e">
        <f t="shared" si="7"/>
        <v>#N/A</v>
      </c>
    </row>
    <row r="73" spans="3:8" s="64" customFormat="1" ht="21" customHeight="1">
      <c r="C73" s="672">
        <f t="shared" si="3"/>
        <v>56</v>
      </c>
      <c r="D73" s="674" t="s">
        <v>2493</v>
      </c>
      <c r="E73" s="923" t="s">
        <v>3742</v>
      </c>
      <c r="F73" s="2727" t="e">
        <f t="shared" si="6"/>
        <v>#N/A</v>
      </c>
      <c r="G73" s="2727"/>
      <c r="H73" s="1144" t="e">
        <f t="shared" si="7"/>
        <v>#N/A</v>
      </c>
    </row>
    <row r="74" spans="3:8" s="64" customFormat="1" ht="21" customHeight="1">
      <c r="C74" s="672">
        <f t="shared" si="3"/>
        <v>57</v>
      </c>
      <c r="D74" s="674" t="s">
        <v>2493</v>
      </c>
      <c r="E74" s="923" t="s">
        <v>3741</v>
      </c>
      <c r="F74" s="2727" t="e">
        <f t="shared" si="6"/>
        <v>#N/A</v>
      </c>
      <c r="G74" s="2727"/>
      <c r="H74" s="1144" t="e">
        <f t="shared" si="7"/>
        <v>#N/A</v>
      </c>
    </row>
    <row r="75" spans="3:8" s="64" customFormat="1" ht="21" customHeight="1">
      <c r="C75" s="672">
        <f t="shared" si="3"/>
        <v>58</v>
      </c>
      <c r="D75" s="674" t="s">
        <v>2493</v>
      </c>
      <c r="E75" s="923" t="s">
        <v>3740</v>
      </c>
      <c r="F75" s="2727" t="e">
        <f t="shared" si="6"/>
        <v>#N/A</v>
      </c>
      <c r="G75" s="2727"/>
      <c r="H75" s="1144" t="e">
        <f t="shared" si="7"/>
        <v>#N/A</v>
      </c>
    </row>
    <row r="76" spans="3:8" s="64" customFormat="1" ht="21" customHeight="1">
      <c r="C76" s="672">
        <f t="shared" si="3"/>
        <v>59</v>
      </c>
      <c r="D76" s="674" t="s">
        <v>2493</v>
      </c>
      <c r="E76" s="923" t="s">
        <v>3744</v>
      </c>
      <c r="F76" s="2727" t="e">
        <f t="shared" si="6"/>
        <v>#N/A</v>
      </c>
      <c r="G76" s="2727"/>
      <c r="H76" s="1144" t="e">
        <f t="shared" si="7"/>
        <v>#N/A</v>
      </c>
    </row>
    <row r="77" spans="3:8" s="64" customFormat="1" ht="21" customHeight="1">
      <c r="C77" s="672">
        <f t="shared" si="3"/>
        <v>60</v>
      </c>
      <c r="D77" s="674" t="s">
        <v>2493</v>
      </c>
      <c r="E77" s="923" t="s">
        <v>3745</v>
      </c>
      <c r="F77" s="2727" t="e">
        <f t="shared" si="6"/>
        <v>#N/A</v>
      </c>
      <c r="G77" s="2727"/>
      <c r="H77" s="1144" t="e">
        <f t="shared" si="7"/>
        <v>#N/A</v>
      </c>
    </row>
    <row r="78" spans="3:8" s="64" customFormat="1" ht="21" customHeight="1">
      <c r="C78" s="672">
        <f t="shared" si="3"/>
        <v>61</v>
      </c>
      <c r="D78" s="674" t="s">
        <v>2493</v>
      </c>
      <c r="E78" s="923" t="s">
        <v>3746</v>
      </c>
      <c r="F78" s="2727" t="e">
        <f t="shared" si="6"/>
        <v>#N/A</v>
      </c>
      <c r="G78" s="2727"/>
      <c r="H78" s="1144" t="e">
        <f t="shared" si="7"/>
        <v>#N/A</v>
      </c>
    </row>
    <row r="79" spans="3:8" s="64" customFormat="1" ht="21" customHeight="1">
      <c r="C79" s="672">
        <f t="shared" si="3"/>
        <v>62</v>
      </c>
      <c r="D79" s="674" t="s">
        <v>2493</v>
      </c>
      <c r="E79" s="923" t="s">
        <v>3747</v>
      </c>
      <c r="F79" s="2727" t="e">
        <f t="shared" si="6"/>
        <v>#N/A</v>
      </c>
      <c r="G79" s="2727"/>
      <c r="H79" s="1144" t="e">
        <f t="shared" si="7"/>
        <v>#N/A</v>
      </c>
    </row>
    <row r="80" spans="3:8" s="64" customFormat="1" ht="21" customHeight="1">
      <c r="C80" s="672">
        <f t="shared" si="3"/>
        <v>63</v>
      </c>
      <c r="D80" s="674" t="s">
        <v>2493</v>
      </c>
      <c r="E80" s="923" t="s">
        <v>3748</v>
      </c>
      <c r="F80" s="2727" t="e">
        <f t="shared" si="6"/>
        <v>#N/A</v>
      </c>
      <c r="G80" s="2727"/>
      <c r="H80" s="1144" t="e">
        <f t="shared" si="7"/>
        <v>#N/A</v>
      </c>
    </row>
    <row r="81" spans="3:8" s="64" customFormat="1" ht="21" customHeight="1">
      <c r="C81" s="672">
        <f t="shared" si="3"/>
        <v>64</v>
      </c>
      <c r="D81" s="674" t="s">
        <v>2493</v>
      </c>
      <c r="E81" s="923" t="s">
        <v>3749</v>
      </c>
      <c r="F81" s="2727" t="e">
        <f t="shared" si="6"/>
        <v>#N/A</v>
      </c>
      <c r="G81" s="2727"/>
      <c r="H81" s="1144" t="e">
        <f t="shared" si="7"/>
        <v>#N/A</v>
      </c>
    </row>
    <row r="82" spans="3:8" s="64" customFormat="1" ht="21" customHeight="1">
      <c r="C82" s="672">
        <f t="shared" si="3"/>
        <v>65</v>
      </c>
      <c r="D82" s="674" t="s">
        <v>2493</v>
      </c>
      <c r="E82" s="923" t="s">
        <v>3750</v>
      </c>
      <c r="F82" s="2727" t="e">
        <f t="shared" ref="F82:F102" si="8">VLOOKUP(E82,TABLEROS,7,FALSE)</f>
        <v>#N/A</v>
      </c>
      <c r="G82" s="2727"/>
      <c r="H82" s="1144" t="e">
        <f t="shared" ref="H82:H102" si="9">+F82*D82</f>
        <v>#N/A</v>
      </c>
    </row>
    <row r="83" spans="3:8" s="64" customFormat="1" ht="21" customHeight="1">
      <c r="C83" s="672">
        <f t="shared" si="3"/>
        <v>66</v>
      </c>
      <c r="D83" s="674" t="s">
        <v>2493</v>
      </c>
      <c r="E83" s="923" t="s">
        <v>3751</v>
      </c>
      <c r="F83" s="2727" t="e">
        <f t="shared" si="8"/>
        <v>#N/A</v>
      </c>
      <c r="G83" s="2727"/>
      <c r="H83" s="1144" t="e">
        <f t="shared" si="9"/>
        <v>#N/A</v>
      </c>
    </row>
    <row r="84" spans="3:8" s="64" customFormat="1" ht="21" customHeight="1">
      <c r="C84" s="672">
        <f t="shared" si="3"/>
        <v>67</v>
      </c>
      <c r="D84" s="674" t="s">
        <v>2493</v>
      </c>
      <c r="E84" s="923" t="s">
        <v>3752</v>
      </c>
      <c r="F84" s="2727" t="e">
        <f t="shared" si="8"/>
        <v>#N/A</v>
      </c>
      <c r="G84" s="2727"/>
      <c r="H84" s="1144" t="e">
        <f t="shared" si="9"/>
        <v>#N/A</v>
      </c>
    </row>
    <row r="85" spans="3:8" s="64" customFormat="1" ht="21" customHeight="1">
      <c r="C85" s="672">
        <f t="shared" si="3"/>
        <v>68</v>
      </c>
      <c r="D85" s="674" t="s">
        <v>2493</v>
      </c>
      <c r="E85" s="923" t="s">
        <v>3753</v>
      </c>
      <c r="F85" s="2727" t="e">
        <f t="shared" si="8"/>
        <v>#N/A</v>
      </c>
      <c r="G85" s="2727"/>
      <c r="H85" s="1144" t="e">
        <f t="shared" si="9"/>
        <v>#N/A</v>
      </c>
    </row>
    <row r="86" spans="3:8" s="64" customFormat="1" ht="21" customHeight="1">
      <c r="C86" s="672">
        <f t="shared" si="3"/>
        <v>69</v>
      </c>
      <c r="D86" s="674" t="s">
        <v>2493</v>
      </c>
      <c r="E86" s="923" t="s">
        <v>3754</v>
      </c>
      <c r="F86" s="2727" t="e">
        <f t="shared" si="8"/>
        <v>#N/A</v>
      </c>
      <c r="G86" s="2727"/>
      <c r="H86" s="1144" t="e">
        <f t="shared" si="9"/>
        <v>#N/A</v>
      </c>
    </row>
    <row r="87" spans="3:8" s="64" customFormat="1" ht="21" customHeight="1">
      <c r="C87" s="672">
        <f t="shared" si="3"/>
        <v>70</v>
      </c>
      <c r="D87" s="674" t="s">
        <v>2493</v>
      </c>
      <c r="E87" s="923" t="s">
        <v>3755</v>
      </c>
      <c r="F87" s="2727" t="e">
        <f t="shared" si="8"/>
        <v>#N/A</v>
      </c>
      <c r="G87" s="2727"/>
      <c r="H87" s="1144" t="e">
        <f t="shared" si="9"/>
        <v>#N/A</v>
      </c>
    </row>
    <row r="88" spans="3:8" s="64" customFormat="1" ht="21" customHeight="1">
      <c r="C88" s="672">
        <f t="shared" si="3"/>
        <v>71</v>
      </c>
      <c r="D88" s="674" t="s">
        <v>2493</v>
      </c>
      <c r="E88" s="923" t="s">
        <v>3756</v>
      </c>
      <c r="F88" s="2727" t="e">
        <f t="shared" si="8"/>
        <v>#N/A</v>
      </c>
      <c r="G88" s="2727"/>
      <c r="H88" s="1144" t="e">
        <f t="shared" si="9"/>
        <v>#N/A</v>
      </c>
    </row>
    <row r="89" spans="3:8" s="64" customFormat="1" ht="21" customHeight="1">
      <c r="C89" s="672">
        <f t="shared" si="3"/>
        <v>72</v>
      </c>
      <c r="D89" s="674" t="s">
        <v>2493</v>
      </c>
      <c r="E89" s="923" t="s">
        <v>3757</v>
      </c>
      <c r="F89" s="2727" t="e">
        <f t="shared" si="8"/>
        <v>#N/A</v>
      </c>
      <c r="G89" s="2727"/>
      <c r="H89" s="1144" t="e">
        <f t="shared" si="9"/>
        <v>#N/A</v>
      </c>
    </row>
    <row r="90" spans="3:8" s="64" customFormat="1" ht="21" customHeight="1">
      <c r="C90" s="672">
        <f t="shared" si="3"/>
        <v>73</v>
      </c>
      <c r="D90" s="674" t="s">
        <v>2493</v>
      </c>
      <c r="E90" s="923" t="s">
        <v>3758</v>
      </c>
      <c r="F90" s="2727" t="e">
        <f t="shared" si="8"/>
        <v>#N/A</v>
      </c>
      <c r="G90" s="2727"/>
      <c r="H90" s="1144" t="e">
        <f t="shared" si="9"/>
        <v>#N/A</v>
      </c>
    </row>
    <row r="91" spans="3:8" s="64" customFormat="1" ht="21" customHeight="1">
      <c r="C91" s="672">
        <f t="shared" si="3"/>
        <v>74</v>
      </c>
      <c r="D91" s="674" t="s">
        <v>2493</v>
      </c>
      <c r="E91" s="923" t="s">
        <v>3759</v>
      </c>
      <c r="F91" s="2727" t="e">
        <f t="shared" si="8"/>
        <v>#N/A</v>
      </c>
      <c r="G91" s="2727"/>
      <c r="H91" s="1144" t="e">
        <f t="shared" si="9"/>
        <v>#N/A</v>
      </c>
    </row>
    <row r="92" spans="3:8" s="64" customFormat="1" ht="21" customHeight="1">
      <c r="C92" s="672">
        <f t="shared" si="3"/>
        <v>75</v>
      </c>
      <c r="D92" s="674" t="s">
        <v>2493</v>
      </c>
      <c r="E92" s="923" t="s">
        <v>3762</v>
      </c>
      <c r="F92" s="2727" t="e">
        <f t="shared" si="8"/>
        <v>#N/A</v>
      </c>
      <c r="G92" s="2727"/>
      <c r="H92" s="1144" t="e">
        <f t="shared" si="9"/>
        <v>#N/A</v>
      </c>
    </row>
    <row r="93" spans="3:8" s="64" customFormat="1" ht="21" customHeight="1">
      <c r="C93" s="672">
        <f t="shared" si="3"/>
        <v>76</v>
      </c>
      <c r="D93" s="674" t="s">
        <v>2493</v>
      </c>
      <c r="E93" s="923" t="s">
        <v>3761</v>
      </c>
      <c r="F93" s="2727" t="e">
        <f t="shared" si="8"/>
        <v>#N/A</v>
      </c>
      <c r="G93" s="2727"/>
      <c r="H93" s="1144" t="e">
        <f t="shared" si="9"/>
        <v>#N/A</v>
      </c>
    </row>
    <row r="94" spans="3:8" s="64" customFormat="1" ht="21" customHeight="1">
      <c r="C94" s="672">
        <f t="shared" si="3"/>
        <v>77</v>
      </c>
      <c r="D94" s="674" t="s">
        <v>2493</v>
      </c>
      <c r="E94" s="923" t="s">
        <v>3760</v>
      </c>
      <c r="F94" s="2727" t="e">
        <f t="shared" si="8"/>
        <v>#N/A</v>
      </c>
      <c r="G94" s="2727"/>
      <c r="H94" s="1144" t="e">
        <f t="shared" si="9"/>
        <v>#N/A</v>
      </c>
    </row>
    <row r="95" spans="3:8" s="64" customFormat="1" ht="21" customHeight="1">
      <c r="C95" s="672">
        <f t="shared" si="3"/>
        <v>78</v>
      </c>
      <c r="D95" s="674" t="s">
        <v>2493</v>
      </c>
      <c r="E95" s="923" t="s">
        <v>3782</v>
      </c>
      <c r="F95" s="2727" t="e">
        <f t="shared" si="8"/>
        <v>#N/A</v>
      </c>
      <c r="G95" s="2727"/>
      <c r="H95" s="1144" t="e">
        <f t="shared" si="9"/>
        <v>#N/A</v>
      </c>
    </row>
    <row r="96" spans="3:8" s="64" customFormat="1" ht="21" customHeight="1">
      <c r="C96" s="672">
        <f t="shared" si="3"/>
        <v>79</v>
      </c>
      <c r="D96" s="674" t="s">
        <v>2493</v>
      </c>
      <c r="E96" s="923" t="s">
        <v>3783</v>
      </c>
      <c r="F96" s="2727" t="e">
        <f t="shared" si="8"/>
        <v>#N/A</v>
      </c>
      <c r="G96" s="2727"/>
      <c r="H96" s="1144" t="e">
        <f t="shared" si="9"/>
        <v>#N/A</v>
      </c>
    </row>
    <row r="97" spans="3:8" s="64" customFormat="1" ht="21" customHeight="1">
      <c r="C97" s="672">
        <f t="shared" si="3"/>
        <v>80</v>
      </c>
      <c r="D97" s="674" t="s">
        <v>2493</v>
      </c>
      <c r="E97" s="923" t="s">
        <v>3784</v>
      </c>
      <c r="F97" s="2727" t="e">
        <f t="shared" si="8"/>
        <v>#N/A</v>
      </c>
      <c r="G97" s="2727"/>
      <c r="H97" s="1144" t="e">
        <f t="shared" si="9"/>
        <v>#N/A</v>
      </c>
    </row>
    <row r="98" spans="3:8" s="64" customFormat="1" ht="21" customHeight="1">
      <c r="C98" s="672">
        <f t="shared" si="3"/>
        <v>81</v>
      </c>
      <c r="D98" s="674" t="s">
        <v>2493</v>
      </c>
      <c r="E98" s="923" t="s">
        <v>3785</v>
      </c>
      <c r="F98" s="2727" t="e">
        <f t="shared" si="8"/>
        <v>#N/A</v>
      </c>
      <c r="G98" s="2727"/>
      <c r="H98" s="1144" t="e">
        <f t="shared" si="9"/>
        <v>#N/A</v>
      </c>
    </row>
    <row r="99" spans="3:8" s="64" customFormat="1" ht="21" customHeight="1">
      <c r="C99" s="672">
        <f t="shared" si="3"/>
        <v>82</v>
      </c>
      <c r="D99" s="674" t="s">
        <v>2493</v>
      </c>
      <c r="E99" s="923" t="s">
        <v>3786</v>
      </c>
      <c r="F99" s="2727" t="e">
        <f t="shared" si="8"/>
        <v>#N/A</v>
      </c>
      <c r="G99" s="2727"/>
      <c r="H99" s="1144" t="e">
        <f t="shared" si="9"/>
        <v>#N/A</v>
      </c>
    </row>
    <row r="100" spans="3:8" s="64" customFormat="1" ht="21" customHeight="1">
      <c r="C100" s="672">
        <f t="shared" ref="C100:C163" si="10">C99+1</f>
        <v>83</v>
      </c>
      <c r="D100" s="674" t="s">
        <v>2493</v>
      </c>
      <c r="E100" s="923" t="s">
        <v>3787</v>
      </c>
      <c r="F100" s="2727" t="e">
        <f t="shared" si="8"/>
        <v>#N/A</v>
      </c>
      <c r="G100" s="2727"/>
      <c r="H100" s="1144" t="e">
        <f t="shared" si="9"/>
        <v>#N/A</v>
      </c>
    </row>
    <row r="101" spans="3:8" s="64" customFormat="1" ht="21" customHeight="1">
      <c r="C101" s="672">
        <f t="shared" si="10"/>
        <v>84</v>
      </c>
      <c r="D101" s="674" t="s">
        <v>2493</v>
      </c>
      <c r="E101" s="923" t="s">
        <v>3788</v>
      </c>
      <c r="F101" s="2727" t="e">
        <f t="shared" si="8"/>
        <v>#N/A</v>
      </c>
      <c r="G101" s="2727"/>
      <c r="H101" s="1144" t="e">
        <f t="shared" si="9"/>
        <v>#N/A</v>
      </c>
    </row>
    <row r="102" spans="3:8" s="64" customFormat="1" ht="21" customHeight="1">
      <c r="C102" s="672">
        <f t="shared" si="10"/>
        <v>85</v>
      </c>
      <c r="D102" s="674" t="s">
        <v>2493</v>
      </c>
      <c r="E102" s="923" t="s">
        <v>3791</v>
      </c>
      <c r="F102" s="2727" t="e">
        <f t="shared" si="8"/>
        <v>#N/A</v>
      </c>
      <c r="G102" s="2727"/>
      <c r="H102" s="1144" t="e">
        <f t="shared" si="9"/>
        <v>#N/A</v>
      </c>
    </row>
    <row r="103" spans="3:8" s="64" customFormat="1" ht="21" customHeight="1">
      <c r="C103" s="672">
        <f t="shared" si="10"/>
        <v>86</v>
      </c>
      <c r="D103" s="674" t="s">
        <v>2493</v>
      </c>
      <c r="E103" s="923" t="s">
        <v>3792</v>
      </c>
      <c r="F103" s="2727" t="e">
        <f t="shared" ref="F103:F123" si="11">VLOOKUP(E103,TABLEROS,7,FALSE)</f>
        <v>#N/A</v>
      </c>
      <c r="G103" s="2727"/>
      <c r="H103" s="1144" t="e">
        <f t="shared" ref="H103:H123" si="12">+F103*D103</f>
        <v>#N/A</v>
      </c>
    </row>
    <row r="104" spans="3:8" s="64" customFormat="1" ht="21" customHeight="1">
      <c r="C104" s="672">
        <f t="shared" si="10"/>
        <v>87</v>
      </c>
      <c r="D104" s="674" t="s">
        <v>2493</v>
      </c>
      <c r="E104" s="923" t="s">
        <v>3793</v>
      </c>
      <c r="F104" s="2727" t="e">
        <f t="shared" si="11"/>
        <v>#N/A</v>
      </c>
      <c r="G104" s="2727"/>
      <c r="H104" s="1144" t="e">
        <f t="shared" si="12"/>
        <v>#N/A</v>
      </c>
    </row>
    <row r="105" spans="3:8" s="64" customFormat="1" ht="21" customHeight="1">
      <c r="C105" s="672">
        <f t="shared" si="10"/>
        <v>88</v>
      </c>
      <c r="D105" s="674" t="s">
        <v>2493</v>
      </c>
      <c r="E105" s="923" t="s">
        <v>3799</v>
      </c>
      <c r="F105" s="2727" t="e">
        <f t="shared" si="11"/>
        <v>#N/A</v>
      </c>
      <c r="G105" s="2727"/>
      <c r="H105" s="1144" t="e">
        <f t="shared" si="12"/>
        <v>#N/A</v>
      </c>
    </row>
    <row r="106" spans="3:8" s="64" customFormat="1" ht="21" customHeight="1">
      <c r="C106" s="672">
        <f t="shared" si="10"/>
        <v>89</v>
      </c>
      <c r="D106" s="674" t="s">
        <v>2493</v>
      </c>
      <c r="E106" s="923" t="s">
        <v>3800</v>
      </c>
      <c r="F106" s="2727" t="e">
        <f t="shared" si="11"/>
        <v>#N/A</v>
      </c>
      <c r="G106" s="2727"/>
      <c r="H106" s="1144" t="e">
        <f t="shared" si="12"/>
        <v>#N/A</v>
      </c>
    </row>
    <row r="107" spans="3:8" s="64" customFormat="1" ht="21" customHeight="1">
      <c r="C107" s="672">
        <f t="shared" si="10"/>
        <v>90</v>
      </c>
      <c r="D107" s="674" t="s">
        <v>2493</v>
      </c>
      <c r="E107" s="923" t="s">
        <v>3801</v>
      </c>
      <c r="F107" s="2727" t="e">
        <f t="shared" si="11"/>
        <v>#N/A</v>
      </c>
      <c r="G107" s="2727"/>
      <c r="H107" s="1144" t="e">
        <f t="shared" si="12"/>
        <v>#N/A</v>
      </c>
    </row>
    <row r="108" spans="3:8" s="64" customFormat="1" ht="21" customHeight="1">
      <c r="C108" s="672">
        <f t="shared" si="10"/>
        <v>91</v>
      </c>
      <c r="D108" s="674" t="s">
        <v>2493</v>
      </c>
      <c r="E108" s="923" t="s">
        <v>3802</v>
      </c>
      <c r="F108" s="2727" t="e">
        <f t="shared" si="11"/>
        <v>#N/A</v>
      </c>
      <c r="G108" s="2727"/>
      <c r="H108" s="1144" t="e">
        <f t="shared" si="12"/>
        <v>#N/A</v>
      </c>
    </row>
    <row r="109" spans="3:8" s="64" customFormat="1" ht="21" customHeight="1">
      <c r="C109" s="672">
        <f t="shared" si="10"/>
        <v>92</v>
      </c>
      <c r="D109" s="674" t="s">
        <v>2493</v>
      </c>
      <c r="E109" s="923" t="s">
        <v>3803</v>
      </c>
      <c r="F109" s="2727" t="e">
        <f t="shared" si="11"/>
        <v>#N/A</v>
      </c>
      <c r="G109" s="2727"/>
      <c r="H109" s="1144" t="e">
        <f t="shared" si="12"/>
        <v>#N/A</v>
      </c>
    </row>
    <row r="110" spans="3:8" s="64" customFormat="1" ht="21" customHeight="1">
      <c r="C110" s="672">
        <f t="shared" si="10"/>
        <v>93</v>
      </c>
      <c r="D110" s="674" t="s">
        <v>2493</v>
      </c>
      <c r="E110" s="923" t="s">
        <v>3804</v>
      </c>
      <c r="F110" s="2727" t="e">
        <f t="shared" si="11"/>
        <v>#N/A</v>
      </c>
      <c r="G110" s="2727"/>
      <c r="H110" s="1144" t="e">
        <f t="shared" si="12"/>
        <v>#N/A</v>
      </c>
    </row>
    <row r="111" spans="3:8" s="64" customFormat="1" ht="21" customHeight="1">
      <c r="C111" s="672">
        <f t="shared" si="10"/>
        <v>94</v>
      </c>
      <c r="D111" s="674" t="s">
        <v>2493</v>
      </c>
      <c r="E111" s="923" t="s">
        <v>3805</v>
      </c>
      <c r="F111" s="2727" t="e">
        <f t="shared" si="11"/>
        <v>#N/A</v>
      </c>
      <c r="G111" s="2727"/>
      <c r="H111" s="1144" t="e">
        <f t="shared" si="12"/>
        <v>#N/A</v>
      </c>
    </row>
    <row r="112" spans="3:8" s="64" customFormat="1" ht="21" customHeight="1">
      <c r="C112" s="672">
        <f t="shared" si="10"/>
        <v>95</v>
      </c>
      <c r="D112" s="674" t="s">
        <v>2493</v>
      </c>
      <c r="E112" s="923" t="s">
        <v>3806</v>
      </c>
      <c r="F112" s="2727" t="e">
        <f t="shared" si="11"/>
        <v>#N/A</v>
      </c>
      <c r="G112" s="2727"/>
      <c r="H112" s="1144" t="e">
        <f t="shared" si="12"/>
        <v>#N/A</v>
      </c>
    </row>
    <row r="113" spans="3:8" s="64" customFormat="1" ht="21" customHeight="1">
      <c r="C113" s="672">
        <f t="shared" si="10"/>
        <v>96</v>
      </c>
      <c r="D113" s="674" t="s">
        <v>2493</v>
      </c>
      <c r="E113" s="923" t="s">
        <v>3807</v>
      </c>
      <c r="F113" s="2727" t="e">
        <f t="shared" si="11"/>
        <v>#N/A</v>
      </c>
      <c r="G113" s="2727"/>
      <c r="H113" s="1144" t="e">
        <f t="shared" si="12"/>
        <v>#N/A</v>
      </c>
    </row>
    <row r="114" spans="3:8" s="64" customFormat="1" ht="21" customHeight="1">
      <c r="C114" s="672">
        <f t="shared" si="10"/>
        <v>97</v>
      </c>
      <c r="D114" s="674" t="s">
        <v>2493</v>
      </c>
      <c r="E114" s="923" t="s">
        <v>3808</v>
      </c>
      <c r="F114" s="2727" t="e">
        <f t="shared" si="11"/>
        <v>#N/A</v>
      </c>
      <c r="G114" s="2727"/>
      <c r="H114" s="1144" t="e">
        <f t="shared" si="12"/>
        <v>#N/A</v>
      </c>
    </row>
    <row r="115" spans="3:8" s="64" customFormat="1" ht="21" customHeight="1">
      <c r="C115" s="672">
        <f t="shared" si="10"/>
        <v>98</v>
      </c>
      <c r="D115" s="674" t="s">
        <v>2493</v>
      </c>
      <c r="E115" s="923" t="s">
        <v>3809</v>
      </c>
      <c r="F115" s="2727" t="e">
        <f t="shared" si="11"/>
        <v>#N/A</v>
      </c>
      <c r="G115" s="2727"/>
      <c r="H115" s="1144" t="e">
        <f t="shared" si="12"/>
        <v>#N/A</v>
      </c>
    </row>
    <row r="116" spans="3:8" s="64" customFormat="1" ht="21" customHeight="1">
      <c r="C116" s="672">
        <f t="shared" si="10"/>
        <v>99</v>
      </c>
      <c r="D116" s="674" t="s">
        <v>2493</v>
      </c>
      <c r="E116" s="923" t="s">
        <v>3810</v>
      </c>
      <c r="F116" s="2727" t="e">
        <f t="shared" si="11"/>
        <v>#N/A</v>
      </c>
      <c r="G116" s="2727"/>
      <c r="H116" s="1144" t="e">
        <f t="shared" si="12"/>
        <v>#N/A</v>
      </c>
    </row>
    <row r="117" spans="3:8" s="64" customFormat="1" ht="21" customHeight="1">
      <c r="C117" s="672">
        <f t="shared" si="10"/>
        <v>100</v>
      </c>
      <c r="D117" s="674" t="s">
        <v>2493</v>
      </c>
      <c r="E117" s="923" t="s">
        <v>3811</v>
      </c>
      <c r="F117" s="2727" t="e">
        <f t="shared" si="11"/>
        <v>#N/A</v>
      </c>
      <c r="G117" s="2727"/>
      <c r="H117" s="1144" t="e">
        <f t="shared" si="12"/>
        <v>#N/A</v>
      </c>
    </row>
    <row r="118" spans="3:8" s="64" customFormat="1" ht="21" customHeight="1">
      <c r="C118" s="672">
        <f t="shared" si="10"/>
        <v>101</v>
      </c>
      <c r="D118" s="674" t="s">
        <v>2493</v>
      </c>
      <c r="E118" s="923" t="s">
        <v>3812</v>
      </c>
      <c r="F118" s="2727" t="e">
        <f t="shared" si="11"/>
        <v>#N/A</v>
      </c>
      <c r="G118" s="2727"/>
      <c r="H118" s="1144" t="e">
        <f t="shared" si="12"/>
        <v>#N/A</v>
      </c>
    </row>
    <row r="119" spans="3:8" s="64" customFormat="1" ht="21" customHeight="1">
      <c r="C119" s="672">
        <f t="shared" si="10"/>
        <v>102</v>
      </c>
      <c r="D119" s="674" t="s">
        <v>2493</v>
      </c>
      <c r="E119" s="923" t="s">
        <v>3813</v>
      </c>
      <c r="F119" s="2727" t="e">
        <f t="shared" si="11"/>
        <v>#N/A</v>
      </c>
      <c r="G119" s="2727"/>
      <c r="H119" s="1144" t="e">
        <f t="shared" si="12"/>
        <v>#N/A</v>
      </c>
    </row>
    <row r="120" spans="3:8" s="64" customFormat="1" ht="21" customHeight="1">
      <c r="C120" s="672">
        <f t="shared" si="10"/>
        <v>103</v>
      </c>
      <c r="D120" s="674" t="s">
        <v>2493</v>
      </c>
      <c r="E120" s="923" t="s">
        <v>3814</v>
      </c>
      <c r="F120" s="2727" t="e">
        <f t="shared" si="11"/>
        <v>#N/A</v>
      </c>
      <c r="G120" s="2727"/>
      <c r="H120" s="1144" t="e">
        <f t="shared" si="12"/>
        <v>#N/A</v>
      </c>
    </row>
    <row r="121" spans="3:8" s="64" customFormat="1" ht="21" customHeight="1">
      <c r="C121" s="672">
        <f t="shared" si="10"/>
        <v>104</v>
      </c>
      <c r="D121" s="674" t="s">
        <v>2493</v>
      </c>
      <c r="E121" s="923" t="s">
        <v>3815</v>
      </c>
      <c r="F121" s="2727" t="e">
        <f t="shared" si="11"/>
        <v>#N/A</v>
      </c>
      <c r="G121" s="2727"/>
      <c r="H121" s="1144" t="e">
        <f t="shared" si="12"/>
        <v>#N/A</v>
      </c>
    </row>
    <row r="122" spans="3:8" s="64" customFormat="1" ht="21" customHeight="1">
      <c r="C122" s="672">
        <f t="shared" si="10"/>
        <v>105</v>
      </c>
      <c r="D122" s="674" t="s">
        <v>2493</v>
      </c>
      <c r="E122" s="923" t="s">
        <v>3816</v>
      </c>
      <c r="F122" s="2727" t="e">
        <f t="shared" si="11"/>
        <v>#N/A</v>
      </c>
      <c r="G122" s="2727"/>
      <c r="H122" s="1144" t="e">
        <f t="shared" si="12"/>
        <v>#N/A</v>
      </c>
    </row>
    <row r="123" spans="3:8" s="64" customFormat="1" ht="21" customHeight="1">
      <c r="C123" s="672">
        <f t="shared" si="10"/>
        <v>106</v>
      </c>
      <c r="D123" s="674" t="s">
        <v>2493</v>
      </c>
      <c r="E123" s="923" t="s">
        <v>3817</v>
      </c>
      <c r="F123" s="2727" t="e">
        <f t="shared" si="11"/>
        <v>#N/A</v>
      </c>
      <c r="G123" s="2727"/>
      <c r="H123" s="1144" t="e">
        <f t="shared" si="12"/>
        <v>#N/A</v>
      </c>
    </row>
    <row r="124" spans="3:8" s="64" customFormat="1" ht="21" customHeight="1">
      <c r="C124" s="672">
        <f t="shared" si="10"/>
        <v>107</v>
      </c>
      <c r="D124" s="674" t="s">
        <v>2493</v>
      </c>
      <c r="E124" s="923" t="s">
        <v>3818</v>
      </c>
      <c r="F124" s="2727" t="e">
        <f t="shared" ref="F124:F144" si="13">VLOOKUP(E124,TABLEROS,7,FALSE)</f>
        <v>#N/A</v>
      </c>
      <c r="G124" s="2727"/>
      <c r="H124" s="1144" t="e">
        <f t="shared" ref="H124:H144" si="14">+F124*D124</f>
        <v>#N/A</v>
      </c>
    </row>
    <row r="125" spans="3:8" s="64" customFormat="1" ht="21" customHeight="1">
      <c r="C125" s="672">
        <f t="shared" si="10"/>
        <v>108</v>
      </c>
      <c r="D125" s="674" t="s">
        <v>2493</v>
      </c>
      <c r="E125" s="923" t="s">
        <v>3819</v>
      </c>
      <c r="F125" s="2727" t="e">
        <f t="shared" si="13"/>
        <v>#N/A</v>
      </c>
      <c r="G125" s="2727"/>
      <c r="H125" s="1144" t="e">
        <f t="shared" si="14"/>
        <v>#N/A</v>
      </c>
    </row>
    <row r="126" spans="3:8" s="64" customFormat="1" ht="21" customHeight="1">
      <c r="C126" s="672">
        <f t="shared" si="10"/>
        <v>109</v>
      </c>
      <c r="D126" s="674" t="s">
        <v>2493</v>
      </c>
      <c r="E126" s="923" t="s">
        <v>3820</v>
      </c>
      <c r="F126" s="2727" t="e">
        <f t="shared" si="13"/>
        <v>#N/A</v>
      </c>
      <c r="G126" s="2727"/>
      <c r="H126" s="1144" t="e">
        <f t="shared" si="14"/>
        <v>#N/A</v>
      </c>
    </row>
    <row r="127" spans="3:8" s="64" customFormat="1" ht="21" customHeight="1">
      <c r="C127" s="672">
        <f t="shared" si="10"/>
        <v>110</v>
      </c>
      <c r="D127" s="674" t="s">
        <v>2493</v>
      </c>
      <c r="E127" s="923" t="s">
        <v>3821</v>
      </c>
      <c r="F127" s="2727" t="e">
        <f t="shared" si="13"/>
        <v>#N/A</v>
      </c>
      <c r="G127" s="2727"/>
      <c r="H127" s="1144" t="e">
        <f t="shared" si="14"/>
        <v>#N/A</v>
      </c>
    </row>
    <row r="128" spans="3:8" s="64" customFormat="1" ht="21" customHeight="1">
      <c r="C128" s="672">
        <f t="shared" si="10"/>
        <v>111</v>
      </c>
      <c r="D128" s="674" t="s">
        <v>2493</v>
      </c>
      <c r="E128" s="923" t="s">
        <v>3822</v>
      </c>
      <c r="F128" s="2727" t="e">
        <f t="shared" si="13"/>
        <v>#N/A</v>
      </c>
      <c r="G128" s="2727"/>
      <c r="H128" s="1144" t="e">
        <f t="shared" si="14"/>
        <v>#N/A</v>
      </c>
    </row>
    <row r="129" spans="3:8" s="64" customFormat="1" ht="21" customHeight="1">
      <c r="C129" s="672">
        <f t="shared" si="10"/>
        <v>112</v>
      </c>
      <c r="D129" s="674" t="s">
        <v>2493</v>
      </c>
      <c r="E129" s="923" t="s">
        <v>3823</v>
      </c>
      <c r="F129" s="2727" t="e">
        <f t="shared" si="13"/>
        <v>#N/A</v>
      </c>
      <c r="G129" s="2727"/>
      <c r="H129" s="1144" t="e">
        <f t="shared" si="14"/>
        <v>#N/A</v>
      </c>
    </row>
    <row r="130" spans="3:8" s="64" customFormat="1" ht="21" customHeight="1">
      <c r="C130" s="672">
        <f t="shared" si="10"/>
        <v>113</v>
      </c>
      <c r="D130" s="674" t="s">
        <v>2493</v>
      </c>
      <c r="E130" s="923" t="s">
        <v>3824</v>
      </c>
      <c r="F130" s="2727" t="e">
        <f t="shared" si="13"/>
        <v>#N/A</v>
      </c>
      <c r="G130" s="2727"/>
      <c r="H130" s="1144" t="e">
        <f t="shared" si="14"/>
        <v>#N/A</v>
      </c>
    </row>
    <row r="131" spans="3:8" s="64" customFormat="1" ht="21" customHeight="1">
      <c r="C131" s="672">
        <f t="shared" si="10"/>
        <v>114</v>
      </c>
      <c r="D131" s="674" t="s">
        <v>2493</v>
      </c>
      <c r="E131" s="923" t="s">
        <v>3825</v>
      </c>
      <c r="F131" s="2727" t="e">
        <f t="shared" si="13"/>
        <v>#N/A</v>
      </c>
      <c r="G131" s="2727"/>
      <c r="H131" s="1144" t="e">
        <f t="shared" si="14"/>
        <v>#N/A</v>
      </c>
    </row>
    <row r="132" spans="3:8" s="64" customFormat="1" ht="21" customHeight="1">
      <c r="C132" s="672">
        <f t="shared" si="10"/>
        <v>115</v>
      </c>
      <c r="D132" s="674" t="s">
        <v>2493</v>
      </c>
      <c r="E132" s="923" t="s">
        <v>3826</v>
      </c>
      <c r="F132" s="2727" t="e">
        <f t="shared" si="13"/>
        <v>#N/A</v>
      </c>
      <c r="G132" s="2727"/>
      <c r="H132" s="1144" t="e">
        <f t="shared" si="14"/>
        <v>#N/A</v>
      </c>
    </row>
    <row r="133" spans="3:8" s="64" customFormat="1" ht="21" customHeight="1">
      <c r="C133" s="672">
        <f t="shared" si="10"/>
        <v>116</v>
      </c>
      <c r="D133" s="674" t="s">
        <v>2493</v>
      </c>
      <c r="E133" s="923" t="s">
        <v>3827</v>
      </c>
      <c r="F133" s="2727" t="e">
        <f t="shared" si="13"/>
        <v>#N/A</v>
      </c>
      <c r="G133" s="2727"/>
      <c r="H133" s="1144" t="e">
        <f t="shared" si="14"/>
        <v>#N/A</v>
      </c>
    </row>
    <row r="134" spans="3:8" s="64" customFormat="1" ht="21" customHeight="1">
      <c r="C134" s="672">
        <f t="shared" si="10"/>
        <v>117</v>
      </c>
      <c r="D134" s="674" t="s">
        <v>2493</v>
      </c>
      <c r="E134" s="923" t="s">
        <v>3828</v>
      </c>
      <c r="F134" s="2727" t="e">
        <f t="shared" si="13"/>
        <v>#N/A</v>
      </c>
      <c r="G134" s="2727"/>
      <c r="H134" s="1144" t="e">
        <f t="shared" si="14"/>
        <v>#N/A</v>
      </c>
    </row>
    <row r="135" spans="3:8" s="64" customFormat="1" ht="21" customHeight="1">
      <c r="C135" s="672">
        <f t="shared" si="10"/>
        <v>118</v>
      </c>
      <c r="D135" s="674" t="s">
        <v>2493</v>
      </c>
      <c r="E135" s="923" t="s">
        <v>3829</v>
      </c>
      <c r="F135" s="2727" t="e">
        <f t="shared" si="13"/>
        <v>#N/A</v>
      </c>
      <c r="G135" s="2727"/>
      <c r="H135" s="1144" t="e">
        <f t="shared" si="14"/>
        <v>#N/A</v>
      </c>
    </row>
    <row r="136" spans="3:8" s="64" customFormat="1" ht="21" customHeight="1">
      <c r="C136" s="672">
        <f t="shared" si="10"/>
        <v>119</v>
      </c>
      <c r="D136" s="674" t="s">
        <v>2493</v>
      </c>
      <c r="E136" s="923" t="s">
        <v>3830</v>
      </c>
      <c r="F136" s="2727" t="e">
        <f t="shared" si="13"/>
        <v>#N/A</v>
      </c>
      <c r="G136" s="2727"/>
      <c r="H136" s="1144" t="e">
        <f t="shared" si="14"/>
        <v>#N/A</v>
      </c>
    </row>
    <row r="137" spans="3:8" s="64" customFormat="1" ht="21" customHeight="1">
      <c r="C137" s="672">
        <f t="shared" si="10"/>
        <v>120</v>
      </c>
      <c r="D137" s="674" t="s">
        <v>2493</v>
      </c>
      <c r="E137" s="923" t="s">
        <v>3831</v>
      </c>
      <c r="F137" s="2727" t="e">
        <f t="shared" si="13"/>
        <v>#N/A</v>
      </c>
      <c r="G137" s="2727"/>
      <c r="H137" s="1144" t="e">
        <f t="shared" si="14"/>
        <v>#N/A</v>
      </c>
    </row>
    <row r="138" spans="3:8" s="64" customFormat="1" ht="21" customHeight="1">
      <c r="C138" s="672">
        <f t="shared" si="10"/>
        <v>121</v>
      </c>
      <c r="D138" s="674" t="s">
        <v>2493</v>
      </c>
      <c r="E138" s="923" t="s">
        <v>3832</v>
      </c>
      <c r="F138" s="2727" t="e">
        <f t="shared" si="13"/>
        <v>#N/A</v>
      </c>
      <c r="G138" s="2727"/>
      <c r="H138" s="1144" t="e">
        <f t="shared" si="14"/>
        <v>#N/A</v>
      </c>
    </row>
    <row r="139" spans="3:8" s="64" customFormat="1" ht="21" customHeight="1">
      <c r="C139" s="672">
        <f t="shared" si="10"/>
        <v>122</v>
      </c>
      <c r="D139" s="674" t="s">
        <v>2493</v>
      </c>
      <c r="E139" s="923" t="s">
        <v>3833</v>
      </c>
      <c r="F139" s="2727" t="e">
        <f t="shared" si="13"/>
        <v>#N/A</v>
      </c>
      <c r="G139" s="2727"/>
      <c r="H139" s="1144" t="e">
        <f t="shared" si="14"/>
        <v>#N/A</v>
      </c>
    </row>
    <row r="140" spans="3:8" s="64" customFormat="1" ht="21" customHeight="1">
      <c r="C140" s="672">
        <f t="shared" si="10"/>
        <v>123</v>
      </c>
      <c r="D140" s="674" t="s">
        <v>2493</v>
      </c>
      <c r="E140" s="923" t="s">
        <v>3834</v>
      </c>
      <c r="F140" s="2727" t="e">
        <f t="shared" si="13"/>
        <v>#N/A</v>
      </c>
      <c r="G140" s="2727"/>
      <c r="H140" s="1144" t="e">
        <f t="shared" si="14"/>
        <v>#N/A</v>
      </c>
    </row>
    <row r="141" spans="3:8" s="64" customFormat="1" ht="21" customHeight="1">
      <c r="C141" s="672">
        <f t="shared" si="10"/>
        <v>124</v>
      </c>
      <c r="D141" s="674" t="s">
        <v>2493</v>
      </c>
      <c r="E141" s="923" t="s">
        <v>3835</v>
      </c>
      <c r="F141" s="2727" t="e">
        <f t="shared" si="13"/>
        <v>#N/A</v>
      </c>
      <c r="G141" s="2727"/>
      <c r="H141" s="1144" t="e">
        <f t="shared" si="14"/>
        <v>#N/A</v>
      </c>
    </row>
    <row r="142" spans="3:8" s="64" customFormat="1" ht="21" customHeight="1">
      <c r="C142" s="672">
        <f t="shared" si="10"/>
        <v>125</v>
      </c>
      <c r="D142" s="674" t="s">
        <v>2493</v>
      </c>
      <c r="E142" s="923" t="s">
        <v>3836</v>
      </c>
      <c r="F142" s="2727" t="e">
        <f t="shared" si="13"/>
        <v>#N/A</v>
      </c>
      <c r="G142" s="2727"/>
      <c r="H142" s="1144" t="e">
        <f t="shared" si="14"/>
        <v>#N/A</v>
      </c>
    </row>
    <row r="143" spans="3:8" s="64" customFormat="1" ht="21" customHeight="1">
      <c r="C143" s="672">
        <f t="shared" si="10"/>
        <v>126</v>
      </c>
      <c r="D143" s="674" t="s">
        <v>2493</v>
      </c>
      <c r="E143" s="923" t="s">
        <v>3837</v>
      </c>
      <c r="F143" s="2727" t="e">
        <f t="shared" si="13"/>
        <v>#N/A</v>
      </c>
      <c r="G143" s="2727"/>
      <c r="H143" s="1144" t="e">
        <f t="shared" si="14"/>
        <v>#N/A</v>
      </c>
    </row>
    <row r="144" spans="3:8" s="64" customFormat="1" ht="21" customHeight="1">
      <c r="C144" s="672">
        <f t="shared" si="10"/>
        <v>127</v>
      </c>
      <c r="D144" s="674" t="s">
        <v>2493</v>
      </c>
      <c r="E144" s="923" t="s">
        <v>3838</v>
      </c>
      <c r="F144" s="2727" t="e">
        <f t="shared" si="13"/>
        <v>#N/A</v>
      </c>
      <c r="G144" s="2727"/>
      <c r="H144" s="1144" t="e">
        <f t="shared" si="14"/>
        <v>#N/A</v>
      </c>
    </row>
    <row r="145" spans="3:8" s="64" customFormat="1" ht="21" customHeight="1">
      <c r="C145" s="672">
        <f t="shared" si="10"/>
        <v>128</v>
      </c>
      <c r="D145" s="674" t="s">
        <v>2493</v>
      </c>
      <c r="E145" s="923" t="s">
        <v>3839</v>
      </c>
      <c r="F145" s="2727" t="e">
        <f t="shared" ref="F145:F165" si="15">VLOOKUP(E145,TABLEROS,7,FALSE)</f>
        <v>#N/A</v>
      </c>
      <c r="G145" s="2727"/>
      <c r="H145" s="1144" t="e">
        <f t="shared" ref="H145:H165" si="16">+F145*D145</f>
        <v>#N/A</v>
      </c>
    </row>
    <row r="146" spans="3:8" s="64" customFormat="1" ht="21" customHeight="1">
      <c r="C146" s="672">
        <f t="shared" si="10"/>
        <v>129</v>
      </c>
      <c r="D146" s="674" t="s">
        <v>2493</v>
      </c>
      <c r="E146" s="923" t="s">
        <v>3840</v>
      </c>
      <c r="F146" s="2727" t="e">
        <f t="shared" si="15"/>
        <v>#N/A</v>
      </c>
      <c r="G146" s="2727"/>
      <c r="H146" s="1144" t="e">
        <f t="shared" si="16"/>
        <v>#N/A</v>
      </c>
    </row>
    <row r="147" spans="3:8" s="64" customFormat="1" ht="21" customHeight="1">
      <c r="C147" s="672">
        <f t="shared" si="10"/>
        <v>130</v>
      </c>
      <c r="D147" s="674" t="s">
        <v>2493</v>
      </c>
      <c r="E147" s="923" t="s">
        <v>3841</v>
      </c>
      <c r="F147" s="2727" t="e">
        <f t="shared" si="15"/>
        <v>#N/A</v>
      </c>
      <c r="G147" s="2727"/>
      <c r="H147" s="1144" t="e">
        <f t="shared" si="16"/>
        <v>#N/A</v>
      </c>
    </row>
    <row r="148" spans="3:8" s="64" customFormat="1" ht="21" customHeight="1">
      <c r="C148" s="672">
        <f t="shared" si="10"/>
        <v>131</v>
      </c>
      <c r="D148" s="674" t="s">
        <v>2493</v>
      </c>
      <c r="E148" s="923" t="s">
        <v>3842</v>
      </c>
      <c r="F148" s="2727" t="e">
        <f t="shared" si="15"/>
        <v>#N/A</v>
      </c>
      <c r="G148" s="2727"/>
      <c r="H148" s="1144" t="e">
        <f t="shared" si="16"/>
        <v>#N/A</v>
      </c>
    </row>
    <row r="149" spans="3:8" s="64" customFormat="1" ht="21" customHeight="1">
      <c r="C149" s="672">
        <f t="shared" si="10"/>
        <v>132</v>
      </c>
      <c r="D149" s="674" t="s">
        <v>2493</v>
      </c>
      <c r="E149" s="923" t="s">
        <v>3843</v>
      </c>
      <c r="F149" s="2727" t="e">
        <f t="shared" si="15"/>
        <v>#N/A</v>
      </c>
      <c r="G149" s="2727"/>
      <c r="H149" s="1144" t="e">
        <f t="shared" si="16"/>
        <v>#N/A</v>
      </c>
    </row>
    <row r="150" spans="3:8" s="64" customFormat="1" ht="21" customHeight="1">
      <c r="C150" s="672">
        <f t="shared" si="10"/>
        <v>133</v>
      </c>
      <c r="D150" s="674" t="s">
        <v>2493</v>
      </c>
      <c r="E150" s="923" t="s">
        <v>3844</v>
      </c>
      <c r="F150" s="2727" t="e">
        <f t="shared" si="15"/>
        <v>#N/A</v>
      </c>
      <c r="G150" s="2727"/>
      <c r="H150" s="1144" t="e">
        <f t="shared" si="16"/>
        <v>#N/A</v>
      </c>
    </row>
    <row r="151" spans="3:8" s="64" customFormat="1" ht="21" customHeight="1">
      <c r="C151" s="672">
        <f t="shared" si="10"/>
        <v>134</v>
      </c>
      <c r="D151" s="674" t="s">
        <v>2493</v>
      </c>
      <c r="E151" s="923" t="s">
        <v>3845</v>
      </c>
      <c r="F151" s="2727" t="e">
        <f t="shared" si="15"/>
        <v>#N/A</v>
      </c>
      <c r="G151" s="2727"/>
      <c r="H151" s="1144" t="e">
        <f t="shared" si="16"/>
        <v>#N/A</v>
      </c>
    </row>
    <row r="152" spans="3:8" s="64" customFormat="1" ht="21" customHeight="1">
      <c r="C152" s="672">
        <f t="shared" si="10"/>
        <v>135</v>
      </c>
      <c r="D152" s="674" t="s">
        <v>2493</v>
      </c>
      <c r="E152" s="923" t="s">
        <v>3846</v>
      </c>
      <c r="F152" s="2727" t="e">
        <f t="shared" si="15"/>
        <v>#N/A</v>
      </c>
      <c r="G152" s="2727"/>
      <c r="H152" s="1144" t="e">
        <f t="shared" si="16"/>
        <v>#N/A</v>
      </c>
    </row>
    <row r="153" spans="3:8" s="64" customFormat="1" ht="21" customHeight="1">
      <c r="C153" s="672">
        <f t="shared" si="10"/>
        <v>136</v>
      </c>
      <c r="D153" s="674" t="s">
        <v>2493</v>
      </c>
      <c r="E153" s="923" t="s">
        <v>3847</v>
      </c>
      <c r="F153" s="2727" t="e">
        <f t="shared" si="15"/>
        <v>#N/A</v>
      </c>
      <c r="G153" s="2727"/>
      <c r="H153" s="1144" t="e">
        <f t="shared" si="16"/>
        <v>#N/A</v>
      </c>
    </row>
    <row r="154" spans="3:8" s="64" customFormat="1" ht="21" customHeight="1">
      <c r="C154" s="672">
        <f t="shared" si="10"/>
        <v>137</v>
      </c>
      <c r="D154" s="674" t="s">
        <v>2493</v>
      </c>
      <c r="E154" s="923" t="s">
        <v>3848</v>
      </c>
      <c r="F154" s="2727" t="e">
        <f t="shared" si="15"/>
        <v>#N/A</v>
      </c>
      <c r="G154" s="2727"/>
      <c r="H154" s="1144" t="e">
        <f t="shared" si="16"/>
        <v>#N/A</v>
      </c>
    </row>
    <row r="155" spans="3:8" s="64" customFormat="1" ht="21" customHeight="1">
      <c r="C155" s="672">
        <f t="shared" si="10"/>
        <v>138</v>
      </c>
      <c r="D155" s="674" t="s">
        <v>2493</v>
      </c>
      <c r="E155" s="923" t="s">
        <v>3849</v>
      </c>
      <c r="F155" s="2727" t="e">
        <f t="shared" si="15"/>
        <v>#N/A</v>
      </c>
      <c r="G155" s="2727"/>
      <c r="H155" s="1144" t="e">
        <f t="shared" si="16"/>
        <v>#N/A</v>
      </c>
    </row>
    <row r="156" spans="3:8" s="64" customFormat="1" ht="21" customHeight="1">
      <c r="C156" s="672">
        <f t="shared" si="10"/>
        <v>139</v>
      </c>
      <c r="D156" s="674" t="s">
        <v>2493</v>
      </c>
      <c r="E156" s="923" t="s">
        <v>3850</v>
      </c>
      <c r="F156" s="2727" t="e">
        <f t="shared" si="15"/>
        <v>#N/A</v>
      </c>
      <c r="G156" s="2727"/>
      <c r="H156" s="1144" t="e">
        <f t="shared" si="16"/>
        <v>#N/A</v>
      </c>
    </row>
    <row r="157" spans="3:8" s="64" customFormat="1" ht="21" customHeight="1">
      <c r="C157" s="672">
        <f t="shared" si="10"/>
        <v>140</v>
      </c>
      <c r="D157" s="674" t="s">
        <v>2493</v>
      </c>
      <c r="E157" s="923" t="s">
        <v>3851</v>
      </c>
      <c r="F157" s="2727" t="e">
        <f t="shared" si="15"/>
        <v>#N/A</v>
      </c>
      <c r="G157" s="2727"/>
      <c r="H157" s="1144" t="e">
        <f t="shared" si="16"/>
        <v>#N/A</v>
      </c>
    </row>
    <row r="158" spans="3:8" s="64" customFormat="1" ht="21" customHeight="1">
      <c r="C158" s="672">
        <f t="shared" si="10"/>
        <v>141</v>
      </c>
      <c r="D158" s="674" t="s">
        <v>2493</v>
      </c>
      <c r="E158" s="923" t="s">
        <v>3852</v>
      </c>
      <c r="F158" s="2727" t="e">
        <f t="shared" si="15"/>
        <v>#N/A</v>
      </c>
      <c r="G158" s="2727"/>
      <c r="H158" s="1144" t="e">
        <f t="shared" si="16"/>
        <v>#N/A</v>
      </c>
    </row>
    <row r="159" spans="3:8" s="64" customFormat="1" ht="21" customHeight="1">
      <c r="C159" s="672">
        <f t="shared" si="10"/>
        <v>142</v>
      </c>
      <c r="D159" s="674" t="s">
        <v>2493</v>
      </c>
      <c r="E159" s="923" t="s">
        <v>3853</v>
      </c>
      <c r="F159" s="2727" t="e">
        <f t="shared" si="15"/>
        <v>#N/A</v>
      </c>
      <c r="G159" s="2727"/>
      <c r="H159" s="1144" t="e">
        <f t="shared" si="16"/>
        <v>#N/A</v>
      </c>
    </row>
    <row r="160" spans="3:8" s="64" customFormat="1" ht="21" customHeight="1">
      <c r="C160" s="672">
        <f t="shared" si="10"/>
        <v>143</v>
      </c>
      <c r="D160" s="674" t="s">
        <v>2493</v>
      </c>
      <c r="E160" s="923" t="s">
        <v>3854</v>
      </c>
      <c r="F160" s="2727" t="e">
        <f t="shared" si="15"/>
        <v>#N/A</v>
      </c>
      <c r="G160" s="2727"/>
      <c r="H160" s="1144" t="e">
        <f t="shared" si="16"/>
        <v>#N/A</v>
      </c>
    </row>
    <row r="161" spans="3:8" s="64" customFormat="1" ht="21" customHeight="1">
      <c r="C161" s="672">
        <f t="shared" si="10"/>
        <v>144</v>
      </c>
      <c r="D161" s="674" t="s">
        <v>2493</v>
      </c>
      <c r="E161" s="923" t="s">
        <v>3855</v>
      </c>
      <c r="F161" s="2727" t="e">
        <f t="shared" si="15"/>
        <v>#N/A</v>
      </c>
      <c r="G161" s="2727"/>
      <c r="H161" s="1144" t="e">
        <f t="shared" si="16"/>
        <v>#N/A</v>
      </c>
    </row>
    <row r="162" spans="3:8" s="64" customFormat="1" ht="21" customHeight="1">
      <c r="C162" s="672">
        <f t="shared" si="10"/>
        <v>145</v>
      </c>
      <c r="D162" s="674" t="s">
        <v>2493</v>
      </c>
      <c r="E162" s="923" t="s">
        <v>3856</v>
      </c>
      <c r="F162" s="2727" t="e">
        <f t="shared" si="15"/>
        <v>#N/A</v>
      </c>
      <c r="G162" s="2727"/>
      <c r="H162" s="1144" t="e">
        <f t="shared" si="16"/>
        <v>#N/A</v>
      </c>
    </row>
    <row r="163" spans="3:8" s="64" customFormat="1" ht="21" customHeight="1">
      <c r="C163" s="672">
        <f t="shared" si="10"/>
        <v>146</v>
      </c>
      <c r="D163" s="674" t="s">
        <v>2493</v>
      </c>
      <c r="E163" s="923" t="s">
        <v>3857</v>
      </c>
      <c r="F163" s="2727" t="e">
        <f t="shared" si="15"/>
        <v>#N/A</v>
      </c>
      <c r="G163" s="2727"/>
      <c r="H163" s="1144" t="e">
        <f t="shared" si="16"/>
        <v>#N/A</v>
      </c>
    </row>
    <row r="164" spans="3:8" s="64" customFormat="1" ht="21" customHeight="1">
      <c r="C164" s="672">
        <f t="shared" ref="C164:C186" si="17">C163+1</f>
        <v>147</v>
      </c>
      <c r="D164" s="674" t="s">
        <v>2493</v>
      </c>
      <c r="E164" s="923" t="s">
        <v>3858</v>
      </c>
      <c r="F164" s="2727" t="e">
        <f t="shared" si="15"/>
        <v>#N/A</v>
      </c>
      <c r="G164" s="2727"/>
      <c r="H164" s="1144" t="e">
        <f t="shared" si="16"/>
        <v>#N/A</v>
      </c>
    </row>
    <row r="165" spans="3:8" s="64" customFormat="1" ht="21" customHeight="1">
      <c r="C165" s="672">
        <f t="shared" si="17"/>
        <v>148</v>
      </c>
      <c r="D165" s="674" t="s">
        <v>2493</v>
      </c>
      <c r="E165" s="923" t="s">
        <v>3859</v>
      </c>
      <c r="F165" s="2727" t="e">
        <f t="shared" si="15"/>
        <v>#N/A</v>
      </c>
      <c r="G165" s="2727"/>
      <c r="H165" s="1144" t="e">
        <f t="shared" si="16"/>
        <v>#N/A</v>
      </c>
    </row>
    <row r="166" spans="3:8" s="64" customFormat="1" ht="21" customHeight="1">
      <c r="C166" s="672">
        <f t="shared" si="17"/>
        <v>149</v>
      </c>
      <c r="D166" s="1188" t="s">
        <v>3939</v>
      </c>
      <c r="E166" s="923" t="s">
        <v>3860</v>
      </c>
      <c r="F166" s="2727" t="e">
        <f t="shared" ref="F166:F186" si="18">VLOOKUP(E166,TABLEROS,7,FALSE)</f>
        <v>#N/A</v>
      </c>
      <c r="G166" s="2727"/>
      <c r="H166" s="1144" t="e">
        <f t="shared" ref="H166:H186" si="19">+F166*D166</f>
        <v>#N/A</v>
      </c>
    </row>
    <row r="167" spans="3:8" s="64" customFormat="1" ht="21" customHeight="1">
      <c r="C167" s="672">
        <f t="shared" si="17"/>
        <v>150</v>
      </c>
      <c r="D167" s="674" t="s">
        <v>2493</v>
      </c>
      <c r="E167" s="923" t="s">
        <v>3861</v>
      </c>
      <c r="F167" s="2727" t="e">
        <f t="shared" si="18"/>
        <v>#N/A</v>
      </c>
      <c r="G167" s="2727"/>
      <c r="H167" s="1144" t="e">
        <f t="shared" si="19"/>
        <v>#N/A</v>
      </c>
    </row>
    <row r="168" spans="3:8" s="64" customFormat="1" ht="21" customHeight="1">
      <c r="C168" s="672">
        <f t="shared" si="17"/>
        <v>151</v>
      </c>
      <c r="D168" s="674" t="s">
        <v>2493</v>
      </c>
      <c r="E168" s="923" t="s">
        <v>3862</v>
      </c>
      <c r="F168" s="2727" t="e">
        <f t="shared" si="18"/>
        <v>#N/A</v>
      </c>
      <c r="G168" s="2727"/>
      <c r="H168" s="1144" t="e">
        <f t="shared" si="19"/>
        <v>#N/A</v>
      </c>
    </row>
    <row r="169" spans="3:8" s="64" customFormat="1" ht="21" customHeight="1">
      <c r="C169" s="672">
        <f t="shared" si="17"/>
        <v>152</v>
      </c>
      <c r="D169" s="674" t="s">
        <v>2493</v>
      </c>
      <c r="E169" s="923" t="s">
        <v>3863</v>
      </c>
      <c r="F169" s="2727" t="e">
        <f t="shared" si="18"/>
        <v>#N/A</v>
      </c>
      <c r="G169" s="2727"/>
      <c r="H169" s="1144" t="e">
        <f t="shared" si="19"/>
        <v>#N/A</v>
      </c>
    </row>
    <row r="170" spans="3:8" s="64" customFormat="1" ht="21" customHeight="1">
      <c r="C170" s="672">
        <f t="shared" si="17"/>
        <v>153</v>
      </c>
      <c r="D170" s="674" t="s">
        <v>2493</v>
      </c>
      <c r="E170" s="923" t="s">
        <v>3864</v>
      </c>
      <c r="F170" s="2727" t="e">
        <f t="shared" si="18"/>
        <v>#N/A</v>
      </c>
      <c r="G170" s="2727"/>
      <c r="H170" s="1144" t="e">
        <f t="shared" si="19"/>
        <v>#N/A</v>
      </c>
    </row>
    <row r="171" spans="3:8" s="64" customFormat="1" ht="21" customHeight="1">
      <c r="C171" s="672">
        <f t="shared" si="17"/>
        <v>154</v>
      </c>
      <c r="D171" s="674" t="s">
        <v>2493</v>
      </c>
      <c r="E171" s="923" t="s">
        <v>3865</v>
      </c>
      <c r="F171" s="2727" t="e">
        <f t="shared" si="18"/>
        <v>#N/A</v>
      </c>
      <c r="G171" s="2727"/>
      <c r="H171" s="1144" t="e">
        <f t="shared" si="19"/>
        <v>#N/A</v>
      </c>
    </row>
    <row r="172" spans="3:8" s="64" customFormat="1" ht="21" customHeight="1">
      <c r="C172" s="672">
        <f t="shared" si="17"/>
        <v>155</v>
      </c>
      <c r="D172" s="674" t="s">
        <v>2493</v>
      </c>
      <c r="E172" s="923" t="s">
        <v>3866</v>
      </c>
      <c r="F172" s="2727" t="e">
        <f t="shared" si="18"/>
        <v>#N/A</v>
      </c>
      <c r="G172" s="2727"/>
      <c r="H172" s="1144" t="e">
        <f t="shared" si="19"/>
        <v>#N/A</v>
      </c>
    </row>
    <row r="173" spans="3:8" s="64" customFormat="1" ht="21" customHeight="1">
      <c r="C173" s="672">
        <f t="shared" si="17"/>
        <v>156</v>
      </c>
      <c r="D173" s="674" t="s">
        <v>2493</v>
      </c>
      <c r="E173" s="923" t="s">
        <v>3867</v>
      </c>
      <c r="F173" s="2727" t="e">
        <f t="shared" si="18"/>
        <v>#N/A</v>
      </c>
      <c r="G173" s="2727"/>
      <c r="H173" s="1144" t="e">
        <f t="shared" si="19"/>
        <v>#N/A</v>
      </c>
    </row>
    <row r="174" spans="3:8" s="64" customFormat="1" ht="21" customHeight="1">
      <c r="C174" s="672">
        <f t="shared" si="17"/>
        <v>157</v>
      </c>
      <c r="D174" s="674" t="s">
        <v>2493</v>
      </c>
      <c r="E174" s="923" t="s">
        <v>3868</v>
      </c>
      <c r="F174" s="2727" t="e">
        <f t="shared" si="18"/>
        <v>#N/A</v>
      </c>
      <c r="G174" s="2727"/>
      <c r="H174" s="1144" t="e">
        <f t="shared" si="19"/>
        <v>#N/A</v>
      </c>
    </row>
    <row r="175" spans="3:8" s="64" customFormat="1" ht="21" customHeight="1">
      <c r="C175" s="672">
        <f t="shared" si="17"/>
        <v>158</v>
      </c>
      <c r="D175" s="674" t="s">
        <v>2493</v>
      </c>
      <c r="E175" s="923" t="s">
        <v>3869</v>
      </c>
      <c r="F175" s="2727" t="e">
        <f t="shared" si="18"/>
        <v>#N/A</v>
      </c>
      <c r="G175" s="2727"/>
      <c r="H175" s="1144" t="e">
        <f t="shared" si="19"/>
        <v>#N/A</v>
      </c>
    </row>
    <row r="176" spans="3:8" s="64" customFormat="1" ht="21" customHeight="1">
      <c r="C176" s="672">
        <f t="shared" si="17"/>
        <v>159</v>
      </c>
      <c r="D176" s="674" t="s">
        <v>2493</v>
      </c>
      <c r="E176" s="923" t="s">
        <v>3870</v>
      </c>
      <c r="F176" s="2727" t="e">
        <f t="shared" si="18"/>
        <v>#N/A</v>
      </c>
      <c r="G176" s="2727"/>
      <c r="H176" s="1144" t="e">
        <f t="shared" si="19"/>
        <v>#N/A</v>
      </c>
    </row>
    <row r="177" spans="3:8" s="64" customFormat="1" ht="21" customHeight="1">
      <c r="C177" s="672">
        <f t="shared" si="17"/>
        <v>160</v>
      </c>
      <c r="D177" s="674" t="s">
        <v>2493</v>
      </c>
      <c r="E177" s="923" t="s">
        <v>3871</v>
      </c>
      <c r="F177" s="2727" t="e">
        <f t="shared" si="18"/>
        <v>#N/A</v>
      </c>
      <c r="G177" s="2727"/>
      <c r="H177" s="1144" t="e">
        <f t="shared" si="19"/>
        <v>#N/A</v>
      </c>
    </row>
    <row r="178" spans="3:8" s="64" customFormat="1" ht="21" customHeight="1">
      <c r="C178" s="672">
        <f t="shared" si="17"/>
        <v>161</v>
      </c>
      <c r="D178" s="674" t="s">
        <v>2493</v>
      </c>
      <c r="E178" s="923" t="s">
        <v>3872</v>
      </c>
      <c r="F178" s="2727" t="e">
        <f t="shared" si="18"/>
        <v>#N/A</v>
      </c>
      <c r="G178" s="2727"/>
      <c r="H178" s="1144" t="e">
        <f t="shared" si="19"/>
        <v>#N/A</v>
      </c>
    </row>
    <row r="179" spans="3:8" s="64" customFormat="1" ht="21" customHeight="1">
      <c r="C179" s="672">
        <f t="shared" si="17"/>
        <v>162</v>
      </c>
      <c r="D179" s="674" t="s">
        <v>2493</v>
      </c>
      <c r="E179" s="923" t="s">
        <v>3873</v>
      </c>
      <c r="F179" s="2727" t="e">
        <f t="shared" si="18"/>
        <v>#N/A</v>
      </c>
      <c r="G179" s="2727"/>
      <c r="H179" s="1144" t="e">
        <f t="shared" si="19"/>
        <v>#N/A</v>
      </c>
    </row>
    <row r="180" spans="3:8" s="64" customFormat="1" ht="21" customHeight="1">
      <c r="C180" s="672">
        <f t="shared" si="17"/>
        <v>163</v>
      </c>
      <c r="D180" s="674" t="s">
        <v>2493</v>
      </c>
      <c r="E180" s="923" t="s">
        <v>3874</v>
      </c>
      <c r="F180" s="2727" t="e">
        <f t="shared" si="18"/>
        <v>#N/A</v>
      </c>
      <c r="G180" s="2727"/>
      <c r="H180" s="1144" t="e">
        <f t="shared" si="19"/>
        <v>#N/A</v>
      </c>
    </row>
    <row r="181" spans="3:8" s="64" customFormat="1" ht="21" customHeight="1">
      <c r="C181" s="672">
        <f t="shared" si="17"/>
        <v>164</v>
      </c>
      <c r="D181" s="674" t="s">
        <v>2493</v>
      </c>
      <c r="E181" s="923" t="s">
        <v>3875</v>
      </c>
      <c r="F181" s="2727" t="e">
        <f t="shared" si="18"/>
        <v>#N/A</v>
      </c>
      <c r="G181" s="2727"/>
      <c r="H181" s="1144" t="e">
        <f t="shared" si="19"/>
        <v>#N/A</v>
      </c>
    </row>
    <row r="182" spans="3:8" s="64" customFormat="1" ht="21" customHeight="1">
      <c r="C182" s="672">
        <f t="shared" si="17"/>
        <v>165</v>
      </c>
      <c r="D182" s="1188" t="s">
        <v>3939</v>
      </c>
      <c r="E182" s="923" t="s">
        <v>3876</v>
      </c>
      <c r="F182" s="2727" t="e">
        <f t="shared" si="18"/>
        <v>#N/A</v>
      </c>
      <c r="G182" s="2727"/>
      <c r="H182" s="1144" t="e">
        <f t="shared" si="19"/>
        <v>#N/A</v>
      </c>
    </row>
    <row r="183" spans="3:8" s="64" customFormat="1" ht="21" customHeight="1">
      <c r="C183" s="672">
        <f t="shared" si="17"/>
        <v>166</v>
      </c>
      <c r="D183" s="1188" t="s">
        <v>725</v>
      </c>
      <c r="E183" s="923" t="s">
        <v>3877</v>
      </c>
      <c r="F183" s="2727" t="e">
        <f t="shared" si="18"/>
        <v>#N/A</v>
      </c>
      <c r="G183" s="2727"/>
      <c r="H183" s="1144" t="e">
        <f t="shared" si="19"/>
        <v>#N/A</v>
      </c>
    </row>
    <row r="184" spans="3:8" s="64" customFormat="1" ht="21" customHeight="1">
      <c r="C184" s="672">
        <f t="shared" si="17"/>
        <v>167</v>
      </c>
      <c r="D184" s="674" t="s">
        <v>2493</v>
      </c>
      <c r="E184" s="923" t="s">
        <v>3878</v>
      </c>
      <c r="F184" s="2727" t="e">
        <f t="shared" si="18"/>
        <v>#N/A</v>
      </c>
      <c r="G184" s="2727"/>
      <c r="H184" s="1144" t="e">
        <f t="shared" si="19"/>
        <v>#N/A</v>
      </c>
    </row>
    <row r="185" spans="3:8" s="64" customFormat="1" ht="21" customHeight="1">
      <c r="C185" s="672">
        <f t="shared" si="17"/>
        <v>168</v>
      </c>
      <c r="D185" s="1188" t="s">
        <v>3939</v>
      </c>
      <c r="E185" s="923" t="s">
        <v>3879</v>
      </c>
      <c r="F185" s="2727" t="e">
        <f t="shared" si="18"/>
        <v>#N/A</v>
      </c>
      <c r="G185" s="2727"/>
      <c r="H185" s="1144" t="e">
        <f t="shared" si="19"/>
        <v>#N/A</v>
      </c>
    </row>
    <row r="186" spans="3:8" s="64" customFormat="1" ht="21" customHeight="1">
      <c r="C186" s="672">
        <f t="shared" si="17"/>
        <v>169</v>
      </c>
      <c r="D186" s="674" t="s">
        <v>2493</v>
      </c>
      <c r="E186" s="923" t="s">
        <v>3880</v>
      </c>
      <c r="F186" s="2727" t="e">
        <f t="shared" si="18"/>
        <v>#N/A</v>
      </c>
      <c r="G186" s="2727"/>
      <c r="H186" s="1144" t="e">
        <f t="shared" si="19"/>
        <v>#N/A</v>
      </c>
    </row>
    <row r="187" spans="3:8" s="64" customFormat="1" ht="21" customHeight="1" thickBot="1">
      <c r="C187" s="1149">
        <f>C186+1</f>
        <v>170</v>
      </c>
      <c r="D187" s="1150" t="s">
        <v>2493</v>
      </c>
      <c r="E187" s="1151" t="s">
        <v>3369</v>
      </c>
      <c r="F187" s="2730" t="e">
        <f>VLOOKUP(E187,TABLEROS,7,FALSE)</f>
        <v>#N/A</v>
      </c>
      <c r="G187" s="2730"/>
      <c r="H187" s="1152" t="e">
        <f>+F187*D187</f>
        <v>#N/A</v>
      </c>
    </row>
    <row r="188" spans="3:8" ht="21.75" customHeight="1">
      <c r="C188" s="675"/>
      <c r="D188" s="667"/>
      <c r="E188" s="668"/>
      <c r="F188" s="669"/>
      <c r="G188" s="669"/>
      <c r="H188" s="670"/>
    </row>
    <row r="189" spans="3:8" s="64" customFormat="1" ht="20.25" customHeight="1">
      <c r="C189" s="664"/>
      <c r="D189" s="665"/>
      <c r="E189" s="677"/>
      <c r="F189" s="678"/>
      <c r="G189" s="678" t="s">
        <v>3530</v>
      </c>
      <c r="H189" s="681" t="e">
        <f>SUM(H18:H187)</f>
        <v>#N/A</v>
      </c>
    </row>
    <row r="190" spans="3:8" s="64" customFormat="1" ht="20.25" customHeight="1">
      <c r="C190" s="664"/>
      <c r="D190" s="666"/>
      <c r="E190" s="679"/>
      <c r="F190" s="680" t="s">
        <v>2496</v>
      </c>
      <c r="G190" s="683">
        <v>0.18</v>
      </c>
      <c r="H190" s="682" t="e">
        <f>0.18*H189</f>
        <v>#N/A</v>
      </c>
    </row>
    <row r="191" spans="3:8" s="64" customFormat="1" ht="20.25" customHeight="1">
      <c r="C191" s="676" t="s">
        <v>3522</v>
      </c>
      <c r="D191" s="666"/>
      <c r="E191" s="679"/>
      <c r="F191" s="678"/>
      <c r="G191" s="678" t="s">
        <v>3521</v>
      </c>
      <c r="H191" s="681" t="e">
        <f>H189+H190</f>
        <v>#N/A</v>
      </c>
    </row>
    <row r="192" spans="3:8" ht="15" customHeight="1"/>
    <row r="193" spans="1:251" ht="15" customHeight="1"/>
    <row r="194" spans="1:251" ht="15" customHeight="1"/>
    <row r="195" spans="1:251" ht="15" customHeight="1"/>
    <row r="196" spans="1:251" ht="15" customHeight="1"/>
    <row r="197" spans="1:251" ht="15" customHeight="1"/>
    <row r="198" spans="1:251" ht="15" customHeight="1"/>
    <row r="199" spans="1:251" ht="14.45" customHeight="1">
      <c r="B199" s="2"/>
      <c r="C199" s="1202" t="s">
        <v>3947</v>
      </c>
      <c r="D199" s="1191"/>
      <c r="E199" s="1192"/>
      <c r="F199"/>
      <c r="I199" s="4"/>
    </row>
    <row r="200" spans="1:251" ht="14.45" customHeight="1">
      <c r="B200" s="1189"/>
      <c r="C200" s="684"/>
      <c r="D200" s="684"/>
      <c r="E200" s="1192"/>
      <c r="F200"/>
      <c r="I200" s="4"/>
    </row>
    <row r="201" spans="1:251" s="126" customFormat="1" ht="15">
      <c r="A201" s="1094"/>
      <c r="B201" s="1160"/>
      <c r="C201" s="1203" t="s">
        <v>1591</v>
      </c>
      <c r="D201" s="1193" t="s">
        <v>3922</v>
      </c>
      <c r="E201" s="1194"/>
      <c r="F201" s="879"/>
      <c r="G201" s="877"/>
      <c r="H201" s="877"/>
      <c r="I201" s="877"/>
      <c r="J201" s="878"/>
      <c r="K201" s="1094"/>
      <c r="L201" s="412"/>
      <c r="M201" s="1094"/>
      <c r="N201" s="411"/>
      <c r="O201" s="652"/>
    </row>
    <row r="202" spans="1:251" s="126" customFormat="1" ht="15">
      <c r="A202" s="1094"/>
      <c r="B202" s="909"/>
      <c r="C202" s="1204"/>
      <c r="D202" s="1193" t="s">
        <v>3923</v>
      </c>
      <c r="E202" s="1194"/>
      <c r="F202" s="879"/>
      <c r="G202" s="877"/>
      <c r="H202" s="877"/>
      <c r="I202" s="877"/>
      <c r="J202" s="878"/>
      <c r="K202" s="1094"/>
      <c r="L202" s="412"/>
      <c r="M202" s="1094"/>
      <c r="N202" s="411"/>
      <c r="O202" s="652"/>
    </row>
    <row r="203" spans="1:251" s="126" customFormat="1" ht="15">
      <c r="A203" s="1094"/>
      <c r="B203" s="1160"/>
      <c r="C203" s="1203"/>
      <c r="D203" s="1193" t="s">
        <v>3921</v>
      </c>
      <c r="E203" s="1194"/>
      <c r="F203" s="879"/>
      <c r="G203" s="877"/>
      <c r="H203" s="877"/>
      <c r="I203" s="877"/>
      <c r="J203" s="878"/>
      <c r="K203" s="1094"/>
      <c r="L203" s="412"/>
      <c r="M203" s="1094"/>
      <c r="N203" s="411"/>
      <c r="O203" s="652"/>
    </row>
    <row r="204" spans="1:251" s="126" customFormat="1" ht="12.75" customHeight="1">
      <c r="A204" s="1094"/>
      <c r="B204" s="1094"/>
      <c r="C204" s="1205"/>
      <c r="D204" s="1195"/>
      <c r="E204" s="1194"/>
      <c r="F204" s="879"/>
      <c r="G204" s="877"/>
      <c r="H204" s="877"/>
      <c r="I204" s="877"/>
      <c r="J204" s="878"/>
      <c r="K204" s="1094"/>
      <c r="L204" s="412"/>
      <c r="M204" s="1094"/>
      <c r="N204" s="411"/>
      <c r="O204" s="652"/>
    </row>
    <row r="205" spans="1:251" s="126" customFormat="1" ht="12.75" customHeight="1">
      <c r="A205" s="1094"/>
      <c r="B205" s="1160"/>
      <c r="C205" s="1203" t="s">
        <v>2809</v>
      </c>
      <c r="D205" s="1195" t="s">
        <v>3924</v>
      </c>
      <c r="E205" s="1194"/>
      <c r="F205" s="879"/>
      <c r="G205" s="877"/>
      <c r="H205" s="877"/>
      <c r="I205" s="877"/>
      <c r="J205" s="878"/>
      <c r="K205" s="1094"/>
      <c r="L205" s="412"/>
      <c r="M205" s="1094"/>
      <c r="N205" s="411"/>
      <c r="O205" s="652"/>
    </row>
    <row r="206" spans="1:251" s="126" customFormat="1" ht="12.75" customHeight="1">
      <c r="A206" s="1094"/>
      <c r="B206" s="1160"/>
      <c r="C206" s="1203"/>
      <c r="D206" s="1195" t="s">
        <v>3957</v>
      </c>
      <c r="E206" s="1194"/>
      <c r="F206" s="879"/>
      <c r="G206" s="877"/>
      <c r="H206" s="877"/>
      <c r="I206" s="877"/>
      <c r="J206" s="878"/>
      <c r="K206" s="1094"/>
      <c r="L206" s="412"/>
      <c r="M206" s="1094"/>
      <c r="N206" s="411"/>
      <c r="O206" s="652"/>
    </row>
    <row r="207" spans="1:251" s="126" customFormat="1" ht="12.75" customHeight="1">
      <c r="A207" s="1094"/>
      <c r="B207" s="1160"/>
      <c r="C207" s="1203"/>
      <c r="D207" s="1195" t="s">
        <v>3927</v>
      </c>
      <c r="E207" s="1194"/>
      <c r="F207" s="879"/>
      <c r="G207" s="877"/>
      <c r="H207" s="877"/>
      <c r="I207" s="877"/>
      <c r="J207" s="878"/>
      <c r="K207" s="1094"/>
      <c r="L207" s="412"/>
      <c r="M207" s="1094"/>
      <c r="N207" s="411"/>
      <c r="O207" s="652"/>
    </row>
    <row r="208" spans="1:251" s="22" customFormat="1" ht="12" customHeight="1">
      <c r="A208" s="1182"/>
      <c r="B208" s="1183"/>
      <c r="C208" s="1206"/>
      <c r="D208" s="1196" t="s">
        <v>3928</v>
      </c>
      <c r="E208" s="1197"/>
      <c r="F208" s="1090"/>
      <c r="G208" s="1090"/>
      <c r="H208" s="1090"/>
      <c r="I208" s="1090"/>
      <c r="J208" s="1090"/>
      <c r="K208" s="1091"/>
      <c r="L208" s="1091"/>
      <c r="M208" s="1091"/>
      <c r="N208" s="411"/>
      <c r="O208" s="881"/>
      <c r="P208" s="880"/>
      <c r="Q208" s="126" t="str">
        <f>IF(O208&lt;&gt;"",D208,"")</f>
        <v/>
      </c>
      <c r="R208" s="880"/>
      <c r="S208" s="880"/>
      <c r="T208" s="880"/>
      <c r="U208" s="880"/>
      <c r="V208" s="880"/>
      <c r="W208" s="880"/>
      <c r="X208" s="880"/>
      <c r="Y208" s="880"/>
      <c r="Z208" s="880"/>
      <c r="AA208" s="880"/>
      <c r="AB208" s="880"/>
      <c r="AC208" s="880"/>
      <c r="AD208" s="880"/>
      <c r="AE208" s="880"/>
      <c r="AF208" s="880"/>
      <c r="AG208" s="880"/>
      <c r="AH208" s="880"/>
      <c r="AI208" s="880"/>
      <c r="AJ208" s="880"/>
      <c r="AK208" s="880"/>
      <c r="AL208" s="880"/>
      <c r="AM208" s="880"/>
      <c r="AN208" s="880"/>
      <c r="AO208" s="880"/>
      <c r="AP208" s="880"/>
      <c r="AQ208" s="880"/>
      <c r="AR208" s="880"/>
      <c r="AS208" s="880"/>
      <c r="AT208" s="880"/>
      <c r="AU208" s="880"/>
      <c r="AV208" s="880"/>
      <c r="AW208" s="880"/>
      <c r="AX208" s="880"/>
      <c r="AY208" s="880"/>
      <c r="AZ208" s="880"/>
      <c r="BA208" s="880"/>
      <c r="BB208" s="880"/>
      <c r="BC208" s="880"/>
      <c r="BD208" s="880"/>
      <c r="BE208" s="880"/>
      <c r="BF208" s="880"/>
      <c r="BG208" s="880"/>
      <c r="BH208" s="880"/>
      <c r="BI208" s="880"/>
      <c r="BJ208" s="880"/>
      <c r="BK208" s="880"/>
      <c r="BL208" s="880"/>
      <c r="BM208" s="880"/>
      <c r="BN208" s="880"/>
      <c r="BO208" s="880"/>
      <c r="BP208" s="880"/>
      <c r="BQ208" s="880"/>
      <c r="BR208" s="880"/>
      <c r="BS208" s="880"/>
      <c r="BT208" s="880"/>
      <c r="BU208" s="880"/>
      <c r="BV208" s="880"/>
      <c r="BW208" s="880"/>
      <c r="BX208" s="880"/>
      <c r="BY208" s="880"/>
      <c r="BZ208" s="880"/>
      <c r="CA208" s="880"/>
      <c r="CB208" s="880"/>
      <c r="CC208" s="880"/>
      <c r="CD208" s="880"/>
      <c r="CE208" s="880"/>
      <c r="CF208" s="880"/>
      <c r="CG208" s="880"/>
      <c r="CH208" s="880"/>
      <c r="CI208" s="880"/>
      <c r="CJ208" s="880"/>
      <c r="CK208" s="880"/>
      <c r="CL208" s="880"/>
      <c r="CM208" s="880"/>
      <c r="CN208" s="880"/>
      <c r="CO208" s="880"/>
      <c r="CP208" s="880"/>
      <c r="CQ208" s="880"/>
      <c r="CR208" s="880"/>
      <c r="CS208" s="880"/>
      <c r="CT208" s="880"/>
      <c r="CU208" s="880"/>
      <c r="CV208" s="880"/>
      <c r="CW208" s="880"/>
      <c r="CX208" s="880"/>
      <c r="CY208" s="880"/>
      <c r="CZ208" s="880"/>
      <c r="DA208" s="880"/>
      <c r="DB208" s="880"/>
      <c r="DC208" s="880"/>
      <c r="DD208" s="880"/>
      <c r="DE208" s="880"/>
      <c r="DF208" s="880"/>
      <c r="DG208" s="880"/>
      <c r="DH208" s="880"/>
      <c r="DI208" s="880"/>
      <c r="DJ208" s="880"/>
      <c r="DK208" s="880"/>
      <c r="DL208" s="880"/>
      <c r="DM208" s="880"/>
      <c r="DN208" s="880"/>
      <c r="DO208" s="880"/>
      <c r="DP208" s="880"/>
      <c r="DQ208" s="880"/>
      <c r="DR208" s="880"/>
      <c r="DS208" s="880"/>
      <c r="DT208" s="880"/>
      <c r="DU208" s="880"/>
      <c r="DV208" s="880"/>
      <c r="DW208" s="880"/>
      <c r="DX208" s="880"/>
      <c r="DY208" s="880"/>
      <c r="DZ208" s="880"/>
      <c r="EA208" s="880"/>
      <c r="EB208" s="880"/>
      <c r="EC208" s="880"/>
      <c r="ED208" s="880"/>
      <c r="EE208" s="880"/>
      <c r="EF208" s="880"/>
      <c r="EG208" s="880"/>
      <c r="EH208" s="880"/>
      <c r="EI208" s="880"/>
      <c r="EJ208" s="880"/>
      <c r="EK208" s="880"/>
      <c r="EL208" s="880"/>
      <c r="EM208" s="880"/>
      <c r="EN208" s="880"/>
      <c r="EO208" s="880"/>
      <c r="EP208" s="880"/>
      <c r="EQ208" s="880"/>
      <c r="ER208" s="880"/>
      <c r="ES208" s="880"/>
      <c r="ET208" s="880"/>
      <c r="EU208" s="880"/>
      <c r="EV208" s="880"/>
      <c r="EW208" s="880"/>
      <c r="EX208" s="880"/>
      <c r="EY208" s="880"/>
      <c r="EZ208" s="880"/>
      <c r="FA208" s="880"/>
      <c r="FB208" s="880"/>
      <c r="FC208" s="880"/>
      <c r="FD208" s="880"/>
      <c r="FE208" s="880"/>
      <c r="FF208" s="880"/>
      <c r="FG208" s="880"/>
      <c r="FH208" s="880"/>
      <c r="FI208" s="880"/>
      <c r="FJ208" s="880"/>
      <c r="FK208" s="880"/>
      <c r="FL208" s="880"/>
      <c r="FM208" s="880"/>
      <c r="FN208" s="880"/>
      <c r="FO208" s="880"/>
      <c r="FP208" s="880"/>
      <c r="FQ208" s="880"/>
      <c r="FR208" s="880"/>
      <c r="FS208" s="880"/>
      <c r="FT208" s="880"/>
      <c r="FU208" s="880"/>
      <c r="FV208" s="880"/>
      <c r="FW208" s="880"/>
      <c r="FX208" s="880"/>
      <c r="FY208" s="880"/>
      <c r="FZ208" s="880"/>
      <c r="GA208" s="880"/>
      <c r="GB208" s="880"/>
      <c r="GC208" s="880"/>
      <c r="GD208" s="880"/>
      <c r="GE208" s="880"/>
      <c r="GF208" s="880"/>
      <c r="GG208" s="880"/>
      <c r="GH208" s="880"/>
      <c r="GI208" s="880"/>
      <c r="GJ208" s="880"/>
      <c r="GK208" s="880"/>
      <c r="GL208" s="880"/>
      <c r="GM208" s="880"/>
      <c r="GN208" s="880"/>
      <c r="GO208" s="880"/>
      <c r="GP208" s="880"/>
      <c r="GQ208" s="880"/>
      <c r="GR208" s="880"/>
      <c r="GS208" s="880"/>
      <c r="GT208" s="880"/>
      <c r="GU208" s="880"/>
      <c r="GV208" s="880"/>
      <c r="GW208" s="880"/>
      <c r="GX208" s="880"/>
      <c r="GY208" s="880"/>
      <c r="GZ208" s="880"/>
      <c r="HA208" s="880"/>
      <c r="HB208" s="880"/>
      <c r="HC208" s="880"/>
      <c r="HD208" s="880"/>
      <c r="HE208" s="880"/>
      <c r="HF208" s="880"/>
      <c r="HG208" s="880"/>
      <c r="HH208" s="880"/>
      <c r="HI208" s="880"/>
      <c r="HJ208" s="880"/>
      <c r="HK208" s="880"/>
      <c r="HL208" s="880"/>
      <c r="HM208" s="880"/>
      <c r="HN208" s="880"/>
      <c r="HO208" s="880"/>
      <c r="HP208" s="880"/>
      <c r="HQ208" s="880"/>
      <c r="HR208" s="880"/>
      <c r="HS208" s="880"/>
      <c r="HT208" s="880"/>
      <c r="HU208" s="880"/>
      <c r="HV208" s="880"/>
      <c r="HW208" s="880"/>
      <c r="HX208" s="880"/>
      <c r="HY208" s="880"/>
      <c r="HZ208" s="880"/>
      <c r="IA208" s="880"/>
      <c r="IB208" s="880"/>
      <c r="IC208" s="880"/>
      <c r="ID208" s="880"/>
      <c r="IE208" s="880"/>
      <c r="IF208" s="880"/>
      <c r="IG208" s="880"/>
      <c r="IH208" s="880"/>
      <c r="II208" s="880"/>
      <c r="IJ208" s="880"/>
      <c r="IK208" s="880"/>
      <c r="IL208" s="880"/>
      <c r="IM208" s="880"/>
      <c r="IN208" s="880"/>
      <c r="IO208" s="880"/>
      <c r="IP208" s="880"/>
      <c r="IQ208" s="880"/>
    </row>
    <row r="209" spans="1:251" s="126" customFormat="1" ht="12.75" customHeight="1">
      <c r="A209" s="1094"/>
      <c r="B209" s="1160"/>
      <c r="C209" s="1203"/>
      <c r="D209" s="1195" t="s">
        <v>3926</v>
      </c>
      <c r="E209" s="1194"/>
      <c r="F209" s="879"/>
      <c r="G209" s="877"/>
      <c r="H209" s="877"/>
      <c r="I209" s="877"/>
      <c r="J209" s="878"/>
      <c r="K209" s="1094"/>
      <c r="L209" s="412"/>
      <c r="M209" s="1094"/>
      <c r="N209" s="411"/>
      <c r="O209" s="652"/>
    </row>
    <row r="210" spans="1:251" s="22" customFormat="1" ht="12" customHeight="1">
      <c r="A210" s="1182"/>
      <c r="B210" s="1183"/>
      <c r="C210" s="1206"/>
      <c r="D210" s="1196"/>
      <c r="E210" s="1197"/>
      <c r="F210" s="1090"/>
      <c r="G210" s="1090"/>
      <c r="H210" s="1090"/>
      <c r="I210" s="1090"/>
      <c r="J210" s="1090"/>
      <c r="K210" s="1091"/>
      <c r="L210" s="1091"/>
      <c r="M210" s="1091"/>
      <c r="N210" s="411"/>
      <c r="O210" s="881"/>
      <c r="P210" s="880"/>
      <c r="Q210" s="126" t="str">
        <f>IF(O210&lt;&gt;"",D210,"")</f>
        <v/>
      </c>
      <c r="R210" s="880"/>
      <c r="S210" s="880"/>
      <c r="T210" s="880"/>
      <c r="U210" s="880"/>
      <c r="V210" s="880"/>
      <c r="W210" s="880"/>
      <c r="X210" s="880"/>
      <c r="Y210" s="880"/>
      <c r="Z210" s="880"/>
      <c r="AA210" s="880"/>
      <c r="AB210" s="880"/>
      <c r="AC210" s="880"/>
      <c r="AD210" s="880"/>
      <c r="AE210" s="880"/>
      <c r="AF210" s="880"/>
      <c r="AG210" s="880"/>
      <c r="AH210" s="880"/>
      <c r="AI210" s="880"/>
      <c r="AJ210" s="880"/>
      <c r="AK210" s="880"/>
      <c r="AL210" s="880"/>
      <c r="AM210" s="880"/>
      <c r="AN210" s="880"/>
      <c r="AO210" s="880"/>
      <c r="AP210" s="880"/>
      <c r="AQ210" s="880"/>
      <c r="AR210" s="880"/>
      <c r="AS210" s="880"/>
      <c r="AT210" s="880"/>
      <c r="AU210" s="880"/>
      <c r="AV210" s="880"/>
      <c r="AW210" s="880"/>
      <c r="AX210" s="880"/>
      <c r="AY210" s="880"/>
      <c r="AZ210" s="880"/>
      <c r="BA210" s="880"/>
      <c r="BB210" s="880"/>
      <c r="BC210" s="880"/>
      <c r="BD210" s="880"/>
      <c r="BE210" s="880"/>
      <c r="BF210" s="880"/>
      <c r="BG210" s="880"/>
      <c r="BH210" s="880"/>
      <c r="BI210" s="880"/>
      <c r="BJ210" s="880"/>
      <c r="BK210" s="880"/>
      <c r="BL210" s="880"/>
      <c r="BM210" s="880"/>
      <c r="BN210" s="880"/>
      <c r="BO210" s="880"/>
      <c r="BP210" s="880"/>
      <c r="BQ210" s="880"/>
      <c r="BR210" s="880"/>
      <c r="BS210" s="880"/>
      <c r="BT210" s="880"/>
      <c r="BU210" s="880"/>
      <c r="BV210" s="880"/>
      <c r="BW210" s="880"/>
      <c r="BX210" s="880"/>
      <c r="BY210" s="880"/>
      <c r="BZ210" s="880"/>
      <c r="CA210" s="880"/>
      <c r="CB210" s="880"/>
      <c r="CC210" s="880"/>
      <c r="CD210" s="880"/>
      <c r="CE210" s="880"/>
      <c r="CF210" s="880"/>
      <c r="CG210" s="880"/>
      <c r="CH210" s="880"/>
      <c r="CI210" s="880"/>
      <c r="CJ210" s="880"/>
      <c r="CK210" s="880"/>
      <c r="CL210" s="880"/>
      <c r="CM210" s="880"/>
      <c r="CN210" s="880"/>
      <c r="CO210" s="880"/>
      <c r="CP210" s="880"/>
      <c r="CQ210" s="880"/>
      <c r="CR210" s="880"/>
      <c r="CS210" s="880"/>
      <c r="CT210" s="880"/>
      <c r="CU210" s="880"/>
      <c r="CV210" s="880"/>
      <c r="CW210" s="880"/>
      <c r="CX210" s="880"/>
      <c r="CY210" s="880"/>
      <c r="CZ210" s="880"/>
      <c r="DA210" s="880"/>
      <c r="DB210" s="880"/>
      <c r="DC210" s="880"/>
      <c r="DD210" s="880"/>
      <c r="DE210" s="880"/>
      <c r="DF210" s="880"/>
      <c r="DG210" s="880"/>
      <c r="DH210" s="880"/>
      <c r="DI210" s="880"/>
      <c r="DJ210" s="880"/>
      <c r="DK210" s="880"/>
      <c r="DL210" s="880"/>
      <c r="DM210" s="880"/>
      <c r="DN210" s="880"/>
      <c r="DO210" s="880"/>
      <c r="DP210" s="880"/>
      <c r="DQ210" s="880"/>
      <c r="DR210" s="880"/>
      <c r="DS210" s="880"/>
      <c r="DT210" s="880"/>
      <c r="DU210" s="880"/>
      <c r="DV210" s="880"/>
      <c r="DW210" s="880"/>
      <c r="DX210" s="880"/>
      <c r="DY210" s="880"/>
      <c r="DZ210" s="880"/>
      <c r="EA210" s="880"/>
      <c r="EB210" s="880"/>
      <c r="EC210" s="880"/>
      <c r="ED210" s="880"/>
      <c r="EE210" s="880"/>
      <c r="EF210" s="880"/>
      <c r="EG210" s="880"/>
      <c r="EH210" s="880"/>
      <c r="EI210" s="880"/>
      <c r="EJ210" s="880"/>
      <c r="EK210" s="880"/>
      <c r="EL210" s="880"/>
      <c r="EM210" s="880"/>
      <c r="EN210" s="880"/>
      <c r="EO210" s="880"/>
      <c r="EP210" s="880"/>
      <c r="EQ210" s="880"/>
      <c r="ER210" s="880"/>
      <c r="ES210" s="880"/>
      <c r="ET210" s="880"/>
      <c r="EU210" s="880"/>
      <c r="EV210" s="880"/>
      <c r="EW210" s="880"/>
      <c r="EX210" s="880"/>
      <c r="EY210" s="880"/>
      <c r="EZ210" s="880"/>
      <c r="FA210" s="880"/>
      <c r="FB210" s="880"/>
      <c r="FC210" s="880"/>
      <c r="FD210" s="880"/>
      <c r="FE210" s="880"/>
      <c r="FF210" s="880"/>
      <c r="FG210" s="880"/>
      <c r="FH210" s="880"/>
      <c r="FI210" s="880"/>
      <c r="FJ210" s="880"/>
      <c r="FK210" s="880"/>
      <c r="FL210" s="880"/>
      <c r="FM210" s="880"/>
      <c r="FN210" s="880"/>
      <c r="FO210" s="880"/>
      <c r="FP210" s="880"/>
      <c r="FQ210" s="880"/>
      <c r="FR210" s="880"/>
      <c r="FS210" s="880"/>
      <c r="FT210" s="880"/>
      <c r="FU210" s="880"/>
      <c r="FV210" s="880"/>
      <c r="FW210" s="880"/>
      <c r="FX210" s="880"/>
      <c r="FY210" s="880"/>
      <c r="FZ210" s="880"/>
      <c r="GA210" s="880"/>
      <c r="GB210" s="880"/>
      <c r="GC210" s="880"/>
      <c r="GD210" s="880"/>
      <c r="GE210" s="880"/>
      <c r="GF210" s="880"/>
      <c r="GG210" s="880"/>
      <c r="GH210" s="880"/>
      <c r="GI210" s="880"/>
      <c r="GJ210" s="880"/>
      <c r="GK210" s="880"/>
      <c r="GL210" s="880"/>
      <c r="GM210" s="880"/>
      <c r="GN210" s="880"/>
      <c r="GO210" s="880"/>
      <c r="GP210" s="880"/>
      <c r="GQ210" s="880"/>
      <c r="GR210" s="880"/>
      <c r="GS210" s="880"/>
      <c r="GT210" s="880"/>
      <c r="GU210" s="880"/>
      <c r="GV210" s="880"/>
      <c r="GW210" s="880"/>
      <c r="GX210" s="880"/>
      <c r="GY210" s="880"/>
      <c r="GZ210" s="880"/>
      <c r="HA210" s="880"/>
      <c r="HB210" s="880"/>
      <c r="HC210" s="880"/>
      <c r="HD210" s="880"/>
      <c r="HE210" s="880"/>
      <c r="HF210" s="880"/>
      <c r="HG210" s="880"/>
      <c r="HH210" s="880"/>
      <c r="HI210" s="880"/>
      <c r="HJ210" s="880"/>
      <c r="HK210" s="880"/>
      <c r="HL210" s="880"/>
      <c r="HM210" s="880"/>
      <c r="HN210" s="880"/>
      <c r="HO210" s="880"/>
      <c r="HP210" s="880"/>
      <c r="HQ210" s="880"/>
      <c r="HR210" s="880"/>
      <c r="HS210" s="880"/>
      <c r="HT210" s="880"/>
      <c r="HU210" s="880"/>
      <c r="HV210" s="880"/>
      <c r="HW210" s="880"/>
      <c r="HX210" s="880"/>
      <c r="HY210" s="880"/>
      <c r="HZ210" s="880"/>
      <c r="IA210" s="880"/>
      <c r="IB210" s="880"/>
      <c r="IC210" s="880"/>
      <c r="ID210" s="880"/>
      <c r="IE210" s="880"/>
      <c r="IF210" s="880"/>
      <c r="IG210" s="880"/>
      <c r="IH210" s="880"/>
      <c r="II210" s="880"/>
      <c r="IJ210" s="880"/>
      <c r="IK210" s="880"/>
      <c r="IL210" s="880"/>
      <c r="IM210" s="880"/>
      <c r="IN210" s="880"/>
      <c r="IO210" s="880"/>
      <c r="IP210" s="880"/>
      <c r="IQ210" s="880"/>
    </row>
    <row r="211" spans="1:251" s="126" customFormat="1" ht="15">
      <c r="A211" s="1094"/>
      <c r="B211" s="1160"/>
      <c r="C211" s="1203" t="s">
        <v>1832</v>
      </c>
      <c r="D211" s="1193" t="s">
        <v>3931</v>
      </c>
      <c r="E211" s="1194"/>
      <c r="F211" s="879"/>
      <c r="G211" s="877"/>
      <c r="H211" s="877"/>
      <c r="I211" s="877"/>
      <c r="J211" s="878"/>
      <c r="K211" s="1094"/>
      <c r="L211" s="412"/>
      <c r="M211" s="1094"/>
      <c r="N211" s="411"/>
      <c r="O211" s="652"/>
    </row>
    <row r="212" spans="1:251" s="22" customFormat="1" ht="12" customHeight="1">
      <c r="A212" s="1094"/>
      <c r="B212" s="909"/>
      <c r="C212" s="1207"/>
      <c r="D212" s="1193" t="s">
        <v>3932</v>
      </c>
      <c r="E212" s="1194"/>
      <c r="F212" s="879"/>
      <c r="G212" s="877"/>
      <c r="H212" s="877"/>
      <c r="I212" s="877"/>
      <c r="J212" s="878"/>
      <c r="K212" s="1091"/>
      <c r="L212" s="1091"/>
      <c r="M212" s="1091"/>
      <c r="N212" s="411"/>
      <c r="O212" s="881"/>
      <c r="P212" s="880"/>
      <c r="Q212" s="126" t="str">
        <f>IF(O212&lt;&gt;"",#REF!,"")</f>
        <v/>
      </c>
      <c r="R212" s="880"/>
      <c r="S212" s="880"/>
      <c r="T212" s="880"/>
      <c r="U212" s="880"/>
      <c r="V212" s="880"/>
      <c r="W212" s="880"/>
      <c r="X212" s="880"/>
      <c r="Y212" s="880"/>
      <c r="Z212" s="880"/>
      <c r="AA212" s="880"/>
      <c r="AB212" s="880"/>
      <c r="AC212" s="880"/>
      <c r="AD212" s="880"/>
      <c r="AE212" s="880"/>
      <c r="AF212" s="880"/>
      <c r="AG212" s="880"/>
      <c r="AH212" s="880"/>
      <c r="AI212" s="880"/>
      <c r="AJ212" s="880"/>
      <c r="AK212" s="880"/>
      <c r="AL212" s="880"/>
      <c r="AM212" s="880"/>
      <c r="AN212" s="880"/>
      <c r="AO212" s="880"/>
      <c r="AP212" s="880"/>
      <c r="AQ212" s="880"/>
      <c r="AR212" s="880"/>
      <c r="AS212" s="880"/>
      <c r="AT212" s="880"/>
      <c r="AU212" s="880"/>
      <c r="AV212" s="880"/>
      <c r="AW212" s="880"/>
      <c r="AX212" s="880"/>
      <c r="AY212" s="880"/>
      <c r="AZ212" s="880"/>
      <c r="BA212" s="880"/>
      <c r="BB212" s="880"/>
      <c r="BC212" s="880"/>
      <c r="BD212" s="880"/>
      <c r="BE212" s="880"/>
      <c r="BF212" s="880"/>
      <c r="BG212" s="880"/>
      <c r="BH212" s="880"/>
      <c r="BI212" s="880"/>
      <c r="BJ212" s="880"/>
      <c r="BK212" s="880"/>
      <c r="BL212" s="880"/>
      <c r="BM212" s="880"/>
      <c r="BN212" s="880"/>
      <c r="BO212" s="880"/>
      <c r="BP212" s="880"/>
      <c r="BQ212" s="880"/>
      <c r="BR212" s="880"/>
      <c r="BS212" s="880"/>
      <c r="BT212" s="880"/>
      <c r="BU212" s="880"/>
      <c r="BV212" s="880"/>
      <c r="BW212" s="880"/>
      <c r="BX212" s="880"/>
      <c r="BY212" s="880"/>
      <c r="BZ212" s="880"/>
      <c r="CA212" s="880"/>
      <c r="CB212" s="880"/>
      <c r="CC212" s="880"/>
      <c r="CD212" s="880"/>
      <c r="CE212" s="880"/>
      <c r="CF212" s="880"/>
      <c r="CG212" s="880"/>
      <c r="CH212" s="880"/>
      <c r="CI212" s="880"/>
      <c r="CJ212" s="880"/>
      <c r="CK212" s="880"/>
      <c r="CL212" s="880"/>
      <c r="CM212" s="880"/>
      <c r="CN212" s="880"/>
      <c r="CO212" s="880"/>
      <c r="CP212" s="880"/>
      <c r="CQ212" s="880"/>
      <c r="CR212" s="880"/>
      <c r="CS212" s="880"/>
      <c r="CT212" s="880"/>
      <c r="CU212" s="880"/>
      <c r="CV212" s="880"/>
      <c r="CW212" s="880"/>
      <c r="CX212" s="880"/>
      <c r="CY212" s="880"/>
      <c r="CZ212" s="880"/>
      <c r="DA212" s="880"/>
      <c r="DB212" s="880"/>
      <c r="DC212" s="880"/>
      <c r="DD212" s="880"/>
      <c r="DE212" s="880"/>
      <c r="DF212" s="880"/>
      <c r="DG212" s="880"/>
      <c r="DH212" s="880"/>
      <c r="DI212" s="880"/>
      <c r="DJ212" s="880"/>
      <c r="DK212" s="880"/>
      <c r="DL212" s="880"/>
      <c r="DM212" s="880"/>
      <c r="DN212" s="880"/>
      <c r="DO212" s="880"/>
      <c r="DP212" s="880"/>
      <c r="DQ212" s="880"/>
      <c r="DR212" s="880"/>
      <c r="DS212" s="880"/>
      <c r="DT212" s="880"/>
      <c r="DU212" s="880"/>
      <c r="DV212" s="880"/>
      <c r="DW212" s="880"/>
      <c r="DX212" s="880"/>
      <c r="DY212" s="880"/>
      <c r="DZ212" s="880"/>
      <c r="EA212" s="880"/>
      <c r="EB212" s="880"/>
      <c r="EC212" s="880"/>
      <c r="ED212" s="880"/>
      <c r="EE212" s="880"/>
      <c r="EF212" s="880"/>
      <c r="EG212" s="880"/>
      <c r="EH212" s="880"/>
      <c r="EI212" s="880"/>
      <c r="EJ212" s="880"/>
      <c r="EK212" s="880"/>
      <c r="EL212" s="880"/>
      <c r="EM212" s="880"/>
      <c r="EN212" s="880"/>
      <c r="EO212" s="880"/>
      <c r="EP212" s="880"/>
      <c r="EQ212" s="880"/>
      <c r="ER212" s="880"/>
      <c r="ES212" s="880"/>
      <c r="ET212" s="880"/>
      <c r="EU212" s="880"/>
      <c r="EV212" s="880"/>
      <c r="EW212" s="880"/>
      <c r="EX212" s="880"/>
      <c r="EY212" s="880"/>
      <c r="EZ212" s="880"/>
      <c r="FA212" s="880"/>
      <c r="FB212" s="880"/>
      <c r="FC212" s="880"/>
      <c r="FD212" s="880"/>
      <c r="FE212" s="880"/>
      <c r="FF212" s="880"/>
      <c r="FG212" s="880"/>
      <c r="FH212" s="880"/>
      <c r="FI212" s="880"/>
      <c r="FJ212" s="880"/>
      <c r="FK212" s="880"/>
      <c r="FL212" s="880"/>
      <c r="FM212" s="880"/>
      <c r="FN212" s="880"/>
      <c r="FO212" s="880"/>
      <c r="FP212" s="880"/>
      <c r="FQ212" s="880"/>
      <c r="FR212" s="880"/>
      <c r="FS212" s="880"/>
      <c r="FT212" s="880"/>
      <c r="FU212" s="880"/>
      <c r="FV212" s="880"/>
      <c r="FW212" s="880"/>
      <c r="FX212" s="880"/>
      <c r="FY212" s="880"/>
      <c r="FZ212" s="880"/>
      <c r="GA212" s="880"/>
      <c r="GB212" s="880"/>
      <c r="GC212" s="880"/>
      <c r="GD212" s="880"/>
      <c r="GE212" s="880"/>
      <c r="GF212" s="880"/>
      <c r="GG212" s="880"/>
      <c r="GH212" s="880"/>
      <c r="GI212" s="880"/>
      <c r="GJ212" s="880"/>
      <c r="GK212" s="880"/>
      <c r="GL212" s="880"/>
      <c r="GM212" s="880"/>
      <c r="GN212" s="880"/>
      <c r="GO212" s="880"/>
      <c r="GP212" s="880"/>
      <c r="GQ212" s="880"/>
      <c r="GR212" s="880"/>
      <c r="GS212" s="880"/>
      <c r="GT212" s="880"/>
      <c r="GU212" s="880"/>
      <c r="GV212" s="880"/>
      <c r="GW212" s="880"/>
      <c r="GX212" s="880"/>
      <c r="GY212" s="880"/>
      <c r="GZ212" s="880"/>
      <c r="HA212" s="880"/>
      <c r="HB212" s="880"/>
      <c r="HC212" s="880"/>
      <c r="HD212" s="880"/>
      <c r="HE212" s="880"/>
      <c r="HF212" s="880"/>
      <c r="HG212" s="880"/>
      <c r="HH212" s="880"/>
      <c r="HI212" s="880"/>
      <c r="HJ212" s="880"/>
      <c r="HK212" s="880"/>
      <c r="HL212" s="880"/>
      <c r="HM212" s="880"/>
      <c r="HN212" s="880"/>
      <c r="HO212" s="880"/>
      <c r="HP212" s="880"/>
      <c r="HQ212" s="880"/>
      <c r="HR212" s="880"/>
      <c r="HS212" s="880"/>
      <c r="HT212" s="880"/>
      <c r="HU212" s="880"/>
      <c r="HV212" s="880"/>
      <c r="HW212" s="880"/>
      <c r="HX212" s="880"/>
      <c r="HY212" s="880"/>
      <c r="HZ212" s="880"/>
      <c r="IA212" s="880"/>
      <c r="IB212" s="880"/>
      <c r="IC212" s="880"/>
      <c r="ID212" s="880"/>
      <c r="IE212" s="880"/>
      <c r="IF212" s="880"/>
      <c r="IG212" s="880"/>
      <c r="IH212" s="880"/>
      <c r="II212" s="880"/>
      <c r="IJ212" s="880"/>
      <c r="IK212" s="880"/>
      <c r="IL212" s="880"/>
      <c r="IM212" s="880"/>
      <c r="IN212" s="880"/>
      <c r="IO212" s="880"/>
      <c r="IP212" s="880"/>
      <c r="IQ212" s="880"/>
    </row>
    <row r="213" spans="1:251" s="22" customFormat="1" ht="12" customHeight="1">
      <c r="A213" s="1094"/>
      <c r="B213" s="909"/>
      <c r="C213" s="1207"/>
      <c r="D213" s="1193" t="s">
        <v>3933</v>
      </c>
      <c r="E213" s="1194"/>
      <c r="F213" s="879"/>
      <c r="G213" s="877"/>
      <c r="H213" s="877"/>
      <c r="I213" s="877"/>
      <c r="J213" s="878"/>
      <c r="K213" s="1091"/>
      <c r="L213" s="1091"/>
      <c r="M213" s="1091"/>
      <c r="N213" s="411"/>
      <c r="O213" s="881"/>
      <c r="P213" s="880"/>
      <c r="Q213" s="126" t="str">
        <f>IF(O213&lt;&gt;"",#REF!,"")</f>
        <v/>
      </c>
      <c r="R213" s="880"/>
      <c r="S213" s="880"/>
      <c r="T213" s="880"/>
      <c r="U213" s="880"/>
      <c r="V213" s="880"/>
      <c r="W213" s="880"/>
      <c r="X213" s="880"/>
      <c r="Y213" s="880"/>
      <c r="Z213" s="880"/>
      <c r="AA213" s="880"/>
      <c r="AB213" s="880"/>
      <c r="AC213" s="880"/>
      <c r="AD213" s="880"/>
      <c r="AE213" s="880"/>
      <c r="AF213" s="880"/>
      <c r="AG213" s="880"/>
      <c r="AH213" s="880"/>
      <c r="AI213" s="880"/>
      <c r="AJ213" s="880"/>
      <c r="AK213" s="880"/>
      <c r="AL213" s="880"/>
      <c r="AM213" s="880"/>
      <c r="AN213" s="880"/>
      <c r="AO213" s="880"/>
      <c r="AP213" s="880"/>
      <c r="AQ213" s="880"/>
      <c r="AR213" s="880"/>
      <c r="AS213" s="880"/>
      <c r="AT213" s="880"/>
      <c r="AU213" s="880"/>
      <c r="AV213" s="880"/>
      <c r="AW213" s="880"/>
      <c r="AX213" s="880"/>
      <c r="AY213" s="880"/>
      <c r="AZ213" s="880"/>
      <c r="BA213" s="880"/>
      <c r="BB213" s="880"/>
      <c r="BC213" s="880"/>
      <c r="BD213" s="880"/>
      <c r="BE213" s="880"/>
      <c r="BF213" s="880"/>
      <c r="BG213" s="880"/>
      <c r="BH213" s="880"/>
      <c r="BI213" s="880"/>
      <c r="BJ213" s="880"/>
      <c r="BK213" s="880"/>
      <c r="BL213" s="880"/>
      <c r="BM213" s="880"/>
      <c r="BN213" s="880"/>
      <c r="BO213" s="880"/>
      <c r="BP213" s="880"/>
      <c r="BQ213" s="880"/>
      <c r="BR213" s="880"/>
      <c r="BS213" s="880"/>
      <c r="BT213" s="880"/>
      <c r="BU213" s="880"/>
      <c r="BV213" s="880"/>
      <c r="BW213" s="880"/>
      <c r="BX213" s="880"/>
      <c r="BY213" s="880"/>
      <c r="BZ213" s="880"/>
      <c r="CA213" s="880"/>
      <c r="CB213" s="880"/>
      <c r="CC213" s="880"/>
      <c r="CD213" s="880"/>
      <c r="CE213" s="880"/>
      <c r="CF213" s="880"/>
      <c r="CG213" s="880"/>
      <c r="CH213" s="880"/>
      <c r="CI213" s="880"/>
      <c r="CJ213" s="880"/>
      <c r="CK213" s="880"/>
      <c r="CL213" s="880"/>
      <c r="CM213" s="880"/>
      <c r="CN213" s="880"/>
      <c r="CO213" s="880"/>
      <c r="CP213" s="880"/>
      <c r="CQ213" s="880"/>
      <c r="CR213" s="880"/>
      <c r="CS213" s="880"/>
      <c r="CT213" s="880"/>
      <c r="CU213" s="880"/>
      <c r="CV213" s="880"/>
      <c r="CW213" s="880"/>
      <c r="CX213" s="880"/>
      <c r="CY213" s="880"/>
      <c r="CZ213" s="880"/>
      <c r="DA213" s="880"/>
      <c r="DB213" s="880"/>
      <c r="DC213" s="880"/>
      <c r="DD213" s="880"/>
      <c r="DE213" s="880"/>
      <c r="DF213" s="880"/>
      <c r="DG213" s="880"/>
      <c r="DH213" s="880"/>
      <c r="DI213" s="880"/>
      <c r="DJ213" s="880"/>
      <c r="DK213" s="880"/>
      <c r="DL213" s="880"/>
      <c r="DM213" s="880"/>
      <c r="DN213" s="880"/>
      <c r="DO213" s="880"/>
      <c r="DP213" s="880"/>
      <c r="DQ213" s="880"/>
      <c r="DR213" s="880"/>
      <c r="DS213" s="880"/>
      <c r="DT213" s="880"/>
      <c r="DU213" s="880"/>
      <c r="DV213" s="880"/>
      <c r="DW213" s="880"/>
      <c r="DX213" s="880"/>
      <c r="DY213" s="880"/>
      <c r="DZ213" s="880"/>
      <c r="EA213" s="880"/>
      <c r="EB213" s="880"/>
      <c r="EC213" s="880"/>
      <c r="ED213" s="880"/>
      <c r="EE213" s="880"/>
      <c r="EF213" s="880"/>
      <c r="EG213" s="880"/>
      <c r="EH213" s="880"/>
      <c r="EI213" s="880"/>
      <c r="EJ213" s="880"/>
      <c r="EK213" s="880"/>
      <c r="EL213" s="880"/>
      <c r="EM213" s="880"/>
      <c r="EN213" s="880"/>
      <c r="EO213" s="880"/>
      <c r="EP213" s="880"/>
      <c r="EQ213" s="880"/>
      <c r="ER213" s="880"/>
      <c r="ES213" s="880"/>
      <c r="ET213" s="880"/>
      <c r="EU213" s="880"/>
      <c r="EV213" s="880"/>
      <c r="EW213" s="880"/>
      <c r="EX213" s="880"/>
      <c r="EY213" s="880"/>
      <c r="EZ213" s="880"/>
      <c r="FA213" s="880"/>
      <c r="FB213" s="880"/>
      <c r="FC213" s="880"/>
      <c r="FD213" s="880"/>
      <c r="FE213" s="880"/>
      <c r="FF213" s="880"/>
      <c r="FG213" s="880"/>
      <c r="FH213" s="880"/>
      <c r="FI213" s="880"/>
      <c r="FJ213" s="880"/>
      <c r="FK213" s="880"/>
      <c r="FL213" s="880"/>
      <c r="FM213" s="880"/>
      <c r="FN213" s="880"/>
      <c r="FO213" s="880"/>
      <c r="FP213" s="880"/>
      <c r="FQ213" s="880"/>
      <c r="FR213" s="880"/>
      <c r="FS213" s="880"/>
      <c r="FT213" s="880"/>
      <c r="FU213" s="880"/>
      <c r="FV213" s="880"/>
      <c r="FW213" s="880"/>
      <c r="FX213" s="880"/>
      <c r="FY213" s="880"/>
      <c r="FZ213" s="880"/>
      <c r="GA213" s="880"/>
      <c r="GB213" s="880"/>
      <c r="GC213" s="880"/>
      <c r="GD213" s="880"/>
      <c r="GE213" s="880"/>
      <c r="GF213" s="880"/>
      <c r="GG213" s="880"/>
      <c r="GH213" s="880"/>
      <c r="GI213" s="880"/>
      <c r="GJ213" s="880"/>
      <c r="GK213" s="880"/>
      <c r="GL213" s="880"/>
      <c r="GM213" s="880"/>
      <c r="GN213" s="880"/>
      <c r="GO213" s="880"/>
      <c r="GP213" s="880"/>
      <c r="GQ213" s="880"/>
      <c r="GR213" s="880"/>
      <c r="GS213" s="880"/>
      <c r="GT213" s="880"/>
      <c r="GU213" s="880"/>
      <c r="GV213" s="880"/>
      <c r="GW213" s="880"/>
      <c r="GX213" s="880"/>
      <c r="GY213" s="880"/>
      <c r="GZ213" s="880"/>
      <c r="HA213" s="880"/>
      <c r="HB213" s="880"/>
      <c r="HC213" s="880"/>
      <c r="HD213" s="880"/>
      <c r="HE213" s="880"/>
      <c r="HF213" s="880"/>
      <c r="HG213" s="880"/>
      <c r="HH213" s="880"/>
      <c r="HI213" s="880"/>
      <c r="HJ213" s="880"/>
      <c r="HK213" s="880"/>
      <c r="HL213" s="880"/>
      <c r="HM213" s="880"/>
      <c r="HN213" s="880"/>
      <c r="HO213" s="880"/>
      <c r="HP213" s="880"/>
      <c r="HQ213" s="880"/>
      <c r="HR213" s="880"/>
      <c r="HS213" s="880"/>
      <c r="HT213" s="880"/>
      <c r="HU213" s="880"/>
      <c r="HV213" s="880"/>
      <c r="HW213" s="880"/>
      <c r="HX213" s="880"/>
      <c r="HY213" s="880"/>
      <c r="HZ213" s="880"/>
      <c r="IA213" s="880"/>
      <c r="IB213" s="880"/>
      <c r="IC213" s="880"/>
      <c r="ID213" s="880"/>
      <c r="IE213" s="880"/>
      <c r="IF213" s="880"/>
      <c r="IG213" s="880"/>
      <c r="IH213" s="880"/>
      <c r="II213" s="880"/>
      <c r="IJ213" s="880"/>
      <c r="IK213" s="880"/>
      <c r="IL213" s="880"/>
      <c r="IM213" s="880"/>
      <c r="IN213" s="880"/>
      <c r="IO213" s="880"/>
      <c r="IP213" s="880"/>
      <c r="IQ213" s="880"/>
    </row>
    <row r="214" spans="1:251" s="126" customFormat="1" ht="15">
      <c r="A214" s="760"/>
      <c r="B214" s="761"/>
      <c r="C214" s="1198"/>
      <c r="D214" s="1198"/>
      <c r="E214" s="1199"/>
      <c r="F214" s="1090"/>
      <c r="G214" s="1090"/>
      <c r="H214" s="1090"/>
      <c r="I214" s="1090"/>
      <c r="J214" s="1090"/>
      <c r="K214" s="1094"/>
      <c r="L214" s="412"/>
      <c r="M214" s="1094"/>
      <c r="N214" s="411"/>
      <c r="O214" s="652"/>
    </row>
    <row r="215" spans="1:251" ht="14.45" customHeight="1">
      <c r="B215" s="15"/>
      <c r="C215" s="1208"/>
      <c r="D215" s="1200"/>
      <c r="E215" s="1201"/>
      <c r="F215" s="1190"/>
      <c r="G215" s="1190"/>
      <c r="I215" s="4"/>
    </row>
    <row r="216" spans="1:251" ht="14.45" customHeight="1">
      <c r="B216" s="2"/>
      <c r="D216" s="2"/>
      <c r="E216"/>
      <c r="I216" s="4"/>
    </row>
    <row r="217" spans="1:251" ht="14.45" customHeight="1">
      <c r="B217" s="2"/>
      <c r="D217" s="2"/>
      <c r="E217"/>
      <c r="I217" s="4"/>
    </row>
    <row r="218" spans="1:251" ht="14.45" customHeight="1">
      <c r="B218" s="2"/>
      <c r="D218" s="2"/>
      <c r="E218"/>
      <c r="I218" s="4"/>
    </row>
    <row r="219" spans="1:251" ht="14.45" customHeight="1">
      <c r="B219" s="2"/>
      <c r="D219" s="2"/>
      <c r="E219"/>
      <c r="I219" s="4"/>
    </row>
    <row r="220" spans="1:251" ht="14.45" customHeight="1">
      <c r="B220" s="2"/>
      <c r="D220" s="2"/>
      <c r="E220"/>
      <c r="I220" s="4"/>
    </row>
    <row r="221" spans="1:251" ht="14.45" customHeight="1">
      <c r="B221" s="2"/>
      <c r="D221" s="2"/>
      <c r="E221"/>
      <c r="I221" s="4"/>
    </row>
    <row r="222" spans="1:251" ht="14.45" customHeight="1">
      <c r="B222" s="2"/>
      <c r="C222" s="1209" t="s">
        <v>3948</v>
      </c>
      <c r="D222" s="1209"/>
      <c r="E222" s="1210"/>
      <c r="I222" s="4"/>
    </row>
    <row r="223" spans="1:251" ht="14.45" customHeight="1">
      <c r="B223" s="1"/>
      <c r="C223" s="1211"/>
      <c r="D223" s="1211"/>
      <c r="E223" s="1210"/>
      <c r="I223" s="4"/>
    </row>
    <row r="224" spans="1:251" ht="14.45" customHeight="1">
      <c r="B224" s="1"/>
      <c r="C224" s="1211" t="s">
        <v>3949</v>
      </c>
      <c r="D224" s="1211"/>
      <c r="E224" s="1212"/>
      <c r="F224" s="13"/>
      <c r="I224" s="4"/>
    </row>
    <row r="225" spans="2:9" ht="14.45" customHeight="1">
      <c r="B225" s="1"/>
      <c r="C225" s="1211" t="s">
        <v>3950</v>
      </c>
      <c r="D225" s="1211"/>
      <c r="E225" s="1212"/>
      <c r="F225" s="684"/>
      <c r="I225" s="4"/>
    </row>
    <row r="226" spans="2:9" ht="14.45" customHeight="1">
      <c r="B226" s="13"/>
      <c r="C226" s="1213"/>
      <c r="D226" s="1213"/>
      <c r="E226" s="1210" t="s">
        <v>3946</v>
      </c>
      <c r="F226" s="685"/>
      <c r="I226" s="4"/>
    </row>
    <row r="227" spans="2:9" ht="14.45" customHeight="1">
      <c r="B227" s="1"/>
      <c r="C227" s="1211" t="s">
        <v>3951</v>
      </c>
      <c r="D227" s="1211"/>
      <c r="E227" s="1210"/>
      <c r="F227" s="685"/>
      <c r="I227" s="4"/>
    </row>
    <row r="228" spans="2:9" ht="14.45" customHeight="1">
      <c r="B228" s="1"/>
      <c r="C228" s="1211"/>
      <c r="D228" s="1211"/>
      <c r="E228" s="1210"/>
      <c r="I228" s="4"/>
    </row>
    <row r="229" spans="2:9" ht="14.45" customHeight="1">
      <c r="B229" s="13"/>
      <c r="C229" s="1213" t="s">
        <v>3952</v>
      </c>
      <c r="D229" s="1213"/>
      <c r="E229" s="1210"/>
      <c r="I229" s="4"/>
    </row>
    <row r="230" spans="2:9" ht="14.45" customHeight="1">
      <c r="B230" s="13"/>
      <c r="C230" s="1213" t="s">
        <v>3953</v>
      </c>
      <c r="D230" s="1213"/>
      <c r="E230" s="1210"/>
      <c r="I230" s="4"/>
    </row>
    <row r="231" spans="2:9" ht="14.45" customHeight="1">
      <c r="B231" s="13"/>
      <c r="C231" s="1214"/>
      <c r="D231" s="1213"/>
      <c r="E231" s="1210"/>
      <c r="I231" s="4"/>
    </row>
    <row r="232" spans="2:9" ht="14.45" customHeight="1">
      <c r="C232" s="1214"/>
      <c r="D232" s="1210"/>
      <c r="E232" s="1212"/>
      <c r="I232" s="4"/>
    </row>
    <row r="233" spans="2:9" ht="14.45" customHeight="1">
      <c r="B233" s="12"/>
      <c r="C233" s="1215" t="s">
        <v>3339</v>
      </c>
      <c r="D233" s="1210"/>
      <c r="E233" s="1210"/>
      <c r="I233" s="4"/>
    </row>
    <row r="234" spans="2:9" ht="14.45" customHeight="1">
      <c r="C234" s="1216" t="s">
        <v>3940</v>
      </c>
      <c r="D234" s="1216"/>
      <c r="E234" s="1216"/>
    </row>
    <row r="235" spans="2:9" ht="14.45" customHeight="1">
      <c r="C235" s="1215" t="s">
        <v>3941</v>
      </c>
      <c r="D235" s="1210"/>
      <c r="E235" s="1210"/>
    </row>
    <row r="236" spans="2:9" ht="14.45" customHeight="1">
      <c r="C236" s="1214"/>
      <c r="D236" s="1212"/>
      <c r="E236" s="1212"/>
    </row>
    <row r="237" spans="2:9" ht="14.45" customHeight="1">
      <c r="C237" s="1214"/>
      <c r="D237" s="1212"/>
      <c r="E237" s="1212"/>
    </row>
    <row r="238" spans="2:9" ht="14.45" customHeight="1">
      <c r="C238" s="1214"/>
      <c r="D238" s="1212"/>
      <c r="E238" s="1212"/>
    </row>
    <row r="239" spans="2:9" ht="14.25">
      <c r="C239" s="1214"/>
      <c r="D239" s="1212"/>
      <c r="E239" s="1212"/>
    </row>
    <row r="240" spans="2:9" ht="14.25">
      <c r="C240" s="1214"/>
      <c r="D240" s="1212"/>
      <c r="E240" s="1212"/>
    </row>
  </sheetData>
  <mergeCells count="171">
    <mergeCell ref="F187:G187"/>
    <mergeCell ref="F32:G32"/>
    <mergeCell ref="F33:G33"/>
    <mergeCell ref="F34:G34"/>
    <mergeCell ref="F35:G35"/>
    <mergeCell ref="F36:G36"/>
    <mergeCell ref="F40:G40"/>
    <mergeCell ref="F41:G41"/>
    <mergeCell ref="F42:G42"/>
    <mergeCell ref="F43:G43"/>
    <mergeCell ref="F44:G44"/>
    <mergeCell ref="F45:G45"/>
    <mergeCell ref="F46:G46"/>
    <mergeCell ref="F52:G52"/>
    <mergeCell ref="F53:G53"/>
    <mergeCell ref="F54:G54"/>
    <mergeCell ref="F55:G55"/>
    <mergeCell ref="F56:G56"/>
    <mergeCell ref="F47:G47"/>
    <mergeCell ref="F48:G48"/>
    <mergeCell ref="F49:G49"/>
    <mergeCell ref="F50:G50"/>
    <mergeCell ref="F51:G51"/>
    <mergeCell ref="F62:G62"/>
    <mergeCell ref="F26:G26"/>
    <mergeCell ref="F27:G27"/>
    <mergeCell ref="F28:G28"/>
    <mergeCell ref="F29:G29"/>
    <mergeCell ref="F30:G30"/>
    <mergeCell ref="F31:G31"/>
    <mergeCell ref="F37:G37"/>
    <mergeCell ref="F38:G38"/>
    <mergeCell ref="F39:G39"/>
    <mergeCell ref="F17:G17"/>
    <mergeCell ref="F18:G18"/>
    <mergeCell ref="F19:G19"/>
    <mergeCell ref="F20:G20"/>
    <mergeCell ref="F21:G21"/>
    <mergeCell ref="F22:G22"/>
    <mergeCell ref="F23:G23"/>
    <mergeCell ref="F24:G24"/>
    <mergeCell ref="F25:G25"/>
    <mergeCell ref="F63:G63"/>
    <mergeCell ref="F64:G64"/>
    <mergeCell ref="F65:G65"/>
    <mergeCell ref="F66:G66"/>
    <mergeCell ref="F57:G57"/>
    <mergeCell ref="F58:G58"/>
    <mergeCell ref="F59:G59"/>
    <mergeCell ref="F60:G60"/>
    <mergeCell ref="F61:G61"/>
    <mergeCell ref="F72:G72"/>
    <mergeCell ref="F73:G73"/>
    <mergeCell ref="F74:G74"/>
    <mergeCell ref="F75:G75"/>
    <mergeCell ref="F76:G76"/>
    <mergeCell ref="F67:G67"/>
    <mergeCell ref="F68:G68"/>
    <mergeCell ref="F69:G69"/>
    <mergeCell ref="F70:G70"/>
    <mergeCell ref="F71:G71"/>
    <mergeCell ref="F82:G82"/>
    <mergeCell ref="F83:G83"/>
    <mergeCell ref="F84:G84"/>
    <mergeCell ref="F85:G85"/>
    <mergeCell ref="F86:G86"/>
    <mergeCell ref="F77:G77"/>
    <mergeCell ref="F78:G78"/>
    <mergeCell ref="F79:G79"/>
    <mergeCell ref="F80:G80"/>
    <mergeCell ref="F81:G81"/>
    <mergeCell ref="F92:G92"/>
    <mergeCell ref="F93:G93"/>
    <mergeCell ref="F94:G94"/>
    <mergeCell ref="F95:G95"/>
    <mergeCell ref="F96:G96"/>
    <mergeCell ref="F87:G87"/>
    <mergeCell ref="F88:G88"/>
    <mergeCell ref="F89:G89"/>
    <mergeCell ref="F90:G90"/>
    <mergeCell ref="F91:G91"/>
    <mergeCell ref="F102:G102"/>
    <mergeCell ref="F103:G103"/>
    <mergeCell ref="F104:G104"/>
    <mergeCell ref="F105:G105"/>
    <mergeCell ref="F106:G106"/>
    <mergeCell ref="F97:G97"/>
    <mergeCell ref="F98:G98"/>
    <mergeCell ref="F99:G99"/>
    <mergeCell ref="F100:G100"/>
    <mergeCell ref="F101:G101"/>
    <mergeCell ref="F112:G112"/>
    <mergeCell ref="F113:G113"/>
    <mergeCell ref="F114:G114"/>
    <mergeCell ref="F115:G115"/>
    <mergeCell ref="F116:G116"/>
    <mergeCell ref="F107:G107"/>
    <mergeCell ref="F108:G108"/>
    <mergeCell ref="F109:G109"/>
    <mergeCell ref="F110:G110"/>
    <mergeCell ref="F111:G111"/>
    <mergeCell ref="F122:G122"/>
    <mergeCell ref="F123:G123"/>
    <mergeCell ref="F124:G124"/>
    <mergeCell ref="F125:G125"/>
    <mergeCell ref="F126:G126"/>
    <mergeCell ref="F117:G117"/>
    <mergeCell ref="F118:G118"/>
    <mergeCell ref="F119:G119"/>
    <mergeCell ref="F120:G120"/>
    <mergeCell ref="F121:G121"/>
    <mergeCell ref="F132:G132"/>
    <mergeCell ref="F133:G133"/>
    <mergeCell ref="F134:G134"/>
    <mergeCell ref="F135:G135"/>
    <mergeCell ref="F136:G136"/>
    <mergeCell ref="F127:G127"/>
    <mergeCell ref="F128:G128"/>
    <mergeCell ref="F129:G129"/>
    <mergeCell ref="F130:G130"/>
    <mergeCell ref="F131:G131"/>
    <mergeCell ref="F142:G142"/>
    <mergeCell ref="F143:G143"/>
    <mergeCell ref="F144:G144"/>
    <mergeCell ref="F145:G145"/>
    <mergeCell ref="F146:G146"/>
    <mergeCell ref="F137:G137"/>
    <mergeCell ref="F138:G138"/>
    <mergeCell ref="F139:G139"/>
    <mergeCell ref="F140:G140"/>
    <mergeCell ref="F141:G141"/>
    <mergeCell ref="F152:G152"/>
    <mergeCell ref="F153:G153"/>
    <mergeCell ref="F154:G154"/>
    <mergeCell ref="F155:G155"/>
    <mergeCell ref="F156:G156"/>
    <mergeCell ref="F147:G147"/>
    <mergeCell ref="F148:G148"/>
    <mergeCell ref="F149:G149"/>
    <mergeCell ref="F150:G150"/>
    <mergeCell ref="F151:G151"/>
    <mergeCell ref="F162:G162"/>
    <mergeCell ref="F163:G163"/>
    <mergeCell ref="F164:G164"/>
    <mergeCell ref="F165:G165"/>
    <mergeCell ref="F166:G166"/>
    <mergeCell ref="F157:G157"/>
    <mergeCell ref="F158:G158"/>
    <mergeCell ref="F159:G159"/>
    <mergeCell ref="F160:G160"/>
    <mergeCell ref="F161:G161"/>
    <mergeCell ref="F172:G172"/>
    <mergeCell ref="F173:G173"/>
    <mergeCell ref="F174:G174"/>
    <mergeCell ref="F175:G175"/>
    <mergeCell ref="F176:G176"/>
    <mergeCell ref="F167:G167"/>
    <mergeCell ref="F168:G168"/>
    <mergeCell ref="F169:G169"/>
    <mergeCell ref="F170:G170"/>
    <mergeCell ref="F171:G171"/>
    <mergeCell ref="F182:G182"/>
    <mergeCell ref="F183:G183"/>
    <mergeCell ref="F184:G184"/>
    <mergeCell ref="F185:G185"/>
    <mergeCell ref="F186:G186"/>
    <mergeCell ref="F177:G177"/>
    <mergeCell ref="F178:G178"/>
    <mergeCell ref="F179:G179"/>
    <mergeCell ref="F180:G180"/>
    <mergeCell ref="F181:G181"/>
  </mergeCells>
  <phoneticPr fontId="27" type="noConversion"/>
  <pageMargins left="0.7" right="0.7" top="0.75" bottom="0.75" header="0.3" footer="0.3"/>
  <pageSetup paperSize="9" scale="10"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IQ43"/>
  <sheetViews>
    <sheetView zoomScale="85" zoomScaleNormal="85" workbookViewId="0">
      <selection activeCell="C8" sqref="C8"/>
    </sheetView>
  </sheetViews>
  <sheetFormatPr baseColWidth="10" defaultRowHeight="15"/>
  <cols>
    <col min="1" max="1" width="11.42578125" style="997"/>
    <col min="2" max="2" width="3.7109375" style="997" bestFit="1" customWidth="1"/>
    <col min="3" max="3" width="102.7109375" style="997" customWidth="1"/>
    <col min="4" max="16384" width="11.42578125" style="997"/>
  </cols>
  <sheetData>
    <row r="1" spans="1:251" s="991" customFormat="1" ht="14.1" customHeight="1"/>
    <row r="2" spans="1:251" s="991" customFormat="1" ht="14.1" customHeight="1">
      <c r="B2" s="992"/>
    </row>
    <row r="7" spans="1:251" s="991" customFormat="1" ht="14.1" customHeight="1">
      <c r="B7" s="995"/>
      <c r="C7" s="193"/>
      <c r="D7" s="994"/>
      <c r="E7" s="994"/>
      <c r="F7" s="994"/>
      <c r="G7" s="994"/>
      <c r="H7" s="994"/>
      <c r="I7" s="994"/>
    </row>
    <row r="8" spans="1:251" s="126" customFormat="1" ht="12.75">
      <c r="A8" s="1094"/>
      <c r="B8" s="1162" t="s">
        <v>1591</v>
      </c>
      <c r="C8" s="1163" t="s">
        <v>3710</v>
      </c>
      <c r="E8" s="876"/>
      <c r="F8" s="879"/>
      <c r="G8" s="877"/>
      <c r="H8" s="877"/>
      <c r="I8" s="877"/>
      <c r="J8" s="878"/>
      <c r="K8" s="1094"/>
      <c r="L8" s="412"/>
      <c r="M8" s="1094"/>
      <c r="N8" s="411"/>
      <c r="O8" s="652"/>
    </row>
    <row r="9" spans="1:251" s="126" customFormat="1" ht="12.75">
      <c r="A9" s="1094"/>
      <c r="B9" s="1164"/>
      <c r="C9" s="1163" t="s">
        <v>3711</v>
      </c>
      <c r="E9" s="876"/>
      <c r="F9" s="879"/>
      <c r="G9" s="877"/>
      <c r="H9" s="877"/>
      <c r="I9" s="877"/>
      <c r="J9" s="878"/>
      <c r="K9" s="1094"/>
      <c r="L9" s="412"/>
      <c r="M9" s="1094"/>
      <c r="N9" s="411"/>
      <c r="O9" s="652"/>
    </row>
    <row r="10" spans="1:251" s="126" customFormat="1" ht="12.75">
      <c r="A10" s="1094"/>
      <c r="B10" s="1164"/>
      <c r="C10" s="1163" t="s">
        <v>3712</v>
      </c>
      <c r="E10" s="876"/>
      <c r="F10" s="879"/>
      <c r="G10" s="877"/>
      <c r="H10" s="877"/>
      <c r="I10" s="877"/>
      <c r="J10" s="878"/>
      <c r="K10" s="1094"/>
      <c r="L10" s="412"/>
      <c r="M10" s="1094"/>
      <c r="N10" s="411"/>
      <c r="O10" s="652"/>
    </row>
    <row r="11" spans="1:251" s="22" customFormat="1" ht="12" customHeight="1">
      <c r="A11" s="760"/>
      <c r="B11" s="761"/>
      <c r="C11" s="762"/>
      <c r="D11" s="762"/>
      <c r="E11" s="1089"/>
      <c r="F11" s="1090"/>
      <c r="G11" s="1090"/>
      <c r="H11" s="1090"/>
      <c r="I11" s="1090"/>
      <c r="J11" s="1090"/>
      <c r="K11" s="1091"/>
      <c r="L11" s="1091"/>
      <c r="M11" s="1091"/>
      <c r="N11" s="411"/>
      <c r="O11" s="881"/>
      <c r="P11" s="880"/>
      <c r="Q11" s="126" t="str">
        <f>IF(O11&lt;&gt;"",D11,"")</f>
        <v/>
      </c>
      <c r="R11" s="880"/>
      <c r="S11" s="880"/>
      <c r="T11" s="880"/>
      <c r="U11" s="880"/>
      <c r="V11" s="880"/>
      <c r="W11" s="880"/>
      <c r="X11" s="880"/>
      <c r="Y11" s="880"/>
      <c r="Z11" s="880"/>
      <c r="AA11" s="880"/>
      <c r="AB11" s="880"/>
      <c r="AC11" s="880"/>
      <c r="AD11" s="880"/>
      <c r="AE11" s="880"/>
      <c r="AF11" s="880"/>
      <c r="AG11" s="880"/>
      <c r="AH11" s="880"/>
      <c r="AI11" s="880"/>
      <c r="AJ11" s="880"/>
      <c r="AK11" s="880"/>
      <c r="AL11" s="880"/>
      <c r="AM11" s="880"/>
      <c r="AN11" s="880"/>
      <c r="AO11" s="880"/>
      <c r="AP11" s="880"/>
      <c r="AQ11" s="880"/>
      <c r="AR11" s="880"/>
      <c r="AS11" s="880"/>
      <c r="AT11" s="880"/>
      <c r="AU11" s="880"/>
      <c r="AV11" s="880"/>
      <c r="AW11" s="880"/>
      <c r="AX11" s="880"/>
      <c r="AY11" s="880"/>
      <c r="AZ11" s="880"/>
      <c r="BA11" s="880"/>
      <c r="BB11" s="880"/>
      <c r="BC11" s="880"/>
      <c r="BD11" s="880"/>
      <c r="BE11" s="880"/>
      <c r="BF11" s="880"/>
      <c r="BG11" s="880"/>
      <c r="BH11" s="880"/>
      <c r="BI11" s="880"/>
      <c r="BJ11" s="880"/>
      <c r="BK11" s="880"/>
      <c r="BL11" s="880"/>
      <c r="BM11" s="880"/>
      <c r="BN11" s="880"/>
      <c r="BO11" s="880"/>
      <c r="BP11" s="880"/>
      <c r="BQ11" s="880"/>
      <c r="BR11" s="880"/>
      <c r="BS11" s="880"/>
      <c r="BT11" s="880"/>
      <c r="BU11" s="880"/>
      <c r="BV11" s="880"/>
      <c r="BW11" s="880"/>
      <c r="BX11" s="880"/>
      <c r="BY11" s="880"/>
      <c r="BZ11" s="880"/>
      <c r="CA11" s="880"/>
      <c r="CB11" s="880"/>
      <c r="CC11" s="880"/>
      <c r="CD11" s="880"/>
      <c r="CE11" s="880"/>
      <c r="CF11" s="880"/>
      <c r="CG11" s="880"/>
      <c r="CH11" s="880"/>
      <c r="CI11" s="880"/>
      <c r="CJ11" s="880"/>
      <c r="CK11" s="880"/>
      <c r="CL11" s="880"/>
      <c r="CM11" s="880"/>
      <c r="CN11" s="880"/>
      <c r="CO11" s="880"/>
      <c r="CP11" s="880"/>
      <c r="CQ11" s="880"/>
      <c r="CR11" s="880"/>
      <c r="CS11" s="880"/>
      <c r="CT11" s="880"/>
      <c r="CU11" s="880"/>
      <c r="CV11" s="880"/>
      <c r="CW11" s="880"/>
      <c r="CX11" s="880"/>
      <c r="CY11" s="880"/>
      <c r="CZ11" s="880"/>
      <c r="DA11" s="880"/>
      <c r="DB11" s="880"/>
      <c r="DC11" s="880"/>
      <c r="DD11" s="880"/>
      <c r="DE11" s="880"/>
      <c r="DF11" s="880"/>
      <c r="DG11" s="880"/>
      <c r="DH11" s="880"/>
      <c r="DI11" s="880"/>
      <c r="DJ11" s="880"/>
      <c r="DK11" s="880"/>
      <c r="DL11" s="880"/>
      <c r="DM11" s="880"/>
      <c r="DN11" s="880"/>
      <c r="DO11" s="880"/>
      <c r="DP11" s="880"/>
      <c r="DQ11" s="880"/>
      <c r="DR11" s="880"/>
      <c r="DS11" s="880"/>
      <c r="DT11" s="880"/>
      <c r="DU11" s="880"/>
      <c r="DV11" s="880"/>
      <c r="DW11" s="880"/>
      <c r="DX11" s="880"/>
      <c r="DY11" s="880"/>
      <c r="DZ11" s="880"/>
      <c r="EA11" s="880"/>
      <c r="EB11" s="880"/>
      <c r="EC11" s="880"/>
      <c r="ED11" s="880"/>
      <c r="EE11" s="880"/>
      <c r="EF11" s="880"/>
      <c r="EG11" s="880"/>
      <c r="EH11" s="880"/>
      <c r="EI11" s="880"/>
      <c r="EJ11" s="880"/>
      <c r="EK11" s="880"/>
      <c r="EL11" s="880"/>
      <c r="EM11" s="880"/>
      <c r="EN11" s="880"/>
      <c r="EO11" s="880"/>
      <c r="EP11" s="880"/>
      <c r="EQ11" s="880"/>
      <c r="ER11" s="880"/>
      <c r="ES11" s="880"/>
      <c r="ET11" s="880"/>
      <c r="EU11" s="880"/>
      <c r="EV11" s="880"/>
      <c r="EW11" s="880"/>
      <c r="EX11" s="880"/>
      <c r="EY11" s="880"/>
      <c r="EZ11" s="880"/>
      <c r="FA11" s="880"/>
      <c r="FB11" s="880"/>
      <c r="FC11" s="880"/>
      <c r="FD11" s="880"/>
      <c r="FE11" s="880"/>
      <c r="FF11" s="880"/>
      <c r="FG11" s="880"/>
      <c r="FH11" s="880"/>
      <c r="FI11" s="880"/>
      <c r="FJ11" s="880"/>
      <c r="FK11" s="880"/>
      <c r="FL11" s="880"/>
      <c r="FM11" s="880"/>
      <c r="FN11" s="880"/>
      <c r="FO11" s="880"/>
      <c r="FP11" s="880"/>
      <c r="FQ11" s="880"/>
      <c r="FR11" s="880"/>
      <c r="FS11" s="880"/>
      <c r="FT11" s="880"/>
      <c r="FU11" s="880"/>
      <c r="FV11" s="880"/>
      <c r="FW11" s="880"/>
      <c r="FX11" s="880"/>
      <c r="FY11" s="880"/>
      <c r="FZ11" s="880"/>
      <c r="GA11" s="880"/>
      <c r="GB11" s="880"/>
      <c r="GC11" s="880"/>
      <c r="GD11" s="880"/>
      <c r="GE11" s="880"/>
      <c r="GF11" s="880"/>
      <c r="GG11" s="880"/>
      <c r="GH11" s="880"/>
      <c r="GI11" s="880"/>
      <c r="GJ11" s="880"/>
      <c r="GK11" s="880"/>
      <c r="GL11" s="880"/>
      <c r="GM11" s="880"/>
      <c r="GN11" s="880"/>
      <c r="GO11" s="880"/>
      <c r="GP11" s="880"/>
      <c r="GQ11" s="880"/>
      <c r="GR11" s="880"/>
      <c r="GS11" s="880"/>
      <c r="GT11" s="880"/>
      <c r="GU11" s="880"/>
      <c r="GV11" s="880"/>
      <c r="GW11" s="880"/>
      <c r="GX11" s="880"/>
      <c r="GY11" s="880"/>
      <c r="GZ11" s="880"/>
      <c r="HA11" s="880"/>
      <c r="HB11" s="880"/>
      <c r="HC11" s="880"/>
      <c r="HD11" s="880"/>
      <c r="HE11" s="880"/>
      <c r="HF11" s="880"/>
      <c r="HG11" s="880"/>
      <c r="HH11" s="880"/>
      <c r="HI11" s="880"/>
      <c r="HJ11" s="880"/>
      <c r="HK11" s="880"/>
      <c r="HL11" s="880"/>
      <c r="HM11" s="880"/>
      <c r="HN11" s="880"/>
      <c r="HO11" s="880"/>
      <c r="HP11" s="880"/>
      <c r="HQ11" s="880"/>
      <c r="HR11" s="880"/>
      <c r="HS11" s="880"/>
      <c r="HT11" s="880"/>
      <c r="HU11" s="880"/>
      <c r="HV11" s="880"/>
      <c r="HW11" s="880"/>
      <c r="HX11" s="880"/>
      <c r="HY11" s="880"/>
      <c r="HZ11" s="880"/>
      <c r="IA11" s="880"/>
      <c r="IB11" s="880"/>
      <c r="IC11" s="880"/>
      <c r="ID11" s="880"/>
      <c r="IE11" s="880"/>
      <c r="IF11" s="880"/>
      <c r="IG11" s="880"/>
      <c r="IH11" s="880"/>
      <c r="II11" s="880"/>
      <c r="IJ11" s="880"/>
      <c r="IK11" s="880"/>
      <c r="IL11" s="880"/>
      <c r="IM11" s="880"/>
      <c r="IN11" s="880"/>
      <c r="IO11" s="880"/>
      <c r="IP11" s="880"/>
      <c r="IQ11" s="880"/>
    </row>
    <row r="12" spans="1:251" s="991" customFormat="1" ht="14.1" customHeight="1">
      <c r="B12" s="995"/>
      <c r="C12" s="994"/>
      <c r="D12" s="994"/>
      <c r="E12" s="994"/>
      <c r="F12" s="994"/>
      <c r="G12" s="994"/>
      <c r="H12" s="994"/>
      <c r="I12" s="994"/>
    </row>
    <row r="13" spans="1:251" s="991" customFormat="1" ht="14.1" customHeight="1">
      <c r="B13" s="993" t="s">
        <v>1833</v>
      </c>
      <c r="C13" s="193" t="s">
        <v>6231</v>
      </c>
      <c r="D13" s="994"/>
      <c r="E13" s="994"/>
      <c r="F13" s="994"/>
      <c r="G13" s="994"/>
      <c r="H13" s="994"/>
      <c r="I13" s="994"/>
    </row>
    <row r="14" spans="1:251" s="991" customFormat="1" ht="14.1" customHeight="1">
      <c r="B14" s="909"/>
      <c r="C14" s="193" t="s">
        <v>3125</v>
      </c>
      <c r="D14" s="994"/>
      <c r="E14" s="994"/>
      <c r="F14" s="994"/>
      <c r="G14" s="994"/>
      <c r="H14" s="994"/>
      <c r="I14" s="994"/>
    </row>
    <row r="15" spans="1:251" s="991" customFormat="1" ht="14.1" customHeight="1">
      <c r="B15" s="909"/>
      <c r="C15" s="193" t="s">
        <v>3126</v>
      </c>
      <c r="D15" s="994"/>
      <c r="E15" s="994"/>
      <c r="F15" s="994"/>
      <c r="G15" s="994"/>
      <c r="H15" s="994"/>
      <c r="I15" s="994"/>
    </row>
    <row r="16" spans="1:251" s="991" customFormat="1" ht="14.1" customHeight="1">
      <c r="B16" s="995"/>
      <c r="C16" s="193" t="s">
        <v>3127</v>
      </c>
      <c r="D16" s="994"/>
      <c r="E16" s="994"/>
      <c r="F16" s="994"/>
      <c r="G16" s="994"/>
      <c r="H16" s="994"/>
      <c r="I16" s="994"/>
    </row>
    <row r="17" spans="2:9" s="991" customFormat="1" ht="14.1" customHeight="1">
      <c r="B17" s="995"/>
      <c r="C17" s="996" t="s">
        <v>3128</v>
      </c>
      <c r="D17" s="994"/>
      <c r="E17" s="994"/>
      <c r="F17" s="994"/>
      <c r="G17" s="994"/>
      <c r="H17" s="994"/>
      <c r="I17" s="994"/>
    </row>
    <row r="18" spans="2:9" s="991" customFormat="1" ht="14.1" customHeight="1">
      <c r="B18" s="995"/>
      <c r="C18" s="193" t="s">
        <v>3129</v>
      </c>
      <c r="D18" s="994"/>
      <c r="E18" s="994"/>
      <c r="F18" s="994"/>
      <c r="G18" s="994"/>
      <c r="H18" s="994"/>
      <c r="I18" s="994"/>
    </row>
    <row r="19" spans="2:9" s="991" customFormat="1" ht="14.1" customHeight="1">
      <c r="B19" s="995"/>
      <c r="C19" s="193"/>
      <c r="D19" s="994"/>
      <c r="E19" s="994"/>
      <c r="F19" s="994"/>
      <c r="G19" s="994"/>
      <c r="H19" s="994"/>
      <c r="I19" s="994"/>
    </row>
    <row r="20" spans="2:9" s="991" customFormat="1" ht="14.1" customHeight="1">
      <c r="B20" s="995"/>
      <c r="C20" s="994"/>
      <c r="D20" s="994"/>
      <c r="E20" s="994"/>
      <c r="F20" s="994"/>
      <c r="G20" s="994"/>
      <c r="H20" s="994"/>
      <c r="I20" s="994"/>
    </row>
    <row r="21" spans="2:9" s="991" customFormat="1" ht="14.1" customHeight="1">
      <c r="B21" s="993" t="s">
        <v>1833</v>
      </c>
      <c r="C21" s="193" t="s">
        <v>3124</v>
      </c>
      <c r="D21" s="994"/>
      <c r="E21" s="994"/>
      <c r="F21" s="994"/>
      <c r="G21" s="994"/>
      <c r="H21" s="994"/>
      <c r="I21" s="994"/>
    </row>
    <row r="22" spans="2:9" s="991" customFormat="1" ht="14.1" customHeight="1">
      <c r="B22" s="909"/>
      <c r="C22" s="193" t="s">
        <v>3130</v>
      </c>
      <c r="D22" s="994"/>
      <c r="E22" s="994"/>
      <c r="F22" s="994"/>
      <c r="G22" s="994"/>
      <c r="H22" s="994"/>
      <c r="I22" s="994"/>
    </row>
    <row r="23" spans="2:9" s="991" customFormat="1" ht="14.1" customHeight="1">
      <c r="B23" s="995"/>
      <c r="C23" s="193" t="s">
        <v>3131</v>
      </c>
      <c r="D23" s="994"/>
      <c r="E23" s="994"/>
      <c r="F23" s="994"/>
      <c r="G23" s="994"/>
      <c r="H23" s="994"/>
      <c r="I23" s="994"/>
    </row>
    <row r="24" spans="2:9" s="991" customFormat="1" ht="14.1" customHeight="1">
      <c r="B24" s="995"/>
      <c r="C24" s="193"/>
      <c r="D24" s="994"/>
      <c r="E24" s="994"/>
      <c r="F24" s="994"/>
      <c r="G24" s="994"/>
      <c r="H24" s="994"/>
      <c r="I24" s="994"/>
    </row>
    <row r="25" spans="2:9" s="991" customFormat="1" ht="14.1" customHeight="1">
      <c r="B25" s="995"/>
      <c r="C25" s="994"/>
      <c r="D25" s="994"/>
      <c r="E25" s="994"/>
      <c r="F25" s="994"/>
      <c r="G25" s="994"/>
      <c r="H25" s="994"/>
      <c r="I25" s="994"/>
    </row>
    <row r="26" spans="2:9" s="991" customFormat="1" ht="14.1" customHeight="1">
      <c r="B26" s="993" t="s">
        <v>1833</v>
      </c>
      <c r="C26" s="193" t="s">
        <v>3132</v>
      </c>
      <c r="D26" s="994"/>
      <c r="E26" s="994"/>
      <c r="F26" s="994"/>
      <c r="G26" s="994"/>
      <c r="H26" s="994"/>
      <c r="I26" s="994"/>
    </row>
    <row r="27" spans="2:9" s="991" customFormat="1" ht="14.1" customHeight="1">
      <c r="B27" s="909"/>
      <c r="C27" s="193" t="s">
        <v>3133</v>
      </c>
      <c r="D27" s="994"/>
      <c r="E27" s="994"/>
      <c r="F27" s="994"/>
      <c r="G27" s="994"/>
      <c r="H27" s="994"/>
      <c r="I27" s="994"/>
    </row>
    <row r="28" spans="2:9" s="991" customFormat="1" ht="14.1" customHeight="1">
      <c r="B28" s="909"/>
      <c r="C28" s="193"/>
      <c r="D28" s="994"/>
      <c r="E28" s="994"/>
      <c r="F28" s="994"/>
      <c r="G28" s="994"/>
      <c r="H28" s="994"/>
      <c r="I28" s="994"/>
    </row>
    <row r="29" spans="2:9" s="991" customFormat="1" ht="14.1" customHeight="1">
      <c r="B29" s="995"/>
      <c r="C29" s="994"/>
      <c r="D29" s="994"/>
      <c r="E29" s="994"/>
      <c r="F29" s="994"/>
      <c r="G29" s="994"/>
      <c r="H29" s="994"/>
      <c r="I29" s="994"/>
    </row>
    <row r="30" spans="2:9" s="991" customFormat="1" ht="14.1" customHeight="1">
      <c r="B30" s="993" t="s">
        <v>1833</v>
      </c>
      <c r="C30" s="193" t="s">
        <v>3134</v>
      </c>
      <c r="D30" s="994"/>
      <c r="E30" s="994"/>
      <c r="F30" s="994"/>
      <c r="G30" s="994"/>
      <c r="H30" s="994"/>
      <c r="I30" s="994"/>
    </row>
    <row r="31" spans="2:9" s="991" customFormat="1" ht="14.1" customHeight="1">
      <c r="B31" s="909"/>
      <c r="C31" s="193" t="s">
        <v>3133</v>
      </c>
      <c r="D31" s="994"/>
      <c r="E31" s="994"/>
      <c r="F31" s="994"/>
      <c r="G31" s="994"/>
      <c r="H31" s="994"/>
      <c r="I31" s="994"/>
    </row>
    <row r="32" spans="2:9" s="991" customFormat="1" ht="14.1" customHeight="1">
      <c r="B32" s="995"/>
      <c r="C32" s="994"/>
      <c r="D32" s="994"/>
      <c r="E32" s="994"/>
      <c r="F32" s="994"/>
      <c r="G32" s="994"/>
      <c r="H32" s="994"/>
      <c r="I32" s="994"/>
    </row>
    <row r="33" s="991" customFormat="1" ht="14.1" customHeight="1"/>
    <row r="34" s="991" customFormat="1" ht="14.1" customHeight="1"/>
    <row r="35" s="991" customFormat="1" ht="14.1" customHeight="1"/>
    <row r="36" s="991" customFormat="1" ht="14.1" customHeight="1"/>
    <row r="37" s="991" customFormat="1" ht="14.1" customHeight="1"/>
    <row r="38" s="991" customFormat="1" ht="14.1" customHeight="1"/>
    <row r="39" s="991" customFormat="1" ht="14.1" customHeight="1"/>
    <row r="40" s="991" customFormat="1" ht="14.1" customHeight="1"/>
    <row r="41" s="991" customFormat="1" ht="14.1" customHeight="1"/>
    <row r="42" ht="14.1" customHeight="1"/>
    <row r="43" ht="14.1" customHeight="1"/>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B1:Q48"/>
  <sheetViews>
    <sheetView zoomScale="85" zoomScaleNormal="85" workbookViewId="0">
      <selection activeCell="C47" sqref="C47"/>
    </sheetView>
  </sheetViews>
  <sheetFormatPr baseColWidth="10" defaultRowHeight="15"/>
  <cols>
    <col min="1" max="1" width="11.42578125" style="997"/>
    <col min="2" max="2" width="3.7109375" style="998" bestFit="1" customWidth="1"/>
    <col min="3" max="3" width="87.140625" style="997" bestFit="1" customWidth="1"/>
    <col min="4" max="16384" width="11.42578125" style="997"/>
  </cols>
  <sheetData>
    <row r="1" spans="2:17" s="991" customFormat="1" ht="14.1" customHeight="1">
      <c r="B1" s="992"/>
    </row>
    <row r="2" spans="2:17" s="991" customFormat="1" ht="14.1" customHeight="1">
      <c r="B2" s="909"/>
      <c r="C2" s="193"/>
    </row>
    <row r="3" spans="2:17" s="991" customFormat="1" ht="14.1" customHeight="1">
      <c r="B3" s="909" t="s">
        <v>1833</v>
      </c>
      <c r="C3" s="193" t="s">
        <v>3135</v>
      </c>
      <c r="D3" s="994"/>
      <c r="E3" s="994"/>
      <c r="F3" s="994"/>
      <c r="G3" s="994"/>
      <c r="H3" s="994"/>
      <c r="I3" s="994"/>
      <c r="J3" s="994"/>
      <c r="K3" s="994"/>
      <c r="L3" s="994"/>
      <c r="M3" s="994"/>
      <c r="N3" s="994"/>
      <c r="O3" s="994"/>
      <c r="P3" s="994"/>
      <c r="Q3" s="994"/>
    </row>
    <row r="4" spans="2:17" s="991" customFormat="1" ht="14.1" customHeight="1">
      <c r="B4" s="909"/>
      <c r="C4" s="193" t="s">
        <v>3136</v>
      </c>
      <c r="D4" s="994"/>
      <c r="E4" s="994"/>
      <c r="F4" s="994"/>
      <c r="G4" s="994"/>
      <c r="H4" s="994"/>
      <c r="I4" s="994"/>
      <c r="J4" s="994"/>
      <c r="K4" s="994"/>
      <c r="L4" s="994"/>
      <c r="M4" s="994"/>
      <c r="N4" s="994"/>
      <c r="O4" s="994"/>
      <c r="P4" s="994"/>
      <c r="Q4" s="994"/>
    </row>
    <row r="5" spans="2:17" s="991" customFormat="1" ht="14.1" customHeight="1">
      <c r="B5" s="909"/>
      <c r="C5" s="193"/>
      <c r="D5" s="994"/>
      <c r="E5" s="994"/>
      <c r="F5" s="994"/>
      <c r="G5" s="994"/>
      <c r="H5" s="994"/>
      <c r="I5" s="994"/>
      <c r="J5" s="994"/>
      <c r="K5" s="994"/>
      <c r="L5" s="994"/>
      <c r="M5" s="994"/>
      <c r="N5" s="994"/>
      <c r="O5" s="994"/>
      <c r="P5" s="994"/>
      <c r="Q5" s="994"/>
    </row>
    <row r="6" spans="2:17" s="991" customFormat="1" ht="14.1" customHeight="1">
      <c r="B6" s="909" t="s">
        <v>1833</v>
      </c>
      <c r="C6" s="193" t="s">
        <v>3137</v>
      </c>
      <c r="D6" s="994"/>
      <c r="E6" s="994"/>
      <c r="F6" s="994"/>
      <c r="G6" s="994"/>
      <c r="H6" s="994"/>
      <c r="I6" s="994"/>
      <c r="J6" s="994"/>
      <c r="K6" s="994"/>
      <c r="L6" s="994"/>
      <c r="M6" s="994"/>
      <c r="N6" s="994"/>
      <c r="O6" s="994"/>
      <c r="P6" s="994"/>
      <c r="Q6" s="994"/>
    </row>
    <row r="7" spans="2:17" s="991" customFormat="1" ht="14.1" customHeight="1">
      <c r="B7" s="909"/>
      <c r="C7" s="193" t="s">
        <v>3138</v>
      </c>
      <c r="D7" s="994"/>
      <c r="E7" s="994"/>
      <c r="F7" s="994"/>
      <c r="G7" s="994"/>
      <c r="H7" s="994"/>
      <c r="I7" s="994"/>
      <c r="J7" s="994"/>
      <c r="K7" s="994"/>
      <c r="L7" s="994"/>
      <c r="M7" s="994"/>
      <c r="N7" s="994"/>
      <c r="O7" s="994"/>
      <c r="P7" s="994"/>
      <c r="Q7" s="994"/>
    </row>
    <row r="8" spans="2:17" s="991" customFormat="1" ht="14.1" customHeight="1">
      <c r="B8" s="909"/>
      <c r="C8" s="193" t="s">
        <v>3139</v>
      </c>
      <c r="D8" s="994"/>
      <c r="E8" s="994"/>
      <c r="F8" s="994"/>
      <c r="G8" s="994"/>
      <c r="H8" s="994"/>
      <c r="I8" s="994"/>
      <c r="J8" s="994"/>
      <c r="K8" s="994"/>
      <c r="L8" s="994"/>
      <c r="M8" s="994"/>
      <c r="N8" s="994"/>
      <c r="O8" s="994"/>
      <c r="P8" s="994"/>
      <c r="Q8" s="994"/>
    </row>
    <row r="9" spans="2:17" s="991" customFormat="1" ht="14.1" customHeight="1">
      <c r="B9" s="909"/>
      <c r="C9" s="193"/>
      <c r="D9" s="994"/>
      <c r="E9" s="994"/>
      <c r="F9" s="994"/>
      <c r="G9" s="994"/>
      <c r="H9" s="994"/>
      <c r="I9" s="994"/>
      <c r="J9" s="994"/>
      <c r="K9" s="994"/>
      <c r="L9" s="994"/>
      <c r="M9" s="994"/>
      <c r="N9" s="994"/>
      <c r="O9" s="994"/>
      <c r="P9" s="994"/>
      <c r="Q9" s="994"/>
    </row>
    <row r="10" spans="2:17" s="991" customFormat="1" ht="14.1" customHeight="1">
      <c r="B10" s="909" t="s">
        <v>1833</v>
      </c>
      <c r="C10" s="193" t="s">
        <v>3140</v>
      </c>
      <c r="D10" s="994"/>
      <c r="E10" s="994"/>
      <c r="F10" s="994"/>
      <c r="G10" s="994"/>
      <c r="H10" s="994"/>
      <c r="I10" s="994"/>
      <c r="J10" s="994"/>
      <c r="K10" s="994"/>
      <c r="L10" s="994"/>
      <c r="M10" s="994"/>
      <c r="N10" s="994"/>
      <c r="O10" s="994"/>
      <c r="P10" s="994"/>
      <c r="Q10" s="994"/>
    </row>
    <row r="11" spans="2:17" s="991" customFormat="1" ht="14.1" customHeight="1">
      <c r="B11" s="909"/>
      <c r="C11" s="193" t="s">
        <v>3141</v>
      </c>
      <c r="D11" s="994"/>
      <c r="E11" s="994"/>
      <c r="F11" s="994"/>
      <c r="G11" s="994"/>
      <c r="H11" s="994"/>
      <c r="I11" s="994"/>
      <c r="J11" s="994"/>
      <c r="K11" s="994"/>
      <c r="L11" s="994"/>
      <c r="M11" s="994"/>
      <c r="N11" s="994"/>
      <c r="O11" s="994"/>
      <c r="P11" s="994"/>
      <c r="Q11" s="994"/>
    </row>
    <row r="12" spans="2:17" s="991" customFormat="1" ht="14.1" customHeight="1">
      <c r="B12" s="909"/>
      <c r="C12" s="193" t="s">
        <v>3142</v>
      </c>
      <c r="D12" s="994"/>
      <c r="E12" s="994"/>
      <c r="F12" s="994"/>
      <c r="G12" s="994"/>
      <c r="H12" s="994"/>
      <c r="I12" s="994"/>
      <c r="J12" s="994"/>
      <c r="K12" s="994"/>
      <c r="L12" s="994"/>
      <c r="M12" s="994"/>
      <c r="N12" s="994"/>
      <c r="O12" s="994"/>
      <c r="P12" s="994"/>
      <c r="Q12" s="994"/>
    </row>
    <row r="13" spans="2:17" s="991" customFormat="1" ht="14.1" customHeight="1">
      <c r="B13" s="909"/>
      <c r="C13" s="193" t="s">
        <v>3143</v>
      </c>
      <c r="D13" s="994"/>
      <c r="E13" s="994"/>
      <c r="F13" s="994"/>
      <c r="G13" s="994"/>
      <c r="H13" s="994"/>
      <c r="I13" s="994"/>
      <c r="J13" s="994"/>
      <c r="K13" s="994"/>
      <c r="L13" s="994"/>
      <c r="M13" s="994"/>
      <c r="N13" s="994"/>
      <c r="O13" s="994"/>
      <c r="P13" s="994"/>
      <c r="Q13" s="994"/>
    </row>
    <row r="14" spans="2:17" s="991" customFormat="1" ht="14.1" customHeight="1">
      <c r="B14" s="909"/>
      <c r="C14" s="193"/>
      <c r="D14" s="994"/>
      <c r="E14" s="994"/>
      <c r="F14" s="994"/>
      <c r="G14" s="994"/>
      <c r="H14" s="994"/>
      <c r="I14" s="994"/>
      <c r="J14" s="994"/>
      <c r="K14" s="994"/>
      <c r="L14" s="994"/>
      <c r="M14" s="994"/>
      <c r="N14" s="994"/>
      <c r="O14" s="994"/>
      <c r="P14" s="994"/>
      <c r="Q14" s="994"/>
    </row>
    <row r="15" spans="2:17" s="991" customFormat="1" ht="14.1" customHeight="1">
      <c r="B15" s="909" t="s">
        <v>1833</v>
      </c>
      <c r="C15" s="193" t="s">
        <v>3144</v>
      </c>
      <c r="D15" s="994"/>
      <c r="E15" s="994"/>
      <c r="F15" s="994"/>
      <c r="G15" s="994"/>
      <c r="H15" s="994"/>
      <c r="I15" s="994"/>
      <c r="J15" s="994"/>
      <c r="K15" s="994"/>
      <c r="L15" s="994"/>
      <c r="M15" s="994"/>
      <c r="N15" s="994"/>
      <c r="O15" s="994"/>
      <c r="P15" s="994"/>
      <c r="Q15" s="994"/>
    </row>
    <row r="16" spans="2:17" s="991" customFormat="1" ht="14.1" customHeight="1">
      <c r="B16" s="909"/>
      <c r="C16" s="193" t="s">
        <v>3145</v>
      </c>
      <c r="D16" s="994"/>
      <c r="E16" s="994"/>
      <c r="F16" s="994"/>
      <c r="G16" s="994"/>
      <c r="H16" s="994"/>
      <c r="I16" s="994"/>
      <c r="J16" s="994"/>
      <c r="K16" s="994"/>
      <c r="L16" s="994"/>
      <c r="M16" s="994"/>
      <c r="N16" s="994"/>
      <c r="O16" s="994"/>
      <c r="P16" s="994"/>
      <c r="Q16" s="994"/>
    </row>
    <row r="17" spans="2:17" s="991" customFormat="1" ht="14.1" customHeight="1">
      <c r="B17" s="909"/>
      <c r="C17" s="193" t="s">
        <v>3146</v>
      </c>
      <c r="D17" s="994"/>
      <c r="E17" s="994"/>
      <c r="F17" s="994"/>
      <c r="G17" s="994"/>
      <c r="H17" s="994"/>
      <c r="I17" s="994"/>
      <c r="J17" s="994"/>
      <c r="K17" s="994"/>
      <c r="L17" s="994"/>
      <c r="M17" s="994"/>
      <c r="N17" s="994"/>
      <c r="O17" s="994"/>
      <c r="P17" s="994"/>
      <c r="Q17" s="994"/>
    </row>
    <row r="18" spans="2:17" s="991" customFormat="1" ht="14.1" customHeight="1">
      <c r="B18" s="909"/>
      <c r="C18" s="193"/>
      <c r="D18" s="994"/>
      <c r="E18" s="994"/>
      <c r="F18" s="994"/>
      <c r="G18" s="994"/>
      <c r="H18" s="994"/>
      <c r="I18" s="994"/>
      <c r="J18" s="994"/>
      <c r="K18" s="994"/>
      <c r="L18" s="994"/>
      <c r="M18" s="994"/>
      <c r="N18" s="994"/>
      <c r="O18" s="994"/>
      <c r="P18" s="994"/>
      <c r="Q18" s="994"/>
    </row>
    <row r="19" spans="2:17" s="991" customFormat="1" ht="14.1" customHeight="1">
      <c r="B19" s="909" t="s">
        <v>1833</v>
      </c>
      <c r="C19" s="193" t="s">
        <v>3147</v>
      </c>
      <c r="D19" s="994"/>
      <c r="E19" s="994"/>
      <c r="F19" s="994"/>
      <c r="G19" s="994"/>
      <c r="H19" s="994"/>
      <c r="I19" s="994"/>
      <c r="J19" s="994"/>
      <c r="K19" s="994"/>
      <c r="L19" s="994"/>
      <c r="M19" s="994"/>
      <c r="N19" s="994"/>
      <c r="O19" s="994"/>
      <c r="P19" s="994"/>
      <c r="Q19" s="994"/>
    </row>
    <row r="20" spans="2:17">
      <c r="B20" s="995"/>
      <c r="C20" s="994" t="s">
        <v>3148</v>
      </c>
      <c r="D20" s="993"/>
      <c r="E20" s="993"/>
      <c r="F20" s="993"/>
      <c r="G20" s="993"/>
      <c r="H20" s="993"/>
      <c r="I20" s="993"/>
      <c r="J20" s="993"/>
      <c r="K20" s="993"/>
      <c r="L20" s="993"/>
      <c r="M20" s="993"/>
      <c r="N20" s="993"/>
      <c r="O20" s="993"/>
      <c r="P20" s="993"/>
      <c r="Q20" s="993"/>
    </row>
    <row r="21" spans="2:17">
      <c r="B21" s="992"/>
      <c r="C21" s="994" t="s">
        <v>3149</v>
      </c>
    </row>
    <row r="32" spans="2:17" ht="14.1" customHeight="1"/>
    <row r="33" ht="14.1" customHeight="1"/>
    <row r="34" ht="14.1" customHeight="1"/>
    <row r="35" ht="14.1" customHeight="1"/>
    <row r="36" ht="14.1" customHeight="1"/>
    <row r="37" ht="14.1" customHeight="1"/>
    <row r="38" ht="14.1" customHeight="1"/>
    <row r="39" ht="14.1" customHeight="1"/>
    <row r="40" ht="14.1" customHeight="1"/>
    <row r="41" ht="14.1" customHeight="1"/>
    <row r="42" ht="14.1" customHeight="1"/>
    <row r="43" ht="14.1" customHeight="1"/>
    <row r="44" ht="14.1" customHeight="1"/>
    <row r="45" ht="14.1" customHeight="1"/>
    <row r="46" ht="14.1" customHeight="1"/>
    <row r="47" ht="14.1" customHeight="1"/>
    <row r="48" ht="14.1" customHeight="1"/>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IQ83"/>
  <sheetViews>
    <sheetView zoomScale="85" zoomScaleNormal="85" workbookViewId="0">
      <selection activeCell="C23" sqref="C23"/>
    </sheetView>
  </sheetViews>
  <sheetFormatPr baseColWidth="10" defaultRowHeight="15"/>
  <cols>
    <col min="1" max="1" width="11.42578125" style="997"/>
    <col min="2" max="2" width="3.7109375" style="997" bestFit="1" customWidth="1"/>
    <col min="3" max="3" width="100.7109375" style="997" customWidth="1"/>
    <col min="4" max="16384" width="11.42578125" style="997"/>
  </cols>
  <sheetData>
    <row r="1" spans="1:251" s="991" customFormat="1"/>
    <row r="2" spans="1:251" s="991" customFormat="1" ht="14.1" customHeight="1">
      <c r="B2" s="994"/>
      <c r="C2" s="994"/>
      <c r="D2" s="994"/>
      <c r="E2" s="994"/>
      <c r="F2" s="994"/>
      <c r="G2" s="994"/>
      <c r="H2" s="994"/>
      <c r="I2" s="994"/>
      <c r="J2" s="994"/>
      <c r="K2" s="994"/>
      <c r="L2" s="994"/>
      <c r="M2" s="994"/>
      <c r="N2" s="994"/>
      <c r="O2" s="994"/>
    </row>
    <row r="3" spans="1:251" s="126" customFormat="1" ht="12.75">
      <c r="A3" s="1094"/>
      <c r="B3" s="1145" t="s">
        <v>1591</v>
      </c>
      <c r="C3" s="1146" t="s">
        <v>3905</v>
      </c>
      <c r="E3" s="876"/>
      <c r="F3" s="879"/>
      <c r="G3" s="877"/>
      <c r="H3" s="877"/>
      <c r="I3" s="877"/>
      <c r="J3" s="878"/>
      <c r="K3" s="1094"/>
      <c r="L3" s="412"/>
      <c r="M3" s="1094"/>
      <c r="N3" s="411"/>
      <c r="O3" s="652"/>
    </row>
    <row r="4" spans="1:251" s="126" customFormat="1" ht="12.75">
      <c r="A4" s="1094"/>
      <c r="B4" s="1147"/>
      <c r="C4" s="1146" t="s">
        <v>3906</v>
      </c>
      <c r="E4" s="876"/>
      <c r="F4" s="879"/>
      <c r="G4" s="877"/>
      <c r="H4" s="877"/>
      <c r="I4" s="877"/>
      <c r="J4" s="878"/>
      <c r="K4" s="1094"/>
      <c r="L4" s="412"/>
      <c r="M4" s="1094"/>
      <c r="N4" s="411"/>
      <c r="O4" s="652"/>
    </row>
    <row r="5" spans="1:251" s="126" customFormat="1" ht="12.75">
      <c r="A5" s="1094"/>
      <c r="B5" s="1145"/>
      <c r="C5" s="1146" t="s">
        <v>3907</v>
      </c>
      <c r="E5" s="876"/>
      <c r="F5" s="879"/>
      <c r="G5" s="877"/>
      <c r="H5" s="877"/>
      <c r="I5" s="877"/>
      <c r="J5" s="878"/>
      <c r="K5" s="1094"/>
      <c r="L5" s="412"/>
      <c r="M5" s="1094"/>
      <c r="N5" s="411"/>
      <c r="O5" s="652"/>
    </row>
    <row r="6" spans="1:251" s="126" customFormat="1" ht="12.75">
      <c r="A6" s="1094"/>
      <c r="B6" s="1183"/>
      <c r="C6" s="1184"/>
      <c r="E6" s="876"/>
      <c r="F6" s="879"/>
      <c r="G6" s="877"/>
      <c r="H6" s="877"/>
      <c r="I6" s="877"/>
      <c r="J6" s="878"/>
      <c r="K6" s="1094"/>
      <c r="L6" s="412"/>
      <c r="M6" s="1094"/>
      <c r="N6" s="411"/>
      <c r="O6" s="652"/>
    </row>
    <row r="7" spans="1:251" s="126" customFormat="1">
      <c r="A7" s="1094"/>
      <c r="B7" s="1166" t="s">
        <v>1591</v>
      </c>
      <c r="C7" s="1167" t="s">
        <v>3668</v>
      </c>
      <c r="E7" s="876"/>
      <c r="F7" s="879"/>
      <c r="G7" s="877"/>
      <c r="H7" s="877"/>
      <c r="I7" s="877"/>
      <c r="J7" s="878"/>
      <c r="K7" s="1094"/>
      <c r="L7" s="412"/>
      <c r="M7" s="1094"/>
      <c r="N7" s="411"/>
      <c r="O7" s="652"/>
      <c r="Q7" s="126" t="str">
        <f>IF(O7&lt;&gt;"",D7,"")</f>
        <v/>
      </c>
    </row>
    <row r="8" spans="1:251" s="22" customFormat="1" ht="12" customHeight="1">
      <c r="A8" s="1182"/>
      <c r="B8" s="1183"/>
      <c r="C8" s="1167" t="s">
        <v>3669</v>
      </c>
      <c r="D8" s="762"/>
      <c r="E8" s="1089"/>
      <c r="F8" s="1090"/>
      <c r="G8" s="1090"/>
      <c r="H8" s="1090"/>
      <c r="I8" s="1090"/>
      <c r="J8" s="1090"/>
      <c r="K8" s="1091"/>
      <c r="L8" s="1091"/>
      <c r="M8" s="1091"/>
      <c r="N8" s="411"/>
      <c r="O8" s="881"/>
      <c r="P8" s="880"/>
      <c r="Q8" s="126" t="str">
        <f>IF(O8&lt;&gt;"",D8,"")</f>
        <v/>
      </c>
      <c r="R8" s="880"/>
      <c r="S8" s="880"/>
      <c r="T8" s="880"/>
      <c r="U8" s="880"/>
      <c r="V8" s="880"/>
      <c r="W8" s="880"/>
      <c r="X8" s="880"/>
      <c r="Y8" s="880"/>
      <c r="Z8" s="880"/>
      <c r="AA8" s="880"/>
      <c r="AB8" s="880"/>
      <c r="AC8" s="880"/>
      <c r="AD8" s="880"/>
      <c r="AE8" s="880"/>
      <c r="AF8" s="880"/>
      <c r="AG8" s="880"/>
      <c r="AH8" s="880"/>
      <c r="AI8" s="880"/>
      <c r="AJ8" s="880"/>
      <c r="AK8" s="880"/>
      <c r="AL8" s="880"/>
      <c r="AM8" s="880"/>
      <c r="AN8" s="880"/>
      <c r="AO8" s="880"/>
      <c r="AP8" s="880"/>
      <c r="AQ8" s="880"/>
      <c r="AR8" s="880"/>
      <c r="AS8" s="880"/>
      <c r="AT8" s="880"/>
      <c r="AU8" s="880"/>
      <c r="AV8" s="880"/>
      <c r="AW8" s="880"/>
      <c r="AX8" s="880"/>
      <c r="AY8" s="880"/>
      <c r="AZ8" s="880"/>
      <c r="BA8" s="880"/>
      <c r="BB8" s="880"/>
      <c r="BC8" s="880"/>
      <c r="BD8" s="880"/>
      <c r="BE8" s="880"/>
      <c r="BF8" s="880"/>
      <c r="BG8" s="880"/>
      <c r="BH8" s="880"/>
      <c r="BI8" s="880"/>
      <c r="BJ8" s="880"/>
      <c r="BK8" s="880"/>
      <c r="BL8" s="880"/>
      <c r="BM8" s="880"/>
      <c r="BN8" s="880"/>
      <c r="BO8" s="880"/>
      <c r="BP8" s="880"/>
      <c r="BQ8" s="880"/>
      <c r="BR8" s="880"/>
      <c r="BS8" s="880"/>
      <c r="BT8" s="880"/>
      <c r="BU8" s="880"/>
      <c r="BV8" s="880"/>
      <c r="BW8" s="880"/>
      <c r="BX8" s="880"/>
      <c r="BY8" s="880"/>
      <c r="BZ8" s="880"/>
      <c r="CA8" s="880"/>
      <c r="CB8" s="880"/>
      <c r="CC8" s="880"/>
      <c r="CD8" s="880"/>
      <c r="CE8" s="880"/>
      <c r="CF8" s="880"/>
      <c r="CG8" s="880"/>
      <c r="CH8" s="880"/>
      <c r="CI8" s="880"/>
      <c r="CJ8" s="880"/>
      <c r="CK8" s="880"/>
      <c r="CL8" s="880"/>
      <c r="CM8" s="880"/>
      <c r="CN8" s="880"/>
      <c r="CO8" s="880"/>
      <c r="CP8" s="880"/>
      <c r="CQ8" s="880"/>
      <c r="CR8" s="880"/>
      <c r="CS8" s="880"/>
      <c r="CT8" s="880"/>
      <c r="CU8" s="880"/>
      <c r="CV8" s="880"/>
      <c r="CW8" s="880"/>
      <c r="CX8" s="880"/>
      <c r="CY8" s="880"/>
      <c r="CZ8" s="880"/>
      <c r="DA8" s="880"/>
      <c r="DB8" s="880"/>
      <c r="DC8" s="880"/>
      <c r="DD8" s="880"/>
      <c r="DE8" s="880"/>
      <c r="DF8" s="880"/>
      <c r="DG8" s="880"/>
      <c r="DH8" s="880"/>
      <c r="DI8" s="880"/>
      <c r="DJ8" s="880"/>
      <c r="DK8" s="880"/>
      <c r="DL8" s="880"/>
      <c r="DM8" s="880"/>
      <c r="DN8" s="880"/>
      <c r="DO8" s="880"/>
      <c r="DP8" s="880"/>
      <c r="DQ8" s="880"/>
      <c r="DR8" s="880"/>
      <c r="DS8" s="880"/>
      <c r="DT8" s="880"/>
      <c r="DU8" s="880"/>
      <c r="DV8" s="880"/>
      <c r="DW8" s="880"/>
      <c r="DX8" s="880"/>
      <c r="DY8" s="880"/>
      <c r="DZ8" s="880"/>
      <c r="EA8" s="880"/>
      <c r="EB8" s="880"/>
      <c r="EC8" s="880"/>
      <c r="ED8" s="880"/>
      <c r="EE8" s="880"/>
      <c r="EF8" s="880"/>
      <c r="EG8" s="880"/>
      <c r="EH8" s="880"/>
      <c r="EI8" s="880"/>
      <c r="EJ8" s="880"/>
      <c r="EK8" s="880"/>
      <c r="EL8" s="880"/>
      <c r="EM8" s="880"/>
      <c r="EN8" s="880"/>
      <c r="EO8" s="880"/>
      <c r="EP8" s="880"/>
      <c r="EQ8" s="880"/>
      <c r="ER8" s="880"/>
      <c r="ES8" s="880"/>
      <c r="ET8" s="880"/>
      <c r="EU8" s="880"/>
      <c r="EV8" s="880"/>
      <c r="EW8" s="880"/>
      <c r="EX8" s="880"/>
      <c r="EY8" s="880"/>
      <c r="EZ8" s="880"/>
      <c r="FA8" s="880"/>
      <c r="FB8" s="880"/>
      <c r="FC8" s="880"/>
      <c r="FD8" s="880"/>
      <c r="FE8" s="880"/>
      <c r="FF8" s="880"/>
      <c r="FG8" s="880"/>
      <c r="FH8" s="880"/>
      <c r="FI8" s="880"/>
      <c r="FJ8" s="880"/>
      <c r="FK8" s="880"/>
      <c r="FL8" s="880"/>
      <c r="FM8" s="880"/>
      <c r="FN8" s="880"/>
      <c r="FO8" s="880"/>
      <c r="FP8" s="880"/>
      <c r="FQ8" s="880"/>
      <c r="FR8" s="880"/>
      <c r="FS8" s="880"/>
      <c r="FT8" s="880"/>
      <c r="FU8" s="880"/>
      <c r="FV8" s="880"/>
      <c r="FW8" s="880"/>
      <c r="FX8" s="880"/>
      <c r="FY8" s="880"/>
      <c r="FZ8" s="880"/>
      <c r="GA8" s="880"/>
      <c r="GB8" s="880"/>
      <c r="GC8" s="880"/>
      <c r="GD8" s="880"/>
      <c r="GE8" s="880"/>
      <c r="GF8" s="880"/>
      <c r="GG8" s="880"/>
      <c r="GH8" s="880"/>
      <c r="GI8" s="880"/>
      <c r="GJ8" s="880"/>
      <c r="GK8" s="880"/>
      <c r="GL8" s="880"/>
      <c r="GM8" s="880"/>
      <c r="GN8" s="880"/>
      <c r="GO8" s="880"/>
      <c r="GP8" s="880"/>
      <c r="GQ8" s="880"/>
      <c r="GR8" s="880"/>
      <c r="GS8" s="880"/>
      <c r="GT8" s="880"/>
      <c r="GU8" s="880"/>
      <c r="GV8" s="880"/>
      <c r="GW8" s="880"/>
      <c r="GX8" s="880"/>
      <c r="GY8" s="880"/>
      <c r="GZ8" s="880"/>
      <c r="HA8" s="880"/>
      <c r="HB8" s="880"/>
      <c r="HC8" s="880"/>
      <c r="HD8" s="880"/>
      <c r="HE8" s="880"/>
      <c r="HF8" s="880"/>
      <c r="HG8" s="880"/>
      <c r="HH8" s="880"/>
      <c r="HI8" s="880"/>
      <c r="HJ8" s="880"/>
      <c r="HK8" s="880"/>
      <c r="HL8" s="880"/>
      <c r="HM8" s="880"/>
      <c r="HN8" s="880"/>
      <c r="HO8" s="880"/>
      <c r="HP8" s="880"/>
      <c r="HQ8" s="880"/>
      <c r="HR8" s="880"/>
      <c r="HS8" s="880"/>
      <c r="HT8" s="880"/>
      <c r="HU8" s="880"/>
      <c r="HV8" s="880"/>
      <c r="HW8" s="880"/>
      <c r="HX8" s="880"/>
      <c r="HY8" s="880"/>
      <c r="HZ8" s="880"/>
      <c r="IA8" s="880"/>
      <c r="IB8" s="880"/>
      <c r="IC8" s="880"/>
      <c r="ID8" s="880"/>
      <c r="IE8" s="880"/>
      <c r="IF8" s="880"/>
      <c r="IG8" s="880"/>
      <c r="IH8" s="880"/>
      <c r="II8" s="880"/>
      <c r="IJ8" s="880"/>
      <c r="IK8" s="880"/>
      <c r="IL8" s="880"/>
      <c r="IM8" s="880"/>
      <c r="IN8" s="880"/>
      <c r="IO8" s="880"/>
      <c r="IP8" s="880"/>
      <c r="IQ8" s="880"/>
    </row>
    <row r="9" spans="1:251" s="22" customFormat="1" ht="12" customHeight="1">
      <c r="A9" s="1182"/>
      <c r="B9" s="1183"/>
      <c r="C9" s="1167" t="s">
        <v>3670</v>
      </c>
      <c r="D9" s="762"/>
      <c r="E9" s="1089"/>
      <c r="F9" s="1090"/>
      <c r="G9" s="1090"/>
      <c r="H9" s="1090"/>
      <c r="I9" s="1090"/>
      <c r="J9" s="1090"/>
      <c r="K9" s="1091"/>
      <c r="L9" s="1091"/>
      <c r="M9" s="1091"/>
      <c r="N9" s="411"/>
      <c r="O9" s="881"/>
      <c r="P9" s="880"/>
      <c r="Q9" s="126" t="str">
        <f>IF(O9&lt;&gt;"",D9,"")</f>
        <v/>
      </c>
      <c r="R9" s="880"/>
      <c r="S9" s="880"/>
      <c r="T9" s="880"/>
      <c r="U9" s="880"/>
      <c r="V9" s="880"/>
      <c r="W9" s="880"/>
      <c r="X9" s="880"/>
      <c r="Y9" s="880"/>
      <c r="Z9" s="880"/>
      <c r="AA9" s="880"/>
      <c r="AB9" s="880"/>
      <c r="AC9" s="880"/>
      <c r="AD9" s="880"/>
      <c r="AE9" s="880"/>
      <c r="AF9" s="880"/>
      <c r="AG9" s="880"/>
      <c r="AH9" s="880"/>
      <c r="AI9" s="880"/>
      <c r="AJ9" s="880"/>
      <c r="AK9" s="880"/>
      <c r="AL9" s="880"/>
      <c r="AM9" s="880"/>
      <c r="AN9" s="880"/>
      <c r="AO9" s="880"/>
      <c r="AP9" s="880"/>
      <c r="AQ9" s="880"/>
      <c r="AR9" s="880"/>
      <c r="AS9" s="880"/>
      <c r="AT9" s="880"/>
      <c r="AU9" s="880"/>
      <c r="AV9" s="880"/>
      <c r="AW9" s="880"/>
      <c r="AX9" s="880"/>
      <c r="AY9" s="880"/>
      <c r="AZ9" s="880"/>
      <c r="BA9" s="880"/>
      <c r="BB9" s="880"/>
      <c r="BC9" s="880"/>
      <c r="BD9" s="880"/>
      <c r="BE9" s="880"/>
      <c r="BF9" s="880"/>
      <c r="BG9" s="880"/>
      <c r="BH9" s="880"/>
      <c r="BI9" s="880"/>
      <c r="BJ9" s="880"/>
      <c r="BK9" s="880"/>
      <c r="BL9" s="880"/>
      <c r="BM9" s="880"/>
      <c r="BN9" s="880"/>
      <c r="BO9" s="880"/>
      <c r="BP9" s="880"/>
      <c r="BQ9" s="880"/>
      <c r="BR9" s="880"/>
      <c r="BS9" s="880"/>
      <c r="BT9" s="880"/>
      <c r="BU9" s="880"/>
      <c r="BV9" s="880"/>
      <c r="BW9" s="880"/>
      <c r="BX9" s="880"/>
      <c r="BY9" s="880"/>
      <c r="BZ9" s="880"/>
      <c r="CA9" s="880"/>
      <c r="CB9" s="880"/>
      <c r="CC9" s="880"/>
      <c r="CD9" s="880"/>
      <c r="CE9" s="880"/>
      <c r="CF9" s="880"/>
      <c r="CG9" s="880"/>
      <c r="CH9" s="880"/>
      <c r="CI9" s="880"/>
      <c r="CJ9" s="880"/>
      <c r="CK9" s="880"/>
      <c r="CL9" s="880"/>
      <c r="CM9" s="880"/>
      <c r="CN9" s="880"/>
      <c r="CO9" s="880"/>
      <c r="CP9" s="880"/>
      <c r="CQ9" s="880"/>
      <c r="CR9" s="880"/>
      <c r="CS9" s="880"/>
      <c r="CT9" s="880"/>
      <c r="CU9" s="880"/>
      <c r="CV9" s="880"/>
      <c r="CW9" s="880"/>
      <c r="CX9" s="880"/>
      <c r="CY9" s="880"/>
      <c r="CZ9" s="880"/>
      <c r="DA9" s="880"/>
      <c r="DB9" s="880"/>
      <c r="DC9" s="880"/>
      <c r="DD9" s="880"/>
      <c r="DE9" s="880"/>
      <c r="DF9" s="880"/>
      <c r="DG9" s="880"/>
      <c r="DH9" s="880"/>
      <c r="DI9" s="880"/>
      <c r="DJ9" s="880"/>
      <c r="DK9" s="880"/>
      <c r="DL9" s="880"/>
      <c r="DM9" s="880"/>
      <c r="DN9" s="880"/>
      <c r="DO9" s="880"/>
      <c r="DP9" s="880"/>
      <c r="DQ9" s="880"/>
      <c r="DR9" s="880"/>
      <c r="DS9" s="880"/>
      <c r="DT9" s="880"/>
      <c r="DU9" s="880"/>
      <c r="DV9" s="880"/>
      <c r="DW9" s="880"/>
      <c r="DX9" s="880"/>
      <c r="DY9" s="880"/>
      <c r="DZ9" s="880"/>
      <c r="EA9" s="880"/>
      <c r="EB9" s="880"/>
      <c r="EC9" s="880"/>
      <c r="ED9" s="880"/>
      <c r="EE9" s="880"/>
      <c r="EF9" s="880"/>
      <c r="EG9" s="880"/>
      <c r="EH9" s="880"/>
      <c r="EI9" s="880"/>
      <c r="EJ9" s="880"/>
      <c r="EK9" s="880"/>
      <c r="EL9" s="880"/>
      <c r="EM9" s="880"/>
      <c r="EN9" s="880"/>
      <c r="EO9" s="880"/>
      <c r="EP9" s="880"/>
      <c r="EQ9" s="880"/>
      <c r="ER9" s="880"/>
      <c r="ES9" s="880"/>
      <c r="ET9" s="880"/>
      <c r="EU9" s="880"/>
      <c r="EV9" s="880"/>
      <c r="EW9" s="880"/>
      <c r="EX9" s="880"/>
      <c r="EY9" s="880"/>
      <c r="EZ9" s="880"/>
      <c r="FA9" s="880"/>
      <c r="FB9" s="880"/>
      <c r="FC9" s="880"/>
      <c r="FD9" s="880"/>
      <c r="FE9" s="880"/>
      <c r="FF9" s="880"/>
      <c r="FG9" s="880"/>
      <c r="FH9" s="880"/>
      <c r="FI9" s="880"/>
      <c r="FJ9" s="880"/>
      <c r="FK9" s="880"/>
      <c r="FL9" s="880"/>
      <c r="FM9" s="880"/>
      <c r="FN9" s="880"/>
      <c r="FO9" s="880"/>
      <c r="FP9" s="880"/>
      <c r="FQ9" s="880"/>
      <c r="FR9" s="880"/>
      <c r="FS9" s="880"/>
      <c r="FT9" s="880"/>
      <c r="FU9" s="880"/>
      <c r="FV9" s="880"/>
      <c r="FW9" s="880"/>
      <c r="FX9" s="880"/>
      <c r="FY9" s="880"/>
      <c r="FZ9" s="880"/>
      <c r="GA9" s="880"/>
      <c r="GB9" s="880"/>
      <c r="GC9" s="880"/>
      <c r="GD9" s="880"/>
      <c r="GE9" s="880"/>
      <c r="GF9" s="880"/>
      <c r="GG9" s="880"/>
      <c r="GH9" s="880"/>
      <c r="GI9" s="880"/>
      <c r="GJ9" s="880"/>
      <c r="GK9" s="880"/>
      <c r="GL9" s="880"/>
      <c r="GM9" s="880"/>
      <c r="GN9" s="880"/>
      <c r="GO9" s="880"/>
      <c r="GP9" s="880"/>
      <c r="GQ9" s="880"/>
      <c r="GR9" s="880"/>
      <c r="GS9" s="880"/>
      <c r="GT9" s="880"/>
      <c r="GU9" s="880"/>
      <c r="GV9" s="880"/>
      <c r="GW9" s="880"/>
      <c r="GX9" s="880"/>
      <c r="GY9" s="880"/>
      <c r="GZ9" s="880"/>
      <c r="HA9" s="880"/>
      <c r="HB9" s="880"/>
      <c r="HC9" s="880"/>
      <c r="HD9" s="880"/>
      <c r="HE9" s="880"/>
      <c r="HF9" s="880"/>
      <c r="HG9" s="880"/>
      <c r="HH9" s="880"/>
      <c r="HI9" s="880"/>
      <c r="HJ9" s="880"/>
      <c r="HK9" s="880"/>
      <c r="HL9" s="880"/>
      <c r="HM9" s="880"/>
      <c r="HN9" s="880"/>
      <c r="HO9" s="880"/>
      <c r="HP9" s="880"/>
      <c r="HQ9" s="880"/>
      <c r="HR9" s="880"/>
      <c r="HS9" s="880"/>
      <c r="HT9" s="880"/>
      <c r="HU9" s="880"/>
      <c r="HV9" s="880"/>
      <c r="HW9" s="880"/>
      <c r="HX9" s="880"/>
      <c r="HY9" s="880"/>
      <c r="HZ9" s="880"/>
      <c r="IA9" s="880"/>
      <c r="IB9" s="880"/>
      <c r="IC9" s="880"/>
      <c r="ID9" s="880"/>
      <c r="IE9" s="880"/>
      <c r="IF9" s="880"/>
      <c r="IG9" s="880"/>
      <c r="IH9" s="880"/>
      <c r="II9" s="880"/>
      <c r="IJ9" s="880"/>
      <c r="IK9" s="880"/>
      <c r="IL9" s="880"/>
      <c r="IM9" s="880"/>
      <c r="IN9" s="880"/>
      <c r="IO9" s="880"/>
      <c r="IP9" s="880"/>
      <c r="IQ9" s="880"/>
    </row>
    <row r="10" spans="1:251" s="22" customFormat="1" ht="12" customHeight="1">
      <c r="A10" s="1182"/>
      <c r="B10" s="1183"/>
      <c r="C10" s="1184"/>
      <c r="D10" s="762"/>
      <c r="E10" s="1089"/>
      <c r="F10" s="1090"/>
      <c r="G10" s="1090"/>
      <c r="H10" s="1090"/>
      <c r="I10" s="1090"/>
      <c r="J10" s="1090"/>
      <c r="K10" s="1091"/>
      <c r="L10" s="1091"/>
      <c r="M10" s="1091"/>
      <c r="N10" s="411"/>
      <c r="O10" s="881"/>
      <c r="P10" s="880"/>
      <c r="Q10" s="126" t="str">
        <f>IF(O10&lt;&gt;"",D10,"")</f>
        <v/>
      </c>
      <c r="R10" s="880"/>
      <c r="S10" s="880"/>
      <c r="T10" s="880"/>
      <c r="U10" s="880"/>
      <c r="V10" s="880"/>
      <c r="W10" s="880"/>
      <c r="X10" s="880"/>
      <c r="Y10" s="880"/>
      <c r="Z10" s="880"/>
      <c r="AA10" s="880"/>
      <c r="AB10" s="880"/>
      <c r="AC10" s="880"/>
      <c r="AD10" s="880"/>
      <c r="AE10" s="880"/>
      <c r="AF10" s="880"/>
      <c r="AG10" s="880"/>
      <c r="AH10" s="880"/>
      <c r="AI10" s="880"/>
      <c r="AJ10" s="880"/>
      <c r="AK10" s="880"/>
      <c r="AL10" s="880"/>
      <c r="AM10" s="880"/>
      <c r="AN10" s="880"/>
      <c r="AO10" s="880"/>
      <c r="AP10" s="880"/>
      <c r="AQ10" s="880"/>
      <c r="AR10" s="880"/>
      <c r="AS10" s="880"/>
      <c r="AT10" s="880"/>
      <c r="AU10" s="880"/>
      <c r="AV10" s="880"/>
      <c r="AW10" s="880"/>
      <c r="AX10" s="880"/>
      <c r="AY10" s="880"/>
      <c r="AZ10" s="880"/>
      <c r="BA10" s="880"/>
      <c r="BB10" s="880"/>
      <c r="BC10" s="880"/>
      <c r="BD10" s="880"/>
      <c r="BE10" s="880"/>
      <c r="BF10" s="880"/>
      <c r="BG10" s="880"/>
      <c r="BH10" s="880"/>
      <c r="BI10" s="880"/>
      <c r="BJ10" s="880"/>
      <c r="BK10" s="880"/>
      <c r="BL10" s="880"/>
      <c r="BM10" s="880"/>
      <c r="BN10" s="880"/>
      <c r="BO10" s="880"/>
      <c r="BP10" s="880"/>
      <c r="BQ10" s="880"/>
      <c r="BR10" s="880"/>
      <c r="BS10" s="880"/>
      <c r="BT10" s="880"/>
      <c r="BU10" s="880"/>
      <c r="BV10" s="880"/>
      <c r="BW10" s="880"/>
      <c r="BX10" s="880"/>
      <c r="BY10" s="880"/>
      <c r="BZ10" s="880"/>
      <c r="CA10" s="880"/>
      <c r="CB10" s="880"/>
      <c r="CC10" s="880"/>
      <c r="CD10" s="880"/>
      <c r="CE10" s="880"/>
      <c r="CF10" s="880"/>
      <c r="CG10" s="880"/>
      <c r="CH10" s="880"/>
      <c r="CI10" s="880"/>
      <c r="CJ10" s="880"/>
      <c r="CK10" s="880"/>
      <c r="CL10" s="880"/>
      <c r="CM10" s="880"/>
      <c r="CN10" s="880"/>
      <c r="CO10" s="880"/>
      <c r="CP10" s="880"/>
      <c r="CQ10" s="880"/>
      <c r="CR10" s="880"/>
      <c r="CS10" s="880"/>
      <c r="CT10" s="880"/>
      <c r="CU10" s="880"/>
      <c r="CV10" s="880"/>
      <c r="CW10" s="880"/>
      <c r="CX10" s="880"/>
      <c r="CY10" s="880"/>
      <c r="CZ10" s="880"/>
      <c r="DA10" s="880"/>
      <c r="DB10" s="880"/>
      <c r="DC10" s="880"/>
      <c r="DD10" s="880"/>
      <c r="DE10" s="880"/>
      <c r="DF10" s="880"/>
      <c r="DG10" s="880"/>
      <c r="DH10" s="880"/>
      <c r="DI10" s="880"/>
      <c r="DJ10" s="880"/>
      <c r="DK10" s="880"/>
      <c r="DL10" s="880"/>
      <c r="DM10" s="880"/>
      <c r="DN10" s="880"/>
      <c r="DO10" s="880"/>
      <c r="DP10" s="880"/>
      <c r="DQ10" s="880"/>
      <c r="DR10" s="880"/>
      <c r="DS10" s="880"/>
      <c r="DT10" s="880"/>
      <c r="DU10" s="880"/>
      <c r="DV10" s="880"/>
      <c r="DW10" s="880"/>
      <c r="DX10" s="880"/>
      <c r="DY10" s="880"/>
      <c r="DZ10" s="880"/>
      <c r="EA10" s="880"/>
      <c r="EB10" s="880"/>
      <c r="EC10" s="880"/>
      <c r="ED10" s="880"/>
      <c r="EE10" s="880"/>
      <c r="EF10" s="880"/>
      <c r="EG10" s="880"/>
      <c r="EH10" s="880"/>
      <c r="EI10" s="880"/>
      <c r="EJ10" s="880"/>
      <c r="EK10" s="880"/>
      <c r="EL10" s="880"/>
      <c r="EM10" s="880"/>
      <c r="EN10" s="880"/>
      <c r="EO10" s="880"/>
      <c r="EP10" s="880"/>
      <c r="EQ10" s="880"/>
      <c r="ER10" s="880"/>
      <c r="ES10" s="880"/>
      <c r="ET10" s="880"/>
      <c r="EU10" s="880"/>
      <c r="EV10" s="880"/>
      <c r="EW10" s="880"/>
      <c r="EX10" s="880"/>
      <c r="EY10" s="880"/>
      <c r="EZ10" s="880"/>
      <c r="FA10" s="880"/>
      <c r="FB10" s="880"/>
      <c r="FC10" s="880"/>
      <c r="FD10" s="880"/>
      <c r="FE10" s="880"/>
      <c r="FF10" s="880"/>
      <c r="FG10" s="880"/>
      <c r="FH10" s="880"/>
      <c r="FI10" s="880"/>
      <c r="FJ10" s="880"/>
      <c r="FK10" s="880"/>
      <c r="FL10" s="880"/>
      <c r="FM10" s="880"/>
      <c r="FN10" s="880"/>
      <c r="FO10" s="880"/>
      <c r="FP10" s="880"/>
      <c r="FQ10" s="880"/>
      <c r="FR10" s="880"/>
      <c r="FS10" s="880"/>
      <c r="FT10" s="880"/>
      <c r="FU10" s="880"/>
      <c r="FV10" s="880"/>
      <c r="FW10" s="880"/>
      <c r="FX10" s="880"/>
      <c r="FY10" s="880"/>
      <c r="FZ10" s="880"/>
      <c r="GA10" s="880"/>
      <c r="GB10" s="880"/>
      <c r="GC10" s="880"/>
      <c r="GD10" s="880"/>
      <c r="GE10" s="880"/>
      <c r="GF10" s="880"/>
      <c r="GG10" s="880"/>
      <c r="GH10" s="880"/>
      <c r="GI10" s="880"/>
      <c r="GJ10" s="880"/>
      <c r="GK10" s="880"/>
      <c r="GL10" s="880"/>
      <c r="GM10" s="880"/>
      <c r="GN10" s="880"/>
      <c r="GO10" s="880"/>
      <c r="GP10" s="880"/>
      <c r="GQ10" s="880"/>
      <c r="GR10" s="880"/>
      <c r="GS10" s="880"/>
      <c r="GT10" s="880"/>
      <c r="GU10" s="880"/>
      <c r="GV10" s="880"/>
      <c r="GW10" s="880"/>
      <c r="GX10" s="880"/>
      <c r="GY10" s="880"/>
      <c r="GZ10" s="880"/>
      <c r="HA10" s="880"/>
      <c r="HB10" s="880"/>
      <c r="HC10" s="880"/>
      <c r="HD10" s="880"/>
      <c r="HE10" s="880"/>
      <c r="HF10" s="880"/>
      <c r="HG10" s="880"/>
      <c r="HH10" s="880"/>
      <c r="HI10" s="880"/>
      <c r="HJ10" s="880"/>
      <c r="HK10" s="880"/>
      <c r="HL10" s="880"/>
      <c r="HM10" s="880"/>
      <c r="HN10" s="880"/>
      <c r="HO10" s="880"/>
      <c r="HP10" s="880"/>
      <c r="HQ10" s="880"/>
      <c r="HR10" s="880"/>
      <c r="HS10" s="880"/>
      <c r="HT10" s="880"/>
      <c r="HU10" s="880"/>
      <c r="HV10" s="880"/>
      <c r="HW10" s="880"/>
      <c r="HX10" s="880"/>
      <c r="HY10" s="880"/>
      <c r="HZ10" s="880"/>
      <c r="IA10" s="880"/>
      <c r="IB10" s="880"/>
      <c r="IC10" s="880"/>
      <c r="ID10" s="880"/>
      <c r="IE10" s="880"/>
      <c r="IF10" s="880"/>
      <c r="IG10" s="880"/>
      <c r="IH10" s="880"/>
      <c r="II10" s="880"/>
      <c r="IJ10" s="880"/>
      <c r="IK10" s="880"/>
      <c r="IL10" s="880"/>
      <c r="IM10" s="880"/>
      <c r="IN10" s="880"/>
      <c r="IO10" s="880"/>
      <c r="IP10" s="880"/>
      <c r="IQ10" s="880"/>
    </row>
    <row r="11" spans="1:251" s="126" customFormat="1" ht="12.75">
      <c r="A11" s="1094"/>
      <c r="B11" s="1145" t="s">
        <v>1591</v>
      </c>
      <c r="C11" s="1146" t="s">
        <v>3922</v>
      </c>
      <c r="E11" s="876"/>
      <c r="F11" s="879"/>
      <c r="G11" s="877"/>
      <c r="H11" s="877"/>
      <c r="I11" s="877"/>
      <c r="J11" s="878"/>
      <c r="K11" s="1094"/>
      <c r="L11" s="412"/>
      <c r="M11" s="1094"/>
      <c r="N11" s="411"/>
      <c r="O11" s="652"/>
    </row>
    <row r="12" spans="1:251" s="126" customFormat="1" ht="12.75">
      <c r="A12" s="1094"/>
      <c r="B12" s="1147"/>
      <c r="C12" s="1146" t="s">
        <v>3923</v>
      </c>
      <c r="E12" s="876"/>
      <c r="F12" s="879"/>
      <c r="G12" s="877"/>
      <c r="H12" s="877"/>
      <c r="I12" s="877"/>
      <c r="J12" s="878"/>
      <c r="K12" s="1094"/>
      <c r="L12" s="412"/>
      <c r="M12" s="1094"/>
      <c r="N12" s="411"/>
      <c r="O12" s="652"/>
    </row>
    <row r="13" spans="1:251" s="126" customFormat="1" ht="12.75">
      <c r="A13" s="1094"/>
      <c r="B13" s="1145"/>
      <c r="C13" s="1146" t="s">
        <v>3921</v>
      </c>
      <c r="E13" s="876"/>
      <c r="F13" s="879"/>
      <c r="G13" s="877"/>
      <c r="H13" s="877"/>
      <c r="I13" s="877"/>
      <c r="J13" s="878"/>
      <c r="K13" s="1094"/>
      <c r="L13" s="412"/>
      <c r="M13" s="1094"/>
      <c r="N13" s="411"/>
      <c r="O13" s="652"/>
    </row>
    <row r="14" spans="1:251" s="22" customFormat="1" ht="12" customHeight="1">
      <c r="A14" s="1182"/>
      <c r="B14" s="1183"/>
      <c r="C14" s="1184"/>
      <c r="D14" s="762"/>
      <c r="E14" s="1089"/>
      <c r="F14" s="1090"/>
      <c r="G14" s="1090"/>
      <c r="H14" s="1090"/>
      <c r="I14" s="1090"/>
      <c r="J14" s="1090"/>
      <c r="K14" s="1091"/>
      <c r="L14" s="1091"/>
      <c r="M14" s="1091"/>
      <c r="N14" s="411"/>
      <c r="O14" s="881"/>
      <c r="P14" s="880"/>
      <c r="Q14" s="126" t="str">
        <f>IF(O14&lt;&gt;"",D14,"")</f>
        <v/>
      </c>
      <c r="R14" s="880"/>
      <c r="S14" s="880"/>
      <c r="T14" s="880"/>
      <c r="U14" s="880"/>
      <c r="V14" s="880"/>
      <c r="W14" s="880"/>
      <c r="X14" s="880"/>
      <c r="Y14" s="880"/>
      <c r="Z14" s="880"/>
      <c r="AA14" s="880"/>
      <c r="AB14" s="880"/>
      <c r="AC14" s="880"/>
      <c r="AD14" s="880"/>
      <c r="AE14" s="880"/>
      <c r="AF14" s="880"/>
      <c r="AG14" s="880"/>
      <c r="AH14" s="880"/>
      <c r="AI14" s="880"/>
      <c r="AJ14" s="880"/>
      <c r="AK14" s="880"/>
      <c r="AL14" s="880"/>
      <c r="AM14" s="880"/>
      <c r="AN14" s="880"/>
      <c r="AO14" s="880"/>
      <c r="AP14" s="880"/>
      <c r="AQ14" s="880"/>
      <c r="AR14" s="880"/>
      <c r="AS14" s="880"/>
      <c r="AT14" s="880"/>
      <c r="AU14" s="880"/>
      <c r="AV14" s="880"/>
      <c r="AW14" s="880"/>
      <c r="AX14" s="880"/>
      <c r="AY14" s="880"/>
      <c r="AZ14" s="880"/>
      <c r="BA14" s="880"/>
      <c r="BB14" s="880"/>
      <c r="BC14" s="880"/>
      <c r="BD14" s="880"/>
      <c r="BE14" s="880"/>
      <c r="BF14" s="880"/>
      <c r="BG14" s="880"/>
      <c r="BH14" s="880"/>
      <c r="BI14" s="880"/>
      <c r="BJ14" s="880"/>
      <c r="BK14" s="880"/>
      <c r="BL14" s="880"/>
      <c r="BM14" s="880"/>
      <c r="BN14" s="880"/>
      <c r="BO14" s="880"/>
      <c r="BP14" s="880"/>
      <c r="BQ14" s="880"/>
      <c r="BR14" s="880"/>
      <c r="BS14" s="880"/>
      <c r="BT14" s="880"/>
      <c r="BU14" s="880"/>
      <c r="BV14" s="880"/>
      <c r="BW14" s="880"/>
      <c r="BX14" s="880"/>
      <c r="BY14" s="880"/>
      <c r="BZ14" s="880"/>
      <c r="CA14" s="880"/>
      <c r="CB14" s="880"/>
      <c r="CC14" s="880"/>
      <c r="CD14" s="880"/>
      <c r="CE14" s="880"/>
      <c r="CF14" s="880"/>
      <c r="CG14" s="880"/>
      <c r="CH14" s="880"/>
      <c r="CI14" s="880"/>
      <c r="CJ14" s="880"/>
      <c r="CK14" s="880"/>
      <c r="CL14" s="880"/>
      <c r="CM14" s="880"/>
      <c r="CN14" s="880"/>
      <c r="CO14" s="880"/>
      <c r="CP14" s="880"/>
      <c r="CQ14" s="880"/>
      <c r="CR14" s="880"/>
      <c r="CS14" s="880"/>
      <c r="CT14" s="880"/>
      <c r="CU14" s="880"/>
      <c r="CV14" s="880"/>
      <c r="CW14" s="880"/>
      <c r="CX14" s="880"/>
      <c r="CY14" s="880"/>
      <c r="CZ14" s="880"/>
      <c r="DA14" s="880"/>
      <c r="DB14" s="880"/>
      <c r="DC14" s="880"/>
      <c r="DD14" s="880"/>
      <c r="DE14" s="880"/>
      <c r="DF14" s="880"/>
      <c r="DG14" s="880"/>
      <c r="DH14" s="880"/>
      <c r="DI14" s="880"/>
      <c r="DJ14" s="880"/>
      <c r="DK14" s="880"/>
      <c r="DL14" s="880"/>
      <c r="DM14" s="880"/>
      <c r="DN14" s="880"/>
      <c r="DO14" s="880"/>
      <c r="DP14" s="880"/>
      <c r="DQ14" s="880"/>
      <c r="DR14" s="880"/>
      <c r="DS14" s="880"/>
      <c r="DT14" s="880"/>
      <c r="DU14" s="880"/>
      <c r="DV14" s="880"/>
      <c r="DW14" s="880"/>
      <c r="DX14" s="880"/>
      <c r="DY14" s="880"/>
      <c r="DZ14" s="880"/>
      <c r="EA14" s="880"/>
      <c r="EB14" s="880"/>
      <c r="EC14" s="880"/>
      <c r="ED14" s="880"/>
      <c r="EE14" s="880"/>
      <c r="EF14" s="880"/>
      <c r="EG14" s="880"/>
      <c r="EH14" s="880"/>
      <c r="EI14" s="880"/>
      <c r="EJ14" s="880"/>
      <c r="EK14" s="880"/>
      <c r="EL14" s="880"/>
      <c r="EM14" s="880"/>
      <c r="EN14" s="880"/>
      <c r="EO14" s="880"/>
      <c r="EP14" s="880"/>
      <c r="EQ14" s="880"/>
      <c r="ER14" s="880"/>
      <c r="ES14" s="880"/>
      <c r="ET14" s="880"/>
      <c r="EU14" s="880"/>
      <c r="EV14" s="880"/>
      <c r="EW14" s="880"/>
      <c r="EX14" s="880"/>
      <c r="EY14" s="880"/>
      <c r="EZ14" s="880"/>
      <c r="FA14" s="880"/>
      <c r="FB14" s="880"/>
      <c r="FC14" s="880"/>
      <c r="FD14" s="880"/>
      <c r="FE14" s="880"/>
      <c r="FF14" s="880"/>
      <c r="FG14" s="880"/>
      <c r="FH14" s="880"/>
      <c r="FI14" s="880"/>
      <c r="FJ14" s="880"/>
      <c r="FK14" s="880"/>
      <c r="FL14" s="880"/>
      <c r="FM14" s="880"/>
      <c r="FN14" s="880"/>
      <c r="FO14" s="880"/>
      <c r="FP14" s="880"/>
      <c r="FQ14" s="880"/>
      <c r="FR14" s="880"/>
      <c r="FS14" s="880"/>
      <c r="FT14" s="880"/>
      <c r="FU14" s="880"/>
      <c r="FV14" s="880"/>
      <c r="FW14" s="880"/>
      <c r="FX14" s="880"/>
      <c r="FY14" s="880"/>
      <c r="FZ14" s="880"/>
      <c r="GA14" s="880"/>
      <c r="GB14" s="880"/>
      <c r="GC14" s="880"/>
      <c r="GD14" s="880"/>
      <c r="GE14" s="880"/>
      <c r="GF14" s="880"/>
      <c r="GG14" s="880"/>
      <c r="GH14" s="880"/>
      <c r="GI14" s="880"/>
      <c r="GJ14" s="880"/>
      <c r="GK14" s="880"/>
      <c r="GL14" s="880"/>
      <c r="GM14" s="880"/>
      <c r="GN14" s="880"/>
      <c r="GO14" s="880"/>
      <c r="GP14" s="880"/>
      <c r="GQ14" s="880"/>
      <c r="GR14" s="880"/>
      <c r="GS14" s="880"/>
      <c r="GT14" s="880"/>
      <c r="GU14" s="880"/>
      <c r="GV14" s="880"/>
      <c r="GW14" s="880"/>
      <c r="GX14" s="880"/>
      <c r="GY14" s="880"/>
      <c r="GZ14" s="880"/>
      <c r="HA14" s="880"/>
      <c r="HB14" s="880"/>
      <c r="HC14" s="880"/>
      <c r="HD14" s="880"/>
      <c r="HE14" s="880"/>
      <c r="HF14" s="880"/>
      <c r="HG14" s="880"/>
      <c r="HH14" s="880"/>
      <c r="HI14" s="880"/>
      <c r="HJ14" s="880"/>
      <c r="HK14" s="880"/>
      <c r="HL14" s="880"/>
      <c r="HM14" s="880"/>
      <c r="HN14" s="880"/>
      <c r="HO14" s="880"/>
      <c r="HP14" s="880"/>
      <c r="HQ14" s="880"/>
      <c r="HR14" s="880"/>
      <c r="HS14" s="880"/>
      <c r="HT14" s="880"/>
      <c r="HU14" s="880"/>
      <c r="HV14" s="880"/>
      <c r="HW14" s="880"/>
      <c r="HX14" s="880"/>
      <c r="HY14" s="880"/>
      <c r="HZ14" s="880"/>
      <c r="IA14" s="880"/>
      <c r="IB14" s="880"/>
      <c r="IC14" s="880"/>
      <c r="ID14" s="880"/>
      <c r="IE14" s="880"/>
      <c r="IF14" s="880"/>
      <c r="IG14" s="880"/>
      <c r="IH14" s="880"/>
      <c r="II14" s="880"/>
      <c r="IJ14" s="880"/>
      <c r="IK14" s="880"/>
      <c r="IL14" s="880"/>
      <c r="IM14" s="880"/>
      <c r="IN14" s="880"/>
      <c r="IO14" s="880"/>
      <c r="IP14" s="880"/>
      <c r="IQ14" s="880"/>
    </row>
    <row r="15" spans="1:251" s="126" customFormat="1" ht="12.75">
      <c r="A15" s="1094"/>
      <c r="B15" s="1145" t="s">
        <v>2809</v>
      </c>
      <c r="C15" s="1146" t="s">
        <v>3954</v>
      </c>
      <c r="E15" s="876"/>
      <c r="F15" s="879"/>
      <c r="G15" s="877"/>
      <c r="H15" s="877"/>
      <c r="I15" s="877"/>
      <c r="J15" s="878"/>
      <c r="K15" s="1094"/>
      <c r="L15" s="412"/>
      <c r="M15" s="1094"/>
      <c r="N15" s="411"/>
      <c r="O15" s="652"/>
      <c r="Q15" s="126" t="str">
        <f>IF(O15&lt;&gt;"",D15,"")</f>
        <v/>
      </c>
    </row>
    <row r="16" spans="1:251" s="22" customFormat="1" ht="12" customHeight="1">
      <c r="A16" s="1182"/>
      <c r="B16" s="1147"/>
      <c r="C16" s="1146" t="s">
        <v>3955</v>
      </c>
      <c r="D16" s="762"/>
      <c r="E16" s="1089"/>
      <c r="F16" s="1090"/>
      <c r="G16" s="1090"/>
      <c r="H16" s="1090"/>
      <c r="I16" s="1090"/>
      <c r="J16" s="1090"/>
      <c r="K16" s="1091"/>
      <c r="L16" s="1091"/>
      <c r="M16" s="1091"/>
      <c r="N16" s="411"/>
      <c r="O16" s="881"/>
      <c r="P16" s="880"/>
      <c r="Q16" s="126" t="str">
        <f>IF(O16&lt;&gt;"",D16,"")</f>
        <v/>
      </c>
      <c r="R16" s="880"/>
      <c r="S16" s="880"/>
      <c r="T16" s="880"/>
      <c r="U16" s="880"/>
      <c r="V16" s="880"/>
      <c r="W16" s="880"/>
      <c r="X16" s="880"/>
      <c r="Y16" s="880"/>
      <c r="Z16" s="880"/>
      <c r="AA16" s="880"/>
      <c r="AB16" s="880"/>
      <c r="AC16" s="880"/>
      <c r="AD16" s="880"/>
      <c r="AE16" s="880"/>
      <c r="AF16" s="880"/>
      <c r="AG16" s="880"/>
      <c r="AH16" s="880"/>
      <c r="AI16" s="880"/>
      <c r="AJ16" s="880"/>
      <c r="AK16" s="880"/>
      <c r="AL16" s="880"/>
      <c r="AM16" s="880"/>
      <c r="AN16" s="880"/>
      <c r="AO16" s="880"/>
      <c r="AP16" s="880"/>
      <c r="AQ16" s="880"/>
      <c r="AR16" s="880"/>
      <c r="AS16" s="880"/>
      <c r="AT16" s="880"/>
      <c r="AU16" s="880"/>
      <c r="AV16" s="880"/>
      <c r="AW16" s="880"/>
      <c r="AX16" s="880"/>
      <c r="AY16" s="880"/>
      <c r="AZ16" s="880"/>
      <c r="BA16" s="880"/>
      <c r="BB16" s="880"/>
      <c r="BC16" s="880"/>
      <c r="BD16" s="880"/>
      <c r="BE16" s="880"/>
      <c r="BF16" s="880"/>
      <c r="BG16" s="880"/>
      <c r="BH16" s="880"/>
      <c r="BI16" s="880"/>
      <c r="BJ16" s="880"/>
      <c r="BK16" s="880"/>
      <c r="BL16" s="880"/>
      <c r="BM16" s="880"/>
      <c r="BN16" s="880"/>
      <c r="BO16" s="880"/>
      <c r="BP16" s="880"/>
      <c r="BQ16" s="880"/>
      <c r="BR16" s="880"/>
      <c r="BS16" s="880"/>
      <c r="BT16" s="880"/>
      <c r="BU16" s="880"/>
      <c r="BV16" s="880"/>
      <c r="BW16" s="880"/>
      <c r="BX16" s="880"/>
      <c r="BY16" s="880"/>
      <c r="BZ16" s="880"/>
      <c r="CA16" s="880"/>
      <c r="CB16" s="880"/>
      <c r="CC16" s="880"/>
      <c r="CD16" s="880"/>
      <c r="CE16" s="880"/>
      <c r="CF16" s="880"/>
      <c r="CG16" s="880"/>
      <c r="CH16" s="880"/>
      <c r="CI16" s="880"/>
      <c r="CJ16" s="880"/>
      <c r="CK16" s="880"/>
      <c r="CL16" s="880"/>
      <c r="CM16" s="880"/>
      <c r="CN16" s="880"/>
      <c r="CO16" s="880"/>
      <c r="CP16" s="880"/>
      <c r="CQ16" s="880"/>
      <c r="CR16" s="880"/>
      <c r="CS16" s="880"/>
      <c r="CT16" s="880"/>
      <c r="CU16" s="880"/>
      <c r="CV16" s="880"/>
      <c r="CW16" s="880"/>
      <c r="CX16" s="880"/>
      <c r="CY16" s="880"/>
      <c r="CZ16" s="880"/>
      <c r="DA16" s="880"/>
      <c r="DB16" s="880"/>
      <c r="DC16" s="880"/>
      <c r="DD16" s="880"/>
      <c r="DE16" s="880"/>
      <c r="DF16" s="880"/>
      <c r="DG16" s="880"/>
      <c r="DH16" s="880"/>
      <c r="DI16" s="880"/>
      <c r="DJ16" s="880"/>
      <c r="DK16" s="880"/>
      <c r="DL16" s="880"/>
      <c r="DM16" s="880"/>
      <c r="DN16" s="880"/>
      <c r="DO16" s="880"/>
      <c r="DP16" s="880"/>
      <c r="DQ16" s="880"/>
      <c r="DR16" s="880"/>
      <c r="DS16" s="880"/>
      <c r="DT16" s="880"/>
      <c r="DU16" s="880"/>
      <c r="DV16" s="880"/>
      <c r="DW16" s="880"/>
      <c r="DX16" s="880"/>
      <c r="DY16" s="880"/>
      <c r="DZ16" s="880"/>
      <c r="EA16" s="880"/>
      <c r="EB16" s="880"/>
      <c r="EC16" s="880"/>
      <c r="ED16" s="880"/>
      <c r="EE16" s="880"/>
      <c r="EF16" s="880"/>
      <c r="EG16" s="880"/>
      <c r="EH16" s="880"/>
      <c r="EI16" s="880"/>
      <c r="EJ16" s="880"/>
      <c r="EK16" s="880"/>
      <c r="EL16" s="880"/>
      <c r="EM16" s="880"/>
      <c r="EN16" s="880"/>
      <c r="EO16" s="880"/>
      <c r="EP16" s="880"/>
      <c r="EQ16" s="880"/>
      <c r="ER16" s="880"/>
      <c r="ES16" s="880"/>
      <c r="ET16" s="880"/>
      <c r="EU16" s="880"/>
      <c r="EV16" s="880"/>
      <c r="EW16" s="880"/>
      <c r="EX16" s="880"/>
      <c r="EY16" s="880"/>
      <c r="EZ16" s="880"/>
      <c r="FA16" s="880"/>
      <c r="FB16" s="880"/>
      <c r="FC16" s="880"/>
      <c r="FD16" s="880"/>
      <c r="FE16" s="880"/>
      <c r="FF16" s="880"/>
      <c r="FG16" s="880"/>
      <c r="FH16" s="880"/>
      <c r="FI16" s="880"/>
      <c r="FJ16" s="880"/>
      <c r="FK16" s="880"/>
      <c r="FL16" s="880"/>
      <c r="FM16" s="880"/>
      <c r="FN16" s="880"/>
      <c r="FO16" s="880"/>
      <c r="FP16" s="880"/>
      <c r="FQ16" s="880"/>
      <c r="FR16" s="880"/>
      <c r="FS16" s="880"/>
      <c r="FT16" s="880"/>
      <c r="FU16" s="880"/>
      <c r="FV16" s="880"/>
      <c r="FW16" s="880"/>
      <c r="FX16" s="880"/>
      <c r="FY16" s="880"/>
      <c r="FZ16" s="880"/>
      <c r="GA16" s="880"/>
      <c r="GB16" s="880"/>
      <c r="GC16" s="880"/>
      <c r="GD16" s="880"/>
      <c r="GE16" s="880"/>
      <c r="GF16" s="880"/>
      <c r="GG16" s="880"/>
      <c r="GH16" s="880"/>
      <c r="GI16" s="880"/>
      <c r="GJ16" s="880"/>
      <c r="GK16" s="880"/>
      <c r="GL16" s="880"/>
      <c r="GM16" s="880"/>
      <c r="GN16" s="880"/>
      <c r="GO16" s="880"/>
      <c r="GP16" s="880"/>
      <c r="GQ16" s="880"/>
      <c r="GR16" s="880"/>
      <c r="GS16" s="880"/>
      <c r="GT16" s="880"/>
      <c r="GU16" s="880"/>
      <c r="GV16" s="880"/>
      <c r="GW16" s="880"/>
      <c r="GX16" s="880"/>
      <c r="GY16" s="880"/>
      <c r="GZ16" s="880"/>
      <c r="HA16" s="880"/>
      <c r="HB16" s="880"/>
      <c r="HC16" s="880"/>
      <c r="HD16" s="880"/>
      <c r="HE16" s="880"/>
      <c r="HF16" s="880"/>
      <c r="HG16" s="880"/>
      <c r="HH16" s="880"/>
      <c r="HI16" s="880"/>
      <c r="HJ16" s="880"/>
      <c r="HK16" s="880"/>
      <c r="HL16" s="880"/>
      <c r="HM16" s="880"/>
      <c r="HN16" s="880"/>
      <c r="HO16" s="880"/>
      <c r="HP16" s="880"/>
      <c r="HQ16" s="880"/>
      <c r="HR16" s="880"/>
      <c r="HS16" s="880"/>
      <c r="HT16" s="880"/>
      <c r="HU16" s="880"/>
      <c r="HV16" s="880"/>
      <c r="HW16" s="880"/>
      <c r="HX16" s="880"/>
      <c r="HY16" s="880"/>
      <c r="HZ16" s="880"/>
      <c r="IA16" s="880"/>
      <c r="IB16" s="880"/>
      <c r="IC16" s="880"/>
      <c r="ID16" s="880"/>
      <c r="IE16" s="880"/>
      <c r="IF16" s="880"/>
      <c r="IG16" s="880"/>
      <c r="IH16" s="880"/>
      <c r="II16" s="880"/>
      <c r="IJ16" s="880"/>
      <c r="IK16" s="880"/>
      <c r="IL16" s="880"/>
      <c r="IM16" s="880"/>
      <c r="IN16" s="880"/>
      <c r="IO16" s="880"/>
      <c r="IP16" s="880"/>
      <c r="IQ16" s="880"/>
    </row>
    <row r="17" spans="1:251" s="22" customFormat="1" ht="12" customHeight="1">
      <c r="A17" s="1182"/>
      <c r="B17" s="1147"/>
      <c r="C17" s="1146" t="s">
        <v>3956</v>
      </c>
      <c r="D17" s="762"/>
      <c r="E17" s="1089"/>
      <c r="F17" s="1090"/>
      <c r="G17" s="1090"/>
      <c r="H17" s="1090"/>
      <c r="I17" s="1090"/>
      <c r="J17" s="1090"/>
      <c r="K17" s="1091"/>
      <c r="L17" s="1091"/>
      <c r="M17" s="1091"/>
      <c r="N17" s="411"/>
      <c r="O17" s="881"/>
      <c r="P17" s="880"/>
      <c r="Q17" s="126" t="str">
        <f>IF(O17&lt;&gt;"",D17,"")</f>
        <v/>
      </c>
      <c r="R17" s="880"/>
      <c r="S17" s="880"/>
      <c r="T17" s="880"/>
      <c r="U17" s="880"/>
      <c r="V17" s="880"/>
      <c r="W17" s="880"/>
      <c r="X17" s="880"/>
      <c r="Y17" s="880"/>
      <c r="Z17" s="880"/>
      <c r="AA17" s="880"/>
      <c r="AB17" s="880"/>
      <c r="AC17" s="880"/>
      <c r="AD17" s="880"/>
      <c r="AE17" s="880"/>
      <c r="AF17" s="880"/>
      <c r="AG17" s="880"/>
      <c r="AH17" s="880"/>
      <c r="AI17" s="880"/>
      <c r="AJ17" s="880"/>
      <c r="AK17" s="880"/>
      <c r="AL17" s="880"/>
      <c r="AM17" s="880"/>
      <c r="AN17" s="880"/>
      <c r="AO17" s="880"/>
      <c r="AP17" s="880"/>
      <c r="AQ17" s="880"/>
      <c r="AR17" s="880"/>
      <c r="AS17" s="880"/>
      <c r="AT17" s="880"/>
      <c r="AU17" s="880"/>
      <c r="AV17" s="880"/>
      <c r="AW17" s="880"/>
      <c r="AX17" s="880"/>
      <c r="AY17" s="880"/>
      <c r="AZ17" s="880"/>
      <c r="BA17" s="880"/>
      <c r="BB17" s="880"/>
      <c r="BC17" s="880"/>
      <c r="BD17" s="880"/>
      <c r="BE17" s="880"/>
      <c r="BF17" s="880"/>
      <c r="BG17" s="880"/>
      <c r="BH17" s="880"/>
      <c r="BI17" s="880"/>
      <c r="BJ17" s="880"/>
      <c r="BK17" s="880"/>
      <c r="BL17" s="880"/>
      <c r="BM17" s="880"/>
      <c r="BN17" s="880"/>
      <c r="BO17" s="880"/>
      <c r="BP17" s="880"/>
      <c r="BQ17" s="880"/>
      <c r="BR17" s="880"/>
      <c r="BS17" s="880"/>
      <c r="BT17" s="880"/>
      <c r="BU17" s="880"/>
      <c r="BV17" s="880"/>
      <c r="BW17" s="880"/>
      <c r="BX17" s="880"/>
      <c r="BY17" s="880"/>
      <c r="BZ17" s="880"/>
      <c r="CA17" s="880"/>
      <c r="CB17" s="880"/>
      <c r="CC17" s="880"/>
      <c r="CD17" s="880"/>
      <c r="CE17" s="880"/>
      <c r="CF17" s="880"/>
      <c r="CG17" s="880"/>
      <c r="CH17" s="880"/>
      <c r="CI17" s="880"/>
      <c r="CJ17" s="880"/>
      <c r="CK17" s="880"/>
      <c r="CL17" s="880"/>
      <c r="CM17" s="880"/>
      <c r="CN17" s="880"/>
      <c r="CO17" s="880"/>
      <c r="CP17" s="880"/>
      <c r="CQ17" s="880"/>
      <c r="CR17" s="880"/>
      <c r="CS17" s="880"/>
      <c r="CT17" s="880"/>
      <c r="CU17" s="880"/>
      <c r="CV17" s="880"/>
      <c r="CW17" s="880"/>
      <c r="CX17" s="880"/>
      <c r="CY17" s="880"/>
      <c r="CZ17" s="880"/>
      <c r="DA17" s="880"/>
      <c r="DB17" s="880"/>
      <c r="DC17" s="880"/>
      <c r="DD17" s="880"/>
      <c r="DE17" s="880"/>
      <c r="DF17" s="880"/>
      <c r="DG17" s="880"/>
      <c r="DH17" s="880"/>
      <c r="DI17" s="880"/>
      <c r="DJ17" s="880"/>
      <c r="DK17" s="880"/>
      <c r="DL17" s="880"/>
      <c r="DM17" s="880"/>
      <c r="DN17" s="880"/>
      <c r="DO17" s="880"/>
      <c r="DP17" s="880"/>
      <c r="DQ17" s="880"/>
      <c r="DR17" s="880"/>
      <c r="DS17" s="880"/>
      <c r="DT17" s="880"/>
      <c r="DU17" s="880"/>
      <c r="DV17" s="880"/>
      <c r="DW17" s="880"/>
      <c r="DX17" s="880"/>
      <c r="DY17" s="880"/>
      <c r="DZ17" s="880"/>
      <c r="EA17" s="880"/>
      <c r="EB17" s="880"/>
      <c r="EC17" s="880"/>
      <c r="ED17" s="880"/>
      <c r="EE17" s="880"/>
      <c r="EF17" s="880"/>
      <c r="EG17" s="880"/>
      <c r="EH17" s="880"/>
      <c r="EI17" s="880"/>
      <c r="EJ17" s="880"/>
      <c r="EK17" s="880"/>
      <c r="EL17" s="880"/>
      <c r="EM17" s="880"/>
      <c r="EN17" s="880"/>
      <c r="EO17" s="880"/>
      <c r="EP17" s="880"/>
      <c r="EQ17" s="880"/>
      <c r="ER17" s="880"/>
      <c r="ES17" s="880"/>
      <c r="ET17" s="880"/>
      <c r="EU17" s="880"/>
      <c r="EV17" s="880"/>
      <c r="EW17" s="880"/>
      <c r="EX17" s="880"/>
      <c r="EY17" s="880"/>
      <c r="EZ17" s="880"/>
      <c r="FA17" s="880"/>
      <c r="FB17" s="880"/>
      <c r="FC17" s="880"/>
      <c r="FD17" s="880"/>
      <c r="FE17" s="880"/>
      <c r="FF17" s="880"/>
      <c r="FG17" s="880"/>
      <c r="FH17" s="880"/>
      <c r="FI17" s="880"/>
      <c r="FJ17" s="880"/>
      <c r="FK17" s="880"/>
      <c r="FL17" s="880"/>
      <c r="FM17" s="880"/>
      <c r="FN17" s="880"/>
      <c r="FO17" s="880"/>
      <c r="FP17" s="880"/>
      <c r="FQ17" s="880"/>
      <c r="FR17" s="880"/>
      <c r="FS17" s="880"/>
      <c r="FT17" s="880"/>
      <c r="FU17" s="880"/>
      <c r="FV17" s="880"/>
      <c r="FW17" s="880"/>
      <c r="FX17" s="880"/>
      <c r="FY17" s="880"/>
      <c r="FZ17" s="880"/>
      <c r="GA17" s="880"/>
      <c r="GB17" s="880"/>
      <c r="GC17" s="880"/>
      <c r="GD17" s="880"/>
      <c r="GE17" s="880"/>
      <c r="GF17" s="880"/>
      <c r="GG17" s="880"/>
      <c r="GH17" s="880"/>
      <c r="GI17" s="880"/>
      <c r="GJ17" s="880"/>
      <c r="GK17" s="880"/>
      <c r="GL17" s="880"/>
      <c r="GM17" s="880"/>
      <c r="GN17" s="880"/>
      <c r="GO17" s="880"/>
      <c r="GP17" s="880"/>
      <c r="GQ17" s="880"/>
      <c r="GR17" s="880"/>
      <c r="GS17" s="880"/>
      <c r="GT17" s="880"/>
      <c r="GU17" s="880"/>
      <c r="GV17" s="880"/>
      <c r="GW17" s="880"/>
      <c r="GX17" s="880"/>
      <c r="GY17" s="880"/>
      <c r="GZ17" s="880"/>
      <c r="HA17" s="880"/>
      <c r="HB17" s="880"/>
      <c r="HC17" s="880"/>
      <c r="HD17" s="880"/>
      <c r="HE17" s="880"/>
      <c r="HF17" s="880"/>
      <c r="HG17" s="880"/>
      <c r="HH17" s="880"/>
      <c r="HI17" s="880"/>
      <c r="HJ17" s="880"/>
      <c r="HK17" s="880"/>
      <c r="HL17" s="880"/>
      <c r="HM17" s="880"/>
      <c r="HN17" s="880"/>
      <c r="HO17" s="880"/>
      <c r="HP17" s="880"/>
      <c r="HQ17" s="880"/>
      <c r="HR17" s="880"/>
      <c r="HS17" s="880"/>
      <c r="HT17" s="880"/>
      <c r="HU17" s="880"/>
      <c r="HV17" s="880"/>
      <c r="HW17" s="880"/>
      <c r="HX17" s="880"/>
      <c r="HY17" s="880"/>
      <c r="HZ17" s="880"/>
      <c r="IA17" s="880"/>
      <c r="IB17" s="880"/>
      <c r="IC17" s="880"/>
      <c r="ID17" s="880"/>
      <c r="IE17" s="880"/>
      <c r="IF17" s="880"/>
      <c r="IG17" s="880"/>
      <c r="IH17" s="880"/>
      <c r="II17" s="880"/>
      <c r="IJ17" s="880"/>
      <c r="IK17" s="880"/>
      <c r="IL17" s="880"/>
      <c r="IM17" s="880"/>
      <c r="IN17" s="880"/>
      <c r="IO17" s="880"/>
      <c r="IP17" s="880"/>
      <c r="IQ17" s="880"/>
    </row>
    <row r="18" spans="1:251" s="22" customFormat="1" ht="12" customHeight="1">
      <c r="A18" s="1182"/>
      <c r="B18" s="1183"/>
      <c r="C18" s="1184"/>
      <c r="D18" s="762"/>
      <c r="E18" s="1089"/>
      <c r="F18" s="1090"/>
      <c r="G18" s="1090"/>
      <c r="H18" s="1090"/>
      <c r="I18" s="1090"/>
      <c r="J18" s="1090"/>
      <c r="K18" s="1091"/>
      <c r="L18" s="1091"/>
      <c r="M18" s="1091"/>
      <c r="N18" s="411"/>
      <c r="O18" s="881"/>
      <c r="P18" s="880"/>
      <c r="Q18" s="126" t="str">
        <f>IF(O18&lt;&gt;"",D18,"")</f>
        <v/>
      </c>
      <c r="R18" s="880"/>
      <c r="S18" s="880"/>
      <c r="T18" s="880"/>
      <c r="U18" s="880"/>
      <c r="V18" s="880"/>
      <c r="W18" s="880"/>
      <c r="X18" s="880"/>
      <c r="Y18" s="880"/>
      <c r="Z18" s="880"/>
      <c r="AA18" s="880"/>
      <c r="AB18" s="880"/>
      <c r="AC18" s="880"/>
      <c r="AD18" s="880"/>
      <c r="AE18" s="880"/>
      <c r="AF18" s="880"/>
      <c r="AG18" s="880"/>
      <c r="AH18" s="880"/>
      <c r="AI18" s="880"/>
      <c r="AJ18" s="880"/>
      <c r="AK18" s="880"/>
      <c r="AL18" s="880"/>
      <c r="AM18" s="880"/>
      <c r="AN18" s="880"/>
      <c r="AO18" s="880"/>
      <c r="AP18" s="880"/>
      <c r="AQ18" s="880"/>
      <c r="AR18" s="880"/>
      <c r="AS18" s="880"/>
      <c r="AT18" s="880"/>
      <c r="AU18" s="880"/>
      <c r="AV18" s="880"/>
      <c r="AW18" s="880"/>
      <c r="AX18" s="880"/>
      <c r="AY18" s="880"/>
      <c r="AZ18" s="880"/>
      <c r="BA18" s="880"/>
      <c r="BB18" s="880"/>
      <c r="BC18" s="880"/>
      <c r="BD18" s="880"/>
      <c r="BE18" s="880"/>
      <c r="BF18" s="880"/>
      <c r="BG18" s="880"/>
      <c r="BH18" s="880"/>
      <c r="BI18" s="880"/>
      <c r="BJ18" s="880"/>
      <c r="BK18" s="880"/>
      <c r="BL18" s="880"/>
      <c r="BM18" s="880"/>
      <c r="BN18" s="880"/>
      <c r="BO18" s="880"/>
      <c r="BP18" s="880"/>
      <c r="BQ18" s="880"/>
      <c r="BR18" s="880"/>
      <c r="BS18" s="880"/>
      <c r="BT18" s="880"/>
      <c r="BU18" s="880"/>
      <c r="BV18" s="880"/>
      <c r="BW18" s="880"/>
      <c r="BX18" s="880"/>
      <c r="BY18" s="880"/>
      <c r="BZ18" s="880"/>
      <c r="CA18" s="880"/>
      <c r="CB18" s="880"/>
      <c r="CC18" s="880"/>
      <c r="CD18" s="880"/>
      <c r="CE18" s="880"/>
      <c r="CF18" s="880"/>
      <c r="CG18" s="880"/>
      <c r="CH18" s="880"/>
      <c r="CI18" s="880"/>
      <c r="CJ18" s="880"/>
      <c r="CK18" s="880"/>
      <c r="CL18" s="880"/>
      <c r="CM18" s="880"/>
      <c r="CN18" s="880"/>
      <c r="CO18" s="880"/>
      <c r="CP18" s="880"/>
      <c r="CQ18" s="880"/>
      <c r="CR18" s="880"/>
      <c r="CS18" s="880"/>
      <c r="CT18" s="880"/>
      <c r="CU18" s="880"/>
      <c r="CV18" s="880"/>
      <c r="CW18" s="880"/>
      <c r="CX18" s="880"/>
      <c r="CY18" s="880"/>
      <c r="CZ18" s="880"/>
      <c r="DA18" s="880"/>
      <c r="DB18" s="880"/>
      <c r="DC18" s="880"/>
      <c r="DD18" s="880"/>
      <c r="DE18" s="880"/>
      <c r="DF18" s="880"/>
      <c r="DG18" s="880"/>
      <c r="DH18" s="880"/>
      <c r="DI18" s="880"/>
      <c r="DJ18" s="880"/>
      <c r="DK18" s="880"/>
      <c r="DL18" s="880"/>
      <c r="DM18" s="880"/>
      <c r="DN18" s="880"/>
      <c r="DO18" s="880"/>
      <c r="DP18" s="880"/>
      <c r="DQ18" s="880"/>
      <c r="DR18" s="880"/>
      <c r="DS18" s="880"/>
      <c r="DT18" s="880"/>
      <c r="DU18" s="880"/>
      <c r="DV18" s="880"/>
      <c r="DW18" s="880"/>
      <c r="DX18" s="880"/>
      <c r="DY18" s="880"/>
      <c r="DZ18" s="880"/>
      <c r="EA18" s="880"/>
      <c r="EB18" s="880"/>
      <c r="EC18" s="880"/>
      <c r="ED18" s="880"/>
      <c r="EE18" s="880"/>
      <c r="EF18" s="880"/>
      <c r="EG18" s="880"/>
      <c r="EH18" s="880"/>
      <c r="EI18" s="880"/>
      <c r="EJ18" s="880"/>
      <c r="EK18" s="880"/>
      <c r="EL18" s="880"/>
      <c r="EM18" s="880"/>
      <c r="EN18" s="880"/>
      <c r="EO18" s="880"/>
      <c r="EP18" s="880"/>
      <c r="EQ18" s="880"/>
      <c r="ER18" s="880"/>
      <c r="ES18" s="880"/>
      <c r="ET18" s="880"/>
      <c r="EU18" s="880"/>
      <c r="EV18" s="880"/>
      <c r="EW18" s="880"/>
      <c r="EX18" s="880"/>
      <c r="EY18" s="880"/>
      <c r="EZ18" s="880"/>
      <c r="FA18" s="880"/>
      <c r="FB18" s="880"/>
      <c r="FC18" s="880"/>
      <c r="FD18" s="880"/>
      <c r="FE18" s="880"/>
      <c r="FF18" s="880"/>
      <c r="FG18" s="880"/>
      <c r="FH18" s="880"/>
      <c r="FI18" s="880"/>
      <c r="FJ18" s="880"/>
      <c r="FK18" s="880"/>
      <c r="FL18" s="880"/>
      <c r="FM18" s="880"/>
      <c r="FN18" s="880"/>
      <c r="FO18" s="880"/>
      <c r="FP18" s="880"/>
      <c r="FQ18" s="880"/>
      <c r="FR18" s="880"/>
      <c r="FS18" s="880"/>
      <c r="FT18" s="880"/>
      <c r="FU18" s="880"/>
      <c r="FV18" s="880"/>
      <c r="FW18" s="880"/>
      <c r="FX18" s="880"/>
      <c r="FY18" s="880"/>
      <c r="FZ18" s="880"/>
      <c r="GA18" s="880"/>
      <c r="GB18" s="880"/>
      <c r="GC18" s="880"/>
      <c r="GD18" s="880"/>
      <c r="GE18" s="880"/>
      <c r="GF18" s="880"/>
      <c r="GG18" s="880"/>
      <c r="GH18" s="880"/>
      <c r="GI18" s="880"/>
      <c r="GJ18" s="880"/>
      <c r="GK18" s="880"/>
      <c r="GL18" s="880"/>
      <c r="GM18" s="880"/>
      <c r="GN18" s="880"/>
      <c r="GO18" s="880"/>
      <c r="GP18" s="880"/>
      <c r="GQ18" s="880"/>
      <c r="GR18" s="880"/>
      <c r="GS18" s="880"/>
      <c r="GT18" s="880"/>
      <c r="GU18" s="880"/>
      <c r="GV18" s="880"/>
      <c r="GW18" s="880"/>
      <c r="GX18" s="880"/>
      <c r="GY18" s="880"/>
      <c r="GZ18" s="880"/>
      <c r="HA18" s="880"/>
      <c r="HB18" s="880"/>
      <c r="HC18" s="880"/>
      <c r="HD18" s="880"/>
      <c r="HE18" s="880"/>
      <c r="HF18" s="880"/>
      <c r="HG18" s="880"/>
      <c r="HH18" s="880"/>
      <c r="HI18" s="880"/>
      <c r="HJ18" s="880"/>
      <c r="HK18" s="880"/>
      <c r="HL18" s="880"/>
      <c r="HM18" s="880"/>
      <c r="HN18" s="880"/>
      <c r="HO18" s="880"/>
      <c r="HP18" s="880"/>
      <c r="HQ18" s="880"/>
      <c r="HR18" s="880"/>
      <c r="HS18" s="880"/>
      <c r="HT18" s="880"/>
      <c r="HU18" s="880"/>
      <c r="HV18" s="880"/>
      <c r="HW18" s="880"/>
      <c r="HX18" s="880"/>
      <c r="HY18" s="880"/>
      <c r="HZ18" s="880"/>
      <c r="IA18" s="880"/>
      <c r="IB18" s="880"/>
      <c r="IC18" s="880"/>
      <c r="ID18" s="880"/>
      <c r="IE18" s="880"/>
      <c r="IF18" s="880"/>
      <c r="IG18" s="880"/>
      <c r="IH18" s="880"/>
      <c r="II18" s="880"/>
      <c r="IJ18" s="880"/>
      <c r="IK18" s="880"/>
      <c r="IL18" s="880"/>
      <c r="IM18" s="880"/>
      <c r="IN18" s="880"/>
      <c r="IO18" s="880"/>
      <c r="IP18" s="880"/>
      <c r="IQ18" s="880"/>
    </row>
    <row r="19" spans="1:251" s="126" customFormat="1" ht="12.75">
      <c r="A19" s="1094"/>
      <c r="B19" s="1162" t="s">
        <v>1591</v>
      </c>
      <c r="C19" s="1163" t="s">
        <v>3929</v>
      </c>
      <c r="E19" s="876"/>
      <c r="F19" s="879"/>
      <c r="G19" s="877"/>
      <c r="H19" s="877"/>
      <c r="I19" s="877"/>
      <c r="J19" s="878"/>
      <c r="K19" s="1094"/>
      <c r="L19" s="412"/>
      <c r="M19" s="1094"/>
      <c r="N19" s="411"/>
      <c r="O19" s="652"/>
    </row>
    <row r="20" spans="1:251" s="22" customFormat="1" ht="12" customHeight="1">
      <c r="A20" s="1094"/>
      <c r="B20" s="1164"/>
      <c r="C20" s="1163" t="s">
        <v>3930</v>
      </c>
      <c r="D20" s="126"/>
      <c r="E20" s="876"/>
      <c r="F20" s="879"/>
      <c r="G20" s="877"/>
      <c r="H20" s="877"/>
      <c r="I20" s="877"/>
      <c r="J20" s="878"/>
      <c r="K20" s="1091"/>
      <c r="L20" s="1091"/>
      <c r="M20" s="1091"/>
      <c r="N20" s="411"/>
      <c r="O20" s="881"/>
      <c r="P20" s="880"/>
      <c r="Q20" s="126" t="str">
        <f>IF(O20&lt;&gt;"",D21,"")</f>
        <v/>
      </c>
      <c r="R20" s="880"/>
      <c r="S20" s="880"/>
      <c r="T20" s="880"/>
      <c r="U20" s="880"/>
      <c r="V20" s="880"/>
      <c r="W20" s="880"/>
      <c r="X20" s="880"/>
      <c r="Y20" s="880"/>
      <c r="Z20" s="880"/>
      <c r="AA20" s="880"/>
      <c r="AB20" s="880"/>
      <c r="AC20" s="880"/>
      <c r="AD20" s="880"/>
      <c r="AE20" s="880"/>
      <c r="AF20" s="880"/>
      <c r="AG20" s="880"/>
      <c r="AH20" s="880"/>
      <c r="AI20" s="880"/>
      <c r="AJ20" s="880"/>
      <c r="AK20" s="880"/>
      <c r="AL20" s="880"/>
      <c r="AM20" s="880"/>
      <c r="AN20" s="880"/>
      <c r="AO20" s="880"/>
      <c r="AP20" s="880"/>
      <c r="AQ20" s="880"/>
      <c r="AR20" s="880"/>
      <c r="AS20" s="880"/>
      <c r="AT20" s="880"/>
      <c r="AU20" s="880"/>
      <c r="AV20" s="880"/>
      <c r="AW20" s="880"/>
      <c r="AX20" s="880"/>
      <c r="AY20" s="880"/>
      <c r="AZ20" s="880"/>
      <c r="BA20" s="880"/>
      <c r="BB20" s="880"/>
      <c r="BC20" s="880"/>
      <c r="BD20" s="880"/>
      <c r="BE20" s="880"/>
      <c r="BF20" s="880"/>
      <c r="BG20" s="880"/>
      <c r="BH20" s="880"/>
      <c r="BI20" s="880"/>
      <c r="BJ20" s="880"/>
      <c r="BK20" s="880"/>
      <c r="BL20" s="880"/>
      <c r="BM20" s="880"/>
      <c r="BN20" s="880"/>
      <c r="BO20" s="880"/>
      <c r="BP20" s="880"/>
      <c r="BQ20" s="880"/>
      <c r="BR20" s="880"/>
      <c r="BS20" s="880"/>
      <c r="BT20" s="880"/>
      <c r="BU20" s="880"/>
      <c r="BV20" s="880"/>
      <c r="BW20" s="880"/>
      <c r="BX20" s="880"/>
      <c r="BY20" s="880"/>
      <c r="BZ20" s="880"/>
      <c r="CA20" s="880"/>
      <c r="CB20" s="880"/>
      <c r="CC20" s="880"/>
      <c r="CD20" s="880"/>
      <c r="CE20" s="880"/>
      <c r="CF20" s="880"/>
      <c r="CG20" s="880"/>
      <c r="CH20" s="880"/>
      <c r="CI20" s="880"/>
      <c r="CJ20" s="880"/>
      <c r="CK20" s="880"/>
      <c r="CL20" s="880"/>
      <c r="CM20" s="880"/>
      <c r="CN20" s="880"/>
      <c r="CO20" s="880"/>
      <c r="CP20" s="880"/>
      <c r="CQ20" s="880"/>
      <c r="CR20" s="880"/>
      <c r="CS20" s="880"/>
      <c r="CT20" s="880"/>
      <c r="CU20" s="880"/>
      <c r="CV20" s="880"/>
      <c r="CW20" s="880"/>
      <c r="CX20" s="880"/>
      <c r="CY20" s="880"/>
      <c r="CZ20" s="880"/>
      <c r="DA20" s="880"/>
      <c r="DB20" s="880"/>
      <c r="DC20" s="880"/>
      <c r="DD20" s="880"/>
      <c r="DE20" s="880"/>
      <c r="DF20" s="880"/>
      <c r="DG20" s="880"/>
      <c r="DH20" s="880"/>
      <c r="DI20" s="880"/>
      <c r="DJ20" s="880"/>
      <c r="DK20" s="880"/>
      <c r="DL20" s="880"/>
      <c r="DM20" s="880"/>
      <c r="DN20" s="880"/>
      <c r="DO20" s="880"/>
      <c r="DP20" s="880"/>
      <c r="DQ20" s="880"/>
      <c r="DR20" s="880"/>
      <c r="DS20" s="880"/>
      <c r="DT20" s="880"/>
      <c r="DU20" s="880"/>
      <c r="DV20" s="880"/>
      <c r="DW20" s="880"/>
      <c r="DX20" s="880"/>
      <c r="DY20" s="880"/>
      <c r="DZ20" s="880"/>
      <c r="EA20" s="880"/>
      <c r="EB20" s="880"/>
      <c r="EC20" s="880"/>
      <c r="ED20" s="880"/>
      <c r="EE20" s="880"/>
      <c r="EF20" s="880"/>
      <c r="EG20" s="880"/>
      <c r="EH20" s="880"/>
      <c r="EI20" s="880"/>
      <c r="EJ20" s="880"/>
      <c r="EK20" s="880"/>
      <c r="EL20" s="880"/>
      <c r="EM20" s="880"/>
      <c r="EN20" s="880"/>
      <c r="EO20" s="880"/>
      <c r="EP20" s="880"/>
      <c r="EQ20" s="880"/>
      <c r="ER20" s="880"/>
      <c r="ES20" s="880"/>
      <c r="ET20" s="880"/>
      <c r="EU20" s="880"/>
      <c r="EV20" s="880"/>
      <c r="EW20" s="880"/>
      <c r="EX20" s="880"/>
      <c r="EY20" s="880"/>
      <c r="EZ20" s="880"/>
      <c r="FA20" s="880"/>
      <c r="FB20" s="880"/>
      <c r="FC20" s="880"/>
      <c r="FD20" s="880"/>
      <c r="FE20" s="880"/>
      <c r="FF20" s="880"/>
      <c r="FG20" s="880"/>
      <c r="FH20" s="880"/>
      <c r="FI20" s="880"/>
      <c r="FJ20" s="880"/>
      <c r="FK20" s="880"/>
      <c r="FL20" s="880"/>
      <c r="FM20" s="880"/>
      <c r="FN20" s="880"/>
      <c r="FO20" s="880"/>
      <c r="FP20" s="880"/>
      <c r="FQ20" s="880"/>
      <c r="FR20" s="880"/>
      <c r="FS20" s="880"/>
      <c r="FT20" s="880"/>
      <c r="FU20" s="880"/>
      <c r="FV20" s="880"/>
      <c r="FW20" s="880"/>
      <c r="FX20" s="880"/>
      <c r="FY20" s="880"/>
      <c r="FZ20" s="880"/>
      <c r="GA20" s="880"/>
      <c r="GB20" s="880"/>
      <c r="GC20" s="880"/>
      <c r="GD20" s="880"/>
      <c r="GE20" s="880"/>
      <c r="GF20" s="880"/>
      <c r="GG20" s="880"/>
      <c r="GH20" s="880"/>
      <c r="GI20" s="880"/>
      <c r="GJ20" s="880"/>
      <c r="GK20" s="880"/>
      <c r="GL20" s="880"/>
      <c r="GM20" s="880"/>
      <c r="GN20" s="880"/>
      <c r="GO20" s="880"/>
      <c r="GP20" s="880"/>
      <c r="GQ20" s="880"/>
      <c r="GR20" s="880"/>
      <c r="GS20" s="880"/>
      <c r="GT20" s="880"/>
      <c r="GU20" s="880"/>
      <c r="GV20" s="880"/>
      <c r="GW20" s="880"/>
      <c r="GX20" s="880"/>
      <c r="GY20" s="880"/>
      <c r="GZ20" s="880"/>
      <c r="HA20" s="880"/>
      <c r="HB20" s="880"/>
      <c r="HC20" s="880"/>
      <c r="HD20" s="880"/>
      <c r="HE20" s="880"/>
      <c r="HF20" s="880"/>
      <c r="HG20" s="880"/>
      <c r="HH20" s="880"/>
      <c r="HI20" s="880"/>
      <c r="HJ20" s="880"/>
      <c r="HK20" s="880"/>
      <c r="HL20" s="880"/>
      <c r="HM20" s="880"/>
      <c r="HN20" s="880"/>
      <c r="HO20" s="880"/>
      <c r="HP20" s="880"/>
      <c r="HQ20" s="880"/>
      <c r="HR20" s="880"/>
      <c r="HS20" s="880"/>
      <c r="HT20" s="880"/>
      <c r="HU20" s="880"/>
      <c r="HV20" s="880"/>
      <c r="HW20" s="880"/>
      <c r="HX20" s="880"/>
      <c r="HY20" s="880"/>
      <c r="HZ20" s="880"/>
      <c r="IA20" s="880"/>
      <c r="IB20" s="880"/>
      <c r="IC20" s="880"/>
      <c r="ID20" s="880"/>
      <c r="IE20" s="880"/>
      <c r="IF20" s="880"/>
      <c r="IG20" s="880"/>
      <c r="IH20" s="880"/>
      <c r="II20" s="880"/>
      <c r="IJ20" s="880"/>
      <c r="IK20" s="880"/>
      <c r="IL20" s="880"/>
      <c r="IM20" s="880"/>
      <c r="IN20" s="880"/>
      <c r="IO20" s="880"/>
      <c r="IP20" s="880"/>
      <c r="IQ20" s="880"/>
    </row>
    <row r="21" spans="1:251" s="22" customFormat="1" ht="12" customHeight="1">
      <c r="A21" s="760"/>
      <c r="B21" s="761"/>
      <c r="C21" s="762"/>
      <c r="D21" s="762"/>
      <c r="E21" s="1089"/>
      <c r="F21" s="1090"/>
      <c r="G21" s="1090"/>
      <c r="H21" s="1090"/>
      <c r="I21" s="1090"/>
      <c r="J21" s="1090"/>
      <c r="K21" s="1091"/>
      <c r="L21" s="1091"/>
      <c r="M21" s="1091"/>
      <c r="N21" s="411"/>
      <c r="O21" s="881"/>
      <c r="P21" s="880"/>
      <c r="Q21" s="126" t="str">
        <f>IF(O21&lt;&gt;"",D23,"")</f>
        <v/>
      </c>
      <c r="R21" s="880"/>
      <c r="S21" s="880"/>
      <c r="T21" s="880"/>
      <c r="U21" s="880"/>
      <c r="V21" s="880"/>
      <c r="W21" s="880"/>
      <c r="X21" s="880"/>
      <c r="Y21" s="880"/>
      <c r="Z21" s="880"/>
      <c r="AA21" s="880"/>
      <c r="AB21" s="880"/>
      <c r="AC21" s="880"/>
      <c r="AD21" s="880"/>
      <c r="AE21" s="880"/>
      <c r="AF21" s="880"/>
      <c r="AG21" s="880"/>
      <c r="AH21" s="880"/>
      <c r="AI21" s="880"/>
      <c r="AJ21" s="880"/>
      <c r="AK21" s="880"/>
      <c r="AL21" s="880"/>
      <c r="AM21" s="880"/>
      <c r="AN21" s="880"/>
      <c r="AO21" s="880"/>
      <c r="AP21" s="880"/>
      <c r="AQ21" s="880"/>
      <c r="AR21" s="880"/>
      <c r="AS21" s="880"/>
      <c r="AT21" s="880"/>
      <c r="AU21" s="880"/>
      <c r="AV21" s="880"/>
      <c r="AW21" s="880"/>
      <c r="AX21" s="880"/>
      <c r="AY21" s="880"/>
      <c r="AZ21" s="880"/>
      <c r="BA21" s="880"/>
      <c r="BB21" s="880"/>
      <c r="BC21" s="880"/>
      <c r="BD21" s="880"/>
      <c r="BE21" s="880"/>
      <c r="BF21" s="880"/>
      <c r="BG21" s="880"/>
      <c r="BH21" s="880"/>
      <c r="BI21" s="880"/>
      <c r="BJ21" s="880"/>
      <c r="BK21" s="880"/>
      <c r="BL21" s="880"/>
      <c r="BM21" s="880"/>
      <c r="BN21" s="880"/>
      <c r="BO21" s="880"/>
      <c r="BP21" s="880"/>
      <c r="BQ21" s="880"/>
      <c r="BR21" s="880"/>
      <c r="BS21" s="880"/>
      <c r="BT21" s="880"/>
      <c r="BU21" s="880"/>
      <c r="BV21" s="880"/>
      <c r="BW21" s="880"/>
      <c r="BX21" s="880"/>
      <c r="BY21" s="880"/>
      <c r="BZ21" s="880"/>
      <c r="CA21" s="880"/>
      <c r="CB21" s="880"/>
      <c r="CC21" s="880"/>
      <c r="CD21" s="880"/>
      <c r="CE21" s="880"/>
      <c r="CF21" s="880"/>
      <c r="CG21" s="880"/>
      <c r="CH21" s="880"/>
      <c r="CI21" s="880"/>
      <c r="CJ21" s="880"/>
      <c r="CK21" s="880"/>
      <c r="CL21" s="880"/>
      <c r="CM21" s="880"/>
      <c r="CN21" s="880"/>
      <c r="CO21" s="880"/>
      <c r="CP21" s="880"/>
      <c r="CQ21" s="880"/>
      <c r="CR21" s="880"/>
      <c r="CS21" s="880"/>
      <c r="CT21" s="880"/>
      <c r="CU21" s="880"/>
      <c r="CV21" s="880"/>
      <c r="CW21" s="880"/>
      <c r="CX21" s="880"/>
      <c r="CY21" s="880"/>
      <c r="CZ21" s="880"/>
      <c r="DA21" s="880"/>
      <c r="DB21" s="880"/>
      <c r="DC21" s="880"/>
      <c r="DD21" s="880"/>
      <c r="DE21" s="880"/>
      <c r="DF21" s="880"/>
      <c r="DG21" s="880"/>
      <c r="DH21" s="880"/>
      <c r="DI21" s="880"/>
      <c r="DJ21" s="880"/>
      <c r="DK21" s="880"/>
      <c r="DL21" s="880"/>
      <c r="DM21" s="880"/>
      <c r="DN21" s="880"/>
      <c r="DO21" s="880"/>
      <c r="DP21" s="880"/>
      <c r="DQ21" s="880"/>
      <c r="DR21" s="880"/>
      <c r="DS21" s="880"/>
      <c r="DT21" s="880"/>
      <c r="DU21" s="880"/>
      <c r="DV21" s="880"/>
      <c r="DW21" s="880"/>
      <c r="DX21" s="880"/>
      <c r="DY21" s="880"/>
      <c r="DZ21" s="880"/>
      <c r="EA21" s="880"/>
      <c r="EB21" s="880"/>
      <c r="EC21" s="880"/>
      <c r="ED21" s="880"/>
      <c r="EE21" s="880"/>
      <c r="EF21" s="880"/>
      <c r="EG21" s="880"/>
      <c r="EH21" s="880"/>
      <c r="EI21" s="880"/>
      <c r="EJ21" s="880"/>
      <c r="EK21" s="880"/>
      <c r="EL21" s="880"/>
      <c r="EM21" s="880"/>
      <c r="EN21" s="880"/>
      <c r="EO21" s="880"/>
      <c r="EP21" s="880"/>
      <c r="EQ21" s="880"/>
      <c r="ER21" s="880"/>
      <c r="ES21" s="880"/>
      <c r="ET21" s="880"/>
      <c r="EU21" s="880"/>
      <c r="EV21" s="880"/>
      <c r="EW21" s="880"/>
      <c r="EX21" s="880"/>
      <c r="EY21" s="880"/>
      <c r="EZ21" s="880"/>
      <c r="FA21" s="880"/>
      <c r="FB21" s="880"/>
      <c r="FC21" s="880"/>
      <c r="FD21" s="880"/>
      <c r="FE21" s="880"/>
      <c r="FF21" s="880"/>
      <c r="FG21" s="880"/>
      <c r="FH21" s="880"/>
      <c r="FI21" s="880"/>
      <c r="FJ21" s="880"/>
      <c r="FK21" s="880"/>
      <c r="FL21" s="880"/>
      <c r="FM21" s="880"/>
      <c r="FN21" s="880"/>
      <c r="FO21" s="880"/>
      <c r="FP21" s="880"/>
      <c r="FQ21" s="880"/>
      <c r="FR21" s="880"/>
      <c r="FS21" s="880"/>
      <c r="FT21" s="880"/>
      <c r="FU21" s="880"/>
      <c r="FV21" s="880"/>
      <c r="FW21" s="880"/>
      <c r="FX21" s="880"/>
      <c r="FY21" s="880"/>
      <c r="FZ21" s="880"/>
      <c r="GA21" s="880"/>
      <c r="GB21" s="880"/>
      <c r="GC21" s="880"/>
      <c r="GD21" s="880"/>
      <c r="GE21" s="880"/>
      <c r="GF21" s="880"/>
      <c r="GG21" s="880"/>
      <c r="GH21" s="880"/>
      <c r="GI21" s="880"/>
      <c r="GJ21" s="880"/>
      <c r="GK21" s="880"/>
      <c r="GL21" s="880"/>
      <c r="GM21" s="880"/>
      <c r="GN21" s="880"/>
      <c r="GO21" s="880"/>
      <c r="GP21" s="880"/>
      <c r="GQ21" s="880"/>
      <c r="GR21" s="880"/>
      <c r="GS21" s="880"/>
      <c r="GT21" s="880"/>
      <c r="GU21" s="880"/>
      <c r="GV21" s="880"/>
      <c r="GW21" s="880"/>
      <c r="GX21" s="880"/>
      <c r="GY21" s="880"/>
      <c r="GZ21" s="880"/>
      <c r="HA21" s="880"/>
      <c r="HB21" s="880"/>
      <c r="HC21" s="880"/>
      <c r="HD21" s="880"/>
      <c r="HE21" s="880"/>
      <c r="HF21" s="880"/>
      <c r="HG21" s="880"/>
      <c r="HH21" s="880"/>
      <c r="HI21" s="880"/>
      <c r="HJ21" s="880"/>
      <c r="HK21" s="880"/>
      <c r="HL21" s="880"/>
      <c r="HM21" s="880"/>
      <c r="HN21" s="880"/>
      <c r="HO21" s="880"/>
      <c r="HP21" s="880"/>
      <c r="HQ21" s="880"/>
      <c r="HR21" s="880"/>
      <c r="HS21" s="880"/>
      <c r="HT21" s="880"/>
      <c r="HU21" s="880"/>
      <c r="HV21" s="880"/>
      <c r="HW21" s="880"/>
      <c r="HX21" s="880"/>
      <c r="HY21" s="880"/>
      <c r="HZ21" s="880"/>
      <c r="IA21" s="880"/>
      <c r="IB21" s="880"/>
      <c r="IC21" s="880"/>
      <c r="ID21" s="880"/>
      <c r="IE21" s="880"/>
      <c r="IF21" s="880"/>
      <c r="IG21" s="880"/>
      <c r="IH21" s="880"/>
      <c r="II21" s="880"/>
      <c r="IJ21" s="880"/>
      <c r="IK21" s="880"/>
      <c r="IL21" s="880"/>
      <c r="IM21" s="880"/>
      <c r="IN21" s="880"/>
      <c r="IO21" s="880"/>
      <c r="IP21" s="880"/>
      <c r="IQ21" s="880"/>
    </row>
    <row r="22" spans="1:251" s="126" customFormat="1" ht="12.75" customHeight="1">
      <c r="A22" s="1094"/>
      <c r="B22" s="1145" t="s">
        <v>1591</v>
      </c>
      <c r="C22" s="1185" t="s">
        <v>3924</v>
      </c>
      <c r="E22" s="876"/>
      <c r="F22" s="879"/>
      <c r="G22" s="877"/>
      <c r="H22" s="877"/>
      <c r="I22" s="877"/>
      <c r="J22" s="878"/>
      <c r="K22" s="1094"/>
      <c r="L22" s="412"/>
      <c r="M22" s="1094"/>
      <c r="N22" s="411"/>
      <c r="O22" s="652"/>
    </row>
    <row r="23" spans="1:251" s="126" customFormat="1" ht="12.75" customHeight="1">
      <c r="A23" s="1094"/>
      <c r="B23" s="1145"/>
      <c r="C23" s="1185" t="s">
        <v>3925</v>
      </c>
      <c r="E23" s="876"/>
      <c r="F23" s="879"/>
      <c r="G23" s="877"/>
      <c r="H23" s="877"/>
      <c r="I23" s="877"/>
      <c r="J23" s="878"/>
      <c r="K23" s="1094"/>
      <c r="L23" s="412"/>
      <c r="M23" s="1094"/>
      <c r="N23" s="411"/>
      <c r="O23" s="652"/>
    </row>
    <row r="24" spans="1:251" s="126" customFormat="1" ht="12.75" customHeight="1">
      <c r="A24" s="1094"/>
      <c r="B24" s="1145"/>
      <c r="C24" s="1185" t="s">
        <v>3927</v>
      </c>
      <c r="E24" s="876"/>
      <c r="F24" s="879"/>
      <c r="G24" s="877"/>
      <c r="H24" s="877"/>
      <c r="I24" s="877"/>
      <c r="J24" s="878"/>
      <c r="K24" s="1094"/>
      <c r="L24" s="412"/>
      <c r="M24" s="1094"/>
      <c r="N24" s="411"/>
      <c r="O24" s="652"/>
    </row>
    <row r="25" spans="1:251" s="22" customFormat="1" ht="12" customHeight="1">
      <c r="A25" s="1182"/>
      <c r="B25" s="1186"/>
      <c r="C25" s="1187" t="s">
        <v>3928</v>
      </c>
      <c r="D25" s="762"/>
      <c r="E25" s="1089"/>
      <c r="F25" s="1090"/>
      <c r="G25" s="1090"/>
      <c r="H25" s="1090"/>
      <c r="I25" s="1090"/>
      <c r="J25" s="1090"/>
      <c r="K25" s="1091"/>
      <c r="L25" s="1091"/>
      <c r="M25" s="1091"/>
      <c r="N25" s="411"/>
      <c r="O25" s="881"/>
      <c r="P25" s="880"/>
      <c r="Q25" s="126" t="str">
        <f>IF(O25&lt;&gt;"",D25,"")</f>
        <v/>
      </c>
      <c r="R25" s="880"/>
      <c r="S25" s="880"/>
      <c r="T25" s="880"/>
      <c r="U25" s="880"/>
      <c r="V25" s="880"/>
      <c r="W25" s="880"/>
      <c r="X25" s="880"/>
      <c r="Y25" s="880"/>
      <c r="Z25" s="880"/>
      <c r="AA25" s="880"/>
      <c r="AB25" s="880"/>
      <c r="AC25" s="880"/>
      <c r="AD25" s="880"/>
      <c r="AE25" s="880"/>
      <c r="AF25" s="880"/>
      <c r="AG25" s="880"/>
      <c r="AH25" s="880"/>
      <c r="AI25" s="880"/>
      <c r="AJ25" s="880"/>
      <c r="AK25" s="880"/>
      <c r="AL25" s="880"/>
      <c r="AM25" s="880"/>
      <c r="AN25" s="880"/>
      <c r="AO25" s="880"/>
      <c r="AP25" s="880"/>
      <c r="AQ25" s="880"/>
      <c r="AR25" s="880"/>
      <c r="AS25" s="880"/>
      <c r="AT25" s="880"/>
      <c r="AU25" s="880"/>
      <c r="AV25" s="880"/>
      <c r="AW25" s="880"/>
      <c r="AX25" s="880"/>
      <c r="AY25" s="880"/>
      <c r="AZ25" s="880"/>
      <c r="BA25" s="880"/>
      <c r="BB25" s="880"/>
      <c r="BC25" s="880"/>
      <c r="BD25" s="880"/>
      <c r="BE25" s="880"/>
      <c r="BF25" s="880"/>
      <c r="BG25" s="880"/>
      <c r="BH25" s="880"/>
      <c r="BI25" s="880"/>
      <c r="BJ25" s="880"/>
      <c r="BK25" s="880"/>
      <c r="BL25" s="880"/>
      <c r="BM25" s="880"/>
      <c r="BN25" s="880"/>
      <c r="BO25" s="880"/>
      <c r="BP25" s="880"/>
      <c r="BQ25" s="880"/>
      <c r="BR25" s="880"/>
      <c r="BS25" s="880"/>
      <c r="BT25" s="880"/>
      <c r="BU25" s="880"/>
      <c r="BV25" s="880"/>
      <c r="BW25" s="880"/>
      <c r="BX25" s="880"/>
      <c r="BY25" s="880"/>
      <c r="BZ25" s="880"/>
      <c r="CA25" s="880"/>
      <c r="CB25" s="880"/>
      <c r="CC25" s="880"/>
      <c r="CD25" s="880"/>
      <c r="CE25" s="880"/>
      <c r="CF25" s="880"/>
      <c r="CG25" s="880"/>
      <c r="CH25" s="880"/>
      <c r="CI25" s="880"/>
      <c r="CJ25" s="880"/>
      <c r="CK25" s="880"/>
      <c r="CL25" s="880"/>
      <c r="CM25" s="880"/>
      <c r="CN25" s="880"/>
      <c r="CO25" s="880"/>
      <c r="CP25" s="880"/>
      <c r="CQ25" s="880"/>
      <c r="CR25" s="880"/>
      <c r="CS25" s="880"/>
      <c r="CT25" s="880"/>
      <c r="CU25" s="880"/>
      <c r="CV25" s="880"/>
      <c r="CW25" s="880"/>
      <c r="CX25" s="880"/>
      <c r="CY25" s="880"/>
      <c r="CZ25" s="880"/>
      <c r="DA25" s="880"/>
      <c r="DB25" s="880"/>
      <c r="DC25" s="880"/>
      <c r="DD25" s="880"/>
      <c r="DE25" s="880"/>
      <c r="DF25" s="880"/>
      <c r="DG25" s="880"/>
      <c r="DH25" s="880"/>
      <c r="DI25" s="880"/>
      <c r="DJ25" s="880"/>
      <c r="DK25" s="880"/>
      <c r="DL25" s="880"/>
      <c r="DM25" s="880"/>
      <c r="DN25" s="880"/>
      <c r="DO25" s="880"/>
      <c r="DP25" s="880"/>
      <c r="DQ25" s="880"/>
      <c r="DR25" s="880"/>
      <c r="DS25" s="880"/>
      <c r="DT25" s="880"/>
      <c r="DU25" s="880"/>
      <c r="DV25" s="880"/>
      <c r="DW25" s="880"/>
      <c r="DX25" s="880"/>
      <c r="DY25" s="880"/>
      <c r="DZ25" s="880"/>
      <c r="EA25" s="880"/>
      <c r="EB25" s="880"/>
      <c r="EC25" s="880"/>
      <c r="ED25" s="880"/>
      <c r="EE25" s="880"/>
      <c r="EF25" s="880"/>
      <c r="EG25" s="880"/>
      <c r="EH25" s="880"/>
      <c r="EI25" s="880"/>
      <c r="EJ25" s="880"/>
      <c r="EK25" s="880"/>
      <c r="EL25" s="880"/>
      <c r="EM25" s="880"/>
      <c r="EN25" s="880"/>
      <c r="EO25" s="880"/>
      <c r="EP25" s="880"/>
      <c r="EQ25" s="880"/>
      <c r="ER25" s="880"/>
      <c r="ES25" s="880"/>
      <c r="ET25" s="880"/>
      <c r="EU25" s="880"/>
      <c r="EV25" s="880"/>
      <c r="EW25" s="880"/>
      <c r="EX25" s="880"/>
      <c r="EY25" s="880"/>
      <c r="EZ25" s="880"/>
      <c r="FA25" s="880"/>
      <c r="FB25" s="880"/>
      <c r="FC25" s="880"/>
      <c r="FD25" s="880"/>
      <c r="FE25" s="880"/>
      <c r="FF25" s="880"/>
      <c r="FG25" s="880"/>
      <c r="FH25" s="880"/>
      <c r="FI25" s="880"/>
      <c r="FJ25" s="880"/>
      <c r="FK25" s="880"/>
      <c r="FL25" s="880"/>
      <c r="FM25" s="880"/>
      <c r="FN25" s="880"/>
      <c r="FO25" s="880"/>
      <c r="FP25" s="880"/>
      <c r="FQ25" s="880"/>
      <c r="FR25" s="880"/>
      <c r="FS25" s="880"/>
      <c r="FT25" s="880"/>
      <c r="FU25" s="880"/>
      <c r="FV25" s="880"/>
      <c r="FW25" s="880"/>
      <c r="FX25" s="880"/>
      <c r="FY25" s="880"/>
      <c r="FZ25" s="880"/>
      <c r="GA25" s="880"/>
      <c r="GB25" s="880"/>
      <c r="GC25" s="880"/>
      <c r="GD25" s="880"/>
      <c r="GE25" s="880"/>
      <c r="GF25" s="880"/>
      <c r="GG25" s="880"/>
      <c r="GH25" s="880"/>
      <c r="GI25" s="880"/>
      <c r="GJ25" s="880"/>
      <c r="GK25" s="880"/>
      <c r="GL25" s="880"/>
      <c r="GM25" s="880"/>
      <c r="GN25" s="880"/>
      <c r="GO25" s="880"/>
      <c r="GP25" s="880"/>
      <c r="GQ25" s="880"/>
      <c r="GR25" s="880"/>
      <c r="GS25" s="880"/>
      <c r="GT25" s="880"/>
      <c r="GU25" s="880"/>
      <c r="GV25" s="880"/>
      <c r="GW25" s="880"/>
      <c r="GX25" s="880"/>
      <c r="GY25" s="880"/>
      <c r="GZ25" s="880"/>
      <c r="HA25" s="880"/>
      <c r="HB25" s="880"/>
      <c r="HC25" s="880"/>
      <c r="HD25" s="880"/>
      <c r="HE25" s="880"/>
      <c r="HF25" s="880"/>
      <c r="HG25" s="880"/>
      <c r="HH25" s="880"/>
      <c r="HI25" s="880"/>
      <c r="HJ25" s="880"/>
      <c r="HK25" s="880"/>
      <c r="HL25" s="880"/>
      <c r="HM25" s="880"/>
      <c r="HN25" s="880"/>
      <c r="HO25" s="880"/>
      <c r="HP25" s="880"/>
      <c r="HQ25" s="880"/>
      <c r="HR25" s="880"/>
      <c r="HS25" s="880"/>
      <c r="HT25" s="880"/>
      <c r="HU25" s="880"/>
      <c r="HV25" s="880"/>
      <c r="HW25" s="880"/>
      <c r="HX25" s="880"/>
      <c r="HY25" s="880"/>
      <c r="HZ25" s="880"/>
      <c r="IA25" s="880"/>
      <c r="IB25" s="880"/>
      <c r="IC25" s="880"/>
      <c r="ID25" s="880"/>
      <c r="IE25" s="880"/>
      <c r="IF25" s="880"/>
      <c r="IG25" s="880"/>
      <c r="IH25" s="880"/>
      <c r="II25" s="880"/>
      <c r="IJ25" s="880"/>
      <c r="IK25" s="880"/>
      <c r="IL25" s="880"/>
      <c r="IM25" s="880"/>
      <c r="IN25" s="880"/>
      <c r="IO25" s="880"/>
      <c r="IP25" s="880"/>
      <c r="IQ25" s="880"/>
    </row>
    <row r="26" spans="1:251" s="126" customFormat="1" ht="12.75" customHeight="1">
      <c r="A26" s="1094"/>
      <c r="B26" s="1145"/>
      <c r="C26" s="1185" t="s">
        <v>3926</v>
      </c>
      <c r="E26" s="876"/>
      <c r="F26" s="879"/>
      <c r="G26" s="877"/>
      <c r="H26" s="877"/>
      <c r="I26" s="877"/>
      <c r="J26" s="878"/>
      <c r="K26" s="1094"/>
      <c r="L26" s="412"/>
      <c r="M26" s="1094"/>
      <c r="N26" s="411"/>
      <c r="O26" s="652"/>
    </row>
    <row r="27" spans="1:251" s="22" customFormat="1" ht="12" customHeight="1">
      <c r="A27" s="1182"/>
      <c r="B27" s="1183"/>
      <c r="C27" s="1184"/>
      <c r="D27" s="762"/>
      <c r="E27" s="1089"/>
      <c r="F27" s="1090"/>
      <c r="G27" s="1090"/>
      <c r="H27" s="1090"/>
      <c r="I27" s="1090"/>
      <c r="J27" s="1090"/>
      <c r="K27" s="1091"/>
      <c r="L27" s="1091"/>
      <c r="M27" s="1091"/>
      <c r="N27" s="411"/>
      <c r="O27" s="881"/>
      <c r="P27" s="880"/>
      <c r="Q27" s="126" t="str">
        <f>IF(O27&lt;&gt;"",D27,"")</f>
        <v/>
      </c>
      <c r="R27" s="880"/>
      <c r="S27" s="880"/>
      <c r="T27" s="880"/>
      <c r="U27" s="880"/>
      <c r="V27" s="880"/>
      <c r="W27" s="880"/>
      <c r="X27" s="880"/>
      <c r="Y27" s="880"/>
      <c r="Z27" s="880"/>
      <c r="AA27" s="880"/>
      <c r="AB27" s="880"/>
      <c r="AC27" s="880"/>
      <c r="AD27" s="880"/>
      <c r="AE27" s="880"/>
      <c r="AF27" s="880"/>
      <c r="AG27" s="880"/>
      <c r="AH27" s="880"/>
      <c r="AI27" s="880"/>
      <c r="AJ27" s="880"/>
      <c r="AK27" s="880"/>
      <c r="AL27" s="880"/>
      <c r="AM27" s="880"/>
      <c r="AN27" s="880"/>
      <c r="AO27" s="880"/>
      <c r="AP27" s="880"/>
      <c r="AQ27" s="880"/>
      <c r="AR27" s="880"/>
      <c r="AS27" s="880"/>
      <c r="AT27" s="880"/>
      <c r="AU27" s="880"/>
      <c r="AV27" s="880"/>
      <c r="AW27" s="880"/>
      <c r="AX27" s="880"/>
      <c r="AY27" s="880"/>
      <c r="AZ27" s="880"/>
      <c r="BA27" s="880"/>
      <c r="BB27" s="880"/>
      <c r="BC27" s="880"/>
      <c r="BD27" s="880"/>
      <c r="BE27" s="880"/>
      <c r="BF27" s="880"/>
      <c r="BG27" s="880"/>
      <c r="BH27" s="880"/>
      <c r="BI27" s="880"/>
      <c r="BJ27" s="880"/>
      <c r="BK27" s="880"/>
      <c r="BL27" s="880"/>
      <c r="BM27" s="880"/>
      <c r="BN27" s="880"/>
      <c r="BO27" s="880"/>
      <c r="BP27" s="880"/>
      <c r="BQ27" s="880"/>
      <c r="BR27" s="880"/>
      <c r="BS27" s="880"/>
      <c r="BT27" s="880"/>
      <c r="BU27" s="880"/>
      <c r="BV27" s="880"/>
      <c r="BW27" s="880"/>
      <c r="BX27" s="880"/>
      <c r="BY27" s="880"/>
      <c r="BZ27" s="880"/>
      <c r="CA27" s="880"/>
      <c r="CB27" s="880"/>
      <c r="CC27" s="880"/>
      <c r="CD27" s="880"/>
      <c r="CE27" s="880"/>
      <c r="CF27" s="880"/>
      <c r="CG27" s="880"/>
      <c r="CH27" s="880"/>
      <c r="CI27" s="880"/>
      <c r="CJ27" s="880"/>
      <c r="CK27" s="880"/>
      <c r="CL27" s="880"/>
      <c r="CM27" s="880"/>
      <c r="CN27" s="880"/>
      <c r="CO27" s="880"/>
      <c r="CP27" s="880"/>
      <c r="CQ27" s="880"/>
      <c r="CR27" s="880"/>
      <c r="CS27" s="880"/>
      <c r="CT27" s="880"/>
      <c r="CU27" s="880"/>
      <c r="CV27" s="880"/>
      <c r="CW27" s="880"/>
      <c r="CX27" s="880"/>
      <c r="CY27" s="880"/>
      <c r="CZ27" s="880"/>
      <c r="DA27" s="880"/>
      <c r="DB27" s="880"/>
      <c r="DC27" s="880"/>
      <c r="DD27" s="880"/>
      <c r="DE27" s="880"/>
      <c r="DF27" s="880"/>
      <c r="DG27" s="880"/>
      <c r="DH27" s="880"/>
      <c r="DI27" s="880"/>
      <c r="DJ27" s="880"/>
      <c r="DK27" s="880"/>
      <c r="DL27" s="880"/>
      <c r="DM27" s="880"/>
      <c r="DN27" s="880"/>
      <c r="DO27" s="880"/>
      <c r="DP27" s="880"/>
      <c r="DQ27" s="880"/>
      <c r="DR27" s="880"/>
      <c r="DS27" s="880"/>
      <c r="DT27" s="880"/>
      <c r="DU27" s="880"/>
      <c r="DV27" s="880"/>
      <c r="DW27" s="880"/>
      <c r="DX27" s="880"/>
      <c r="DY27" s="880"/>
      <c r="DZ27" s="880"/>
      <c r="EA27" s="880"/>
      <c r="EB27" s="880"/>
      <c r="EC27" s="880"/>
      <c r="ED27" s="880"/>
      <c r="EE27" s="880"/>
      <c r="EF27" s="880"/>
      <c r="EG27" s="880"/>
      <c r="EH27" s="880"/>
      <c r="EI27" s="880"/>
      <c r="EJ27" s="880"/>
      <c r="EK27" s="880"/>
      <c r="EL27" s="880"/>
      <c r="EM27" s="880"/>
      <c r="EN27" s="880"/>
      <c r="EO27" s="880"/>
      <c r="EP27" s="880"/>
      <c r="EQ27" s="880"/>
      <c r="ER27" s="880"/>
      <c r="ES27" s="880"/>
      <c r="ET27" s="880"/>
      <c r="EU27" s="880"/>
      <c r="EV27" s="880"/>
      <c r="EW27" s="880"/>
      <c r="EX27" s="880"/>
      <c r="EY27" s="880"/>
      <c r="EZ27" s="880"/>
      <c r="FA27" s="880"/>
      <c r="FB27" s="880"/>
      <c r="FC27" s="880"/>
      <c r="FD27" s="880"/>
      <c r="FE27" s="880"/>
      <c r="FF27" s="880"/>
      <c r="FG27" s="880"/>
      <c r="FH27" s="880"/>
      <c r="FI27" s="880"/>
      <c r="FJ27" s="880"/>
      <c r="FK27" s="880"/>
      <c r="FL27" s="880"/>
      <c r="FM27" s="880"/>
      <c r="FN27" s="880"/>
      <c r="FO27" s="880"/>
      <c r="FP27" s="880"/>
      <c r="FQ27" s="880"/>
      <c r="FR27" s="880"/>
      <c r="FS27" s="880"/>
      <c r="FT27" s="880"/>
      <c r="FU27" s="880"/>
      <c r="FV27" s="880"/>
      <c r="FW27" s="880"/>
      <c r="FX27" s="880"/>
      <c r="FY27" s="880"/>
      <c r="FZ27" s="880"/>
      <c r="GA27" s="880"/>
      <c r="GB27" s="880"/>
      <c r="GC27" s="880"/>
      <c r="GD27" s="880"/>
      <c r="GE27" s="880"/>
      <c r="GF27" s="880"/>
      <c r="GG27" s="880"/>
      <c r="GH27" s="880"/>
      <c r="GI27" s="880"/>
      <c r="GJ27" s="880"/>
      <c r="GK27" s="880"/>
      <c r="GL27" s="880"/>
      <c r="GM27" s="880"/>
      <c r="GN27" s="880"/>
      <c r="GO27" s="880"/>
      <c r="GP27" s="880"/>
      <c r="GQ27" s="880"/>
      <c r="GR27" s="880"/>
      <c r="GS27" s="880"/>
      <c r="GT27" s="880"/>
      <c r="GU27" s="880"/>
      <c r="GV27" s="880"/>
      <c r="GW27" s="880"/>
      <c r="GX27" s="880"/>
      <c r="GY27" s="880"/>
      <c r="GZ27" s="880"/>
      <c r="HA27" s="880"/>
      <c r="HB27" s="880"/>
      <c r="HC27" s="880"/>
      <c r="HD27" s="880"/>
      <c r="HE27" s="880"/>
      <c r="HF27" s="880"/>
      <c r="HG27" s="880"/>
      <c r="HH27" s="880"/>
      <c r="HI27" s="880"/>
      <c r="HJ27" s="880"/>
      <c r="HK27" s="880"/>
      <c r="HL27" s="880"/>
      <c r="HM27" s="880"/>
      <c r="HN27" s="880"/>
      <c r="HO27" s="880"/>
      <c r="HP27" s="880"/>
      <c r="HQ27" s="880"/>
      <c r="HR27" s="880"/>
      <c r="HS27" s="880"/>
      <c r="HT27" s="880"/>
      <c r="HU27" s="880"/>
      <c r="HV27" s="880"/>
      <c r="HW27" s="880"/>
      <c r="HX27" s="880"/>
      <c r="HY27" s="880"/>
      <c r="HZ27" s="880"/>
      <c r="IA27" s="880"/>
      <c r="IB27" s="880"/>
      <c r="IC27" s="880"/>
      <c r="ID27" s="880"/>
      <c r="IE27" s="880"/>
      <c r="IF27" s="880"/>
      <c r="IG27" s="880"/>
      <c r="IH27" s="880"/>
      <c r="II27" s="880"/>
      <c r="IJ27" s="880"/>
      <c r="IK27" s="880"/>
      <c r="IL27" s="880"/>
      <c r="IM27" s="880"/>
      <c r="IN27" s="880"/>
      <c r="IO27" s="880"/>
      <c r="IP27" s="880"/>
      <c r="IQ27" s="880"/>
    </row>
    <row r="28" spans="1:251" s="22" customFormat="1" ht="12" customHeight="1">
      <c r="A28" s="1182"/>
      <c r="B28" s="1166" t="s">
        <v>1832</v>
      </c>
      <c r="C28" s="1167" t="s">
        <v>3671</v>
      </c>
      <c r="D28" s="762"/>
      <c r="E28" s="1089"/>
      <c r="F28" s="1090"/>
      <c r="G28" s="1090"/>
      <c r="H28" s="1090"/>
      <c r="I28" s="1090"/>
      <c r="J28" s="1090"/>
      <c r="K28" s="1091"/>
      <c r="L28" s="1091"/>
      <c r="M28" s="1091"/>
      <c r="N28" s="411"/>
      <c r="O28" s="881"/>
      <c r="P28" s="880"/>
      <c r="Q28" s="126" t="str">
        <f>IF(O28&lt;&gt;"",D28,"")</f>
        <v/>
      </c>
      <c r="R28" s="880"/>
      <c r="S28" s="880"/>
      <c r="T28" s="880"/>
      <c r="U28" s="880"/>
      <c r="V28" s="880"/>
      <c r="W28" s="880"/>
      <c r="X28" s="880"/>
      <c r="Y28" s="880"/>
      <c r="Z28" s="880"/>
      <c r="AA28" s="880"/>
      <c r="AB28" s="880"/>
      <c r="AC28" s="880"/>
      <c r="AD28" s="880"/>
      <c r="AE28" s="880"/>
      <c r="AF28" s="880"/>
      <c r="AG28" s="880"/>
      <c r="AH28" s="880"/>
      <c r="AI28" s="880"/>
      <c r="AJ28" s="880"/>
      <c r="AK28" s="880"/>
      <c r="AL28" s="880"/>
      <c r="AM28" s="880"/>
      <c r="AN28" s="880"/>
      <c r="AO28" s="880"/>
      <c r="AP28" s="880"/>
      <c r="AQ28" s="880"/>
      <c r="AR28" s="880"/>
      <c r="AS28" s="880"/>
      <c r="AT28" s="880"/>
      <c r="AU28" s="880"/>
      <c r="AV28" s="880"/>
      <c r="AW28" s="880"/>
      <c r="AX28" s="880"/>
      <c r="AY28" s="880"/>
      <c r="AZ28" s="880"/>
      <c r="BA28" s="880"/>
      <c r="BB28" s="880"/>
      <c r="BC28" s="880"/>
      <c r="BD28" s="880"/>
      <c r="BE28" s="880"/>
      <c r="BF28" s="880"/>
      <c r="BG28" s="880"/>
      <c r="BH28" s="880"/>
      <c r="BI28" s="880"/>
      <c r="BJ28" s="880"/>
      <c r="BK28" s="880"/>
      <c r="BL28" s="880"/>
      <c r="BM28" s="880"/>
      <c r="BN28" s="880"/>
      <c r="BO28" s="880"/>
      <c r="BP28" s="880"/>
      <c r="BQ28" s="880"/>
      <c r="BR28" s="880"/>
      <c r="BS28" s="880"/>
      <c r="BT28" s="880"/>
      <c r="BU28" s="880"/>
      <c r="BV28" s="880"/>
      <c r="BW28" s="880"/>
      <c r="BX28" s="880"/>
      <c r="BY28" s="880"/>
      <c r="BZ28" s="880"/>
      <c r="CA28" s="880"/>
      <c r="CB28" s="880"/>
      <c r="CC28" s="880"/>
      <c r="CD28" s="880"/>
      <c r="CE28" s="880"/>
      <c r="CF28" s="880"/>
      <c r="CG28" s="880"/>
      <c r="CH28" s="880"/>
      <c r="CI28" s="880"/>
      <c r="CJ28" s="880"/>
      <c r="CK28" s="880"/>
      <c r="CL28" s="880"/>
      <c r="CM28" s="880"/>
      <c r="CN28" s="880"/>
      <c r="CO28" s="880"/>
      <c r="CP28" s="880"/>
      <c r="CQ28" s="880"/>
      <c r="CR28" s="880"/>
      <c r="CS28" s="880"/>
      <c r="CT28" s="880"/>
      <c r="CU28" s="880"/>
      <c r="CV28" s="880"/>
      <c r="CW28" s="880"/>
      <c r="CX28" s="880"/>
      <c r="CY28" s="880"/>
      <c r="CZ28" s="880"/>
      <c r="DA28" s="880"/>
      <c r="DB28" s="880"/>
      <c r="DC28" s="880"/>
      <c r="DD28" s="880"/>
      <c r="DE28" s="880"/>
      <c r="DF28" s="880"/>
      <c r="DG28" s="880"/>
      <c r="DH28" s="880"/>
      <c r="DI28" s="880"/>
      <c r="DJ28" s="880"/>
      <c r="DK28" s="880"/>
      <c r="DL28" s="880"/>
      <c r="DM28" s="880"/>
      <c r="DN28" s="880"/>
      <c r="DO28" s="880"/>
      <c r="DP28" s="880"/>
      <c r="DQ28" s="880"/>
      <c r="DR28" s="880"/>
      <c r="DS28" s="880"/>
      <c r="DT28" s="880"/>
      <c r="DU28" s="880"/>
      <c r="DV28" s="880"/>
      <c r="DW28" s="880"/>
      <c r="DX28" s="880"/>
      <c r="DY28" s="880"/>
      <c r="DZ28" s="880"/>
      <c r="EA28" s="880"/>
      <c r="EB28" s="880"/>
      <c r="EC28" s="880"/>
      <c r="ED28" s="880"/>
      <c r="EE28" s="880"/>
      <c r="EF28" s="880"/>
      <c r="EG28" s="880"/>
      <c r="EH28" s="880"/>
      <c r="EI28" s="880"/>
      <c r="EJ28" s="880"/>
      <c r="EK28" s="880"/>
      <c r="EL28" s="880"/>
      <c r="EM28" s="880"/>
      <c r="EN28" s="880"/>
      <c r="EO28" s="880"/>
      <c r="EP28" s="880"/>
      <c r="EQ28" s="880"/>
      <c r="ER28" s="880"/>
      <c r="ES28" s="880"/>
      <c r="ET28" s="880"/>
      <c r="EU28" s="880"/>
      <c r="EV28" s="880"/>
      <c r="EW28" s="880"/>
      <c r="EX28" s="880"/>
      <c r="EY28" s="880"/>
      <c r="EZ28" s="880"/>
      <c r="FA28" s="880"/>
      <c r="FB28" s="880"/>
      <c r="FC28" s="880"/>
      <c r="FD28" s="880"/>
      <c r="FE28" s="880"/>
      <c r="FF28" s="880"/>
      <c r="FG28" s="880"/>
      <c r="FH28" s="880"/>
      <c r="FI28" s="880"/>
      <c r="FJ28" s="880"/>
      <c r="FK28" s="880"/>
      <c r="FL28" s="880"/>
      <c r="FM28" s="880"/>
      <c r="FN28" s="880"/>
      <c r="FO28" s="880"/>
      <c r="FP28" s="880"/>
      <c r="FQ28" s="880"/>
      <c r="FR28" s="880"/>
      <c r="FS28" s="880"/>
      <c r="FT28" s="880"/>
      <c r="FU28" s="880"/>
      <c r="FV28" s="880"/>
      <c r="FW28" s="880"/>
      <c r="FX28" s="880"/>
      <c r="FY28" s="880"/>
      <c r="FZ28" s="880"/>
      <c r="GA28" s="880"/>
      <c r="GB28" s="880"/>
      <c r="GC28" s="880"/>
      <c r="GD28" s="880"/>
      <c r="GE28" s="880"/>
      <c r="GF28" s="880"/>
      <c r="GG28" s="880"/>
      <c r="GH28" s="880"/>
      <c r="GI28" s="880"/>
      <c r="GJ28" s="880"/>
      <c r="GK28" s="880"/>
      <c r="GL28" s="880"/>
      <c r="GM28" s="880"/>
      <c r="GN28" s="880"/>
      <c r="GO28" s="880"/>
      <c r="GP28" s="880"/>
      <c r="GQ28" s="880"/>
      <c r="GR28" s="880"/>
      <c r="GS28" s="880"/>
      <c r="GT28" s="880"/>
      <c r="GU28" s="880"/>
      <c r="GV28" s="880"/>
      <c r="GW28" s="880"/>
      <c r="GX28" s="880"/>
      <c r="GY28" s="880"/>
      <c r="GZ28" s="880"/>
      <c r="HA28" s="880"/>
      <c r="HB28" s="880"/>
      <c r="HC28" s="880"/>
      <c r="HD28" s="880"/>
      <c r="HE28" s="880"/>
      <c r="HF28" s="880"/>
      <c r="HG28" s="880"/>
      <c r="HH28" s="880"/>
      <c r="HI28" s="880"/>
      <c r="HJ28" s="880"/>
      <c r="HK28" s="880"/>
      <c r="HL28" s="880"/>
      <c r="HM28" s="880"/>
      <c r="HN28" s="880"/>
      <c r="HO28" s="880"/>
      <c r="HP28" s="880"/>
      <c r="HQ28" s="880"/>
      <c r="HR28" s="880"/>
      <c r="HS28" s="880"/>
      <c r="HT28" s="880"/>
      <c r="HU28" s="880"/>
      <c r="HV28" s="880"/>
      <c r="HW28" s="880"/>
      <c r="HX28" s="880"/>
      <c r="HY28" s="880"/>
      <c r="HZ28" s="880"/>
      <c r="IA28" s="880"/>
      <c r="IB28" s="880"/>
      <c r="IC28" s="880"/>
      <c r="ID28" s="880"/>
      <c r="IE28" s="880"/>
      <c r="IF28" s="880"/>
      <c r="IG28" s="880"/>
      <c r="IH28" s="880"/>
      <c r="II28" s="880"/>
      <c r="IJ28" s="880"/>
      <c r="IK28" s="880"/>
      <c r="IL28" s="880"/>
      <c r="IM28" s="880"/>
      <c r="IN28" s="880"/>
      <c r="IO28" s="880"/>
      <c r="IP28" s="880"/>
      <c r="IQ28" s="880"/>
    </row>
    <row r="29" spans="1:251" s="193" customFormat="1" ht="14.1" customHeight="1">
      <c r="B29" s="1183"/>
      <c r="C29" s="1167" t="s">
        <v>3672</v>
      </c>
    </row>
    <row r="30" spans="1:251" s="193" customFormat="1" ht="14.1" customHeight="1">
      <c r="B30" s="1183"/>
      <c r="C30" s="1167" t="s">
        <v>3670</v>
      </c>
    </row>
    <row r="31" spans="1:251" s="193" customFormat="1" ht="14.1" customHeight="1">
      <c r="B31" s="909"/>
    </row>
    <row r="32" spans="1:251" s="193" customFormat="1" ht="14.1" customHeight="1">
      <c r="B32" s="909"/>
    </row>
    <row r="33" spans="2:15" s="991" customFormat="1" ht="14.1" customHeight="1">
      <c r="B33" s="909" t="s">
        <v>1833</v>
      </c>
      <c r="C33" s="193" t="s">
        <v>3150</v>
      </c>
      <c r="D33" s="994"/>
      <c r="E33" s="994"/>
      <c r="F33" s="994"/>
      <c r="G33" s="994"/>
      <c r="H33" s="994"/>
      <c r="I33" s="994"/>
      <c r="J33" s="994"/>
      <c r="K33" s="994"/>
      <c r="L33" s="994"/>
      <c r="M33" s="994"/>
      <c r="N33" s="994"/>
      <c r="O33" s="994"/>
    </row>
    <row r="34" spans="2:15" s="991" customFormat="1" ht="14.1" customHeight="1">
      <c r="B34" s="909"/>
      <c r="C34" s="193" t="s">
        <v>3151</v>
      </c>
      <c r="D34" s="994"/>
      <c r="E34" s="994"/>
      <c r="F34" s="994"/>
      <c r="G34" s="994"/>
      <c r="H34" s="994"/>
      <c r="I34" s="994"/>
      <c r="J34" s="994"/>
      <c r="K34" s="994"/>
      <c r="L34" s="994"/>
      <c r="M34" s="994"/>
      <c r="N34" s="994"/>
      <c r="O34" s="994"/>
    </row>
    <row r="35" spans="2:15" s="991" customFormat="1" ht="14.1" customHeight="1">
      <c r="B35" s="909"/>
      <c r="C35" s="193" t="s">
        <v>3152</v>
      </c>
      <c r="D35" s="994"/>
      <c r="E35" s="994"/>
      <c r="F35" s="994"/>
      <c r="G35" s="994"/>
      <c r="H35" s="994"/>
      <c r="I35" s="994"/>
      <c r="J35" s="994"/>
      <c r="K35" s="994"/>
      <c r="L35" s="994"/>
      <c r="M35" s="994"/>
      <c r="N35" s="994"/>
      <c r="O35" s="994"/>
    </row>
    <row r="36" spans="2:15" s="193" customFormat="1" ht="14.1" customHeight="1">
      <c r="B36" s="909"/>
    </row>
    <row r="37" spans="2:15" s="193" customFormat="1" ht="14.1" customHeight="1">
      <c r="B37" s="909" t="s">
        <v>1833</v>
      </c>
      <c r="C37" s="193" t="s">
        <v>3153</v>
      </c>
    </row>
    <row r="38" spans="2:15" s="193" customFormat="1" ht="14.1" customHeight="1">
      <c r="C38" s="193" t="s">
        <v>3154</v>
      </c>
    </row>
    <row r="39" spans="2:15" s="193" customFormat="1" ht="14.1" customHeight="1">
      <c r="C39" s="193" t="s">
        <v>3155</v>
      </c>
    </row>
    <row r="40" spans="2:15" s="193" customFormat="1" ht="14.1" customHeight="1">
      <c r="C40" s="193" t="s">
        <v>3156</v>
      </c>
    </row>
    <row r="41" spans="2:15" s="193" customFormat="1" ht="14.1" customHeight="1">
      <c r="C41" s="193" t="s">
        <v>3157</v>
      </c>
    </row>
    <row r="42" spans="2:15" s="193" customFormat="1" ht="14.1" customHeight="1">
      <c r="C42" s="193" t="s">
        <v>3158</v>
      </c>
    </row>
    <row r="43" spans="2:15" s="193" customFormat="1" ht="14.1" customHeight="1">
      <c r="C43" s="193" t="s">
        <v>3159</v>
      </c>
    </row>
    <row r="44" spans="2:15" s="193" customFormat="1" ht="14.1" customHeight="1"/>
    <row r="45" spans="2:15" s="193" customFormat="1" ht="14.1" customHeight="1">
      <c r="C45" s="193" t="s">
        <v>3160</v>
      </c>
    </row>
    <row r="46" spans="2:15" s="193" customFormat="1" ht="14.1" customHeight="1">
      <c r="C46" s="193" t="s">
        <v>3161</v>
      </c>
    </row>
    <row r="47" spans="2:15" s="193" customFormat="1" ht="14.1" customHeight="1">
      <c r="C47" s="193" t="s">
        <v>3162</v>
      </c>
    </row>
    <row r="48" spans="2:15" s="193" customFormat="1" ht="14.1" customHeight="1"/>
    <row r="49" spans="2:15" s="193" customFormat="1" ht="14.1" customHeight="1"/>
    <row r="50" spans="2:15" s="193" customFormat="1" ht="14.1" customHeight="1">
      <c r="B50" s="909" t="s">
        <v>1833</v>
      </c>
      <c r="C50" s="193" t="s">
        <v>3163</v>
      </c>
    </row>
    <row r="51" spans="2:15" s="193" customFormat="1" ht="14.1" customHeight="1">
      <c r="C51" s="193" t="s">
        <v>3164</v>
      </c>
    </row>
    <row r="52" spans="2:15" s="991" customFormat="1" ht="14.1" customHeight="1">
      <c r="B52" s="995"/>
      <c r="C52" s="994" t="s">
        <v>3165</v>
      </c>
      <c r="D52" s="994"/>
      <c r="E52" s="994"/>
      <c r="F52" s="994"/>
      <c r="G52" s="994"/>
      <c r="H52" s="994"/>
      <c r="I52" s="994"/>
      <c r="J52" s="994"/>
      <c r="K52" s="994"/>
      <c r="L52" s="994"/>
      <c r="M52" s="994"/>
      <c r="N52" s="994"/>
      <c r="O52" s="994"/>
    </row>
    <row r="53" spans="2:15" s="991" customFormat="1" ht="14.1" customHeight="1">
      <c r="B53" s="994"/>
      <c r="C53" s="994" t="s">
        <v>3166</v>
      </c>
      <c r="D53" s="994"/>
      <c r="E53" s="994"/>
      <c r="F53" s="994"/>
      <c r="G53" s="994"/>
      <c r="H53" s="994"/>
      <c r="I53" s="994"/>
      <c r="J53" s="994"/>
      <c r="K53" s="994"/>
      <c r="L53" s="994"/>
      <c r="M53" s="994"/>
      <c r="N53" s="994"/>
      <c r="O53" s="994"/>
    </row>
    <row r="54" spans="2:15" s="991" customFormat="1" ht="14.1" customHeight="1">
      <c r="B54" s="994"/>
      <c r="C54" s="994" t="s">
        <v>3167</v>
      </c>
      <c r="D54" s="994"/>
      <c r="E54" s="994"/>
      <c r="F54" s="994"/>
      <c r="G54" s="994"/>
      <c r="H54" s="994"/>
      <c r="I54" s="994"/>
      <c r="J54" s="994"/>
      <c r="K54" s="994"/>
      <c r="L54" s="994"/>
      <c r="M54" s="994"/>
      <c r="N54" s="994"/>
      <c r="O54" s="994"/>
    </row>
    <row r="55" spans="2:15" s="991" customFormat="1" ht="14.1" customHeight="1">
      <c r="B55" s="994"/>
      <c r="C55" s="994" t="s">
        <v>3168</v>
      </c>
      <c r="D55" s="994"/>
      <c r="E55" s="994"/>
      <c r="F55" s="994"/>
      <c r="G55" s="994"/>
      <c r="H55" s="994"/>
      <c r="I55" s="994"/>
      <c r="J55" s="994"/>
      <c r="K55" s="994"/>
      <c r="L55" s="994"/>
      <c r="M55" s="994"/>
      <c r="N55" s="994"/>
      <c r="O55" s="994"/>
    </row>
    <row r="56" spans="2:15" s="991" customFormat="1" ht="14.1" customHeight="1">
      <c r="B56" s="994"/>
      <c r="C56" s="994" t="s">
        <v>3169</v>
      </c>
      <c r="D56" s="994"/>
      <c r="E56" s="994"/>
      <c r="F56" s="994"/>
      <c r="G56" s="994"/>
      <c r="H56" s="994"/>
      <c r="I56" s="994"/>
      <c r="J56" s="994"/>
      <c r="K56" s="994"/>
      <c r="L56" s="994"/>
      <c r="M56" s="994"/>
      <c r="N56" s="994"/>
      <c r="O56" s="994"/>
    </row>
    <row r="57" spans="2:15" s="991" customFormat="1" ht="14.1" customHeight="1">
      <c r="B57" s="994"/>
      <c r="C57" s="994" t="s">
        <v>3170</v>
      </c>
      <c r="D57" s="994"/>
      <c r="E57" s="994"/>
      <c r="F57" s="994"/>
      <c r="G57" s="994"/>
      <c r="H57" s="994"/>
      <c r="I57" s="994"/>
      <c r="J57" s="994"/>
      <c r="K57" s="994"/>
      <c r="L57" s="994"/>
      <c r="M57" s="994"/>
      <c r="N57" s="994"/>
      <c r="O57" s="994"/>
    </row>
    <row r="58" spans="2:15" s="991" customFormat="1" ht="14.1" customHeight="1">
      <c r="B58" s="994"/>
      <c r="C58" s="994"/>
      <c r="D58" s="994"/>
      <c r="E58" s="994"/>
      <c r="F58" s="994"/>
      <c r="G58" s="994"/>
      <c r="H58" s="994"/>
      <c r="I58" s="994"/>
      <c r="J58" s="994"/>
      <c r="K58" s="994"/>
      <c r="L58" s="994"/>
      <c r="M58" s="994"/>
      <c r="N58" s="994"/>
      <c r="O58" s="994"/>
    </row>
    <row r="59" spans="2:15" s="991" customFormat="1" ht="14.1" customHeight="1">
      <c r="B59" s="994"/>
      <c r="C59" s="994" t="s">
        <v>3171</v>
      </c>
      <c r="D59" s="994"/>
      <c r="E59" s="994"/>
      <c r="F59" s="994"/>
      <c r="G59" s="994"/>
      <c r="H59" s="994"/>
      <c r="I59" s="994"/>
      <c r="J59" s="994"/>
      <c r="K59" s="994"/>
      <c r="L59" s="994"/>
      <c r="M59" s="994"/>
      <c r="N59" s="994"/>
      <c r="O59" s="994"/>
    </row>
    <row r="60" spans="2:15" s="991" customFormat="1" ht="14.1" customHeight="1">
      <c r="B60" s="994"/>
      <c r="C60" s="994" t="s">
        <v>3172</v>
      </c>
      <c r="D60" s="994"/>
      <c r="E60" s="994"/>
      <c r="F60" s="994"/>
      <c r="G60" s="994"/>
      <c r="H60" s="994"/>
      <c r="I60" s="994"/>
      <c r="J60" s="994"/>
      <c r="K60" s="994"/>
      <c r="L60" s="994"/>
      <c r="M60" s="994"/>
      <c r="N60" s="994"/>
      <c r="O60" s="994"/>
    </row>
    <row r="61" spans="2:15" s="991" customFormat="1" ht="14.1" customHeight="1">
      <c r="B61" s="994"/>
      <c r="C61" s="994" t="s">
        <v>3173</v>
      </c>
      <c r="D61" s="994"/>
      <c r="E61" s="994"/>
      <c r="F61" s="994"/>
      <c r="G61" s="994"/>
      <c r="H61" s="994"/>
      <c r="I61" s="994"/>
      <c r="J61" s="994"/>
      <c r="K61" s="994"/>
      <c r="L61" s="994"/>
      <c r="M61" s="994"/>
      <c r="N61" s="994"/>
      <c r="O61" s="994"/>
    </row>
    <row r="62" spans="2:15" s="991" customFormat="1" ht="14.1" customHeight="1">
      <c r="B62" s="994"/>
      <c r="C62" s="994" t="s">
        <v>3174</v>
      </c>
      <c r="D62" s="994"/>
      <c r="E62" s="994"/>
      <c r="F62" s="994"/>
      <c r="G62" s="994"/>
      <c r="H62" s="994"/>
      <c r="I62" s="994"/>
      <c r="J62" s="994"/>
      <c r="K62" s="994"/>
      <c r="L62" s="994"/>
      <c r="M62" s="994"/>
      <c r="N62" s="994"/>
      <c r="O62" s="994"/>
    </row>
    <row r="63" spans="2:15" s="991" customFormat="1" ht="14.1" customHeight="1">
      <c r="B63" s="994"/>
      <c r="C63" s="994" t="s">
        <v>3175</v>
      </c>
      <c r="D63" s="994"/>
      <c r="E63" s="994"/>
      <c r="F63" s="994"/>
      <c r="G63" s="994"/>
      <c r="H63" s="994"/>
      <c r="I63" s="994"/>
      <c r="J63" s="994"/>
      <c r="K63" s="994"/>
      <c r="L63" s="994"/>
      <c r="M63" s="994"/>
      <c r="N63" s="994"/>
      <c r="O63" s="994"/>
    </row>
    <row r="64" spans="2:15" s="991" customFormat="1" ht="14.1" customHeight="1">
      <c r="B64" s="994"/>
      <c r="C64" s="994"/>
      <c r="D64" s="994"/>
      <c r="E64" s="994"/>
      <c r="F64" s="994"/>
      <c r="G64" s="994"/>
      <c r="H64" s="994"/>
      <c r="I64" s="994"/>
      <c r="J64" s="994"/>
      <c r="K64" s="994"/>
      <c r="L64" s="994"/>
      <c r="M64" s="994"/>
      <c r="N64" s="994"/>
      <c r="O64" s="994"/>
    </row>
    <row r="65" spans="2:15" s="991" customFormat="1" ht="14.1" customHeight="1">
      <c r="B65" s="994"/>
      <c r="C65" s="994"/>
      <c r="D65" s="994"/>
      <c r="E65" s="994"/>
      <c r="F65" s="994"/>
      <c r="G65" s="994"/>
      <c r="H65" s="994"/>
      <c r="I65" s="994"/>
      <c r="J65" s="994"/>
      <c r="K65" s="994"/>
      <c r="L65" s="994"/>
      <c r="M65" s="994"/>
      <c r="N65" s="994"/>
      <c r="O65" s="994"/>
    </row>
    <row r="66" spans="2:15" s="991" customFormat="1" ht="14.1" customHeight="1">
      <c r="B66" s="909" t="s">
        <v>1833</v>
      </c>
      <c r="C66" s="994" t="s">
        <v>3176</v>
      </c>
      <c r="D66" s="994"/>
      <c r="E66" s="994"/>
      <c r="F66" s="994"/>
      <c r="G66" s="994"/>
      <c r="H66" s="994"/>
      <c r="I66" s="994"/>
      <c r="J66" s="994"/>
      <c r="K66" s="994"/>
      <c r="L66" s="994"/>
      <c r="M66" s="994"/>
      <c r="N66" s="994"/>
      <c r="O66" s="994"/>
    </row>
    <row r="67" spans="2:15" s="991" customFormat="1" ht="14.1" customHeight="1">
      <c r="B67" s="994"/>
      <c r="C67" s="994" t="s">
        <v>3177</v>
      </c>
      <c r="D67" s="994"/>
      <c r="E67" s="994"/>
      <c r="F67" s="994"/>
      <c r="G67" s="994"/>
      <c r="H67" s="994"/>
      <c r="I67" s="994"/>
      <c r="J67" s="994"/>
      <c r="K67" s="994"/>
      <c r="L67" s="994"/>
      <c r="M67" s="994"/>
      <c r="N67" s="994"/>
      <c r="O67" s="994"/>
    </row>
    <row r="68" spans="2:15" s="991" customFormat="1" ht="14.1" customHeight="1">
      <c r="B68" s="994"/>
      <c r="C68" s="994" t="s">
        <v>3178</v>
      </c>
      <c r="D68" s="994"/>
      <c r="E68" s="994"/>
      <c r="F68" s="994"/>
      <c r="G68" s="994"/>
      <c r="H68" s="994"/>
      <c r="I68" s="994"/>
      <c r="J68" s="994"/>
      <c r="K68" s="994"/>
      <c r="L68" s="994"/>
      <c r="M68" s="994"/>
      <c r="N68" s="994"/>
      <c r="O68" s="994"/>
    </row>
    <row r="69" spans="2:15" s="991" customFormat="1" ht="14.1" customHeight="1">
      <c r="B69" s="994"/>
      <c r="C69" s="994" t="s">
        <v>3179</v>
      </c>
      <c r="D69" s="994"/>
      <c r="E69" s="994"/>
      <c r="F69" s="994"/>
      <c r="G69" s="994"/>
      <c r="H69" s="994"/>
      <c r="I69" s="994"/>
      <c r="J69" s="994"/>
      <c r="K69" s="994"/>
      <c r="L69" s="994"/>
      <c r="M69" s="994"/>
      <c r="N69" s="994"/>
      <c r="O69" s="994"/>
    </row>
    <row r="70" spans="2:15" s="991" customFormat="1" ht="14.1" customHeight="1">
      <c r="B70" s="994"/>
      <c r="C70" s="994"/>
      <c r="D70" s="994"/>
      <c r="E70" s="994"/>
      <c r="F70" s="994"/>
      <c r="G70" s="994"/>
      <c r="H70" s="994"/>
      <c r="I70" s="994"/>
      <c r="J70" s="994"/>
      <c r="K70" s="994"/>
      <c r="L70" s="994"/>
      <c r="M70" s="994"/>
      <c r="N70" s="994"/>
      <c r="O70" s="994"/>
    </row>
    <row r="71" spans="2:15" s="991" customFormat="1" ht="14.1" customHeight="1">
      <c r="B71" s="994"/>
      <c r="C71" s="994"/>
      <c r="D71" s="994"/>
      <c r="E71" s="994"/>
      <c r="F71" s="994"/>
      <c r="G71" s="994"/>
      <c r="H71" s="994"/>
      <c r="I71" s="994"/>
      <c r="J71" s="994"/>
      <c r="K71" s="994"/>
      <c r="L71" s="994"/>
      <c r="M71" s="994"/>
      <c r="N71" s="994"/>
      <c r="O71" s="994"/>
    </row>
    <row r="72" spans="2:15" s="991" customFormat="1" ht="14.1" customHeight="1">
      <c r="B72" s="909" t="s">
        <v>1833</v>
      </c>
      <c r="C72" s="994" t="s">
        <v>3180</v>
      </c>
      <c r="D72" s="994"/>
      <c r="E72" s="994"/>
      <c r="F72" s="994"/>
      <c r="G72" s="994"/>
      <c r="H72" s="994"/>
      <c r="I72" s="994"/>
      <c r="J72" s="994"/>
      <c r="K72" s="994"/>
      <c r="L72" s="994"/>
      <c r="M72" s="994"/>
      <c r="N72" s="994"/>
      <c r="O72" s="994"/>
    </row>
    <row r="73" spans="2:15" s="991" customFormat="1" ht="14.1" customHeight="1">
      <c r="B73" s="994"/>
      <c r="C73" s="994" t="s">
        <v>3181</v>
      </c>
      <c r="D73" s="994"/>
      <c r="E73" s="994"/>
      <c r="F73" s="994"/>
      <c r="G73" s="994"/>
      <c r="H73" s="994"/>
      <c r="I73" s="994"/>
      <c r="J73" s="994"/>
      <c r="K73" s="994"/>
      <c r="L73" s="994"/>
      <c r="M73" s="994"/>
      <c r="N73" s="994"/>
      <c r="O73" s="994"/>
    </row>
    <row r="74" spans="2:15" s="991" customFormat="1" ht="14.1" customHeight="1">
      <c r="B74" s="994"/>
      <c r="C74" s="994" t="s">
        <v>3182</v>
      </c>
      <c r="D74" s="994"/>
      <c r="E74" s="994"/>
      <c r="F74" s="994"/>
      <c r="G74" s="994"/>
      <c r="H74" s="994"/>
      <c r="I74" s="994"/>
      <c r="J74" s="994"/>
      <c r="K74" s="994"/>
      <c r="L74" s="994"/>
      <c r="M74" s="994"/>
      <c r="N74" s="994"/>
      <c r="O74" s="994"/>
    </row>
    <row r="75" spans="2:15" s="991" customFormat="1" ht="14.1" customHeight="1">
      <c r="B75" s="994"/>
      <c r="C75" s="994" t="s">
        <v>3183</v>
      </c>
      <c r="D75" s="994"/>
      <c r="E75" s="994"/>
      <c r="F75" s="994"/>
      <c r="G75" s="994"/>
      <c r="H75" s="994"/>
      <c r="I75" s="994"/>
      <c r="J75" s="994"/>
      <c r="K75" s="994"/>
      <c r="L75" s="994"/>
      <c r="M75" s="994"/>
      <c r="N75" s="994"/>
      <c r="O75" s="994"/>
    </row>
    <row r="76" spans="2:15" ht="14.1" customHeight="1">
      <c r="B76" s="993"/>
      <c r="C76" s="993"/>
      <c r="D76" s="993"/>
      <c r="E76" s="993"/>
      <c r="F76" s="993"/>
      <c r="G76" s="993"/>
      <c r="H76" s="993"/>
      <c r="I76" s="993"/>
      <c r="J76" s="993"/>
      <c r="K76" s="993"/>
      <c r="L76" s="993"/>
      <c r="M76" s="993"/>
      <c r="N76" s="993"/>
      <c r="O76" s="993"/>
    </row>
    <row r="77" spans="2:15" ht="14.1" customHeight="1">
      <c r="B77" s="993"/>
      <c r="C77" s="993"/>
      <c r="D77" s="993"/>
      <c r="E77" s="993"/>
      <c r="F77" s="993"/>
      <c r="G77" s="993"/>
      <c r="H77" s="993"/>
      <c r="I77" s="993"/>
      <c r="J77" s="993"/>
      <c r="K77" s="993"/>
      <c r="L77" s="993"/>
      <c r="M77" s="993"/>
      <c r="N77" s="993"/>
      <c r="O77" s="993"/>
    </row>
    <row r="78" spans="2:15" ht="14.1" customHeight="1">
      <c r="B78" s="993"/>
      <c r="C78" s="993"/>
      <c r="D78" s="993"/>
      <c r="E78" s="993"/>
      <c r="F78" s="993"/>
      <c r="G78" s="993"/>
      <c r="H78" s="993"/>
      <c r="I78" s="993"/>
      <c r="J78" s="993"/>
      <c r="K78" s="993"/>
      <c r="L78" s="993"/>
      <c r="M78" s="993"/>
      <c r="N78" s="993"/>
      <c r="O78" s="993"/>
    </row>
    <row r="79" spans="2:15" ht="14.1" customHeight="1">
      <c r="B79" s="993"/>
      <c r="C79" s="993"/>
      <c r="D79" s="993"/>
      <c r="E79" s="993"/>
      <c r="F79" s="993"/>
      <c r="G79" s="993"/>
      <c r="H79" s="993"/>
      <c r="I79" s="993"/>
      <c r="J79" s="993"/>
      <c r="K79" s="993"/>
      <c r="L79" s="993"/>
      <c r="M79" s="993"/>
      <c r="N79" s="993"/>
      <c r="O79" s="993"/>
    </row>
    <row r="80" spans="2:15">
      <c r="B80" s="993"/>
      <c r="C80" s="993"/>
      <c r="D80" s="993"/>
      <c r="E80" s="993"/>
      <c r="F80" s="993"/>
      <c r="G80" s="993"/>
      <c r="H80" s="993"/>
      <c r="I80" s="993"/>
      <c r="J80" s="993"/>
      <c r="K80" s="993"/>
      <c r="L80" s="993"/>
      <c r="M80" s="993"/>
      <c r="N80" s="993"/>
      <c r="O80" s="993"/>
    </row>
    <row r="81" spans="2:15">
      <c r="B81" s="993"/>
      <c r="C81" s="993"/>
      <c r="D81" s="993"/>
      <c r="E81" s="993"/>
      <c r="F81" s="993"/>
      <c r="G81" s="993"/>
      <c r="H81" s="993"/>
      <c r="I81" s="993"/>
      <c r="J81" s="993"/>
      <c r="K81" s="993"/>
      <c r="L81" s="993"/>
      <c r="M81" s="993"/>
      <c r="N81" s="993"/>
      <c r="O81" s="993"/>
    </row>
    <row r="82" spans="2:15">
      <c r="B82" s="993"/>
      <c r="C82" s="993"/>
      <c r="D82" s="993"/>
      <c r="E82" s="993"/>
      <c r="F82" s="993"/>
      <c r="G82" s="993"/>
      <c r="H82" s="993"/>
      <c r="I82" s="993"/>
      <c r="J82" s="993"/>
      <c r="K82" s="993"/>
      <c r="L82" s="993"/>
      <c r="M82" s="993"/>
      <c r="N82" s="993"/>
      <c r="O82" s="993"/>
    </row>
    <row r="83" spans="2:15">
      <c r="B83" s="993"/>
      <c r="C83" s="993"/>
      <c r="D83" s="993"/>
      <c r="E83" s="993"/>
      <c r="F83" s="993"/>
      <c r="G83" s="993"/>
      <c r="H83" s="993"/>
      <c r="I83" s="993"/>
      <c r="J83" s="993"/>
      <c r="K83" s="993"/>
      <c r="L83" s="993"/>
      <c r="M83" s="993"/>
      <c r="N83" s="993"/>
      <c r="O83" s="99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N54"/>
  <sheetViews>
    <sheetView zoomScaleNormal="100" workbookViewId="0">
      <selection activeCell="C15" sqref="C15"/>
    </sheetView>
  </sheetViews>
  <sheetFormatPr baseColWidth="10" defaultRowHeight="15"/>
  <cols>
    <col min="1" max="1" width="11.42578125" style="997"/>
    <col min="2" max="2" width="3.7109375" style="997" bestFit="1" customWidth="1"/>
    <col min="3" max="3" width="98.42578125" style="997" customWidth="1"/>
    <col min="4" max="16384" width="11.42578125" style="997"/>
  </cols>
  <sheetData>
    <row r="1" spans="2:10" s="991" customFormat="1"/>
    <row r="2" spans="2:10" s="991" customFormat="1" ht="14.1" customHeight="1">
      <c r="B2" s="995"/>
      <c r="C2" s="994"/>
      <c r="D2" s="994"/>
      <c r="E2" s="994"/>
      <c r="F2" s="994"/>
      <c r="G2" s="994"/>
      <c r="H2" s="994"/>
      <c r="I2" s="994"/>
      <c r="J2" s="994"/>
    </row>
    <row r="3" spans="2:10" s="991" customFormat="1" ht="14.1" customHeight="1">
      <c r="B3" s="1511" t="s">
        <v>1832</v>
      </c>
      <c r="C3" s="193" t="s">
        <v>4940</v>
      </c>
      <c r="D3" s="994"/>
      <c r="E3" s="994"/>
      <c r="F3" s="994"/>
      <c r="G3" s="994"/>
      <c r="H3" s="994"/>
      <c r="I3" s="994"/>
      <c r="J3" s="994"/>
    </row>
    <row r="4" spans="2:10" s="991" customFormat="1" ht="14.1" customHeight="1">
      <c r="B4" s="1511"/>
      <c r="C4" s="193" t="s">
        <v>4941</v>
      </c>
      <c r="D4" s="994"/>
      <c r="E4" s="994"/>
      <c r="F4" s="994"/>
      <c r="G4" s="994"/>
      <c r="H4" s="994"/>
      <c r="I4" s="994"/>
      <c r="J4" s="994"/>
    </row>
    <row r="5" spans="2:10" s="991" customFormat="1" ht="14.1" customHeight="1">
      <c r="B5" s="909"/>
      <c r="C5" s="193" t="s">
        <v>4942</v>
      </c>
      <c r="D5" s="994"/>
      <c r="E5" s="994"/>
      <c r="F5" s="994"/>
      <c r="G5" s="994"/>
      <c r="H5" s="994"/>
      <c r="I5" s="994"/>
      <c r="J5" s="994"/>
    </row>
    <row r="6" spans="2:10" s="991" customFormat="1" ht="14.1" customHeight="1">
      <c r="B6" s="909"/>
      <c r="C6" s="193" t="s">
        <v>4943</v>
      </c>
      <c r="D6" s="994"/>
      <c r="E6" s="994"/>
      <c r="F6" s="994"/>
      <c r="G6" s="994"/>
      <c r="H6" s="994"/>
      <c r="I6" s="994"/>
      <c r="J6" s="994"/>
    </row>
    <row r="7" spans="2:10" s="991" customFormat="1" ht="14.1" customHeight="1">
      <c r="B7" s="909"/>
      <c r="C7" s="193" t="s">
        <v>3958</v>
      </c>
      <c r="D7" s="994"/>
      <c r="E7" s="994"/>
      <c r="F7" s="994"/>
      <c r="G7" s="994"/>
      <c r="H7" s="994"/>
      <c r="I7" s="994"/>
      <c r="J7" s="994"/>
    </row>
    <row r="8" spans="2:10" s="991" customFormat="1" ht="14.1" customHeight="1">
      <c r="B8" s="909"/>
      <c r="C8" s="193"/>
      <c r="D8" s="994"/>
      <c r="E8" s="994"/>
      <c r="F8" s="994"/>
      <c r="G8" s="994"/>
      <c r="H8" s="994"/>
      <c r="I8" s="994"/>
      <c r="J8" s="994"/>
    </row>
    <row r="9" spans="2:10" s="991" customFormat="1" ht="14.1" customHeight="1">
      <c r="B9" s="995"/>
      <c r="C9" s="994"/>
      <c r="D9" s="994"/>
      <c r="E9" s="994"/>
      <c r="F9" s="994"/>
      <c r="G9" s="994"/>
      <c r="H9" s="994"/>
      <c r="I9" s="994"/>
      <c r="J9" s="994"/>
    </row>
    <row r="10" spans="2:10" s="991" customFormat="1" ht="14.1" customHeight="1">
      <c r="B10" s="995"/>
      <c r="C10" s="994"/>
      <c r="D10" s="994"/>
      <c r="E10" s="994"/>
      <c r="F10" s="994"/>
      <c r="G10" s="994"/>
      <c r="H10" s="994"/>
      <c r="I10" s="994"/>
      <c r="J10" s="994"/>
    </row>
    <row r="11" spans="2:10" s="991" customFormat="1" ht="14.1" customHeight="1">
      <c r="B11" s="995"/>
      <c r="C11" s="994"/>
      <c r="D11" s="994"/>
      <c r="E11" s="994"/>
      <c r="F11" s="994"/>
      <c r="G11" s="994"/>
      <c r="H11" s="994"/>
      <c r="I11" s="994"/>
      <c r="J11" s="994"/>
    </row>
    <row r="12" spans="2:10" s="991" customFormat="1" ht="14.1" customHeight="1">
      <c r="B12" s="995"/>
      <c r="C12" s="994"/>
      <c r="D12" s="994"/>
      <c r="E12" s="994"/>
      <c r="F12" s="994"/>
      <c r="G12" s="994"/>
      <c r="H12" s="994"/>
      <c r="I12" s="994"/>
      <c r="J12" s="994"/>
    </row>
    <row r="13" spans="2:10" s="991" customFormat="1" ht="14.1" customHeight="1">
      <c r="B13" s="995"/>
      <c r="C13" s="994"/>
      <c r="D13" s="994"/>
      <c r="E13" s="994"/>
      <c r="F13" s="994"/>
      <c r="G13" s="994"/>
      <c r="H13" s="994"/>
      <c r="I13" s="994"/>
      <c r="J13" s="994"/>
    </row>
    <row r="14" spans="2:10" s="991" customFormat="1" ht="14.1" customHeight="1">
      <c r="B14" s="995"/>
      <c r="C14" s="994"/>
      <c r="D14" s="994"/>
      <c r="E14" s="994"/>
      <c r="F14" s="994"/>
      <c r="G14" s="994"/>
      <c r="H14" s="994"/>
      <c r="I14" s="994"/>
      <c r="J14" s="994"/>
    </row>
    <row r="15" spans="2:10" s="991" customFormat="1" ht="14.1" customHeight="1">
      <c r="B15" s="995"/>
      <c r="C15" s="994"/>
      <c r="D15" s="994"/>
      <c r="E15" s="994"/>
      <c r="F15" s="994"/>
      <c r="G15" s="994"/>
      <c r="H15" s="994"/>
      <c r="I15" s="994"/>
      <c r="J15" s="994"/>
    </row>
    <row r="16" spans="2:10" s="991" customFormat="1" ht="14.1" customHeight="1">
      <c r="B16" s="995"/>
      <c r="C16" s="994"/>
      <c r="D16" s="994"/>
      <c r="E16" s="994"/>
      <c r="F16" s="994"/>
      <c r="G16" s="994"/>
      <c r="H16" s="994"/>
      <c r="I16" s="994"/>
      <c r="J16" s="994"/>
    </row>
    <row r="17" spans="1:14" s="991" customFormat="1" ht="14.1" customHeight="1">
      <c r="B17" s="995"/>
      <c r="C17" s="994"/>
      <c r="D17" s="994"/>
      <c r="E17" s="994"/>
      <c r="F17" s="994"/>
      <c r="G17" s="994"/>
      <c r="H17" s="994"/>
      <c r="I17" s="994"/>
      <c r="J17" s="994"/>
    </row>
    <row r="18" spans="1:14" s="991" customFormat="1" ht="14.1" customHeight="1">
      <c r="B18" s="995"/>
      <c r="C18" s="994"/>
      <c r="D18" s="994"/>
      <c r="E18" s="994"/>
      <c r="F18" s="994"/>
      <c r="G18" s="994"/>
      <c r="H18" s="994"/>
      <c r="I18" s="994"/>
      <c r="J18" s="994"/>
    </row>
    <row r="19" spans="1:14" s="991" customFormat="1" ht="14.1" customHeight="1">
      <c r="B19" s="995"/>
      <c r="C19" s="994"/>
      <c r="D19" s="994"/>
      <c r="E19" s="994"/>
      <c r="F19" s="994"/>
      <c r="G19" s="994"/>
      <c r="H19" s="994"/>
      <c r="I19" s="994"/>
      <c r="J19" s="994"/>
    </row>
    <row r="20" spans="1:14" s="991" customFormat="1" ht="14.1" customHeight="1">
      <c r="B20" s="995"/>
      <c r="C20" s="994"/>
      <c r="D20" s="994"/>
      <c r="E20" s="994"/>
      <c r="F20" s="994"/>
      <c r="G20" s="994"/>
      <c r="H20" s="994"/>
      <c r="I20" s="994"/>
      <c r="J20" s="994"/>
    </row>
    <row r="21" spans="1:14" s="991" customFormat="1" ht="14.1" customHeight="1">
      <c r="B21" s="995"/>
      <c r="C21" s="994"/>
      <c r="D21" s="994"/>
      <c r="E21" s="994"/>
      <c r="F21" s="994"/>
      <c r="G21" s="994"/>
      <c r="H21" s="994"/>
      <c r="I21" s="994"/>
      <c r="J21" s="994"/>
    </row>
    <row r="22" spans="1:14" s="991" customFormat="1" ht="14.1" customHeight="1">
      <c r="B22" s="995"/>
      <c r="C22" s="994"/>
      <c r="D22" s="994"/>
      <c r="E22" s="994"/>
      <c r="F22" s="994"/>
      <c r="G22" s="994"/>
      <c r="H22" s="994"/>
      <c r="I22" s="994"/>
      <c r="J22" s="994"/>
    </row>
    <row r="23" spans="1:14" s="991" customFormat="1" ht="14.1" customHeight="1">
      <c r="A23" s="999"/>
      <c r="B23" s="909" t="s">
        <v>1833</v>
      </c>
      <c r="C23" s="193" t="s">
        <v>3676</v>
      </c>
      <c r="D23" s="1000"/>
      <c r="E23" s="1001"/>
      <c r="F23" s="1001"/>
      <c r="G23" s="1001"/>
      <c r="H23" s="1001"/>
      <c r="I23" s="1001"/>
      <c r="J23" s="1001"/>
      <c r="K23" s="1002"/>
      <c r="L23" s="1002"/>
      <c r="M23" s="1002"/>
      <c r="N23" s="1002"/>
    </row>
    <row r="24" spans="1:14" s="991" customFormat="1" ht="14.1" customHeight="1">
      <c r="A24" s="999"/>
      <c r="B24" s="995"/>
      <c r="C24" s="994"/>
      <c r="D24" s="1000"/>
      <c r="E24" s="1001"/>
      <c r="F24" s="1001"/>
      <c r="G24" s="1001"/>
      <c r="H24" s="1001"/>
      <c r="I24" s="1001"/>
      <c r="J24" s="1001"/>
      <c r="K24" s="1002"/>
      <c r="L24" s="1002"/>
      <c r="M24" s="1002"/>
      <c r="N24" s="1002"/>
    </row>
    <row r="25" spans="1:14" s="991" customFormat="1" ht="14.1" customHeight="1">
      <c r="A25" s="999"/>
      <c r="B25" s="909" t="s">
        <v>1833</v>
      </c>
      <c r="C25" s="193" t="s">
        <v>3673</v>
      </c>
      <c r="D25" s="1000"/>
      <c r="E25" s="1001"/>
      <c r="F25" s="1001"/>
      <c r="G25" s="1001"/>
      <c r="H25" s="1001"/>
      <c r="I25" s="1001"/>
      <c r="J25" s="1001"/>
      <c r="K25" s="1002"/>
      <c r="L25" s="1002"/>
      <c r="M25" s="1002"/>
      <c r="N25" s="1002"/>
    </row>
    <row r="26" spans="1:14" s="991" customFormat="1" ht="14.1" customHeight="1">
      <c r="B26" s="909"/>
      <c r="C26" s="193" t="s">
        <v>3674</v>
      </c>
      <c r="D26" s="994"/>
      <c r="E26" s="994"/>
      <c r="F26" s="994"/>
      <c r="G26" s="994"/>
      <c r="H26" s="994"/>
      <c r="I26" s="994"/>
      <c r="J26" s="994"/>
    </row>
    <row r="27" spans="1:14" s="991" customFormat="1" ht="14.1" customHeight="1">
      <c r="A27" s="999"/>
      <c r="B27" s="909"/>
      <c r="C27" s="193" t="s">
        <v>3184</v>
      </c>
      <c r="D27" s="1000"/>
      <c r="E27" s="1001"/>
      <c r="F27" s="1001"/>
      <c r="G27" s="1001"/>
      <c r="H27" s="1001"/>
      <c r="I27" s="1001"/>
      <c r="J27" s="1001"/>
      <c r="K27" s="1002"/>
      <c r="L27" s="1002"/>
      <c r="M27" s="1002"/>
      <c r="N27" s="1002"/>
    </row>
    <row r="28" spans="1:14" s="991" customFormat="1" ht="14.1" customHeight="1">
      <c r="A28" s="999"/>
      <c r="B28" s="995"/>
      <c r="C28" s="1003" t="s">
        <v>3675</v>
      </c>
      <c r="D28" s="1000"/>
      <c r="E28" s="1001"/>
      <c r="F28" s="1001"/>
      <c r="G28" s="1001"/>
      <c r="H28" s="1001"/>
      <c r="I28" s="1001"/>
      <c r="J28" s="1001"/>
      <c r="K28" s="1002"/>
      <c r="L28" s="1002"/>
      <c r="M28" s="1002"/>
      <c r="N28" s="1002"/>
    </row>
    <row r="29" spans="1:14" s="991" customFormat="1" ht="14.1" customHeight="1">
      <c r="A29" s="999"/>
      <c r="B29" s="994"/>
      <c r="C29" s="994"/>
      <c r="D29" s="1000"/>
      <c r="E29" s="1001"/>
      <c r="F29" s="1001"/>
      <c r="G29" s="1001"/>
      <c r="H29" s="1001"/>
      <c r="I29" s="1001"/>
      <c r="J29" s="1001"/>
      <c r="K29" s="1002"/>
      <c r="L29" s="1002"/>
      <c r="M29" s="1002"/>
      <c r="N29" s="1002"/>
    </row>
    <row r="30" spans="1:14" s="991" customFormat="1" ht="14.1" customHeight="1">
      <c r="B30" s="995"/>
      <c r="C30" s="994"/>
      <c r="D30" s="994"/>
      <c r="E30" s="994"/>
      <c r="F30" s="994"/>
      <c r="G30" s="994"/>
      <c r="H30" s="994"/>
      <c r="I30" s="994"/>
      <c r="J30" s="994"/>
    </row>
    <row r="31" spans="1:14" s="991" customFormat="1" ht="14.1" customHeight="1">
      <c r="B31" s="909" t="s">
        <v>1833</v>
      </c>
      <c r="C31" s="193" t="s">
        <v>3043</v>
      </c>
      <c r="D31" s="994"/>
      <c r="E31" s="994"/>
      <c r="F31" s="994"/>
      <c r="G31" s="994"/>
      <c r="H31" s="994"/>
      <c r="I31" s="994"/>
      <c r="J31" s="994"/>
    </row>
    <row r="32" spans="1:14" s="991" customFormat="1" ht="14.1" customHeight="1">
      <c r="B32" s="938"/>
      <c r="C32" s="193" t="s">
        <v>3044</v>
      </c>
      <c r="D32" s="994"/>
      <c r="E32" s="994"/>
      <c r="F32" s="994"/>
      <c r="G32" s="994"/>
      <c r="H32" s="994"/>
      <c r="I32" s="994"/>
      <c r="J32" s="994"/>
    </row>
    <row r="33" spans="2:10" s="991" customFormat="1" ht="14.1" customHeight="1">
      <c r="B33" s="909"/>
      <c r="C33" s="193" t="s">
        <v>3045</v>
      </c>
      <c r="D33" s="994"/>
      <c r="E33" s="994"/>
      <c r="F33" s="994"/>
      <c r="G33" s="994"/>
      <c r="H33" s="994"/>
      <c r="I33" s="994"/>
      <c r="J33" s="994"/>
    </row>
    <row r="34" spans="2:10" s="991" customFormat="1" ht="14.1" customHeight="1">
      <c r="B34" s="995"/>
      <c r="C34" s="994"/>
      <c r="D34" s="994"/>
      <c r="E34" s="994"/>
      <c r="F34" s="994"/>
      <c r="G34" s="994"/>
      <c r="H34" s="994"/>
      <c r="I34" s="994"/>
      <c r="J34" s="994"/>
    </row>
    <row r="35" spans="2:10" s="991" customFormat="1" ht="14.1" customHeight="1">
      <c r="B35" s="995"/>
      <c r="C35" s="994"/>
      <c r="D35" s="994"/>
      <c r="E35" s="994"/>
      <c r="F35" s="994"/>
      <c r="G35" s="994"/>
      <c r="H35" s="994"/>
      <c r="I35" s="994"/>
      <c r="J35" s="994"/>
    </row>
    <row r="36" spans="2:10" s="991" customFormat="1" ht="14.1" customHeight="1">
      <c r="B36" s="909" t="s">
        <v>1833</v>
      </c>
      <c r="C36" s="193" t="s">
        <v>3401</v>
      </c>
      <c r="D36" s="994"/>
      <c r="E36" s="994"/>
      <c r="F36" s="994"/>
      <c r="G36" s="994"/>
      <c r="H36" s="994"/>
      <c r="I36" s="994"/>
      <c r="J36" s="994"/>
    </row>
    <row r="37" spans="2:10" s="991" customFormat="1" ht="14.1" customHeight="1">
      <c r="B37" s="909"/>
      <c r="C37" s="193" t="s">
        <v>3400</v>
      </c>
      <c r="D37" s="994"/>
      <c r="E37" s="994"/>
      <c r="F37" s="994"/>
      <c r="G37" s="994"/>
      <c r="H37" s="994"/>
      <c r="I37" s="994"/>
      <c r="J37" s="994"/>
    </row>
    <row r="38" spans="2:10" s="991" customFormat="1" ht="14.1" customHeight="1">
      <c r="B38" s="995"/>
      <c r="C38" s="994"/>
      <c r="D38" s="994"/>
      <c r="E38" s="994"/>
      <c r="F38" s="994"/>
      <c r="G38" s="994"/>
      <c r="H38" s="994"/>
      <c r="I38" s="994"/>
      <c r="J38" s="994"/>
    </row>
    <row r="39" spans="2:10" s="991" customFormat="1" ht="14.1" customHeight="1">
      <c r="B39" s="909"/>
      <c r="C39" s="193" t="s">
        <v>3400</v>
      </c>
      <c r="D39" s="994"/>
      <c r="E39" s="994"/>
      <c r="F39" s="994"/>
      <c r="G39" s="994"/>
      <c r="H39" s="994"/>
      <c r="I39" s="994"/>
      <c r="J39" s="994"/>
    </row>
    <row r="40" spans="2:10" s="991" customFormat="1" ht="14.1" customHeight="1">
      <c r="B40" s="995"/>
      <c r="C40" s="994"/>
      <c r="D40" s="994"/>
      <c r="E40" s="994"/>
      <c r="F40" s="994"/>
      <c r="G40" s="994"/>
      <c r="H40" s="994"/>
      <c r="I40" s="994"/>
      <c r="J40" s="994"/>
    </row>
    <row r="41" spans="2:10" s="991" customFormat="1" ht="14.1" customHeight="1">
      <c r="B41" s="995"/>
      <c r="C41" s="994"/>
      <c r="D41" s="994"/>
      <c r="E41" s="994"/>
      <c r="F41" s="994"/>
      <c r="G41" s="994"/>
      <c r="H41" s="994"/>
      <c r="I41" s="994"/>
      <c r="J41" s="994"/>
    </row>
    <row r="42" spans="2:10" s="991" customFormat="1" ht="14.1" customHeight="1">
      <c r="B42" s="994"/>
      <c r="C42" s="994"/>
      <c r="D42" s="994"/>
      <c r="E42" s="994"/>
      <c r="F42" s="994"/>
      <c r="G42" s="994"/>
      <c r="H42" s="994"/>
      <c r="I42" s="994"/>
      <c r="J42" s="994"/>
    </row>
    <row r="43" spans="2:10" s="991" customFormat="1" ht="14.1" customHeight="1"/>
    <row r="44" spans="2:10" s="991" customFormat="1" ht="14.1" customHeight="1"/>
    <row r="45" spans="2:10" s="991" customFormat="1" ht="14.1" customHeight="1"/>
    <row r="46" spans="2:10" ht="14.1" customHeight="1"/>
    <row r="47" spans="2:10" ht="14.1" customHeight="1"/>
    <row r="48" spans="2:10" ht="14.1" customHeight="1"/>
    <row r="49" ht="14.1" customHeight="1"/>
    <row r="50" ht="14.1" customHeight="1"/>
    <row r="51" ht="14.1" customHeight="1"/>
    <row r="52" ht="14.1" customHeight="1"/>
    <row r="53" ht="14.1" customHeight="1"/>
    <row r="54" ht="14.1" customHeight="1"/>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dimension ref="A1:P65"/>
  <sheetViews>
    <sheetView zoomScale="85" zoomScaleNormal="85" workbookViewId="0">
      <selection activeCell="B3" sqref="B3:C9"/>
    </sheetView>
  </sheetViews>
  <sheetFormatPr baseColWidth="10" defaultRowHeight="15"/>
  <cols>
    <col min="1" max="1" width="11.42578125" style="997"/>
    <col min="2" max="2" width="3.7109375" style="997" bestFit="1" customWidth="1"/>
    <col min="3" max="3" width="104.7109375" style="997" bestFit="1" customWidth="1"/>
    <col min="4" max="16384" width="11.42578125" style="997"/>
  </cols>
  <sheetData>
    <row r="1" spans="1:16" ht="14.1" customHeight="1">
      <c r="A1" s="991"/>
      <c r="B1" s="991"/>
      <c r="C1" s="991"/>
      <c r="D1" s="991"/>
      <c r="E1" s="991"/>
      <c r="F1" s="991"/>
      <c r="G1" s="991"/>
      <c r="H1" s="991"/>
      <c r="I1" s="991"/>
      <c r="J1" s="991"/>
      <c r="K1" s="991"/>
      <c r="L1" s="991"/>
      <c r="M1" s="991"/>
      <c r="N1" s="991"/>
      <c r="O1" s="991"/>
      <c r="P1" s="991"/>
    </row>
    <row r="2" spans="1:16" ht="12.75" customHeight="1">
      <c r="A2" s="991"/>
      <c r="B2" s="994"/>
      <c r="C2" s="994"/>
      <c r="D2" s="994"/>
      <c r="E2" s="994"/>
      <c r="F2" s="994"/>
      <c r="G2" s="994"/>
      <c r="H2" s="994"/>
      <c r="I2" s="994"/>
      <c r="J2" s="994"/>
      <c r="K2" s="994"/>
      <c r="L2" s="991"/>
      <c r="M2" s="991"/>
      <c r="N2" s="991"/>
      <c r="O2" s="991"/>
      <c r="P2" s="991"/>
    </row>
    <row r="3" spans="1:16" ht="12.75" customHeight="1">
      <c r="A3" s="991"/>
      <c r="B3" s="1145" t="s">
        <v>1832</v>
      </c>
      <c r="C3" s="1617" t="s">
        <v>4944</v>
      </c>
      <c r="D3" s="994"/>
      <c r="E3" s="994"/>
      <c r="F3" s="994"/>
      <c r="G3" s="994"/>
      <c r="H3" s="994"/>
      <c r="I3" s="994"/>
      <c r="J3" s="994"/>
      <c r="K3" s="994"/>
      <c r="L3" s="991"/>
      <c r="M3" s="991"/>
      <c r="N3" s="991"/>
      <c r="O3" s="991"/>
      <c r="P3" s="991"/>
    </row>
    <row r="4" spans="1:16" ht="12.75" customHeight="1">
      <c r="A4" s="991"/>
      <c r="B4" s="1617"/>
      <c r="C4" s="1617" t="s">
        <v>4945</v>
      </c>
      <c r="D4" s="994"/>
      <c r="E4" s="994"/>
      <c r="F4" s="994"/>
      <c r="G4" s="994"/>
      <c r="H4" s="994"/>
      <c r="I4" s="994"/>
      <c r="J4" s="994"/>
      <c r="K4" s="994"/>
      <c r="L4" s="991"/>
      <c r="M4" s="991"/>
      <c r="N4" s="991"/>
      <c r="O4" s="991"/>
      <c r="P4" s="991"/>
    </row>
    <row r="5" spans="1:16" ht="12.75" customHeight="1">
      <c r="A5" s="991"/>
      <c r="B5" s="1617"/>
      <c r="C5" s="1617" t="s">
        <v>4946</v>
      </c>
      <c r="D5" s="994"/>
      <c r="E5" s="994"/>
      <c r="F5" s="994"/>
      <c r="G5" s="994"/>
      <c r="H5" s="994"/>
      <c r="I5" s="994"/>
      <c r="J5" s="994"/>
      <c r="K5" s="994"/>
      <c r="L5" s="991"/>
      <c r="M5" s="991"/>
      <c r="N5" s="991"/>
      <c r="O5" s="991"/>
      <c r="P5" s="991"/>
    </row>
    <row r="6" spans="1:16" ht="12.75" customHeight="1">
      <c r="A6" s="991"/>
      <c r="B6" s="994"/>
      <c r="C6" s="994"/>
      <c r="D6" s="994"/>
      <c r="E6" s="994"/>
      <c r="F6" s="994"/>
      <c r="G6" s="994"/>
      <c r="H6" s="994"/>
      <c r="I6" s="994"/>
      <c r="J6" s="994"/>
      <c r="K6" s="994"/>
      <c r="L6" s="991"/>
      <c r="M6" s="991"/>
      <c r="N6" s="991"/>
      <c r="O6" s="991"/>
      <c r="P6" s="991"/>
    </row>
    <row r="7" spans="1:16" ht="12.75" customHeight="1">
      <c r="A7" s="991"/>
      <c r="B7" s="909" t="s">
        <v>1833</v>
      </c>
      <c r="C7" s="994" t="s">
        <v>3185</v>
      </c>
      <c r="D7" s="994"/>
      <c r="E7" s="994"/>
      <c r="F7" s="994"/>
      <c r="G7" s="994"/>
      <c r="H7" s="994"/>
      <c r="I7" s="994"/>
      <c r="J7" s="994"/>
      <c r="K7" s="994"/>
      <c r="L7" s="991"/>
      <c r="M7" s="991"/>
      <c r="N7" s="991"/>
      <c r="O7" s="991"/>
      <c r="P7" s="991"/>
    </row>
    <row r="8" spans="1:16" ht="12.75" customHeight="1">
      <c r="A8" s="991"/>
      <c r="B8" s="994"/>
      <c r="C8" s="994" t="s">
        <v>3186</v>
      </c>
      <c r="D8" s="994"/>
      <c r="E8" s="994"/>
      <c r="F8" s="994"/>
      <c r="G8" s="994"/>
      <c r="H8" s="994"/>
      <c r="I8" s="994"/>
      <c r="J8" s="994"/>
      <c r="K8" s="994"/>
      <c r="L8" s="991"/>
      <c r="M8" s="991"/>
      <c r="N8" s="991"/>
      <c r="O8" s="991"/>
      <c r="P8" s="991"/>
    </row>
    <row r="9" spans="1:16" ht="12.75" customHeight="1">
      <c r="A9" s="991"/>
      <c r="B9" s="994"/>
      <c r="C9" s="994" t="s">
        <v>3187</v>
      </c>
      <c r="D9" s="994"/>
      <c r="E9" s="994"/>
      <c r="F9" s="994"/>
      <c r="G9" s="994"/>
      <c r="H9" s="994"/>
      <c r="I9" s="994"/>
      <c r="J9" s="994"/>
      <c r="K9" s="994"/>
      <c r="L9" s="991"/>
      <c r="M9" s="991"/>
      <c r="N9" s="991"/>
      <c r="O9" s="991"/>
      <c r="P9" s="991"/>
    </row>
    <row r="10" spans="1:16" ht="12.75" customHeight="1">
      <c r="A10" s="991"/>
      <c r="B10" s="991"/>
      <c r="C10" s="991"/>
      <c r="D10" s="991"/>
      <c r="E10" s="991"/>
      <c r="F10" s="991"/>
      <c r="G10" s="991"/>
      <c r="H10" s="991"/>
      <c r="I10" s="991"/>
      <c r="J10" s="991"/>
      <c r="K10" s="991"/>
      <c r="L10" s="991"/>
      <c r="M10" s="991"/>
      <c r="N10" s="991"/>
      <c r="O10" s="991"/>
      <c r="P10" s="991"/>
    </row>
    <row r="11" spans="1:16" ht="12.75" customHeight="1">
      <c r="A11" s="991"/>
      <c r="B11" s="991"/>
      <c r="C11" s="991"/>
      <c r="D11" s="991"/>
      <c r="E11" s="991"/>
      <c r="F11" s="991"/>
      <c r="G11" s="991"/>
      <c r="H11" s="991"/>
      <c r="I11" s="991"/>
      <c r="J11" s="991"/>
      <c r="K11" s="991"/>
      <c r="L11" s="991"/>
      <c r="M11" s="991"/>
      <c r="N11" s="991"/>
      <c r="O11" s="991"/>
      <c r="P11" s="991"/>
    </row>
    <row r="12" spans="1:16" ht="12.75" customHeight="1">
      <c r="A12" s="991"/>
      <c r="B12" s="991"/>
      <c r="C12" s="991"/>
      <c r="D12" s="991"/>
      <c r="E12" s="991"/>
      <c r="F12" s="991"/>
      <c r="G12" s="991"/>
      <c r="H12" s="991"/>
      <c r="I12" s="991"/>
      <c r="J12" s="991"/>
      <c r="K12" s="991"/>
      <c r="L12" s="991"/>
      <c r="M12" s="991"/>
      <c r="N12" s="991"/>
      <c r="O12" s="991"/>
      <c r="P12" s="991"/>
    </row>
    <row r="13" spans="1:16" ht="12.75" customHeight="1">
      <c r="A13" s="991"/>
      <c r="B13" s="991"/>
      <c r="C13" s="991"/>
      <c r="D13" s="991"/>
      <c r="E13" s="991"/>
      <c r="F13" s="991"/>
      <c r="G13" s="991"/>
      <c r="H13" s="991"/>
      <c r="I13" s="991"/>
      <c r="J13" s="991"/>
      <c r="K13" s="991"/>
      <c r="L13" s="991"/>
      <c r="M13" s="991"/>
      <c r="N13" s="991"/>
      <c r="O13" s="991"/>
      <c r="P13" s="991"/>
    </row>
    <row r="14" spans="1:16" ht="12.75" customHeight="1">
      <c r="A14" s="991"/>
      <c r="B14" s="991"/>
      <c r="C14" s="991"/>
      <c r="D14" s="991"/>
      <c r="E14" s="991"/>
      <c r="F14" s="991"/>
      <c r="G14" s="991"/>
      <c r="H14" s="991"/>
      <c r="I14" s="991"/>
      <c r="J14" s="991"/>
      <c r="K14" s="991"/>
      <c r="L14" s="991"/>
      <c r="M14" s="991"/>
      <c r="N14" s="991"/>
      <c r="O14" s="991"/>
      <c r="P14" s="991"/>
    </row>
    <row r="15" spans="1:16" ht="12.75" customHeight="1">
      <c r="A15" s="991"/>
      <c r="B15" s="991"/>
      <c r="C15" s="991"/>
      <c r="D15" s="991"/>
      <c r="E15" s="991"/>
      <c r="F15" s="991"/>
      <c r="G15" s="991"/>
      <c r="H15" s="991"/>
      <c r="I15" s="991"/>
      <c r="J15" s="991"/>
      <c r="K15" s="991"/>
      <c r="L15" s="991"/>
      <c r="M15" s="991"/>
      <c r="N15" s="991"/>
      <c r="O15" s="991"/>
      <c r="P15" s="991"/>
    </row>
    <row r="16" spans="1:16" ht="12.75" customHeight="1">
      <c r="A16" s="991"/>
      <c r="B16" s="991"/>
      <c r="C16" s="991"/>
      <c r="D16" s="991"/>
      <c r="E16" s="991"/>
      <c r="F16" s="991"/>
      <c r="G16" s="991"/>
      <c r="H16" s="991"/>
      <c r="I16" s="991"/>
      <c r="J16" s="991"/>
      <c r="K16" s="991"/>
      <c r="L16" s="991"/>
      <c r="M16" s="991"/>
      <c r="N16" s="991"/>
      <c r="O16" s="991"/>
      <c r="P16" s="991"/>
    </row>
    <row r="17" spans="1:16" ht="12.75" customHeight="1">
      <c r="A17" s="991"/>
      <c r="B17" s="991"/>
      <c r="C17" s="991"/>
      <c r="D17" s="991"/>
      <c r="E17" s="991"/>
      <c r="F17" s="991"/>
      <c r="G17" s="991"/>
      <c r="H17" s="991"/>
      <c r="I17" s="991"/>
      <c r="J17" s="991"/>
      <c r="K17" s="991"/>
      <c r="L17" s="991"/>
      <c r="M17" s="991"/>
      <c r="N17" s="991"/>
      <c r="O17" s="991"/>
      <c r="P17" s="991"/>
    </row>
    <row r="18" spans="1:16" ht="12.75" customHeight="1">
      <c r="A18" s="991"/>
      <c r="B18" s="991"/>
      <c r="C18" s="991"/>
      <c r="D18" s="991"/>
      <c r="E18" s="991"/>
      <c r="F18" s="991"/>
      <c r="G18" s="991"/>
      <c r="H18" s="991"/>
      <c r="I18" s="991"/>
      <c r="J18" s="991"/>
      <c r="K18" s="991"/>
      <c r="L18" s="991"/>
      <c r="M18" s="991"/>
      <c r="N18" s="991"/>
      <c r="O18" s="991"/>
      <c r="P18" s="991"/>
    </row>
    <row r="19" spans="1:16" ht="12.75" customHeight="1">
      <c r="A19" s="991"/>
      <c r="B19" s="991"/>
      <c r="C19" s="991"/>
      <c r="D19" s="991"/>
      <c r="E19" s="991"/>
      <c r="F19" s="991"/>
      <c r="G19" s="991"/>
      <c r="H19" s="991"/>
      <c r="I19" s="991"/>
      <c r="J19" s="991"/>
      <c r="K19" s="991"/>
      <c r="L19" s="991"/>
      <c r="M19" s="991"/>
      <c r="N19" s="991"/>
      <c r="O19" s="991"/>
      <c r="P19" s="991"/>
    </row>
    <row r="20" spans="1:16" ht="12.75" customHeight="1">
      <c r="A20" s="991"/>
      <c r="B20" s="991"/>
      <c r="C20" s="991"/>
      <c r="D20" s="991"/>
      <c r="E20" s="991"/>
      <c r="F20" s="991"/>
      <c r="G20" s="991"/>
      <c r="H20" s="991"/>
      <c r="I20" s="991"/>
      <c r="J20" s="991"/>
      <c r="K20" s="991"/>
      <c r="L20" s="991"/>
      <c r="M20" s="991"/>
      <c r="N20" s="991"/>
      <c r="O20" s="991"/>
      <c r="P20" s="991"/>
    </row>
    <row r="21" spans="1:16" ht="12.75" customHeight="1">
      <c r="A21" s="991"/>
      <c r="B21" s="991"/>
      <c r="C21" s="991"/>
      <c r="D21" s="991"/>
      <c r="E21" s="991"/>
      <c r="F21" s="991"/>
      <c r="G21" s="991"/>
      <c r="H21" s="991"/>
      <c r="I21" s="991"/>
      <c r="J21" s="991"/>
      <c r="K21" s="991"/>
      <c r="L21" s="991"/>
      <c r="M21" s="991"/>
      <c r="N21" s="991"/>
      <c r="O21" s="991"/>
      <c r="P21" s="991"/>
    </row>
    <row r="22" spans="1:16" ht="12.75" customHeight="1">
      <c r="A22" s="991"/>
      <c r="B22" s="991"/>
      <c r="C22" s="991"/>
      <c r="D22" s="991"/>
      <c r="E22" s="991"/>
      <c r="F22" s="991"/>
      <c r="G22" s="991"/>
      <c r="H22" s="991"/>
      <c r="I22" s="991"/>
      <c r="J22" s="991"/>
      <c r="K22" s="991"/>
      <c r="L22" s="991"/>
      <c r="M22" s="991"/>
      <c r="N22" s="991"/>
      <c r="O22" s="991"/>
      <c r="P22" s="991"/>
    </row>
    <row r="23" spans="1:16" ht="12.75" customHeight="1">
      <c r="A23" s="991"/>
      <c r="B23" s="991"/>
      <c r="C23" s="991"/>
      <c r="D23" s="991"/>
      <c r="E23" s="991"/>
      <c r="F23" s="991"/>
      <c r="G23" s="991"/>
      <c r="H23" s="991"/>
      <c r="I23" s="991"/>
      <c r="J23" s="991"/>
      <c r="K23" s="991"/>
      <c r="L23" s="991"/>
      <c r="M23" s="991"/>
      <c r="N23" s="991"/>
      <c r="O23" s="991"/>
      <c r="P23" s="991"/>
    </row>
    <row r="24" spans="1:16" ht="12.75" customHeight="1">
      <c r="A24" s="991"/>
      <c r="B24" s="991"/>
      <c r="C24" s="991"/>
      <c r="D24" s="991"/>
      <c r="E24" s="991"/>
      <c r="F24" s="991"/>
      <c r="G24" s="991"/>
      <c r="H24" s="991"/>
      <c r="I24" s="991"/>
      <c r="J24" s="991"/>
      <c r="K24" s="991"/>
      <c r="L24" s="991"/>
      <c r="M24" s="991"/>
      <c r="N24" s="991"/>
      <c r="O24" s="991"/>
      <c r="P24" s="991"/>
    </row>
    <row r="25" spans="1:16" ht="12.75" customHeight="1">
      <c r="A25" s="991"/>
      <c r="B25" s="991"/>
      <c r="C25" s="991"/>
      <c r="D25" s="991"/>
      <c r="E25" s="991"/>
      <c r="F25" s="991"/>
      <c r="G25" s="991"/>
      <c r="H25" s="991"/>
      <c r="I25" s="991"/>
      <c r="J25" s="991"/>
      <c r="K25" s="991"/>
      <c r="L25" s="991"/>
      <c r="M25" s="991"/>
      <c r="N25" s="991"/>
      <c r="O25" s="991"/>
      <c r="P25" s="991"/>
    </row>
    <row r="26" spans="1:16" ht="12.75" customHeight="1">
      <c r="A26" s="991"/>
      <c r="B26" s="991"/>
      <c r="C26" s="991"/>
      <c r="D26" s="991"/>
      <c r="E26" s="991"/>
      <c r="F26" s="991"/>
      <c r="G26" s="991"/>
      <c r="H26" s="991"/>
      <c r="I26" s="991"/>
      <c r="J26" s="991"/>
      <c r="K26" s="991"/>
      <c r="L26" s="991"/>
      <c r="M26" s="991"/>
      <c r="N26" s="991"/>
      <c r="O26" s="991"/>
      <c r="P26" s="991"/>
    </row>
    <row r="27" spans="1:16" ht="12.75" customHeight="1">
      <c r="A27" s="991"/>
      <c r="B27" s="991"/>
      <c r="C27" s="991"/>
      <c r="D27" s="991"/>
      <c r="E27" s="991"/>
      <c r="F27" s="991"/>
      <c r="G27" s="991"/>
      <c r="H27" s="991"/>
      <c r="I27" s="991"/>
      <c r="J27" s="991"/>
      <c r="K27" s="991"/>
      <c r="L27" s="991"/>
      <c r="M27" s="991"/>
      <c r="N27" s="991"/>
      <c r="O27" s="991"/>
      <c r="P27" s="991"/>
    </row>
    <row r="28" spans="1:16" ht="12.75" customHeight="1">
      <c r="A28" s="991"/>
      <c r="B28" s="991"/>
      <c r="C28" s="991"/>
      <c r="D28" s="991"/>
      <c r="E28" s="991"/>
      <c r="F28" s="991"/>
      <c r="G28" s="991"/>
      <c r="H28" s="991"/>
      <c r="I28" s="991"/>
      <c r="J28" s="991"/>
      <c r="K28" s="991"/>
      <c r="L28" s="991"/>
      <c r="M28" s="991"/>
      <c r="N28" s="991"/>
      <c r="O28" s="991"/>
      <c r="P28" s="991"/>
    </row>
    <row r="29" spans="1:16" ht="12.75" customHeight="1">
      <c r="A29" s="991"/>
      <c r="B29" s="991"/>
      <c r="C29" s="991"/>
      <c r="D29" s="991"/>
      <c r="E29" s="991"/>
      <c r="F29" s="991"/>
      <c r="G29" s="991"/>
      <c r="H29" s="991"/>
      <c r="I29" s="991"/>
      <c r="J29" s="991"/>
      <c r="K29" s="991"/>
      <c r="L29" s="991"/>
      <c r="M29" s="991"/>
      <c r="N29" s="991"/>
      <c r="O29" s="991"/>
      <c r="P29" s="991"/>
    </row>
    <row r="30" spans="1:16" ht="12.75" customHeight="1">
      <c r="A30" s="991"/>
      <c r="B30" s="991"/>
      <c r="C30" s="991"/>
      <c r="D30" s="991"/>
      <c r="E30" s="991"/>
      <c r="F30" s="991"/>
      <c r="G30" s="991"/>
      <c r="H30" s="991"/>
      <c r="I30" s="991"/>
      <c r="J30" s="991"/>
      <c r="K30" s="991"/>
      <c r="L30" s="991"/>
      <c r="M30" s="991"/>
      <c r="N30" s="991"/>
      <c r="O30" s="991"/>
      <c r="P30" s="991"/>
    </row>
    <row r="31" spans="1:16" ht="12.75" customHeight="1">
      <c r="A31" s="991"/>
      <c r="B31" s="991"/>
      <c r="C31" s="991"/>
      <c r="D31" s="991"/>
      <c r="E31" s="991"/>
      <c r="F31" s="991"/>
      <c r="G31" s="991"/>
      <c r="H31" s="991"/>
      <c r="I31" s="991"/>
      <c r="J31" s="991"/>
      <c r="K31" s="991"/>
      <c r="L31" s="991"/>
      <c r="M31" s="991"/>
      <c r="N31" s="991"/>
      <c r="O31" s="991"/>
      <c r="P31" s="991"/>
    </row>
    <row r="32" spans="1:16" ht="12.75" customHeight="1">
      <c r="A32" s="991"/>
      <c r="B32" s="991"/>
      <c r="C32" s="991"/>
      <c r="D32" s="991"/>
      <c r="E32" s="991"/>
      <c r="F32" s="991"/>
      <c r="G32" s="991"/>
      <c r="H32" s="991"/>
      <c r="I32" s="991"/>
      <c r="J32" s="991"/>
      <c r="K32" s="991"/>
      <c r="L32" s="991"/>
      <c r="M32" s="991"/>
      <c r="N32" s="991"/>
      <c r="O32" s="991"/>
      <c r="P32" s="991"/>
    </row>
    <row r="33" spans="1:16" ht="12.75" customHeight="1">
      <c r="A33" s="991"/>
      <c r="B33" s="991"/>
      <c r="C33" s="991"/>
      <c r="D33" s="991"/>
      <c r="E33" s="991"/>
      <c r="F33" s="991"/>
      <c r="G33" s="991"/>
      <c r="H33" s="991"/>
      <c r="I33" s="991"/>
      <c r="J33" s="991"/>
      <c r="K33" s="991"/>
      <c r="L33" s="991"/>
      <c r="M33" s="991"/>
      <c r="N33" s="991"/>
      <c r="O33" s="991"/>
      <c r="P33" s="991"/>
    </row>
    <row r="34" spans="1:16" ht="12.75" customHeight="1">
      <c r="A34" s="991"/>
      <c r="B34" s="991"/>
      <c r="C34" s="991"/>
      <c r="D34" s="991"/>
      <c r="E34" s="991"/>
      <c r="F34" s="991"/>
      <c r="G34" s="991"/>
      <c r="H34" s="991"/>
      <c r="I34" s="991"/>
      <c r="J34" s="991"/>
      <c r="K34" s="991"/>
      <c r="L34" s="991"/>
      <c r="M34" s="991"/>
      <c r="N34" s="991"/>
      <c r="O34" s="991"/>
      <c r="P34" s="991"/>
    </row>
    <row r="35" spans="1:16" ht="12.75" customHeight="1">
      <c r="A35" s="991"/>
      <c r="B35" s="991"/>
      <c r="C35" s="991"/>
      <c r="D35" s="991"/>
      <c r="E35" s="991"/>
      <c r="F35" s="991"/>
      <c r="G35" s="991"/>
      <c r="H35" s="991"/>
      <c r="I35" s="991"/>
      <c r="J35" s="991"/>
      <c r="K35" s="991"/>
      <c r="L35" s="991"/>
      <c r="M35" s="991"/>
      <c r="N35" s="991"/>
      <c r="O35" s="991"/>
      <c r="P35" s="991"/>
    </row>
    <row r="36" spans="1:16" ht="12.75" customHeight="1">
      <c r="A36" s="991"/>
      <c r="B36" s="991"/>
      <c r="C36" s="991"/>
      <c r="D36" s="991"/>
      <c r="E36" s="991"/>
      <c r="F36" s="991"/>
      <c r="G36" s="991"/>
      <c r="H36" s="991"/>
      <c r="I36" s="991"/>
      <c r="J36" s="991"/>
      <c r="K36" s="991"/>
      <c r="L36" s="991"/>
      <c r="M36" s="991"/>
      <c r="N36" s="991"/>
      <c r="O36" s="991"/>
      <c r="P36" s="991"/>
    </row>
    <row r="37" spans="1:16" ht="12.75" customHeight="1">
      <c r="A37" s="991"/>
      <c r="B37" s="991"/>
      <c r="C37" s="991"/>
      <c r="D37" s="991"/>
      <c r="E37" s="991"/>
      <c r="F37" s="991"/>
      <c r="G37" s="991"/>
      <c r="H37" s="991"/>
      <c r="I37" s="991"/>
      <c r="J37" s="991"/>
      <c r="K37" s="991"/>
      <c r="L37" s="991"/>
      <c r="M37" s="991"/>
      <c r="N37" s="991"/>
      <c r="O37" s="991"/>
      <c r="P37" s="991"/>
    </row>
    <row r="38" spans="1:16" ht="12.75" customHeight="1">
      <c r="A38" s="991"/>
      <c r="B38" s="991"/>
      <c r="C38" s="991"/>
      <c r="D38" s="991"/>
      <c r="E38" s="991"/>
      <c r="F38" s="991"/>
      <c r="G38" s="991"/>
      <c r="H38" s="991"/>
      <c r="I38" s="991"/>
      <c r="J38" s="991"/>
      <c r="K38" s="991"/>
      <c r="L38" s="991"/>
      <c r="M38" s="991"/>
      <c r="N38" s="991"/>
      <c r="O38" s="991"/>
      <c r="P38" s="991"/>
    </row>
    <row r="39" spans="1:16" ht="12.75" customHeight="1"/>
    <row r="40" spans="1:16" ht="12.75" customHeight="1"/>
    <row r="41" spans="1:16" ht="12.75" customHeight="1"/>
    <row r="42" spans="1:16" ht="12.75" customHeight="1"/>
    <row r="43" spans="1:16" ht="12.75" customHeight="1"/>
    <row r="44" spans="1:16" ht="12.75" customHeight="1"/>
    <row r="45" spans="1:16" ht="12.75" customHeight="1"/>
    <row r="46" spans="1:16" ht="12.75" customHeight="1"/>
    <row r="47" spans="1:16" ht="12.75" customHeight="1"/>
    <row r="48" spans="1:16"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dimension ref="A1:K32"/>
  <sheetViews>
    <sheetView zoomScale="85" zoomScaleNormal="85" workbookViewId="0">
      <selection activeCell="C47" sqref="C47"/>
    </sheetView>
  </sheetViews>
  <sheetFormatPr baseColWidth="10" defaultRowHeight="15"/>
  <cols>
    <col min="1" max="1" width="11.42578125" style="997"/>
    <col min="2" max="2" width="3.7109375" style="997" bestFit="1" customWidth="1"/>
    <col min="3" max="16384" width="11.42578125" style="997"/>
  </cols>
  <sheetData>
    <row r="1" spans="1:11" ht="14.1" customHeight="1">
      <c r="A1" s="991"/>
      <c r="B1" s="994"/>
      <c r="C1" s="994"/>
      <c r="D1" s="994"/>
      <c r="E1" s="994"/>
      <c r="F1" s="994"/>
      <c r="G1" s="994"/>
      <c r="H1" s="994"/>
      <c r="I1" s="994"/>
      <c r="J1" s="994"/>
      <c r="K1" s="991"/>
    </row>
    <row r="2" spans="1:11" ht="14.1" customHeight="1">
      <c r="A2" s="991"/>
      <c r="B2" s="994"/>
      <c r="C2" s="994"/>
      <c r="D2" s="994"/>
      <c r="E2" s="994"/>
      <c r="F2" s="994"/>
      <c r="G2" s="994"/>
      <c r="H2" s="994"/>
      <c r="I2" s="994"/>
      <c r="J2" s="994"/>
      <c r="K2" s="991"/>
    </row>
    <row r="3" spans="1:11" s="1008" customFormat="1" ht="14.1" customHeight="1">
      <c r="A3" s="1004"/>
      <c r="B3" s="909" t="s">
        <v>2809</v>
      </c>
      <c r="C3" s="193" t="s">
        <v>3188</v>
      </c>
      <c r="D3" s="1005"/>
      <c r="E3" s="1006"/>
      <c r="F3" s="1006"/>
      <c r="G3" s="1006"/>
      <c r="H3" s="1006"/>
      <c r="I3" s="1006"/>
      <c r="J3" s="1007"/>
    </row>
    <row r="4" spans="1:11" s="1008" customFormat="1" ht="14.1" customHeight="1">
      <c r="A4" s="1004"/>
      <c r="B4" s="909"/>
      <c r="C4" s="193" t="s">
        <v>3189</v>
      </c>
      <c r="D4" s="1005"/>
      <c r="E4" s="1006"/>
      <c r="F4" s="1006"/>
      <c r="G4" s="1006"/>
      <c r="H4" s="1006"/>
      <c r="I4" s="1006"/>
      <c r="J4" s="1007"/>
    </row>
    <row r="5" spans="1:11" s="991" customFormat="1" ht="14.1" customHeight="1">
      <c r="B5" s="995"/>
      <c r="C5" s="994"/>
      <c r="D5" s="994"/>
      <c r="E5" s="994"/>
      <c r="F5" s="994"/>
      <c r="G5" s="994"/>
      <c r="H5" s="994"/>
      <c r="I5" s="994"/>
      <c r="J5" s="994"/>
    </row>
    <row r="6" spans="1:11" s="991" customFormat="1" ht="14.1" customHeight="1">
      <c r="B6" s="909" t="s">
        <v>1833</v>
      </c>
      <c r="C6" s="193" t="s">
        <v>3190</v>
      </c>
      <c r="D6" s="994"/>
      <c r="E6" s="994"/>
      <c r="F6" s="994"/>
      <c r="G6" s="994"/>
      <c r="H6" s="994"/>
      <c r="I6" s="994"/>
      <c r="J6" s="994"/>
    </row>
    <row r="7" spans="1:11" s="991" customFormat="1" ht="14.1" customHeight="1">
      <c r="B7" s="909"/>
      <c r="C7" s="193" t="s">
        <v>3191</v>
      </c>
      <c r="D7" s="994"/>
      <c r="E7" s="994"/>
      <c r="F7" s="994"/>
      <c r="G7" s="994"/>
      <c r="H7" s="994"/>
      <c r="I7" s="994"/>
      <c r="J7" s="994"/>
    </row>
    <row r="8" spans="1:11" s="991" customFormat="1" ht="14.1" customHeight="1">
      <c r="B8" s="909"/>
      <c r="C8" s="193"/>
      <c r="D8" s="994"/>
      <c r="E8" s="994"/>
      <c r="F8" s="994"/>
      <c r="G8" s="994"/>
      <c r="H8" s="994"/>
      <c r="I8" s="994"/>
      <c r="J8" s="994"/>
    </row>
    <row r="9" spans="1:11" s="991" customFormat="1" ht="14.1" customHeight="1">
      <c r="B9" s="995"/>
      <c r="C9" s="994"/>
      <c r="D9" s="994"/>
      <c r="E9" s="994"/>
      <c r="F9" s="994"/>
      <c r="G9" s="994"/>
      <c r="H9" s="994"/>
      <c r="I9" s="994"/>
      <c r="J9" s="994"/>
    </row>
    <row r="10" spans="1:11" ht="14.1" customHeight="1">
      <c r="A10" s="991"/>
      <c r="B10" s="994"/>
      <c r="C10" s="994"/>
      <c r="D10" s="994"/>
      <c r="E10" s="994"/>
      <c r="F10" s="994"/>
      <c r="G10" s="994"/>
      <c r="H10" s="994"/>
      <c r="I10" s="994"/>
      <c r="J10" s="994"/>
      <c r="K10" s="991"/>
    </row>
    <row r="11" spans="1:11" ht="14.1" customHeight="1">
      <c r="A11" s="991"/>
      <c r="B11" s="994"/>
      <c r="C11" s="994"/>
      <c r="D11" s="994"/>
      <c r="E11" s="994"/>
      <c r="F11" s="994"/>
      <c r="G11" s="994"/>
      <c r="H11" s="994"/>
      <c r="I11" s="994"/>
      <c r="J11" s="994"/>
      <c r="K11" s="991"/>
    </row>
    <row r="12" spans="1:11" ht="14.1" customHeight="1">
      <c r="A12" s="991"/>
      <c r="B12" s="994"/>
      <c r="C12" s="994"/>
      <c r="D12" s="994"/>
      <c r="E12" s="994"/>
      <c r="F12" s="994"/>
      <c r="G12" s="994"/>
      <c r="H12" s="994"/>
      <c r="I12" s="994"/>
      <c r="J12" s="994"/>
      <c r="K12" s="991"/>
    </row>
    <row r="13" spans="1:11" ht="14.1" customHeight="1">
      <c r="A13" s="991"/>
      <c r="B13" s="994"/>
      <c r="C13" s="994"/>
      <c r="D13" s="994"/>
      <c r="E13" s="994"/>
      <c r="F13" s="994"/>
      <c r="G13" s="994"/>
      <c r="H13" s="994"/>
      <c r="I13" s="994"/>
      <c r="J13" s="994"/>
      <c r="K13" s="991"/>
    </row>
    <row r="14" spans="1:11" ht="14.1" customHeight="1">
      <c r="A14" s="991"/>
      <c r="B14" s="991"/>
      <c r="C14" s="991"/>
      <c r="D14" s="991"/>
      <c r="E14" s="991"/>
      <c r="F14" s="991"/>
      <c r="G14" s="991"/>
      <c r="H14" s="991"/>
      <c r="I14" s="991"/>
      <c r="J14" s="991"/>
      <c r="K14" s="991"/>
    </row>
    <row r="15" spans="1:11" ht="14.1" customHeight="1">
      <c r="A15" s="991"/>
      <c r="B15" s="991"/>
      <c r="C15" s="991"/>
      <c r="D15" s="991"/>
      <c r="E15" s="991"/>
      <c r="F15" s="991"/>
      <c r="G15" s="991"/>
      <c r="H15" s="991"/>
      <c r="I15" s="991"/>
      <c r="J15" s="991"/>
      <c r="K15" s="991"/>
    </row>
    <row r="16" spans="1:11" ht="14.1" customHeight="1">
      <c r="A16" s="991"/>
      <c r="B16" s="991"/>
      <c r="C16" s="991"/>
      <c r="D16" s="991"/>
      <c r="E16" s="991"/>
      <c r="F16" s="991"/>
      <c r="G16" s="991"/>
      <c r="H16" s="991"/>
      <c r="I16" s="991"/>
      <c r="J16" s="991"/>
      <c r="K16" s="991"/>
    </row>
    <row r="17" spans="1:11" ht="14.1" customHeight="1">
      <c r="A17" s="991"/>
      <c r="B17" s="991"/>
      <c r="C17" s="991"/>
      <c r="D17" s="991"/>
      <c r="E17" s="991"/>
      <c r="F17" s="991"/>
      <c r="G17" s="991"/>
      <c r="H17" s="991"/>
      <c r="I17" s="991"/>
      <c r="J17" s="991"/>
      <c r="K17" s="991"/>
    </row>
    <row r="18" spans="1:11" ht="14.1" customHeight="1">
      <c r="A18" s="991"/>
      <c r="B18" s="991"/>
      <c r="C18" s="991"/>
      <c r="D18" s="991"/>
      <c r="E18" s="991"/>
      <c r="F18" s="991"/>
      <c r="G18" s="991"/>
      <c r="H18" s="991"/>
      <c r="I18" s="991"/>
      <c r="J18" s="991"/>
      <c r="K18" s="991"/>
    </row>
    <row r="19" spans="1:11" ht="14.1" customHeight="1">
      <c r="A19" s="991"/>
      <c r="B19" s="991"/>
      <c r="C19" s="991"/>
      <c r="D19" s="991"/>
      <c r="E19" s="991"/>
      <c r="F19" s="991"/>
      <c r="G19" s="991"/>
      <c r="H19" s="991"/>
      <c r="I19" s="991"/>
      <c r="J19" s="991"/>
      <c r="K19" s="991"/>
    </row>
    <row r="20" spans="1:11" ht="14.1" customHeight="1">
      <c r="A20" s="991"/>
      <c r="B20" s="991"/>
      <c r="C20" s="991"/>
      <c r="D20" s="991"/>
      <c r="E20" s="991"/>
      <c r="F20" s="991"/>
      <c r="G20" s="991"/>
      <c r="H20" s="991"/>
      <c r="I20" s="991"/>
      <c r="J20" s="991"/>
      <c r="K20" s="991"/>
    </row>
    <row r="21" spans="1:11" ht="14.1" customHeight="1">
      <c r="A21" s="991"/>
      <c r="B21" s="991"/>
      <c r="C21" s="991"/>
      <c r="D21" s="991"/>
      <c r="E21" s="991"/>
      <c r="F21" s="991"/>
      <c r="G21" s="991"/>
      <c r="H21" s="991"/>
      <c r="I21" s="991"/>
      <c r="J21" s="991"/>
      <c r="K21" s="991"/>
    </row>
    <row r="22" spans="1:11" ht="14.1" customHeight="1">
      <c r="A22" s="991"/>
      <c r="B22" s="991"/>
      <c r="C22" s="991"/>
      <c r="D22" s="991"/>
      <c r="E22" s="991"/>
      <c r="F22" s="991"/>
      <c r="G22" s="991"/>
      <c r="H22" s="991"/>
      <c r="I22" s="991"/>
      <c r="J22" s="991"/>
      <c r="K22" s="991"/>
    </row>
    <row r="23" spans="1:11" ht="14.1" customHeight="1">
      <c r="A23" s="991"/>
      <c r="B23" s="991"/>
      <c r="C23" s="991"/>
      <c r="D23" s="991"/>
      <c r="E23" s="991"/>
      <c r="F23" s="991"/>
      <c r="G23" s="991"/>
      <c r="H23" s="991"/>
      <c r="I23" s="991"/>
      <c r="J23" s="991"/>
      <c r="K23" s="991"/>
    </row>
    <row r="24" spans="1:11" ht="14.1" customHeight="1">
      <c r="A24" s="991"/>
      <c r="B24" s="991"/>
      <c r="C24" s="991"/>
      <c r="D24" s="991"/>
      <c r="E24" s="991"/>
      <c r="F24" s="991"/>
      <c r="G24" s="991"/>
      <c r="H24" s="991"/>
      <c r="I24" s="991"/>
      <c r="J24" s="991"/>
      <c r="K24" s="991"/>
    </row>
    <row r="25" spans="1:11" ht="14.1" customHeight="1">
      <c r="A25" s="991"/>
      <c r="B25" s="991"/>
      <c r="C25" s="991"/>
      <c r="D25" s="991"/>
      <c r="E25" s="991"/>
      <c r="F25" s="991"/>
      <c r="G25" s="991"/>
      <c r="H25" s="991"/>
      <c r="I25" s="991"/>
      <c r="J25" s="991"/>
      <c r="K25" s="991"/>
    </row>
    <row r="26" spans="1:11" ht="14.1" customHeight="1">
      <c r="A26" s="991"/>
      <c r="B26" s="991"/>
      <c r="C26" s="991"/>
      <c r="D26" s="991"/>
      <c r="E26" s="991"/>
      <c r="F26" s="991"/>
      <c r="G26" s="991"/>
      <c r="H26" s="991"/>
      <c r="I26" s="991"/>
      <c r="J26" s="991"/>
      <c r="K26" s="991"/>
    </row>
    <row r="27" spans="1:11" ht="14.1" customHeight="1">
      <c r="A27" s="991"/>
      <c r="B27" s="991"/>
      <c r="C27" s="991"/>
      <c r="D27" s="991"/>
      <c r="E27" s="991"/>
      <c r="F27" s="991"/>
      <c r="G27" s="991"/>
      <c r="H27" s="991"/>
      <c r="I27" s="991"/>
      <c r="J27" s="991"/>
      <c r="K27" s="991"/>
    </row>
    <row r="28" spans="1:11">
      <c r="A28" s="991"/>
      <c r="B28" s="991"/>
      <c r="C28" s="991"/>
      <c r="D28" s="991"/>
      <c r="E28" s="991"/>
      <c r="F28" s="991"/>
      <c r="G28" s="991"/>
      <c r="H28" s="991"/>
      <c r="I28" s="991"/>
      <c r="J28" s="991"/>
      <c r="K28" s="991"/>
    </row>
    <row r="29" spans="1:11">
      <c r="A29" s="991"/>
      <c r="B29" s="991"/>
      <c r="C29" s="991"/>
      <c r="D29" s="991"/>
      <c r="E29" s="991"/>
      <c r="F29" s="991"/>
      <c r="G29" s="991"/>
      <c r="H29" s="991"/>
      <c r="I29" s="991"/>
      <c r="J29" s="991"/>
      <c r="K29" s="991"/>
    </row>
    <row r="30" spans="1:11">
      <c r="A30" s="991"/>
      <c r="B30" s="991"/>
      <c r="C30" s="991"/>
      <c r="D30" s="991"/>
      <c r="E30" s="991"/>
      <c r="F30" s="991"/>
      <c r="G30" s="991"/>
      <c r="H30" s="991"/>
      <c r="I30" s="991"/>
      <c r="J30" s="991"/>
      <c r="K30" s="991"/>
    </row>
    <row r="31" spans="1:11">
      <c r="A31" s="991"/>
      <c r="B31" s="991"/>
      <c r="C31" s="991"/>
      <c r="D31" s="991"/>
      <c r="E31" s="991"/>
      <c r="F31" s="991"/>
      <c r="G31" s="991"/>
      <c r="H31" s="991"/>
      <c r="I31" s="991"/>
      <c r="J31" s="991"/>
      <c r="K31" s="991"/>
    </row>
    <row r="32" spans="1:11">
      <c r="A32" s="991"/>
      <c r="B32" s="991"/>
      <c r="C32" s="991"/>
      <c r="D32" s="991"/>
      <c r="E32" s="991"/>
      <c r="F32" s="991"/>
      <c r="G32" s="991"/>
      <c r="H32" s="991"/>
      <c r="I32" s="991"/>
      <c r="J32" s="991"/>
      <c r="K32" s="99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dimension ref="A1:N17"/>
  <sheetViews>
    <sheetView zoomScale="85" zoomScaleNormal="85" workbookViewId="0">
      <selection activeCell="C47" sqref="C47"/>
    </sheetView>
  </sheetViews>
  <sheetFormatPr baseColWidth="10" defaultRowHeight="15"/>
  <cols>
    <col min="1" max="1" width="17.85546875" style="997" bestFit="1" customWidth="1"/>
    <col min="2" max="2" width="5.85546875" style="997" customWidth="1"/>
    <col min="3" max="3" width="106.42578125" style="997" customWidth="1"/>
    <col min="4" max="16384" width="11.42578125" style="997"/>
  </cols>
  <sheetData>
    <row r="1" spans="1:14" s="1017" customFormat="1" ht="12.75" customHeight="1">
      <c r="A1" s="2731" t="s">
        <v>3192</v>
      </c>
      <c r="B1" s="1009"/>
      <c r="C1" s="1010"/>
      <c r="D1" s="1011"/>
      <c r="E1" s="1012"/>
      <c r="F1" s="1012"/>
      <c r="G1" s="1013"/>
      <c r="H1" s="1013"/>
      <c r="I1" s="1013"/>
      <c r="J1" s="1014"/>
      <c r="K1" s="1015"/>
      <c r="L1" s="1016"/>
    </row>
    <row r="2" spans="1:14" s="1017" customFormat="1" ht="35.25" customHeight="1" thickBot="1">
      <c r="A2" s="2732"/>
      <c r="B2" s="1018"/>
      <c r="C2" s="1019" t="s">
        <v>3193</v>
      </c>
      <c r="D2" s="1020"/>
      <c r="E2" s="1021"/>
      <c r="F2" s="1021"/>
      <c r="G2" s="891"/>
      <c r="H2" s="891"/>
      <c r="I2" s="891"/>
      <c r="J2" s="1022"/>
      <c r="K2" s="1015"/>
      <c r="L2" s="1016"/>
    </row>
    <row r="3" spans="1:14" s="1017" customFormat="1" ht="12.75">
      <c r="A3" s="1070"/>
      <c r="B3" s="1023" t="s">
        <v>3194</v>
      </c>
      <c r="C3" s="1024" t="s">
        <v>3195</v>
      </c>
      <c r="D3" s="1020"/>
      <c r="E3" s="1021"/>
      <c r="F3" s="1021"/>
      <c r="G3" s="891"/>
      <c r="H3" s="891"/>
      <c r="I3" s="891"/>
      <c r="J3" s="1022"/>
    </row>
    <row r="4" spans="1:14" s="1030" customFormat="1" ht="101.25" customHeight="1">
      <c r="A4" s="1025"/>
      <c r="B4" s="1026"/>
      <c r="C4" s="1071" t="s">
        <v>3196</v>
      </c>
      <c r="D4" s="1027"/>
      <c r="E4" s="1028"/>
      <c r="F4" s="1028"/>
      <c r="G4" s="854"/>
      <c r="H4" s="854"/>
      <c r="I4" s="854"/>
      <c r="J4" s="1029"/>
    </row>
    <row r="5" spans="1:14" s="1037" customFormat="1" ht="21.75" customHeight="1">
      <c r="A5" s="1031"/>
      <c r="B5" s="1032"/>
      <c r="C5" s="1033"/>
      <c r="D5" s="1034"/>
      <c r="E5" s="1035"/>
      <c r="F5" s="1035"/>
      <c r="G5" s="893"/>
      <c r="H5" s="893"/>
      <c r="I5" s="893"/>
      <c r="J5" s="1036"/>
      <c r="K5" s="1015"/>
      <c r="L5" s="1016"/>
      <c r="M5" s="1017"/>
      <c r="N5" s="1017"/>
    </row>
    <row r="6" spans="1:14" s="1017" customFormat="1" ht="12.75">
      <c r="A6" s="1070"/>
      <c r="B6" s="1023" t="s">
        <v>3194</v>
      </c>
      <c r="C6" s="1024" t="s">
        <v>3197</v>
      </c>
      <c r="D6" s="1020"/>
      <c r="E6" s="1021"/>
      <c r="F6" s="1021"/>
      <c r="G6" s="891"/>
      <c r="H6" s="891"/>
      <c r="I6" s="891"/>
      <c r="J6" s="1022"/>
    </row>
    <row r="7" spans="1:14" s="1017" customFormat="1" ht="43.5" customHeight="1">
      <c r="A7" s="1038"/>
      <c r="B7" s="1032"/>
      <c r="C7" s="1039" t="s">
        <v>3198</v>
      </c>
      <c r="D7" s="1040"/>
      <c r="E7" s="1035"/>
      <c r="F7" s="1035"/>
      <c r="G7" s="891"/>
      <c r="H7" s="891"/>
      <c r="I7" s="891"/>
      <c r="J7" s="1041"/>
    </row>
    <row r="8" spans="1:14" s="1037" customFormat="1" ht="21.75" customHeight="1">
      <c r="A8" s="1031"/>
      <c r="B8" s="1032"/>
      <c r="C8" s="1033"/>
      <c r="D8" s="1034"/>
      <c r="E8" s="1035"/>
      <c r="F8" s="1035"/>
      <c r="G8" s="893"/>
      <c r="H8" s="893"/>
      <c r="I8" s="893"/>
      <c r="J8" s="1036"/>
      <c r="K8" s="1015"/>
      <c r="L8" s="1016"/>
      <c r="M8" s="1017"/>
      <c r="N8" s="1017"/>
    </row>
    <row r="9" spans="1:14" s="1017" customFormat="1" ht="12.75">
      <c r="A9" s="1042"/>
      <c r="B9" s="1023" t="s">
        <v>3194</v>
      </c>
      <c r="C9" s="1024" t="s">
        <v>3199</v>
      </c>
      <c r="D9" s="1043"/>
      <c r="E9" s="1021"/>
      <c r="F9" s="1021"/>
      <c r="G9" s="891"/>
      <c r="H9" s="891"/>
      <c r="I9" s="891"/>
      <c r="J9" s="1022"/>
      <c r="K9" s="1015"/>
      <c r="L9" s="1016"/>
    </row>
    <row r="10" spans="1:14" s="1037" customFormat="1" ht="57" customHeight="1">
      <c r="A10" s="1044"/>
      <c r="B10" s="1032"/>
      <c r="C10" s="1039" t="s">
        <v>3200</v>
      </c>
      <c r="D10" s="1045"/>
      <c r="E10" s="1035"/>
      <c r="F10" s="1035"/>
      <c r="G10" s="893"/>
      <c r="H10" s="893"/>
      <c r="I10" s="893"/>
      <c r="J10" s="894"/>
      <c r="K10" s="1015"/>
      <c r="L10" s="1016"/>
      <c r="M10" s="1017"/>
      <c r="N10" s="1017"/>
    </row>
    <row r="11" spans="1:14" s="1017" customFormat="1" ht="80.25" customHeight="1">
      <c r="A11" s="1042"/>
      <c r="B11" s="1046"/>
      <c r="C11" s="1039" t="s">
        <v>3201</v>
      </c>
      <c r="D11" s="1043"/>
      <c r="E11" s="1021"/>
      <c r="F11" s="1021"/>
      <c r="G11" s="891"/>
      <c r="H11" s="891"/>
      <c r="I11" s="891"/>
      <c r="J11" s="1022"/>
      <c r="K11" s="1015"/>
      <c r="L11" s="1016"/>
    </row>
    <row r="12" spans="1:14" s="1053" customFormat="1" ht="110.25" customHeight="1">
      <c r="A12" s="1047"/>
      <c r="B12" s="1048"/>
      <c r="C12" s="1039" t="s">
        <v>3202</v>
      </c>
      <c r="D12" s="1049"/>
      <c r="E12" s="1050"/>
      <c r="F12" s="1050"/>
      <c r="G12" s="1051"/>
      <c r="H12" s="1051"/>
      <c r="I12" s="1051"/>
      <c r="J12" s="1052"/>
      <c r="K12" s="1015"/>
      <c r="L12" s="1016"/>
      <c r="M12" s="1017"/>
      <c r="N12" s="1017"/>
    </row>
    <row r="13" spans="1:14" s="1017" customFormat="1" ht="33" customHeight="1">
      <c r="A13" s="1042"/>
      <c r="B13" s="1046"/>
      <c r="C13" s="1039" t="s">
        <v>3203</v>
      </c>
      <c r="D13" s="1043"/>
      <c r="E13" s="1021"/>
      <c r="F13" s="1021"/>
      <c r="G13" s="891"/>
      <c r="H13" s="891"/>
      <c r="I13" s="891"/>
      <c r="J13" s="1022"/>
      <c r="K13" s="1015"/>
      <c r="L13" s="1016"/>
    </row>
    <row r="14" spans="1:14" s="1017" customFormat="1" ht="26.25" customHeight="1">
      <c r="A14" s="1038"/>
      <c r="B14" s="1048"/>
      <c r="C14" s="1039" t="s">
        <v>3204</v>
      </c>
      <c r="D14" s="1054"/>
      <c r="E14" s="1050"/>
      <c r="F14" s="1050"/>
      <c r="G14" s="891"/>
      <c r="H14" s="891"/>
      <c r="I14" s="891"/>
      <c r="J14" s="1041"/>
      <c r="K14" s="1015"/>
      <c r="L14" s="1016"/>
    </row>
    <row r="15" spans="1:14" s="1053" customFormat="1" ht="21.75" customHeight="1">
      <c r="A15" s="1047"/>
      <c r="B15" s="1048"/>
      <c r="C15" s="1039" t="s">
        <v>3205</v>
      </c>
      <c r="D15" s="1054"/>
      <c r="E15" s="1050"/>
      <c r="F15" s="1050"/>
      <c r="G15" s="1051"/>
      <c r="H15" s="1051"/>
      <c r="I15" s="1051"/>
      <c r="J15" s="1052"/>
      <c r="K15" s="1015"/>
      <c r="L15" s="1016"/>
      <c r="M15" s="1017"/>
      <c r="N15" s="1017"/>
    </row>
    <row r="16" spans="1:14" s="1062" customFormat="1" ht="12.75">
      <c r="A16" s="1055"/>
      <c r="B16" s="1056"/>
      <c r="C16" s="1057"/>
      <c r="D16" s="1058"/>
      <c r="E16" s="1059"/>
      <c r="F16" s="1059"/>
      <c r="G16" s="1060"/>
      <c r="H16" s="1060"/>
      <c r="I16" s="1060"/>
      <c r="J16" s="1061"/>
      <c r="K16" s="1015"/>
      <c r="L16" s="1016"/>
      <c r="M16" s="1017"/>
      <c r="N16" s="1017"/>
    </row>
    <row r="17" spans="1:12" s="1017" customFormat="1" ht="13.5" thickBot="1">
      <c r="A17" s="1063"/>
      <c r="B17" s="1064"/>
      <c r="C17" s="1065"/>
      <c r="D17" s="1066"/>
      <c r="E17" s="1067"/>
      <c r="F17" s="1067"/>
      <c r="G17" s="1068"/>
      <c r="H17" s="1068"/>
      <c r="I17" s="1068"/>
      <c r="J17" s="1069"/>
      <c r="K17" s="1015"/>
      <c r="L17" s="1016"/>
    </row>
  </sheetData>
  <mergeCells count="1">
    <mergeCell ref="A1:A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dimension ref="B2:C59"/>
  <sheetViews>
    <sheetView workbookViewId="0">
      <selection activeCell="C18" sqref="C18"/>
    </sheetView>
  </sheetViews>
  <sheetFormatPr baseColWidth="10" defaultRowHeight="12.75"/>
  <sheetData>
    <row r="2" spans="2:3">
      <c r="B2">
        <f>(1.25-1.225)/8</f>
        <v>3.1249999999999889E-3</v>
      </c>
    </row>
    <row r="5" spans="2:3">
      <c r="C5">
        <f>1.25</f>
        <v>1.25</v>
      </c>
    </row>
    <row r="6" spans="2:3">
      <c r="C6">
        <f>C5-$B$2</f>
        <v>1.246875</v>
      </c>
    </row>
    <row r="7" spans="2:3">
      <c r="C7">
        <f>C6-$B$2</f>
        <v>1.2437499999999999</v>
      </c>
    </row>
    <row r="8" spans="2:3">
      <c r="C8">
        <f t="shared" ref="C8:C59" si="0">C7-$B$2</f>
        <v>1.2406249999999999</v>
      </c>
    </row>
    <row r="9" spans="2:3">
      <c r="C9">
        <f t="shared" si="0"/>
        <v>1.2374999999999998</v>
      </c>
    </row>
    <row r="10" spans="2:3">
      <c r="C10">
        <f t="shared" si="0"/>
        <v>1.2343749999999998</v>
      </c>
    </row>
    <row r="11" spans="2:3">
      <c r="C11">
        <f t="shared" si="0"/>
        <v>1.2312499999999997</v>
      </c>
    </row>
    <row r="12" spans="2:3">
      <c r="C12">
        <f t="shared" si="0"/>
        <v>1.2281249999999997</v>
      </c>
    </row>
    <row r="13" spans="2:3">
      <c r="C13">
        <f t="shared" si="0"/>
        <v>1.2249999999999996</v>
      </c>
    </row>
    <row r="14" spans="2:3">
      <c r="C14">
        <f t="shared" si="0"/>
        <v>1.2218749999999996</v>
      </c>
    </row>
    <row r="15" spans="2:3">
      <c r="C15">
        <f t="shared" si="0"/>
        <v>1.2187499999999996</v>
      </c>
    </row>
    <row r="16" spans="2:3">
      <c r="C16">
        <f t="shared" si="0"/>
        <v>1.2156249999999995</v>
      </c>
    </row>
    <row r="17" spans="3:3">
      <c r="C17">
        <f t="shared" si="0"/>
        <v>1.2124999999999995</v>
      </c>
    </row>
    <row r="18" spans="3:3">
      <c r="C18">
        <f t="shared" si="0"/>
        <v>1.2093749999999994</v>
      </c>
    </row>
    <row r="19" spans="3:3">
      <c r="C19">
        <f t="shared" si="0"/>
        <v>1.2062499999999994</v>
      </c>
    </row>
    <row r="20" spans="3:3">
      <c r="C20">
        <f t="shared" si="0"/>
        <v>1.2031249999999993</v>
      </c>
    </row>
    <row r="21" spans="3:3">
      <c r="C21" s="1159">
        <f t="shared" si="0"/>
        <v>1.1999999999999993</v>
      </c>
    </row>
    <row r="22" spans="3:3">
      <c r="C22">
        <f t="shared" si="0"/>
        <v>1.1968749999999992</v>
      </c>
    </row>
    <row r="23" spans="3:3">
      <c r="C23">
        <f t="shared" si="0"/>
        <v>1.1937499999999992</v>
      </c>
    </row>
    <row r="24" spans="3:3">
      <c r="C24">
        <f t="shared" si="0"/>
        <v>1.1906249999999992</v>
      </c>
    </row>
    <row r="25" spans="3:3">
      <c r="C25">
        <f t="shared" si="0"/>
        <v>1.1874999999999991</v>
      </c>
    </row>
    <row r="26" spans="3:3">
      <c r="C26">
        <f t="shared" si="0"/>
        <v>1.1843749999999991</v>
      </c>
    </row>
    <row r="27" spans="3:3">
      <c r="C27">
        <f t="shared" si="0"/>
        <v>1.181249999999999</v>
      </c>
    </row>
    <row r="28" spans="3:3">
      <c r="C28">
        <f t="shared" si="0"/>
        <v>1.178124999999999</v>
      </c>
    </row>
    <row r="29" spans="3:3">
      <c r="C29">
        <f t="shared" si="0"/>
        <v>1.1749999999999989</v>
      </c>
    </row>
    <row r="30" spans="3:3">
      <c r="C30">
        <f t="shared" si="0"/>
        <v>1.1718749999999989</v>
      </c>
    </row>
    <row r="31" spans="3:3">
      <c r="C31">
        <f t="shared" si="0"/>
        <v>1.1687499999999988</v>
      </c>
    </row>
    <row r="32" spans="3:3">
      <c r="C32">
        <f t="shared" si="0"/>
        <v>1.1656249999999988</v>
      </c>
    </row>
    <row r="33" spans="3:3">
      <c r="C33">
        <f t="shared" si="0"/>
        <v>1.1624999999999988</v>
      </c>
    </row>
    <row r="34" spans="3:3">
      <c r="C34">
        <f t="shared" si="0"/>
        <v>1.1593749999999987</v>
      </c>
    </row>
    <row r="35" spans="3:3">
      <c r="C35">
        <f t="shared" si="0"/>
        <v>1.1562499999999987</v>
      </c>
    </row>
    <row r="36" spans="3:3">
      <c r="C36">
        <f t="shared" si="0"/>
        <v>1.1531249999999986</v>
      </c>
    </row>
    <row r="37" spans="3:3">
      <c r="C37">
        <f t="shared" si="0"/>
        <v>1.1499999999999986</v>
      </c>
    </row>
    <row r="38" spans="3:3">
      <c r="C38">
        <f t="shared" si="0"/>
        <v>1.1468749999999985</v>
      </c>
    </row>
    <row r="39" spans="3:3">
      <c r="C39">
        <f t="shared" si="0"/>
        <v>1.1437499999999985</v>
      </c>
    </row>
    <row r="40" spans="3:3">
      <c r="C40">
        <f t="shared" si="0"/>
        <v>1.1406249999999984</v>
      </c>
    </row>
    <row r="41" spans="3:3">
      <c r="C41">
        <f t="shared" si="0"/>
        <v>1.1374999999999984</v>
      </c>
    </row>
    <row r="42" spans="3:3">
      <c r="C42">
        <f t="shared" si="0"/>
        <v>1.1343749999999984</v>
      </c>
    </row>
    <row r="43" spans="3:3">
      <c r="C43">
        <f t="shared" si="0"/>
        <v>1.1312499999999983</v>
      </c>
    </row>
    <row r="44" spans="3:3">
      <c r="C44">
        <f t="shared" si="0"/>
        <v>1.1281249999999983</v>
      </c>
    </row>
    <row r="45" spans="3:3">
      <c r="C45">
        <f t="shared" si="0"/>
        <v>1.1249999999999982</v>
      </c>
    </row>
    <row r="46" spans="3:3">
      <c r="C46">
        <f t="shared" si="0"/>
        <v>1.1218749999999982</v>
      </c>
    </row>
    <row r="47" spans="3:3">
      <c r="C47">
        <f t="shared" si="0"/>
        <v>1.1187499999999981</v>
      </c>
    </row>
    <row r="48" spans="3:3">
      <c r="C48">
        <f t="shared" si="0"/>
        <v>1.1156249999999981</v>
      </c>
    </row>
    <row r="49" spans="3:3">
      <c r="C49">
        <f t="shared" si="0"/>
        <v>1.112499999999998</v>
      </c>
    </row>
    <row r="50" spans="3:3">
      <c r="C50">
        <f t="shared" si="0"/>
        <v>1.109374999999998</v>
      </c>
    </row>
    <row r="51" spans="3:3">
      <c r="C51">
        <f t="shared" si="0"/>
        <v>1.106249999999998</v>
      </c>
    </row>
    <row r="52" spans="3:3">
      <c r="C52">
        <f t="shared" si="0"/>
        <v>1.1031249999999979</v>
      </c>
    </row>
    <row r="53" spans="3:3">
      <c r="C53" s="1159">
        <f t="shared" si="0"/>
        <v>1.0999999999999979</v>
      </c>
    </row>
    <row r="54" spans="3:3">
      <c r="C54">
        <f t="shared" si="0"/>
        <v>1.0968749999999978</v>
      </c>
    </row>
    <row r="55" spans="3:3">
      <c r="C55">
        <f t="shared" si="0"/>
        <v>1.0937499999999978</v>
      </c>
    </row>
    <row r="56" spans="3:3">
      <c r="C56">
        <f t="shared" si="0"/>
        <v>1.0906249999999977</v>
      </c>
    </row>
    <row r="57" spans="3:3">
      <c r="C57">
        <f t="shared" si="0"/>
        <v>1.0874999999999977</v>
      </c>
    </row>
    <row r="58" spans="3:3">
      <c r="C58">
        <f t="shared" si="0"/>
        <v>1.0843749999999976</v>
      </c>
    </row>
    <row r="59" spans="3:3">
      <c r="C59">
        <f t="shared" si="0"/>
        <v>1.0812499999999976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20"/>
  <dimension ref="A5:G18"/>
  <sheetViews>
    <sheetView workbookViewId="0">
      <selection activeCell="F20" sqref="F20"/>
    </sheetView>
  </sheetViews>
  <sheetFormatPr baseColWidth="10" defaultRowHeight="12.75"/>
  <cols>
    <col min="1" max="3" width="14.7109375" customWidth="1"/>
    <col min="4" max="4" width="2.42578125" customWidth="1"/>
  </cols>
  <sheetData>
    <row r="5" spans="1:7">
      <c r="A5" s="1401" t="s">
        <v>753</v>
      </c>
      <c r="B5" s="1401" t="s">
        <v>1835</v>
      </c>
      <c r="C5" s="1401" t="s">
        <v>1970</v>
      </c>
      <c r="D5" s="423"/>
      <c r="E5" s="2733" t="s">
        <v>4194</v>
      </c>
      <c r="F5" s="2734"/>
      <c r="G5" s="2734"/>
    </row>
    <row r="6" spans="1:7">
      <c r="A6" s="1402" t="s">
        <v>4186</v>
      </c>
      <c r="B6" s="1402" t="s">
        <v>4195</v>
      </c>
      <c r="C6" s="1403"/>
      <c r="D6" s="435"/>
      <c r="E6">
        <v>2482</v>
      </c>
      <c r="F6">
        <v>503</v>
      </c>
    </row>
    <row r="7" spans="1:7">
      <c r="A7" s="1402" t="s">
        <v>4187</v>
      </c>
      <c r="B7" s="1402" t="s">
        <v>4196</v>
      </c>
      <c r="C7" s="1403"/>
      <c r="D7" s="435"/>
      <c r="E7">
        <v>2079</v>
      </c>
      <c r="F7">
        <v>646</v>
      </c>
    </row>
    <row r="8" spans="1:7">
      <c r="A8" s="1402" t="s">
        <v>4190</v>
      </c>
      <c r="B8" s="1402" t="s">
        <v>4191</v>
      </c>
      <c r="C8" s="1403"/>
      <c r="D8" s="435"/>
      <c r="E8">
        <v>3156</v>
      </c>
      <c r="F8">
        <v>780</v>
      </c>
    </row>
    <row r="9" spans="1:7">
      <c r="A9" s="1402" t="s">
        <v>4192</v>
      </c>
      <c r="B9" s="1402" t="s">
        <v>4193</v>
      </c>
      <c r="C9" s="1403"/>
      <c r="D9" s="435"/>
      <c r="E9">
        <v>2224</v>
      </c>
      <c r="F9">
        <v>730</v>
      </c>
    </row>
    <row r="10" spans="1:7">
      <c r="A10" s="1402" t="s">
        <v>4198</v>
      </c>
      <c r="B10" s="1403" t="s">
        <v>270</v>
      </c>
      <c r="C10" s="1403"/>
      <c r="D10" s="435"/>
      <c r="E10">
        <v>2259</v>
      </c>
      <c r="F10">
        <v>766</v>
      </c>
    </row>
    <row r="11" spans="1:7">
      <c r="A11" s="1402" t="s">
        <v>4197</v>
      </c>
      <c r="B11" s="1403" t="s">
        <v>273</v>
      </c>
      <c r="C11" s="1403"/>
      <c r="D11" s="435"/>
      <c r="E11">
        <v>2265</v>
      </c>
      <c r="F11">
        <v>772</v>
      </c>
    </row>
    <row r="13" spans="1:7">
      <c r="E13" s="1404"/>
      <c r="F13" s="1405"/>
      <c r="G13" s="1405"/>
    </row>
    <row r="14" spans="1:7">
      <c r="A14" s="1401" t="s">
        <v>1835</v>
      </c>
      <c r="B14" s="1401" t="s">
        <v>753</v>
      </c>
      <c r="C14" s="1401" t="s">
        <v>1970</v>
      </c>
      <c r="D14" s="423"/>
      <c r="E14" s="2733" t="s">
        <v>4194</v>
      </c>
      <c r="F14" s="2734"/>
      <c r="G14" s="2734"/>
    </row>
    <row r="15" spans="1:7">
      <c r="A15" s="1402" t="s">
        <v>4189</v>
      </c>
      <c r="B15" s="1402" t="s">
        <v>4186</v>
      </c>
      <c r="C15" s="1403"/>
      <c r="D15" s="435"/>
    </row>
    <row r="16" spans="1:7">
      <c r="A16" s="1402" t="s">
        <v>4188</v>
      </c>
      <c r="B16" s="1402" t="s">
        <v>4187</v>
      </c>
      <c r="C16" s="1403"/>
      <c r="D16" s="435"/>
    </row>
    <row r="17" spans="1:4">
      <c r="A17" s="1402" t="s">
        <v>4191</v>
      </c>
      <c r="B17" s="1402" t="s">
        <v>4190</v>
      </c>
      <c r="C17" s="1403"/>
      <c r="D17" s="435"/>
    </row>
    <row r="18" spans="1:4">
      <c r="A18" s="1402" t="s">
        <v>4193</v>
      </c>
      <c r="B18" s="1402" t="s">
        <v>4192</v>
      </c>
      <c r="C18" s="1403"/>
      <c r="D18" s="435"/>
    </row>
  </sheetData>
  <mergeCells count="2">
    <mergeCell ref="E5:G5"/>
    <mergeCell ref="E14:G1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38"/>
  <dimension ref="A1:G14772"/>
  <sheetViews>
    <sheetView zoomScale="85" zoomScaleNormal="85" workbookViewId="0">
      <selection activeCell="A33" sqref="A33:XFD643"/>
    </sheetView>
  </sheetViews>
  <sheetFormatPr baseColWidth="10" defaultRowHeight="12.75"/>
  <cols>
    <col min="1" max="1" width="20.7109375" customWidth="1"/>
    <col min="2" max="2" width="5.28515625" style="344" customWidth="1"/>
    <col min="3" max="3" width="82.7109375" style="344" customWidth="1"/>
    <col min="4" max="4" width="15.28515625" style="344" customWidth="1"/>
    <col min="5" max="5" width="5.28515625" customWidth="1"/>
    <col min="6" max="6" width="18.7109375" customWidth="1"/>
    <col min="7" max="7" width="11.7109375" style="106" customWidth="1"/>
    <col min="8" max="12" width="11.7109375" customWidth="1"/>
  </cols>
  <sheetData>
    <row r="1" spans="1:7" ht="14.1" customHeight="1">
      <c r="E1" s="106"/>
      <c r="F1" s="106"/>
    </row>
    <row r="2" spans="1:7" ht="14.1" customHeight="1">
      <c r="A2" s="1475" t="s">
        <v>4284</v>
      </c>
      <c r="B2" s="1476"/>
      <c r="D2" s="1475" t="s">
        <v>4292</v>
      </c>
      <c r="E2" s="1476"/>
      <c r="F2" s="106"/>
    </row>
    <row r="3" spans="1:7" ht="14.1" customHeight="1">
      <c r="E3" s="106"/>
      <c r="F3" s="106"/>
    </row>
    <row r="4" spans="1:7" ht="14.1" customHeight="1">
      <c r="E4" s="106"/>
      <c r="F4" s="106"/>
    </row>
    <row r="5" spans="1:7" ht="14.1" customHeight="1">
      <c r="E5" s="106"/>
      <c r="F5" s="106"/>
    </row>
    <row r="6" spans="1:7" ht="14.1" customHeight="1">
      <c r="A6" s="1475" t="s">
        <v>4285</v>
      </c>
      <c r="B6" s="1476"/>
      <c r="D6" s="1475" t="s">
        <v>4323</v>
      </c>
      <c r="E6" s="1476"/>
      <c r="F6" s="106"/>
    </row>
    <row r="7" spans="1:7" ht="14.1" customHeight="1">
      <c r="E7" s="106"/>
      <c r="F7" s="106"/>
    </row>
    <row r="8" spans="1:7" ht="14.1" customHeight="1">
      <c r="E8" s="106"/>
      <c r="F8" s="106"/>
    </row>
    <row r="9" spans="1:7" ht="14.1" customHeight="1">
      <c r="A9" s="106"/>
      <c r="E9" s="106"/>
      <c r="F9" s="106"/>
    </row>
    <row r="10" spans="1:7" ht="14.1" customHeight="1">
      <c r="A10" s="106"/>
      <c r="E10" s="106"/>
      <c r="F10" s="106"/>
    </row>
    <row r="11" spans="1:7" s="1463" customFormat="1" ht="20.100000000000001" customHeight="1">
      <c r="A11" s="1477" t="s">
        <v>3310</v>
      </c>
      <c r="B11" s="1477"/>
      <c r="C11" s="1477"/>
      <c r="D11" s="1477" t="s">
        <v>4269</v>
      </c>
      <c r="E11" s="1477"/>
      <c r="F11" s="1477"/>
      <c r="G11" s="1478"/>
    </row>
    <row r="12" spans="1:7" ht="14.1" customHeight="1">
      <c r="A12" s="106"/>
      <c r="E12" s="106"/>
      <c r="F12" s="106"/>
    </row>
    <row r="13" spans="1:7" ht="14.1" customHeight="1">
      <c r="A13" s="1455" t="s">
        <v>4281</v>
      </c>
      <c r="B13" s="1454"/>
      <c r="D13" s="1455" t="s">
        <v>4287</v>
      </c>
      <c r="E13" s="1454"/>
    </row>
    <row r="14" spans="1:7" ht="14.1" customHeight="1">
      <c r="E14" s="106"/>
      <c r="F14" s="106"/>
    </row>
    <row r="15" spans="1:7" ht="14.1" customHeight="1">
      <c r="E15" s="106"/>
      <c r="F15" s="106"/>
    </row>
    <row r="16" spans="1:7" ht="14.1" customHeight="1">
      <c r="E16" s="106"/>
      <c r="F16" s="106"/>
    </row>
    <row r="17" spans="1:6" ht="14.1" customHeight="1">
      <c r="A17" s="1456" t="s">
        <v>4282</v>
      </c>
      <c r="B17" s="1450"/>
      <c r="D17" s="1456" t="s">
        <v>4282</v>
      </c>
      <c r="E17" s="1450"/>
    </row>
    <row r="18" spans="1:6" ht="14.1" customHeight="1">
      <c r="E18" s="106"/>
      <c r="F18" s="106"/>
    </row>
    <row r="19" spans="1:6" ht="14.1" customHeight="1">
      <c r="E19" s="106"/>
      <c r="F19" s="106"/>
    </row>
    <row r="20" spans="1:6" ht="14.1" customHeight="1">
      <c r="E20" s="106"/>
      <c r="F20" s="106"/>
    </row>
    <row r="21" spans="1:6" ht="14.1" customHeight="1">
      <c r="A21" s="1456" t="s">
        <v>4283</v>
      </c>
      <c r="B21" s="1457"/>
      <c r="D21" s="1456" t="s">
        <v>4283</v>
      </c>
      <c r="E21" s="1457"/>
    </row>
    <row r="22" spans="1:6" ht="14.1" customHeight="1">
      <c r="E22" s="106"/>
      <c r="F22" s="106"/>
    </row>
    <row r="23" spans="1:6" ht="14.1" customHeight="1">
      <c r="E23" s="106"/>
      <c r="F23" s="106"/>
    </row>
    <row r="24" spans="1:6" ht="14.1" customHeight="1">
      <c r="E24" s="106"/>
      <c r="F24" s="106"/>
    </row>
    <row r="25" spans="1:6" ht="14.1" customHeight="1">
      <c r="A25" s="1456" t="s">
        <v>4286</v>
      </c>
      <c r="B25" s="1457"/>
      <c r="D25" s="1456" t="s">
        <v>4286</v>
      </c>
      <c r="E25" s="1457"/>
    </row>
    <row r="26" spans="1:6" ht="14.1" customHeight="1">
      <c r="E26" s="106"/>
      <c r="F26" s="106"/>
    </row>
    <row r="27" spans="1:6" ht="14.1" customHeight="1">
      <c r="E27" s="106"/>
      <c r="F27" s="106"/>
    </row>
    <row r="28" spans="1:6" ht="14.1" customHeight="1">
      <c r="E28" s="106"/>
      <c r="F28" s="106"/>
    </row>
    <row r="29" spans="1:6" ht="14.1" customHeight="1">
      <c r="A29" s="106"/>
      <c r="E29" s="106"/>
      <c r="F29" s="106"/>
    </row>
    <row r="30" spans="1:6" ht="14.1" customHeight="1">
      <c r="A30" s="106"/>
      <c r="B30" s="106"/>
      <c r="C30" s="106"/>
      <c r="D30" s="106"/>
      <c r="E30" s="106"/>
      <c r="F30" s="106"/>
    </row>
    <row r="31" spans="1:6" ht="14.1" customHeight="1">
      <c r="A31" s="106"/>
      <c r="B31" s="106"/>
      <c r="C31" s="106"/>
      <c r="D31" s="106"/>
      <c r="E31" s="106"/>
      <c r="F31" s="106"/>
    </row>
    <row r="32" spans="1:6" ht="14.1" customHeight="1" thickBot="1">
      <c r="A32" s="106"/>
      <c r="B32" s="106"/>
      <c r="C32" s="106"/>
      <c r="D32" s="106"/>
      <c r="E32" s="106"/>
      <c r="F32" s="106"/>
    </row>
    <row r="33" spans="1:7" ht="14.45" customHeight="1" thickBot="1">
      <c r="A33" s="1988">
        <v>1</v>
      </c>
      <c r="B33" s="1977">
        <v>1</v>
      </c>
      <c r="C33" s="1595" t="s">
        <v>14157</v>
      </c>
      <c r="D33" s="1989">
        <v>14858</v>
      </c>
      <c r="E33" s="1398"/>
      <c r="F33" s="1398">
        <v>14858</v>
      </c>
      <c r="G33"/>
    </row>
    <row r="34" spans="1:7" ht="14.45" customHeight="1">
      <c r="A34" s="852" t="s">
        <v>3310</v>
      </c>
      <c r="B34" s="1978"/>
      <c r="C34" s="1922"/>
      <c r="D34" s="1990"/>
      <c r="E34" s="1399"/>
      <c r="F34" s="1399"/>
      <c r="G34"/>
    </row>
    <row r="35" spans="1:7" ht="14.45" customHeight="1">
      <c r="A35" s="856" t="s">
        <v>4059</v>
      </c>
      <c r="B35" s="1979"/>
      <c r="C35" s="1441" t="s">
        <v>3301</v>
      </c>
      <c r="D35" s="1990"/>
      <c r="E35" s="1399"/>
      <c r="F35" s="1399"/>
      <c r="G35"/>
    </row>
    <row r="36" spans="1:7" ht="14.45" customHeight="1">
      <c r="A36" s="856" t="s">
        <v>4321</v>
      </c>
      <c r="B36" s="1553">
        <v>1</v>
      </c>
      <c r="C36" s="1442" t="s">
        <v>4726</v>
      </c>
      <c r="D36" s="1990"/>
      <c r="E36" s="906"/>
      <c r="F36" s="906"/>
      <c r="G36"/>
    </row>
    <row r="37" spans="1:7" ht="14.45" customHeight="1">
      <c r="A37" s="856" t="s">
        <v>3725</v>
      </c>
      <c r="B37" s="2517"/>
      <c r="C37" s="1698"/>
      <c r="D37" s="1997"/>
      <c r="E37" s="2518"/>
      <c r="F37" s="2518"/>
      <c r="G37"/>
    </row>
    <row r="38" spans="1:7" ht="14.45" customHeight="1">
      <c r="A38" s="856" t="s">
        <v>3726</v>
      </c>
      <c r="B38" s="1553"/>
      <c r="C38" s="1980" t="s">
        <v>9489</v>
      </c>
      <c r="D38" s="1990"/>
      <c r="E38" s="906"/>
      <c r="F38" s="906"/>
      <c r="G38"/>
    </row>
    <row r="39" spans="1:7" ht="14.45" customHeight="1">
      <c r="A39" s="865"/>
      <c r="B39" s="1563">
        <v>1</v>
      </c>
      <c r="C39" s="1571" t="s">
        <v>6230</v>
      </c>
      <c r="D39" s="2529"/>
      <c r="E39" s="906"/>
      <c r="F39" s="906"/>
      <c r="G39"/>
    </row>
    <row r="40" spans="1:7" ht="14.45" customHeight="1">
      <c r="A40" s="864"/>
      <c r="B40" s="1440">
        <v>1</v>
      </c>
      <c r="C40" s="1697" t="s">
        <v>3536</v>
      </c>
      <c r="D40" s="2530"/>
      <c r="E40" s="1400"/>
      <c r="F40" s="1400"/>
      <c r="G40"/>
    </row>
    <row r="41" spans="1:7" ht="14.45" customHeight="1">
      <c r="A41" s="856"/>
      <c r="B41" s="1437">
        <v>1</v>
      </c>
      <c r="C41" s="1572" t="s">
        <v>2332</v>
      </c>
      <c r="D41" s="2529"/>
      <c r="E41" s="1399"/>
      <c r="F41" s="1399"/>
      <c r="G41"/>
    </row>
    <row r="42" spans="1:7" ht="14.45" customHeight="1">
      <c r="A42" s="856"/>
      <c r="B42" s="1437">
        <v>1</v>
      </c>
      <c r="C42" s="1572" t="s">
        <v>7097</v>
      </c>
      <c r="D42" s="2529"/>
      <c r="E42" s="1399"/>
      <c r="F42" s="1399"/>
      <c r="G42"/>
    </row>
    <row r="43" spans="1:7" ht="14.45" customHeight="1">
      <c r="A43" s="856"/>
      <c r="B43" s="1437">
        <v>1</v>
      </c>
      <c r="C43" s="1572" t="s">
        <v>14158</v>
      </c>
      <c r="D43" s="2529"/>
      <c r="E43" s="1399"/>
      <c r="F43" s="1399"/>
      <c r="G43"/>
    </row>
    <row r="44" spans="1:7" ht="14.45" customHeight="1">
      <c r="A44" s="856"/>
      <c r="B44" s="1437">
        <v>1</v>
      </c>
      <c r="C44" s="1572" t="s">
        <v>14159</v>
      </c>
      <c r="D44" s="2529"/>
      <c r="E44" s="1399"/>
      <c r="F44" s="1399"/>
      <c r="G44"/>
    </row>
    <row r="45" spans="1:7" ht="14.45" customHeight="1">
      <c r="A45" s="856"/>
      <c r="B45" s="1437">
        <v>1</v>
      </c>
      <c r="C45" s="1572" t="s">
        <v>1878</v>
      </c>
      <c r="D45" s="2529"/>
      <c r="E45" s="1399"/>
      <c r="F45" s="1399"/>
      <c r="G45"/>
    </row>
    <row r="46" spans="1:7" ht="14.45" customHeight="1">
      <c r="A46" s="856"/>
      <c r="B46" s="1437">
        <v>1</v>
      </c>
      <c r="C46" s="1572" t="s">
        <v>11253</v>
      </c>
      <c r="D46" s="2529"/>
      <c r="E46" s="1399"/>
      <c r="F46" s="1399"/>
      <c r="G46"/>
    </row>
    <row r="47" spans="1:7" ht="14.45" customHeight="1">
      <c r="A47" s="856"/>
      <c r="B47" s="1437">
        <v>2</v>
      </c>
      <c r="C47" s="1572" t="s">
        <v>8453</v>
      </c>
      <c r="D47" s="2529"/>
      <c r="E47" s="1399"/>
      <c r="F47" s="1399"/>
      <c r="G47"/>
    </row>
    <row r="48" spans="1:7" ht="14.45" customHeight="1">
      <c r="A48" s="1447"/>
      <c r="B48" s="1440">
        <v>1</v>
      </c>
      <c r="C48" s="1697" t="s">
        <v>3537</v>
      </c>
      <c r="D48" s="2530"/>
      <c r="E48" s="1400"/>
      <c r="F48" s="1400"/>
      <c r="G48"/>
    </row>
    <row r="49" spans="1:7" ht="14.45" customHeight="1">
      <c r="A49" s="856"/>
      <c r="B49" s="1553"/>
      <c r="C49" s="1980" t="s">
        <v>9489</v>
      </c>
      <c r="D49" s="1990"/>
      <c r="E49" s="906"/>
      <c r="F49" s="906"/>
      <c r="G49"/>
    </row>
    <row r="50" spans="1:7" ht="14.45" customHeight="1">
      <c r="A50" s="1123"/>
      <c r="B50" s="1553"/>
      <c r="C50" s="1571" t="s">
        <v>3535</v>
      </c>
      <c r="D50" s="1990"/>
      <c r="E50" s="906"/>
      <c r="F50" s="906"/>
      <c r="G50"/>
    </row>
    <row r="51" spans="1:7" ht="14.45" customHeight="1">
      <c r="A51" s="863"/>
      <c r="B51" s="1553">
        <v>1</v>
      </c>
      <c r="C51" s="1442" t="s">
        <v>4726</v>
      </c>
      <c r="D51" s="1990"/>
      <c r="E51" s="906"/>
      <c r="F51" s="906"/>
      <c r="G51"/>
    </row>
    <row r="52" spans="1:7" ht="14.45" customHeight="1">
      <c r="A52" s="1124"/>
      <c r="B52" s="1553">
        <v>6</v>
      </c>
      <c r="C52" s="1442" t="s">
        <v>4989</v>
      </c>
      <c r="D52" s="1990"/>
      <c r="E52" s="906"/>
      <c r="F52" s="906"/>
      <c r="G52"/>
    </row>
    <row r="53" spans="1:7" ht="14.45" customHeight="1">
      <c r="A53" s="865"/>
      <c r="B53" s="1553">
        <v>2</v>
      </c>
      <c r="C53" s="1439" t="s">
        <v>9490</v>
      </c>
      <c r="D53" s="1990"/>
      <c r="E53" s="906"/>
      <c r="F53" s="906"/>
      <c r="G53"/>
    </row>
    <row r="54" spans="1:7" ht="14.45" customHeight="1">
      <c r="A54" s="863"/>
      <c r="B54" s="1435"/>
      <c r="C54" s="1442" t="s">
        <v>729</v>
      </c>
      <c r="D54" s="1461"/>
      <c r="E54" s="906"/>
      <c r="F54" s="906"/>
      <c r="G54"/>
    </row>
    <row r="55" spans="1:7" ht="14.45" customHeight="1">
      <c r="A55" s="856"/>
      <c r="B55" s="1438">
        <v>1</v>
      </c>
      <c r="C55" s="1443" t="s">
        <v>5370</v>
      </c>
      <c r="D55" s="1462"/>
      <c r="E55" s="1400"/>
      <c r="F55" s="1400"/>
      <c r="G55"/>
    </row>
    <row r="56" spans="1:7" ht="14.45" customHeight="1">
      <c r="A56" s="1447"/>
      <c r="B56" s="1438">
        <v>1</v>
      </c>
      <c r="C56" s="1443" t="s">
        <v>3591</v>
      </c>
      <c r="D56" s="1462"/>
      <c r="E56" s="1400"/>
      <c r="F56" s="1400"/>
      <c r="G56"/>
    </row>
    <row r="57" spans="1:7" ht="14.45" customHeight="1">
      <c r="A57" s="1447"/>
      <c r="B57" s="1435"/>
      <c r="C57" s="1442" t="s">
        <v>729</v>
      </c>
      <c r="D57" s="1461"/>
      <c r="E57" s="906"/>
      <c r="F57" s="906"/>
      <c r="G57"/>
    </row>
    <row r="58" spans="1:7" ht="14.45" customHeight="1">
      <c r="A58" s="856"/>
      <c r="B58" s="1436">
        <v>1</v>
      </c>
      <c r="C58" s="1441" t="s">
        <v>9491</v>
      </c>
      <c r="D58" s="1461"/>
      <c r="E58" s="1399"/>
      <c r="F58" s="1399"/>
      <c r="G58"/>
    </row>
    <row r="59" spans="1:7" ht="14.45" customHeight="1">
      <c r="A59" s="856"/>
      <c r="B59" s="1435">
        <v>1</v>
      </c>
      <c r="C59" s="1433" t="s">
        <v>8319</v>
      </c>
      <c r="D59" s="1461"/>
      <c r="E59" s="906"/>
      <c r="F59" s="906"/>
      <c r="G59"/>
    </row>
    <row r="60" spans="1:7" ht="14.45" customHeight="1">
      <c r="A60" s="1889"/>
      <c r="B60" s="1435">
        <v>3</v>
      </c>
      <c r="C60" s="1433" t="s">
        <v>428</v>
      </c>
      <c r="D60" s="1461"/>
      <c r="E60" s="906"/>
      <c r="F60" s="906"/>
      <c r="G60"/>
    </row>
    <row r="61" spans="1:7" ht="14.45" customHeight="1">
      <c r="A61" s="1447"/>
      <c r="B61" s="1438">
        <v>1</v>
      </c>
      <c r="C61" s="1445" t="s">
        <v>3302</v>
      </c>
      <c r="D61" s="1462"/>
      <c r="E61" s="1400"/>
      <c r="F61" s="1400"/>
      <c r="G61"/>
    </row>
    <row r="62" spans="1:7" ht="14.45" customHeight="1">
      <c r="A62" s="1447"/>
      <c r="B62" s="1438">
        <v>1</v>
      </c>
      <c r="C62" s="1445" t="s">
        <v>3303</v>
      </c>
      <c r="D62" s="1462"/>
      <c r="E62" s="1400"/>
      <c r="F62" s="1400"/>
      <c r="G62"/>
    </row>
    <row r="63" spans="1:7" ht="14.45" customHeight="1">
      <c r="A63" s="856"/>
      <c r="B63" s="1553"/>
      <c r="C63" s="1439" t="s">
        <v>729</v>
      </c>
      <c r="D63" s="1990"/>
      <c r="E63" s="906"/>
      <c r="F63" s="906"/>
      <c r="G63"/>
    </row>
    <row r="64" spans="1:7" ht="14.45" customHeight="1">
      <c r="A64" s="1889"/>
      <c r="B64" s="1434"/>
      <c r="C64" s="1570"/>
      <c r="D64" s="1579"/>
      <c r="E64" s="1560"/>
      <c r="F64" s="1560"/>
      <c r="G64"/>
    </row>
    <row r="65" spans="1:7" ht="14.45" customHeight="1">
      <c r="A65" s="856"/>
      <c r="B65" s="1435"/>
      <c r="C65" s="1442" t="s">
        <v>729</v>
      </c>
      <c r="D65" s="1461"/>
      <c r="E65" s="906"/>
      <c r="F65" s="906"/>
      <c r="G65"/>
    </row>
    <row r="66" spans="1:7" ht="14.45" customHeight="1">
      <c r="A66" s="1446"/>
      <c r="B66" s="1436">
        <v>1</v>
      </c>
      <c r="C66" s="1441" t="s">
        <v>4044</v>
      </c>
      <c r="D66" s="1990"/>
      <c r="E66" s="1399"/>
      <c r="F66" s="1399"/>
      <c r="G66"/>
    </row>
    <row r="67" spans="1:7" ht="14.45" customHeight="1">
      <c r="A67" s="856"/>
      <c r="B67" s="1437">
        <v>3</v>
      </c>
      <c r="C67" s="1433" t="s">
        <v>14160</v>
      </c>
      <c r="D67" s="1990"/>
      <c r="E67" s="906"/>
      <c r="F67" s="906"/>
      <c r="G67"/>
    </row>
    <row r="68" spans="1:7" ht="14.45" customHeight="1">
      <c r="A68" s="1447"/>
      <c r="B68" s="1440">
        <v>1</v>
      </c>
      <c r="C68" s="1445" t="s">
        <v>9497</v>
      </c>
      <c r="D68" s="1991"/>
      <c r="E68" s="1400"/>
      <c r="F68" s="1400"/>
      <c r="G68"/>
    </row>
    <row r="69" spans="1:7" ht="14.45" customHeight="1">
      <c r="A69" s="856"/>
      <c r="B69" s="1553"/>
      <c r="C69" s="1439" t="s">
        <v>729</v>
      </c>
      <c r="D69" s="1990"/>
      <c r="E69" s="906"/>
      <c r="F69" s="906"/>
      <c r="G69"/>
    </row>
    <row r="70" spans="1:7" ht="14.45" customHeight="1">
      <c r="A70" s="856"/>
      <c r="B70" s="1553">
        <v>1</v>
      </c>
      <c r="C70" s="1439" t="s">
        <v>9498</v>
      </c>
      <c r="D70" s="1992"/>
      <c r="E70" s="906"/>
      <c r="F70" s="906"/>
      <c r="G70"/>
    </row>
    <row r="71" spans="1:7" ht="14.45" customHeight="1">
      <c r="A71" s="856"/>
      <c r="B71" s="1553"/>
      <c r="C71" s="1439" t="s">
        <v>729</v>
      </c>
      <c r="D71" s="1990"/>
      <c r="E71" s="906"/>
      <c r="F71" s="906"/>
      <c r="G71"/>
    </row>
    <row r="72" spans="1:7" ht="14.45" customHeight="1" thickBot="1">
      <c r="A72" s="871"/>
      <c r="B72" s="1565"/>
      <c r="C72" s="1573"/>
      <c r="D72" s="1993"/>
      <c r="E72" s="1566"/>
      <c r="F72" s="1566"/>
      <c r="G72"/>
    </row>
    <row r="73" spans="1:7" ht="14.45" customHeight="1" thickBot="1">
      <c r="A73" s="1924">
        <v>2</v>
      </c>
      <c r="B73" s="1982">
        <v>1</v>
      </c>
      <c r="C73" s="1595" t="s">
        <v>14162</v>
      </c>
      <c r="D73" s="1994">
        <v>18196</v>
      </c>
      <c r="E73" s="1398"/>
      <c r="F73" s="1398">
        <v>18196</v>
      </c>
      <c r="G73"/>
    </row>
    <row r="74" spans="1:7" ht="14.45" customHeight="1">
      <c r="A74" s="852" t="s">
        <v>3207</v>
      </c>
      <c r="B74" s="1434"/>
      <c r="C74" s="1459"/>
      <c r="D74" s="1990"/>
      <c r="E74" s="1399"/>
      <c r="F74" s="1399"/>
      <c r="G74"/>
    </row>
    <row r="75" spans="1:7" ht="14.45" customHeight="1">
      <c r="A75" s="856" t="s">
        <v>4059</v>
      </c>
      <c r="B75" s="1437"/>
      <c r="C75" s="1572" t="s">
        <v>729</v>
      </c>
      <c r="D75" s="1461"/>
      <c r="E75" s="1399"/>
      <c r="F75" s="1399"/>
      <c r="G75"/>
    </row>
    <row r="76" spans="1:7" ht="14.45" customHeight="1">
      <c r="A76" s="856" t="s">
        <v>4321</v>
      </c>
      <c r="B76" s="1435"/>
      <c r="C76" s="1441" t="s">
        <v>9492</v>
      </c>
      <c r="D76" s="1579"/>
      <c r="E76" s="1561"/>
      <c r="F76" s="1561"/>
      <c r="G76"/>
    </row>
    <row r="77" spans="1:7" ht="14.45" customHeight="1">
      <c r="A77" s="856" t="s">
        <v>3725</v>
      </c>
      <c r="B77" s="1434"/>
      <c r="C77" s="1574"/>
      <c r="D77" s="1461"/>
      <c r="E77" s="1399"/>
      <c r="F77" s="1399"/>
      <c r="G77"/>
    </row>
    <row r="78" spans="1:7" ht="14.45" customHeight="1">
      <c r="A78" s="856" t="s">
        <v>3726</v>
      </c>
      <c r="B78" s="1434"/>
      <c r="C78" s="1443" t="s">
        <v>14286</v>
      </c>
      <c r="D78" s="1461"/>
      <c r="E78" s="1399"/>
      <c r="F78" s="1399"/>
      <c r="G78"/>
    </row>
    <row r="79" spans="1:7" ht="14.45" customHeight="1">
      <c r="A79" s="865"/>
      <c r="B79" s="1434"/>
      <c r="C79" s="1443" t="s">
        <v>3601</v>
      </c>
      <c r="D79" s="1461"/>
      <c r="E79" s="1399"/>
      <c r="F79" s="1399"/>
      <c r="G79"/>
    </row>
    <row r="80" spans="1:7" ht="14.45" customHeight="1">
      <c r="A80" s="864"/>
      <c r="B80" s="1434"/>
      <c r="C80" s="1574"/>
      <c r="D80" s="1461"/>
      <c r="E80" s="1399"/>
      <c r="F80" s="1399"/>
      <c r="G80"/>
    </row>
    <row r="81" spans="1:7" ht="14.45" customHeight="1">
      <c r="A81" s="865"/>
      <c r="B81" s="1434"/>
      <c r="C81" s="1443" t="s">
        <v>3602</v>
      </c>
      <c r="D81" s="1579"/>
      <c r="E81" s="1560"/>
      <c r="F81" s="1560"/>
      <c r="G81"/>
    </row>
    <row r="82" spans="1:7" ht="14.45" customHeight="1">
      <c r="A82" s="1123"/>
      <c r="B82" s="1567"/>
      <c r="C82" s="1575"/>
      <c r="D82" s="1579"/>
      <c r="E82" s="1561"/>
      <c r="F82" s="1561"/>
      <c r="G82"/>
    </row>
    <row r="83" spans="1:7" ht="14.45" customHeight="1">
      <c r="A83" s="865"/>
      <c r="B83" s="1981">
        <v>1</v>
      </c>
      <c r="C83" s="1445" t="s">
        <v>4068</v>
      </c>
      <c r="D83" s="1579"/>
      <c r="E83" s="1561"/>
      <c r="F83" s="1561"/>
      <c r="G83"/>
    </row>
    <row r="84" spans="1:7" ht="14.45" customHeight="1">
      <c r="A84" s="1142"/>
      <c r="B84" s="1434"/>
      <c r="C84" s="1445" t="s">
        <v>3603</v>
      </c>
      <c r="D84" s="1579"/>
      <c r="E84" s="1561"/>
      <c r="F84" s="1561"/>
      <c r="G84"/>
    </row>
    <row r="85" spans="1:7" ht="14.45" customHeight="1">
      <c r="A85" s="1142"/>
      <c r="B85" s="1434"/>
      <c r="C85" s="1576" t="s">
        <v>3492</v>
      </c>
      <c r="D85" s="1579"/>
      <c r="E85" s="1560"/>
      <c r="F85" s="1560"/>
      <c r="G85"/>
    </row>
    <row r="86" spans="1:7" ht="14.45" customHeight="1">
      <c r="A86" s="865"/>
      <c r="B86" s="1434"/>
      <c r="C86" s="1575"/>
      <c r="D86" s="1579"/>
      <c r="E86" s="1560"/>
      <c r="F86" s="1560"/>
      <c r="G86"/>
    </row>
    <row r="87" spans="1:7" ht="14.45" customHeight="1">
      <c r="A87" s="865"/>
      <c r="B87" s="1981">
        <v>2</v>
      </c>
      <c r="C87" s="1445" t="s">
        <v>10140</v>
      </c>
      <c r="D87" s="1579"/>
      <c r="E87" s="1561"/>
      <c r="F87" s="1561"/>
      <c r="G87"/>
    </row>
    <row r="88" spans="1:7" ht="14.45" customHeight="1">
      <c r="A88" s="865"/>
      <c r="B88" s="1434"/>
      <c r="C88" s="1445" t="s">
        <v>3603</v>
      </c>
      <c r="D88" s="1579"/>
      <c r="E88" s="1561"/>
      <c r="F88" s="1561"/>
      <c r="G88"/>
    </row>
    <row r="89" spans="1:7" ht="14.45" customHeight="1">
      <c r="A89" s="1142"/>
      <c r="B89" s="1434"/>
      <c r="C89" s="1576" t="s">
        <v>4726</v>
      </c>
      <c r="D89" s="1579"/>
      <c r="E89" s="1560"/>
      <c r="F89" s="1560"/>
      <c r="G89"/>
    </row>
    <row r="90" spans="1:7" ht="14.45" customHeight="1">
      <c r="A90" s="1169"/>
      <c r="B90" s="1434"/>
      <c r="C90" s="1575"/>
      <c r="D90" s="1579"/>
      <c r="E90" s="1560"/>
      <c r="F90" s="1560"/>
      <c r="G90"/>
    </row>
    <row r="91" spans="1:7" ht="14.45" customHeight="1">
      <c r="A91" s="865"/>
      <c r="B91" s="1434"/>
      <c r="C91" s="1555" t="s">
        <v>9493</v>
      </c>
      <c r="D91" s="1461"/>
      <c r="E91" s="906"/>
      <c r="F91" s="906"/>
      <c r="G91"/>
    </row>
    <row r="92" spans="1:7" ht="14.45" customHeight="1">
      <c r="A92" s="865"/>
      <c r="B92" s="1434"/>
      <c r="C92" s="1555" t="s">
        <v>9494</v>
      </c>
      <c r="D92" s="1461"/>
      <c r="E92" s="906"/>
      <c r="F92" s="906"/>
      <c r="G92"/>
    </row>
    <row r="93" spans="1:7" ht="14.45" customHeight="1">
      <c r="A93" s="865"/>
      <c r="B93" s="1434"/>
      <c r="C93" s="1555" t="s">
        <v>9495</v>
      </c>
      <c r="D93" s="1461"/>
      <c r="E93" s="906"/>
      <c r="F93" s="906"/>
      <c r="G93"/>
    </row>
    <row r="94" spans="1:7" ht="14.45" customHeight="1">
      <c r="A94" s="865"/>
      <c r="B94" s="1434"/>
      <c r="C94" s="1555" t="s">
        <v>9496</v>
      </c>
      <c r="D94" s="1461"/>
      <c r="E94" s="1399"/>
      <c r="F94" s="1399"/>
      <c r="G94"/>
    </row>
    <row r="95" spans="1:7" ht="14.45" customHeight="1">
      <c r="A95" s="865"/>
      <c r="B95" s="1434"/>
      <c r="D95" s="1461"/>
      <c r="E95" s="906"/>
      <c r="F95" s="906"/>
      <c r="G95"/>
    </row>
    <row r="96" spans="1:7" ht="14.45" customHeight="1">
      <c r="A96" s="865"/>
      <c r="B96" s="1434"/>
      <c r="C96" s="1555" t="s">
        <v>3604</v>
      </c>
      <c r="D96" s="1461"/>
      <c r="E96" s="1399"/>
      <c r="F96" s="1399"/>
      <c r="G96"/>
    </row>
    <row r="97" spans="1:7" ht="14.45" customHeight="1">
      <c r="A97" s="1123"/>
      <c r="B97" s="1434"/>
      <c r="C97" s="1556" t="s">
        <v>3605</v>
      </c>
      <c r="D97" s="1461"/>
      <c r="E97" s="906"/>
      <c r="F97" s="906"/>
      <c r="G97"/>
    </row>
    <row r="98" spans="1:7" ht="14.45" customHeight="1">
      <c r="A98" s="1124"/>
      <c r="B98" s="1434"/>
      <c r="C98" s="1556" t="s">
        <v>3606</v>
      </c>
      <c r="D98" s="1461"/>
      <c r="E98" s="1399"/>
      <c r="F98" s="1399"/>
      <c r="G98"/>
    </row>
    <row r="99" spans="1:7" ht="14.45" customHeight="1">
      <c r="A99" s="1124"/>
      <c r="B99" s="1434"/>
      <c r="C99" s="1556" t="s">
        <v>3607</v>
      </c>
      <c r="D99" s="1461"/>
      <c r="E99" s="906"/>
      <c r="F99" s="906"/>
      <c r="G99"/>
    </row>
    <row r="100" spans="1:7" ht="14.45" customHeight="1">
      <c r="A100" s="1447"/>
      <c r="B100" s="1434"/>
      <c r="C100" s="1556" t="s">
        <v>3608</v>
      </c>
      <c r="D100" s="1461"/>
      <c r="E100" s="1399"/>
      <c r="F100" s="1399"/>
      <c r="G100"/>
    </row>
    <row r="101" spans="1:7" ht="14.45" customHeight="1">
      <c r="A101" s="856"/>
      <c r="B101" s="1434"/>
      <c r="C101" s="1556" t="s">
        <v>3609</v>
      </c>
      <c r="D101" s="1461"/>
      <c r="E101" s="906"/>
      <c r="F101" s="906"/>
      <c r="G101"/>
    </row>
    <row r="102" spans="1:7" ht="14.45" customHeight="1">
      <c r="A102" s="856"/>
      <c r="B102" s="1434"/>
      <c r="C102" s="1555" t="s">
        <v>3610</v>
      </c>
      <c r="D102" s="1461"/>
      <c r="E102" s="1399"/>
      <c r="F102" s="1399"/>
      <c r="G102"/>
    </row>
    <row r="103" spans="1:7" ht="14.45" customHeight="1">
      <c r="A103" s="856"/>
      <c r="B103" s="1434"/>
      <c r="C103" s="1556" t="s">
        <v>3611</v>
      </c>
      <c r="D103" s="1461"/>
      <c r="E103" s="906"/>
      <c r="F103" s="906"/>
      <c r="G103"/>
    </row>
    <row r="104" spans="1:7" ht="14.45" customHeight="1">
      <c r="A104" s="1569"/>
      <c r="B104" s="1435"/>
      <c r="C104" s="1556" t="s">
        <v>3612</v>
      </c>
      <c r="D104" s="1461"/>
      <c r="E104" s="1399"/>
      <c r="F104" s="1399"/>
      <c r="G104"/>
    </row>
    <row r="105" spans="1:7" ht="14.45" customHeight="1">
      <c r="A105" s="1569"/>
      <c r="B105" s="1436"/>
      <c r="C105" s="1556" t="s">
        <v>624</v>
      </c>
      <c r="D105" s="1461"/>
      <c r="E105" s="1399"/>
      <c r="F105" s="1399"/>
      <c r="G105"/>
    </row>
    <row r="106" spans="1:7" ht="14.45" customHeight="1">
      <c r="A106" s="1569"/>
      <c r="B106" s="1437"/>
      <c r="C106" s="1556" t="s">
        <v>625</v>
      </c>
      <c r="D106" s="1461"/>
      <c r="E106" s="1399"/>
      <c r="F106" s="1399"/>
      <c r="G106"/>
    </row>
    <row r="107" spans="1:7" ht="14.45" customHeight="1">
      <c r="A107" s="864"/>
      <c r="B107" s="1437"/>
      <c r="C107" s="1556" t="s">
        <v>3613</v>
      </c>
      <c r="D107" s="1461"/>
      <c r="E107" s="1399"/>
      <c r="F107" s="1399"/>
      <c r="G107"/>
    </row>
    <row r="108" spans="1:7" ht="14.45" customHeight="1">
      <c r="A108" s="865"/>
      <c r="B108" s="1436"/>
      <c r="C108" s="1557" t="s">
        <v>3614</v>
      </c>
      <c r="D108" s="1461"/>
      <c r="E108" s="906"/>
      <c r="F108" s="906"/>
      <c r="G108"/>
    </row>
    <row r="109" spans="1:7" ht="14.45" customHeight="1">
      <c r="A109" s="865"/>
      <c r="B109" s="1437"/>
      <c r="C109" s="1577" t="s">
        <v>3615</v>
      </c>
      <c r="D109" s="1461"/>
      <c r="E109" s="906"/>
      <c r="F109" s="906"/>
      <c r="G109"/>
    </row>
    <row r="110" spans="1:7" ht="14.45" customHeight="1">
      <c r="A110" s="865"/>
      <c r="B110" s="1437"/>
      <c r="C110" s="1578" t="s">
        <v>3616</v>
      </c>
      <c r="D110" s="1461"/>
      <c r="E110" s="906"/>
      <c r="F110" s="906"/>
      <c r="G110"/>
    </row>
    <row r="111" spans="1:7" ht="14.45" customHeight="1">
      <c r="A111" s="865"/>
      <c r="B111" s="1554"/>
      <c r="C111" s="1443" t="s">
        <v>3617</v>
      </c>
      <c r="D111" s="1461"/>
      <c r="E111" s="1399"/>
      <c r="F111" s="1399"/>
      <c r="G111"/>
    </row>
    <row r="112" spans="1:7" ht="14.45" customHeight="1">
      <c r="A112" s="865"/>
      <c r="B112" s="1568"/>
      <c r="C112" s="1555" t="s">
        <v>3618</v>
      </c>
      <c r="D112" s="1461"/>
      <c r="E112" s="906"/>
      <c r="F112" s="906"/>
      <c r="G112"/>
    </row>
    <row r="113" spans="1:7" ht="14.45" customHeight="1">
      <c r="A113" s="1446"/>
      <c r="B113" s="1437"/>
      <c r="C113" s="1555" t="s">
        <v>3619</v>
      </c>
      <c r="D113" s="1461"/>
      <c r="E113" s="1399"/>
      <c r="F113" s="1399"/>
      <c r="G113"/>
    </row>
    <row r="114" spans="1:7" ht="14.45" customHeight="1">
      <c r="A114" s="856"/>
      <c r="B114" s="1568"/>
      <c r="C114" s="1555" t="s">
        <v>3620</v>
      </c>
      <c r="D114" s="1461"/>
      <c r="E114" s="906"/>
      <c r="F114" s="906"/>
      <c r="G114"/>
    </row>
    <row r="115" spans="1:7" ht="14.45" customHeight="1">
      <c r="A115" s="856"/>
      <c r="B115" s="1437"/>
      <c r="C115" s="1555" t="s">
        <v>3621</v>
      </c>
      <c r="D115" s="1461"/>
      <c r="E115" s="1399"/>
      <c r="F115" s="1399"/>
      <c r="G115"/>
    </row>
    <row r="116" spans="1:7" ht="14.45" customHeight="1">
      <c r="A116" s="856"/>
      <c r="B116" s="1437"/>
      <c r="D116" s="1461"/>
      <c r="E116" s="1399"/>
      <c r="F116" s="1399"/>
      <c r="G116"/>
    </row>
    <row r="117" spans="1:7" ht="14.45" customHeight="1">
      <c r="A117" s="856"/>
      <c r="B117" s="1554"/>
      <c r="C117" s="1572" t="s">
        <v>729</v>
      </c>
      <c r="D117" s="1461"/>
      <c r="E117" s="906"/>
      <c r="F117" s="906"/>
      <c r="G117"/>
    </row>
    <row r="118" spans="1:7" ht="14.45" customHeight="1">
      <c r="A118" s="856"/>
      <c r="B118" s="1554"/>
      <c r="C118" s="1572" t="s">
        <v>729</v>
      </c>
      <c r="D118" s="1461"/>
      <c r="E118" s="906"/>
      <c r="F118" s="906"/>
      <c r="G118"/>
    </row>
    <row r="119" spans="1:7" ht="14.45" customHeight="1">
      <c r="A119" s="865"/>
      <c r="B119" s="1562"/>
      <c r="C119" s="1571" t="s">
        <v>3535</v>
      </c>
      <c r="D119" s="1579"/>
      <c r="E119" s="1561"/>
      <c r="F119" s="1561"/>
      <c r="G119"/>
    </row>
    <row r="120" spans="1:7" ht="14.45" customHeight="1">
      <c r="A120" s="1448"/>
      <c r="B120" s="1553">
        <v>1</v>
      </c>
      <c r="C120" s="1442" t="s">
        <v>4725</v>
      </c>
      <c r="D120" s="1579"/>
      <c r="E120" s="1560"/>
      <c r="F120" s="1560"/>
      <c r="G120"/>
    </row>
    <row r="121" spans="1:7" ht="14.45" customHeight="1">
      <c r="A121" s="856"/>
      <c r="B121" s="1553">
        <v>2</v>
      </c>
      <c r="C121" s="1442" t="s">
        <v>6675</v>
      </c>
      <c r="D121" s="1579"/>
      <c r="E121" s="1560"/>
      <c r="F121" s="1560"/>
      <c r="G121"/>
    </row>
    <row r="122" spans="1:7" ht="14.45" customHeight="1">
      <c r="A122" s="1446"/>
      <c r="B122" s="1553">
        <v>1</v>
      </c>
      <c r="C122" s="1442" t="s">
        <v>4989</v>
      </c>
      <c r="D122" s="1579"/>
      <c r="E122" s="1560"/>
      <c r="F122" s="1560"/>
      <c r="G122"/>
    </row>
    <row r="123" spans="1:7" ht="14.45" customHeight="1">
      <c r="A123" s="865"/>
      <c r="B123" s="1553">
        <v>2</v>
      </c>
      <c r="C123" s="1572" t="s">
        <v>3076</v>
      </c>
      <c r="D123" s="1579"/>
      <c r="E123" s="1561"/>
      <c r="F123" s="1561"/>
      <c r="G123"/>
    </row>
    <row r="124" spans="1:7" ht="14.45" customHeight="1">
      <c r="A124" s="865"/>
      <c r="B124" s="1437"/>
      <c r="C124" s="1572" t="s">
        <v>729</v>
      </c>
      <c r="D124" s="1461"/>
      <c r="E124" s="1399"/>
      <c r="F124" s="1399"/>
      <c r="G124"/>
    </row>
    <row r="125" spans="1:7" ht="14.45" customHeight="1">
      <c r="A125" s="865"/>
      <c r="B125" s="1438">
        <v>3</v>
      </c>
      <c r="C125" s="1443" t="s">
        <v>3591</v>
      </c>
      <c r="D125" s="1462"/>
      <c r="E125" s="1400"/>
      <c r="F125" s="1400"/>
      <c r="G125"/>
    </row>
    <row r="126" spans="1:7" ht="14.45" customHeight="1">
      <c r="A126" s="856"/>
      <c r="B126" s="1435"/>
      <c r="C126" s="1442" t="s">
        <v>729</v>
      </c>
      <c r="D126" s="1990"/>
      <c r="E126" s="906"/>
      <c r="F126" s="906"/>
      <c r="G126"/>
    </row>
    <row r="127" spans="1:7" ht="14.45" customHeight="1">
      <c r="A127" s="1446"/>
      <c r="B127" s="1436">
        <v>2</v>
      </c>
      <c r="C127" s="1441" t="s">
        <v>4044</v>
      </c>
      <c r="D127" s="1990"/>
      <c r="E127" s="1399"/>
      <c r="F127" s="1399"/>
      <c r="G127"/>
    </row>
    <row r="128" spans="1:7" ht="14.45" customHeight="1">
      <c r="A128" s="856"/>
      <c r="B128" s="1437">
        <v>3</v>
      </c>
      <c r="C128" s="1433" t="s">
        <v>14160</v>
      </c>
      <c r="D128" s="1990"/>
      <c r="E128" s="906"/>
      <c r="F128" s="906"/>
      <c r="G128"/>
    </row>
    <row r="129" spans="1:7" ht="14.45" customHeight="1">
      <c r="A129" s="1447"/>
      <c r="B129" s="1440">
        <v>1</v>
      </c>
      <c r="C129" s="1445" t="s">
        <v>9497</v>
      </c>
      <c r="D129" s="1991"/>
      <c r="E129" s="1400"/>
      <c r="F129" s="1400"/>
      <c r="G129"/>
    </row>
    <row r="130" spans="1:7" ht="14.45" customHeight="1">
      <c r="A130" s="856"/>
      <c r="B130" s="1435"/>
      <c r="C130" s="1442" t="s">
        <v>729</v>
      </c>
      <c r="D130" s="1990"/>
      <c r="E130" s="906"/>
      <c r="F130" s="906"/>
      <c r="G130"/>
    </row>
    <row r="131" spans="1:7" ht="14.45" customHeight="1">
      <c r="A131" s="856"/>
      <c r="B131" s="1435">
        <v>1</v>
      </c>
      <c r="C131" s="1439" t="s">
        <v>316</v>
      </c>
      <c r="D131" s="1990"/>
      <c r="E131" s="906"/>
      <c r="F131" s="906"/>
      <c r="G131"/>
    </row>
    <row r="132" spans="1:7" ht="14.45" customHeight="1">
      <c r="A132" s="856"/>
      <c r="B132" s="1435"/>
      <c r="C132" s="1442" t="s">
        <v>729</v>
      </c>
      <c r="D132" s="1990"/>
      <c r="E132" s="906"/>
      <c r="F132" s="906"/>
      <c r="G132"/>
    </row>
    <row r="133" spans="1:7" ht="14.45" customHeight="1" thickBot="1">
      <c r="A133" s="2409"/>
      <c r="B133" s="1983"/>
      <c r="C133" s="1984"/>
      <c r="D133" s="1995"/>
      <c r="E133" s="1985"/>
      <c r="F133" s="1985"/>
      <c r="G133"/>
    </row>
    <row r="134" spans="1:7" ht="14.45" customHeight="1" thickBot="1">
      <c r="A134" s="1988">
        <v>3</v>
      </c>
      <c r="B134" s="1977">
        <v>1</v>
      </c>
      <c r="C134" s="1595" t="s">
        <v>14167</v>
      </c>
      <c r="D134" s="1989">
        <v>9833</v>
      </c>
      <c r="E134" s="1398"/>
      <c r="F134" s="1398">
        <v>9833</v>
      </c>
      <c r="G134"/>
    </row>
    <row r="135" spans="1:7" ht="14.45" customHeight="1">
      <c r="A135" s="852" t="s">
        <v>3207</v>
      </c>
      <c r="B135" s="1978"/>
      <c r="C135" s="1922"/>
      <c r="D135" s="1990"/>
      <c r="E135" s="1399"/>
      <c r="F135" s="1399"/>
      <c r="G135"/>
    </row>
    <row r="136" spans="1:7" ht="14.45" customHeight="1">
      <c r="A136" s="856" t="s">
        <v>4059</v>
      </c>
      <c r="B136" s="1979"/>
      <c r="C136" s="1441" t="s">
        <v>3301</v>
      </c>
      <c r="D136" s="1990"/>
      <c r="E136" s="1399"/>
      <c r="F136" s="1399"/>
      <c r="G136"/>
    </row>
    <row r="137" spans="1:7" ht="14.45" customHeight="1">
      <c r="A137" s="856" t="s">
        <v>4321</v>
      </c>
      <c r="B137" s="1553">
        <v>1</v>
      </c>
      <c r="C137" s="1442" t="s">
        <v>4725</v>
      </c>
      <c r="D137" s="1990"/>
      <c r="E137" s="906"/>
      <c r="F137" s="906"/>
      <c r="G137"/>
    </row>
    <row r="138" spans="1:7" ht="14.45" customHeight="1">
      <c r="A138" s="856" t="s">
        <v>3725</v>
      </c>
      <c r="B138" s="1553"/>
      <c r="C138" s="1980" t="s">
        <v>9489</v>
      </c>
      <c r="D138" s="1990"/>
      <c r="E138" s="906"/>
      <c r="F138" s="906"/>
      <c r="G138"/>
    </row>
    <row r="139" spans="1:7" ht="14.45" customHeight="1">
      <c r="A139" s="856" t="s">
        <v>3726</v>
      </c>
      <c r="B139" s="1563">
        <v>1</v>
      </c>
      <c r="C139" s="1571" t="s">
        <v>6229</v>
      </c>
      <c r="D139" s="2529"/>
      <c r="E139" s="906"/>
      <c r="F139" s="906"/>
      <c r="G139"/>
    </row>
    <row r="140" spans="1:7" ht="14.45" customHeight="1">
      <c r="A140" s="865"/>
      <c r="B140" s="1440">
        <v>1</v>
      </c>
      <c r="C140" s="1697" t="s">
        <v>3536</v>
      </c>
      <c r="D140" s="2530"/>
      <c r="E140" s="1400"/>
      <c r="F140" s="1400"/>
      <c r="G140"/>
    </row>
    <row r="141" spans="1:7" ht="14.45" customHeight="1">
      <c r="A141" s="1142"/>
      <c r="B141" s="1437">
        <v>1</v>
      </c>
      <c r="C141" s="1572" t="s">
        <v>2332</v>
      </c>
      <c r="D141" s="2529"/>
      <c r="E141" s="1399"/>
      <c r="F141" s="1399"/>
      <c r="G141"/>
    </row>
    <row r="142" spans="1:7" ht="14.45" customHeight="1">
      <c r="A142" s="1142"/>
      <c r="B142" s="1437">
        <v>1</v>
      </c>
      <c r="C142" s="1572" t="s">
        <v>7097</v>
      </c>
      <c r="D142" s="2529"/>
      <c r="E142" s="1399"/>
      <c r="F142" s="1399"/>
      <c r="G142"/>
    </row>
    <row r="143" spans="1:7" ht="14.45" customHeight="1">
      <c r="A143" s="865"/>
      <c r="B143" s="1437">
        <v>1</v>
      </c>
      <c r="C143" s="1572" t="s">
        <v>14158</v>
      </c>
      <c r="D143" s="2529"/>
      <c r="E143" s="1399"/>
      <c r="F143" s="1399"/>
      <c r="G143"/>
    </row>
    <row r="144" spans="1:7" ht="14.45" customHeight="1">
      <c r="A144" s="865"/>
      <c r="B144" s="1437">
        <v>1</v>
      </c>
      <c r="C144" s="1572" t="s">
        <v>14159</v>
      </c>
      <c r="D144" s="2529"/>
      <c r="E144" s="1399"/>
      <c r="F144" s="1399"/>
      <c r="G144"/>
    </row>
    <row r="145" spans="1:7" ht="14.45" customHeight="1">
      <c r="A145" s="865"/>
      <c r="B145" s="1437">
        <v>1</v>
      </c>
      <c r="C145" s="1572" t="s">
        <v>1878</v>
      </c>
      <c r="D145" s="2529"/>
      <c r="E145" s="1399"/>
      <c r="F145" s="1399"/>
      <c r="G145"/>
    </row>
    <row r="146" spans="1:7" ht="14.45" customHeight="1">
      <c r="A146" s="856"/>
      <c r="B146" s="1437">
        <v>1</v>
      </c>
      <c r="C146" s="1572" t="s">
        <v>11253</v>
      </c>
      <c r="D146" s="2529"/>
      <c r="E146" s="1399"/>
      <c r="F146" s="1399"/>
      <c r="G146"/>
    </row>
    <row r="147" spans="1:7" ht="14.45" customHeight="1">
      <c r="A147" s="856"/>
      <c r="B147" s="1437">
        <v>2</v>
      </c>
      <c r="C147" s="1572" t="s">
        <v>8453</v>
      </c>
      <c r="D147" s="2529"/>
      <c r="E147" s="1399"/>
      <c r="F147" s="1399"/>
      <c r="G147"/>
    </row>
    <row r="148" spans="1:7" ht="14.45" customHeight="1">
      <c r="A148" s="1447"/>
      <c r="B148" s="1440">
        <v>1</v>
      </c>
      <c r="C148" s="1697" t="s">
        <v>3537</v>
      </c>
      <c r="D148" s="2530"/>
      <c r="E148" s="1400"/>
      <c r="F148" s="1400"/>
      <c r="G148"/>
    </row>
    <row r="149" spans="1:7" ht="14.45" customHeight="1">
      <c r="A149" s="856"/>
      <c r="B149" s="1553"/>
      <c r="C149" s="1980" t="s">
        <v>9489</v>
      </c>
      <c r="D149" s="1990"/>
      <c r="E149" s="906"/>
      <c r="F149" s="906"/>
      <c r="G149"/>
    </row>
    <row r="150" spans="1:7" ht="14.45" customHeight="1">
      <c r="A150" s="1123"/>
      <c r="B150" s="1553"/>
      <c r="C150" s="1571" t="s">
        <v>3535</v>
      </c>
      <c r="D150" s="1990"/>
      <c r="E150" s="906"/>
      <c r="F150" s="906"/>
      <c r="G150"/>
    </row>
    <row r="151" spans="1:7" ht="14.45" customHeight="1">
      <c r="A151" s="863"/>
      <c r="B151" s="1553">
        <v>1</v>
      </c>
      <c r="C151" s="1442" t="s">
        <v>6675</v>
      </c>
      <c r="D151" s="1990"/>
      <c r="E151" s="906"/>
      <c r="F151" s="906"/>
      <c r="G151"/>
    </row>
    <row r="152" spans="1:7" ht="14.45" customHeight="1">
      <c r="A152" s="863"/>
      <c r="B152" s="1553">
        <v>2</v>
      </c>
      <c r="C152" s="1442" t="s">
        <v>6673</v>
      </c>
      <c r="D152" s="1990"/>
      <c r="E152" s="906"/>
      <c r="F152" s="906"/>
      <c r="G152"/>
    </row>
    <row r="153" spans="1:7" ht="14.45" customHeight="1">
      <c r="A153" s="1124"/>
      <c r="B153" s="1553">
        <v>2</v>
      </c>
      <c r="C153" s="1442" t="s">
        <v>4509</v>
      </c>
      <c r="D153" s="1990"/>
      <c r="E153" s="906"/>
      <c r="F153" s="906"/>
      <c r="G153"/>
    </row>
    <row r="154" spans="1:7" ht="14.45" customHeight="1">
      <c r="A154" s="1124"/>
      <c r="B154" s="1553">
        <v>6</v>
      </c>
      <c r="C154" s="1442" t="s">
        <v>4989</v>
      </c>
      <c r="D154" s="1990"/>
      <c r="E154" s="906"/>
      <c r="F154" s="906"/>
      <c r="G154"/>
    </row>
    <row r="155" spans="1:7" ht="14.45" customHeight="1">
      <c r="A155" s="865"/>
      <c r="B155" s="1553">
        <v>2</v>
      </c>
      <c r="C155" s="1439" t="s">
        <v>9490</v>
      </c>
      <c r="D155" s="1990"/>
      <c r="E155" s="906"/>
      <c r="F155" s="906"/>
      <c r="G155"/>
    </row>
    <row r="156" spans="1:7" ht="14.45" customHeight="1">
      <c r="A156" s="863"/>
      <c r="B156" s="1435"/>
      <c r="C156" s="1442" t="s">
        <v>729</v>
      </c>
      <c r="D156" s="1461"/>
      <c r="E156" s="906"/>
      <c r="F156" s="906"/>
      <c r="G156"/>
    </row>
    <row r="157" spans="1:7" ht="14.45" customHeight="1">
      <c r="A157" s="856"/>
      <c r="B157" s="1438">
        <v>1</v>
      </c>
      <c r="C157" s="1443" t="s">
        <v>5370</v>
      </c>
      <c r="D157" s="1462"/>
      <c r="E157" s="1400"/>
      <c r="F157" s="1400"/>
      <c r="G157"/>
    </row>
    <row r="158" spans="1:7" ht="14.45" customHeight="1">
      <c r="A158" s="863"/>
      <c r="B158" s="1435"/>
      <c r="C158" s="1442" t="s">
        <v>729</v>
      </c>
      <c r="D158" s="1461"/>
      <c r="E158" s="906"/>
      <c r="F158" s="906"/>
      <c r="G158"/>
    </row>
    <row r="159" spans="1:7" ht="14.45" customHeight="1">
      <c r="A159" s="865"/>
      <c r="B159" s="1438">
        <v>3</v>
      </c>
      <c r="C159" s="1443" t="s">
        <v>3591</v>
      </c>
      <c r="D159" s="1462"/>
      <c r="E159" s="1400"/>
      <c r="F159" s="1400"/>
      <c r="G159"/>
    </row>
    <row r="160" spans="1:7" ht="14.45" customHeight="1">
      <c r="A160" s="863"/>
      <c r="B160" s="1435"/>
      <c r="C160" s="1442" t="s">
        <v>729</v>
      </c>
      <c r="D160" s="1461"/>
      <c r="E160" s="906"/>
      <c r="F160" s="906"/>
      <c r="G160"/>
    </row>
    <row r="161" spans="1:7" ht="14.45" customHeight="1">
      <c r="A161" s="856"/>
      <c r="B161" s="1436">
        <v>1</v>
      </c>
      <c r="C161" s="1441" t="s">
        <v>9491</v>
      </c>
      <c r="D161" s="1461"/>
      <c r="E161" s="1399"/>
      <c r="F161" s="1399"/>
      <c r="G161"/>
    </row>
    <row r="162" spans="1:7" ht="14.45" customHeight="1">
      <c r="A162" s="856"/>
      <c r="B162" s="1435">
        <v>1</v>
      </c>
      <c r="C162" s="1433" t="s">
        <v>8319</v>
      </c>
      <c r="D162" s="1461"/>
      <c r="E162" s="906"/>
      <c r="F162" s="906"/>
      <c r="G162"/>
    </row>
    <row r="163" spans="1:7" ht="14.45" customHeight="1">
      <c r="A163" s="1889"/>
      <c r="B163" s="1435">
        <v>3</v>
      </c>
      <c r="C163" s="1433" t="s">
        <v>431</v>
      </c>
      <c r="D163" s="1461"/>
      <c r="E163" s="906"/>
      <c r="F163" s="906"/>
      <c r="G163"/>
    </row>
    <row r="164" spans="1:7" ht="14.45" customHeight="1">
      <c r="A164" s="1447"/>
      <c r="B164" s="1438">
        <v>1</v>
      </c>
      <c r="C164" s="1445" t="s">
        <v>3302</v>
      </c>
      <c r="D164" s="1462"/>
      <c r="E164" s="1400"/>
      <c r="F164" s="1400"/>
      <c r="G164"/>
    </row>
    <row r="165" spans="1:7" ht="14.45" customHeight="1">
      <c r="A165" s="1447"/>
      <c r="B165" s="1438">
        <v>1</v>
      </c>
      <c r="C165" s="1445" t="s">
        <v>3303</v>
      </c>
      <c r="D165" s="1462"/>
      <c r="E165" s="1400"/>
      <c r="F165" s="1400"/>
      <c r="G165"/>
    </row>
    <row r="166" spans="1:7" ht="14.45" customHeight="1">
      <c r="A166" s="856"/>
      <c r="B166" s="1553"/>
      <c r="C166" s="1439" t="s">
        <v>729</v>
      </c>
      <c r="D166" s="1990"/>
      <c r="E166" s="906"/>
      <c r="F166" s="906"/>
      <c r="G166"/>
    </row>
    <row r="167" spans="1:7" ht="14.45" customHeight="1">
      <c r="A167" s="1889"/>
      <c r="B167" s="1434"/>
      <c r="C167" s="1570"/>
      <c r="D167" s="1579"/>
      <c r="E167" s="1560"/>
      <c r="F167" s="1560"/>
      <c r="G167"/>
    </row>
    <row r="168" spans="1:7" ht="14.45" customHeight="1">
      <c r="A168" s="856"/>
      <c r="B168" s="1435"/>
      <c r="C168" s="1442" t="s">
        <v>729</v>
      </c>
      <c r="D168" s="1461"/>
      <c r="E168" s="906"/>
      <c r="F168" s="906"/>
      <c r="G168"/>
    </row>
    <row r="169" spans="1:7" ht="14.45" customHeight="1">
      <c r="A169" s="1446"/>
      <c r="B169" s="1436">
        <v>1</v>
      </c>
      <c r="C169" s="1441" t="s">
        <v>4044</v>
      </c>
      <c r="D169" s="1990"/>
      <c r="E169" s="1399"/>
      <c r="F169" s="1399"/>
      <c r="G169"/>
    </row>
    <row r="170" spans="1:7" ht="14.45" customHeight="1">
      <c r="A170" s="856"/>
      <c r="B170" s="1437">
        <v>3</v>
      </c>
      <c r="C170" s="1433" t="s">
        <v>14160</v>
      </c>
      <c r="D170" s="1990"/>
      <c r="E170" s="906"/>
      <c r="F170" s="906"/>
      <c r="G170"/>
    </row>
    <row r="171" spans="1:7" ht="14.45" customHeight="1">
      <c r="A171" s="1447"/>
      <c r="B171" s="1440">
        <v>1</v>
      </c>
      <c r="C171" s="1445" t="s">
        <v>9497</v>
      </c>
      <c r="D171" s="1991"/>
      <c r="E171" s="1400"/>
      <c r="F171" s="1400"/>
      <c r="G171"/>
    </row>
    <row r="172" spans="1:7" ht="14.45" customHeight="1">
      <c r="A172" s="856"/>
      <c r="B172" s="1553"/>
      <c r="C172" s="1439" t="s">
        <v>729</v>
      </c>
      <c r="D172" s="1990"/>
      <c r="E172" s="906"/>
      <c r="F172" s="906"/>
      <c r="G172"/>
    </row>
    <row r="173" spans="1:7" ht="14.45" customHeight="1">
      <c r="A173" s="856"/>
      <c r="B173" s="1553">
        <v>1</v>
      </c>
      <c r="C173" s="1439" t="s">
        <v>9498</v>
      </c>
      <c r="D173" s="1992"/>
      <c r="E173" s="906"/>
      <c r="F173" s="906"/>
      <c r="G173"/>
    </row>
    <row r="174" spans="1:7" ht="14.45" customHeight="1">
      <c r="A174" s="856"/>
      <c r="B174" s="1553"/>
      <c r="C174" s="1439" t="s">
        <v>729</v>
      </c>
      <c r="D174" s="1990"/>
      <c r="E174" s="906"/>
      <c r="F174" s="906"/>
      <c r="G174"/>
    </row>
    <row r="175" spans="1:7" ht="14.45" customHeight="1" thickBot="1">
      <c r="A175" s="871"/>
      <c r="B175" s="1565"/>
      <c r="C175" s="1573"/>
      <c r="D175" s="1993"/>
      <c r="E175" s="1566"/>
      <c r="F175" s="1566"/>
      <c r="G175"/>
    </row>
    <row r="176" spans="1:7" ht="14.45" customHeight="1" thickBot="1">
      <c r="A176" s="1924">
        <v>4</v>
      </c>
      <c r="B176" s="1982">
        <v>1</v>
      </c>
      <c r="C176" s="1595" t="s">
        <v>14169</v>
      </c>
      <c r="D176" s="1994">
        <v>17356</v>
      </c>
      <c r="E176" s="1398"/>
      <c r="F176" s="1398">
        <v>17356</v>
      </c>
      <c r="G176"/>
    </row>
    <row r="177" spans="1:7" ht="14.45" customHeight="1">
      <c r="A177" s="852" t="s">
        <v>3207</v>
      </c>
      <c r="B177" s="1434"/>
      <c r="C177" s="1459"/>
      <c r="D177" s="1990"/>
      <c r="E177" s="1399"/>
      <c r="F177" s="1399"/>
      <c r="G177"/>
    </row>
    <row r="178" spans="1:7" ht="14.45" customHeight="1">
      <c r="A178" s="856" t="s">
        <v>4059</v>
      </c>
      <c r="B178" s="1435"/>
      <c r="C178" s="1441" t="s">
        <v>9492</v>
      </c>
      <c r="D178" s="1579"/>
      <c r="E178" s="1561"/>
      <c r="F178" s="1561"/>
      <c r="G178"/>
    </row>
    <row r="179" spans="1:7" ht="14.45" customHeight="1">
      <c r="A179" s="856" t="s">
        <v>4321</v>
      </c>
      <c r="B179" s="1434"/>
      <c r="C179" s="1574"/>
      <c r="D179" s="1461"/>
      <c r="E179" s="1399"/>
      <c r="F179" s="1399"/>
      <c r="G179"/>
    </row>
    <row r="180" spans="1:7" ht="14.45" customHeight="1">
      <c r="A180" s="856" t="s">
        <v>3725</v>
      </c>
      <c r="B180" s="1434"/>
      <c r="C180" s="1443" t="s">
        <v>14286</v>
      </c>
      <c r="D180" s="1461"/>
      <c r="E180" s="1399"/>
      <c r="F180" s="1399"/>
      <c r="G180"/>
    </row>
    <row r="181" spans="1:7" ht="14.45" customHeight="1">
      <c r="A181" s="856" t="s">
        <v>3726</v>
      </c>
      <c r="B181" s="1434"/>
      <c r="C181" s="1443" t="s">
        <v>3601</v>
      </c>
      <c r="D181" s="1461"/>
      <c r="E181" s="1399"/>
      <c r="F181" s="1399"/>
      <c r="G181"/>
    </row>
    <row r="182" spans="1:7" ht="14.45" customHeight="1">
      <c r="A182" s="865"/>
      <c r="B182" s="1434"/>
      <c r="C182" s="1574"/>
      <c r="D182" s="1461"/>
      <c r="E182" s="1399"/>
      <c r="F182" s="1399"/>
      <c r="G182"/>
    </row>
    <row r="183" spans="1:7" ht="14.45" customHeight="1">
      <c r="A183" s="864"/>
      <c r="B183" s="1434"/>
      <c r="C183" s="1443" t="s">
        <v>3602</v>
      </c>
      <c r="D183" s="1579"/>
      <c r="E183" s="1560"/>
      <c r="F183" s="1560"/>
      <c r="G183"/>
    </row>
    <row r="184" spans="1:7" ht="14.45" customHeight="1">
      <c r="A184" s="865"/>
      <c r="B184" s="1567"/>
      <c r="C184" s="1575"/>
      <c r="D184" s="1579"/>
      <c r="E184" s="1561"/>
      <c r="F184" s="1561"/>
      <c r="G184"/>
    </row>
    <row r="185" spans="1:7" ht="14.45" customHeight="1">
      <c r="A185" s="1123"/>
      <c r="B185" s="1981">
        <v>1</v>
      </c>
      <c r="C185" s="1445" t="s">
        <v>4068</v>
      </c>
      <c r="D185" s="1579"/>
      <c r="E185" s="1561"/>
      <c r="F185" s="1561"/>
      <c r="G185"/>
    </row>
    <row r="186" spans="1:7" ht="14.45" customHeight="1">
      <c r="A186" s="865"/>
      <c r="B186" s="1434"/>
      <c r="C186" s="1445" t="s">
        <v>3603</v>
      </c>
      <c r="D186" s="1579"/>
      <c r="E186" s="1561"/>
      <c r="F186" s="1561"/>
      <c r="G186"/>
    </row>
    <row r="187" spans="1:7" ht="14.45" customHeight="1">
      <c r="A187" s="1142"/>
      <c r="B187" s="1434"/>
      <c r="C187" s="1576" t="s">
        <v>3492</v>
      </c>
      <c r="D187" s="1579"/>
      <c r="E187" s="1560"/>
      <c r="F187" s="1560"/>
      <c r="G187"/>
    </row>
    <row r="188" spans="1:7" ht="14.45" customHeight="1">
      <c r="A188" s="1142"/>
      <c r="B188" s="1434"/>
      <c r="C188" s="1575"/>
      <c r="D188" s="1579"/>
      <c r="E188" s="1560"/>
      <c r="F188" s="1560"/>
      <c r="G188"/>
    </row>
    <row r="189" spans="1:7" ht="14.45" customHeight="1">
      <c r="A189" s="865"/>
      <c r="B189" s="1981">
        <v>2</v>
      </c>
      <c r="C189" s="1445" t="s">
        <v>10140</v>
      </c>
      <c r="D189" s="1579"/>
      <c r="E189" s="1561"/>
      <c r="F189" s="1561"/>
      <c r="G189"/>
    </row>
    <row r="190" spans="1:7" ht="14.45" customHeight="1">
      <c r="A190" s="865"/>
      <c r="B190" s="1434"/>
      <c r="C190" s="1445" t="s">
        <v>3603</v>
      </c>
      <c r="D190" s="1579"/>
      <c r="E190" s="1561"/>
      <c r="F190" s="1561"/>
      <c r="G190"/>
    </row>
    <row r="191" spans="1:7" ht="14.45" customHeight="1">
      <c r="A191" s="865"/>
      <c r="B191" s="1434"/>
      <c r="C191" s="1576" t="s">
        <v>13959</v>
      </c>
      <c r="D191" s="1579"/>
      <c r="E191" s="1560"/>
      <c r="F191" s="1560"/>
      <c r="G191"/>
    </row>
    <row r="192" spans="1:7" ht="14.45" customHeight="1">
      <c r="A192" s="856"/>
      <c r="B192" s="1434"/>
      <c r="C192" s="1575"/>
      <c r="D192" s="1579"/>
      <c r="E192" s="1560"/>
      <c r="F192" s="1560"/>
      <c r="G192"/>
    </row>
    <row r="193" spans="1:7" ht="14.45" customHeight="1">
      <c r="A193" s="865"/>
      <c r="B193" s="1434"/>
      <c r="C193" s="1555" t="s">
        <v>9493</v>
      </c>
      <c r="D193" s="1461"/>
      <c r="E193" s="906"/>
      <c r="F193" s="906"/>
      <c r="G193"/>
    </row>
    <row r="194" spans="1:7" ht="14.45" customHeight="1">
      <c r="A194" s="865"/>
      <c r="B194" s="1434"/>
      <c r="C194" s="1555" t="s">
        <v>9494</v>
      </c>
      <c r="D194" s="1461"/>
      <c r="E194" s="906"/>
      <c r="F194" s="906"/>
      <c r="G194"/>
    </row>
    <row r="195" spans="1:7" ht="14.45" customHeight="1">
      <c r="A195" s="865"/>
      <c r="B195" s="1434"/>
      <c r="C195" s="1555" t="s">
        <v>9495</v>
      </c>
      <c r="D195" s="1461"/>
      <c r="E195" s="906"/>
      <c r="F195" s="906"/>
      <c r="G195"/>
    </row>
    <row r="196" spans="1:7" ht="14.45" customHeight="1">
      <c r="A196" s="865"/>
      <c r="B196" s="1434"/>
      <c r="C196" s="1555" t="s">
        <v>9496</v>
      </c>
      <c r="D196" s="1461"/>
      <c r="E196" s="1399"/>
      <c r="F196" s="1399"/>
      <c r="G196"/>
    </row>
    <row r="197" spans="1:7" ht="14.45" customHeight="1">
      <c r="A197" s="865"/>
      <c r="B197" s="1434"/>
      <c r="D197" s="1461"/>
      <c r="E197" s="906"/>
      <c r="F197" s="906"/>
      <c r="G197"/>
    </row>
    <row r="198" spans="1:7" ht="14.45" customHeight="1">
      <c r="A198" s="865"/>
      <c r="B198" s="1434"/>
      <c r="C198" s="1555" t="s">
        <v>3604</v>
      </c>
      <c r="D198" s="1461"/>
      <c r="E198" s="1399"/>
      <c r="F198" s="1399"/>
      <c r="G198"/>
    </row>
    <row r="199" spans="1:7" ht="14.45" customHeight="1">
      <c r="A199" s="1123"/>
      <c r="B199" s="1434"/>
      <c r="C199" s="1556" t="s">
        <v>3605</v>
      </c>
      <c r="D199" s="1461"/>
      <c r="E199" s="906"/>
      <c r="F199" s="906"/>
      <c r="G199"/>
    </row>
    <row r="200" spans="1:7" ht="14.45" customHeight="1">
      <c r="A200" s="1124"/>
      <c r="B200" s="1434"/>
      <c r="C200" s="1556" t="s">
        <v>3606</v>
      </c>
      <c r="D200" s="1461"/>
      <c r="E200" s="1399"/>
      <c r="F200" s="1399"/>
      <c r="G200"/>
    </row>
    <row r="201" spans="1:7" ht="14.45" customHeight="1">
      <c r="A201" s="1124"/>
      <c r="B201" s="1434"/>
      <c r="C201" s="1556" t="s">
        <v>3607</v>
      </c>
      <c r="D201" s="1461"/>
      <c r="E201" s="906"/>
      <c r="F201" s="906"/>
      <c r="G201"/>
    </row>
    <row r="202" spans="1:7" ht="14.45" customHeight="1">
      <c r="A202" s="1447"/>
      <c r="B202" s="1434"/>
      <c r="C202" s="1556" t="s">
        <v>3608</v>
      </c>
      <c r="D202" s="1461"/>
      <c r="E202" s="1399"/>
      <c r="F202" s="1399"/>
      <c r="G202"/>
    </row>
    <row r="203" spans="1:7" ht="14.45" customHeight="1">
      <c r="A203" s="856"/>
      <c r="B203" s="1434"/>
      <c r="C203" s="1556" t="s">
        <v>3609</v>
      </c>
      <c r="D203" s="1461"/>
      <c r="E203" s="906"/>
      <c r="F203" s="906"/>
      <c r="G203"/>
    </row>
    <row r="204" spans="1:7" ht="14.45" customHeight="1">
      <c r="A204" s="856"/>
      <c r="B204" s="1434"/>
      <c r="C204" s="1555" t="s">
        <v>3610</v>
      </c>
      <c r="D204" s="1461"/>
      <c r="E204" s="1399"/>
      <c r="F204" s="1399"/>
      <c r="G204"/>
    </row>
    <row r="205" spans="1:7" ht="14.45" customHeight="1">
      <c r="A205" s="856"/>
      <c r="B205" s="1434"/>
      <c r="C205" s="1556" t="s">
        <v>3611</v>
      </c>
      <c r="D205" s="1461"/>
      <c r="E205" s="906"/>
      <c r="F205" s="906"/>
      <c r="G205"/>
    </row>
    <row r="206" spans="1:7" ht="14.45" customHeight="1">
      <c r="A206" s="1569"/>
      <c r="B206" s="1435"/>
      <c r="C206" s="1556" t="s">
        <v>3612</v>
      </c>
      <c r="D206" s="1461"/>
      <c r="E206" s="1399"/>
      <c r="F206" s="1399"/>
      <c r="G206"/>
    </row>
    <row r="207" spans="1:7" ht="14.45" customHeight="1">
      <c r="A207" s="1569"/>
      <c r="B207" s="1436"/>
      <c r="C207" s="1556" t="s">
        <v>624</v>
      </c>
      <c r="D207" s="1461"/>
      <c r="E207" s="1399"/>
      <c r="F207" s="1399"/>
      <c r="G207"/>
    </row>
    <row r="208" spans="1:7" ht="14.45" customHeight="1">
      <c r="A208" s="1569"/>
      <c r="B208" s="1437"/>
      <c r="C208" s="1556" t="s">
        <v>625</v>
      </c>
      <c r="D208" s="1461"/>
      <c r="E208" s="1399"/>
      <c r="F208" s="1399"/>
      <c r="G208"/>
    </row>
    <row r="209" spans="1:7" ht="14.45" customHeight="1">
      <c r="A209" s="864"/>
      <c r="B209" s="1437"/>
      <c r="C209" s="1556" t="s">
        <v>3613</v>
      </c>
      <c r="D209" s="1461"/>
      <c r="E209" s="1399"/>
      <c r="F209" s="1399"/>
      <c r="G209"/>
    </row>
    <row r="210" spans="1:7" ht="14.45" customHeight="1">
      <c r="A210" s="865"/>
      <c r="B210" s="1436"/>
      <c r="C210" s="1557" t="s">
        <v>3614</v>
      </c>
      <c r="D210" s="1461"/>
      <c r="E210" s="906"/>
      <c r="F210" s="906"/>
      <c r="G210"/>
    </row>
    <row r="211" spans="1:7" ht="14.45" customHeight="1">
      <c r="A211" s="865"/>
      <c r="B211" s="1437"/>
      <c r="C211" s="1577" t="s">
        <v>3615</v>
      </c>
      <c r="D211" s="1461"/>
      <c r="E211" s="906"/>
      <c r="F211" s="906"/>
      <c r="G211"/>
    </row>
    <row r="212" spans="1:7" ht="14.45" customHeight="1">
      <c r="A212" s="865"/>
      <c r="B212" s="1437"/>
      <c r="C212" s="1578" t="s">
        <v>3616</v>
      </c>
      <c r="D212" s="1461"/>
      <c r="E212" s="906"/>
      <c r="F212" s="906"/>
      <c r="G212"/>
    </row>
    <row r="213" spans="1:7" ht="14.45" customHeight="1">
      <c r="A213" s="865"/>
      <c r="B213" s="1554"/>
      <c r="C213" s="1443" t="s">
        <v>3617</v>
      </c>
      <c r="D213" s="1461"/>
      <c r="E213" s="1399"/>
      <c r="F213" s="1399"/>
      <c r="G213"/>
    </row>
    <row r="214" spans="1:7" ht="14.45" customHeight="1">
      <c r="A214" s="865"/>
      <c r="B214" s="1568"/>
      <c r="C214" s="1555" t="s">
        <v>3618</v>
      </c>
      <c r="D214" s="1461"/>
      <c r="E214" s="906"/>
      <c r="F214" s="906"/>
      <c r="G214"/>
    </row>
    <row r="215" spans="1:7" ht="14.45" customHeight="1">
      <c r="A215" s="1446"/>
      <c r="B215" s="1437"/>
      <c r="C215" s="1555" t="s">
        <v>3619</v>
      </c>
      <c r="D215" s="1461"/>
      <c r="E215" s="1399"/>
      <c r="F215" s="1399"/>
      <c r="G215"/>
    </row>
    <row r="216" spans="1:7" ht="14.45" customHeight="1">
      <c r="A216" s="856"/>
      <c r="B216" s="1568"/>
      <c r="C216" s="1555" t="s">
        <v>3620</v>
      </c>
      <c r="D216" s="1461"/>
      <c r="E216" s="906"/>
      <c r="F216" s="906"/>
      <c r="G216"/>
    </row>
    <row r="217" spans="1:7" ht="14.45" customHeight="1">
      <c r="A217" s="856"/>
      <c r="B217" s="1437"/>
      <c r="C217" s="1555" t="s">
        <v>3621</v>
      </c>
      <c r="D217" s="1461"/>
      <c r="E217" s="1399"/>
      <c r="F217" s="1399"/>
      <c r="G217"/>
    </row>
    <row r="218" spans="1:7" ht="14.45" customHeight="1">
      <c r="A218" s="856"/>
      <c r="B218" s="1437"/>
      <c r="D218" s="1461"/>
      <c r="E218" s="1399"/>
      <c r="F218" s="1399"/>
      <c r="G218"/>
    </row>
    <row r="219" spans="1:7" ht="14.45" customHeight="1">
      <c r="A219" s="856"/>
      <c r="B219" s="1554"/>
      <c r="C219" s="1572" t="s">
        <v>729</v>
      </c>
      <c r="D219" s="1461"/>
      <c r="E219" s="906"/>
      <c r="F219" s="906"/>
      <c r="G219"/>
    </row>
    <row r="220" spans="1:7" ht="14.45" customHeight="1">
      <c r="A220" s="865"/>
      <c r="B220" s="1437"/>
      <c r="C220" s="1572" t="s">
        <v>729</v>
      </c>
      <c r="D220" s="1461"/>
      <c r="E220" s="1399"/>
      <c r="F220" s="1399"/>
      <c r="G220"/>
    </row>
    <row r="221" spans="1:7" ht="14.45" customHeight="1">
      <c r="A221" s="865"/>
      <c r="B221" s="1562"/>
      <c r="C221" s="1571" t="s">
        <v>3535</v>
      </c>
      <c r="D221" s="1579"/>
      <c r="E221" s="1561"/>
      <c r="F221" s="1561"/>
      <c r="G221"/>
    </row>
    <row r="222" spans="1:7" ht="14.45" customHeight="1">
      <c r="A222" s="1448"/>
      <c r="B222" s="1553">
        <v>1</v>
      </c>
      <c r="C222" s="1442" t="s">
        <v>11827</v>
      </c>
      <c r="D222" s="1579"/>
      <c r="E222" s="1560"/>
      <c r="F222" s="1560"/>
      <c r="G222"/>
    </row>
    <row r="223" spans="1:7" ht="14.45" customHeight="1">
      <c r="A223" s="1446"/>
      <c r="B223" s="1553">
        <v>1</v>
      </c>
      <c r="C223" s="1442" t="s">
        <v>11199</v>
      </c>
      <c r="D223" s="1579"/>
      <c r="E223" s="1560"/>
      <c r="F223" s="1560"/>
      <c r="G223"/>
    </row>
    <row r="224" spans="1:7" ht="14.45" customHeight="1">
      <c r="A224" s="865"/>
      <c r="B224" s="1437"/>
      <c r="C224" s="1572" t="s">
        <v>729</v>
      </c>
      <c r="D224" s="1461"/>
      <c r="E224" s="1399"/>
      <c r="F224" s="1399"/>
      <c r="G224"/>
    </row>
    <row r="225" spans="1:7" ht="14.45" customHeight="1">
      <c r="A225" s="865"/>
      <c r="B225" s="1438">
        <v>3</v>
      </c>
      <c r="C225" s="1443" t="s">
        <v>3591</v>
      </c>
      <c r="D225" s="1462"/>
      <c r="E225" s="1400"/>
      <c r="F225" s="1400"/>
      <c r="G225"/>
    </row>
    <row r="226" spans="1:7" ht="14.45" customHeight="1">
      <c r="A226" s="856"/>
      <c r="B226" s="1435"/>
      <c r="C226" s="1442" t="s">
        <v>729</v>
      </c>
      <c r="D226" s="1990"/>
      <c r="E226" s="906"/>
      <c r="F226" s="906"/>
      <c r="G226"/>
    </row>
    <row r="227" spans="1:7" ht="14.45" customHeight="1">
      <c r="A227" s="1446"/>
      <c r="B227" s="1436">
        <v>2</v>
      </c>
      <c r="C227" s="1441" t="s">
        <v>4044</v>
      </c>
      <c r="D227" s="1990"/>
      <c r="E227" s="1399"/>
      <c r="F227" s="1399"/>
      <c r="G227"/>
    </row>
    <row r="228" spans="1:7" ht="14.45" customHeight="1">
      <c r="A228" s="856"/>
      <c r="B228" s="1437">
        <v>3</v>
      </c>
      <c r="C228" s="1433" t="s">
        <v>14160</v>
      </c>
      <c r="D228" s="1990"/>
      <c r="E228" s="906"/>
      <c r="F228" s="906"/>
      <c r="G228"/>
    </row>
    <row r="229" spans="1:7" ht="14.45" customHeight="1">
      <c r="A229" s="1447"/>
      <c r="B229" s="1440">
        <v>1</v>
      </c>
      <c r="C229" s="1445" t="s">
        <v>9497</v>
      </c>
      <c r="D229" s="1991"/>
      <c r="E229" s="1400"/>
      <c r="F229" s="1400"/>
      <c r="G229"/>
    </row>
    <row r="230" spans="1:7" ht="14.45" customHeight="1">
      <c r="A230" s="856"/>
      <c r="B230" s="1435"/>
      <c r="C230" s="1442" t="s">
        <v>729</v>
      </c>
      <c r="D230" s="1990"/>
      <c r="E230" s="906"/>
      <c r="F230" s="906"/>
      <c r="G230"/>
    </row>
    <row r="231" spans="1:7" ht="14.45" customHeight="1">
      <c r="A231" s="856"/>
      <c r="B231" s="1435">
        <v>1</v>
      </c>
      <c r="C231" s="1439" t="s">
        <v>316</v>
      </c>
      <c r="D231" s="1990"/>
      <c r="E231" s="906"/>
      <c r="F231" s="906"/>
      <c r="G231"/>
    </row>
    <row r="232" spans="1:7" ht="14.45" customHeight="1">
      <c r="A232" s="856"/>
      <c r="B232" s="1435"/>
      <c r="C232" s="1442" t="s">
        <v>729</v>
      </c>
      <c r="D232" s="1990"/>
      <c r="E232" s="906"/>
      <c r="F232" s="906"/>
      <c r="G232"/>
    </row>
    <row r="233" spans="1:7" ht="14.45" customHeight="1" thickBot="1">
      <c r="A233" s="2409"/>
      <c r="B233" s="1983"/>
      <c r="C233" s="1984"/>
      <c r="D233" s="1995"/>
      <c r="E233" s="1985"/>
      <c r="F233" s="1985"/>
      <c r="G233"/>
    </row>
    <row r="234" spans="1:7" ht="14.45" customHeight="1" thickBot="1">
      <c r="A234" s="1919">
        <v>5</v>
      </c>
      <c r="B234" s="2519">
        <v>19</v>
      </c>
      <c r="C234" s="2520" t="s">
        <v>14171</v>
      </c>
      <c r="D234" s="2531">
        <v>668</v>
      </c>
      <c r="E234" s="2521"/>
      <c r="F234" s="2521">
        <v>12692</v>
      </c>
      <c r="G234"/>
    </row>
    <row r="235" spans="1:7" ht="14.45" customHeight="1">
      <c r="A235" s="2455" t="s">
        <v>9502</v>
      </c>
      <c r="B235" s="1559"/>
      <c r="C235" s="2522"/>
      <c r="D235" s="2532"/>
      <c r="E235" s="2523"/>
      <c r="F235" s="2523"/>
      <c r="G235"/>
    </row>
    <row r="236" spans="1:7" ht="14.45" customHeight="1">
      <c r="A236" s="1913"/>
      <c r="B236" s="1553"/>
      <c r="C236" s="1975" t="s">
        <v>3301</v>
      </c>
      <c r="D236" s="2532"/>
      <c r="E236" s="2524"/>
      <c r="F236" s="2524"/>
      <c r="G236"/>
    </row>
    <row r="237" spans="1:7" ht="14.45" customHeight="1">
      <c r="A237" s="1913" t="s">
        <v>10377</v>
      </c>
      <c r="B237" s="1553">
        <v>1</v>
      </c>
      <c r="C237" s="1439" t="s">
        <v>4352</v>
      </c>
      <c r="D237" s="2532"/>
      <c r="E237" s="2524"/>
      <c r="F237" s="2524"/>
      <c r="G237"/>
    </row>
    <row r="238" spans="1:7" ht="14.45" customHeight="1">
      <c r="A238" s="1913" t="s">
        <v>10378</v>
      </c>
      <c r="B238" s="1553"/>
      <c r="C238" s="1439" t="s">
        <v>729</v>
      </c>
      <c r="D238" s="2532"/>
      <c r="E238" s="2524"/>
      <c r="F238" s="2524"/>
      <c r="G238"/>
    </row>
    <row r="239" spans="1:7" ht="14.45" customHeight="1">
      <c r="A239" s="1913"/>
      <c r="B239" s="1562"/>
      <c r="C239" s="1975" t="s">
        <v>14172</v>
      </c>
      <c r="D239" s="2532"/>
      <c r="E239" s="2524"/>
      <c r="F239" s="2524"/>
      <c r="G239"/>
    </row>
    <row r="240" spans="1:7" ht="14.45" customHeight="1">
      <c r="A240" s="2515" t="s">
        <v>13383</v>
      </c>
      <c r="B240" s="1553">
        <v>6</v>
      </c>
      <c r="C240" s="1439" t="s">
        <v>4347</v>
      </c>
      <c r="D240" s="2532"/>
      <c r="E240" s="2523"/>
      <c r="F240" s="2523"/>
      <c r="G240"/>
    </row>
    <row r="241" spans="1:7" ht="14.45" customHeight="1">
      <c r="A241" s="2472"/>
      <c r="B241" s="1553">
        <v>6</v>
      </c>
      <c r="C241" s="1439" t="s">
        <v>2029</v>
      </c>
      <c r="D241" s="2532"/>
      <c r="E241" s="2523"/>
      <c r="F241" s="2523"/>
      <c r="G241"/>
    </row>
    <row r="242" spans="1:7" ht="14.45" customHeight="1">
      <c r="A242" s="2472"/>
      <c r="B242" s="1553">
        <v>1</v>
      </c>
      <c r="C242" s="2525" t="s">
        <v>3070</v>
      </c>
      <c r="D242" s="2532"/>
      <c r="E242" s="2524"/>
      <c r="F242" s="2524"/>
      <c r="G242"/>
    </row>
    <row r="243" spans="1:7" ht="14.45" customHeight="1">
      <c r="A243" s="2472"/>
      <c r="B243" s="1553"/>
      <c r="C243" s="1439" t="s">
        <v>729</v>
      </c>
      <c r="D243" s="2532"/>
      <c r="E243" s="2524"/>
      <c r="F243" s="2524"/>
      <c r="G243"/>
    </row>
    <row r="244" spans="1:7" ht="14.45" customHeight="1">
      <c r="A244" s="1912"/>
      <c r="B244" s="1553">
        <v>1</v>
      </c>
      <c r="C244" s="1439" t="s">
        <v>316</v>
      </c>
      <c r="D244" s="2533"/>
      <c r="E244" s="2526"/>
      <c r="F244" s="2526"/>
      <c r="G244"/>
    </row>
    <row r="245" spans="1:7" ht="14.45" customHeight="1">
      <c r="A245" s="1746"/>
      <c r="B245" s="1553"/>
      <c r="C245" s="1439" t="s">
        <v>729</v>
      </c>
      <c r="D245" s="2532"/>
      <c r="E245" s="2524"/>
      <c r="F245" s="2524"/>
      <c r="G245"/>
    </row>
    <row r="246" spans="1:7" ht="14.45" customHeight="1" thickBot="1">
      <c r="A246" s="1746"/>
      <c r="B246" s="2527"/>
      <c r="C246" s="1984"/>
      <c r="D246" s="2534"/>
      <c r="E246" s="2528"/>
      <c r="F246" s="2528"/>
      <c r="G246"/>
    </row>
    <row r="247" spans="1:7" ht="14.45" customHeight="1" thickBot="1">
      <c r="A247" s="1919">
        <v>6</v>
      </c>
      <c r="B247" s="2519">
        <v>23</v>
      </c>
      <c r="C247" s="2520" t="s">
        <v>14173</v>
      </c>
      <c r="D247" s="2531">
        <v>480</v>
      </c>
      <c r="E247" s="2521"/>
      <c r="F247" s="2521">
        <v>11040</v>
      </c>
      <c r="G247"/>
    </row>
    <row r="248" spans="1:7" ht="14.45" customHeight="1">
      <c r="A248" s="2455" t="s">
        <v>9502</v>
      </c>
      <c r="B248" s="1559"/>
      <c r="C248" s="2522"/>
      <c r="D248" s="2532"/>
      <c r="E248" s="2523"/>
      <c r="F248" s="2523"/>
      <c r="G248"/>
    </row>
    <row r="249" spans="1:7" ht="14.45" customHeight="1">
      <c r="A249" s="1913"/>
      <c r="B249" s="1553"/>
      <c r="C249" s="1975" t="s">
        <v>3301</v>
      </c>
      <c r="D249" s="2532"/>
      <c r="E249" s="2524"/>
      <c r="F249" s="2524"/>
      <c r="G249"/>
    </row>
    <row r="250" spans="1:7" ht="14.45" customHeight="1">
      <c r="A250" s="1913" t="s">
        <v>10377</v>
      </c>
      <c r="B250" s="1553">
        <v>1</v>
      </c>
      <c r="C250" s="1439" t="s">
        <v>4352</v>
      </c>
      <c r="D250" s="2532"/>
      <c r="E250" s="2524"/>
      <c r="F250" s="2524"/>
      <c r="G250"/>
    </row>
    <row r="251" spans="1:7" ht="14.45" customHeight="1">
      <c r="A251" s="1913" t="s">
        <v>10378</v>
      </c>
      <c r="B251" s="1553"/>
      <c r="C251" s="1439" t="s">
        <v>729</v>
      </c>
      <c r="D251" s="2532"/>
      <c r="E251" s="2524"/>
      <c r="F251" s="2524"/>
      <c r="G251"/>
    </row>
    <row r="252" spans="1:7" ht="14.45" customHeight="1">
      <c r="A252" s="1913"/>
      <c r="B252" s="1562"/>
      <c r="C252" s="1975" t="s">
        <v>14172</v>
      </c>
      <c r="D252" s="2532"/>
      <c r="E252" s="2524"/>
      <c r="F252" s="2524"/>
      <c r="G252"/>
    </row>
    <row r="253" spans="1:7" ht="14.45" customHeight="1">
      <c r="A253" s="2515" t="s">
        <v>13372</v>
      </c>
      <c r="B253" s="1553">
        <v>4</v>
      </c>
      <c r="C253" s="1439" t="s">
        <v>4347</v>
      </c>
      <c r="D253" s="2532"/>
      <c r="E253" s="2523"/>
      <c r="F253" s="2523"/>
      <c r="G253"/>
    </row>
    <row r="254" spans="1:7" ht="14.45" customHeight="1">
      <c r="A254" s="2472"/>
      <c r="B254" s="1553">
        <v>4</v>
      </c>
      <c r="C254" s="1439" t="s">
        <v>2029</v>
      </c>
      <c r="D254" s="2532"/>
      <c r="E254" s="2523"/>
      <c r="F254" s="2523"/>
      <c r="G254"/>
    </row>
    <row r="255" spans="1:7" ht="14.45" customHeight="1">
      <c r="A255" s="2472"/>
      <c r="B255" s="1553">
        <v>1</v>
      </c>
      <c r="C255" s="2525" t="s">
        <v>3070</v>
      </c>
      <c r="D255" s="2532"/>
      <c r="E255" s="2524"/>
      <c r="F255" s="2524"/>
      <c r="G255"/>
    </row>
    <row r="256" spans="1:7" ht="14.45" customHeight="1">
      <c r="A256" s="1746"/>
      <c r="B256" s="1553"/>
      <c r="C256" s="1439" t="s">
        <v>729</v>
      </c>
      <c r="D256" s="2532"/>
      <c r="E256" s="2524"/>
      <c r="F256" s="2524"/>
      <c r="G256"/>
    </row>
    <row r="257" spans="1:7" ht="14.45" customHeight="1">
      <c r="A257" s="1912"/>
      <c r="B257" s="1553">
        <v>1</v>
      </c>
      <c r="C257" s="1439" t="s">
        <v>316</v>
      </c>
      <c r="D257" s="2533"/>
      <c r="E257" s="2526"/>
      <c r="F257" s="2526"/>
      <c r="G257"/>
    </row>
    <row r="258" spans="1:7" ht="14.45" customHeight="1">
      <c r="A258" s="1746"/>
      <c r="B258" s="1553"/>
      <c r="C258" s="1439" t="s">
        <v>729</v>
      </c>
      <c r="D258" s="2532"/>
      <c r="E258" s="2524"/>
      <c r="F258" s="2524"/>
      <c r="G258"/>
    </row>
    <row r="259" spans="1:7" ht="14.45" customHeight="1" thickBot="1">
      <c r="A259" s="126"/>
      <c r="B259" s="2527"/>
      <c r="C259" s="1984"/>
      <c r="D259" s="2534"/>
      <c r="E259" s="2528"/>
      <c r="F259" s="2528"/>
      <c r="G259"/>
    </row>
    <row r="260" spans="1:7" ht="14.45" customHeight="1" thickBot="1">
      <c r="A260" s="1919">
        <v>7</v>
      </c>
      <c r="B260" s="2519">
        <v>19</v>
      </c>
      <c r="C260" s="2520" t="s">
        <v>14174</v>
      </c>
      <c r="D260" s="2531">
        <v>570</v>
      </c>
      <c r="E260" s="2521"/>
      <c r="F260" s="2521">
        <v>10830</v>
      </c>
      <c r="G260"/>
    </row>
    <row r="261" spans="1:7" ht="14.45" customHeight="1">
      <c r="A261" s="2455" t="s">
        <v>9502</v>
      </c>
      <c r="B261" s="1559"/>
      <c r="C261" s="2522"/>
      <c r="D261" s="2532"/>
      <c r="E261" s="2523"/>
      <c r="F261" s="2523"/>
      <c r="G261"/>
    </row>
    <row r="262" spans="1:7" ht="14.45" customHeight="1">
      <c r="A262" s="1913"/>
      <c r="B262" s="1553"/>
      <c r="C262" s="1975" t="s">
        <v>3301</v>
      </c>
      <c r="D262" s="2532"/>
      <c r="E262" s="2524"/>
      <c r="F262" s="2524"/>
      <c r="G262"/>
    </row>
    <row r="263" spans="1:7" ht="14.45" customHeight="1">
      <c r="A263" s="1913" t="s">
        <v>10377</v>
      </c>
      <c r="B263" s="1553">
        <v>1</v>
      </c>
      <c r="C263" s="1439" t="s">
        <v>4352</v>
      </c>
      <c r="D263" s="2532"/>
      <c r="E263" s="2524"/>
      <c r="F263" s="2524"/>
      <c r="G263"/>
    </row>
    <row r="264" spans="1:7" ht="14.45" customHeight="1">
      <c r="A264" s="1913" t="s">
        <v>10378</v>
      </c>
      <c r="B264" s="1553"/>
      <c r="C264" s="1439" t="s">
        <v>729</v>
      </c>
      <c r="D264" s="2532"/>
      <c r="E264" s="2524"/>
      <c r="F264" s="2524"/>
      <c r="G264"/>
    </row>
    <row r="265" spans="1:7" ht="14.45" customHeight="1">
      <c r="A265" s="1913"/>
      <c r="B265" s="1562"/>
      <c r="C265" s="1975" t="s">
        <v>14172</v>
      </c>
      <c r="D265" s="2532"/>
      <c r="E265" s="2524"/>
      <c r="F265" s="2524"/>
      <c r="G265"/>
    </row>
    <row r="266" spans="1:7" ht="14.45" customHeight="1">
      <c r="A266" s="2472" t="s">
        <v>13372</v>
      </c>
      <c r="B266" s="1553">
        <v>5</v>
      </c>
      <c r="C266" s="1439" t="s">
        <v>4347</v>
      </c>
      <c r="D266" s="2532"/>
      <c r="E266" s="2523"/>
      <c r="F266" s="2523"/>
      <c r="G266"/>
    </row>
    <row r="267" spans="1:7" ht="14.45" customHeight="1">
      <c r="A267" s="2472"/>
      <c r="B267" s="1553">
        <v>5</v>
      </c>
      <c r="C267" s="1439" t="s">
        <v>2029</v>
      </c>
      <c r="D267" s="2532"/>
      <c r="E267" s="2523"/>
      <c r="F267" s="2523"/>
      <c r="G267"/>
    </row>
    <row r="268" spans="1:7" ht="14.45" customHeight="1">
      <c r="A268" s="2472"/>
      <c r="B268" s="1553">
        <v>1</v>
      </c>
      <c r="C268" s="2525" t="s">
        <v>3070</v>
      </c>
      <c r="D268" s="2532"/>
      <c r="E268" s="2524"/>
      <c r="F268" s="2524"/>
      <c r="G268"/>
    </row>
    <row r="269" spans="1:7" ht="14.45" customHeight="1">
      <c r="A269" s="1746"/>
      <c r="B269" s="1553"/>
      <c r="C269" s="1439" t="s">
        <v>729</v>
      </c>
      <c r="D269" s="2532"/>
      <c r="E269" s="2524"/>
      <c r="F269" s="2524"/>
      <c r="G269"/>
    </row>
    <row r="270" spans="1:7" ht="14.45" customHeight="1">
      <c r="A270" s="1912"/>
      <c r="B270" s="1553">
        <v>1</v>
      </c>
      <c r="C270" s="1439" t="s">
        <v>316</v>
      </c>
      <c r="D270" s="2533"/>
      <c r="E270" s="2526"/>
      <c r="F270" s="2526"/>
      <c r="G270"/>
    </row>
    <row r="271" spans="1:7" ht="14.45" customHeight="1">
      <c r="A271" s="1746"/>
      <c r="B271" s="1553"/>
      <c r="C271" s="1439" t="s">
        <v>729</v>
      </c>
      <c r="D271" s="2532"/>
      <c r="E271" s="2524"/>
      <c r="F271" s="2524"/>
      <c r="G271"/>
    </row>
    <row r="272" spans="1:7" ht="14.45" customHeight="1" thickBot="1">
      <c r="A272" s="1746"/>
      <c r="B272" s="2527"/>
      <c r="C272" s="1984"/>
      <c r="D272" s="2534"/>
      <c r="E272" s="2528"/>
      <c r="F272" s="2528"/>
      <c r="G272"/>
    </row>
    <row r="273" spans="1:7" ht="14.45" customHeight="1" thickBot="1">
      <c r="A273" s="1919">
        <v>8</v>
      </c>
      <c r="B273" s="2519">
        <v>6</v>
      </c>
      <c r="C273" s="2520" t="s">
        <v>14175</v>
      </c>
      <c r="D273" s="2531">
        <v>750</v>
      </c>
      <c r="E273" s="2521"/>
      <c r="F273" s="2521">
        <v>4500</v>
      </c>
      <c r="G273"/>
    </row>
    <row r="274" spans="1:7" ht="14.45" customHeight="1">
      <c r="A274" s="2455" t="s">
        <v>9502</v>
      </c>
      <c r="B274" s="1559"/>
      <c r="C274" s="2522"/>
      <c r="D274" s="2532"/>
      <c r="E274" s="2523"/>
      <c r="F274" s="2523"/>
      <c r="G274"/>
    </row>
    <row r="275" spans="1:7" ht="14.45" customHeight="1">
      <c r="A275" s="1913"/>
      <c r="B275" s="1553"/>
      <c r="C275" s="1975" t="s">
        <v>3301</v>
      </c>
      <c r="D275" s="2532"/>
      <c r="E275" s="2524"/>
      <c r="F275" s="2524"/>
      <c r="G275"/>
    </row>
    <row r="276" spans="1:7" ht="14.45" customHeight="1">
      <c r="A276" s="1913" t="s">
        <v>10377</v>
      </c>
      <c r="B276" s="1553">
        <v>1</v>
      </c>
      <c r="C276" s="1439" t="s">
        <v>4352</v>
      </c>
      <c r="D276" s="2532"/>
      <c r="E276" s="2524"/>
      <c r="F276" s="2524"/>
      <c r="G276"/>
    </row>
    <row r="277" spans="1:7" ht="14.45" customHeight="1">
      <c r="A277" s="1913" t="s">
        <v>10378</v>
      </c>
      <c r="B277" s="1553"/>
      <c r="C277" s="1439" t="s">
        <v>729</v>
      </c>
      <c r="D277" s="2532"/>
      <c r="E277" s="2524"/>
      <c r="F277" s="2524"/>
      <c r="G277"/>
    </row>
    <row r="278" spans="1:7" ht="14.45" customHeight="1">
      <c r="A278" s="1913"/>
      <c r="B278" s="1562"/>
      <c r="C278" s="1975" t="s">
        <v>14172</v>
      </c>
      <c r="D278" s="2532"/>
      <c r="E278" s="2524"/>
      <c r="F278" s="2524"/>
      <c r="G278"/>
    </row>
    <row r="279" spans="1:7" ht="14.45" customHeight="1">
      <c r="A279" s="2515" t="s">
        <v>13383</v>
      </c>
      <c r="B279" s="1553">
        <v>7</v>
      </c>
      <c r="C279" s="1439" t="s">
        <v>4347</v>
      </c>
      <c r="D279" s="2532"/>
      <c r="E279" s="2523"/>
      <c r="F279" s="2523"/>
      <c r="G279"/>
    </row>
    <row r="280" spans="1:7" ht="14.45" customHeight="1">
      <c r="A280" s="2515"/>
      <c r="B280" s="1553">
        <v>7</v>
      </c>
      <c r="C280" s="1439" t="s">
        <v>2029</v>
      </c>
      <c r="D280" s="2532"/>
      <c r="E280" s="2523"/>
      <c r="F280" s="2523"/>
      <c r="G280"/>
    </row>
    <row r="281" spans="1:7" ht="14.45" customHeight="1">
      <c r="A281" s="2515"/>
      <c r="B281" s="1553">
        <v>1</v>
      </c>
      <c r="C281" s="2525" t="s">
        <v>3070</v>
      </c>
      <c r="D281" s="2532"/>
      <c r="E281" s="2524"/>
      <c r="F281" s="2524"/>
      <c r="G281"/>
    </row>
    <row r="282" spans="1:7" ht="14.45" customHeight="1">
      <c r="A282" s="1746"/>
      <c r="B282" s="1553"/>
      <c r="C282" s="1439" t="s">
        <v>729</v>
      </c>
      <c r="D282" s="2532"/>
      <c r="E282" s="2524"/>
      <c r="F282" s="2524"/>
      <c r="G282"/>
    </row>
    <row r="283" spans="1:7" ht="14.45" customHeight="1">
      <c r="A283" s="1912"/>
      <c r="B283" s="1553">
        <v>1</v>
      </c>
      <c r="C283" s="1439" t="s">
        <v>316</v>
      </c>
      <c r="D283" s="2533"/>
      <c r="E283" s="2526"/>
      <c r="F283" s="2526"/>
      <c r="G283"/>
    </row>
    <row r="284" spans="1:7" ht="14.45" customHeight="1">
      <c r="A284" s="1746"/>
      <c r="B284" s="1553"/>
      <c r="C284" s="1439" t="s">
        <v>729</v>
      </c>
      <c r="D284" s="2532"/>
      <c r="E284" s="2524"/>
      <c r="F284" s="2524"/>
      <c r="G284"/>
    </row>
    <row r="285" spans="1:7" ht="14.45" customHeight="1" thickBot="1">
      <c r="A285" s="1746"/>
      <c r="B285" s="2527"/>
      <c r="C285" s="1984"/>
      <c r="D285" s="2534"/>
      <c r="E285" s="2528"/>
      <c r="F285" s="2528"/>
      <c r="G285"/>
    </row>
    <row r="286" spans="1:7" ht="14.45" customHeight="1" thickBot="1">
      <c r="A286" s="1919">
        <v>9</v>
      </c>
      <c r="B286" s="2519">
        <v>12</v>
      </c>
      <c r="C286" s="2520" t="s">
        <v>14176</v>
      </c>
      <c r="D286" s="2531">
        <v>480</v>
      </c>
      <c r="E286" s="2521"/>
      <c r="F286" s="2521">
        <v>5760</v>
      </c>
      <c r="G286"/>
    </row>
    <row r="287" spans="1:7" ht="14.45" customHeight="1">
      <c r="A287" s="2455" t="s">
        <v>9502</v>
      </c>
      <c r="B287" s="1559"/>
      <c r="C287" s="2522"/>
      <c r="D287" s="2532"/>
      <c r="E287" s="2523"/>
      <c r="F287" s="2523"/>
      <c r="G287"/>
    </row>
    <row r="288" spans="1:7" ht="14.45" customHeight="1">
      <c r="A288" s="1913"/>
      <c r="B288" s="1553"/>
      <c r="C288" s="1975" t="s">
        <v>3301</v>
      </c>
      <c r="D288" s="2532"/>
      <c r="E288" s="2524"/>
      <c r="F288" s="2524"/>
      <c r="G288"/>
    </row>
    <row r="289" spans="1:7" ht="14.45" customHeight="1">
      <c r="A289" s="1913" t="s">
        <v>10377</v>
      </c>
      <c r="B289" s="1553">
        <v>1</v>
      </c>
      <c r="C289" s="1439" t="s">
        <v>4352</v>
      </c>
      <c r="D289" s="2532"/>
      <c r="E289" s="2524"/>
      <c r="F289" s="2524"/>
      <c r="G289"/>
    </row>
    <row r="290" spans="1:7" ht="14.45" customHeight="1">
      <c r="A290" s="1913" t="s">
        <v>10378</v>
      </c>
      <c r="B290" s="1553"/>
      <c r="C290" s="1439" t="s">
        <v>729</v>
      </c>
      <c r="D290" s="2532"/>
      <c r="E290" s="2524"/>
      <c r="F290" s="2524"/>
      <c r="G290"/>
    </row>
    <row r="291" spans="1:7" ht="14.45" customHeight="1">
      <c r="A291" s="1913"/>
      <c r="B291" s="1562"/>
      <c r="C291" s="1975" t="s">
        <v>14172</v>
      </c>
      <c r="D291" s="2532"/>
      <c r="E291" s="2524"/>
      <c r="F291" s="2524"/>
      <c r="G291"/>
    </row>
    <row r="292" spans="1:7" ht="14.45" customHeight="1">
      <c r="A292" s="2472" t="s">
        <v>13372</v>
      </c>
      <c r="B292" s="1553">
        <v>4</v>
      </c>
      <c r="C292" s="1439" t="s">
        <v>4347</v>
      </c>
      <c r="D292" s="2532"/>
      <c r="E292" s="2523"/>
      <c r="F292" s="2523"/>
      <c r="G292"/>
    </row>
    <row r="293" spans="1:7" ht="14.45" customHeight="1">
      <c r="A293" s="2472"/>
      <c r="B293" s="1553">
        <v>4</v>
      </c>
      <c r="C293" s="1439" t="s">
        <v>2029</v>
      </c>
      <c r="D293" s="2532"/>
      <c r="E293" s="2523"/>
      <c r="F293" s="2523"/>
      <c r="G293"/>
    </row>
    <row r="294" spans="1:7" ht="14.45" customHeight="1">
      <c r="A294" s="2472"/>
      <c r="B294" s="1553">
        <v>1</v>
      </c>
      <c r="C294" s="2525" t="s">
        <v>3070</v>
      </c>
      <c r="D294" s="2532"/>
      <c r="E294" s="2524"/>
      <c r="F294" s="2524"/>
      <c r="G294"/>
    </row>
    <row r="295" spans="1:7" ht="14.45" customHeight="1">
      <c r="A295" s="1746"/>
      <c r="B295" s="1553"/>
      <c r="C295" s="1439" t="s">
        <v>729</v>
      </c>
      <c r="D295" s="2532"/>
      <c r="E295" s="2524"/>
      <c r="F295" s="2524"/>
      <c r="G295"/>
    </row>
    <row r="296" spans="1:7" ht="14.45" customHeight="1">
      <c r="A296" s="1912"/>
      <c r="B296" s="1553">
        <v>1</v>
      </c>
      <c r="C296" s="1439" t="s">
        <v>316</v>
      </c>
      <c r="D296" s="2533"/>
      <c r="E296" s="2526"/>
      <c r="F296" s="2526"/>
      <c r="G296"/>
    </row>
    <row r="297" spans="1:7" ht="14.45" customHeight="1">
      <c r="A297" s="126"/>
      <c r="B297" s="1553"/>
      <c r="C297" s="1439" t="s">
        <v>729</v>
      </c>
      <c r="D297" s="2532"/>
      <c r="E297" s="2524"/>
      <c r="F297" s="2524"/>
      <c r="G297"/>
    </row>
    <row r="298" spans="1:7" ht="14.45" customHeight="1" thickBot="1">
      <c r="A298" s="1746"/>
      <c r="B298" s="2527"/>
      <c r="C298" s="1984"/>
      <c r="D298" s="2534"/>
      <c r="E298" s="2528"/>
      <c r="F298" s="2528"/>
      <c r="G298"/>
    </row>
    <row r="299" spans="1:7" ht="14.45" customHeight="1" thickBot="1">
      <c r="A299" s="1919">
        <v>10</v>
      </c>
      <c r="B299" s="2519">
        <v>8</v>
      </c>
      <c r="C299" s="2520" t="s">
        <v>14177</v>
      </c>
      <c r="D299" s="2531">
        <v>668</v>
      </c>
      <c r="E299" s="2521"/>
      <c r="F299" s="2521">
        <v>5344</v>
      </c>
      <c r="G299"/>
    </row>
    <row r="300" spans="1:7" ht="14.45" customHeight="1">
      <c r="A300" s="2455" t="s">
        <v>9502</v>
      </c>
      <c r="B300" s="1559"/>
      <c r="C300" s="2522"/>
      <c r="D300" s="2532"/>
      <c r="E300" s="2523"/>
      <c r="F300" s="2523"/>
      <c r="G300"/>
    </row>
    <row r="301" spans="1:7" ht="14.45" customHeight="1">
      <c r="A301" s="1913"/>
      <c r="B301" s="1553"/>
      <c r="C301" s="1975" t="s">
        <v>3301</v>
      </c>
      <c r="D301" s="2532"/>
      <c r="E301" s="2524"/>
      <c r="F301" s="2524"/>
      <c r="G301"/>
    </row>
    <row r="302" spans="1:7" ht="14.45" customHeight="1">
      <c r="A302" s="1913" t="s">
        <v>10377</v>
      </c>
      <c r="B302" s="1553">
        <v>1</v>
      </c>
      <c r="C302" s="1439" t="s">
        <v>4352</v>
      </c>
      <c r="D302" s="2532"/>
      <c r="E302" s="2524"/>
      <c r="F302" s="2524"/>
      <c r="G302"/>
    </row>
    <row r="303" spans="1:7" ht="14.45" customHeight="1">
      <c r="A303" s="1913" t="s">
        <v>10378</v>
      </c>
      <c r="B303" s="1553"/>
      <c r="C303" s="1439" t="s">
        <v>729</v>
      </c>
      <c r="D303" s="2532"/>
      <c r="E303" s="2524"/>
      <c r="F303" s="2524"/>
      <c r="G303"/>
    </row>
    <row r="304" spans="1:7" ht="14.45" customHeight="1">
      <c r="A304" s="1913"/>
      <c r="B304" s="1562"/>
      <c r="C304" s="1975" t="s">
        <v>14172</v>
      </c>
      <c r="D304" s="2532"/>
      <c r="E304" s="2524"/>
      <c r="F304" s="2524"/>
      <c r="G304"/>
    </row>
    <row r="305" spans="1:7" ht="14.45" customHeight="1">
      <c r="A305" s="2472" t="s">
        <v>13383</v>
      </c>
      <c r="B305" s="1553">
        <v>6</v>
      </c>
      <c r="C305" s="1439" t="s">
        <v>4347</v>
      </c>
      <c r="D305" s="2532"/>
      <c r="E305" s="2523"/>
      <c r="F305" s="2523"/>
      <c r="G305"/>
    </row>
    <row r="306" spans="1:7" ht="14.45" customHeight="1">
      <c r="A306" s="2472"/>
      <c r="B306" s="1553">
        <v>6</v>
      </c>
      <c r="C306" s="1439" t="s">
        <v>2029</v>
      </c>
      <c r="D306" s="2532"/>
      <c r="E306" s="2523"/>
      <c r="F306" s="2523"/>
      <c r="G306"/>
    </row>
    <row r="307" spans="1:7" ht="14.45" customHeight="1">
      <c r="A307" s="2472"/>
      <c r="B307" s="1553">
        <v>1</v>
      </c>
      <c r="C307" s="2525" t="s">
        <v>3070</v>
      </c>
      <c r="D307" s="2532"/>
      <c r="E307" s="2524"/>
      <c r="F307" s="2524"/>
      <c r="G307"/>
    </row>
    <row r="308" spans="1:7" ht="14.45" customHeight="1">
      <c r="A308" s="1746"/>
      <c r="B308" s="1553"/>
      <c r="C308" s="1439" t="s">
        <v>729</v>
      </c>
      <c r="D308" s="2532"/>
      <c r="E308" s="2524"/>
      <c r="F308" s="2524"/>
      <c r="G308"/>
    </row>
    <row r="309" spans="1:7" ht="14.45" customHeight="1">
      <c r="A309" s="1912"/>
      <c r="B309" s="1553">
        <v>1</v>
      </c>
      <c r="C309" s="1439" t="s">
        <v>316</v>
      </c>
      <c r="D309" s="2533"/>
      <c r="E309" s="2526"/>
      <c r="F309" s="2526"/>
      <c r="G309"/>
    </row>
    <row r="310" spans="1:7" ht="14.45" customHeight="1">
      <c r="A310" s="1746"/>
      <c r="B310" s="1553"/>
      <c r="C310" s="1439" t="s">
        <v>729</v>
      </c>
      <c r="D310" s="2532"/>
      <c r="E310" s="2524"/>
      <c r="F310" s="2524"/>
      <c r="G310"/>
    </row>
    <row r="311" spans="1:7" ht="14.45" customHeight="1" thickBot="1">
      <c r="A311" s="1746"/>
      <c r="B311" s="2527"/>
      <c r="C311" s="1984"/>
      <c r="D311" s="2534"/>
      <c r="E311" s="2528"/>
      <c r="F311" s="2528"/>
      <c r="G311"/>
    </row>
    <row r="312" spans="1:7" ht="14.45" customHeight="1" thickBot="1">
      <c r="A312" s="1923">
        <v>11</v>
      </c>
      <c r="B312" s="1987">
        <v>1</v>
      </c>
      <c r="C312" s="1595" t="s">
        <v>14178</v>
      </c>
      <c r="D312" s="1460">
        <v>448</v>
      </c>
      <c r="E312" s="1558"/>
      <c r="F312" s="1558">
        <v>448</v>
      </c>
      <c r="G312"/>
    </row>
    <row r="313" spans="1:7" ht="14.45" customHeight="1">
      <c r="A313" s="852" t="s">
        <v>9502</v>
      </c>
      <c r="B313" s="1559"/>
      <c r="C313" s="1570"/>
      <c r="D313" s="1579"/>
      <c r="E313" s="1560"/>
      <c r="F313" s="1560"/>
      <c r="G313"/>
    </row>
    <row r="314" spans="1:7" ht="14.45" customHeight="1">
      <c r="A314" s="856" t="s">
        <v>9503</v>
      </c>
      <c r="B314" s="1553"/>
      <c r="C314" s="1441" t="s">
        <v>3301</v>
      </c>
      <c r="D314" s="1579"/>
      <c r="E314" s="1561"/>
      <c r="F314" s="1561"/>
      <c r="G314"/>
    </row>
    <row r="315" spans="1:7" ht="14.45" customHeight="1">
      <c r="A315" s="856" t="s">
        <v>4321</v>
      </c>
      <c r="B315" s="1553">
        <v>1</v>
      </c>
      <c r="C315" s="1442" t="s">
        <v>4356</v>
      </c>
      <c r="D315" s="1579"/>
      <c r="E315" s="1561"/>
      <c r="F315" s="1561"/>
      <c r="G315"/>
    </row>
    <row r="316" spans="1:7" ht="14.45" customHeight="1">
      <c r="A316" s="856"/>
      <c r="B316" s="1435"/>
      <c r="C316" s="1442" t="s">
        <v>729</v>
      </c>
      <c r="D316" s="1461"/>
      <c r="E316" s="906"/>
      <c r="F316" s="906"/>
      <c r="G316"/>
    </row>
    <row r="317" spans="1:7" ht="14.45" customHeight="1">
      <c r="A317" s="856"/>
      <c r="B317" s="1562"/>
      <c r="C317" s="1571" t="s">
        <v>3535</v>
      </c>
      <c r="D317" s="1579"/>
      <c r="E317" s="1561"/>
      <c r="F317" s="1561"/>
      <c r="G317"/>
    </row>
    <row r="318" spans="1:7" ht="14.45" customHeight="1">
      <c r="A318" s="856" t="s">
        <v>3725</v>
      </c>
      <c r="B318" s="1553">
        <v>2</v>
      </c>
      <c r="C318" s="1442" t="s">
        <v>4354</v>
      </c>
      <c r="D318" s="1579"/>
      <c r="E318" s="1560"/>
      <c r="F318" s="1560"/>
      <c r="G318"/>
    </row>
    <row r="319" spans="1:7" ht="14.45" customHeight="1">
      <c r="A319" s="856" t="s">
        <v>3726</v>
      </c>
      <c r="B319" s="1553">
        <v>2</v>
      </c>
      <c r="C319" s="1442" t="s">
        <v>4347</v>
      </c>
      <c r="D319" s="1579"/>
      <c r="E319" s="1560"/>
      <c r="F319" s="1560"/>
      <c r="G319"/>
    </row>
    <row r="320" spans="1:7" ht="14.45" customHeight="1">
      <c r="A320" s="856"/>
      <c r="B320" s="1553">
        <v>2</v>
      </c>
      <c r="C320" s="1572" t="s">
        <v>3070</v>
      </c>
      <c r="D320" s="1579"/>
      <c r="E320" s="1561"/>
      <c r="F320" s="1561"/>
      <c r="G320"/>
    </row>
    <row r="321" spans="1:7" ht="14.45" customHeight="1">
      <c r="A321" s="1873"/>
      <c r="B321" s="1435"/>
      <c r="C321" s="1442" t="s">
        <v>729</v>
      </c>
      <c r="D321" s="1461"/>
      <c r="E321" s="906"/>
      <c r="F321" s="906"/>
      <c r="G321"/>
    </row>
    <row r="322" spans="1:7" ht="14.45" customHeight="1">
      <c r="A322" s="1446"/>
      <c r="B322" s="1435">
        <v>1</v>
      </c>
      <c r="C322" s="1439" t="s">
        <v>316</v>
      </c>
      <c r="D322" s="1347"/>
      <c r="E322" s="1564"/>
      <c r="F322" s="1564"/>
      <c r="G322"/>
    </row>
    <row r="323" spans="1:7" ht="14.45" customHeight="1">
      <c r="A323" s="864"/>
      <c r="B323" s="1435"/>
      <c r="C323" s="1442" t="s">
        <v>729</v>
      </c>
      <c r="D323" s="1461"/>
      <c r="E323" s="906"/>
      <c r="F323" s="906"/>
      <c r="G323"/>
    </row>
    <row r="324" spans="1:7" ht="14.45" customHeight="1" thickBot="1">
      <c r="A324" s="1106"/>
      <c r="B324" s="1986"/>
      <c r="C324" s="1984"/>
      <c r="D324" s="1996"/>
      <c r="E324" s="1985"/>
      <c r="F324" s="1985"/>
      <c r="G324"/>
    </row>
    <row r="325" spans="1:7" ht="14.45" customHeight="1" thickBot="1">
      <c r="A325" s="1923">
        <v>12</v>
      </c>
      <c r="B325" s="1987">
        <v>1</v>
      </c>
      <c r="C325" s="1595" t="s">
        <v>14180</v>
      </c>
      <c r="D325" s="1460">
        <v>1287</v>
      </c>
      <c r="E325" s="1558"/>
      <c r="F325" s="1558">
        <v>1287</v>
      </c>
      <c r="G325"/>
    </row>
    <row r="326" spans="1:7" ht="14.45" customHeight="1">
      <c r="A326" s="852" t="s">
        <v>3207</v>
      </c>
      <c r="B326" s="1559"/>
      <c r="C326" s="1570"/>
      <c r="D326" s="1579"/>
      <c r="E326" s="1560"/>
      <c r="F326" s="1560"/>
      <c r="G326"/>
    </row>
    <row r="327" spans="1:7" ht="14.45" customHeight="1">
      <c r="A327" s="856" t="s">
        <v>4059</v>
      </c>
      <c r="B327" s="1553"/>
      <c r="C327" s="1441" t="s">
        <v>3301</v>
      </c>
      <c r="D327" s="1579"/>
      <c r="E327" s="1561"/>
      <c r="F327" s="1561"/>
      <c r="G327"/>
    </row>
    <row r="328" spans="1:7" ht="14.45" customHeight="1">
      <c r="A328" s="856" t="s">
        <v>4321</v>
      </c>
      <c r="B328" s="1553">
        <v>1</v>
      </c>
      <c r="C328" s="1442" t="s">
        <v>4356</v>
      </c>
      <c r="D328" s="1579"/>
      <c r="E328" s="1561"/>
      <c r="F328" s="1561"/>
      <c r="G328"/>
    </row>
    <row r="329" spans="1:7" ht="14.45" customHeight="1">
      <c r="A329" s="856"/>
      <c r="B329" s="1435"/>
      <c r="C329" s="1442" t="s">
        <v>729</v>
      </c>
      <c r="D329" s="1461"/>
      <c r="E329" s="906"/>
      <c r="F329" s="906"/>
      <c r="G329"/>
    </row>
    <row r="330" spans="1:7" ht="14.45" customHeight="1">
      <c r="A330" s="856"/>
      <c r="B330" s="1562"/>
      <c r="C330" s="1571" t="s">
        <v>3535</v>
      </c>
      <c r="D330" s="1579"/>
      <c r="E330" s="1561"/>
      <c r="F330" s="1561"/>
      <c r="G330"/>
    </row>
    <row r="331" spans="1:7" ht="14.45" customHeight="1">
      <c r="A331" s="856" t="s">
        <v>3725</v>
      </c>
      <c r="B331" s="1553">
        <v>3</v>
      </c>
      <c r="C331" s="1442" t="s">
        <v>4347</v>
      </c>
      <c r="D331" s="1579"/>
      <c r="E331" s="1560"/>
      <c r="F331" s="1560"/>
      <c r="G331"/>
    </row>
    <row r="332" spans="1:7" ht="14.45" customHeight="1">
      <c r="A332" s="856" t="s">
        <v>3726</v>
      </c>
      <c r="B332" s="1553">
        <v>3</v>
      </c>
      <c r="C332" s="1442" t="s">
        <v>2029</v>
      </c>
      <c r="D332" s="1579"/>
      <c r="E332" s="1560"/>
      <c r="F332" s="1560"/>
      <c r="G332"/>
    </row>
    <row r="333" spans="1:7" ht="14.45" customHeight="1">
      <c r="A333" s="856"/>
      <c r="B333" s="1553">
        <v>2</v>
      </c>
      <c r="C333" s="1572" t="s">
        <v>3070</v>
      </c>
      <c r="D333" s="1579"/>
      <c r="E333" s="1561"/>
      <c r="F333" s="1561"/>
      <c r="G333"/>
    </row>
    <row r="334" spans="1:7" ht="14.45" customHeight="1">
      <c r="A334" s="1873"/>
      <c r="B334" s="1435"/>
      <c r="C334" s="1442" t="s">
        <v>729</v>
      </c>
      <c r="D334" s="1461"/>
      <c r="E334" s="906"/>
      <c r="F334" s="906"/>
      <c r="G334"/>
    </row>
    <row r="335" spans="1:7" ht="14.45" customHeight="1">
      <c r="A335" s="1446"/>
      <c r="B335" s="1562"/>
      <c r="C335" s="1571" t="s">
        <v>3206</v>
      </c>
      <c r="D335" s="1579"/>
      <c r="E335" s="1561"/>
      <c r="F335" s="1561"/>
      <c r="G335"/>
    </row>
    <row r="336" spans="1:7" ht="14.45" customHeight="1">
      <c r="A336" s="864"/>
      <c r="B336" s="1553">
        <v>1</v>
      </c>
      <c r="C336" s="1442" t="s">
        <v>1861</v>
      </c>
      <c r="D336" s="1579"/>
      <c r="E336" s="1560"/>
      <c r="F336" s="1560"/>
      <c r="G336"/>
    </row>
    <row r="337" spans="1:7" ht="14.45" customHeight="1">
      <c r="A337" s="865"/>
      <c r="B337" s="1553">
        <v>1</v>
      </c>
      <c r="C337" s="1442" t="s">
        <v>1163</v>
      </c>
      <c r="D337" s="1579"/>
      <c r="E337" s="1560"/>
      <c r="F337" s="1560"/>
      <c r="G337"/>
    </row>
    <row r="338" spans="1:7" ht="14.45" customHeight="1">
      <c r="A338" s="865"/>
      <c r="B338" s="1553">
        <v>1</v>
      </c>
      <c r="C338" s="1442" t="s">
        <v>11253</v>
      </c>
      <c r="D338" s="1579"/>
      <c r="E338" s="1560"/>
      <c r="F338" s="1560"/>
      <c r="G338"/>
    </row>
    <row r="339" spans="1:7" ht="14.45" customHeight="1">
      <c r="A339" s="864"/>
      <c r="B339" s="1553">
        <v>1</v>
      </c>
      <c r="C339" s="1442" t="s">
        <v>1878</v>
      </c>
      <c r="D339" s="1579"/>
      <c r="E339" s="1560"/>
      <c r="F339" s="1560"/>
      <c r="G339"/>
    </row>
    <row r="340" spans="1:7" ht="14.45" customHeight="1">
      <c r="A340" s="856"/>
      <c r="B340" s="1435"/>
      <c r="C340" s="1442" t="s">
        <v>729</v>
      </c>
      <c r="D340" s="1461"/>
      <c r="E340" s="906"/>
      <c r="F340" s="906"/>
      <c r="G340"/>
    </row>
    <row r="341" spans="1:7" ht="14.45" customHeight="1">
      <c r="A341" s="865"/>
      <c r="B341" s="1435">
        <v>1</v>
      </c>
      <c r="C341" s="1439" t="s">
        <v>316</v>
      </c>
      <c r="D341" s="1347"/>
      <c r="E341" s="1564"/>
      <c r="F341" s="1564"/>
      <c r="G341"/>
    </row>
    <row r="342" spans="1:7" ht="14.45" customHeight="1">
      <c r="A342" s="856"/>
      <c r="B342" s="1435"/>
      <c r="C342" s="1442" t="s">
        <v>729</v>
      </c>
      <c r="D342" s="1461"/>
      <c r="E342" s="906"/>
      <c r="F342" s="906"/>
      <c r="G342"/>
    </row>
    <row r="343" spans="1:7" ht="14.45" customHeight="1" thickBot="1">
      <c r="A343" s="1106"/>
      <c r="B343" s="1986"/>
      <c r="C343" s="1984"/>
      <c r="D343" s="1996"/>
      <c r="E343" s="1985"/>
      <c r="F343" s="1985"/>
      <c r="G343"/>
    </row>
    <row r="344" spans="1:7" ht="14.45" customHeight="1" thickBot="1">
      <c r="A344" s="1923">
        <v>13</v>
      </c>
      <c r="B344" s="1987">
        <v>1</v>
      </c>
      <c r="C344" s="1595" t="s">
        <v>14182</v>
      </c>
      <c r="D344" s="1460">
        <v>1079</v>
      </c>
      <c r="E344" s="1558"/>
      <c r="F344" s="1558">
        <v>1079</v>
      </c>
      <c r="G344"/>
    </row>
    <row r="345" spans="1:7" ht="14.45" customHeight="1">
      <c r="A345" s="852" t="s">
        <v>3207</v>
      </c>
      <c r="B345" s="1559"/>
      <c r="C345" s="1570"/>
      <c r="D345" s="1579"/>
      <c r="E345" s="1560"/>
      <c r="F345" s="1560"/>
      <c r="G345"/>
    </row>
    <row r="346" spans="1:7" ht="14.45" customHeight="1">
      <c r="A346" s="856" t="s">
        <v>4059</v>
      </c>
      <c r="B346" s="1553"/>
      <c r="C346" s="1441" t="s">
        <v>3301</v>
      </c>
      <c r="D346" s="1579"/>
      <c r="E346" s="1561"/>
      <c r="F346" s="1561"/>
      <c r="G346"/>
    </row>
    <row r="347" spans="1:7" ht="14.45" customHeight="1">
      <c r="A347" s="856" t="s">
        <v>4321</v>
      </c>
      <c r="B347" s="1553">
        <v>1</v>
      </c>
      <c r="C347" s="1442" t="s">
        <v>4356</v>
      </c>
      <c r="D347" s="1579"/>
      <c r="E347" s="1561"/>
      <c r="F347" s="1561"/>
      <c r="G347"/>
    </row>
    <row r="348" spans="1:7" ht="14.45" customHeight="1">
      <c r="A348" s="856"/>
      <c r="B348" s="1435"/>
      <c r="C348" s="1442" t="s">
        <v>729</v>
      </c>
      <c r="D348" s="1461"/>
      <c r="E348" s="906"/>
      <c r="F348" s="906"/>
      <c r="G348"/>
    </row>
    <row r="349" spans="1:7" ht="14.45" customHeight="1">
      <c r="A349" s="856"/>
      <c r="B349" s="1562"/>
      <c r="C349" s="1571" t="s">
        <v>3535</v>
      </c>
      <c r="D349" s="1579"/>
      <c r="E349" s="1561"/>
      <c r="F349" s="1561"/>
      <c r="G349"/>
    </row>
    <row r="350" spans="1:7" ht="14.45" customHeight="1">
      <c r="A350" s="856" t="s">
        <v>3725</v>
      </c>
      <c r="B350" s="1553">
        <v>1</v>
      </c>
      <c r="C350" s="1442" t="s">
        <v>4347</v>
      </c>
      <c r="D350" s="1579"/>
      <c r="E350" s="1560"/>
      <c r="F350" s="1560"/>
      <c r="G350"/>
    </row>
    <row r="351" spans="1:7" ht="14.45" customHeight="1">
      <c r="A351" s="856" t="s">
        <v>3726</v>
      </c>
      <c r="B351" s="1553">
        <v>1</v>
      </c>
      <c r="C351" s="1442" t="s">
        <v>2029</v>
      </c>
      <c r="D351" s="1579"/>
      <c r="E351" s="1560"/>
      <c r="F351" s="1560"/>
      <c r="G351"/>
    </row>
    <row r="352" spans="1:7" ht="14.45" customHeight="1">
      <c r="A352" s="856"/>
      <c r="B352" s="1553">
        <v>2</v>
      </c>
      <c r="C352" s="1572" t="s">
        <v>3070</v>
      </c>
      <c r="D352" s="1579"/>
      <c r="E352" s="1561"/>
      <c r="F352" s="1561"/>
      <c r="G352"/>
    </row>
    <row r="353" spans="1:7" ht="14.45" customHeight="1">
      <c r="A353" s="1873"/>
      <c r="B353" s="1435"/>
      <c r="C353" s="1442" t="s">
        <v>729</v>
      </c>
      <c r="D353" s="1461"/>
      <c r="E353" s="906"/>
      <c r="F353" s="906"/>
      <c r="G353"/>
    </row>
    <row r="354" spans="1:7" ht="14.45" customHeight="1">
      <c r="A354" s="1446"/>
      <c r="B354" s="1562"/>
      <c r="C354" s="1571" t="s">
        <v>3206</v>
      </c>
      <c r="D354" s="1579"/>
      <c r="E354" s="1561"/>
      <c r="F354" s="1561"/>
      <c r="G354"/>
    </row>
    <row r="355" spans="1:7" ht="14.45" customHeight="1">
      <c r="A355" s="864"/>
      <c r="B355" s="1553">
        <v>1</v>
      </c>
      <c r="C355" s="1442" t="s">
        <v>1861</v>
      </c>
      <c r="D355" s="1579"/>
      <c r="E355" s="1560"/>
      <c r="F355" s="1560"/>
      <c r="G355"/>
    </row>
    <row r="356" spans="1:7" ht="14.45" customHeight="1">
      <c r="A356" s="865"/>
      <c r="B356" s="1553">
        <v>1</v>
      </c>
      <c r="C356" s="1442" t="s">
        <v>1163</v>
      </c>
      <c r="D356" s="1579"/>
      <c r="E356" s="1560"/>
      <c r="F356" s="1560"/>
      <c r="G356"/>
    </row>
    <row r="357" spans="1:7" ht="14.45" customHeight="1">
      <c r="A357" s="865"/>
      <c r="B357" s="1553">
        <v>1</v>
      </c>
      <c r="C357" s="1442" t="s">
        <v>11253</v>
      </c>
      <c r="D357" s="1579"/>
      <c r="E357" s="1560"/>
      <c r="F357" s="1560"/>
      <c r="G357"/>
    </row>
    <row r="358" spans="1:7" ht="14.45" customHeight="1">
      <c r="A358" s="864"/>
      <c r="B358" s="1553">
        <v>1</v>
      </c>
      <c r="C358" s="1442" t="s">
        <v>1878</v>
      </c>
      <c r="D358" s="1579"/>
      <c r="E358" s="1560"/>
      <c r="F358" s="1560"/>
      <c r="G358"/>
    </row>
    <row r="359" spans="1:7" ht="14.45" customHeight="1">
      <c r="A359" s="856"/>
      <c r="B359" s="1435"/>
      <c r="C359" s="1442" t="s">
        <v>729</v>
      </c>
      <c r="D359" s="1461"/>
      <c r="E359" s="906"/>
      <c r="F359" s="906"/>
      <c r="G359"/>
    </row>
    <row r="360" spans="1:7" ht="14.45" customHeight="1">
      <c r="A360" s="865"/>
      <c r="B360" s="1435">
        <v>1</v>
      </c>
      <c r="C360" s="1439" t="s">
        <v>316</v>
      </c>
      <c r="D360" s="1347"/>
      <c r="E360" s="1564"/>
      <c r="F360" s="1564"/>
      <c r="G360"/>
    </row>
    <row r="361" spans="1:7" ht="14.45" customHeight="1">
      <c r="A361" s="856"/>
      <c r="B361" s="1435"/>
      <c r="C361" s="1442" t="s">
        <v>729</v>
      </c>
      <c r="D361" s="1461"/>
      <c r="E361" s="906"/>
      <c r="F361" s="906"/>
      <c r="G361"/>
    </row>
    <row r="362" spans="1:7" ht="14.45" customHeight="1" thickBot="1">
      <c r="A362" s="1106"/>
      <c r="B362" s="1986"/>
      <c r="C362" s="1984"/>
      <c r="D362" s="1996"/>
      <c r="E362" s="1985"/>
      <c r="F362" s="1985"/>
      <c r="G362"/>
    </row>
    <row r="363" spans="1:7" ht="14.45" customHeight="1" thickBot="1">
      <c r="A363" s="1923">
        <v>14</v>
      </c>
      <c r="B363" s="1987">
        <v>1</v>
      </c>
      <c r="C363" s="1595" t="s">
        <v>14184</v>
      </c>
      <c r="D363" s="1460">
        <v>1098</v>
      </c>
      <c r="E363" s="1558"/>
      <c r="F363" s="1558">
        <v>1098</v>
      </c>
      <c r="G363"/>
    </row>
    <row r="364" spans="1:7" ht="14.45" customHeight="1">
      <c r="A364" s="852" t="s">
        <v>3207</v>
      </c>
      <c r="B364" s="1559"/>
      <c r="C364" s="1570"/>
      <c r="D364" s="1579"/>
      <c r="E364" s="1560"/>
      <c r="F364" s="1560"/>
      <c r="G364"/>
    </row>
    <row r="365" spans="1:7" ht="14.45" customHeight="1">
      <c r="A365" s="856" t="s">
        <v>4059</v>
      </c>
      <c r="B365" s="1553"/>
      <c r="C365" s="1441" t="s">
        <v>3301</v>
      </c>
      <c r="D365" s="1579"/>
      <c r="E365" s="1561"/>
      <c r="F365" s="1561"/>
      <c r="G365"/>
    </row>
    <row r="366" spans="1:7" ht="14.45" customHeight="1">
      <c r="A366" s="856" t="s">
        <v>4321</v>
      </c>
      <c r="B366" s="1553">
        <v>1</v>
      </c>
      <c r="C366" s="1442" t="s">
        <v>4356</v>
      </c>
      <c r="D366" s="1579"/>
      <c r="E366" s="1561"/>
      <c r="F366" s="1561"/>
      <c r="G366"/>
    </row>
    <row r="367" spans="1:7" ht="14.45" customHeight="1">
      <c r="A367" s="856"/>
      <c r="B367" s="1435"/>
      <c r="C367" s="1442" t="s">
        <v>729</v>
      </c>
      <c r="D367" s="1461"/>
      <c r="E367" s="906"/>
      <c r="F367" s="906"/>
      <c r="G367"/>
    </row>
    <row r="368" spans="1:7" ht="14.45" customHeight="1">
      <c r="A368" s="856"/>
      <c r="B368" s="1562"/>
      <c r="C368" s="1571" t="s">
        <v>3535</v>
      </c>
      <c r="D368" s="1579"/>
      <c r="E368" s="1561"/>
      <c r="F368" s="1561"/>
      <c r="G368"/>
    </row>
    <row r="369" spans="1:7" ht="14.45" customHeight="1">
      <c r="A369" s="856" t="s">
        <v>3725</v>
      </c>
      <c r="B369" s="1553">
        <v>2</v>
      </c>
      <c r="C369" s="1442" t="s">
        <v>4347</v>
      </c>
      <c r="D369" s="1579"/>
      <c r="E369" s="1560"/>
      <c r="F369" s="1560"/>
      <c r="G369"/>
    </row>
    <row r="370" spans="1:7" ht="14.45" customHeight="1">
      <c r="A370" s="856" t="s">
        <v>3726</v>
      </c>
      <c r="B370" s="1553">
        <v>1</v>
      </c>
      <c r="C370" s="1442" t="s">
        <v>2029</v>
      </c>
      <c r="D370" s="1579"/>
      <c r="E370" s="1560"/>
      <c r="F370" s="1560"/>
      <c r="G370"/>
    </row>
    <row r="371" spans="1:7" ht="14.45" customHeight="1">
      <c r="A371" s="856"/>
      <c r="B371" s="1553">
        <v>2</v>
      </c>
      <c r="C371" s="1572" t="s">
        <v>3070</v>
      </c>
      <c r="D371" s="1579"/>
      <c r="E371" s="1561"/>
      <c r="F371" s="1561"/>
      <c r="G371"/>
    </row>
    <row r="372" spans="1:7" ht="14.45" customHeight="1">
      <c r="A372" s="1873"/>
      <c r="B372" s="1435"/>
      <c r="C372" s="1442" t="s">
        <v>729</v>
      </c>
      <c r="D372" s="1461"/>
      <c r="E372" s="906"/>
      <c r="F372" s="906"/>
      <c r="G372"/>
    </row>
    <row r="373" spans="1:7" ht="14.45" customHeight="1">
      <c r="A373" s="1446"/>
      <c r="B373" s="1562"/>
      <c r="C373" s="1571" t="s">
        <v>3206</v>
      </c>
      <c r="D373" s="1579"/>
      <c r="E373" s="1561"/>
      <c r="F373" s="1561"/>
      <c r="G373"/>
    </row>
    <row r="374" spans="1:7" ht="14.45" customHeight="1">
      <c r="A374" s="864"/>
      <c r="B374" s="1553">
        <v>1</v>
      </c>
      <c r="C374" s="1442" t="s">
        <v>1861</v>
      </c>
      <c r="D374" s="1579"/>
      <c r="E374" s="1560"/>
      <c r="F374" s="1560"/>
      <c r="G374"/>
    </row>
    <row r="375" spans="1:7" ht="14.45" customHeight="1">
      <c r="A375" s="865"/>
      <c r="B375" s="1553">
        <v>1</v>
      </c>
      <c r="C375" s="1442" t="s">
        <v>1163</v>
      </c>
      <c r="D375" s="1579"/>
      <c r="E375" s="1560"/>
      <c r="F375" s="1560"/>
      <c r="G375"/>
    </row>
    <row r="376" spans="1:7" ht="14.45" customHeight="1">
      <c r="A376" s="865"/>
      <c r="B376" s="1553">
        <v>1</v>
      </c>
      <c r="C376" s="1442" t="s">
        <v>11253</v>
      </c>
      <c r="D376" s="1579"/>
      <c r="E376" s="1560"/>
      <c r="F376" s="1560"/>
      <c r="G376"/>
    </row>
    <row r="377" spans="1:7" ht="14.45" customHeight="1">
      <c r="A377" s="864"/>
      <c r="B377" s="1553">
        <v>1</v>
      </c>
      <c r="C377" s="1442" t="s">
        <v>1878</v>
      </c>
      <c r="D377" s="1579"/>
      <c r="E377" s="1560"/>
      <c r="F377" s="1560"/>
      <c r="G377"/>
    </row>
    <row r="378" spans="1:7" ht="14.45" customHeight="1">
      <c r="A378" s="856"/>
      <c r="B378" s="1435"/>
      <c r="C378" s="1442" t="s">
        <v>729</v>
      </c>
      <c r="D378" s="1461"/>
      <c r="E378" s="906"/>
      <c r="F378" s="906"/>
      <c r="G378"/>
    </row>
    <row r="379" spans="1:7" ht="14.45" customHeight="1">
      <c r="A379" s="865"/>
      <c r="B379" s="1435">
        <v>1</v>
      </c>
      <c r="C379" s="1439" t="s">
        <v>316</v>
      </c>
      <c r="D379" s="1347"/>
      <c r="E379" s="1564"/>
      <c r="F379" s="1564"/>
      <c r="G379"/>
    </row>
    <row r="380" spans="1:7" ht="14.45" customHeight="1">
      <c r="A380" s="856"/>
      <c r="B380" s="1435"/>
      <c r="C380" s="1442" t="s">
        <v>729</v>
      </c>
      <c r="D380" s="1461"/>
      <c r="E380" s="906"/>
      <c r="F380" s="906"/>
      <c r="G380"/>
    </row>
    <row r="381" spans="1:7" ht="14.45" customHeight="1" thickBot="1">
      <c r="A381" s="1106"/>
      <c r="B381" s="1986"/>
      <c r="C381" s="1984"/>
      <c r="D381" s="1996"/>
      <c r="E381" s="1985"/>
      <c r="F381" s="1985"/>
      <c r="G381"/>
    </row>
    <row r="382" spans="1:7" ht="14.45" customHeight="1" thickBot="1">
      <c r="A382" s="1923">
        <v>15</v>
      </c>
      <c r="B382" s="1987">
        <v>1</v>
      </c>
      <c r="C382" s="1595" t="s">
        <v>14185</v>
      </c>
      <c r="D382" s="1460">
        <v>697</v>
      </c>
      <c r="E382" s="1558"/>
      <c r="F382" s="1558">
        <v>697</v>
      </c>
      <c r="G382"/>
    </row>
    <row r="383" spans="1:7" ht="14.45" customHeight="1">
      <c r="A383" s="852" t="s">
        <v>9502</v>
      </c>
      <c r="B383" s="1559"/>
      <c r="C383" s="1570"/>
      <c r="D383" s="1579"/>
      <c r="E383" s="1560"/>
      <c r="F383" s="1560"/>
      <c r="G383"/>
    </row>
    <row r="384" spans="1:7" ht="14.45" customHeight="1">
      <c r="A384" s="856" t="s">
        <v>9503</v>
      </c>
      <c r="B384" s="1553"/>
      <c r="C384" s="1441" t="s">
        <v>3301</v>
      </c>
      <c r="D384" s="1579"/>
      <c r="E384" s="1561"/>
      <c r="F384" s="1561"/>
      <c r="G384"/>
    </row>
    <row r="385" spans="1:7" ht="14.45" customHeight="1">
      <c r="A385" s="856" t="s">
        <v>4321</v>
      </c>
      <c r="B385" s="1553">
        <v>1</v>
      </c>
      <c r="C385" s="1442" t="s">
        <v>4356</v>
      </c>
      <c r="D385" s="1579"/>
      <c r="E385" s="1561"/>
      <c r="F385" s="1561"/>
      <c r="G385"/>
    </row>
    <row r="386" spans="1:7" ht="14.45" customHeight="1">
      <c r="A386" s="856"/>
      <c r="B386" s="1435"/>
      <c r="C386" s="1442" t="s">
        <v>729</v>
      </c>
      <c r="D386" s="1461"/>
      <c r="E386" s="906"/>
      <c r="F386" s="906"/>
      <c r="G386"/>
    </row>
    <row r="387" spans="1:7" ht="14.45" customHeight="1">
      <c r="A387" s="856"/>
      <c r="B387" s="1562"/>
      <c r="C387" s="1571" t="s">
        <v>3535</v>
      </c>
      <c r="D387" s="1579"/>
      <c r="E387" s="1561"/>
      <c r="F387" s="1561"/>
      <c r="G387"/>
    </row>
    <row r="388" spans="1:7" ht="14.45" customHeight="1">
      <c r="A388" s="856" t="s">
        <v>3725</v>
      </c>
      <c r="B388" s="1553">
        <v>4</v>
      </c>
      <c r="C388" s="1442" t="s">
        <v>4347</v>
      </c>
      <c r="D388" s="1579"/>
      <c r="E388" s="1560"/>
      <c r="F388" s="1560"/>
      <c r="G388"/>
    </row>
    <row r="389" spans="1:7" ht="14.45" customHeight="1">
      <c r="A389" s="856" t="s">
        <v>3726</v>
      </c>
      <c r="B389" s="1553">
        <v>4</v>
      </c>
      <c r="C389" s="1442" t="s">
        <v>2029</v>
      </c>
      <c r="D389" s="1579"/>
      <c r="E389" s="1560"/>
      <c r="F389" s="1560"/>
      <c r="G389"/>
    </row>
    <row r="390" spans="1:7" ht="14.45" customHeight="1">
      <c r="A390" s="856"/>
      <c r="B390" s="1553">
        <v>2</v>
      </c>
      <c r="C390" s="1572" t="s">
        <v>3070</v>
      </c>
      <c r="D390" s="1579"/>
      <c r="E390" s="1561"/>
      <c r="F390" s="1561"/>
      <c r="G390"/>
    </row>
    <row r="391" spans="1:7" ht="14.45" customHeight="1">
      <c r="A391" s="1873"/>
      <c r="B391" s="1435"/>
      <c r="C391" s="1442" t="s">
        <v>729</v>
      </c>
      <c r="D391" s="1461"/>
      <c r="E391" s="906"/>
      <c r="F391" s="906"/>
      <c r="G391"/>
    </row>
    <row r="392" spans="1:7" ht="14.45" customHeight="1">
      <c r="A392" s="865"/>
      <c r="B392" s="1435">
        <v>1</v>
      </c>
      <c r="C392" s="1439" t="s">
        <v>316</v>
      </c>
      <c r="D392" s="1347"/>
      <c r="E392" s="1564"/>
      <c r="F392" s="1564"/>
      <c r="G392"/>
    </row>
    <row r="393" spans="1:7" ht="14.45" customHeight="1">
      <c r="A393" s="856"/>
      <c r="B393" s="1435"/>
      <c r="C393" s="1442" t="s">
        <v>729</v>
      </c>
      <c r="D393" s="1461"/>
      <c r="E393" s="906"/>
      <c r="F393" s="906"/>
      <c r="G393"/>
    </row>
    <row r="394" spans="1:7" ht="14.45" customHeight="1" thickBot="1">
      <c r="A394" s="1106"/>
      <c r="B394" s="1986"/>
      <c r="C394" s="1984"/>
      <c r="D394" s="1996"/>
      <c r="E394" s="1985"/>
      <c r="F394" s="1985"/>
      <c r="G394"/>
    </row>
    <row r="395" spans="1:7" ht="14.45" customHeight="1" thickBot="1">
      <c r="A395" s="1923">
        <v>16</v>
      </c>
      <c r="B395" s="1987">
        <v>1</v>
      </c>
      <c r="C395" s="1595" t="s">
        <v>14187</v>
      </c>
      <c r="D395" s="1460">
        <v>1699</v>
      </c>
      <c r="E395" s="1558"/>
      <c r="F395" s="1558">
        <v>1699</v>
      </c>
      <c r="G395"/>
    </row>
    <row r="396" spans="1:7" ht="14.45" customHeight="1">
      <c r="A396" s="852" t="s">
        <v>3207</v>
      </c>
      <c r="B396" s="1559"/>
      <c r="C396" s="1570"/>
      <c r="D396" s="1579"/>
      <c r="E396" s="1560"/>
      <c r="F396" s="1560"/>
      <c r="G396"/>
    </row>
    <row r="397" spans="1:7" ht="14.45" customHeight="1">
      <c r="A397" s="856" t="s">
        <v>9504</v>
      </c>
      <c r="B397" s="1553"/>
      <c r="C397" s="1441" t="s">
        <v>3301</v>
      </c>
      <c r="D397" s="1579"/>
      <c r="E397" s="1561"/>
      <c r="F397" s="1561"/>
      <c r="G397"/>
    </row>
    <row r="398" spans="1:7" ht="14.45" customHeight="1">
      <c r="A398" s="856" t="s">
        <v>4321</v>
      </c>
      <c r="B398" s="1553">
        <v>1</v>
      </c>
      <c r="C398" s="1442" t="s">
        <v>6675</v>
      </c>
      <c r="D398" s="1579"/>
      <c r="E398" s="1561"/>
      <c r="F398" s="1561"/>
      <c r="G398"/>
    </row>
    <row r="399" spans="1:7" ht="14.45" customHeight="1">
      <c r="A399" s="856"/>
      <c r="B399" s="1435"/>
      <c r="C399" s="1442" t="s">
        <v>729</v>
      </c>
      <c r="D399" s="1461"/>
      <c r="E399" s="906"/>
      <c r="F399" s="906"/>
      <c r="G399"/>
    </row>
    <row r="400" spans="1:7" ht="14.45" customHeight="1">
      <c r="A400" s="856" t="s">
        <v>3725</v>
      </c>
      <c r="B400" s="1562"/>
      <c r="C400" s="1571" t="s">
        <v>3535</v>
      </c>
      <c r="D400" s="1579"/>
      <c r="E400" s="1561"/>
      <c r="F400" s="1561"/>
      <c r="G400"/>
    </row>
    <row r="401" spans="1:7" ht="14.45" customHeight="1">
      <c r="A401" s="856" t="s">
        <v>3726</v>
      </c>
      <c r="B401" s="1553">
        <v>1</v>
      </c>
      <c r="C401" s="1442" t="s">
        <v>6674</v>
      </c>
      <c r="D401" s="1579"/>
      <c r="E401" s="1560"/>
      <c r="F401" s="1560"/>
      <c r="G401"/>
    </row>
    <row r="402" spans="1:7" ht="14.45" customHeight="1">
      <c r="A402" s="856"/>
      <c r="B402" s="1553">
        <v>1</v>
      </c>
      <c r="C402" s="1442" t="s">
        <v>4359</v>
      </c>
      <c r="D402" s="1579"/>
      <c r="E402" s="1560"/>
      <c r="F402" s="1560"/>
      <c r="G402"/>
    </row>
    <row r="403" spans="1:7" ht="14.45" customHeight="1">
      <c r="A403" s="856"/>
      <c r="B403" s="1553">
        <v>1</v>
      </c>
      <c r="C403" s="1442" t="s">
        <v>4354</v>
      </c>
      <c r="D403" s="1579"/>
      <c r="E403" s="1560"/>
      <c r="F403" s="1560"/>
      <c r="G403"/>
    </row>
    <row r="404" spans="1:7" ht="14.45" customHeight="1">
      <c r="A404" s="856"/>
      <c r="B404" s="1553">
        <v>1</v>
      </c>
      <c r="C404" s="1442" t="s">
        <v>4350</v>
      </c>
      <c r="D404" s="1579"/>
      <c r="E404" s="1560"/>
      <c r="F404" s="1560"/>
      <c r="G404"/>
    </row>
    <row r="405" spans="1:7" ht="14.45" customHeight="1">
      <c r="A405" s="856"/>
      <c r="B405" s="1553">
        <v>2</v>
      </c>
      <c r="C405" s="1572" t="s">
        <v>3076</v>
      </c>
      <c r="D405" s="1579"/>
      <c r="E405" s="1561"/>
      <c r="F405" s="1561"/>
      <c r="G405"/>
    </row>
    <row r="406" spans="1:7" ht="14.45" customHeight="1">
      <c r="A406" s="856"/>
      <c r="B406" s="1435"/>
      <c r="C406" s="1442" t="s">
        <v>729</v>
      </c>
      <c r="D406" s="1461"/>
      <c r="E406" s="906"/>
      <c r="F406" s="906"/>
      <c r="G406"/>
    </row>
    <row r="407" spans="1:7" ht="14.45" customHeight="1">
      <c r="A407" s="865"/>
      <c r="B407" s="1435">
        <v>1</v>
      </c>
      <c r="C407" s="1439" t="s">
        <v>316</v>
      </c>
      <c r="D407" s="1347"/>
      <c r="E407" s="1564"/>
      <c r="F407" s="1564"/>
      <c r="G407"/>
    </row>
    <row r="408" spans="1:7" ht="14.45" customHeight="1">
      <c r="A408" s="856"/>
      <c r="B408" s="1435"/>
      <c r="C408" s="1442" t="s">
        <v>729</v>
      </c>
      <c r="D408" s="1461"/>
      <c r="E408" s="906"/>
      <c r="F408" s="906"/>
      <c r="G408"/>
    </row>
    <row r="409" spans="1:7" ht="14.45" customHeight="1" thickBot="1">
      <c r="A409" s="2331"/>
      <c r="B409" s="1986"/>
      <c r="C409" s="1984"/>
      <c r="D409" s="1996"/>
      <c r="E409" s="1985"/>
      <c r="F409" s="1985"/>
      <c r="G409"/>
    </row>
    <row r="410" spans="1:7" ht="14.45" customHeight="1" thickBot="1">
      <c r="A410" s="1923">
        <v>17</v>
      </c>
      <c r="B410" s="1987">
        <v>1</v>
      </c>
      <c r="C410" s="1595" t="s">
        <v>14189</v>
      </c>
      <c r="D410" s="1460">
        <v>2420</v>
      </c>
      <c r="E410" s="1558"/>
      <c r="F410" s="1558">
        <v>2420</v>
      </c>
      <c r="G410"/>
    </row>
    <row r="411" spans="1:7" ht="14.45" customHeight="1">
      <c r="A411" s="852" t="s">
        <v>3207</v>
      </c>
      <c r="B411" s="1559"/>
      <c r="C411" s="1570"/>
      <c r="D411" s="1579"/>
      <c r="E411" s="1560"/>
      <c r="F411" s="1560"/>
      <c r="G411"/>
    </row>
    <row r="412" spans="1:7" ht="14.45" customHeight="1">
      <c r="A412" s="856" t="s">
        <v>4059</v>
      </c>
      <c r="B412" s="1553"/>
      <c r="C412" s="1441" t="s">
        <v>3301</v>
      </c>
      <c r="D412" s="1579"/>
      <c r="E412" s="1561"/>
      <c r="F412" s="1561"/>
      <c r="G412"/>
    </row>
    <row r="413" spans="1:7" ht="14.45" customHeight="1">
      <c r="A413" s="856" t="s">
        <v>4321</v>
      </c>
      <c r="B413" s="1553">
        <v>1</v>
      </c>
      <c r="C413" s="1442" t="s">
        <v>4356</v>
      </c>
      <c r="D413" s="1579"/>
      <c r="E413" s="1561"/>
      <c r="F413" s="1561"/>
      <c r="G413"/>
    </row>
    <row r="414" spans="1:7" ht="14.45" customHeight="1">
      <c r="A414" s="856"/>
      <c r="B414" s="1435"/>
      <c r="C414" s="1442" t="s">
        <v>729</v>
      </c>
      <c r="D414" s="1461"/>
      <c r="E414" s="906"/>
      <c r="F414" s="906"/>
      <c r="G414"/>
    </row>
    <row r="415" spans="1:7" ht="14.45" customHeight="1">
      <c r="A415" s="856"/>
      <c r="B415" s="1562"/>
      <c r="C415" s="1571" t="s">
        <v>3535</v>
      </c>
      <c r="D415" s="1579"/>
      <c r="E415" s="1561"/>
      <c r="F415" s="1561"/>
      <c r="G415"/>
    </row>
    <row r="416" spans="1:7" ht="14.45" customHeight="1">
      <c r="A416" s="856" t="s">
        <v>3725</v>
      </c>
      <c r="B416" s="1553">
        <v>3</v>
      </c>
      <c r="C416" s="1442" t="s">
        <v>4349</v>
      </c>
      <c r="D416" s="1579"/>
      <c r="E416" s="1560"/>
      <c r="F416" s="1560"/>
      <c r="G416"/>
    </row>
    <row r="417" spans="1:7" ht="14.45" customHeight="1">
      <c r="A417" s="856" t="s">
        <v>3726</v>
      </c>
      <c r="B417" s="1553">
        <v>6</v>
      </c>
      <c r="C417" s="1442" t="s">
        <v>4347</v>
      </c>
      <c r="D417" s="1579"/>
      <c r="E417" s="1560"/>
      <c r="F417" s="1560"/>
      <c r="G417"/>
    </row>
    <row r="418" spans="1:7" ht="14.45" customHeight="1">
      <c r="A418" s="856"/>
      <c r="B418" s="1553">
        <v>3</v>
      </c>
      <c r="C418" s="1442" t="s">
        <v>2030</v>
      </c>
      <c r="D418" s="1579"/>
      <c r="E418" s="1560"/>
      <c r="F418" s="1560"/>
      <c r="G418"/>
    </row>
    <row r="419" spans="1:7" ht="14.45" customHeight="1">
      <c r="A419" s="856"/>
      <c r="B419" s="1553">
        <v>6</v>
      </c>
      <c r="C419" s="1442" t="s">
        <v>2029</v>
      </c>
      <c r="D419" s="1579"/>
      <c r="E419" s="1560"/>
      <c r="F419" s="1560"/>
      <c r="G419"/>
    </row>
    <row r="420" spans="1:7" ht="14.45" customHeight="1">
      <c r="A420" s="1873"/>
      <c r="B420" s="1553">
        <v>1</v>
      </c>
      <c r="C420" s="1572" t="s">
        <v>3070</v>
      </c>
      <c r="D420" s="1579"/>
      <c r="E420" s="1561"/>
      <c r="F420" s="1561"/>
      <c r="G420"/>
    </row>
    <row r="421" spans="1:7" ht="14.45" customHeight="1">
      <c r="A421" s="856"/>
      <c r="B421" s="1435"/>
      <c r="C421" s="1442" t="s">
        <v>729</v>
      </c>
      <c r="D421" s="1461"/>
      <c r="E421" s="906"/>
      <c r="F421" s="906"/>
      <c r="G421"/>
    </row>
    <row r="422" spans="1:7" ht="14.45" customHeight="1">
      <c r="A422" s="1446"/>
      <c r="B422" s="1562"/>
      <c r="C422" s="1571" t="s">
        <v>3206</v>
      </c>
      <c r="D422" s="1579"/>
      <c r="E422" s="1561"/>
      <c r="F422" s="1561"/>
      <c r="G422"/>
    </row>
    <row r="423" spans="1:7" ht="14.45" customHeight="1">
      <c r="A423" s="864"/>
      <c r="B423" s="1553">
        <v>2</v>
      </c>
      <c r="C423" s="1442" t="s">
        <v>1861</v>
      </c>
      <c r="D423" s="1579"/>
      <c r="E423" s="1560"/>
      <c r="F423" s="1560"/>
      <c r="G423"/>
    </row>
    <row r="424" spans="1:7" ht="14.45" customHeight="1">
      <c r="A424" s="865"/>
      <c r="B424" s="1553">
        <v>1</v>
      </c>
      <c r="C424" s="1442" t="s">
        <v>1165</v>
      </c>
      <c r="D424" s="1579"/>
      <c r="E424" s="1560"/>
      <c r="F424" s="1560"/>
      <c r="G424"/>
    </row>
    <row r="425" spans="1:7" ht="14.45" customHeight="1">
      <c r="A425" s="865"/>
      <c r="B425" s="1553">
        <v>1</v>
      </c>
      <c r="C425" s="1442" t="s">
        <v>1163</v>
      </c>
      <c r="D425" s="1579"/>
      <c r="E425" s="1560"/>
      <c r="F425" s="1560"/>
      <c r="G425"/>
    </row>
    <row r="426" spans="1:7" ht="14.45" customHeight="1">
      <c r="A426" s="865"/>
      <c r="B426" s="1553">
        <v>2</v>
      </c>
      <c r="C426" s="1442" t="s">
        <v>11253</v>
      </c>
      <c r="D426" s="1579"/>
      <c r="E426" s="1560"/>
      <c r="F426" s="1560"/>
      <c r="G426"/>
    </row>
    <row r="427" spans="1:7" ht="14.45" customHeight="1">
      <c r="A427" s="864"/>
      <c r="B427" s="1553">
        <v>2</v>
      </c>
      <c r="C427" s="1442" t="s">
        <v>1878</v>
      </c>
      <c r="D427" s="1579"/>
      <c r="E427" s="1560"/>
      <c r="F427" s="1560"/>
      <c r="G427"/>
    </row>
    <row r="428" spans="1:7" ht="14.45" customHeight="1">
      <c r="A428" s="856"/>
      <c r="B428" s="1435"/>
      <c r="C428" s="1442" t="s">
        <v>729</v>
      </c>
      <c r="D428" s="1461"/>
      <c r="E428" s="906"/>
      <c r="F428" s="906"/>
      <c r="G428"/>
    </row>
    <row r="429" spans="1:7" ht="14.45" customHeight="1">
      <c r="A429" s="865"/>
      <c r="B429" s="1435">
        <v>1</v>
      </c>
      <c r="C429" s="1439" t="s">
        <v>316</v>
      </c>
      <c r="D429" s="1347"/>
      <c r="E429" s="1564"/>
      <c r="F429" s="1564"/>
      <c r="G429"/>
    </row>
    <row r="430" spans="1:7" ht="14.45" customHeight="1">
      <c r="A430" s="856"/>
      <c r="B430" s="1435"/>
      <c r="C430" s="1442" t="s">
        <v>729</v>
      </c>
      <c r="D430" s="1461"/>
      <c r="E430" s="906"/>
      <c r="F430" s="906"/>
      <c r="G430"/>
    </row>
    <row r="431" spans="1:7" ht="14.45" customHeight="1" thickBot="1">
      <c r="A431" s="1106"/>
      <c r="B431" s="1986"/>
      <c r="C431" s="1984"/>
      <c r="D431" s="1996"/>
      <c r="E431" s="1985"/>
      <c r="F431" s="1985"/>
      <c r="G431"/>
    </row>
    <row r="432" spans="1:7" ht="14.45" customHeight="1" thickBot="1">
      <c r="A432" s="1923">
        <v>18</v>
      </c>
      <c r="B432" s="1987">
        <v>1</v>
      </c>
      <c r="C432" s="1595" t="s">
        <v>14191</v>
      </c>
      <c r="D432" s="1460">
        <v>1870</v>
      </c>
      <c r="E432" s="1558"/>
      <c r="F432" s="1558">
        <v>1870</v>
      </c>
      <c r="G432"/>
    </row>
    <row r="433" spans="1:7" ht="14.45" customHeight="1">
      <c r="A433" s="852" t="s">
        <v>3207</v>
      </c>
      <c r="B433" s="1559"/>
      <c r="C433" s="1570"/>
      <c r="D433" s="1579"/>
      <c r="E433" s="1560"/>
      <c r="F433" s="1560"/>
      <c r="G433"/>
    </row>
    <row r="434" spans="1:7" ht="14.45" customHeight="1">
      <c r="A434" s="856" t="s">
        <v>4059</v>
      </c>
      <c r="B434" s="1553"/>
      <c r="C434" s="1441" t="s">
        <v>3301</v>
      </c>
      <c r="D434" s="1579"/>
      <c r="E434" s="1561"/>
      <c r="F434" s="1561"/>
      <c r="G434"/>
    </row>
    <row r="435" spans="1:7" ht="14.45" customHeight="1">
      <c r="A435" s="856" t="s">
        <v>4321</v>
      </c>
      <c r="B435" s="1553">
        <v>1</v>
      </c>
      <c r="C435" s="1442" t="s">
        <v>4356</v>
      </c>
      <c r="D435" s="1579"/>
      <c r="E435" s="1561"/>
      <c r="F435" s="1561"/>
      <c r="G435"/>
    </row>
    <row r="436" spans="1:7" ht="14.45" customHeight="1">
      <c r="A436" s="856"/>
      <c r="B436" s="1435"/>
      <c r="C436" s="1442" t="s">
        <v>729</v>
      </c>
      <c r="D436" s="1461"/>
      <c r="E436" s="906"/>
      <c r="F436" s="906"/>
      <c r="G436"/>
    </row>
    <row r="437" spans="1:7" ht="14.45" customHeight="1">
      <c r="A437" s="856"/>
      <c r="B437" s="1562"/>
      <c r="C437" s="1571" t="s">
        <v>3535</v>
      </c>
      <c r="D437" s="1579"/>
      <c r="E437" s="1561"/>
      <c r="F437" s="1561"/>
      <c r="G437"/>
    </row>
    <row r="438" spans="1:7" ht="14.45" customHeight="1">
      <c r="A438" s="856" t="s">
        <v>3725</v>
      </c>
      <c r="B438" s="1553">
        <v>4</v>
      </c>
      <c r="C438" s="1442" t="s">
        <v>4347</v>
      </c>
      <c r="D438" s="1579"/>
      <c r="E438" s="1560"/>
      <c r="F438" s="1560"/>
      <c r="G438"/>
    </row>
    <row r="439" spans="1:7" ht="14.45" customHeight="1">
      <c r="A439" s="856" t="s">
        <v>3726</v>
      </c>
      <c r="B439" s="1553">
        <v>4</v>
      </c>
      <c r="C439" s="1442" t="s">
        <v>2029</v>
      </c>
      <c r="D439" s="1579"/>
      <c r="E439" s="1560"/>
      <c r="F439" s="1560"/>
      <c r="G439"/>
    </row>
    <row r="440" spans="1:7" ht="14.45" customHeight="1">
      <c r="A440" s="856"/>
      <c r="B440" s="1553">
        <v>1</v>
      </c>
      <c r="C440" s="1572" t="s">
        <v>3070</v>
      </c>
      <c r="D440" s="1579"/>
      <c r="E440" s="1561"/>
      <c r="F440" s="1561"/>
      <c r="G440"/>
    </row>
    <row r="441" spans="1:7" ht="14.45" customHeight="1">
      <c r="A441" s="1873"/>
      <c r="B441" s="1435"/>
      <c r="C441" s="1442" t="s">
        <v>729</v>
      </c>
      <c r="D441" s="1461"/>
      <c r="E441" s="906"/>
      <c r="F441" s="906"/>
      <c r="G441"/>
    </row>
    <row r="442" spans="1:7" ht="14.45" customHeight="1">
      <c r="A442" s="1873"/>
      <c r="B442" s="1562"/>
      <c r="C442" s="1571" t="s">
        <v>3206</v>
      </c>
      <c r="D442" s="1579"/>
      <c r="E442" s="1561"/>
      <c r="F442" s="1561"/>
      <c r="G442"/>
    </row>
    <row r="443" spans="1:7" ht="14.45" customHeight="1">
      <c r="A443" s="856"/>
      <c r="B443" s="1553">
        <v>2</v>
      </c>
      <c r="C443" s="1442" t="s">
        <v>1861</v>
      </c>
      <c r="D443" s="1579"/>
      <c r="E443" s="1560"/>
      <c r="F443" s="1560"/>
      <c r="G443"/>
    </row>
    <row r="444" spans="1:7" ht="14.45" customHeight="1">
      <c r="A444" s="1446"/>
      <c r="B444" s="1553">
        <v>1</v>
      </c>
      <c r="C444" s="1442" t="s">
        <v>1165</v>
      </c>
      <c r="D444" s="1579"/>
      <c r="E444" s="1560"/>
      <c r="F444" s="1560"/>
      <c r="G444"/>
    </row>
    <row r="445" spans="1:7" ht="14.45" customHeight="1">
      <c r="A445" s="865"/>
      <c r="B445" s="1553">
        <v>1</v>
      </c>
      <c r="C445" s="1442" t="s">
        <v>1163</v>
      </c>
      <c r="D445" s="1579"/>
      <c r="E445" s="1560"/>
      <c r="F445" s="1560"/>
      <c r="G445"/>
    </row>
    <row r="446" spans="1:7" ht="14.45" customHeight="1">
      <c r="A446" s="865"/>
      <c r="B446" s="1553">
        <v>2</v>
      </c>
      <c r="C446" s="1442" t="s">
        <v>11253</v>
      </c>
      <c r="D446" s="1579"/>
      <c r="E446" s="1560"/>
      <c r="F446" s="1560"/>
      <c r="G446"/>
    </row>
    <row r="447" spans="1:7" ht="14.45" customHeight="1">
      <c r="A447" s="864"/>
      <c r="B447" s="1553">
        <v>2</v>
      </c>
      <c r="C447" s="1442" t="s">
        <v>1878</v>
      </c>
      <c r="D447" s="1579"/>
      <c r="E447" s="1560"/>
      <c r="F447" s="1560"/>
      <c r="G447"/>
    </row>
    <row r="448" spans="1:7" ht="14.45" customHeight="1">
      <c r="A448" s="856"/>
      <c r="B448" s="1435"/>
      <c r="C448" s="1442" t="s">
        <v>729</v>
      </c>
      <c r="D448" s="1461"/>
      <c r="E448" s="906"/>
      <c r="F448" s="906"/>
      <c r="G448"/>
    </row>
    <row r="449" spans="1:7" ht="14.45" customHeight="1">
      <c r="A449" s="865"/>
      <c r="B449" s="1435">
        <v>1</v>
      </c>
      <c r="C449" s="1439" t="s">
        <v>316</v>
      </c>
      <c r="D449" s="1347"/>
      <c r="E449" s="1564"/>
      <c r="F449" s="1564"/>
      <c r="G449"/>
    </row>
    <row r="450" spans="1:7" ht="14.45" customHeight="1">
      <c r="A450" s="856"/>
      <c r="B450" s="1435"/>
      <c r="C450" s="1442" t="s">
        <v>729</v>
      </c>
      <c r="D450" s="1461"/>
      <c r="E450" s="906"/>
      <c r="F450" s="906"/>
      <c r="G450"/>
    </row>
    <row r="451" spans="1:7" ht="14.45" customHeight="1" thickBot="1">
      <c r="A451" s="1106"/>
      <c r="B451" s="1986"/>
      <c r="C451" s="1984"/>
      <c r="D451" s="1996"/>
      <c r="E451" s="1985"/>
      <c r="F451" s="1985"/>
      <c r="G451"/>
    </row>
    <row r="452" spans="1:7" ht="14.45" customHeight="1" thickBot="1">
      <c r="A452" s="1923">
        <v>19</v>
      </c>
      <c r="B452" s="1987">
        <v>1</v>
      </c>
      <c r="C452" s="1595" t="s">
        <v>14193</v>
      </c>
      <c r="D452" s="1460">
        <v>1210</v>
      </c>
      <c r="E452" s="1558"/>
      <c r="F452" s="1558">
        <v>1210</v>
      </c>
      <c r="G452"/>
    </row>
    <row r="453" spans="1:7" ht="14.45" customHeight="1">
      <c r="A453" s="852" t="s">
        <v>3207</v>
      </c>
      <c r="B453" s="1559"/>
      <c r="C453" s="1570"/>
      <c r="D453" s="1579"/>
      <c r="E453" s="1560"/>
      <c r="F453" s="1560"/>
      <c r="G453"/>
    </row>
    <row r="454" spans="1:7" ht="14.45" customHeight="1">
      <c r="A454" s="856" t="s">
        <v>4059</v>
      </c>
      <c r="B454" s="1553"/>
      <c r="C454" s="1441" t="s">
        <v>3301</v>
      </c>
      <c r="D454" s="1579"/>
      <c r="E454" s="1561"/>
      <c r="F454" s="1561"/>
      <c r="G454"/>
    </row>
    <row r="455" spans="1:7" ht="14.45" customHeight="1">
      <c r="A455" s="856" t="s">
        <v>4321</v>
      </c>
      <c r="B455" s="1553">
        <v>1</v>
      </c>
      <c r="C455" s="1442" t="s">
        <v>4356</v>
      </c>
      <c r="D455" s="1579"/>
      <c r="E455" s="1561"/>
      <c r="F455" s="1561"/>
      <c r="G455"/>
    </row>
    <row r="456" spans="1:7" ht="14.45" customHeight="1">
      <c r="A456" s="856"/>
      <c r="B456" s="1435"/>
      <c r="C456" s="1442" t="s">
        <v>729</v>
      </c>
      <c r="D456" s="1461"/>
      <c r="E456" s="906"/>
      <c r="F456" s="906"/>
      <c r="G456"/>
    </row>
    <row r="457" spans="1:7" ht="14.45" customHeight="1">
      <c r="A457" s="856"/>
      <c r="B457" s="1562"/>
      <c r="C457" s="1571" t="s">
        <v>3535</v>
      </c>
      <c r="D457" s="1579"/>
      <c r="E457" s="1561"/>
      <c r="F457" s="1561"/>
      <c r="G457"/>
    </row>
    <row r="458" spans="1:7" ht="14.45" customHeight="1">
      <c r="A458" s="856" t="s">
        <v>3725</v>
      </c>
      <c r="B458" s="1553">
        <v>3</v>
      </c>
      <c r="C458" s="1442" t="s">
        <v>4347</v>
      </c>
      <c r="D458" s="1579"/>
      <c r="E458" s="1560"/>
      <c r="F458" s="1560"/>
      <c r="G458"/>
    </row>
    <row r="459" spans="1:7" ht="14.45" customHeight="1">
      <c r="A459" s="856" t="s">
        <v>3726</v>
      </c>
      <c r="B459" s="1553">
        <v>3</v>
      </c>
      <c r="C459" s="1442" t="s">
        <v>2029</v>
      </c>
      <c r="D459" s="1579"/>
      <c r="E459" s="1560"/>
      <c r="F459" s="1560"/>
      <c r="G459"/>
    </row>
    <row r="460" spans="1:7" ht="14.45" customHeight="1">
      <c r="A460" s="856"/>
      <c r="B460" s="1553">
        <v>1</v>
      </c>
      <c r="C460" s="1572" t="s">
        <v>3070</v>
      </c>
      <c r="D460" s="1579"/>
      <c r="E460" s="1561"/>
      <c r="F460" s="1561"/>
      <c r="G460"/>
    </row>
    <row r="461" spans="1:7" ht="14.45" customHeight="1">
      <c r="A461" s="1873"/>
      <c r="B461" s="1435"/>
      <c r="C461" s="1442" t="s">
        <v>729</v>
      </c>
      <c r="D461" s="1461"/>
      <c r="E461" s="906"/>
      <c r="F461" s="906"/>
      <c r="G461"/>
    </row>
    <row r="462" spans="1:7" ht="14.45" customHeight="1">
      <c r="A462" s="1873"/>
      <c r="B462" s="1562"/>
      <c r="C462" s="1571" t="s">
        <v>3206</v>
      </c>
      <c r="D462" s="1579"/>
      <c r="E462" s="1561"/>
      <c r="F462" s="1561"/>
      <c r="G462"/>
    </row>
    <row r="463" spans="1:7" ht="14.45" customHeight="1">
      <c r="A463" s="856"/>
      <c r="B463" s="1553">
        <v>1</v>
      </c>
      <c r="C463" s="1442" t="s">
        <v>1861</v>
      </c>
      <c r="D463" s="1579"/>
      <c r="E463" s="1560"/>
      <c r="F463" s="1560"/>
      <c r="G463"/>
    </row>
    <row r="464" spans="1:7" ht="14.45" customHeight="1">
      <c r="A464" s="865"/>
      <c r="B464" s="1553">
        <v>1</v>
      </c>
      <c r="C464" s="1442" t="s">
        <v>1163</v>
      </c>
      <c r="D464" s="1579"/>
      <c r="E464" s="1560"/>
      <c r="F464" s="1560"/>
      <c r="G464"/>
    </row>
    <row r="465" spans="1:7" ht="14.45" customHeight="1">
      <c r="A465" s="865"/>
      <c r="B465" s="1553">
        <v>1</v>
      </c>
      <c r="C465" s="1442" t="s">
        <v>11253</v>
      </c>
      <c r="D465" s="1579"/>
      <c r="E465" s="1560"/>
      <c r="F465" s="1560"/>
      <c r="G465"/>
    </row>
    <row r="466" spans="1:7" ht="14.45" customHeight="1">
      <c r="A466" s="864"/>
      <c r="B466" s="1553">
        <v>1</v>
      </c>
      <c r="C466" s="1442" t="s">
        <v>1878</v>
      </c>
      <c r="D466" s="1579"/>
      <c r="E466" s="1560"/>
      <c r="F466" s="1560"/>
      <c r="G466"/>
    </row>
    <row r="467" spans="1:7" ht="14.45" customHeight="1">
      <c r="A467" s="856"/>
      <c r="B467" s="1435"/>
      <c r="C467" s="1442" t="s">
        <v>729</v>
      </c>
      <c r="D467" s="1461"/>
      <c r="E467" s="906"/>
      <c r="F467" s="906"/>
      <c r="G467"/>
    </row>
    <row r="468" spans="1:7" ht="14.45" customHeight="1">
      <c r="A468" s="865"/>
      <c r="B468" s="1435">
        <v>1</v>
      </c>
      <c r="C468" s="1439" t="s">
        <v>316</v>
      </c>
      <c r="D468" s="1347"/>
      <c r="E468" s="1564"/>
      <c r="F468" s="1564"/>
      <c r="G468"/>
    </row>
    <row r="469" spans="1:7" ht="14.45" customHeight="1">
      <c r="A469" s="856"/>
      <c r="B469" s="1435"/>
      <c r="C469" s="1442" t="s">
        <v>729</v>
      </c>
      <c r="D469" s="1461"/>
      <c r="E469" s="906"/>
      <c r="F469" s="906"/>
      <c r="G469"/>
    </row>
    <row r="470" spans="1:7" ht="14.45" customHeight="1" thickBot="1">
      <c r="A470" s="1106"/>
      <c r="B470" s="1986"/>
      <c r="C470" s="1984"/>
      <c r="D470" s="1996"/>
      <c r="E470" s="1985"/>
      <c r="F470" s="1985"/>
      <c r="G470"/>
    </row>
    <row r="471" spans="1:7" ht="14.45" customHeight="1" thickBot="1">
      <c r="A471" s="1923">
        <v>20</v>
      </c>
      <c r="B471" s="1987">
        <v>1</v>
      </c>
      <c r="C471" s="1595" t="s">
        <v>14195</v>
      </c>
      <c r="D471" s="1460">
        <v>1613</v>
      </c>
      <c r="E471" s="1558"/>
      <c r="F471" s="1558">
        <v>1613</v>
      </c>
      <c r="G471"/>
    </row>
    <row r="472" spans="1:7" ht="14.45" customHeight="1">
      <c r="A472" s="852" t="s">
        <v>3207</v>
      </c>
      <c r="B472" s="1559"/>
      <c r="C472" s="1570"/>
      <c r="D472" s="1579"/>
      <c r="E472" s="1560"/>
      <c r="F472" s="1560"/>
      <c r="G472"/>
    </row>
    <row r="473" spans="1:7" ht="14.45" customHeight="1">
      <c r="A473" s="856" t="s">
        <v>4059</v>
      </c>
      <c r="B473" s="1553"/>
      <c r="C473" s="1441" t="s">
        <v>3301</v>
      </c>
      <c r="D473" s="1579"/>
      <c r="E473" s="1561"/>
      <c r="F473" s="1561"/>
      <c r="G473"/>
    </row>
    <row r="474" spans="1:7" ht="14.45" customHeight="1">
      <c r="A474" s="856" t="s">
        <v>4321</v>
      </c>
      <c r="B474" s="1553">
        <v>1</v>
      </c>
      <c r="C474" s="1442" t="s">
        <v>4356</v>
      </c>
      <c r="D474" s="1579"/>
      <c r="E474" s="1561"/>
      <c r="F474" s="1561"/>
      <c r="G474"/>
    </row>
    <row r="475" spans="1:7" ht="14.45" customHeight="1">
      <c r="A475" s="856"/>
      <c r="B475" s="1435"/>
      <c r="C475" s="1442" t="s">
        <v>729</v>
      </c>
      <c r="D475" s="1461"/>
      <c r="E475" s="906"/>
      <c r="F475" s="906"/>
      <c r="G475"/>
    </row>
    <row r="476" spans="1:7" ht="14.45" customHeight="1">
      <c r="A476" s="856"/>
      <c r="B476" s="1562"/>
      <c r="C476" s="1571" t="s">
        <v>3535</v>
      </c>
      <c r="D476" s="1579"/>
      <c r="E476" s="1561"/>
      <c r="F476" s="1561"/>
      <c r="G476"/>
    </row>
    <row r="477" spans="1:7" ht="14.45" customHeight="1">
      <c r="A477" s="856" t="s">
        <v>3725</v>
      </c>
      <c r="B477" s="1553">
        <v>6</v>
      </c>
      <c r="C477" s="1442" t="s">
        <v>4347</v>
      </c>
      <c r="D477" s="1579"/>
      <c r="E477" s="1560"/>
      <c r="F477" s="1560"/>
      <c r="G477"/>
    </row>
    <row r="478" spans="1:7" ht="14.45" customHeight="1">
      <c r="A478" s="856" t="s">
        <v>3726</v>
      </c>
      <c r="B478" s="1553">
        <v>6</v>
      </c>
      <c r="C478" s="1442" t="s">
        <v>2029</v>
      </c>
      <c r="D478" s="1579"/>
      <c r="E478" s="1560"/>
      <c r="F478" s="1560"/>
      <c r="G478"/>
    </row>
    <row r="479" spans="1:7" ht="14.45" customHeight="1">
      <c r="A479" s="856"/>
      <c r="B479" s="1553">
        <v>1</v>
      </c>
      <c r="C479" s="1572" t="s">
        <v>3070</v>
      </c>
      <c r="D479" s="1579"/>
      <c r="E479" s="1561"/>
      <c r="F479" s="1561"/>
      <c r="G479"/>
    </row>
    <row r="480" spans="1:7" ht="14.45" customHeight="1">
      <c r="A480" s="1873"/>
      <c r="B480" s="1435"/>
      <c r="C480" s="1442" t="s">
        <v>729</v>
      </c>
      <c r="D480" s="1461"/>
      <c r="E480" s="906"/>
      <c r="F480" s="906"/>
      <c r="G480"/>
    </row>
    <row r="481" spans="1:7" ht="14.45" customHeight="1">
      <c r="A481" s="1873"/>
      <c r="B481" s="1562"/>
      <c r="C481" s="1571" t="s">
        <v>3206</v>
      </c>
      <c r="D481" s="1579"/>
      <c r="E481" s="1561"/>
      <c r="F481" s="1561"/>
      <c r="G481"/>
    </row>
    <row r="482" spans="1:7" ht="14.45" customHeight="1">
      <c r="A482" s="856"/>
      <c r="B482" s="1553">
        <v>1</v>
      </c>
      <c r="C482" s="1442" t="s">
        <v>1861</v>
      </c>
      <c r="D482" s="1579"/>
      <c r="E482" s="1560"/>
      <c r="F482" s="1560"/>
      <c r="G482"/>
    </row>
    <row r="483" spans="1:7" ht="14.45" customHeight="1">
      <c r="A483" s="865"/>
      <c r="B483" s="1553">
        <v>2</v>
      </c>
      <c r="C483" s="1442" t="s">
        <v>1163</v>
      </c>
      <c r="D483" s="1579"/>
      <c r="E483" s="1560"/>
      <c r="F483" s="1560"/>
      <c r="G483"/>
    </row>
    <row r="484" spans="1:7" ht="14.45" customHeight="1">
      <c r="A484" s="865"/>
      <c r="B484" s="1553">
        <v>1</v>
      </c>
      <c r="C484" s="1442" t="s">
        <v>11253</v>
      </c>
      <c r="D484" s="1579"/>
      <c r="E484" s="1560"/>
      <c r="F484" s="1560"/>
      <c r="G484"/>
    </row>
    <row r="485" spans="1:7" ht="14.45" customHeight="1">
      <c r="A485" s="864"/>
      <c r="B485" s="1553">
        <v>1</v>
      </c>
      <c r="C485" s="1442" t="s">
        <v>1878</v>
      </c>
      <c r="D485" s="1579"/>
      <c r="E485" s="1560"/>
      <c r="F485" s="1560"/>
      <c r="G485"/>
    </row>
    <row r="486" spans="1:7" ht="14.45" customHeight="1">
      <c r="A486" s="856"/>
      <c r="B486" s="1435"/>
      <c r="C486" s="1442" t="s">
        <v>729</v>
      </c>
      <c r="D486" s="1461"/>
      <c r="E486" s="906"/>
      <c r="F486" s="906"/>
      <c r="G486"/>
    </row>
    <row r="487" spans="1:7" ht="14.45" customHeight="1">
      <c r="A487" s="865"/>
      <c r="B487" s="1435">
        <v>1</v>
      </c>
      <c r="C487" s="1439" t="s">
        <v>316</v>
      </c>
      <c r="D487" s="1347"/>
      <c r="E487" s="1564"/>
      <c r="F487" s="1564"/>
      <c r="G487"/>
    </row>
    <row r="488" spans="1:7" ht="14.45" customHeight="1">
      <c r="A488" s="856"/>
      <c r="B488" s="1435"/>
      <c r="C488" s="1442" t="s">
        <v>729</v>
      </c>
      <c r="D488" s="1461"/>
      <c r="E488" s="906"/>
      <c r="F488" s="906"/>
      <c r="G488"/>
    </row>
    <row r="489" spans="1:7" ht="14.45" customHeight="1" thickBot="1">
      <c r="A489" s="2331"/>
      <c r="B489" s="1986"/>
      <c r="C489" s="1984"/>
      <c r="D489" s="1996"/>
      <c r="E489" s="1985"/>
      <c r="F489" s="1985"/>
      <c r="G489"/>
    </row>
    <row r="490" spans="1:7" ht="14.45" customHeight="1" thickBot="1">
      <c r="A490" s="1923">
        <v>21</v>
      </c>
      <c r="B490" s="1987">
        <v>1</v>
      </c>
      <c r="C490" s="1595" t="s">
        <v>14196</v>
      </c>
      <c r="D490" s="1460">
        <v>742</v>
      </c>
      <c r="E490" s="1558"/>
      <c r="F490" s="1558">
        <v>742</v>
      </c>
      <c r="G490"/>
    </row>
    <row r="491" spans="1:7" ht="14.45" customHeight="1">
      <c r="A491" s="852" t="s">
        <v>9502</v>
      </c>
      <c r="B491" s="1559"/>
      <c r="C491" s="1570"/>
      <c r="D491" s="1579"/>
      <c r="E491" s="1560"/>
      <c r="F491" s="1560"/>
      <c r="G491"/>
    </row>
    <row r="492" spans="1:7" ht="14.45" customHeight="1">
      <c r="A492" s="856" t="s">
        <v>9503</v>
      </c>
      <c r="B492" s="1553"/>
      <c r="C492" s="1441" t="s">
        <v>3301</v>
      </c>
      <c r="D492" s="1579"/>
      <c r="E492" s="1561"/>
      <c r="F492" s="1561"/>
      <c r="G492"/>
    </row>
    <row r="493" spans="1:7" ht="14.45" customHeight="1">
      <c r="A493" s="856" t="s">
        <v>4321</v>
      </c>
      <c r="B493" s="1553">
        <v>1</v>
      </c>
      <c r="C493" s="1442" t="s">
        <v>4356</v>
      </c>
      <c r="D493" s="1579"/>
      <c r="E493" s="1561"/>
      <c r="F493" s="1561"/>
      <c r="G493"/>
    </row>
    <row r="494" spans="1:7" ht="14.45" customHeight="1">
      <c r="A494" s="856"/>
      <c r="B494" s="1435"/>
      <c r="C494" s="1442" t="s">
        <v>729</v>
      </c>
      <c r="D494" s="1461"/>
      <c r="E494" s="906"/>
      <c r="F494" s="906"/>
      <c r="G494"/>
    </row>
    <row r="495" spans="1:7" ht="14.45" customHeight="1">
      <c r="A495" s="856"/>
      <c r="B495" s="1562"/>
      <c r="C495" s="1571" t="s">
        <v>3535</v>
      </c>
      <c r="D495" s="1579"/>
      <c r="E495" s="1561"/>
      <c r="F495" s="1561"/>
      <c r="G495"/>
    </row>
    <row r="496" spans="1:7" ht="14.45" customHeight="1">
      <c r="A496" s="856" t="s">
        <v>3725</v>
      </c>
      <c r="B496" s="1553">
        <v>5</v>
      </c>
      <c r="C496" s="1442" t="s">
        <v>4347</v>
      </c>
      <c r="D496" s="1579"/>
      <c r="E496" s="1560"/>
      <c r="F496" s="1560"/>
      <c r="G496"/>
    </row>
    <row r="497" spans="1:7" ht="14.45" customHeight="1">
      <c r="A497" s="856" t="s">
        <v>3726</v>
      </c>
      <c r="B497" s="1553">
        <v>5</v>
      </c>
      <c r="C497" s="1442" t="s">
        <v>2029</v>
      </c>
      <c r="D497" s="1579"/>
      <c r="E497" s="1560"/>
      <c r="F497" s="1560"/>
      <c r="G497"/>
    </row>
    <row r="498" spans="1:7" ht="14.45" customHeight="1">
      <c r="A498" s="856"/>
      <c r="B498" s="1553">
        <v>1</v>
      </c>
      <c r="C498" s="1572" t="s">
        <v>3070</v>
      </c>
      <c r="D498" s="1579"/>
      <c r="E498" s="1561"/>
      <c r="F498" s="1561"/>
      <c r="G498"/>
    </row>
    <row r="499" spans="1:7" ht="14.45" customHeight="1">
      <c r="A499" s="1873"/>
      <c r="B499" s="1435"/>
      <c r="C499" s="1442" t="s">
        <v>729</v>
      </c>
      <c r="D499" s="1461"/>
      <c r="E499" s="906"/>
      <c r="F499" s="906"/>
      <c r="G499"/>
    </row>
    <row r="500" spans="1:7" ht="14.45" customHeight="1">
      <c r="A500" s="865"/>
      <c r="B500" s="1435">
        <v>1</v>
      </c>
      <c r="C500" s="1439" t="s">
        <v>316</v>
      </c>
      <c r="D500" s="1347"/>
      <c r="E500" s="1564"/>
      <c r="F500" s="1564"/>
      <c r="G500"/>
    </row>
    <row r="501" spans="1:7" ht="14.45" customHeight="1">
      <c r="A501" s="856"/>
      <c r="B501" s="1435"/>
      <c r="C501" s="1442" t="s">
        <v>729</v>
      </c>
      <c r="D501" s="1461"/>
      <c r="E501" s="906"/>
      <c r="F501" s="906"/>
      <c r="G501"/>
    </row>
    <row r="502" spans="1:7" ht="14.45" customHeight="1" thickBot="1">
      <c r="A502" s="2331"/>
      <c r="B502" s="1986"/>
      <c r="C502" s="1984"/>
      <c r="D502" s="1996"/>
      <c r="E502" s="1985"/>
      <c r="F502" s="1985"/>
      <c r="G502"/>
    </row>
    <row r="503" spans="1:7" ht="14.45" customHeight="1" thickBot="1">
      <c r="A503" s="1923">
        <v>22</v>
      </c>
      <c r="B503" s="1987">
        <v>1</v>
      </c>
      <c r="C503" s="1595" t="s">
        <v>14197</v>
      </c>
      <c r="D503" s="1460">
        <v>2816</v>
      </c>
      <c r="E503" s="1558"/>
      <c r="F503" s="1558">
        <v>2816</v>
      </c>
      <c r="G503"/>
    </row>
    <row r="504" spans="1:7" ht="14.45" customHeight="1">
      <c r="A504" s="852" t="s">
        <v>3207</v>
      </c>
      <c r="B504" s="1559"/>
      <c r="C504" s="1570"/>
      <c r="D504" s="1579"/>
      <c r="E504" s="1560"/>
      <c r="F504" s="1560"/>
      <c r="G504"/>
    </row>
    <row r="505" spans="1:7" ht="14.45" customHeight="1">
      <c r="A505" s="856" t="s">
        <v>4059</v>
      </c>
      <c r="B505" s="1553"/>
      <c r="C505" s="1441" t="s">
        <v>3301</v>
      </c>
      <c r="D505" s="1579"/>
      <c r="E505" s="1561"/>
      <c r="F505" s="1561"/>
      <c r="G505"/>
    </row>
    <row r="506" spans="1:7" ht="14.45" customHeight="1">
      <c r="A506" s="856" t="s">
        <v>4321</v>
      </c>
      <c r="B506" s="1553">
        <v>1</v>
      </c>
      <c r="C506" s="1442" t="s">
        <v>4357</v>
      </c>
      <c r="D506" s="1579"/>
      <c r="E506" s="1561"/>
      <c r="F506" s="1561"/>
      <c r="G506"/>
    </row>
    <row r="507" spans="1:7" ht="14.45" customHeight="1">
      <c r="A507" s="856"/>
      <c r="B507" s="1435"/>
      <c r="C507" s="1442" t="s">
        <v>729</v>
      </c>
      <c r="D507" s="1461"/>
      <c r="E507" s="906"/>
      <c r="F507" s="906"/>
      <c r="G507"/>
    </row>
    <row r="508" spans="1:7" ht="14.45" customHeight="1">
      <c r="A508" s="856"/>
      <c r="B508" s="1562"/>
      <c r="C508" s="1571" t="s">
        <v>3535</v>
      </c>
      <c r="D508" s="1579"/>
      <c r="E508" s="1561"/>
      <c r="F508" s="1561"/>
      <c r="G508"/>
    </row>
    <row r="509" spans="1:7" ht="14.45" customHeight="1">
      <c r="A509" s="856" t="s">
        <v>3725</v>
      </c>
      <c r="B509" s="1553">
        <v>1</v>
      </c>
      <c r="C509" s="1442" t="s">
        <v>4354</v>
      </c>
      <c r="D509" s="1579"/>
      <c r="E509" s="1560"/>
      <c r="F509" s="1560"/>
      <c r="G509"/>
    </row>
    <row r="510" spans="1:7" ht="14.45" customHeight="1">
      <c r="A510" s="856" t="s">
        <v>3726</v>
      </c>
      <c r="B510" s="1553">
        <v>12</v>
      </c>
      <c r="C510" s="1442" t="s">
        <v>4347</v>
      </c>
      <c r="D510" s="1579"/>
      <c r="E510" s="1560"/>
      <c r="F510" s="1560"/>
      <c r="G510"/>
    </row>
    <row r="511" spans="1:7" ht="14.45" customHeight="1">
      <c r="A511" s="856"/>
      <c r="B511" s="1553">
        <v>1</v>
      </c>
      <c r="C511" s="1442" t="s">
        <v>2034</v>
      </c>
      <c r="D511" s="1579"/>
      <c r="E511" s="1560"/>
      <c r="F511" s="1560"/>
      <c r="G511"/>
    </row>
    <row r="512" spans="1:7" ht="14.45" customHeight="1">
      <c r="A512" s="856"/>
      <c r="B512" s="1553">
        <v>12</v>
      </c>
      <c r="C512" s="1442" t="s">
        <v>2029</v>
      </c>
      <c r="D512" s="1579"/>
      <c r="E512" s="1560"/>
      <c r="F512" s="1560"/>
      <c r="G512"/>
    </row>
    <row r="513" spans="1:7" ht="14.45" customHeight="1">
      <c r="A513" s="1873"/>
      <c r="B513" s="1553">
        <v>2</v>
      </c>
      <c r="C513" s="1572" t="s">
        <v>3070</v>
      </c>
      <c r="D513" s="1579"/>
      <c r="E513" s="1561"/>
      <c r="F513" s="1561"/>
      <c r="G513"/>
    </row>
    <row r="514" spans="1:7" ht="14.45" customHeight="1">
      <c r="A514" s="856"/>
      <c r="B514" s="1435"/>
      <c r="C514" s="1442" t="s">
        <v>729</v>
      </c>
      <c r="D514" s="1461"/>
      <c r="E514" s="906"/>
      <c r="F514" s="906"/>
      <c r="G514"/>
    </row>
    <row r="515" spans="1:7" ht="14.45" customHeight="1">
      <c r="A515" s="1446"/>
      <c r="B515" s="1562"/>
      <c r="C515" s="1571" t="s">
        <v>3206</v>
      </c>
      <c r="D515" s="1579"/>
      <c r="E515" s="1561"/>
      <c r="F515" s="1561"/>
      <c r="G515"/>
    </row>
    <row r="516" spans="1:7" ht="14.45" customHeight="1">
      <c r="A516" s="864"/>
      <c r="B516" s="1553">
        <v>2</v>
      </c>
      <c r="C516" s="1442" t="s">
        <v>1861</v>
      </c>
      <c r="D516" s="1579"/>
      <c r="E516" s="1560"/>
      <c r="F516" s="1560"/>
      <c r="G516"/>
    </row>
    <row r="517" spans="1:7" ht="14.45" customHeight="1">
      <c r="A517" s="865"/>
      <c r="B517" s="1553">
        <v>2</v>
      </c>
      <c r="C517" s="1442" t="s">
        <v>1163</v>
      </c>
      <c r="D517" s="1579"/>
      <c r="E517" s="1560"/>
      <c r="F517" s="1560"/>
      <c r="G517"/>
    </row>
    <row r="518" spans="1:7" ht="14.45" customHeight="1">
      <c r="A518" s="865"/>
      <c r="B518" s="1553">
        <v>2</v>
      </c>
      <c r="C518" s="1442" t="s">
        <v>11253</v>
      </c>
      <c r="D518" s="1579"/>
      <c r="E518" s="1560"/>
      <c r="F518" s="1560"/>
      <c r="G518"/>
    </row>
    <row r="519" spans="1:7" ht="14.45" customHeight="1">
      <c r="A519" s="864"/>
      <c r="B519" s="1553">
        <v>2</v>
      </c>
      <c r="C519" s="1442" t="s">
        <v>1878</v>
      </c>
      <c r="D519" s="1579"/>
      <c r="E519" s="1560"/>
      <c r="F519" s="1560"/>
      <c r="G519"/>
    </row>
    <row r="520" spans="1:7" ht="14.45" customHeight="1">
      <c r="A520" s="856"/>
      <c r="B520" s="1435"/>
      <c r="C520" s="1442" t="s">
        <v>729</v>
      </c>
      <c r="D520" s="1461"/>
      <c r="E520" s="906"/>
      <c r="F520" s="906"/>
      <c r="G520"/>
    </row>
    <row r="521" spans="1:7" ht="14.45" customHeight="1">
      <c r="A521" s="865"/>
      <c r="B521" s="1435">
        <v>1</v>
      </c>
      <c r="C521" s="1439" t="s">
        <v>316</v>
      </c>
      <c r="D521" s="1347"/>
      <c r="E521" s="1564"/>
      <c r="F521" s="1564"/>
      <c r="G521"/>
    </row>
    <row r="522" spans="1:7" ht="14.45" customHeight="1">
      <c r="A522" s="856"/>
      <c r="B522" s="1435"/>
      <c r="C522" s="1442" t="s">
        <v>729</v>
      </c>
      <c r="D522" s="1461"/>
      <c r="E522" s="906"/>
      <c r="F522" s="906"/>
      <c r="G522"/>
    </row>
    <row r="523" spans="1:7" ht="14.45" customHeight="1" thickBot="1">
      <c r="A523" s="2331"/>
      <c r="B523" s="1986"/>
      <c r="C523" s="1984"/>
      <c r="D523" s="1996"/>
      <c r="E523" s="1985"/>
      <c r="F523" s="1985"/>
      <c r="G523"/>
    </row>
    <row r="524" spans="1:7" ht="14.45" customHeight="1" thickBot="1">
      <c r="A524" s="1923">
        <v>23</v>
      </c>
      <c r="B524" s="1987">
        <v>1</v>
      </c>
      <c r="C524" s="1595" t="s">
        <v>14199</v>
      </c>
      <c r="D524" s="1460">
        <v>2082</v>
      </c>
      <c r="E524" s="1558"/>
      <c r="F524" s="1558">
        <v>2082</v>
      </c>
      <c r="G524"/>
    </row>
    <row r="525" spans="1:7" ht="14.45" customHeight="1">
      <c r="A525" s="852" t="s">
        <v>3207</v>
      </c>
      <c r="B525" s="1559"/>
      <c r="C525" s="1570"/>
      <c r="D525" s="1579"/>
      <c r="E525" s="1560"/>
      <c r="F525" s="1560"/>
      <c r="G525"/>
    </row>
    <row r="526" spans="1:7" ht="14.45" customHeight="1">
      <c r="A526" s="856" t="s">
        <v>4059</v>
      </c>
      <c r="B526" s="1553"/>
      <c r="C526" s="1441" t="s">
        <v>3301</v>
      </c>
      <c r="D526" s="1579"/>
      <c r="E526" s="1561"/>
      <c r="F526" s="1561"/>
      <c r="G526"/>
    </row>
    <row r="527" spans="1:7" ht="14.45" customHeight="1">
      <c r="A527" s="856" t="s">
        <v>4321</v>
      </c>
      <c r="B527" s="1553">
        <v>1</v>
      </c>
      <c r="C527" s="1442" t="s">
        <v>4356</v>
      </c>
      <c r="D527" s="1579"/>
      <c r="E527" s="1561"/>
      <c r="F527" s="1561"/>
      <c r="G527"/>
    </row>
    <row r="528" spans="1:7" ht="14.45" customHeight="1">
      <c r="A528" s="856"/>
      <c r="B528" s="1435"/>
      <c r="C528" s="1442" t="s">
        <v>729</v>
      </c>
      <c r="D528" s="1461"/>
      <c r="E528" s="906"/>
      <c r="F528" s="906"/>
      <c r="G528"/>
    </row>
    <row r="529" spans="1:7" ht="14.45" customHeight="1">
      <c r="A529" s="856"/>
      <c r="B529" s="1562"/>
      <c r="C529" s="1571" t="s">
        <v>3535</v>
      </c>
      <c r="D529" s="1579"/>
      <c r="E529" s="1561"/>
      <c r="F529" s="1561"/>
      <c r="G529"/>
    </row>
    <row r="530" spans="1:7" ht="14.45" customHeight="1">
      <c r="A530" s="856" t="s">
        <v>3725</v>
      </c>
      <c r="B530" s="1553">
        <v>7</v>
      </c>
      <c r="C530" s="1442" t="s">
        <v>4347</v>
      </c>
      <c r="D530" s="1579"/>
      <c r="E530" s="1560"/>
      <c r="F530" s="1560"/>
      <c r="G530"/>
    </row>
    <row r="531" spans="1:7" ht="14.45" customHeight="1">
      <c r="A531" s="856" t="s">
        <v>3726</v>
      </c>
      <c r="B531" s="1553">
        <v>7</v>
      </c>
      <c r="C531" s="1442" t="s">
        <v>2029</v>
      </c>
      <c r="D531" s="1579"/>
      <c r="E531" s="1560"/>
      <c r="F531" s="1560"/>
      <c r="G531"/>
    </row>
    <row r="532" spans="1:7" ht="14.45" customHeight="1">
      <c r="A532" s="856"/>
      <c r="B532" s="1553">
        <v>2</v>
      </c>
      <c r="C532" s="1572" t="s">
        <v>3070</v>
      </c>
      <c r="D532" s="1579"/>
      <c r="E532" s="1561"/>
      <c r="F532" s="1561"/>
      <c r="G532"/>
    </row>
    <row r="533" spans="1:7" ht="14.45" customHeight="1">
      <c r="A533" s="1873"/>
      <c r="B533" s="1435"/>
      <c r="C533" s="1442" t="s">
        <v>729</v>
      </c>
      <c r="D533" s="1461"/>
      <c r="E533" s="906"/>
      <c r="F533" s="906"/>
      <c r="G533"/>
    </row>
    <row r="534" spans="1:7" ht="14.45" customHeight="1">
      <c r="A534" s="1873"/>
      <c r="B534" s="1562"/>
      <c r="C534" s="1571" t="s">
        <v>3206</v>
      </c>
      <c r="D534" s="1579"/>
      <c r="E534" s="1561"/>
      <c r="F534" s="1561"/>
      <c r="G534"/>
    </row>
    <row r="535" spans="1:7" ht="14.45" customHeight="1">
      <c r="A535" s="856"/>
      <c r="B535" s="1553">
        <v>2</v>
      </c>
      <c r="C535" s="1442" t="s">
        <v>1861</v>
      </c>
      <c r="D535" s="1579"/>
      <c r="E535" s="1560"/>
      <c r="F535" s="1560"/>
      <c r="G535"/>
    </row>
    <row r="536" spans="1:7" ht="14.45" customHeight="1">
      <c r="A536" s="865"/>
      <c r="B536" s="1553">
        <v>2</v>
      </c>
      <c r="C536" s="1442" t="s">
        <v>1163</v>
      </c>
      <c r="D536" s="1579"/>
      <c r="E536" s="1560"/>
      <c r="F536" s="1560"/>
      <c r="G536"/>
    </row>
    <row r="537" spans="1:7" ht="14.45" customHeight="1">
      <c r="A537" s="865"/>
      <c r="B537" s="1553">
        <v>2</v>
      </c>
      <c r="C537" s="1442" t="s">
        <v>11253</v>
      </c>
      <c r="D537" s="1579"/>
      <c r="E537" s="1560"/>
      <c r="F537" s="1560"/>
      <c r="G537"/>
    </row>
    <row r="538" spans="1:7" ht="14.45" customHeight="1">
      <c r="A538" s="864"/>
      <c r="B538" s="1553">
        <v>2</v>
      </c>
      <c r="C538" s="1442" t="s">
        <v>1878</v>
      </c>
      <c r="D538" s="1579"/>
      <c r="E538" s="1560"/>
      <c r="F538" s="1560"/>
      <c r="G538"/>
    </row>
    <row r="539" spans="1:7" ht="14.45" customHeight="1">
      <c r="A539" s="856"/>
      <c r="B539" s="1435"/>
      <c r="C539" s="1442" t="s">
        <v>729</v>
      </c>
      <c r="D539" s="1461"/>
      <c r="E539" s="906"/>
      <c r="F539" s="906"/>
      <c r="G539"/>
    </row>
    <row r="540" spans="1:7" ht="14.45" customHeight="1">
      <c r="A540" s="865"/>
      <c r="B540" s="1435">
        <v>1</v>
      </c>
      <c r="C540" s="1439" t="s">
        <v>316</v>
      </c>
      <c r="D540" s="1347"/>
      <c r="E540" s="1564"/>
      <c r="F540" s="1564"/>
      <c r="G540"/>
    </row>
    <row r="541" spans="1:7" ht="14.45" customHeight="1">
      <c r="A541" s="856"/>
      <c r="B541" s="1435"/>
      <c r="C541" s="1442" t="s">
        <v>729</v>
      </c>
      <c r="D541" s="1461"/>
      <c r="E541" s="906"/>
      <c r="F541" s="906"/>
      <c r="G541"/>
    </row>
    <row r="542" spans="1:7" ht="14.45" customHeight="1" thickBot="1">
      <c r="A542" s="2331"/>
      <c r="B542" s="1986"/>
      <c r="C542" s="1984"/>
      <c r="D542" s="1996"/>
      <c r="E542" s="1985"/>
      <c r="F542" s="1985"/>
      <c r="G542"/>
    </row>
    <row r="543" spans="1:7" ht="14.45" customHeight="1" thickBot="1">
      <c r="A543" s="1923">
        <v>24</v>
      </c>
      <c r="B543" s="1987">
        <v>1</v>
      </c>
      <c r="C543" s="1595" t="s">
        <v>14201</v>
      </c>
      <c r="D543" s="1460">
        <v>2084</v>
      </c>
      <c r="E543" s="1558"/>
      <c r="F543" s="1558">
        <v>2084</v>
      </c>
      <c r="G543"/>
    </row>
    <row r="544" spans="1:7" ht="14.45" customHeight="1">
      <c r="A544" s="852" t="s">
        <v>3207</v>
      </c>
      <c r="B544" s="1559"/>
      <c r="C544" s="1570"/>
      <c r="D544" s="1579"/>
      <c r="E544" s="1560"/>
      <c r="F544" s="1560"/>
      <c r="G544"/>
    </row>
    <row r="545" spans="1:7" ht="14.45" customHeight="1">
      <c r="A545" s="856" t="s">
        <v>4059</v>
      </c>
      <c r="B545" s="1553"/>
      <c r="C545" s="1441" t="s">
        <v>3301</v>
      </c>
      <c r="D545" s="1579"/>
      <c r="E545" s="1561"/>
      <c r="F545" s="1561"/>
      <c r="G545"/>
    </row>
    <row r="546" spans="1:7" ht="14.45" customHeight="1">
      <c r="A546" s="856" t="s">
        <v>4321</v>
      </c>
      <c r="B546" s="1553">
        <v>1</v>
      </c>
      <c r="C546" s="1442" t="s">
        <v>4357</v>
      </c>
      <c r="D546" s="1579"/>
      <c r="E546" s="1561"/>
      <c r="F546" s="1561"/>
      <c r="G546"/>
    </row>
    <row r="547" spans="1:7" ht="14.45" customHeight="1">
      <c r="A547" s="856"/>
      <c r="B547" s="1435"/>
      <c r="C547" s="1442" t="s">
        <v>729</v>
      </c>
      <c r="D547" s="1461"/>
      <c r="E547" s="906"/>
      <c r="F547" s="906"/>
      <c r="G547"/>
    </row>
    <row r="548" spans="1:7" ht="14.45" customHeight="1">
      <c r="A548" s="856"/>
      <c r="B548" s="1562"/>
      <c r="C548" s="1571" t="s">
        <v>3535</v>
      </c>
      <c r="D548" s="1579"/>
      <c r="E548" s="1561"/>
      <c r="F548" s="1561"/>
      <c r="G548"/>
    </row>
    <row r="549" spans="1:7" ht="14.45" customHeight="1">
      <c r="A549" s="856" t="s">
        <v>3725</v>
      </c>
      <c r="B549" s="1553">
        <v>7</v>
      </c>
      <c r="C549" s="1442" t="s">
        <v>4347</v>
      </c>
      <c r="D549" s="1579"/>
      <c r="E549" s="1560"/>
      <c r="F549" s="1560"/>
      <c r="G549"/>
    </row>
    <row r="550" spans="1:7" ht="14.45" customHeight="1">
      <c r="A550" s="856" t="s">
        <v>3726</v>
      </c>
      <c r="B550" s="1553">
        <v>7</v>
      </c>
      <c r="C550" s="1442" t="s">
        <v>2029</v>
      </c>
      <c r="D550" s="1579"/>
      <c r="E550" s="1560"/>
      <c r="F550" s="1560"/>
      <c r="G550"/>
    </row>
    <row r="551" spans="1:7" ht="14.45" customHeight="1">
      <c r="A551" s="856"/>
      <c r="B551" s="1553">
        <v>2</v>
      </c>
      <c r="C551" s="1572" t="s">
        <v>3070</v>
      </c>
      <c r="D551" s="1579"/>
      <c r="E551" s="1561"/>
      <c r="F551" s="1561"/>
      <c r="G551"/>
    </row>
    <row r="552" spans="1:7" ht="14.45" customHeight="1">
      <c r="A552" s="1873"/>
      <c r="B552" s="1435"/>
      <c r="C552" s="1442" t="s">
        <v>729</v>
      </c>
      <c r="D552" s="1461"/>
      <c r="E552" s="906"/>
      <c r="F552" s="906"/>
      <c r="G552"/>
    </row>
    <row r="553" spans="1:7" ht="14.45" customHeight="1">
      <c r="A553" s="1873"/>
      <c r="B553" s="1562"/>
      <c r="C553" s="1571" t="s">
        <v>3206</v>
      </c>
      <c r="D553" s="1579"/>
      <c r="E553" s="1561"/>
      <c r="F553" s="1561"/>
      <c r="G553"/>
    </row>
    <row r="554" spans="1:7" ht="14.45" customHeight="1">
      <c r="A554" s="856"/>
      <c r="B554" s="1553">
        <v>2</v>
      </c>
      <c r="C554" s="1442" t="s">
        <v>1861</v>
      </c>
      <c r="D554" s="1579"/>
      <c r="E554" s="1560"/>
      <c r="F554" s="1560"/>
      <c r="G554"/>
    </row>
    <row r="555" spans="1:7" ht="14.45" customHeight="1">
      <c r="A555" s="865"/>
      <c r="B555" s="1553">
        <v>2</v>
      </c>
      <c r="C555" s="1442" t="s">
        <v>1163</v>
      </c>
      <c r="D555" s="1579"/>
      <c r="E555" s="1560"/>
      <c r="F555" s="1560"/>
      <c r="G555"/>
    </row>
    <row r="556" spans="1:7" ht="14.45" customHeight="1">
      <c r="A556" s="865"/>
      <c r="B556" s="1553">
        <v>2</v>
      </c>
      <c r="C556" s="1442" t="s">
        <v>11253</v>
      </c>
      <c r="D556" s="1579"/>
      <c r="E556" s="1560"/>
      <c r="F556" s="1560"/>
      <c r="G556"/>
    </row>
    <row r="557" spans="1:7" ht="14.45" customHeight="1">
      <c r="A557" s="864"/>
      <c r="B557" s="1553">
        <v>2</v>
      </c>
      <c r="C557" s="1442" t="s">
        <v>1878</v>
      </c>
      <c r="D557" s="1579"/>
      <c r="E557" s="1560"/>
      <c r="F557" s="1560"/>
      <c r="G557"/>
    </row>
    <row r="558" spans="1:7" ht="14.45" customHeight="1">
      <c r="A558" s="856"/>
      <c r="B558" s="1435"/>
      <c r="C558" s="1442" t="s">
        <v>729</v>
      </c>
      <c r="D558" s="1461"/>
      <c r="E558" s="906"/>
      <c r="F558" s="906"/>
      <c r="G558"/>
    </row>
    <row r="559" spans="1:7" ht="14.45" customHeight="1">
      <c r="A559" s="865"/>
      <c r="B559" s="1435">
        <v>1</v>
      </c>
      <c r="C559" s="1439" t="s">
        <v>316</v>
      </c>
      <c r="D559" s="1347"/>
      <c r="E559" s="1564"/>
      <c r="F559" s="1564"/>
      <c r="G559"/>
    </row>
    <row r="560" spans="1:7" ht="14.45" customHeight="1">
      <c r="A560" s="856"/>
      <c r="B560" s="1435"/>
      <c r="C560" s="1442" t="s">
        <v>729</v>
      </c>
      <c r="D560" s="1461"/>
      <c r="E560" s="906"/>
      <c r="F560" s="906"/>
      <c r="G560"/>
    </row>
    <row r="561" spans="1:7" ht="14.45" customHeight="1" thickBot="1">
      <c r="A561" s="2331"/>
      <c r="B561" s="1986"/>
      <c r="C561" s="1984"/>
      <c r="D561" s="1996"/>
      <c r="E561" s="1985"/>
      <c r="F561" s="1985"/>
      <c r="G561"/>
    </row>
    <row r="562" spans="1:7" ht="14.45" customHeight="1" thickBot="1">
      <c r="A562" s="1923">
        <v>25</v>
      </c>
      <c r="B562" s="1987">
        <v>1</v>
      </c>
      <c r="C562" s="1595" t="s">
        <v>14202</v>
      </c>
      <c r="D562" s="1460">
        <v>1715</v>
      </c>
      <c r="E562" s="1558"/>
      <c r="F562" s="1558">
        <v>1715</v>
      </c>
      <c r="G562"/>
    </row>
    <row r="563" spans="1:7" ht="14.45" customHeight="1">
      <c r="A563" s="852" t="s">
        <v>3207</v>
      </c>
      <c r="B563" s="1559"/>
      <c r="C563" s="1570"/>
      <c r="D563" s="1579"/>
      <c r="E563" s="1560"/>
      <c r="F563" s="1560"/>
      <c r="G563"/>
    </row>
    <row r="564" spans="1:7" ht="14.45" customHeight="1">
      <c r="A564" s="856" t="s">
        <v>4059</v>
      </c>
      <c r="B564" s="1553"/>
      <c r="C564" s="1441" t="s">
        <v>3301</v>
      </c>
      <c r="D564" s="1579"/>
      <c r="E564" s="1561"/>
      <c r="F564" s="1561"/>
      <c r="G564"/>
    </row>
    <row r="565" spans="1:7" ht="14.45" customHeight="1">
      <c r="A565" s="856" t="s">
        <v>4321</v>
      </c>
      <c r="B565" s="1553">
        <v>1</v>
      </c>
      <c r="C565" s="1442" t="s">
        <v>6675</v>
      </c>
      <c r="D565" s="1579"/>
      <c r="E565" s="1561"/>
      <c r="F565" s="1561"/>
      <c r="G565"/>
    </row>
    <row r="566" spans="1:7" ht="14.45" customHeight="1">
      <c r="A566" s="856"/>
      <c r="B566" s="1435"/>
      <c r="C566" s="1442" t="s">
        <v>729</v>
      </c>
      <c r="D566" s="1461"/>
      <c r="E566" s="906"/>
      <c r="F566" s="906"/>
      <c r="G566"/>
    </row>
    <row r="567" spans="1:7" ht="14.45" customHeight="1">
      <c r="A567" s="856" t="s">
        <v>3725</v>
      </c>
      <c r="B567" s="1562"/>
      <c r="C567" s="1571" t="s">
        <v>3535</v>
      </c>
      <c r="D567" s="1579"/>
      <c r="E567" s="1561"/>
      <c r="F567" s="1561"/>
      <c r="G567"/>
    </row>
    <row r="568" spans="1:7" ht="14.45" customHeight="1">
      <c r="A568" s="856" t="s">
        <v>3726</v>
      </c>
      <c r="B568" s="1553">
        <v>1</v>
      </c>
      <c r="C568" s="1442" t="s">
        <v>6674</v>
      </c>
      <c r="D568" s="1579"/>
      <c r="E568" s="1561"/>
      <c r="F568" s="1561"/>
      <c r="G568"/>
    </row>
    <row r="569" spans="1:7" ht="14.45" customHeight="1">
      <c r="A569" s="856"/>
      <c r="B569" s="1553">
        <v>1</v>
      </c>
      <c r="C569" s="1442" t="s">
        <v>4357</v>
      </c>
      <c r="D569" s="1579"/>
      <c r="E569" s="1561"/>
      <c r="F569" s="1561"/>
      <c r="G569"/>
    </row>
    <row r="570" spans="1:7" ht="14.45" customHeight="1">
      <c r="A570" s="856"/>
      <c r="B570" s="1553">
        <v>2</v>
      </c>
      <c r="C570" s="1442" t="s">
        <v>4347</v>
      </c>
      <c r="D570" s="1579"/>
      <c r="E570" s="1560"/>
      <c r="F570" s="1560"/>
      <c r="G570"/>
    </row>
    <row r="571" spans="1:7" ht="14.45" customHeight="1">
      <c r="A571" s="1873"/>
      <c r="B571" s="1553">
        <v>2</v>
      </c>
      <c r="C571" s="1442" t="s">
        <v>2029</v>
      </c>
      <c r="D571" s="1579"/>
      <c r="E571" s="1560"/>
      <c r="F571" s="1560"/>
      <c r="G571"/>
    </row>
    <row r="572" spans="1:7" ht="14.45" customHeight="1">
      <c r="A572" s="856"/>
      <c r="B572" s="1553">
        <v>2</v>
      </c>
      <c r="C572" s="1572" t="s">
        <v>3076</v>
      </c>
      <c r="D572" s="1579"/>
      <c r="E572" s="1561"/>
      <c r="F572" s="1561"/>
      <c r="G572"/>
    </row>
    <row r="573" spans="1:7" ht="14.45" customHeight="1">
      <c r="A573" s="856"/>
      <c r="B573" s="1435"/>
      <c r="C573" s="1442" t="s">
        <v>729</v>
      </c>
      <c r="D573" s="1461"/>
      <c r="E573" s="906"/>
      <c r="F573" s="906"/>
      <c r="G573"/>
    </row>
    <row r="574" spans="1:7" ht="14.45" customHeight="1">
      <c r="A574" s="865"/>
      <c r="B574" s="1435">
        <v>1</v>
      </c>
      <c r="C574" s="1439" t="s">
        <v>316</v>
      </c>
      <c r="D574" s="1347"/>
      <c r="E574" s="1564"/>
      <c r="F574" s="1564"/>
      <c r="G574"/>
    </row>
    <row r="575" spans="1:7" ht="14.45" customHeight="1">
      <c r="A575" s="856"/>
      <c r="B575" s="1435"/>
      <c r="C575" s="1442" t="s">
        <v>729</v>
      </c>
      <c r="D575" s="1461"/>
      <c r="E575" s="906"/>
      <c r="F575" s="906"/>
      <c r="G575"/>
    </row>
    <row r="576" spans="1:7" ht="14.45" customHeight="1" thickBot="1">
      <c r="A576" s="2331"/>
      <c r="B576" s="1986"/>
      <c r="C576" s="1984"/>
      <c r="D576" s="1996"/>
      <c r="E576" s="1985"/>
      <c r="F576" s="1985"/>
      <c r="G576"/>
    </row>
    <row r="577" spans="1:7" ht="14.45" customHeight="1" thickBot="1">
      <c r="A577" s="1923">
        <v>26</v>
      </c>
      <c r="B577" s="1987">
        <v>1</v>
      </c>
      <c r="C577" s="1595" t="s">
        <v>14205</v>
      </c>
      <c r="D577" s="1460">
        <v>593</v>
      </c>
      <c r="E577" s="1558"/>
      <c r="F577" s="1558">
        <v>593</v>
      </c>
      <c r="G577"/>
    </row>
    <row r="578" spans="1:7" ht="14.45" customHeight="1">
      <c r="A578" s="852" t="s">
        <v>3207</v>
      </c>
      <c r="B578" s="1559"/>
      <c r="C578" s="1570"/>
      <c r="D578" s="1579"/>
      <c r="E578" s="1560"/>
      <c r="F578" s="1560"/>
      <c r="G578"/>
    </row>
    <row r="579" spans="1:7" ht="14.45" customHeight="1">
      <c r="A579" s="856" t="s">
        <v>4059</v>
      </c>
      <c r="B579" s="1553"/>
      <c r="C579" s="1441" t="s">
        <v>3301</v>
      </c>
      <c r="D579" s="1579"/>
      <c r="E579" s="1561"/>
      <c r="F579" s="1561"/>
      <c r="G579"/>
    </row>
    <row r="580" spans="1:7" ht="14.45" customHeight="1">
      <c r="A580" s="856" t="s">
        <v>4321</v>
      </c>
      <c r="B580" s="1553">
        <v>1</v>
      </c>
      <c r="C580" s="1442" t="s">
        <v>4356</v>
      </c>
      <c r="D580" s="1579"/>
      <c r="E580" s="1561"/>
      <c r="F580" s="1561"/>
      <c r="G580"/>
    </row>
    <row r="581" spans="1:7" ht="14.45" customHeight="1">
      <c r="A581" s="856"/>
      <c r="B581" s="1435"/>
      <c r="C581" s="1442" t="s">
        <v>729</v>
      </c>
      <c r="D581" s="1461"/>
      <c r="E581" s="906"/>
      <c r="F581" s="906"/>
      <c r="G581"/>
    </row>
    <row r="582" spans="1:7" ht="14.45" customHeight="1">
      <c r="A582" s="856"/>
      <c r="B582" s="1562"/>
      <c r="C582" s="1571" t="s">
        <v>3535</v>
      </c>
      <c r="D582" s="1579"/>
      <c r="E582" s="1561"/>
      <c r="F582" s="1561"/>
      <c r="G582"/>
    </row>
    <row r="583" spans="1:7" ht="14.45" customHeight="1">
      <c r="A583" s="856" t="s">
        <v>3725</v>
      </c>
      <c r="B583" s="1553">
        <v>6</v>
      </c>
      <c r="C583" s="1442" t="s">
        <v>4347</v>
      </c>
      <c r="D583" s="1579"/>
      <c r="E583" s="1560"/>
      <c r="F583" s="1560"/>
      <c r="G583"/>
    </row>
    <row r="584" spans="1:7" ht="14.45" customHeight="1">
      <c r="A584" s="856" t="s">
        <v>3726</v>
      </c>
      <c r="B584" s="1553">
        <v>2</v>
      </c>
      <c r="C584" s="1572" t="s">
        <v>3068</v>
      </c>
      <c r="D584" s="1579"/>
      <c r="E584" s="1561"/>
      <c r="F584" s="1561"/>
      <c r="G584"/>
    </row>
    <row r="585" spans="1:7" ht="14.45" customHeight="1">
      <c r="A585" s="856"/>
      <c r="B585" s="1435"/>
      <c r="C585" s="1442" t="s">
        <v>729</v>
      </c>
      <c r="D585" s="1461"/>
      <c r="E585" s="906"/>
      <c r="F585" s="906"/>
      <c r="G585"/>
    </row>
    <row r="586" spans="1:7" ht="14.45" customHeight="1">
      <c r="A586" s="1873"/>
      <c r="B586" s="1435">
        <v>1</v>
      </c>
      <c r="C586" s="1439" t="s">
        <v>316</v>
      </c>
      <c r="D586" s="1347"/>
      <c r="E586" s="1564"/>
      <c r="F586" s="1564"/>
      <c r="G586"/>
    </row>
    <row r="587" spans="1:7" ht="14.45" customHeight="1">
      <c r="A587" s="856"/>
      <c r="B587" s="1435"/>
      <c r="C587" s="1442" t="s">
        <v>729</v>
      </c>
      <c r="D587" s="1461"/>
      <c r="E587" s="906"/>
      <c r="F587" s="906"/>
      <c r="G587"/>
    </row>
    <row r="588" spans="1:7" ht="14.45" customHeight="1" thickBot="1">
      <c r="A588" s="2331"/>
      <c r="B588" s="1986"/>
      <c r="C588" s="1984"/>
      <c r="D588" s="1996"/>
      <c r="E588" s="1985"/>
      <c r="F588" s="1985"/>
      <c r="G588"/>
    </row>
    <row r="589" spans="1:7" ht="14.45" customHeight="1" thickBot="1">
      <c r="A589" s="1923">
        <v>27</v>
      </c>
      <c r="B589" s="1987">
        <v>1</v>
      </c>
      <c r="C589" s="1595" t="s">
        <v>14207</v>
      </c>
      <c r="D589" s="1460">
        <v>1511</v>
      </c>
      <c r="E589" s="1558"/>
      <c r="F589" s="1558">
        <v>1511</v>
      </c>
      <c r="G589"/>
    </row>
    <row r="590" spans="1:7" ht="14.45" customHeight="1">
      <c r="A590" s="852" t="s">
        <v>3207</v>
      </c>
      <c r="B590" s="1559"/>
      <c r="C590" s="1570"/>
      <c r="D590" s="1579"/>
      <c r="E590" s="1560"/>
      <c r="F590" s="1560"/>
      <c r="G590"/>
    </row>
    <row r="591" spans="1:7" ht="14.45" customHeight="1">
      <c r="A591" s="856" t="s">
        <v>9504</v>
      </c>
      <c r="B591" s="1553"/>
      <c r="C591" s="1441" t="s">
        <v>3301</v>
      </c>
      <c r="D591" s="1579"/>
      <c r="E591" s="1561"/>
      <c r="F591" s="1561"/>
      <c r="G591"/>
    </row>
    <row r="592" spans="1:7" ht="14.45" customHeight="1">
      <c r="A592" s="856" t="s">
        <v>4321</v>
      </c>
      <c r="B592" s="1553">
        <v>1</v>
      </c>
      <c r="C592" s="1442" t="s">
        <v>4514</v>
      </c>
      <c r="D592" s="1579"/>
      <c r="E592" s="1561"/>
      <c r="F592" s="1561"/>
      <c r="G592"/>
    </row>
    <row r="593" spans="1:7" ht="14.45" customHeight="1">
      <c r="A593" s="856"/>
      <c r="B593" s="1435"/>
      <c r="C593" s="1442" t="s">
        <v>729</v>
      </c>
      <c r="D593" s="1461"/>
      <c r="E593" s="906"/>
      <c r="F593" s="906"/>
      <c r="G593"/>
    </row>
    <row r="594" spans="1:7" ht="14.45" customHeight="1">
      <c r="A594" s="856"/>
      <c r="B594" s="1562"/>
      <c r="C594" s="1571" t="s">
        <v>3535</v>
      </c>
      <c r="D594" s="1579"/>
      <c r="E594" s="1561"/>
      <c r="F594" s="1561"/>
      <c r="G594"/>
    </row>
    <row r="595" spans="1:7" ht="14.45" customHeight="1">
      <c r="A595" s="856"/>
      <c r="B595" s="1553">
        <v>1</v>
      </c>
      <c r="C595" s="1442" t="s">
        <v>4512</v>
      </c>
      <c r="D595" s="1579"/>
      <c r="E595" s="1561"/>
      <c r="F595" s="1561"/>
      <c r="G595"/>
    </row>
    <row r="596" spans="1:7" ht="14.45" customHeight="1">
      <c r="A596" s="856" t="s">
        <v>3725</v>
      </c>
      <c r="B596" s="1553">
        <v>3</v>
      </c>
      <c r="C596" s="1442" t="s">
        <v>4347</v>
      </c>
      <c r="D596" s="1579"/>
      <c r="E596" s="1560"/>
      <c r="F596" s="1560"/>
      <c r="G596"/>
    </row>
    <row r="597" spans="1:7" ht="14.45" customHeight="1">
      <c r="A597" s="856" t="s">
        <v>3726</v>
      </c>
      <c r="B597" s="1553">
        <v>3</v>
      </c>
      <c r="C597" s="1442" t="s">
        <v>2029</v>
      </c>
      <c r="D597" s="1579"/>
      <c r="E597" s="1560"/>
      <c r="F597" s="1560"/>
      <c r="G597"/>
    </row>
    <row r="598" spans="1:7" ht="14.45" customHeight="1">
      <c r="A598" s="856"/>
      <c r="B598" s="1553">
        <v>2</v>
      </c>
      <c r="C598" s="1572" t="s">
        <v>3070</v>
      </c>
      <c r="D598" s="1579"/>
      <c r="E598" s="1561"/>
      <c r="F598" s="1561"/>
      <c r="G598"/>
    </row>
    <row r="599" spans="1:7" ht="14.45" customHeight="1">
      <c r="A599" s="856" t="s">
        <v>14209</v>
      </c>
      <c r="B599" s="1435"/>
      <c r="C599" s="1442" t="s">
        <v>729</v>
      </c>
      <c r="D599" s="1461"/>
      <c r="E599" s="906"/>
      <c r="F599" s="906"/>
      <c r="G599"/>
    </row>
    <row r="600" spans="1:7" ht="14.45" customHeight="1">
      <c r="A600" s="1446"/>
      <c r="B600" s="1435"/>
      <c r="C600" s="1442" t="s">
        <v>729</v>
      </c>
      <c r="D600" s="1461"/>
      <c r="E600" s="906"/>
      <c r="F600" s="906"/>
      <c r="G600"/>
    </row>
    <row r="601" spans="1:7" ht="14.45" customHeight="1">
      <c r="A601" s="864"/>
      <c r="B601" s="1435">
        <v>1</v>
      </c>
      <c r="C601" s="1439" t="s">
        <v>316</v>
      </c>
      <c r="D601" s="1347"/>
      <c r="E601" s="1564"/>
      <c r="F601" s="1564"/>
      <c r="G601"/>
    </row>
    <row r="602" spans="1:7" ht="14.45" customHeight="1">
      <c r="A602" s="856"/>
      <c r="B602" s="1435"/>
      <c r="C602" s="1442" t="s">
        <v>729</v>
      </c>
      <c r="D602" s="1461"/>
      <c r="E602" s="906"/>
      <c r="F602" s="906"/>
      <c r="G602"/>
    </row>
    <row r="603" spans="1:7" ht="14.45" customHeight="1" thickBot="1">
      <c r="A603" s="2331"/>
      <c r="B603" s="1986"/>
      <c r="C603" s="1984"/>
      <c r="D603" s="1996"/>
      <c r="E603" s="1985"/>
      <c r="F603" s="1985"/>
      <c r="G603"/>
    </row>
    <row r="604" spans="1:7" ht="14.45" customHeight="1" thickBot="1">
      <c r="A604" s="1923">
        <v>28</v>
      </c>
      <c r="B604" s="1987">
        <v>1</v>
      </c>
      <c r="C604" s="1595" t="s">
        <v>14214</v>
      </c>
      <c r="D604" s="1460">
        <v>1498</v>
      </c>
      <c r="E604" s="1558"/>
      <c r="F604" s="1558">
        <v>1498</v>
      </c>
      <c r="G604"/>
    </row>
    <row r="605" spans="1:7" ht="14.45" customHeight="1">
      <c r="A605" s="852" t="s">
        <v>3207</v>
      </c>
      <c r="B605" s="1559"/>
      <c r="C605" s="1570"/>
      <c r="D605" s="1579"/>
      <c r="E605" s="1560"/>
      <c r="F605" s="1560"/>
      <c r="G605"/>
    </row>
    <row r="606" spans="1:7" ht="14.45" customHeight="1">
      <c r="A606" s="856" t="s">
        <v>9504</v>
      </c>
      <c r="B606" s="1553"/>
      <c r="C606" s="1441" t="s">
        <v>3301</v>
      </c>
      <c r="D606" s="1579"/>
      <c r="E606" s="1561"/>
      <c r="F606" s="1561"/>
      <c r="G606"/>
    </row>
    <row r="607" spans="1:7" ht="14.45" customHeight="1">
      <c r="A607" s="856" t="s">
        <v>4321</v>
      </c>
      <c r="B607" s="1553">
        <v>1</v>
      </c>
      <c r="C607" s="1442" t="s">
        <v>4514</v>
      </c>
      <c r="D607" s="1579"/>
      <c r="E607" s="1561"/>
      <c r="F607" s="1561"/>
      <c r="G607"/>
    </row>
    <row r="608" spans="1:7" ht="14.45" customHeight="1">
      <c r="A608" s="856"/>
      <c r="B608" s="1435"/>
      <c r="C608" s="1442" t="s">
        <v>729</v>
      </c>
      <c r="D608" s="1461"/>
      <c r="E608" s="906"/>
      <c r="F608" s="906"/>
      <c r="G608"/>
    </row>
    <row r="609" spans="1:7" ht="14.45" customHeight="1">
      <c r="A609" s="856"/>
      <c r="B609" s="1562"/>
      <c r="C609" s="1571" t="s">
        <v>3535</v>
      </c>
      <c r="D609" s="1579"/>
      <c r="E609" s="1561"/>
      <c r="F609" s="1561"/>
      <c r="G609"/>
    </row>
    <row r="610" spans="1:7" ht="14.45" customHeight="1">
      <c r="A610" s="856"/>
      <c r="B610" s="1553">
        <v>1</v>
      </c>
      <c r="C610" s="1442" t="s">
        <v>4512</v>
      </c>
      <c r="D610" s="1579"/>
      <c r="E610" s="1561"/>
      <c r="F610" s="1561"/>
      <c r="G610"/>
    </row>
    <row r="611" spans="1:7" ht="14.45" customHeight="1">
      <c r="A611" s="856" t="s">
        <v>3725</v>
      </c>
      <c r="B611" s="1553">
        <v>3</v>
      </c>
      <c r="C611" s="1442" t="s">
        <v>4347</v>
      </c>
      <c r="D611" s="1579"/>
      <c r="E611" s="1560"/>
      <c r="F611" s="1560"/>
      <c r="G611"/>
    </row>
    <row r="612" spans="1:7" ht="14.45" customHeight="1">
      <c r="A612" s="856" t="s">
        <v>3726</v>
      </c>
      <c r="B612" s="1553">
        <v>3</v>
      </c>
      <c r="C612" s="1442" t="s">
        <v>2029</v>
      </c>
      <c r="D612" s="1579"/>
      <c r="E612" s="1560"/>
      <c r="F612" s="1560"/>
      <c r="G612"/>
    </row>
    <row r="613" spans="1:7" ht="14.45" customHeight="1">
      <c r="A613" s="856"/>
      <c r="B613" s="1553">
        <v>2</v>
      </c>
      <c r="C613" s="1572" t="s">
        <v>3070</v>
      </c>
      <c r="D613" s="1579"/>
      <c r="E613" s="1561"/>
      <c r="F613" s="1561"/>
      <c r="G613"/>
    </row>
    <row r="614" spans="1:7" ht="14.45" customHeight="1">
      <c r="A614" s="856" t="s">
        <v>14209</v>
      </c>
      <c r="B614" s="1435"/>
      <c r="C614" s="1442" t="s">
        <v>729</v>
      </c>
      <c r="D614" s="1461"/>
      <c r="E614" s="906"/>
      <c r="F614" s="906"/>
      <c r="G614"/>
    </row>
    <row r="615" spans="1:7" ht="14.45" customHeight="1">
      <c r="A615" s="856" t="s">
        <v>14210</v>
      </c>
      <c r="B615" s="1435">
        <v>1</v>
      </c>
      <c r="C615" s="1439" t="s">
        <v>316</v>
      </c>
      <c r="D615" s="1347"/>
      <c r="E615" s="1564"/>
      <c r="F615" s="1564"/>
      <c r="G615"/>
    </row>
    <row r="616" spans="1:7" ht="14.45" customHeight="1">
      <c r="A616" s="1446"/>
      <c r="B616" s="1435"/>
      <c r="C616" s="1442" t="s">
        <v>729</v>
      </c>
      <c r="D616" s="1461"/>
      <c r="E616" s="906"/>
      <c r="F616" s="906"/>
      <c r="G616"/>
    </row>
    <row r="617" spans="1:7" ht="14.45" customHeight="1" thickBot="1">
      <c r="A617" s="2331"/>
      <c r="B617" s="1986"/>
      <c r="C617" s="1984"/>
      <c r="D617" s="1996"/>
      <c r="E617" s="1985"/>
      <c r="F617" s="1985"/>
      <c r="G617"/>
    </row>
    <row r="618" spans="1:7" ht="14.45" customHeight="1" thickBot="1">
      <c r="A618" s="1923">
        <v>29</v>
      </c>
      <c r="B618" s="1987">
        <v>1</v>
      </c>
      <c r="C618" s="1595" t="s">
        <v>14215</v>
      </c>
      <c r="D618" s="1460">
        <v>1491</v>
      </c>
      <c r="E618" s="1558"/>
      <c r="F618" s="1558">
        <v>1491</v>
      </c>
      <c r="G618"/>
    </row>
    <row r="619" spans="1:7" ht="14.45" customHeight="1">
      <c r="A619" s="852" t="s">
        <v>3207</v>
      </c>
      <c r="B619" s="1559"/>
      <c r="C619" s="1570"/>
      <c r="D619" s="1579"/>
      <c r="E619" s="1560"/>
      <c r="F619" s="1560"/>
      <c r="G619"/>
    </row>
    <row r="620" spans="1:7" ht="14.45" customHeight="1">
      <c r="A620" s="856" t="s">
        <v>4059</v>
      </c>
      <c r="B620" s="1553"/>
      <c r="C620" s="1441" t="s">
        <v>3301</v>
      </c>
      <c r="D620" s="1579"/>
      <c r="E620" s="1561"/>
      <c r="F620" s="1561"/>
      <c r="G620"/>
    </row>
    <row r="621" spans="1:7" ht="14.45" customHeight="1">
      <c r="A621" s="856" t="s">
        <v>4321</v>
      </c>
      <c r="B621" s="1553">
        <v>1</v>
      </c>
      <c r="C621" s="1442" t="s">
        <v>6675</v>
      </c>
      <c r="D621" s="1579"/>
      <c r="E621" s="1561"/>
      <c r="F621" s="1561"/>
      <c r="G621"/>
    </row>
    <row r="622" spans="1:7" ht="14.45" customHeight="1">
      <c r="A622" s="856"/>
      <c r="B622" s="1435"/>
      <c r="C622" s="1442" t="s">
        <v>729</v>
      </c>
      <c r="D622" s="1461"/>
      <c r="E622" s="906"/>
      <c r="F622" s="906"/>
      <c r="G622"/>
    </row>
    <row r="623" spans="1:7" ht="14.45" customHeight="1">
      <c r="A623" s="856" t="s">
        <v>3725</v>
      </c>
      <c r="B623" s="1562"/>
      <c r="C623" s="1571" t="s">
        <v>3535</v>
      </c>
      <c r="D623" s="1579"/>
      <c r="E623" s="1561"/>
      <c r="F623" s="1561"/>
      <c r="G623"/>
    </row>
    <row r="624" spans="1:7" ht="14.45" customHeight="1">
      <c r="A624" s="856" t="s">
        <v>3726</v>
      </c>
      <c r="B624" s="1553">
        <v>1</v>
      </c>
      <c r="C624" s="1442" t="s">
        <v>4512</v>
      </c>
      <c r="D624" s="1579"/>
      <c r="E624" s="1561"/>
      <c r="F624" s="1561"/>
      <c r="G624"/>
    </row>
    <row r="625" spans="1:7" ht="14.45" customHeight="1">
      <c r="A625" s="856"/>
      <c r="B625" s="1553">
        <v>7</v>
      </c>
      <c r="C625" s="1442" t="s">
        <v>4347</v>
      </c>
      <c r="D625" s="1579"/>
      <c r="E625" s="1560"/>
      <c r="F625" s="1560"/>
      <c r="G625"/>
    </row>
    <row r="626" spans="1:7" ht="14.45" customHeight="1">
      <c r="A626" s="856"/>
      <c r="B626" s="1553">
        <v>2</v>
      </c>
      <c r="C626" s="1572" t="s">
        <v>3068</v>
      </c>
      <c r="D626" s="1579"/>
      <c r="E626" s="1561"/>
      <c r="F626" s="1561"/>
      <c r="G626"/>
    </row>
    <row r="627" spans="1:7" ht="14.45" customHeight="1">
      <c r="A627" s="856"/>
      <c r="B627" s="1435"/>
      <c r="C627" s="1442" t="s">
        <v>729</v>
      </c>
      <c r="D627" s="1461"/>
      <c r="E627" s="906"/>
      <c r="F627" s="906"/>
      <c r="G627"/>
    </row>
    <row r="628" spans="1:7" ht="14.45" customHeight="1">
      <c r="A628" s="865"/>
      <c r="B628" s="1435">
        <v>1</v>
      </c>
      <c r="C628" s="1439" t="s">
        <v>316</v>
      </c>
      <c r="D628" s="1347"/>
      <c r="E628" s="1564"/>
      <c r="F628" s="1564"/>
      <c r="G628"/>
    </row>
    <row r="629" spans="1:7" ht="14.45" customHeight="1">
      <c r="A629" s="856"/>
      <c r="B629" s="1435"/>
      <c r="C629" s="1442" t="s">
        <v>729</v>
      </c>
      <c r="D629" s="1461"/>
      <c r="E629" s="906"/>
      <c r="F629" s="906"/>
      <c r="G629"/>
    </row>
    <row r="630" spans="1:7" ht="14.45" customHeight="1" thickBot="1">
      <c r="A630" s="2331"/>
      <c r="B630" s="1986"/>
      <c r="C630" s="1984"/>
      <c r="D630" s="1996"/>
      <c r="E630" s="1985"/>
      <c r="F630" s="1985"/>
      <c r="G630"/>
    </row>
    <row r="631" spans="1:7" ht="14.45" customHeight="1" thickBot="1">
      <c r="A631" s="1923">
        <v>30</v>
      </c>
      <c r="B631" s="1987">
        <v>1</v>
      </c>
      <c r="C631" s="1595" t="s">
        <v>14218</v>
      </c>
      <c r="D631" s="1460">
        <v>380</v>
      </c>
      <c r="E631" s="1558"/>
      <c r="F631" s="1558">
        <v>380</v>
      </c>
      <c r="G631"/>
    </row>
    <row r="632" spans="1:7" ht="14.45" customHeight="1">
      <c r="A632" s="852" t="s">
        <v>9502</v>
      </c>
      <c r="B632" s="1559"/>
      <c r="C632" s="1570"/>
      <c r="D632" s="1579"/>
      <c r="E632" s="1560"/>
      <c r="F632" s="1560"/>
      <c r="G632"/>
    </row>
    <row r="633" spans="1:7" ht="14.45" customHeight="1">
      <c r="A633" s="856" t="s">
        <v>9503</v>
      </c>
      <c r="B633" s="1553"/>
      <c r="C633" s="1441" t="s">
        <v>3301</v>
      </c>
      <c r="D633" s="1579"/>
      <c r="E633" s="1561"/>
      <c r="F633" s="1561"/>
      <c r="G633"/>
    </row>
    <row r="634" spans="1:7" ht="14.45" customHeight="1">
      <c r="A634" s="856" t="s">
        <v>4321</v>
      </c>
      <c r="B634" s="1553">
        <v>1</v>
      </c>
      <c r="C634" s="1442" t="s">
        <v>4349</v>
      </c>
      <c r="D634" s="1579"/>
      <c r="E634" s="1561"/>
      <c r="F634" s="1561"/>
      <c r="G634"/>
    </row>
    <row r="635" spans="1:7" ht="14.45" customHeight="1">
      <c r="A635" s="856"/>
      <c r="B635" s="1435"/>
      <c r="C635" s="1442" t="s">
        <v>729</v>
      </c>
      <c r="D635" s="1461"/>
      <c r="E635" s="906"/>
      <c r="F635" s="906"/>
      <c r="G635"/>
    </row>
    <row r="636" spans="1:7" ht="14.45" customHeight="1">
      <c r="A636" s="856" t="s">
        <v>3725</v>
      </c>
      <c r="B636" s="1562"/>
      <c r="C636" s="1571" t="s">
        <v>3535</v>
      </c>
      <c r="D636" s="1579"/>
      <c r="E636" s="1561"/>
      <c r="F636" s="1561"/>
      <c r="G636"/>
    </row>
    <row r="637" spans="1:7" ht="14.45" customHeight="1">
      <c r="A637" s="856" t="s">
        <v>3726</v>
      </c>
      <c r="B637" s="1553">
        <v>2</v>
      </c>
      <c r="C637" s="1442" t="s">
        <v>4347</v>
      </c>
      <c r="D637" s="1579"/>
      <c r="E637" s="1561"/>
      <c r="F637" s="1561"/>
      <c r="G637"/>
    </row>
    <row r="638" spans="1:7" ht="14.45" customHeight="1">
      <c r="A638" s="856"/>
      <c r="B638" s="1553">
        <v>2</v>
      </c>
      <c r="C638" s="1442" t="s">
        <v>2029</v>
      </c>
      <c r="D638" s="1579"/>
      <c r="E638" s="1560"/>
      <c r="F638" s="1560"/>
      <c r="G638"/>
    </row>
    <row r="639" spans="1:7" ht="14.45" customHeight="1">
      <c r="A639" s="856"/>
      <c r="B639" s="1553">
        <v>1</v>
      </c>
      <c r="C639" s="1572" t="s">
        <v>3070</v>
      </c>
      <c r="D639" s="1579"/>
      <c r="E639" s="1561"/>
      <c r="F639" s="1561"/>
      <c r="G639"/>
    </row>
    <row r="640" spans="1:7" ht="14.45" customHeight="1">
      <c r="A640" s="856"/>
      <c r="B640" s="1435"/>
      <c r="C640" s="1442" t="s">
        <v>729</v>
      </c>
      <c r="D640" s="1461"/>
      <c r="E640" s="906"/>
      <c r="F640" s="906"/>
      <c r="G640"/>
    </row>
    <row r="641" spans="1:7" ht="14.45" customHeight="1">
      <c r="A641" s="865"/>
      <c r="B641" s="1435">
        <v>1</v>
      </c>
      <c r="C641" s="1439" t="s">
        <v>316</v>
      </c>
      <c r="D641" s="1347"/>
      <c r="E641" s="1564"/>
      <c r="F641" s="1564"/>
      <c r="G641"/>
    </row>
    <row r="642" spans="1:7" ht="14.45" customHeight="1">
      <c r="A642" s="856"/>
      <c r="B642" s="1435"/>
      <c r="C642" s="1442" t="s">
        <v>729</v>
      </c>
      <c r="D642" s="1461"/>
      <c r="E642" s="906"/>
      <c r="F642" s="906"/>
      <c r="G642"/>
    </row>
    <row r="643" spans="1:7" ht="14.45" customHeight="1" thickBot="1">
      <c r="A643" s="2331"/>
      <c r="B643" s="1986"/>
      <c r="C643" s="1984"/>
      <c r="D643" s="1996"/>
      <c r="E643" s="1985"/>
      <c r="F643" s="1985"/>
      <c r="G643"/>
    </row>
    <row r="644" spans="1:7" ht="14.45" customHeight="1">
      <c r="A644" s="884"/>
      <c r="B644" s="885"/>
      <c r="C644" s="883"/>
      <c r="D644" s="882"/>
      <c r="E644" s="887"/>
      <c r="F644" s="887"/>
      <c r="G644"/>
    </row>
    <row r="645" spans="1:7" ht="14.45" customHeight="1">
      <c r="A645" s="884"/>
      <c r="B645" s="885"/>
      <c r="C645" s="883"/>
      <c r="D645" s="882"/>
      <c r="E645" s="887"/>
      <c r="F645" s="887"/>
      <c r="G645"/>
    </row>
    <row r="646" spans="1:7" ht="14.45" customHeight="1">
      <c r="A646" s="434" t="s">
        <v>4219</v>
      </c>
      <c r="B646" s="434"/>
      <c r="C646" s="193"/>
      <c r="D646" s="877"/>
      <c r="E646" s="875"/>
      <c r="F646" s="875"/>
      <c r="G646"/>
    </row>
    <row r="647" spans="1:7" ht="14.45" customHeight="1">
      <c r="A647" s="760"/>
      <c r="B647" s="1925"/>
      <c r="C647" s="1143"/>
      <c r="D647" s="1928"/>
      <c r="E647" s="1928"/>
      <c r="F647" s="1928"/>
      <c r="G647"/>
    </row>
    <row r="648" spans="1:7" ht="14.45" customHeight="1">
      <c r="A648" s="760"/>
      <c r="B648" s="1931" t="s">
        <v>1591</v>
      </c>
      <c r="C648" s="1976" t="s">
        <v>4132</v>
      </c>
      <c r="D648" s="1928"/>
      <c r="E648" s="1928"/>
      <c r="F648" s="1928"/>
      <c r="G648"/>
    </row>
    <row r="649" spans="1:7" ht="14.45" customHeight="1">
      <c r="A649" s="760"/>
      <c r="B649" s="1925"/>
      <c r="C649" s="1976" t="s">
        <v>4133</v>
      </c>
      <c r="D649" s="1928"/>
      <c r="E649" s="1928"/>
      <c r="F649" s="1928"/>
      <c r="G649"/>
    </row>
    <row r="650" spans="1:7" ht="14.45" customHeight="1">
      <c r="A650" s="760"/>
      <c r="B650" s="1925"/>
      <c r="C650" s="1143"/>
      <c r="D650" s="1928"/>
      <c r="E650" s="1928"/>
      <c r="F650" s="1928"/>
      <c r="G650"/>
    </row>
    <row r="651" spans="1:7" ht="14.45" customHeight="1">
      <c r="A651" s="760"/>
      <c r="B651" s="1931" t="s">
        <v>2809</v>
      </c>
      <c r="C651" s="1976" t="s">
        <v>9505</v>
      </c>
      <c r="D651" s="1928"/>
      <c r="E651" s="1928"/>
      <c r="F651" s="1928"/>
      <c r="G651"/>
    </row>
    <row r="652" spans="1:7" ht="14.45" customHeight="1">
      <c r="A652" s="760"/>
      <c r="B652" s="1925"/>
      <c r="C652" s="1976" t="s">
        <v>9506</v>
      </c>
      <c r="D652" s="1928"/>
      <c r="E652" s="1928"/>
      <c r="F652" s="1928"/>
      <c r="G652"/>
    </row>
    <row r="653" spans="1:7" ht="14.45" customHeight="1">
      <c r="A653" s="760"/>
      <c r="B653" s="1925"/>
      <c r="C653" s="1976" t="s">
        <v>9507</v>
      </c>
      <c r="D653" s="1928"/>
      <c r="E653" s="1928"/>
      <c r="F653" s="1928"/>
      <c r="G653"/>
    </row>
    <row r="654" spans="1:7" ht="14.45" customHeight="1">
      <c r="A654" s="760"/>
      <c r="B654" s="1925"/>
      <c r="C654" s="1143"/>
      <c r="D654" s="1928"/>
      <c r="E654" s="1928"/>
      <c r="F654" s="1928"/>
      <c r="G654"/>
    </row>
    <row r="655" spans="1:7" ht="14.45" customHeight="1">
      <c r="A655" s="760"/>
      <c r="B655" s="1931" t="s">
        <v>1832</v>
      </c>
      <c r="C655" s="1976" t="s">
        <v>14221</v>
      </c>
      <c r="D655" s="1928"/>
      <c r="E655" s="1928"/>
      <c r="F655" s="1928"/>
      <c r="G655"/>
    </row>
    <row r="656" spans="1:7" ht="14.45" customHeight="1">
      <c r="A656" s="760"/>
      <c r="B656" s="1925"/>
      <c r="C656" s="1976" t="s">
        <v>9508</v>
      </c>
      <c r="D656" s="1928"/>
      <c r="E656" s="1928"/>
      <c r="F656" s="1928"/>
      <c r="G656"/>
    </row>
    <row r="657" spans="1:7" ht="14.45" customHeight="1">
      <c r="A657" s="760"/>
      <c r="B657" s="1925"/>
      <c r="C657" s="1143"/>
      <c r="D657" s="1928"/>
      <c r="E657" s="1928"/>
      <c r="F657" s="1928"/>
      <c r="G657"/>
    </row>
    <row r="658" spans="1:7" ht="14.45" customHeight="1">
      <c r="A658" s="760"/>
      <c r="B658" s="1931" t="s">
        <v>1833</v>
      </c>
      <c r="C658" s="1976" t="s">
        <v>9509</v>
      </c>
      <c r="D658" s="1928"/>
      <c r="E658" s="1928"/>
      <c r="F658" s="1928"/>
      <c r="G658"/>
    </row>
    <row r="659" spans="1:7" ht="14.45" customHeight="1">
      <c r="A659" s="760"/>
      <c r="B659" s="1925"/>
      <c r="C659" s="1976" t="s">
        <v>9510</v>
      </c>
      <c r="D659" s="1928"/>
      <c r="E659" s="1928"/>
      <c r="F659" s="1928"/>
      <c r="G659"/>
    </row>
    <row r="660" spans="1:7" ht="14.45" customHeight="1">
      <c r="A660" s="760"/>
      <c r="B660" s="1925"/>
      <c r="C660" s="1976" t="s">
        <v>9511</v>
      </c>
      <c r="D660" s="1928"/>
      <c r="E660" s="1928"/>
      <c r="F660" s="1928"/>
      <c r="G660"/>
    </row>
    <row r="661" spans="1:7" ht="14.45" customHeight="1">
      <c r="A661" s="760"/>
      <c r="B661" s="1925"/>
      <c r="C661" s="1976" t="s">
        <v>9512</v>
      </c>
      <c r="D661" s="1928"/>
      <c r="E661" s="1928"/>
      <c r="F661" s="1928"/>
      <c r="G661"/>
    </row>
    <row r="662" spans="1:7" ht="14.45" customHeight="1">
      <c r="A662" s="884"/>
      <c r="B662" s="884"/>
      <c r="C662" s="1932"/>
      <c r="D662" s="1934"/>
      <c r="E662" s="1935"/>
      <c r="F662" s="1935"/>
      <c r="G662"/>
    </row>
    <row r="663" spans="1:7" ht="14.45" customHeight="1">
      <c r="A663" s="884"/>
      <c r="B663" s="1931" t="s">
        <v>3296</v>
      </c>
      <c r="C663" s="1976" t="s">
        <v>14222</v>
      </c>
      <c r="D663" s="1934"/>
      <c r="E663" s="1935"/>
      <c r="F663" s="1935"/>
      <c r="G663"/>
    </row>
    <row r="664" spans="1:7" ht="14.45" customHeight="1">
      <c r="A664" s="884"/>
      <c r="B664" s="884"/>
      <c r="C664" s="1976" t="s">
        <v>14223</v>
      </c>
      <c r="D664" s="1934"/>
      <c r="E664" s="1935"/>
      <c r="F664" s="1935"/>
      <c r="G664"/>
    </row>
    <row r="665" spans="1:7" ht="14.45" customHeight="1">
      <c r="A665" s="884"/>
      <c r="B665" s="884"/>
      <c r="C665" s="1932"/>
      <c r="D665" s="1934"/>
      <c r="E665" s="1935"/>
      <c r="F665" s="1935"/>
      <c r="G665"/>
    </row>
    <row r="666" spans="1:7" ht="14.45" customHeight="1">
      <c r="A666" s="884"/>
      <c r="B666" s="1931" t="s">
        <v>3297</v>
      </c>
      <c r="C666" s="1976" t="s">
        <v>14224</v>
      </c>
      <c r="D666" s="1934"/>
      <c r="E666" s="1935"/>
      <c r="F666" s="1935"/>
      <c r="G666"/>
    </row>
    <row r="667" spans="1:7" ht="14.45" customHeight="1">
      <c r="A667" s="884"/>
      <c r="B667" s="884"/>
      <c r="C667" s="1143"/>
      <c r="D667" s="1934"/>
      <c r="E667" s="1935"/>
      <c r="F667" s="1935"/>
      <c r="G667"/>
    </row>
    <row r="668" spans="1:7" ht="14.45" customHeight="1">
      <c r="A668" s="884"/>
      <c r="B668" s="1931" t="s">
        <v>3314</v>
      </c>
      <c r="C668" s="2516" t="s">
        <v>14225</v>
      </c>
      <c r="D668" s="1934"/>
      <c r="E668" s="1935"/>
      <c r="F668" s="1935"/>
      <c r="G668"/>
    </row>
    <row r="669" spans="1:7" ht="14.45" customHeight="1">
      <c r="A669" s="884"/>
      <c r="B669" s="885"/>
      <c r="C669" s="2516" t="s">
        <v>14226</v>
      </c>
      <c r="D669" s="882"/>
      <c r="E669" s="887"/>
      <c r="F669" s="887"/>
      <c r="G669"/>
    </row>
    <row r="670" spans="1:7" ht="14.45" customHeight="1">
      <c r="A670" s="884"/>
      <c r="B670" s="885"/>
      <c r="C670"/>
      <c r="D670" s="882"/>
      <c r="E670" s="887"/>
      <c r="F670" s="887"/>
      <c r="G670"/>
    </row>
    <row r="671" spans="1:7" ht="14.45" customHeight="1">
      <c r="A671" s="884"/>
      <c r="B671" s="1931" t="s">
        <v>3298</v>
      </c>
      <c r="C671" s="1976" t="s">
        <v>14227</v>
      </c>
      <c r="D671" s="882"/>
      <c r="E671" s="887"/>
      <c r="F671" s="887"/>
      <c r="G671"/>
    </row>
    <row r="672" spans="1:7" ht="14.45" customHeight="1">
      <c r="A672" s="884"/>
      <c r="B672" s="885"/>
      <c r="C672" s="1143"/>
      <c r="D672" s="882"/>
      <c r="E672" s="887"/>
      <c r="F672" s="887"/>
      <c r="G672"/>
    </row>
    <row r="673" spans="1:7" ht="14.45" customHeight="1">
      <c r="A673" s="884"/>
      <c r="B673" s="1931" t="s">
        <v>3960</v>
      </c>
      <c r="C673" s="1976" t="s">
        <v>14228</v>
      </c>
      <c r="D673" s="882"/>
      <c r="E673" s="887"/>
      <c r="F673" s="887"/>
      <c r="G673"/>
    </row>
    <row r="674" spans="1:7" ht="14.45" customHeight="1">
      <c r="A674" s="884"/>
      <c r="B674" s="885"/>
      <c r="C674" s="1976" t="s">
        <v>14229</v>
      </c>
      <c r="D674" s="882"/>
      <c r="E674" s="887"/>
      <c r="F674" s="887"/>
      <c r="G674"/>
    </row>
    <row r="675" spans="1:7" ht="14.45" customHeight="1">
      <c r="B675"/>
      <c r="C675"/>
      <c r="D675"/>
      <c r="G675"/>
    </row>
    <row r="676" spans="1:7" ht="14.45" customHeight="1">
      <c r="B676"/>
      <c r="C676"/>
      <c r="D676"/>
      <c r="G676"/>
    </row>
    <row r="677" spans="1:7" ht="14.45" customHeight="1">
      <c r="B677"/>
      <c r="C677"/>
      <c r="D677"/>
      <c r="G677"/>
    </row>
    <row r="678" spans="1:7" ht="14.45" customHeight="1">
      <c r="B678"/>
      <c r="C678"/>
      <c r="D678"/>
      <c r="G678"/>
    </row>
    <row r="679" spans="1:7" ht="14.45" customHeight="1">
      <c r="B679"/>
      <c r="C679"/>
      <c r="D679"/>
      <c r="G679"/>
    </row>
    <row r="680" spans="1:7" ht="14.45" customHeight="1">
      <c r="B680"/>
      <c r="C680"/>
      <c r="D680"/>
      <c r="G680"/>
    </row>
    <row r="681" spans="1:7" ht="14.45" customHeight="1">
      <c r="B681"/>
      <c r="C681"/>
      <c r="D681"/>
      <c r="G681"/>
    </row>
    <row r="682" spans="1:7" ht="14.45" customHeight="1">
      <c r="B682"/>
      <c r="C682"/>
      <c r="D682"/>
      <c r="G682"/>
    </row>
    <row r="683" spans="1:7" ht="14.45" customHeight="1">
      <c r="B683"/>
      <c r="C683"/>
      <c r="D683"/>
      <c r="G683"/>
    </row>
    <row r="684" spans="1:7" ht="14.45" customHeight="1">
      <c r="B684"/>
      <c r="C684"/>
      <c r="D684"/>
      <c r="G684"/>
    </row>
    <row r="685" spans="1:7" ht="14.45" customHeight="1">
      <c r="B685"/>
      <c r="C685"/>
      <c r="D685"/>
      <c r="G685"/>
    </row>
    <row r="686" spans="1:7" ht="14.45" customHeight="1">
      <c r="B686"/>
      <c r="C686"/>
      <c r="D686"/>
      <c r="G686"/>
    </row>
    <row r="687" spans="1:7" ht="14.45" customHeight="1">
      <c r="B687"/>
      <c r="C687"/>
      <c r="D687"/>
      <c r="G687"/>
    </row>
    <row r="688" spans="1:7" ht="14.45" customHeight="1">
      <c r="B688"/>
      <c r="C688"/>
      <c r="D688"/>
      <c r="G688"/>
    </row>
    <row r="689" spans="2:7" ht="14.45" customHeight="1">
      <c r="B689"/>
      <c r="C689"/>
      <c r="D689"/>
      <c r="G689"/>
    </row>
    <row r="690" spans="2:7" ht="14.45" customHeight="1">
      <c r="B690"/>
      <c r="C690"/>
      <c r="D690"/>
      <c r="G690"/>
    </row>
    <row r="691" spans="2:7" ht="14.45" customHeight="1">
      <c r="B691"/>
      <c r="C691"/>
      <c r="D691"/>
      <c r="G691"/>
    </row>
    <row r="692" spans="2:7" ht="14.45" customHeight="1">
      <c r="B692"/>
      <c r="C692"/>
      <c r="D692"/>
      <c r="G692"/>
    </row>
    <row r="693" spans="2:7" ht="14.45" customHeight="1">
      <c r="B693"/>
      <c r="C693"/>
      <c r="D693"/>
      <c r="G693"/>
    </row>
    <row r="694" spans="2:7" ht="14.45" customHeight="1">
      <c r="B694"/>
      <c r="C694"/>
      <c r="D694"/>
      <c r="G694"/>
    </row>
    <row r="695" spans="2:7" ht="14.45" customHeight="1">
      <c r="B695"/>
      <c r="C695"/>
      <c r="D695"/>
      <c r="G695"/>
    </row>
    <row r="696" spans="2:7" ht="14.45" customHeight="1">
      <c r="B696"/>
      <c r="C696"/>
      <c r="D696"/>
      <c r="G696"/>
    </row>
    <row r="697" spans="2:7" ht="14.45" customHeight="1">
      <c r="B697"/>
      <c r="C697"/>
      <c r="D697"/>
      <c r="G697"/>
    </row>
    <row r="698" spans="2:7" ht="14.45" customHeight="1">
      <c r="B698"/>
      <c r="C698"/>
      <c r="D698"/>
      <c r="G698"/>
    </row>
    <row r="699" spans="2:7" ht="14.45" customHeight="1">
      <c r="B699"/>
      <c r="C699"/>
      <c r="D699"/>
      <c r="G699"/>
    </row>
    <row r="700" spans="2:7" ht="14.45" customHeight="1">
      <c r="B700"/>
      <c r="C700"/>
      <c r="D700"/>
      <c r="G700"/>
    </row>
    <row r="701" spans="2:7" ht="14.45" customHeight="1">
      <c r="B701"/>
      <c r="C701"/>
      <c r="D701"/>
      <c r="G701"/>
    </row>
    <row r="702" spans="2:7" ht="14.45" customHeight="1">
      <c r="B702"/>
      <c r="C702"/>
      <c r="D702"/>
      <c r="G702"/>
    </row>
    <row r="703" spans="2:7" ht="14.45" customHeight="1">
      <c r="B703"/>
      <c r="C703"/>
      <c r="D703"/>
      <c r="G703"/>
    </row>
    <row r="704" spans="2:7" ht="14.45" customHeight="1">
      <c r="B704"/>
      <c r="C704"/>
      <c r="D704"/>
      <c r="G704"/>
    </row>
    <row r="705" spans="2:7" ht="14.45" customHeight="1">
      <c r="B705"/>
      <c r="C705"/>
      <c r="D705"/>
      <c r="G705"/>
    </row>
    <row r="706" spans="2:7" ht="14.45" customHeight="1">
      <c r="B706"/>
      <c r="C706"/>
      <c r="D706"/>
      <c r="G706"/>
    </row>
    <row r="707" spans="2:7" ht="14.45" customHeight="1">
      <c r="B707"/>
      <c r="C707"/>
      <c r="D707"/>
      <c r="G707"/>
    </row>
    <row r="708" spans="2:7" ht="14.45" customHeight="1">
      <c r="B708"/>
      <c r="C708"/>
      <c r="D708"/>
      <c r="G708"/>
    </row>
    <row r="709" spans="2:7" ht="14.45" customHeight="1">
      <c r="B709"/>
      <c r="C709"/>
      <c r="D709"/>
      <c r="G709"/>
    </row>
    <row r="710" spans="2:7" ht="14.45" customHeight="1">
      <c r="B710"/>
      <c r="C710"/>
      <c r="D710"/>
      <c r="G710"/>
    </row>
    <row r="711" spans="2:7" ht="14.45" customHeight="1">
      <c r="B711"/>
      <c r="C711"/>
      <c r="D711"/>
      <c r="G711"/>
    </row>
    <row r="712" spans="2:7" ht="14.45" customHeight="1">
      <c r="B712"/>
      <c r="C712"/>
      <c r="D712"/>
      <c r="G712"/>
    </row>
    <row r="713" spans="2:7" ht="14.45" customHeight="1">
      <c r="B713"/>
      <c r="C713"/>
      <c r="D713"/>
      <c r="G713"/>
    </row>
    <row r="714" spans="2:7" ht="14.45" customHeight="1">
      <c r="B714"/>
      <c r="C714"/>
      <c r="D714"/>
      <c r="G714"/>
    </row>
    <row r="715" spans="2:7" ht="14.45" customHeight="1">
      <c r="B715"/>
      <c r="C715"/>
      <c r="D715"/>
      <c r="G715"/>
    </row>
    <row r="716" spans="2:7" ht="14.45" customHeight="1">
      <c r="B716"/>
      <c r="C716"/>
      <c r="D716"/>
      <c r="G716"/>
    </row>
    <row r="717" spans="2:7" ht="14.45" customHeight="1">
      <c r="B717"/>
      <c r="C717"/>
      <c r="D717"/>
      <c r="G717"/>
    </row>
    <row r="718" spans="2:7" ht="14.45" customHeight="1">
      <c r="B718"/>
      <c r="C718"/>
      <c r="D718"/>
      <c r="G718"/>
    </row>
    <row r="719" spans="2:7" ht="14.45" customHeight="1">
      <c r="B719"/>
      <c r="C719"/>
      <c r="D719"/>
      <c r="G719"/>
    </row>
    <row r="720" spans="2:7" ht="14.45" customHeight="1">
      <c r="B720"/>
      <c r="C720"/>
      <c r="D720"/>
      <c r="G720"/>
    </row>
    <row r="721" spans="2:7" ht="14.45" customHeight="1">
      <c r="B721"/>
      <c r="C721"/>
      <c r="D721"/>
      <c r="G721"/>
    </row>
    <row r="722" spans="2:7" ht="14.45" customHeight="1">
      <c r="B722"/>
      <c r="C722"/>
      <c r="D722"/>
      <c r="G722"/>
    </row>
    <row r="723" spans="2:7" ht="14.45" customHeight="1">
      <c r="B723"/>
      <c r="C723"/>
      <c r="D723"/>
      <c r="G723"/>
    </row>
    <row r="724" spans="2:7" ht="14.45" customHeight="1">
      <c r="B724"/>
      <c r="C724"/>
      <c r="D724"/>
      <c r="G724"/>
    </row>
    <row r="725" spans="2:7" ht="14.45" customHeight="1">
      <c r="B725"/>
      <c r="C725"/>
      <c r="D725"/>
      <c r="G725"/>
    </row>
    <row r="726" spans="2:7" ht="14.45" customHeight="1">
      <c r="B726"/>
      <c r="C726"/>
      <c r="D726"/>
      <c r="G726"/>
    </row>
    <row r="727" spans="2:7" ht="14.45" customHeight="1">
      <c r="B727"/>
      <c r="C727"/>
      <c r="D727"/>
      <c r="G727"/>
    </row>
    <row r="728" spans="2:7" ht="14.45" customHeight="1">
      <c r="B728"/>
      <c r="C728"/>
      <c r="D728"/>
      <c r="G728"/>
    </row>
    <row r="729" spans="2:7" ht="14.45" customHeight="1">
      <c r="B729"/>
      <c r="C729"/>
      <c r="D729"/>
      <c r="G729"/>
    </row>
    <row r="730" spans="2:7" ht="14.45" customHeight="1">
      <c r="B730"/>
      <c r="C730"/>
      <c r="D730"/>
      <c r="G730"/>
    </row>
    <row r="731" spans="2:7" ht="14.45" customHeight="1">
      <c r="B731"/>
      <c r="C731"/>
      <c r="D731"/>
      <c r="G731"/>
    </row>
    <row r="732" spans="2:7" ht="14.45" customHeight="1">
      <c r="B732"/>
      <c r="C732"/>
      <c r="D732"/>
      <c r="G732"/>
    </row>
    <row r="733" spans="2:7" ht="14.45" customHeight="1">
      <c r="B733"/>
      <c r="C733"/>
      <c r="D733"/>
      <c r="G733"/>
    </row>
    <row r="734" spans="2:7" ht="14.45" customHeight="1">
      <c r="B734"/>
      <c r="C734"/>
      <c r="D734"/>
      <c r="G734"/>
    </row>
    <row r="735" spans="2:7" ht="14.45" customHeight="1">
      <c r="B735"/>
      <c r="C735"/>
      <c r="D735"/>
      <c r="G735"/>
    </row>
    <row r="736" spans="2:7" ht="14.45" customHeight="1">
      <c r="B736"/>
      <c r="C736"/>
      <c r="D736"/>
      <c r="G736"/>
    </row>
    <row r="737" spans="2:7" ht="14.45" customHeight="1">
      <c r="B737"/>
      <c r="C737"/>
      <c r="D737"/>
      <c r="G737"/>
    </row>
    <row r="738" spans="2:7" ht="14.45" customHeight="1">
      <c r="B738"/>
      <c r="C738"/>
      <c r="D738"/>
      <c r="G738"/>
    </row>
    <row r="739" spans="2:7" ht="14.45" customHeight="1">
      <c r="B739"/>
      <c r="C739"/>
      <c r="D739"/>
      <c r="G739"/>
    </row>
    <row r="740" spans="2:7" ht="14.45" customHeight="1">
      <c r="B740"/>
      <c r="C740"/>
      <c r="D740"/>
      <c r="G740"/>
    </row>
    <row r="741" spans="2:7" ht="14.45" customHeight="1">
      <c r="B741"/>
      <c r="C741"/>
      <c r="D741"/>
      <c r="G741"/>
    </row>
    <row r="742" spans="2:7" ht="14.45" customHeight="1">
      <c r="B742"/>
      <c r="C742"/>
      <c r="D742"/>
      <c r="G742"/>
    </row>
    <row r="743" spans="2:7" ht="14.45" customHeight="1">
      <c r="B743"/>
      <c r="C743"/>
      <c r="D743"/>
      <c r="G743"/>
    </row>
    <row r="744" spans="2:7" ht="14.45" customHeight="1">
      <c r="B744"/>
      <c r="C744"/>
      <c r="D744"/>
      <c r="G744"/>
    </row>
    <row r="745" spans="2:7" ht="14.45" customHeight="1">
      <c r="B745"/>
      <c r="C745"/>
      <c r="D745"/>
      <c r="G745"/>
    </row>
    <row r="746" spans="2:7" ht="14.45" customHeight="1">
      <c r="B746"/>
      <c r="C746"/>
      <c r="D746"/>
      <c r="G746"/>
    </row>
    <row r="747" spans="2:7" ht="14.45" customHeight="1">
      <c r="B747"/>
      <c r="C747"/>
      <c r="D747"/>
      <c r="G747"/>
    </row>
    <row r="748" spans="2:7" ht="14.45" customHeight="1">
      <c r="B748"/>
      <c r="C748"/>
      <c r="D748"/>
      <c r="G748"/>
    </row>
    <row r="749" spans="2:7" ht="14.45" customHeight="1">
      <c r="B749"/>
      <c r="C749"/>
      <c r="D749"/>
      <c r="G749"/>
    </row>
    <row r="750" spans="2:7" ht="14.45" customHeight="1">
      <c r="B750"/>
      <c r="C750"/>
      <c r="D750"/>
      <c r="G750"/>
    </row>
    <row r="751" spans="2:7" ht="14.45" customHeight="1">
      <c r="B751"/>
      <c r="C751"/>
      <c r="D751"/>
      <c r="G751"/>
    </row>
    <row r="752" spans="2:7" ht="14.45" customHeight="1">
      <c r="B752"/>
      <c r="C752"/>
      <c r="D752"/>
      <c r="G752"/>
    </row>
    <row r="753" spans="2:7" ht="14.45" customHeight="1">
      <c r="B753"/>
      <c r="C753"/>
      <c r="D753"/>
      <c r="G753"/>
    </row>
    <row r="754" spans="2:7" ht="14.45" customHeight="1">
      <c r="B754"/>
      <c r="C754"/>
      <c r="D754"/>
      <c r="G754"/>
    </row>
    <row r="755" spans="2:7" ht="14.45" customHeight="1">
      <c r="B755"/>
      <c r="C755"/>
      <c r="D755"/>
      <c r="G755"/>
    </row>
    <row r="756" spans="2:7" ht="14.45" customHeight="1">
      <c r="B756"/>
      <c r="C756"/>
      <c r="D756"/>
      <c r="G756"/>
    </row>
    <row r="757" spans="2:7" ht="14.45" customHeight="1">
      <c r="B757"/>
      <c r="C757"/>
      <c r="D757"/>
      <c r="G757"/>
    </row>
    <row r="758" spans="2:7" ht="14.45" customHeight="1">
      <c r="B758"/>
      <c r="C758"/>
      <c r="D758"/>
      <c r="G758"/>
    </row>
    <row r="759" spans="2:7" ht="14.45" customHeight="1">
      <c r="B759"/>
      <c r="C759"/>
      <c r="D759"/>
      <c r="G759"/>
    </row>
    <row r="760" spans="2:7" ht="14.45" customHeight="1">
      <c r="B760"/>
      <c r="C760"/>
      <c r="D760"/>
      <c r="G760"/>
    </row>
    <row r="761" spans="2:7" ht="14.45" customHeight="1">
      <c r="B761"/>
      <c r="C761"/>
      <c r="D761"/>
      <c r="G761"/>
    </row>
    <row r="762" spans="2:7" ht="14.45" customHeight="1">
      <c r="B762"/>
      <c r="C762"/>
      <c r="D762"/>
      <c r="G762"/>
    </row>
    <row r="763" spans="2:7" ht="14.45" customHeight="1">
      <c r="B763"/>
      <c r="C763"/>
      <c r="D763"/>
      <c r="G763"/>
    </row>
    <row r="764" spans="2:7" ht="14.45" customHeight="1">
      <c r="B764"/>
      <c r="C764"/>
      <c r="D764"/>
      <c r="G764"/>
    </row>
    <row r="765" spans="2:7" ht="14.45" customHeight="1">
      <c r="B765"/>
      <c r="C765"/>
      <c r="D765"/>
      <c r="G765"/>
    </row>
    <row r="766" spans="2:7" ht="14.45" customHeight="1">
      <c r="B766"/>
      <c r="C766"/>
      <c r="D766"/>
      <c r="G766"/>
    </row>
    <row r="767" spans="2:7" ht="14.45" customHeight="1">
      <c r="B767"/>
      <c r="C767"/>
      <c r="D767"/>
      <c r="G767"/>
    </row>
    <row r="768" spans="2:7" ht="14.45" customHeight="1">
      <c r="B768"/>
      <c r="C768"/>
      <c r="D768"/>
      <c r="G768"/>
    </row>
    <row r="769" spans="2:7" ht="14.45" customHeight="1">
      <c r="B769"/>
      <c r="C769"/>
      <c r="D769"/>
      <c r="G769"/>
    </row>
    <row r="770" spans="2:7" ht="14.45" customHeight="1">
      <c r="B770"/>
      <c r="C770"/>
      <c r="D770"/>
      <c r="G770"/>
    </row>
    <row r="771" spans="2:7" ht="14.45" customHeight="1">
      <c r="B771"/>
      <c r="C771"/>
      <c r="D771"/>
      <c r="G771"/>
    </row>
    <row r="772" spans="2:7" ht="14.45" customHeight="1">
      <c r="B772"/>
      <c r="C772"/>
      <c r="D772"/>
      <c r="G772"/>
    </row>
    <row r="773" spans="2:7" ht="14.45" customHeight="1">
      <c r="B773"/>
      <c r="C773"/>
      <c r="D773"/>
      <c r="G773"/>
    </row>
    <row r="774" spans="2:7" ht="14.45" customHeight="1">
      <c r="B774"/>
      <c r="C774"/>
      <c r="D774"/>
      <c r="G774"/>
    </row>
    <row r="775" spans="2:7" ht="14.45" customHeight="1">
      <c r="B775"/>
      <c r="C775"/>
      <c r="D775"/>
      <c r="G775"/>
    </row>
    <row r="776" spans="2:7" ht="14.45" customHeight="1">
      <c r="B776"/>
      <c r="C776"/>
      <c r="D776"/>
      <c r="G776"/>
    </row>
    <row r="777" spans="2:7" ht="14.45" customHeight="1">
      <c r="B777"/>
      <c r="C777"/>
      <c r="D777"/>
      <c r="G777"/>
    </row>
    <row r="778" spans="2:7" ht="14.45" customHeight="1">
      <c r="B778"/>
      <c r="C778"/>
      <c r="D778"/>
      <c r="G778"/>
    </row>
    <row r="779" spans="2:7" ht="14.45" customHeight="1">
      <c r="B779"/>
      <c r="C779"/>
      <c r="D779"/>
      <c r="G779"/>
    </row>
    <row r="780" spans="2:7" ht="14.45" customHeight="1">
      <c r="B780"/>
      <c r="C780"/>
      <c r="D780"/>
      <c r="G780"/>
    </row>
    <row r="781" spans="2:7" ht="14.45" customHeight="1">
      <c r="B781"/>
      <c r="C781"/>
      <c r="D781"/>
      <c r="G781"/>
    </row>
    <row r="782" spans="2:7" ht="14.45" customHeight="1">
      <c r="B782"/>
      <c r="C782"/>
      <c r="D782"/>
      <c r="G782"/>
    </row>
    <row r="783" spans="2:7" ht="14.45" customHeight="1">
      <c r="B783"/>
      <c r="C783"/>
      <c r="D783"/>
      <c r="G783"/>
    </row>
    <row r="784" spans="2:7" ht="14.45" customHeight="1">
      <c r="B784"/>
      <c r="C784"/>
      <c r="D784"/>
      <c r="G784"/>
    </row>
    <row r="785" spans="2:7" ht="14.45" customHeight="1">
      <c r="B785"/>
      <c r="C785"/>
      <c r="D785"/>
      <c r="G785"/>
    </row>
    <row r="786" spans="2:7" ht="14.45" customHeight="1">
      <c r="B786"/>
      <c r="C786"/>
      <c r="D786"/>
      <c r="G786"/>
    </row>
    <row r="787" spans="2:7" ht="14.45" customHeight="1">
      <c r="B787"/>
      <c r="C787"/>
      <c r="D787"/>
      <c r="G787"/>
    </row>
    <row r="788" spans="2:7" ht="14.45" customHeight="1">
      <c r="B788"/>
      <c r="C788"/>
      <c r="D788"/>
      <c r="G788"/>
    </row>
    <row r="789" spans="2:7" ht="14.45" customHeight="1">
      <c r="B789"/>
      <c r="C789"/>
      <c r="D789"/>
      <c r="G789"/>
    </row>
    <row r="790" spans="2:7" ht="14.45" customHeight="1">
      <c r="B790"/>
      <c r="C790"/>
      <c r="D790"/>
      <c r="G790"/>
    </row>
    <row r="791" spans="2:7" ht="14.45" customHeight="1">
      <c r="B791"/>
      <c r="C791"/>
      <c r="D791"/>
      <c r="G791"/>
    </row>
    <row r="792" spans="2:7" ht="14.45" customHeight="1">
      <c r="B792"/>
      <c r="C792"/>
      <c r="D792"/>
      <c r="G792"/>
    </row>
    <row r="793" spans="2:7" ht="14.45" customHeight="1">
      <c r="B793"/>
      <c r="C793"/>
      <c r="D793"/>
      <c r="G793"/>
    </row>
    <row r="794" spans="2:7" ht="14.45" customHeight="1">
      <c r="B794"/>
      <c r="C794"/>
      <c r="D794"/>
      <c r="G794"/>
    </row>
    <row r="795" spans="2:7" ht="14.45" customHeight="1">
      <c r="B795"/>
      <c r="C795"/>
      <c r="D795"/>
      <c r="G795"/>
    </row>
    <row r="796" spans="2:7" ht="14.45" customHeight="1">
      <c r="B796"/>
      <c r="C796"/>
      <c r="D796"/>
      <c r="G796"/>
    </row>
    <row r="797" spans="2:7" ht="14.45" customHeight="1">
      <c r="B797"/>
      <c r="C797"/>
      <c r="D797"/>
      <c r="G797"/>
    </row>
    <row r="798" spans="2:7" ht="14.45" customHeight="1">
      <c r="B798"/>
      <c r="C798"/>
      <c r="D798"/>
      <c r="G798"/>
    </row>
    <row r="799" spans="2:7" ht="14.45" customHeight="1">
      <c r="B799"/>
      <c r="C799"/>
      <c r="D799"/>
      <c r="G799"/>
    </row>
    <row r="800" spans="2:7" ht="14.45" customHeight="1">
      <c r="B800"/>
      <c r="C800"/>
      <c r="D800"/>
      <c r="G800"/>
    </row>
    <row r="801" spans="2:7" ht="14.45" customHeight="1">
      <c r="B801"/>
      <c r="C801"/>
      <c r="D801"/>
      <c r="G801"/>
    </row>
    <row r="802" spans="2:7" ht="14.45" customHeight="1">
      <c r="B802"/>
      <c r="C802"/>
      <c r="D802"/>
      <c r="G802"/>
    </row>
    <row r="803" spans="2:7" ht="14.45" customHeight="1">
      <c r="B803"/>
      <c r="C803"/>
      <c r="D803"/>
      <c r="G803"/>
    </row>
    <row r="804" spans="2:7" ht="14.45" customHeight="1">
      <c r="B804"/>
      <c r="C804"/>
      <c r="D804"/>
      <c r="G804"/>
    </row>
    <row r="805" spans="2:7" ht="14.45" customHeight="1">
      <c r="B805"/>
      <c r="C805"/>
      <c r="D805"/>
      <c r="G805"/>
    </row>
    <row r="806" spans="2:7" ht="14.45" customHeight="1">
      <c r="B806"/>
      <c r="C806"/>
      <c r="D806"/>
      <c r="G806"/>
    </row>
    <row r="807" spans="2:7" ht="14.45" customHeight="1">
      <c r="B807"/>
      <c r="C807"/>
      <c r="D807"/>
      <c r="G807"/>
    </row>
    <row r="808" spans="2:7" ht="14.45" customHeight="1">
      <c r="B808"/>
      <c r="C808"/>
      <c r="D808"/>
      <c r="G808"/>
    </row>
    <row r="809" spans="2:7" ht="14.45" customHeight="1">
      <c r="B809"/>
      <c r="C809"/>
      <c r="D809"/>
      <c r="G809"/>
    </row>
    <row r="810" spans="2:7" ht="14.45" customHeight="1">
      <c r="B810"/>
      <c r="C810"/>
      <c r="D810"/>
      <c r="G810"/>
    </row>
    <row r="811" spans="2:7" ht="14.45" customHeight="1">
      <c r="B811"/>
      <c r="C811"/>
      <c r="D811"/>
      <c r="G811"/>
    </row>
    <row r="812" spans="2:7" ht="14.45" customHeight="1">
      <c r="B812"/>
      <c r="C812"/>
      <c r="D812"/>
      <c r="G812"/>
    </row>
    <row r="813" spans="2:7" ht="14.45" customHeight="1">
      <c r="B813"/>
      <c r="C813"/>
      <c r="D813"/>
      <c r="G813"/>
    </row>
    <row r="814" spans="2:7" ht="14.45" customHeight="1">
      <c r="B814"/>
      <c r="C814"/>
      <c r="D814"/>
      <c r="G814"/>
    </row>
    <row r="815" spans="2:7" ht="14.45" customHeight="1">
      <c r="B815"/>
      <c r="C815"/>
      <c r="D815"/>
      <c r="G815"/>
    </row>
    <row r="816" spans="2:7" ht="14.45" customHeight="1">
      <c r="B816"/>
      <c r="C816"/>
      <c r="D816"/>
      <c r="G816"/>
    </row>
    <row r="817" spans="2:7" ht="14.45" customHeight="1">
      <c r="B817"/>
      <c r="C817"/>
      <c r="D817"/>
      <c r="G817"/>
    </row>
    <row r="818" spans="2:7" ht="14.45" customHeight="1">
      <c r="B818"/>
      <c r="C818"/>
      <c r="D818"/>
      <c r="G818"/>
    </row>
    <row r="819" spans="2:7" ht="14.45" customHeight="1">
      <c r="B819"/>
      <c r="C819"/>
      <c r="D819"/>
      <c r="G819"/>
    </row>
    <row r="820" spans="2:7" ht="14.45" customHeight="1">
      <c r="B820"/>
      <c r="C820"/>
      <c r="D820"/>
      <c r="G820"/>
    </row>
    <row r="821" spans="2:7" ht="14.45" customHeight="1">
      <c r="B821"/>
      <c r="C821"/>
      <c r="D821"/>
      <c r="G821"/>
    </row>
    <row r="822" spans="2:7" ht="14.45" customHeight="1">
      <c r="B822"/>
      <c r="C822"/>
      <c r="D822"/>
      <c r="G822"/>
    </row>
    <row r="823" spans="2:7" ht="14.45" customHeight="1">
      <c r="B823"/>
      <c r="C823"/>
      <c r="D823"/>
      <c r="G823"/>
    </row>
    <row r="824" spans="2:7" ht="14.45" customHeight="1">
      <c r="B824"/>
      <c r="C824"/>
      <c r="D824"/>
      <c r="G824"/>
    </row>
    <row r="825" spans="2:7" ht="14.45" customHeight="1">
      <c r="B825"/>
      <c r="C825"/>
      <c r="D825"/>
      <c r="G825"/>
    </row>
    <row r="826" spans="2:7" ht="14.45" customHeight="1">
      <c r="B826"/>
      <c r="C826"/>
      <c r="D826"/>
      <c r="G826"/>
    </row>
    <row r="827" spans="2:7" ht="14.45" customHeight="1">
      <c r="B827"/>
      <c r="C827"/>
      <c r="D827"/>
      <c r="G827"/>
    </row>
    <row r="828" spans="2:7" ht="14.45" customHeight="1">
      <c r="B828"/>
      <c r="C828"/>
      <c r="D828"/>
      <c r="G828"/>
    </row>
    <row r="829" spans="2:7" ht="14.45" customHeight="1">
      <c r="B829"/>
      <c r="C829"/>
      <c r="D829"/>
      <c r="G829"/>
    </row>
    <row r="830" spans="2:7" ht="14.45" customHeight="1">
      <c r="B830"/>
      <c r="C830"/>
      <c r="D830"/>
      <c r="G830"/>
    </row>
    <row r="831" spans="2:7" ht="14.45" customHeight="1">
      <c r="B831"/>
      <c r="C831"/>
      <c r="D831"/>
      <c r="G831"/>
    </row>
    <row r="832" spans="2:7" ht="14.45" customHeight="1">
      <c r="B832"/>
      <c r="C832"/>
      <c r="D832"/>
      <c r="G832"/>
    </row>
    <row r="833" spans="2:7" ht="14.45" customHeight="1">
      <c r="B833"/>
      <c r="C833"/>
      <c r="D833"/>
      <c r="G833"/>
    </row>
    <row r="834" spans="2:7" ht="14.45" customHeight="1">
      <c r="B834"/>
      <c r="C834"/>
      <c r="D834"/>
      <c r="G834"/>
    </row>
    <row r="835" spans="2:7" ht="14.45" customHeight="1">
      <c r="B835"/>
      <c r="C835"/>
      <c r="D835"/>
      <c r="G835"/>
    </row>
    <row r="836" spans="2:7" ht="14.45" customHeight="1">
      <c r="B836"/>
      <c r="C836"/>
      <c r="D836"/>
      <c r="G836"/>
    </row>
    <row r="837" spans="2:7" ht="14.45" customHeight="1">
      <c r="B837"/>
      <c r="C837"/>
      <c r="D837"/>
      <c r="G837"/>
    </row>
    <row r="838" spans="2:7" ht="14.45" customHeight="1">
      <c r="B838"/>
      <c r="C838"/>
      <c r="D838"/>
      <c r="G838"/>
    </row>
    <row r="839" spans="2:7" ht="14.45" customHeight="1">
      <c r="B839"/>
      <c r="C839"/>
      <c r="D839"/>
      <c r="G839"/>
    </row>
    <row r="840" spans="2:7" ht="14.45" customHeight="1">
      <c r="B840"/>
      <c r="C840"/>
      <c r="D840"/>
      <c r="G840"/>
    </row>
    <row r="841" spans="2:7" ht="14.45" customHeight="1">
      <c r="B841"/>
      <c r="C841"/>
      <c r="D841"/>
      <c r="G841"/>
    </row>
    <row r="842" spans="2:7" ht="14.45" customHeight="1">
      <c r="B842"/>
      <c r="C842"/>
      <c r="D842"/>
      <c r="G842"/>
    </row>
    <row r="843" spans="2:7" ht="14.45" customHeight="1">
      <c r="B843"/>
      <c r="C843"/>
      <c r="D843"/>
      <c r="G843"/>
    </row>
    <row r="844" spans="2:7" ht="14.45" customHeight="1">
      <c r="B844"/>
      <c r="C844"/>
      <c r="D844"/>
      <c r="G844"/>
    </row>
    <row r="845" spans="2:7" ht="14.45" customHeight="1">
      <c r="B845"/>
      <c r="C845"/>
      <c r="D845"/>
      <c r="G845"/>
    </row>
    <row r="846" spans="2:7" ht="14.45" customHeight="1">
      <c r="B846"/>
      <c r="C846"/>
      <c r="D846"/>
      <c r="G846"/>
    </row>
    <row r="847" spans="2:7" ht="14.45" customHeight="1">
      <c r="B847"/>
      <c r="C847"/>
      <c r="D847"/>
      <c r="G847"/>
    </row>
    <row r="848" spans="2:7" ht="14.45" customHeight="1">
      <c r="B848"/>
      <c r="C848"/>
      <c r="D848"/>
      <c r="G848"/>
    </row>
    <row r="849" spans="2:7" ht="14.45" customHeight="1">
      <c r="B849"/>
      <c r="C849"/>
      <c r="D849"/>
      <c r="G849"/>
    </row>
    <row r="850" spans="2:7" ht="14.45" customHeight="1">
      <c r="B850"/>
      <c r="C850"/>
      <c r="D850"/>
      <c r="G850"/>
    </row>
    <row r="851" spans="2:7" ht="14.45" customHeight="1">
      <c r="B851"/>
      <c r="C851"/>
      <c r="D851"/>
      <c r="G851"/>
    </row>
    <row r="852" spans="2:7" ht="14.45" customHeight="1">
      <c r="B852"/>
      <c r="C852"/>
      <c r="D852"/>
      <c r="G852"/>
    </row>
    <row r="853" spans="2:7" ht="14.45" customHeight="1">
      <c r="B853"/>
      <c r="C853"/>
      <c r="D853"/>
      <c r="G853"/>
    </row>
    <row r="854" spans="2:7" ht="14.45" customHeight="1">
      <c r="B854"/>
      <c r="C854"/>
      <c r="D854"/>
      <c r="G854"/>
    </row>
    <row r="855" spans="2:7" ht="14.45" customHeight="1">
      <c r="B855"/>
      <c r="C855"/>
      <c r="D855"/>
      <c r="G855"/>
    </row>
    <row r="856" spans="2:7" ht="14.45" customHeight="1">
      <c r="B856"/>
      <c r="C856"/>
      <c r="D856"/>
      <c r="G856"/>
    </row>
    <row r="857" spans="2:7" ht="14.45" customHeight="1">
      <c r="B857"/>
      <c r="C857"/>
      <c r="D857"/>
      <c r="G857"/>
    </row>
    <row r="858" spans="2:7" ht="14.45" customHeight="1">
      <c r="B858"/>
      <c r="C858"/>
      <c r="D858"/>
      <c r="G858"/>
    </row>
    <row r="859" spans="2:7" ht="14.45" customHeight="1">
      <c r="B859"/>
      <c r="C859"/>
      <c r="D859"/>
      <c r="G859"/>
    </row>
    <row r="860" spans="2:7" ht="14.45" customHeight="1">
      <c r="B860"/>
      <c r="C860"/>
      <c r="D860"/>
      <c r="G860"/>
    </row>
    <row r="861" spans="2:7" ht="14.45" customHeight="1">
      <c r="B861"/>
      <c r="C861"/>
      <c r="D861"/>
      <c r="G861"/>
    </row>
    <row r="862" spans="2:7" ht="14.45" customHeight="1">
      <c r="B862"/>
      <c r="C862"/>
      <c r="D862"/>
      <c r="G862"/>
    </row>
    <row r="863" spans="2:7" ht="14.45" customHeight="1">
      <c r="B863"/>
      <c r="C863"/>
      <c r="D863"/>
      <c r="G863"/>
    </row>
    <row r="864" spans="2:7" ht="14.45" customHeight="1">
      <c r="B864"/>
      <c r="C864"/>
      <c r="D864"/>
      <c r="G864"/>
    </row>
    <row r="865" spans="2:7" ht="14.45" customHeight="1">
      <c r="B865"/>
      <c r="C865"/>
      <c r="D865"/>
      <c r="G865"/>
    </row>
    <row r="866" spans="2:7" ht="14.45" customHeight="1">
      <c r="B866"/>
      <c r="C866"/>
      <c r="D866"/>
      <c r="G866"/>
    </row>
    <row r="867" spans="2:7" ht="14.45" customHeight="1">
      <c r="B867"/>
      <c r="C867"/>
      <c r="D867"/>
      <c r="G867"/>
    </row>
    <row r="868" spans="2:7" ht="14.45" customHeight="1">
      <c r="B868"/>
      <c r="C868"/>
      <c r="D868"/>
      <c r="G868"/>
    </row>
    <row r="869" spans="2:7" ht="14.45" customHeight="1">
      <c r="B869"/>
      <c r="C869"/>
      <c r="D869"/>
      <c r="G869"/>
    </row>
    <row r="870" spans="2:7" ht="14.45" customHeight="1">
      <c r="B870"/>
      <c r="C870"/>
      <c r="D870"/>
      <c r="G870"/>
    </row>
    <row r="871" spans="2:7" ht="14.45" customHeight="1">
      <c r="B871"/>
      <c r="C871"/>
      <c r="D871"/>
      <c r="G871"/>
    </row>
    <row r="872" spans="2:7" ht="14.45" customHeight="1">
      <c r="B872"/>
      <c r="C872"/>
      <c r="D872"/>
      <c r="G872"/>
    </row>
    <row r="873" spans="2:7" ht="14.45" customHeight="1">
      <c r="B873"/>
      <c r="C873"/>
      <c r="D873"/>
      <c r="G873"/>
    </row>
    <row r="874" spans="2:7" ht="14.45" customHeight="1">
      <c r="B874"/>
      <c r="C874"/>
      <c r="D874"/>
      <c r="G874"/>
    </row>
    <row r="875" spans="2:7" ht="14.45" customHeight="1">
      <c r="B875"/>
      <c r="C875"/>
      <c r="D875"/>
      <c r="G875"/>
    </row>
    <row r="876" spans="2:7" ht="14.45" customHeight="1">
      <c r="B876"/>
      <c r="C876"/>
      <c r="D876"/>
      <c r="G876"/>
    </row>
    <row r="877" spans="2:7" ht="14.45" customHeight="1">
      <c r="B877"/>
      <c r="C877"/>
      <c r="D877"/>
      <c r="G877"/>
    </row>
    <row r="878" spans="2:7" ht="14.45" customHeight="1">
      <c r="B878"/>
      <c r="C878"/>
      <c r="D878"/>
      <c r="G878"/>
    </row>
    <row r="879" spans="2:7" ht="14.45" customHeight="1">
      <c r="B879"/>
      <c r="C879"/>
      <c r="D879"/>
      <c r="G879"/>
    </row>
    <row r="880" spans="2:7" ht="14.45" customHeight="1">
      <c r="B880"/>
      <c r="C880"/>
      <c r="D880"/>
      <c r="G880"/>
    </row>
    <row r="881" spans="2:7" ht="14.45" customHeight="1">
      <c r="B881"/>
      <c r="C881"/>
      <c r="D881"/>
      <c r="G881"/>
    </row>
    <row r="882" spans="2:7" ht="14.45" customHeight="1">
      <c r="B882"/>
      <c r="C882"/>
      <c r="D882"/>
      <c r="G882"/>
    </row>
    <row r="883" spans="2:7" ht="14.45" customHeight="1">
      <c r="B883"/>
      <c r="C883"/>
      <c r="D883"/>
      <c r="G883"/>
    </row>
    <row r="884" spans="2:7" ht="14.45" customHeight="1">
      <c r="B884"/>
      <c r="C884"/>
      <c r="D884"/>
      <c r="G884"/>
    </row>
    <row r="885" spans="2:7" ht="14.45" customHeight="1">
      <c r="B885"/>
      <c r="C885"/>
      <c r="D885"/>
      <c r="G885"/>
    </row>
    <row r="886" spans="2:7" ht="14.45" customHeight="1">
      <c r="B886"/>
      <c r="C886"/>
      <c r="D886"/>
      <c r="G886"/>
    </row>
    <row r="887" spans="2:7" ht="14.45" customHeight="1">
      <c r="B887"/>
      <c r="C887"/>
      <c r="D887"/>
      <c r="G887"/>
    </row>
    <row r="888" spans="2:7" ht="14.45" customHeight="1">
      <c r="B888"/>
      <c r="C888"/>
      <c r="D888"/>
      <c r="G888"/>
    </row>
    <row r="889" spans="2:7" ht="14.45" customHeight="1">
      <c r="B889"/>
      <c r="C889"/>
      <c r="D889"/>
      <c r="G889"/>
    </row>
    <row r="890" spans="2:7" ht="14.45" customHeight="1">
      <c r="B890"/>
      <c r="C890"/>
      <c r="D890"/>
      <c r="G890"/>
    </row>
    <row r="891" spans="2:7" ht="14.45" customHeight="1">
      <c r="B891"/>
      <c r="C891"/>
      <c r="D891"/>
      <c r="G891"/>
    </row>
    <row r="892" spans="2:7" ht="14.45" customHeight="1">
      <c r="B892"/>
      <c r="C892"/>
      <c r="D892"/>
      <c r="G892"/>
    </row>
    <row r="893" spans="2:7" ht="14.45" customHeight="1">
      <c r="B893"/>
      <c r="C893"/>
      <c r="D893"/>
      <c r="G893"/>
    </row>
    <row r="894" spans="2:7" ht="14.45" customHeight="1">
      <c r="B894"/>
      <c r="C894"/>
      <c r="D894"/>
      <c r="G894"/>
    </row>
    <row r="895" spans="2:7" ht="14.45" customHeight="1">
      <c r="B895"/>
      <c r="C895"/>
      <c r="D895"/>
      <c r="G895"/>
    </row>
    <row r="896" spans="2:7" ht="14.45" customHeight="1">
      <c r="B896"/>
      <c r="C896"/>
      <c r="D896"/>
      <c r="G896"/>
    </row>
    <row r="897" spans="2:7" ht="14.45" customHeight="1">
      <c r="B897"/>
      <c r="C897"/>
      <c r="D897"/>
      <c r="G897"/>
    </row>
    <row r="898" spans="2:7" ht="14.45" customHeight="1">
      <c r="B898"/>
      <c r="C898"/>
      <c r="D898"/>
      <c r="G898"/>
    </row>
    <row r="899" spans="2:7" ht="14.45" customHeight="1">
      <c r="B899"/>
      <c r="C899"/>
      <c r="D899"/>
      <c r="G899"/>
    </row>
    <row r="900" spans="2:7" ht="14.45" customHeight="1">
      <c r="B900"/>
      <c r="C900"/>
      <c r="D900"/>
      <c r="G900"/>
    </row>
    <row r="901" spans="2:7" ht="14.45" customHeight="1">
      <c r="B901"/>
      <c r="C901"/>
      <c r="D901"/>
      <c r="G901"/>
    </row>
    <row r="902" spans="2:7" ht="14.45" customHeight="1">
      <c r="B902"/>
      <c r="C902"/>
      <c r="D902"/>
      <c r="G902"/>
    </row>
    <row r="903" spans="2:7" ht="14.45" customHeight="1">
      <c r="B903"/>
      <c r="C903"/>
      <c r="D903"/>
      <c r="G903"/>
    </row>
    <row r="904" spans="2:7" ht="14.45" customHeight="1">
      <c r="B904"/>
      <c r="C904"/>
      <c r="D904"/>
      <c r="G904"/>
    </row>
    <row r="905" spans="2:7" ht="14.45" customHeight="1">
      <c r="B905"/>
      <c r="C905"/>
      <c r="D905"/>
      <c r="G905"/>
    </row>
    <row r="906" spans="2:7" ht="14.45" customHeight="1">
      <c r="B906"/>
      <c r="C906"/>
      <c r="D906"/>
      <c r="G906"/>
    </row>
    <row r="907" spans="2:7" ht="14.45" customHeight="1">
      <c r="B907"/>
      <c r="C907"/>
      <c r="D907"/>
      <c r="G907"/>
    </row>
    <row r="908" spans="2:7" ht="14.45" customHeight="1">
      <c r="B908"/>
      <c r="C908"/>
      <c r="D908"/>
      <c r="G908"/>
    </row>
    <row r="909" spans="2:7" ht="14.45" customHeight="1">
      <c r="B909"/>
      <c r="C909"/>
      <c r="D909"/>
      <c r="G909"/>
    </row>
    <row r="910" spans="2:7" ht="14.45" customHeight="1">
      <c r="B910"/>
      <c r="C910"/>
      <c r="D910"/>
      <c r="G910"/>
    </row>
    <row r="911" spans="2:7" ht="14.45" customHeight="1">
      <c r="B911"/>
      <c r="C911"/>
      <c r="D911"/>
      <c r="G911"/>
    </row>
    <row r="912" spans="2:7" ht="14.45" customHeight="1">
      <c r="B912"/>
      <c r="C912"/>
      <c r="D912"/>
      <c r="G912"/>
    </row>
    <row r="913" spans="2:7" ht="14.45" customHeight="1">
      <c r="B913"/>
      <c r="C913"/>
      <c r="D913"/>
      <c r="G913"/>
    </row>
    <row r="914" spans="2:7" ht="14.45" customHeight="1">
      <c r="B914"/>
      <c r="C914"/>
      <c r="D914"/>
      <c r="G914"/>
    </row>
    <row r="915" spans="2:7" ht="14.45" customHeight="1">
      <c r="B915"/>
      <c r="C915"/>
      <c r="D915"/>
      <c r="G915"/>
    </row>
    <row r="916" spans="2:7" ht="14.45" customHeight="1">
      <c r="B916"/>
      <c r="C916"/>
      <c r="D916"/>
      <c r="G916"/>
    </row>
    <row r="917" spans="2:7" ht="14.45" customHeight="1">
      <c r="B917"/>
      <c r="C917"/>
      <c r="D917"/>
      <c r="G917"/>
    </row>
    <row r="918" spans="2:7" ht="14.45" customHeight="1">
      <c r="B918"/>
      <c r="C918"/>
      <c r="D918"/>
      <c r="G918"/>
    </row>
    <row r="919" spans="2:7" ht="14.45" customHeight="1">
      <c r="B919"/>
      <c r="C919"/>
      <c r="D919"/>
      <c r="G919"/>
    </row>
    <row r="920" spans="2:7" ht="14.45" customHeight="1">
      <c r="B920"/>
      <c r="C920"/>
      <c r="D920"/>
      <c r="G920"/>
    </row>
    <row r="921" spans="2:7" ht="14.45" customHeight="1">
      <c r="B921"/>
      <c r="C921"/>
      <c r="D921"/>
      <c r="G921"/>
    </row>
    <row r="922" spans="2:7" ht="14.45" customHeight="1">
      <c r="B922"/>
      <c r="C922"/>
      <c r="D922"/>
      <c r="G922"/>
    </row>
    <row r="923" spans="2:7" ht="14.45" customHeight="1">
      <c r="B923"/>
      <c r="C923"/>
      <c r="D923"/>
      <c r="G923"/>
    </row>
    <row r="924" spans="2:7" ht="14.45" customHeight="1">
      <c r="B924"/>
      <c r="C924"/>
      <c r="D924"/>
      <c r="G924"/>
    </row>
    <row r="925" spans="2:7" ht="14.45" customHeight="1">
      <c r="B925"/>
      <c r="C925"/>
      <c r="D925"/>
      <c r="G925"/>
    </row>
    <row r="926" spans="2:7" ht="14.45" customHeight="1">
      <c r="B926"/>
      <c r="C926"/>
      <c r="D926"/>
      <c r="G926"/>
    </row>
    <row r="927" spans="2:7" ht="14.45" customHeight="1">
      <c r="B927"/>
      <c r="C927"/>
      <c r="D927"/>
      <c r="G927"/>
    </row>
    <row r="928" spans="2:7" ht="14.45" customHeight="1">
      <c r="B928"/>
      <c r="C928"/>
      <c r="D928"/>
      <c r="G928"/>
    </row>
    <row r="929" spans="2:7" ht="14.45" customHeight="1">
      <c r="B929"/>
      <c r="C929"/>
      <c r="D929"/>
      <c r="G929"/>
    </row>
    <row r="930" spans="2:7" ht="14.45" customHeight="1">
      <c r="B930"/>
      <c r="C930"/>
      <c r="D930"/>
      <c r="G930"/>
    </row>
    <row r="931" spans="2:7" ht="14.45" customHeight="1">
      <c r="B931"/>
      <c r="C931"/>
      <c r="D931"/>
      <c r="G931"/>
    </row>
    <row r="932" spans="2:7" ht="14.45" customHeight="1">
      <c r="B932"/>
      <c r="C932"/>
      <c r="D932"/>
      <c r="G932"/>
    </row>
    <row r="933" spans="2:7" ht="14.45" customHeight="1">
      <c r="B933"/>
      <c r="C933"/>
      <c r="D933"/>
      <c r="G933"/>
    </row>
    <row r="934" spans="2:7" ht="14.45" customHeight="1">
      <c r="B934"/>
      <c r="C934"/>
      <c r="D934"/>
      <c r="G934"/>
    </row>
    <row r="935" spans="2:7" ht="14.45" customHeight="1">
      <c r="B935"/>
      <c r="C935"/>
      <c r="D935"/>
      <c r="G935"/>
    </row>
    <row r="936" spans="2:7" ht="14.45" customHeight="1">
      <c r="B936"/>
      <c r="C936"/>
      <c r="D936"/>
      <c r="G936"/>
    </row>
    <row r="937" spans="2:7" ht="14.45" customHeight="1">
      <c r="B937"/>
      <c r="C937"/>
      <c r="D937"/>
      <c r="G937"/>
    </row>
    <row r="938" spans="2:7" ht="14.45" customHeight="1">
      <c r="B938"/>
      <c r="C938"/>
      <c r="D938"/>
      <c r="G938"/>
    </row>
    <row r="939" spans="2:7" ht="14.45" customHeight="1">
      <c r="B939"/>
      <c r="C939"/>
      <c r="D939"/>
      <c r="G939"/>
    </row>
    <row r="940" spans="2:7" ht="14.45" customHeight="1">
      <c r="B940"/>
      <c r="C940"/>
      <c r="D940"/>
      <c r="G940"/>
    </row>
    <row r="941" spans="2:7" ht="14.45" customHeight="1">
      <c r="B941"/>
      <c r="C941"/>
      <c r="D941"/>
      <c r="G941"/>
    </row>
    <row r="942" spans="2:7" ht="14.45" customHeight="1">
      <c r="B942"/>
      <c r="C942"/>
      <c r="D942"/>
      <c r="G942"/>
    </row>
    <row r="943" spans="2:7" ht="14.45" customHeight="1">
      <c r="B943"/>
      <c r="C943"/>
      <c r="D943"/>
      <c r="G943"/>
    </row>
    <row r="944" spans="2:7" ht="14.45" customHeight="1">
      <c r="B944"/>
      <c r="C944"/>
      <c r="D944"/>
      <c r="G944"/>
    </row>
    <row r="945" spans="2:7" ht="14.45" customHeight="1">
      <c r="B945"/>
      <c r="C945"/>
      <c r="D945"/>
      <c r="G945"/>
    </row>
    <row r="946" spans="2:7" ht="14.45" customHeight="1">
      <c r="B946"/>
      <c r="C946"/>
      <c r="D946"/>
      <c r="G946"/>
    </row>
    <row r="947" spans="2:7" ht="14.45" customHeight="1">
      <c r="B947"/>
      <c r="C947"/>
      <c r="D947"/>
      <c r="G947"/>
    </row>
    <row r="948" spans="2:7" ht="14.45" customHeight="1">
      <c r="B948"/>
      <c r="C948"/>
      <c r="D948"/>
      <c r="G948"/>
    </row>
    <row r="949" spans="2:7" ht="14.45" customHeight="1">
      <c r="B949"/>
      <c r="C949"/>
      <c r="D949"/>
      <c r="G949"/>
    </row>
    <row r="950" spans="2:7" ht="14.45" customHeight="1">
      <c r="B950"/>
      <c r="C950"/>
      <c r="D950"/>
      <c r="G950"/>
    </row>
    <row r="951" spans="2:7" ht="14.45" customHeight="1">
      <c r="B951"/>
      <c r="C951"/>
      <c r="D951"/>
      <c r="G951"/>
    </row>
    <row r="952" spans="2:7" ht="14.45" customHeight="1">
      <c r="B952"/>
      <c r="C952"/>
      <c r="D952"/>
      <c r="G952"/>
    </row>
    <row r="953" spans="2:7" ht="14.45" customHeight="1">
      <c r="B953"/>
      <c r="C953"/>
      <c r="D953"/>
      <c r="G953"/>
    </row>
    <row r="954" spans="2:7" ht="14.45" customHeight="1">
      <c r="B954"/>
      <c r="C954"/>
      <c r="D954"/>
      <c r="G954"/>
    </row>
    <row r="955" spans="2:7" ht="14.45" customHeight="1">
      <c r="B955"/>
      <c r="C955"/>
      <c r="D955"/>
      <c r="G955"/>
    </row>
    <row r="956" spans="2:7" ht="14.45" customHeight="1">
      <c r="B956"/>
      <c r="C956"/>
      <c r="D956"/>
      <c r="G956"/>
    </row>
    <row r="957" spans="2:7" ht="14.45" customHeight="1">
      <c r="B957"/>
      <c r="C957"/>
      <c r="D957"/>
      <c r="G957"/>
    </row>
    <row r="958" spans="2:7" ht="14.45" customHeight="1">
      <c r="B958"/>
      <c r="C958"/>
      <c r="D958"/>
      <c r="G958"/>
    </row>
    <row r="959" spans="2:7" ht="14.45" customHeight="1">
      <c r="B959"/>
      <c r="C959"/>
      <c r="D959"/>
      <c r="G959"/>
    </row>
    <row r="960" spans="2:7" ht="14.45" customHeight="1">
      <c r="B960"/>
      <c r="C960"/>
      <c r="D960"/>
      <c r="G960"/>
    </row>
    <row r="961" spans="2:7" ht="14.45" customHeight="1">
      <c r="B961"/>
      <c r="C961"/>
      <c r="D961"/>
      <c r="G961"/>
    </row>
    <row r="962" spans="2:7" ht="14.45" customHeight="1">
      <c r="B962"/>
      <c r="C962"/>
      <c r="D962"/>
      <c r="G962"/>
    </row>
    <row r="963" spans="2:7" ht="14.45" customHeight="1">
      <c r="B963"/>
      <c r="C963"/>
      <c r="D963"/>
      <c r="G963"/>
    </row>
    <row r="964" spans="2:7" ht="14.45" customHeight="1">
      <c r="B964"/>
      <c r="C964"/>
      <c r="D964"/>
      <c r="G964"/>
    </row>
    <row r="965" spans="2:7" ht="14.45" customHeight="1">
      <c r="B965"/>
      <c r="C965"/>
      <c r="D965"/>
      <c r="G965"/>
    </row>
    <row r="966" spans="2:7" ht="14.45" customHeight="1">
      <c r="B966"/>
      <c r="C966"/>
      <c r="D966"/>
      <c r="G966"/>
    </row>
    <row r="967" spans="2:7" ht="14.45" customHeight="1">
      <c r="B967"/>
      <c r="C967"/>
      <c r="D967"/>
      <c r="G967"/>
    </row>
    <row r="968" spans="2:7" ht="14.45" customHeight="1">
      <c r="B968"/>
      <c r="C968"/>
      <c r="D968"/>
      <c r="G968"/>
    </row>
    <row r="969" spans="2:7" ht="14.45" customHeight="1">
      <c r="B969"/>
      <c r="C969"/>
      <c r="D969"/>
      <c r="G969"/>
    </row>
    <row r="970" spans="2:7" ht="14.45" customHeight="1">
      <c r="B970"/>
      <c r="C970"/>
      <c r="D970"/>
      <c r="G970"/>
    </row>
    <row r="971" spans="2:7" ht="14.45" customHeight="1">
      <c r="B971"/>
      <c r="C971"/>
      <c r="D971"/>
      <c r="G971"/>
    </row>
    <row r="972" spans="2:7" ht="14.45" customHeight="1">
      <c r="B972"/>
      <c r="C972"/>
      <c r="D972"/>
      <c r="G972"/>
    </row>
    <row r="973" spans="2:7" ht="14.45" customHeight="1">
      <c r="B973"/>
      <c r="C973"/>
      <c r="D973"/>
      <c r="G973"/>
    </row>
    <row r="974" spans="2:7" ht="14.45" customHeight="1">
      <c r="B974"/>
      <c r="C974"/>
      <c r="D974"/>
      <c r="G974"/>
    </row>
    <row r="975" spans="2:7" ht="14.45" customHeight="1">
      <c r="B975"/>
      <c r="C975"/>
      <c r="D975"/>
      <c r="G975"/>
    </row>
    <row r="976" spans="2:7" ht="14.45" customHeight="1">
      <c r="B976"/>
      <c r="C976"/>
      <c r="D976"/>
      <c r="G976"/>
    </row>
    <row r="977" spans="2:7" ht="14.45" customHeight="1">
      <c r="B977"/>
      <c r="C977"/>
      <c r="D977"/>
      <c r="G977"/>
    </row>
    <row r="978" spans="2:7" ht="14.45" customHeight="1">
      <c r="B978"/>
      <c r="C978"/>
      <c r="D978"/>
      <c r="G978"/>
    </row>
    <row r="979" spans="2:7" ht="14.45" customHeight="1">
      <c r="B979"/>
      <c r="C979"/>
      <c r="D979"/>
      <c r="G979"/>
    </row>
    <row r="980" spans="2:7" ht="14.45" customHeight="1">
      <c r="B980"/>
      <c r="C980"/>
      <c r="D980"/>
      <c r="G980"/>
    </row>
    <row r="981" spans="2:7" ht="14.45" customHeight="1">
      <c r="B981"/>
      <c r="C981"/>
      <c r="D981"/>
      <c r="G981"/>
    </row>
    <row r="982" spans="2:7" ht="14.45" customHeight="1">
      <c r="B982"/>
      <c r="C982"/>
      <c r="D982"/>
      <c r="G982"/>
    </row>
    <row r="983" spans="2:7" ht="14.45" customHeight="1">
      <c r="B983"/>
      <c r="C983"/>
      <c r="D983"/>
      <c r="G983"/>
    </row>
    <row r="984" spans="2:7" ht="14.45" customHeight="1">
      <c r="B984"/>
      <c r="C984"/>
      <c r="D984"/>
      <c r="G984"/>
    </row>
    <row r="985" spans="2:7" ht="14.45" customHeight="1">
      <c r="B985"/>
      <c r="C985"/>
      <c r="D985"/>
      <c r="G985"/>
    </row>
    <row r="986" spans="2:7" ht="14.45" customHeight="1">
      <c r="B986"/>
      <c r="C986"/>
      <c r="D986"/>
      <c r="G986"/>
    </row>
    <row r="987" spans="2:7" ht="14.45" customHeight="1">
      <c r="B987"/>
      <c r="C987"/>
      <c r="D987"/>
      <c r="G987"/>
    </row>
    <row r="988" spans="2:7" ht="14.45" customHeight="1">
      <c r="B988"/>
      <c r="C988"/>
      <c r="D988"/>
      <c r="G988"/>
    </row>
    <row r="989" spans="2:7" ht="14.45" customHeight="1">
      <c r="B989"/>
      <c r="C989"/>
      <c r="D989"/>
      <c r="G989"/>
    </row>
    <row r="990" spans="2:7" ht="14.45" customHeight="1">
      <c r="B990"/>
      <c r="C990"/>
      <c r="D990"/>
      <c r="G990"/>
    </row>
    <row r="991" spans="2:7" ht="14.45" customHeight="1">
      <c r="B991"/>
      <c r="C991"/>
      <c r="D991"/>
      <c r="G991"/>
    </row>
    <row r="992" spans="2:7" ht="14.45" customHeight="1">
      <c r="B992"/>
      <c r="C992"/>
      <c r="D992"/>
      <c r="G992"/>
    </row>
    <row r="993" spans="2:7" ht="14.45" customHeight="1">
      <c r="B993"/>
      <c r="C993"/>
      <c r="D993"/>
      <c r="G993"/>
    </row>
    <row r="994" spans="2:7" ht="14.45" customHeight="1">
      <c r="B994"/>
      <c r="C994"/>
      <c r="D994"/>
      <c r="G994"/>
    </row>
    <row r="995" spans="2:7" ht="14.45" customHeight="1">
      <c r="B995"/>
      <c r="C995"/>
      <c r="D995"/>
      <c r="G995"/>
    </row>
    <row r="996" spans="2:7" ht="14.45" customHeight="1">
      <c r="B996"/>
      <c r="C996"/>
      <c r="D996"/>
      <c r="G996"/>
    </row>
    <row r="997" spans="2:7" ht="14.45" customHeight="1">
      <c r="B997"/>
      <c r="C997"/>
      <c r="D997"/>
      <c r="G997"/>
    </row>
    <row r="998" spans="2:7" ht="14.45" customHeight="1">
      <c r="B998"/>
      <c r="C998"/>
      <c r="D998"/>
      <c r="G998"/>
    </row>
    <row r="999" spans="2:7" ht="14.45" customHeight="1">
      <c r="B999"/>
      <c r="C999"/>
      <c r="D999"/>
      <c r="G999"/>
    </row>
    <row r="1000" spans="2:7" ht="14.45" customHeight="1">
      <c r="B1000"/>
      <c r="C1000"/>
      <c r="D1000"/>
      <c r="G1000"/>
    </row>
    <row r="1001" spans="2:7" ht="14.45" customHeight="1">
      <c r="B1001"/>
      <c r="C1001"/>
      <c r="D1001"/>
      <c r="G1001"/>
    </row>
    <row r="1002" spans="2:7" ht="14.45" customHeight="1">
      <c r="B1002"/>
      <c r="C1002"/>
      <c r="D1002"/>
      <c r="G1002"/>
    </row>
    <row r="1003" spans="2:7" ht="14.45" customHeight="1">
      <c r="B1003"/>
      <c r="C1003"/>
      <c r="D1003"/>
      <c r="G1003"/>
    </row>
    <row r="1004" spans="2:7" ht="14.45" customHeight="1">
      <c r="B1004"/>
      <c r="C1004"/>
      <c r="D1004"/>
      <c r="G1004"/>
    </row>
    <row r="1005" spans="2:7" ht="14.45" customHeight="1">
      <c r="B1005"/>
      <c r="C1005"/>
      <c r="D1005"/>
      <c r="G1005"/>
    </row>
    <row r="1006" spans="2:7" ht="14.45" customHeight="1">
      <c r="B1006"/>
      <c r="C1006"/>
      <c r="D1006"/>
      <c r="G1006"/>
    </row>
    <row r="1007" spans="2:7" ht="14.45" customHeight="1">
      <c r="B1007"/>
      <c r="C1007"/>
      <c r="D1007"/>
      <c r="G1007"/>
    </row>
    <row r="1008" spans="2:7" ht="14.45" customHeight="1">
      <c r="B1008"/>
      <c r="C1008"/>
      <c r="D1008"/>
      <c r="G1008"/>
    </row>
    <row r="1009" spans="2:7" ht="14.45" customHeight="1">
      <c r="B1009"/>
      <c r="C1009"/>
      <c r="D1009"/>
      <c r="G1009"/>
    </row>
    <row r="1010" spans="2:7" ht="14.45" customHeight="1">
      <c r="B1010"/>
      <c r="C1010"/>
      <c r="D1010"/>
      <c r="G1010"/>
    </row>
    <row r="1011" spans="2:7" ht="14.45" customHeight="1">
      <c r="B1011"/>
      <c r="C1011"/>
      <c r="D1011"/>
      <c r="G1011"/>
    </row>
    <row r="1012" spans="2:7" ht="14.45" customHeight="1">
      <c r="B1012"/>
      <c r="C1012"/>
      <c r="D1012"/>
      <c r="G1012"/>
    </row>
    <row r="1013" spans="2:7" ht="14.45" customHeight="1">
      <c r="B1013"/>
      <c r="C1013"/>
      <c r="D1013"/>
      <c r="G1013"/>
    </row>
    <row r="1014" spans="2:7" ht="14.45" customHeight="1">
      <c r="B1014"/>
      <c r="C1014"/>
      <c r="D1014"/>
      <c r="G1014"/>
    </row>
    <row r="1015" spans="2:7" ht="14.45" customHeight="1">
      <c r="B1015"/>
      <c r="C1015"/>
      <c r="D1015"/>
      <c r="G1015"/>
    </row>
    <row r="1016" spans="2:7" ht="14.45" customHeight="1">
      <c r="B1016"/>
      <c r="C1016"/>
      <c r="D1016"/>
      <c r="G1016"/>
    </row>
    <row r="1017" spans="2:7" ht="14.45" customHeight="1">
      <c r="B1017"/>
      <c r="C1017"/>
      <c r="D1017"/>
      <c r="G1017"/>
    </row>
    <row r="1018" spans="2:7" ht="14.45" customHeight="1">
      <c r="B1018"/>
      <c r="C1018"/>
      <c r="D1018"/>
      <c r="G1018"/>
    </row>
    <row r="1019" spans="2:7" ht="14.45" customHeight="1">
      <c r="B1019"/>
      <c r="C1019"/>
      <c r="D1019"/>
      <c r="G1019"/>
    </row>
    <row r="1020" spans="2:7" ht="14.45" customHeight="1">
      <c r="B1020"/>
      <c r="C1020"/>
      <c r="D1020"/>
      <c r="G1020"/>
    </row>
    <row r="1021" spans="2:7" ht="14.45" customHeight="1">
      <c r="B1021"/>
      <c r="C1021"/>
      <c r="D1021"/>
      <c r="G1021"/>
    </row>
    <row r="1022" spans="2:7" ht="14.45" customHeight="1">
      <c r="B1022"/>
      <c r="C1022"/>
      <c r="D1022"/>
      <c r="G1022"/>
    </row>
    <row r="1023" spans="2:7" ht="14.45" customHeight="1">
      <c r="B1023"/>
      <c r="C1023"/>
      <c r="D1023"/>
      <c r="G1023"/>
    </row>
    <row r="1024" spans="2:7" ht="14.45" customHeight="1">
      <c r="B1024"/>
      <c r="C1024"/>
      <c r="D1024"/>
      <c r="G1024"/>
    </row>
    <row r="1025" spans="2:7" ht="14.45" customHeight="1">
      <c r="B1025"/>
      <c r="C1025"/>
      <c r="D1025"/>
      <c r="G1025"/>
    </row>
    <row r="1026" spans="2:7" ht="14.45" customHeight="1">
      <c r="B1026"/>
      <c r="C1026"/>
      <c r="D1026"/>
      <c r="G1026"/>
    </row>
    <row r="1027" spans="2:7" ht="14.45" customHeight="1">
      <c r="B1027"/>
      <c r="C1027"/>
      <c r="D1027"/>
      <c r="G1027"/>
    </row>
    <row r="1028" spans="2:7" ht="14.45" customHeight="1">
      <c r="B1028"/>
      <c r="C1028"/>
      <c r="D1028"/>
      <c r="G1028"/>
    </row>
    <row r="1029" spans="2:7" ht="14.45" customHeight="1">
      <c r="B1029"/>
      <c r="C1029"/>
      <c r="D1029"/>
      <c r="G1029"/>
    </row>
    <row r="1030" spans="2:7" ht="14.45" customHeight="1">
      <c r="B1030"/>
      <c r="C1030"/>
      <c r="D1030"/>
      <c r="G1030"/>
    </row>
    <row r="1031" spans="2:7" ht="14.45" customHeight="1">
      <c r="B1031"/>
      <c r="C1031"/>
      <c r="D1031"/>
      <c r="G1031"/>
    </row>
    <row r="1032" spans="2:7" ht="14.45" customHeight="1">
      <c r="B1032"/>
      <c r="C1032"/>
      <c r="D1032"/>
      <c r="G1032"/>
    </row>
    <row r="1033" spans="2:7" ht="14.45" customHeight="1">
      <c r="B1033"/>
      <c r="C1033"/>
      <c r="D1033"/>
      <c r="G1033"/>
    </row>
    <row r="1034" spans="2:7" ht="14.45" customHeight="1">
      <c r="B1034"/>
      <c r="C1034"/>
      <c r="D1034"/>
      <c r="G1034"/>
    </row>
    <row r="1035" spans="2:7" ht="14.45" customHeight="1">
      <c r="B1035"/>
      <c r="C1035"/>
      <c r="D1035"/>
      <c r="G1035"/>
    </row>
    <row r="1036" spans="2:7" ht="14.45" customHeight="1">
      <c r="B1036"/>
      <c r="C1036"/>
      <c r="D1036"/>
      <c r="G1036"/>
    </row>
    <row r="1037" spans="2:7" ht="14.45" customHeight="1">
      <c r="B1037"/>
      <c r="C1037"/>
      <c r="D1037"/>
      <c r="G1037"/>
    </row>
    <row r="1038" spans="2:7" ht="14.45" customHeight="1">
      <c r="B1038"/>
      <c r="C1038"/>
      <c r="D1038"/>
      <c r="G1038"/>
    </row>
    <row r="1039" spans="2:7" ht="14.45" customHeight="1">
      <c r="B1039"/>
      <c r="C1039"/>
      <c r="D1039"/>
      <c r="G1039"/>
    </row>
    <row r="1040" spans="2:7" ht="14.45" customHeight="1">
      <c r="B1040"/>
      <c r="C1040"/>
      <c r="D1040"/>
      <c r="G1040"/>
    </row>
    <row r="1041" spans="2:7" ht="14.45" customHeight="1">
      <c r="B1041"/>
      <c r="C1041"/>
      <c r="D1041"/>
      <c r="G1041"/>
    </row>
    <row r="1042" spans="2:7" ht="14.45" customHeight="1">
      <c r="B1042"/>
      <c r="C1042"/>
      <c r="D1042"/>
      <c r="G1042"/>
    </row>
    <row r="1043" spans="2:7" ht="14.45" customHeight="1">
      <c r="B1043"/>
      <c r="C1043"/>
      <c r="D1043"/>
      <c r="G1043"/>
    </row>
    <row r="1044" spans="2:7" ht="14.45" customHeight="1">
      <c r="B1044"/>
      <c r="C1044"/>
      <c r="D1044"/>
      <c r="G1044"/>
    </row>
    <row r="1045" spans="2:7" ht="14.45" customHeight="1">
      <c r="B1045"/>
      <c r="C1045"/>
      <c r="D1045"/>
      <c r="G1045"/>
    </row>
    <row r="1046" spans="2:7" ht="14.45" customHeight="1">
      <c r="B1046"/>
      <c r="C1046"/>
      <c r="D1046"/>
      <c r="G1046"/>
    </row>
    <row r="1047" spans="2:7" ht="14.45" customHeight="1">
      <c r="B1047"/>
      <c r="C1047"/>
      <c r="D1047"/>
      <c r="G1047"/>
    </row>
    <row r="1048" spans="2:7" ht="14.45" customHeight="1">
      <c r="B1048"/>
      <c r="C1048"/>
      <c r="D1048"/>
      <c r="G1048"/>
    </row>
    <row r="1049" spans="2:7" ht="14.45" customHeight="1">
      <c r="B1049"/>
      <c r="C1049"/>
      <c r="D1049"/>
      <c r="G1049"/>
    </row>
    <row r="1050" spans="2:7" ht="14.45" customHeight="1">
      <c r="B1050"/>
      <c r="C1050"/>
      <c r="D1050"/>
      <c r="G1050"/>
    </row>
    <row r="1051" spans="2:7" ht="14.45" customHeight="1">
      <c r="B1051"/>
      <c r="C1051"/>
      <c r="D1051"/>
      <c r="G1051"/>
    </row>
    <row r="1052" spans="2:7" ht="14.45" customHeight="1">
      <c r="B1052"/>
      <c r="C1052"/>
      <c r="D1052"/>
      <c r="G1052"/>
    </row>
    <row r="1053" spans="2:7" ht="14.45" customHeight="1">
      <c r="B1053"/>
      <c r="C1053"/>
      <c r="D1053"/>
      <c r="G1053"/>
    </row>
    <row r="1054" spans="2:7" ht="14.45" customHeight="1">
      <c r="B1054"/>
      <c r="C1054"/>
      <c r="D1054"/>
      <c r="G1054"/>
    </row>
    <row r="1055" spans="2:7" ht="14.45" customHeight="1">
      <c r="B1055"/>
      <c r="C1055"/>
      <c r="D1055"/>
      <c r="G1055"/>
    </row>
    <row r="1056" spans="2:7" ht="14.45" customHeight="1">
      <c r="B1056"/>
      <c r="C1056"/>
      <c r="D1056"/>
      <c r="G1056"/>
    </row>
    <row r="1057" spans="2:7" ht="14.45" customHeight="1">
      <c r="B1057"/>
      <c r="C1057"/>
      <c r="D1057"/>
      <c r="G1057"/>
    </row>
    <row r="1058" spans="2:7" ht="14.45" customHeight="1">
      <c r="B1058"/>
      <c r="C1058"/>
      <c r="D1058"/>
      <c r="G1058"/>
    </row>
    <row r="1059" spans="2:7" ht="14.45" customHeight="1">
      <c r="B1059"/>
      <c r="C1059"/>
      <c r="D1059"/>
      <c r="G1059"/>
    </row>
    <row r="1060" spans="2:7" ht="14.45" customHeight="1">
      <c r="B1060"/>
      <c r="C1060"/>
      <c r="D1060"/>
      <c r="G1060"/>
    </row>
    <row r="1061" spans="2:7" ht="14.45" customHeight="1">
      <c r="B1061"/>
      <c r="C1061"/>
      <c r="D1061"/>
      <c r="G1061"/>
    </row>
    <row r="1062" spans="2:7" ht="14.45" customHeight="1">
      <c r="B1062"/>
      <c r="C1062"/>
      <c r="D1062"/>
      <c r="G1062"/>
    </row>
    <row r="1063" spans="2:7" ht="14.45" customHeight="1">
      <c r="B1063"/>
      <c r="C1063"/>
      <c r="D1063"/>
      <c r="G1063"/>
    </row>
    <row r="1064" spans="2:7" ht="14.45" customHeight="1">
      <c r="B1064"/>
      <c r="C1064"/>
      <c r="D1064"/>
      <c r="G1064"/>
    </row>
    <row r="1065" spans="2:7" ht="14.45" customHeight="1">
      <c r="B1065"/>
      <c r="C1065"/>
      <c r="D1065"/>
      <c r="G1065"/>
    </row>
    <row r="1066" spans="2:7" ht="14.45" customHeight="1">
      <c r="B1066"/>
      <c r="C1066"/>
      <c r="D1066"/>
      <c r="G1066"/>
    </row>
    <row r="1067" spans="2:7" ht="14.45" customHeight="1">
      <c r="B1067"/>
      <c r="C1067"/>
      <c r="D1067"/>
      <c r="G1067"/>
    </row>
    <row r="1068" spans="2:7" ht="14.45" customHeight="1">
      <c r="B1068"/>
      <c r="C1068"/>
      <c r="D1068"/>
      <c r="G1068"/>
    </row>
    <row r="1069" spans="2:7" ht="14.45" customHeight="1">
      <c r="B1069"/>
      <c r="C1069"/>
      <c r="D1069"/>
      <c r="G1069"/>
    </row>
    <row r="1070" spans="2:7" ht="14.45" customHeight="1">
      <c r="B1070"/>
      <c r="C1070"/>
      <c r="D1070"/>
      <c r="G1070"/>
    </row>
    <row r="1071" spans="2:7" ht="14.45" customHeight="1">
      <c r="B1071"/>
      <c r="C1071"/>
      <c r="D1071"/>
      <c r="G1071"/>
    </row>
    <row r="1072" spans="2:7" ht="14.45" customHeight="1">
      <c r="B1072"/>
      <c r="C1072"/>
      <c r="D1072"/>
      <c r="G1072"/>
    </row>
    <row r="1073" spans="2:7" ht="14.45" customHeight="1">
      <c r="B1073"/>
      <c r="C1073"/>
      <c r="D1073"/>
      <c r="G1073"/>
    </row>
    <row r="1074" spans="2:7" ht="14.45" customHeight="1">
      <c r="B1074"/>
      <c r="C1074"/>
      <c r="D1074"/>
      <c r="G1074"/>
    </row>
    <row r="1075" spans="2:7" ht="14.45" customHeight="1">
      <c r="B1075"/>
      <c r="C1075"/>
      <c r="D1075"/>
      <c r="G1075"/>
    </row>
    <row r="1076" spans="2:7" ht="14.45" customHeight="1">
      <c r="B1076"/>
      <c r="C1076"/>
      <c r="D1076"/>
      <c r="G1076"/>
    </row>
    <row r="1077" spans="2:7" ht="14.45" customHeight="1">
      <c r="B1077"/>
      <c r="C1077"/>
      <c r="D1077"/>
      <c r="G1077"/>
    </row>
    <row r="1078" spans="2:7" ht="14.45" customHeight="1">
      <c r="B1078"/>
      <c r="C1078"/>
      <c r="D1078"/>
      <c r="G1078"/>
    </row>
    <row r="1079" spans="2:7" ht="14.45" customHeight="1">
      <c r="B1079"/>
      <c r="C1079"/>
      <c r="D1079"/>
      <c r="G1079"/>
    </row>
    <row r="1080" spans="2:7" ht="14.45" customHeight="1">
      <c r="B1080"/>
      <c r="C1080"/>
      <c r="D1080"/>
      <c r="G1080"/>
    </row>
    <row r="1081" spans="2:7" ht="14.45" customHeight="1">
      <c r="B1081"/>
      <c r="C1081"/>
      <c r="D1081"/>
      <c r="G1081"/>
    </row>
    <row r="1082" spans="2:7" ht="14.45" customHeight="1">
      <c r="B1082"/>
      <c r="C1082"/>
      <c r="D1082"/>
      <c r="G1082"/>
    </row>
    <row r="1083" spans="2:7" ht="14.45" customHeight="1">
      <c r="B1083"/>
      <c r="C1083"/>
      <c r="D1083"/>
      <c r="G1083"/>
    </row>
    <row r="1084" spans="2:7" ht="14.45" customHeight="1">
      <c r="B1084"/>
      <c r="C1084"/>
      <c r="D1084"/>
      <c r="G1084"/>
    </row>
    <row r="1085" spans="2:7" ht="14.45" customHeight="1">
      <c r="B1085"/>
      <c r="C1085"/>
      <c r="D1085"/>
      <c r="G1085"/>
    </row>
    <row r="1086" spans="2:7" ht="14.45" customHeight="1">
      <c r="B1086"/>
      <c r="C1086"/>
      <c r="D1086"/>
      <c r="G1086"/>
    </row>
    <row r="1087" spans="2:7" ht="14.45" customHeight="1">
      <c r="B1087"/>
      <c r="C1087"/>
      <c r="D1087"/>
      <c r="G1087"/>
    </row>
    <row r="1088" spans="2:7" ht="14.45" customHeight="1">
      <c r="B1088"/>
      <c r="C1088"/>
      <c r="D1088"/>
      <c r="G1088"/>
    </row>
    <row r="1089" spans="2:7" ht="14.45" customHeight="1">
      <c r="B1089"/>
      <c r="C1089"/>
      <c r="D1089"/>
      <c r="G1089"/>
    </row>
    <row r="1090" spans="2:7" ht="14.45" customHeight="1">
      <c r="B1090"/>
      <c r="C1090"/>
      <c r="D1090"/>
      <c r="G1090"/>
    </row>
    <row r="1091" spans="2:7" ht="14.45" customHeight="1">
      <c r="B1091"/>
      <c r="C1091"/>
      <c r="D1091"/>
      <c r="G1091"/>
    </row>
    <row r="1092" spans="2:7" ht="14.45" customHeight="1">
      <c r="B1092"/>
      <c r="C1092"/>
      <c r="D1092"/>
      <c r="G1092"/>
    </row>
    <row r="1093" spans="2:7" ht="14.45" customHeight="1">
      <c r="B1093"/>
      <c r="C1093"/>
      <c r="D1093"/>
      <c r="G1093"/>
    </row>
    <row r="1094" spans="2:7" ht="14.45" customHeight="1">
      <c r="B1094"/>
      <c r="C1094"/>
      <c r="D1094"/>
      <c r="G1094"/>
    </row>
    <row r="1095" spans="2:7" ht="14.45" customHeight="1">
      <c r="B1095"/>
      <c r="C1095"/>
      <c r="D1095"/>
      <c r="G1095"/>
    </row>
    <row r="1096" spans="2:7" ht="14.45" customHeight="1">
      <c r="B1096"/>
      <c r="C1096"/>
      <c r="D1096"/>
      <c r="G1096"/>
    </row>
    <row r="1097" spans="2:7" ht="14.45" customHeight="1">
      <c r="B1097"/>
      <c r="C1097"/>
      <c r="D1097"/>
      <c r="G1097"/>
    </row>
    <row r="1098" spans="2:7" ht="14.45" customHeight="1">
      <c r="B1098"/>
      <c r="C1098"/>
      <c r="D1098"/>
      <c r="G1098"/>
    </row>
    <row r="1099" spans="2:7" ht="14.45" customHeight="1">
      <c r="B1099"/>
      <c r="C1099"/>
      <c r="D1099"/>
      <c r="G1099"/>
    </row>
    <row r="1100" spans="2:7" ht="14.45" customHeight="1">
      <c r="B1100"/>
      <c r="C1100"/>
      <c r="D1100"/>
      <c r="G1100"/>
    </row>
    <row r="1101" spans="2:7" ht="14.45" customHeight="1">
      <c r="B1101"/>
      <c r="C1101"/>
      <c r="D1101"/>
      <c r="G1101"/>
    </row>
    <row r="1102" spans="2:7" ht="14.45" customHeight="1">
      <c r="B1102"/>
      <c r="C1102"/>
      <c r="D1102"/>
      <c r="G1102"/>
    </row>
    <row r="1103" spans="2:7" ht="14.45" customHeight="1">
      <c r="B1103"/>
      <c r="C1103"/>
      <c r="D1103"/>
      <c r="G1103"/>
    </row>
    <row r="1104" spans="2:7" ht="14.45" customHeight="1">
      <c r="B1104"/>
      <c r="C1104"/>
      <c r="D1104"/>
      <c r="G1104"/>
    </row>
    <row r="1105" spans="2:7" ht="14.45" customHeight="1">
      <c r="B1105"/>
      <c r="C1105"/>
      <c r="D1105"/>
      <c r="G1105"/>
    </row>
    <row r="1106" spans="2:7" ht="14.45" customHeight="1">
      <c r="B1106"/>
      <c r="C1106"/>
      <c r="D1106"/>
      <c r="G1106"/>
    </row>
    <row r="1107" spans="2:7" ht="14.45" customHeight="1">
      <c r="B1107"/>
      <c r="C1107"/>
      <c r="D1107"/>
      <c r="G1107"/>
    </row>
    <row r="1108" spans="2:7" ht="14.45" customHeight="1">
      <c r="B1108"/>
      <c r="C1108"/>
      <c r="D1108"/>
      <c r="G1108"/>
    </row>
    <row r="1109" spans="2:7" ht="14.45" customHeight="1">
      <c r="B1109"/>
      <c r="C1109"/>
      <c r="D1109"/>
      <c r="G1109"/>
    </row>
    <row r="1110" spans="2:7" ht="14.45" customHeight="1">
      <c r="B1110"/>
      <c r="C1110"/>
      <c r="D1110"/>
      <c r="G1110"/>
    </row>
    <row r="1111" spans="2:7" ht="14.45" customHeight="1">
      <c r="B1111"/>
      <c r="C1111"/>
      <c r="D1111"/>
      <c r="G1111"/>
    </row>
    <row r="1112" spans="2:7" ht="14.45" customHeight="1">
      <c r="B1112"/>
      <c r="C1112"/>
      <c r="D1112"/>
      <c r="G1112"/>
    </row>
    <row r="1113" spans="2:7" ht="14.45" customHeight="1">
      <c r="B1113"/>
      <c r="C1113"/>
      <c r="D1113"/>
      <c r="G1113"/>
    </row>
    <row r="1114" spans="2:7" ht="14.45" customHeight="1">
      <c r="B1114"/>
      <c r="C1114"/>
      <c r="D1114"/>
      <c r="G1114"/>
    </row>
    <row r="1115" spans="2:7" ht="14.45" customHeight="1">
      <c r="B1115"/>
      <c r="C1115"/>
      <c r="D1115"/>
      <c r="G1115"/>
    </row>
    <row r="1116" spans="2:7" ht="14.45" customHeight="1">
      <c r="B1116"/>
      <c r="C1116"/>
      <c r="D1116"/>
      <c r="G1116"/>
    </row>
    <row r="1117" spans="2:7" ht="14.45" customHeight="1">
      <c r="B1117"/>
      <c r="C1117"/>
      <c r="D1117"/>
      <c r="G1117"/>
    </row>
    <row r="1118" spans="2:7" ht="14.45" customHeight="1">
      <c r="B1118"/>
      <c r="C1118"/>
      <c r="D1118"/>
      <c r="G1118"/>
    </row>
    <row r="1119" spans="2:7" ht="14.45" customHeight="1">
      <c r="B1119"/>
      <c r="C1119"/>
      <c r="D1119"/>
      <c r="G1119"/>
    </row>
    <row r="1120" spans="2:7" ht="14.45" customHeight="1">
      <c r="B1120"/>
      <c r="C1120"/>
      <c r="D1120"/>
      <c r="G1120"/>
    </row>
    <row r="1121" spans="2:7" ht="14.45" customHeight="1">
      <c r="B1121"/>
      <c r="C1121"/>
      <c r="D1121"/>
      <c r="G1121"/>
    </row>
    <row r="1122" spans="2:7" ht="14.45" customHeight="1">
      <c r="B1122"/>
      <c r="C1122"/>
      <c r="D1122"/>
      <c r="G1122"/>
    </row>
    <row r="1123" spans="2:7" ht="14.45" customHeight="1">
      <c r="B1123"/>
      <c r="C1123"/>
      <c r="D1123"/>
      <c r="G1123"/>
    </row>
    <row r="1124" spans="2:7" ht="14.45" customHeight="1">
      <c r="B1124"/>
      <c r="C1124"/>
      <c r="D1124"/>
      <c r="G1124"/>
    </row>
    <row r="1125" spans="2:7" ht="14.45" customHeight="1">
      <c r="B1125"/>
      <c r="C1125"/>
      <c r="D1125"/>
      <c r="G1125"/>
    </row>
    <row r="1126" spans="2:7" ht="14.45" customHeight="1">
      <c r="B1126"/>
      <c r="C1126"/>
      <c r="D1126"/>
      <c r="G1126"/>
    </row>
    <row r="1127" spans="2:7" ht="14.45" customHeight="1">
      <c r="B1127"/>
      <c r="C1127"/>
      <c r="D1127"/>
      <c r="G1127"/>
    </row>
    <row r="1128" spans="2:7" ht="14.45" customHeight="1">
      <c r="B1128"/>
      <c r="C1128"/>
      <c r="D1128"/>
      <c r="G1128"/>
    </row>
    <row r="1129" spans="2:7" ht="14.45" customHeight="1">
      <c r="B1129"/>
      <c r="C1129"/>
      <c r="D1129"/>
      <c r="G1129"/>
    </row>
    <row r="1130" spans="2:7" ht="14.45" customHeight="1">
      <c r="B1130"/>
      <c r="C1130"/>
      <c r="D1130"/>
      <c r="G1130"/>
    </row>
    <row r="1131" spans="2:7" ht="14.45" customHeight="1">
      <c r="B1131"/>
      <c r="C1131"/>
      <c r="D1131"/>
      <c r="G1131"/>
    </row>
    <row r="1132" spans="2:7" ht="14.45" customHeight="1">
      <c r="B1132"/>
      <c r="C1132"/>
      <c r="D1132"/>
      <c r="G1132"/>
    </row>
    <row r="1133" spans="2:7" ht="14.45" customHeight="1">
      <c r="B1133"/>
      <c r="C1133"/>
      <c r="D1133"/>
      <c r="G1133"/>
    </row>
    <row r="1134" spans="2:7" ht="14.45" customHeight="1">
      <c r="B1134"/>
      <c r="C1134"/>
      <c r="D1134"/>
      <c r="G1134"/>
    </row>
    <row r="1135" spans="2:7" ht="14.45" customHeight="1">
      <c r="B1135"/>
      <c r="C1135"/>
      <c r="D1135"/>
      <c r="G1135"/>
    </row>
    <row r="1136" spans="2:7" ht="14.45" customHeight="1">
      <c r="B1136"/>
      <c r="C1136"/>
      <c r="D1136"/>
      <c r="G1136"/>
    </row>
    <row r="1137" spans="2:7" ht="14.45" customHeight="1">
      <c r="B1137"/>
      <c r="C1137"/>
      <c r="D1137"/>
      <c r="G1137"/>
    </row>
    <row r="1138" spans="2:7" ht="14.45" customHeight="1">
      <c r="B1138"/>
      <c r="C1138"/>
      <c r="D1138"/>
      <c r="G1138"/>
    </row>
    <row r="1139" spans="2:7" ht="14.45" customHeight="1">
      <c r="B1139"/>
      <c r="C1139"/>
      <c r="D1139"/>
      <c r="G1139"/>
    </row>
    <row r="1140" spans="2:7" ht="14.45" customHeight="1">
      <c r="B1140"/>
      <c r="C1140"/>
      <c r="D1140"/>
      <c r="G1140"/>
    </row>
    <row r="1141" spans="2:7" ht="14.45" customHeight="1">
      <c r="B1141"/>
      <c r="C1141"/>
      <c r="D1141"/>
      <c r="G1141"/>
    </row>
    <row r="1142" spans="2:7" ht="14.45" customHeight="1">
      <c r="B1142"/>
      <c r="C1142"/>
      <c r="D1142"/>
      <c r="G1142"/>
    </row>
    <row r="1143" spans="2:7" ht="14.45" customHeight="1">
      <c r="B1143"/>
      <c r="C1143"/>
      <c r="D1143"/>
      <c r="G1143"/>
    </row>
    <row r="1144" spans="2:7" ht="14.45" customHeight="1">
      <c r="B1144"/>
      <c r="C1144"/>
      <c r="D1144"/>
      <c r="G1144"/>
    </row>
    <row r="1145" spans="2:7" ht="14.45" customHeight="1">
      <c r="B1145"/>
      <c r="C1145"/>
      <c r="D1145"/>
      <c r="G1145"/>
    </row>
    <row r="1146" spans="2:7" ht="14.45" customHeight="1">
      <c r="B1146"/>
      <c r="C1146"/>
      <c r="D1146"/>
      <c r="G1146"/>
    </row>
    <row r="1147" spans="2:7" ht="14.45" customHeight="1">
      <c r="B1147"/>
      <c r="C1147"/>
      <c r="D1147"/>
      <c r="G1147"/>
    </row>
    <row r="1148" spans="2:7" ht="14.45" customHeight="1">
      <c r="B1148"/>
      <c r="C1148"/>
      <c r="D1148"/>
      <c r="G1148"/>
    </row>
    <row r="1149" spans="2:7" ht="14.45" customHeight="1">
      <c r="B1149"/>
      <c r="C1149"/>
      <c r="D1149"/>
      <c r="G1149"/>
    </row>
    <row r="1150" spans="2:7" ht="14.45" customHeight="1">
      <c r="B1150"/>
      <c r="C1150"/>
      <c r="D1150"/>
      <c r="G1150"/>
    </row>
    <row r="1151" spans="2:7" ht="14.45" customHeight="1">
      <c r="B1151"/>
      <c r="C1151"/>
      <c r="D1151"/>
      <c r="G1151"/>
    </row>
    <row r="1152" spans="2:7" ht="14.45" customHeight="1">
      <c r="B1152"/>
      <c r="C1152"/>
      <c r="D1152"/>
      <c r="G1152"/>
    </row>
    <row r="1153" spans="2:7" ht="14.45" customHeight="1">
      <c r="B1153"/>
      <c r="C1153"/>
      <c r="D1153"/>
      <c r="G1153"/>
    </row>
    <row r="1154" spans="2:7" ht="14.45" customHeight="1">
      <c r="B1154"/>
      <c r="C1154"/>
      <c r="D1154"/>
      <c r="G1154"/>
    </row>
    <row r="1155" spans="2:7" ht="14.45" customHeight="1">
      <c r="B1155"/>
      <c r="C1155"/>
      <c r="D1155"/>
      <c r="G1155"/>
    </row>
    <row r="1156" spans="2:7" ht="14.45" customHeight="1">
      <c r="B1156"/>
      <c r="C1156"/>
      <c r="D1156"/>
      <c r="G1156"/>
    </row>
    <row r="1157" spans="2:7" ht="14.45" customHeight="1">
      <c r="B1157"/>
      <c r="C1157"/>
      <c r="D1157"/>
      <c r="G1157"/>
    </row>
    <row r="1158" spans="2:7" ht="14.45" customHeight="1">
      <c r="B1158"/>
      <c r="C1158"/>
      <c r="D1158"/>
      <c r="G1158"/>
    </row>
    <row r="1159" spans="2:7" ht="14.45" customHeight="1">
      <c r="B1159"/>
      <c r="C1159"/>
      <c r="D1159"/>
      <c r="G1159"/>
    </row>
    <row r="1160" spans="2:7" ht="14.45" customHeight="1">
      <c r="B1160"/>
      <c r="C1160"/>
      <c r="D1160"/>
      <c r="G1160"/>
    </row>
    <row r="1161" spans="2:7" ht="14.45" customHeight="1">
      <c r="B1161"/>
      <c r="C1161"/>
      <c r="D1161"/>
      <c r="G1161"/>
    </row>
    <row r="1162" spans="2:7" ht="14.45" customHeight="1">
      <c r="B1162"/>
      <c r="C1162"/>
      <c r="D1162"/>
      <c r="G1162"/>
    </row>
    <row r="1163" spans="2:7" ht="14.45" customHeight="1">
      <c r="B1163"/>
      <c r="C1163"/>
      <c r="D1163"/>
      <c r="G1163"/>
    </row>
    <row r="1164" spans="2:7" ht="14.45" customHeight="1">
      <c r="B1164"/>
      <c r="C1164"/>
      <c r="D1164"/>
      <c r="G1164"/>
    </row>
    <row r="1165" spans="2:7" ht="14.45" customHeight="1">
      <c r="B1165"/>
      <c r="C1165"/>
      <c r="D1165"/>
      <c r="G1165"/>
    </row>
    <row r="1166" spans="2:7" ht="14.45" customHeight="1">
      <c r="B1166"/>
      <c r="C1166"/>
      <c r="D1166"/>
      <c r="G1166"/>
    </row>
    <row r="1167" spans="2:7" ht="14.45" customHeight="1">
      <c r="B1167"/>
      <c r="C1167"/>
      <c r="D1167"/>
      <c r="G1167"/>
    </row>
    <row r="1168" spans="2:7" ht="14.45" customHeight="1">
      <c r="B1168"/>
      <c r="C1168"/>
      <c r="D1168"/>
      <c r="G1168"/>
    </row>
    <row r="1169" spans="2:7" ht="14.45" customHeight="1">
      <c r="B1169"/>
      <c r="C1169"/>
      <c r="D1169"/>
      <c r="G1169"/>
    </row>
    <row r="1170" spans="2:7" ht="14.45" customHeight="1">
      <c r="B1170"/>
      <c r="C1170"/>
      <c r="D1170"/>
      <c r="G1170"/>
    </row>
    <row r="1171" spans="2:7" ht="14.45" customHeight="1">
      <c r="B1171"/>
      <c r="C1171"/>
      <c r="D1171"/>
      <c r="G1171"/>
    </row>
    <row r="1172" spans="2:7" ht="14.45" customHeight="1">
      <c r="B1172"/>
      <c r="C1172"/>
      <c r="D1172"/>
      <c r="G1172"/>
    </row>
    <row r="1173" spans="2:7" ht="14.45" customHeight="1">
      <c r="B1173"/>
      <c r="C1173"/>
      <c r="D1173"/>
      <c r="G1173"/>
    </row>
    <row r="1174" spans="2:7" ht="14.45" customHeight="1">
      <c r="B1174"/>
      <c r="C1174"/>
      <c r="D1174"/>
      <c r="G1174"/>
    </row>
    <row r="1175" spans="2:7" ht="14.45" customHeight="1">
      <c r="B1175"/>
      <c r="C1175"/>
      <c r="D1175"/>
      <c r="G1175"/>
    </row>
    <row r="1176" spans="2:7" ht="14.45" customHeight="1">
      <c r="B1176"/>
      <c r="C1176"/>
      <c r="D1176"/>
      <c r="G1176"/>
    </row>
    <row r="1177" spans="2:7" ht="14.45" customHeight="1">
      <c r="B1177"/>
      <c r="C1177"/>
      <c r="D1177"/>
      <c r="G1177"/>
    </row>
    <row r="1178" spans="2:7" ht="14.45" customHeight="1">
      <c r="B1178"/>
      <c r="C1178"/>
      <c r="D1178"/>
      <c r="G1178"/>
    </row>
    <row r="1179" spans="2:7" ht="14.45" customHeight="1">
      <c r="B1179"/>
      <c r="C1179"/>
      <c r="D1179"/>
      <c r="G1179"/>
    </row>
    <row r="1180" spans="2:7" ht="14.45" customHeight="1">
      <c r="B1180"/>
      <c r="C1180"/>
      <c r="D1180"/>
      <c r="G1180"/>
    </row>
    <row r="1181" spans="2:7" ht="14.45" customHeight="1">
      <c r="B1181"/>
      <c r="C1181"/>
      <c r="D1181"/>
      <c r="G1181"/>
    </row>
    <row r="1182" spans="2:7" ht="14.45" customHeight="1">
      <c r="B1182"/>
      <c r="C1182"/>
      <c r="D1182"/>
      <c r="G1182"/>
    </row>
    <row r="1183" spans="2:7" ht="14.45" customHeight="1">
      <c r="B1183"/>
      <c r="C1183"/>
      <c r="D1183"/>
      <c r="G1183"/>
    </row>
    <row r="1184" spans="2:7" ht="14.45" customHeight="1">
      <c r="B1184"/>
      <c r="C1184"/>
      <c r="D1184"/>
      <c r="G1184"/>
    </row>
    <row r="1185" spans="2:7" ht="14.45" customHeight="1">
      <c r="B1185"/>
      <c r="C1185"/>
      <c r="D1185"/>
      <c r="G1185"/>
    </row>
    <row r="1186" spans="2:7" ht="14.45" customHeight="1">
      <c r="B1186"/>
      <c r="C1186"/>
      <c r="D1186"/>
      <c r="G1186"/>
    </row>
    <row r="1187" spans="2:7" ht="14.45" customHeight="1">
      <c r="B1187"/>
      <c r="C1187"/>
      <c r="D1187"/>
      <c r="G1187"/>
    </row>
    <row r="1188" spans="2:7" ht="14.45" customHeight="1">
      <c r="B1188"/>
      <c r="C1188"/>
      <c r="D1188"/>
      <c r="G1188"/>
    </row>
    <row r="1189" spans="2:7" ht="14.45" customHeight="1">
      <c r="B1189"/>
      <c r="C1189"/>
      <c r="D1189"/>
      <c r="G1189"/>
    </row>
    <row r="1190" spans="2:7" ht="14.45" customHeight="1">
      <c r="B1190"/>
      <c r="C1190"/>
      <c r="D1190"/>
      <c r="G1190"/>
    </row>
    <row r="1191" spans="2:7" ht="14.45" customHeight="1">
      <c r="B1191"/>
      <c r="C1191"/>
      <c r="D1191"/>
      <c r="G1191"/>
    </row>
    <row r="1192" spans="2:7" ht="14.45" customHeight="1">
      <c r="B1192"/>
      <c r="C1192"/>
      <c r="D1192"/>
      <c r="G1192"/>
    </row>
    <row r="1193" spans="2:7" ht="14.45" customHeight="1">
      <c r="B1193"/>
      <c r="C1193"/>
      <c r="D1193"/>
      <c r="G1193"/>
    </row>
    <row r="1194" spans="2:7" ht="14.45" customHeight="1">
      <c r="B1194"/>
      <c r="C1194"/>
      <c r="D1194"/>
      <c r="G1194"/>
    </row>
    <row r="1195" spans="2:7" ht="14.45" customHeight="1">
      <c r="B1195"/>
      <c r="C1195"/>
      <c r="D1195"/>
      <c r="G1195"/>
    </row>
    <row r="1196" spans="2:7" ht="14.45" customHeight="1">
      <c r="B1196"/>
      <c r="C1196"/>
      <c r="D1196"/>
      <c r="G1196"/>
    </row>
    <row r="1197" spans="2:7" ht="14.45" customHeight="1">
      <c r="B1197"/>
      <c r="C1197"/>
      <c r="D1197"/>
      <c r="G1197"/>
    </row>
    <row r="1198" spans="2:7" ht="14.45" customHeight="1">
      <c r="B1198"/>
      <c r="C1198"/>
      <c r="D1198"/>
      <c r="G1198"/>
    </row>
    <row r="1199" spans="2:7" ht="14.45" customHeight="1">
      <c r="B1199"/>
      <c r="C1199"/>
      <c r="D1199"/>
      <c r="G1199"/>
    </row>
    <row r="1200" spans="2:7" ht="14.45" customHeight="1">
      <c r="B1200"/>
      <c r="C1200"/>
      <c r="D1200"/>
      <c r="G1200"/>
    </row>
    <row r="1201" spans="2:7" ht="14.45" customHeight="1">
      <c r="B1201"/>
      <c r="C1201"/>
      <c r="D1201"/>
      <c r="G1201"/>
    </row>
    <row r="1202" spans="2:7" ht="14.45" customHeight="1">
      <c r="B1202"/>
      <c r="C1202"/>
      <c r="D1202"/>
      <c r="G1202"/>
    </row>
    <row r="1203" spans="2:7" ht="14.45" customHeight="1">
      <c r="B1203"/>
      <c r="C1203"/>
      <c r="D1203"/>
      <c r="G1203"/>
    </row>
    <row r="1204" spans="2:7" ht="14.45" customHeight="1">
      <c r="B1204"/>
      <c r="C1204"/>
      <c r="D1204"/>
      <c r="G1204"/>
    </row>
    <row r="1205" spans="2:7" ht="14.45" customHeight="1">
      <c r="B1205"/>
      <c r="C1205"/>
      <c r="D1205"/>
      <c r="G1205"/>
    </row>
    <row r="1206" spans="2:7" ht="14.45" customHeight="1">
      <c r="B1206"/>
      <c r="C1206"/>
      <c r="D1206"/>
      <c r="G1206"/>
    </row>
    <row r="1207" spans="2:7" ht="14.45" customHeight="1">
      <c r="B1207"/>
      <c r="C1207"/>
      <c r="D1207"/>
      <c r="G1207"/>
    </row>
    <row r="1208" spans="2:7" ht="14.45" customHeight="1">
      <c r="B1208"/>
      <c r="C1208"/>
      <c r="D1208"/>
      <c r="G1208"/>
    </row>
    <row r="1209" spans="2:7" ht="14.45" customHeight="1">
      <c r="B1209"/>
      <c r="C1209"/>
      <c r="D1209"/>
      <c r="G1209"/>
    </row>
    <row r="1210" spans="2:7" ht="14.45" customHeight="1">
      <c r="B1210"/>
      <c r="C1210"/>
      <c r="D1210"/>
      <c r="G1210"/>
    </row>
    <row r="1211" spans="2:7" ht="14.45" customHeight="1">
      <c r="B1211"/>
      <c r="C1211"/>
      <c r="D1211"/>
      <c r="G1211"/>
    </row>
    <row r="1212" spans="2:7" ht="14.45" customHeight="1">
      <c r="B1212"/>
      <c r="C1212"/>
      <c r="D1212"/>
      <c r="G1212"/>
    </row>
    <row r="1213" spans="2:7" ht="14.45" customHeight="1">
      <c r="B1213"/>
      <c r="C1213"/>
      <c r="D1213"/>
      <c r="G1213"/>
    </row>
    <row r="1214" spans="2:7" ht="14.45" customHeight="1">
      <c r="B1214"/>
      <c r="C1214"/>
      <c r="D1214"/>
      <c r="G1214"/>
    </row>
    <row r="1215" spans="2:7" ht="14.45" customHeight="1">
      <c r="B1215"/>
      <c r="C1215"/>
      <c r="D1215"/>
      <c r="G1215"/>
    </row>
    <row r="1216" spans="2:7" ht="14.45" customHeight="1">
      <c r="B1216"/>
      <c r="C1216"/>
      <c r="D1216"/>
      <c r="G1216"/>
    </row>
    <row r="1217" spans="2:7" ht="14.45" customHeight="1">
      <c r="B1217"/>
      <c r="C1217"/>
      <c r="D1217"/>
      <c r="G1217"/>
    </row>
    <row r="1218" spans="2:7" ht="14.45" customHeight="1">
      <c r="B1218"/>
      <c r="C1218"/>
      <c r="D1218"/>
      <c r="G1218"/>
    </row>
    <row r="1219" spans="2:7" ht="14.45" customHeight="1">
      <c r="B1219"/>
      <c r="C1219"/>
      <c r="D1219"/>
      <c r="G1219"/>
    </row>
    <row r="1220" spans="2:7" ht="14.45" customHeight="1">
      <c r="B1220"/>
      <c r="C1220"/>
      <c r="D1220"/>
      <c r="G1220"/>
    </row>
    <row r="1221" spans="2:7" ht="14.45" customHeight="1">
      <c r="B1221"/>
      <c r="C1221"/>
      <c r="D1221"/>
      <c r="G1221"/>
    </row>
    <row r="1222" spans="2:7" ht="14.45" customHeight="1">
      <c r="B1222"/>
      <c r="C1222"/>
      <c r="D1222"/>
      <c r="G1222"/>
    </row>
    <row r="1223" spans="2:7" ht="14.45" customHeight="1">
      <c r="B1223"/>
      <c r="C1223"/>
      <c r="D1223"/>
      <c r="G1223"/>
    </row>
    <row r="1224" spans="2:7" ht="14.45" customHeight="1">
      <c r="B1224"/>
      <c r="C1224"/>
      <c r="D1224"/>
      <c r="G1224"/>
    </row>
    <row r="1225" spans="2:7" ht="14.45" customHeight="1">
      <c r="B1225"/>
      <c r="C1225"/>
      <c r="D1225"/>
      <c r="G1225"/>
    </row>
    <row r="1226" spans="2:7" ht="14.45" customHeight="1">
      <c r="B1226"/>
      <c r="C1226"/>
      <c r="D1226"/>
      <c r="G1226"/>
    </row>
    <row r="1227" spans="2:7" ht="14.45" customHeight="1">
      <c r="B1227"/>
      <c r="C1227"/>
      <c r="D1227"/>
      <c r="G1227"/>
    </row>
    <row r="1228" spans="2:7" ht="14.45" customHeight="1">
      <c r="B1228"/>
      <c r="C1228"/>
      <c r="D1228"/>
      <c r="G1228"/>
    </row>
    <row r="1229" spans="2:7" ht="14.45" customHeight="1">
      <c r="B1229"/>
      <c r="C1229"/>
      <c r="D1229"/>
      <c r="G1229"/>
    </row>
    <row r="1230" spans="2:7" ht="14.45" customHeight="1">
      <c r="B1230"/>
      <c r="C1230"/>
      <c r="D1230"/>
      <c r="G1230"/>
    </row>
    <row r="1231" spans="2:7" ht="14.45" customHeight="1">
      <c r="B1231"/>
      <c r="C1231"/>
      <c r="D1231"/>
      <c r="G1231"/>
    </row>
    <row r="1232" spans="2:7" ht="14.45" customHeight="1">
      <c r="B1232"/>
      <c r="C1232"/>
      <c r="D1232"/>
      <c r="G1232"/>
    </row>
    <row r="1233" spans="2:7" ht="14.45" customHeight="1">
      <c r="B1233"/>
      <c r="C1233"/>
      <c r="D1233"/>
      <c r="G1233"/>
    </row>
    <row r="1234" spans="2:7" ht="14.45" customHeight="1">
      <c r="B1234"/>
      <c r="C1234"/>
      <c r="D1234"/>
      <c r="G1234"/>
    </row>
    <row r="1235" spans="2:7" ht="14.45" customHeight="1">
      <c r="B1235"/>
      <c r="C1235"/>
      <c r="D1235"/>
      <c r="G1235"/>
    </row>
    <row r="1236" spans="2:7" ht="14.45" customHeight="1">
      <c r="B1236"/>
      <c r="C1236"/>
      <c r="D1236"/>
      <c r="G1236"/>
    </row>
    <row r="1237" spans="2:7" ht="14.45" customHeight="1">
      <c r="B1237"/>
      <c r="C1237"/>
      <c r="D1237"/>
      <c r="G1237"/>
    </row>
    <row r="1238" spans="2:7" ht="14.45" customHeight="1">
      <c r="B1238"/>
      <c r="C1238"/>
      <c r="D1238"/>
      <c r="G1238"/>
    </row>
    <row r="1239" spans="2:7" ht="14.45" customHeight="1">
      <c r="B1239"/>
      <c r="C1239"/>
      <c r="D1239"/>
      <c r="G1239"/>
    </row>
    <row r="1240" spans="2:7" ht="14.45" customHeight="1">
      <c r="B1240"/>
      <c r="C1240"/>
      <c r="D1240"/>
      <c r="G1240"/>
    </row>
    <row r="1241" spans="2:7" ht="14.45" customHeight="1">
      <c r="B1241"/>
      <c r="C1241"/>
      <c r="D1241"/>
      <c r="G1241"/>
    </row>
    <row r="1242" spans="2:7" ht="14.45" customHeight="1">
      <c r="B1242"/>
      <c r="C1242"/>
      <c r="D1242"/>
      <c r="G1242"/>
    </row>
    <row r="1243" spans="2:7" ht="14.45" customHeight="1">
      <c r="B1243"/>
      <c r="C1243"/>
      <c r="D1243"/>
      <c r="G1243"/>
    </row>
    <row r="1244" spans="2:7" ht="14.45" customHeight="1">
      <c r="B1244"/>
      <c r="C1244"/>
      <c r="D1244"/>
      <c r="G1244"/>
    </row>
    <row r="1245" spans="2:7" ht="14.45" customHeight="1">
      <c r="B1245"/>
      <c r="C1245"/>
      <c r="D1245"/>
      <c r="G1245"/>
    </row>
    <row r="1246" spans="2:7" ht="14.45" customHeight="1">
      <c r="B1246"/>
      <c r="C1246"/>
      <c r="D1246"/>
      <c r="G1246"/>
    </row>
    <row r="1247" spans="2:7" ht="14.45" customHeight="1">
      <c r="B1247"/>
      <c r="C1247"/>
      <c r="D1247"/>
      <c r="G1247"/>
    </row>
    <row r="1248" spans="2:7" ht="14.45" customHeight="1">
      <c r="B1248"/>
      <c r="C1248"/>
      <c r="D1248"/>
      <c r="G1248"/>
    </row>
    <row r="1249" spans="2:7" ht="14.45" customHeight="1">
      <c r="B1249"/>
      <c r="C1249"/>
      <c r="D1249"/>
      <c r="G1249"/>
    </row>
    <row r="1250" spans="2:7" ht="14.45" customHeight="1">
      <c r="B1250"/>
      <c r="C1250"/>
      <c r="D1250"/>
      <c r="G1250"/>
    </row>
    <row r="1251" spans="2:7" ht="14.45" customHeight="1">
      <c r="B1251"/>
      <c r="C1251"/>
      <c r="D1251"/>
      <c r="G1251"/>
    </row>
    <row r="1252" spans="2:7" ht="14.45" customHeight="1">
      <c r="B1252"/>
      <c r="C1252"/>
      <c r="D1252"/>
      <c r="G1252"/>
    </row>
    <row r="1253" spans="2:7" ht="14.45" customHeight="1">
      <c r="B1253"/>
      <c r="C1253"/>
      <c r="D1253"/>
      <c r="G1253"/>
    </row>
    <row r="1254" spans="2:7" ht="14.45" customHeight="1">
      <c r="B1254"/>
      <c r="C1254"/>
      <c r="D1254"/>
      <c r="G1254"/>
    </row>
    <row r="1255" spans="2:7" ht="14.45" customHeight="1">
      <c r="B1255"/>
      <c r="C1255"/>
      <c r="D1255"/>
      <c r="G1255"/>
    </row>
    <row r="1256" spans="2:7" ht="14.45" customHeight="1">
      <c r="B1256"/>
      <c r="C1256"/>
      <c r="D1256"/>
      <c r="G1256"/>
    </row>
    <row r="1257" spans="2:7" ht="14.45" customHeight="1">
      <c r="B1257"/>
      <c r="C1257"/>
      <c r="D1257"/>
      <c r="G1257"/>
    </row>
    <row r="1258" spans="2:7" ht="14.45" customHeight="1">
      <c r="B1258"/>
      <c r="C1258"/>
      <c r="D1258"/>
      <c r="G1258"/>
    </row>
    <row r="1259" spans="2:7" ht="14.45" customHeight="1">
      <c r="B1259"/>
      <c r="C1259"/>
      <c r="D1259"/>
      <c r="G1259"/>
    </row>
    <row r="1260" spans="2:7" ht="14.45" customHeight="1">
      <c r="B1260"/>
      <c r="C1260"/>
      <c r="D1260"/>
      <c r="G1260"/>
    </row>
    <row r="1261" spans="2:7" ht="14.45" customHeight="1">
      <c r="B1261"/>
      <c r="C1261"/>
      <c r="D1261"/>
      <c r="G1261"/>
    </row>
    <row r="1262" spans="2:7" ht="14.45" customHeight="1">
      <c r="B1262"/>
      <c r="C1262"/>
      <c r="D1262"/>
      <c r="G1262"/>
    </row>
    <row r="1263" spans="2:7" ht="14.45" customHeight="1">
      <c r="B1263"/>
      <c r="C1263"/>
      <c r="D1263"/>
      <c r="G1263"/>
    </row>
    <row r="1264" spans="2:7" ht="14.45" customHeight="1">
      <c r="B1264"/>
      <c r="C1264"/>
      <c r="D1264"/>
      <c r="G1264"/>
    </row>
    <row r="1265" spans="2:7" ht="14.45" customHeight="1">
      <c r="B1265"/>
      <c r="C1265"/>
      <c r="D1265"/>
      <c r="G1265"/>
    </row>
    <row r="1266" spans="2:7" ht="14.45" customHeight="1">
      <c r="B1266"/>
      <c r="C1266"/>
      <c r="D1266"/>
      <c r="G1266"/>
    </row>
    <row r="1267" spans="2:7" ht="14.45" customHeight="1">
      <c r="B1267"/>
      <c r="C1267"/>
      <c r="D1267"/>
      <c r="G1267"/>
    </row>
    <row r="1268" spans="2:7" ht="14.45" customHeight="1">
      <c r="B1268"/>
      <c r="C1268"/>
      <c r="D1268"/>
      <c r="G1268"/>
    </row>
    <row r="1269" spans="2:7" ht="14.45" customHeight="1">
      <c r="B1269"/>
      <c r="C1269"/>
      <c r="D1269"/>
      <c r="G1269"/>
    </row>
    <row r="1270" spans="2:7" ht="14.45" customHeight="1">
      <c r="B1270"/>
      <c r="C1270"/>
      <c r="D1270"/>
      <c r="G1270"/>
    </row>
    <row r="1271" spans="2:7" ht="14.45" customHeight="1">
      <c r="B1271"/>
      <c r="C1271"/>
      <c r="D1271"/>
      <c r="G1271"/>
    </row>
    <row r="1272" spans="2:7" ht="14.45" customHeight="1">
      <c r="B1272"/>
      <c r="C1272"/>
      <c r="D1272"/>
      <c r="G1272"/>
    </row>
    <row r="1273" spans="2:7" ht="14.45" customHeight="1">
      <c r="B1273"/>
      <c r="C1273"/>
      <c r="D1273"/>
      <c r="G1273"/>
    </row>
    <row r="1274" spans="2:7" ht="14.45" customHeight="1">
      <c r="B1274"/>
      <c r="C1274"/>
      <c r="D1274"/>
      <c r="G1274"/>
    </row>
    <row r="1275" spans="2:7" ht="14.45" customHeight="1">
      <c r="B1275"/>
      <c r="C1275"/>
      <c r="D1275"/>
      <c r="G1275"/>
    </row>
    <row r="1276" spans="2:7" ht="14.45" customHeight="1">
      <c r="B1276"/>
      <c r="C1276"/>
      <c r="D1276"/>
      <c r="G1276"/>
    </row>
    <row r="1277" spans="2:7" ht="14.45" customHeight="1">
      <c r="B1277"/>
      <c r="C1277"/>
      <c r="D1277"/>
      <c r="G1277"/>
    </row>
    <row r="1278" spans="2:7" ht="14.45" customHeight="1">
      <c r="B1278"/>
      <c r="C1278"/>
      <c r="D1278"/>
      <c r="G1278"/>
    </row>
    <row r="1279" spans="2:7" ht="14.45" customHeight="1">
      <c r="B1279"/>
      <c r="C1279"/>
      <c r="D1279"/>
      <c r="G1279"/>
    </row>
    <row r="1280" spans="2:7" ht="14.45" customHeight="1">
      <c r="B1280"/>
      <c r="C1280"/>
      <c r="D1280"/>
      <c r="G1280"/>
    </row>
    <row r="1281" spans="2:7" ht="14.45" customHeight="1">
      <c r="B1281"/>
      <c r="C1281"/>
      <c r="D1281"/>
      <c r="G1281"/>
    </row>
    <row r="1282" spans="2:7" ht="14.45" customHeight="1">
      <c r="B1282"/>
      <c r="C1282"/>
      <c r="D1282"/>
      <c r="G1282"/>
    </row>
    <row r="1283" spans="2:7" ht="14.45" customHeight="1">
      <c r="B1283"/>
      <c r="C1283"/>
      <c r="D1283"/>
      <c r="G1283"/>
    </row>
    <row r="1284" spans="2:7" ht="14.45" customHeight="1">
      <c r="B1284"/>
      <c r="C1284"/>
      <c r="D1284"/>
      <c r="G1284"/>
    </row>
    <row r="1285" spans="2:7" ht="14.45" customHeight="1">
      <c r="B1285"/>
      <c r="C1285"/>
      <c r="D1285"/>
      <c r="G1285"/>
    </row>
    <row r="1286" spans="2:7" ht="14.45" customHeight="1">
      <c r="B1286"/>
      <c r="C1286"/>
      <c r="D1286"/>
      <c r="G1286"/>
    </row>
    <row r="1287" spans="2:7" ht="14.45" customHeight="1">
      <c r="B1287"/>
      <c r="C1287"/>
      <c r="D1287"/>
      <c r="G1287"/>
    </row>
    <row r="1288" spans="2:7" ht="14.45" customHeight="1">
      <c r="B1288"/>
      <c r="C1288"/>
      <c r="D1288"/>
      <c r="G1288"/>
    </row>
    <row r="1289" spans="2:7" ht="14.45" customHeight="1">
      <c r="B1289"/>
      <c r="C1289"/>
      <c r="D1289"/>
      <c r="G1289"/>
    </row>
    <row r="1290" spans="2:7" ht="14.45" customHeight="1">
      <c r="B1290"/>
      <c r="C1290"/>
      <c r="D1290"/>
      <c r="G1290"/>
    </row>
    <row r="1291" spans="2:7" ht="14.45" customHeight="1">
      <c r="B1291"/>
      <c r="C1291"/>
      <c r="D1291"/>
      <c r="G1291"/>
    </row>
    <row r="1292" spans="2:7" ht="14.45" customHeight="1">
      <c r="B1292"/>
      <c r="C1292"/>
      <c r="D1292"/>
      <c r="G1292"/>
    </row>
    <row r="1293" spans="2:7" ht="14.45" customHeight="1">
      <c r="B1293"/>
      <c r="C1293"/>
      <c r="D1293"/>
      <c r="G1293"/>
    </row>
    <row r="1294" spans="2:7" ht="14.45" customHeight="1">
      <c r="B1294"/>
      <c r="C1294"/>
      <c r="D1294"/>
      <c r="G1294"/>
    </row>
    <row r="1295" spans="2:7" ht="14.45" customHeight="1">
      <c r="B1295"/>
      <c r="C1295"/>
      <c r="D1295"/>
      <c r="G1295"/>
    </row>
    <row r="1296" spans="2:7" ht="14.45" customHeight="1">
      <c r="B1296"/>
      <c r="C1296"/>
      <c r="D1296"/>
      <c r="G1296"/>
    </row>
    <row r="1297" spans="2:7" ht="14.45" customHeight="1">
      <c r="B1297"/>
      <c r="C1297"/>
      <c r="D1297"/>
      <c r="G1297"/>
    </row>
    <row r="1298" spans="2:7" ht="14.45" customHeight="1">
      <c r="B1298"/>
      <c r="C1298"/>
      <c r="D1298"/>
      <c r="G1298"/>
    </row>
    <row r="1299" spans="2:7" ht="14.45" customHeight="1">
      <c r="B1299"/>
      <c r="C1299"/>
      <c r="D1299"/>
      <c r="G1299"/>
    </row>
    <row r="1300" spans="2:7" ht="14.45" customHeight="1">
      <c r="B1300"/>
      <c r="C1300"/>
      <c r="D1300"/>
      <c r="G1300"/>
    </row>
    <row r="1301" spans="2:7" ht="14.45" customHeight="1">
      <c r="B1301"/>
      <c r="C1301"/>
      <c r="D1301"/>
      <c r="G1301"/>
    </row>
    <row r="1302" spans="2:7" ht="14.45" customHeight="1">
      <c r="B1302"/>
      <c r="C1302"/>
      <c r="D1302"/>
      <c r="G1302"/>
    </row>
    <row r="1303" spans="2:7" ht="14.45" customHeight="1">
      <c r="B1303"/>
      <c r="C1303"/>
      <c r="D1303"/>
      <c r="G1303"/>
    </row>
    <row r="1304" spans="2:7" ht="14.45" customHeight="1">
      <c r="B1304"/>
      <c r="C1304"/>
      <c r="D1304"/>
      <c r="G1304"/>
    </row>
    <row r="1305" spans="2:7" ht="14.45" customHeight="1">
      <c r="B1305"/>
      <c r="C1305"/>
      <c r="D1305"/>
      <c r="G1305"/>
    </row>
    <row r="1306" spans="2:7" ht="14.45" customHeight="1">
      <c r="B1306"/>
      <c r="C1306"/>
      <c r="D1306"/>
      <c r="G1306"/>
    </row>
    <row r="1307" spans="2:7" ht="14.45" customHeight="1">
      <c r="B1307"/>
      <c r="C1307"/>
      <c r="D1307"/>
      <c r="G1307"/>
    </row>
    <row r="1308" spans="2:7" ht="14.45" customHeight="1">
      <c r="B1308"/>
      <c r="C1308"/>
      <c r="D1308"/>
      <c r="G1308"/>
    </row>
    <row r="1309" spans="2:7" ht="14.45" customHeight="1">
      <c r="B1309"/>
      <c r="C1309"/>
      <c r="D1309"/>
      <c r="G1309"/>
    </row>
    <row r="1310" spans="2:7" ht="14.45" customHeight="1">
      <c r="B1310"/>
      <c r="C1310"/>
      <c r="D1310"/>
      <c r="G1310"/>
    </row>
    <row r="1311" spans="2:7" ht="14.45" customHeight="1">
      <c r="B1311"/>
      <c r="C1311"/>
      <c r="D1311"/>
      <c r="G1311"/>
    </row>
    <row r="1312" spans="2:7" ht="14.45" customHeight="1">
      <c r="B1312"/>
      <c r="C1312"/>
      <c r="D1312"/>
      <c r="G1312"/>
    </row>
    <row r="1313" spans="2:7" ht="14.45" customHeight="1">
      <c r="B1313"/>
      <c r="C1313"/>
      <c r="D1313"/>
      <c r="G1313"/>
    </row>
    <row r="1314" spans="2:7" ht="14.45" customHeight="1">
      <c r="B1314"/>
      <c r="C1314"/>
      <c r="D1314"/>
      <c r="G1314"/>
    </row>
    <row r="1315" spans="2:7" ht="14.45" customHeight="1">
      <c r="B1315"/>
      <c r="C1315"/>
      <c r="D1315"/>
      <c r="G1315"/>
    </row>
    <row r="1316" spans="2:7" ht="14.45" customHeight="1">
      <c r="B1316"/>
      <c r="C1316"/>
      <c r="D1316"/>
      <c r="G1316"/>
    </row>
    <row r="1317" spans="2:7" ht="14.45" customHeight="1">
      <c r="B1317"/>
      <c r="C1317"/>
      <c r="D1317"/>
      <c r="G1317"/>
    </row>
    <row r="1318" spans="2:7" ht="14.45" customHeight="1">
      <c r="B1318"/>
      <c r="C1318"/>
      <c r="D1318"/>
      <c r="G1318"/>
    </row>
    <row r="1319" spans="2:7" ht="14.45" customHeight="1">
      <c r="B1319"/>
      <c r="C1319"/>
      <c r="D1319"/>
      <c r="G1319"/>
    </row>
    <row r="1320" spans="2:7" ht="14.45" customHeight="1">
      <c r="B1320"/>
      <c r="C1320"/>
      <c r="D1320"/>
      <c r="G1320"/>
    </row>
    <row r="1321" spans="2:7" ht="14.45" customHeight="1">
      <c r="B1321"/>
      <c r="C1321"/>
      <c r="D1321"/>
      <c r="G1321"/>
    </row>
    <row r="1322" spans="2:7" ht="14.45" customHeight="1">
      <c r="B1322"/>
      <c r="C1322"/>
      <c r="D1322"/>
      <c r="G1322"/>
    </row>
    <row r="1323" spans="2:7" ht="14.45" customHeight="1">
      <c r="B1323"/>
      <c r="C1323"/>
      <c r="D1323"/>
      <c r="G1323"/>
    </row>
    <row r="1324" spans="2:7" ht="14.45" customHeight="1">
      <c r="B1324"/>
      <c r="C1324"/>
      <c r="D1324"/>
      <c r="G1324"/>
    </row>
    <row r="1325" spans="2:7" ht="14.45" customHeight="1">
      <c r="B1325"/>
      <c r="C1325"/>
      <c r="D1325"/>
      <c r="G1325"/>
    </row>
    <row r="1326" spans="2:7" ht="14.45" customHeight="1">
      <c r="B1326"/>
      <c r="C1326"/>
      <c r="D1326"/>
      <c r="G1326"/>
    </row>
    <row r="1327" spans="2:7" ht="14.45" customHeight="1">
      <c r="B1327"/>
      <c r="C1327"/>
      <c r="D1327"/>
      <c r="G1327"/>
    </row>
    <row r="1328" spans="2:7" ht="14.45" customHeight="1">
      <c r="B1328"/>
      <c r="C1328"/>
      <c r="D1328"/>
      <c r="G1328"/>
    </row>
    <row r="1329" spans="2:7" ht="14.45" customHeight="1">
      <c r="B1329"/>
      <c r="C1329"/>
      <c r="D1329"/>
      <c r="G1329"/>
    </row>
    <row r="1330" spans="2:7" ht="14.45" customHeight="1">
      <c r="B1330"/>
      <c r="C1330"/>
      <c r="D1330"/>
      <c r="G1330"/>
    </row>
    <row r="1331" spans="2:7" ht="14.45" customHeight="1">
      <c r="B1331"/>
      <c r="C1331"/>
      <c r="D1331"/>
      <c r="G1331"/>
    </row>
    <row r="1332" spans="2:7" ht="14.45" customHeight="1">
      <c r="B1332"/>
      <c r="C1332"/>
      <c r="D1332"/>
      <c r="G1332"/>
    </row>
    <row r="1333" spans="2:7" ht="14.45" customHeight="1">
      <c r="B1333"/>
      <c r="C1333"/>
      <c r="D1333"/>
      <c r="G1333"/>
    </row>
    <row r="1334" spans="2:7" ht="14.45" customHeight="1">
      <c r="B1334"/>
      <c r="C1334"/>
      <c r="D1334"/>
      <c r="G1334"/>
    </row>
    <row r="1335" spans="2:7" ht="14.45" customHeight="1">
      <c r="B1335"/>
      <c r="C1335"/>
      <c r="D1335"/>
      <c r="G1335"/>
    </row>
    <row r="1336" spans="2:7" ht="14.45" customHeight="1">
      <c r="B1336"/>
      <c r="C1336"/>
      <c r="D1336"/>
      <c r="G1336"/>
    </row>
    <row r="1337" spans="2:7" ht="14.45" customHeight="1">
      <c r="B1337"/>
      <c r="C1337"/>
      <c r="D1337"/>
      <c r="G1337"/>
    </row>
    <row r="1338" spans="2:7" ht="14.45" customHeight="1">
      <c r="B1338"/>
      <c r="C1338"/>
      <c r="D1338"/>
      <c r="G1338"/>
    </row>
    <row r="1339" spans="2:7" ht="14.45" customHeight="1">
      <c r="B1339"/>
      <c r="C1339"/>
      <c r="D1339"/>
      <c r="G1339"/>
    </row>
    <row r="1340" spans="2:7" ht="14.45" customHeight="1">
      <c r="B1340"/>
      <c r="C1340"/>
      <c r="D1340"/>
      <c r="G1340"/>
    </row>
    <row r="1341" spans="2:7" ht="14.45" customHeight="1">
      <c r="B1341"/>
      <c r="C1341"/>
      <c r="D1341"/>
      <c r="G1341"/>
    </row>
    <row r="1342" spans="2:7" ht="14.45" customHeight="1">
      <c r="B1342"/>
      <c r="C1342"/>
      <c r="D1342"/>
      <c r="G1342"/>
    </row>
    <row r="1343" spans="2:7" ht="14.45" customHeight="1">
      <c r="B1343"/>
      <c r="C1343"/>
      <c r="D1343"/>
      <c r="G1343"/>
    </row>
    <row r="1344" spans="2:7" ht="14.45" customHeight="1">
      <c r="B1344"/>
      <c r="C1344"/>
      <c r="D1344"/>
      <c r="G1344"/>
    </row>
    <row r="1345" spans="2:7" ht="14.45" customHeight="1">
      <c r="B1345"/>
      <c r="C1345"/>
      <c r="D1345"/>
      <c r="G1345"/>
    </row>
    <row r="1346" spans="2:7" ht="14.45" customHeight="1">
      <c r="B1346"/>
      <c r="C1346"/>
      <c r="D1346"/>
      <c r="G1346"/>
    </row>
    <row r="1347" spans="2:7" ht="14.45" customHeight="1">
      <c r="B1347"/>
      <c r="C1347"/>
      <c r="D1347"/>
      <c r="G1347"/>
    </row>
    <row r="1348" spans="2:7" ht="14.45" customHeight="1">
      <c r="B1348"/>
      <c r="C1348"/>
      <c r="D1348"/>
      <c r="G1348"/>
    </row>
    <row r="1349" spans="2:7" ht="14.45" customHeight="1">
      <c r="B1349"/>
      <c r="C1349"/>
      <c r="D1349"/>
      <c r="G1349"/>
    </row>
    <row r="1350" spans="2:7" ht="14.45" customHeight="1">
      <c r="B1350"/>
      <c r="C1350"/>
      <c r="D1350"/>
      <c r="G1350"/>
    </row>
    <row r="1351" spans="2:7" ht="14.45" customHeight="1">
      <c r="B1351"/>
      <c r="C1351"/>
      <c r="D1351"/>
      <c r="G1351"/>
    </row>
    <row r="1352" spans="2:7" ht="14.45" customHeight="1">
      <c r="B1352"/>
      <c r="C1352"/>
      <c r="D1352"/>
      <c r="G1352"/>
    </row>
    <row r="1353" spans="2:7" ht="14.45" customHeight="1">
      <c r="B1353"/>
      <c r="C1353"/>
      <c r="D1353"/>
      <c r="G1353"/>
    </row>
    <row r="1354" spans="2:7" ht="14.45" customHeight="1">
      <c r="B1354"/>
      <c r="C1354"/>
      <c r="D1354"/>
      <c r="G1354"/>
    </row>
    <row r="1355" spans="2:7" ht="14.45" customHeight="1">
      <c r="B1355"/>
      <c r="C1355"/>
      <c r="D1355"/>
      <c r="G1355"/>
    </row>
    <row r="1356" spans="2:7" ht="14.45" customHeight="1">
      <c r="B1356"/>
      <c r="C1356"/>
      <c r="D1356"/>
      <c r="G1356"/>
    </row>
    <row r="1357" spans="2:7" ht="14.45" customHeight="1">
      <c r="B1357"/>
      <c r="C1357"/>
      <c r="D1357"/>
      <c r="G1357"/>
    </row>
    <row r="1358" spans="2:7" ht="14.45" customHeight="1">
      <c r="B1358"/>
      <c r="C1358"/>
      <c r="D1358"/>
      <c r="G1358"/>
    </row>
    <row r="1359" spans="2:7" ht="14.45" customHeight="1">
      <c r="B1359"/>
      <c r="C1359"/>
      <c r="D1359"/>
      <c r="G1359"/>
    </row>
    <row r="1360" spans="2:7" ht="14.45" customHeight="1">
      <c r="B1360"/>
      <c r="C1360"/>
      <c r="D1360"/>
      <c r="G1360"/>
    </row>
    <row r="1361" spans="2:7" ht="14.45" customHeight="1">
      <c r="B1361"/>
      <c r="C1361"/>
      <c r="D1361"/>
      <c r="G1361"/>
    </row>
    <row r="1362" spans="2:7" ht="14.45" customHeight="1">
      <c r="B1362"/>
      <c r="C1362"/>
      <c r="D1362"/>
      <c r="G1362"/>
    </row>
    <row r="1363" spans="2:7" ht="14.45" customHeight="1">
      <c r="B1363"/>
      <c r="C1363"/>
      <c r="D1363"/>
      <c r="G1363"/>
    </row>
    <row r="1364" spans="2:7" ht="14.45" customHeight="1">
      <c r="B1364"/>
      <c r="C1364"/>
      <c r="D1364"/>
      <c r="G1364"/>
    </row>
    <row r="1365" spans="2:7" ht="14.45" customHeight="1">
      <c r="B1365"/>
      <c r="C1365"/>
      <c r="D1365"/>
      <c r="G1365"/>
    </row>
    <row r="1366" spans="2:7" ht="14.45" customHeight="1">
      <c r="B1366"/>
      <c r="C1366"/>
      <c r="D1366"/>
      <c r="G1366"/>
    </row>
    <row r="1367" spans="2:7" ht="14.45" customHeight="1">
      <c r="B1367"/>
      <c r="C1367"/>
      <c r="D1367"/>
      <c r="G1367"/>
    </row>
    <row r="1368" spans="2:7" ht="14.45" customHeight="1">
      <c r="B1368"/>
      <c r="C1368"/>
      <c r="D1368"/>
      <c r="G1368"/>
    </row>
    <row r="1369" spans="2:7" ht="14.45" customHeight="1">
      <c r="B1369"/>
      <c r="C1369"/>
      <c r="D1369"/>
      <c r="G1369"/>
    </row>
    <row r="1370" spans="2:7" ht="14.45" customHeight="1">
      <c r="B1370"/>
      <c r="C1370"/>
      <c r="D1370"/>
      <c r="G1370"/>
    </row>
    <row r="1371" spans="2:7" ht="14.45" customHeight="1">
      <c r="B1371"/>
      <c r="C1371"/>
      <c r="D1371"/>
      <c r="G1371"/>
    </row>
    <row r="1372" spans="2:7" ht="14.45" customHeight="1">
      <c r="B1372"/>
      <c r="C1372"/>
      <c r="D1372"/>
      <c r="G1372"/>
    </row>
    <row r="1373" spans="2:7" ht="14.45" customHeight="1">
      <c r="B1373"/>
      <c r="C1373"/>
      <c r="D1373"/>
      <c r="G1373"/>
    </row>
    <row r="1374" spans="2:7" ht="14.45" customHeight="1">
      <c r="B1374"/>
      <c r="C1374"/>
      <c r="D1374"/>
      <c r="G1374"/>
    </row>
    <row r="1375" spans="2:7" ht="14.45" customHeight="1">
      <c r="B1375"/>
      <c r="C1375"/>
      <c r="D1375"/>
      <c r="G1375"/>
    </row>
    <row r="1376" spans="2:7" ht="14.45" customHeight="1">
      <c r="B1376"/>
      <c r="C1376"/>
      <c r="D1376"/>
      <c r="G1376"/>
    </row>
    <row r="1377" spans="2:7" ht="14.45" customHeight="1">
      <c r="B1377"/>
      <c r="C1377"/>
      <c r="D1377"/>
      <c r="G1377"/>
    </row>
    <row r="1378" spans="2:7" ht="14.45" customHeight="1">
      <c r="B1378"/>
      <c r="C1378"/>
      <c r="D1378"/>
      <c r="G1378"/>
    </row>
    <row r="1379" spans="2:7" ht="14.45" customHeight="1">
      <c r="B1379"/>
      <c r="C1379"/>
      <c r="D1379"/>
      <c r="G1379"/>
    </row>
    <row r="1380" spans="2:7" ht="14.45" customHeight="1">
      <c r="B1380"/>
      <c r="C1380"/>
      <c r="D1380"/>
      <c r="G1380"/>
    </row>
    <row r="1381" spans="2:7" ht="14.45" customHeight="1">
      <c r="B1381"/>
      <c r="C1381"/>
      <c r="D1381"/>
      <c r="G1381"/>
    </row>
    <row r="1382" spans="2:7" ht="14.45" customHeight="1">
      <c r="B1382"/>
      <c r="C1382"/>
      <c r="D1382"/>
      <c r="G1382"/>
    </row>
    <row r="1383" spans="2:7" ht="14.45" customHeight="1">
      <c r="B1383"/>
      <c r="C1383"/>
      <c r="D1383"/>
      <c r="G1383"/>
    </row>
    <row r="1384" spans="2:7" ht="14.45" customHeight="1">
      <c r="B1384"/>
      <c r="C1384"/>
      <c r="D1384"/>
      <c r="G1384"/>
    </row>
    <row r="1385" spans="2:7" ht="14.45" customHeight="1">
      <c r="B1385"/>
      <c r="C1385"/>
      <c r="D1385"/>
      <c r="G1385"/>
    </row>
    <row r="1386" spans="2:7" ht="14.45" customHeight="1">
      <c r="B1386"/>
      <c r="C1386"/>
      <c r="D1386"/>
      <c r="G1386"/>
    </row>
    <row r="1387" spans="2:7" ht="14.45" customHeight="1">
      <c r="B1387"/>
      <c r="C1387"/>
      <c r="D1387"/>
      <c r="G1387"/>
    </row>
    <row r="1388" spans="2:7" ht="14.45" customHeight="1">
      <c r="B1388"/>
      <c r="C1388"/>
      <c r="D1388"/>
      <c r="G1388"/>
    </row>
    <row r="1389" spans="2:7" ht="14.45" customHeight="1">
      <c r="B1389"/>
      <c r="C1389"/>
      <c r="D1389"/>
      <c r="G1389"/>
    </row>
    <row r="1390" spans="2:7" ht="14.45" customHeight="1">
      <c r="B1390"/>
      <c r="C1390"/>
      <c r="D1390"/>
      <c r="G1390"/>
    </row>
    <row r="1391" spans="2:7" ht="14.45" customHeight="1">
      <c r="B1391"/>
      <c r="C1391"/>
      <c r="D1391"/>
      <c r="G1391"/>
    </row>
    <row r="1392" spans="2:7" ht="14.45" customHeight="1">
      <c r="B1392"/>
      <c r="C1392"/>
      <c r="D1392"/>
      <c r="G1392"/>
    </row>
    <row r="1393" spans="2:7" ht="14.45" customHeight="1">
      <c r="B1393"/>
      <c r="C1393"/>
      <c r="D1393"/>
      <c r="G1393"/>
    </row>
    <row r="1394" spans="2:7" ht="14.45" customHeight="1">
      <c r="B1394"/>
      <c r="C1394"/>
      <c r="D1394"/>
      <c r="G1394"/>
    </row>
    <row r="1395" spans="2:7" ht="14.45" customHeight="1">
      <c r="B1395"/>
      <c r="C1395"/>
      <c r="D1395"/>
      <c r="G1395"/>
    </row>
    <row r="1396" spans="2:7" ht="14.45" customHeight="1">
      <c r="B1396"/>
      <c r="C1396"/>
      <c r="D1396"/>
      <c r="G1396"/>
    </row>
    <row r="1397" spans="2:7" ht="14.45" customHeight="1">
      <c r="B1397"/>
      <c r="C1397"/>
      <c r="D1397"/>
      <c r="G1397"/>
    </row>
    <row r="1398" spans="2:7" ht="14.45" customHeight="1">
      <c r="B1398"/>
      <c r="C1398"/>
      <c r="D1398"/>
      <c r="G1398"/>
    </row>
    <row r="1399" spans="2:7" ht="14.45" customHeight="1">
      <c r="B1399"/>
      <c r="C1399"/>
      <c r="D1399"/>
      <c r="G1399"/>
    </row>
    <row r="1400" spans="2:7" ht="14.45" customHeight="1">
      <c r="B1400"/>
      <c r="C1400"/>
      <c r="D1400"/>
      <c r="G1400"/>
    </row>
    <row r="1401" spans="2:7" ht="14.45" customHeight="1">
      <c r="B1401"/>
      <c r="C1401"/>
      <c r="D1401"/>
      <c r="G1401"/>
    </row>
    <row r="1402" spans="2:7" ht="14.45" customHeight="1">
      <c r="B1402"/>
      <c r="C1402"/>
      <c r="D1402"/>
      <c r="G1402"/>
    </row>
    <row r="1403" spans="2:7" ht="14.45" customHeight="1">
      <c r="B1403"/>
      <c r="C1403"/>
      <c r="D1403"/>
      <c r="G1403"/>
    </row>
    <row r="1404" spans="2:7" ht="14.45" customHeight="1">
      <c r="B1404"/>
      <c r="C1404"/>
      <c r="D1404"/>
      <c r="G1404"/>
    </row>
    <row r="1405" spans="2:7" ht="14.45" customHeight="1">
      <c r="B1405"/>
      <c r="C1405"/>
      <c r="D1405"/>
      <c r="G1405"/>
    </row>
    <row r="1406" spans="2:7" ht="14.45" customHeight="1">
      <c r="B1406"/>
      <c r="C1406"/>
      <c r="D1406"/>
      <c r="G1406"/>
    </row>
    <row r="1407" spans="2:7" ht="14.45" customHeight="1">
      <c r="B1407"/>
      <c r="C1407"/>
      <c r="D1407"/>
      <c r="G1407"/>
    </row>
    <row r="1408" spans="2:7" ht="14.45" customHeight="1">
      <c r="B1408"/>
      <c r="C1408"/>
      <c r="D1408"/>
      <c r="G1408"/>
    </row>
    <row r="1409" spans="2:7" ht="14.45" customHeight="1">
      <c r="B1409"/>
      <c r="C1409"/>
      <c r="D1409"/>
      <c r="G1409"/>
    </row>
    <row r="1410" spans="2:7" ht="14.45" customHeight="1">
      <c r="B1410"/>
      <c r="C1410"/>
      <c r="D1410"/>
      <c r="G1410"/>
    </row>
    <row r="1411" spans="2:7" ht="14.45" customHeight="1">
      <c r="B1411"/>
      <c r="C1411"/>
      <c r="D1411"/>
      <c r="G1411"/>
    </row>
    <row r="1412" spans="2:7" ht="14.45" customHeight="1">
      <c r="B1412"/>
      <c r="C1412"/>
      <c r="D1412"/>
      <c r="G1412"/>
    </row>
    <row r="1413" spans="2:7" ht="14.45" customHeight="1">
      <c r="B1413"/>
      <c r="C1413"/>
      <c r="D1413"/>
      <c r="G1413"/>
    </row>
    <row r="1414" spans="2:7" ht="14.45" customHeight="1">
      <c r="B1414"/>
      <c r="C1414"/>
      <c r="D1414"/>
      <c r="G1414"/>
    </row>
    <row r="1415" spans="2:7" ht="14.45" customHeight="1">
      <c r="B1415"/>
      <c r="C1415"/>
      <c r="D1415"/>
      <c r="G1415"/>
    </row>
    <row r="1416" spans="2:7" ht="14.45" customHeight="1">
      <c r="B1416"/>
      <c r="C1416"/>
      <c r="D1416"/>
      <c r="G1416"/>
    </row>
    <row r="1417" spans="2:7" ht="14.45" customHeight="1">
      <c r="B1417"/>
      <c r="C1417"/>
      <c r="D1417"/>
      <c r="G1417"/>
    </row>
    <row r="1418" spans="2:7" ht="14.45" customHeight="1">
      <c r="B1418"/>
      <c r="C1418"/>
      <c r="D1418"/>
      <c r="G1418"/>
    </row>
    <row r="1419" spans="2:7" ht="14.45" customHeight="1">
      <c r="B1419"/>
      <c r="C1419"/>
      <c r="D1419"/>
      <c r="G1419"/>
    </row>
    <row r="1420" spans="2:7" ht="14.45" customHeight="1">
      <c r="B1420"/>
      <c r="C1420"/>
      <c r="D1420"/>
      <c r="G1420"/>
    </row>
    <row r="1421" spans="2:7" ht="14.45" customHeight="1">
      <c r="B1421"/>
      <c r="C1421"/>
      <c r="D1421"/>
      <c r="G1421"/>
    </row>
    <row r="1422" spans="2:7" ht="14.45" customHeight="1">
      <c r="B1422"/>
      <c r="C1422"/>
      <c r="D1422"/>
      <c r="G1422"/>
    </row>
    <row r="1423" spans="2:7" ht="14.45" customHeight="1">
      <c r="B1423"/>
      <c r="C1423"/>
      <c r="D1423"/>
      <c r="G1423"/>
    </row>
    <row r="1424" spans="2:7" ht="14.45" customHeight="1">
      <c r="B1424"/>
      <c r="C1424"/>
      <c r="D1424"/>
      <c r="G1424"/>
    </row>
    <row r="1425" spans="2:7" ht="14.45" customHeight="1">
      <c r="B1425"/>
      <c r="C1425"/>
      <c r="D1425"/>
      <c r="G1425"/>
    </row>
    <row r="1426" spans="2:7" ht="14.45" customHeight="1">
      <c r="B1426"/>
      <c r="C1426"/>
      <c r="D1426"/>
      <c r="G1426"/>
    </row>
    <row r="1427" spans="2:7" ht="14.45" customHeight="1">
      <c r="B1427"/>
      <c r="C1427"/>
      <c r="D1427"/>
      <c r="G1427"/>
    </row>
    <row r="1428" spans="2:7" ht="14.45" customHeight="1">
      <c r="B1428"/>
      <c r="C1428"/>
      <c r="D1428"/>
      <c r="G1428"/>
    </row>
    <row r="1429" spans="2:7" ht="14.45" customHeight="1">
      <c r="B1429"/>
      <c r="C1429"/>
      <c r="D1429"/>
      <c r="G1429"/>
    </row>
    <row r="1430" spans="2:7" ht="14.45" customHeight="1">
      <c r="B1430"/>
      <c r="C1430"/>
      <c r="D1430"/>
      <c r="G1430"/>
    </row>
    <row r="1431" spans="2:7" ht="14.45" customHeight="1">
      <c r="B1431"/>
      <c r="C1431"/>
      <c r="D1431"/>
      <c r="G1431"/>
    </row>
    <row r="1432" spans="2:7" ht="14.45" customHeight="1">
      <c r="B1432"/>
      <c r="C1432"/>
      <c r="D1432"/>
      <c r="G1432"/>
    </row>
    <row r="1433" spans="2:7" ht="14.45" customHeight="1">
      <c r="B1433"/>
      <c r="C1433"/>
      <c r="D1433"/>
      <c r="G1433"/>
    </row>
    <row r="1434" spans="2:7" ht="14.45" customHeight="1">
      <c r="B1434"/>
      <c r="C1434"/>
      <c r="D1434"/>
      <c r="G1434"/>
    </row>
    <row r="1435" spans="2:7" ht="14.45" customHeight="1">
      <c r="B1435"/>
      <c r="C1435"/>
      <c r="D1435"/>
      <c r="G1435"/>
    </row>
    <row r="1436" spans="2:7" ht="14.45" customHeight="1">
      <c r="B1436"/>
      <c r="C1436"/>
      <c r="D1436"/>
      <c r="G1436"/>
    </row>
    <row r="1437" spans="2:7" ht="14.45" customHeight="1">
      <c r="B1437"/>
      <c r="C1437"/>
      <c r="D1437"/>
      <c r="G1437"/>
    </row>
    <row r="1438" spans="2:7" ht="14.45" customHeight="1">
      <c r="B1438"/>
      <c r="C1438"/>
      <c r="D1438"/>
      <c r="G1438"/>
    </row>
    <row r="1439" spans="2:7" ht="14.45" customHeight="1">
      <c r="B1439"/>
      <c r="C1439"/>
      <c r="D1439"/>
      <c r="G1439"/>
    </row>
    <row r="1440" spans="2:7" ht="14.45" customHeight="1">
      <c r="B1440"/>
      <c r="C1440"/>
      <c r="D1440"/>
      <c r="G1440"/>
    </row>
    <row r="1441" spans="2:7" ht="14.45" customHeight="1">
      <c r="B1441"/>
      <c r="C1441"/>
      <c r="D1441"/>
      <c r="G1441"/>
    </row>
    <row r="1442" spans="2:7" ht="14.45" customHeight="1">
      <c r="B1442"/>
      <c r="C1442"/>
      <c r="D1442"/>
      <c r="G1442"/>
    </row>
    <row r="1443" spans="2:7" ht="14.45" customHeight="1">
      <c r="B1443"/>
      <c r="C1443"/>
      <c r="D1443"/>
      <c r="G1443"/>
    </row>
    <row r="1444" spans="2:7" ht="14.45" customHeight="1">
      <c r="B1444"/>
      <c r="C1444"/>
      <c r="D1444"/>
      <c r="G1444"/>
    </row>
    <row r="1445" spans="2:7">
      <c r="B1445"/>
      <c r="C1445"/>
      <c r="D1445"/>
      <c r="G1445"/>
    </row>
    <row r="1446" spans="2:7">
      <c r="B1446"/>
      <c r="C1446"/>
      <c r="D1446"/>
      <c r="G1446"/>
    </row>
    <row r="1447" spans="2:7">
      <c r="B1447"/>
      <c r="C1447"/>
      <c r="D1447"/>
      <c r="G1447"/>
    </row>
    <row r="1448" spans="2:7">
      <c r="B1448"/>
      <c r="C1448"/>
      <c r="D1448"/>
      <c r="G1448"/>
    </row>
    <row r="1449" spans="2:7">
      <c r="B1449"/>
      <c r="C1449"/>
      <c r="D1449"/>
      <c r="G1449"/>
    </row>
    <row r="1450" spans="2:7">
      <c r="B1450"/>
      <c r="C1450"/>
      <c r="D1450"/>
      <c r="G1450"/>
    </row>
    <row r="1451" spans="2:7">
      <c r="B1451"/>
      <c r="C1451"/>
      <c r="D1451"/>
      <c r="G1451"/>
    </row>
    <row r="1452" spans="2:7">
      <c r="B1452"/>
      <c r="C1452"/>
      <c r="D1452"/>
      <c r="G1452"/>
    </row>
    <row r="1453" spans="2:7">
      <c r="B1453"/>
      <c r="C1453"/>
      <c r="D1453"/>
      <c r="G1453"/>
    </row>
    <row r="1454" spans="2:7">
      <c r="B1454"/>
      <c r="C1454"/>
      <c r="D1454"/>
      <c r="G1454"/>
    </row>
    <row r="1455" spans="2:7">
      <c r="B1455"/>
      <c r="C1455"/>
      <c r="D1455"/>
      <c r="G1455"/>
    </row>
    <row r="1456" spans="2:7">
      <c r="B1456"/>
      <c r="C1456"/>
      <c r="D1456"/>
      <c r="G1456"/>
    </row>
    <row r="1457" spans="2:7">
      <c r="B1457"/>
      <c r="C1457"/>
      <c r="D1457"/>
      <c r="G1457"/>
    </row>
    <row r="1458" spans="2:7">
      <c r="B1458"/>
      <c r="C1458"/>
      <c r="D1458"/>
      <c r="G1458"/>
    </row>
    <row r="1459" spans="2:7">
      <c r="B1459"/>
      <c r="C1459"/>
      <c r="D1459"/>
      <c r="G1459"/>
    </row>
    <row r="1460" spans="2:7">
      <c r="B1460"/>
      <c r="C1460"/>
      <c r="D1460"/>
      <c r="G1460"/>
    </row>
    <row r="1461" spans="2:7">
      <c r="B1461"/>
      <c r="C1461"/>
      <c r="D1461"/>
      <c r="G1461"/>
    </row>
    <row r="1462" spans="2:7">
      <c r="B1462"/>
      <c r="C1462"/>
      <c r="D1462"/>
      <c r="G1462"/>
    </row>
    <row r="1463" spans="2:7">
      <c r="B1463"/>
      <c r="C1463"/>
      <c r="D1463"/>
      <c r="G1463"/>
    </row>
    <row r="1464" spans="2:7">
      <c r="B1464"/>
      <c r="C1464"/>
      <c r="D1464"/>
      <c r="G1464"/>
    </row>
    <row r="1465" spans="2:7">
      <c r="B1465"/>
      <c r="C1465"/>
      <c r="D1465"/>
      <c r="G1465"/>
    </row>
    <row r="1466" spans="2:7">
      <c r="B1466"/>
      <c r="C1466"/>
      <c r="D1466"/>
      <c r="G1466"/>
    </row>
    <row r="1467" spans="2:7">
      <c r="B1467"/>
      <c r="C1467"/>
      <c r="D1467"/>
      <c r="G1467"/>
    </row>
    <row r="1468" spans="2:7">
      <c r="B1468"/>
      <c r="C1468"/>
      <c r="D1468"/>
      <c r="G1468"/>
    </row>
    <row r="1469" spans="2:7">
      <c r="B1469"/>
      <c r="C1469"/>
      <c r="D1469"/>
      <c r="G1469"/>
    </row>
    <row r="1470" spans="2:7">
      <c r="B1470"/>
      <c r="C1470"/>
      <c r="D1470"/>
      <c r="G1470"/>
    </row>
    <row r="1471" spans="2:7">
      <c r="B1471"/>
      <c r="C1471"/>
      <c r="D1471"/>
      <c r="G1471"/>
    </row>
    <row r="1472" spans="2:7">
      <c r="B1472"/>
      <c r="C1472"/>
      <c r="D1472"/>
      <c r="G1472"/>
    </row>
    <row r="1473" spans="2:7">
      <c r="B1473"/>
      <c r="C1473"/>
      <c r="D1473"/>
      <c r="G1473"/>
    </row>
    <row r="1474" spans="2:7">
      <c r="B1474"/>
      <c r="C1474"/>
      <c r="D1474"/>
      <c r="G1474"/>
    </row>
    <row r="1475" spans="2:7">
      <c r="B1475"/>
      <c r="C1475"/>
      <c r="D1475"/>
      <c r="G1475"/>
    </row>
    <row r="1476" spans="2:7">
      <c r="B1476"/>
      <c r="C1476"/>
      <c r="D1476"/>
      <c r="G1476"/>
    </row>
    <row r="1477" spans="2:7">
      <c r="B1477"/>
      <c r="C1477"/>
      <c r="D1477"/>
      <c r="G1477"/>
    </row>
    <row r="1478" spans="2:7">
      <c r="B1478"/>
      <c r="C1478"/>
      <c r="D1478"/>
      <c r="G1478"/>
    </row>
    <row r="1479" spans="2:7">
      <c r="B1479"/>
      <c r="C1479"/>
      <c r="D1479"/>
      <c r="G1479"/>
    </row>
    <row r="1480" spans="2:7">
      <c r="B1480"/>
      <c r="C1480"/>
      <c r="D1480"/>
      <c r="G1480"/>
    </row>
    <row r="1481" spans="2:7">
      <c r="B1481"/>
      <c r="C1481"/>
      <c r="D1481"/>
      <c r="G1481"/>
    </row>
    <row r="1482" spans="2:7">
      <c r="B1482"/>
      <c r="C1482"/>
      <c r="D1482"/>
      <c r="G1482"/>
    </row>
    <row r="1483" spans="2:7">
      <c r="B1483"/>
      <c r="C1483"/>
      <c r="D1483"/>
      <c r="G1483"/>
    </row>
    <row r="1484" spans="2:7">
      <c r="B1484"/>
      <c r="C1484"/>
      <c r="D1484"/>
      <c r="G1484"/>
    </row>
    <row r="1485" spans="2:7">
      <c r="B1485"/>
      <c r="C1485"/>
      <c r="D1485"/>
      <c r="G1485"/>
    </row>
    <row r="1486" spans="2:7">
      <c r="B1486"/>
      <c r="C1486"/>
      <c r="D1486"/>
      <c r="G1486"/>
    </row>
    <row r="1487" spans="2:7">
      <c r="B1487"/>
      <c r="C1487"/>
      <c r="D1487"/>
      <c r="G1487"/>
    </row>
    <row r="1488" spans="2:7">
      <c r="B1488"/>
      <c r="C1488"/>
      <c r="D1488"/>
      <c r="G1488"/>
    </row>
    <row r="1489" spans="2:7">
      <c r="B1489"/>
      <c r="C1489"/>
      <c r="D1489"/>
      <c r="G1489"/>
    </row>
    <row r="1490" spans="2:7">
      <c r="B1490"/>
      <c r="C1490"/>
      <c r="D1490"/>
      <c r="G1490"/>
    </row>
    <row r="1491" spans="2:7">
      <c r="B1491"/>
      <c r="C1491"/>
      <c r="D1491"/>
      <c r="G1491"/>
    </row>
    <row r="1492" spans="2:7">
      <c r="B1492"/>
      <c r="C1492"/>
      <c r="D1492"/>
      <c r="G1492"/>
    </row>
    <row r="1493" spans="2:7">
      <c r="B1493"/>
      <c r="C1493"/>
      <c r="D1493"/>
      <c r="G1493"/>
    </row>
    <row r="1494" spans="2:7">
      <c r="B1494"/>
      <c r="C1494"/>
      <c r="D1494"/>
      <c r="G1494"/>
    </row>
    <row r="1495" spans="2:7">
      <c r="B1495"/>
      <c r="C1495"/>
      <c r="D1495"/>
      <c r="G1495"/>
    </row>
    <row r="1496" spans="2:7">
      <c r="B1496"/>
      <c r="C1496"/>
      <c r="D1496"/>
      <c r="G1496"/>
    </row>
    <row r="1497" spans="2:7">
      <c r="B1497"/>
      <c r="C1497"/>
      <c r="D1497"/>
      <c r="G1497"/>
    </row>
    <row r="1498" spans="2:7">
      <c r="B1498"/>
      <c r="C1498"/>
      <c r="D1498"/>
      <c r="G1498"/>
    </row>
    <row r="1499" spans="2:7">
      <c r="B1499"/>
      <c r="C1499"/>
      <c r="D1499"/>
      <c r="G1499"/>
    </row>
    <row r="1500" spans="2:7">
      <c r="B1500"/>
      <c r="C1500"/>
      <c r="D1500"/>
      <c r="G1500"/>
    </row>
    <row r="1501" spans="2:7">
      <c r="B1501"/>
      <c r="C1501"/>
      <c r="D1501"/>
      <c r="G1501"/>
    </row>
    <row r="1502" spans="2:7">
      <c r="B1502"/>
      <c r="C1502"/>
      <c r="D1502"/>
      <c r="G1502"/>
    </row>
    <row r="1503" spans="2:7">
      <c r="B1503"/>
      <c r="C1503"/>
      <c r="D1503"/>
      <c r="G1503"/>
    </row>
    <row r="1504" spans="2:7">
      <c r="B1504"/>
      <c r="C1504"/>
      <c r="D1504"/>
      <c r="G1504"/>
    </row>
    <row r="1505" spans="2:7">
      <c r="B1505"/>
      <c r="C1505"/>
      <c r="D1505"/>
      <c r="G1505"/>
    </row>
    <row r="1506" spans="2:7">
      <c r="B1506"/>
      <c r="C1506"/>
      <c r="D1506"/>
      <c r="G1506"/>
    </row>
    <row r="1507" spans="2:7">
      <c r="B1507"/>
      <c r="C1507"/>
      <c r="D1507"/>
      <c r="G1507"/>
    </row>
    <row r="1508" spans="2:7">
      <c r="B1508"/>
      <c r="C1508"/>
      <c r="D1508"/>
      <c r="G1508"/>
    </row>
    <row r="1509" spans="2:7">
      <c r="B1509"/>
      <c r="C1509"/>
      <c r="D1509"/>
      <c r="G1509"/>
    </row>
    <row r="1510" spans="2:7">
      <c r="B1510"/>
      <c r="C1510"/>
      <c r="D1510"/>
      <c r="G1510"/>
    </row>
    <row r="1511" spans="2:7">
      <c r="B1511"/>
      <c r="C1511"/>
      <c r="D1511"/>
      <c r="G1511"/>
    </row>
    <row r="1512" spans="2:7">
      <c r="B1512"/>
      <c r="C1512"/>
      <c r="D1512"/>
      <c r="G1512"/>
    </row>
    <row r="1513" spans="2:7">
      <c r="B1513"/>
      <c r="C1513"/>
      <c r="D1513"/>
      <c r="G1513"/>
    </row>
    <row r="1514" spans="2:7">
      <c r="B1514"/>
      <c r="C1514"/>
      <c r="D1514"/>
      <c r="G1514"/>
    </row>
    <row r="1515" spans="2:7">
      <c r="B1515"/>
      <c r="C1515"/>
      <c r="D1515"/>
      <c r="G1515"/>
    </row>
    <row r="1516" spans="2:7">
      <c r="B1516"/>
      <c r="C1516"/>
      <c r="D1516"/>
      <c r="G1516"/>
    </row>
    <row r="1517" spans="2:7">
      <c r="B1517"/>
      <c r="C1517"/>
      <c r="D1517"/>
      <c r="G1517"/>
    </row>
    <row r="1518" spans="2:7">
      <c r="B1518"/>
      <c r="C1518"/>
      <c r="D1518"/>
      <c r="G1518"/>
    </row>
    <row r="1519" spans="2:7">
      <c r="B1519"/>
      <c r="C1519"/>
      <c r="D1519"/>
      <c r="G1519"/>
    </row>
    <row r="1520" spans="2:7">
      <c r="B1520"/>
      <c r="C1520"/>
      <c r="D1520"/>
      <c r="G1520"/>
    </row>
    <row r="1521" spans="2:7">
      <c r="B1521"/>
      <c r="C1521"/>
      <c r="D1521"/>
      <c r="G1521"/>
    </row>
    <row r="1522" spans="2:7">
      <c r="B1522"/>
      <c r="C1522"/>
      <c r="D1522"/>
      <c r="G1522"/>
    </row>
    <row r="1523" spans="2:7">
      <c r="B1523"/>
      <c r="C1523"/>
      <c r="D1523"/>
      <c r="G1523"/>
    </row>
    <row r="1524" spans="2:7">
      <c r="B1524"/>
      <c r="C1524"/>
      <c r="D1524"/>
      <c r="G1524"/>
    </row>
    <row r="1525" spans="2:7">
      <c r="B1525"/>
      <c r="C1525"/>
      <c r="D1525"/>
      <c r="G1525"/>
    </row>
    <row r="1526" spans="2:7">
      <c r="B1526"/>
      <c r="C1526"/>
      <c r="D1526"/>
      <c r="G1526"/>
    </row>
    <row r="1527" spans="2:7">
      <c r="B1527"/>
      <c r="C1527"/>
      <c r="D1527"/>
      <c r="G1527"/>
    </row>
    <row r="1528" spans="2:7">
      <c r="B1528"/>
      <c r="C1528"/>
      <c r="D1528"/>
      <c r="G1528"/>
    </row>
    <row r="1529" spans="2:7">
      <c r="B1529"/>
      <c r="C1529"/>
      <c r="D1529"/>
      <c r="G1529"/>
    </row>
    <row r="1530" spans="2:7">
      <c r="B1530"/>
      <c r="C1530"/>
      <c r="D1530"/>
      <c r="G1530"/>
    </row>
    <row r="1531" spans="2:7">
      <c r="B1531"/>
      <c r="C1531"/>
      <c r="D1531"/>
      <c r="G1531"/>
    </row>
    <row r="1532" spans="2:7">
      <c r="B1532"/>
      <c r="C1532"/>
      <c r="D1532"/>
      <c r="G1532"/>
    </row>
    <row r="1533" spans="2:7">
      <c r="B1533"/>
      <c r="C1533"/>
      <c r="D1533"/>
      <c r="G1533"/>
    </row>
    <row r="1534" spans="2:7">
      <c r="B1534"/>
      <c r="C1534"/>
      <c r="D1534"/>
      <c r="G1534"/>
    </row>
    <row r="1535" spans="2:7">
      <c r="B1535"/>
      <c r="C1535"/>
      <c r="D1535"/>
      <c r="G1535"/>
    </row>
    <row r="1536" spans="2:7">
      <c r="B1536"/>
      <c r="C1536"/>
      <c r="D1536"/>
      <c r="G1536"/>
    </row>
    <row r="1537" spans="2:7">
      <c r="B1537"/>
      <c r="C1537"/>
      <c r="D1537"/>
      <c r="G1537"/>
    </row>
    <row r="1538" spans="2:7">
      <c r="B1538"/>
      <c r="C1538"/>
      <c r="D1538"/>
      <c r="G1538"/>
    </row>
    <row r="1539" spans="2:7">
      <c r="B1539"/>
      <c r="C1539"/>
      <c r="D1539"/>
      <c r="G1539"/>
    </row>
    <row r="1540" spans="2:7">
      <c r="B1540"/>
      <c r="C1540"/>
      <c r="D1540"/>
      <c r="G1540"/>
    </row>
    <row r="1541" spans="2:7">
      <c r="B1541"/>
      <c r="C1541"/>
      <c r="D1541"/>
      <c r="G1541"/>
    </row>
    <row r="1542" spans="2:7">
      <c r="B1542"/>
      <c r="C1542"/>
      <c r="D1542"/>
      <c r="G1542"/>
    </row>
    <row r="1543" spans="2:7">
      <c r="B1543"/>
      <c r="C1543"/>
      <c r="D1543"/>
      <c r="G1543"/>
    </row>
    <row r="1544" spans="2:7">
      <c r="B1544"/>
      <c r="C1544"/>
      <c r="D1544"/>
      <c r="G1544"/>
    </row>
    <row r="1545" spans="2:7">
      <c r="B1545"/>
      <c r="C1545"/>
      <c r="D1545"/>
      <c r="G1545"/>
    </row>
    <row r="1546" spans="2:7">
      <c r="B1546"/>
      <c r="C1546"/>
      <c r="D1546"/>
      <c r="G1546"/>
    </row>
    <row r="1547" spans="2:7">
      <c r="B1547"/>
      <c r="C1547"/>
      <c r="D1547"/>
      <c r="G1547"/>
    </row>
    <row r="1548" spans="2:7">
      <c r="B1548"/>
      <c r="C1548"/>
      <c r="D1548"/>
      <c r="G1548"/>
    </row>
    <row r="1549" spans="2:7">
      <c r="B1549"/>
      <c r="C1549"/>
      <c r="D1549"/>
      <c r="G1549"/>
    </row>
    <row r="1550" spans="2:7">
      <c r="B1550"/>
      <c r="C1550"/>
      <c r="D1550"/>
      <c r="G1550"/>
    </row>
    <row r="1551" spans="2:7">
      <c r="B1551"/>
      <c r="C1551"/>
      <c r="D1551"/>
      <c r="G1551"/>
    </row>
    <row r="1552" spans="2:7">
      <c r="B1552"/>
      <c r="C1552"/>
      <c r="D1552"/>
      <c r="G1552"/>
    </row>
    <row r="1553" spans="2:7">
      <c r="B1553"/>
      <c r="C1553"/>
      <c r="D1553"/>
      <c r="G1553"/>
    </row>
    <row r="1554" spans="2:7">
      <c r="B1554"/>
      <c r="C1554"/>
      <c r="D1554"/>
      <c r="G1554"/>
    </row>
    <row r="1555" spans="2:7">
      <c r="B1555"/>
      <c r="C1555"/>
      <c r="D1555"/>
      <c r="G1555"/>
    </row>
    <row r="1556" spans="2:7">
      <c r="B1556"/>
      <c r="C1556"/>
      <c r="D1556"/>
      <c r="G1556"/>
    </row>
    <row r="1557" spans="2:7">
      <c r="B1557"/>
      <c r="C1557"/>
      <c r="D1557"/>
      <c r="G1557"/>
    </row>
    <row r="1558" spans="2:7">
      <c r="B1558"/>
      <c r="C1558"/>
      <c r="D1558"/>
      <c r="G1558"/>
    </row>
    <row r="1559" spans="2:7">
      <c r="B1559"/>
      <c r="C1559"/>
      <c r="D1559"/>
      <c r="G1559"/>
    </row>
    <row r="1560" spans="2:7">
      <c r="B1560"/>
      <c r="C1560"/>
      <c r="D1560"/>
      <c r="G1560"/>
    </row>
    <row r="1561" spans="2:7">
      <c r="B1561"/>
      <c r="C1561"/>
      <c r="D1561"/>
      <c r="G1561"/>
    </row>
    <row r="1562" spans="2:7">
      <c r="B1562"/>
      <c r="C1562"/>
      <c r="D1562"/>
      <c r="G1562"/>
    </row>
    <row r="1563" spans="2:7">
      <c r="B1563"/>
      <c r="C1563"/>
      <c r="D1563"/>
      <c r="G1563"/>
    </row>
    <row r="1564" spans="2:7">
      <c r="B1564"/>
      <c r="C1564"/>
      <c r="D1564"/>
      <c r="G1564"/>
    </row>
    <row r="1565" spans="2:7">
      <c r="B1565"/>
      <c r="C1565"/>
      <c r="D1565"/>
      <c r="G1565"/>
    </row>
    <row r="1566" spans="2:7">
      <c r="B1566"/>
      <c r="C1566"/>
      <c r="D1566"/>
      <c r="G1566"/>
    </row>
    <row r="1567" spans="2:7">
      <c r="B1567"/>
      <c r="C1567"/>
      <c r="D1567"/>
      <c r="G1567"/>
    </row>
    <row r="1568" spans="2:7">
      <c r="B1568"/>
      <c r="C1568"/>
      <c r="D1568"/>
      <c r="G1568"/>
    </row>
    <row r="1569" spans="2:7">
      <c r="B1569"/>
      <c r="C1569"/>
      <c r="D1569"/>
      <c r="G1569"/>
    </row>
    <row r="1570" spans="2:7">
      <c r="B1570"/>
      <c r="C1570"/>
      <c r="D1570"/>
      <c r="G1570"/>
    </row>
    <row r="1571" spans="2:7">
      <c r="B1571"/>
      <c r="C1571"/>
      <c r="D1571"/>
      <c r="G1571"/>
    </row>
    <row r="1572" spans="2:7">
      <c r="B1572"/>
      <c r="C1572"/>
      <c r="D1572"/>
      <c r="G1572"/>
    </row>
    <row r="1573" spans="2:7">
      <c r="B1573"/>
      <c r="C1573"/>
      <c r="D1573"/>
      <c r="G1573"/>
    </row>
    <row r="1574" spans="2:7">
      <c r="B1574"/>
      <c r="C1574"/>
      <c r="D1574"/>
      <c r="G1574"/>
    </row>
    <row r="1575" spans="2:7">
      <c r="B1575"/>
      <c r="C1575"/>
      <c r="D1575"/>
      <c r="G1575"/>
    </row>
    <row r="1576" spans="2:7">
      <c r="B1576"/>
      <c r="C1576"/>
      <c r="D1576"/>
      <c r="G1576"/>
    </row>
    <row r="1577" spans="2:7">
      <c r="B1577"/>
      <c r="C1577"/>
      <c r="D1577"/>
      <c r="G1577"/>
    </row>
    <row r="1578" spans="2:7">
      <c r="B1578"/>
      <c r="C1578"/>
      <c r="D1578"/>
      <c r="G1578"/>
    </row>
    <row r="1579" spans="2:7">
      <c r="B1579"/>
      <c r="C1579"/>
      <c r="D1579"/>
      <c r="G1579"/>
    </row>
    <row r="1580" spans="2:7">
      <c r="B1580"/>
      <c r="C1580"/>
      <c r="D1580"/>
      <c r="G1580"/>
    </row>
    <row r="1581" spans="2:7">
      <c r="B1581"/>
      <c r="C1581"/>
      <c r="D1581"/>
      <c r="G1581"/>
    </row>
    <row r="1582" spans="2:7">
      <c r="B1582"/>
      <c r="C1582"/>
      <c r="D1582"/>
      <c r="G1582"/>
    </row>
    <row r="1583" spans="2:7">
      <c r="B1583"/>
      <c r="C1583"/>
      <c r="D1583"/>
      <c r="G1583"/>
    </row>
    <row r="1584" spans="2:7">
      <c r="B1584"/>
      <c r="C1584"/>
      <c r="D1584"/>
      <c r="G1584"/>
    </row>
    <row r="1585" spans="2:7">
      <c r="B1585"/>
      <c r="C1585"/>
      <c r="D1585"/>
      <c r="G1585"/>
    </row>
    <row r="1586" spans="2:7">
      <c r="B1586"/>
      <c r="C1586"/>
      <c r="D1586"/>
      <c r="G1586"/>
    </row>
    <row r="1587" spans="2:7">
      <c r="B1587"/>
      <c r="C1587"/>
      <c r="D1587"/>
      <c r="G1587"/>
    </row>
    <row r="1588" spans="2:7">
      <c r="B1588"/>
      <c r="C1588"/>
      <c r="D1588"/>
      <c r="G1588"/>
    </row>
    <row r="1589" spans="2:7">
      <c r="B1589"/>
      <c r="C1589"/>
      <c r="D1589"/>
      <c r="G1589"/>
    </row>
    <row r="1590" spans="2:7">
      <c r="B1590"/>
      <c r="C1590"/>
      <c r="D1590"/>
      <c r="G1590"/>
    </row>
    <row r="1591" spans="2:7">
      <c r="B1591"/>
      <c r="C1591"/>
      <c r="D1591"/>
      <c r="G1591"/>
    </row>
    <row r="1592" spans="2:7">
      <c r="B1592"/>
      <c r="C1592"/>
      <c r="D1592"/>
      <c r="G1592"/>
    </row>
    <row r="1593" spans="2:7">
      <c r="B1593"/>
      <c r="C1593"/>
      <c r="D1593"/>
      <c r="G1593"/>
    </row>
    <row r="1594" spans="2:7">
      <c r="B1594"/>
      <c r="C1594"/>
      <c r="D1594"/>
      <c r="G1594"/>
    </row>
    <row r="1595" spans="2:7">
      <c r="B1595"/>
      <c r="C1595"/>
      <c r="D1595"/>
      <c r="G1595"/>
    </row>
    <row r="1596" spans="2:7">
      <c r="B1596"/>
      <c r="C1596"/>
      <c r="D1596"/>
      <c r="G1596"/>
    </row>
    <row r="1597" spans="2:7">
      <c r="B1597"/>
      <c r="C1597"/>
      <c r="D1597"/>
      <c r="G1597"/>
    </row>
    <row r="1598" spans="2:7">
      <c r="B1598"/>
      <c r="C1598"/>
      <c r="D1598"/>
      <c r="G1598"/>
    </row>
    <row r="1599" spans="2:7">
      <c r="B1599"/>
      <c r="C1599"/>
      <c r="D1599"/>
      <c r="G1599"/>
    </row>
    <row r="1600" spans="2:7">
      <c r="B1600"/>
      <c r="C1600"/>
      <c r="D1600"/>
      <c r="G1600"/>
    </row>
    <row r="1601" spans="2:7">
      <c r="B1601"/>
      <c r="C1601"/>
      <c r="D1601"/>
      <c r="G1601"/>
    </row>
    <row r="1602" spans="2:7">
      <c r="B1602"/>
      <c r="C1602"/>
      <c r="D1602"/>
      <c r="G1602"/>
    </row>
    <row r="1603" spans="2:7">
      <c r="B1603"/>
      <c r="C1603"/>
      <c r="D1603"/>
      <c r="G1603"/>
    </row>
    <row r="1604" spans="2:7">
      <c r="B1604"/>
      <c r="C1604"/>
      <c r="D1604"/>
      <c r="G1604"/>
    </row>
    <row r="1605" spans="2:7">
      <c r="B1605"/>
      <c r="C1605"/>
      <c r="D1605"/>
      <c r="G1605"/>
    </row>
    <row r="1606" spans="2:7">
      <c r="B1606"/>
      <c r="C1606"/>
      <c r="D1606"/>
      <c r="G1606"/>
    </row>
    <row r="1607" spans="2:7">
      <c r="B1607"/>
      <c r="C1607"/>
      <c r="D1607"/>
      <c r="G1607"/>
    </row>
    <row r="1608" spans="2:7">
      <c r="B1608"/>
      <c r="C1608"/>
      <c r="D1608"/>
      <c r="G1608"/>
    </row>
    <row r="1609" spans="2:7">
      <c r="B1609"/>
      <c r="C1609"/>
      <c r="D1609"/>
      <c r="G1609"/>
    </row>
    <row r="1610" spans="2:7">
      <c r="B1610"/>
      <c r="C1610"/>
      <c r="D1610"/>
      <c r="G1610"/>
    </row>
    <row r="1611" spans="2:7">
      <c r="B1611"/>
      <c r="C1611"/>
      <c r="D1611"/>
      <c r="G1611"/>
    </row>
    <row r="1612" spans="2:7">
      <c r="B1612"/>
      <c r="C1612"/>
      <c r="D1612"/>
      <c r="G1612"/>
    </row>
    <row r="1613" spans="2:7">
      <c r="B1613"/>
      <c r="C1613"/>
      <c r="D1613"/>
      <c r="G1613"/>
    </row>
    <row r="1614" spans="2:7">
      <c r="B1614"/>
      <c r="C1614"/>
      <c r="D1614"/>
      <c r="G1614"/>
    </row>
    <row r="1615" spans="2:7">
      <c r="B1615"/>
      <c r="C1615"/>
      <c r="D1615"/>
      <c r="G1615"/>
    </row>
    <row r="1616" spans="2:7">
      <c r="B1616"/>
      <c r="C1616"/>
      <c r="D1616"/>
      <c r="G1616"/>
    </row>
    <row r="1617" spans="2:7">
      <c r="B1617"/>
      <c r="C1617"/>
      <c r="D1617"/>
      <c r="G1617"/>
    </row>
    <row r="1618" spans="2:7">
      <c r="B1618"/>
      <c r="C1618"/>
      <c r="D1618"/>
      <c r="G1618"/>
    </row>
    <row r="1619" spans="2:7">
      <c r="B1619"/>
      <c r="C1619"/>
      <c r="D1619"/>
      <c r="G1619"/>
    </row>
    <row r="1620" spans="2:7">
      <c r="B1620"/>
      <c r="C1620"/>
      <c r="D1620"/>
      <c r="G1620"/>
    </row>
    <row r="1621" spans="2:7">
      <c r="B1621"/>
      <c r="C1621"/>
      <c r="D1621"/>
      <c r="G1621"/>
    </row>
    <row r="1622" spans="2:7">
      <c r="B1622"/>
      <c r="C1622"/>
      <c r="D1622"/>
      <c r="G1622"/>
    </row>
    <row r="1623" spans="2:7">
      <c r="B1623"/>
      <c r="C1623"/>
      <c r="D1623"/>
      <c r="G1623"/>
    </row>
    <row r="1624" spans="2:7">
      <c r="B1624"/>
      <c r="C1624"/>
      <c r="D1624"/>
      <c r="G1624"/>
    </row>
    <row r="1625" spans="2:7">
      <c r="B1625"/>
      <c r="C1625"/>
      <c r="D1625"/>
      <c r="G1625"/>
    </row>
    <row r="1626" spans="2:7">
      <c r="B1626"/>
      <c r="C1626"/>
      <c r="D1626"/>
      <c r="G1626"/>
    </row>
    <row r="1627" spans="2:7">
      <c r="B1627"/>
      <c r="C1627"/>
      <c r="D1627"/>
      <c r="G1627"/>
    </row>
    <row r="1628" spans="2:7">
      <c r="B1628"/>
      <c r="C1628"/>
      <c r="D1628"/>
      <c r="G1628"/>
    </row>
    <row r="1629" spans="2:7">
      <c r="B1629"/>
      <c r="C1629"/>
      <c r="D1629"/>
      <c r="G1629"/>
    </row>
    <row r="1630" spans="2:7">
      <c r="B1630"/>
      <c r="C1630"/>
      <c r="D1630"/>
      <c r="G1630"/>
    </row>
    <row r="1631" spans="2:7">
      <c r="B1631"/>
      <c r="C1631"/>
      <c r="D1631"/>
      <c r="G1631"/>
    </row>
    <row r="1632" spans="2:7">
      <c r="B1632"/>
      <c r="C1632"/>
      <c r="D1632"/>
      <c r="G1632"/>
    </row>
    <row r="1633" spans="2:7">
      <c r="B1633"/>
      <c r="C1633"/>
      <c r="D1633"/>
      <c r="G1633"/>
    </row>
    <row r="1634" spans="2:7">
      <c r="B1634"/>
      <c r="C1634"/>
      <c r="D1634"/>
      <c r="G1634"/>
    </row>
    <row r="1635" spans="2:7">
      <c r="B1635"/>
      <c r="C1635"/>
      <c r="D1635"/>
      <c r="G1635"/>
    </row>
    <row r="1636" spans="2:7">
      <c r="B1636"/>
      <c r="C1636"/>
      <c r="D1636"/>
      <c r="G1636"/>
    </row>
    <row r="1637" spans="2:7">
      <c r="B1637"/>
      <c r="C1637"/>
      <c r="D1637"/>
      <c r="G1637"/>
    </row>
    <row r="1638" spans="2:7">
      <c r="B1638"/>
      <c r="C1638"/>
      <c r="D1638"/>
      <c r="G1638"/>
    </row>
    <row r="1639" spans="2:7">
      <c r="B1639"/>
      <c r="C1639"/>
      <c r="D1639"/>
      <c r="G1639"/>
    </row>
    <row r="1640" spans="2:7">
      <c r="B1640"/>
      <c r="C1640"/>
      <c r="D1640"/>
      <c r="G1640"/>
    </row>
    <row r="1641" spans="2:7">
      <c r="B1641"/>
      <c r="C1641"/>
      <c r="D1641"/>
      <c r="G1641"/>
    </row>
    <row r="1642" spans="2:7">
      <c r="B1642"/>
      <c r="C1642"/>
      <c r="D1642"/>
      <c r="G1642"/>
    </row>
    <row r="1643" spans="2:7">
      <c r="B1643"/>
      <c r="C1643"/>
      <c r="D1643"/>
      <c r="G1643"/>
    </row>
    <row r="1644" spans="2:7">
      <c r="B1644"/>
      <c r="C1644"/>
      <c r="D1644"/>
      <c r="G1644"/>
    </row>
    <row r="1645" spans="2:7">
      <c r="B1645"/>
      <c r="C1645"/>
      <c r="D1645"/>
      <c r="G1645"/>
    </row>
    <row r="1646" spans="2:7">
      <c r="B1646"/>
      <c r="C1646"/>
      <c r="D1646"/>
      <c r="G1646"/>
    </row>
    <row r="1647" spans="2:7">
      <c r="B1647"/>
      <c r="C1647"/>
      <c r="D1647"/>
      <c r="G1647"/>
    </row>
    <row r="1648" spans="2:7">
      <c r="B1648"/>
      <c r="C1648"/>
      <c r="D1648"/>
      <c r="G1648"/>
    </row>
    <row r="1649" spans="2:7">
      <c r="B1649"/>
      <c r="C1649"/>
      <c r="D1649"/>
      <c r="G1649"/>
    </row>
    <row r="1650" spans="2:7">
      <c r="B1650"/>
      <c r="C1650"/>
      <c r="D1650"/>
      <c r="G1650"/>
    </row>
    <row r="1651" spans="2:7">
      <c r="B1651"/>
      <c r="C1651"/>
      <c r="D1651"/>
      <c r="G1651"/>
    </row>
    <row r="1652" spans="2:7">
      <c r="B1652"/>
      <c r="C1652"/>
      <c r="D1652"/>
      <c r="G1652"/>
    </row>
    <row r="1653" spans="2:7">
      <c r="B1653"/>
      <c r="C1653"/>
      <c r="D1653"/>
      <c r="G1653"/>
    </row>
    <row r="1654" spans="2:7">
      <c r="B1654"/>
      <c r="C1654"/>
      <c r="D1654"/>
      <c r="G1654"/>
    </row>
    <row r="1655" spans="2:7">
      <c r="B1655"/>
      <c r="C1655"/>
      <c r="D1655"/>
      <c r="G1655"/>
    </row>
    <row r="1656" spans="2:7">
      <c r="B1656"/>
      <c r="C1656"/>
      <c r="D1656"/>
      <c r="G1656"/>
    </row>
    <row r="1657" spans="2:7">
      <c r="B1657"/>
      <c r="C1657"/>
      <c r="D1657"/>
      <c r="G1657"/>
    </row>
    <row r="1658" spans="2:7">
      <c r="B1658"/>
      <c r="C1658"/>
      <c r="D1658"/>
      <c r="G1658"/>
    </row>
    <row r="1659" spans="2:7">
      <c r="B1659"/>
      <c r="C1659"/>
      <c r="D1659"/>
      <c r="G1659"/>
    </row>
    <row r="1660" spans="2:7">
      <c r="B1660"/>
      <c r="C1660"/>
      <c r="D1660"/>
      <c r="G1660"/>
    </row>
    <row r="1661" spans="2:7">
      <c r="B1661"/>
      <c r="C1661"/>
      <c r="D1661"/>
      <c r="G1661"/>
    </row>
    <row r="1662" spans="2:7">
      <c r="B1662"/>
      <c r="C1662"/>
      <c r="D1662"/>
      <c r="G1662"/>
    </row>
    <row r="1663" spans="2:7">
      <c r="B1663"/>
      <c r="C1663"/>
      <c r="D1663"/>
      <c r="G1663"/>
    </row>
    <row r="1664" spans="2:7">
      <c r="B1664"/>
      <c r="C1664"/>
      <c r="D1664"/>
      <c r="G1664"/>
    </row>
    <row r="1665" spans="2:7">
      <c r="B1665"/>
      <c r="C1665"/>
      <c r="D1665"/>
      <c r="G1665"/>
    </row>
    <row r="1666" spans="2:7">
      <c r="B1666"/>
      <c r="C1666"/>
      <c r="D1666"/>
      <c r="G1666"/>
    </row>
    <row r="1667" spans="2:7">
      <c r="B1667"/>
      <c r="C1667"/>
      <c r="D1667"/>
      <c r="G1667"/>
    </row>
    <row r="1668" spans="2:7">
      <c r="B1668"/>
      <c r="C1668"/>
      <c r="D1668"/>
      <c r="G1668"/>
    </row>
    <row r="1669" spans="2:7">
      <c r="B1669"/>
      <c r="C1669"/>
      <c r="D1669"/>
      <c r="G1669"/>
    </row>
    <row r="1670" spans="2:7">
      <c r="B1670"/>
      <c r="C1670"/>
      <c r="D1670"/>
      <c r="G1670"/>
    </row>
    <row r="1671" spans="2:7">
      <c r="B1671"/>
      <c r="C1671"/>
      <c r="D1671"/>
      <c r="G1671"/>
    </row>
    <row r="1672" spans="2:7">
      <c r="B1672"/>
      <c r="C1672"/>
      <c r="D1672"/>
      <c r="G1672"/>
    </row>
    <row r="1673" spans="2:7">
      <c r="B1673"/>
      <c r="C1673"/>
      <c r="D1673"/>
      <c r="G1673"/>
    </row>
    <row r="1674" spans="2:7">
      <c r="B1674"/>
      <c r="C1674"/>
      <c r="D1674"/>
      <c r="G1674"/>
    </row>
    <row r="1675" spans="2:7">
      <c r="B1675"/>
      <c r="C1675"/>
      <c r="D1675"/>
      <c r="G1675"/>
    </row>
    <row r="1676" spans="2:7">
      <c r="B1676"/>
      <c r="C1676"/>
      <c r="D1676"/>
      <c r="G1676"/>
    </row>
    <row r="1677" spans="2:7">
      <c r="B1677"/>
      <c r="C1677"/>
      <c r="D1677"/>
      <c r="G1677"/>
    </row>
    <row r="1678" spans="2:7">
      <c r="B1678"/>
      <c r="C1678"/>
      <c r="D1678"/>
      <c r="G1678"/>
    </row>
    <row r="1679" spans="2:7">
      <c r="B1679"/>
      <c r="C1679"/>
      <c r="D1679"/>
      <c r="G1679"/>
    </row>
    <row r="1680" spans="2:7">
      <c r="B1680"/>
      <c r="C1680"/>
      <c r="D1680"/>
      <c r="G1680"/>
    </row>
    <row r="1681" spans="2:7">
      <c r="B1681"/>
      <c r="C1681"/>
      <c r="D1681"/>
      <c r="G1681"/>
    </row>
    <row r="1682" spans="2:7">
      <c r="B1682"/>
      <c r="C1682"/>
      <c r="D1682"/>
      <c r="G1682"/>
    </row>
    <row r="1683" spans="2:7">
      <c r="B1683"/>
      <c r="C1683"/>
      <c r="D1683"/>
      <c r="G1683"/>
    </row>
    <row r="1684" spans="2:7">
      <c r="B1684"/>
      <c r="C1684"/>
      <c r="D1684"/>
      <c r="G1684"/>
    </row>
    <row r="1685" spans="2:7">
      <c r="B1685"/>
      <c r="C1685"/>
      <c r="D1685"/>
      <c r="G1685"/>
    </row>
    <row r="1686" spans="2:7">
      <c r="B1686"/>
      <c r="C1686"/>
      <c r="D1686"/>
      <c r="G1686"/>
    </row>
    <row r="1687" spans="2:7">
      <c r="B1687"/>
      <c r="C1687"/>
      <c r="D1687"/>
      <c r="G1687"/>
    </row>
    <row r="1688" spans="2:7">
      <c r="B1688"/>
      <c r="C1688"/>
      <c r="D1688"/>
      <c r="G1688"/>
    </row>
    <row r="1689" spans="2:7">
      <c r="B1689"/>
      <c r="C1689"/>
      <c r="D1689"/>
      <c r="G1689"/>
    </row>
    <row r="1690" spans="2:7">
      <c r="B1690"/>
      <c r="C1690"/>
      <c r="D1690"/>
      <c r="G1690"/>
    </row>
    <row r="1691" spans="2:7">
      <c r="B1691"/>
      <c r="C1691"/>
      <c r="D1691"/>
      <c r="G1691"/>
    </row>
    <row r="1692" spans="2:7">
      <c r="B1692"/>
      <c r="C1692"/>
      <c r="D1692"/>
      <c r="G1692"/>
    </row>
    <row r="1693" spans="2:7">
      <c r="B1693"/>
      <c r="C1693"/>
      <c r="D1693"/>
      <c r="G1693"/>
    </row>
    <row r="1694" spans="2:7">
      <c r="B1694"/>
      <c r="C1694"/>
      <c r="D1694"/>
      <c r="G1694"/>
    </row>
    <row r="1695" spans="2:7">
      <c r="B1695"/>
      <c r="C1695"/>
      <c r="D1695"/>
      <c r="G1695"/>
    </row>
    <row r="1696" spans="2:7">
      <c r="B1696"/>
      <c r="C1696"/>
      <c r="D1696"/>
      <c r="G1696"/>
    </row>
    <row r="1697" spans="2:7">
      <c r="B1697"/>
      <c r="C1697"/>
      <c r="D1697"/>
      <c r="G1697"/>
    </row>
    <row r="1698" spans="2:7">
      <c r="B1698"/>
      <c r="C1698"/>
      <c r="D1698"/>
      <c r="G1698"/>
    </row>
    <row r="1699" spans="2:7">
      <c r="B1699"/>
      <c r="C1699"/>
      <c r="D1699"/>
      <c r="G1699"/>
    </row>
    <row r="1700" spans="2:7">
      <c r="B1700"/>
      <c r="C1700"/>
      <c r="D1700"/>
      <c r="G1700"/>
    </row>
    <row r="1701" spans="2:7">
      <c r="B1701"/>
      <c r="C1701"/>
      <c r="D1701"/>
      <c r="G1701"/>
    </row>
    <row r="1702" spans="2:7">
      <c r="B1702"/>
      <c r="C1702"/>
      <c r="D1702"/>
      <c r="G1702"/>
    </row>
    <row r="1703" spans="2:7">
      <c r="B1703"/>
      <c r="C1703"/>
      <c r="D1703"/>
      <c r="G1703"/>
    </row>
    <row r="1704" spans="2:7">
      <c r="B1704"/>
      <c r="C1704"/>
      <c r="D1704"/>
      <c r="G1704"/>
    </row>
    <row r="1705" spans="2:7">
      <c r="B1705"/>
      <c r="C1705"/>
      <c r="D1705"/>
      <c r="G1705"/>
    </row>
    <row r="1706" spans="2:7">
      <c r="B1706"/>
      <c r="C1706"/>
      <c r="D1706"/>
      <c r="G1706"/>
    </row>
    <row r="1707" spans="2:7">
      <c r="B1707"/>
      <c r="C1707"/>
      <c r="D1707"/>
      <c r="G1707"/>
    </row>
    <row r="1708" spans="2:7">
      <c r="B1708"/>
      <c r="C1708"/>
      <c r="D1708"/>
      <c r="G1708"/>
    </row>
    <row r="1709" spans="2:7">
      <c r="B1709"/>
      <c r="C1709"/>
      <c r="D1709"/>
      <c r="G1709"/>
    </row>
    <row r="1710" spans="2:7">
      <c r="B1710"/>
      <c r="C1710"/>
      <c r="D1710"/>
      <c r="G1710"/>
    </row>
    <row r="1711" spans="2:7">
      <c r="B1711"/>
      <c r="C1711"/>
      <c r="D1711"/>
      <c r="G1711"/>
    </row>
    <row r="1712" spans="2:7">
      <c r="B1712"/>
      <c r="C1712"/>
      <c r="D1712"/>
      <c r="G1712"/>
    </row>
    <row r="1713" spans="2:7">
      <c r="B1713"/>
      <c r="C1713"/>
      <c r="D1713"/>
      <c r="G1713"/>
    </row>
    <row r="1714" spans="2:7">
      <c r="B1714"/>
      <c r="C1714"/>
      <c r="D1714"/>
      <c r="G1714"/>
    </row>
    <row r="1715" spans="2:7">
      <c r="B1715"/>
      <c r="C1715"/>
      <c r="D1715"/>
      <c r="G1715"/>
    </row>
    <row r="1716" spans="2:7">
      <c r="B1716"/>
      <c r="C1716"/>
      <c r="D1716"/>
      <c r="G1716"/>
    </row>
    <row r="1717" spans="2:7">
      <c r="B1717"/>
      <c r="C1717"/>
      <c r="D1717"/>
      <c r="G1717"/>
    </row>
    <row r="1718" spans="2:7">
      <c r="B1718"/>
      <c r="C1718"/>
      <c r="D1718"/>
      <c r="G1718"/>
    </row>
    <row r="1719" spans="2:7">
      <c r="B1719"/>
      <c r="C1719"/>
      <c r="D1719"/>
      <c r="G1719"/>
    </row>
    <row r="1720" spans="2:7">
      <c r="B1720"/>
      <c r="C1720"/>
      <c r="D1720"/>
      <c r="G1720"/>
    </row>
    <row r="1721" spans="2:7">
      <c r="B1721"/>
      <c r="C1721"/>
      <c r="D1721"/>
      <c r="G1721"/>
    </row>
    <row r="1722" spans="2:7">
      <c r="B1722"/>
      <c r="C1722"/>
      <c r="D1722"/>
      <c r="G1722"/>
    </row>
    <row r="1723" spans="2:7">
      <c r="B1723"/>
      <c r="C1723"/>
      <c r="D1723"/>
      <c r="G1723"/>
    </row>
    <row r="1724" spans="2:7">
      <c r="B1724"/>
      <c r="C1724"/>
      <c r="D1724"/>
      <c r="G1724"/>
    </row>
    <row r="1725" spans="2:7">
      <c r="B1725"/>
      <c r="C1725"/>
      <c r="D1725"/>
      <c r="G1725"/>
    </row>
    <row r="1726" spans="2:7">
      <c r="B1726"/>
      <c r="C1726"/>
      <c r="D1726"/>
      <c r="G1726"/>
    </row>
    <row r="1727" spans="2:7">
      <c r="B1727"/>
      <c r="C1727"/>
      <c r="D1727"/>
      <c r="G1727"/>
    </row>
    <row r="1728" spans="2:7">
      <c r="B1728"/>
      <c r="C1728"/>
      <c r="D1728"/>
      <c r="G1728"/>
    </row>
    <row r="1729" spans="2:7">
      <c r="B1729"/>
      <c r="C1729"/>
      <c r="D1729"/>
      <c r="G1729"/>
    </row>
    <row r="1730" spans="2:7">
      <c r="B1730"/>
      <c r="C1730"/>
      <c r="D1730"/>
      <c r="G1730"/>
    </row>
    <row r="1731" spans="2:7">
      <c r="B1731"/>
      <c r="C1731"/>
      <c r="D1731"/>
      <c r="G1731"/>
    </row>
    <row r="1732" spans="2:7">
      <c r="B1732"/>
      <c r="C1732"/>
      <c r="D1732"/>
      <c r="G1732"/>
    </row>
    <row r="1733" spans="2:7">
      <c r="B1733"/>
      <c r="C1733"/>
      <c r="D1733"/>
      <c r="G1733"/>
    </row>
    <row r="1734" spans="2:7">
      <c r="B1734"/>
      <c r="C1734"/>
      <c r="D1734"/>
      <c r="G1734"/>
    </row>
    <row r="1735" spans="2:7">
      <c r="B1735"/>
      <c r="C1735"/>
      <c r="D1735"/>
      <c r="G1735"/>
    </row>
    <row r="1736" spans="2:7">
      <c r="B1736"/>
      <c r="C1736"/>
      <c r="D1736"/>
      <c r="G1736"/>
    </row>
    <row r="1737" spans="2:7">
      <c r="B1737"/>
      <c r="C1737"/>
      <c r="D1737"/>
      <c r="G1737"/>
    </row>
    <row r="1738" spans="2:7">
      <c r="B1738"/>
      <c r="C1738"/>
      <c r="D1738"/>
      <c r="G1738"/>
    </row>
    <row r="1739" spans="2:7">
      <c r="B1739"/>
      <c r="C1739"/>
      <c r="D1739"/>
      <c r="G1739"/>
    </row>
    <row r="1740" spans="2:7">
      <c r="B1740"/>
      <c r="C1740"/>
      <c r="D1740"/>
      <c r="G1740"/>
    </row>
    <row r="1741" spans="2:7">
      <c r="B1741"/>
      <c r="C1741"/>
      <c r="D1741"/>
      <c r="G1741"/>
    </row>
    <row r="1742" spans="2:7">
      <c r="B1742"/>
      <c r="C1742"/>
      <c r="D1742"/>
      <c r="G1742"/>
    </row>
    <row r="1743" spans="2:7">
      <c r="B1743"/>
      <c r="C1743"/>
      <c r="D1743"/>
      <c r="G1743"/>
    </row>
    <row r="1744" spans="2:7">
      <c r="B1744"/>
      <c r="C1744"/>
      <c r="D1744"/>
      <c r="G1744"/>
    </row>
    <row r="1745" spans="2:7">
      <c r="B1745"/>
      <c r="C1745"/>
      <c r="D1745"/>
      <c r="G1745"/>
    </row>
    <row r="1746" spans="2:7">
      <c r="B1746"/>
      <c r="C1746"/>
      <c r="D1746"/>
      <c r="G1746"/>
    </row>
    <row r="1747" spans="2:7">
      <c r="B1747"/>
      <c r="C1747"/>
      <c r="D1747"/>
      <c r="G1747"/>
    </row>
    <row r="1748" spans="2:7">
      <c r="B1748"/>
      <c r="C1748"/>
      <c r="D1748"/>
      <c r="G1748"/>
    </row>
    <row r="1749" spans="2:7">
      <c r="B1749"/>
      <c r="C1749"/>
      <c r="D1749"/>
      <c r="G1749"/>
    </row>
    <row r="1750" spans="2:7">
      <c r="B1750"/>
      <c r="C1750"/>
      <c r="D1750"/>
      <c r="G1750"/>
    </row>
    <row r="1751" spans="2:7">
      <c r="B1751"/>
      <c r="C1751"/>
      <c r="D1751"/>
      <c r="G1751"/>
    </row>
    <row r="1752" spans="2:7">
      <c r="B1752"/>
      <c r="C1752"/>
      <c r="D1752"/>
      <c r="G1752"/>
    </row>
    <row r="1753" spans="2:7">
      <c r="B1753"/>
      <c r="C1753"/>
      <c r="D1753"/>
      <c r="G1753"/>
    </row>
    <row r="1754" spans="2:7">
      <c r="B1754"/>
      <c r="C1754"/>
      <c r="D1754"/>
      <c r="G1754"/>
    </row>
    <row r="1755" spans="2:7">
      <c r="B1755"/>
      <c r="C1755"/>
      <c r="D1755"/>
      <c r="G1755"/>
    </row>
    <row r="1756" spans="2:7">
      <c r="B1756"/>
      <c r="C1756"/>
      <c r="D1756"/>
      <c r="G1756"/>
    </row>
    <row r="1757" spans="2:7">
      <c r="B1757"/>
      <c r="C1757"/>
      <c r="D1757"/>
      <c r="G1757"/>
    </row>
    <row r="1758" spans="2:7">
      <c r="B1758"/>
      <c r="C1758"/>
      <c r="D1758"/>
      <c r="G1758"/>
    </row>
    <row r="1759" spans="2:7">
      <c r="B1759"/>
      <c r="C1759"/>
      <c r="D1759"/>
      <c r="G1759"/>
    </row>
    <row r="1760" spans="2:7">
      <c r="B1760"/>
      <c r="C1760"/>
      <c r="D1760"/>
      <c r="G1760"/>
    </row>
    <row r="1761" spans="2:7">
      <c r="B1761"/>
      <c r="C1761"/>
      <c r="D1761"/>
      <c r="G1761"/>
    </row>
    <row r="1762" spans="2:7">
      <c r="B1762"/>
      <c r="C1762"/>
      <c r="D1762"/>
      <c r="G1762"/>
    </row>
    <row r="1763" spans="2:7">
      <c r="B1763"/>
      <c r="C1763"/>
      <c r="D1763"/>
      <c r="G1763"/>
    </row>
    <row r="1764" spans="2:7">
      <c r="B1764"/>
      <c r="C1764"/>
      <c r="D1764"/>
      <c r="G1764"/>
    </row>
    <row r="1765" spans="2:7">
      <c r="B1765"/>
      <c r="C1765"/>
      <c r="D1765"/>
      <c r="G1765"/>
    </row>
    <row r="1766" spans="2:7">
      <c r="B1766"/>
      <c r="C1766"/>
      <c r="D1766"/>
      <c r="G1766"/>
    </row>
    <row r="1767" spans="2:7">
      <c r="B1767"/>
      <c r="C1767"/>
      <c r="D1767"/>
      <c r="G1767"/>
    </row>
    <row r="1768" spans="2:7">
      <c r="B1768"/>
      <c r="C1768"/>
      <c r="D1768"/>
      <c r="G1768"/>
    </row>
    <row r="1769" spans="2:7">
      <c r="B1769"/>
      <c r="C1769"/>
      <c r="D1769"/>
      <c r="G1769"/>
    </row>
    <row r="1770" spans="2:7">
      <c r="B1770"/>
      <c r="C1770"/>
      <c r="D1770"/>
      <c r="G1770"/>
    </row>
    <row r="1771" spans="2:7">
      <c r="B1771"/>
      <c r="C1771"/>
      <c r="D1771"/>
      <c r="G1771"/>
    </row>
    <row r="1772" spans="2:7">
      <c r="B1772"/>
      <c r="C1772"/>
      <c r="D1772"/>
      <c r="G1772"/>
    </row>
    <row r="1773" spans="2:7">
      <c r="B1773"/>
      <c r="C1773"/>
      <c r="D1773"/>
      <c r="G1773"/>
    </row>
    <row r="1774" spans="2:7">
      <c r="B1774"/>
      <c r="C1774"/>
      <c r="D1774"/>
      <c r="G1774"/>
    </row>
    <row r="1775" spans="2:7">
      <c r="B1775"/>
      <c r="C1775"/>
      <c r="D1775"/>
      <c r="G1775"/>
    </row>
    <row r="1776" spans="2:7">
      <c r="B1776"/>
      <c r="C1776"/>
      <c r="D1776"/>
      <c r="G1776"/>
    </row>
    <row r="1777" spans="2:7">
      <c r="B1777"/>
      <c r="C1777"/>
      <c r="D1777"/>
      <c r="G1777"/>
    </row>
    <row r="1778" spans="2:7">
      <c r="B1778"/>
      <c r="C1778"/>
      <c r="D1778"/>
      <c r="G1778"/>
    </row>
    <row r="1779" spans="2:7">
      <c r="B1779"/>
      <c r="C1779"/>
      <c r="D1779"/>
      <c r="G1779"/>
    </row>
    <row r="1780" spans="2:7">
      <c r="B1780"/>
      <c r="C1780"/>
      <c r="D1780"/>
      <c r="G1780"/>
    </row>
    <row r="1781" spans="2:7">
      <c r="B1781"/>
      <c r="C1781"/>
      <c r="D1781"/>
      <c r="G1781"/>
    </row>
    <row r="1782" spans="2:7">
      <c r="B1782"/>
      <c r="C1782"/>
      <c r="D1782"/>
      <c r="G1782"/>
    </row>
    <row r="1783" spans="2:7">
      <c r="B1783"/>
      <c r="C1783"/>
      <c r="D1783"/>
      <c r="G1783"/>
    </row>
    <row r="1784" spans="2:7">
      <c r="B1784"/>
      <c r="C1784"/>
      <c r="D1784"/>
      <c r="G1784"/>
    </row>
    <row r="1785" spans="2:7">
      <c r="B1785"/>
      <c r="C1785"/>
      <c r="D1785"/>
      <c r="G1785"/>
    </row>
    <row r="1786" spans="2:7">
      <c r="B1786"/>
      <c r="C1786"/>
      <c r="D1786"/>
      <c r="G1786"/>
    </row>
    <row r="1787" spans="2:7">
      <c r="B1787"/>
      <c r="C1787"/>
      <c r="D1787"/>
      <c r="G1787"/>
    </row>
    <row r="1788" spans="2:7">
      <c r="B1788"/>
      <c r="C1788"/>
      <c r="D1788"/>
      <c r="G1788"/>
    </row>
    <row r="1789" spans="2:7">
      <c r="B1789"/>
      <c r="C1789"/>
      <c r="D1789"/>
      <c r="G1789"/>
    </row>
    <row r="1790" spans="2:7">
      <c r="B1790"/>
      <c r="C1790"/>
      <c r="D1790"/>
      <c r="G1790"/>
    </row>
    <row r="1791" spans="2:7">
      <c r="B1791"/>
      <c r="C1791"/>
      <c r="D1791"/>
      <c r="G1791"/>
    </row>
    <row r="1792" spans="2:7">
      <c r="B1792"/>
      <c r="C1792"/>
      <c r="D1792"/>
      <c r="G1792"/>
    </row>
    <row r="1793" spans="2:7">
      <c r="B1793"/>
      <c r="C1793"/>
      <c r="D1793"/>
      <c r="G1793"/>
    </row>
    <row r="1794" spans="2:7">
      <c r="B1794"/>
      <c r="C1794"/>
      <c r="D1794"/>
      <c r="G1794"/>
    </row>
    <row r="1795" spans="2:7">
      <c r="B1795"/>
      <c r="C1795"/>
      <c r="D1795"/>
      <c r="G1795"/>
    </row>
    <row r="1796" spans="2:7">
      <c r="B1796"/>
      <c r="C1796"/>
      <c r="D1796"/>
      <c r="G1796"/>
    </row>
    <row r="1797" spans="2:7">
      <c r="B1797"/>
      <c r="C1797"/>
      <c r="D1797"/>
      <c r="G1797"/>
    </row>
    <row r="1798" spans="2:7">
      <c r="B1798"/>
      <c r="C1798"/>
      <c r="D1798"/>
      <c r="G1798"/>
    </row>
    <row r="1799" spans="2:7">
      <c r="B1799"/>
      <c r="C1799"/>
      <c r="D1799"/>
      <c r="G1799"/>
    </row>
    <row r="1800" spans="2:7">
      <c r="B1800"/>
      <c r="C1800"/>
      <c r="D1800"/>
      <c r="G1800"/>
    </row>
    <row r="1801" spans="2:7">
      <c r="B1801"/>
      <c r="C1801"/>
      <c r="D1801"/>
      <c r="G1801"/>
    </row>
    <row r="1802" spans="2:7">
      <c r="B1802"/>
      <c r="C1802"/>
      <c r="D1802"/>
      <c r="G1802"/>
    </row>
    <row r="1803" spans="2:7">
      <c r="B1803"/>
      <c r="C1803"/>
      <c r="D1803"/>
      <c r="G1803"/>
    </row>
    <row r="1804" spans="2:7">
      <c r="B1804"/>
      <c r="C1804"/>
      <c r="D1804"/>
      <c r="G1804"/>
    </row>
    <row r="1805" spans="2:7">
      <c r="B1805"/>
      <c r="C1805"/>
      <c r="D1805"/>
      <c r="G1805"/>
    </row>
    <row r="1806" spans="2:7">
      <c r="B1806"/>
      <c r="C1806"/>
      <c r="D1806"/>
      <c r="G1806"/>
    </row>
    <row r="1807" spans="2:7">
      <c r="B1807"/>
      <c r="C1807"/>
      <c r="D1807"/>
      <c r="G1807"/>
    </row>
    <row r="1808" spans="2:7">
      <c r="B1808"/>
      <c r="C1808"/>
      <c r="D1808"/>
      <c r="G1808"/>
    </row>
    <row r="1809" spans="2:7">
      <c r="B1809"/>
      <c r="C1809"/>
      <c r="D1809"/>
      <c r="G1809"/>
    </row>
    <row r="1810" spans="2:7">
      <c r="B1810"/>
      <c r="C1810"/>
      <c r="D1810"/>
      <c r="G1810"/>
    </row>
    <row r="1811" spans="2:7">
      <c r="B1811"/>
      <c r="C1811"/>
      <c r="D1811"/>
      <c r="G1811"/>
    </row>
    <row r="1812" spans="2:7">
      <c r="B1812"/>
      <c r="C1812"/>
      <c r="D1812"/>
      <c r="G1812"/>
    </row>
    <row r="1813" spans="2:7">
      <c r="B1813"/>
      <c r="C1813"/>
      <c r="D1813"/>
      <c r="G1813"/>
    </row>
    <row r="1814" spans="2:7">
      <c r="B1814"/>
      <c r="C1814"/>
      <c r="D1814"/>
      <c r="G1814"/>
    </row>
    <row r="1815" spans="2:7">
      <c r="B1815"/>
      <c r="C1815"/>
      <c r="D1815"/>
      <c r="G1815"/>
    </row>
    <row r="1816" spans="2:7">
      <c r="B1816"/>
      <c r="C1816"/>
      <c r="D1816"/>
      <c r="G1816"/>
    </row>
    <row r="1817" spans="2:7">
      <c r="B1817"/>
      <c r="C1817"/>
      <c r="D1817"/>
      <c r="G1817"/>
    </row>
    <row r="1818" spans="2:7">
      <c r="B1818"/>
      <c r="C1818"/>
      <c r="D1818"/>
      <c r="G1818"/>
    </row>
    <row r="1819" spans="2:7">
      <c r="B1819"/>
      <c r="C1819"/>
      <c r="D1819"/>
      <c r="G1819"/>
    </row>
    <row r="1820" spans="2:7">
      <c r="B1820"/>
      <c r="C1820"/>
      <c r="D1820"/>
      <c r="G1820"/>
    </row>
    <row r="1821" spans="2:7">
      <c r="B1821"/>
      <c r="C1821"/>
      <c r="D1821"/>
      <c r="G1821"/>
    </row>
    <row r="1822" spans="2:7">
      <c r="B1822"/>
      <c r="C1822"/>
      <c r="D1822"/>
      <c r="G1822"/>
    </row>
    <row r="1823" spans="2:7">
      <c r="B1823"/>
      <c r="C1823"/>
      <c r="D1823"/>
      <c r="G1823"/>
    </row>
    <row r="1824" spans="2:7">
      <c r="B1824"/>
      <c r="C1824"/>
      <c r="D1824"/>
      <c r="G1824"/>
    </row>
    <row r="1825" spans="2:7">
      <c r="B1825"/>
      <c r="C1825"/>
      <c r="D1825"/>
      <c r="G1825"/>
    </row>
    <row r="1826" spans="2:7">
      <c r="B1826"/>
      <c r="C1826"/>
      <c r="D1826"/>
      <c r="G1826"/>
    </row>
    <row r="1827" spans="2:7">
      <c r="B1827"/>
      <c r="C1827"/>
      <c r="D1827"/>
      <c r="G1827"/>
    </row>
    <row r="1828" spans="2:7">
      <c r="B1828"/>
      <c r="C1828"/>
      <c r="D1828"/>
      <c r="G1828"/>
    </row>
    <row r="1829" spans="2:7">
      <c r="B1829"/>
      <c r="C1829"/>
      <c r="D1829"/>
      <c r="G1829"/>
    </row>
    <row r="1830" spans="2:7">
      <c r="B1830"/>
      <c r="C1830"/>
      <c r="D1830"/>
      <c r="G1830"/>
    </row>
    <row r="1831" spans="2:7">
      <c r="B1831"/>
      <c r="C1831"/>
      <c r="D1831"/>
      <c r="G1831"/>
    </row>
    <row r="1832" spans="2:7">
      <c r="B1832"/>
      <c r="C1832"/>
      <c r="D1832"/>
      <c r="G1832"/>
    </row>
    <row r="1833" spans="2:7">
      <c r="B1833"/>
      <c r="C1833"/>
      <c r="D1833"/>
      <c r="G1833"/>
    </row>
    <row r="1834" spans="2:7">
      <c r="B1834"/>
      <c r="C1834"/>
      <c r="D1834"/>
      <c r="G1834"/>
    </row>
    <row r="1835" spans="2:7">
      <c r="B1835"/>
      <c r="C1835"/>
      <c r="D1835"/>
      <c r="G1835"/>
    </row>
    <row r="1836" spans="2:7">
      <c r="B1836"/>
      <c r="C1836"/>
      <c r="D1836"/>
      <c r="G1836"/>
    </row>
    <row r="1837" spans="2:7">
      <c r="B1837"/>
      <c r="C1837"/>
      <c r="D1837"/>
      <c r="G1837"/>
    </row>
    <row r="1838" spans="2:7">
      <c r="B1838"/>
      <c r="C1838"/>
      <c r="D1838"/>
      <c r="G1838"/>
    </row>
    <row r="1839" spans="2:7">
      <c r="B1839"/>
      <c r="C1839"/>
      <c r="D1839"/>
      <c r="G1839"/>
    </row>
    <row r="1840" spans="2:7">
      <c r="B1840"/>
      <c r="C1840"/>
      <c r="D1840"/>
      <c r="G1840"/>
    </row>
    <row r="1841" spans="2:7">
      <c r="B1841"/>
      <c r="C1841"/>
      <c r="D1841"/>
      <c r="G1841"/>
    </row>
    <row r="1842" spans="2:7">
      <c r="B1842"/>
      <c r="C1842"/>
      <c r="D1842"/>
      <c r="G1842"/>
    </row>
    <row r="1843" spans="2:7">
      <c r="B1843"/>
      <c r="C1843"/>
      <c r="D1843"/>
      <c r="G1843"/>
    </row>
    <row r="1844" spans="2:7">
      <c r="B1844"/>
      <c r="C1844"/>
      <c r="D1844"/>
      <c r="G1844"/>
    </row>
    <row r="1845" spans="2:7">
      <c r="B1845"/>
      <c r="C1845"/>
      <c r="D1845"/>
      <c r="G1845"/>
    </row>
    <row r="1846" spans="2:7">
      <c r="B1846"/>
      <c r="C1846"/>
      <c r="D1846"/>
      <c r="G1846"/>
    </row>
    <row r="1847" spans="2:7">
      <c r="B1847"/>
      <c r="C1847"/>
      <c r="D1847"/>
      <c r="G1847"/>
    </row>
    <row r="1848" spans="2:7">
      <c r="B1848"/>
      <c r="C1848"/>
      <c r="D1848"/>
      <c r="G1848"/>
    </row>
    <row r="1849" spans="2:7">
      <c r="B1849"/>
      <c r="C1849"/>
      <c r="D1849"/>
      <c r="G1849"/>
    </row>
    <row r="1850" spans="2:7">
      <c r="B1850"/>
      <c r="C1850"/>
      <c r="D1850"/>
      <c r="G1850"/>
    </row>
    <row r="1851" spans="2:7">
      <c r="B1851"/>
      <c r="C1851"/>
      <c r="D1851"/>
      <c r="G1851"/>
    </row>
    <row r="1852" spans="2:7">
      <c r="B1852"/>
      <c r="C1852"/>
      <c r="D1852"/>
      <c r="G1852"/>
    </row>
    <row r="1853" spans="2:7">
      <c r="B1853"/>
      <c r="C1853"/>
      <c r="D1853"/>
      <c r="G1853"/>
    </row>
    <row r="1854" spans="2:7">
      <c r="B1854"/>
      <c r="C1854"/>
      <c r="D1854"/>
      <c r="G1854"/>
    </row>
    <row r="1855" spans="2:7">
      <c r="B1855"/>
      <c r="C1855"/>
      <c r="D1855"/>
      <c r="G1855"/>
    </row>
    <row r="1856" spans="2:7">
      <c r="B1856"/>
      <c r="C1856"/>
      <c r="D1856"/>
      <c r="G1856"/>
    </row>
    <row r="1857" spans="2:7">
      <c r="B1857"/>
      <c r="C1857"/>
      <c r="D1857"/>
      <c r="G1857"/>
    </row>
    <row r="1858" spans="2:7">
      <c r="B1858"/>
      <c r="C1858"/>
      <c r="D1858"/>
      <c r="G1858"/>
    </row>
    <row r="1859" spans="2:7">
      <c r="B1859"/>
      <c r="C1859"/>
      <c r="D1859"/>
      <c r="G1859"/>
    </row>
    <row r="1860" spans="2:7">
      <c r="B1860"/>
      <c r="C1860"/>
      <c r="D1860"/>
      <c r="G1860"/>
    </row>
    <row r="1861" spans="2:7">
      <c r="B1861"/>
      <c r="C1861"/>
      <c r="D1861"/>
      <c r="G1861"/>
    </row>
    <row r="1862" spans="2:7">
      <c r="B1862"/>
      <c r="C1862"/>
      <c r="D1862"/>
      <c r="G1862"/>
    </row>
    <row r="1863" spans="2:7">
      <c r="B1863"/>
      <c r="C1863"/>
      <c r="D1863"/>
      <c r="G1863"/>
    </row>
    <row r="1864" spans="2:7">
      <c r="B1864"/>
      <c r="C1864"/>
      <c r="D1864"/>
      <c r="G1864"/>
    </row>
    <row r="1865" spans="2:7">
      <c r="B1865"/>
      <c r="C1865"/>
      <c r="D1865"/>
      <c r="G1865"/>
    </row>
    <row r="1866" spans="2:7">
      <c r="B1866"/>
      <c r="C1866"/>
      <c r="D1866"/>
      <c r="G1866"/>
    </row>
    <row r="1867" spans="2:7">
      <c r="B1867"/>
      <c r="C1867"/>
      <c r="D1867"/>
      <c r="G1867"/>
    </row>
    <row r="1868" spans="2:7">
      <c r="B1868"/>
      <c r="C1868"/>
      <c r="D1868"/>
      <c r="G1868"/>
    </row>
    <row r="1869" spans="2:7">
      <c r="B1869"/>
      <c r="C1869"/>
      <c r="D1869"/>
      <c r="G1869"/>
    </row>
    <row r="1870" spans="2:7">
      <c r="B1870"/>
      <c r="C1870"/>
      <c r="D1870"/>
      <c r="G1870"/>
    </row>
    <row r="1871" spans="2:7">
      <c r="B1871"/>
      <c r="C1871"/>
      <c r="D1871"/>
      <c r="G1871"/>
    </row>
    <row r="1872" spans="2:7">
      <c r="B1872"/>
      <c r="C1872"/>
      <c r="D1872"/>
      <c r="G1872"/>
    </row>
    <row r="1873" spans="2:7">
      <c r="B1873"/>
      <c r="C1873"/>
      <c r="D1873"/>
      <c r="G1873"/>
    </row>
    <row r="1874" spans="2:7">
      <c r="B1874"/>
      <c r="C1874"/>
      <c r="D1874"/>
      <c r="G1874"/>
    </row>
    <row r="1875" spans="2:7">
      <c r="B1875"/>
      <c r="C1875"/>
      <c r="D1875"/>
      <c r="G1875"/>
    </row>
    <row r="1876" spans="2:7">
      <c r="B1876"/>
      <c r="C1876"/>
      <c r="D1876"/>
      <c r="G1876"/>
    </row>
    <row r="1877" spans="2:7">
      <c r="B1877"/>
      <c r="C1877"/>
      <c r="D1877"/>
      <c r="G1877"/>
    </row>
    <row r="1878" spans="2:7">
      <c r="B1878"/>
      <c r="C1878"/>
      <c r="D1878"/>
      <c r="G1878"/>
    </row>
    <row r="1879" spans="2:7">
      <c r="B1879"/>
      <c r="C1879"/>
      <c r="D1879"/>
      <c r="G1879"/>
    </row>
    <row r="1880" spans="2:7">
      <c r="B1880"/>
      <c r="C1880"/>
      <c r="D1880"/>
      <c r="G1880"/>
    </row>
    <row r="1881" spans="2:7">
      <c r="B1881"/>
      <c r="C1881"/>
      <c r="D1881"/>
      <c r="G1881"/>
    </row>
    <row r="1882" spans="2:7">
      <c r="B1882"/>
      <c r="C1882"/>
      <c r="D1882"/>
      <c r="G1882"/>
    </row>
    <row r="1883" spans="2:7">
      <c r="B1883"/>
      <c r="C1883"/>
      <c r="D1883"/>
      <c r="G1883"/>
    </row>
    <row r="1884" spans="2:7">
      <c r="B1884"/>
      <c r="C1884"/>
      <c r="D1884"/>
      <c r="G1884"/>
    </row>
    <row r="1885" spans="2:7">
      <c r="B1885"/>
      <c r="C1885"/>
      <c r="D1885"/>
      <c r="G1885"/>
    </row>
    <row r="1886" spans="2:7">
      <c r="B1886"/>
      <c r="C1886"/>
      <c r="D1886"/>
      <c r="G1886"/>
    </row>
    <row r="1887" spans="2:7">
      <c r="B1887"/>
      <c r="C1887"/>
      <c r="D1887"/>
      <c r="G1887"/>
    </row>
    <row r="1888" spans="2:7">
      <c r="B1888"/>
      <c r="C1888"/>
      <c r="D1888"/>
      <c r="G1888"/>
    </row>
    <row r="1889" spans="2:7">
      <c r="B1889"/>
      <c r="C1889"/>
      <c r="D1889"/>
      <c r="G1889"/>
    </row>
    <row r="1890" spans="2:7">
      <c r="B1890"/>
      <c r="C1890"/>
      <c r="D1890"/>
      <c r="G1890"/>
    </row>
    <row r="1891" spans="2:7">
      <c r="B1891"/>
      <c r="C1891"/>
      <c r="D1891"/>
      <c r="G1891"/>
    </row>
    <row r="1892" spans="2:7">
      <c r="B1892"/>
      <c r="C1892"/>
      <c r="D1892"/>
      <c r="G1892"/>
    </row>
    <row r="1893" spans="2:7">
      <c r="B1893"/>
      <c r="C1893"/>
      <c r="D1893"/>
      <c r="G1893"/>
    </row>
    <row r="1894" spans="2:7">
      <c r="B1894"/>
      <c r="C1894"/>
      <c r="D1894"/>
      <c r="G1894"/>
    </row>
    <row r="1895" spans="2:7">
      <c r="B1895"/>
      <c r="C1895"/>
      <c r="D1895"/>
      <c r="G1895"/>
    </row>
    <row r="1896" spans="2:7">
      <c r="B1896"/>
      <c r="C1896"/>
      <c r="D1896"/>
      <c r="G1896"/>
    </row>
    <row r="1897" spans="2:7">
      <c r="B1897"/>
      <c r="C1897"/>
      <c r="D1897"/>
      <c r="G1897"/>
    </row>
    <row r="1898" spans="2:7">
      <c r="B1898"/>
      <c r="C1898"/>
      <c r="D1898"/>
      <c r="G1898"/>
    </row>
    <row r="1899" spans="2:7">
      <c r="B1899"/>
      <c r="C1899"/>
      <c r="D1899"/>
      <c r="G1899"/>
    </row>
    <row r="1900" spans="2:7">
      <c r="B1900"/>
      <c r="C1900"/>
      <c r="D1900"/>
      <c r="G1900"/>
    </row>
    <row r="1901" spans="2:7">
      <c r="B1901"/>
      <c r="C1901"/>
      <c r="D1901"/>
      <c r="G1901"/>
    </row>
    <row r="1902" spans="2:7">
      <c r="B1902"/>
      <c r="C1902"/>
      <c r="D1902"/>
      <c r="G1902"/>
    </row>
    <row r="1903" spans="2:7">
      <c r="B1903"/>
      <c r="C1903"/>
      <c r="D1903"/>
      <c r="G1903"/>
    </row>
    <row r="1904" spans="2:7">
      <c r="B1904"/>
      <c r="C1904"/>
      <c r="D1904"/>
      <c r="G1904"/>
    </row>
    <row r="1905" spans="2:7">
      <c r="B1905"/>
      <c r="C1905"/>
      <c r="D1905"/>
      <c r="G1905"/>
    </row>
    <row r="1906" spans="2:7">
      <c r="B1906"/>
      <c r="C1906"/>
      <c r="D1906"/>
      <c r="G1906"/>
    </row>
    <row r="1907" spans="2:7">
      <c r="B1907"/>
      <c r="C1907"/>
      <c r="D1907"/>
      <c r="G1907"/>
    </row>
    <row r="1908" spans="2:7">
      <c r="B1908"/>
      <c r="C1908"/>
      <c r="D1908"/>
      <c r="G1908"/>
    </row>
    <row r="1909" spans="2:7">
      <c r="B1909"/>
      <c r="C1909"/>
      <c r="D1909"/>
      <c r="G1909"/>
    </row>
    <row r="1910" spans="2:7">
      <c r="B1910"/>
      <c r="C1910"/>
      <c r="D1910"/>
      <c r="G1910"/>
    </row>
    <row r="1911" spans="2:7">
      <c r="B1911"/>
      <c r="C1911"/>
      <c r="D1911"/>
      <c r="G1911"/>
    </row>
    <row r="1912" spans="2:7">
      <c r="B1912"/>
      <c r="C1912"/>
      <c r="D1912"/>
      <c r="G1912"/>
    </row>
    <row r="1913" spans="2:7">
      <c r="B1913"/>
      <c r="C1913"/>
      <c r="D1913"/>
      <c r="G1913"/>
    </row>
    <row r="1914" spans="2:7">
      <c r="B1914"/>
      <c r="C1914"/>
      <c r="D1914"/>
      <c r="G1914"/>
    </row>
    <row r="1915" spans="2:7">
      <c r="B1915"/>
      <c r="C1915"/>
      <c r="D1915"/>
      <c r="G1915"/>
    </row>
    <row r="1916" spans="2:7">
      <c r="B1916"/>
      <c r="C1916"/>
      <c r="D1916"/>
      <c r="G1916"/>
    </row>
    <row r="1917" spans="2:7">
      <c r="B1917"/>
      <c r="C1917"/>
      <c r="D1917"/>
      <c r="G1917"/>
    </row>
    <row r="1918" spans="2:7">
      <c r="B1918"/>
      <c r="C1918"/>
      <c r="D1918"/>
      <c r="G1918"/>
    </row>
    <row r="1919" spans="2:7">
      <c r="B1919"/>
      <c r="C1919"/>
      <c r="D1919"/>
      <c r="G1919"/>
    </row>
    <row r="1920" spans="2:7">
      <c r="B1920"/>
      <c r="C1920"/>
      <c r="D1920"/>
      <c r="G1920"/>
    </row>
    <row r="1921" spans="2:7">
      <c r="B1921"/>
      <c r="C1921"/>
      <c r="D1921"/>
      <c r="G1921"/>
    </row>
    <row r="1922" spans="2:7">
      <c r="B1922"/>
      <c r="C1922"/>
      <c r="D1922"/>
      <c r="G1922"/>
    </row>
    <row r="1923" spans="2:7">
      <c r="B1923"/>
      <c r="C1923"/>
      <c r="D1923"/>
      <c r="G1923"/>
    </row>
    <row r="1924" spans="2:7">
      <c r="B1924"/>
      <c r="C1924"/>
      <c r="D1924"/>
      <c r="G1924"/>
    </row>
    <row r="1925" spans="2:7">
      <c r="B1925"/>
      <c r="C1925"/>
      <c r="D1925"/>
      <c r="G1925"/>
    </row>
    <row r="1926" spans="2:7">
      <c r="B1926"/>
      <c r="C1926"/>
      <c r="D1926"/>
      <c r="G1926"/>
    </row>
    <row r="1927" spans="2:7">
      <c r="B1927"/>
      <c r="C1927"/>
      <c r="D1927"/>
      <c r="G1927"/>
    </row>
    <row r="1928" spans="2:7">
      <c r="B1928"/>
      <c r="C1928"/>
      <c r="D1928"/>
      <c r="G1928"/>
    </row>
    <row r="1929" spans="2:7">
      <c r="B1929"/>
      <c r="C1929"/>
      <c r="D1929"/>
      <c r="G1929"/>
    </row>
    <row r="1930" spans="2:7">
      <c r="B1930"/>
      <c r="C1930"/>
      <c r="D1930"/>
      <c r="G1930"/>
    </row>
    <row r="1931" spans="2:7">
      <c r="B1931"/>
      <c r="C1931"/>
      <c r="D1931"/>
      <c r="G1931"/>
    </row>
    <row r="1932" spans="2:7">
      <c r="B1932"/>
      <c r="C1932"/>
      <c r="D1932"/>
      <c r="G1932"/>
    </row>
    <row r="1933" spans="2:7">
      <c r="B1933"/>
      <c r="C1933"/>
      <c r="D1933"/>
      <c r="G1933"/>
    </row>
    <row r="1934" spans="2:7">
      <c r="B1934"/>
      <c r="C1934"/>
      <c r="D1934"/>
      <c r="G1934"/>
    </row>
    <row r="1935" spans="2:7">
      <c r="B1935"/>
      <c r="C1935"/>
      <c r="D1935"/>
      <c r="G1935"/>
    </row>
    <row r="1936" spans="2:7">
      <c r="B1936"/>
      <c r="C1936"/>
      <c r="D1936"/>
      <c r="G1936"/>
    </row>
    <row r="1937" spans="2:7">
      <c r="B1937"/>
      <c r="C1937"/>
      <c r="D1937"/>
      <c r="G1937"/>
    </row>
    <row r="1938" spans="2:7">
      <c r="B1938"/>
      <c r="C1938"/>
      <c r="D1938"/>
      <c r="G1938"/>
    </row>
    <row r="1939" spans="2:7">
      <c r="B1939"/>
      <c r="C1939"/>
      <c r="D1939"/>
      <c r="G1939"/>
    </row>
    <row r="1940" spans="2:7">
      <c r="B1940"/>
      <c r="C1940"/>
      <c r="D1940"/>
      <c r="G1940"/>
    </row>
    <row r="1941" spans="2:7">
      <c r="B1941"/>
      <c r="C1941"/>
      <c r="D1941"/>
      <c r="G1941"/>
    </row>
    <row r="1942" spans="2:7">
      <c r="B1942"/>
      <c r="C1942"/>
      <c r="D1942"/>
      <c r="G1942"/>
    </row>
    <row r="1943" spans="2:7">
      <c r="B1943"/>
      <c r="C1943"/>
      <c r="D1943"/>
      <c r="G1943"/>
    </row>
    <row r="1944" spans="2:7">
      <c r="B1944"/>
      <c r="C1944"/>
      <c r="D1944"/>
      <c r="G1944"/>
    </row>
    <row r="1945" spans="2:7">
      <c r="B1945"/>
      <c r="C1945"/>
      <c r="D1945"/>
      <c r="G1945"/>
    </row>
    <row r="1946" spans="2:7">
      <c r="B1946"/>
      <c r="C1946"/>
      <c r="D1946"/>
      <c r="G1946"/>
    </row>
    <row r="1947" spans="2:7">
      <c r="B1947"/>
      <c r="C1947"/>
      <c r="D1947"/>
      <c r="G1947"/>
    </row>
    <row r="1948" spans="2:7">
      <c r="B1948"/>
      <c r="C1948"/>
      <c r="D1948"/>
      <c r="G1948"/>
    </row>
    <row r="1949" spans="2:7">
      <c r="B1949"/>
      <c r="C1949"/>
      <c r="D1949"/>
      <c r="G1949"/>
    </row>
    <row r="1950" spans="2:7">
      <c r="B1950"/>
      <c r="C1950"/>
      <c r="D1950"/>
      <c r="G1950"/>
    </row>
    <row r="1951" spans="2:7">
      <c r="B1951"/>
      <c r="C1951"/>
      <c r="D1951"/>
      <c r="G1951"/>
    </row>
    <row r="1952" spans="2:7">
      <c r="B1952"/>
      <c r="C1952"/>
      <c r="D1952"/>
      <c r="G1952"/>
    </row>
    <row r="1953" spans="2:7">
      <c r="B1953"/>
      <c r="C1953"/>
      <c r="D1953"/>
      <c r="G1953"/>
    </row>
    <row r="1954" spans="2:7">
      <c r="B1954"/>
      <c r="C1954"/>
      <c r="D1954"/>
      <c r="G1954"/>
    </row>
    <row r="1955" spans="2:7">
      <c r="B1955"/>
      <c r="C1955"/>
      <c r="D1955"/>
      <c r="G1955"/>
    </row>
    <row r="1956" spans="2:7">
      <c r="B1956"/>
      <c r="C1956"/>
      <c r="D1956"/>
      <c r="G1956"/>
    </row>
    <row r="1957" spans="2:7">
      <c r="B1957"/>
      <c r="C1957"/>
      <c r="D1957"/>
      <c r="G1957"/>
    </row>
    <row r="1958" spans="2:7">
      <c r="B1958"/>
      <c r="C1958"/>
      <c r="D1958"/>
      <c r="G1958"/>
    </row>
    <row r="1959" spans="2:7">
      <c r="B1959"/>
      <c r="C1959"/>
      <c r="D1959"/>
      <c r="G1959"/>
    </row>
    <row r="1960" spans="2:7">
      <c r="B1960"/>
      <c r="C1960"/>
      <c r="D1960"/>
      <c r="G1960"/>
    </row>
    <row r="1961" spans="2:7">
      <c r="B1961"/>
      <c r="C1961"/>
      <c r="D1961"/>
      <c r="G1961"/>
    </row>
    <row r="1962" spans="2:7">
      <c r="B1962"/>
      <c r="C1962"/>
      <c r="D1962"/>
      <c r="G1962"/>
    </row>
    <row r="1963" spans="2:7">
      <c r="B1963"/>
      <c r="C1963"/>
      <c r="D1963"/>
      <c r="G1963"/>
    </row>
    <row r="1964" spans="2:7">
      <c r="B1964"/>
      <c r="C1964"/>
      <c r="D1964"/>
      <c r="G1964"/>
    </row>
    <row r="1965" spans="2:7">
      <c r="B1965"/>
      <c r="C1965"/>
      <c r="D1965"/>
      <c r="G1965"/>
    </row>
    <row r="1966" spans="2:7">
      <c r="B1966"/>
      <c r="C1966"/>
      <c r="D1966"/>
      <c r="G1966"/>
    </row>
    <row r="1967" spans="2:7">
      <c r="B1967"/>
      <c r="C1967"/>
      <c r="D1967"/>
      <c r="G1967"/>
    </row>
    <row r="1968" spans="2:7">
      <c r="B1968"/>
      <c r="C1968"/>
      <c r="D1968"/>
      <c r="G1968"/>
    </row>
    <row r="1969" spans="2:7">
      <c r="B1969"/>
      <c r="C1969"/>
      <c r="D1969"/>
      <c r="G1969"/>
    </row>
    <row r="1970" spans="2:7">
      <c r="B1970"/>
      <c r="C1970"/>
      <c r="D1970"/>
      <c r="G1970"/>
    </row>
    <row r="1971" spans="2:7">
      <c r="B1971"/>
      <c r="C1971"/>
      <c r="D1971"/>
      <c r="G1971"/>
    </row>
    <row r="1972" spans="2:7">
      <c r="B1972"/>
      <c r="C1972"/>
      <c r="D1972"/>
      <c r="G1972"/>
    </row>
    <row r="1973" spans="2:7">
      <c r="B1973"/>
      <c r="C1973"/>
      <c r="D1973"/>
      <c r="G1973"/>
    </row>
    <row r="1974" spans="2:7">
      <c r="B1974"/>
      <c r="C1974"/>
      <c r="D1974"/>
      <c r="G1974"/>
    </row>
    <row r="1975" spans="2:7">
      <c r="B1975"/>
      <c r="C1975"/>
      <c r="D1975"/>
      <c r="G1975"/>
    </row>
    <row r="1976" spans="2:7">
      <c r="B1976"/>
      <c r="C1976"/>
      <c r="D1976"/>
      <c r="G1976"/>
    </row>
    <row r="1977" spans="2:7">
      <c r="B1977"/>
      <c r="C1977"/>
      <c r="D1977"/>
      <c r="G1977"/>
    </row>
    <row r="1978" spans="2:7">
      <c r="B1978"/>
      <c r="C1978"/>
      <c r="D1978"/>
      <c r="G1978"/>
    </row>
    <row r="1979" spans="2:7">
      <c r="B1979"/>
      <c r="C1979"/>
      <c r="D1979"/>
      <c r="G1979"/>
    </row>
    <row r="1980" spans="2:7">
      <c r="B1980"/>
      <c r="C1980"/>
      <c r="D1980"/>
      <c r="G1980"/>
    </row>
    <row r="1981" spans="2:7">
      <c r="B1981"/>
      <c r="C1981"/>
      <c r="D1981"/>
      <c r="G1981"/>
    </row>
    <row r="1982" spans="2:7">
      <c r="B1982"/>
      <c r="C1982"/>
      <c r="D1982"/>
      <c r="G1982"/>
    </row>
    <row r="1983" spans="2:7">
      <c r="B1983"/>
      <c r="C1983"/>
      <c r="D1983"/>
      <c r="G1983"/>
    </row>
    <row r="1984" spans="2:7">
      <c r="B1984"/>
      <c r="C1984"/>
      <c r="D1984"/>
      <c r="G1984"/>
    </row>
    <row r="1985" spans="2:7">
      <c r="B1985"/>
      <c r="C1985"/>
      <c r="D1985"/>
      <c r="G1985"/>
    </row>
    <row r="1986" spans="2:7">
      <c r="B1986"/>
      <c r="C1986"/>
      <c r="D1986"/>
      <c r="G1986"/>
    </row>
    <row r="1987" spans="2:7">
      <c r="B1987"/>
      <c r="C1987"/>
      <c r="D1987"/>
      <c r="G1987"/>
    </row>
    <row r="1988" spans="2:7">
      <c r="B1988"/>
      <c r="C1988"/>
      <c r="D1988"/>
      <c r="G1988"/>
    </row>
    <row r="1989" spans="2:7">
      <c r="B1989"/>
      <c r="C1989"/>
      <c r="D1989"/>
      <c r="G1989"/>
    </row>
    <row r="1990" spans="2:7">
      <c r="B1990"/>
      <c r="C1990"/>
      <c r="D1990"/>
      <c r="G1990"/>
    </row>
    <row r="1991" spans="2:7">
      <c r="B1991"/>
      <c r="C1991"/>
      <c r="D1991"/>
      <c r="G1991"/>
    </row>
    <row r="1992" spans="2:7">
      <c r="B1992"/>
      <c r="C1992"/>
      <c r="D1992"/>
      <c r="G1992"/>
    </row>
    <row r="1993" spans="2:7">
      <c r="B1993"/>
      <c r="C1993"/>
      <c r="D1993"/>
      <c r="G1993"/>
    </row>
    <row r="1994" spans="2:7">
      <c r="B1994"/>
      <c r="C1994"/>
      <c r="D1994"/>
      <c r="G1994"/>
    </row>
    <row r="1995" spans="2:7">
      <c r="B1995"/>
      <c r="C1995"/>
      <c r="D1995"/>
      <c r="G1995"/>
    </row>
    <row r="1996" spans="2:7">
      <c r="B1996"/>
      <c r="C1996"/>
      <c r="D1996"/>
      <c r="G1996"/>
    </row>
    <row r="1997" spans="2:7">
      <c r="B1997"/>
      <c r="C1997"/>
      <c r="D1997"/>
      <c r="G1997"/>
    </row>
    <row r="1998" spans="2:7">
      <c r="B1998"/>
      <c r="C1998"/>
      <c r="D1998"/>
      <c r="G1998"/>
    </row>
    <row r="1999" spans="2:7">
      <c r="B1999"/>
      <c r="C1999"/>
      <c r="D1999"/>
      <c r="G1999"/>
    </row>
    <row r="2000" spans="2:7">
      <c r="B2000"/>
      <c r="C2000"/>
      <c r="D2000"/>
      <c r="G2000"/>
    </row>
    <row r="2001" spans="2:7">
      <c r="B2001"/>
      <c r="C2001"/>
      <c r="D2001"/>
      <c r="G2001"/>
    </row>
    <row r="2002" spans="2:7">
      <c r="B2002"/>
      <c r="C2002"/>
      <c r="D2002"/>
      <c r="G2002"/>
    </row>
    <row r="2003" spans="2:7">
      <c r="B2003"/>
      <c r="C2003"/>
      <c r="D2003"/>
      <c r="G2003"/>
    </row>
    <row r="2004" spans="2:7">
      <c r="B2004"/>
      <c r="C2004"/>
      <c r="D2004"/>
      <c r="G2004"/>
    </row>
    <row r="2005" spans="2:7">
      <c r="B2005"/>
      <c r="C2005"/>
      <c r="D2005"/>
      <c r="G2005"/>
    </row>
    <row r="2006" spans="2:7">
      <c r="B2006"/>
      <c r="C2006"/>
      <c r="D2006"/>
      <c r="G2006"/>
    </row>
    <row r="2007" spans="2:7">
      <c r="B2007"/>
      <c r="C2007"/>
      <c r="D2007"/>
      <c r="G2007"/>
    </row>
    <row r="2008" spans="2:7">
      <c r="B2008"/>
      <c r="C2008"/>
      <c r="D2008"/>
      <c r="G2008"/>
    </row>
    <row r="2009" spans="2:7">
      <c r="B2009"/>
      <c r="C2009"/>
      <c r="D2009"/>
      <c r="G2009"/>
    </row>
    <row r="2010" spans="2:7">
      <c r="B2010"/>
      <c r="C2010"/>
      <c r="D2010"/>
      <c r="G2010"/>
    </row>
    <row r="2011" spans="2:7">
      <c r="B2011"/>
      <c r="C2011"/>
      <c r="D2011"/>
      <c r="G2011"/>
    </row>
    <row r="2012" spans="2:7">
      <c r="B2012"/>
      <c r="C2012"/>
      <c r="D2012"/>
      <c r="G2012"/>
    </row>
    <row r="2013" spans="2:7">
      <c r="B2013"/>
      <c r="C2013"/>
      <c r="D2013"/>
      <c r="G2013"/>
    </row>
    <row r="2014" spans="2:7">
      <c r="B2014"/>
      <c r="C2014"/>
      <c r="D2014"/>
      <c r="G2014"/>
    </row>
    <row r="2015" spans="2:7">
      <c r="B2015"/>
      <c r="C2015"/>
      <c r="D2015"/>
      <c r="G2015"/>
    </row>
    <row r="2016" spans="2:7">
      <c r="B2016"/>
      <c r="C2016"/>
      <c r="D2016"/>
      <c r="G2016"/>
    </row>
    <row r="2017" spans="2:7">
      <c r="B2017"/>
      <c r="C2017"/>
      <c r="D2017"/>
      <c r="G2017"/>
    </row>
    <row r="2018" spans="2:7">
      <c r="B2018"/>
      <c r="C2018"/>
      <c r="D2018"/>
      <c r="G2018"/>
    </row>
    <row r="2019" spans="2:7">
      <c r="B2019"/>
      <c r="C2019"/>
      <c r="D2019"/>
      <c r="G2019"/>
    </row>
    <row r="2020" spans="2:7">
      <c r="B2020"/>
      <c r="C2020"/>
      <c r="D2020"/>
      <c r="G2020"/>
    </row>
    <row r="2021" spans="2:7">
      <c r="B2021"/>
      <c r="C2021"/>
      <c r="D2021"/>
      <c r="G2021"/>
    </row>
    <row r="2022" spans="2:7">
      <c r="B2022"/>
      <c r="C2022"/>
      <c r="D2022"/>
      <c r="G2022"/>
    </row>
    <row r="2023" spans="2:7">
      <c r="B2023"/>
      <c r="C2023"/>
      <c r="D2023"/>
      <c r="G2023"/>
    </row>
    <row r="2024" spans="2:7">
      <c r="B2024"/>
      <c r="C2024"/>
      <c r="D2024"/>
      <c r="G2024"/>
    </row>
    <row r="2025" spans="2:7">
      <c r="B2025"/>
      <c r="C2025"/>
      <c r="D2025"/>
      <c r="G2025"/>
    </row>
    <row r="2026" spans="2:7">
      <c r="B2026"/>
      <c r="C2026"/>
      <c r="D2026"/>
      <c r="G2026"/>
    </row>
    <row r="2027" spans="2:7">
      <c r="B2027"/>
      <c r="C2027"/>
      <c r="D2027"/>
      <c r="G2027"/>
    </row>
    <row r="2028" spans="2:7">
      <c r="B2028"/>
      <c r="C2028"/>
      <c r="D2028"/>
      <c r="G2028"/>
    </row>
    <row r="2029" spans="2:7">
      <c r="B2029"/>
      <c r="C2029"/>
      <c r="D2029"/>
      <c r="G2029"/>
    </row>
    <row r="2030" spans="2:7">
      <c r="B2030"/>
      <c r="C2030"/>
      <c r="D2030"/>
      <c r="G2030"/>
    </row>
    <row r="2031" spans="2:7">
      <c r="B2031"/>
      <c r="C2031"/>
      <c r="D2031"/>
      <c r="G2031"/>
    </row>
    <row r="2032" spans="2:7">
      <c r="B2032"/>
      <c r="C2032"/>
      <c r="D2032"/>
      <c r="G2032"/>
    </row>
    <row r="2033" spans="2:7">
      <c r="B2033"/>
      <c r="C2033"/>
      <c r="D2033"/>
      <c r="G2033"/>
    </row>
    <row r="2034" spans="2:7">
      <c r="B2034"/>
      <c r="C2034"/>
      <c r="D2034"/>
      <c r="G2034"/>
    </row>
    <row r="2035" spans="2:7">
      <c r="B2035"/>
      <c r="C2035"/>
      <c r="D2035"/>
      <c r="G2035"/>
    </row>
    <row r="2036" spans="2:7">
      <c r="B2036"/>
      <c r="C2036"/>
      <c r="D2036"/>
      <c r="G2036"/>
    </row>
    <row r="2037" spans="2:7">
      <c r="B2037"/>
      <c r="C2037"/>
      <c r="D2037"/>
      <c r="G2037"/>
    </row>
    <row r="2038" spans="2:7">
      <c r="B2038"/>
      <c r="C2038"/>
      <c r="D2038"/>
      <c r="G2038"/>
    </row>
    <row r="2039" spans="2:7">
      <c r="B2039"/>
      <c r="C2039"/>
      <c r="D2039"/>
      <c r="G2039"/>
    </row>
    <row r="2040" spans="2:7">
      <c r="B2040"/>
      <c r="C2040"/>
      <c r="D2040"/>
      <c r="G2040"/>
    </row>
    <row r="2041" spans="2:7">
      <c r="B2041"/>
      <c r="C2041"/>
      <c r="D2041"/>
      <c r="G2041"/>
    </row>
    <row r="2042" spans="2:7">
      <c r="B2042"/>
      <c r="C2042"/>
      <c r="D2042"/>
      <c r="G2042"/>
    </row>
    <row r="2043" spans="2:7">
      <c r="B2043"/>
      <c r="C2043"/>
      <c r="D2043"/>
      <c r="G2043"/>
    </row>
    <row r="2044" spans="2:7">
      <c r="B2044"/>
      <c r="C2044"/>
      <c r="D2044"/>
      <c r="G2044"/>
    </row>
    <row r="2045" spans="2:7">
      <c r="B2045"/>
      <c r="C2045"/>
      <c r="D2045"/>
      <c r="G2045"/>
    </row>
    <row r="2046" spans="2:7">
      <c r="B2046"/>
      <c r="C2046"/>
      <c r="D2046"/>
      <c r="G2046"/>
    </row>
    <row r="2047" spans="2:7">
      <c r="B2047"/>
      <c r="C2047"/>
      <c r="D2047"/>
      <c r="G2047"/>
    </row>
    <row r="2048" spans="2:7">
      <c r="B2048"/>
      <c r="C2048"/>
      <c r="D2048"/>
      <c r="G2048"/>
    </row>
    <row r="2049" spans="2:7">
      <c r="B2049"/>
      <c r="C2049"/>
      <c r="D2049"/>
      <c r="G2049"/>
    </row>
    <row r="2050" spans="2:7">
      <c r="B2050"/>
      <c r="C2050"/>
      <c r="D2050"/>
      <c r="G2050"/>
    </row>
    <row r="2051" spans="2:7">
      <c r="B2051"/>
      <c r="C2051"/>
      <c r="D2051"/>
      <c r="G2051"/>
    </row>
    <row r="2052" spans="2:7">
      <c r="B2052"/>
      <c r="C2052"/>
      <c r="D2052"/>
      <c r="G2052"/>
    </row>
    <row r="2053" spans="2:7">
      <c r="B2053"/>
      <c r="C2053"/>
      <c r="D2053"/>
      <c r="G2053"/>
    </row>
    <row r="2054" spans="2:7">
      <c r="B2054"/>
      <c r="C2054"/>
      <c r="D2054"/>
      <c r="G2054"/>
    </row>
    <row r="2055" spans="2:7">
      <c r="B2055"/>
      <c r="C2055"/>
      <c r="D2055"/>
      <c r="G2055"/>
    </row>
    <row r="2056" spans="2:7">
      <c r="B2056"/>
      <c r="C2056"/>
      <c r="D2056"/>
      <c r="G2056"/>
    </row>
    <row r="2057" spans="2:7">
      <c r="B2057"/>
      <c r="C2057"/>
      <c r="D2057"/>
      <c r="G2057"/>
    </row>
    <row r="2058" spans="2:7">
      <c r="B2058"/>
      <c r="C2058"/>
      <c r="D2058"/>
      <c r="G2058"/>
    </row>
    <row r="2059" spans="2:7">
      <c r="B2059"/>
      <c r="C2059"/>
      <c r="D2059"/>
      <c r="G2059"/>
    </row>
    <row r="2060" spans="2:7">
      <c r="B2060"/>
      <c r="C2060"/>
      <c r="D2060"/>
      <c r="G2060"/>
    </row>
    <row r="2061" spans="2:7">
      <c r="B2061"/>
      <c r="C2061"/>
      <c r="D2061"/>
      <c r="G2061"/>
    </row>
    <row r="2062" spans="2:7">
      <c r="B2062"/>
      <c r="C2062"/>
      <c r="D2062"/>
      <c r="G2062"/>
    </row>
    <row r="2063" spans="2:7">
      <c r="B2063"/>
      <c r="C2063"/>
      <c r="D2063"/>
      <c r="G2063"/>
    </row>
    <row r="2064" spans="2:7">
      <c r="B2064"/>
      <c r="C2064"/>
      <c r="D2064"/>
      <c r="G2064"/>
    </row>
    <row r="2065" spans="2:7">
      <c r="B2065"/>
      <c r="C2065"/>
      <c r="D2065"/>
      <c r="G2065"/>
    </row>
    <row r="2066" spans="2:7">
      <c r="B2066"/>
      <c r="C2066"/>
      <c r="D2066"/>
      <c r="G2066"/>
    </row>
    <row r="2067" spans="2:7">
      <c r="B2067"/>
      <c r="C2067"/>
      <c r="D2067"/>
      <c r="G2067"/>
    </row>
    <row r="2068" spans="2:7">
      <c r="B2068"/>
      <c r="C2068"/>
      <c r="D2068"/>
      <c r="G2068"/>
    </row>
    <row r="2069" spans="2:7">
      <c r="B2069"/>
      <c r="C2069"/>
      <c r="D2069"/>
      <c r="G2069"/>
    </row>
    <row r="2070" spans="2:7">
      <c r="B2070"/>
      <c r="C2070"/>
      <c r="D2070"/>
      <c r="G2070"/>
    </row>
    <row r="2071" spans="2:7">
      <c r="B2071"/>
      <c r="C2071"/>
      <c r="D2071"/>
      <c r="G2071"/>
    </row>
    <row r="2072" spans="2:7">
      <c r="B2072"/>
      <c r="C2072"/>
      <c r="D2072"/>
      <c r="G2072"/>
    </row>
    <row r="2073" spans="2:7">
      <c r="B2073"/>
      <c r="C2073"/>
      <c r="D2073"/>
      <c r="G2073"/>
    </row>
    <row r="2074" spans="2:7">
      <c r="B2074"/>
      <c r="C2074"/>
      <c r="D2074"/>
      <c r="G2074"/>
    </row>
    <row r="2075" spans="2:7">
      <c r="B2075"/>
      <c r="C2075"/>
      <c r="D2075"/>
      <c r="G2075"/>
    </row>
    <row r="2076" spans="2:7">
      <c r="B2076"/>
      <c r="C2076"/>
      <c r="D2076"/>
      <c r="G2076"/>
    </row>
    <row r="2077" spans="2:7">
      <c r="B2077"/>
      <c r="C2077"/>
      <c r="D2077"/>
      <c r="G2077"/>
    </row>
    <row r="2078" spans="2:7">
      <c r="B2078"/>
      <c r="C2078"/>
      <c r="D2078"/>
      <c r="G2078"/>
    </row>
    <row r="2079" spans="2:7">
      <c r="B2079"/>
      <c r="C2079"/>
      <c r="D2079"/>
      <c r="G2079"/>
    </row>
    <row r="2080" spans="2:7">
      <c r="B2080"/>
      <c r="C2080"/>
      <c r="D2080"/>
      <c r="G2080"/>
    </row>
    <row r="2081" spans="2:7">
      <c r="B2081"/>
      <c r="C2081"/>
      <c r="D2081"/>
      <c r="G2081"/>
    </row>
    <row r="2082" spans="2:7">
      <c r="B2082"/>
      <c r="C2082"/>
      <c r="D2082"/>
      <c r="G2082"/>
    </row>
    <row r="2083" spans="2:7">
      <c r="B2083"/>
      <c r="C2083"/>
      <c r="D2083"/>
      <c r="G2083"/>
    </row>
    <row r="2084" spans="2:7">
      <c r="B2084"/>
      <c r="C2084"/>
      <c r="D2084"/>
      <c r="G2084"/>
    </row>
    <row r="2085" spans="2:7">
      <c r="B2085"/>
      <c r="C2085"/>
      <c r="D2085"/>
      <c r="G2085"/>
    </row>
    <row r="2086" spans="2:7">
      <c r="B2086"/>
      <c r="C2086"/>
      <c r="D2086"/>
      <c r="G2086"/>
    </row>
    <row r="2087" spans="2:7">
      <c r="B2087"/>
      <c r="C2087"/>
      <c r="D2087"/>
      <c r="G2087"/>
    </row>
    <row r="2088" spans="2:7">
      <c r="B2088"/>
      <c r="C2088"/>
      <c r="D2088"/>
      <c r="G2088"/>
    </row>
    <row r="2089" spans="2:7">
      <c r="B2089"/>
      <c r="C2089"/>
      <c r="D2089"/>
      <c r="G2089"/>
    </row>
    <row r="2090" spans="2:7">
      <c r="B2090"/>
      <c r="C2090"/>
      <c r="D2090"/>
      <c r="G2090"/>
    </row>
    <row r="2091" spans="2:7">
      <c r="B2091"/>
      <c r="C2091"/>
      <c r="D2091"/>
      <c r="G2091"/>
    </row>
    <row r="2092" spans="2:7">
      <c r="B2092"/>
      <c r="C2092"/>
      <c r="D2092"/>
      <c r="G2092"/>
    </row>
    <row r="2093" spans="2:7">
      <c r="B2093"/>
      <c r="C2093"/>
      <c r="D2093"/>
      <c r="G2093"/>
    </row>
    <row r="2094" spans="2:7">
      <c r="B2094"/>
      <c r="C2094"/>
      <c r="D2094"/>
      <c r="G2094"/>
    </row>
    <row r="2095" spans="2:7">
      <c r="B2095"/>
      <c r="C2095"/>
      <c r="D2095"/>
      <c r="G2095"/>
    </row>
    <row r="2096" spans="2:7">
      <c r="B2096"/>
      <c r="C2096"/>
      <c r="D2096"/>
      <c r="G2096"/>
    </row>
    <row r="2097" spans="2:7">
      <c r="B2097"/>
      <c r="C2097"/>
      <c r="D2097"/>
      <c r="G2097"/>
    </row>
    <row r="2098" spans="2:7">
      <c r="B2098"/>
      <c r="C2098"/>
      <c r="D2098"/>
      <c r="G2098"/>
    </row>
    <row r="2099" spans="2:7">
      <c r="B2099"/>
      <c r="C2099"/>
      <c r="D2099"/>
      <c r="G2099"/>
    </row>
    <row r="2100" spans="2:7">
      <c r="B2100"/>
      <c r="C2100"/>
      <c r="D2100"/>
      <c r="G2100"/>
    </row>
    <row r="2101" spans="2:7">
      <c r="B2101"/>
      <c r="C2101"/>
      <c r="D2101"/>
      <c r="G2101"/>
    </row>
    <row r="2102" spans="2:7">
      <c r="B2102"/>
      <c r="C2102"/>
      <c r="D2102"/>
      <c r="G2102"/>
    </row>
    <row r="2103" spans="2:7">
      <c r="B2103"/>
      <c r="C2103"/>
      <c r="D2103"/>
      <c r="G2103"/>
    </row>
    <row r="2104" spans="2:7">
      <c r="B2104"/>
      <c r="C2104"/>
      <c r="D2104"/>
      <c r="G2104"/>
    </row>
    <row r="2105" spans="2:7">
      <c r="B2105"/>
      <c r="C2105"/>
      <c r="D2105"/>
      <c r="G2105"/>
    </row>
    <row r="2106" spans="2:7">
      <c r="B2106"/>
      <c r="C2106"/>
      <c r="D2106"/>
      <c r="G2106"/>
    </row>
    <row r="2107" spans="2:7">
      <c r="B2107"/>
      <c r="C2107"/>
      <c r="D2107"/>
      <c r="G2107"/>
    </row>
    <row r="2108" spans="2:7">
      <c r="B2108"/>
      <c r="C2108"/>
      <c r="D2108"/>
      <c r="G2108"/>
    </row>
    <row r="2109" spans="2:7">
      <c r="B2109"/>
      <c r="C2109"/>
      <c r="D2109"/>
      <c r="G2109"/>
    </row>
    <row r="2110" spans="2:7">
      <c r="B2110"/>
      <c r="C2110"/>
      <c r="D2110"/>
      <c r="G2110"/>
    </row>
    <row r="2111" spans="2:7">
      <c r="B2111"/>
      <c r="C2111"/>
      <c r="D2111"/>
      <c r="G2111"/>
    </row>
    <row r="2112" spans="2:7">
      <c r="B2112"/>
      <c r="C2112"/>
      <c r="D2112"/>
      <c r="G2112"/>
    </row>
    <row r="2113" spans="2:7">
      <c r="B2113"/>
      <c r="C2113"/>
      <c r="D2113"/>
      <c r="G2113"/>
    </row>
    <row r="2114" spans="2:7">
      <c r="B2114"/>
      <c r="C2114"/>
      <c r="D2114"/>
      <c r="G2114"/>
    </row>
    <row r="2115" spans="2:7">
      <c r="B2115"/>
      <c r="C2115"/>
      <c r="D2115"/>
      <c r="G2115"/>
    </row>
    <row r="2116" spans="2:7">
      <c r="B2116"/>
      <c r="C2116"/>
      <c r="D2116"/>
      <c r="G2116"/>
    </row>
    <row r="2117" spans="2:7">
      <c r="B2117"/>
      <c r="C2117"/>
      <c r="D2117"/>
      <c r="G2117"/>
    </row>
    <row r="2118" spans="2:7">
      <c r="B2118"/>
      <c r="C2118"/>
      <c r="D2118"/>
      <c r="G2118"/>
    </row>
    <row r="2119" spans="2:7">
      <c r="B2119"/>
      <c r="C2119"/>
      <c r="D2119"/>
      <c r="G2119"/>
    </row>
    <row r="2120" spans="2:7">
      <c r="B2120"/>
      <c r="C2120"/>
      <c r="D2120"/>
      <c r="G2120"/>
    </row>
    <row r="2121" spans="2:7">
      <c r="B2121"/>
      <c r="C2121"/>
      <c r="D2121"/>
      <c r="G2121"/>
    </row>
    <row r="2122" spans="2:7">
      <c r="B2122"/>
      <c r="C2122"/>
      <c r="D2122"/>
      <c r="G2122"/>
    </row>
    <row r="2123" spans="2:7">
      <c r="B2123"/>
      <c r="C2123"/>
      <c r="D2123"/>
      <c r="G2123"/>
    </row>
    <row r="2124" spans="2:7">
      <c r="B2124"/>
      <c r="C2124"/>
      <c r="D2124"/>
      <c r="G2124"/>
    </row>
    <row r="2125" spans="2:7">
      <c r="B2125"/>
      <c r="C2125"/>
      <c r="D2125"/>
      <c r="G2125"/>
    </row>
    <row r="2126" spans="2:7">
      <c r="B2126"/>
      <c r="C2126"/>
      <c r="D2126"/>
      <c r="G2126"/>
    </row>
    <row r="2127" spans="2:7">
      <c r="B2127"/>
      <c r="C2127"/>
      <c r="D2127"/>
      <c r="G2127"/>
    </row>
    <row r="2128" spans="2:7">
      <c r="B2128"/>
      <c r="C2128"/>
      <c r="D2128"/>
      <c r="G2128"/>
    </row>
    <row r="2129" spans="2:7">
      <c r="B2129"/>
      <c r="C2129"/>
      <c r="D2129"/>
      <c r="G2129"/>
    </row>
    <row r="2130" spans="2:7">
      <c r="B2130"/>
      <c r="C2130"/>
      <c r="D2130"/>
      <c r="G2130"/>
    </row>
    <row r="2131" spans="2:7">
      <c r="B2131"/>
      <c r="C2131"/>
      <c r="D2131"/>
      <c r="G2131"/>
    </row>
    <row r="2132" spans="2:7">
      <c r="B2132"/>
      <c r="C2132"/>
      <c r="D2132"/>
      <c r="G2132"/>
    </row>
    <row r="2133" spans="2:7">
      <c r="B2133"/>
      <c r="C2133"/>
      <c r="D2133"/>
      <c r="G2133"/>
    </row>
    <row r="2134" spans="2:7">
      <c r="B2134"/>
      <c r="C2134"/>
      <c r="D2134"/>
      <c r="G2134"/>
    </row>
    <row r="2135" spans="2:7">
      <c r="B2135"/>
      <c r="C2135"/>
      <c r="D2135"/>
      <c r="G2135"/>
    </row>
    <row r="2136" spans="2:7">
      <c r="B2136"/>
      <c r="C2136"/>
      <c r="D2136"/>
      <c r="G2136"/>
    </row>
    <row r="2137" spans="2:7">
      <c r="B2137"/>
      <c r="C2137"/>
      <c r="D2137"/>
      <c r="G2137"/>
    </row>
    <row r="2138" spans="2:7">
      <c r="B2138"/>
      <c r="C2138"/>
      <c r="D2138"/>
      <c r="G2138"/>
    </row>
    <row r="2139" spans="2:7">
      <c r="B2139"/>
      <c r="C2139"/>
      <c r="D2139"/>
      <c r="G2139"/>
    </row>
    <row r="2140" spans="2:7">
      <c r="B2140"/>
      <c r="C2140"/>
      <c r="D2140"/>
      <c r="G2140"/>
    </row>
    <row r="2141" spans="2:7">
      <c r="B2141"/>
      <c r="C2141"/>
      <c r="D2141"/>
      <c r="G2141"/>
    </row>
    <row r="2142" spans="2:7">
      <c r="B2142"/>
      <c r="C2142"/>
      <c r="D2142"/>
      <c r="G2142"/>
    </row>
    <row r="2143" spans="2:7">
      <c r="B2143"/>
      <c r="C2143"/>
      <c r="D2143"/>
      <c r="G2143"/>
    </row>
    <row r="2144" spans="2:7">
      <c r="B2144"/>
      <c r="C2144"/>
      <c r="D2144"/>
      <c r="G2144"/>
    </row>
    <row r="2145" spans="2:7">
      <c r="B2145"/>
      <c r="C2145"/>
      <c r="D2145"/>
      <c r="G2145"/>
    </row>
    <row r="2146" spans="2:7">
      <c r="B2146"/>
      <c r="C2146"/>
      <c r="D2146"/>
      <c r="G2146"/>
    </row>
    <row r="2147" spans="2:7">
      <c r="B2147"/>
      <c r="C2147"/>
      <c r="D2147"/>
      <c r="G2147"/>
    </row>
    <row r="2148" spans="2:7">
      <c r="B2148"/>
      <c r="C2148"/>
      <c r="D2148"/>
      <c r="G2148"/>
    </row>
    <row r="2149" spans="2:7">
      <c r="B2149"/>
      <c r="C2149"/>
      <c r="D2149"/>
      <c r="G2149"/>
    </row>
    <row r="2150" spans="2:7">
      <c r="B2150"/>
      <c r="C2150"/>
      <c r="D2150"/>
      <c r="G2150"/>
    </row>
    <row r="2151" spans="2:7">
      <c r="B2151"/>
      <c r="C2151"/>
      <c r="D2151"/>
      <c r="G2151"/>
    </row>
    <row r="2152" spans="2:7">
      <c r="B2152"/>
      <c r="C2152"/>
      <c r="D2152"/>
      <c r="G2152"/>
    </row>
    <row r="2153" spans="2:7">
      <c r="B2153"/>
      <c r="C2153"/>
      <c r="D2153"/>
      <c r="G2153"/>
    </row>
    <row r="2154" spans="2:7">
      <c r="B2154"/>
      <c r="C2154"/>
      <c r="D2154"/>
      <c r="G2154"/>
    </row>
    <row r="2155" spans="2:7">
      <c r="B2155"/>
      <c r="C2155"/>
      <c r="D2155"/>
      <c r="G2155"/>
    </row>
    <row r="2156" spans="2:7">
      <c r="B2156"/>
      <c r="C2156"/>
      <c r="D2156"/>
      <c r="G2156"/>
    </row>
    <row r="2157" spans="2:7">
      <c r="B2157"/>
      <c r="C2157"/>
      <c r="D2157"/>
      <c r="G2157"/>
    </row>
    <row r="2158" spans="2:7">
      <c r="B2158"/>
      <c r="C2158"/>
      <c r="D2158"/>
      <c r="G2158"/>
    </row>
    <row r="2159" spans="2:7">
      <c r="B2159"/>
      <c r="C2159"/>
      <c r="D2159"/>
      <c r="G2159"/>
    </row>
    <row r="2160" spans="2:7">
      <c r="B2160"/>
      <c r="C2160"/>
      <c r="D2160"/>
      <c r="G2160"/>
    </row>
    <row r="2161" spans="2:7">
      <c r="B2161"/>
      <c r="C2161"/>
      <c r="D2161"/>
      <c r="G2161"/>
    </row>
    <row r="2162" spans="2:7">
      <c r="B2162"/>
      <c r="C2162"/>
      <c r="D2162"/>
      <c r="G2162"/>
    </row>
    <row r="2163" spans="2:7">
      <c r="B2163"/>
      <c r="C2163"/>
      <c r="D2163"/>
      <c r="G2163"/>
    </row>
    <row r="2164" spans="2:7">
      <c r="B2164"/>
      <c r="C2164"/>
      <c r="D2164"/>
      <c r="G2164"/>
    </row>
    <row r="2165" spans="2:7">
      <c r="B2165"/>
      <c r="C2165"/>
      <c r="D2165"/>
      <c r="G2165"/>
    </row>
    <row r="2166" spans="2:7">
      <c r="B2166"/>
      <c r="C2166"/>
      <c r="D2166"/>
      <c r="G2166"/>
    </row>
    <row r="2167" spans="2:7">
      <c r="B2167"/>
      <c r="C2167"/>
      <c r="D2167"/>
      <c r="G2167"/>
    </row>
    <row r="2168" spans="2:7">
      <c r="B2168"/>
      <c r="C2168"/>
      <c r="D2168"/>
      <c r="G2168"/>
    </row>
    <row r="2169" spans="2:7">
      <c r="B2169"/>
      <c r="C2169"/>
      <c r="D2169"/>
      <c r="G2169"/>
    </row>
    <row r="2170" spans="2:7">
      <c r="B2170"/>
      <c r="C2170"/>
      <c r="D2170"/>
      <c r="G2170"/>
    </row>
    <row r="2171" spans="2:7">
      <c r="B2171"/>
      <c r="C2171"/>
      <c r="D2171"/>
      <c r="G2171"/>
    </row>
    <row r="2172" spans="2:7">
      <c r="B2172"/>
      <c r="C2172"/>
      <c r="D2172"/>
      <c r="G2172"/>
    </row>
    <row r="2173" spans="2:7">
      <c r="B2173"/>
      <c r="C2173"/>
      <c r="D2173"/>
      <c r="G2173"/>
    </row>
    <row r="2174" spans="2:7">
      <c r="B2174"/>
      <c r="C2174"/>
      <c r="D2174"/>
      <c r="G2174"/>
    </row>
    <row r="2175" spans="2:7">
      <c r="B2175"/>
      <c r="C2175"/>
      <c r="D2175"/>
      <c r="G2175"/>
    </row>
    <row r="2176" spans="2:7">
      <c r="B2176"/>
      <c r="C2176"/>
      <c r="D2176"/>
      <c r="G2176"/>
    </row>
    <row r="2177" spans="2:7">
      <c r="B2177"/>
      <c r="C2177"/>
      <c r="D2177"/>
      <c r="G2177"/>
    </row>
    <row r="2178" spans="2:7">
      <c r="B2178"/>
      <c r="C2178"/>
      <c r="D2178"/>
      <c r="G2178"/>
    </row>
    <row r="2179" spans="2:7">
      <c r="B2179"/>
      <c r="C2179"/>
      <c r="D2179"/>
      <c r="G2179"/>
    </row>
    <row r="2180" spans="2:7">
      <c r="B2180"/>
      <c r="C2180"/>
      <c r="D2180"/>
      <c r="G2180"/>
    </row>
    <row r="2181" spans="2:7">
      <c r="B2181"/>
      <c r="C2181"/>
      <c r="D2181"/>
      <c r="G2181"/>
    </row>
    <row r="2182" spans="2:7">
      <c r="B2182"/>
      <c r="C2182"/>
      <c r="D2182"/>
      <c r="G2182"/>
    </row>
    <row r="2183" spans="2:7">
      <c r="B2183"/>
      <c r="C2183"/>
      <c r="D2183"/>
      <c r="G2183"/>
    </row>
    <row r="2184" spans="2:7">
      <c r="B2184"/>
      <c r="C2184"/>
      <c r="D2184"/>
      <c r="G2184"/>
    </row>
    <row r="2185" spans="2:7">
      <c r="B2185"/>
      <c r="C2185"/>
      <c r="D2185"/>
      <c r="G2185"/>
    </row>
    <row r="2186" spans="2:7">
      <c r="B2186"/>
      <c r="C2186"/>
      <c r="D2186"/>
      <c r="G2186"/>
    </row>
    <row r="2187" spans="2:7">
      <c r="B2187"/>
      <c r="C2187"/>
      <c r="D2187"/>
      <c r="G2187"/>
    </row>
    <row r="2188" spans="2:7">
      <c r="B2188"/>
      <c r="C2188"/>
      <c r="D2188"/>
      <c r="G2188"/>
    </row>
    <row r="2189" spans="2:7">
      <c r="B2189"/>
      <c r="C2189"/>
      <c r="D2189"/>
      <c r="G2189"/>
    </row>
    <row r="2190" spans="2:7">
      <c r="B2190"/>
      <c r="C2190"/>
      <c r="D2190"/>
      <c r="G2190"/>
    </row>
    <row r="2191" spans="2:7">
      <c r="B2191"/>
      <c r="C2191"/>
      <c r="D2191"/>
      <c r="G2191"/>
    </row>
    <row r="2192" spans="2:7">
      <c r="B2192"/>
      <c r="C2192"/>
      <c r="D2192"/>
      <c r="G2192"/>
    </row>
    <row r="2193" spans="2:7">
      <c r="B2193"/>
      <c r="C2193"/>
      <c r="D2193"/>
      <c r="G2193"/>
    </row>
    <row r="2194" spans="2:7">
      <c r="B2194"/>
      <c r="C2194"/>
      <c r="D2194"/>
      <c r="G2194"/>
    </row>
    <row r="2195" spans="2:7">
      <c r="B2195"/>
      <c r="C2195"/>
      <c r="D2195"/>
      <c r="G2195"/>
    </row>
    <row r="2196" spans="2:7">
      <c r="B2196"/>
      <c r="C2196"/>
      <c r="D2196"/>
      <c r="G2196"/>
    </row>
    <row r="2197" spans="2:7">
      <c r="B2197"/>
      <c r="C2197"/>
      <c r="D2197"/>
      <c r="G2197"/>
    </row>
    <row r="2198" spans="2:7">
      <c r="B2198"/>
      <c r="C2198"/>
      <c r="D2198"/>
      <c r="G2198"/>
    </row>
    <row r="2199" spans="2:7">
      <c r="B2199"/>
      <c r="C2199"/>
      <c r="D2199"/>
      <c r="G2199"/>
    </row>
    <row r="2200" spans="2:7">
      <c r="B2200"/>
      <c r="C2200"/>
      <c r="D2200"/>
      <c r="G2200"/>
    </row>
    <row r="2201" spans="2:7">
      <c r="B2201"/>
      <c r="C2201"/>
      <c r="D2201"/>
      <c r="G2201"/>
    </row>
    <row r="2202" spans="2:7">
      <c r="B2202"/>
      <c r="C2202"/>
      <c r="D2202"/>
      <c r="G2202"/>
    </row>
    <row r="2203" spans="2:7">
      <c r="B2203"/>
      <c r="C2203"/>
      <c r="D2203"/>
      <c r="G2203"/>
    </row>
    <row r="2204" spans="2:7">
      <c r="B2204"/>
      <c r="C2204"/>
      <c r="D2204"/>
      <c r="G2204"/>
    </row>
    <row r="2205" spans="2:7">
      <c r="B2205"/>
      <c r="C2205"/>
      <c r="D2205"/>
      <c r="G2205"/>
    </row>
    <row r="2206" spans="2:7">
      <c r="B2206"/>
      <c r="C2206"/>
      <c r="D2206"/>
      <c r="G2206"/>
    </row>
    <row r="2207" spans="2:7">
      <c r="B2207"/>
      <c r="C2207"/>
      <c r="D2207"/>
      <c r="G2207"/>
    </row>
    <row r="2208" spans="2:7">
      <c r="B2208"/>
      <c r="C2208"/>
      <c r="D2208"/>
      <c r="G2208"/>
    </row>
    <row r="2209" spans="2:7">
      <c r="B2209"/>
      <c r="C2209"/>
      <c r="D2209"/>
      <c r="G2209"/>
    </row>
    <row r="2210" spans="2:7">
      <c r="B2210"/>
      <c r="C2210"/>
      <c r="D2210"/>
      <c r="G2210"/>
    </row>
    <row r="2211" spans="2:7">
      <c r="B2211"/>
      <c r="C2211"/>
      <c r="D2211"/>
      <c r="G2211"/>
    </row>
    <row r="2212" spans="2:7">
      <c r="B2212"/>
      <c r="C2212"/>
      <c r="D2212"/>
      <c r="G2212"/>
    </row>
    <row r="2213" spans="2:7">
      <c r="B2213"/>
      <c r="C2213"/>
      <c r="D2213"/>
      <c r="G2213"/>
    </row>
    <row r="2214" spans="2:7">
      <c r="B2214"/>
      <c r="C2214"/>
      <c r="D2214"/>
      <c r="G2214"/>
    </row>
    <row r="2215" spans="2:7">
      <c r="B2215"/>
      <c r="C2215"/>
      <c r="D2215"/>
      <c r="G2215"/>
    </row>
    <row r="2216" spans="2:7">
      <c r="B2216"/>
      <c r="C2216"/>
      <c r="D2216"/>
      <c r="G2216"/>
    </row>
    <row r="2217" spans="2:7">
      <c r="B2217"/>
      <c r="C2217"/>
      <c r="D2217"/>
      <c r="G2217"/>
    </row>
    <row r="2218" spans="2:7">
      <c r="B2218"/>
      <c r="C2218"/>
      <c r="D2218"/>
      <c r="G2218"/>
    </row>
    <row r="2219" spans="2:7">
      <c r="B2219"/>
      <c r="C2219"/>
      <c r="D2219"/>
      <c r="G2219"/>
    </row>
    <row r="2220" spans="2:7">
      <c r="B2220"/>
      <c r="C2220"/>
      <c r="D2220"/>
      <c r="G2220"/>
    </row>
    <row r="2221" spans="2:7">
      <c r="B2221"/>
      <c r="C2221"/>
      <c r="D2221"/>
      <c r="G2221"/>
    </row>
    <row r="2222" spans="2:7">
      <c r="B2222"/>
      <c r="C2222"/>
      <c r="D2222"/>
      <c r="G2222"/>
    </row>
    <row r="2223" spans="2:7">
      <c r="B2223"/>
      <c r="C2223"/>
      <c r="D2223"/>
      <c r="G2223"/>
    </row>
    <row r="2224" spans="2:7">
      <c r="B2224"/>
      <c r="C2224"/>
      <c r="D2224"/>
      <c r="G2224"/>
    </row>
    <row r="2225" spans="2:7">
      <c r="B2225"/>
      <c r="C2225"/>
      <c r="D2225"/>
      <c r="G2225"/>
    </row>
    <row r="2226" spans="2:7">
      <c r="B2226"/>
      <c r="C2226"/>
      <c r="D2226"/>
      <c r="G2226"/>
    </row>
    <row r="2227" spans="2:7">
      <c r="B2227"/>
      <c r="C2227"/>
      <c r="D2227"/>
      <c r="G2227"/>
    </row>
    <row r="2228" spans="2:7">
      <c r="B2228"/>
      <c r="C2228"/>
      <c r="D2228"/>
      <c r="G2228"/>
    </row>
    <row r="2229" spans="2:7">
      <c r="B2229"/>
      <c r="C2229"/>
      <c r="D2229"/>
      <c r="G2229"/>
    </row>
    <row r="2230" spans="2:7">
      <c r="B2230"/>
      <c r="C2230"/>
      <c r="D2230"/>
      <c r="G2230"/>
    </row>
    <row r="2231" spans="2:7">
      <c r="B2231"/>
      <c r="C2231"/>
      <c r="D2231"/>
      <c r="G2231"/>
    </row>
    <row r="2232" spans="2:7">
      <c r="B2232"/>
      <c r="C2232"/>
      <c r="D2232"/>
      <c r="G2232"/>
    </row>
    <row r="2233" spans="2:7">
      <c r="B2233"/>
      <c r="C2233"/>
      <c r="D2233"/>
      <c r="G2233"/>
    </row>
    <row r="2234" spans="2:7">
      <c r="B2234"/>
      <c r="C2234"/>
      <c r="D2234"/>
      <c r="G2234"/>
    </row>
    <row r="2235" spans="2:7">
      <c r="B2235"/>
      <c r="C2235"/>
      <c r="D2235"/>
      <c r="G2235"/>
    </row>
    <row r="2236" spans="2:7">
      <c r="B2236"/>
      <c r="C2236"/>
      <c r="D2236"/>
      <c r="G2236"/>
    </row>
    <row r="2237" spans="2:7">
      <c r="B2237"/>
      <c r="C2237"/>
      <c r="D2237"/>
      <c r="G2237"/>
    </row>
    <row r="2238" spans="2:7">
      <c r="B2238"/>
      <c r="C2238"/>
      <c r="D2238"/>
      <c r="G2238"/>
    </row>
    <row r="2239" spans="2:7">
      <c r="B2239"/>
      <c r="C2239"/>
      <c r="D2239"/>
      <c r="G2239"/>
    </row>
    <row r="2240" spans="2:7">
      <c r="B2240"/>
      <c r="C2240"/>
      <c r="D2240"/>
      <c r="G2240"/>
    </row>
    <row r="2241" spans="2:7">
      <c r="B2241"/>
      <c r="C2241"/>
      <c r="D2241"/>
      <c r="G2241"/>
    </row>
    <row r="2242" spans="2:7">
      <c r="B2242"/>
      <c r="C2242"/>
      <c r="D2242"/>
      <c r="G2242"/>
    </row>
    <row r="2243" spans="2:7">
      <c r="B2243"/>
      <c r="C2243"/>
      <c r="D2243"/>
      <c r="G2243"/>
    </row>
    <row r="2244" spans="2:7">
      <c r="B2244"/>
      <c r="C2244"/>
      <c r="D2244"/>
      <c r="G2244"/>
    </row>
    <row r="2245" spans="2:7">
      <c r="B2245"/>
      <c r="C2245"/>
      <c r="D2245"/>
      <c r="G2245"/>
    </row>
    <row r="2246" spans="2:7">
      <c r="B2246"/>
      <c r="C2246"/>
      <c r="D2246"/>
      <c r="G2246"/>
    </row>
    <row r="2247" spans="2:7">
      <c r="B2247"/>
      <c r="C2247"/>
      <c r="D2247"/>
      <c r="G2247"/>
    </row>
    <row r="2248" spans="2:7">
      <c r="B2248"/>
      <c r="C2248"/>
      <c r="D2248"/>
      <c r="G2248"/>
    </row>
    <row r="2249" spans="2:7">
      <c r="B2249"/>
      <c r="C2249"/>
      <c r="D2249"/>
      <c r="G2249"/>
    </row>
    <row r="2250" spans="2:7">
      <c r="B2250"/>
      <c r="C2250"/>
      <c r="D2250"/>
      <c r="G2250"/>
    </row>
    <row r="2251" spans="2:7">
      <c r="B2251"/>
      <c r="C2251"/>
      <c r="D2251"/>
      <c r="G2251"/>
    </row>
    <row r="2252" spans="2:7">
      <c r="B2252"/>
      <c r="C2252"/>
      <c r="D2252"/>
      <c r="G2252"/>
    </row>
    <row r="2253" spans="2:7">
      <c r="B2253"/>
      <c r="C2253"/>
      <c r="D2253"/>
      <c r="G2253"/>
    </row>
    <row r="2254" spans="2:7">
      <c r="B2254"/>
      <c r="C2254"/>
      <c r="D2254"/>
      <c r="G2254"/>
    </row>
    <row r="2255" spans="2:7">
      <c r="B2255"/>
      <c r="C2255"/>
      <c r="D2255"/>
      <c r="G2255"/>
    </row>
    <row r="2256" spans="2:7">
      <c r="B2256"/>
      <c r="C2256"/>
      <c r="D2256"/>
      <c r="G2256"/>
    </row>
    <row r="2257" spans="2:7">
      <c r="B2257"/>
      <c r="C2257"/>
      <c r="D2257"/>
      <c r="G2257"/>
    </row>
    <row r="2258" spans="2:7">
      <c r="B2258"/>
      <c r="C2258"/>
      <c r="D2258"/>
      <c r="G2258"/>
    </row>
    <row r="2259" spans="2:7">
      <c r="B2259"/>
      <c r="C2259"/>
      <c r="D2259"/>
      <c r="G2259"/>
    </row>
    <row r="2260" spans="2:7">
      <c r="B2260"/>
      <c r="C2260"/>
      <c r="D2260"/>
      <c r="G2260"/>
    </row>
    <row r="2261" spans="2:7">
      <c r="B2261"/>
      <c r="C2261"/>
      <c r="D2261"/>
      <c r="G2261"/>
    </row>
    <row r="2262" spans="2:7">
      <c r="B2262"/>
      <c r="C2262"/>
      <c r="D2262"/>
      <c r="G2262"/>
    </row>
    <row r="2263" spans="2:7">
      <c r="B2263"/>
      <c r="C2263"/>
      <c r="D2263"/>
      <c r="G2263"/>
    </row>
    <row r="2264" spans="2:7">
      <c r="B2264"/>
      <c r="C2264"/>
      <c r="D2264"/>
      <c r="G2264"/>
    </row>
    <row r="2265" spans="2:7">
      <c r="B2265"/>
      <c r="C2265"/>
      <c r="D2265"/>
      <c r="G2265"/>
    </row>
    <row r="2266" spans="2:7">
      <c r="B2266"/>
      <c r="C2266"/>
      <c r="D2266"/>
      <c r="G2266"/>
    </row>
    <row r="2267" spans="2:7">
      <c r="B2267"/>
      <c r="C2267"/>
      <c r="D2267"/>
      <c r="G2267"/>
    </row>
    <row r="2268" spans="2:7">
      <c r="B2268"/>
      <c r="C2268"/>
      <c r="D2268"/>
      <c r="G2268"/>
    </row>
    <row r="2269" spans="2:7">
      <c r="B2269"/>
      <c r="C2269"/>
      <c r="D2269"/>
      <c r="G2269"/>
    </row>
    <row r="2270" spans="2:7">
      <c r="B2270"/>
      <c r="C2270"/>
      <c r="D2270"/>
      <c r="G2270"/>
    </row>
    <row r="2271" spans="2:7">
      <c r="B2271"/>
      <c r="C2271"/>
      <c r="D2271"/>
      <c r="G2271"/>
    </row>
    <row r="2272" spans="2:7">
      <c r="B2272"/>
      <c r="C2272"/>
      <c r="D2272"/>
      <c r="G2272"/>
    </row>
    <row r="2273" spans="2:7">
      <c r="B2273"/>
      <c r="C2273"/>
      <c r="D2273"/>
      <c r="G2273"/>
    </row>
    <row r="2274" spans="2:7">
      <c r="B2274"/>
      <c r="C2274"/>
      <c r="D2274"/>
      <c r="G2274"/>
    </row>
    <row r="2275" spans="2:7">
      <c r="B2275"/>
      <c r="C2275"/>
      <c r="D2275"/>
      <c r="G2275"/>
    </row>
    <row r="2276" spans="2:7">
      <c r="B2276"/>
      <c r="C2276"/>
      <c r="D2276"/>
      <c r="G2276"/>
    </row>
    <row r="2277" spans="2:7">
      <c r="B2277"/>
      <c r="C2277"/>
      <c r="D2277"/>
      <c r="G2277"/>
    </row>
    <row r="2278" spans="2:7">
      <c r="B2278"/>
      <c r="C2278"/>
      <c r="D2278"/>
      <c r="G2278"/>
    </row>
    <row r="2279" spans="2:7">
      <c r="B2279"/>
      <c r="C2279"/>
      <c r="D2279"/>
      <c r="G2279"/>
    </row>
    <row r="2280" spans="2:7">
      <c r="B2280"/>
      <c r="C2280"/>
      <c r="D2280"/>
      <c r="G2280"/>
    </row>
    <row r="2281" spans="2:7">
      <c r="B2281"/>
      <c r="C2281"/>
      <c r="D2281"/>
      <c r="G2281"/>
    </row>
    <row r="2282" spans="2:7">
      <c r="B2282"/>
      <c r="C2282"/>
      <c r="D2282"/>
      <c r="G2282"/>
    </row>
    <row r="2283" spans="2:7">
      <c r="B2283"/>
      <c r="C2283"/>
      <c r="D2283"/>
      <c r="G2283"/>
    </row>
    <row r="2284" spans="2:7">
      <c r="B2284"/>
      <c r="C2284"/>
      <c r="D2284"/>
      <c r="G2284"/>
    </row>
    <row r="2285" spans="2:7">
      <c r="B2285"/>
      <c r="C2285"/>
      <c r="D2285"/>
      <c r="G2285"/>
    </row>
    <row r="2286" spans="2:7">
      <c r="B2286"/>
      <c r="C2286"/>
      <c r="D2286"/>
      <c r="G2286"/>
    </row>
    <row r="2287" spans="2:7">
      <c r="B2287"/>
      <c r="C2287"/>
      <c r="D2287"/>
      <c r="G2287"/>
    </row>
    <row r="2288" spans="2:7">
      <c r="B2288"/>
      <c r="C2288"/>
      <c r="D2288"/>
      <c r="G2288"/>
    </row>
    <row r="2289" spans="2:7">
      <c r="B2289"/>
      <c r="C2289"/>
      <c r="D2289"/>
      <c r="G2289"/>
    </row>
    <row r="2290" spans="2:7">
      <c r="B2290"/>
      <c r="C2290"/>
      <c r="D2290"/>
      <c r="G2290"/>
    </row>
    <row r="2291" spans="2:7">
      <c r="B2291"/>
      <c r="C2291"/>
      <c r="D2291"/>
      <c r="G2291"/>
    </row>
    <row r="2292" spans="2:7">
      <c r="B2292"/>
      <c r="C2292"/>
      <c r="D2292"/>
      <c r="G2292"/>
    </row>
    <row r="2293" spans="2:7">
      <c r="B2293"/>
      <c r="C2293"/>
      <c r="D2293"/>
      <c r="G2293"/>
    </row>
    <row r="2294" spans="2:7">
      <c r="B2294"/>
      <c r="C2294"/>
      <c r="D2294"/>
      <c r="G2294"/>
    </row>
    <row r="2295" spans="2:7">
      <c r="B2295"/>
      <c r="C2295"/>
      <c r="D2295"/>
      <c r="G2295"/>
    </row>
    <row r="2296" spans="2:7">
      <c r="B2296"/>
      <c r="C2296"/>
      <c r="D2296"/>
      <c r="G2296"/>
    </row>
    <row r="2297" spans="2:7">
      <c r="B2297"/>
      <c r="C2297"/>
      <c r="D2297"/>
      <c r="G2297"/>
    </row>
    <row r="2298" spans="2:7">
      <c r="B2298"/>
      <c r="C2298"/>
      <c r="D2298"/>
      <c r="G2298"/>
    </row>
    <row r="2299" spans="2:7">
      <c r="B2299"/>
      <c r="C2299"/>
      <c r="D2299"/>
      <c r="G2299"/>
    </row>
    <row r="2300" spans="2:7">
      <c r="B2300"/>
      <c r="C2300"/>
      <c r="D2300"/>
      <c r="G2300"/>
    </row>
    <row r="2301" spans="2:7">
      <c r="B2301"/>
      <c r="C2301"/>
      <c r="D2301"/>
      <c r="G2301"/>
    </row>
    <row r="2302" spans="2:7">
      <c r="B2302"/>
      <c r="C2302"/>
      <c r="D2302"/>
      <c r="G2302"/>
    </row>
    <row r="2303" spans="2:7">
      <c r="B2303"/>
      <c r="C2303"/>
      <c r="D2303"/>
      <c r="G2303"/>
    </row>
    <row r="2304" spans="2:7">
      <c r="B2304"/>
      <c r="C2304"/>
      <c r="D2304"/>
      <c r="G2304"/>
    </row>
    <row r="2305" spans="2:7">
      <c r="B2305"/>
      <c r="C2305"/>
      <c r="D2305"/>
      <c r="G2305"/>
    </row>
    <row r="2306" spans="2:7">
      <c r="B2306"/>
      <c r="C2306"/>
      <c r="D2306"/>
      <c r="G2306"/>
    </row>
    <row r="2307" spans="2:7">
      <c r="B2307"/>
      <c r="C2307"/>
      <c r="D2307"/>
      <c r="G2307"/>
    </row>
    <row r="2308" spans="2:7">
      <c r="B2308"/>
      <c r="C2308"/>
      <c r="D2308"/>
      <c r="G2308"/>
    </row>
    <row r="2309" spans="2:7">
      <c r="B2309"/>
      <c r="C2309"/>
      <c r="D2309"/>
      <c r="G2309"/>
    </row>
    <row r="2310" spans="2:7">
      <c r="B2310"/>
      <c r="C2310"/>
      <c r="D2310"/>
      <c r="G2310"/>
    </row>
    <row r="2311" spans="2:7">
      <c r="B2311"/>
      <c r="C2311"/>
      <c r="D2311"/>
      <c r="G2311"/>
    </row>
    <row r="2312" spans="2:7">
      <c r="B2312"/>
      <c r="C2312"/>
      <c r="D2312"/>
      <c r="G2312"/>
    </row>
    <row r="2313" spans="2:7">
      <c r="B2313"/>
      <c r="C2313"/>
      <c r="D2313"/>
      <c r="G2313"/>
    </row>
    <row r="2314" spans="2:7">
      <c r="B2314"/>
      <c r="C2314"/>
      <c r="D2314"/>
      <c r="G2314"/>
    </row>
    <row r="2315" spans="2:7">
      <c r="B2315"/>
      <c r="C2315"/>
      <c r="D2315"/>
      <c r="G2315"/>
    </row>
    <row r="2316" spans="2:7">
      <c r="B2316"/>
      <c r="C2316"/>
      <c r="D2316"/>
      <c r="G2316"/>
    </row>
    <row r="2317" spans="2:7">
      <c r="B2317"/>
      <c r="C2317"/>
      <c r="D2317"/>
      <c r="G2317"/>
    </row>
    <row r="2318" spans="2:7">
      <c r="B2318"/>
      <c r="C2318"/>
      <c r="D2318"/>
      <c r="G2318"/>
    </row>
    <row r="2319" spans="2:7">
      <c r="B2319"/>
      <c r="C2319"/>
      <c r="D2319"/>
      <c r="G2319"/>
    </row>
    <row r="2320" spans="2:7">
      <c r="B2320"/>
      <c r="C2320"/>
      <c r="D2320"/>
      <c r="G2320"/>
    </row>
    <row r="2321" spans="2:7">
      <c r="B2321"/>
      <c r="C2321"/>
      <c r="D2321"/>
      <c r="G2321"/>
    </row>
    <row r="2322" spans="2:7">
      <c r="B2322"/>
      <c r="C2322"/>
      <c r="D2322"/>
      <c r="G2322"/>
    </row>
    <row r="2323" spans="2:7">
      <c r="B2323"/>
      <c r="C2323"/>
      <c r="D2323"/>
      <c r="G2323"/>
    </row>
    <row r="2324" spans="2:7">
      <c r="B2324"/>
      <c r="C2324"/>
      <c r="D2324"/>
      <c r="G2324"/>
    </row>
    <row r="2325" spans="2:7">
      <c r="B2325"/>
      <c r="C2325"/>
      <c r="D2325"/>
      <c r="G2325"/>
    </row>
    <row r="2326" spans="2:7">
      <c r="B2326"/>
      <c r="C2326"/>
      <c r="D2326"/>
      <c r="G2326"/>
    </row>
    <row r="2327" spans="2:7">
      <c r="B2327"/>
      <c r="C2327"/>
      <c r="D2327"/>
      <c r="G2327"/>
    </row>
    <row r="2328" spans="2:7">
      <c r="B2328"/>
      <c r="C2328"/>
      <c r="D2328"/>
      <c r="G2328"/>
    </row>
    <row r="2329" spans="2:7">
      <c r="B2329"/>
      <c r="C2329"/>
      <c r="D2329"/>
      <c r="G2329"/>
    </row>
    <row r="2330" spans="2:7">
      <c r="B2330"/>
      <c r="C2330"/>
      <c r="D2330"/>
      <c r="G2330"/>
    </row>
    <row r="2331" spans="2:7">
      <c r="B2331"/>
      <c r="C2331"/>
      <c r="D2331"/>
      <c r="G2331"/>
    </row>
    <row r="2332" spans="2:7">
      <c r="B2332"/>
      <c r="C2332"/>
      <c r="D2332"/>
      <c r="G2332"/>
    </row>
    <row r="2333" spans="2:7">
      <c r="B2333"/>
      <c r="C2333"/>
      <c r="D2333"/>
      <c r="G2333"/>
    </row>
    <row r="2334" spans="2:7">
      <c r="B2334"/>
      <c r="C2334"/>
      <c r="D2334"/>
      <c r="G2334"/>
    </row>
    <row r="2335" spans="2:7">
      <c r="B2335"/>
      <c r="C2335"/>
      <c r="D2335"/>
      <c r="G2335"/>
    </row>
    <row r="2336" spans="2:7">
      <c r="B2336"/>
      <c r="C2336"/>
      <c r="D2336"/>
      <c r="G2336"/>
    </row>
    <row r="2337" spans="2:7">
      <c r="B2337"/>
      <c r="C2337"/>
      <c r="D2337"/>
      <c r="G2337"/>
    </row>
    <row r="2338" spans="2:7">
      <c r="B2338"/>
      <c r="C2338"/>
      <c r="D2338"/>
      <c r="G2338"/>
    </row>
    <row r="2339" spans="2:7">
      <c r="B2339"/>
      <c r="C2339"/>
      <c r="D2339"/>
      <c r="G2339"/>
    </row>
    <row r="2340" spans="2:7">
      <c r="B2340"/>
      <c r="C2340"/>
      <c r="D2340"/>
      <c r="G2340"/>
    </row>
    <row r="2341" spans="2:7">
      <c r="B2341"/>
      <c r="C2341"/>
      <c r="D2341"/>
      <c r="G2341"/>
    </row>
    <row r="2342" spans="2:7">
      <c r="B2342"/>
      <c r="C2342"/>
      <c r="D2342"/>
      <c r="G2342"/>
    </row>
    <row r="2343" spans="2:7">
      <c r="B2343"/>
      <c r="C2343"/>
      <c r="D2343"/>
      <c r="G2343"/>
    </row>
    <row r="2344" spans="2:7">
      <c r="B2344"/>
      <c r="C2344"/>
      <c r="D2344"/>
      <c r="G2344"/>
    </row>
    <row r="2345" spans="2:7">
      <c r="B2345"/>
      <c r="C2345"/>
      <c r="D2345"/>
      <c r="G2345"/>
    </row>
    <row r="2346" spans="2:7">
      <c r="B2346"/>
      <c r="C2346"/>
      <c r="D2346"/>
      <c r="G2346"/>
    </row>
    <row r="2347" spans="2:7">
      <c r="B2347"/>
      <c r="C2347"/>
      <c r="D2347"/>
      <c r="G2347"/>
    </row>
    <row r="2348" spans="2:7">
      <c r="B2348"/>
      <c r="C2348"/>
      <c r="D2348"/>
      <c r="G2348"/>
    </row>
    <row r="2349" spans="2:7">
      <c r="B2349"/>
      <c r="C2349"/>
      <c r="D2349"/>
      <c r="G2349"/>
    </row>
    <row r="2350" spans="2:7">
      <c r="B2350"/>
      <c r="C2350"/>
      <c r="D2350"/>
      <c r="G2350"/>
    </row>
    <row r="2351" spans="2:7">
      <c r="B2351"/>
      <c r="C2351"/>
      <c r="D2351"/>
      <c r="G2351"/>
    </row>
    <row r="2352" spans="2:7">
      <c r="B2352"/>
      <c r="C2352"/>
      <c r="D2352"/>
      <c r="G2352"/>
    </row>
    <row r="2353" spans="2:7">
      <c r="B2353"/>
      <c r="C2353"/>
      <c r="D2353"/>
      <c r="G2353"/>
    </row>
    <row r="2354" spans="2:7">
      <c r="B2354"/>
      <c r="C2354"/>
      <c r="D2354"/>
      <c r="G2354"/>
    </row>
    <row r="2355" spans="2:7">
      <c r="B2355"/>
      <c r="C2355"/>
      <c r="D2355"/>
      <c r="G2355"/>
    </row>
    <row r="2356" spans="2:7">
      <c r="B2356"/>
      <c r="C2356"/>
      <c r="D2356"/>
      <c r="G2356"/>
    </row>
    <row r="2357" spans="2:7">
      <c r="B2357"/>
      <c r="C2357"/>
      <c r="D2357"/>
      <c r="G2357"/>
    </row>
    <row r="2358" spans="2:7">
      <c r="B2358"/>
      <c r="C2358"/>
      <c r="D2358"/>
      <c r="G2358"/>
    </row>
    <row r="2359" spans="2:7">
      <c r="B2359"/>
      <c r="C2359"/>
      <c r="D2359"/>
      <c r="G2359"/>
    </row>
    <row r="2360" spans="2:7">
      <c r="B2360"/>
      <c r="C2360"/>
      <c r="D2360"/>
      <c r="G2360"/>
    </row>
    <row r="2361" spans="2:7">
      <c r="B2361"/>
      <c r="C2361"/>
      <c r="D2361"/>
      <c r="G2361"/>
    </row>
    <row r="2362" spans="2:7">
      <c r="B2362"/>
      <c r="C2362"/>
      <c r="D2362"/>
      <c r="G2362"/>
    </row>
    <row r="2363" spans="2:7">
      <c r="B2363"/>
      <c r="C2363"/>
      <c r="D2363"/>
      <c r="G2363"/>
    </row>
    <row r="2364" spans="2:7">
      <c r="B2364"/>
      <c r="C2364"/>
      <c r="D2364"/>
      <c r="G2364"/>
    </row>
    <row r="2365" spans="2:7">
      <c r="B2365"/>
      <c r="C2365"/>
      <c r="D2365"/>
      <c r="G2365"/>
    </row>
    <row r="2366" spans="2:7">
      <c r="B2366"/>
      <c r="C2366"/>
      <c r="D2366"/>
      <c r="G2366"/>
    </row>
    <row r="2367" spans="2:7">
      <c r="B2367"/>
      <c r="C2367"/>
      <c r="D2367"/>
      <c r="G2367"/>
    </row>
    <row r="2368" spans="2:7">
      <c r="B2368"/>
      <c r="C2368"/>
      <c r="D2368"/>
      <c r="G2368"/>
    </row>
    <row r="2369" spans="2:7">
      <c r="B2369"/>
      <c r="C2369"/>
      <c r="D2369"/>
      <c r="G2369"/>
    </row>
    <row r="2370" spans="2:7">
      <c r="B2370"/>
      <c r="C2370"/>
      <c r="D2370"/>
      <c r="G2370"/>
    </row>
    <row r="2371" spans="2:7">
      <c r="B2371"/>
      <c r="C2371"/>
      <c r="D2371"/>
      <c r="G2371"/>
    </row>
    <row r="2372" spans="2:7">
      <c r="B2372"/>
      <c r="C2372"/>
      <c r="D2372"/>
      <c r="G2372"/>
    </row>
    <row r="2373" spans="2:7">
      <c r="B2373"/>
      <c r="C2373"/>
      <c r="D2373"/>
      <c r="G2373"/>
    </row>
    <row r="2374" spans="2:7">
      <c r="B2374"/>
      <c r="C2374"/>
      <c r="D2374"/>
      <c r="G2374"/>
    </row>
    <row r="2375" spans="2:7">
      <c r="B2375"/>
      <c r="C2375"/>
      <c r="D2375"/>
      <c r="G2375"/>
    </row>
    <row r="2376" spans="2:7">
      <c r="B2376"/>
      <c r="C2376"/>
      <c r="D2376"/>
      <c r="G2376"/>
    </row>
    <row r="2377" spans="2:7">
      <c r="B2377"/>
      <c r="C2377"/>
      <c r="D2377"/>
      <c r="G2377"/>
    </row>
    <row r="2378" spans="2:7">
      <c r="B2378"/>
      <c r="C2378"/>
      <c r="D2378"/>
      <c r="G2378"/>
    </row>
    <row r="2379" spans="2:7">
      <c r="B2379"/>
      <c r="C2379"/>
      <c r="D2379"/>
      <c r="G2379"/>
    </row>
    <row r="2380" spans="2:7">
      <c r="B2380"/>
      <c r="C2380"/>
      <c r="D2380"/>
      <c r="G2380"/>
    </row>
    <row r="2381" spans="2:7">
      <c r="B2381"/>
      <c r="C2381"/>
      <c r="D2381"/>
      <c r="G2381"/>
    </row>
    <row r="2382" spans="2:7">
      <c r="B2382"/>
      <c r="C2382"/>
      <c r="D2382"/>
      <c r="G2382"/>
    </row>
    <row r="2383" spans="2:7">
      <c r="B2383"/>
      <c r="C2383"/>
      <c r="D2383"/>
      <c r="G2383"/>
    </row>
    <row r="2384" spans="2:7">
      <c r="B2384"/>
      <c r="C2384"/>
      <c r="D2384"/>
      <c r="G2384"/>
    </row>
    <row r="2385" spans="2:7">
      <c r="B2385"/>
      <c r="C2385"/>
      <c r="D2385"/>
      <c r="G2385"/>
    </row>
    <row r="2386" spans="2:7">
      <c r="B2386"/>
      <c r="C2386"/>
      <c r="D2386"/>
      <c r="G2386"/>
    </row>
    <row r="2387" spans="2:7">
      <c r="B2387"/>
      <c r="C2387"/>
      <c r="D2387"/>
      <c r="G2387"/>
    </row>
    <row r="2388" spans="2:7">
      <c r="B2388"/>
      <c r="C2388"/>
      <c r="D2388"/>
      <c r="G2388"/>
    </row>
    <row r="2389" spans="2:7">
      <c r="B2389"/>
      <c r="C2389"/>
      <c r="D2389"/>
      <c r="G2389"/>
    </row>
    <row r="2390" spans="2:7">
      <c r="B2390"/>
      <c r="C2390"/>
      <c r="D2390"/>
      <c r="G2390"/>
    </row>
    <row r="2391" spans="2:7">
      <c r="B2391"/>
      <c r="C2391"/>
      <c r="D2391"/>
      <c r="G2391"/>
    </row>
    <row r="2392" spans="2:7">
      <c r="B2392"/>
      <c r="C2392"/>
      <c r="D2392"/>
      <c r="G2392"/>
    </row>
    <row r="2393" spans="2:7">
      <c r="B2393"/>
      <c r="C2393"/>
      <c r="D2393"/>
      <c r="G2393"/>
    </row>
    <row r="2394" spans="2:7">
      <c r="B2394"/>
      <c r="C2394"/>
      <c r="D2394"/>
      <c r="G2394"/>
    </row>
    <row r="2395" spans="2:7">
      <c r="B2395"/>
      <c r="C2395"/>
      <c r="D2395"/>
      <c r="G2395"/>
    </row>
    <row r="2396" spans="2:7">
      <c r="B2396"/>
      <c r="C2396"/>
      <c r="D2396"/>
      <c r="G2396"/>
    </row>
    <row r="2397" spans="2:7">
      <c r="B2397"/>
      <c r="C2397"/>
      <c r="D2397"/>
      <c r="G2397"/>
    </row>
    <row r="2398" spans="2:7">
      <c r="B2398"/>
      <c r="C2398"/>
      <c r="D2398"/>
      <c r="G2398"/>
    </row>
    <row r="2399" spans="2:7">
      <c r="B2399"/>
      <c r="C2399"/>
      <c r="D2399"/>
      <c r="G2399"/>
    </row>
    <row r="2400" spans="2:7">
      <c r="B2400"/>
      <c r="C2400"/>
      <c r="D2400"/>
      <c r="G2400"/>
    </row>
    <row r="2401" spans="2:7">
      <c r="B2401"/>
      <c r="C2401"/>
      <c r="D2401"/>
      <c r="G2401"/>
    </row>
    <row r="2402" spans="2:7">
      <c r="B2402"/>
      <c r="C2402"/>
      <c r="D2402"/>
      <c r="G2402"/>
    </row>
    <row r="2403" spans="2:7">
      <c r="B2403"/>
      <c r="C2403"/>
      <c r="D2403"/>
      <c r="G2403"/>
    </row>
    <row r="2404" spans="2:7">
      <c r="B2404"/>
      <c r="C2404"/>
      <c r="D2404"/>
      <c r="G2404"/>
    </row>
    <row r="2405" spans="2:7">
      <c r="B2405"/>
      <c r="C2405"/>
      <c r="D2405"/>
      <c r="G2405"/>
    </row>
    <row r="2406" spans="2:7">
      <c r="B2406"/>
      <c r="C2406"/>
      <c r="D2406"/>
      <c r="G2406"/>
    </row>
    <row r="2407" spans="2:7">
      <c r="B2407"/>
      <c r="C2407"/>
      <c r="D2407"/>
      <c r="G2407"/>
    </row>
    <row r="2408" spans="2:7">
      <c r="B2408"/>
      <c r="C2408"/>
      <c r="D2408"/>
      <c r="G2408"/>
    </row>
    <row r="2409" spans="2:7">
      <c r="B2409"/>
      <c r="C2409"/>
      <c r="D2409"/>
      <c r="G2409"/>
    </row>
    <row r="2410" spans="2:7">
      <c r="B2410"/>
      <c r="C2410"/>
      <c r="D2410"/>
      <c r="G2410"/>
    </row>
    <row r="2411" spans="2:7">
      <c r="B2411"/>
      <c r="C2411"/>
      <c r="D2411"/>
      <c r="G2411"/>
    </row>
    <row r="2412" spans="2:7">
      <c r="B2412"/>
      <c r="C2412"/>
      <c r="D2412"/>
      <c r="G2412"/>
    </row>
    <row r="2413" spans="2:7">
      <c r="B2413"/>
      <c r="C2413"/>
      <c r="D2413"/>
      <c r="G2413"/>
    </row>
    <row r="2414" spans="2:7">
      <c r="B2414"/>
      <c r="C2414"/>
      <c r="D2414"/>
      <c r="G2414"/>
    </row>
    <row r="2415" spans="2:7">
      <c r="B2415"/>
      <c r="C2415"/>
      <c r="D2415"/>
      <c r="G2415"/>
    </row>
    <row r="2416" spans="2:7">
      <c r="B2416"/>
      <c r="C2416"/>
      <c r="D2416"/>
      <c r="G2416"/>
    </row>
    <row r="2417" spans="2:7">
      <c r="B2417"/>
      <c r="C2417"/>
      <c r="D2417"/>
      <c r="G2417"/>
    </row>
    <row r="2418" spans="2:7">
      <c r="B2418"/>
      <c r="C2418"/>
      <c r="D2418"/>
      <c r="G2418"/>
    </row>
    <row r="2419" spans="2:7">
      <c r="B2419"/>
      <c r="C2419"/>
      <c r="D2419"/>
      <c r="G2419"/>
    </row>
    <row r="2420" spans="2:7">
      <c r="B2420"/>
      <c r="C2420"/>
      <c r="D2420"/>
      <c r="G2420"/>
    </row>
    <row r="2421" spans="2:7">
      <c r="B2421"/>
      <c r="C2421"/>
      <c r="D2421"/>
      <c r="G2421"/>
    </row>
    <row r="2422" spans="2:7">
      <c r="B2422"/>
      <c r="C2422"/>
      <c r="D2422"/>
      <c r="G2422"/>
    </row>
    <row r="2423" spans="2:7">
      <c r="B2423"/>
      <c r="C2423"/>
      <c r="D2423"/>
      <c r="G2423"/>
    </row>
    <row r="2424" spans="2:7">
      <c r="B2424"/>
      <c r="C2424"/>
      <c r="D2424"/>
      <c r="G2424"/>
    </row>
    <row r="2425" spans="2:7">
      <c r="B2425"/>
      <c r="C2425"/>
      <c r="D2425"/>
      <c r="G2425"/>
    </row>
    <row r="2426" spans="2:7">
      <c r="B2426"/>
      <c r="C2426"/>
      <c r="D2426"/>
      <c r="G2426"/>
    </row>
    <row r="2427" spans="2:7">
      <c r="B2427"/>
      <c r="C2427"/>
      <c r="D2427"/>
      <c r="G2427"/>
    </row>
    <row r="2428" spans="2:7">
      <c r="B2428"/>
      <c r="C2428"/>
      <c r="D2428"/>
      <c r="G2428"/>
    </row>
    <row r="2429" spans="2:7">
      <c r="B2429"/>
      <c r="C2429"/>
      <c r="D2429"/>
      <c r="G2429"/>
    </row>
    <row r="2430" spans="2:7">
      <c r="B2430"/>
      <c r="C2430"/>
      <c r="D2430"/>
      <c r="G2430"/>
    </row>
    <row r="2431" spans="2:7">
      <c r="B2431"/>
      <c r="C2431"/>
      <c r="D2431"/>
      <c r="G2431"/>
    </row>
    <row r="2432" spans="2:7">
      <c r="B2432"/>
      <c r="C2432"/>
      <c r="D2432"/>
      <c r="G2432"/>
    </row>
    <row r="2433" spans="2:7">
      <c r="B2433"/>
      <c r="C2433"/>
      <c r="D2433"/>
      <c r="G2433"/>
    </row>
    <row r="2434" spans="2:7">
      <c r="B2434"/>
      <c r="C2434"/>
      <c r="D2434"/>
      <c r="G2434"/>
    </row>
    <row r="2435" spans="2:7">
      <c r="B2435"/>
      <c r="C2435"/>
      <c r="D2435"/>
      <c r="G2435"/>
    </row>
    <row r="2436" spans="2:7">
      <c r="B2436"/>
      <c r="C2436"/>
      <c r="D2436"/>
      <c r="G2436"/>
    </row>
    <row r="2437" spans="2:7">
      <c r="B2437"/>
      <c r="C2437"/>
      <c r="D2437"/>
      <c r="G2437"/>
    </row>
    <row r="2438" spans="2:7">
      <c r="B2438"/>
      <c r="C2438"/>
      <c r="D2438"/>
      <c r="G2438"/>
    </row>
    <row r="2439" spans="2:7">
      <c r="B2439"/>
      <c r="C2439"/>
      <c r="D2439"/>
      <c r="G2439"/>
    </row>
    <row r="2440" spans="2:7">
      <c r="B2440"/>
      <c r="C2440"/>
      <c r="D2440"/>
      <c r="G2440"/>
    </row>
    <row r="2441" spans="2:7">
      <c r="B2441"/>
      <c r="C2441"/>
      <c r="D2441"/>
      <c r="G2441"/>
    </row>
    <row r="2442" spans="2:7">
      <c r="B2442"/>
      <c r="C2442"/>
      <c r="D2442"/>
      <c r="G2442"/>
    </row>
    <row r="2443" spans="2:7">
      <c r="B2443"/>
      <c r="C2443"/>
      <c r="D2443"/>
      <c r="G2443"/>
    </row>
    <row r="2444" spans="2:7">
      <c r="B2444"/>
      <c r="C2444"/>
      <c r="D2444"/>
      <c r="G2444"/>
    </row>
    <row r="2445" spans="2:7">
      <c r="B2445"/>
      <c r="C2445"/>
      <c r="D2445"/>
      <c r="G2445"/>
    </row>
    <row r="2446" spans="2:7">
      <c r="B2446"/>
      <c r="C2446"/>
      <c r="D2446"/>
      <c r="G2446"/>
    </row>
    <row r="2447" spans="2:7">
      <c r="B2447"/>
      <c r="C2447"/>
      <c r="D2447"/>
      <c r="G2447"/>
    </row>
    <row r="2448" spans="2:7">
      <c r="B2448"/>
      <c r="C2448"/>
      <c r="D2448"/>
      <c r="G2448"/>
    </row>
    <row r="2449" spans="2:7">
      <c r="B2449"/>
      <c r="C2449"/>
      <c r="D2449"/>
      <c r="G2449"/>
    </row>
    <row r="2450" spans="2:7">
      <c r="B2450"/>
      <c r="C2450"/>
      <c r="D2450"/>
      <c r="G2450"/>
    </row>
    <row r="2451" spans="2:7">
      <c r="B2451"/>
      <c r="C2451"/>
      <c r="D2451"/>
      <c r="G2451"/>
    </row>
    <row r="2452" spans="2:7">
      <c r="B2452"/>
      <c r="C2452"/>
      <c r="D2452"/>
      <c r="G2452"/>
    </row>
    <row r="2453" spans="2:7">
      <c r="B2453"/>
      <c r="C2453"/>
      <c r="D2453"/>
      <c r="G2453"/>
    </row>
    <row r="2454" spans="2:7">
      <c r="B2454"/>
      <c r="C2454"/>
      <c r="D2454"/>
      <c r="G2454"/>
    </row>
    <row r="2455" spans="2:7">
      <c r="B2455"/>
      <c r="C2455"/>
      <c r="D2455"/>
      <c r="G2455"/>
    </row>
    <row r="2456" spans="2:7">
      <c r="B2456"/>
      <c r="C2456"/>
      <c r="D2456"/>
      <c r="G2456"/>
    </row>
    <row r="2457" spans="2:7">
      <c r="B2457"/>
      <c r="C2457"/>
      <c r="D2457"/>
      <c r="G2457"/>
    </row>
    <row r="2458" spans="2:7">
      <c r="B2458"/>
      <c r="C2458"/>
      <c r="D2458"/>
      <c r="G2458"/>
    </row>
    <row r="2459" spans="2:7">
      <c r="B2459"/>
      <c r="C2459"/>
      <c r="D2459"/>
      <c r="G2459"/>
    </row>
    <row r="2460" spans="2:7">
      <c r="B2460"/>
      <c r="C2460"/>
      <c r="D2460"/>
      <c r="G2460"/>
    </row>
    <row r="2461" spans="2:7">
      <c r="B2461"/>
      <c r="C2461"/>
      <c r="D2461"/>
      <c r="G2461"/>
    </row>
    <row r="2462" spans="2:7">
      <c r="B2462"/>
      <c r="C2462"/>
      <c r="D2462"/>
      <c r="G2462"/>
    </row>
    <row r="2463" spans="2:7">
      <c r="B2463"/>
      <c r="C2463"/>
      <c r="D2463"/>
      <c r="G2463"/>
    </row>
    <row r="2464" spans="2:7">
      <c r="B2464"/>
      <c r="C2464"/>
      <c r="D2464"/>
      <c r="G2464"/>
    </row>
    <row r="2465" spans="2:7">
      <c r="B2465"/>
      <c r="C2465"/>
      <c r="D2465"/>
      <c r="G2465"/>
    </row>
    <row r="2466" spans="2:7">
      <c r="B2466"/>
      <c r="C2466"/>
      <c r="D2466"/>
      <c r="G2466"/>
    </row>
    <row r="2467" spans="2:7">
      <c r="B2467"/>
      <c r="C2467"/>
      <c r="D2467"/>
      <c r="G2467"/>
    </row>
    <row r="2468" spans="2:7">
      <c r="B2468"/>
      <c r="C2468"/>
      <c r="D2468"/>
      <c r="G2468"/>
    </row>
    <row r="2469" spans="2:7">
      <c r="B2469"/>
      <c r="C2469"/>
      <c r="D2469"/>
      <c r="G2469"/>
    </row>
    <row r="2470" spans="2:7">
      <c r="B2470"/>
      <c r="C2470"/>
      <c r="D2470"/>
      <c r="G2470"/>
    </row>
    <row r="2471" spans="2:7">
      <c r="B2471"/>
      <c r="C2471"/>
      <c r="D2471"/>
      <c r="G2471"/>
    </row>
    <row r="2472" spans="2:7">
      <c r="B2472"/>
      <c r="C2472"/>
      <c r="D2472"/>
      <c r="G2472"/>
    </row>
    <row r="2473" spans="2:7">
      <c r="B2473"/>
      <c r="C2473"/>
      <c r="D2473"/>
      <c r="G2473"/>
    </row>
    <row r="2474" spans="2:7">
      <c r="B2474"/>
      <c r="C2474"/>
      <c r="D2474"/>
      <c r="G2474"/>
    </row>
    <row r="2475" spans="2:7">
      <c r="B2475"/>
      <c r="C2475"/>
      <c r="D2475"/>
      <c r="G2475"/>
    </row>
    <row r="2476" spans="2:7">
      <c r="B2476"/>
      <c r="C2476"/>
      <c r="D2476"/>
      <c r="G2476"/>
    </row>
    <row r="2477" spans="2:7">
      <c r="B2477"/>
      <c r="C2477"/>
      <c r="D2477"/>
      <c r="G2477"/>
    </row>
    <row r="2478" spans="2:7">
      <c r="B2478"/>
      <c r="C2478"/>
      <c r="D2478"/>
      <c r="G2478"/>
    </row>
    <row r="2479" spans="2:7">
      <c r="B2479"/>
      <c r="C2479"/>
      <c r="D2479"/>
      <c r="G2479"/>
    </row>
    <row r="2480" spans="2:7">
      <c r="B2480"/>
      <c r="C2480"/>
      <c r="D2480"/>
      <c r="G2480"/>
    </row>
    <row r="2481" spans="2:7">
      <c r="B2481"/>
      <c r="C2481"/>
      <c r="D2481"/>
      <c r="G2481"/>
    </row>
    <row r="2482" spans="2:7">
      <c r="B2482"/>
      <c r="C2482"/>
      <c r="D2482"/>
      <c r="G2482"/>
    </row>
    <row r="2483" spans="2:7">
      <c r="B2483"/>
      <c r="C2483"/>
      <c r="D2483"/>
      <c r="G2483"/>
    </row>
    <row r="2484" spans="2:7">
      <c r="B2484"/>
      <c r="C2484"/>
      <c r="D2484"/>
      <c r="G2484"/>
    </row>
    <row r="2485" spans="2:7">
      <c r="B2485"/>
      <c r="C2485"/>
      <c r="D2485"/>
      <c r="G2485"/>
    </row>
    <row r="2486" spans="2:7">
      <c r="B2486"/>
      <c r="C2486"/>
      <c r="D2486"/>
      <c r="G2486"/>
    </row>
    <row r="2487" spans="2:7">
      <c r="B2487"/>
      <c r="C2487"/>
      <c r="D2487"/>
      <c r="G2487"/>
    </row>
    <row r="2488" spans="2:7">
      <c r="B2488"/>
      <c r="C2488"/>
      <c r="D2488"/>
      <c r="G2488"/>
    </row>
    <row r="2489" spans="2:7">
      <c r="B2489"/>
      <c r="C2489"/>
      <c r="D2489"/>
      <c r="G2489"/>
    </row>
    <row r="2490" spans="2:7">
      <c r="B2490"/>
      <c r="C2490"/>
      <c r="D2490"/>
      <c r="G2490"/>
    </row>
    <row r="2491" spans="2:7">
      <c r="B2491"/>
      <c r="C2491"/>
      <c r="D2491"/>
      <c r="G2491"/>
    </row>
    <row r="2492" spans="2:7">
      <c r="B2492"/>
      <c r="C2492"/>
      <c r="D2492"/>
      <c r="G2492"/>
    </row>
    <row r="2493" spans="2:7">
      <c r="B2493"/>
      <c r="C2493"/>
      <c r="D2493"/>
      <c r="G2493"/>
    </row>
    <row r="2494" spans="2:7">
      <c r="B2494"/>
      <c r="C2494"/>
      <c r="D2494"/>
      <c r="G2494"/>
    </row>
    <row r="2495" spans="2:7">
      <c r="B2495"/>
      <c r="C2495"/>
      <c r="D2495"/>
      <c r="G2495"/>
    </row>
    <row r="2496" spans="2:7">
      <c r="B2496"/>
      <c r="C2496"/>
      <c r="D2496"/>
      <c r="G2496"/>
    </row>
    <row r="2497" spans="2:7">
      <c r="B2497"/>
      <c r="C2497"/>
      <c r="D2497"/>
      <c r="G2497"/>
    </row>
    <row r="2498" spans="2:7">
      <c r="B2498"/>
      <c r="C2498"/>
      <c r="D2498"/>
      <c r="G2498"/>
    </row>
    <row r="2499" spans="2:7">
      <c r="B2499"/>
      <c r="C2499"/>
      <c r="D2499"/>
      <c r="G2499"/>
    </row>
    <row r="2500" spans="2:7">
      <c r="B2500"/>
      <c r="C2500"/>
      <c r="D2500"/>
      <c r="G2500"/>
    </row>
    <row r="2501" spans="2:7">
      <c r="B2501"/>
      <c r="C2501"/>
      <c r="D2501"/>
      <c r="G2501"/>
    </row>
    <row r="2502" spans="2:7">
      <c r="B2502"/>
      <c r="C2502"/>
      <c r="D2502"/>
      <c r="G2502"/>
    </row>
    <row r="2503" spans="2:7">
      <c r="B2503"/>
      <c r="C2503"/>
      <c r="D2503"/>
      <c r="G2503"/>
    </row>
    <row r="2504" spans="2:7">
      <c r="B2504"/>
      <c r="C2504"/>
      <c r="D2504"/>
      <c r="G2504"/>
    </row>
    <row r="2505" spans="2:7">
      <c r="B2505"/>
      <c r="C2505"/>
      <c r="D2505"/>
      <c r="G2505"/>
    </row>
    <row r="2506" spans="2:7">
      <c r="B2506"/>
      <c r="C2506"/>
      <c r="D2506"/>
      <c r="G2506"/>
    </row>
    <row r="2507" spans="2:7">
      <c r="B2507"/>
      <c r="C2507"/>
      <c r="D2507"/>
      <c r="G2507"/>
    </row>
    <row r="2508" spans="2:7">
      <c r="B2508"/>
      <c r="C2508"/>
      <c r="D2508"/>
      <c r="G2508"/>
    </row>
    <row r="2509" spans="2:7">
      <c r="B2509"/>
      <c r="C2509"/>
      <c r="D2509"/>
      <c r="G2509"/>
    </row>
    <row r="2510" spans="2:7">
      <c r="B2510"/>
      <c r="C2510"/>
      <c r="D2510"/>
      <c r="G2510"/>
    </row>
    <row r="2511" spans="2:7">
      <c r="B2511"/>
      <c r="C2511"/>
      <c r="D2511"/>
      <c r="G2511"/>
    </row>
    <row r="2512" spans="2:7">
      <c r="B2512"/>
      <c r="C2512"/>
      <c r="D2512"/>
      <c r="G2512"/>
    </row>
    <row r="2513" spans="2:7">
      <c r="B2513"/>
      <c r="C2513"/>
      <c r="D2513"/>
      <c r="G2513"/>
    </row>
    <row r="2514" spans="2:7">
      <c r="B2514"/>
      <c r="C2514"/>
      <c r="D2514"/>
      <c r="G2514"/>
    </row>
    <row r="2515" spans="2:7">
      <c r="B2515"/>
      <c r="C2515"/>
      <c r="D2515"/>
      <c r="G2515"/>
    </row>
    <row r="2516" spans="2:7">
      <c r="B2516"/>
      <c r="C2516"/>
      <c r="D2516"/>
      <c r="G2516"/>
    </row>
    <row r="2517" spans="2:7">
      <c r="B2517"/>
      <c r="C2517"/>
      <c r="D2517"/>
      <c r="G2517"/>
    </row>
    <row r="2518" spans="2:7">
      <c r="B2518"/>
      <c r="C2518"/>
      <c r="D2518"/>
      <c r="G2518"/>
    </row>
    <row r="2519" spans="2:7">
      <c r="B2519"/>
      <c r="C2519"/>
      <c r="D2519"/>
      <c r="G2519"/>
    </row>
    <row r="2520" spans="2:7">
      <c r="B2520"/>
      <c r="C2520"/>
      <c r="D2520"/>
      <c r="G2520"/>
    </row>
    <row r="2521" spans="2:7">
      <c r="B2521"/>
      <c r="C2521"/>
      <c r="D2521"/>
      <c r="G2521"/>
    </row>
    <row r="2522" spans="2:7">
      <c r="B2522"/>
      <c r="C2522"/>
      <c r="D2522"/>
      <c r="G2522"/>
    </row>
    <row r="2523" spans="2:7">
      <c r="B2523"/>
      <c r="C2523"/>
      <c r="D2523"/>
      <c r="G2523"/>
    </row>
    <row r="2524" spans="2:7">
      <c r="B2524"/>
      <c r="C2524"/>
      <c r="D2524"/>
      <c r="G2524"/>
    </row>
    <row r="2525" spans="2:7">
      <c r="B2525"/>
      <c r="C2525"/>
      <c r="D2525"/>
      <c r="G2525"/>
    </row>
    <row r="2526" spans="2:7">
      <c r="B2526"/>
      <c r="C2526"/>
      <c r="D2526"/>
      <c r="G2526"/>
    </row>
    <row r="2527" spans="2:7">
      <c r="B2527"/>
      <c r="C2527"/>
      <c r="D2527"/>
      <c r="G2527"/>
    </row>
    <row r="2528" spans="2:7">
      <c r="B2528"/>
      <c r="C2528"/>
      <c r="D2528"/>
      <c r="G2528"/>
    </row>
    <row r="2529" spans="2:7">
      <c r="B2529"/>
      <c r="C2529"/>
      <c r="D2529"/>
      <c r="G2529"/>
    </row>
    <row r="2530" spans="2:7">
      <c r="B2530"/>
      <c r="C2530"/>
      <c r="D2530"/>
      <c r="G2530"/>
    </row>
    <row r="2531" spans="2:7">
      <c r="B2531"/>
      <c r="C2531"/>
      <c r="D2531"/>
      <c r="G2531"/>
    </row>
    <row r="2532" spans="2:7">
      <c r="B2532"/>
      <c r="C2532"/>
      <c r="D2532"/>
      <c r="G2532"/>
    </row>
    <row r="2533" spans="2:7">
      <c r="B2533"/>
      <c r="C2533"/>
      <c r="D2533"/>
      <c r="G2533"/>
    </row>
    <row r="2534" spans="2:7">
      <c r="B2534"/>
      <c r="C2534"/>
      <c r="D2534"/>
      <c r="G2534"/>
    </row>
    <row r="2535" spans="2:7">
      <c r="B2535"/>
      <c r="C2535"/>
      <c r="D2535"/>
      <c r="G2535"/>
    </row>
    <row r="2536" spans="2:7">
      <c r="B2536"/>
      <c r="C2536"/>
      <c r="D2536"/>
      <c r="G2536"/>
    </row>
    <row r="2537" spans="2:7">
      <c r="B2537"/>
      <c r="C2537"/>
      <c r="D2537"/>
      <c r="G2537"/>
    </row>
    <row r="2538" spans="2:7">
      <c r="B2538"/>
      <c r="C2538"/>
      <c r="D2538"/>
      <c r="G2538"/>
    </row>
    <row r="2539" spans="2:7">
      <c r="B2539"/>
      <c r="C2539"/>
      <c r="D2539"/>
      <c r="G2539"/>
    </row>
    <row r="2540" spans="2:7">
      <c r="B2540"/>
      <c r="C2540"/>
      <c r="D2540"/>
      <c r="G2540"/>
    </row>
    <row r="2541" spans="2:7">
      <c r="B2541"/>
      <c r="C2541"/>
      <c r="D2541"/>
      <c r="G2541"/>
    </row>
    <row r="2542" spans="2:7">
      <c r="B2542"/>
      <c r="C2542"/>
      <c r="D2542"/>
      <c r="G2542"/>
    </row>
    <row r="2543" spans="2:7">
      <c r="B2543"/>
      <c r="C2543"/>
      <c r="D2543"/>
      <c r="G2543"/>
    </row>
    <row r="2544" spans="2:7">
      <c r="B2544"/>
      <c r="C2544"/>
      <c r="D2544"/>
      <c r="G2544"/>
    </row>
    <row r="2545" spans="2:7">
      <c r="B2545"/>
      <c r="C2545"/>
      <c r="D2545"/>
      <c r="G2545"/>
    </row>
    <row r="2546" spans="2:7">
      <c r="B2546"/>
      <c r="C2546"/>
      <c r="D2546"/>
      <c r="G2546"/>
    </row>
    <row r="2547" spans="2:7">
      <c r="B2547"/>
      <c r="C2547"/>
      <c r="D2547"/>
      <c r="G2547"/>
    </row>
    <row r="2548" spans="2:7">
      <c r="B2548"/>
      <c r="C2548"/>
      <c r="D2548"/>
      <c r="G2548"/>
    </row>
    <row r="2549" spans="2:7">
      <c r="B2549"/>
      <c r="C2549"/>
      <c r="D2549"/>
      <c r="G2549"/>
    </row>
    <row r="2550" spans="2:7">
      <c r="B2550"/>
      <c r="C2550"/>
      <c r="D2550"/>
      <c r="G2550"/>
    </row>
    <row r="2551" spans="2:7">
      <c r="B2551"/>
      <c r="C2551"/>
      <c r="D2551"/>
      <c r="G2551"/>
    </row>
    <row r="2552" spans="2:7">
      <c r="B2552"/>
      <c r="C2552"/>
      <c r="D2552"/>
      <c r="G2552"/>
    </row>
    <row r="2553" spans="2:7">
      <c r="B2553"/>
      <c r="C2553"/>
      <c r="D2553"/>
      <c r="G2553"/>
    </row>
    <row r="2554" spans="2:7">
      <c r="B2554"/>
      <c r="C2554"/>
      <c r="D2554"/>
      <c r="G2554"/>
    </row>
    <row r="2555" spans="2:7">
      <c r="B2555"/>
      <c r="C2555"/>
      <c r="D2555"/>
      <c r="G2555"/>
    </row>
    <row r="2556" spans="2:7">
      <c r="B2556"/>
      <c r="C2556"/>
      <c r="D2556"/>
      <c r="G2556"/>
    </row>
    <row r="2557" spans="2:7">
      <c r="B2557"/>
      <c r="C2557"/>
      <c r="D2557"/>
      <c r="G2557"/>
    </row>
    <row r="2558" spans="2:7">
      <c r="B2558"/>
      <c r="C2558"/>
      <c r="D2558"/>
      <c r="G2558"/>
    </row>
    <row r="2559" spans="2:7">
      <c r="B2559"/>
      <c r="C2559"/>
      <c r="D2559"/>
      <c r="G2559"/>
    </row>
    <row r="2560" spans="2:7">
      <c r="B2560"/>
      <c r="C2560"/>
      <c r="D2560"/>
      <c r="G2560"/>
    </row>
    <row r="2561" spans="2:7">
      <c r="B2561"/>
      <c r="C2561"/>
      <c r="D2561"/>
      <c r="G2561"/>
    </row>
    <row r="2562" spans="2:7">
      <c r="B2562"/>
      <c r="C2562"/>
      <c r="D2562"/>
      <c r="G2562"/>
    </row>
    <row r="2563" spans="2:7">
      <c r="B2563"/>
      <c r="C2563"/>
      <c r="D2563"/>
      <c r="G2563"/>
    </row>
    <row r="2564" spans="2:7">
      <c r="B2564"/>
      <c r="C2564"/>
      <c r="D2564"/>
      <c r="G2564"/>
    </row>
    <row r="2565" spans="2:7">
      <c r="B2565"/>
      <c r="C2565"/>
      <c r="D2565"/>
      <c r="G2565"/>
    </row>
    <row r="2566" spans="2:7">
      <c r="B2566"/>
      <c r="C2566"/>
      <c r="D2566"/>
      <c r="G2566"/>
    </row>
    <row r="2567" spans="2:7">
      <c r="B2567"/>
      <c r="C2567"/>
      <c r="D2567"/>
      <c r="G2567"/>
    </row>
    <row r="2568" spans="2:7">
      <c r="B2568"/>
      <c r="C2568"/>
      <c r="D2568"/>
      <c r="G2568"/>
    </row>
    <row r="2569" spans="2:7">
      <c r="B2569"/>
      <c r="C2569"/>
      <c r="D2569"/>
      <c r="G2569"/>
    </row>
    <row r="2570" spans="2:7">
      <c r="B2570"/>
      <c r="C2570"/>
      <c r="D2570"/>
      <c r="G2570"/>
    </row>
    <row r="2571" spans="2:7">
      <c r="B2571"/>
      <c r="C2571"/>
      <c r="D2571"/>
      <c r="G2571"/>
    </row>
    <row r="2572" spans="2:7">
      <c r="B2572"/>
      <c r="C2572"/>
      <c r="D2572"/>
      <c r="G2572"/>
    </row>
    <row r="2573" spans="2:7">
      <c r="B2573"/>
      <c r="C2573"/>
      <c r="D2573"/>
      <c r="G2573"/>
    </row>
    <row r="2574" spans="2:7">
      <c r="B2574"/>
      <c r="C2574"/>
      <c r="D2574"/>
      <c r="G2574"/>
    </row>
    <row r="2575" spans="2:7">
      <c r="B2575"/>
      <c r="C2575"/>
      <c r="D2575"/>
      <c r="G2575"/>
    </row>
    <row r="2576" spans="2:7">
      <c r="B2576"/>
      <c r="C2576"/>
      <c r="D2576"/>
      <c r="G2576"/>
    </row>
    <row r="2577" spans="2:7">
      <c r="B2577"/>
      <c r="C2577"/>
      <c r="D2577"/>
      <c r="G2577"/>
    </row>
    <row r="2578" spans="2:7">
      <c r="B2578"/>
      <c r="C2578"/>
      <c r="D2578"/>
      <c r="G2578"/>
    </row>
    <row r="2579" spans="2:7">
      <c r="B2579"/>
      <c r="C2579"/>
      <c r="D2579"/>
      <c r="G2579"/>
    </row>
    <row r="2580" spans="2:7">
      <c r="B2580"/>
      <c r="C2580"/>
      <c r="D2580"/>
      <c r="G2580"/>
    </row>
    <row r="2581" spans="2:7">
      <c r="B2581"/>
      <c r="C2581"/>
      <c r="D2581"/>
      <c r="G2581"/>
    </row>
    <row r="2582" spans="2:7">
      <c r="B2582"/>
      <c r="C2582"/>
      <c r="D2582"/>
      <c r="G2582"/>
    </row>
    <row r="2583" spans="2:7">
      <c r="B2583"/>
      <c r="C2583"/>
      <c r="D2583"/>
      <c r="G2583"/>
    </row>
    <row r="2584" spans="2:7">
      <c r="B2584"/>
      <c r="C2584"/>
      <c r="D2584"/>
      <c r="G2584"/>
    </row>
    <row r="2585" spans="2:7">
      <c r="B2585"/>
      <c r="C2585"/>
      <c r="D2585"/>
      <c r="G2585"/>
    </row>
    <row r="2586" spans="2:7">
      <c r="B2586"/>
      <c r="C2586"/>
      <c r="D2586"/>
      <c r="G2586"/>
    </row>
    <row r="2587" spans="2:7">
      <c r="B2587"/>
      <c r="C2587"/>
      <c r="D2587"/>
      <c r="G2587"/>
    </row>
    <row r="2588" spans="2:7">
      <c r="B2588"/>
      <c r="C2588"/>
      <c r="D2588"/>
      <c r="G2588"/>
    </row>
    <row r="2589" spans="2:7">
      <c r="B2589"/>
      <c r="C2589"/>
      <c r="D2589"/>
      <c r="G2589"/>
    </row>
    <row r="2590" spans="2:7">
      <c r="B2590"/>
      <c r="C2590"/>
      <c r="D2590"/>
      <c r="G2590"/>
    </row>
    <row r="2591" spans="2:7">
      <c r="B2591"/>
      <c r="C2591"/>
      <c r="D2591"/>
      <c r="G2591"/>
    </row>
    <row r="2592" spans="2:7">
      <c r="B2592"/>
      <c r="C2592"/>
      <c r="D2592"/>
      <c r="G2592"/>
    </row>
    <row r="2593" spans="2:7">
      <c r="B2593"/>
      <c r="C2593"/>
      <c r="D2593"/>
      <c r="G2593"/>
    </row>
    <row r="2594" spans="2:7">
      <c r="B2594"/>
      <c r="C2594"/>
      <c r="D2594"/>
      <c r="G2594"/>
    </row>
    <row r="2595" spans="2:7">
      <c r="B2595"/>
      <c r="C2595"/>
      <c r="D2595"/>
      <c r="G2595"/>
    </row>
    <row r="2596" spans="2:7">
      <c r="B2596"/>
      <c r="C2596"/>
      <c r="D2596"/>
      <c r="G2596"/>
    </row>
    <row r="2597" spans="2:7">
      <c r="B2597"/>
      <c r="C2597"/>
      <c r="D2597"/>
      <c r="G2597"/>
    </row>
    <row r="2598" spans="2:7">
      <c r="B2598"/>
      <c r="C2598"/>
      <c r="D2598"/>
      <c r="G2598"/>
    </row>
    <row r="2599" spans="2:7">
      <c r="B2599"/>
      <c r="C2599"/>
      <c r="D2599"/>
      <c r="G2599"/>
    </row>
    <row r="2600" spans="2:7">
      <c r="B2600"/>
      <c r="C2600"/>
      <c r="D2600"/>
      <c r="G2600"/>
    </row>
    <row r="2601" spans="2:7">
      <c r="B2601"/>
      <c r="C2601"/>
      <c r="D2601"/>
      <c r="G2601"/>
    </row>
    <row r="2602" spans="2:7">
      <c r="B2602"/>
      <c r="C2602"/>
      <c r="D2602"/>
      <c r="G2602"/>
    </row>
    <row r="2603" spans="2:7">
      <c r="B2603"/>
      <c r="C2603"/>
      <c r="D2603"/>
      <c r="G2603"/>
    </row>
    <row r="2604" spans="2:7">
      <c r="B2604"/>
      <c r="C2604"/>
      <c r="D2604"/>
      <c r="G2604"/>
    </row>
    <row r="2605" spans="2:7">
      <c r="B2605"/>
      <c r="C2605"/>
      <c r="D2605"/>
      <c r="G2605"/>
    </row>
    <row r="2606" spans="2:7">
      <c r="B2606"/>
      <c r="C2606"/>
      <c r="D2606"/>
      <c r="G2606"/>
    </row>
    <row r="2607" spans="2:7">
      <c r="B2607"/>
      <c r="C2607"/>
      <c r="D2607"/>
      <c r="G2607"/>
    </row>
    <row r="2608" spans="2:7">
      <c r="B2608"/>
      <c r="C2608"/>
      <c r="D2608"/>
      <c r="G2608"/>
    </row>
    <row r="2609" spans="2:7">
      <c r="B2609"/>
      <c r="C2609"/>
      <c r="D2609"/>
      <c r="G2609"/>
    </row>
    <row r="2610" spans="2:7">
      <c r="B2610"/>
      <c r="C2610"/>
      <c r="D2610"/>
      <c r="G2610"/>
    </row>
    <row r="2611" spans="2:7">
      <c r="B2611"/>
      <c r="C2611"/>
      <c r="D2611"/>
      <c r="G2611"/>
    </row>
    <row r="2612" spans="2:7">
      <c r="B2612"/>
      <c r="C2612"/>
      <c r="D2612"/>
      <c r="G2612"/>
    </row>
    <row r="2613" spans="2:7">
      <c r="B2613"/>
      <c r="C2613"/>
      <c r="D2613"/>
      <c r="G2613"/>
    </row>
    <row r="2614" spans="2:7">
      <c r="B2614"/>
      <c r="C2614"/>
      <c r="D2614"/>
      <c r="G2614"/>
    </row>
    <row r="2615" spans="2:7">
      <c r="B2615"/>
      <c r="C2615"/>
      <c r="D2615"/>
      <c r="G2615"/>
    </row>
    <row r="2616" spans="2:7">
      <c r="B2616"/>
      <c r="C2616"/>
      <c r="D2616"/>
      <c r="G2616"/>
    </row>
    <row r="2617" spans="2:7">
      <c r="B2617"/>
      <c r="C2617"/>
      <c r="D2617"/>
      <c r="G2617"/>
    </row>
    <row r="2618" spans="2:7">
      <c r="B2618"/>
      <c r="C2618"/>
      <c r="D2618"/>
      <c r="G2618"/>
    </row>
    <row r="2619" spans="2:7">
      <c r="B2619"/>
      <c r="C2619"/>
      <c r="D2619"/>
      <c r="G2619"/>
    </row>
    <row r="2620" spans="2:7">
      <c r="B2620"/>
      <c r="C2620"/>
      <c r="D2620"/>
      <c r="G2620"/>
    </row>
    <row r="2621" spans="2:7">
      <c r="B2621"/>
      <c r="C2621"/>
      <c r="D2621"/>
      <c r="G2621"/>
    </row>
    <row r="2622" spans="2:7">
      <c r="B2622"/>
      <c r="C2622"/>
      <c r="D2622"/>
      <c r="G2622"/>
    </row>
    <row r="2623" spans="2:7">
      <c r="B2623"/>
      <c r="C2623"/>
      <c r="D2623"/>
      <c r="G2623"/>
    </row>
    <row r="2624" spans="2:7">
      <c r="B2624"/>
      <c r="C2624"/>
      <c r="D2624"/>
      <c r="G2624"/>
    </row>
    <row r="2625" spans="2:7">
      <c r="B2625"/>
      <c r="C2625"/>
      <c r="D2625"/>
      <c r="G2625"/>
    </row>
    <row r="2626" spans="2:7">
      <c r="B2626"/>
      <c r="C2626"/>
      <c r="D2626"/>
      <c r="G2626"/>
    </row>
    <row r="2627" spans="2:7">
      <c r="B2627"/>
      <c r="C2627"/>
      <c r="D2627"/>
      <c r="G2627"/>
    </row>
    <row r="2628" spans="2:7">
      <c r="B2628"/>
      <c r="C2628"/>
      <c r="D2628"/>
      <c r="G2628"/>
    </row>
    <row r="2629" spans="2:7">
      <c r="B2629"/>
      <c r="C2629"/>
      <c r="D2629"/>
      <c r="G2629"/>
    </row>
    <row r="2630" spans="2:7">
      <c r="B2630"/>
      <c r="C2630"/>
      <c r="D2630"/>
      <c r="G2630"/>
    </row>
    <row r="2631" spans="2:7">
      <c r="B2631"/>
      <c r="C2631"/>
      <c r="D2631"/>
      <c r="G2631"/>
    </row>
    <row r="2632" spans="2:7">
      <c r="B2632"/>
      <c r="C2632"/>
      <c r="D2632"/>
      <c r="G2632"/>
    </row>
    <row r="2633" spans="2:7">
      <c r="B2633"/>
      <c r="C2633"/>
      <c r="D2633"/>
      <c r="G2633"/>
    </row>
    <row r="2634" spans="2:7">
      <c r="B2634"/>
      <c r="C2634"/>
      <c r="D2634"/>
      <c r="G2634"/>
    </row>
    <row r="2635" spans="2:7">
      <c r="B2635"/>
      <c r="C2635"/>
      <c r="D2635"/>
      <c r="G2635"/>
    </row>
    <row r="2636" spans="2:7">
      <c r="B2636"/>
      <c r="C2636"/>
      <c r="D2636"/>
      <c r="G2636"/>
    </row>
    <row r="2637" spans="2:7">
      <c r="B2637"/>
      <c r="C2637"/>
      <c r="D2637"/>
      <c r="G2637"/>
    </row>
    <row r="2638" spans="2:7">
      <c r="B2638"/>
      <c r="C2638"/>
      <c r="D2638"/>
      <c r="G2638"/>
    </row>
    <row r="2639" spans="2:7">
      <c r="B2639"/>
      <c r="C2639"/>
      <c r="D2639"/>
      <c r="G2639"/>
    </row>
    <row r="2640" spans="2:7">
      <c r="B2640"/>
      <c r="C2640"/>
      <c r="D2640"/>
      <c r="G2640"/>
    </row>
    <row r="2641" spans="2:7">
      <c r="B2641"/>
      <c r="C2641"/>
      <c r="D2641"/>
      <c r="G2641"/>
    </row>
    <row r="2642" spans="2:7">
      <c r="B2642"/>
      <c r="C2642"/>
      <c r="D2642"/>
      <c r="G2642"/>
    </row>
    <row r="2643" spans="2:7">
      <c r="B2643"/>
      <c r="C2643"/>
      <c r="D2643"/>
      <c r="G2643"/>
    </row>
    <row r="2644" spans="2:7">
      <c r="B2644"/>
      <c r="C2644"/>
      <c r="D2644"/>
      <c r="G2644"/>
    </row>
    <row r="2645" spans="2:7">
      <c r="B2645"/>
      <c r="C2645"/>
      <c r="D2645"/>
      <c r="G2645"/>
    </row>
    <row r="2646" spans="2:7">
      <c r="B2646"/>
      <c r="C2646"/>
      <c r="D2646"/>
      <c r="G2646"/>
    </row>
    <row r="2647" spans="2:7">
      <c r="B2647"/>
      <c r="C2647"/>
      <c r="D2647"/>
      <c r="G2647"/>
    </row>
    <row r="2648" spans="2:7">
      <c r="B2648"/>
      <c r="C2648"/>
      <c r="D2648"/>
      <c r="G2648"/>
    </row>
    <row r="2649" spans="2:7">
      <c r="B2649"/>
      <c r="C2649"/>
      <c r="D2649"/>
      <c r="G2649"/>
    </row>
    <row r="2650" spans="2:7">
      <c r="B2650"/>
      <c r="C2650"/>
      <c r="D2650"/>
      <c r="G2650"/>
    </row>
    <row r="2651" spans="2:7">
      <c r="B2651"/>
      <c r="C2651"/>
      <c r="D2651"/>
      <c r="G2651"/>
    </row>
    <row r="2652" spans="2:7">
      <c r="B2652"/>
      <c r="C2652"/>
      <c r="D2652"/>
      <c r="G2652"/>
    </row>
    <row r="2653" spans="2:7">
      <c r="B2653"/>
      <c r="C2653"/>
      <c r="D2653"/>
      <c r="G2653"/>
    </row>
    <row r="2654" spans="2:7">
      <c r="B2654"/>
      <c r="C2654"/>
      <c r="D2654"/>
      <c r="G2654"/>
    </row>
    <row r="2655" spans="2:7">
      <c r="B2655"/>
      <c r="C2655"/>
      <c r="D2655"/>
      <c r="G2655"/>
    </row>
    <row r="2656" spans="2:7">
      <c r="B2656"/>
      <c r="C2656"/>
      <c r="D2656"/>
      <c r="G2656"/>
    </row>
    <row r="2657" spans="2:7">
      <c r="B2657"/>
      <c r="C2657"/>
      <c r="D2657"/>
      <c r="G2657"/>
    </row>
    <row r="2658" spans="2:7">
      <c r="B2658"/>
      <c r="C2658"/>
      <c r="D2658"/>
      <c r="G2658"/>
    </row>
    <row r="2659" spans="2:7">
      <c r="B2659"/>
      <c r="C2659"/>
      <c r="D2659"/>
      <c r="G2659"/>
    </row>
    <row r="2660" spans="2:7">
      <c r="B2660"/>
      <c r="C2660"/>
      <c r="D2660"/>
      <c r="G2660"/>
    </row>
    <row r="2661" spans="2:7">
      <c r="B2661"/>
      <c r="C2661"/>
      <c r="D2661"/>
      <c r="G2661"/>
    </row>
    <row r="2662" spans="2:7">
      <c r="B2662"/>
      <c r="C2662"/>
      <c r="D2662"/>
      <c r="G2662"/>
    </row>
    <row r="2663" spans="2:7">
      <c r="B2663"/>
      <c r="C2663"/>
      <c r="D2663"/>
      <c r="G2663"/>
    </row>
    <row r="2664" spans="2:7">
      <c r="B2664"/>
      <c r="C2664"/>
      <c r="D2664"/>
      <c r="G2664"/>
    </row>
    <row r="2665" spans="2:7">
      <c r="B2665"/>
      <c r="C2665"/>
      <c r="D2665"/>
      <c r="G2665"/>
    </row>
    <row r="2666" spans="2:7">
      <c r="B2666"/>
      <c r="C2666"/>
      <c r="D2666"/>
      <c r="G2666"/>
    </row>
    <row r="2667" spans="2:7">
      <c r="B2667"/>
      <c r="C2667"/>
      <c r="D2667"/>
      <c r="G2667"/>
    </row>
    <row r="2668" spans="2:7">
      <c r="B2668"/>
      <c r="C2668"/>
      <c r="D2668"/>
      <c r="G2668"/>
    </row>
    <row r="2669" spans="2:7">
      <c r="B2669"/>
      <c r="C2669"/>
      <c r="D2669"/>
      <c r="G2669"/>
    </row>
    <row r="2670" spans="2:7">
      <c r="B2670"/>
      <c r="C2670"/>
      <c r="D2670"/>
      <c r="G2670"/>
    </row>
    <row r="2671" spans="2:7">
      <c r="B2671"/>
      <c r="C2671"/>
      <c r="D2671"/>
      <c r="G2671"/>
    </row>
    <row r="2672" spans="2:7">
      <c r="B2672"/>
      <c r="C2672"/>
      <c r="D2672"/>
      <c r="G2672"/>
    </row>
    <row r="2673" spans="2:7">
      <c r="B2673"/>
      <c r="C2673"/>
      <c r="D2673"/>
      <c r="G2673"/>
    </row>
    <row r="2674" spans="2:7">
      <c r="B2674"/>
      <c r="C2674"/>
      <c r="D2674"/>
      <c r="G2674"/>
    </row>
    <row r="2675" spans="2:7">
      <c r="B2675"/>
      <c r="C2675"/>
      <c r="D2675"/>
      <c r="G2675"/>
    </row>
    <row r="2676" spans="2:7">
      <c r="B2676"/>
      <c r="C2676"/>
      <c r="D2676"/>
      <c r="G2676"/>
    </row>
    <row r="2677" spans="2:7">
      <c r="B2677"/>
      <c r="C2677"/>
      <c r="D2677"/>
      <c r="G2677"/>
    </row>
    <row r="2678" spans="2:7">
      <c r="B2678"/>
      <c r="C2678"/>
      <c r="D2678"/>
      <c r="G2678"/>
    </row>
    <row r="2679" spans="2:7">
      <c r="B2679"/>
      <c r="C2679"/>
      <c r="D2679"/>
      <c r="G2679"/>
    </row>
    <row r="2680" spans="2:7">
      <c r="B2680"/>
      <c r="C2680"/>
      <c r="D2680"/>
      <c r="G2680"/>
    </row>
    <row r="2681" spans="2:7">
      <c r="B2681"/>
      <c r="C2681"/>
      <c r="D2681"/>
      <c r="G2681"/>
    </row>
    <row r="2682" spans="2:7">
      <c r="B2682"/>
      <c r="C2682"/>
      <c r="D2682"/>
      <c r="G2682"/>
    </row>
    <row r="2683" spans="2:7">
      <c r="B2683"/>
      <c r="C2683"/>
      <c r="D2683"/>
      <c r="G2683"/>
    </row>
    <row r="2684" spans="2:7">
      <c r="B2684"/>
      <c r="C2684"/>
      <c r="D2684"/>
      <c r="G2684"/>
    </row>
    <row r="2685" spans="2:7">
      <c r="B2685"/>
      <c r="C2685"/>
      <c r="D2685"/>
      <c r="G2685"/>
    </row>
    <row r="2686" spans="2:7">
      <c r="B2686"/>
      <c r="C2686"/>
      <c r="D2686"/>
      <c r="G2686"/>
    </row>
    <row r="2687" spans="2:7">
      <c r="B2687"/>
      <c r="C2687"/>
      <c r="D2687"/>
      <c r="G2687"/>
    </row>
    <row r="2688" spans="2:7">
      <c r="B2688"/>
      <c r="C2688"/>
      <c r="D2688"/>
      <c r="G2688"/>
    </row>
    <row r="2689" spans="2:7">
      <c r="B2689"/>
      <c r="C2689"/>
      <c r="D2689"/>
      <c r="G2689"/>
    </row>
    <row r="2690" spans="2:7">
      <c r="B2690"/>
      <c r="C2690"/>
      <c r="D2690"/>
      <c r="G2690"/>
    </row>
    <row r="2691" spans="2:7">
      <c r="B2691"/>
      <c r="C2691"/>
      <c r="D2691"/>
      <c r="G2691"/>
    </row>
    <row r="2692" spans="2:7">
      <c r="B2692"/>
      <c r="C2692"/>
      <c r="D2692"/>
      <c r="G2692"/>
    </row>
    <row r="2693" spans="2:7">
      <c r="B2693"/>
      <c r="C2693"/>
      <c r="D2693"/>
      <c r="G2693"/>
    </row>
    <row r="2694" spans="2:7">
      <c r="B2694"/>
      <c r="C2694"/>
      <c r="D2694"/>
      <c r="G2694"/>
    </row>
    <row r="2695" spans="2:7">
      <c r="B2695"/>
      <c r="C2695"/>
      <c r="D2695"/>
      <c r="G2695"/>
    </row>
    <row r="2696" spans="2:7">
      <c r="B2696"/>
      <c r="C2696"/>
      <c r="D2696"/>
      <c r="G2696"/>
    </row>
    <row r="2697" spans="2:7">
      <c r="B2697"/>
      <c r="C2697"/>
      <c r="D2697"/>
      <c r="G2697"/>
    </row>
    <row r="2698" spans="2:7">
      <c r="B2698"/>
      <c r="C2698"/>
      <c r="D2698"/>
      <c r="G2698"/>
    </row>
    <row r="2699" spans="2:7">
      <c r="B2699"/>
      <c r="C2699"/>
      <c r="D2699"/>
      <c r="G2699"/>
    </row>
    <row r="2700" spans="2:7">
      <c r="B2700"/>
      <c r="C2700"/>
      <c r="D2700"/>
      <c r="G2700"/>
    </row>
    <row r="2701" spans="2:7">
      <c r="B2701"/>
      <c r="C2701"/>
      <c r="D2701"/>
      <c r="G2701"/>
    </row>
    <row r="2702" spans="2:7">
      <c r="B2702"/>
      <c r="C2702"/>
      <c r="D2702"/>
      <c r="G2702"/>
    </row>
    <row r="2703" spans="2:7">
      <c r="B2703"/>
      <c r="C2703"/>
      <c r="D2703"/>
      <c r="G2703"/>
    </row>
    <row r="2704" spans="2:7">
      <c r="B2704"/>
      <c r="C2704"/>
      <c r="D2704"/>
      <c r="G2704"/>
    </row>
    <row r="2705" spans="2:7">
      <c r="B2705"/>
      <c r="C2705"/>
      <c r="D2705"/>
      <c r="G2705"/>
    </row>
    <row r="2706" spans="2:7">
      <c r="B2706"/>
      <c r="C2706"/>
      <c r="D2706"/>
      <c r="G2706"/>
    </row>
    <row r="2707" spans="2:7">
      <c r="B2707"/>
      <c r="C2707"/>
      <c r="D2707"/>
      <c r="G2707"/>
    </row>
    <row r="2708" spans="2:7">
      <c r="B2708"/>
      <c r="C2708"/>
      <c r="D2708"/>
      <c r="G2708"/>
    </row>
    <row r="2709" spans="2:7">
      <c r="B2709"/>
      <c r="C2709"/>
      <c r="D2709"/>
      <c r="G2709"/>
    </row>
    <row r="2710" spans="2:7">
      <c r="B2710"/>
      <c r="C2710"/>
      <c r="D2710"/>
      <c r="G2710"/>
    </row>
    <row r="2711" spans="2:7">
      <c r="B2711"/>
      <c r="C2711"/>
      <c r="D2711"/>
      <c r="G2711"/>
    </row>
    <row r="2712" spans="2:7">
      <c r="B2712"/>
      <c r="C2712"/>
      <c r="D2712"/>
      <c r="G2712"/>
    </row>
    <row r="2713" spans="2:7">
      <c r="B2713"/>
      <c r="C2713"/>
      <c r="D2713"/>
      <c r="G2713"/>
    </row>
    <row r="2714" spans="2:7">
      <c r="B2714"/>
      <c r="C2714"/>
      <c r="D2714"/>
      <c r="G2714"/>
    </row>
    <row r="2715" spans="2:7">
      <c r="B2715"/>
      <c r="C2715"/>
      <c r="D2715"/>
      <c r="G2715"/>
    </row>
    <row r="2716" spans="2:7">
      <c r="B2716"/>
      <c r="C2716"/>
      <c r="D2716"/>
      <c r="G2716"/>
    </row>
    <row r="2717" spans="2:7">
      <c r="B2717"/>
      <c r="C2717"/>
      <c r="D2717"/>
      <c r="G2717"/>
    </row>
    <row r="2718" spans="2:7">
      <c r="B2718"/>
      <c r="C2718"/>
      <c r="D2718"/>
      <c r="G2718"/>
    </row>
    <row r="2719" spans="2:7">
      <c r="B2719"/>
      <c r="C2719"/>
      <c r="D2719"/>
      <c r="G2719"/>
    </row>
    <row r="2720" spans="2:7">
      <c r="B2720"/>
      <c r="C2720"/>
      <c r="D2720"/>
      <c r="G2720"/>
    </row>
    <row r="2721" spans="2:7">
      <c r="B2721"/>
      <c r="C2721"/>
      <c r="D2721"/>
      <c r="G2721"/>
    </row>
    <row r="2722" spans="2:7">
      <c r="B2722"/>
      <c r="C2722"/>
      <c r="D2722"/>
      <c r="G2722"/>
    </row>
    <row r="2723" spans="2:7">
      <c r="B2723"/>
      <c r="C2723"/>
      <c r="D2723"/>
      <c r="G2723"/>
    </row>
    <row r="2724" spans="2:7">
      <c r="B2724"/>
      <c r="C2724"/>
      <c r="D2724"/>
      <c r="G2724"/>
    </row>
    <row r="2725" spans="2:7">
      <c r="B2725"/>
      <c r="C2725"/>
      <c r="D2725"/>
      <c r="G2725"/>
    </row>
    <row r="2726" spans="2:7">
      <c r="B2726"/>
      <c r="C2726"/>
      <c r="D2726"/>
      <c r="G2726"/>
    </row>
    <row r="2727" spans="2:7">
      <c r="B2727"/>
      <c r="C2727"/>
      <c r="D2727"/>
      <c r="G2727"/>
    </row>
    <row r="2728" spans="2:7">
      <c r="B2728"/>
      <c r="C2728"/>
      <c r="D2728"/>
      <c r="G2728"/>
    </row>
    <row r="2729" spans="2:7">
      <c r="B2729"/>
      <c r="C2729"/>
      <c r="D2729"/>
      <c r="G2729"/>
    </row>
    <row r="2730" spans="2:7">
      <c r="B2730"/>
      <c r="C2730"/>
      <c r="D2730"/>
      <c r="G2730"/>
    </row>
    <row r="2731" spans="2:7">
      <c r="B2731"/>
      <c r="C2731"/>
      <c r="D2731"/>
      <c r="G2731"/>
    </row>
    <row r="2732" spans="2:7">
      <c r="B2732"/>
      <c r="C2732"/>
      <c r="D2732"/>
      <c r="G2732"/>
    </row>
    <row r="2733" spans="2:7">
      <c r="B2733"/>
      <c r="C2733"/>
      <c r="D2733"/>
      <c r="G2733"/>
    </row>
    <row r="2734" spans="2:7">
      <c r="B2734"/>
      <c r="C2734"/>
      <c r="D2734"/>
      <c r="G2734"/>
    </row>
    <row r="2735" spans="2:7">
      <c r="B2735"/>
      <c r="C2735"/>
      <c r="D2735"/>
      <c r="G2735"/>
    </row>
    <row r="2736" spans="2:7">
      <c r="B2736"/>
      <c r="C2736"/>
      <c r="D2736"/>
      <c r="G2736"/>
    </row>
    <row r="2737" spans="2:7">
      <c r="B2737"/>
      <c r="C2737"/>
      <c r="D2737"/>
      <c r="G2737"/>
    </row>
    <row r="2738" spans="2:7">
      <c r="B2738"/>
      <c r="C2738"/>
      <c r="D2738"/>
      <c r="G2738"/>
    </row>
    <row r="2739" spans="2:7">
      <c r="B2739"/>
      <c r="C2739"/>
      <c r="D2739"/>
      <c r="G2739"/>
    </row>
    <row r="2740" spans="2:7">
      <c r="B2740"/>
      <c r="C2740"/>
      <c r="D2740"/>
      <c r="G2740"/>
    </row>
    <row r="2741" spans="2:7">
      <c r="B2741"/>
      <c r="C2741"/>
      <c r="D2741"/>
      <c r="G2741"/>
    </row>
    <row r="2742" spans="2:7">
      <c r="B2742"/>
      <c r="C2742"/>
      <c r="D2742"/>
      <c r="G2742"/>
    </row>
    <row r="2743" spans="2:7">
      <c r="B2743"/>
      <c r="C2743"/>
      <c r="D2743"/>
      <c r="G2743"/>
    </row>
    <row r="2744" spans="2:7">
      <c r="B2744"/>
      <c r="C2744"/>
      <c r="D2744"/>
      <c r="G2744"/>
    </row>
    <row r="2745" spans="2:7">
      <c r="B2745"/>
      <c r="C2745"/>
      <c r="D2745"/>
      <c r="G2745"/>
    </row>
    <row r="2746" spans="2:7">
      <c r="B2746"/>
      <c r="C2746"/>
      <c r="D2746"/>
      <c r="G2746"/>
    </row>
    <row r="2747" spans="2:7">
      <c r="B2747"/>
      <c r="C2747"/>
      <c r="D2747"/>
      <c r="G2747"/>
    </row>
    <row r="2748" spans="2:7">
      <c r="B2748"/>
      <c r="C2748"/>
      <c r="D2748"/>
      <c r="G2748"/>
    </row>
    <row r="2749" spans="2:7">
      <c r="B2749"/>
      <c r="C2749"/>
      <c r="D2749"/>
      <c r="G2749"/>
    </row>
    <row r="2750" spans="2:7">
      <c r="B2750"/>
      <c r="C2750"/>
      <c r="D2750"/>
      <c r="G2750"/>
    </row>
    <row r="2751" spans="2:7">
      <c r="B2751"/>
      <c r="C2751"/>
      <c r="D2751"/>
      <c r="G2751"/>
    </row>
    <row r="2752" spans="2:7">
      <c r="B2752"/>
      <c r="C2752"/>
      <c r="D2752"/>
      <c r="G2752"/>
    </row>
    <row r="2753" spans="2:7">
      <c r="B2753"/>
      <c r="C2753"/>
      <c r="D2753"/>
      <c r="G2753"/>
    </row>
    <row r="2754" spans="2:7">
      <c r="B2754"/>
      <c r="C2754"/>
      <c r="D2754"/>
      <c r="G2754"/>
    </row>
    <row r="2755" spans="2:7">
      <c r="B2755"/>
      <c r="C2755"/>
      <c r="D2755"/>
      <c r="G2755"/>
    </row>
    <row r="2756" spans="2:7">
      <c r="B2756"/>
      <c r="C2756"/>
      <c r="D2756"/>
      <c r="G2756"/>
    </row>
    <row r="2757" spans="2:7">
      <c r="B2757"/>
      <c r="C2757"/>
      <c r="D2757"/>
      <c r="G2757"/>
    </row>
    <row r="2758" spans="2:7">
      <c r="B2758"/>
      <c r="C2758"/>
      <c r="D2758"/>
      <c r="G2758"/>
    </row>
    <row r="2759" spans="2:7">
      <c r="B2759"/>
      <c r="C2759"/>
      <c r="D2759"/>
      <c r="G2759"/>
    </row>
    <row r="2760" spans="2:7">
      <c r="B2760"/>
      <c r="C2760"/>
      <c r="D2760"/>
      <c r="G2760"/>
    </row>
    <row r="2761" spans="2:7">
      <c r="B2761"/>
      <c r="C2761"/>
      <c r="D2761"/>
      <c r="G2761"/>
    </row>
    <row r="2762" spans="2:7">
      <c r="B2762"/>
      <c r="C2762"/>
      <c r="D2762"/>
      <c r="G2762"/>
    </row>
    <row r="2763" spans="2:7">
      <c r="B2763"/>
      <c r="C2763"/>
      <c r="D2763"/>
      <c r="G2763"/>
    </row>
    <row r="2764" spans="2:7">
      <c r="B2764"/>
      <c r="C2764"/>
      <c r="D2764"/>
      <c r="G2764"/>
    </row>
    <row r="2765" spans="2:7">
      <c r="B2765"/>
      <c r="C2765"/>
      <c r="D2765"/>
      <c r="G2765"/>
    </row>
    <row r="2766" spans="2:7">
      <c r="B2766"/>
      <c r="C2766"/>
      <c r="D2766"/>
      <c r="G2766"/>
    </row>
    <row r="2767" spans="2:7">
      <c r="B2767"/>
      <c r="C2767"/>
      <c r="D2767"/>
      <c r="G2767"/>
    </row>
    <row r="2768" spans="2:7">
      <c r="B2768"/>
      <c r="C2768"/>
      <c r="D2768"/>
      <c r="G2768"/>
    </row>
    <row r="2769" spans="2:7">
      <c r="B2769"/>
      <c r="C2769"/>
      <c r="D2769"/>
      <c r="G2769"/>
    </row>
    <row r="2770" spans="2:7">
      <c r="B2770"/>
      <c r="C2770"/>
      <c r="D2770"/>
      <c r="G2770"/>
    </row>
    <row r="2771" spans="2:7">
      <c r="B2771"/>
      <c r="C2771"/>
      <c r="D2771"/>
      <c r="G2771"/>
    </row>
    <row r="2772" spans="2:7">
      <c r="B2772"/>
      <c r="C2772"/>
      <c r="D2772"/>
      <c r="G2772"/>
    </row>
    <row r="2773" spans="2:7">
      <c r="B2773"/>
      <c r="C2773"/>
      <c r="D2773"/>
      <c r="G2773"/>
    </row>
    <row r="2774" spans="2:7">
      <c r="B2774"/>
      <c r="C2774"/>
      <c r="D2774"/>
      <c r="G2774"/>
    </row>
    <row r="2775" spans="2:7">
      <c r="B2775"/>
      <c r="C2775"/>
      <c r="D2775"/>
      <c r="G2775"/>
    </row>
    <row r="2776" spans="2:7">
      <c r="B2776"/>
      <c r="C2776"/>
      <c r="D2776"/>
      <c r="G2776"/>
    </row>
    <row r="2777" spans="2:7">
      <c r="B2777"/>
      <c r="C2777"/>
      <c r="D2777"/>
      <c r="G2777"/>
    </row>
    <row r="2778" spans="2:7">
      <c r="B2778"/>
      <c r="C2778"/>
      <c r="D2778"/>
      <c r="G2778"/>
    </row>
    <row r="2779" spans="2:7">
      <c r="B2779"/>
      <c r="C2779"/>
      <c r="D2779"/>
      <c r="G2779"/>
    </row>
    <row r="2780" spans="2:7">
      <c r="B2780"/>
      <c r="C2780"/>
      <c r="D2780"/>
      <c r="G2780"/>
    </row>
    <row r="2781" spans="2:7">
      <c r="B2781"/>
      <c r="C2781"/>
      <c r="D2781"/>
      <c r="G2781"/>
    </row>
    <row r="2782" spans="2:7">
      <c r="B2782"/>
      <c r="C2782"/>
      <c r="D2782"/>
      <c r="G2782"/>
    </row>
    <row r="2783" spans="2:7">
      <c r="B2783"/>
      <c r="C2783"/>
      <c r="D2783"/>
      <c r="G2783"/>
    </row>
    <row r="2784" spans="2:7">
      <c r="B2784"/>
      <c r="C2784"/>
      <c r="D2784"/>
      <c r="G2784"/>
    </row>
    <row r="2785" spans="2:7">
      <c r="B2785"/>
      <c r="C2785"/>
      <c r="D2785"/>
      <c r="G2785"/>
    </row>
    <row r="2786" spans="2:7">
      <c r="B2786"/>
      <c r="C2786"/>
      <c r="D2786"/>
      <c r="G2786"/>
    </row>
    <row r="2787" spans="2:7">
      <c r="B2787"/>
      <c r="C2787"/>
      <c r="D2787"/>
      <c r="G2787"/>
    </row>
    <row r="2788" spans="2:7">
      <c r="B2788"/>
      <c r="C2788"/>
      <c r="D2788"/>
      <c r="G2788"/>
    </row>
    <row r="2789" spans="2:7">
      <c r="B2789"/>
      <c r="C2789"/>
      <c r="D2789"/>
      <c r="G2789"/>
    </row>
    <row r="2790" spans="2:7">
      <c r="B2790"/>
      <c r="C2790"/>
      <c r="D2790"/>
      <c r="G2790"/>
    </row>
    <row r="2791" spans="2:7">
      <c r="B2791"/>
      <c r="C2791"/>
      <c r="D2791"/>
      <c r="G2791"/>
    </row>
    <row r="2792" spans="2:7">
      <c r="B2792"/>
      <c r="C2792"/>
      <c r="D2792"/>
      <c r="G2792"/>
    </row>
    <row r="2793" spans="2:7">
      <c r="B2793"/>
      <c r="C2793"/>
      <c r="D2793"/>
      <c r="G2793"/>
    </row>
    <row r="2794" spans="2:7">
      <c r="B2794"/>
      <c r="C2794"/>
      <c r="D2794"/>
      <c r="G2794"/>
    </row>
    <row r="2795" spans="2:7">
      <c r="B2795"/>
      <c r="C2795"/>
      <c r="D2795"/>
      <c r="G2795"/>
    </row>
    <row r="2796" spans="2:7">
      <c r="B2796"/>
      <c r="C2796"/>
      <c r="D2796"/>
      <c r="G2796"/>
    </row>
    <row r="2797" spans="2:7">
      <c r="B2797"/>
      <c r="C2797"/>
      <c r="D2797"/>
      <c r="G2797"/>
    </row>
    <row r="2798" spans="2:7">
      <c r="B2798"/>
      <c r="C2798"/>
      <c r="D2798"/>
      <c r="G2798"/>
    </row>
    <row r="2799" spans="2:7">
      <c r="B2799"/>
      <c r="C2799"/>
      <c r="D2799"/>
      <c r="G2799"/>
    </row>
    <row r="2800" spans="2:7">
      <c r="B2800"/>
      <c r="C2800"/>
      <c r="D2800"/>
      <c r="G2800"/>
    </row>
    <row r="2801" spans="2:7">
      <c r="B2801"/>
      <c r="C2801"/>
      <c r="D2801"/>
      <c r="G2801"/>
    </row>
    <row r="2802" spans="2:7">
      <c r="B2802"/>
      <c r="C2802"/>
      <c r="D2802"/>
      <c r="G2802"/>
    </row>
    <row r="2803" spans="2:7">
      <c r="B2803"/>
      <c r="C2803"/>
      <c r="D2803"/>
      <c r="G2803"/>
    </row>
    <row r="2804" spans="2:7">
      <c r="B2804"/>
      <c r="C2804"/>
      <c r="D2804"/>
      <c r="G2804"/>
    </row>
    <row r="2805" spans="2:7">
      <c r="B2805"/>
      <c r="C2805"/>
      <c r="D2805"/>
      <c r="G2805"/>
    </row>
    <row r="2806" spans="2:7">
      <c r="B2806"/>
      <c r="C2806"/>
      <c r="D2806"/>
      <c r="G2806"/>
    </row>
    <row r="2807" spans="2:7">
      <c r="B2807"/>
      <c r="C2807"/>
      <c r="D2807"/>
      <c r="G2807"/>
    </row>
    <row r="2808" spans="2:7">
      <c r="B2808"/>
      <c r="C2808"/>
      <c r="D2808"/>
      <c r="G2808"/>
    </row>
    <row r="2809" spans="2:7">
      <c r="B2809"/>
      <c r="C2809"/>
      <c r="D2809"/>
      <c r="G2809"/>
    </row>
    <row r="2810" spans="2:7">
      <c r="B2810"/>
      <c r="C2810"/>
      <c r="D2810"/>
      <c r="G2810"/>
    </row>
    <row r="2811" spans="2:7">
      <c r="B2811"/>
      <c r="C2811"/>
      <c r="D2811"/>
      <c r="G2811"/>
    </row>
    <row r="2812" spans="2:7">
      <c r="B2812"/>
      <c r="C2812"/>
      <c r="D2812"/>
      <c r="G2812"/>
    </row>
    <row r="2813" spans="2:7">
      <c r="B2813"/>
      <c r="C2813"/>
      <c r="D2813"/>
      <c r="G2813"/>
    </row>
    <row r="2814" spans="2:7">
      <c r="B2814"/>
      <c r="C2814"/>
      <c r="D2814"/>
      <c r="G2814"/>
    </row>
    <row r="2815" spans="2:7">
      <c r="B2815"/>
      <c r="C2815"/>
      <c r="D2815"/>
      <c r="G2815"/>
    </row>
    <row r="2816" spans="2:7">
      <c r="B2816"/>
      <c r="C2816"/>
      <c r="D2816"/>
      <c r="G2816"/>
    </row>
    <row r="2817" spans="2:7">
      <c r="B2817"/>
      <c r="C2817"/>
      <c r="D2817"/>
      <c r="G2817"/>
    </row>
    <row r="2818" spans="2:7">
      <c r="B2818"/>
      <c r="C2818"/>
      <c r="D2818"/>
      <c r="G2818"/>
    </row>
    <row r="2819" spans="2:7">
      <c r="B2819"/>
      <c r="C2819"/>
      <c r="D2819"/>
      <c r="G2819"/>
    </row>
    <row r="2820" spans="2:7">
      <c r="B2820"/>
      <c r="C2820"/>
      <c r="D2820"/>
      <c r="G2820"/>
    </row>
    <row r="2821" spans="2:7">
      <c r="B2821"/>
      <c r="C2821"/>
      <c r="D2821"/>
      <c r="G2821"/>
    </row>
    <row r="2822" spans="2:7">
      <c r="B2822"/>
      <c r="C2822"/>
      <c r="D2822"/>
      <c r="G2822"/>
    </row>
    <row r="2823" spans="2:7">
      <c r="B2823"/>
      <c r="C2823"/>
      <c r="D2823"/>
      <c r="G2823"/>
    </row>
    <row r="2824" spans="2:7">
      <c r="B2824"/>
      <c r="C2824"/>
      <c r="D2824"/>
      <c r="G2824"/>
    </row>
    <row r="2825" spans="2:7">
      <c r="B2825"/>
      <c r="C2825"/>
      <c r="D2825"/>
      <c r="G2825"/>
    </row>
    <row r="2826" spans="2:7">
      <c r="B2826"/>
      <c r="C2826"/>
      <c r="D2826"/>
      <c r="G2826"/>
    </row>
    <row r="2827" spans="2:7">
      <c r="B2827"/>
      <c r="C2827"/>
      <c r="D2827"/>
      <c r="G2827"/>
    </row>
    <row r="2828" spans="2:7">
      <c r="B2828"/>
      <c r="C2828"/>
      <c r="D2828"/>
      <c r="G2828"/>
    </row>
    <row r="2829" spans="2:7">
      <c r="B2829"/>
      <c r="C2829"/>
      <c r="D2829"/>
      <c r="G2829"/>
    </row>
    <row r="2830" spans="2:7">
      <c r="B2830"/>
      <c r="C2830"/>
      <c r="D2830"/>
      <c r="G2830"/>
    </row>
    <row r="2831" spans="2:7">
      <c r="B2831"/>
      <c r="C2831"/>
      <c r="D2831"/>
      <c r="G2831"/>
    </row>
    <row r="2832" spans="2:7">
      <c r="B2832"/>
      <c r="C2832"/>
      <c r="D2832"/>
      <c r="G2832"/>
    </row>
    <row r="2833" spans="2:7">
      <c r="B2833"/>
      <c r="C2833"/>
      <c r="D2833"/>
      <c r="G2833"/>
    </row>
    <row r="2834" spans="2:7">
      <c r="B2834"/>
      <c r="C2834"/>
      <c r="D2834"/>
      <c r="G2834"/>
    </row>
    <row r="2835" spans="2:7">
      <c r="B2835"/>
      <c r="C2835"/>
      <c r="D2835"/>
      <c r="G2835"/>
    </row>
    <row r="2836" spans="2:7">
      <c r="B2836"/>
      <c r="C2836"/>
      <c r="D2836"/>
      <c r="G2836"/>
    </row>
    <row r="2837" spans="2:7">
      <c r="B2837"/>
      <c r="C2837"/>
      <c r="D2837"/>
      <c r="G2837"/>
    </row>
    <row r="2838" spans="2:7">
      <c r="B2838"/>
      <c r="C2838"/>
      <c r="D2838"/>
      <c r="G2838"/>
    </row>
    <row r="2839" spans="2:7">
      <c r="B2839"/>
      <c r="C2839"/>
      <c r="D2839"/>
      <c r="G2839"/>
    </row>
    <row r="2840" spans="2:7">
      <c r="B2840"/>
      <c r="C2840"/>
      <c r="D2840"/>
      <c r="G2840"/>
    </row>
    <row r="2841" spans="2:7">
      <c r="B2841"/>
      <c r="C2841"/>
      <c r="D2841"/>
      <c r="G2841"/>
    </row>
    <row r="2842" spans="2:7">
      <c r="B2842"/>
      <c r="C2842"/>
      <c r="D2842"/>
      <c r="G2842"/>
    </row>
    <row r="2843" spans="2:7">
      <c r="B2843"/>
      <c r="C2843"/>
      <c r="D2843"/>
      <c r="G2843"/>
    </row>
    <row r="2844" spans="2:7">
      <c r="B2844"/>
      <c r="C2844"/>
      <c r="D2844"/>
      <c r="G2844"/>
    </row>
    <row r="2845" spans="2:7">
      <c r="B2845"/>
      <c r="C2845"/>
      <c r="D2845"/>
      <c r="G2845"/>
    </row>
    <row r="2846" spans="2:7">
      <c r="B2846"/>
      <c r="C2846"/>
      <c r="D2846"/>
      <c r="G2846"/>
    </row>
    <row r="2847" spans="2:7">
      <c r="B2847"/>
      <c r="C2847"/>
      <c r="D2847"/>
      <c r="G2847"/>
    </row>
    <row r="2848" spans="2:7">
      <c r="B2848"/>
      <c r="C2848"/>
      <c r="D2848"/>
      <c r="G2848"/>
    </row>
    <row r="2849" spans="2:7">
      <c r="B2849"/>
      <c r="C2849"/>
      <c r="D2849"/>
      <c r="G2849"/>
    </row>
    <row r="2850" spans="2:7">
      <c r="B2850"/>
      <c r="C2850"/>
      <c r="D2850"/>
      <c r="G2850"/>
    </row>
    <row r="2851" spans="2:7">
      <c r="B2851"/>
      <c r="C2851"/>
      <c r="D2851"/>
      <c r="G2851"/>
    </row>
    <row r="2852" spans="2:7">
      <c r="B2852"/>
      <c r="C2852"/>
      <c r="D2852"/>
      <c r="G2852"/>
    </row>
    <row r="2853" spans="2:7">
      <c r="B2853"/>
      <c r="C2853"/>
      <c r="D2853"/>
      <c r="G2853"/>
    </row>
    <row r="2854" spans="2:7">
      <c r="B2854"/>
      <c r="C2854"/>
      <c r="D2854"/>
      <c r="G2854"/>
    </row>
    <row r="2855" spans="2:7">
      <c r="B2855"/>
      <c r="C2855"/>
      <c r="D2855"/>
      <c r="G2855"/>
    </row>
    <row r="2856" spans="2:7">
      <c r="B2856"/>
      <c r="C2856"/>
      <c r="D2856"/>
      <c r="G2856"/>
    </row>
    <row r="2857" spans="2:7">
      <c r="B2857"/>
      <c r="C2857"/>
      <c r="D2857"/>
      <c r="G2857"/>
    </row>
    <row r="2858" spans="2:7">
      <c r="B2858"/>
      <c r="C2858"/>
      <c r="D2858"/>
      <c r="G2858"/>
    </row>
    <row r="2859" spans="2:7">
      <c r="B2859"/>
      <c r="C2859"/>
      <c r="D2859"/>
      <c r="G2859"/>
    </row>
    <row r="2860" spans="2:7">
      <c r="B2860"/>
      <c r="C2860"/>
      <c r="D2860"/>
      <c r="G2860"/>
    </row>
    <row r="2861" spans="2:7">
      <c r="B2861"/>
      <c r="C2861"/>
      <c r="D2861"/>
      <c r="G2861"/>
    </row>
    <row r="2862" spans="2:7">
      <c r="B2862"/>
      <c r="C2862"/>
      <c r="D2862"/>
      <c r="G2862"/>
    </row>
    <row r="2863" spans="2:7">
      <c r="B2863"/>
      <c r="C2863"/>
      <c r="D2863"/>
      <c r="G2863"/>
    </row>
    <row r="2864" spans="2:7">
      <c r="B2864"/>
      <c r="C2864"/>
      <c r="D2864"/>
      <c r="G2864"/>
    </row>
    <row r="2865" spans="2:7">
      <c r="B2865"/>
      <c r="C2865"/>
      <c r="D2865"/>
      <c r="G2865"/>
    </row>
    <row r="2866" spans="2:7">
      <c r="B2866"/>
      <c r="C2866"/>
      <c r="D2866"/>
      <c r="G2866"/>
    </row>
    <row r="2867" spans="2:7">
      <c r="B2867"/>
      <c r="C2867"/>
      <c r="D2867"/>
      <c r="G2867"/>
    </row>
    <row r="2868" spans="2:7">
      <c r="B2868"/>
      <c r="C2868"/>
      <c r="D2868"/>
      <c r="G2868"/>
    </row>
    <row r="2869" spans="2:7">
      <c r="B2869"/>
      <c r="C2869"/>
      <c r="D2869"/>
      <c r="G2869"/>
    </row>
    <row r="2870" spans="2:7">
      <c r="B2870"/>
      <c r="C2870"/>
      <c r="D2870"/>
      <c r="G2870"/>
    </row>
    <row r="2871" spans="2:7">
      <c r="B2871"/>
      <c r="C2871"/>
      <c r="D2871"/>
      <c r="G2871"/>
    </row>
    <row r="2872" spans="2:7">
      <c r="B2872"/>
      <c r="C2872"/>
      <c r="D2872"/>
      <c r="G2872"/>
    </row>
    <row r="2873" spans="2:7">
      <c r="B2873"/>
      <c r="C2873"/>
      <c r="D2873"/>
      <c r="G2873"/>
    </row>
    <row r="2874" spans="2:7">
      <c r="B2874"/>
      <c r="C2874"/>
      <c r="D2874"/>
      <c r="G2874"/>
    </row>
    <row r="2875" spans="2:7">
      <c r="B2875"/>
      <c r="C2875"/>
      <c r="D2875"/>
      <c r="G2875"/>
    </row>
    <row r="2876" spans="2:7">
      <c r="B2876"/>
      <c r="C2876"/>
      <c r="D2876"/>
      <c r="G2876"/>
    </row>
    <row r="2877" spans="2:7">
      <c r="B2877"/>
      <c r="C2877"/>
      <c r="D2877"/>
      <c r="G2877"/>
    </row>
    <row r="2878" spans="2:7">
      <c r="B2878"/>
      <c r="C2878"/>
      <c r="D2878"/>
      <c r="G2878"/>
    </row>
    <row r="2879" spans="2:7">
      <c r="B2879"/>
      <c r="C2879"/>
      <c r="D2879"/>
      <c r="G2879"/>
    </row>
    <row r="2880" spans="2:7">
      <c r="B2880"/>
      <c r="C2880"/>
      <c r="D2880"/>
      <c r="G2880"/>
    </row>
    <row r="2881" spans="2:7">
      <c r="B2881"/>
      <c r="C2881"/>
      <c r="D2881"/>
      <c r="G2881"/>
    </row>
    <row r="2882" spans="2:7">
      <c r="B2882"/>
      <c r="C2882"/>
      <c r="D2882"/>
      <c r="G2882"/>
    </row>
    <row r="2883" spans="2:7">
      <c r="B2883"/>
      <c r="C2883"/>
      <c r="D2883"/>
      <c r="G2883"/>
    </row>
    <row r="2884" spans="2:7">
      <c r="B2884"/>
      <c r="C2884"/>
      <c r="D2884"/>
      <c r="G2884"/>
    </row>
    <row r="2885" spans="2:7">
      <c r="B2885"/>
      <c r="C2885"/>
      <c r="D2885"/>
      <c r="G2885"/>
    </row>
    <row r="2886" spans="2:7">
      <c r="B2886"/>
      <c r="C2886"/>
      <c r="D2886"/>
      <c r="G2886"/>
    </row>
    <row r="2887" spans="2:7">
      <c r="B2887"/>
      <c r="C2887"/>
      <c r="D2887"/>
      <c r="G2887"/>
    </row>
    <row r="2888" spans="2:7">
      <c r="B2888"/>
      <c r="C2888"/>
      <c r="D2888"/>
      <c r="G2888"/>
    </row>
    <row r="2889" spans="2:7">
      <c r="B2889"/>
      <c r="C2889"/>
      <c r="D2889"/>
      <c r="G2889"/>
    </row>
    <row r="2890" spans="2:7">
      <c r="B2890"/>
      <c r="C2890"/>
      <c r="D2890"/>
      <c r="G2890"/>
    </row>
    <row r="2891" spans="2:7">
      <c r="B2891"/>
      <c r="C2891"/>
      <c r="D2891"/>
      <c r="G2891"/>
    </row>
    <row r="2892" spans="2:7">
      <c r="B2892"/>
      <c r="C2892"/>
      <c r="D2892"/>
      <c r="G2892"/>
    </row>
    <row r="2893" spans="2:7">
      <c r="B2893"/>
      <c r="C2893"/>
      <c r="D2893"/>
      <c r="G2893"/>
    </row>
    <row r="2894" spans="2:7">
      <c r="B2894"/>
      <c r="C2894"/>
      <c r="D2894"/>
      <c r="G2894"/>
    </row>
    <row r="2895" spans="2:7">
      <c r="B2895"/>
      <c r="C2895"/>
      <c r="D2895"/>
      <c r="G2895"/>
    </row>
    <row r="2896" spans="2:7">
      <c r="B2896"/>
      <c r="C2896"/>
      <c r="D2896"/>
      <c r="G2896"/>
    </row>
    <row r="2897" spans="2:7">
      <c r="B2897"/>
      <c r="C2897"/>
      <c r="D2897"/>
      <c r="G2897"/>
    </row>
    <row r="2898" spans="2:7">
      <c r="B2898"/>
      <c r="C2898"/>
      <c r="D2898"/>
      <c r="G2898"/>
    </row>
    <row r="2899" spans="2:7">
      <c r="B2899"/>
      <c r="C2899"/>
      <c r="D2899"/>
      <c r="G2899"/>
    </row>
    <row r="2900" spans="2:7">
      <c r="B2900"/>
      <c r="C2900"/>
      <c r="D2900"/>
      <c r="G2900"/>
    </row>
    <row r="2901" spans="2:7">
      <c r="B2901"/>
      <c r="C2901"/>
      <c r="D2901"/>
      <c r="G2901"/>
    </row>
    <row r="2902" spans="2:7">
      <c r="B2902"/>
      <c r="C2902"/>
      <c r="D2902"/>
      <c r="G2902"/>
    </row>
    <row r="2903" spans="2:7">
      <c r="B2903"/>
      <c r="C2903"/>
      <c r="D2903"/>
      <c r="G2903"/>
    </row>
    <row r="2904" spans="2:7">
      <c r="B2904"/>
      <c r="C2904"/>
      <c r="D2904"/>
      <c r="G2904"/>
    </row>
    <row r="2905" spans="2:7">
      <c r="B2905"/>
      <c r="C2905"/>
      <c r="D2905"/>
      <c r="G2905"/>
    </row>
    <row r="2906" spans="2:7">
      <c r="B2906"/>
      <c r="C2906"/>
      <c r="D2906"/>
      <c r="G2906"/>
    </row>
    <row r="2907" spans="2:7">
      <c r="B2907"/>
      <c r="C2907"/>
      <c r="D2907"/>
      <c r="G2907"/>
    </row>
    <row r="2908" spans="2:7">
      <c r="B2908"/>
      <c r="C2908"/>
      <c r="D2908"/>
      <c r="G2908"/>
    </row>
    <row r="2909" spans="2:7">
      <c r="B2909"/>
      <c r="C2909"/>
      <c r="D2909"/>
      <c r="G2909"/>
    </row>
    <row r="2910" spans="2:7">
      <c r="B2910"/>
      <c r="C2910"/>
      <c r="D2910"/>
      <c r="G2910"/>
    </row>
    <row r="2911" spans="2:7">
      <c r="B2911"/>
      <c r="C2911"/>
      <c r="D2911"/>
      <c r="G2911"/>
    </row>
    <row r="2912" spans="2:7">
      <c r="B2912"/>
      <c r="C2912"/>
      <c r="D2912"/>
      <c r="G2912"/>
    </row>
    <row r="2913" spans="2:7">
      <c r="B2913"/>
      <c r="C2913"/>
      <c r="D2913"/>
      <c r="G2913"/>
    </row>
    <row r="2914" spans="2:7">
      <c r="B2914"/>
      <c r="C2914"/>
      <c r="D2914"/>
      <c r="G2914"/>
    </row>
    <row r="2915" spans="2:7">
      <c r="B2915"/>
      <c r="C2915"/>
      <c r="D2915"/>
      <c r="G2915"/>
    </row>
    <row r="2916" spans="2:7">
      <c r="B2916"/>
      <c r="C2916"/>
      <c r="D2916"/>
      <c r="G2916"/>
    </row>
    <row r="2917" spans="2:7">
      <c r="B2917"/>
      <c r="C2917"/>
      <c r="D2917"/>
      <c r="G2917"/>
    </row>
    <row r="2918" spans="2:7">
      <c r="B2918"/>
      <c r="C2918"/>
      <c r="D2918"/>
      <c r="G2918"/>
    </row>
    <row r="2919" spans="2:7">
      <c r="B2919"/>
      <c r="C2919"/>
      <c r="D2919"/>
      <c r="G2919"/>
    </row>
    <row r="2920" spans="2:7">
      <c r="B2920"/>
      <c r="C2920"/>
      <c r="D2920"/>
      <c r="G2920"/>
    </row>
    <row r="2921" spans="2:7">
      <c r="B2921"/>
      <c r="C2921"/>
      <c r="D2921"/>
      <c r="G2921"/>
    </row>
    <row r="2922" spans="2:7">
      <c r="B2922"/>
      <c r="C2922"/>
      <c r="D2922"/>
      <c r="G2922"/>
    </row>
    <row r="2923" spans="2:7">
      <c r="B2923"/>
      <c r="C2923"/>
      <c r="D2923"/>
      <c r="G2923"/>
    </row>
    <row r="2924" spans="2:7">
      <c r="B2924"/>
      <c r="C2924"/>
      <c r="D2924"/>
      <c r="G2924"/>
    </row>
    <row r="2925" spans="2:7">
      <c r="B2925"/>
      <c r="C2925"/>
      <c r="D2925"/>
      <c r="G2925"/>
    </row>
    <row r="2926" spans="2:7">
      <c r="B2926"/>
      <c r="C2926"/>
      <c r="D2926"/>
      <c r="G2926"/>
    </row>
    <row r="2927" spans="2:7">
      <c r="B2927"/>
      <c r="C2927"/>
      <c r="D2927"/>
      <c r="G2927"/>
    </row>
    <row r="2928" spans="2:7">
      <c r="B2928"/>
      <c r="C2928"/>
      <c r="D2928"/>
      <c r="G2928"/>
    </row>
    <row r="2929" spans="2:7">
      <c r="B2929"/>
      <c r="C2929"/>
      <c r="D2929"/>
      <c r="G2929"/>
    </row>
    <row r="2930" spans="2:7">
      <c r="B2930"/>
      <c r="C2930"/>
      <c r="D2930"/>
      <c r="G2930"/>
    </row>
    <row r="2931" spans="2:7">
      <c r="B2931"/>
      <c r="C2931"/>
      <c r="D2931"/>
      <c r="G2931"/>
    </row>
    <row r="2932" spans="2:7">
      <c r="B2932"/>
      <c r="C2932"/>
      <c r="D2932"/>
      <c r="G2932"/>
    </row>
    <row r="2933" spans="2:7">
      <c r="B2933"/>
      <c r="C2933"/>
      <c r="D2933"/>
      <c r="G2933"/>
    </row>
    <row r="2934" spans="2:7">
      <c r="B2934"/>
      <c r="C2934"/>
      <c r="D2934"/>
      <c r="G2934"/>
    </row>
    <row r="2935" spans="2:7">
      <c r="B2935"/>
      <c r="C2935"/>
      <c r="D2935"/>
      <c r="G2935"/>
    </row>
    <row r="2936" spans="2:7">
      <c r="B2936"/>
      <c r="C2936"/>
      <c r="D2936"/>
      <c r="G2936"/>
    </row>
    <row r="2937" spans="2:7">
      <c r="B2937"/>
      <c r="C2937"/>
      <c r="D2937"/>
      <c r="G2937"/>
    </row>
    <row r="2938" spans="2:7">
      <c r="B2938"/>
      <c r="C2938"/>
      <c r="D2938"/>
      <c r="G2938"/>
    </row>
    <row r="2939" spans="2:7">
      <c r="B2939"/>
      <c r="C2939"/>
      <c r="D2939"/>
      <c r="G2939"/>
    </row>
    <row r="2940" spans="2:7">
      <c r="B2940"/>
      <c r="C2940"/>
      <c r="D2940"/>
      <c r="G2940"/>
    </row>
    <row r="2941" spans="2:7">
      <c r="B2941"/>
      <c r="C2941"/>
      <c r="D2941"/>
      <c r="G2941"/>
    </row>
    <row r="2942" spans="2:7">
      <c r="B2942"/>
      <c r="C2942"/>
      <c r="D2942"/>
      <c r="G2942"/>
    </row>
    <row r="2943" spans="2:7">
      <c r="B2943"/>
      <c r="C2943"/>
      <c r="D2943"/>
      <c r="G2943"/>
    </row>
    <row r="2944" spans="2:7">
      <c r="B2944"/>
      <c r="C2944"/>
      <c r="D2944"/>
      <c r="G2944"/>
    </row>
    <row r="2945" spans="2:7">
      <c r="B2945"/>
      <c r="C2945"/>
      <c r="D2945"/>
      <c r="G2945"/>
    </row>
    <row r="2946" spans="2:7">
      <c r="B2946"/>
      <c r="C2946"/>
      <c r="D2946"/>
      <c r="G2946"/>
    </row>
    <row r="2947" spans="2:7">
      <c r="B2947"/>
      <c r="C2947"/>
      <c r="D2947"/>
      <c r="G2947"/>
    </row>
    <row r="2948" spans="2:7">
      <c r="B2948"/>
      <c r="C2948"/>
      <c r="D2948"/>
      <c r="G2948"/>
    </row>
    <row r="2949" spans="2:7">
      <c r="B2949"/>
      <c r="C2949"/>
      <c r="D2949"/>
      <c r="G2949"/>
    </row>
    <row r="2950" spans="2:7">
      <c r="B2950"/>
      <c r="C2950"/>
      <c r="D2950"/>
      <c r="G2950"/>
    </row>
    <row r="2951" spans="2:7">
      <c r="B2951"/>
      <c r="C2951"/>
      <c r="D2951"/>
      <c r="G2951"/>
    </row>
    <row r="2952" spans="2:7">
      <c r="B2952"/>
      <c r="C2952"/>
      <c r="D2952"/>
      <c r="G2952"/>
    </row>
    <row r="2953" spans="2:7">
      <c r="B2953"/>
      <c r="C2953"/>
      <c r="D2953"/>
      <c r="G2953"/>
    </row>
    <row r="2954" spans="2:7">
      <c r="B2954"/>
      <c r="C2954"/>
      <c r="D2954"/>
      <c r="G2954"/>
    </row>
    <row r="2955" spans="2:7">
      <c r="B2955"/>
      <c r="C2955"/>
      <c r="D2955"/>
      <c r="G2955"/>
    </row>
    <row r="2956" spans="2:7">
      <c r="B2956"/>
      <c r="C2956"/>
      <c r="D2956"/>
      <c r="G2956"/>
    </row>
    <row r="2957" spans="2:7">
      <c r="B2957"/>
      <c r="C2957"/>
      <c r="D2957"/>
      <c r="G2957"/>
    </row>
    <row r="2958" spans="2:7">
      <c r="B2958"/>
      <c r="C2958"/>
      <c r="D2958"/>
      <c r="G2958"/>
    </row>
    <row r="2959" spans="2:7">
      <c r="B2959"/>
      <c r="C2959"/>
      <c r="D2959"/>
      <c r="G2959"/>
    </row>
    <row r="2960" spans="2:7">
      <c r="B2960"/>
      <c r="C2960"/>
      <c r="D2960"/>
      <c r="G2960"/>
    </row>
    <row r="2961" spans="2:7">
      <c r="B2961"/>
      <c r="C2961"/>
      <c r="D2961"/>
      <c r="G2961"/>
    </row>
    <row r="2962" spans="2:7">
      <c r="B2962"/>
      <c r="C2962"/>
      <c r="D2962"/>
      <c r="G2962"/>
    </row>
    <row r="2963" spans="2:7">
      <c r="B2963"/>
      <c r="C2963"/>
      <c r="D2963"/>
      <c r="G2963"/>
    </row>
    <row r="2964" spans="2:7">
      <c r="B2964"/>
      <c r="C2964"/>
      <c r="D2964"/>
      <c r="G2964"/>
    </row>
    <row r="2965" spans="2:7">
      <c r="B2965"/>
      <c r="C2965"/>
      <c r="D2965"/>
      <c r="G2965"/>
    </row>
    <row r="2966" spans="2:7">
      <c r="B2966"/>
      <c r="C2966"/>
      <c r="D2966"/>
      <c r="G2966"/>
    </row>
    <row r="2967" spans="2:7">
      <c r="B2967"/>
      <c r="C2967"/>
      <c r="D2967"/>
      <c r="G2967"/>
    </row>
    <row r="2968" spans="2:7">
      <c r="B2968"/>
      <c r="C2968"/>
      <c r="D2968"/>
      <c r="G2968"/>
    </row>
    <row r="2969" spans="2:7">
      <c r="B2969"/>
      <c r="C2969"/>
      <c r="D2969"/>
      <c r="G2969"/>
    </row>
    <row r="2970" spans="2:7">
      <c r="B2970"/>
      <c r="C2970"/>
      <c r="D2970"/>
      <c r="G2970"/>
    </row>
    <row r="2971" spans="2:7">
      <c r="B2971"/>
      <c r="C2971"/>
      <c r="D2971"/>
      <c r="G2971"/>
    </row>
    <row r="2972" spans="2:7">
      <c r="B2972"/>
      <c r="C2972"/>
      <c r="D2972"/>
      <c r="G2972"/>
    </row>
    <row r="2973" spans="2:7">
      <c r="B2973"/>
      <c r="C2973"/>
      <c r="D2973"/>
      <c r="G2973"/>
    </row>
    <row r="2974" spans="2:7">
      <c r="B2974"/>
      <c r="C2974"/>
      <c r="D2974"/>
      <c r="G2974"/>
    </row>
    <row r="2975" spans="2:7">
      <c r="B2975"/>
      <c r="C2975"/>
      <c r="D2975"/>
      <c r="G2975"/>
    </row>
    <row r="2976" spans="2:7">
      <c r="B2976"/>
      <c r="C2976"/>
      <c r="D2976"/>
      <c r="G2976"/>
    </row>
    <row r="2977" spans="2:7">
      <c r="B2977"/>
      <c r="C2977"/>
      <c r="D2977"/>
      <c r="G2977"/>
    </row>
    <row r="2978" spans="2:7">
      <c r="B2978"/>
      <c r="C2978"/>
      <c r="D2978"/>
      <c r="G2978"/>
    </row>
    <row r="2979" spans="2:7">
      <c r="B2979"/>
      <c r="C2979"/>
      <c r="D2979"/>
      <c r="G2979"/>
    </row>
    <row r="2980" spans="2:7">
      <c r="B2980"/>
      <c r="C2980"/>
      <c r="D2980"/>
      <c r="G2980"/>
    </row>
    <row r="2981" spans="2:7">
      <c r="B2981"/>
      <c r="C2981"/>
      <c r="D2981"/>
      <c r="G2981"/>
    </row>
    <row r="2982" spans="2:7">
      <c r="B2982"/>
      <c r="C2982"/>
      <c r="D2982"/>
      <c r="G2982"/>
    </row>
    <row r="2983" spans="2:7">
      <c r="B2983"/>
      <c r="C2983"/>
      <c r="D2983"/>
      <c r="G2983"/>
    </row>
    <row r="2984" spans="2:7">
      <c r="B2984"/>
      <c r="C2984"/>
      <c r="D2984"/>
      <c r="G2984"/>
    </row>
    <row r="2985" spans="2:7">
      <c r="B2985"/>
      <c r="C2985"/>
      <c r="D2985"/>
      <c r="G2985"/>
    </row>
    <row r="2986" spans="2:7">
      <c r="B2986"/>
      <c r="C2986"/>
      <c r="D2986"/>
      <c r="G2986"/>
    </row>
    <row r="2987" spans="2:7">
      <c r="B2987"/>
      <c r="C2987"/>
      <c r="D2987"/>
      <c r="G2987"/>
    </row>
    <row r="2988" spans="2:7">
      <c r="B2988"/>
      <c r="C2988"/>
      <c r="D2988"/>
      <c r="G2988"/>
    </row>
    <row r="2989" spans="2:7">
      <c r="B2989"/>
      <c r="C2989"/>
      <c r="D2989"/>
      <c r="G2989"/>
    </row>
    <row r="2990" spans="2:7">
      <c r="B2990"/>
      <c r="C2990"/>
      <c r="D2990"/>
      <c r="G2990"/>
    </row>
    <row r="2991" spans="2:7">
      <c r="B2991"/>
      <c r="C2991"/>
      <c r="D2991"/>
      <c r="G2991"/>
    </row>
    <row r="2992" spans="2:7">
      <c r="B2992"/>
      <c r="C2992"/>
      <c r="D2992"/>
      <c r="G2992"/>
    </row>
    <row r="2993" spans="2:7">
      <c r="B2993"/>
      <c r="C2993"/>
      <c r="D2993"/>
      <c r="G2993"/>
    </row>
    <row r="2994" spans="2:7">
      <c r="B2994"/>
      <c r="C2994"/>
      <c r="D2994"/>
      <c r="G2994"/>
    </row>
    <row r="2995" spans="2:7">
      <c r="B2995"/>
      <c r="C2995"/>
      <c r="D2995"/>
      <c r="G2995"/>
    </row>
    <row r="2996" spans="2:7">
      <c r="B2996"/>
      <c r="C2996"/>
      <c r="D2996"/>
      <c r="G2996"/>
    </row>
    <row r="2997" spans="2:7">
      <c r="B2997"/>
      <c r="C2997"/>
      <c r="D2997"/>
      <c r="G2997"/>
    </row>
    <row r="2998" spans="2:7">
      <c r="B2998"/>
      <c r="C2998"/>
      <c r="D2998"/>
      <c r="G2998"/>
    </row>
    <row r="2999" spans="2:7">
      <c r="B2999"/>
      <c r="C2999"/>
      <c r="D2999"/>
      <c r="G2999"/>
    </row>
    <row r="3000" spans="2:7">
      <c r="B3000"/>
      <c r="C3000"/>
      <c r="D3000"/>
      <c r="G3000"/>
    </row>
    <row r="3001" spans="2:7">
      <c r="B3001"/>
      <c r="C3001"/>
      <c r="D3001"/>
      <c r="G3001"/>
    </row>
    <row r="3002" spans="2:7">
      <c r="B3002"/>
      <c r="C3002"/>
      <c r="D3002"/>
      <c r="G3002"/>
    </row>
    <row r="3003" spans="2:7">
      <c r="B3003"/>
      <c r="C3003"/>
      <c r="D3003"/>
      <c r="G3003"/>
    </row>
    <row r="3004" spans="2:7">
      <c r="B3004"/>
      <c r="C3004"/>
      <c r="D3004"/>
      <c r="G3004"/>
    </row>
    <row r="3005" spans="2:7">
      <c r="B3005"/>
      <c r="C3005"/>
      <c r="D3005"/>
      <c r="G3005"/>
    </row>
    <row r="3006" spans="2:7">
      <c r="B3006"/>
      <c r="C3006"/>
      <c r="D3006"/>
      <c r="G3006"/>
    </row>
    <row r="3007" spans="2:7">
      <c r="B3007"/>
      <c r="C3007"/>
      <c r="D3007"/>
      <c r="G3007"/>
    </row>
    <row r="3008" spans="2:7">
      <c r="B3008"/>
      <c r="C3008"/>
      <c r="D3008"/>
      <c r="G3008"/>
    </row>
    <row r="3009" spans="2:7">
      <c r="B3009"/>
      <c r="C3009"/>
      <c r="D3009"/>
      <c r="G3009"/>
    </row>
    <row r="3010" spans="2:7">
      <c r="B3010"/>
      <c r="C3010"/>
      <c r="D3010"/>
      <c r="G3010"/>
    </row>
    <row r="3011" spans="2:7">
      <c r="B3011"/>
      <c r="C3011"/>
      <c r="D3011"/>
      <c r="G3011"/>
    </row>
    <row r="3012" spans="2:7">
      <c r="B3012"/>
      <c r="C3012"/>
      <c r="D3012"/>
      <c r="G3012"/>
    </row>
    <row r="3013" spans="2:7">
      <c r="B3013"/>
      <c r="C3013"/>
      <c r="D3013"/>
      <c r="G3013"/>
    </row>
    <row r="3014" spans="2:7">
      <c r="B3014"/>
      <c r="C3014"/>
      <c r="D3014"/>
      <c r="G3014"/>
    </row>
    <row r="3015" spans="2:7">
      <c r="B3015"/>
      <c r="C3015"/>
      <c r="D3015"/>
      <c r="G3015"/>
    </row>
    <row r="3016" spans="2:7">
      <c r="B3016"/>
      <c r="C3016"/>
      <c r="D3016"/>
      <c r="G3016"/>
    </row>
    <row r="3017" spans="2:7">
      <c r="B3017"/>
      <c r="C3017"/>
      <c r="D3017"/>
      <c r="G3017"/>
    </row>
    <row r="3018" spans="2:7">
      <c r="B3018"/>
      <c r="C3018"/>
      <c r="D3018"/>
      <c r="G3018"/>
    </row>
    <row r="3019" spans="2:7">
      <c r="B3019"/>
      <c r="C3019"/>
      <c r="D3019"/>
      <c r="G3019"/>
    </row>
    <row r="3020" spans="2:7">
      <c r="B3020"/>
      <c r="C3020"/>
      <c r="D3020"/>
      <c r="G3020"/>
    </row>
    <row r="3021" spans="2:7">
      <c r="B3021"/>
      <c r="C3021"/>
      <c r="D3021"/>
      <c r="G3021"/>
    </row>
    <row r="3022" spans="2:7">
      <c r="B3022"/>
      <c r="C3022"/>
      <c r="D3022"/>
      <c r="G3022"/>
    </row>
    <row r="3023" spans="2:7">
      <c r="B3023"/>
      <c r="C3023"/>
      <c r="D3023"/>
      <c r="G3023"/>
    </row>
    <row r="3024" spans="2:7">
      <c r="B3024"/>
      <c r="C3024"/>
      <c r="D3024"/>
      <c r="G3024"/>
    </row>
    <row r="3025" spans="2:7">
      <c r="B3025"/>
      <c r="C3025"/>
      <c r="D3025"/>
      <c r="G3025"/>
    </row>
    <row r="3026" spans="2:7">
      <c r="B3026"/>
      <c r="C3026"/>
      <c r="D3026"/>
      <c r="G3026"/>
    </row>
    <row r="3027" spans="2:7">
      <c r="B3027"/>
      <c r="C3027"/>
      <c r="D3027"/>
      <c r="G3027"/>
    </row>
    <row r="3028" spans="2:7">
      <c r="B3028"/>
      <c r="C3028"/>
      <c r="D3028"/>
      <c r="G3028"/>
    </row>
    <row r="3029" spans="2:7">
      <c r="B3029"/>
      <c r="C3029"/>
      <c r="D3029"/>
      <c r="G3029"/>
    </row>
    <row r="3030" spans="2:7">
      <c r="B3030"/>
      <c r="C3030"/>
      <c r="D3030"/>
      <c r="G3030"/>
    </row>
    <row r="3031" spans="2:7">
      <c r="B3031"/>
      <c r="C3031"/>
      <c r="D3031"/>
      <c r="G3031"/>
    </row>
    <row r="3032" spans="2:7">
      <c r="B3032"/>
      <c r="C3032"/>
      <c r="D3032"/>
      <c r="G3032"/>
    </row>
    <row r="3033" spans="2:7">
      <c r="B3033"/>
      <c r="C3033"/>
      <c r="D3033"/>
      <c r="G3033"/>
    </row>
    <row r="3034" spans="2:7">
      <c r="B3034"/>
      <c r="C3034"/>
      <c r="D3034"/>
      <c r="G3034"/>
    </row>
    <row r="3035" spans="2:7">
      <c r="B3035"/>
      <c r="C3035"/>
      <c r="D3035"/>
      <c r="G3035"/>
    </row>
    <row r="3036" spans="2:7">
      <c r="B3036"/>
      <c r="C3036"/>
      <c r="D3036"/>
      <c r="G3036"/>
    </row>
    <row r="3037" spans="2:7">
      <c r="B3037"/>
      <c r="C3037"/>
      <c r="D3037"/>
      <c r="G3037"/>
    </row>
    <row r="3038" spans="2:7">
      <c r="B3038"/>
      <c r="C3038"/>
      <c r="D3038"/>
      <c r="G3038"/>
    </row>
    <row r="3039" spans="2:7">
      <c r="B3039"/>
      <c r="C3039"/>
      <c r="D3039"/>
      <c r="G3039"/>
    </row>
    <row r="3040" spans="2:7">
      <c r="B3040"/>
      <c r="C3040"/>
      <c r="D3040"/>
      <c r="G3040"/>
    </row>
    <row r="3041" spans="2:7">
      <c r="B3041"/>
      <c r="C3041"/>
      <c r="D3041"/>
      <c r="G3041"/>
    </row>
    <row r="3042" spans="2:7">
      <c r="B3042"/>
      <c r="C3042"/>
      <c r="D3042"/>
      <c r="G3042"/>
    </row>
    <row r="3043" spans="2:7">
      <c r="B3043"/>
      <c r="C3043"/>
      <c r="D3043"/>
      <c r="G3043"/>
    </row>
    <row r="3044" spans="2:7">
      <c r="B3044"/>
      <c r="C3044"/>
      <c r="D3044"/>
      <c r="G3044"/>
    </row>
    <row r="3045" spans="2:7">
      <c r="B3045"/>
      <c r="C3045"/>
      <c r="D3045"/>
      <c r="G3045"/>
    </row>
    <row r="3046" spans="2:7">
      <c r="B3046"/>
      <c r="C3046"/>
      <c r="D3046"/>
      <c r="G3046"/>
    </row>
    <row r="3047" spans="2:7">
      <c r="B3047"/>
      <c r="C3047"/>
      <c r="D3047"/>
      <c r="G3047"/>
    </row>
    <row r="3048" spans="2:7">
      <c r="B3048"/>
      <c r="C3048"/>
      <c r="D3048"/>
      <c r="G3048"/>
    </row>
    <row r="3049" spans="2:7">
      <c r="B3049"/>
      <c r="C3049"/>
      <c r="D3049"/>
      <c r="G3049"/>
    </row>
    <row r="3050" spans="2:7">
      <c r="B3050"/>
      <c r="C3050"/>
      <c r="D3050"/>
      <c r="G3050"/>
    </row>
    <row r="3051" spans="2:7">
      <c r="B3051"/>
      <c r="C3051"/>
      <c r="D3051"/>
      <c r="G3051"/>
    </row>
    <row r="3052" spans="2:7">
      <c r="B3052"/>
      <c r="C3052"/>
      <c r="D3052"/>
      <c r="G3052"/>
    </row>
    <row r="3053" spans="2:7">
      <c r="B3053"/>
      <c r="C3053"/>
      <c r="D3053"/>
      <c r="G3053"/>
    </row>
    <row r="3054" spans="2:7">
      <c r="B3054"/>
      <c r="C3054"/>
      <c r="D3054"/>
      <c r="G3054"/>
    </row>
    <row r="3055" spans="2:7">
      <c r="B3055"/>
      <c r="C3055"/>
      <c r="D3055"/>
      <c r="G3055"/>
    </row>
    <row r="3056" spans="2:7">
      <c r="B3056"/>
      <c r="C3056"/>
      <c r="D3056"/>
      <c r="G3056"/>
    </row>
    <row r="3057" spans="2:7">
      <c r="B3057"/>
      <c r="C3057"/>
      <c r="D3057"/>
      <c r="G3057"/>
    </row>
    <row r="3058" spans="2:7">
      <c r="B3058"/>
      <c r="C3058"/>
      <c r="D3058"/>
      <c r="G3058"/>
    </row>
    <row r="3059" spans="2:7">
      <c r="B3059"/>
      <c r="C3059"/>
      <c r="D3059"/>
      <c r="G3059"/>
    </row>
    <row r="3060" spans="2:7">
      <c r="B3060"/>
      <c r="C3060"/>
      <c r="D3060"/>
      <c r="G3060"/>
    </row>
    <row r="3061" spans="2:7">
      <c r="B3061"/>
      <c r="C3061"/>
      <c r="D3061"/>
      <c r="G3061"/>
    </row>
    <row r="3062" spans="2:7">
      <c r="B3062"/>
      <c r="C3062"/>
      <c r="D3062"/>
      <c r="G3062"/>
    </row>
    <row r="3063" spans="2:7">
      <c r="B3063"/>
      <c r="C3063"/>
      <c r="D3063"/>
      <c r="G3063"/>
    </row>
    <row r="3064" spans="2:7">
      <c r="B3064"/>
      <c r="C3064"/>
      <c r="D3064"/>
      <c r="G3064"/>
    </row>
    <row r="3065" spans="2:7">
      <c r="B3065"/>
      <c r="C3065"/>
      <c r="D3065"/>
      <c r="G3065"/>
    </row>
    <row r="3066" spans="2:7">
      <c r="B3066"/>
      <c r="C3066"/>
      <c r="D3066"/>
      <c r="G3066"/>
    </row>
    <row r="3067" spans="2:7">
      <c r="B3067"/>
      <c r="C3067"/>
      <c r="D3067"/>
      <c r="G3067"/>
    </row>
    <row r="3068" spans="2:7">
      <c r="B3068"/>
      <c r="C3068"/>
      <c r="D3068"/>
      <c r="G3068"/>
    </row>
    <row r="3069" spans="2:7">
      <c r="B3069"/>
      <c r="C3069"/>
      <c r="D3069"/>
      <c r="G3069"/>
    </row>
    <row r="3070" spans="2:7">
      <c r="B3070"/>
      <c r="C3070"/>
      <c r="D3070"/>
      <c r="G3070"/>
    </row>
    <row r="3071" spans="2:7">
      <c r="B3071"/>
      <c r="C3071"/>
      <c r="D3071"/>
      <c r="G3071"/>
    </row>
    <row r="3072" spans="2:7">
      <c r="B3072"/>
      <c r="C3072"/>
      <c r="D3072"/>
      <c r="G3072"/>
    </row>
    <row r="3073" spans="2:7">
      <c r="B3073"/>
      <c r="C3073"/>
      <c r="D3073"/>
      <c r="G3073"/>
    </row>
    <row r="3074" spans="2:7">
      <c r="B3074"/>
      <c r="C3074"/>
      <c r="D3074"/>
      <c r="G3074"/>
    </row>
    <row r="3075" spans="2:7">
      <c r="B3075"/>
      <c r="C3075"/>
      <c r="D3075"/>
      <c r="G3075"/>
    </row>
    <row r="3076" spans="2:7">
      <c r="B3076"/>
      <c r="C3076"/>
      <c r="D3076"/>
      <c r="G3076"/>
    </row>
    <row r="3077" spans="2:7">
      <c r="B3077"/>
      <c r="C3077"/>
      <c r="D3077"/>
      <c r="G3077"/>
    </row>
    <row r="3078" spans="2:7">
      <c r="B3078"/>
      <c r="C3078"/>
      <c r="D3078"/>
      <c r="G3078"/>
    </row>
    <row r="3079" spans="2:7">
      <c r="B3079"/>
      <c r="C3079"/>
      <c r="D3079"/>
      <c r="G3079"/>
    </row>
    <row r="3080" spans="2:7">
      <c r="B3080"/>
      <c r="C3080"/>
      <c r="D3080"/>
      <c r="G3080"/>
    </row>
    <row r="3081" spans="2:7">
      <c r="B3081"/>
      <c r="C3081"/>
      <c r="D3081"/>
      <c r="G3081"/>
    </row>
    <row r="3082" spans="2:7">
      <c r="B3082"/>
      <c r="C3082"/>
      <c r="D3082"/>
      <c r="G3082"/>
    </row>
    <row r="3083" spans="2:7">
      <c r="B3083"/>
      <c r="C3083"/>
      <c r="D3083"/>
      <c r="G3083"/>
    </row>
    <row r="3084" spans="2:7">
      <c r="B3084"/>
      <c r="C3084"/>
      <c r="D3084"/>
      <c r="G3084"/>
    </row>
    <row r="3085" spans="2:7">
      <c r="B3085"/>
      <c r="C3085"/>
      <c r="D3085"/>
      <c r="G3085"/>
    </row>
    <row r="3086" spans="2:7">
      <c r="B3086"/>
      <c r="C3086"/>
      <c r="D3086"/>
      <c r="G3086"/>
    </row>
    <row r="3087" spans="2:7">
      <c r="B3087"/>
      <c r="C3087"/>
      <c r="D3087"/>
      <c r="G3087"/>
    </row>
    <row r="3088" spans="2:7">
      <c r="B3088"/>
      <c r="C3088"/>
      <c r="D3088"/>
      <c r="G3088"/>
    </row>
    <row r="3089" spans="2:7">
      <c r="B3089"/>
      <c r="C3089"/>
      <c r="D3089"/>
      <c r="G3089"/>
    </row>
    <row r="3090" spans="2:7">
      <c r="B3090"/>
      <c r="C3090"/>
      <c r="D3090"/>
      <c r="G3090"/>
    </row>
    <row r="3091" spans="2:7">
      <c r="B3091"/>
      <c r="C3091"/>
      <c r="D3091"/>
      <c r="G3091"/>
    </row>
    <row r="3092" spans="2:7">
      <c r="B3092"/>
      <c r="C3092"/>
      <c r="D3092"/>
      <c r="G3092"/>
    </row>
    <row r="3093" spans="2:7">
      <c r="B3093"/>
      <c r="C3093"/>
      <c r="D3093"/>
      <c r="G3093"/>
    </row>
    <row r="3094" spans="2:7">
      <c r="B3094"/>
      <c r="C3094"/>
      <c r="D3094"/>
      <c r="G3094"/>
    </row>
    <row r="3095" spans="2:7">
      <c r="B3095"/>
      <c r="C3095"/>
      <c r="D3095"/>
      <c r="G3095"/>
    </row>
    <row r="3096" spans="2:7">
      <c r="B3096"/>
      <c r="C3096"/>
      <c r="D3096"/>
      <c r="G3096"/>
    </row>
    <row r="3097" spans="2:7">
      <c r="B3097"/>
      <c r="C3097"/>
      <c r="D3097"/>
      <c r="G3097"/>
    </row>
    <row r="3098" spans="2:7">
      <c r="B3098"/>
      <c r="C3098"/>
      <c r="D3098"/>
      <c r="G3098"/>
    </row>
    <row r="3099" spans="2:7">
      <c r="B3099"/>
      <c r="C3099"/>
      <c r="D3099"/>
      <c r="G3099"/>
    </row>
    <row r="3100" spans="2:7">
      <c r="B3100"/>
      <c r="C3100"/>
      <c r="D3100"/>
      <c r="G3100"/>
    </row>
    <row r="3101" spans="2:7">
      <c r="B3101"/>
      <c r="C3101"/>
      <c r="D3101"/>
      <c r="G3101"/>
    </row>
    <row r="3102" spans="2:7">
      <c r="B3102"/>
      <c r="C3102"/>
      <c r="D3102"/>
      <c r="G3102"/>
    </row>
    <row r="3103" spans="2:7">
      <c r="B3103"/>
      <c r="C3103"/>
      <c r="D3103"/>
      <c r="G3103"/>
    </row>
    <row r="3104" spans="2:7">
      <c r="B3104"/>
      <c r="C3104"/>
      <c r="D3104"/>
      <c r="G3104"/>
    </row>
    <row r="3105" spans="2:7">
      <c r="B3105"/>
      <c r="C3105"/>
      <c r="D3105"/>
      <c r="G3105"/>
    </row>
    <row r="3106" spans="2:7">
      <c r="B3106"/>
      <c r="C3106"/>
      <c r="D3106"/>
      <c r="G3106"/>
    </row>
    <row r="3107" spans="2:7">
      <c r="B3107"/>
      <c r="C3107"/>
      <c r="D3107"/>
      <c r="G3107"/>
    </row>
    <row r="3108" spans="2:7">
      <c r="B3108"/>
      <c r="C3108"/>
      <c r="D3108"/>
      <c r="G3108"/>
    </row>
    <row r="3109" spans="2:7">
      <c r="B3109"/>
      <c r="C3109"/>
      <c r="D3109"/>
      <c r="G3109"/>
    </row>
    <row r="3110" spans="2:7">
      <c r="B3110"/>
      <c r="C3110"/>
      <c r="D3110"/>
      <c r="G3110"/>
    </row>
    <row r="3111" spans="2:7">
      <c r="B3111"/>
      <c r="C3111"/>
      <c r="D3111"/>
      <c r="G3111"/>
    </row>
    <row r="3112" spans="2:7">
      <c r="B3112"/>
      <c r="C3112"/>
      <c r="D3112"/>
      <c r="G3112"/>
    </row>
    <row r="3113" spans="2:7">
      <c r="B3113"/>
      <c r="C3113"/>
      <c r="D3113"/>
      <c r="G3113"/>
    </row>
    <row r="3114" spans="2:7">
      <c r="B3114"/>
      <c r="C3114"/>
      <c r="D3114"/>
      <c r="G3114"/>
    </row>
    <row r="3115" spans="2:7">
      <c r="B3115"/>
      <c r="C3115"/>
      <c r="D3115"/>
      <c r="G3115"/>
    </row>
    <row r="3116" spans="2:7">
      <c r="B3116"/>
      <c r="C3116"/>
      <c r="D3116"/>
      <c r="G3116"/>
    </row>
    <row r="3117" spans="2:7">
      <c r="B3117"/>
      <c r="C3117"/>
      <c r="D3117"/>
      <c r="G3117"/>
    </row>
    <row r="3118" spans="2:7">
      <c r="B3118"/>
      <c r="C3118"/>
      <c r="D3118"/>
      <c r="G3118"/>
    </row>
    <row r="3119" spans="2:7">
      <c r="B3119"/>
      <c r="C3119"/>
      <c r="D3119"/>
      <c r="G3119"/>
    </row>
    <row r="3120" spans="2:7">
      <c r="B3120"/>
      <c r="C3120"/>
      <c r="D3120"/>
      <c r="G3120"/>
    </row>
    <row r="3121" spans="2:7">
      <c r="B3121"/>
      <c r="C3121"/>
      <c r="D3121"/>
      <c r="G3121"/>
    </row>
    <row r="3122" spans="2:7">
      <c r="B3122"/>
      <c r="C3122"/>
      <c r="D3122"/>
      <c r="G3122"/>
    </row>
    <row r="3123" spans="2:7">
      <c r="B3123"/>
      <c r="C3123"/>
      <c r="D3123"/>
      <c r="G3123"/>
    </row>
    <row r="3124" spans="2:7">
      <c r="B3124"/>
      <c r="C3124"/>
      <c r="D3124"/>
      <c r="G3124"/>
    </row>
    <row r="3125" spans="2:7">
      <c r="B3125"/>
      <c r="C3125"/>
      <c r="D3125"/>
      <c r="G3125"/>
    </row>
    <row r="3126" spans="2:7">
      <c r="B3126"/>
      <c r="C3126"/>
      <c r="D3126"/>
      <c r="G3126"/>
    </row>
    <row r="3127" spans="2:7">
      <c r="B3127"/>
      <c r="C3127"/>
      <c r="D3127"/>
      <c r="G3127"/>
    </row>
    <row r="3128" spans="2:7">
      <c r="B3128"/>
      <c r="C3128"/>
      <c r="D3128"/>
      <c r="G3128"/>
    </row>
    <row r="3129" spans="2:7">
      <c r="B3129"/>
      <c r="C3129"/>
      <c r="D3129"/>
      <c r="G3129"/>
    </row>
    <row r="3130" spans="2:7">
      <c r="B3130"/>
      <c r="C3130"/>
      <c r="D3130"/>
      <c r="G3130"/>
    </row>
    <row r="3131" spans="2:7">
      <c r="B3131"/>
      <c r="C3131"/>
      <c r="D3131"/>
      <c r="G3131"/>
    </row>
    <row r="3132" spans="2:7">
      <c r="B3132"/>
      <c r="C3132"/>
      <c r="D3132"/>
      <c r="G3132"/>
    </row>
    <row r="3133" spans="2:7">
      <c r="B3133"/>
      <c r="C3133"/>
      <c r="D3133"/>
      <c r="G3133"/>
    </row>
    <row r="3134" spans="2:7">
      <c r="B3134"/>
      <c r="C3134"/>
      <c r="D3134"/>
      <c r="G3134"/>
    </row>
    <row r="3135" spans="2:7">
      <c r="B3135"/>
      <c r="C3135"/>
      <c r="D3135"/>
      <c r="G3135"/>
    </row>
    <row r="3136" spans="2:7">
      <c r="B3136"/>
      <c r="C3136"/>
      <c r="D3136"/>
      <c r="G3136"/>
    </row>
    <row r="3137" spans="2:7">
      <c r="B3137"/>
      <c r="C3137"/>
      <c r="D3137"/>
      <c r="G3137"/>
    </row>
    <row r="3138" spans="2:7">
      <c r="B3138"/>
      <c r="C3138"/>
      <c r="D3138"/>
      <c r="G3138"/>
    </row>
    <row r="3139" spans="2:7">
      <c r="B3139"/>
      <c r="C3139"/>
      <c r="D3139"/>
      <c r="G3139"/>
    </row>
    <row r="3140" spans="2:7">
      <c r="B3140"/>
      <c r="C3140"/>
      <c r="D3140"/>
      <c r="G3140"/>
    </row>
    <row r="3141" spans="2:7">
      <c r="B3141"/>
      <c r="C3141"/>
      <c r="D3141"/>
      <c r="G3141"/>
    </row>
    <row r="3142" spans="2:7">
      <c r="B3142"/>
      <c r="C3142"/>
      <c r="D3142"/>
      <c r="G3142"/>
    </row>
    <row r="3143" spans="2:7">
      <c r="B3143"/>
      <c r="C3143"/>
      <c r="D3143"/>
      <c r="G3143"/>
    </row>
    <row r="3144" spans="2:7">
      <c r="B3144"/>
      <c r="C3144"/>
      <c r="D3144"/>
      <c r="G3144"/>
    </row>
    <row r="3145" spans="2:7">
      <c r="B3145"/>
      <c r="C3145"/>
      <c r="D3145"/>
      <c r="G3145"/>
    </row>
    <row r="3146" spans="2:7">
      <c r="B3146"/>
      <c r="C3146"/>
      <c r="D3146"/>
      <c r="G3146"/>
    </row>
    <row r="3147" spans="2:7">
      <c r="B3147"/>
      <c r="C3147"/>
      <c r="D3147"/>
      <c r="G3147"/>
    </row>
    <row r="3148" spans="2:7">
      <c r="B3148"/>
      <c r="C3148"/>
      <c r="D3148"/>
      <c r="G3148"/>
    </row>
    <row r="3149" spans="2:7">
      <c r="B3149"/>
      <c r="C3149"/>
      <c r="D3149"/>
      <c r="G3149"/>
    </row>
    <row r="3150" spans="2:7">
      <c r="B3150"/>
      <c r="C3150"/>
      <c r="D3150"/>
      <c r="G3150"/>
    </row>
    <row r="3151" spans="2:7">
      <c r="B3151"/>
      <c r="C3151"/>
      <c r="D3151"/>
      <c r="G3151"/>
    </row>
    <row r="3152" spans="2:7">
      <c r="B3152"/>
      <c r="C3152"/>
      <c r="D3152"/>
      <c r="G3152"/>
    </row>
    <row r="3153" spans="2:7">
      <c r="B3153"/>
      <c r="C3153"/>
      <c r="D3153"/>
      <c r="G3153"/>
    </row>
    <row r="3154" spans="2:7">
      <c r="B3154"/>
      <c r="C3154"/>
      <c r="D3154"/>
      <c r="G3154"/>
    </row>
    <row r="3155" spans="2:7">
      <c r="B3155"/>
      <c r="C3155"/>
      <c r="D3155"/>
      <c r="G3155"/>
    </row>
    <row r="3156" spans="2:7">
      <c r="B3156"/>
      <c r="C3156"/>
      <c r="D3156"/>
      <c r="G3156"/>
    </row>
    <row r="3157" spans="2:7">
      <c r="B3157"/>
      <c r="C3157"/>
      <c r="D3157"/>
      <c r="G3157"/>
    </row>
    <row r="3158" spans="2:7">
      <c r="B3158"/>
      <c r="C3158"/>
      <c r="D3158"/>
      <c r="G3158"/>
    </row>
    <row r="3159" spans="2:7">
      <c r="B3159"/>
      <c r="C3159"/>
      <c r="D3159"/>
      <c r="G3159"/>
    </row>
    <row r="3160" spans="2:7">
      <c r="B3160"/>
      <c r="C3160"/>
      <c r="D3160"/>
      <c r="G3160"/>
    </row>
    <row r="3161" spans="2:7">
      <c r="B3161"/>
      <c r="C3161"/>
      <c r="D3161"/>
      <c r="G3161"/>
    </row>
    <row r="3162" spans="2:7">
      <c r="B3162"/>
      <c r="C3162"/>
      <c r="D3162"/>
      <c r="G3162"/>
    </row>
    <row r="3163" spans="2:7">
      <c r="B3163"/>
      <c r="C3163"/>
      <c r="D3163"/>
      <c r="G3163"/>
    </row>
    <row r="3164" spans="2:7">
      <c r="B3164"/>
      <c r="C3164"/>
      <c r="D3164"/>
      <c r="G3164"/>
    </row>
    <row r="3165" spans="2:7">
      <c r="B3165"/>
      <c r="C3165"/>
      <c r="D3165"/>
      <c r="G3165"/>
    </row>
    <row r="3166" spans="2:7">
      <c r="B3166"/>
      <c r="C3166"/>
      <c r="D3166"/>
      <c r="G3166"/>
    </row>
    <row r="3167" spans="2:7">
      <c r="B3167"/>
      <c r="C3167"/>
      <c r="D3167"/>
      <c r="G3167"/>
    </row>
    <row r="3168" spans="2:7">
      <c r="B3168"/>
      <c r="C3168"/>
      <c r="D3168"/>
      <c r="G3168"/>
    </row>
    <row r="3169" spans="2:7">
      <c r="B3169"/>
      <c r="C3169"/>
      <c r="D3169"/>
      <c r="G3169"/>
    </row>
    <row r="3170" spans="2:7">
      <c r="B3170"/>
      <c r="C3170"/>
      <c r="D3170"/>
      <c r="G3170"/>
    </row>
    <row r="3171" spans="2:7">
      <c r="B3171"/>
      <c r="C3171"/>
      <c r="D3171"/>
      <c r="G3171"/>
    </row>
    <row r="3172" spans="2:7">
      <c r="B3172"/>
      <c r="C3172"/>
      <c r="D3172"/>
      <c r="G3172"/>
    </row>
    <row r="3173" spans="2:7">
      <c r="B3173"/>
      <c r="C3173"/>
      <c r="D3173"/>
      <c r="G3173"/>
    </row>
    <row r="3174" spans="2:7">
      <c r="B3174"/>
      <c r="C3174"/>
      <c r="D3174"/>
      <c r="G3174"/>
    </row>
    <row r="3175" spans="2:7">
      <c r="B3175"/>
      <c r="C3175"/>
      <c r="D3175"/>
      <c r="G3175"/>
    </row>
    <row r="3176" spans="2:7">
      <c r="B3176"/>
      <c r="C3176"/>
      <c r="D3176"/>
      <c r="G3176"/>
    </row>
    <row r="3177" spans="2:7">
      <c r="B3177"/>
      <c r="C3177"/>
      <c r="D3177"/>
      <c r="G3177"/>
    </row>
    <row r="3178" spans="2:7">
      <c r="B3178"/>
      <c r="C3178"/>
      <c r="D3178"/>
      <c r="G3178"/>
    </row>
    <row r="3179" spans="2:7">
      <c r="B3179"/>
      <c r="C3179"/>
      <c r="D3179"/>
      <c r="G3179"/>
    </row>
    <row r="3180" spans="2:7">
      <c r="B3180"/>
      <c r="C3180"/>
      <c r="D3180"/>
      <c r="G3180"/>
    </row>
    <row r="3181" spans="2:7">
      <c r="B3181"/>
      <c r="C3181"/>
      <c r="D3181"/>
      <c r="G3181"/>
    </row>
    <row r="3182" spans="2:7">
      <c r="B3182"/>
      <c r="C3182"/>
      <c r="D3182"/>
      <c r="G3182"/>
    </row>
    <row r="3183" spans="2:7">
      <c r="B3183"/>
      <c r="C3183"/>
      <c r="D3183"/>
      <c r="G3183"/>
    </row>
    <row r="3184" spans="2:7">
      <c r="B3184"/>
      <c r="C3184"/>
      <c r="D3184"/>
      <c r="G3184"/>
    </row>
    <row r="3185" spans="2:7">
      <c r="B3185"/>
      <c r="C3185"/>
      <c r="D3185"/>
      <c r="G3185"/>
    </row>
    <row r="3186" spans="2:7">
      <c r="B3186"/>
      <c r="C3186"/>
      <c r="D3186"/>
      <c r="G3186"/>
    </row>
    <row r="3187" spans="2:7">
      <c r="B3187"/>
      <c r="C3187"/>
      <c r="D3187"/>
      <c r="G3187"/>
    </row>
    <row r="3188" spans="2:7">
      <c r="B3188"/>
      <c r="C3188"/>
      <c r="D3188"/>
      <c r="G3188"/>
    </row>
    <row r="3189" spans="2:7">
      <c r="B3189"/>
      <c r="C3189"/>
      <c r="D3189"/>
      <c r="G3189"/>
    </row>
    <row r="3190" spans="2:7">
      <c r="B3190"/>
      <c r="C3190"/>
      <c r="D3190"/>
      <c r="G3190"/>
    </row>
    <row r="3191" spans="2:7">
      <c r="B3191"/>
      <c r="C3191"/>
      <c r="D3191"/>
      <c r="G3191"/>
    </row>
    <row r="3192" spans="2:7">
      <c r="B3192"/>
      <c r="C3192"/>
      <c r="D3192"/>
      <c r="G3192"/>
    </row>
    <row r="3193" spans="2:7">
      <c r="B3193"/>
      <c r="C3193"/>
      <c r="D3193"/>
      <c r="G3193"/>
    </row>
    <row r="3194" spans="2:7">
      <c r="B3194"/>
      <c r="C3194"/>
      <c r="D3194"/>
      <c r="G3194"/>
    </row>
    <row r="3195" spans="2:7">
      <c r="B3195"/>
      <c r="C3195"/>
      <c r="D3195"/>
      <c r="G3195"/>
    </row>
    <row r="3196" spans="2:7">
      <c r="B3196"/>
      <c r="C3196"/>
      <c r="D3196"/>
      <c r="G3196"/>
    </row>
    <row r="3197" spans="2:7">
      <c r="B3197"/>
      <c r="C3197"/>
      <c r="D3197"/>
      <c r="G3197"/>
    </row>
    <row r="3198" spans="2:7">
      <c r="B3198"/>
      <c r="C3198"/>
      <c r="D3198"/>
      <c r="G3198"/>
    </row>
    <row r="3199" spans="2:7">
      <c r="B3199"/>
      <c r="C3199"/>
      <c r="D3199"/>
      <c r="G3199"/>
    </row>
    <row r="3200" spans="2:7">
      <c r="B3200"/>
      <c r="C3200"/>
      <c r="D3200"/>
      <c r="G3200"/>
    </row>
    <row r="3201" spans="2:7">
      <c r="B3201"/>
      <c r="C3201"/>
      <c r="D3201"/>
      <c r="G3201"/>
    </row>
    <row r="3202" spans="2:7">
      <c r="B3202"/>
      <c r="C3202"/>
      <c r="D3202"/>
      <c r="G3202"/>
    </row>
    <row r="3203" spans="2:7">
      <c r="B3203"/>
      <c r="C3203"/>
      <c r="D3203"/>
      <c r="G3203"/>
    </row>
    <row r="3204" spans="2:7">
      <c r="B3204"/>
      <c r="C3204"/>
      <c r="D3204"/>
      <c r="G3204"/>
    </row>
    <row r="3205" spans="2:7">
      <c r="B3205"/>
      <c r="C3205"/>
      <c r="D3205"/>
      <c r="G3205"/>
    </row>
    <row r="3206" spans="2:7">
      <c r="B3206"/>
      <c r="C3206"/>
      <c r="D3206"/>
      <c r="G3206"/>
    </row>
    <row r="3207" spans="2:7">
      <c r="B3207"/>
      <c r="C3207"/>
      <c r="D3207"/>
      <c r="G3207"/>
    </row>
    <row r="3208" spans="2:7">
      <c r="B3208"/>
      <c r="C3208"/>
      <c r="D3208"/>
      <c r="G3208"/>
    </row>
    <row r="3209" spans="2:7">
      <c r="B3209"/>
      <c r="C3209"/>
      <c r="D3209"/>
      <c r="G3209"/>
    </row>
    <row r="3210" spans="2:7">
      <c r="B3210"/>
      <c r="C3210"/>
      <c r="D3210"/>
      <c r="G3210"/>
    </row>
    <row r="3211" spans="2:7">
      <c r="B3211"/>
      <c r="C3211"/>
      <c r="D3211"/>
      <c r="G3211"/>
    </row>
    <row r="3212" spans="2:7">
      <c r="B3212"/>
      <c r="C3212"/>
      <c r="D3212"/>
      <c r="G3212"/>
    </row>
    <row r="3213" spans="2:7">
      <c r="B3213"/>
      <c r="C3213"/>
      <c r="D3213"/>
      <c r="G3213"/>
    </row>
    <row r="3214" spans="2:7">
      <c r="B3214"/>
      <c r="C3214"/>
      <c r="D3214"/>
      <c r="G3214"/>
    </row>
    <row r="3215" spans="2:7">
      <c r="B3215"/>
      <c r="C3215"/>
      <c r="D3215"/>
      <c r="G3215"/>
    </row>
    <row r="3216" spans="2:7">
      <c r="B3216"/>
      <c r="C3216"/>
      <c r="D3216"/>
      <c r="G3216"/>
    </row>
    <row r="3217" spans="2:7">
      <c r="B3217"/>
      <c r="C3217"/>
      <c r="D3217"/>
      <c r="G3217"/>
    </row>
    <row r="3218" spans="2:7">
      <c r="B3218"/>
      <c r="C3218"/>
      <c r="D3218"/>
      <c r="G3218"/>
    </row>
    <row r="3219" spans="2:7">
      <c r="B3219"/>
      <c r="C3219"/>
      <c r="D3219"/>
      <c r="G3219"/>
    </row>
    <row r="3220" spans="2:7">
      <c r="B3220"/>
      <c r="C3220"/>
      <c r="D3220"/>
      <c r="G3220"/>
    </row>
    <row r="3221" spans="2:7">
      <c r="B3221"/>
      <c r="C3221"/>
      <c r="D3221"/>
      <c r="G3221"/>
    </row>
    <row r="3222" spans="2:7">
      <c r="B3222"/>
      <c r="C3222"/>
      <c r="D3222"/>
      <c r="G3222"/>
    </row>
    <row r="3223" spans="2:7">
      <c r="B3223"/>
      <c r="C3223"/>
      <c r="D3223"/>
      <c r="G3223"/>
    </row>
    <row r="3224" spans="2:7">
      <c r="B3224"/>
      <c r="C3224"/>
      <c r="D3224"/>
      <c r="G3224"/>
    </row>
    <row r="3225" spans="2:7">
      <c r="B3225"/>
      <c r="C3225"/>
      <c r="D3225"/>
      <c r="G3225"/>
    </row>
    <row r="3226" spans="2:7">
      <c r="B3226"/>
      <c r="C3226"/>
      <c r="D3226"/>
      <c r="G3226"/>
    </row>
    <row r="3227" spans="2:7">
      <c r="B3227"/>
      <c r="C3227"/>
      <c r="D3227"/>
      <c r="G3227"/>
    </row>
    <row r="3228" spans="2:7">
      <c r="B3228"/>
      <c r="C3228"/>
      <c r="D3228"/>
      <c r="G3228"/>
    </row>
    <row r="3229" spans="2:7">
      <c r="B3229"/>
      <c r="C3229"/>
      <c r="D3229"/>
      <c r="G3229"/>
    </row>
    <row r="3230" spans="2:7">
      <c r="B3230"/>
      <c r="C3230"/>
      <c r="D3230"/>
      <c r="G3230"/>
    </row>
    <row r="3231" spans="2:7">
      <c r="B3231"/>
      <c r="C3231"/>
      <c r="D3231"/>
      <c r="G3231"/>
    </row>
    <row r="3232" spans="2:7">
      <c r="B3232"/>
      <c r="C3232"/>
      <c r="D3232"/>
      <c r="G3232"/>
    </row>
    <row r="3233" spans="2:7">
      <c r="B3233"/>
      <c r="C3233"/>
      <c r="D3233"/>
      <c r="G3233"/>
    </row>
    <row r="3234" spans="2:7">
      <c r="B3234"/>
      <c r="C3234"/>
      <c r="D3234"/>
      <c r="G3234"/>
    </row>
    <row r="3235" spans="2:7">
      <c r="B3235"/>
      <c r="C3235"/>
      <c r="D3235"/>
      <c r="G3235"/>
    </row>
    <row r="3236" spans="2:7">
      <c r="B3236"/>
      <c r="C3236"/>
      <c r="D3236"/>
      <c r="G3236"/>
    </row>
    <row r="3237" spans="2:7">
      <c r="B3237"/>
      <c r="C3237"/>
      <c r="D3237"/>
      <c r="G3237"/>
    </row>
    <row r="3238" spans="2:7">
      <c r="B3238"/>
      <c r="C3238"/>
      <c r="D3238"/>
      <c r="G3238"/>
    </row>
    <row r="3239" spans="2:7">
      <c r="B3239"/>
      <c r="C3239"/>
      <c r="D3239"/>
      <c r="G3239"/>
    </row>
    <row r="3240" spans="2:7">
      <c r="B3240"/>
      <c r="C3240"/>
      <c r="D3240"/>
      <c r="G3240"/>
    </row>
    <row r="3241" spans="2:7">
      <c r="B3241"/>
      <c r="C3241"/>
      <c r="D3241"/>
      <c r="G3241"/>
    </row>
    <row r="3242" spans="2:7">
      <c r="B3242"/>
      <c r="C3242"/>
      <c r="D3242"/>
      <c r="G3242"/>
    </row>
    <row r="3243" spans="2:7">
      <c r="B3243"/>
      <c r="C3243"/>
      <c r="D3243"/>
      <c r="G3243"/>
    </row>
    <row r="3244" spans="2:7">
      <c r="B3244"/>
      <c r="C3244"/>
      <c r="D3244"/>
      <c r="G3244"/>
    </row>
    <row r="3245" spans="2:7">
      <c r="B3245"/>
      <c r="C3245"/>
      <c r="D3245"/>
      <c r="G3245"/>
    </row>
    <row r="3246" spans="2:7">
      <c r="B3246"/>
      <c r="C3246"/>
      <c r="D3246"/>
      <c r="G3246"/>
    </row>
    <row r="3247" spans="2:7">
      <c r="B3247"/>
      <c r="C3247"/>
      <c r="D3247"/>
      <c r="G3247"/>
    </row>
    <row r="3248" spans="2:7">
      <c r="B3248"/>
      <c r="C3248"/>
      <c r="D3248"/>
      <c r="G3248"/>
    </row>
    <row r="3249" spans="2:7">
      <c r="B3249"/>
      <c r="C3249"/>
      <c r="D3249"/>
      <c r="G3249"/>
    </row>
    <row r="3250" spans="2:7">
      <c r="B3250"/>
      <c r="C3250"/>
      <c r="D3250"/>
      <c r="G3250"/>
    </row>
    <row r="3251" spans="2:7">
      <c r="B3251"/>
      <c r="C3251"/>
      <c r="D3251"/>
      <c r="G3251"/>
    </row>
    <row r="3252" spans="2:7">
      <c r="B3252"/>
      <c r="C3252"/>
      <c r="D3252"/>
      <c r="G3252"/>
    </row>
    <row r="3253" spans="2:7">
      <c r="B3253"/>
      <c r="C3253"/>
      <c r="D3253"/>
      <c r="G3253"/>
    </row>
    <row r="3254" spans="2:7">
      <c r="B3254"/>
      <c r="C3254"/>
      <c r="D3254"/>
      <c r="G3254"/>
    </row>
    <row r="3255" spans="2:7">
      <c r="B3255"/>
      <c r="C3255"/>
      <c r="D3255"/>
      <c r="G3255"/>
    </row>
    <row r="3256" spans="2:7">
      <c r="B3256"/>
      <c r="C3256"/>
      <c r="D3256"/>
      <c r="G3256"/>
    </row>
    <row r="3257" spans="2:7">
      <c r="B3257"/>
      <c r="C3257"/>
      <c r="D3257"/>
      <c r="G3257"/>
    </row>
    <row r="3258" spans="2:7">
      <c r="B3258"/>
      <c r="C3258"/>
      <c r="D3258"/>
      <c r="G3258"/>
    </row>
    <row r="3259" spans="2:7">
      <c r="B3259"/>
      <c r="C3259"/>
      <c r="D3259"/>
      <c r="G3259"/>
    </row>
    <row r="3260" spans="2:7">
      <c r="B3260"/>
      <c r="C3260"/>
      <c r="D3260"/>
      <c r="G3260"/>
    </row>
    <row r="3261" spans="2:7">
      <c r="B3261"/>
      <c r="C3261"/>
      <c r="D3261"/>
      <c r="G3261"/>
    </row>
    <row r="3262" spans="2:7">
      <c r="B3262"/>
      <c r="C3262"/>
      <c r="D3262"/>
      <c r="G3262"/>
    </row>
    <row r="3263" spans="2:7">
      <c r="B3263"/>
      <c r="C3263"/>
      <c r="D3263"/>
      <c r="G3263"/>
    </row>
    <row r="3264" spans="2:7">
      <c r="B3264"/>
      <c r="C3264"/>
      <c r="D3264"/>
      <c r="G3264"/>
    </row>
    <row r="3265" spans="2:7">
      <c r="B3265"/>
      <c r="C3265"/>
      <c r="D3265"/>
      <c r="G3265"/>
    </row>
    <row r="3266" spans="2:7">
      <c r="B3266"/>
      <c r="C3266"/>
      <c r="D3266"/>
      <c r="G3266"/>
    </row>
    <row r="3267" spans="2:7">
      <c r="B3267"/>
      <c r="C3267"/>
      <c r="D3267"/>
      <c r="G3267"/>
    </row>
    <row r="3268" spans="2:7">
      <c r="B3268"/>
      <c r="C3268"/>
      <c r="D3268"/>
      <c r="G3268"/>
    </row>
    <row r="3269" spans="2:7">
      <c r="B3269"/>
      <c r="C3269"/>
      <c r="D3269"/>
      <c r="G3269"/>
    </row>
    <row r="3270" spans="2:7">
      <c r="B3270"/>
      <c r="C3270"/>
      <c r="D3270"/>
      <c r="G3270"/>
    </row>
    <row r="3271" spans="2:7">
      <c r="B3271"/>
      <c r="C3271"/>
      <c r="D3271"/>
      <c r="G3271"/>
    </row>
    <row r="3272" spans="2:7">
      <c r="B3272"/>
      <c r="C3272"/>
      <c r="D3272"/>
      <c r="G3272"/>
    </row>
    <row r="3273" spans="2:7">
      <c r="B3273"/>
      <c r="C3273"/>
      <c r="D3273"/>
      <c r="G3273"/>
    </row>
    <row r="3274" spans="2:7">
      <c r="B3274"/>
      <c r="C3274"/>
      <c r="D3274"/>
      <c r="G3274"/>
    </row>
    <row r="3275" spans="2:7">
      <c r="B3275"/>
      <c r="C3275"/>
      <c r="D3275"/>
      <c r="G3275"/>
    </row>
    <row r="3276" spans="2:7">
      <c r="B3276"/>
      <c r="C3276"/>
      <c r="D3276"/>
      <c r="G3276"/>
    </row>
    <row r="3277" spans="2:7">
      <c r="B3277"/>
      <c r="C3277"/>
      <c r="D3277"/>
      <c r="G3277"/>
    </row>
    <row r="3278" spans="2:7">
      <c r="B3278"/>
      <c r="C3278"/>
      <c r="D3278"/>
      <c r="G3278"/>
    </row>
    <row r="3279" spans="2:7">
      <c r="B3279"/>
      <c r="C3279"/>
      <c r="D3279"/>
      <c r="G3279"/>
    </row>
    <row r="3280" spans="2:7">
      <c r="B3280"/>
      <c r="C3280"/>
      <c r="D3280"/>
      <c r="G3280"/>
    </row>
    <row r="3281" spans="2:7">
      <c r="B3281"/>
      <c r="C3281"/>
      <c r="D3281"/>
      <c r="G3281"/>
    </row>
    <row r="3282" spans="2:7">
      <c r="B3282"/>
      <c r="C3282"/>
      <c r="D3282"/>
      <c r="G3282"/>
    </row>
    <row r="3283" spans="2:7">
      <c r="B3283"/>
      <c r="C3283"/>
      <c r="D3283"/>
      <c r="G3283"/>
    </row>
    <row r="3284" spans="2:7">
      <c r="B3284"/>
      <c r="C3284"/>
      <c r="D3284"/>
      <c r="G3284"/>
    </row>
    <row r="3285" spans="2:7">
      <c r="B3285"/>
      <c r="C3285"/>
      <c r="D3285"/>
      <c r="G3285"/>
    </row>
    <row r="3286" spans="2:7">
      <c r="B3286"/>
      <c r="C3286"/>
      <c r="D3286"/>
      <c r="G3286"/>
    </row>
    <row r="3287" spans="2:7">
      <c r="B3287"/>
      <c r="C3287"/>
      <c r="D3287"/>
      <c r="G3287"/>
    </row>
    <row r="3288" spans="2:7">
      <c r="B3288"/>
      <c r="C3288"/>
      <c r="D3288"/>
      <c r="G3288"/>
    </row>
    <row r="3289" spans="2:7">
      <c r="B3289"/>
      <c r="C3289"/>
      <c r="D3289"/>
      <c r="G3289"/>
    </row>
    <row r="3290" spans="2:7">
      <c r="B3290"/>
      <c r="C3290"/>
      <c r="D3290"/>
      <c r="G3290"/>
    </row>
    <row r="3291" spans="2:7">
      <c r="B3291"/>
      <c r="C3291"/>
      <c r="D3291"/>
      <c r="G3291"/>
    </row>
    <row r="3292" spans="2:7">
      <c r="B3292"/>
      <c r="C3292"/>
      <c r="D3292"/>
      <c r="G3292"/>
    </row>
    <row r="3293" spans="2:7">
      <c r="B3293"/>
      <c r="C3293"/>
      <c r="D3293"/>
      <c r="G3293"/>
    </row>
    <row r="3294" spans="2:7">
      <c r="B3294"/>
      <c r="C3294"/>
      <c r="D3294"/>
      <c r="G3294"/>
    </row>
    <row r="3295" spans="2:7">
      <c r="B3295"/>
      <c r="C3295"/>
      <c r="D3295"/>
      <c r="G3295"/>
    </row>
    <row r="3296" spans="2:7">
      <c r="B3296"/>
      <c r="C3296"/>
      <c r="D3296"/>
      <c r="G3296"/>
    </row>
    <row r="3297" spans="2:7">
      <c r="B3297"/>
      <c r="C3297"/>
      <c r="D3297"/>
      <c r="G3297"/>
    </row>
    <row r="3298" spans="2:7">
      <c r="B3298"/>
      <c r="C3298"/>
      <c r="D3298"/>
      <c r="G3298"/>
    </row>
    <row r="3299" spans="2:7">
      <c r="B3299"/>
      <c r="C3299"/>
      <c r="D3299"/>
      <c r="G3299"/>
    </row>
    <row r="3300" spans="2:7">
      <c r="B3300"/>
      <c r="C3300"/>
      <c r="D3300"/>
      <c r="G3300"/>
    </row>
    <row r="3301" spans="2:7">
      <c r="B3301"/>
      <c r="C3301"/>
      <c r="D3301"/>
      <c r="G3301"/>
    </row>
    <row r="3302" spans="2:7">
      <c r="B3302"/>
      <c r="C3302"/>
      <c r="D3302"/>
      <c r="G3302"/>
    </row>
    <row r="3303" spans="2:7">
      <c r="B3303"/>
      <c r="C3303"/>
      <c r="D3303"/>
      <c r="G3303"/>
    </row>
    <row r="3304" spans="2:7">
      <c r="B3304"/>
      <c r="C3304"/>
      <c r="D3304"/>
      <c r="G3304"/>
    </row>
    <row r="3305" spans="2:7">
      <c r="B3305"/>
      <c r="C3305"/>
      <c r="D3305"/>
      <c r="G3305"/>
    </row>
    <row r="3306" spans="2:7">
      <c r="B3306"/>
      <c r="C3306"/>
      <c r="D3306"/>
      <c r="G3306"/>
    </row>
    <row r="3307" spans="2:7">
      <c r="B3307"/>
      <c r="C3307"/>
      <c r="D3307"/>
      <c r="G3307"/>
    </row>
    <row r="3308" spans="2:7">
      <c r="B3308"/>
      <c r="C3308"/>
      <c r="D3308"/>
      <c r="G3308"/>
    </row>
    <row r="3309" spans="2:7">
      <c r="B3309"/>
      <c r="C3309"/>
      <c r="D3309"/>
      <c r="G3309"/>
    </row>
    <row r="3310" spans="2:7">
      <c r="B3310"/>
      <c r="C3310"/>
      <c r="D3310"/>
      <c r="G3310"/>
    </row>
    <row r="3311" spans="2:7">
      <c r="B3311"/>
      <c r="C3311"/>
      <c r="D3311"/>
      <c r="G3311"/>
    </row>
    <row r="3312" spans="2:7">
      <c r="B3312"/>
      <c r="C3312"/>
      <c r="D3312"/>
      <c r="G3312"/>
    </row>
    <row r="3313" spans="2:7">
      <c r="B3313"/>
      <c r="C3313"/>
      <c r="D3313"/>
      <c r="G3313"/>
    </row>
    <row r="3314" spans="2:7">
      <c r="B3314"/>
      <c r="C3314"/>
      <c r="D3314"/>
      <c r="G3314"/>
    </row>
    <row r="3315" spans="2:7">
      <c r="B3315"/>
      <c r="C3315"/>
      <c r="D3315"/>
      <c r="G3315"/>
    </row>
    <row r="3316" spans="2:7">
      <c r="B3316"/>
      <c r="C3316"/>
      <c r="D3316"/>
      <c r="G3316"/>
    </row>
    <row r="3317" spans="2:7">
      <c r="B3317"/>
      <c r="C3317"/>
      <c r="D3317"/>
      <c r="G3317"/>
    </row>
    <row r="3318" spans="2:7">
      <c r="B3318"/>
      <c r="C3318"/>
      <c r="D3318"/>
      <c r="G3318"/>
    </row>
    <row r="3319" spans="2:7">
      <c r="B3319"/>
      <c r="C3319"/>
      <c r="D3319"/>
      <c r="G3319"/>
    </row>
    <row r="3320" spans="2:7">
      <c r="B3320"/>
      <c r="C3320"/>
      <c r="D3320"/>
      <c r="G3320"/>
    </row>
    <row r="3321" spans="2:7">
      <c r="B3321"/>
      <c r="C3321"/>
      <c r="D3321"/>
      <c r="G3321"/>
    </row>
    <row r="3322" spans="2:7">
      <c r="B3322"/>
      <c r="C3322"/>
      <c r="D3322"/>
      <c r="G3322"/>
    </row>
    <row r="3323" spans="2:7">
      <c r="B3323"/>
      <c r="C3323"/>
      <c r="D3323"/>
      <c r="G3323"/>
    </row>
    <row r="3324" spans="2:7">
      <c r="B3324"/>
      <c r="C3324"/>
      <c r="D3324"/>
      <c r="G3324"/>
    </row>
    <row r="3325" spans="2:7">
      <c r="B3325"/>
      <c r="C3325"/>
      <c r="D3325"/>
      <c r="G3325"/>
    </row>
    <row r="3326" spans="2:7">
      <c r="B3326"/>
      <c r="C3326"/>
      <c r="D3326"/>
      <c r="G3326"/>
    </row>
    <row r="3327" spans="2:7">
      <c r="B3327"/>
      <c r="C3327"/>
      <c r="D3327"/>
      <c r="G3327"/>
    </row>
    <row r="3328" spans="2:7">
      <c r="B3328"/>
      <c r="C3328"/>
      <c r="D3328"/>
      <c r="G3328"/>
    </row>
    <row r="3329" spans="2:7">
      <c r="B3329"/>
      <c r="C3329"/>
      <c r="D3329"/>
      <c r="G3329"/>
    </row>
    <row r="3330" spans="2:7">
      <c r="B3330"/>
      <c r="C3330"/>
      <c r="D3330"/>
      <c r="G3330"/>
    </row>
    <row r="3331" spans="2:7">
      <c r="B3331"/>
      <c r="C3331"/>
      <c r="D3331"/>
      <c r="G3331"/>
    </row>
    <row r="3332" spans="2:7">
      <c r="B3332"/>
      <c r="C3332"/>
      <c r="D3332"/>
      <c r="G3332"/>
    </row>
    <row r="3333" spans="2:7">
      <c r="B3333"/>
      <c r="C3333"/>
      <c r="D3333"/>
      <c r="G3333"/>
    </row>
    <row r="3334" spans="2:7">
      <c r="B3334"/>
      <c r="C3334"/>
      <c r="D3334"/>
      <c r="G3334"/>
    </row>
    <row r="3335" spans="2:7">
      <c r="B3335"/>
      <c r="C3335"/>
      <c r="D3335"/>
      <c r="G3335"/>
    </row>
    <row r="3336" spans="2:7">
      <c r="B3336"/>
      <c r="C3336"/>
      <c r="D3336"/>
      <c r="G3336"/>
    </row>
    <row r="3337" spans="2:7">
      <c r="B3337"/>
      <c r="C3337"/>
      <c r="D3337"/>
      <c r="G3337"/>
    </row>
    <row r="3338" spans="2:7">
      <c r="B3338"/>
      <c r="C3338"/>
      <c r="D3338"/>
      <c r="G3338"/>
    </row>
    <row r="3339" spans="2:7">
      <c r="B3339"/>
      <c r="C3339"/>
      <c r="D3339"/>
      <c r="G3339"/>
    </row>
    <row r="3340" spans="2:7">
      <c r="B3340"/>
      <c r="C3340"/>
      <c r="D3340"/>
      <c r="G3340"/>
    </row>
    <row r="3341" spans="2:7">
      <c r="B3341"/>
      <c r="C3341"/>
      <c r="D3341"/>
      <c r="G3341"/>
    </row>
    <row r="3342" spans="2:7">
      <c r="B3342"/>
      <c r="C3342"/>
      <c r="D3342"/>
      <c r="G3342"/>
    </row>
    <row r="3343" spans="2:7">
      <c r="B3343"/>
      <c r="C3343"/>
      <c r="D3343"/>
      <c r="G3343"/>
    </row>
    <row r="3344" spans="2:7">
      <c r="B3344"/>
      <c r="C3344"/>
      <c r="D3344"/>
      <c r="G3344"/>
    </row>
    <row r="3345" spans="2:7">
      <c r="B3345"/>
      <c r="C3345"/>
      <c r="D3345"/>
      <c r="G3345"/>
    </row>
    <row r="3346" spans="2:7">
      <c r="B3346"/>
      <c r="C3346"/>
      <c r="D3346"/>
      <c r="G3346"/>
    </row>
    <row r="3347" spans="2:7">
      <c r="B3347"/>
      <c r="C3347"/>
      <c r="D3347"/>
      <c r="G3347"/>
    </row>
    <row r="3348" spans="2:7">
      <c r="B3348"/>
      <c r="C3348"/>
      <c r="D3348"/>
      <c r="G3348"/>
    </row>
    <row r="3349" spans="2:7">
      <c r="B3349"/>
      <c r="C3349"/>
      <c r="D3349"/>
      <c r="G3349"/>
    </row>
    <row r="3350" spans="2:7">
      <c r="B3350"/>
      <c r="C3350"/>
      <c r="D3350"/>
      <c r="G3350"/>
    </row>
    <row r="3351" spans="2:7">
      <c r="B3351"/>
      <c r="C3351"/>
      <c r="D3351"/>
      <c r="G3351"/>
    </row>
    <row r="3352" spans="2:7">
      <c r="B3352"/>
      <c r="C3352"/>
      <c r="D3352"/>
      <c r="G3352"/>
    </row>
    <row r="3353" spans="2:7">
      <c r="B3353"/>
      <c r="C3353"/>
      <c r="D3353"/>
      <c r="G3353"/>
    </row>
    <row r="3354" spans="2:7">
      <c r="B3354"/>
      <c r="C3354"/>
      <c r="D3354"/>
      <c r="G3354"/>
    </row>
    <row r="3355" spans="2:7">
      <c r="B3355"/>
      <c r="C3355"/>
      <c r="D3355"/>
      <c r="G3355"/>
    </row>
    <row r="3356" spans="2:7">
      <c r="B3356"/>
      <c r="C3356"/>
      <c r="D3356"/>
      <c r="G3356"/>
    </row>
    <row r="3357" spans="2:7">
      <c r="B3357"/>
      <c r="C3357"/>
      <c r="D3357"/>
      <c r="G3357"/>
    </row>
    <row r="3358" spans="2:7">
      <c r="B3358"/>
      <c r="C3358"/>
      <c r="D3358"/>
      <c r="G3358"/>
    </row>
    <row r="3359" spans="2:7">
      <c r="B3359"/>
      <c r="C3359"/>
      <c r="D3359"/>
      <c r="G3359"/>
    </row>
    <row r="3360" spans="2:7">
      <c r="B3360"/>
      <c r="C3360"/>
      <c r="D3360"/>
      <c r="G3360"/>
    </row>
    <row r="3361" spans="2:7">
      <c r="B3361"/>
      <c r="C3361"/>
      <c r="D3361"/>
      <c r="G3361"/>
    </row>
    <row r="3362" spans="2:7">
      <c r="B3362"/>
      <c r="C3362"/>
      <c r="D3362"/>
      <c r="G3362"/>
    </row>
    <row r="3363" spans="2:7">
      <c r="B3363"/>
      <c r="C3363"/>
      <c r="D3363"/>
      <c r="G3363"/>
    </row>
    <row r="3364" spans="2:7">
      <c r="B3364"/>
      <c r="C3364"/>
      <c r="D3364"/>
      <c r="G3364"/>
    </row>
    <row r="3365" spans="2:7">
      <c r="B3365"/>
      <c r="C3365"/>
      <c r="D3365"/>
      <c r="G3365"/>
    </row>
    <row r="3366" spans="2:7">
      <c r="B3366"/>
      <c r="C3366"/>
      <c r="D3366"/>
      <c r="G3366"/>
    </row>
    <row r="3367" spans="2:7">
      <c r="B3367"/>
      <c r="C3367"/>
      <c r="D3367"/>
      <c r="G3367"/>
    </row>
    <row r="3368" spans="2:7">
      <c r="B3368"/>
      <c r="C3368"/>
      <c r="D3368"/>
      <c r="G3368"/>
    </row>
    <row r="3369" spans="2:7">
      <c r="B3369"/>
      <c r="C3369"/>
      <c r="D3369"/>
      <c r="G3369"/>
    </row>
    <row r="3370" spans="2:7">
      <c r="B3370"/>
      <c r="C3370"/>
      <c r="D3370"/>
      <c r="G3370"/>
    </row>
    <row r="3371" spans="2:7">
      <c r="B3371"/>
      <c r="C3371"/>
      <c r="D3371"/>
      <c r="G3371"/>
    </row>
    <row r="3372" spans="2:7">
      <c r="B3372"/>
      <c r="C3372"/>
      <c r="D3372"/>
      <c r="G3372"/>
    </row>
    <row r="3373" spans="2:7">
      <c r="B3373"/>
      <c r="C3373"/>
      <c r="D3373"/>
      <c r="G3373"/>
    </row>
    <row r="3374" spans="2:7">
      <c r="B3374"/>
      <c r="C3374"/>
      <c r="D3374"/>
      <c r="G3374"/>
    </row>
    <row r="3375" spans="2:7">
      <c r="B3375"/>
      <c r="C3375"/>
      <c r="D3375"/>
      <c r="G3375"/>
    </row>
    <row r="3376" spans="2:7">
      <c r="B3376"/>
      <c r="C3376"/>
      <c r="D3376"/>
      <c r="G3376"/>
    </row>
    <row r="3377" spans="2:7">
      <c r="B3377"/>
      <c r="C3377"/>
      <c r="D3377"/>
      <c r="G3377"/>
    </row>
    <row r="3378" spans="2:7">
      <c r="B3378"/>
      <c r="C3378"/>
      <c r="D3378"/>
      <c r="G3378"/>
    </row>
    <row r="3379" spans="2:7">
      <c r="B3379"/>
      <c r="C3379"/>
      <c r="D3379"/>
      <c r="G3379"/>
    </row>
    <row r="3380" spans="2:7">
      <c r="B3380"/>
      <c r="C3380"/>
      <c r="D3380"/>
      <c r="G3380"/>
    </row>
    <row r="3381" spans="2:7">
      <c r="B3381"/>
      <c r="C3381"/>
      <c r="D3381"/>
      <c r="G3381"/>
    </row>
    <row r="3382" spans="2:7">
      <c r="B3382"/>
      <c r="C3382"/>
      <c r="D3382"/>
      <c r="G3382"/>
    </row>
    <row r="3383" spans="2:7">
      <c r="B3383"/>
      <c r="C3383"/>
      <c r="D3383"/>
      <c r="G3383"/>
    </row>
    <row r="3384" spans="2:7">
      <c r="B3384"/>
      <c r="C3384"/>
      <c r="D3384"/>
      <c r="G3384"/>
    </row>
    <row r="3385" spans="2:7">
      <c r="B3385"/>
      <c r="C3385"/>
      <c r="D3385"/>
      <c r="G3385"/>
    </row>
    <row r="3386" spans="2:7">
      <c r="B3386"/>
      <c r="C3386"/>
      <c r="D3386"/>
      <c r="G3386"/>
    </row>
    <row r="3387" spans="2:7">
      <c r="B3387"/>
      <c r="C3387"/>
      <c r="D3387"/>
      <c r="G3387"/>
    </row>
    <row r="3388" spans="2:7">
      <c r="B3388"/>
      <c r="C3388"/>
      <c r="D3388"/>
      <c r="G3388"/>
    </row>
    <row r="3389" spans="2:7">
      <c r="B3389"/>
      <c r="C3389"/>
      <c r="D3389"/>
      <c r="G3389"/>
    </row>
    <row r="3390" spans="2:7">
      <c r="B3390"/>
      <c r="C3390"/>
      <c r="D3390"/>
      <c r="G3390"/>
    </row>
    <row r="3391" spans="2:7">
      <c r="B3391"/>
      <c r="C3391"/>
      <c r="D3391"/>
      <c r="G3391"/>
    </row>
    <row r="3392" spans="2:7">
      <c r="B3392"/>
      <c r="C3392"/>
      <c r="D3392"/>
      <c r="G3392"/>
    </row>
    <row r="3393" spans="2:7">
      <c r="B3393"/>
      <c r="C3393"/>
      <c r="D3393"/>
      <c r="G3393"/>
    </row>
    <row r="3394" spans="2:7">
      <c r="B3394"/>
      <c r="C3394"/>
      <c r="D3394"/>
      <c r="G3394"/>
    </row>
    <row r="3395" spans="2:7">
      <c r="B3395"/>
      <c r="C3395"/>
      <c r="D3395"/>
      <c r="G3395"/>
    </row>
    <row r="3396" spans="2:7">
      <c r="B3396"/>
      <c r="C3396"/>
      <c r="D3396"/>
      <c r="G3396"/>
    </row>
    <row r="3397" spans="2:7">
      <c r="B3397"/>
      <c r="C3397"/>
      <c r="D3397"/>
      <c r="G3397"/>
    </row>
    <row r="3398" spans="2:7">
      <c r="B3398"/>
      <c r="C3398"/>
      <c r="D3398"/>
      <c r="G3398"/>
    </row>
    <row r="3399" spans="2:7">
      <c r="B3399"/>
      <c r="C3399"/>
      <c r="D3399"/>
      <c r="G3399"/>
    </row>
    <row r="3400" spans="2:7">
      <c r="B3400"/>
      <c r="C3400"/>
      <c r="D3400"/>
      <c r="G3400"/>
    </row>
    <row r="3401" spans="2:7">
      <c r="B3401"/>
      <c r="C3401"/>
      <c r="D3401"/>
      <c r="G3401"/>
    </row>
    <row r="3402" spans="2:7">
      <c r="B3402"/>
      <c r="C3402"/>
      <c r="D3402"/>
      <c r="G3402"/>
    </row>
    <row r="3403" spans="2:7">
      <c r="B3403"/>
      <c r="C3403"/>
      <c r="D3403"/>
      <c r="G3403"/>
    </row>
    <row r="3404" spans="2:7">
      <c r="B3404"/>
      <c r="C3404"/>
      <c r="D3404"/>
      <c r="G3404"/>
    </row>
    <row r="3405" spans="2:7">
      <c r="B3405"/>
      <c r="C3405"/>
      <c r="D3405"/>
      <c r="G3405"/>
    </row>
    <row r="3406" spans="2:7">
      <c r="B3406"/>
      <c r="C3406"/>
      <c r="D3406"/>
      <c r="G3406"/>
    </row>
    <row r="3407" spans="2:7">
      <c r="B3407"/>
      <c r="C3407"/>
      <c r="D3407"/>
      <c r="G3407"/>
    </row>
    <row r="3408" spans="2:7">
      <c r="B3408"/>
      <c r="C3408"/>
      <c r="D3408"/>
      <c r="G3408"/>
    </row>
    <row r="3409" spans="2:7">
      <c r="B3409"/>
      <c r="C3409"/>
      <c r="D3409"/>
      <c r="G3409"/>
    </row>
    <row r="3410" spans="2:7">
      <c r="B3410"/>
      <c r="C3410"/>
      <c r="D3410"/>
      <c r="G3410"/>
    </row>
    <row r="3411" spans="2:7">
      <c r="B3411"/>
      <c r="C3411"/>
      <c r="D3411"/>
      <c r="G3411"/>
    </row>
    <row r="3412" spans="2:7">
      <c r="B3412"/>
      <c r="C3412"/>
      <c r="D3412"/>
      <c r="G3412"/>
    </row>
    <row r="3413" spans="2:7">
      <c r="B3413"/>
      <c r="C3413"/>
      <c r="D3413"/>
      <c r="G3413"/>
    </row>
    <row r="3414" spans="2:7">
      <c r="B3414"/>
      <c r="C3414"/>
      <c r="D3414"/>
      <c r="G3414"/>
    </row>
    <row r="3415" spans="2:7">
      <c r="B3415"/>
      <c r="C3415"/>
      <c r="D3415"/>
      <c r="G3415"/>
    </row>
    <row r="3416" spans="2:7">
      <c r="B3416"/>
      <c r="C3416"/>
      <c r="D3416"/>
      <c r="G3416"/>
    </row>
    <row r="3417" spans="2:7">
      <c r="B3417"/>
      <c r="C3417"/>
      <c r="D3417"/>
      <c r="G3417"/>
    </row>
    <row r="3418" spans="2:7">
      <c r="B3418"/>
      <c r="C3418"/>
      <c r="D3418"/>
      <c r="G3418"/>
    </row>
    <row r="3419" spans="2:7">
      <c r="B3419"/>
      <c r="C3419"/>
      <c r="D3419"/>
      <c r="G3419"/>
    </row>
    <row r="3420" spans="2:7">
      <c r="B3420"/>
      <c r="C3420"/>
      <c r="D3420"/>
      <c r="G3420"/>
    </row>
    <row r="3421" spans="2:7">
      <c r="B3421"/>
      <c r="C3421"/>
      <c r="D3421"/>
      <c r="G3421"/>
    </row>
    <row r="3422" spans="2:7">
      <c r="B3422"/>
      <c r="C3422"/>
      <c r="D3422"/>
      <c r="G3422"/>
    </row>
    <row r="3423" spans="2:7">
      <c r="B3423"/>
      <c r="C3423"/>
      <c r="D3423"/>
      <c r="G3423"/>
    </row>
    <row r="3424" spans="2:7">
      <c r="B3424"/>
      <c r="C3424"/>
      <c r="D3424"/>
      <c r="G3424"/>
    </row>
    <row r="3425" spans="2:7">
      <c r="B3425"/>
      <c r="C3425"/>
      <c r="D3425"/>
      <c r="G3425"/>
    </row>
    <row r="3426" spans="2:7">
      <c r="B3426"/>
      <c r="C3426"/>
      <c r="D3426"/>
      <c r="G3426"/>
    </row>
    <row r="3427" spans="2:7">
      <c r="B3427"/>
      <c r="C3427"/>
      <c r="D3427"/>
      <c r="G3427"/>
    </row>
    <row r="3428" spans="2:7">
      <c r="B3428"/>
      <c r="C3428"/>
      <c r="D3428"/>
      <c r="G3428"/>
    </row>
    <row r="3429" spans="2:7">
      <c r="B3429"/>
      <c r="C3429"/>
      <c r="D3429"/>
      <c r="G3429"/>
    </row>
    <row r="3430" spans="2:7">
      <c r="B3430"/>
      <c r="C3430"/>
      <c r="D3430"/>
      <c r="G3430"/>
    </row>
    <row r="3431" spans="2:7">
      <c r="B3431"/>
      <c r="C3431"/>
      <c r="D3431"/>
      <c r="G3431"/>
    </row>
    <row r="3432" spans="2:7">
      <c r="B3432"/>
      <c r="C3432"/>
      <c r="D3432"/>
      <c r="G3432"/>
    </row>
    <row r="3433" spans="2:7">
      <c r="B3433"/>
      <c r="C3433"/>
      <c r="D3433"/>
      <c r="G3433"/>
    </row>
    <row r="3434" spans="2:7">
      <c r="B3434"/>
      <c r="C3434"/>
      <c r="D3434"/>
      <c r="G3434"/>
    </row>
    <row r="3435" spans="2:7">
      <c r="B3435"/>
      <c r="C3435"/>
      <c r="D3435"/>
      <c r="G3435"/>
    </row>
    <row r="3436" spans="2:7">
      <c r="B3436"/>
      <c r="C3436"/>
      <c r="D3436"/>
      <c r="G3436"/>
    </row>
    <row r="3437" spans="2:7">
      <c r="B3437"/>
      <c r="C3437"/>
      <c r="D3437"/>
      <c r="G3437"/>
    </row>
    <row r="3438" spans="2:7">
      <c r="B3438"/>
      <c r="C3438"/>
      <c r="D3438"/>
      <c r="G3438"/>
    </row>
    <row r="3439" spans="2:7">
      <c r="B3439"/>
      <c r="C3439"/>
      <c r="D3439"/>
      <c r="G3439"/>
    </row>
    <row r="3440" spans="2:7">
      <c r="B3440"/>
      <c r="C3440"/>
      <c r="D3440"/>
      <c r="G3440"/>
    </row>
    <row r="3441" spans="2:7">
      <c r="B3441"/>
      <c r="C3441"/>
      <c r="D3441"/>
      <c r="G3441"/>
    </row>
    <row r="3442" spans="2:7">
      <c r="B3442"/>
      <c r="C3442"/>
      <c r="D3442"/>
      <c r="G3442"/>
    </row>
    <row r="3443" spans="2:7">
      <c r="B3443"/>
      <c r="C3443"/>
      <c r="D3443"/>
      <c r="G3443"/>
    </row>
    <row r="3444" spans="2:7">
      <c r="B3444"/>
      <c r="C3444"/>
      <c r="D3444"/>
      <c r="G3444"/>
    </row>
    <row r="3445" spans="2:7">
      <c r="B3445"/>
      <c r="C3445"/>
      <c r="D3445"/>
      <c r="G3445"/>
    </row>
    <row r="3446" spans="2:7">
      <c r="B3446"/>
      <c r="C3446"/>
      <c r="D3446"/>
      <c r="G3446"/>
    </row>
    <row r="3447" spans="2:7">
      <c r="B3447"/>
      <c r="C3447"/>
      <c r="D3447"/>
      <c r="G3447"/>
    </row>
    <row r="3448" spans="2:7">
      <c r="B3448"/>
      <c r="C3448"/>
      <c r="D3448"/>
      <c r="G3448"/>
    </row>
    <row r="3449" spans="2:7">
      <c r="B3449"/>
      <c r="C3449"/>
      <c r="D3449"/>
      <c r="G3449"/>
    </row>
    <row r="3450" spans="2:7">
      <c r="B3450"/>
      <c r="C3450"/>
      <c r="D3450"/>
      <c r="G3450"/>
    </row>
    <row r="3451" spans="2:7">
      <c r="B3451"/>
      <c r="C3451"/>
      <c r="D3451"/>
      <c r="G3451"/>
    </row>
    <row r="3452" spans="2:7">
      <c r="B3452"/>
      <c r="C3452"/>
      <c r="D3452"/>
      <c r="G3452"/>
    </row>
    <row r="3453" spans="2:7">
      <c r="B3453"/>
      <c r="C3453"/>
      <c r="D3453"/>
      <c r="G3453"/>
    </row>
    <row r="3454" spans="2:7">
      <c r="B3454"/>
      <c r="C3454"/>
      <c r="D3454"/>
      <c r="G3454"/>
    </row>
    <row r="3455" spans="2:7">
      <c r="B3455"/>
      <c r="C3455"/>
      <c r="D3455"/>
      <c r="G3455"/>
    </row>
    <row r="3456" spans="2:7">
      <c r="B3456"/>
      <c r="C3456"/>
      <c r="D3456"/>
      <c r="G3456"/>
    </row>
    <row r="3457" spans="2:7">
      <c r="B3457"/>
      <c r="C3457"/>
      <c r="D3457"/>
      <c r="G3457"/>
    </row>
    <row r="3458" spans="2:7">
      <c r="B3458"/>
      <c r="C3458"/>
      <c r="D3458"/>
      <c r="G3458"/>
    </row>
    <row r="3459" spans="2:7">
      <c r="B3459"/>
      <c r="C3459"/>
      <c r="D3459"/>
      <c r="G3459"/>
    </row>
    <row r="3460" spans="2:7">
      <c r="B3460"/>
      <c r="C3460"/>
      <c r="D3460"/>
      <c r="G3460"/>
    </row>
    <row r="3461" spans="2:7">
      <c r="B3461"/>
      <c r="C3461"/>
      <c r="D3461"/>
      <c r="G3461"/>
    </row>
    <row r="3462" spans="2:7">
      <c r="B3462"/>
      <c r="C3462"/>
      <c r="D3462"/>
      <c r="G3462"/>
    </row>
    <row r="3463" spans="2:7">
      <c r="B3463"/>
      <c r="C3463"/>
      <c r="D3463"/>
      <c r="G3463"/>
    </row>
    <row r="3464" spans="2:7">
      <c r="B3464"/>
      <c r="C3464"/>
      <c r="D3464"/>
      <c r="G3464"/>
    </row>
    <row r="3465" spans="2:7">
      <c r="B3465"/>
      <c r="C3465"/>
      <c r="D3465"/>
      <c r="G3465"/>
    </row>
    <row r="3466" spans="2:7">
      <c r="B3466"/>
      <c r="C3466"/>
      <c r="D3466"/>
      <c r="G3466"/>
    </row>
    <row r="3467" spans="2:7">
      <c r="B3467"/>
      <c r="C3467"/>
      <c r="D3467"/>
      <c r="G3467"/>
    </row>
    <row r="3468" spans="2:7">
      <c r="B3468"/>
      <c r="C3468"/>
      <c r="D3468"/>
      <c r="G3468"/>
    </row>
    <row r="3469" spans="2:7">
      <c r="B3469"/>
      <c r="C3469"/>
      <c r="D3469"/>
      <c r="G3469"/>
    </row>
    <row r="3470" spans="2:7">
      <c r="B3470"/>
      <c r="C3470"/>
      <c r="D3470"/>
      <c r="G3470"/>
    </row>
    <row r="3471" spans="2:7">
      <c r="B3471"/>
      <c r="C3471"/>
      <c r="D3471"/>
      <c r="G3471"/>
    </row>
    <row r="3472" spans="2:7">
      <c r="B3472"/>
      <c r="C3472"/>
      <c r="D3472"/>
      <c r="G3472"/>
    </row>
    <row r="3473" spans="2:7">
      <c r="B3473"/>
      <c r="C3473"/>
      <c r="D3473"/>
      <c r="G3473"/>
    </row>
    <row r="3474" spans="2:7">
      <c r="B3474"/>
      <c r="C3474"/>
      <c r="D3474"/>
      <c r="G3474"/>
    </row>
    <row r="3475" spans="2:7">
      <c r="B3475"/>
      <c r="C3475"/>
      <c r="D3475"/>
      <c r="G3475"/>
    </row>
    <row r="3476" spans="2:7">
      <c r="B3476"/>
      <c r="C3476"/>
      <c r="D3476"/>
      <c r="G3476"/>
    </row>
    <row r="3477" spans="2:7">
      <c r="B3477"/>
      <c r="C3477"/>
      <c r="D3477"/>
      <c r="G3477"/>
    </row>
    <row r="3478" spans="2:7">
      <c r="B3478"/>
      <c r="C3478"/>
      <c r="D3478"/>
      <c r="G3478"/>
    </row>
    <row r="3479" spans="2:7">
      <c r="B3479"/>
      <c r="C3479"/>
      <c r="D3479"/>
      <c r="G3479"/>
    </row>
    <row r="3480" spans="2:7">
      <c r="B3480"/>
      <c r="C3480"/>
      <c r="D3480"/>
      <c r="G3480"/>
    </row>
    <row r="3481" spans="2:7">
      <c r="B3481"/>
      <c r="C3481"/>
      <c r="D3481"/>
      <c r="G3481"/>
    </row>
    <row r="3482" spans="2:7">
      <c r="B3482"/>
      <c r="C3482"/>
      <c r="D3482"/>
      <c r="G3482"/>
    </row>
    <row r="3483" spans="2:7">
      <c r="B3483"/>
      <c r="C3483"/>
      <c r="D3483"/>
      <c r="G3483"/>
    </row>
    <row r="3484" spans="2:7">
      <c r="B3484"/>
      <c r="C3484"/>
      <c r="D3484"/>
      <c r="G3484"/>
    </row>
    <row r="3485" spans="2:7">
      <c r="B3485"/>
      <c r="C3485"/>
      <c r="D3485"/>
      <c r="G3485"/>
    </row>
    <row r="3486" spans="2:7">
      <c r="B3486"/>
      <c r="C3486"/>
      <c r="D3486"/>
      <c r="G3486"/>
    </row>
    <row r="3487" spans="2:7">
      <c r="B3487"/>
      <c r="C3487"/>
      <c r="D3487"/>
      <c r="G3487"/>
    </row>
    <row r="3488" spans="2:7">
      <c r="B3488"/>
      <c r="C3488"/>
      <c r="D3488"/>
      <c r="G3488"/>
    </row>
    <row r="3489" spans="2:7">
      <c r="B3489"/>
      <c r="C3489"/>
      <c r="D3489"/>
      <c r="G3489"/>
    </row>
    <row r="3490" spans="2:7">
      <c r="B3490"/>
      <c r="C3490"/>
      <c r="D3490"/>
      <c r="G3490"/>
    </row>
    <row r="3491" spans="2:7">
      <c r="B3491"/>
      <c r="C3491"/>
      <c r="D3491"/>
      <c r="G3491"/>
    </row>
    <row r="3492" spans="2:7">
      <c r="B3492"/>
      <c r="C3492"/>
      <c r="D3492"/>
      <c r="G3492"/>
    </row>
    <row r="3493" spans="2:7">
      <c r="B3493"/>
      <c r="C3493"/>
      <c r="D3493"/>
      <c r="G3493"/>
    </row>
    <row r="3494" spans="2:7">
      <c r="B3494"/>
      <c r="C3494"/>
      <c r="D3494"/>
      <c r="G3494"/>
    </row>
    <row r="3495" spans="2:7">
      <c r="B3495"/>
      <c r="C3495"/>
      <c r="D3495"/>
      <c r="G3495"/>
    </row>
    <row r="3496" spans="2:7">
      <c r="B3496"/>
      <c r="C3496"/>
      <c r="D3496"/>
      <c r="G3496"/>
    </row>
    <row r="3497" spans="2:7">
      <c r="B3497"/>
      <c r="C3497"/>
      <c r="D3497"/>
      <c r="G3497"/>
    </row>
    <row r="3498" spans="2:7">
      <c r="B3498"/>
      <c r="C3498"/>
      <c r="D3498"/>
      <c r="G3498"/>
    </row>
    <row r="3499" spans="2:7">
      <c r="B3499"/>
      <c r="C3499"/>
      <c r="D3499"/>
      <c r="G3499"/>
    </row>
    <row r="3500" spans="2:7">
      <c r="B3500"/>
      <c r="C3500"/>
      <c r="D3500"/>
      <c r="G3500"/>
    </row>
    <row r="3501" spans="2:7">
      <c r="B3501"/>
      <c r="C3501"/>
      <c r="D3501"/>
      <c r="G3501"/>
    </row>
    <row r="3502" spans="2:7">
      <c r="B3502"/>
      <c r="C3502"/>
      <c r="D3502"/>
      <c r="G3502"/>
    </row>
    <row r="3503" spans="2:7">
      <c r="B3503"/>
      <c r="C3503"/>
      <c r="D3503"/>
      <c r="G3503"/>
    </row>
    <row r="3504" spans="2:7">
      <c r="B3504"/>
      <c r="C3504"/>
      <c r="D3504"/>
      <c r="G3504"/>
    </row>
    <row r="3505" spans="2:7">
      <c r="B3505"/>
      <c r="C3505"/>
      <c r="D3505"/>
      <c r="G3505"/>
    </row>
    <row r="3506" spans="2:7">
      <c r="B3506"/>
      <c r="C3506"/>
      <c r="D3506"/>
      <c r="G3506"/>
    </row>
    <row r="3507" spans="2:7">
      <c r="B3507"/>
      <c r="C3507"/>
      <c r="D3507"/>
      <c r="G3507"/>
    </row>
    <row r="3508" spans="2:7">
      <c r="B3508"/>
      <c r="C3508"/>
      <c r="D3508"/>
      <c r="G3508"/>
    </row>
    <row r="3509" spans="2:7">
      <c r="B3509"/>
      <c r="C3509"/>
      <c r="D3509"/>
      <c r="G3509"/>
    </row>
    <row r="3510" spans="2:7">
      <c r="B3510"/>
      <c r="C3510"/>
      <c r="D3510"/>
      <c r="G3510"/>
    </row>
    <row r="3511" spans="2:7">
      <c r="B3511"/>
      <c r="C3511"/>
      <c r="D3511"/>
      <c r="G3511"/>
    </row>
    <row r="3512" spans="2:7">
      <c r="B3512"/>
      <c r="C3512"/>
      <c r="D3512"/>
      <c r="G3512"/>
    </row>
    <row r="3513" spans="2:7">
      <c r="B3513"/>
      <c r="C3513"/>
      <c r="D3513"/>
      <c r="G3513"/>
    </row>
    <row r="3514" spans="2:7">
      <c r="B3514"/>
      <c r="C3514"/>
      <c r="D3514"/>
      <c r="G3514"/>
    </row>
    <row r="3515" spans="2:7">
      <c r="B3515"/>
      <c r="C3515"/>
      <c r="D3515"/>
      <c r="G3515"/>
    </row>
    <row r="3516" spans="2:7">
      <c r="B3516"/>
      <c r="C3516"/>
      <c r="D3516"/>
      <c r="G3516"/>
    </row>
    <row r="3517" spans="2:7">
      <c r="B3517"/>
      <c r="C3517"/>
      <c r="D3517"/>
      <c r="G3517"/>
    </row>
    <row r="3518" spans="2:7">
      <c r="B3518"/>
      <c r="C3518"/>
      <c r="D3518"/>
      <c r="G3518"/>
    </row>
    <row r="3519" spans="2:7">
      <c r="B3519"/>
      <c r="C3519"/>
      <c r="D3519"/>
      <c r="G3519"/>
    </row>
    <row r="3520" spans="2:7">
      <c r="B3520"/>
      <c r="C3520"/>
      <c r="D3520"/>
      <c r="G3520"/>
    </row>
    <row r="3521" spans="2:7">
      <c r="B3521"/>
      <c r="C3521"/>
      <c r="D3521"/>
      <c r="G3521"/>
    </row>
    <row r="3522" spans="2:7">
      <c r="B3522"/>
      <c r="C3522"/>
      <c r="D3522"/>
      <c r="G3522"/>
    </row>
    <row r="3523" spans="2:7">
      <c r="B3523"/>
      <c r="C3523"/>
      <c r="D3523"/>
      <c r="G3523"/>
    </row>
    <row r="3524" spans="2:7">
      <c r="B3524"/>
      <c r="C3524"/>
      <c r="D3524"/>
      <c r="G3524"/>
    </row>
    <row r="3525" spans="2:7">
      <c r="B3525"/>
      <c r="C3525"/>
      <c r="D3525"/>
      <c r="G3525"/>
    </row>
    <row r="3526" spans="2:7">
      <c r="B3526"/>
      <c r="C3526"/>
      <c r="D3526"/>
      <c r="G3526"/>
    </row>
    <row r="3527" spans="2:7">
      <c r="B3527"/>
      <c r="C3527"/>
      <c r="D3527"/>
      <c r="G3527"/>
    </row>
    <row r="3528" spans="2:7">
      <c r="B3528"/>
      <c r="C3528"/>
      <c r="D3528"/>
      <c r="G3528"/>
    </row>
    <row r="3529" spans="2:7">
      <c r="B3529"/>
      <c r="C3529"/>
      <c r="D3529"/>
      <c r="G3529"/>
    </row>
    <row r="3530" spans="2:7">
      <c r="B3530"/>
      <c r="C3530"/>
      <c r="D3530"/>
      <c r="G3530"/>
    </row>
    <row r="3531" spans="2:7">
      <c r="B3531"/>
      <c r="C3531"/>
      <c r="D3531"/>
      <c r="G3531"/>
    </row>
    <row r="3532" spans="2:7">
      <c r="B3532"/>
      <c r="C3532"/>
      <c r="D3532"/>
      <c r="G3532"/>
    </row>
    <row r="3533" spans="2:7">
      <c r="B3533"/>
      <c r="C3533"/>
      <c r="D3533"/>
      <c r="G3533"/>
    </row>
    <row r="3534" spans="2:7">
      <c r="B3534"/>
      <c r="C3534"/>
      <c r="D3534"/>
      <c r="G3534"/>
    </row>
    <row r="3535" spans="2:7">
      <c r="B3535"/>
      <c r="C3535"/>
      <c r="D3535"/>
      <c r="G3535"/>
    </row>
    <row r="3536" spans="2:7">
      <c r="B3536"/>
      <c r="C3536"/>
      <c r="D3536"/>
      <c r="G3536"/>
    </row>
    <row r="3537" spans="2:7">
      <c r="B3537"/>
      <c r="C3537"/>
      <c r="D3537"/>
      <c r="G3537"/>
    </row>
    <row r="3538" spans="2:7">
      <c r="B3538"/>
      <c r="C3538"/>
      <c r="D3538"/>
      <c r="G3538"/>
    </row>
    <row r="3539" spans="2:7">
      <c r="B3539"/>
      <c r="C3539"/>
      <c r="D3539"/>
      <c r="G3539"/>
    </row>
    <row r="3540" spans="2:7">
      <c r="B3540"/>
      <c r="C3540"/>
      <c r="D3540"/>
      <c r="G3540"/>
    </row>
    <row r="3541" spans="2:7">
      <c r="B3541"/>
      <c r="C3541"/>
      <c r="D3541"/>
      <c r="G3541"/>
    </row>
    <row r="3542" spans="2:7">
      <c r="B3542"/>
      <c r="C3542"/>
      <c r="D3542"/>
      <c r="G3542"/>
    </row>
    <row r="3543" spans="2:7">
      <c r="B3543"/>
      <c r="C3543"/>
      <c r="D3543"/>
      <c r="G3543"/>
    </row>
    <row r="3544" spans="2:7">
      <c r="B3544"/>
      <c r="C3544"/>
      <c r="D3544"/>
      <c r="G3544"/>
    </row>
    <row r="3545" spans="2:7">
      <c r="B3545"/>
      <c r="C3545"/>
      <c r="D3545"/>
      <c r="G3545"/>
    </row>
    <row r="3546" spans="2:7">
      <c r="B3546"/>
      <c r="C3546"/>
      <c r="D3546"/>
      <c r="G3546"/>
    </row>
    <row r="3547" spans="2:7">
      <c r="B3547"/>
      <c r="C3547"/>
      <c r="D3547"/>
      <c r="G3547"/>
    </row>
    <row r="3548" spans="2:7">
      <c r="B3548"/>
      <c r="C3548"/>
      <c r="D3548"/>
      <c r="G3548"/>
    </row>
    <row r="3549" spans="2:7">
      <c r="B3549"/>
      <c r="C3549"/>
      <c r="D3549"/>
      <c r="G3549"/>
    </row>
    <row r="3550" spans="2:7">
      <c r="B3550"/>
      <c r="C3550"/>
      <c r="D3550"/>
      <c r="G3550"/>
    </row>
    <row r="3551" spans="2:7">
      <c r="B3551"/>
      <c r="C3551"/>
      <c r="D3551"/>
      <c r="G3551"/>
    </row>
    <row r="3552" spans="2:7">
      <c r="B3552"/>
      <c r="C3552"/>
      <c r="D3552"/>
      <c r="G3552"/>
    </row>
    <row r="3553" spans="2:7">
      <c r="B3553"/>
      <c r="C3553"/>
      <c r="D3553"/>
      <c r="G3553"/>
    </row>
    <row r="3554" spans="2:7">
      <c r="B3554"/>
      <c r="C3554"/>
      <c r="D3554"/>
      <c r="G3554"/>
    </row>
    <row r="3555" spans="2:7">
      <c r="B3555"/>
      <c r="C3555"/>
      <c r="D3555"/>
      <c r="G3555"/>
    </row>
    <row r="3556" spans="2:7">
      <c r="B3556"/>
      <c r="C3556"/>
      <c r="D3556"/>
      <c r="G3556"/>
    </row>
    <row r="3557" spans="2:7">
      <c r="B3557"/>
      <c r="C3557"/>
      <c r="D3557"/>
      <c r="G3557"/>
    </row>
    <row r="3558" spans="2:7">
      <c r="B3558"/>
      <c r="C3558"/>
      <c r="D3558"/>
      <c r="G3558"/>
    </row>
    <row r="3559" spans="2:7">
      <c r="B3559"/>
      <c r="C3559"/>
      <c r="D3559"/>
      <c r="G3559"/>
    </row>
    <row r="3560" spans="2:7">
      <c r="B3560"/>
      <c r="C3560"/>
      <c r="D3560"/>
      <c r="G3560"/>
    </row>
    <row r="3561" spans="2:7">
      <c r="B3561"/>
      <c r="C3561"/>
      <c r="D3561"/>
      <c r="G3561"/>
    </row>
    <row r="3562" spans="2:7">
      <c r="B3562"/>
      <c r="C3562"/>
      <c r="D3562"/>
      <c r="G3562"/>
    </row>
    <row r="3563" spans="2:7">
      <c r="B3563"/>
      <c r="C3563"/>
      <c r="D3563"/>
      <c r="G3563"/>
    </row>
    <row r="3564" spans="2:7">
      <c r="B3564"/>
      <c r="C3564"/>
      <c r="D3564"/>
      <c r="G3564"/>
    </row>
    <row r="3565" spans="2:7">
      <c r="B3565"/>
      <c r="C3565"/>
      <c r="D3565"/>
      <c r="G3565"/>
    </row>
    <row r="3566" spans="2:7">
      <c r="B3566"/>
      <c r="C3566"/>
      <c r="D3566"/>
      <c r="G3566"/>
    </row>
    <row r="3567" spans="2:7">
      <c r="B3567"/>
      <c r="C3567"/>
      <c r="D3567"/>
      <c r="G3567"/>
    </row>
    <row r="3568" spans="2:7">
      <c r="B3568"/>
      <c r="C3568"/>
      <c r="D3568"/>
      <c r="G3568"/>
    </row>
    <row r="3569" spans="2:7">
      <c r="B3569"/>
      <c r="C3569"/>
      <c r="D3569"/>
      <c r="G3569"/>
    </row>
    <row r="3570" spans="2:7">
      <c r="B3570"/>
      <c r="C3570"/>
      <c r="D3570"/>
      <c r="G3570"/>
    </row>
    <row r="3571" spans="2:7">
      <c r="B3571"/>
      <c r="C3571"/>
      <c r="D3571"/>
      <c r="G3571"/>
    </row>
    <row r="3572" spans="2:7">
      <c r="B3572"/>
      <c r="C3572"/>
      <c r="D3572"/>
      <c r="G3572"/>
    </row>
    <row r="3573" spans="2:7">
      <c r="B3573"/>
      <c r="C3573"/>
      <c r="D3573"/>
      <c r="G3573"/>
    </row>
    <row r="3574" spans="2:7">
      <c r="B3574"/>
      <c r="C3574"/>
      <c r="D3574"/>
      <c r="G3574"/>
    </row>
    <row r="3575" spans="2:7">
      <c r="B3575"/>
      <c r="C3575"/>
      <c r="D3575"/>
      <c r="G3575"/>
    </row>
    <row r="3576" spans="2:7">
      <c r="B3576"/>
      <c r="C3576"/>
      <c r="D3576"/>
      <c r="G3576"/>
    </row>
    <row r="3577" spans="2:7">
      <c r="B3577"/>
      <c r="C3577"/>
      <c r="D3577"/>
      <c r="G3577"/>
    </row>
    <row r="3578" spans="2:7">
      <c r="B3578"/>
      <c r="C3578"/>
      <c r="D3578"/>
      <c r="G3578"/>
    </row>
    <row r="3579" spans="2:7">
      <c r="B3579"/>
      <c r="C3579"/>
      <c r="D3579"/>
      <c r="G3579"/>
    </row>
    <row r="3580" spans="2:7">
      <c r="B3580"/>
      <c r="C3580"/>
      <c r="D3580"/>
      <c r="G3580"/>
    </row>
    <row r="3581" spans="2:7">
      <c r="B3581"/>
      <c r="C3581"/>
      <c r="D3581"/>
      <c r="G3581"/>
    </row>
    <row r="3582" spans="2:7">
      <c r="B3582"/>
      <c r="C3582"/>
      <c r="D3582"/>
      <c r="G3582"/>
    </row>
    <row r="3583" spans="2:7">
      <c r="B3583"/>
      <c r="C3583"/>
      <c r="D3583"/>
      <c r="G3583"/>
    </row>
    <row r="3584" spans="2:7">
      <c r="B3584"/>
      <c r="C3584"/>
      <c r="D3584"/>
      <c r="G3584"/>
    </row>
    <row r="3585" spans="2:7">
      <c r="B3585"/>
      <c r="C3585"/>
      <c r="D3585"/>
      <c r="G3585"/>
    </row>
    <row r="3586" spans="2:7">
      <c r="B3586"/>
      <c r="C3586"/>
      <c r="D3586"/>
      <c r="G3586"/>
    </row>
    <row r="3587" spans="2:7">
      <c r="B3587"/>
      <c r="C3587"/>
      <c r="D3587"/>
      <c r="G3587"/>
    </row>
    <row r="3588" spans="2:7">
      <c r="B3588"/>
      <c r="C3588"/>
      <c r="D3588"/>
      <c r="G3588"/>
    </row>
    <row r="3589" spans="2:7">
      <c r="B3589"/>
      <c r="C3589"/>
      <c r="D3589"/>
      <c r="G3589"/>
    </row>
    <row r="3590" spans="2:7">
      <c r="B3590"/>
      <c r="C3590"/>
      <c r="D3590"/>
      <c r="G3590"/>
    </row>
    <row r="3591" spans="2:7">
      <c r="B3591"/>
      <c r="C3591"/>
      <c r="D3591"/>
      <c r="G3591"/>
    </row>
    <row r="3592" spans="2:7">
      <c r="B3592"/>
      <c r="C3592"/>
      <c r="D3592"/>
      <c r="G3592"/>
    </row>
    <row r="3593" spans="2:7">
      <c r="B3593"/>
      <c r="C3593"/>
      <c r="D3593"/>
      <c r="G3593"/>
    </row>
    <row r="3594" spans="2:7">
      <c r="B3594"/>
      <c r="C3594"/>
      <c r="D3594"/>
      <c r="G3594"/>
    </row>
    <row r="3595" spans="2:7">
      <c r="B3595"/>
      <c r="C3595"/>
      <c r="D3595"/>
      <c r="G3595"/>
    </row>
    <row r="3596" spans="2:7">
      <c r="B3596"/>
      <c r="C3596"/>
      <c r="D3596"/>
      <c r="G3596"/>
    </row>
    <row r="3597" spans="2:7">
      <c r="B3597"/>
      <c r="C3597"/>
      <c r="D3597"/>
      <c r="G3597"/>
    </row>
    <row r="3598" spans="2:7">
      <c r="B3598"/>
      <c r="C3598"/>
      <c r="D3598"/>
      <c r="G3598"/>
    </row>
    <row r="3599" spans="2:7">
      <c r="B3599"/>
      <c r="C3599"/>
      <c r="D3599"/>
      <c r="G3599"/>
    </row>
    <row r="3600" spans="2:7">
      <c r="B3600"/>
      <c r="C3600"/>
      <c r="D3600"/>
      <c r="G3600"/>
    </row>
    <row r="3601" spans="2:7">
      <c r="B3601"/>
      <c r="C3601"/>
      <c r="D3601"/>
      <c r="G3601"/>
    </row>
    <row r="3602" spans="2:7">
      <c r="B3602"/>
      <c r="C3602"/>
      <c r="D3602"/>
      <c r="G3602"/>
    </row>
    <row r="3603" spans="2:7">
      <c r="B3603"/>
      <c r="C3603"/>
      <c r="D3603"/>
      <c r="G3603"/>
    </row>
    <row r="3604" spans="2:7">
      <c r="B3604"/>
      <c r="C3604"/>
      <c r="D3604"/>
      <c r="G3604"/>
    </row>
    <row r="3605" spans="2:7">
      <c r="B3605"/>
      <c r="C3605"/>
      <c r="D3605"/>
      <c r="G3605"/>
    </row>
    <row r="3606" spans="2:7">
      <c r="B3606"/>
      <c r="C3606"/>
      <c r="D3606"/>
      <c r="G3606"/>
    </row>
    <row r="3607" spans="2:7">
      <c r="B3607"/>
      <c r="C3607"/>
      <c r="D3607"/>
      <c r="G3607"/>
    </row>
    <row r="3608" spans="2:7">
      <c r="B3608"/>
      <c r="C3608"/>
      <c r="D3608"/>
      <c r="G3608"/>
    </row>
    <row r="3609" spans="2:7">
      <c r="B3609"/>
      <c r="C3609"/>
      <c r="D3609"/>
      <c r="G3609"/>
    </row>
    <row r="3610" spans="2:7">
      <c r="B3610"/>
      <c r="C3610"/>
      <c r="D3610"/>
      <c r="G3610"/>
    </row>
    <row r="3611" spans="2:7">
      <c r="B3611"/>
      <c r="C3611"/>
      <c r="D3611"/>
      <c r="G3611"/>
    </row>
    <row r="3612" spans="2:7">
      <c r="B3612"/>
      <c r="C3612"/>
      <c r="D3612"/>
      <c r="G3612"/>
    </row>
    <row r="3613" spans="2:7">
      <c r="B3613"/>
      <c r="C3613"/>
      <c r="D3613"/>
      <c r="G3613"/>
    </row>
    <row r="3614" spans="2:7">
      <c r="B3614"/>
      <c r="C3614"/>
      <c r="D3614"/>
      <c r="G3614"/>
    </row>
    <row r="3615" spans="2:7">
      <c r="B3615"/>
      <c r="C3615"/>
      <c r="D3615"/>
      <c r="G3615"/>
    </row>
    <row r="3616" spans="2:7">
      <c r="B3616"/>
      <c r="C3616"/>
      <c r="D3616"/>
      <c r="G3616"/>
    </row>
    <row r="3617" spans="2:7">
      <c r="B3617"/>
      <c r="C3617"/>
      <c r="D3617"/>
      <c r="G3617"/>
    </row>
    <row r="3618" spans="2:7">
      <c r="B3618"/>
      <c r="C3618"/>
      <c r="D3618"/>
      <c r="G3618"/>
    </row>
    <row r="3619" spans="2:7">
      <c r="B3619"/>
      <c r="C3619"/>
      <c r="D3619"/>
      <c r="G3619"/>
    </row>
    <row r="3620" spans="2:7">
      <c r="B3620"/>
      <c r="C3620"/>
      <c r="D3620"/>
      <c r="G3620"/>
    </row>
    <row r="3621" spans="2:7">
      <c r="B3621"/>
      <c r="C3621"/>
      <c r="D3621"/>
      <c r="G3621"/>
    </row>
    <row r="3622" spans="2:7">
      <c r="B3622"/>
      <c r="C3622"/>
      <c r="D3622"/>
      <c r="G3622"/>
    </row>
    <row r="3623" spans="2:7">
      <c r="B3623"/>
      <c r="C3623"/>
      <c r="D3623"/>
      <c r="G3623"/>
    </row>
    <row r="3624" spans="2:7">
      <c r="B3624"/>
      <c r="C3624"/>
      <c r="D3624"/>
      <c r="G3624"/>
    </row>
    <row r="3625" spans="2:7">
      <c r="B3625"/>
      <c r="C3625"/>
      <c r="D3625"/>
      <c r="G3625"/>
    </row>
    <row r="3626" spans="2:7">
      <c r="B3626"/>
      <c r="C3626"/>
      <c r="D3626"/>
      <c r="G3626"/>
    </row>
    <row r="3627" spans="2:7">
      <c r="B3627"/>
      <c r="C3627"/>
      <c r="D3627"/>
      <c r="G3627"/>
    </row>
    <row r="3628" spans="2:7">
      <c r="B3628"/>
      <c r="C3628"/>
      <c r="D3628"/>
      <c r="G3628"/>
    </row>
    <row r="3629" spans="2:7">
      <c r="B3629"/>
      <c r="C3629"/>
      <c r="D3629"/>
      <c r="G3629"/>
    </row>
    <row r="3630" spans="2:7">
      <c r="B3630"/>
      <c r="C3630"/>
      <c r="D3630"/>
      <c r="G3630"/>
    </row>
    <row r="3631" spans="2:7">
      <c r="B3631"/>
      <c r="C3631"/>
      <c r="D3631"/>
      <c r="G3631"/>
    </row>
    <row r="3632" spans="2:7">
      <c r="B3632"/>
      <c r="C3632"/>
      <c r="D3632"/>
      <c r="G3632"/>
    </row>
    <row r="3633" spans="2:7">
      <c r="B3633"/>
      <c r="C3633"/>
      <c r="D3633"/>
      <c r="G3633"/>
    </row>
    <row r="3634" spans="2:7">
      <c r="B3634"/>
      <c r="C3634"/>
      <c r="D3634"/>
      <c r="G3634"/>
    </row>
    <row r="3635" spans="2:7">
      <c r="B3635"/>
      <c r="C3635"/>
      <c r="D3635"/>
      <c r="G3635"/>
    </row>
    <row r="3636" spans="2:7">
      <c r="B3636"/>
      <c r="C3636"/>
      <c r="D3636"/>
      <c r="G3636"/>
    </row>
    <row r="3637" spans="2:7">
      <c r="B3637"/>
      <c r="C3637"/>
      <c r="D3637"/>
      <c r="G3637"/>
    </row>
    <row r="3638" spans="2:7">
      <c r="B3638"/>
      <c r="C3638"/>
      <c r="D3638"/>
      <c r="G3638"/>
    </row>
    <row r="3639" spans="2:7">
      <c r="B3639"/>
      <c r="C3639"/>
      <c r="D3639"/>
      <c r="G3639"/>
    </row>
    <row r="3640" spans="2:7">
      <c r="B3640"/>
      <c r="C3640"/>
      <c r="D3640"/>
      <c r="G3640"/>
    </row>
    <row r="3641" spans="2:7">
      <c r="B3641"/>
      <c r="C3641"/>
      <c r="D3641"/>
      <c r="G3641"/>
    </row>
    <row r="3642" spans="2:7">
      <c r="B3642"/>
      <c r="C3642"/>
      <c r="D3642"/>
      <c r="G3642"/>
    </row>
    <row r="3643" spans="2:7">
      <c r="B3643"/>
      <c r="C3643"/>
      <c r="D3643"/>
      <c r="G3643"/>
    </row>
    <row r="3644" spans="2:7">
      <c r="B3644"/>
      <c r="C3644"/>
      <c r="D3644"/>
      <c r="G3644"/>
    </row>
    <row r="3645" spans="2:7">
      <c r="B3645"/>
      <c r="C3645"/>
      <c r="D3645"/>
      <c r="G3645"/>
    </row>
    <row r="3646" spans="2:7">
      <c r="B3646"/>
      <c r="C3646"/>
      <c r="D3646"/>
      <c r="G3646"/>
    </row>
    <row r="3647" spans="2:7">
      <c r="B3647"/>
      <c r="C3647"/>
      <c r="D3647"/>
      <c r="G3647"/>
    </row>
    <row r="3648" spans="2:7">
      <c r="B3648"/>
      <c r="C3648"/>
      <c r="D3648"/>
      <c r="G3648"/>
    </row>
    <row r="3649" spans="2:7">
      <c r="B3649"/>
      <c r="C3649"/>
      <c r="D3649"/>
      <c r="G3649"/>
    </row>
    <row r="3650" spans="2:7">
      <c r="B3650"/>
      <c r="C3650"/>
      <c r="D3650"/>
      <c r="G3650"/>
    </row>
    <row r="3651" spans="2:7">
      <c r="B3651"/>
      <c r="C3651"/>
      <c r="D3651"/>
      <c r="G3651"/>
    </row>
    <row r="3652" spans="2:7">
      <c r="B3652"/>
      <c r="C3652"/>
      <c r="D3652"/>
      <c r="G3652"/>
    </row>
    <row r="3653" spans="2:7">
      <c r="B3653"/>
      <c r="C3653"/>
      <c r="D3653"/>
      <c r="G3653"/>
    </row>
    <row r="3654" spans="2:7">
      <c r="B3654"/>
      <c r="C3654"/>
      <c r="D3654"/>
      <c r="G3654"/>
    </row>
    <row r="3655" spans="2:7">
      <c r="B3655"/>
      <c r="C3655"/>
      <c r="D3655"/>
      <c r="G3655"/>
    </row>
    <row r="3656" spans="2:7">
      <c r="B3656"/>
      <c r="C3656"/>
      <c r="D3656"/>
      <c r="G3656"/>
    </row>
    <row r="3657" spans="2:7">
      <c r="B3657"/>
      <c r="C3657"/>
      <c r="D3657"/>
      <c r="G3657"/>
    </row>
    <row r="3658" spans="2:7">
      <c r="B3658"/>
      <c r="C3658"/>
      <c r="D3658"/>
      <c r="G3658"/>
    </row>
    <row r="3659" spans="2:7">
      <c r="B3659"/>
      <c r="C3659"/>
      <c r="D3659"/>
      <c r="G3659"/>
    </row>
    <row r="3660" spans="2:7">
      <c r="B3660"/>
      <c r="C3660"/>
      <c r="D3660"/>
      <c r="G3660"/>
    </row>
    <row r="3661" spans="2:7">
      <c r="B3661"/>
      <c r="C3661"/>
      <c r="D3661"/>
      <c r="G3661"/>
    </row>
    <row r="3662" spans="2:7">
      <c r="B3662"/>
      <c r="C3662"/>
      <c r="D3662"/>
      <c r="G3662"/>
    </row>
    <row r="3663" spans="2:7">
      <c r="B3663"/>
      <c r="C3663"/>
      <c r="D3663"/>
      <c r="G3663"/>
    </row>
    <row r="3664" spans="2:7">
      <c r="B3664"/>
      <c r="C3664"/>
      <c r="D3664"/>
      <c r="G3664"/>
    </row>
    <row r="3665" spans="2:7">
      <c r="B3665"/>
      <c r="C3665"/>
      <c r="D3665"/>
      <c r="G3665"/>
    </row>
    <row r="3666" spans="2:7">
      <c r="B3666"/>
      <c r="C3666"/>
      <c r="D3666"/>
      <c r="G3666"/>
    </row>
    <row r="3667" spans="2:7">
      <c r="B3667"/>
      <c r="C3667"/>
      <c r="D3667"/>
      <c r="G3667"/>
    </row>
    <row r="3668" spans="2:7">
      <c r="B3668"/>
      <c r="C3668"/>
      <c r="D3668"/>
      <c r="G3668"/>
    </row>
    <row r="3669" spans="2:7">
      <c r="B3669"/>
      <c r="C3669"/>
      <c r="D3669"/>
      <c r="G3669"/>
    </row>
    <row r="3670" spans="2:7">
      <c r="B3670"/>
      <c r="C3670"/>
      <c r="D3670"/>
      <c r="G3670"/>
    </row>
    <row r="3671" spans="2:7">
      <c r="B3671"/>
      <c r="C3671"/>
      <c r="D3671"/>
      <c r="G3671"/>
    </row>
    <row r="3672" spans="2:7">
      <c r="B3672"/>
      <c r="C3672"/>
      <c r="D3672"/>
      <c r="G3672"/>
    </row>
    <row r="3673" spans="2:7">
      <c r="B3673"/>
      <c r="C3673"/>
      <c r="D3673"/>
      <c r="G3673"/>
    </row>
    <row r="3674" spans="2:7">
      <c r="B3674"/>
      <c r="C3674"/>
      <c r="D3674"/>
      <c r="G3674"/>
    </row>
    <row r="3675" spans="2:7">
      <c r="B3675"/>
      <c r="C3675"/>
      <c r="D3675"/>
      <c r="G3675"/>
    </row>
    <row r="3676" spans="2:7">
      <c r="B3676"/>
      <c r="C3676"/>
      <c r="D3676"/>
      <c r="G3676"/>
    </row>
    <row r="3677" spans="2:7">
      <c r="B3677"/>
      <c r="C3677"/>
      <c r="D3677"/>
      <c r="G3677"/>
    </row>
    <row r="3678" spans="2:7">
      <c r="B3678"/>
      <c r="C3678"/>
      <c r="D3678"/>
      <c r="G3678"/>
    </row>
    <row r="3679" spans="2:7">
      <c r="B3679"/>
      <c r="C3679"/>
      <c r="D3679"/>
      <c r="G3679"/>
    </row>
    <row r="3680" spans="2:7">
      <c r="B3680"/>
      <c r="C3680"/>
      <c r="D3680"/>
      <c r="G3680"/>
    </row>
    <row r="3681" spans="2:7">
      <c r="B3681"/>
      <c r="C3681"/>
      <c r="D3681"/>
      <c r="G3681"/>
    </row>
    <row r="3682" spans="2:7">
      <c r="B3682"/>
      <c r="C3682"/>
      <c r="D3682"/>
      <c r="G3682"/>
    </row>
    <row r="3683" spans="2:7">
      <c r="B3683"/>
      <c r="C3683"/>
      <c r="D3683"/>
      <c r="G3683"/>
    </row>
    <row r="3684" spans="2:7">
      <c r="B3684"/>
      <c r="C3684"/>
      <c r="D3684"/>
      <c r="G3684"/>
    </row>
    <row r="3685" spans="2:7">
      <c r="B3685"/>
      <c r="C3685"/>
      <c r="D3685"/>
      <c r="G3685"/>
    </row>
    <row r="3686" spans="2:7">
      <c r="B3686"/>
      <c r="C3686"/>
      <c r="D3686"/>
      <c r="G3686"/>
    </row>
    <row r="3687" spans="2:7">
      <c r="B3687"/>
      <c r="C3687"/>
      <c r="D3687"/>
      <c r="G3687"/>
    </row>
    <row r="3688" spans="2:7">
      <c r="B3688"/>
      <c r="C3688"/>
      <c r="D3688"/>
      <c r="G3688"/>
    </row>
    <row r="3689" spans="2:7">
      <c r="B3689"/>
      <c r="C3689"/>
      <c r="D3689"/>
      <c r="G3689"/>
    </row>
    <row r="3690" spans="2:7">
      <c r="B3690"/>
      <c r="C3690"/>
      <c r="D3690"/>
      <c r="G3690"/>
    </row>
    <row r="3691" spans="2:7">
      <c r="B3691"/>
      <c r="C3691"/>
      <c r="D3691"/>
      <c r="G3691"/>
    </row>
    <row r="3692" spans="2:7">
      <c r="B3692"/>
      <c r="C3692"/>
      <c r="D3692"/>
      <c r="G3692"/>
    </row>
    <row r="3693" spans="2:7">
      <c r="B3693"/>
      <c r="C3693"/>
      <c r="D3693"/>
      <c r="G3693"/>
    </row>
    <row r="3694" spans="2:7">
      <c r="B3694"/>
      <c r="C3694"/>
      <c r="D3694"/>
      <c r="G3694"/>
    </row>
    <row r="3695" spans="2:7">
      <c r="B3695"/>
      <c r="C3695"/>
      <c r="D3695"/>
      <c r="G3695"/>
    </row>
    <row r="3696" spans="2:7">
      <c r="B3696"/>
      <c r="C3696"/>
      <c r="D3696"/>
      <c r="G3696"/>
    </row>
    <row r="3697" spans="2:7">
      <c r="B3697"/>
      <c r="C3697"/>
      <c r="D3697"/>
      <c r="G3697"/>
    </row>
    <row r="3698" spans="2:7">
      <c r="B3698"/>
      <c r="C3698"/>
      <c r="D3698"/>
      <c r="G3698"/>
    </row>
    <row r="3699" spans="2:7">
      <c r="B3699"/>
      <c r="C3699"/>
      <c r="D3699"/>
      <c r="G3699"/>
    </row>
    <row r="3700" spans="2:7">
      <c r="B3700"/>
      <c r="C3700"/>
      <c r="D3700"/>
      <c r="G3700"/>
    </row>
    <row r="3701" spans="2:7">
      <c r="B3701"/>
      <c r="C3701"/>
      <c r="D3701"/>
      <c r="G3701"/>
    </row>
    <row r="3702" spans="2:7">
      <c r="B3702"/>
      <c r="C3702"/>
      <c r="D3702"/>
      <c r="G3702"/>
    </row>
    <row r="3703" spans="2:7">
      <c r="B3703"/>
      <c r="C3703"/>
      <c r="D3703"/>
      <c r="G3703"/>
    </row>
    <row r="3704" spans="2:7">
      <c r="B3704"/>
      <c r="C3704"/>
      <c r="D3704"/>
      <c r="G3704"/>
    </row>
    <row r="3705" spans="2:7">
      <c r="B3705"/>
      <c r="C3705"/>
      <c r="D3705"/>
      <c r="G3705"/>
    </row>
    <row r="3706" spans="2:7">
      <c r="B3706"/>
      <c r="C3706"/>
      <c r="D3706"/>
      <c r="G3706"/>
    </row>
    <row r="3707" spans="2:7">
      <c r="B3707"/>
      <c r="C3707"/>
      <c r="D3707"/>
      <c r="G3707"/>
    </row>
    <row r="3708" spans="2:7">
      <c r="B3708"/>
      <c r="C3708"/>
      <c r="D3708"/>
      <c r="G3708"/>
    </row>
    <row r="3709" spans="2:7">
      <c r="B3709"/>
      <c r="C3709"/>
      <c r="D3709"/>
      <c r="G3709"/>
    </row>
    <row r="3710" spans="2:7">
      <c r="B3710"/>
      <c r="C3710"/>
      <c r="D3710"/>
      <c r="G3710"/>
    </row>
    <row r="3711" spans="2:7">
      <c r="B3711"/>
      <c r="C3711"/>
      <c r="D3711"/>
      <c r="G3711"/>
    </row>
    <row r="3712" spans="2:7">
      <c r="B3712"/>
      <c r="C3712"/>
      <c r="D3712"/>
      <c r="G3712"/>
    </row>
    <row r="3713" spans="2:7">
      <c r="B3713"/>
      <c r="C3713"/>
      <c r="D3713"/>
      <c r="G3713"/>
    </row>
    <row r="3714" spans="2:7">
      <c r="B3714"/>
      <c r="C3714"/>
      <c r="D3714"/>
      <c r="G3714"/>
    </row>
    <row r="3715" spans="2:7">
      <c r="B3715"/>
      <c r="C3715"/>
      <c r="D3715"/>
      <c r="G3715"/>
    </row>
    <row r="3716" spans="2:7">
      <c r="B3716"/>
      <c r="C3716"/>
      <c r="D3716"/>
      <c r="G3716"/>
    </row>
    <row r="3717" spans="2:7">
      <c r="B3717"/>
      <c r="C3717"/>
      <c r="D3717"/>
      <c r="G3717"/>
    </row>
    <row r="3718" spans="2:7">
      <c r="B3718"/>
      <c r="C3718"/>
      <c r="D3718"/>
      <c r="G3718"/>
    </row>
    <row r="3719" spans="2:7">
      <c r="B3719"/>
      <c r="C3719"/>
      <c r="D3719"/>
      <c r="G3719"/>
    </row>
    <row r="3720" spans="2:7">
      <c r="B3720"/>
      <c r="C3720"/>
      <c r="D3720"/>
      <c r="G3720"/>
    </row>
    <row r="3721" spans="2:7">
      <c r="B3721"/>
      <c r="C3721"/>
      <c r="D3721"/>
      <c r="G3721"/>
    </row>
    <row r="3722" spans="2:7">
      <c r="B3722"/>
      <c r="C3722"/>
      <c r="D3722"/>
      <c r="G3722"/>
    </row>
    <row r="3723" spans="2:7">
      <c r="B3723"/>
      <c r="C3723"/>
      <c r="D3723"/>
      <c r="G3723"/>
    </row>
    <row r="3724" spans="2:7">
      <c r="B3724"/>
      <c r="C3724"/>
      <c r="D3724"/>
      <c r="G3724"/>
    </row>
    <row r="3725" spans="2:7">
      <c r="B3725"/>
      <c r="C3725"/>
      <c r="D3725"/>
      <c r="G3725"/>
    </row>
    <row r="3726" spans="2:7">
      <c r="B3726"/>
      <c r="C3726"/>
      <c r="D3726"/>
      <c r="G3726"/>
    </row>
    <row r="3727" spans="2:7">
      <c r="B3727"/>
      <c r="C3727"/>
      <c r="D3727"/>
      <c r="G3727"/>
    </row>
    <row r="3728" spans="2:7">
      <c r="B3728"/>
      <c r="C3728"/>
      <c r="D3728"/>
      <c r="G3728"/>
    </row>
    <row r="3729" spans="2:7">
      <c r="B3729"/>
      <c r="C3729"/>
      <c r="D3729"/>
      <c r="G3729"/>
    </row>
    <row r="3730" spans="2:7">
      <c r="B3730"/>
      <c r="C3730"/>
      <c r="D3730"/>
      <c r="G3730"/>
    </row>
    <row r="3731" spans="2:7">
      <c r="B3731"/>
      <c r="C3731"/>
      <c r="D3731"/>
      <c r="G3731"/>
    </row>
    <row r="3732" spans="2:7">
      <c r="B3732"/>
      <c r="C3732"/>
      <c r="D3732"/>
      <c r="G3732"/>
    </row>
    <row r="3733" spans="2:7">
      <c r="B3733"/>
      <c r="C3733"/>
      <c r="D3733"/>
      <c r="G3733"/>
    </row>
    <row r="3734" spans="2:7">
      <c r="B3734"/>
      <c r="C3734"/>
      <c r="D3734"/>
      <c r="G3734"/>
    </row>
    <row r="3735" spans="2:7">
      <c r="B3735"/>
      <c r="C3735"/>
      <c r="D3735"/>
      <c r="G3735"/>
    </row>
    <row r="3736" spans="2:7">
      <c r="B3736"/>
      <c r="C3736"/>
      <c r="D3736"/>
      <c r="G3736"/>
    </row>
    <row r="3737" spans="2:7">
      <c r="B3737"/>
      <c r="C3737"/>
      <c r="D3737"/>
      <c r="G3737"/>
    </row>
    <row r="3738" spans="2:7">
      <c r="B3738"/>
      <c r="C3738"/>
      <c r="D3738"/>
      <c r="G3738"/>
    </row>
    <row r="3739" spans="2:7">
      <c r="B3739"/>
      <c r="C3739"/>
      <c r="D3739"/>
      <c r="G3739"/>
    </row>
    <row r="3740" spans="2:7">
      <c r="B3740"/>
      <c r="C3740"/>
      <c r="D3740"/>
      <c r="G3740"/>
    </row>
    <row r="3741" spans="2:7">
      <c r="B3741"/>
      <c r="C3741"/>
      <c r="D3741"/>
      <c r="G3741"/>
    </row>
    <row r="3742" spans="2:7">
      <c r="B3742"/>
      <c r="C3742"/>
      <c r="D3742"/>
      <c r="G3742"/>
    </row>
    <row r="3743" spans="2:7">
      <c r="B3743"/>
      <c r="C3743"/>
      <c r="D3743"/>
      <c r="G3743"/>
    </row>
    <row r="3744" spans="2:7">
      <c r="B3744"/>
      <c r="C3744"/>
      <c r="D3744"/>
      <c r="G3744"/>
    </row>
    <row r="3745" spans="2:7">
      <c r="B3745"/>
      <c r="C3745"/>
      <c r="D3745"/>
      <c r="G3745"/>
    </row>
    <row r="3746" spans="2:7">
      <c r="B3746"/>
      <c r="C3746"/>
      <c r="D3746"/>
      <c r="G3746"/>
    </row>
    <row r="3747" spans="2:7">
      <c r="B3747"/>
      <c r="C3747"/>
      <c r="D3747"/>
      <c r="G3747"/>
    </row>
    <row r="3748" spans="2:7">
      <c r="B3748"/>
      <c r="C3748"/>
      <c r="D3748"/>
      <c r="G3748"/>
    </row>
    <row r="3749" spans="2:7">
      <c r="B3749"/>
      <c r="C3749"/>
      <c r="D3749"/>
      <c r="G3749"/>
    </row>
    <row r="3750" spans="2:7">
      <c r="B3750"/>
      <c r="C3750"/>
      <c r="D3750"/>
      <c r="G3750"/>
    </row>
    <row r="3751" spans="2:7">
      <c r="B3751"/>
      <c r="C3751"/>
      <c r="D3751"/>
      <c r="G3751"/>
    </row>
    <row r="3752" spans="2:7">
      <c r="B3752"/>
      <c r="C3752"/>
      <c r="D3752"/>
      <c r="G3752"/>
    </row>
    <row r="3753" spans="2:7">
      <c r="B3753"/>
      <c r="C3753"/>
      <c r="D3753"/>
      <c r="G3753"/>
    </row>
    <row r="3754" spans="2:7">
      <c r="B3754"/>
      <c r="C3754"/>
      <c r="D3754"/>
      <c r="G3754"/>
    </row>
    <row r="3755" spans="2:7">
      <c r="B3755"/>
      <c r="C3755"/>
      <c r="D3755"/>
      <c r="G3755"/>
    </row>
    <row r="3756" spans="2:7">
      <c r="B3756"/>
      <c r="C3756"/>
      <c r="D3756"/>
      <c r="G3756"/>
    </row>
    <row r="3757" spans="2:7">
      <c r="B3757"/>
      <c r="C3757"/>
      <c r="D3757"/>
      <c r="G3757"/>
    </row>
    <row r="3758" spans="2:7">
      <c r="B3758"/>
      <c r="C3758"/>
      <c r="D3758"/>
      <c r="G3758"/>
    </row>
    <row r="3759" spans="2:7">
      <c r="B3759"/>
      <c r="C3759"/>
      <c r="D3759"/>
      <c r="G3759"/>
    </row>
    <row r="3760" spans="2:7">
      <c r="B3760"/>
      <c r="C3760"/>
      <c r="D3760"/>
      <c r="G3760"/>
    </row>
    <row r="3761" spans="2:7">
      <c r="B3761"/>
      <c r="C3761"/>
      <c r="D3761"/>
      <c r="G3761"/>
    </row>
    <row r="3762" spans="2:7">
      <c r="B3762"/>
      <c r="C3762"/>
      <c r="D3762"/>
      <c r="G3762"/>
    </row>
    <row r="3763" spans="2:7">
      <c r="B3763"/>
      <c r="C3763"/>
      <c r="D3763"/>
      <c r="G3763"/>
    </row>
    <row r="3764" spans="2:7">
      <c r="B3764"/>
      <c r="C3764"/>
      <c r="D3764"/>
      <c r="G3764"/>
    </row>
    <row r="3765" spans="2:7">
      <c r="B3765"/>
      <c r="C3765"/>
      <c r="D3765"/>
      <c r="G3765"/>
    </row>
    <row r="3766" spans="2:7">
      <c r="B3766"/>
      <c r="C3766"/>
      <c r="D3766"/>
      <c r="G3766"/>
    </row>
    <row r="3767" spans="2:7">
      <c r="B3767"/>
      <c r="C3767"/>
      <c r="D3767"/>
      <c r="G3767"/>
    </row>
    <row r="3768" spans="2:7">
      <c r="B3768"/>
      <c r="C3768"/>
      <c r="D3768"/>
      <c r="G3768"/>
    </row>
    <row r="3769" spans="2:7">
      <c r="B3769"/>
      <c r="C3769"/>
      <c r="D3769"/>
      <c r="G3769"/>
    </row>
    <row r="3770" spans="2:7">
      <c r="B3770"/>
      <c r="C3770"/>
      <c r="D3770"/>
      <c r="G3770"/>
    </row>
    <row r="3771" spans="2:7">
      <c r="B3771"/>
      <c r="C3771"/>
      <c r="D3771"/>
      <c r="G3771"/>
    </row>
    <row r="3772" spans="2:7">
      <c r="B3772"/>
      <c r="C3772"/>
      <c r="D3772"/>
      <c r="G3772"/>
    </row>
    <row r="3773" spans="2:7">
      <c r="B3773"/>
      <c r="C3773"/>
      <c r="D3773"/>
      <c r="G3773"/>
    </row>
    <row r="3774" spans="2:7">
      <c r="B3774"/>
      <c r="C3774"/>
      <c r="D3774"/>
      <c r="G3774"/>
    </row>
    <row r="3775" spans="2:7">
      <c r="B3775"/>
      <c r="C3775"/>
      <c r="D3775"/>
      <c r="G3775"/>
    </row>
    <row r="3776" spans="2:7">
      <c r="B3776"/>
      <c r="C3776"/>
      <c r="D3776"/>
      <c r="G3776"/>
    </row>
    <row r="3777" spans="2:7">
      <c r="B3777"/>
      <c r="C3777"/>
      <c r="D3777"/>
      <c r="G3777"/>
    </row>
    <row r="3778" spans="2:7">
      <c r="B3778"/>
      <c r="C3778"/>
      <c r="D3778"/>
      <c r="G3778"/>
    </row>
    <row r="3779" spans="2:7">
      <c r="B3779"/>
      <c r="C3779"/>
      <c r="D3779"/>
      <c r="G3779"/>
    </row>
    <row r="3780" spans="2:7">
      <c r="B3780"/>
      <c r="C3780"/>
      <c r="D3780"/>
      <c r="G3780"/>
    </row>
    <row r="3781" spans="2:7">
      <c r="B3781"/>
      <c r="C3781"/>
      <c r="D3781"/>
      <c r="G3781"/>
    </row>
    <row r="3782" spans="2:7">
      <c r="B3782"/>
      <c r="C3782"/>
      <c r="D3782"/>
      <c r="G3782"/>
    </row>
    <row r="3783" spans="2:7">
      <c r="B3783"/>
      <c r="C3783"/>
      <c r="D3783"/>
      <c r="G3783"/>
    </row>
    <row r="3784" spans="2:7">
      <c r="B3784"/>
      <c r="C3784"/>
      <c r="D3784"/>
      <c r="G3784"/>
    </row>
    <row r="3785" spans="2:7">
      <c r="B3785"/>
      <c r="C3785"/>
      <c r="D3785"/>
      <c r="G3785"/>
    </row>
    <row r="3786" spans="2:7">
      <c r="B3786"/>
      <c r="C3786"/>
      <c r="D3786"/>
      <c r="G3786"/>
    </row>
    <row r="3787" spans="2:7">
      <c r="B3787"/>
      <c r="C3787"/>
      <c r="D3787"/>
      <c r="G3787"/>
    </row>
    <row r="3788" spans="2:7">
      <c r="B3788"/>
      <c r="C3788"/>
      <c r="D3788"/>
      <c r="G3788"/>
    </row>
    <row r="3789" spans="2:7">
      <c r="B3789"/>
      <c r="C3789"/>
      <c r="D3789"/>
      <c r="G3789"/>
    </row>
    <row r="3790" spans="2:7">
      <c r="B3790"/>
      <c r="C3790"/>
      <c r="D3790"/>
      <c r="G3790"/>
    </row>
    <row r="3791" spans="2:7">
      <c r="B3791"/>
      <c r="C3791"/>
      <c r="D3791"/>
      <c r="G3791"/>
    </row>
    <row r="3792" spans="2:7">
      <c r="B3792"/>
      <c r="C3792"/>
      <c r="D3792"/>
      <c r="G3792"/>
    </row>
    <row r="3793" spans="2:7">
      <c r="B3793"/>
      <c r="C3793"/>
      <c r="D3793"/>
      <c r="G3793"/>
    </row>
    <row r="3794" spans="2:7">
      <c r="B3794"/>
      <c r="C3794"/>
      <c r="D3794"/>
      <c r="G3794"/>
    </row>
    <row r="3795" spans="2:7">
      <c r="B3795"/>
      <c r="C3795"/>
      <c r="D3795"/>
      <c r="G3795"/>
    </row>
    <row r="3796" spans="2:7">
      <c r="B3796"/>
      <c r="C3796"/>
      <c r="D3796"/>
      <c r="G3796"/>
    </row>
    <row r="3797" spans="2:7">
      <c r="B3797"/>
      <c r="C3797"/>
      <c r="D3797"/>
      <c r="G3797"/>
    </row>
    <row r="3798" spans="2:7">
      <c r="B3798"/>
      <c r="C3798"/>
      <c r="D3798"/>
      <c r="G3798"/>
    </row>
    <row r="3799" spans="2:7">
      <c r="B3799"/>
      <c r="C3799"/>
      <c r="D3799"/>
      <c r="G3799"/>
    </row>
    <row r="3800" spans="2:7">
      <c r="B3800"/>
      <c r="C3800"/>
      <c r="D3800"/>
      <c r="G3800"/>
    </row>
    <row r="3801" spans="2:7">
      <c r="B3801"/>
      <c r="C3801"/>
      <c r="D3801"/>
      <c r="G3801"/>
    </row>
    <row r="3802" spans="2:7">
      <c r="B3802"/>
      <c r="C3802"/>
      <c r="D3802"/>
      <c r="G3802"/>
    </row>
    <row r="3803" spans="2:7">
      <c r="B3803"/>
      <c r="C3803"/>
      <c r="D3803"/>
      <c r="G3803"/>
    </row>
    <row r="3804" spans="2:7">
      <c r="B3804"/>
      <c r="C3804"/>
      <c r="D3804"/>
      <c r="G3804"/>
    </row>
    <row r="3805" spans="2:7">
      <c r="B3805"/>
      <c r="C3805"/>
      <c r="D3805"/>
      <c r="G3805"/>
    </row>
    <row r="3806" spans="2:7">
      <c r="B3806"/>
      <c r="C3806"/>
      <c r="D3806"/>
      <c r="G3806"/>
    </row>
    <row r="3807" spans="2:7">
      <c r="B3807"/>
      <c r="C3807"/>
      <c r="D3807"/>
      <c r="G3807"/>
    </row>
    <row r="3808" spans="2:7">
      <c r="B3808"/>
      <c r="C3808"/>
      <c r="D3808"/>
      <c r="G3808"/>
    </row>
    <row r="3809" spans="2:7">
      <c r="B3809"/>
      <c r="C3809"/>
      <c r="D3809"/>
      <c r="G3809"/>
    </row>
    <row r="3810" spans="2:7">
      <c r="B3810"/>
      <c r="C3810"/>
      <c r="D3810"/>
      <c r="G3810"/>
    </row>
    <row r="3811" spans="2:7">
      <c r="B3811"/>
      <c r="C3811"/>
      <c r="D3811"/>
      <c r="G3811"/>
    </row>
    <row r="3812" spans="2:7">
      <c r="B3812"/>
      <c r="C3812"/>
      <c r="D3812"/>
      <c r="G3812"/>
    </row>
    <row r="3813" spans="2:7">
      <c r="B3813"/>
      <c r="C3813"/>
      <c r="D3813"/>
      <c r="G3813"/>
    </row>
    <row r="3814" spans="2:7">
      <c r="B3814"/>
      <c r="C3814"/>
      <c r="D3814"/>
      <c r="G3814"/>
    </row>
    <row r="3815" spans="2:7">
      <c r="B3815"/>
      <c r="C3815"/>
      <c r="D3815"/>
      <c r="G3815"/>
    </row>
    <row r="3816" spans="2:7">
      <c r="B3816"/>
      <c r="C3816"/>
      <c r="D3816"/>
      <c r="G3816"/>
    </row>
    <row r="3817" spans="2:7">
      <c r="B3817"/>
      <c r="C3817"/>
      <c r="D3817"/>
      <c r="G3817"/>
    </row>
    <row r="3818" spans="2:7">
      <c r="B3818"/>
      <c r="C3818"/>
      <c r="D3818"/>
      <c r="G3818"/>
    </row>
    <row r="3819" spans="2:7">
      <c r="B3819"/>
      <c r="C3819"/>
      <c r="D3819"/>
      <c r="G3819"/>
    </row>
    <row r="3820" spans="2:7">
      <c r="B3820"/>
      <c r="C3820"/>
      <c r="D3820"/>
      <c r="G3820"/>
    </row>
    <row r="3821" spans="2:7">
      <c r="B3821"/>
      <c r="C3821"/>
      <c r="D3821"/>
      <c r="G3821"/>
    </row>
    <row r="3822" spans="2:7">
      <c r="B3822"/>
      <c r="C3822"/>
      <c r="D3822"/>
      <c r="G3822"/>
    </row>
    <row r="3823" spans="2:7">
      <c r="B3823"/>
      <c r="C3823"/>
      <c r="D3823"/>
      <c r="G3823"/>
    </row>
    <row r="3824" spans="2:7">
      <c r="B3824"/>
      <c r="C3824"/>
      <c r="D3824"/>
      <c r="G3824"/>
    </row>
    <row r="3825" spans="2:7">
      <c r="B3825"/>
      <c r="C3825"/>
      <c r="D3825"/>
      <c r="G3825"/>
    </row>
    <row r="3826" spans="2:7">
      <c r="B3826"/>
      <c r="C3826"/>
      <c r="D3826"/>
      <c r="G3826"/>
    </row>
    <row r="3827" spans="2:7">
      <c r="B3827"/>
      <c r="C3827"/>
      <c r="D3827"/>
      <c r="G3827"/>
    </row>
    <row r="3828" spans="2:7">
      <c r="B3828"/>
      <c r="C3828"/>
      <c r="D3828"/>
      <c r="G3828"/>
    </row>
    <row r="3829" spans="2:7">
      <c r="B3829"/>
      <c r="C3829"/>
      <c r="D3829"/>
      <c r="G3829"/>
    </row>
    <row r="3830" spans="2:7">
      <c r="B3830"/>
      <c r="C3830"/>
      <c r="D3830"/>
      <c r="G3830"/>
    </row>
    <row r="3831" spans="2:7">
      <c r="B3831"/>
      <c r="C3831"/>
      <c r="D3831"/>
      <c r="G3831"/>
    </row>
    <row r="3832" spans="2:7">
      <c r="B3832"/>
      <c r="C3832"/>
      <c r="D3832"/>
      <c r="G3832"/>
    </row>
    <row r="3833" spans="2:7">
      <c r="B3833"/>
      <c r="C3833"/>
      <c r="D3833"/>
      <c r="G3833"/>
    </row>
    <row r="3834" spans="2:7">
      <c r="B3834"/>
      <c r="C3834"/>
      <c r="D3834"/>
      <c r="G3834"/>
    </row>
    <row r="3835" spans="2:7">
      <c r="B3835"/>
      <c r="C3835"/>
      <c r="D3835"/>
      <c r="G3835"/>
    </row>
    <row r="3836" spans="2:7">
      <c r="B3836"/>
      <c r="C3836"/>
      <c r="D3836"/>
      <c r="G3836"/>
    </row>
    <row r="3837" spans="2:7">
      <c r="B3837"/>
      <c r="C3837"/>
      <c r="D3837"/>
      <c r="G3837"/>
    </row>
    <row r="3838" spans="2:7">
      <c r="B3838"/>
      <c r="C3838"/>
      <c r="D3838"/>
      <c r="G3838"/>
    </row>
    <row r="3839" spans="2:7">
      <c r="B3839"/>
      <c r="C3839"/>
      <c r="D3839"/>
      <c r="G3839"/>
    </row>
    <row r="3840" spans="2:7">
      <c r="B3840"/>
      <c r="C3840"/>
      <c r="D3840"/>
      <c r="G3840"/>
    </row>
    <row r="3841" spans="2:7">
      <c r="B3841"/>
      <c r="C3841"/>
      <c r="D3841"/>
      <c r="G3841"/>
    </row>
    <row r="3842" spans="2:7">
      <c r="B3842"/>
      <c r="C3842"/>
      <c r="D3842"/>
      <c r="G3842"/>
    </row>
    <row r="3843" spans="2:7">
      <c r="B3843"/>
      <c r="C3843"/>
      <c r="D3843"/>
      <c r="G3843"/>
    </row>
    <row r="3844" spans="2:7">
      <c r="B3844"/>
      <c r="C3844"/>
      <c r="D3844"/>
      <c r="G3844"/>
    </row>
    <row r="3845" spans="2:7">
      <c r="B3845"/>
      <c r="C3845"/>
      <c r="D3845"/>
      <c r="G3845"/>
    </row>
    <row r="3846" spans="2:7">
      <c r="B3846"/>
      <c r="C3846"/>
      <c r="D3846"/>
      <c r="G3846"/>
    </row>
    <row r="3847" spans="2:7">
      <c r="B3847"/>
      <c r="C3847"/>
      <c r="D3847"/>
      <c r="G3847"/>
    </row>
    <row r="3848" spans="2:7">
      <c r="B3848"/>
      <c r="C3848"/>
      <c r="D3848"/>
      <c r="G3848"/>
    </row>
    <row r="3849" spans="2:7">
      <c r="B3849"/>
      <c r="C3849"/>
      <c r="D3849"/>
      <c r="G3849"/>
    </row>
    <row r="3850" spans="2:7">
      <c r="B3850"/>
      <c r="C3850"/>
      <c r="D3850"/>
      <c r="G3850"/>
    </row>
    <row r="3851" spans="2:7">
      <c r="B3851"/>
      <c r="C3851"/>
      <c r="D3851"/>
      <c r="G3851"/>
    </row>
    <row r="3852" spans="2:7">
      <c r="B3852"/>
      <c r="C3852"/>
      <c r="D3852"/>
      <c r="G3852"/>
    </row>
    <row r="3853" spans="2:7">
      <c r="B3853"/>
      <c r="C3853"/>
      <c r="D3853"/>
      <c r="G3853"/>
    </row>
    <row r="3854" spans="2:7">
      <c r="B3854"/>
      <c r="C3854"/>
      <c r="D3854"/>
      <c r="G3854"/>
    </row>
    <row r="3855" spans="2:7">
      <c r="B3855"/>
      <c r="C3855"/>
      <c r="D3855"/>
      <c r="G3855"/>
    </row>
    <row r="3856" spans="2:7">
      <c r="B3856"/>
      <c r="C3856"/>
      <c r="D3856"/>
      <c r="G3856"/>
    </row>
    <row r="3857" spans="2:7">
      <c r="B3857"/>
      <c r="C3857"/>
      <c r="D3857"/>
      <c r="G3857"/>
    </row>
    <row r="3858" spans="2:7">
      <c r="B3858"/>
      <c r="C3858"/>
      <c r="D3858"/>
      <c r="G3858"/>
    </row>
    <row r="3859" spans="2:7">
      <c r="B3859"/>
      <c r="C3859"/>
      <c r="D3859"/>
      <c r="G3859"/>
    </row>
    <row r="3860" spans="2:7">
      <c r="B3860"/>
      <c r="C3860"/>
      <c r="D3860"/>
      <c r="G3860"/>
    </row>
    <row r="3861" spans="2:7">
      <c r="B3861"/>
      <c r="C3861"/>
      <c r="D3861"/>
      <c r="G3861"/>
    </row>
    <row r="3862" spans="2:7">
      <c r="B3862"/>
      <c r="C3862"/>
      <c r="D3862"/>
      <c r="G3862"/>
    </row>
    <row r="3863" spans="2:7">
      <c r="B3863"/>
      <c r="C3863"/>
      <c r="D3863"/>
      <c r="G3863"/>
    </row>
    <row r="3864" spans="2:7">
      <c r="B3864"/>
      <c r="C3864"/>
      <c r="D3864"/>
      <c r="G3864"/>
    </row>
    <row r="3865" spans="2:7">
      <c r="B3865"/>
      <c r="C3865"/>
      <c r="D3865"/>
      <c r="G3865"/>
    </row>
    <row r="3866" spans="2:7">
      <c r="B3866"/>
      <c r="C3866"/>
      <c r="D3866"/>
      <c r="G3866"/>
    </row>
    <row r="3867" spans="2:7">
      <c r="B3867"/>
      <c r="C3867"/>
      <c r="D3867"/>
      <c r="G3867"/>
    </row>
    <row r="3868" spans="2:7">
      <c r="B3868"/>
      <c r="C3868"/>
      <c r="D3868"/>
      <c r="G3868"/>
    </row>
    <row r="3869" spans="2:7">
      <c r="B3869"/>
      <c r="C3869"/>
      <c r="D3869"/>
      <c r="G3869"/>
    </row>
    <row r="3870" spans="2:7">
      <c r="B3870"/>
      <c r="C3870"/>
      <c r="D3870"/>
      <c r="G3870"/>
    </row>
    <row r="3871" spans="2:7">
      <c r="B3871"/>
      <c r="C3871"/>
      <c r="D3871"/>
      <c r="G3871"/>
    </row>
    <row r="3872" spans="2:7">
      <c r="B3872"/>
      <c r="C3872"/>
      <c r="D3872"/>
      <c r="G3872"/>
    </row>
    <row r="3873" spans="2:7">
      <c r="B3873"/>
      <c r="C3873"/>
      <c r="D3873"/>
      <c r="G3873"/>
    </row>
    <row r="3874" spans="2:7">
      <c r="B3874"/>
      <c r="C3874"/>
      <c r="D3874"/>
      <c r="G3874"/>
    </row>
    <row r="3875" spans="2:7">
      <c r="B3875"/>
      <c r="C3875"/>
      <c r="D3875"/>
      <c r="G3875"/>
    </row>
    <row r="3876" spans="2:7">
      <c r="B3876"/>
      <c r="C3876"/>
      <c r="D3876"/>
      <c r="G3876"/>
    </row>
    <row r="3877" spans="2:7">
      <c r="B3877"/>
      <c r="C3877"/>
      <c r="D3877"/>
      <c r="G3877"/>
    </row>
    <row r="3878" spans="2:7">
      <c r="B3878"/>
      <c r="C3878"/>
      <c r="D3878"/>
      <c r="G3878"/>
    </row>
    <row r="3879" spans="2:7">
      <c r="B3879"/>
      <c r="C3879"/>
      <c r="D3879"/>
      <c r="G3879"/>
    </row>
    <row r="3880" spans="2:7">
      <c r="B3880"/>
      <c r="C3880"/>
      <c r="D3880"/>
      <c r="G3880"/>
    </row>
    <row r="3881" spans="2:7">
      <c r="B3881"/>
      <c r="C3881"/>
      <c r="D3881"/>
      <c r="G3881"/>
    </row>
    <row r="3882" spans="2:7">
      <c r="B3882"/>
      <c r="C3882"/>
      <c r="D3882"/>
      <c r="G3882"/>
    </row>
    <row r="3883" spans="2:7">
      <c r="B3883"/>
      <c r="C3883"/>
      <c r="D3883"/>
      <c r="G3883"/>
    </row>
    <row r="3884" spans="2:7">
      <c r="B3884"/>
      <c r="C3884"/>
      <c r="D3884"/>
      <c r="G3884"/>
    </row>
    <row r="3885" spans="2:7">
      <c r="B3885"/>
      <c r="C3885"/>
      <c r="D3885"/>
      <c r="G3885"/>
    </row>
    <row r="3886" spans="2:7">
      <c r="B3886"/>
      <c r="C3886"/>
      <c r="D3886"/>
      <c r="G3886"/>
    </row>
    <row r="3887" spans="2:7">
      <c r="B3887"/>
      <c r="C3887"/>
      <c r="D3887"/>
      <c r="G3887"/>
    </row>
    <row r="3888" spans="2:7">
      <c r="B3888"/>
      <c r="C3888"/>
      <c r="D3888"/>
      <c r="G3888"/>
    </row>
    <row r="3889" spans="2:7">
      <c r="B3889"/>
      <c r="C3889"/>
      <c r="D3889"/>
      <c r="G3889"/>
    </row>
    <row r="3890" spans="2:7">
      <c r="B3890"/>
      <c r="C3890"/>
      <c r="D3890"/>
      <c r="G3890"/>
    </row>
    <row r="3891" spans="2:7">
      <c r="B3891"/>
      <c r="C3891"/>
      <c r="D3891"/>
      <c r="G3891"/>
    </row>
    <row r="3892" spans="2:7">
      <c r="B3892"/>
      <c r="C3892"/>
      <c r="D3892"/>
      <c r="G3892"/>
    </row>
    <row r="3893" spans="2:7">
      <c r="B3893"/>
      <c r="C3893"/>
      <c r="D3893"/>
      <c r="G3893"/>
    </row>
    <row r="3894" spans="2:7">
      <c r="B3894"/>
      <c r="C3894"/>
      <c r="D3894"/>
      <c r="G3894"/>
    </row>
    <row r="3895" spans="2:7">
      <c r="B3895"/>
      <c r="C3895"/>
      <c r="D3895"/>
      <c r="G3895"/>
    </row>
    <row r="3896" spans="2:7">
      <c r="B3896"/>
      <c r="C3896"/>
      <c r="D3896"/>
      <c r="G3896"/>
    </row>
    <row r="3897" spans="2:7">
      <c r="B3897"/>
      <c r="C3897"/>
      <c r="D3897"/>
      <c r="G3897"/>
    </row>
    <row r="3898" spans="2:7">
      <c r="B3898"/>
      <c r="C3898"/>
      <c r="D3898"/>
      <c r="G3898"/>
    </row>
    <row r="3899" spans="2:7">
      <c r="B3899"/>
      <c r="C3899"/>
      <c r="D3899"/>
      <c r="G3899"/>
    </row>
    <row r="3900" spans="2:7">
      <c r="B3900"/>
      <c r="C3900"/>
      <c r="D3900"/>
      <c r="G3900"/>
    </row>
    <row r="3901" spans="2:7">
      <c r="B3901"/>
      <c r="C3901"/>
      <c r="D3901"/>
      <c r="G3901"/>
    </row>
    <row r="3902" spans="2:7">
      <c r="B3902"/>
      <c r="C3902"/>
      <c r="D3902"/>
      <c r="G3902"/>
    </row>
    <row r="3903" spans="2:7">
      <c r="B3903"/>
      <c r="C3903"/>
      <c r="D3903"/>
      <c r="G3903"/>
    </row>
    <row r="3904" spans="2:7">
      <c r="B3904"/>
      <c r="C3904"/>
      <c r="D3904"/>
      <c r="G3904"/>
    </row>
    <row r="3905" spans="2:7">
      <c r="B3905"/>
      <c r="C3905"/>
      <c r="D3905"/>
      <c r="G3905"/>
    </row>
    <row r="3906" spans="2:7">
      <c r="B3906"/>
      <c r="C3906"/>
      <c r="D3906"/>
      <c r="G3906"/>
    </row>
    <row r="3907" spans="2:7">
      <c r="B3907"/>
      <c r="C3907"/>
      <c r="D3907"/>
      <c r="G3907"/>
    </row>
    <row r="3908" spans="2:7">
      <c r="B3908"/>
      <c r="C3908"/>
      <c r="D3908"/>
      <c r="G3908"/>
    </row>
    <row r="3909" spans="2:7">
      <c r="B3909"/>
      <c r="C3909"/>
      <c r="D3909"/>
      <c r="G3909"/>
    </row>
    <row r="3910" spans="2:7">
      <c r="B3910"/>
      <c r="C3910"/>
      <c r="D3910"/>
      <c r="G3910"/>
    </row>
    <row r="3911" spans="2:7">
      <c r="B3911"/>
      <c r="C3911"/>
      <c r="D3911"/>
      <c r="G3911"/>
    </row>
    <row r="3912" spans="2:7">
      <c r="B3912"/>
      <c r="C3912"/>
      <c r="D3912"/>
      <c r="G3912"/>
    </row>
    <row r="3913" spans="2:7">
      <c r="B3913"/>
      <c r="C3913"/>
      <c r="D3913"/>
      <c r="G3913"/>
    </row>
    <row r="3914" spans="2:7">
      <c r="B3914"/>
      <c r="C3914"/>
      <c r="D3914"/>
      <c r="G3914"/>
    </row>
    <row r="3915" spans="2:7">
      <c r="B3915"/>
      <c r="C3915"/>
      <c r="D3915"/>
      <c r="G3915"/>
    </row>
    <row r="3916" spans="2:7">
      <c r="B3916"/>
      <c r="C3916"/>
      <c r="D3916"/>
      <c r="G3916"/>
    </row>
    <row r="3917" spans="2:7">
      <c r="B3917"/>
      <c r="C3917"/>
      <c r="D3917"/>
      <c r="G3917"/>
    </row>
    <row r="3918" spans="2:7">
      <c r="B3918"/>
      <c r="C3918"/>
      <c r="D3918"/>
      <c r="G3918"/>
    </row>
    <row r="3919" spans="2:7">
      <c r="B3919"/>
      <c r="C3919"/>
      <c r="D3919"/>
      <c r="G3919"/>
    </row>
    <row r="3920" spans="2:7">
      <c r="B3920"/>
      <c r="C3920"/>
      <c r="D3920"/>
      <c r="G3920"/>
    </row>
    <row r="3921" spans="2:7">
      <c r="B3921"/>
      <c r="C3921"/>
      <c r="D3921"/>
      <c r="G3921"/>
    </row>
    <row r="3922" spans="2:7">
      <c r="B3922"/>
      <c r="C3922"/>
      <c r="D3922"/>
      <c r="G3922"/>
    </row>
    <row r="3923" spans="2:7">
      <c r="B3923"/>
      <c r="C3923"/>
      <c r="D3923"/>
      <c r="G3923"/>
    </row>
    <row r="3924" spans="2:7">
      <c r="B3924"/>
      <c r="C3924"/>
      <c r="D3924"/>
      <c r="G3924"/>
    </row>
    <row r="3925" spans="2:7">
      <c r="B3925"/>
      <c r="C3925"/>
      <c r="D3925"/>
      <c r="G3925"/>
    </row>
    <row r="3926" spans="2:7">
      <c r="B3926"/>
      <c r="C3926"/>
      <c r="D3926"/>
      <c r="G3926"/>
    </row>
    <row r="3927" spans="2:7">
      <c r="B3927"/>
      <c r="C3927"/>
      <c r="D3927"/>
      <c r="G3927"/>
    </row>
    <row r="3928" spans="2:7">
      <c r="B3928"/>
      <c r="C3928"/>
      <c r="D3928"/>
      <c r="G3928"/>
    </row>
    <row r="3929" spans="2:7">
      <c r="B3929"/>
      <c r="C3929"/>
      <c r="D3929"/>
      <c r="G3929"/>
    </row>
    <row r="3930" spans="2:7">
      <c r="B3930"/>
      <c r="C3930"/>
      <c r="D3930"/>
      <c r="G3930"/>
    </row>
    <row r="3931" spans="2:7">
      <c r="B3931"/>
      <c r="C3931"/>
      <c r="D3931"/>
      <c r="G3931"/>
    </row>
    <row r="3932" spans="2:7">
      <c r="B3932"/>
      <c r="C3932"/>
      <c r="D3932"/>
      <c r="G3932"/>
    </row>
    <row r="3933" spans="2:7">
      <c r="B3933"/>
      <c r="C3933"/>
      <c r="D3933"/>
      <c r="G3933"/>
    </row>
    <row r="3934" spans="2:7">
      <c r="B3934"/>
      <c r="C3934"/>
      <c r="D3934"/>
      <c r="G3934"/>
    </row>
    <row r="3935" spans="2:7">
      <c r="B3935"/>
      <c r="C3935"/>
      <c r="D3935"/>
      <c r="G3935"/>
    </row>
    <row r="3936" spans="2:7">
      <c r="B3936"/>
      <c r="C3936"/>
      <c r="D3936"/>
      <c r="G3936"/>
    </row>
    <row r="3937" spans="2:7">
      <c r="B3937"/>
      <c r="C3937"/>
      <c r="D3937"/>
      <c r="G3937"/>
    </row>
    <row r="3938" spans="2:7">
      <c r="B3938"/>
      <c r="C3938"/>
      <c r="D3938"/>
      <c r="G3938"/>
    </row>
    <row r="3939" spans="2:7">
      <c r="B3939"/>
      <c r="C3939"/>
      <c r="D3939"/>
      <c r="G3939"/>
    </row>
    <row r="3940" spans="2:7">
      <c r="B3940"/>
      <c r="C3940"/>
      <c r="D3940"/>
      <c r="G3940"/>
    </row>
    <row r="3941" spans="2:7">
      <c r="B3941"/>
      <c r="C3941"/>
      <c r="D3941"/>
      <c r="G3941"/>
    </row>
    <row r="3942" spans="2:7">
      <c r="B3942"/>
      <c r="C3942"/>
      <c r="D3942"/>
      <c r="G3942"/>
    </row>
    <row r="3943" spans="2:7">
      <c r="B3943"/>
      <c r="C3943"/>
      <c r="D3943"/>
      <c r="G3943"/>
    </row>
    <row r="3944" spans="2:7">
      <c r="B3944"/>
      <c r="C3944"/>
      <c r="D3944"/>
      <c r="G3944"/>
    </row>
    <row r="3945" spans="2:7">
      <c r="B3945"/>
      <c r="C3945"/>
      <c r="D3945"/>
      <c r="G3945"/>
    </row>
    <row r="3946" spans="2:7">
      <c r="B3946"/>
      <c r="C3946"/>
      <c r="D3946"/>
      <c r="G3946"/>
    </row>
    <row r="3947" spans="2:7">
      <c r="B3947"/>
      <c r="C3947"/>
      <c r="D3947"/>
      <c r="G3947"/>
    </row>
    <row r="3948" spans="2:7">
      <c r="B3948"/>
      <c r="C3948"/>
      <c r="D3948"/>
      <c r="G3948"/>
    </row>
    <row r="3949" spans="2:7">
      <c r="B3949"/>
      <c r="C3949"/>
      <c r="D3949"/>
      <c r="G3949"/>
    </row>
    <row r="3950" spans="2:7">
      <c r="B3950"/>
      <c r="C3950"/>
      <c r="D3950"/>
      <c r="G3950"/>
    </row>
    <row r="3951" spans="2:7">
      <c r="B3951"/>
      <c r="C3951"/>
      <c r="D3951"/>
      <c r="G3951"/>
    </row>
    <row r="3952" spans="2:7">
      <c r="B3952"/>
      <c r="C3952"/>
      <c r="D3952"/>
      <c r="G3952"/>
    </row>
    <row r="3953" spans="2:7">
      <c r="B3953"/>
      <c r="C3953"/>
      <c r="D3953"/>
      <c r="G3953"/>
    </row>
    <row r="3954" spans="2:7">
      <c r="B3954"/>
      <c r="C3954"/>
      <c r="D3954"/>
      <c r="G3954"/>
    </row>
    <row r="3955" spans="2:7">
      <c r="B3955"/>
      <c r="C3955"/>
      <c r="D3955"/>
      <c r="G3955"/>
    </row>
    <row r="3956" spans="2:7">
      <c r="B3956"/>
      <c r="C3956"/>
      <c r="D3956"/>
      <c r="G3956"/>
    </row>
    <row r="3957" spans="2:7">
      <c r="B3957"/>
      <c r="C3957"/>
      <c r="D3957"/>
      <c r="G3957"/>
    </row>
    <row r="3958" spans="2:7">
      <c r="B3958"/>
      <c r="C3958"/>
      <c r="D3958"/>
      <c r="G3958"/>
    </row>
    <row r="3959" spans="2:7">
      <c r="B3959"/>
      <c r="C3959"/>
      <c r="D3959"/>
      <c r="G3959"/>
    </row>
    <row r="3960" spans="2:7">
      <c r="B3960"/>
      <c r="C3960"/>
      <c r="D3960"/>
      <c r="G3960"/>
    </row>
    <row r="3961" spans="2:7">
      <c r="B3961"/>
      <c r="C3961"/>
      <c r="D3961"/>
      <c r="G3961"/>
    </row>
    <row r="3962" spans="2:7">
      <c r="B3962"/>
      <c r="C3962"/>
      <c r="D3962"/>
      <c r="G3962"/>
    </row>
    <row r="3963" spans="2:7">
      <c r="B3963"/>
      <c r="C3963"/>
      <c r="D3963"/>
      <c r="G3963"/>
    </row>
    <row r="3964" spans="2:7">
      <c r="B3964"/>
      <c r="C3964"/>
      <c r="D3964"/>
      <c r="G3964"/>
    </row>
    <row r="3965" spans="2:7">
      <c r="B3965"/>
      <c r="C3965"/>
      <c r="D3965"/>
      <c r="G3965"/>
    </row>
    <row r="3966" spans="2:7">
      <c r="B3966"/>
      <c r="C3966"/>
      <c r="D3966"/>
      <c r="G3966"/>
    </row>
    <row r="3967" spans="2:7">
      <c r="B3967"/>
      <c r="C3967"/>
      <c r="D3967"/>
      <c r="G3967"/>
    </row>
    <row r="3968" spans="2:7">
      <c r="B3968"/>
      <c r="C3968"/>
      <c r="D3968"/>
      <c r="G3968"/>
    </row>
    <row r="3969" spans="2:7">
      <c r="B3969"/>
      <c r="C3969"/>
      <c r="D3969"/>
      <c r="G3969"/>
    </row>
    <row r="3970" spans="2:7">
      <c r="B3970"/>
      <c r="C3970"/>
      <c r="D3970"/>
      <c r="G3970"/>
    </row>
    <row r="3971" spans="2:7">
      <c r="B3971"/>
      <c r="C3971"/>
      <c r="D3971"/>
      <c r="G3971"/>
    </row>
    <row r="3972" spans="2:7">
      <c r="B3972"/>
      <c r="C3972"/>
      <c r="D3972"/>
      <c r="G3972"/>
    </row>
    <row r="3973" spans="2:7">
      <c r="B3973"/>
      <c r="C3973"/>
      <c r="D3973"/>
      <c r="G3973"/>
    </row>
    <row r="3974" spans="2:7">
      <c r="B3974"/>
      <c r="C3974"/>
      <c r="D3974"/>
      <c r="G3974"/>
    </row>
    <row r="3975" spans="2:7">
      <c r="B3975"/>
      <c r="C3975"/>
      <c r="D3975"/>
      <c r="G3975"/>
    </row>
    <row r="3976" spans="2:7">
      <c r="B3976"/>
      <c r="C3976"/>
      <c r="D3976"/>
      <c r="G3976"/>
    </row>
    <row r="3977" spans="2:7">
      <c r="B3977"/>
      <c r="C3977"/>
      <c r="D3977"/>
      <c r="G3977"/>
    </row>
    <row r="3978" spans="2:7">
      <c r="B3978"/>
      <c r="C3978"/>
      <c r="D3978"/>
      <c r="G3978"/>
    </row>
    <row r="3979" spans="2:7">
      <c r="B3979"/>
      <c r="C3979"/>
      <c r="D3979"/>
      <c r="G3979"/>
    </row>
    <row r="3980" spans="2:7">
      <c r="B3980"/>
      <c r="C3980"/>
      <c r="D3980"/>
      <c r="G3980"/>
    </row>
    <row r="3981" spans="2:7">
      <c r="B3981"/>
      <c r="C3981"/>
      <c r="D3981"/>
      <c r="G3981"/>
    </row>
    <row r="3982" spans="2:7">
      <c r="B3982"/>
      <c r="C3982"/>
      <c r="D3982"/>
      <c r="G3982"/>
    </row>
    <row r="3983" spans="2:7">
      <c r="B3983"/>
      <c r="C3983"/>
      <c r="D3983"/>
      <c r="G3983"/>
    </row>
    <row r="3984" spans="2:7">
      <c r="B3984"/>
      <c r="C3984"/>
      <c r="D3984"/>
      <c r="G3984"/>
    </row>
    <row r="3985" spans="2:7">
      <c r="B3985"/>
      <c r="C3985"/>
      <c r="D3985"/>
      <c r="G3985"/>
    </row>
    <row r="3986" spans="2:7">
      <c r="B3986"/>
      <c r="C3986"/>
      <c r="D3986"/>
      <c r="G3986"/>
    </row>
    <row r="3987" spans="2:7">
      <c r="B3987"/>
      <c r="C3987"/>
      <c r="D3987"/>
      <c r="G3987"/>
    </row>
    <row r="3988" spans="2:7">
      <c r="B3988"/>
      <c r="C3988"/>
      <c r="D3988"/>
      <c r="G3988"/>
    </row>
    <row r="3989" spans="2:7">
      <c r="B3989"/>
      <c r="C3989"/>
      <c r="D3989"/>
      <c r="G3989"/>
    </row>
    <row r="3990" spans="2:7">
      <c r="B3990"/>
      <c r="C3990"/>
      <c r="D3990"/>
      <c r="G3990"/>
    </row>
    <row r="3991" spans="2:7">
      <c r="B3991"/>
      <c r="C3991"/>
      <c r="D3991"/>
      <c r="G3991"/>
    </row>
    <row r="3992" spans="2:7">
      <c r="B3992"/>
      <c r="C3992"/>
      <c r="D3992"/>
      <c r="G3992"/>
    </row>
    <row r="3993" spans="2:7">
      <c r="B3993"/>
      <c r="C3993"/>
      <c r="D3993"/>
      <c r="G3993"/>
    </row>
    <row r="3994" spans="2:7">
      <c r="B3994"/>
      <c r="C3994"/>
      <c r="D3994"/>
      <c r="G3994"/>
    </row>
    <row r="3995" spans="2:7">
      <c r="B3995"/>
      <c r="C3995"/>
      <c r="D3995"/>
      <c r="G3995"/>
    </row>
    <row r="3996" spans="2:7">
      <c r="B3996"/>
      <c r="C3996"/>
      <c r="D3996"/>
      <c r="G3996"/>
    </row>
    <row r="3997" spans="2:7">
      <c r="B3997"/>
      <c r="C3997"/>
      <c r="D3997"/>
      <c r="G3997"/>
    </row>
    <row r="3998" spans="2:7">
      <c r="B3998"/>
      <c r="C3998"/>
      <c r="D3998"/>
      <c r="G3998"/>
    </row>
    <row r="3999" spans="2:7">
      <c r="B3999"/>
      <c r="C3999"/>
      <c r="D3999"/>
      <c r="G3999"/>
    </row>
    <row r="4000" spans="2:7">
      <c r="B4000"/>
      <c r="C4000"/>
      <c r="D4000"/>
      <c r="G4000"/>
    </row>
    <row r="4001" spans="2:7">
      <c r="B4001"/>
      <c r="C4001"/>
      <c r="D4001"/>
      <c r="G4001"/>
    </row>
    <row r="4002" spans="2:7">
      <c r="B4002"/>
      <c r="C4002"/>
      <c r="D4002"/>
      <c r="G4002"/>
    </row>
    <row r="4003" spans="2:7">
      <c r="B4003"/>
      <c r="C4003"/>
      <c r="D4003"/>
      <c r="G4003"/>
    </row>
    <row r="4004" spans="2:7">
      <c r="B4004"/>
      <c r="C4004"/>
      <c r="D4004"/>
      <c r="G4004"/>
    </row>
    <row r="4005" spans="2:7">
      <c r="B4005"/>
      <c r="C4005"/>
      <c r="D4005"/>
      <c r="G4005"/>
    </row>
    <row r="4006" spans="2:7">
      <c r="B4006"/>
      <c r="C4006"/>
      <c r="D4006"/>
      <c r="G4006"/>
    </row>
    <row r="4007" spans="2:7">
      <c r="B4007"/>
      <c r="C4007"/>
      <c r="D4007"/>
      <c r="G4007"/>
    </row>
    <row r="4008" spans="2:7">
      <c r="B4008"/>
      <c r="C4008"/>
      <c r="D4008"/>
      <c r="G4008"/>
    </row>
    <row r="4009" spans="2:7">
      <c r="B4009"/>
      <c r="C4009"/>
      <c r="D4009"/>
      <c r="G4009"/>
    </row>
    <row r="4010" spans="2:7">
      <c r="B4010"/>
      <c r="C4010"/>
      <c r="D4010"/>
      <c r="G4010"/>
    </row>
    <row r="4011" spans="2:7">
      <c r="B4011"/>
      <c r="C4011"/>
      <c r="D4011"/>
      <c r="G4011"/>
    </row>
    <row r="4012" spans="2:7">
      <c r="B4012"/>
      <c r="C4012"/>
      <c r="D4012"/>
      <c r="G4012"/>
    </row>
    <row r="4013" spans="2:7">
      <c r="B4013"/>
      <c r="C4013"/>
      <c r="D4013"/>
      <c r="G4013"/>
    </row>
    <row r="4014" spans="2:7">
      <c r="B4014"/>
      <c r="C4014"/>
      <c r="D4014"/>
      <c r="G4014"/>
    </row>
    <row r="4015" spans="2:7">
      <c r="B4015"/>
      <c r="C4015"/>
      <c r="D4015"/>
      <c r="G4015"/>
    </row>
    <row r="4016" spans="2:7">
      <c r="B4016"/>
      <c r="C4016"/>
      <c r="D4016"/>
      <c r="G4016"/>
    </row>
    <row r="4017" spans="2:7">
      <c r="B4017"/>
      <c r="C4017"/>
      <c r="D4017"/>
      <c r="G4017"/>
    </row>
    <row r="4018" spans="2:7">
      <c r="B4018"/>
      <c r="C4018"/>
      <c r="D4018"/>
      <c r="G4018"/>
    </row>
    <row r="4019" spans="2:7">
      <c r="B4019"/>
      <c r="C4019"/>
      <c r="D4019"/>
      <c r="G4019"/>
    </row>
    <row r="4020" spans="2:7">
      <c r="B4020"/>
      <c r="C4020"/>
      <c r="D4020"/>
      <c r="G4020"/>
    </row>
    <row r="4021" spans="2:7">
      <c r="B4021"/>
      <c r="C4021"/>
      <c r="D4021"/>
      <c r="G4021"/>
    </row>
    <row r="4022" spans="2:7">
      <c r="B4022"/>
      <c r="C4022"/>
      <c r="D4022"/>
      <c r="G4022"/>
    </row>
    <row r="4023" spans="2:7">
      <c r="B4023"/>
      <c r="C4023"/>
      <c r="D4023"/>
      <c r="G4023"/>
    </row>
    <row r="4024" spans="2:7">
      <c r="B4024"/>
      <c r="C4024"/>
      <c r="D4024"/>
      <c r="G4024"/>
    </row>
    <row r="4025" spans="2:7">
      <c r="B4025"/>
      <c r="C4025"/>
      <c r="D4025"/>
      <c r="G4025"/>
    </row>
    <row r="4026" spans="2:7">
      <c r="B4026"/>
      <c r="C4026"/>
      <c r="D4026"/>
      <c r="G4026"/>
    </row>
    <row r="4027" spans="2:7">
      <c r="B4027"/>
      <c r="C4027"/>
      <c r="D4027"/>
      <c r="G4027"/>
    </row>
    <row r="4028" spans="2:7">
      <c r="B4028"/>
      <c r="C4028"/>
      <c r="D4028"/>
      <c r="G4028"/>
    </row>
    <row r="4029" spans="2:7">
      <c r="B4029"/>
      <c r="C4029"/>
      <c r="D4029"/>
      <c r="G4029"/>
    </row>
    <row r="4030" spans="2:7">
      <c r="B4030"/>
      <c r="C4030"/>
      <c r="D4030"/>
      <c r="G4030"/>
    </row>
    <row r="4031" spans="2:7">
      <c r="B4031"/>
      <c r="C4031"/>
      <c r="D4031"/>
      <c r="G4031"/>
    </row>
    <row r="4032" spans="2:7">
      <c r="B4032"/>
      <c r="C4032"/>
      <c r="D4032"/>
      <c r="G4032"/>
    </row>
    <row r="4033" spans="2:7">
      <c r="B4033"/>
      <c r="C4033"/>
      <c r="D4033"/>
      <c r="G4033"/>
    </row>
    <row r="4034" spans="2:7">
      <c r="B4034"/>
      <c r="C4034"/>
      <c r="D4034"/>
      <c r="G4034"/>
    </row>
    <row r="4035" spans="2:7">
      <c r="B4035"/>
      <c r="C4035"/>
      <c r="D4035"/>
      <c r="G4035"/>
    </row>
    <row r="4036" spans="2:7">
      <c r="B4036"/>
      <c r="C4036"/>
      <c r="D4036"/>
      <c r="G4036"/>
    </row>
    <row r="4037" spans="2:7">
      <c r="B4037"/>
      <c r="C4037"/>
      <c r="D4037"/>
      <c r="G4037"/>
    </row>
    <row r="4038" spans="2:7">
      <c r="B4038"/>
      <c r="C4038"/>
      <c r="D4038"/>
      <c r="G4038"/>
    </row>
    <row r="4039" spans="2:7">
      <c r="B4039"/>
      <c r="C4039"/>
      <c r="D4039"/>
      <c r="G4039"/>
    </row>
    <row r="4040" spans="2:7">
      <c r="B4040"/>
      <c r="C4040"/>
      <c r="D4040"/>
      <c r="G4040"/>
    </row>
    <row r="4041" spans="2:7">
      <c r="B4041"/>
      <c r="C4041"/>
      <c r="D4041"/>
      <c r="G4041"/>
    </row>
    <row r="4042" spans="2:7">
      <c r="B4042"/>
      <c r="C4042"/>
      <c r="D4042"/>
      <c r="G4042"/>
    </row>
    <row r="4043" spans="2:7">
      <c r="B4043"/>
      <c r="C4043"/>
      <c r="D4043"/>
      <c r="G4043"/>
    </row>
    <row r="4044" spans="2:7">
      <c r="B4044"/>
      <c r="C4044"/>
      <c r="D4044"/>
      <c r="G4044"/>
    </row>
    <row r="4045" spans="2:7">
      <c r="B4045"/>
      <c r="C4045"/>
      <c r="D4045"/>
      <c r="G4045"/>
    </row>
    <row r="4046" spans="2:7">
      <c r="B4046"/>
      <c r="C4046"/>
      <c r="D4046"/>
      <c r="G4046"/>
    </row>
    <row r="4047" spans="2:7">
      <c r="B4047"/>
      <c r="C4047"/>
      <c r="D4047"/>
      <c r="G4047"/>
    </row>
    <row r="4048" spans="2:7">
      <c r="B4048"/>
      <c r="C4048"/>
      <c r="D4048"/>
      <c r="G4048"/>
    </row>
    <row r="4049" spans="2:7">
      <c r="B4049"/>
      <c r="C4049"/>
      <c r="D4049"/>
      <c r="G4049"/>
    </row>
    <row r="4050" spans="2:7">
      <c r="B4050"/>
      <c r="C4050"/>
      <c r="D4050"/>
      <c r="G4050"/>
    </row>
    <row r="4051" spans="2:7">
      <c r="B4051"/>
      <c r="C4051"/>
      <c r="D4051"/>
      <c r="G4051"/>
    </row>
    <row r="4052" spans="2:7">
      <c r="B4052"/>
      <c r="C4052"/>
      <c r="D4052"/>
      <c r="G4052"/>
    </row>
    <row r="4053" spans="2:7">
      <c r="B4053"/>
      <c r="C4053"/>
      <c r="D4053"/>
      <c r="G4053"/>
    </row>
    <row r="4054" spans="2:7">
      <c r="B4054"/>
      <c r="C4054"/>
      <c r="D4054"/>
      <c r="G4054"/>
    </row>
    <row r="4055" spans="2:7">
      <c r="B4055"/>
      <c r="C4055"/>
      <c r="D4055"/>
      <c r="G4055"/>
    </row>
    <row r="4056" spans="2:7">
      <c r="B4056"/>
      <c r="C4056"/>
      <c r="D4056"/>
      <c r="G4056"/>
    </row>
    <row r="4057" spans="2:7">
      <c r="B4057"/>
      <c r="C4057"/>
      <c r="D4057"/>
      <c r="G4057"/>
    </row>
    <row r="4058" spans="2:7">
      <c r="B4058"/>
      <c r="C4058"/>
      <c r="D4058"/>
      <c r="G4058"/>
    </row>
    <row r="4059" spans="2:7">
      <c r="B4059"/>
      <c r="C4059"/>
      <c r="D4059"/>
      <c r="G4059"/>
    </row>
    <row r="4060" spans="2:7">
      <c r="B4060"/>
      <c r="C4060"/>
      <c r="D4060"/>
      <c r="G4060"/>
    </row>
    <row r="4061" spans="2:7">
      <c r="B4061"/>
      <c r="C4061"/>
      <c r="D4061"/>
      <c r="G4061"/>
    </row>
    <row r="4062" spans="2:7">
      <c r="B4062"/>
      <c r="C4062"/>
      <c r="D4062"/>
      <c r="G4062"/>
    </row>
    <row r="4063" spans="2:7">
      <c r="B4063"/>
      <c r="C4063"/>
      <c r="D4063"/>
      <c r="G4063"/>
    </row>
    <row r="4064" spans="2:7">
      <c r="B4064"/>
      <c r="C4064"/>
      <c r="D4064"/>
      <c r="G4064"/>
    </row>
    <row r="4065" spans="2:7">
      <c r="B4065"/>
      <c r="C4065"/>
      <c r="D4065"/>
      <c r="G4065"/>
    </row>
    <row r="4066" spans="2:7">
      <c r="B4066"/>
      <c r="C4066"/>
      <c r="D4066"/>
      <c r="G4066"/>
    </row>
    <row r="4067" spans="2:7">
      <c r="B4067"/>
      <c r="C4067"/>
      <c r="D4067"/>
      <c r="G4067"/>
    </row>
    <row r="4068" spans="2:7">
      <c r="B4068"/>
      <c r="C4068"/>
      <c r="D4068"/>
      <c r="G4068"/>
    </row>
    <row r="4069" spans="2:7">
      <c r="B4069"/>
      <c r="C4069"/>
      <c r="D4069"/>
      <c r="G4069"/>
    </row>
    <row r="4070" spans="2:7">
      <c r="B4070"/>
      <c r="C4070"/>
      <c r="D4070"/>
      <c r="G4070"/>
    </row>
    <row r="4071" spans="2:7">
      <c r="B4071"/>
      <c r="C4071"/>
      <c r="D4071"/>
      <c r="G4071"/>
    </row>
    <row r="4072" spans="2:7">
      <c r="B4072"/>
      <c r="C4072"/>
      <c r="D4072"/>
      <c r="G4072"/>
    </row>
    <row r="4073" spans="2:7">
      <c r="B4073"/>
      <c r="C4073"/>
      <c r="D4073"/>
      <c r="G4073"/>
    </row>
    <row r="4074" spans="2:7">
      <c r="B4074"/>
      <c r="C4074"/>
      <c r="D4074"/>
      <c r="G4074"/>
    </row>
    <row r="4075" spans="2:7">
      <c r="B4075"/>
      <c r="C4075"/>
      <c r="D4075"/>
      <c r="G4075"/>
    </row>
    <row r="4076" spans="2:7">
      <c r="B4076"/>
      <c r="C4076"/>
      <c r="D4076"/>
      <c r="G4076"/>
    </row>
    <row r="4077" spans="2:7">
      <c r="B4077"/>
      <c r="C4077"/>
      <c r="D4077"/>
      <c r="G4077"/>
    </row>
    <row r="4078" spans="2:7">
      <c r="B4078"/>
      <c r="C4078"/>
      <c r="D4078"/>
      <c r="G4078"/>
    </row>
    <row r="4079" spans="2:7">
      <c r="B4079"/>
      <c r="C4079"/>
      <c r="D4079"/>
      <c r="G4079"/>
    </row>
    <row r="4080" spans="2:7">
      <c r="B4080"/>
      <c r="C4080"/>
      <c r="D4080"/>
      <c r="G4080"/>
    </row>
    <row r="4081" spans="2:7">
      <c r="B4081"/>
      <c r="C4081"/>
      <c r="D4081"/>
      <c r="G4081"/>
    </row>
    <row r="4082" spans="2:7">
      <c r="B4082"/>
      <c r="C4082"/>
      <c r="D4082"/>
      <c r="G4082"/>
    </row>
    <row r="4083" spans="2:7">
      <c r="B4083"/>
      <c r="C4083"/>
      <c r="D4083"/>
      <c r="G4083"/>
    </row>
    <row r="4084" spans="2:7">
      <c r="B4084"/>
      <c r="C4084"/>
      <c r="D4084"/>
      <c r="G4084"/>
    </row>
    <row r="4085" spans="2:7">
      <c r="B4085"/>
      <c r="C4085"/>
      <c r="D4085"/>
      <c r="G4085"/>
    </row>
    <row r="4086" spans="2:7">
      <c r="B4086"/>
      <c r="C4086"/>
      <c r="D4086"/>
      <c r="G4086"/>
    </row>
    <row r="4087" spans="2:7">
      <c r="B4087"/>
      <c r="C4087"/>
      <c r="D4087"/>
      <c r="G4087"/>
    </row>
    <row r="4088" spans="2:7">
      <c r="B4088"/>
      <c r="C4088"/>
      <c r="D4088"/>
      <c r="G4088"/>
    </row>
    <row r="4089" spans="2:7">
      <c r="B4089"/>
      <c r="C4089"/>
      <c r="D4089"/>
      <c r="G4089"/>
    </row>
    <row r="4090" spans="2:7">
      <c r="B4090"/>
      <c r="C4090"/>
      <c r="D4090"/>
      <c r="G4090"/>
    </row>
    <row r="4091" spans="2:7">
      <c r="B4091"/>
      <c r="C4091"/>
      <c r="D4091"/>
      <c r="G4091"/>
    </row>
    <row r="4092" spans="2:7">
      <c r="B4092"/>
      <c r="C4092"/>
      <c r="D4092"/>
      <c r="G4092"/>
    </row>
    <row r="4093" spans="2:7">
      <c r="B4093"/>
      <c r="C4093"/>
      <c r="D4093"/>
      <c r="G4093"/>
    </row>
    <row r="4094" spans="2:7">
      <c r="B4094"/>
      <c r="C4094"/>
      <c r="D4094"/>
      <c r="G4094"/>
    </row>
    <row r="4095" spans="2:7">
      <c r="B4095"/>
      <c r="C4095"/>
      <c r="D4095"/>
      <c r="G4095"/>
    </row>
    <row r="4096" spans="2:7">
      <c r="B4096"/>
      <c r="C4096"/>
      <c r="D4096"/>
      <c r="G4096"/>
    </row>
    <row r="4097" spans="2:7">
      <c r="B4097"/>
      <c r="C4097"/>
      <c r="D4097"/>
      <c r="G4097"/>
    </row>
    <row r="4098" spans="2:7">
      <c r="B4098"/>
      <c r="C4098"/>
      <c r="D4098"/>
      <c r="G4098"/>
    </row>
    <row r="4099" spans="2:7">
      <c r="B4099"/>
      <c r="C4099"/>
      <c r="D4099"/>
      <c r="G4099"/>
    </row>
    <row r="4100" spans="2:7">
      <c r="B4100"/>
      <c r="C4100"/>
      <c r="D4100"/>
      <c r="G4100"/>
    </row>
    <row r="4101" spans="2:7">
      <c r="B4101"/>
      <c r="C4101"/>
      <c r="D4101"/>
      <c r="G4101"/>
    </row>
    <row r="4102" spans="2:7">
      <c r="B4102"/>
      <c r="C4102"/>
      <c r="D4102"/>
      <c r="G4102"/>
    </row>
    <row r="4103" spans="2:7">
      <c r="B4103"/>
      <c r="C4103"/>
      <c r="D4103"/>
      <c r="G4103"/>
    </row>
    <row r="4104" spans="2:7">
      <c r="B4104"/>
      <c r="C4104"/>
      <c r="D4104"/>
      <c r="G4104"/>
    </row>
    <row r="4105" spans="2:7">
      <c r="B4105"/>
      <c r="C4105"/>
      <c r="D4105"/>
      <c r="G4105"/>
    </row>
    <row r="4106" spans="2:7">
      <c r="B4106"/>
      <c r="C4106"/>
      <c r="D4106"/>
      <c r="G4106"/>
    </row>
    <row r="4107" spans="2:7">
      <c r="B4107"/>
      <c r="C4107"/>
      <c r="D4107"/>
      <c r="G4107"/>
    </row>
    <row r="4108" spans="2:7">
      <c r="B4108"/>
      <c r="C4108"/>
      <c r="D4108"/>
      <c r="G4108"/>
    </row>
    <row r="4109" spans="2:7">
      <c r="B4109"/>
      <c r="C4109"/>
      <c r="D4109"/>
      <c r="G4109"/>
    </row>
    <row r="4110" spans="2:7">
      <c r="B4110"/>
      <c r="C4110"/>
      <c r="D4110"/>
      <c r="G4110"/>
    </row>
    <row r="4111" spans="2:7">
      <c r="B4111"/>
      <c r="C4111"/>
      <c r="D4111"/>
      <c r="G4111"/>
    </row>
    <row r="4112" spans="2:7">
      <c r="B4112"/>
      <c r="C4112"/>
      <c r="D4112"/>
      <c r="G4112"/>
    </row>
    <row r="4113" spans="2:7">
      <c r="B4113"/>
      <c r="C4113"/>
      <c r="D4113"/>
      <c r="G4113"/>
    </row>
    <row r="4114" spans="2:7">
      <c r="B4114"/>
      <c r="C4114"/>
      <c r="D4114"/>
      <c r="G4114"/>
    </row>
    <row r="4115" spans="2:7">
      <c r="B4115"/>
      <c r="C4115"/>
      <c r="D4115"/>
      <c r="G4115"/>
    </row>
    <row r="4116" spans="2:7">
      <c r="B4116"/>
      <c r="C4116"/>
      <c r="D4116"/>
      <c r="G4116"/>
    </row>
    <row r="4117" spans="2:7">
      <c r="B4117"/>
      <c r="C4117"/>
      <c r="D4117"/>
      <c r="G4117"/>
    </row>
    <row r="4118" spans="2:7">
      <c r="B4118"/>
      <c r="C4118"/>
      <c r="D4118"/>
      <c r="G4118"/>
    </row>
    <row r="4119" spans="2:7">
      <c r="B4119"/>
      <c r="C4119"/>
      <c r="D4119"/>
      <c r="G4119"/>
    </row>
    <row r="4120" spans="2:7">
      <c r="B4120"/>
      <c r="C4120"/>
      <c r="D4120"/>
      <c r="G4120"/>
    </row>
    <row r="4121" spans="2:7">
      <c r="B4121"/>
      <c r="C4121"/>
      <c r="D4121"/>
      <c r="G4121"/>
    </row>
    <row r="4122" spans="2:7">
      <c r="B4122"/>
      <c r="C4122"/>
      <c r="D4122"/>
      <c r="G4122"/>
    </row>
    <row r="4123" spans="2:7">
      <c r="B4123"/>
      <c r="C4123"/>
      <c r="D4123"/>
      <c r="G4123"/>
    </row>
    <row r="4124" spans="2:7">
      <c r="B4124"/>
      <c r="C4124"/>
      <c r="D4124"/>
      <c r="G4124"/>
    </row>
    <row r="4125" spans="2:7">
      <c r="B4125"/>
      <c r="C4125"/>
      <c r="D4125"/>
      <c r="G4125"/>
    </row>
    <row r="4126" spans="2:7">
      <c r="B4126"/>
      <c r="C4126"/>
      <c r="D4126"/>
      <c r="G4126"/>
    </row>
    <row r="4127" spans="2:7">
      <c r="B4127"/>
      <c r="C4127"/>
      <c r="D4127"/>
      <c r="G4127"/>
    </row>
    <row r="4128" spans="2:7">
      <c r="B4128"/>
      <c r="C4128"/>
      <c r="D4128"/>
      <c r="G4128"/>
    </row>
    <row r="4129" spans="2:7">
      <c r="B4129"/>
      <c r="C4129"/>
      <c r="D4129"/>
      <c r="G4129"/>
    </row>
    <row r="4130" spans="2:7">
      <c r="B4130"/>
      <c r="C4130"/>
      <c r="D4130"/>
      <c r="G4130"/>
    </row>
    <row r="4131" spans="2:7">
      <c r="B4131"/>
      <c r="C4131"/>
      <c r="D4131"/>
      <c r="G4131"/>
    </row>
    <row r="4132" spans="2:7">
      <c r="B4132"/>
      <c r="C4132"/>
      <c r="D4132"/>
      <c r="G4132"/>
    </row>
    <row r="4133" spans="2:7">
      <c r="B4133"/>
      <c r="C4133"/>
      <c r="D4133"/>
      <c r="G4133"/>
    </row>
    <row r="4134" spans="2:7">
      <c r="B4134"/>
      <c r="C4134"/>
      <c r="D4134"/>
      <c r="G4134"/>
    </row>
    <row r="4135" spans="2:7">
      <c r="B4135"/>
      <c r="C4135"/>
      <c r="D4135"/>
      <c r="G4135"/>
    </row>
    <row r="4136" spans="2:7">
      <c r="B4136"/>
      <c r="C4136"/>
      <c r="D4136"/>
      <c r="G4136"/>
    </row>
    <row r="4137" spans="2:7">
      <c r="B4137"/>
      <c r="C4137"/>
      <c r="D4137"/>
      <c r="G4137"/>
    </row>
    <row r="4138" spans="2:7">
      <c r="B4138"/>
      <c r="C4138"/>
      <c r="D4138"/>
      <c r="G4138"/>
    </row>
    <row r="4139" spans="2:7">
      <c r="B4139"/>
      <c r="C4139"/>
      <c r="D4139"/>
      <c r="G4139"/>
    </row>
    <row r="4140" spans="2:7">
      <c r="B4140"/>
      <c r="C4140"/>
      <c r="D4140"/>
      <c r="G4140"/>
    </row>
    <row r="4141" spans="2:7">
      <c r="B4141"/>
      <c r="C4141"/>
      <c r="D4141"/>
      <c r="G4141"/>
    </row>
    <row r="4142" spans="2:7">
      <c r="B4142"/>
      <c r="C4142"/>
      <c r="D4142"/>
      <c r="G4142"/>
    </row>
    <row r="4143" spans="2:7">
      <c r="B4143"/>
      <c r="C4143"/>
      <c r="D4143"/>
      <c r="G4143"/>
    </row>
    <row r="4144" spans="2:7">
      <c r="B4144"/>
      <c r="C4144"/>
      <c r="D4144"/>
      <c r="G4144"/>
    </row>
    <row r="4145" spans="2:7">
      <c r="B4145"/>
      <c r="C4145"/>
      <c r="D4145"/>
      <c r="G4145"/>
    </row>
    <row r="4146" spans="2:7">
      <c r="B4146"/>
      <c r="C4146"/>
      <c r="D4146"/>
      <c r="G4146"/>
    </row>
    <row r="4147" spans="2:7">
      <c r="B4147"/>
      <c r="C4147"/>
      <c r="D4147"/>
      <c r="G4147"/>
    </row>
    <row r="4148" spans="2:7">
      <c r="B4148"/>
      <c r="C4148"/>
      <c r="D4148"/>
      <c r="G4148"/>
    </row>
    <row r="4149" spans="2:7">
      <c r="B4149"/>
      <c r="C4149"/>
      <c r="D4149"/>
      <c r="G4149"/>
    </row>
    <row r="4150" spans="2:7">
      <c r="B4150"/>
      <c r="C4150"/>
      <c r="D4150"/>
      <c r="G4150"/>
    </row>
    <row r="4151" spans="2:7">
      <c r="B4151"/>
      <c r="C4151"/>
      <c r="D4151"/>
      <c r="G4151"/>
    </row>
    <row r="4152" spans="2:7">
      <c r="B4152"/>
      <c r="C4152"/>
      <c r="D4152"/>
      <c r="G4152"/>
    </row>
    <row r="4153" spans="2:7">
      <c r="B4153"/>
      <c r="C4153"/>
      <c r="D4153"/>
      <c r="G4153"/>
    </row>
    <row r="4154" spans="2:7">
      <c r="B4154"/>
      <c r="C4154"/>
      <c r="D4154"/>
      <c r="G4154"/>
    </row>
    <row r="4155" spans="2:7">
      <c r="B4155"/>
      <c r="C4155"/>
      <c r="D4155"/>
      <c r="G4155"/>
    </row>
    <row r="4156" spans="2:7">
      <c r="B4156"/>
      <c r="C4156"/>
      <c r="D4156"/>
      <c r="G4156"/>
    </row>
    <row r="4157" spans="2:7">
      <c r="B4157"/>
      <c r="C4157"/>
      <c r="D4157"/>
      <c r="G4157"/>
    </row>
    <row r="4158" spans="2:7">
      <c r="B4158"/>
      <c r="C4158"/>
      <c r="D4158"/>
      <c r="G4158"/>
    </row>
    <row r="4159" spans="2:7">
      <c r="B4159"/>
      <c r="C4159"/>
      <c r="D4159"/>
      <c r="G4159"/>
    </row>
    <row r="4160" spans="2:7">
      <c r="B4160"/>
      <c r="C4160"/>
      <c r="D4160"/>
      <c r="G4160"/>
    </row>
    <row r="4161" spans="2:7">
      <c r="B4161"/>
      <c r="C4161"/>
      <c r="D4161"/>
      <c r="G4161"/>
    </row>
    <row r="4162" spans="2:7">
      <c r="B4162"/>
      <c r="C4162"/>
      <c r="D4162"/>
      <c r="G4162"/>
    </row>
    <row r="4163" spans="2:7">
      <c r="B4163"/>
      <c r="C4163"/>
      <c r="D4163"/>
      <c r="G4163"/>
    </row>
    <row r="4164" spans="2:7">
      <c r="B4164"/>
      <c r="C4164"/>
      <c r="D4164"/>
      <c r="G4164"/>
    </row>
    <row r="4165" spans="2:7">
      <c r="B4165"/>
      <c r="C4165"/>
      <c r="D4165"/>
      <c r="G4165"/>
    </row>
    <row r="4166" spans="2:7">
      <c r="B4166"/>
      <c r="C4166"/>
      <c r="D4166"/>
      <c r="G4166"/>
    </row>
    <row r="4167" spans="2:7">
      <c r="B4167"/>
      <c r="C4167"/>
      <c r="D4167"/>
      <c r="G4167"/>
    </row>
    <row r="4168" spans="2:7">
      <c r="B4168"/>
      <c r="C4168"/>
      <c r="D4168"/>
      <c r="G4168"/>
    </row>
    <row r="4169" spans="2:7">
      <c r="B4169"/>
      <c r="C4169"/>
      <c r="D4169"/>
      <c r="G4169"/>
    </row>
    <row r="4170" spans="2:7">
      <c r="B4170"/>
      <c r="C4170"/>
      <c r="D4170"/>
      <c r="G4170"/>
    </row>
    <row r="4171" spans="2:7">
      <c r="B4171"/>
      <c r="C4171"/>
      <c r="D4171"/>
      <c r="G4171"/>
    </row>
    <row r="4172" spans="2:7">
      <c r="B4172"/>
      <c r="C4172"/>
      <c r="D4172"/>
      <c r="G4172"/>
    </row>
    <row r="4173" spans="2:7">
      <c r="B4173"/>
      <c r="C4173"/>
      <c r="D4173"/>
      <c r="G4173"/>
    </row>
    <row r="4174" spans="2:7">
      <c r="B4174"/>
      <c r="C4174"/>
      <c r="D4174"/>
      <c r="G4174"/>
    </row>
    <row r="4175" spans="2:7">
      <c r="B4175"/>
      <c r="C4175"/>
      <c r="D4175"/>
      <c r="G4175"/>
    </row>
    <row r="4176" spans="2:7">
      <c r="B4176"/>
      <c r="C4176"/>
      <c r="D4176"/>
      <c r="G4176"/>
    </row>
    <row r="4177" spans="2:7">
      <c r="B4177"/>
      <c r="C4177"/>
      <c r="D4177"/>
      <c r="G4177"/>
    </row>
    <row r="4178" spans="2:7">
      <c r="B4178"/>
      <c r="C4178"/>
      <c r="D4178"/>
      <c r="G4178"/>
    </row>
    <row r="4179" spans="2:7">
      <c r="B4179"/>
      <c r="C4179"/>
      <c r="D4179"/>
      <c r="G4179"/>
    </row>
    <row r="4180" spans="2:7">
      <c r="B4180"/>
      <c r="C4180"/>
      <c r="D4180"/>
      <c r="G4180"/>
    </row>
    <row r="4181" spans="2:7">
      <c r="B4181"/>
      <c r="C4181"/>
      <c r="D4181"/>
      <c r="G4181"/>
    </row>
    <row r="4182" spans="2:7">
      <c r="B4182"/>
      <c r="C4182"/>
      <c r="D4182"/>
      <c r="G4182"/>
    </row>
    <row r="4183" spans="2:7">
      <c r="B4183"/>
      <c r="C4183"/>
      <c r="D4183"/>
      <c r="G4183"/>
    </row>
    <row r="4184" spans="2:7">
      <c r="B4184"/>
      <c r="C4184"/>
      <c r="D4184"/>
      <c r="G4184"/>
    </row>
    <row r="4185" spans="2:7">
      <c r="B4185"/>
      <c r="C4185"/>
      <c r="D4185"/>
      <c r="G4185"/>
    </row>
    <row r="4186" spans="2:7">
      <c r="B4186"/>
      <c r="C4186"/>
      <c r="D4186"/>
      <c r="G4186"/>
    </row>
    <row r="4187" spans="2:7">
      <c r="B4187"/>
      <c r="C4187"/>
      <c r="D4187"/>
      <c r="G4187"/>
    </row>
    <row r="4188" spans="2:7">
      <c r="B4188"/>
      <c r="C4188"/>
      <c r="D4188"/>
      <c r="G4188"/>
    </row>
    <row r="4189" spans="2:7">
      <c r="B4189"/>
      <c r="C4189"/>
      <c r="D4189"/>
      <c r="G4189"/>
    </row>
    <row r="4190" spans="2:7">
      <c r="B4190"/>
      <c r="C4190"/>
      <c r="D4190"/>
      <c r="G4190"/>
    </row>
    <row r="4191" spans="2:7">
      <c r="B4191"/>
      <c r="C4191"/>
      <c r="D4191"/>
      <c r="G4191"/>
    </row>
    <row r="4192" spans="2:7">
      <c r="B4192"/>
      <c r="C4192"/>
      <c r="D4192"/>
      <c r="G4192"/>
    </row>
    <row r="4193" spans="2:7">
      <c r="B4193"/>
      <c r="C4193"/>
      <c r="D4193"/>
      <c r="G4193"/>
    </row>
    <row r="4194" spans="2:7">
      <c r="B4194"/>
      <c r="C4194"/>
      <c r="D4194"/>
      <c r="G4194"/>
    </row>
    <row r="4195" spans="2:7">
      <c r="B4195"/>
      <c r="C4195"/>
      <c r="D4195"/>
      <c r="G4195"/>
    </row>
    <row r="4196" spans="2:7">
      <c r="B4196"/>
      <c r="C4196"/>
      <c r="D4196"/>
      <c r="G4196"/>
    </row>
    <row r="4197" spans="2:7">
      <c r="B4197"/>
      <c r="C4197"/>
      <c r="D4197"/>
      <c r="G4197"/>
    </row>
    <row r="4198" spans="2:7">
      <c r="B4198"/>
      <c r="C4198"/>
      <c r="D4198"/>
      <c r="G4198"/>
    </row>
    <row r="4199" spans="2:7">
      <c r="B4199"/>
      <c r="C4199"/>
      <c r="D4199"/>
      <c r="G4199"/>
    </row>
    <row r="4200" spans="2:7">
      <c r="B4200"/>
      <c r="C4200"/>
      <c r="D4200"/>
      <c r="G4200"/>
    </row>
    <row r="4201" spans="2:7">
      <c r="B4201"/>
      <c r="C4201"/>
      <c r="D4201"/>
      <c r="G4201"/>
    </row>
    <row r="4202" spans="2:7">
      <c r="B4202"/>
      <c r="C4202"/>
      <c r="D4202"/>
      <c r="G4202"/>
    </row>
    <row r="4203" spans="2:7">
      <c r="B4203"/>
      <c r="C4203"/>
      <c r="D4203"/>
      <c r="G4203"/>
    </row>
    <row r="4204" spans="2:7">
      <c r="B4204"/>
      <c r="C4204"/>
      <c r="D4204"/>
      <c r="G4204"/>
    </row>
    <row r="4205" spans="2:7">
      <c r="B4205"/>
      <c r="C4205"/>
      <c r="D4205"/>
      <c r="G4205"/>
    </row>
    <row r="4206" spans="2:7">
      <c r="B4206"/>
      <c r="C4206"/>
      <c r="D4206"/>
      <c r="G4206"/>
    </row>
    <row r="4207" spans="2:7">
      <c r="B4207"/>
      <c r="C4207"/>
      <c r="D4207"/>
      <c r="G4207"/>
    </row>
    <row r="4208" spans="2:7">
      <c r="B4208"/>
      <c r="C4208"/>
      <c r="D4208"/>
      <c r="G4208"/>
    </row>
    <row r="4209" spans="2:7">
      <c r="B4209"/>
      <c r="C4209"/>
      <c r="D4209"/>
      <c r="G4209"/>
    </row>
    <row r="4210" spans="2:7">
      <c r="B4210"/>
      <c r="C4210"/>
      <c r="D4210"/>
      <c r="G4210"/>
    </row>
    <row r="4211" spans="2:7">
      <c r="B4211"/>
      <c r="C4211"/>
      <c r="D4211"/>
      <c r="G4211"/>
    </row>
    <row r="4212" spans="2:7">
      <c r="B4212"/>
      <c r="C4212"/>
      <c r="D4212"/>
      <c r="G4212"/>
    </row>
    <row r="4213" spans="2:7">
      <c r="B4213"/>
      <c r="C4213"/>
      <c r="D4213"/>
      <c r="G4213"/>
    </row>
    <row r="4214" spans="2:7">
      <c r="B4214"/>
      <c r="C4214"/>
      <c r="D4214"/>
      <c r="G4214"/>
    </row>
    <row r="4215" spans="2:7">
      <c r="B4215"/>
      <c r="C4215"/>
      <c r="D4215"/>
      <c r="G4215"/>
    </row>
    <row r="4216" spans="2:7">
      <c r="B4216"/>
      <c r="C4216"/>
      <c r="D4216"/>
      <c r="G4216"/>
    </row>
    <row r="4217" spans="2:7">
      <c r="B4217"/>
      <c r="C4217"/>
      <c r="D4217"/>
      <c r="G4217"/>
    </row>
    <row r="4218" spans="2:7">
      <c r="B4218"/>
      <c r="C4218"/>
      <c r="D4218"/>
      <c r="G4218"/>
    </row>
    <row r="4219" spans="2:7">
      <c r="B4219"/>
      <c r="C4219"/>
      <c r="D4219"/>
      <c r="G4219"/>
    </row>
    <row r="4220" spans="2:7">
      <c r="B4220"/>
      <c r="C4220"/>
      <c r="D4220"/>
      <c r="G4220"/>
    </row>
    <row r="4221" spans="2:7">
      <c r="B4221"/>
      <c r="C4221"/>
      <c r="D4221"/>
      <c r="G4221"/>
    </row>
    <row r="4222" spans="2:7">
      <c r="B4222"/>
      <c r="C4222"/>
      <c r="D4222"/>
      <c r="G4222"/>
    </row>
    <row r="4223" spans="2:7">
      <c r="B4223"/>
      <c r="C4223"/>
      <c r="D4223"/>
      <c r="G4223"/>
    </row>
    <row r="4224" spans="2:7">
      <c r="B4224"/>
      <c r="C4224"/>
      <c r="D4224"/>
      <c r="G4224"/>
    </row>
    <row r="4225" spans="2:7">
      <c r="B4225"/>
      <c r="C4225"/>
      <c r="D4225"/>
      <c r="G4225"/>
    </row>
    <row r="4226" spans="2:7">
      <c r="B4226"/>
      <c r="C4226"/>
      <c r="D4226"/>
      <c r="G4226"/>
    </row>
    <row r="4227" spans="2:7">
      <c r="B4227"/>
      <c r="C4227"/>
      <c r="D4227"/>
      <c r="G4227"/>
    </row>
    <row r="4228" spans="2:7">
      <c r="B4228"/>
      <c r="C4228"/>
      <c r="D4228"/>
      <c r="G4228"/>
    </row>
    <row r="4229" spans="2:7">
      <c r="B4229"/>
      <c r="C4229"/>
      <c r="D4229"/>
      <c r="G4229"/>
    </row>
    <row r="4230" spans="2:7">
      <c r="B4230"/>
      <c r="C4230"/>
      <c r="D4230"/>
      <c r="G4230"/>
    </row>
    <row r="4231" spans="2:7">
      <c r="B4231"/>
      <c r="C4231"/>
      <c r="D4231"/>
      <c r="G4231"/>
    </row>
    <row r="4232" spans="2:7">
      <c r="B4232"/>
      <c r="C4232"/>
      <c r="D4232"/>
      <c r="G4232"/>
    </row>
    <row r="4233" spans="2:7">
      <c r="B4233"/>
      <c r="C4233"/>
      <c r="D4233"/>
      <c r="G4233"/>
    </row>
    <row r="4234" spans="2:7">
      <c r="B4234"/>
      <c r="C4234"/>
      <c r="D4234"/>
      <c r="G4234"/>
    </row>
    <row r="4235" spans="2:7">
      <c r="B4235"/>
      <c r="C4235"/>
      <c r="D4235"/>
      <c r="G4235"/>
    </row>
    <row r="4236" spans="2:7">
      <c r="B4236"/>
      <c r="C4236"/>
      <c r="D4236"/>
      <c r="G4236"/>
    </row>
    <row r="4237" spans="2:7">
      <c r="B4237"/>
      <c r="C4237"/>
      <c r="D4237"/>
      <c r="G4237"/>
    </row>
    <row r="4238" spans="2:7">
      <c r="B4238"/>
      <c r="C4238"/>
      <c r="D4238"/>
      <c r="G4238"/>
    </row>
    <row r="4239" spans="2:7">
      <c r="B4239"/>
      <c r="C4239"/>
      <c r="D4239"/>
      <c r="G4239"/>
    </row>
    <row r="4240" spans="2:7">
      <c r="B4240"/>
      <c r="C4240"/>
      <c r="D4240"/>
      <c r="G4240"/>
    </row>
    <row r="4241" spans="2:7">
      <c r="B4241"/>
      <c r="C4241"/>
      <c r="D4241"/>
      <c r="G4241"/>
    </row>
    <row r="4242" spans="2:7">
      <c r="B4242"/>
      <c r="C4242"/>
      <c r="D4242"/>
      <c r="G4242"/>
    </row>
    <row r="4243" spans="2:7">
      <c r="B4243"/>
      <c r="C4243"/>
      <c r="D4243"/>
      <c r="G4243"/>
    </row>
    <row r="4244" spans="2:7">
      <c r="B4244"/>
      <c r="C4244"/>
      <c r="D4244"/>
      <c r="G4244"/>
    </row>
    <row r="4245" spans="2:7">
      <c r="B4245"/>
      <c r="C4245"/>
      <c r="D4245"/>
      <c r="G4245"/>
    </row>
    <row r="4246" spans="2:7">
      <c r="B4246"/>
      <c r="C4246"/>
      <c r="D4246"/>
      <c r="G4246"/>
    </row>
    <row r="4247" spans="2:7">
      <c r="B4247"/>
      <c r="C4247"/>
      <c r="D4247"/>
      <c r="G4247"/>
    </row>
    <row r="4248" spans="2:7">
      <c r="B4248"/>
      <c r="C4248"/>
      <c r="D4248"/>
      <c r="G4248"/>
    </row>
    <row r="4249" spans="2:7">
      <c r="B4249"/>
      <c r="C4249"/>
      <c r="D4249"/>
      <c r="G4249"/>
    </row>
    <row r="4250" spans="2:7">
      <c r="B4250"/>
      <c r="C4250"/>
      <c r="D4250"/>
      <c r="G4250"/>
    </row>
    <row r="4251" spans="2:7">
      <c r="B4251"/>
      <c r="C4251"/>
      <c r="D4251"/>
      <c r="G4251"/>
    </row>
    <row r="4252" spans="2:7">
      <c r="B4252"/>
      <c r="C4252"/>
      <c r="D4252"/>
      <c r="G4252"/>
    </row>
    <row r="4253" spans="2:7">
      <c r="B4253"/>
      <c r="C4253"/>
      <c r="D4253"/>
      <c r="G4253"/>
    </row>
    <row r="4254" spans="2:7">
      <c r="B4254"/>
      <c r="C4254"/>
      <c r="D4254"/>
      <c r="G4254"/>
    </row>
    <row r="4255" spans="2:7">
      <c r="B4255"/>
      <c r="C4255"/>
      <c r="D4255"/>
      <c r="G4255"/>
    </row>
    <row r="4256" spans="2:7">
      <c r="B4256"/>
      <c r="C4256"/>
      <c r="D4256"/>
      <c r="G4256"/>
    </row>
    <row r="4257" spans="2:7">
      <c r="B4257"/>
      <c r="C4257"/>
      <c r="D4257"/>
      <c r="G4257"/>
    </row>
    <row r="4258" spans="2:7">
      <c r="B4258"/>
      <c r="C4258"/>
      <c r="D4258"/>
      <c r="G4258"/>
    </row>
    <row r="4259" spans="2:7">
      <c r="B4259"/>
      <c r="C4259"/>
      <c r="D4259"/>
      <c r="G4259"/>
    </row>
    <row r="4260" spans="2:7">
      <c r="B4260"/>
      <c r="C4260"/>
      <c r="D4260"/>
      <c r="G4260"/>
    </row>
    <row r="4261" spans="2:7">
      <c r="B4261"/>
      <c r="C4261"/>
      <c r="D4261"/>
      <c r="G4261"/>
    </row>
    <row r="4262" spans="2:7">
      <c r="B4262"/>
      <c r="C4262"/>
      <c r="D4262"/>
      <c r="G4262"/>
    </row>
    <row r="4263" spans="2:7">
      <c r="B4263"/>
      <c r="C4263"/>
      <c r="D4263"/>
      <c r="G4263"/>
    </row>
    <row r="4264" spans="2:7">
      <c r="B4264"/>
      <c r="C4264"/>
      <c r="D4264"/>
      <c r="G4264"/>
    </row>
    <row r="4265" spans="2:7">
      <c r="B4265"/>
      <c r="C4265"/>
      <c r="D4265"/>
      <c r="G4265"/>
    </row>
    <row r="4266" spans="2:7">
      <c r="B4266"/>
      <c r="C4266"/>
      <c r="D4266"/>
      <c r="G4266"/>
    </row>
    <row r="4267" spans="2:7">
      <c r="B4267"/>
      <c r="C4267"/>
      <c r="D4267"/>
      <c r="G4267"/>
    </row>
    <row r="4268" spans="2:7">
      <c r="B4268"/>
      <c r="C4268"/>
      <c r="D4268"/>
      <c r="G4268"/>
    </row>
    <row r="4269" spans="2:7">
      <c r="B4269"/>
      <c r="C4269"/>
      <c r="D4269"/>
      <c r="G4269"/>
    </row>
    <row r="4270" spans="2:7">
      <c r="B4270"/>
      <c r="C4270"/>
      <c r="D4270"/>
      <c r="G4270"/>
    </row>
    <row r="4271" spans="2:7">
      <c r="B4271"/>
      <c r="C4271"/>
      <c r="D4271"/>
      <c r="G4271"/>
    </row>
    <row r="4272" spans="2:7">
      <c r="B4272"/>
      <c r="C4272"/>
      <c r="D4272"/>
      <c r="G4272"/>
    </row>
    <row r="4273" spans="2:7">
      <c r="B4273"/>
      <c r="C4273"/>
      <c r="D4273"/>
      <c r="G4273"/>
    </row>
    <row r="4274" spans="2:7">
      <c r="B4274"/>
      <c r="C4274"/>
      <c r="D4274"/>
      <c r="G4274"/>
    </row>
    <row r="4275" spans="2:7">
      <c r="B4275"/>
      <c r="C4275"/>
      <c r="D4275"/>
      <c r="G4275"/>
    </row>
    <row r="4276" spans="2:7">
      <c r="B4276"/>
      <c r="C4276"/>
      <c r="D4276"/>
      <c r="G4276"/>
    </row>
    <row r="4277" spans="2:7">
      <c r="B4277"/>
      <c r="C4277"/>
      <c r="D4277"/>
      <c r="G4277"/>
    </row>
    <row r="4278" spans="2:7">
      <c r="B4278"/>
      <c r="C4278"/>
      <c r="D4278"/>
      <c r="G4278"/>
    </row>
    <row r="4279" spans="2:7">
      <c r="B4279"/>
      <c r="C4279"/>
      <c r="D4279"/>
      <c r="G4279"/>
    </row>
    <row r="4280" spans="2:7">
      <c r="B4280"/>
      <c r="C4280"/>
      <c r="D4280"/>
      <c r="G4280"/>
    </row>
    <row r="4281" spans="2:7">
      <c r="B4281"/>
      <c r="C4281"/>
      <c r="D4281"/>
      <c r="G4281"/>
    </row>
    <row r="4282" spans="2:7">
      <c r="B4282"/>
      <c r="C4282"/>
      <c r="D4282"/>
      <c r="G4282"/>
    </row>
    <row r="4283" spans="2:7">
      <c r="B4283"/>
      <c r="C4283"/>
      <c r="D4283"/>
      <c r="G4283"/>
    </row>
    <row r="4284" spans="2:7">
      <c r="B4284"/>
      <c r="C4284"/>
      <c r="D4284"/>
      <c r="G4284"/>
    </row>
    <row r="4285" spans="2:7">
      <c r="B4285"/>
      <c r="C4285"/>
      <c r="D4285"/>
      <c r="G4285"/>
    </row>
    <row r="4286" spans="2:7">
      <c r="B4286"/>
      <c r="C4286"/>
      <c r="D4286"/>
      <c r="G4286"/>
    </row>
    <row r="4287" spans="2:7">
      <c r="B4287"/>
      <c r="C4287"/>
      <c r="D4287"/>
      <c r="G4287"/>
    </row>
    <row r="4288" spans="2:7">
      <c r="B4288"/>
      <c r="C4288"/>
      <c r="D4288"/>
      <c r="G4288"/>
    </row>
    <row r="4289" spans="2:7">
      <c r="B4289"/>
      <c r="C4289"/>
      <c r="D4289"/>
      <c r="G4289"/>
    </row>
    <row r="4290" spans="2:7">
      <c r="B4290"/>
      <c r="C4290"/>
      <c r="D4290"/>
      <c r="G4290"/>
    </row>
    <row r="4291" spans="2:7">
      <c r="B4291"/>
      <c r="C4291"/>
      <c r="D4291"/>
      <c r="G4291"/>
    </row>
    <row r="4292" spans="2:7">
      <c r="B4292"/>
      <c r="C4292"/>
      <c r="D4292"/>
      <c r="G4292"/>
    </row>
    <row r="4293" spans="2:7">
      <c r="B4293"/>
      <c r="C4293"/>
      <c r="D4293"/>
      <c r="G4293"/>
    </row>
    <row r="4294" spans="2:7">
      <c r="B4294"/>
      <c r="C4294"/>
      <c r="D4294"/>
      <c r="G4294"/>
    </row>
    <row r="4295" spans="2:7">
      <c r="B4295"/>
      <c r="C4295"/>
      <c r="D4295"/>
      <c r="G4295"/>
    </row>
    <row r="4296" spans="2:7">
      <c r="B4296"/>
      <c r="C4296"/>
      <c r="D4296"/>
      <c r="G4296"/>
    </row>
    <row r="4297" spans="2:7">
      <c r="B4297"/>
      <c r="C4297"/>
      <c r="D4297"/>
      <c r="G4297"/>
    </row>
    <row r="4298" spans="2:7">
      <c r="B4298"/>
      <c r="C4298"/>
      <c r="D4298"/>
      <c r="G4298"/>
    </row>
    <row r="4299" spans="2:7">
      <c r="B4299"/>
      <c r="C4299"/>
      <c r="D4299"/>
      <c r="G4299"/>
    </row>
    <row r="4300" spans="2:7">
      <c r="B4300"/>
      <c r="C4300"/>
      <c r="D4300"/>
      <c r="G4300"/>
    </row>
    <row r="4301" spans="2:7">
      <c r="B4301"/>
      <c r="C4301"/>
      <c r="D4301"/>
      <c r="G4301"/>
    </row>
    <row r="4302" spans="2:7">
      <c r="B4302"/>
      <c r="C4302"/>
      <c r="D4302"/>
      <c r="G4302"/>
    </row>
    <row r="4303" spans="2:7">
      <c r="B4303"/>
      <c r="C4303"/>
      <c r="D4303"/>
      <c r="G4303"/>
    </row>
    <row r="4304" spans="2:7">
      <c r="B4304"/>
      <c r="C4304"/>
      <c r="D4304"/>
      <c r="G4304"/>
    </row>
    <row r="4305" spans="2:7">
      <c r="B4305"/>
      <c r="C4305"/>
      <c r="D4305"/>
      <c r="G4305"/>
    </row>
    <row r="4306" spans="2:7">
      <c r="B4306"/>
      <c r="C4306"/>
      <c r="D4306"/>
      <c r="G4306"/>
    </row>
    <row r="4307" spans="2:7">
      <c r="B4307"/>
      <c r="C4307"/>
      <c r="D4307"/>
      <c r="G4307"/>
    </row>
    <row r="4308" spans="2:7">
      <c r="B4308"/>
      <c r="C4308"/>
      <c r="D4308"/>
      <c r="G4308"/>
    </row>
    <row r="4309" spans="2:7">
      <c r="B4309"/>
      <c r="C4309"/>
      <c r="D4309"/>
      <c r="G4309"/>
    </row>
    <row r="4310" spans="2:7">
      <c r="B4310"/>
      <c r="C4310"/>
      <c r="D4310"/>
      <c r="G4310"/>
    </row>
    <row r="4311" spans="2:7">
      <c r="B4311"/>
      <c r="C4311"/>
      <c r="D4311"/>
      <c r="G4311"/>
    </row>
    <row r="4312" spans="2:7">
      <c r="B4312"/>
      <c r="C4312"/>
      <c r="D4312"/>
      <c r="G4312"/>
    </row>
    <row r="4313" spans="2:7">
      <c r="B4313"/>
      <c r="C4313"/>
      <c r="D4313"/>
      <c r="G4313"/>
    </row>
    <row r="4314" spans="2:7">
      <c r="B4314"/>
      <c r="C4314"/>
      <c r="D4314"/>
      <c r="G4314"/>
    </row>
    <row r="4315" spans="2:7">
      <c r="B4315"/>
      <c r="C4315"/>
      <c r="D4315"/>
      <c r="G4315"/>
    </row>
    <row r="4316" spans="2:7">
      <c r="B4316"/>
      <c r="C4316"/>
      <c r="D4316"/>
      <c r="G4316"/>
    </row>
    <row r="4317" spans="2:7">
      <c r="B4317"/>
      <c r="C4317"/>
      <c r="D4317"/>
      <c r="G4317"/>
    </row>
    <row r="4318" spans="2:7">
      <c r="B4318"/>
      <c r="C4318"/>
      <c r="D4318"/>
      <c r="G4318"/>
    </row>
    <row r="4319" spans="2:7">
      <c r="B4319"/>
      <c r="C4319"/>
      <c r="D4319"/>
      <c r="G4319"/>
    </row>
    <row r="4320" spans="2:7">
      <c r="B4320"/>
      <c r="C4320"/>
      <c r="D4320"/>
      <c r="G4320"/>
    </row>
    <row r="4321" spans="2:7">
      <c r="B4321"/>
      <c r="C4321"/>
      <c r="D4321"/>
      <c r="G4321"/>
    </row>
    <row r="4322" spans="2:7">
      <c r="B4322"/>
      <c r="C4322"/>
      <c r="D4322"/>
      <c r="G4322"/>
    </row>
    <row r="4323" spans="2:7">
      <c r="B4323"/>
      <c r="C4323"/>
      <c r="D4323"/>
      <c r="G4323"/>
    </row>
    <row r="4324" spans="2:7">
      <c r="B4324"/>
      <c r="C4324"/>
      <c r="D4324"/>
      <c r="G4324"/>
    </row>
    <row r="4325" spans="2:7">
      <c r="B4325"/>
      <c r="C4325"/>
      <c r="D4325"/>
      <c r="G4325"/>
    </row>
    <row r="4326" spans="2:7">
      <c r="B4326"/>
      <c r="C4326"/>
      <c r="D4326"/>
      <c r="G4326"/>
    </row>
    <row r="4327" spans="2:7">
      <c r="B4327"/>
      <c r="C4327"/>
      <c r="D4327"/>
      <c r="G4327"/>
    </row>
    <row r="4328" spans="2:7">
      <c r="B4328"/>
      <c r="C4328"/>
      <c r="D4328"/>
      <c r="G4328"/>
    </row>
    <row r="4329" spans="2:7">
      <c r="B4329"/>
      <c r="C4329"/>
      <c r="D4329"/>
      <c r="G4329"/>
    </row>
    <row r="4330" spans="2:7">
      <c r="B4330"/>
      <c r="C4330"/>
      <c r="D4330"/>
      <c r="G4330"/>
    </row>
    <row r="4331" spans="2:7">
      <c r="B4331"/>
      <c r="C4331"/>
      <c r="D4331"/>
      <c r="G4331"/>
    </row>
    <row r="4332" spans="2:7">
      <c r="B4332"/>
      <c r="C4332"/>
      <c r="D4332"/>
      <c r="G4332"/>
    </row>
    <row r="4333" spans="2:7">
      <c r="B4333"/>
      <c r="C4333"/>
      <c r="D4333"/>
      <c r="G4333"/>
    </row>
    <row r="4334" spans="2:7">
      <c r="B4334"/>
      <c r="C4334"/>
      <c r="D4334"/>
      <c r="G4334"/>
    </row>
    <row r="4335" spans="2:7">
      <c r="B4335"/>
      <c r="C4335"/>
      <c r="D4335"/>
      <c r="G4335"/>
    </row>
    <row r="4336" spans="2:7">
      <c r="B4336"/>
      <c r="C4336"/>
      <c r="D4336"/>
      <c r="G4336"/>
    </row>
    <row r="4337" spans="2:7">
      <c r="B4337"/>
      <c r="C4337"/>
      <c r="D4337"/>
      <c r="G4337"/>
    </row>
    <row r="4338" spans="2:7">
      <c r="B4338"/>
      <c r="C4338"/>
      <c r="D4338"/>
      <c r="G4338"/>
    </row>
    <row r="4339" spans="2:7">
      <c r="B4339"/>
      <c r="C4339"/>
      <c r="D4339"/>
      <c r="G4339"/>
    </row>
    <row r="4340" spans="2:7">
      <c r="B4340"/>
      <c r="C4340"/>
      <c r="D4340"/>
      <c r="G4340"/>
    </row>
    <row r="4341" spans="2:7">
      <c r="B4341"/>
      <c r="C4341"/>
      <c r="D4341"/>
      <c r="G4341"/>
    </row>
    <row r="4342" spans="2:7">
      <c r="B4342"/>
      <c r="C4342"/>
      <c r="D4342"/>
      <c r="G4342"/>
    </row>
    <row r="4343" spans="2:7">
      <c r="B4343"/>
      <c r="C4343"/>
      <c r="D4343"/>
      <c r="G4343"/>
    </row>
    <row r="4344" spans="2:7">
      <c r="B4344"/>
      <c r="C4344"/>
      <c r="D4344"/>
      <c r="G4344"/>
    </row>
    <row r="4345" spans="2:7">
      <c r="B4345"/>
      <c r="C4345"/>
      <c r="D4345"/>
      <c r="G4345"/>
    </row>
    <row r="4346" spans="2:7">
      <c r="B4346"/>
      <c r="C4346"/>
      <c r="D4346"/>
      <c r="G4346"/>
    </row>
    <row r="4347" spans="2:7">
      <c r="B4347"/>
      <c r="C4347"/>
      <c r="D4347"/>
      <c r="G4347"/>
    </row>
    <row r="4348" spans="2:7">
      <c r="B4348"/>
      <c r="C4348"/>
      <c r="D4348"/>
      <c r="G4348"/>
    </row>
    <row r="4349" spans="2:7">
      <c r="B4349"/>
      <c r="C4349"/>
      <c r="D4349"/>
      <c r="G4349"/>
    </row>
    <row r="4350" spans="2:7">
      <c r="B4350"/>
      <c r="C4350"/>
      <c r="D4350"/>
      <c r="G4350"/>
    </row>
    <row r="4351" spans="2:7">
      <c r="B4351"/>
      <c r="C4351"/>
      <c r="D4351"/>
      <c r="G4351"/>
    </row>
    <row r="4352" spans="2:7">
      <c r="B4352"/>
      <c r="C4352"/>
      <c r="D4352"/>
      <c r="G4352"/>
    </row>
    <row r="4353" spans="2:7">
      <c r="B4353"/>
      <c r="C4353"/>
      <c r="D4353"/>
      <c r="G4353"/>
    </row>
    <row r="4354" spans="2:7">
      <c r="B4354"/>
      <c r="C4354"/>
      <c r="D4354"/>
      <c r="G4354"/>
    </row>
    <row r="4355" spans="2:7">
      <c r="B4355"/>
      <c r="C4355"/>
      <c r="D4355"/>
      <c r="G4355"/>
    </row>
    <row r="4356" spans="2:7">
      <c r="B4356"/>
      <c r="C4356"/>
      <c r="D4356"/>
      <c r="G4356"/>
    </row>
    <row r="4357" spans="2:7">
      <c r="B4357"/>
      <c r="C4357"/>
      <c r="D4357"/>
      <c r="G4357"/>
    </row>
    <row r="4358" spans="2:7">
      <c r="B4358"/>
      <c r="C4358"/>
      <c r="D4358"/>
      <c r="G4358"/>
    </row>
    <row r="4359" spans="2:7">
      <c r="B4359"/>
      <c r="C4359"/>
      <c r="D4359"/>
      <c r="G4359"/>
    </row>
    <row r="4360" spans="2:7">
      <c r="B4360"/>
      <c r="C4360"/>
      <c r="D4360"/>
      <c r="G4360"/>
    </row>
    <row r="4361" spans="2:7">
      <c r="B4361"/>
      <c r="C4361"/>
      <c r="D4361"/>
      <c r="G4361"/>
    </row>
    <row r="4362" spans="2:7">
      <c r="B4362"/>
      <c r="C4362"/>
      <c r="D4362"/>
      <c r="G4362"/>
    </row>
    <row r="4363" spans="2:7">
      <c r="B4363"/>
      <c r="C4363"/>
      <c r="D4363"/>
      <c r="G4363"/>
    </row>
    <row r="4364" spans="2:7">
      <c r="B4364"/>
      <c r="C4364"/>
      <c r="D4364"/>
      <c r="G4364"/>
    </row>
    <row r="4365" spans="2:7">
      <c r="B4365"/>
      <c r="C4365"/>
      <c r="D4365"/>
      <c r="G4365"/>
    </row>
    <row r="4366" spans="2:7">
      <c r="B4366"/>
      <c r="C4366"/>
      <c r="D4366"/>
      <c r="G4366"/>
    </row>
    <row r="4367" spans="2:7">
      <c r="B4367"/>
      <c r="C4367"/>
      <c r="D4367"/>
      <c r="G4367"/>
    </row>
    <row r="4368" spans="2:7">
      <c r="B4368"/>
      <c r="C4368"/>
      <c r="D4368"/>
      <c r="G4368"/>
    </row>
    <row r="4369" spans="2:7">
      <c r="B4369"/>
      <c r="C4369"/>
      <c r="D4369"/>
      <c r="G4369"/>
    </row>
    <row r="4370" spans="2:7">
      <c r="B4370"/>
      <c r="C4370"/>
      <c r="D4370"/>
      <c r="G4370"/>
    </row>
    <row r="4371" spans="2:7">
      <c r="B4371"/>
      <c r="C4371"/>
      <c r="D4371"/>
      <c r="G4371"/>
    </row>
    <row r="4372" spans="2:7">
      <c r="B4372"/>
      <c r="C4372"/>
      <c r="D4372"/>
      <c r="G4372"/>
    </row>
    <row r="4373" spans="2:7">
      <c r="B4373"/>
      <c r="C4373"/>
      <c r="D4373"/>
      <c r="G4373"/>
    </row>
    <row r="4374" spans="2:7">
      <c r="B4374"/>
      <c r="C4374"/>
      <c r="D4374"/>
      <c r="G4374"/>
    </row>
    <row r="4375" spans="2:7">
      <c r="B4375"/>
      <c r="C4375"/>
      <c r="D4375"/>
      <c r="G4375"/>
    </row>
    <row r="4376" spans="2:7">
      <c r="B4376"/>
      <c r="C4376"/>
      <c r="D4376"/>
      <c r="G4376"/>
    </row>
    <row r="4377" spans="2:7">
      <c r="B4377"/>
      <c r="C4377"/>
      <c r="D4377"/>
      <c r="G4377"/>
    </row>
    <row r="4378" spans="2:7">
      <c r="B4378"/>
      <c r="C4378"/>
      <c r="D4378"/>
      <c r="G4378"/>
    </row>
    <row r="4379" spans="2:7">
      <c r="B4379"/>
      <c r="C4379"/>
      <c r="D4379"/>
      <c r="G4379"/>
    </row>
    <row r="4380" spans="2:7">
      <c r="B4380"/>
      <c r="C4380"/>
      <c r="D4380"/>
      <c r="G4380"/>
    </row>
    <row r="4381" spans="2:7">
      <c r="B4381"/>
      <c r="C4381"/>
      <c r="D4381"/>
      <c r="G4381"/>
    </row>
    <row r="4382" spans="2:7">
      <c r="B4382"/>
      <c r="C4382"/>
      <c r="D4382"/>
      <c r="G4382"/>
    </row>
    <row r="4383" spans="2:7">
      <c r="B4383"/>
      <c r="C4383"/>
      <c r="D4383"/>
      <c r="G4383"/>
    </row>
    <row r="4384" spans="2:7">
      <c r="B4384"/>
      <c r="C4384"/>
      <c r="D4384"/>
      <c r="G4384"/>
    </row>
    <row r="4385" spans="2:7">
      <c r="B4385"/>
      <c r="C4385"/>
      <c r="D4385"/>
      <c r="G4385"/>
    </row>
    <row r="4386" spans="2:7">
      <c r="B4386"/>
      <c r="C4386"/>
      <c r="D4386"/>
      <c r="G4386"/>
    </row>
    <row r="4387" spans="2:7">
      <c r="B4387"/>
      <c r="C4387"/>
      <c r="D4387"/>
      <c r="G4387"/>
    </row>
    <row r="4388" spans="2:7">
      <c r="B4388"/>
      <c r="C4388"/>
      <c r="D4388"/>
      <c r="G4388"/>
    </row>
    <row r="4389" spans="2:7">
      <c r="B4389"/>
      <c r="C4389"/>
      <c r="D4389"/>
      <c r="G4389"/>
    </row>
    <row r="4390" spans="2:7">
      <c r="B4390"/>
      <c r="C4390"/>
      <c r="D4390"/>
      <c r="G4390"/>
    </row>
    <row r="4391" spans="2:7">
      <c r="B4391"/>
      <c r="C4391"/>
      <c r="D4391"/>
      <c r="G4391"/>
    </row>
    <row r="4392" spans="2:7">
      <c r="B4392"/>
      <c r="C4392"/>
      <c r="D4392"/>
      <c r="G4392"/>
    </row>
    <row r="4393" spans="2:7">
      <c r="B4393"/>
      <c r="C4393"/>
      <c r="D4393"/>
      <c r="G4393"/>
    </row>
    <row r="4394" spans="2:7">
      <c r="B4394"/>
      <c r="C4394"/>
      <c r="D4394"/>
      <c r="G4394"/>
    </row>
    <row r="4395" spans="2:7">
      <c r="B4395"/>
      <c r="C4395"/>
      <c r="D4395"/>
      <c r="G4395"/>
    </row>
    <row r="4396" spans="2:7">
      <c r="B4396"/>
      <c r="C4396"/>
      <c r="D4396"/>
      <c r="G4396"/>
    </row>
    <row r="4397" spans="2:7">
      <c r="B4397"/>
      <c r="C4397"/>
      <c r="D4397"/>
      <c r="G4397"/>
    </row>
    <row r="4398" spans="2:7">
      <c r="B4398"/>
      <c r="C4398"/>
      <c r="D4398"/>
      <c r="G4398"/>
    </row>
    <row r="4399" spans="2:7">
      <c r="B4399"/>
      <c r="C4399"/>
      <c r="D4399"/>
      <c r="G4399"/>
    </row>
    <row r="4400" spans="2:7">
      <c r="B4400"/>
      <c r="C4400"/>
      <c r="D4400"/>
      <c r="G4400"/>
    </row>
    <row r="4401" spans="2:7">
      <c r="B4401"/>
      <c r="C4401"/>
      <c r="D4401"/>
      <c r="G4401"/>
    </row>
    <row r="4402" spans="2:7">
      <c r="B4402"/>
      <c r="C4402"/>
      <c r="D4402"/>
      <c r="G4402"/>
    </row>
    <row r="4403" spans="2:7">
      <c r="B4403"/>
      <c r="C4403"/>
      <c r="D4403"/>
      <c r="G4403"/>
    </row>
    <row r="4404" spans="2:7">
      <c r="B4404"/>
      <c r="C4404"/>
      <c r="D4404"/>
      <c r="G4404"/>
    </row>
    <row r="4405" spans="2:7">
      <c r="B4405"/>
      <c r="C4405"/>
      <c r="D4405"/>
      <c r="G4405"/>
    </row>
    <row r="4406" spans="2:7">
      <c r="B4406"/>
      <c r="C4406"/>
      <c r="D4406"/>
      <c r="G4406"/>
    </row>
    <row r="4407" spans="2:7">
      <c r="B4407"/>
      <c r="C4407"/>
      <c r="D4407"/>
      <c r="G4407"/>
    </row>
    <row r="4408" spans="2:7">
      <c r="B4408"/>
      <c r="C4408"/>
      <c r="D4408"/>
      <c r="G4408"/>
    </row>
    <row r="4409" spans="2:7">
      <c r="B4409"/>
      <c r="C4409"/>
      <c r="D4409"/>
      <c r="G4409"/>
    </row>
    <row r="4410" spans="2:7">
      <c r="B4410"/>
      <c r="C4410"/>
      <c r="D4410"/>
      <c r="G4410"/>
    </row>
    <row r="4411" spans="2:7">
      <c r="B4411"/>
      <c r="C4411"/>
      <c r="D4411"/>
      <c r="G4411"/>
    </row>
    <row r="4412" spans="2:7">
      <c r="B4412"/>
      <c r="C4412"/>
      <c r="D4412"/>
      <c r="G4412"/>
    </row>
    <row r="4413" spans="2:7">
      <c r="B4413"/>
      <c r="C4413"/>
      <c r="D4413"/>
      <c r="G4413"/>
    </row>
    <row r="4414" spans="2:7">
      <c r="B4414"/>
      <c r="C4414"/>
      <c r="D4414"/>
      <c r="G4414"/>
    </row>
    <row r="4415" spans="2:7">
      <c r="B4415"/>
      <c r="C4415"/>
      <c r="D4415"/>
      <c r="G4415"/>
    </row>
    <row r="4416" spans="2:7">
      <c r="B4416"/>
      <c r="C4416"/>
      <c r="D4416"/>
      <c r="G4416"/>
    </row>
    <row r="4417" spans="2:7">
      <c r="B4417"/>
      <c r="C4417"/>
      <c r="D4417"/>
      <c r="G4417"/>
    </row>
    <row r="4418" spans="2:7">
      <c r="B4418"/>
      <c r="C4418"/>
      <c r="D4418"/>
      <c r="G4418"/>
    </row>
    <row r="4419" spans="2:7">
      <c r="B4419"/>
      <c r="C4419"/>
      <c r="D4419"/>
      <c r="G4419"/>
    </row>
    <row r="4420" spans="2:7">
      <c r="B4420"/>
      <c r="C4420"/>
      <c r="D4420"/>
      <c r="G4420"/>
    </row>
    <row r="4421" spans="2:7">
      <c r="B4421"/>
      <c r="C4421"/>
      <c r="D4421"/>
      <c r="G4421"/>
    </row>
    <row r="4422" spans="2:7">
      <c r="B4422"/>
      <c r="C4422"/>
      <c r="D4422"/>
      <c r="G4422"/>
    </row>
    <row r="4423" spans="2:7">
      <c r="B4423"/>
      <c r="C4423"/>
      <c r="D4423"/>
      <c r="G4423"/>
    </row>
    <row r="4424" spans="2:7">
      <c r="B4424"/>
      <c r="C4424"/>
      <c r="D4424"/>
      <c r="G4424"/>
    </row>
    <row r="4425" spans="2:7">
      <c r="B4425"/>
      <c r="C4425"/>
      <c r="D4425"/>
      <c r="G4425"/>
    </row>
    <row r="4426" spans="2:7">
      <c r="B4426"/>
      <c r="C4426"/>
      <c r="D4426"/>
      <c r="G4426"/>
    </row>
    <row r="4427" spans="2:7">
      <c r="B4427"/>
      <c r="C4427"/>
      <c r="D4427"/>
      <c r="G4427"/>
    </row>
    <row r="4428" spans="2:7">
      <c r="B4428"/>
      <c r="C4428"/>
      <c r="D4428"/>
      <c r="G4428"/>
    </row>
    <row r="4429" spans="2:7">
      <c r="B4429"/>
      <c r="C4429"/>
      <c r="D4429"/>
      <c r="G4429"/>
    </row>
    <row r="4430" spans="2:7">
      <c r="B4430"/>
      <c r="C4430"/>
      <c r="D4430"/>
      <c r="G4430"/>
    </row>
    <row r="4431" spans="2:7">
      <c r="B4431"/>
      <c r="C4431"/>
      <c r="D4431"/>
      <c r="G4431"/>
    </row>
    <row r="4432" spans="2:7">
      <c r="B4432"/>
      <c r="C4432"/>
      <c r="D4432"/>
      <c r="G4432"/>
    </row>
    <row r="4433" spans="2:7">
      <c r="B4433"/>
      <c r="C4433"/>
      <c r="D4433"/>
      <c r="G4433"/>
    </row>
    <row r="4434" spans="2:7">
      <c r="B4434"/>
      <c r="C4434"/>
      <c r="D4434"/>
      <c r="G4434"/>
    </row>
    <row r="4435" spans="2:7">
      <c r="B4435"/>
      <c r="C4435"/>
      <c r="D4435"/>
      <c r="G4435"/>
    </row>
    <row r="4436" spans="2:7">
      <c r="B4436"/>
      <c r="C4436"/>
      <c r="D4436"/>
      <c r="G4436"/>
    </row>
    <row r="4437" spans="2:7">
      <c r="B4437"/>
      <c r="C4437"/>
      <c r="D4437"/>
      <c r="G4437"/>
    </row>
    <row r="4438" spans="2:7">
      <c r="B4438"/>
      <c r="C4438"/>
      <c r="D4438"/>
      <c r="G4438"/>
    </row>
    <row r="4439" spans="2:7">
      <c r="B4439"/>
      <c r="C4439"/>
      <c r="D4439"/>
      <c r="G4439"/>
    </row>
    <row r="4440" spans="2:7">
      <c r="B4440"/>
      <c r="C4440"/>
      <c r="D4440"/>
      <c r="G4440"/>
    </row>
    <row r="4441" spans="2:7">
      <c r="B4441"/>
      <c r="C4441"/>
      <c r="D4441"/>
      <c r="G4441"/>
    </row>
    <row r="4442" spans="2:7">
      <c r="B4442"/>
      <c r="C4442"/>
      <c r="D4442"/>
      <c r="G4442"/>
    </row>
    <row r="4443" spans="2:7">
      <c r="B4443"/>
      <c r="C4443"/>
      <c r="D4443"/>
      <c r="G4443"/>
    </row>
    <row r="4444" spans="2:7">
      <c r="B4444"/>
      <c r="C4444"/>
      <c r="D4444"/>
      <c r="G4444"/>
    </row>
    <row r="4445" spans="2:7">
      <c r="B4445"/>
      <c r="C4445"/>
      <c r="D4445"/>
      <c r="G4445"/>
    </row>
    <row r="4446" spans="2:7">
      <c r="B4446"/>
      <c r="C4446"/>
      <c r="D4446"/>
      <c r="G4446"/>
    </row>
    <row r="4447" spans="2:7">
      <c r="B4447"/>
      <c r="C4447"/>
      <c r="D4447"/>
      <c r="G4447"/>
    </row>
    <row r="4448" spans="2:7">
      <c r="B4448"/>
      <c r="C4448"/>
      <c r="D4448"/>
      <c r="G4448"/>
    </row>
    <row r="4449" spans="2:7">
      <c r="B4449"/>
      <c r="C4449"/>
      <c r="D4449"/>
      <c r="G4449"/>
    </row>
    <row r="4450" spans="2:7">
      <c r="B4450"/>
      <c r="C4450"/>
      <c r="D4450"/>
      <c r="G4450"/>
    </row>
    <row r="4451" spans="2:7">
      <c r="B4451"/>
      <c r="C4451"/>
      <c r="D4451"/>
      <c r="G4451"/>
    </row>
    <row r="4452" spans="2:7">
      <c r="B4452"/>
      <c r="C4452"/>
      <c r="D4452"/>
      <c r="G4452"/>
    </row>
    <row r="4453" spans="2:7">
      <c r="B4453"/>
      <c r="C4453"/>
      <c r="D4453"/>
      <c r="G4453"/>
    </row>
    <row r="4454" spans="2:7">
      <c r="B4454"/>
      <c r="C4454"/>
      <c r="D4454"/>
      <c r="G4454"/>
    </row>
    <row r="4455" spans="2:7">
      <c r="B4455"/>
      <c r="C4455"/>
      <c r="D4455"/>
      <c r="G4455"/>
    </row>
    <row r="4456" spans="2:7">
      <c r="B4456"/>
      <c r="C4456"/>
      <c r="D4456"/>
      <c r="G4456"/>
    </row>
    <row r="4457" spans="2:7">
      <c r="B4457"/>
      <c r="C4457"/>
      <c r="D4457"/>
      <c r="G4457"/>
    </row>
    <row r="4458" spans="2:7">
      <c r="B4458"/>
      <c r="C4458"/>
      <c r="D4458"/>
      <c r="G4458"/>
    </row>
    <row r="4459" spans="2:7">
      <c r="B4459"/>
      <c r="C4459"/>
      <c r="D4459"/>
      <c r="G4459"/>
    </row>
    <row r="4460" spans="2:7">
      <c r="B4460"/>
      <c r="C4460"/>
      <c r="D4460"/>
      <c r="G4460"/>
    </row>
    <row r="4461" spans="2:7">
      <c r="B4461"/>
      <c r="C4461"/>
      <c r="D4461"/>
      <c r="G4461"/>
    </row>
    <row r="4462" spans="2:7">
      <c r="B4462"/>
      <c r="C4462"/>
      <c r="D4462"/>
      <c r="G4462"/>
    </row>
    <row r="4463" spans="2:7">
      <c r="B4463"/>
      <c r="C4463"/>
      <c r="D4463"/>
      <c r="G4463"/>
    </row>
    <row r="4464" spans="2:7">
      <c r="B4464"/>
      <c r="C4464"/>
      <c r="D4464"/>
      <c r="G4464"/>
    </row>
    <row r="4465" spans="2:7">
      <c r="B4465"/>
      <c r="C4465"/>
      <c r="D4465"/>
      <c r="G4465"/>
    </row>
    <row r="4466" spans="2:7">
      <c r="B4466"/>
      <c r="C4466"/>
      <c r="D4466"/>
      <c r="G4466"/>
    </row>
    <row r="4467" spans="2:7">
      <c r="B4467"/>
      <c r="C4467"/>
      <c r="D4467"/>
      <c r="G4467"/>
    </row>
    <row r="4468" spans="2:7">
      <c r="B4468"/>
      <c r="C4468"/>
      <c r="D4468"/>
      <c r="G4468"/>
    </row>
    <row r="4469" spans="2:7">
      <c r="B4469"/>
      <c r="C4469"/>
      <c r="D4469"/>
      <c r="G4469"/>
    </row>
    <row r="4470" spans="2:7">
      <c r="B4470"/>
      <c r="C4470"/>
      <c r="D4470"/>
      <c r="G4470"/>
    </row>
    <row r="4471" spans="2:7">
      <c r="B4471"/>
      <c r="C4471"/>
      <c r="D4471"/>
      <c r="G4471"/>
    </row>
    <row r="4472" spans="2:7">
      <c r="B4472"/>
      <c r="C4472"/>
      <c r="D4472"/>
      <c r="G4472"/>
    </row>
    <row r="4473" spans="2:7">
      <c r="B4473"/>
      <c r="C4473"/>
      <c r="D4473"/>
      <c r="G4473"/>
    </row>
    <row r="4474" spans="2:7">
      <c r="B4474"/>
      <c r="C4474"/>
      <c r="D4474"/>
      <c r="G4474"/>
    </row>
    <row r="4475" spans="2:7">
      <c r="B4475"/>
      <c r="C4475"/>
      <c r="D4475"/>
      <c r="G4475"/>
    </row>
    <row r="4476" spans="2:7">
      <c r="B4476"/>
      <c r="C4476"/>
      <c r="D4476"/>
      <c r="G4476"/>
    </row>
    <row r="4477" spans="2:7">
      <c r="B4477"/>
      <c r="C4477"/>
      <c r="D4477"/>
      <c r="G4477"/>
    </row>
    <row r="4478" spans="2:7">
      <c r="B4478"/>
      <c r="C4478"/>
      <c r="D4478"/>
      <c r="G4478"/>
    </row>
    <row r="4479" spans="2:7">
      <c r="B4479"/>
      <c r="C4479"/>
      <c r="D4479"/>
      <c r="G4479"/>
    </row>
    <row r="4480" spans="2:7">
      <c r="B4480"/>
      <c r="C4480"/>
      <c r="D4480"/>
      <c r="G4480"/>
    </row>
    <row r="4481" spans="2:7">
      <c r="B4481"/>
      <c r="C4481"/>
      <c r="D4481"/>
      <c r="G4481"/>
    </row>
    <row r="4482" spans="2:7">
      <c r="B4482"/>
      <c r="C4482"/>
      <c r="D4482"/>
      <c r="G4482"/>
    </row>
    <row r="4483" spans="2:7">
      <c r="B4483"/>
      <c r="C4483"/>
      <c r="D4483"/>
      <c r="G4483"/>
    </row>
    <row r="4484" spans="2:7">
      <c r="B4484"/>
      <c r="C4484"/>
      <c r="D4484"/>
      <c r="G4484"/>
    </row>
    <row r="4485" spans="2:7">
      <c r="B4485"/>
      <c r="C4485"/>
      <c r="D4485"/>
      <c r="G4485"/>
    </row>
    <row r="4486" spans="2:7">
      <c r="B4486"/>
      <c r="C4486"/>
      <c r="D4486"/>
      <c r="G4486"/>
    </row>
    <row r="4487" spans="2:7">
      <c r="B4487"/>
      <c r="C4487"/>
      <c r="D4487"/>
      <c r="G4487"/>
    </row>
    <row r="4488" spans="2:7">
      <c r="B4488"/>
      <c r="C4488"/>
      <c r="D4488"/>
      <c r="G4488"/>
    </row>
    <row r="4489" spans="2:7">
      <c r="B4489"/>
      <c r="C4489"/>
      <c r="D4489"/>
      <c r="G4489"/>
    </row>
    <row r="4490" spans="2:7">
      <c r="B4490"/>
      <c r="C4490"/>
      <c r="D4490"/>
      <c r="G4490"/>
    </row>
    <row r="4491" spans="2:7">
      <c r="B4491"/>
      <c r="C4491"/>
      <c r="D4491"/>
      <c r="G4491"/>
    </row>
    <row r="4492" spans="2:7">
      <c r="B4492"/>
      <c r="C4492"/>
      <c r="D4492"/>
      <c r="G4492"/>
    </row>
    <row r="4493" spans="2:7">
      <c r="B4493"/>
      <c r="C4493"/>
      <c r="D4493"/>
      <c r="G4493"/>
    </row>
    <row r="4494" spans="2:7">
      <c r="B4494"/>
      <c r="C4494"/>
      <c r="D4494"/>
      <c r="G4494"/>
    </row>
    <row r="4495" spans="2:7">
      <c r="B4495"/>
      <c r="C4495"/>
      <c r="D4495"/>
      <c r="G4495"/>
    </row>
    <row r="4496" spans="2:7">
      <c r="B4496"/>
      <c r="C4496"/>
      <c r="D4496"/>
      <c r="G4496"/>
    </row>
    <row r="4497" spans="2:7">
      <c r="B4497"/>
      <c r="C4497"/>
      <c r="D4497"/>
      <c r="G4497"/>
    </row>
    <row r="4498" spans="2:7">
      <c r="B4498"/>
      <c r="C4498"/>
      <c r="D4498"/>
      <c r="G4498"/>
    </row>
    <row r="4499" spans="2:7">
      <c r="B4499"/>
      <c r="C4499"/>
      <c r="D4499"/>
      <c r="G4499"/>
    </row>
    <row r="4500" spans="2:7">
      <c r="B4500"/>
      <c r="C4500"/>
      <c r="D4500"/>
      <c r="G4500"/>
    </row>
    <row r="4501" spans="2:7">
      <c r="B4501"/>
      <c r="C4501"/>
      <c r="D4501"/>
      <c r="G4501"/>
    </row>
    <row r="4502" spans="2:7">
      <c r="B4502"/>
      <c r="C4502"/>
      <c r="D4502"/>
      <c r="G4502"/>
    </row>
    <row r="4503" spans="2:7">
      <c r="B4503"/>
      <c r="C4503"/>
      <c r="D4503"/>
      <c r="G4503"/>
    </row>
    <row r="4504" spans="2:7">
      <c r="B4504"/>
      <c r="C4504"/>
      <c r="D4504"/>
      <c r="G4504"/>
    </row>
    <row r="4505" spans="2:7">
      <c r="B4505"/>
      <c r="C4505"/>
      <c r="D4505"/>
      <c r="G4505"/>
    </row>
    <row r="4506" spans="2:7">
      <c r="B4506"/>
      <c r="C4506"/>
      <c r="D4506"/>
      <c r="G4506"/>
    </row>
    <row r="4507" spans="2:7">
      <c r="B4507"/>
      <c r="C4507"/>
      <c r="D4507"/>
      <c r="G4507"/>
    </row>
    <row r="4508" spans="2:7">
      <c r="B4508"/>
      <c r="C4508"/>
      <c r="D4508"/>
      <c r="G4508"/>
    </row>
    <row r="4509" spans="2:7">
      <c r="B4509"/>
      <c r="C4509"/>
      <c r="D4509"/>
      <c r="G4509"/>
    </row>
    <row r="4510" spans="2:7">
      <c r="B4510"/>
      <c r="C4510"/>
      <c r="D4510"/>
      <c r="G4510"/>
    </row>
    <row r="4511" spans="2:7">
      <c r="B4511"/>
      <c r="C4511"/>
      <c r="D4511"/>
      <c r="G4511"/>
    </row>
    <row r="4512" spans="2:7">
      <c r="B4512"/>
      <c r="C4512"/>
      <c r="D4512"/>
      <c r="G4512"/>
    </row>
    <row r="4513" spans="2:7">
      <c r="B4513"/>
      <c r="C4513"/>
      <c r="D4513"/>
      <c r="G4513"/>
    </row>
    <row r="4514" spans="2:7">
      <c r="B4514"/>
      <c r="C4514"/>
      <c r="D4514"/>
      <c r="G4514"/>
    </row>
    <row r="4515" spans="2:7">
      <c r="B4515"/>
      <c r="C4515"/>
      <c r="D4515"/>
      <c r="G4515"/>
    </row>
    <row r="4516" spans="2:7">
      <c r="B4516"/>
      <c r="C4516"/>
      <c r="D4516"/>
      <c r="G4516"/>
    </row>
    <row r="4517" spans="2:7">
      <c r="B4517"/>
      <c r="C4517"/>
      <c r="D4517"/>
      <c r="G4517"/>
    </row>
    <row r="4518" spans="2:7">
      <c r="B4518"/>
      <c r="C4518"/>
      <c r="D4518"/>
      <c r="G4518"/>
    </row>
    <row r="4519" spans="2:7">
      <c r="B4519"/>
      <c r="C4519"/>
      <c r="D4519"/>
      <c r="G4519"/>
    </row>
    <row r="4520" spans="2:7">
      <c r="B4520"/>
      <c r="C4520"/>
      <c r="D4520"/>
      <c r="G4520"/>
    </row>
    <row r="4521" spans="2:7">
      <c r="B4521"/>
      <c r="C4521"/>
      <c r="D4521"/>
      <c r="G4521"/>
    </row>
    <row r="4522" spans="2:7">
      <c r="B4522"/>
      <c r="C4522"/>
      <c r="D4522"/>
      <c r="G4522"/>
    </row>
    <row r="4523" spans="2:7">
      <c r="B4523"/>
      <c r="C4523"/>
      <c r="D4523"/>
      <c r="G4523"/>
    </row>
    <row r="4524" spans="2:7">
      <c r="B4524"/>
      <c r="C4524"/>
      <c r="D4524"/>
      <c r="G4524"/>
    </row>
    <row r="4525" spans="2:7">
      <c r="B4525"/>
      <c r="C4525"/>
      <c r="D4525"/>
      <c r="G4525"/>
    </row>
    <row r="4526" spans="2:7">
      <c r="B4526"/>
      <c r="C4526"/>
      <c r="D4526"/>
      <c r="G4526"/>
    </row>
    <row r="4527" spans="2:7">
      <c r="B4527"/>
      <c r="C4527"/>
      <c r="D4527"/>
      <c r="G4527"/>
    </row>
    <row r="4528" spans="2:7">
      <c r="B4528"/>
      <c r="C4528"/>
      <c r="D4528"/>
      <c r="G4528"/>
    </row>
    <row r="4529" spans="2:7">
      <c r="B4529"/>
      <c r="C4529"/>
      <c r="D4529"/>
      <c r="G4529"/>
    </row>
    <row r="4530" spans="2:7">
      <c r="B4530"/>
      <c r="C4530"/>
      <c r="D4530"/>
      <c r="G4530"/>
    </row>
    <row r="4531" spans="2:7">
      <c r="B4531"/>
      <c r="C4531"/>
      <c r="D4531"/>
      <c r="G4531"/>
    </row>
    <row r="4532" spans="2:7">
      <c r="B4532"/>
      <c r="C4532"/>
      <c r="D4532"/>
      <c r="G4532"/>
    </row>
    <row r="4533" spans="2:7">
      <c r="B4533"/>
      <c r="C4533"/>
      <c r="D4533"/>
      <c r="G4533"/>
    </row>
    <row r="4534" spans="2:7">
      <c r="B4534"/>
      <c r="C4534"/>
      <c r="D4534"/>
      <c r="G4534"/>
    </row>
    <row r="4535" spans="2:7">
      <c r="B4535"/>
      <c r="C4535"/>
      <c r="D4535"/>
      <c r="G4535"/>
    </row>
    <row r="4536" spans="2:7">
      <c r="B4536"/>
      <c r="C4536"/>
      <c r="D4536"/>
      <c r="G4536"/>
    </row>
    <row r="4537" spans="2:7">
      <c r="B4537"/>
      <c r="C4537"/>
      <c r="D4537"/>
      <c r="G4537"/>
    </row>
    <row r="4538" spans="2:7">
      <c r="B4538"/>
      <c r="C4538"/>
      <c r="D4538"/>
      <c r="G4538"/>
    </row>
    <row r="4539" spans="2:7">
      <c r="B4539"/>
      <c r="C4539"/>
      <c r="D4539"/>
      <c r="G4539"/>
    </row>
    <row r="4540" spans="2:7">
      <c r="B4540"/>
      <c r="C4540"/>
      <c r="D4540"/>
      <c r="G4540"/>
    </row>
    <row r="4541" spans="2:7">
      <c r="B4541"/>
      <c r="C4541"/>
      <c r="D4541"/>
      <c r="G4541"/>
    </row>
    <row r="4542" spans="2:7">
      <c r="B4542"/>
      <c r="C4542"/>
      <c r="D4542"/>
      <c r="G4542"/>
    </row>
    <row r="4543" spans="2:7">
      <c r="B4543"/>
      <c r="C4543"/>
      <c r="D4543"/>
      <c r="G4543"/>
    </row>
    <row r="4544" spans="2:7">
      <c r="B4544"/>
      <c r="C4544"/>
      <c r="D4544"/>
      <c r="G4544"/>
    </row>
    <row r="4545" spans="2:7">
      <c r="B4545"/>
      <c r="C4545"/>
      <c r="D4545"/>
      <c r="G4545"/>
    </row>
    <row r="4546" spans="2:7">
      <c r="B4546"/>
      <c r="C4546"/>
      <c r="D4546"/>
      <c r="G4546"/>
    </row>
    <row r="4547" spans="2:7">
      <c r="B4547"/>
      <c r="C4547"/>
      <c r="D4547"/>
      <c r="G4547"/>
    </row>
    <row r="4548" spans="2:7">
      <c r="B4548"/>
      <c r="C4548"/>
      <c r="D4548"/>
      <c r="G4548"/>
    </row>
    <row r="4549" spans="2:7">
      <c r="B4549"/>
      <c r="C4549"/>
      <c r="D4549"/>
      <c r="G4549"/>
    </row>
    <row r="4550" spans="2:7">
      <c r="B4550"/>
      <c r="C4550"/>
      <c r="D4550"/>
      <c r="G4550"/>
    </row>
    <row r="4551" spans="2:7">
      <c r="B4551"/>
      <c r="C4551"/>
      <c r="D4551"/>
      <c r="G4551"/>
    </row>
    <row r="4552" spans="2:7">
      <c r="B4552"/>
      <c r="C4552"/>
      <c r="D4552"/>
      <c r="G4552"/>
    </row>
    <row r="4553" spans="2:7">
      <c r="B4553"/>
      <c r="C4553"/>
      <c r="D4553"/>
      <c r="G4553"/>
    </row>
    <row r="4554" spans="2:7">
      <c r="B4554"/>
      <c r="C4554"/>
      <c r="D4554"/>
      <c r="G4554"/>
    </row>
    <row r="4555" spans="2:7">
      <c r="B4555"/>
      <c r="C4555"/>
      <c r="D4555"/>
      <c r="G4555"/>
    </row>
    <row r="4556" spans="2:7">
      <c r="B4556"/>
      <c r="C4556"/>
      <c r="D4556"/>
      <c r="G4556"/>
    </row>
    <row r="4557" spans="2:7">
      <c r="B4557"/>
      <c r="C4557"/>
      <c r="D4557"/>
      <c r="G4557"/>
    </row>
    <row r="4558" spans="2:7">
      <c r="B4558"/>
      <c r="C4558"/>
      <c r="D4558"/>
      <c r="G4558"/>
    </row>
    <row r="4559" spans="2:7">
      <c r="B4559"/>
      <c r="C4559"/>
      <c r="D4559"/>
      <c r="G4559"/>
    </row>
    <row r="4560" spans="2:7">
      <c r="B4560"/>
      <c r="C4560"/>
      <c r="D4560"/>
      <c r="G4560"/>
    </row>
    <row r="4561" spans="2:7">
      <c r="B4561"/>
      <c r="C4561"/>
      <c r="D4561"/>
      <c r="G4561"/>
    </row>
    <row r="4562" spans="2:7">
      <c r="B4562"/>
      <c r="C4562"/>
      <c r="D4562"/>
      <c r="G4562"/>
    </row>
    <row r="4563" spans="2:7">
      <c r="B4563"/>
      <c r="C4563"/>
      <c r="D4563"/>
      <c r="G4563"/>
    </row>
    <row r="4564" spans="2:7">
      <c r="B4564"/>
      <c r="C4564"/>
      <c r="D4564"/>
      <c r="G4564"/>
    </row>
    <row r="4565" spans="2:7">
      <c r="B4565"/>
      <c r="C4565"/>
      <c r="D4565"/>
      <c r="G4565"/>
    </row>
    <row r="4566" spans="2:7">
      <c r="B4566"/>
      <c r="C4566"/>
      <c r="D4566"/>
      <c r="G4566"/>
    </row>
    <row r="4567" spans="2:7">
      <c r="B4567"/>
      <c r="C4567"/>
      <c r="D4567"/>
      <c r="G4567"/>
    </row>
    <row r="4568" spans="2:7">
      <c r="B4568"/>
      <c r="C4568"/>
      <c r="D4568"/>
      <c r="G4568"/>
    </row>
    <row r="4569" spans="2:7">
      <c r="B4569"/>
      <c r="C4569"/>
      <c r="D4569"/>
      <c r="G4569"/>
    </row>
    <row r="4570" spans="2:7">
      <c r="B4570"/>
      <c r="C4570"/>
      <c r="D4570"/>
      <c r="G4570"/>
    </row>
    <row r="4571" spans="2:7">
      <c r="B4571"/>
      <c r="C4571"/>
      <c r="D4571"/>
      <c r="G4571"/>
    </row>
    <row r="4572" spans="2:7">
      <c r="B4572"/>
      <c r="C4572"/>
      <c r="D4572"/>
      <c r="G4572"/>
    </row>
    <row r="4573" spans="2:7">
      <c r="B4573"/>
      <c r="C4573"/>
      <c r="D4573"/>
      <c r="G4573"/>
    </row>
    <row r="4574" spans="2:7">
      <c r="B4574"/>
      <c r="C4574"/>
      <c r="D4574"/>
      <c r="G4574"/>
    </row>
    <row r="4575" spans="2:7">
      <c r="B4575"/>
      <c r="C4575"/>
      <c r="D4575"/>
      <c r="G4575"/>
    </row>
    <row r="4576" spans="2:7">
      <c r="B4576"/>
      <c r="C4576"/>
      <c r="D4576"/>
      <c r="G4576"/>
    </row>
    <row r="4577" spans="2:7">
      <c r="B4577"/>
      <c r="C4577"/>
      <c r="D4577"/>
      <c r="G4577"/>
    </row>
    <row r="4578" spans="2:7">
      <c r="B4578"/>
      <c r="C4578"/>
      <c r="D4578"/>
      <c r="G4578"/>
    </row>
    <row r="4579" spans="2:7">
      <c r="B4579"/>
      <c r="C4579"/>
      <c r="D4579"/>
      <c r="G4579"/>
    </row>
    <row r="4580" spans="2:7">
      <c r="B4580"/>
      <c r="C4580"/>
      <c r="D4580"/>
      <c r="G4580"/>
    </row>
    <row r="4581" spans="2:7">
      <c r="B4581"/>
      <c r="C4581"/>
      <c r="D4581"/>
      <c r="G4581"/>
    </row>
    <row r="4582" spans="2:7">
      <c r="B4582"/>
      <c r="C4582"/>
      <c r="D4582"/>
      <c r="G4582"/>
    </row>
    <row r="4583" spans="2:7">
      <c r="B4583"/>
      <c r="C4583"/>
      <c r="D4583"/>
      <c r="G4583"/>
    </row>
    <row r="4584" spans="2:7">
      <c r="B4584"/>
      <c r="C4584"/>
      <c r="D4584"/>
      <c r="G4584"/>
    </row>
    <row r="4585" spans="2:7">
      <c r="B4585"/>
      <c r="C4585"/>
      <c r="D4585"/>
      <c r="G4585"/>
    </row>
    <row r="4586" spans="2:7">
      <c r="B4586"/>
      <c r="C4586"/>
      <c r="D4586"/>
      <c r="G4586"/>
    </row>
    <row r="4587" spans="2:7">
      <c r="B4587"/>
      <c r="C4587"/>
      <c r="D4587"/>
      <c r="G4587"/>
    </row>
    <row r="4588" spans="2:7">
      <c r="B4588"/>
      <c r="C4588"/>
      <c r="D4588"/>
      <c r="G4588"/>
    </row>
    <row r="4589" spans="2:7">
      <c r="B4589"/>
      <c r="C4589"/>
      <c r="D4589"/>
      <c r="G4589"/>
    </row>
    <row r="4590" spans="2:7">
      <c r="B4590"/>
      <c r="C4590"/>
      <c r="D4590"/>
      <c r="G4590"/>
    </row>
    <row r="4591" spans="2:7">
      <c r="B4591"/>
      <c r="C4591"/>
      <c r="D4591"/>
      <c r="G4591"/>
    </row>
    <row r="4592" spans="2:7">
      <c r="B4592"/>
      <c r="C4592"/>
      <c r="D4592"/>
      <c r="G4592"/>
    </row>
    <row r="4593" spans="2:7">
      <c r="B4593"/>
      <c r="C4593"/>
      <c r="D4593"/>
      <c r="G4593"/>
    </row>
    <row r="4594" spans="2:7">
      <c r="B4594"/>
      <c r="C4594"/>
      <c r="D4594"/>
      <c r="G4594"/>
    </row>
    <row r="4595" spans="2:7">
      <c r="B4595"/>
      <c r="C4595"/>
      <c r="D4595"/>
      <c r="G4595"/>
    </row>
    <row r="4596" spans="2:7">
      <c r="B4596"/>
      <c r="C4596"/>
      <c r="D4596"/>
      <c r="G4596"/>
    </row>
    <row r="4597" spans="2:7">
      <c r="B4597"/>
      <c r="C4597"/>
      <c r="D4597"/>
      <c r="G4597"/>
    </row>
    <row r="4598" spans="2:7">
      <c r="B4598"/>
      <c r="C4598"/>
      <c r="D4598"/>
      <c r="G4598"/>
    </row>
    <row r="4599" spans="2:7">
      <c r="B4599"/>
      <c r="C4599"/>
      <c r="D4599"/>
      <c r="G4599"/>
    </row>
    <row r="4600" spans="2:7">
      <c r="B4600"/>
      <c r="C4600"/>
      <c r="D4600"/>
      <c r="G4600"/>
    </row>
    <row r="4601" spans="2:7">
      <c r="B4601"/>
      <c r="C4601"/>
      <c r="D4601"/>
      <c r="G4601"/>
    </row>
    <row r="4602" spans="2:7">
      <c r="B4602"/>
      <c r="C4602"/>
      <c r="D4602"/>
      <c r="G4602"/>
    </row>
    <row r="4603" spans="2:7">
      <c r="B4603"/>
      <c r="C4603"/>
      <c r="D4603"/>
      <c r="G4603"/>
    </row>
    <row r="4604" spans="2:7">
      <c r="B4604"/>
      <c r="C4604"/>
      <c r="D4604"/>
      <c r="G4604"/>
    </row>
    <row r="4605" spans="2:7">
      <c r="B4605"/>
      <c r="C4605"/>
      <c r="D4605"/>
      <c r="G4605"/>
    </row>
    <row r="4606" spans="2:7">
      <c r="B4606"/>
      <c r="C4606"/>
      <c r="D4606"/>
      <c r="G4606"/>
    </row>
    <row r="4607" spans="2:7">
      <c r="B4607"/>
      <c r="C4607"/>
      <c r="D4607"/>
      <c r="G4607"/>
    </row>
    <row r="4608" spans="2:7">
      <c r="B4608"/>
      <c r="C4608"/>
      <c r="D4608"/>
      <c r="G4608"/>
    </row>
    <row r="4609" spans="2:7">
      <c r="B4609"/>
      <c r="C4609"/>
      <c r="D4609"/>
      <c r="G4609"/>
    </row>
    <row r="4610" spans="2:7">
      <c r="B4610"/>
      <c r="C4610"/>
      <c r="D4610"/>
      <c r="G4610"/>
    </row>
    <row r="4611" spans="2:7">
      <c r="B4611"/>
      <c r="C4611"/>
      <c r="D4611"/>
      <c r="G4611"/>
    </row>
    <row r="4612" spans="2:7">
      <c r="B4612"/>
      <c r="C4612"/>
      <c r="D4612"/>
      <c r="G4612"/>
    </row>
    <row r="4613" spans="2:7">
      <c r="B4613"/>
      <c r="C4613"/>
      <c r="D4613"/>
      <c r="G4613"/>
    </row>
    <row r="4614" spans="2:7">
      <c r="B4614"/>
      <c r="C4614"/>
      <c r="D4614"/>
      <c r="G4614"/>
    </row>
    <row r="4615" spans="2:7">
      <c r="B4615"/>
      <c r="C4615"/>
      <c r="D4615"/>
      <c r="G4615"/>
    </row>
    <row r="4616" spans="2:7">
      <c r="B4616"/>
      <c r="C4616"/>
      <c r="D4616"/>
      <c r="G4616"/>
    </row>
    <row r="4617" spans="2:7">
      <c r="B4617"/>
      <c r="C4617"/>
      <c r="D4617"/>
      <c r="G4617"/>
    </row>
    <row r="4618" spans="2:7">
      <c r="B4618"/>
      <c r="C4618"/>
      <c r="D4618"/>
      <c r="G4618"/>
    </row>
    <row r="4619" spans="2:7">
      <c r="B4619"/>
      <c r="C4619"/>
      <c r="D4619"/>
      <c r="G4619"/>
    </row>
    <row r="4620" spans="2:7">
      <c r="B4620"/>
      <c r="C4620"/>
      <c r="D4620"/>
      <c r="G4620"/>
    </row>
    <row r="4621" spans="2:7">
      <c r="B4621"/>
      <c r="C4621"/>
      <c r="D4621"/>
      <c r="G4621"/>
    </row>
    <row r="4622" spans="2:7">
      <c r="B4622"/>
      <c r="C4622"/>
      <c r="D4622"/>
      <c r="G4622"/>
    </row>
    <row r="4623" spans="2:7">
      <c r="B4623"/>
      <c r="C4623"/>
      <c r="D4623"/>
      <c r="G4623"/>
    </row>
    <row r="4624" spans="2:7">
      <c r="B4624"/>
      <c r="C4624"/>
      <c r="D4624"/>
      <c r="G4624"/>
    </row>
    <row r="4625" spans="2:7">
      <c r="B4625"/>
      <c r="C4625"/>
      <c r="D4625"/>
      <c r="G4625"/>
    </row>
    <row r="4626" spans="2:7">
      <c r="B4626"/>
      <c r="C4626"/>
      <c r="D4626"/>
      <c r="G4626"/>
    </row>
    <row r="4627" spans="2:7">
      <c r="B4627"/>
      <c r="C4627"/>
      <c r="D4627"/>
      <c r="G4627"/>
    </row>
    <row r="4628" spans="2:7">
      <c r="B4628"/>
      <c r="C4628"/>
      <c r="D4628"/>
      <c r="G4628"/>
    </row>
    <row r="4629" spans="2:7">
      <c r="B4629"/>
      <c r="C4629"/>
      <c r="D4629"/>
      <c r="G4629"/>
    </row>
    <row r="4630" spans="2:7">
      <c r="B4630"/>
      <c r="C4630"/>
      <c r="D4630"/>
      <c r="G4630"/>
    </row>
    <row r="4631" spans="2:7">
      <c r="B4631"/>
      <c r="C4631"/>
      <c r="D4631"/>
      <c r="G4631"/>
    </row>
    <row r="4632" spans="2:7">
      <c r="B4632"/>
      <c r="C4632"/>
      <c r="D4632"/>
      <c r="G4632"/>
    </row>
    <row r="4633" spans="2:7">
      <c r="B4633"/>
      <c r="C4633"/>
      <c r="D4633"/>
      <c r="G4633"/>
    </row>
    <row r="4634" spans="2:7">
      <c r="B4634"/>
      <c r="C4634"/>
      <c r="D4634"/>
      <c r="G4634"/>
    </row>
    <row r="4635" spans="2:7">
      <c r="B4635"/>
      <c r="C4635"/>
      <c r="D4635"/>
      <c r="G4635"/>
    </row>
    <row r="4636" spans="2:7">
      <c r="B4636"/>
      <c r="C4636"/>
      <c r="D4636"/>
      <c r="G4636"/>
    </row>
    <row r="4637" spans="2:7">
      <c r="B4637"/>
      <c r="C4637"/>
      <c r="D4637"/>
      <c r="G4637"/>
    </row>
    <row r="4638" spans="2:7">
      <c r="B4638"/>
      <c r="C4638"/>
      <c r="D4638"/>
      <c r="G4638"/>
    </row>
    <row r="4639" spans="2:7">
      <c r="B4639"/>
      <c r="C4639"/>
      <c r="D4639"/>
      <c r="G4639"/>
    </row>
    <row r="4640" spans="2:7">
      <c r="B4640"/>
      <c r="C4640"/>
      <c r="D4640"/>
      <c r="G4640"/>
    </row>
    <row r="4641" spans="2:7">
      <c r="B4641"/>
      <c r="C4641"/>
      <c r="D4641"/>
      <c r="G4641"/>
    </row>
    <row r="4642" spans="2:7">
      <c r="B4642"/>
      <c r="C4642"/>
      <c r="D4642"/>
      <c r="G4642"/>
    </row>
    <row r="4643" spans="2:7">
      <c r="B4643"/>
      <c r="C4643"/>
      <c r="D4643"/>
      <c r="G4643"/>
    </row>
    <row r="4644" spans="2:7">
      <c r="B4644"/>
      <c r="C4644"/>
      <c r="D4644"/>
      <c r="G4644"/>
    </row>
    <row r="4645" spans="2:7">
      <c r="B4645"/>
      <c r="C4645"/>
      <c r="D4645"/>
      <c r="G4645"/>
    </row>
    <row r="4646" spans="2:7">
      <c r="B4646"/>
      <c r="C4646"/>
      <c r="D4646"/>
      <c r="G4646"/>
    </row>
    <row r="4647" spans="2:7">
      <c r="B4647"/>
      <c r="C4647"/>
      <c r="D4647"/>
      <c r="G4647"/>
    </row>
    <row r="4648" spans="2:7">
      <c r="B4648"/>
      <c r="C4648"/>
      <c r="D4648"/>
      <c r="G4648"/>
    </row>
    <row r="4649" spans="2:7">
      <c r="B4649"/>
      <c r="C4649"/>
      <c r="D4649"/>
      <c r="G4649"/>
    </row>
    <row r="4650" spans="2:7">
      <c r="B4650"/>
      <c r="C4650"/>
      <c r="D4650"/>
      <c r="G4650"/>
    </row>
    <row r="4651" spans="2:7">
      <c r="B4651"/>
      <c r="C4651"/>
      <c r="D4651"/>
      <c r="G4651"/>
    </row>
    <row r="4652" spans="2:7">
      <c r="B4652"/>
      <c r="C4652"/>
      <c r="D4652"/>
      <c r="G4652"/>
    </row>
    <row r="4653" spans="2:7">
      <c r="B4653"/>
      <c r="C4653"/>
      <c r="D4653"/>
      <c r="G4653"/>
    </row>
    <row r="4654" spans="2:7">
      <c r="B4654"/>
      <c r="C4654"/>
      <c r="D4654"/>
      <c r="G4654"/>
    </row>
    <row r="4655" spans="2:7">
      <c r="B4655"/>
      <c r="C4655"/>
      <c r="D4655"/>
      <c r="G4655"/>
    </row>
    <row r="4656" spans="2:7">
      <c r="B4656"/>
      <c r="C4656"/>
      <c r="D4656"/>
      <c r="G4656"/>
    </row>
    <row r="4657" spans="2:7">
      <c r="B4657"/>
      <c r="C4657"/>
      <c r="D4657"/>
      <c r="G4657"/>
    </row>
    <row r="4658" spans="2:7">
      <c r="B4658"/>
      <c r="C4658"/>
      <c r="D4658"/>
      <c r="G4658"/>
    </row>
    <row r="4659" spans="2:7">
      <c r="B4659"/>
      <c r="C4659"/>
      <c r="D4659"/>
      <c r="G4659"/>
    </row>
    <row r="4660" spans="2:7">
      <c r="B4660"/>
      <c r="C4660"/>
      <c r="D4660"/>
      <c r="G4660"/>
    </row>
    <row r="4661" spans="2:7">
      <c r="B4661"/>
      <c r="C4661"/>
      <c r="D4661"/>
      <c r="G4661"/>
    </row>
    <row r="4662" spans="2:7">
      <c r="B4662"/>
      <c r="C4662"/>
      <c r="D4662"/>
      <c r="G4662"/>
    </row>
    <row r="4663" spans="2:7">
      <c r="B4663"/>
      <c r="C4663"/>
      <c r="D4663"/>
      <c r="G4663"/>
    </row>
    <row r="4664" spans="2:7">
      <c r="B4664"/>
      <c r="C4664"/>
      <c r="D4664"/>
      <c r="G4664"/>
    </row>
    <row r="4665" spans="2:7">
      <c r="B4665"/>
      <c r="C4665"/>
      <c r="D4665"/>
      <c r="G4665"/>
    </row>
    <row r="4666" spans="2:7">
      <c r="B4666"/>
      <c r="C4666"/>
      <c r="D4666"/>
      <c r="G4666"/>
    </row>
    <row r="4667" spans="2:7">
      <c r="B4667"/>
      <c r="C4667"/>
      <c r="D4667"/>
      <c r="G4667"/>
    </row>
    <row r="4668" spans="2:7">
      <c r="B4668"/>
      <c r="C4668"/>
      <c r="D4668"/>
      <c r="G4668"/>
    </row>
    <row r="4669" spans="2:7">
      <c r="B4669"/>
      <c r="C4669"/>
      <c r="D4669"/>
      <c r="G4669"/>
    </row>
    <row r="4670" spans="2:7">
      <c r="B4670"/>
      <c r="C4670"/>
      <c r="D4670"/>
      <c r="G4670"/>
    </row>
    <row r="4671" spans="2:7">
      <c r="B4671"/>
      <c r="C4671"/>
      <c r="D4671"/>
      <c r="G4671"/>
    </row>
    <row r="4672" spans="2:7">
      <c r="B4672"/>
      <c r="C4672"/>
      <c r="D4672"/>
      <c r="G4672"/>
    </row>
    <row r="4673" spans="2:7">
      <c r="B4673"/>
      <c r="C4673"/>
      <c r="D4673"/>
      <c r="G4673"/>
    </row>
    <row r="4674" spans="2:7">
      <c r="B4674"/>
      <c r="C4674"/>
      <c r="D4674"/>
      <c r="G4674"/>
    </row>
    <row r="4675" spans="2:7">
      <c r="B4675"/>
      <c r="C4675"/>
      <c r="D4675"/>
      <c r="G4675"/>
    </row>
    <row r="4676" spans="2:7">
      <c r="B4676"/>
      <c r="C4676"/>
      <c r="D4676"/>
      <c r="G4676"/>
    </row>
    <row r="4677" spans="2:7">
      <c r="B4677"/>
      <c r="C4677"/>
      <c r="D4677"/>
      <c r="G4677"/>
    </row>
    <row r="4678" spans="2:7">
      <c r="B4678"/>
      <c r="C4678"/>
      <c r="D4678"/>
      <c r="G4678"/>
    </row>
    <row r="4679" spans="2:7">
      <c r="B4679"/>
      <c r="C4679"/>
      <c r="D4679"/>
      <c r="G4679"/>
    </row>
    <row r="4680" spans="2:7">
      <c r="B4680"/>
      <c r="C4680"/>
      <c r="D4680"/>
      <c r="G4680"/>
    </row>
    <row r="4681" spans="2:7">
      <c r="B4681"/>
      <c r="C4681"/>
      <c r="D4681"/>
      <c r="G4681"/>
    </row>
    <row r="4682" spans="2:7">
      <c r="B4682"/>
      <c r="C4682"/>
      <c r="D4682"/>
      <c r="G4682"/>
    </row>
    <row r="4683" spans="2:7">
      <c r="B4683"/>
      <c r="C4683"/>
      <c r="D4683"/>
      <c r="G4683"/>
    </row>
    <row r="4684" spans="2:7">
      <c r="B4684"/>
      <c r="C4684"/>
      <c r="D4684"/>
      <c r="G4684"/>
    </row>
    <row r="4685" spans="2:7">
      <c r="B4685"/>
      <c r="C4685"/>
      <c r="D4685"/>
      <c r="G4685"/>
    </row>
    <row r="4686" spans="2:7">
      <c r="B4686"/>
      <c r="C4686"/>
      <c r="D4686"/>
      <c r="G4686"/>
    </row>
    <row r="4687" spans="2:7">
      <c r="B4687"/>
      <c r="C4687"/>
      <c r="D4687"/>
      <c r="G4687"/>
    </row>
    <row r="4688" spans="2:7">
      <c r="B4688"/>
      <c r="C4688"/>
      <c r="D4688"/>
      <c r="G4688"/>
    </row>
    <row r="4689" spans="2:7">
      <c r="B4689"/>
      <c r="C4689"/>
      <c r="D4689"/>
      <c r="G4689"/>
    </row>
    <row r="4690" spans="2:7">
      <c r="B4690"/>
      <c r="C4690"/>
      <c r="D4690"/>
      <c r="G4690"/>
    </row>
    <row r="4691" spans="2:7">
      <c r="B4691"/>
      <c r="C4691"/>
      <c r="D4691"/>
      <c r="G4691"/>
    </row>
    <row r="4692" spans="2:7">
      <c r="B4692"/>
      <c r="C4692"/>
      <c r="D4692"/>
      <c r="G4692"/>
    </row>
    <row r="4693" spans="2:7">
      <c r="B4693"/>
      <c r="C4693"/>
      <c r="D4693"/>
      <c r="G4693"/>
    </row>
    <row r="4694" spans="2:7">
      <c r="B4694"/>
      <c r="C4694"/>
      <c r="D4694"/>
      <c r="G4694"/>
    </row>
    <row r="4695" spans="2:7">
      <c r="B4695"/>
      <c r="C4695"/>
      <c r="D4695"/>
      <c r="G4695"/>
    </row>
    <row r="4696" spans="2:7">
      <c r="B4696"/>
      <c r="C4696"/>
      <c r="D4696"/>
      <c r="G4696"/>
    </row>
    <row r="4697" spans="2:7">
      <c r="B4697"/>
      <c r="C4697"/>
      <c r="D4697"/>
      <c r="G4697"/>
    </row>
    <row r="4698" spans="2:7">
      <c r="B4698"/>
      <c r="C4698"/>
      <c r="D4698"/>
      <c r="G4698"/>
    </row>
    <row r="4699" spans="2:7">
      <c r="B4699"/>
      <c r="C4699"/>
      <c r="D4699"/>
      <c r="G4699"/>
    </row>
    <row r="4700" spans="2:7">
      <c r="B4700"/>
      <c r="C4700"/>
      <c r="D4700"/>
      <c r="G4700"/>
    </row>
    <row r="4701" spans="2:7">
      <c r="B4701"/>
      <c r="C4701"/>
      <c r="D4701"/>
      <c r="G4701"/>
    </row>
    <row r="4702" spans="2:7">
      <c r="B4702"/>
      <c r="C4702"/>
      <c r="D4702"/>
      <c r="G4702"/>
    </row>
    <row r="4703" spans="2:7">
      <c r="B4703"/>
      <c r="C4703"/>
      <c r="D4703"/>
      <c r="G4703"/>
    </row>
    <row r="4704" spans="2:7">
      <c r="B4704"/>
      <c r="C4704"/>
      <c r="D4704"/>
      <c r="G4704"/>
    </row>
    <row r="4705" spans="2:7">
      <c r="B4705"/>
      <c r="C4705"/>
      <c r="D4705"/>
      <c r="G4705"/>
    </row>
    <row r="4706" spans="2:7">
      <c r="B4706"/>
      <c r="C4706"/>
      <c r="D4706"/>
      <c r="G4706"/>
    </row>
    <row r="4707" spans="2:7">
      <c r="B4707"/>
      <c r="C4707"/>
      <c r="D4707"/>
      <c r="G4707"/>
    </row>
    <row r="4708" spans="2:7">
      <c r="B4708"/>
      <c r="C4708"/>
      <c r="D4708"/>
      <c r="G4708"/>
    </row>
    <row r="4709" spans="2:7">
      <c r="B4709"/>
      <c r="C4709"/>
      <c r="D4709"/>
      <c r="G4709"/>
    </row>
    <row r="4710" spans="2:7">
      <c r="B4710"/>
      <c r="C4710"/>
      <c r="D4710"/>
      <c r="G4710"/>
    </row>
    <row r="4711" spans="2:7">
      <c r="B4711"/>
      <c r="C4711"/>
      <c r="D4711"/>
      <c r="G4711"/>
    </row>
    <row r="4712" spans="2:7">
      <c r="B4712"/>
      <c r="C4712"/>
      <c r="D4712"/>
      <c r="G4712"/>
    </row>
    <row r="4713" spans="2:7">
      <c r="B4713"/>
      <c r="C4713"/>
      <c r="D4713"/>
      <c r="G4713"/>
    </row>
    <row r="4714" spans="2:7">
      <c r="B4714"/>
      <c r="C4714"/>
      <c r="D4714"/>
      <c r="G4714"/>
    </row>
    <row r="4715" spans="2:7">
      <c r="B4715"/>
      <c r="C4715"/>
      <c r="D4715"/>
      <c r="G4715"/>
    </row>
    <row r="4716" spans="2:7">
      <c r="B4716"/>
      <c r="C4716"/>
      <c r="D4716"/>
      <c r="G4716"/>
    </row>
    <row r="4717" spans="2:7">
      <c r="B4717"/>
      <c r="C4717"/>
      <c r="D4717"/>
      <c r="G4717"/>
    </row>
    <row r="4718" spans="2:7">
      <c r="B4718"/>
      <c r="C4718"/>
      <c r="D4718"/>
      <c r="G4718"/>
    </row>
    <row r="4719" spans="2:7">
      <c r="B4719"/>
      <c r="C4719"/>
      <c r="D4719"/>
      <c r="G4719"/>
    </row>
    <row r="4720" spans="2:7">
      <c r="B4720"/>
      <c r="C4720"/>
      <c r="D4720"/>
      <c r="G4720"/>
    </row>
    <row r="4721" spans="2:7">
      <c r="B4721"/>
      <c r="C4721"/>
      <c r="D4721"/>
      <c r="G4721"/>
    </row>
    <row r="4722" spans="2:7">
      <c r="B4722"/>
      <c r="C4722"/>
      <c r="D4722"/>
      <c r="G4722"/>
    </row>
    <row r="4723" spans="2:7">
      <c r="B4723"/>
      <c r="C4723"/>
      <c r="D4723"/>
      <c r="G4723"/>
    </row>
    <row r="4724" spans="2:7">
      <c r="B4724"/>
      <c r="C4724"/>
      <c r="D4724"/>
      <c r="G4724"/>
    </row>
    <row r="4725" spans="2:7">
      <c r="B4725"/>
      <c r="C4725"/>
      <c r="D4725"/>
      <c r="G4725"/>
    </row>
    <row r="4726" spans="2:7">
      <c r="B4726"/>
      <c r="C4726"/>
      <c r="D4726"/>
      <c r="G4726"/>
    </row>
    <row r="4727" spans="2:7">
      <c r="B4727"/>
      <c r="C4727"/>
      <c r="D4727"/>
      <c r="G4727"/>
    </row>
    <row r="4728" spans="2:7">
      <c r="B4728"/>
      <c r="C4728"/>
      <c r="D4728"/>
      <c r="G4728"/>
    </row>
    <row r="4729" spans="2:7">
      <c r="B4729"/>
      <c r="C4729"/>
      <c r="D4729"/>
      <c r="G4729"/>
    </row>
    <row r="4730" spans="2:7">
      <c r="B4730"/>
      <c r="C4730"/>
      <c r="D4730"/>
      <c r="G4730"/>
    </row>
    <row r="4731" spans="2:7">
      <c r="B4731"/>
      <c r="C4731"/>
      <c r="D4731"/>
      <c r="G4731"/>
    </row>
    <row r="4732" spans="2:7">
      <c r="B4732"/>
      <c r="C4732"/>
      <c r="D4732"/>
      <c r="G4732"/>
    </row>
    <row r="4733" spans="2:7">
      <c r="B4733"/>
      <c r="C4733"/>
      <c r="D4733"/>
      <c r="G4733"/>
    </row>
    <row r="4734" spans="2:7">
      <c r="B4734"/>
      <c r="C4734"/>
      <c r="D4734"/>
      <c r="G4734"/>
    </row>
    <row r="4735" spans="2:7">
      <c r="B4735"/>
      <c r="C4735"/>
      <c r="D4735"/>
      <c r="G4735"/>
    </row>
    <row r="4736" spans="2:7">
      <c r="B4736"/>
      <c r="C4736"/>
      <c r="D4736"/>
      <c r="G4736"/>
    </row>
    <row r="4737" spans="2:7">
      <c r="B4737"/>
      <c r="C4737"/>
      <c r="D4737"/>
      <c r="G4737"/>
    </row>
    <row r="4738" spans="2:7">
      <c r="B4738"/>
      <c r="C4738"/>
      <c r="D4738"/>
      <c r="G4738"/>
    </row>
    <row r="4739" spans="2:7">
      <c r="B4739"/>
      <c r="C4739"/>
      <c r="D4739"/>
      <c r="G4739"/>
    </row>
    <row r="4740" spans="2:7">
      <c r="B4740"/>
      <c r="C4740"/>
      <c r="D4740"/>
      <c r="G4740"/>
    </row>
    <row r="4741" spans="2:7">
      <c r="B4741"/>
      <c r="C4741"/>
      <c r="D4741"/>
      <c r="G4741"/>
    </row>
    <row r="4742" spans="2:7">
      <c r="B4742"/>
      <c r="C4742"/>
      <c r="D4742"/>
      <c r="G4742"/>
    </row>
    <row r="4743" spans="2:7">
      <c r="B4743"/>
      <c r="C4743"/>
      <c r="D4743"/>
      <c r="G4743"/>
    </row>
    <row r="4744" spans="2:7">
      <c r="B4744"/>
      <c r="C4744"/>
      <c r="D4744"/>
      <c r="G4744"/>
    </row>
    <row r="4745" spans="2:7">
      <c r="B4745"/>
      <c r="C4745"/>
      <c r="D4745"/>
      <c r="G4745"/>
    </row>
    <row r="4746" spans="2:7">
      <c r="B4746"/>
      <c r="C4746"/>
      <c r="D4746"/>
      <c r="G4746"/>
    </row>
    <row r="4747" spans="2:7">
      <c r="B4747"/>
      <c r="C4747"/>
      <c r="D4747"/>
      <c r="G4747"/>
    </row>
    <row r="4748" spans="2:7">
      <c r="B4748"/>
      <c r="C4748"/>
      <c r="D4748"/>
      <c r="G4748"/>
    </row>
    <row r="4749" spans="2:7">
      <c r="B4749"/>
      <c r="C4749"/>
      <c r="D4749"/>
      <c r="G4749"/>
    </row>
    <row r="4750" spans="2:7">
      <c r="B4750"/>
      <c r="C4750"/>
      <c r="D4750"/>
      <c r="G4750"/>
    </row>
    <row r="4751" spans="2:7">
      <c r="B4751"/>
      <c r="C4751"/>
      <c r="D4751"/>
      <c r="G4751"/>
    </row>
    <row r="4752" spans="2:7">
      <c r="B4752"/>
      <c r="C4752"/>
      <c r="D4752"/>
      <c r="G4752"/>
    </row>
    <row r="4753" spans="2:7">
      <c r="B4753"/>
      <c r="C4753"/>
      <c r="D4753"/>
      <c r="G4753"/>
    </row>
    <row r="4754" spans="2:7">
      <c r="B4754"/>
      <c r="C4754"/>
      <c r="D4754"/>
      <c r="G4754"/>
    </row>
    <row r="4755" spans="2:7">
      <c r="B4755"/>
      <c r="C4755"/>
      <c r="D4755"/>
      <c r="G4755"/>
    </row>
    <row r="4756" spans="2:7">
      <c r="B4756"/>
      <c r="C4756"/>
      <c r="D4756"/>
      <c r="G4756"/>
    </row>
    <row r="4757" spans="2:7">
      <c r="B4757"/>
      <c r="C4757"/>
      <c r="D4757"/>
      <c r="G4757"/>
    </row>
    <row r="4758" spans="2:7">
      <c r="B4758"/>
      <c r="C4758"/>
      <c r="D4758"/>
      <c r="G4758"/>
    </row>
    <row r="4759" spans="2:7">
      <c r="B4759"/>
      <c r="C4759"/>
      <c r="D4759"/>
      <c r="G4759"/>
    </row>
    <row r="4760" spans="2:7">
      <c r="B4760"/>
      <c r="C4760"/>
      <c r="D4760"/>
      <c r="G4760"/>
    </row>
    <row r="4761" spans="2:7">
      <c r="B4761"/>
      <c r="C4761"/>
      <c r="D4761"/>
      <c r="G4761"/>
    </row>
    <row r="4762" spans="2:7">
      <c r="B4762"/>
      <c r="C4762"/>
      <c r="D4762"/>
      <c r="G4762"/>
    </row>
    <row r="4763" spans="2:7">
      <c r="B4763"/>
      <c r="C4763"/>
      <c r="D4763"/>
      <c r="G4763"/>
    </row>
    <row r="4764" spans="2:7">
      <c r="B4764"/>
      <c r="C4764"/>
      <c r="D4764"/>
      <c r="G4764"/>
    </row>
    <row r="4765" spans="2:7">
      <c r="B4765"/>
      <c r="C4765"/>
      <c r="D4765"/>
      <c r="G4765"/>
    </row>
    <row r="4766" spans="2:7">
      <c r="B4766"/>
      <c r="C4766"/>
      <c r="D4766"/>
      <c r="G4766"/>
    </row>
    <row r="4767" spans="2:7">
      <c r="B4767"/>
      <c r="C4767"/>
      <c r="D4767"/>
      <c r="G4767"/>
    </row>
    <row r="4768" spans="2:7">
      <c r="B4768"/>
      <c r="C4768"/>
      <c r="D4768"/>
      <c r="G4768"/>
    </row>
    <row r="4769" spans="2:7">
      <c r="B4769"/>
      <c r="C4769"/>
      <c r="D4769"/>
      <c r="G4769"/>
    </row>
    <row r="4770" spans="2:7">
      <c r="B4770"/>
      <c r="C4770"/>
      <c r="D4770"/>
      <c r="G4770"/>
    </row>
    <row r="4771" spans="2:7">
      <c r="B4771"/>
      <c r="C4771"/>
      <c r="D4771"/>
      <c r="G4771"/>
    </row>
    <row r="4772" spans="2:7">
      <c r="B4772"/>
      <c r="C4772"/>
      <c r="D4772"/>
      <c r="G4772"/>
    </row>
    <row r="4773" spans="2:7">
      <c r="B4773"/>
      <c r="C4773"/>
      <c r="D4773"/>
      <c r="G4773"/>
    </row>
    <row r="4774" spans="2:7">
      <c r="B4774"/>
      <c r="C4774"/>
      <c r="D4774"/>
      <c r="G4774"/>
    </row>
    <row r="4775" spans="2:7">
      <c r="B4775"/>
      <c r="C4775"/>
      <c r="D4775"/>
      <c r="G4775"/>
    </row>
    <row r="4776" spans="2:7">
      <c r="B4776"/>
      <c r="C4776"/>
      <c r="D4776"/>
      <c r="G4776"/>
    </row>
    <row r="4777" spans="2:7">
      <c r="B4777"/>
      <c r="C4777"/>
      <c r="D4777"/>
      <c r="G4777"/>
    </row>
    <row r="4778" spans="2:7">
      <c r="B4778"/>
      <c r="C4778"/>
      <c r="D4778"/>
      <c r="G4778"/>
    </row>
    <row r="4779" spans="2:7">
      <c r="B4779"/>
      <c r="C4779"/>
      <c r="D4779"/>
      <c r="G4779"/>
    </row>
    <row r="4780" spans="2:7">
      <c r="B4780"/>
      <c r="C4780"/>
      <c r="D4780"/>
      <c r="G4780"/>
    </row>
    <row r="4781" spans="2:7">
      <c r="B4781"/>
      <c r="C4781"/>
      <c r="D4781"/>
      <c r="G4781"/>
    </row>
    <row r="4782" spans="2:7">
      <c r="B4782"/>
      <c r="C4782"/>
      <c r="D4782"/>
      <c r="G4782"/>
    </row>
    <row r="4783" spans="2:7">
      <c r="B4783"/>
      <c r="C4783"/>
      <c r="D4783"/>
      <c r="G4783"/>
    </row>
    <row r="4784" spans="2:7">
      <c r="B4784"/>
      <c r="C4784"/>
      <c r="D4784"/>
      <c r="G4784"/>
    </row>
    <row r="4785" spans="2:7">
      <c r="B4785"/>
      <c r="C4785"/>
      <c r="D4785"/>
      <c r="G4785"/>
    </row>
    <row r="4786" spans="2:7">
      <c r="B4786"/>
      <c r="C4786"/>
      <c r="D4786"/>
      <c r="G4786"/>
    </row>
    <row r="4787" spans="2:7">
      <c r="B4787"/>
      <c r="C4787"/>
      <c r="D4787"/>
      <c r="G4787"/>
    </row>
    <row r="4788" spans="2:7">
      <c r="B4788"/>
      <c r="C4788"/>
      <c r="D4788"/>
      <c r="G4788"/>
    </row>
    <row r="4789" spans="2:7">
      <c r="B4789"/>
      <c r="C4789"/>
      <c r="D4789"/>
      <c r="G4789"/>
    </row>
    <row r="4790" spans="2:7">
      <c r="B4790"/>
      <c r="C4790"/>
      <c r="D4790"/>
      <c r="G4790"/>
    </row>
    <row r="4791" spans="2:7">
      <c r="B4791"/>
      <c r="C4791"/>
      <c r="D4791"/>
      <c r="G4791"/>
    </row>
    <row r="4792" spans="2:7">
      <c r="B4792"/>
      <c r="C4792"/>
      <c r="D4792"/>
      <c r="G4792"/>
    </row>
    <row r="4793" spans="2:7">
      <c r="B4793"/>
      <c r="C4793"/>
      <c r="D4793"/>
      <c r="G4793"/>
    </row>
    <row r="4794" spans="2:7">
      <c r="B4794"/>
      <c r="C4794"/>
      <c r="D4794"/>
      <c r="G4794"/>
    </row>
    <row r="4795" spans="2:7">
      <c r="B4795"/>
      <c r="C4795"/>
      <c r="D4795"/>
      <c r="G4795"/>
    </row>
    <row r="4796" spans="2:7">
      <c r="B4796"/>
      <c r="C4796"/>
      <c r="D4796"/>
      <c r="G4796"/>
    </row>
    <row r="4797" spans="2:7">
      <c r="B4797"/>
      <c r="C4797"/>
      <c r="D4797"/>
      <c r="G4797"/>
    </row>
    <row r="4798" spans="2:7">
      <c r="B4798"/>
      <c r="C4798"/>
      <c r="D4798"/>
      <c r="G4798"/>
    </row>
    <row r="4799" spans="2:7">
      <c r="B4799"/>
      <c r="C4799"/>
      <c r="D4799"/>
      <c r="G4799"/>
    </row>
    <row r="4800" spans="2:7">
      <c r="B4800"/>
      <c r="C4800"/>
      <c r="D4800"/>
      <c r="G4800"/>
    </row>
    <row r="4801" spans="2:7">
      <c r="B4801"/>
      <c r="C4801"/>
      <c r="D4801"/>
      <c r="G4801"/>
    </row>
    <row r="4802" spans="2:7">
      <c r="B4802"/>
      <c r="C4802"/>
      <c r="D4802"/>
      <c r="G4802"/>
    </row>
    <row r="4803" spans="2:7">
      <c r="B4803"/>
      <c r="C4803"/>
      <c r="D4803"/>
      <c r="G4803"/>
    </row>
    <row r="4804" spans="2:7">
      <c r="B4804"/>
      <c r="C4804"/>
      <c r="D4804"/>
      <c r="G4804"/>
    </row>
    <row r="4805" spans="2:7">
      <c r="B4805"/>
      <c r="C4805"/>
      <c r="D4805"/>
      <c r="G4805"/>
    </row>
    <row r="4806" spans="2:7">
      <c r="B4806"/>
      <c r="C4806"/>
      <c r="D4806"/>
      <c r="G4806"/>
    </row>
    <row r="4807" spans="2:7">
      <c r="B4807"/>
      <c r="C4807"/>
      <c r="D4807"/>
      <c r="G4807"/>
    </row>
    <row r="4808" spans="2:7">
      <c r="B4808"/>
      <c r="C4808"/>
      <c r="D4808"/>
      <c r="G4808"/>
    </row>
    <row r="4809" spans="2:7">
      <c r="B4809"/>
      <c r="C4809"/>
      <c r="D4809"/>
      <c r="G4809"/>
    </row>
    <row r="4810" spans="2:7">
      <c r="B4810"/>
      <c r="C4810"/>
      <c r="D4810"/>
      <c r="G4810"/>
    </row>
    <row r="4811" spans="2:7">
      <c r="B4811"/>
      <c r="C4811"/>
      <c r="D4811"/>
      <c r="G4811"/>
    </row>
    <row r="4812" spans="2:7">
      <c r="B4812"/>
      <c r="C4812"/>
      <c r="D4812"/>
      <c r="G4812"/>
    </row>
    <row r="4813" spans="2:7">
      <c r="B4813"/>
      <c r="C4813"/>
      <c r="D4813"/>
      <c r="G4813"/>
    </row>
    <row r="4814" spans="2:7">
      <c r="B4814"/>
      <c r="C4814"/>
      <c r="D4814"/>
      <c r="G4814"/>
    </row>
    <row r="4815" spans="2:7">
      <c r="B4815"/>
      <c r="C4815"/>
      <c r="D4815"/>
      <c r="G4815"/>
    </row>
    <row r="4816" spans="2:7">
      <c r="B4816"/>
      <c r="C4816"/>
      <c r="D4816"/>
      <c r="G4816"/>
    </row>
    <row r="4817" spans="2:7">
      <c r="B4817"/>
      <c r="C4817"/>
      <c r="D4817"/>
      <c r="G4817"/>
    </row>
    <row r="4818" spans="2:7">
      <c r="B4818"/>
      <c r="C4818"/>
      <c r="D4818"/>
      <c r="G4818"/>
    </row>
    <row r="4819" spans="2:7">
      <c r="B4819"/>
      <c r="C4819"/>
      <c r="D4819"/>
      <c r="G4819"/>
    </row>
    <row r="4820" spans="2:7">
      <c r="B4820"/>
      <c r="C4820"/>
      <c r="D4820"/>
      <c r="G4820"/>
    </row>
    <row r="4821" spans="2:7">
      <c r="B4821"/>
      <c r="C4821"/>
      <c r="D4821"/>
      <c r="G4821"/>
    </row>
    <row r="4822" spans="2:7">
      <c r="B4822"/>
      <c r="C4822"/>
      <c r="D4822"/>
      <c r="G4822"/>
    </row>
    <row r="4823" spans="2:7">
      <c r="B4823"/>
      <c r="C4823"/>
      <c r="D4823"/>
      <c r="G4823"/>
    </row>
    <row r="4824" spans="2:7">
      <c r="B4824"/>
      <c r="C4824"/>
      <c r="D4824"/>
      <c r="G4824"/>
    </row>
    <row r="4825" spans="2:7">
      <c r="B4825"/>
      <c r="C4825"/>
      <c r="D4825"/>
      <c r="G4825"/>
    </row>
    <row r="4826" spans="2:7">
      <c r="B4826"/>
      <c r="C4826"/>
      <c r="D4826"/>
      <c r="G4826"/>
    </row>
    <row r="4827" spans="2:7">
      <c r="B4827"/>
      <c r="C4827"/>
      <c r="D4827"/>
      <c r="G4827"/>
    </row>
    <row r="4828" spans="2:7">
      <c r="B4828"/>
      <c r="C4828"/>
      <c r="D4828"/>
      <c r="G4828"/>
    </row>
    <row r="4829" spans="2:7">
      <c r="B4829"/>
      <c r="C4829"/>
      <c r="D4829"/>
      <c r="G4829"/>
    </row>
    <row r="4830" spans="2:7">
      <c r="B4830"/>
      <c r="C4830"/>
      <c r="D4830"/>
      <c r="G4830"/>
    </row>
    <row r="4831" spans="2:7">
      <c r="B4831"/>
      <c r="C4831"/>
      <c r="D4831"/>
      <c r="G4831"/>
    </row>
    <row r="4832" spans="2:7">
      <c r="B4832"/>
      <c r="C4832"/>
      <c r="D4832"/>
      <c r="G4832"/>
    </row>
    <row r="4833" spans="2:7">
      <c r="B4833"/>
      <c r="C4833"/>
      <c r="D4833"/>
      <c r="G4833"/>
    </row>
    <row r="4834" spans="2:7">
      <c r="B4834"/>
      <c r="C4834"/>
      <c r="D4834"/>
      <c r="G4834"/>
    </row>
    <row r="4835" spans="2:7">
      <c r="B4835"/>
      <c r="C4835"/>
      <c r="D4835"/>
      <c r="G4835"/>
    </row>
    <row r="4836" spans="2:7">
      <c r="B4836"/>
      <c r="C4836"/>
      <c r="D4836"/>
      <c r="G4836"/>
    </row>
    <row r="4837" spans="2:7">
      <c r="B4837"/>
      <c r="C4837"/>
      <c r="D4837"/>
      <c r="G4837"/>
    </row>
    <row r="4838" spans="2:7">
      <c r="B4838"/>
      <c r="C4838"/>
      <c r="D4838"/>
      <c r="G4838"/>
    </row>
    <row r="4839" spans="2:7">
      <c r="B4839"/>
      <c r="C4839"/>
      <c r="D4839"/>
      <c r="G4839"/>
    </row>
    <row r="4840" spans="2:7">
      <c r="B4840"/>
      <c r="C4840"/>
      <c r="D4840"/>
      <c r="G4840"/>
    </row>
    <row r="4841" spans="2:7">
      <c r="B4841"/>
      <c r="C4841"/>
      <c r="D4841"/>
      <c r="G4841"/>
    </row>
    <row r="4842" spans="2:7">
      <c r="B4842"/>
      <c r="C4842"/>
      <c r="D4842"/>
      <c r="G4842"/>
    </row>
    <row r="4843" spans="2:7">
      <c r="B4843"/>
      <c r="C4843"/>
      <c r="D4843"/>
      <c r="G4843"/>
    </row>
    <row r="4844" spans="2:7">
      <c r="B4844"/>
      <c r="C4844"/>
      <c r="D4844"/>
      <c r="G4844"/>
    </row>
    <row r="4845" spans="2:7">
      <c r="B4845"/>
      <c r="C4845"/>
      <c r="D4845"/>
      <c r="G4845"/>
    </row>
    <row r="4846" spans="2:7">
      <c r="B4846"/>
      <c r="C4846"/>
      <c r="D4846"/>
      <c r="G4846"/>
    </row>
    <row r="4847" spans="2:7">
      <c r="B4847"/>
      <c r="C4847"/>
      <c r="D4847"/>
      <c r="G4847"/>
    </row>
    <row r="4848" spans="2:7">
      <c r="B4848"/>
      <c r="C4848"/>
      <c r="D4848"/>
      <c r="G4848"/>
    </row>
    <row r="4849" spans="2:7">
      <c r="B4849"/>
      <c r="C4849"/>
      <c r="D4849"/>
      <c r="G4849"/>
    </row>
    <row r="4850" spans="2:7">
      <c r="B4850"/>
      <c r="C4850"/>
      <c r="D4850"/>
      <c r="G4850"/>
    </row>
    <row r="4851" spans="2:7">
      <c r="B4851"/>
      <c r="C4851"/>
      <c r="D4851"/>
      <c r="G4851"/>
    </row>
    <row r="4852" spans="2:7">
      <c r="B4852"/>
      <c r="C4852"/>
      <c r="D4852"/>
      <c r="G4852"/>
    </row>
    <row r="4853" spans="2:7">
      <c r="B4853"/>
      <c r="C4853"/>
      <c r="D4853"/>
      <c r="G4853"/>
    </row>
    <row r="4854" spans="2:7">
      <c r="B4854"/>
      <c r="C4854"/>
      <c r="D4854"/>
      <c r="G4854"/>
    </row>
    <row r="4855" spans="2:7">
      <c r="B4855"/>
      <c r="C4855"/>
      <c r="D4855"/>
      <c r="G4855"/>
    </row>
    <row r="4856" spans="2:7">
      <c r="B4856"/>
      <c r="C4856"/>
      <c r="D4856"/>
      <c r="G4856"/>
    </row>
    <row r="4857" spans="2:7">
      <c r="B4857"/>
      <c r="C4857"/>
      <c r="D4857"/>
      <c r="G4857"/>
    </row>
    <row r="4858" spans="2:7">
      <c r="B4858"/>
      <c r="C4858"/>
      <c r="D4858"/>
      <c r="G4858"/>
    </row>
    <row r="4859" spans="2:7">
      <c r="B4859"/>
      <c r="C4859"/>
      <c r="D4859"/>
      <c r="G4859"/>
    </row>
    <row r="4860" spans="2:7">
      <c r="B4860"/>
      <c r="C4860"/>
      <c r="D4860"/>
      <c r="G4860"/>
    </row>
    <row r="4861" spans="2:7">
      <c r="B4861"/>
      <c r="C4861"/>
      <c r="D4861"/>
      <c r="G4861"/>
    </row>
    <row r="4862" spans="2:7">
      <c r="B4862"/>
      <c r="C4862"/>
      <c r="D4862"/>
      <c r="G4862"/>
    </row>
    <row r="4863" spans="2:7">
      <c r="B4863"/>
      <c r="C4863"/>
      <c r="D4863"/>
      <c r="G4863"/>
    </row>
    <row r="4864" spans="2:7">
      <c r="B4864"/>
      <c r="C4864"/>
      <c r="D4864"/>
      <c r="G4864"/>
    </row>
    <row r="4865" spans="2:7">
      <c r="B4865"/>
      <c r="C4865"/>
      <c r="D4865"/>
      <c r="G4865"/>
    </row>
    <row r="4866" spans="2:7">
      <c r="B4866"/>
      <c r="C4866"/>
      <c r="D4866"/>
      <c r="G4866"/>
    </row>
    <row r="4867" spans="2:7">
      <c r="B4867"/>
      <c r="C4867"/>
      <c r="D4867"/>
      <c r="G4867"/>
    </row>
    <row r="4868" spans="2:7">
      <c r="B4868"/>
      <c r="C4868"/>
      <c r="D4868"/>
      <c r="G4868"/>
    </row>
    <row r="4869" spans="2:7">
      <c r="B4869"/>
      <c r="C4869"/>
      <c r="D4869"/>
      <c r="G4869"/>
    </row>
    <row r="4870" spans="2:7">
      <c r="B4870"/>
      <c r="C4870"/>
      <c r="D4870"/>
      <c r="G4870"/>
    </row>
    <row r="4871" spans="2:7">
      <c r="B4871"/>
      <c r="C4871"/>
      <c r="D4871"/>
      <c r="G4871"/>
    </row>
    <row r="4872" spans="2:7">
      <c r="B4872"/>
      <c r="C4872"/>
      <c r="D4872"/>
      <c r="G4872"/>
    </row>
    <row r="4873" spans="2:7">
      <c r="B4873"/>
      <c r="C4873"/>
      <c r="D4873"/>
      <c r="G4873"/>
    </row>
    <row r="4874" spans="2:7">
      <c r="B4874"/>
      <c r="C4874"/>
      <c r="D4874"/>
      <c r="G4874"/>
    </row>
    <row r="4875" spans="2:7">
      <c r="B4875"/>
      <c r="C4875"/>
      <c r="D4875"/>
      <c r="G4875"/>
    </row>
    <row r="4876" spans="2:7">
      <c r="B4876"/>
      <c r="C4876"/>
      <c r="D4876"/>
      <c r="G4876"/>
    </row>
    <row r="4877" spans="2:7">
      <c r="B4877"/>
      <c r="C4877"/>
      <c r="D4877"/>
      <c r="G4877"/>
    </row>
    <row r="4878" spans="2:7">
      <c r="B4878"/>
      <c r="C4878"/>
      <c r="D4878"/>
      <c r="G4878"/>
    </row>
    <row r="4879" spans="2:7">
      <c r="B4879"/>
      <c r="C4879"/>
      <c r="D4879"/>
      <c r="G4879"/>
    </row>
    <row r="4880" spans="2:7">
      <c r="B4880"/>
      <c r="C4880"/>
      <c r="D4880"/>
      <c r="G4880"/>
    </row>
    <row r="4881" spans="2:7">
      <c r="B4881"/>
      <c r="C4881"/>
      <c r="D4881"/>
      <c r="G4881"/>
    </row>
    <row r="4882" spans="2:7">
      <c r="B4882"/>
      <c r="C4882"/>
      <c r="D4882"/>
      <c r="G4882"/>
    </row>
    <row r="4883" spans="2:7">
      <c r="B4883"/>
      <c r="C4883"/>
      <c r="D4883"/>
      <c r="G4883"/>
    </row>
    <row r="4884" spans="2:7">
      <c r="B4884"/>
      <c r="C4884"/>
      <c r="D4884"/>
      <c r="G4884"/>
    </row>
    <row r="4885" spans="2:7">
      <c r="B4885"/>
      <c r="C4885"/>
      <c r="D4885"/>
      <c r="G4885"/>
    </row>
    <row r="4886" spans="2:7">
      <c r="B4886"/>
      <c r="C4886"/>
      <c r="D4886"/>
      <c r="G4886"/>
    </row>
    <row r="4887" spans="2:7">
      <c r="B4887"/>
      <c r="C4887"/>
      <c r="D4887"/>
      <c r="G4887"/>
    </row>
    <row r="4888" spans="2:7">
      <c r="B4888"/>
      <c r="C4888"/>
      <c r="D4888"/>
      <c r="G4888"/>
    </row>
    <row r="4889" spans="2:7">
      <c r="B4889"/>
      <c r="C4889"/>
      <c r="D4889"/>
      <c r="G4889"/>
    </row>
    <row r="4890" spans="2:7">
      <c r="B4890"/>
      <c r="C4890"/>
      <c r="D4890"/>
      <c r="G4890"/>
    </row>
    <row r="4891" spans="2:7">
      <c r="B4891"/>
      <c r="C4891"/>
      <c r="D4891"/>
      <c r="G4891"/>
    </row>
    <row r="4892" spans="2:7">
      <c r="B4892"/>
      <c r="C4892"/>
      <c r="D4892"/>
      <c r="G4892"/>
    </row>
    <row r="4893" spans="2:7">
      <c r="B4893"/>
      <c r="C4893"/>
      <c r="D4893"/>
      <c r="G4893"/>
    </row>
    <row r="4894" spans="2:7">
      <c r="B4894"/>
      <c r="C4894"/>
      <c r="D4894"/>
      <c r="G4894"/>
    </row>
    <row r="4895" spans="2:7">
      <c r="B4895"/>
      <c r="C4895"/>
      <c r="D4895"/>
      <c r="G4895"/>
    </row>
    <row r="4896" spans="2:7">
      <c r="B4896"/>
      <c r="C4896"/>
      <c r="D4896"/>
      <c r="G4896"/>
    </row>
    <row r="4897" spans="2:7">
      <c r="B4897"/>
      <c r="C4897"/>
      <c r="D4897"/>
      <c r="G4897"/>
    </row>
    <row r="4898" spans="2:7">
      <c r="B4898"/>
      <c r="C4898"/>
      <c r="D4898"/>
      <c r="G4898"/>
    </row>
    <row r="4899" spans="2:7">
      <c r="B4899"/>
      <c r="C4899"/>
      <c r="D4899"/>
      <c r="G4899"/>
    </row>
    <row r="4900" spans="2:7">
      <c r="B4900"/>
      <c r="C4900"/>
      <c r="D4900"/>
      <c r="G4900"/>
    </row>
    <row r="4901" spans="2:7">
      <c r="B4901"/>
      <c r="C4901"/>
      <c r="D4901"/>
      <c r="G4901"/>
    </row>
    <row r="4902" spans="2:7">
      <c r="B4902"/>
      <c r="C4902"/>
      <c r="D4902"/>
      <c r="G4902"/>
    </row>
    <row r="4903" spans="2:7">
      <c r="B4903"/>
      <c r="C4903"/>
      <c r="D4903"/>
      <c r="G4903"/>
    </row>
    <row r="4904" spans="2:7">
      <c r="B4904"/>
      <c r="C4904"/>
      <c r="D4904"/>
      <c r="G4904"/>
    </row>
    <row r="4905" spans="2:7">
      <c r="B4905"/>
      <c r="C4905"/>
      <c r="D4905"/>
      <c r="G4905"/>
    </row>
    <row r="4906" spans="2:7">
      <c r="B4906"/>
      <c r="C4906"/>
      <c r="D4906"/>
      <c r="G4906"/>
    </row>
    <row r="4907" spans="2:7">
      <c r="B4907"/>
      <c r="C4907"/>
      <c r="D4907"/>
      <c r="G4907"/>
    </row>
    <row r="4908" spans="2:7">
      <c r="B4908"/>
      <c r="C4908"/>
      <c r="D4908"/>
      <c r="G4908"/>
    </row>
    <row r="4909" spans="2:7">
      <c r="B4909"/>
      <c r="C4909"/>
      <c r="D4909"/>
      <c r="G4909"/>
    </row>
    <row r="4910" spans="2:7">
      <c r="B4910"/>
      <c r="C4910"/>
      <c r="D4910"/>
      <c r="G4910"/>
    </row>
    <row r="4911" spans="2:7">
      <c r="B4911"/>
      <c r="C4911"/>
      <c r="D4911"/>
      <c r="G4911"/>
    </row>
    <row r="4912" spans="2:7">
      <c r="B4912"/>
      <c r="C4912"/>
      <c r="D4912"/>
      <c r="G4912"/>
    </row>
    <row r="4913" spans="2:7">
      <c r="B4913"/>
      <c r="C4913"/>
      <c r="D4913"/>
      <c r="G4913"/>
    </row>
    <row r="4914" spans="2:7">
      <c r="B4914"/>
      <c r="C4914"/>
      <c r="D4914"/>
      <c r="G4914"/>
    </row>
    <row r="4915" spans="2:7">
      <c r="B4915"/>
      <c r="C4915"/>
      <c r="D4915"/>
      <c r="G4915"/>
    </row>
    <row r="4916" spans="2:7">
      <c r="B4916"/>
      <c r="C4916"/>
      <c r="D4916"/>
      <c r="G4916"/>
    </row>
    <row r="4917" spans="2:7">
      <c r="B4917"/>
      <c r="C4917"/>
      <c r="D4917"/>
      <c r="G4917"/>
    </row>
    <row r="4918" spans="2:7">
      <c r="B4918"/>
      <c r="C4918"/>
      <c r="D4918"/>
      <c r="G4918"/>
    </row>
    <row r="4919" spans="2:7">
      <c r="B4919"/>
      <c r="C4919"/>
      <c r="D4919"/>
      <c r="G4919"/>
    </row>
    <row r="4920" spans="2:7">
      <c r="B4920"/>
      <c r="C4920"/>
      <c r="D4920"/>
      <c r="G4920"/>
    </row>
    <row r="4921" spans="2:7">
      <c r="B4921"/>
      <c r="C4921"/>
      <c r="D4921"/>
      <c r="G4921"/>
    </row>
    <row r="4922" spans="2:7">
      <c r="B4922"/>
      <c r="C4922"/>
      <c r="D4922"/>
      <c r="G4922"/>
    </row>
    <row r="4923" spans="2:7">
      <c r="B4923"/>
      <c r="C4923"/>
      <c r="D4923"/>
      <c r="G4923"/>
    </row>
    <row r="4924" spans="2:7">
      <c r="B4924"/>
      <c r="C4924"/>
      <c r="D4924"/>
      <c r="G4924"/>
    </row>
    <row r="4925" spans="2:7">
      <c r="B4925"/>
      <c r="C4925"/>
      <c r="D4925"/>
      <c r="G4925"/>
    </row>
    <row r="4926" spans="2:7">
      <c r="B4926"/>
      <c r="C4926"/>
      <c r="D4926"/>
      <c r="G4926"/>
    </row>
    <row r="4927" spans="2:7">
      <c r="B4927"/>
      <c r="C4927"/>
      <c r="D4927"/>
      <c r="G4927"/>
    </row>
    <row r="4928" spans="2:7">
      <c r="B4928"/>
      <c r="C4928"/>
      <c r="D4928"/>
      <c r="G4928"/>
    </row>
    <row r="4929" spans="2:7">
      <c r="B4929"/>
      <c r="C4929"/>
      <c r="D4929"/>
      <c r="G4929"/>
    </row>
    <row r="4930" spans="2:7">
      <c r="B4930"/>
      <c r="C4930"/>
      <c r="D4930"/>
      <c r="G4930"/>
    </row>
    <row r="4931" spans="2:7">
      <c r="B4931"/>
      <c r="C4931"/>
      <c r="D4931"/>
      <c r="G4931"/>
    </row>
    <row r="4932" spans="2:7">
      <c r="B4932"/>
      <c r="C4932"/>
      <c r="D4932"/>
      <c r="G4932"/>
    </row>
    <row r="4933" spans="2:7">
      <c r="B4933"/>
      <c r="C4933"/>
      <c r="D4933"/>
      <c r="G4933"/>
    </row>
    <row r="4934" spans="2:7">
      <c r="B4934"/>
      <c r="C4934"/>
      <c r="D4934"/>
      <c r="G4934"/>
    </row>
    <row r="4935" spans="2:7">
      <c r="B4935"/>
      <c r="C4935"/>
      <c r="D4935"/>
      <c r="G4935"/>
    </row>
    <row r="4936" spans="2:7">
      <c r="B4936"/>
      <c r="C4936"/>
      <c r="D4936"/>
      <c r="G4936"/>
    </row>
    <row r="4937" spans="2:7">
      <c r="B4937"/>
      <c r="C4937"/>
      <c r="D4937"/>
      <c r="G4937"/>
    </row>
    <row r="4938" spans="2:7">
      <c r="B4938"/>
      <c r="C4938"/>
      <c r="D4938"/>
      <c r="G4938"/>
    </row>
    <row r="4939" spans="2:7">
      <c r="B4939"/>
      <c r="C4939"/>
      <c r="D4939"/>
      <c r="G4939"/>
    </row>
    <row r="4940" spans="2:7">
      <c r="B4940"/>
      <c r="C4940"/>
      <c r="D4940"/>
      <c r="G4940"/>
    </row>
    <row r="4941" spans="2:7">
      <c r="B4941"/>
      <c r="C4941"/>
      <c r="D4941"/>
      <c r="G4941"/>
    </row>
    <row r="4942" spans="2:7">
      <c r="B4942"/>
      <c r="C4942"/>
      <c r="D4942"/>
      <c r="G4942"/>
    </row>
    <row r="4943" spans="2:7">
      <c r="B4943"/>
      <c r="C4943"/>
      <c r="D4943"/>
      <c r="G4943"/>
    </row>
    <row r="4944" spans="2:7">
      <c r="B4944"/>
      <c r="C4944"/>
      <c r="D4944"/>
      <c r="G4944"/>
    </row>
    <row r="4945" spans="2:7">
      <c r="B4945"/>
      <c r="C4945"/>
      <c r="D4945"/>
      <c r="G4945"/>
    </row>
    <row r="4946" spans="2:7">
      <c r="B4946"/>
      <c r="C4946"/>
      <c r="D4946"/>
      <c r="G4946"/>
    </row>
    <row r="4947" spans="2:7">
      <c r="B4947"/>
      <c r="C4947"/>
      <c r="D4947"/>
      <c r="G4947"/>
    </row>
    <row r="4948" spans="2:7">
      <c r="B4948"/>
      <c r="C4948"/>
      <c r="D4948"/>
      <c r="G4948"/>
    </row>
    <row r="4949" spans="2:7">
      <c r="B4949"/>
      <c r="C4949"/>
      <c r="D4949"/>
      <c r="G4949"/>
    </row>
    <row r="4950" spans="2:7">
      <c r="B4950"/>
      <c r="C4950"/>
      <c r="D4950"/>
      <c r="G4950"/>
    </row>
    <row r="4951" spans="2:7">
      <c r="B4951"/>
      <c r="C4951"/>
      <c r="D4951"/>
      <c r="G4951"/>
    </row>
    <row r="4952" spans="2:7">
      <c r="B4952"/>
      <c r="C4952"/>
      <c r="D4952"/>
      <c r="G4952"/>
    </row>
    <row r="4953" spans="2:7">
      <c r="B4953"/>
      <c r="C4953"/>
      <c r="D4953"/>
      <c r="G4953"/>
    </row>
    <row r="4954" spans="2:7">
      <c r="B4954"/>
      <c r="C4954"/>
      <c r="D4954"/>
      <c r="G4954"/>
    </row>
    <row r="4955" spans="2:7">
      <c r="B4955"/>
      <c r="C4955"/>
      <c r="D4955"/>
      <c r="G4955"/>
    </row>
    <row r="4956" spans="2:7">
      <c r="B4956"/>
      <c r="C4956"/>
      <c r="D4956"/>
      <c r="G4956"/>
    </row>
    <row r="4957" spans="2:7">
      <c r="B4957"/>
      <c r="C4957"/>
      <c r="D4957"/>
      <c r="G4957"/>
    </row>
    <row r="4958" spans="2:7">
      <c r="B4958"/>
      <c r="C4958"/>
      <c r="D4958"/>
      <c r="G4958"/>
    </row>
    <row r="4959" spans="2:7">
      <c r="B4959"/>
      <c r="C4959"/>
      <c r="D4959"/>
      <c r="G4959"/>
    </row>
    <row r="4960" spans="2:7">
      <c r="B4960"/>
      <c r="C4960"/>
      <c r="D4960"/>
      <c r="G4960"/>
    </row>
    <row r="4961" spans="2:7">
      <c r="B4961"/>
      <c r="C4961"/>
      <c r="D4961"/>
      <c r="G4961"/>
    </row>
    <row r="4962" spans="2:7">
      <c r="B4962"/>
      <c r="C4962"/>
      <c r="D4962"/>
      <c r="G4962"/>
    </row>
    <row r="4963" spans="2:7">
      <c r="B4963"/>
      <c r="C4963"/>
      <c r="D4963"/>
      <c r="G4963"/>
    </row>
    <row r="4964" spans="2:7">
      <c r="B4964"/>
      <c r="C4964"/>
      <c r="D4964"/>
      <c r="G4964"/>
    </row>
    <row r="4965" spans="2:7">
      <c r="B4965"/>
      <c r="C4965"/>
      <c r="D4965"/>
      <c r="G4965"/>
    </row>
    <row r="4966" spans="2:7">
      <c r="B4966"/>
      <c r="C4966"/>
      <c r="D4966"/>
      <c r="G4966"/>
    </row>
    <row r="4967" spans="2:7">
      <c r="B4967"/>
      <c r="C4967"/>
      <c r="D4967"/>
      <c r="G4967"/>
    </row>
    <row r="4968" spans="2:7">
      <c r="B4968"/>
      <c r="C4968"/>
      <c r="D4968"/>
      <c r="G4968"/>
    </row>
    <row r="4969" spans="2:7">
      <c r="B4969"/>
      <c r="C4969"/>
      <c r="D4969"/>
      <c r="G4969"/>
    </row>
    <row r="4970" spans="2:7">
      <c r="B4970"/>
      <c r="C4970"/>
      <c r="D4970"/>
      <c r="G4970"/>
    </row>
    <row r="4971" spans="2:7">
      <c r="B4971"/>
      <c r="C4971"/>
      <c r="D4971"/>
      <c r="G4971"/>
    </row>
    <row r="4972" spans="2:7">
      <c r="B4972"/>
      <c r="C4972"/>
      <c r="D4972"/>
      <c r="G4972"/>
    </row>
    <row r="4973" spans="2:7">
      <c r="B4973"/>
      <c r="C4973"/>
      <c r="D4973"/>
      <c r="G4973"/>
    </row>
    <row r="4974" spans="2:7">
      <c r="B4974"/>
      <c r="C4974"/>
      <c r="D4974"/>
      <c r="G4974"/>
    </row>
    <row r="4975" spans="2:7">
      <c r="B4975"/>
      <c r="C4975"/>
      <c r="D4975"/>
      <c r="G4975"/>
    </row>
    <row r="4976" spans="2:7">
      <c r="B4976"/>
      <c r="C4976"/>
      <c r="D4976"/>
      <c r="G4976"/>
    </row>
    <row r="4977" spans="2:7">
      <c r="B4977"/>
      <c r="C4977"/>
      <c r="D4977"/>
      <c r="G4977"/>
    </row>
    <row r="4978" spans="2:7">
      <c r="B4978"/>
      <c r="C4978"/>
      <c r="D4978"/>
      <c r="G4978"/>
    </row>
    <row r="4979" spans="2:7">
      <c r="B4979"/>
      <c r="C4979"/>
      <c r="D4979"/>
      <c r="G4979"/>
    </row>
    <row r="4980" spans="2:7">
      <c r="B4980"/>
      <c r="C4980"/>
      <c r="D4980"/>
      <c r="G4980"/>
    </row>
    <row r="4981" spans="2:7">
      <c r="B4981"/>
      <c r="C4981"/>
      <c r="D4981"/>
      <c r="G4981"/>
    </row>
    <row r="4982" spans="2:7">
      <c r="B4982"/>
      <c r="C4982"/>
      <c r="D4982"/>
      <c r="G4982"/>
    </row>
    <row r="4983" spans="2:7">
      <c r="B4983"/>
      <c r="C4983"/>
      <c r="D4983"/>
      <c r="G4983"/>
    </row>
    <row r="4984" spans="2:7">
      <c r="B4984"/>
      <c r="C4984"/>
      <c r="D4984"/>
      <c r="G4984"/>
    </row>
    <row r="4985" spans="2:7">
      <c r="B4985"/>
      <c r="C4985"/>
      <c r="D4985"/>
      <c r="G4985"/>
    </row>
    <row r="4986" spans="2:7">
      <c r="B4986"/>
      <c r="C4986"/>
      <c r="D4986"/>
      <c r="G4986"/>
    </row>
    <row r="4987" spans="2:7">
      <c r="B4987"/>
      <c r="C4987"/>
      <c r="D4987"/>
      <c r="G4987"/>
    </row>
    <row r="4988" spans="2:7">
      <c r="B4988"/>
      <c r="C4988"/>
      <c r="D4988"/>
      <c r="G4988"/>
    </row>
    <row r="4989" spans="2:7">
      <c r="B4989"/>
      <c r="C4989"/>
      <c r="D4989"/>
      <c r="G4989"/>
    </row>
    <row r="4990" spans="2:7">
      <c r="B4990"/>
      <c r="C4990"/>
      <c r="D4990"/>
      <c r="G4990"/>
    </row>
    <row r="4991" spans="2:7">
      <c r="B4991"/>
      <c r="C4991"/>
      <c r="D4991"/>
      <c r="G4991"/>
    </row>
    <row r="4992" spans="2:7">
      <c r="B4992"/>
      <c r="C4992"/>
      <c r="D4992"/>
      <c r="G4992"/>
    </row>
    <row r="4993" spans="2:7">
      <c r="B4993"/>
      <c r="C4993"/>
      <c r="D4993"/>
      <c r="G4993"/>
    </row>
    <row r="4994" spans="2:7">
      <c r="B4994"/>
      <c r="C4994"/>
      <c r="D4994"/>
      <c r="G4994"/>
    </row>
    <row r="4995" spans="2:7">
      <c r="B4995"/>
      <c r="C4995"/>
      <c r="D4995"/>
      <c r="G4995"/>
    </row>
    <row r="4996" spans="2:7">
      <c r="B4996"/>
      <c r="C4996"/>
      <c r="D4996"/>
      <c r="G4996"/>
    </row>
    <row r="4997" spans="2:7">
      <c r="B4997"/>
      <c r="C4997"/>
      <c r="D4997"/>
      <c r="G4997"/>
    </row>
    <row r="4998" spans="2:7">
      <c r="B4998"/>
      <c r="C4998"/>
      <c r="D4998"/>
      <c r="G4998"/>
    </row>
    <row r="4999" spans="2:7">
      <c r="B4999"/>
      <c r="C4999"/>
      <c r="D4999"/>
      <c r="G4999"/>
    </row>
    <row r="5000" spans="2:7">
      <c r="B5000"/>
      <c r="C5000"/>
      <c r="D5000"/>
      <c r="G5000"/>
    </row>
    <row r="5001" spans="2:7">
      <c r="B5001"/>
      <c r="C5001"/>
      <c r="D5001"/>
      <c r="G5001"/>
    </row>
    <row r="5002" spans="2:7">
      <c r="B5002"/>
      <c r="C5002"/>
      <c r="D5002"/>
      <c r="G5002"/>
    </row>
    <row r="5003" spans="2:7">
      <c r="B5003"/>
      <c r="C5003"/>
      <c r="D5003"/>
      <c r="G5003"/>
    </row>
    <row r="5004" spans="2:7">
      <c r="B5004"/>
      <c r="C5004"/>
      <c r="D5004"/>
      <c r="G5004"/>
    </row>
    <row r="5005" spans="2:7">
      <c r="B5005"/>
      <c r="C5005"/>
      <c r="D5005"/>
      <c r="G5005"/>
    </row>
    <row r="5006" spans="2:7">
      <c r="B5006"/>
      <c r="C5006"/>
      <c r="D5006"/>
      <c r="G5006"/>
    </row>
    <row r="5007" spans="2:7">
      <c r="B5007"/>
      <c r="C5007"/>
      <c r="D5007"/>
      <c r="G5007"/>
    </row>
    <row r="5008" spans="2:7">
      <c r="B5008"/>
      <c r="C5008"/>
      <c r="D5008"/>
      <c r="G5008"/>
    </row>
    <row r="5009" spans="2:7">
      <c r="B5009"/>
      <c r="C5009"/>
      <c r="D5009"/>
      <c r="G5009"/>
    </row>
    <row r="5010" spans="2:7">
      <c r="B5010"/>
      <c r="C5010"/>
      <c r="D5010"/>
      <c r="G5010"/>
    </row>
    <row r="5011" spans="2:7">
      <c r="B5011"/>
      <c r="C5011"/>
      <c r="D5011"/>
      <c r="G5011"/>
    </row>
    <row r="5012" spans="2:7">
      <c r="B5012"/>
      <c r="C5012"/>
      <c r="D5012"/>
      <c r="G5012"/>
    </row>
    <row r="5013" spans="2:7">
      <c r="B5013"/>
      <c r="C5013"/>
      <c r="D5013"/>
      <c r="G5013"/>
    </row>
    <row r="5014" spans="2:7">
      <c r="B5014"/>
      <c r="C5014"/>
      <c r="D5014"/>
      <c r="G5014"/>
    </row>
    <row r="5015" spans="2:7">
      <c r="B5015"/>
      <c r="C5015"/>
      <c r="D5015"/>
      <c r="G5015"/>
    </row>
    <row r="5016" spans="2:7">
      <c r="B5016"/>
      <c r="C5016"/>
      <c r="D5016"/>
      <c r="G5016"/>
    </row>
    <row r="5017" spans="2:7">
      <c r="B5017"/>
      <c r="C5017"/>
      <c r="D5017"/>
      <c r="G5017"/>
    </row>
    <row r="5018" spans="2:7">
      <c r="B5018"/>
      <c r="C5018"/>
      <c r="D5018"/>
      <c r="G5018"/>
    </row>
    <row r="5019" spans="2:7">
      <c r="B5019"/>
      <c r="C5019"/>
      <c r="D5019"/>
      <c r="G5019"/>
    </row>
    <row r="5020" spans="2:7">
      <c r="B5020"/>
      <c r="C5020"/>
      <c r="D5020"/>
      <c r="G5020"/>
    </row>
    <row r="5021" spans="2:7">
      <c r="B5021"/>
      <c r="C5021"/>
      <c r="D5021"/>
      <c r="G5021"/>
    </row>
    <row r="5022" spans="2:7">
      <c r="B5022"/>
      <c r="C5022"/>
      <c r="D5022"/>
      <c r="G5022"/>
    </row>
    <row r="5023" spans="2:7">
      <c r="B5023"/>
      <c r="C5023"/>
      <c r="D5023"/>
      <c r="G5023"/>
    </row>
    <row r="5024" spans="2:7">
      <c r="B5024"/>
      <c r="C5024"/>
      <c r="D5024"/>
      <c r="G5024"/>
    </row>
    <row r="5025" spans="2:7">
      <c r="B5025"/>
      <c r="C5025"/>
      <c r="D5025"/>
      <c r="G5025"/>
    </row>
    <row r="5026" spans="2:7">
      <c r="B5026"/>
      <c r="C5026"/>
      <c r="D5026"/>
      <c r="G5026"/>
    </row>
    <row r="5027" spans="2:7">
      <c r="B5027"/>
      <c r="C5027"/>
      <c r="D5027"/>
      <c r="G5027"/>
    </row>
    <row r="5028" spans="2:7">
      <c r="B5028"/>
      <c r="C5028"/>
      <c r="D5028"/>
      <c r="G5028"/>
    </row>
    <row r="5029" spans="2:7">
      <c r="B5029"/>
      <c r="C5029"/>
      <c r="D5029"/>
      <c r="G5029"/>
    </row>
    <row r="5030" spans="2:7">
      <c r="B5030"/>
      <c r="C5030"/>
      <c r="D5030"/>
      <c r="G5030"/>
    </row>
    <row r="5031" spans="2:7">
      <c r="B5031"/>
      <c r="C5031"/>
      <c r="D5031"/>
      <c r="G5031"/>
    </row>
    <row r="5032" spans="2:7">
      <c r="B5032"/>
      <c r="C5032"/>
      <c r="D5032"/>
      <c r="G5032"/>
    </row>
    <row r="5033" spans="2:7">
      <c r="B5033"/>
      <c r="C5033"/>
      <c r="D5033"/>
      <c r="G5033"/>
    </row>
    <row r="5034" spans="2:7">
      <c r="B5034"/>
      <c r="C5034"/>
      <c r="D5034"/>
      <c r="G5034"/>
    </row>
    <row r="5035" spans="2:7">
      <c r="B5035"/>
      <c r="C5035"/>
      <c r="D5035"/>
      <c r="G5035"/>
    </row>
    <row r="5036" spans="2:7">
      <c r="B5036"/>
      <c r="C5036"/>
      <c r="D5036"/>
      <c r="G5036"/>
    </row>
    <row r="5037" spans="2:7">
      <c r="B5037"/>
      <c r="C5037"/>
      <c r="D5037"/>
      <c r="G5037"/>
    </row>
    <row r="5038" spans="2:7">
      <c r="B5038"/>
      <c r="C5038"/>
      <c r="D5038"/>
      <c r="G5038"/>
    </row>
    <row r="5039" spans="2:7">
      <c r="B5039"/>
      <c r="C5039"/>
      <c r="D5039"/>
      <c r="G5039"/>
    </row>
    <row r="5040" spans="2:7">
      <c r="B5040"/>
      <c r="C5040"/>
      <c r="D5040"/>
      <c r="G5040"/>
    </row>
    <row r="5041" spans="2:7">
      <c r="B5041"/>
      <c r="C5041"/>
      <c r="D5041"/>
      <c r="G5041"/>
    </row>
    <row r="5042" spans="2:7">
      <c r="B5042"/>
      <c r="C5042"/>
      <c r="D5042"/>
      <c r="G5042"/>
    </row>
    <row r="5043" spans="2:7">
      <c r="B5043"/>
      <c r="C5043"/>
      <c r="D5043"/>
      <c r="G5043"/>
    </row>
    <row r="5044" spans="2:7">
      <c r="B5044"/>
      <c r="C5044"/>
      <c r="D5044"/>
      <c r="G5044"/>
    </row>
    <row r="5045" spans="2:7">
      <c r="B5045"/>
      <c r="C5045"/>
      <c r="D5045"/>
      <c r="G5045"/>
    </row>
    <row r="5046" spans="2:7">
      <c r="B5046"/>
      <c r="C5046"/>
      <c r="D5046"/>
      <c r="G5046"/>
    </row>
    <row r="5047" spans="2:7">
      <c r="B5047"/>
      <c r="C5047"/>
      <c r="D5047"/>
      <c r="G5047"/>
    </row>
    <row r="5048" spans="2:7">
      <c r="B5048"/>
      <c r="C5048"/>
      <c r="D5048"/>
      <c r="G5048"/>
    </row>
    <row r="5049" spans="2:7">
      <c r="B5049"/>
      <c r="C5049"/>
      <c r="D5049"/>
      <c r="G5049"/>
    </row>
    <row r="5050" spans="2:7">
      <c r="B5050"/>
      <c r="C5050"/>
      <c r="D5050"/>
      <c r="G5050"/>
    </row>
    <row r="5051" spans="2:7">
      <c r="B5051"/>
      <c r="C5051"/>
      <c r="D5051"/>
      <c r="G5051"/>
    </row>
    <row r="5052" spans="2:7">
      <c r="B5052"/>
      <c r="C5052"/>
      <c r="D5052"/>
      <c r="G5052"/>
    </row>
    <row r="5053" spans="2:7">
      <c r="B5053"/>
      <c r="C5053"/>
      <c r="D5053"/>
      <c r="G5053"/>
    </row>
    <row r="5054" spans="2:7">
      <c r="B5054"/>
      <c r="C5054"/>
      <c r="D5054"/>
      <c r="G5054"/>
    </row>
    <row r="5055" spans="2:7">
      <c r="B5055"/>
      <c r="C5055"/>
      <c r="D5055"/>
      <c r="G5055"/>
    </row>
    <row r="5056" spans="2:7">
      <c r="B5056"/>
      <c r="C5056"/>
      <c r="D5056"/>
      <c r="G5056"/>
    </row>
    <row r="5057" spans="2:7">
      <c r="B5057"/>
      <c r="C5057"/>
      <c r="D5057"/>
      <c r="G5057"/>
    </row>
    <row r="5058" spans="2:7">
      <c r="B5058"/>
      <c r="C5058"/>
      <c r="D5058"/>
      <c r="G5058"/>
    </row>
    <row r="5059" spans="2:7">
      <c r="B5059"/>
      <c r="C5059"/>
      <c r="D5059"/>
      <c r="G5059"/>
    </row>
    <row r="5060" spans="2:7">
      <c r="B5060"/>
      <c r="C5060"/>
      <c r="D5060"/>
      <c r="G5060"/>
    </row>
    <row r="5061" spans="2:7">
      <c r="B5061"/>
      <c r="C5061"/>
      <c r="D5061"/>
      <c r="G5061"/>
    </row>
    <row r="5062" spans="2:7">
      <c r="B5062"/>
      <c r="C5062"/>
      <c r="D5062"/>
      <c r="G5062"/>
    </row>
    <row r="5063" spans="2:7">
      <c r="B5063"/>
      <c r="C5063"/>
      <c r="D5063"/>
      <c r="G5063"/>
    </row>
    <row r="5064" spans="2:7">
      <c r="B5064"/>
      <c r="C5064"/>
      <c r="D5064"/>
      <c r="G5064"/>
    </row>
    <row r="5065" spans="2:7">
      <c r="B5065"/>
      <c r="C5065"/>
      <c r="D5065"/>
      <c r="G5065"/>
    </row>
    <row r="5066" spans="2:7">
      <c r="B5066"/>
      <c r="C5066"/>
      <c r="D5066"/>
      <c r="G5066"/>
    </row>
    <row r="5067" spans="2:7">
      <c r="B5067"/>
      <c r="C5067"/>
      <c r="D5067"/>
      <c r="G5067"/>
    </row>
    <row r="5068" spans="2:7">
      <c r="B5068"/>
      <c r="C5068"/>
      <c r="D5068"/>
      <c r="G5068"/>
    </row>
    <row r="5069" spans="2:7">
      <c r="B5069"/>
      <c r="C5069"/>
      <c r="D5069"/>
      <c r="G5069"/>
    </row>
    <row r="5070" spans="2:7">
      <c r="B5070"/>
      <c r="C5070"/>
      <c r="D5070"/>
      <c r="G5070"/>
    </row>
    <row r="5071" spans="2:7">
      <c r="B5071"/>
      <c r="C5071"/>
      <c r="D5071"/>
      <c r="G5071"/>
    </row>
    <row r="5072" spans="2:7">
      <c r="B5072"/>
      <c r="C5072"/>
      <c r="D5072"/>
      <c r="G5072"/>
    </row>
    <row r="5073" spans="2:7">
      <c r="B5073"/>
      <c r="C5073"/>
      <c r="D5073"/>
      <c r="G5073"/>
    </row>
    <row r="5074" spans="2:7">
      <c r="B5074"/>
      <c r="C5074"/>
      <c r="D5074"/>
      <c r="G5074"/>
    </row>
    <row r="5075" spans="2:7">
      <c r="B5075"/>
      <c r="C5075"/>
      <c r="D5075"/>
      <c r="G5075"/>
    </row>
    <row r="5076" spans="2:7">
      <c r="B5076"/>
      <c r="C5076"/>
      <c r="D5076"/>
      <c r="G5076"/>
    </row>
    <row r="5077" spans="2:7">
      <c r="B5077"/>
      <c r="C5077"/>
      <c r="D5077"/>
      <c r="G5077"/>
    </row>
    <row r="5078" spans="2:7">
      <c r="B5078"/>
      <c r="C5078"/>
      <c r="D5078"/>
      <c r="G5078"/>
    </row>
    <row r="5079" spans="2:7">
      <c r="B5079"/>
      <c r="C5079"/>
      <c r="D5079"/>
      <c r="G5079"/>
    </row>
    <row r="5080" spans="2:7">
      <c r="B5080"/>
      <c r="C5080"/>
      <c r="D5080"/>
      <c r="G5080"/>
    </row>
    <row r="5081" spans="2:7">
      <c r="B5081"/>
      <c r="C5081"/>
      <c r="D5081"/>
      <c r="G5081"/>
    </row>
    <row r="5082" spans="2:7">
      <c r="B5082"/>
      <c r="C5082"/>
      <c r="D5082"/>
      <c r="G5082"/>
    </row>
    <row r="5083" spans="2:7">
      <c r="B5083"/>
      <c r="C5083"/>
      <c r="D5083"/>
      <c r="G5083"/>
    </row>
    <row r="5084" spans="2:7">
      <c r="B5084"/>
      <c r="C5084"/>
      <c r="D5084"/>
      <c r="G5084"/>
    </row>
    <row r="5085" spans="2:7">
      <c r="B5085"/>
      <c r="C5085"/>
      <c r="D5085"/>
      <c r="G5085"/>
    </row>
    <row r="5086" spans="2:7">
      <c r="B5086"/>
      <c r="C5086"/>
      <c r="D5086"/>
      <c r="G5086"/>
    </row>
    <row r="5087" spans="2:7">
      <c r="B5087"/>
      <c r="C5087"/>
      <c r="D5087"/>
      <c r="G5087"/>
    </row>
    <row r="5088" spans="2:7">
      <c r="B5088"/>
      <c r="C5088"/>
      <c r="D5088"/>
      <c r="G5088"/>
    </row>
    <row r="5089" spans="2:7">
      <c r="B5089"/>
      <c r="C5089"/>
      <c r="D5089"/>
      <c r="G5089"/>
    </row>
    <row r="5090" spans="2:7">
      <c r="B5090"/>
      <c r="C5090"/>
      <c r="D5090"/>
      <c r="G5090"/>
    </row>
    <row r="5091" spans="2:7">
      <c r="B5091"/>
      <c r="C5091"/>
      <c r="D5091"/>
      <c r="G5091"/>
    </row>
    <row r="5092" spans="2:7">
      <c r="B5092"/>
      <c r="C5092"/>
      <c r="D5092"/>
      <c r="G5092"/>
    </row>
    <row r="5093" spans="2:7">
      <c r="B5093"/>
      <c r="C5093"/>
      <c r="D5093"/>
      <c r="G5093"/>
    </row>
    <row r="5094" spans="2:7">
      <c r="B5094"/>
      <c r="C5094"/>
      <c r="D5094"/>
      <c r="G5094"/>
    </row>
    <row r="5095" spans="2:7">
      <c r="B5095"/>
      <c r="C5095"/>
      <c r="D5095"/>
      <c r="G5095"/>
    </row>
    <row r="5096" spans="2:7">
      <c r="B5096"/>
      <c r="C5096"/>
      <c r="D5096"/>
      <c r="G5096"/>
    </row>
    <row r="5097" spans="2:7">
      <c r="B5097"/>
      <c r="C5097"/>
      <c r="D5097"/>
      <c r="G5097"/>
    </row>
    <row r="5098" spans="2:7">
      <c r="B5098"/>
      <c r="C5098"/>
      <c r="D5098"/>
      <c r="G5098"/>
    </row>
    <row r="5099" spans="2:7">
      <c r="B5099"/>
      <c r="C5099"/>
      <c r="D5099"/>
      <c r="G5099"/>
    </row>
    <row r="5100" spans="2:7">
      <c r="B5100"/>
      <c r="C5100"/>
      <c r="D5100"/>
      <c r="G5100"/>
    </row>
    <row r="5101" spans="2:7">
      <c r="B5101"/>
      <c r="C5101"/>
      <c r="D5101"/>
      <c r="G5101"/>
    </row>
    <row r="5102" spans="2:7">
      <c r="B5102"/>
      <c r="C5102"/>
      <c r="D5102"/>
      <c r="G5102"/>
    </row>
    <row r="5103" spans="2:7">
      <c r="B5103"/>
      <c r="C5103"/>
      <c r="D5103"/>
      <c r="G5103"/>
    </row>
    <row r="5104" spans="2:7">
      <c r="B5104"/>
      <c r="C5104"/>
      <c r="D5104"/>
      <c r="G5104"/>
    </row>
    <row r="5105" spans="2:7">
      <c r="B5105"/>
      <c r="C5105"/>
      <c r="D5105"/>
      <c r="G5105"/>
    </row>
    <row r="5106" spans="2:7">
      <c r="B5106"/>
      <c r="C5106"/>
      <c r="D5106"/>
      <c r="G5106"/>
    </row>
    <row r="5107" spans="2:7">
      <c r="B5107"/>
      <c r="C5107"/>
      <c r="D5107"/>
      <c r="G5107"/>
    </row>
    <row r="5108" spans="2:7">
      <c r="B5108"/>
      <c r="C5108"/>
      <c r="D5108"/>
      <c r="G5108"/>
    </row>
    <row r="5109" spans="2:7">
      <c r="B5109"/>
      <c r="C5109"/>
      <c r="D5109"/>
      <c r="G5109"/>
    </row>
    <row r="5110" spans="2:7">
      <c r="B5110"/>
      <c r="C5110"/>
      <c r="D5110"/>
      <c r="G5110"/>
    </row>
    <row r="5111" spans="2:7">
      <c r="B5111"/>
      <c r="C5111"/>
      <c r="D5111"/>
      <c r="G5111"/>
    </row>
    <row r="5112" spans="2:7">
      <c r="B5112"/>
      <c r="C5112"/>
      <c r="D5112"/>
      <c r="G5112"/>
    </row>
    <row r="5113" spans="2:7">
      <c r="B5113"/>
      <c r="C5113"/>
      <c r="D5113"/>
      <c r="G5113"/>
    </row>
    <row r="5114" spans="2:7">
      <c r="B5114"/>
      <c r="C5114"/>
      <c r="D5114"/>
      <c r="G5114"/>
    </row>
    <row r="5115" spans="2:7">
      <c r="B5115"/>
      <c r="C5115"/>
      <c r="D5115"/>
      <c r="G5115"/>
    </row>
    <row r="5116" spans="2:7">
      <c r="B5116"/>
      <c r="C5116"/>
      <c r="D5116"/>
      <c r="G5116"/>
    </row>
    <row r="5117" spans="2:7">
      <c r="B5117"/>
      <c r="C5117"/>
      <c r="D5117"/>
      <c r="G5117"/>
    </row>
    <row r="5118" spans="2:7">
      <c r="B5118"/>
      <c r="C5118"/>
      <c r="D5118"/>
      <c r="G5118"/>
    </row>
    <row r="5119" spans="2:7">
      <c r="B5119"/>
      <c r="C5119"/>
      <c r="D5119"/>
      <c r="G5119"/>
    </row>
    <row r="5120" spans="2:7">
      <c r="B5120"/>
      <c r="C5120"/>
      <c r="D5120"/>
      <c r="G5120"/>
    </row>
    <row r="5121" spans="2:7">
      <c r="B5121"/>
      <c r="C5121"/>
      <c r="D5121"/>
      <c r="G5121"/>
    </row>
    <row r="5122" spans="2:7">
      <c r="B5122"/>
      <c r="C5122"/>
      <c r="D5122"/>
      <c r="G5122"/>
    </row>
    <row r="5123" spans="2:7">
      <c r="B5123"/>
      <c r="C5123"/>
      <c r="D5123"/>
      <c r="G5123"/>
    </row>
    <row r="5124" spans="2:7">
      <c r="B5124"/>
      <c r="C5124"/>
      <c r="D5124"/>
      <c r="G5124"/>
    </row>
    <row r="5125" spans="2:7">
      <c r="B5125"/>
      <c r="C5125"/>
      <c r="D5125"/>
      <c r="G5125"/>
    </row>
    <row r="5126" spans="2:7">
      <c r="B5126"/>
      <c r="C5126"/>
      <c r="D5126"/>
      <c r="G5126"/>
    </row>
    <row r="5127" spans="2:7">
      <c r="B5127"/>
      <c r="C5127"/>
      <c r="D5127"/>
      <c r="G5127"/>
    </row>
    <row r="5128" spans="2:7">
      <c r="B5128"/>
      <c r="C5128"/>
      <c r="D5128"/>
      <c r="G5128"/>
    </row>
    <row r="5129" spans="2:7">
      <c r="B5129"/>
      <c r="C5129"/>
      <c r="D5129"/>
      <c r="G5129"/>
    </row>
    <row r="5130" spans="2:7">
      <c r="B5130"/>
      <c r="C5130"/>
      <c r="D5130"/>
      <c r="G5130"/>
    </row>
    <row r="5131" spans="2:7">
      <c r="B5131"/>
      <c r="C5131"/>
      <c r="D5131"/>
      <c r="G5131"/>
    </row>
    <row r="5132" spans="2:7">
      <c r="B5132"/>
      <c r="C5132"/>
      <c r="D5132"/>
      <c r="G5132"/>
    </row>
    <row r="5133" spans="2:7">
      <c r="B5133"/>
      <c r="C5133"/>
      <c r="D5133"/>
      <c r="G5133"/>
    </row>
    <row r="5134" spans="2:7">
      <c r="B5134"/>
      <c r="C5134"/>
      <c r="D5134"/>
      <c r="G5134"/>
    </row>
    <row r="5135" spans="2:7">
      <c r="B5135"/>
      <c r="C5135"/>
      <c r="D5135"/>
      <c r="G5135"/>
    </row>
    <row r="5136" spans="2:7">
      <c r="B5136"/>
      <c r="C5136"/>
      <c r="D5136"/>
      <c r="G5136"/>
    </row>
    <row r="5137" spans="2:7">
      <c r="B5137"/>
      <c r="C5137"/>
      <c r="D5137"/>
      <c r="G5137"/>
    </row>
    <row r="5138" spans="2:7">
      <c r="B5138"/>
      <c r="C5138"/>
      <c r="D5138"/>
      <c r="G5138"/>
    </row>
    <row r="5139" spans="2:7">
      <c r="B5139"/>
      <c r="C5139"/>
      <c r="D5139"/>
      <c r="G5139"/>
    </row>
    <row r="5140" spans="2:7">
      <c r="B5140"/>
      <c r="C5140"/>
      <c r="D5140"/>
      <c r="G5140"/>
    </row>
    <row r="5141" spans="2:7">
      <c r="B5141"/>
      <c r="C5141"/>
      <c r="D5141"/>
      <c r="G5141"/>
    </row>
    <row r="5142" spans="2:7">
      <c r="B5142"/>
      <c r="C5142"/>
      <c r="D5142"/>
      <c r="G5142"/>
    </row>
    <row r="5143" spans="2:7">
      <c r="B5143"/>
      <c r="C5143"/>
      <c r="D5143"/>
      <c r="G5143"/>
    </row>
    <row r="5144" spans="2:7">
      <c r="B5144"/>
      <c r="C5144"/>
      <c r="D5144"/>
      <c r="G5144"/>
    </row>
    <row r="5145" spans="2:7">
      <c r="B5145"/>
      <c r="C5145"/>
      <c r="D5145"/>
      <c r="G5145"/>
    </row>
    <row r="5146" spans="2:7">
      <c r="B5146"/>
      <c r="C5146"/>
      <c r="D5146"/>
      <c r="G5146"/>
    </row>
    <row r="5147" spans="2:7">
      <c r="B5147"/>
      <c r="C5147"/>
      <c r="D5147"/>
      <c r="G5147"/>
    </row>
    <row r="5148" spans="2:7">
      <c r="B5148"/>
      <c r="C5148"/>
      <c r="D5148"/>
      <c r="G5148"/>
    </row>
    <row r="5149" spans="2:7">
      <c r="B5149"/>
      <c r="C5149"/>
      <c r="D5149"/>
      <c r="G5149"/>
    </row>
    <row r="5150" spans="2:7">
      <c r="B5150"/>
      <c r="C5150"/>
      <c r="D5150"/>
      <c r="G5150"/>
    </row>
    <row r="5151" spans="2:7">
      <c r="B5151"/>
      <c r="C5151"/>
      <c r="D5151"/>
      <c r="G5151"/>
    </row>
    <row r="5152" spans="2:7">
      <c r="B5152"/>
      <c r="C5152"/>
      <c r="D5152"/>
      <c r="G5152"/>
    </row>
    <row r="5153" spans="2:7">
      <c r="B5153"/>
      <c r="C5153"/>
      <c r="D5153"/>
      <c r="G5153"/>
    </row>
    <row r="5154" spans="2:7">
      <c r="B5154"/>
      <c r="C5154"/>
      <c r="D5154"/>
      <c r="G5154"/>
    </row>
    <row r="5155" spans="2:7">
      <c r="B5155"/>
      <c r="C5155"/>
      <c r="D5155"/>
      <c r="G5155"/>
    </row>
    <row r="5156" spans="2:7">
      <c r="B5156"/>
      <c r="C5156"/>
      <c r="D5156"/>
      <c r="G5156"/>
    </row>
    <row r="5157" spans="2:7">
      <c r="B5157"/>
      <c r="C5157"/>
      <c r="D5157"/>
      <c r="G5157"/>
    </row>
    <row r="5158" spans="2:7">
      <c r="B5158"/>
      <c r="C5158"/>
      <c r="D5158"/>
      <c r="G5158"/>
    </row>
    <row r="5159" spans="2:7">
      <c r="B5159"/>
      <c r="C5159"/>
      <c r="D5159"/>
      <c r="G5159"/>
    </row>
    <row r="5160" spans="2:7">
      <c r="B5160"/>
      <c r="C5160"/>
      <c r="D5160"/>
      <c r="G5160"/>
    </row>
    <row r="5161" spans="2:7">
      <c r="B5161"/>
      <c r="C5161"/>
      <c r="D5161"/>
      <c r="G5161"/>
    </row>
    <row r="5162" spans="2:7">
      <c r="B5162"/>
      <c r="C5162"/>
      <c r="D5162"/>
      <c r="G5162"/>
    </row>
    <row r="5163" spans="2:7">
      <c r="B5163"/>
      <c r="C5163"/>
      <c r="D5163"/>
      <c r="G5163"/>
    </row>
    <row r="5164" spans="2:7">
      <c r="B5164"/>
      <c r="C5164"/>
      <c r="D5164"/>
      <c r="G5164"/>
    </row>
    <row r="5165" spans="2:7">
      <c r="B5165"/>
      <c r="C5165"/>
      <c r="D5165"/>
      <c r="G5165"/>
    </row>
    <row r="5166" spans="2:7">
      <c r="B5166"/>
      <c r="C5166"/>
      <c r="D5166"/>
      <c r="G5166"/>
    </row>
    <row r="5167" spans="2:7">
      <c r="B5167"/>
      <c r="C5167"/>
      <c r="D5167"/>
      <c r="G5167"/>
    </row>
    <row r="5168" spans="2:7">
      <c r="B5168"/>
      <c r="C5168"/>
      <c r="D5168"/>
      <c r="G5168"/>
    </row>
    <row r="5169" spans="2:7">
      <c r="B5169"/>
      <c r="C5169"/>
      <c r="D5169"/>
      <c r="G5169"/>
    </row>
    <row r="5170" spans="2:7">
      <c r="B5170"/>
      <c r="C5170"/>
      <c r="D5170"/>
      <c r="G5170"/>
    </row>
    <row r="5171" spans="2:7">
      <c r="B5171"/>
      <c r="C5171"/>
      <c r="D5171"/>
      <c r="G5171"/>
    </row>
    <row r="5172" spans="2:7">
      <c r="B5172"/>
      <c r="C5172"/>
      <c r="D5172"/>
      <c r="G5172"/>
    </row>
    <row r="5173" spans="2:7">
      <c r="B5173"/>
      <c r="C5173"/>
      <c r="D5173"/>
      <c r="G5173"/>
    </row>
    <row r="5174" spans="2:7">
      <c r="B5174"/>
      <c r="C5174"/>
      <c r="D5174"/>
      <c r="G5174"/>
    </row>
    <row r="5175" spans="2:7">
      <c r="B5175"/>
      <c r="C5175"/>
      <c r="D5175"/>
      <c r="G5175"/>
    </row>
    <row r="5176" spans="2:7">
      <c r="B5176"/>
      <c r="C5176"/>
      <c r="D5176"/>
      <c r="G5176"/>
    </row>
    <row r="5177" spans="2:7">
      <c r="B5177"/>
      <c r="C5177"/>
      <c r="D5177"/>
      <c r="G5177"/>
    </row>
    <row r="5178" spans="2:7">
      <c r="B5178"/>
      <c r="C5178"/>
      <c r="D5178"/>
      <c r="G5178"/>
    </row>
    <row r="5179" spans="2:7">
      <c r="B5179"/>
      <c r="C5179"/>
      <c r="D5179"/>
      <c r="G5179"/>
    </row>
    <row r="5180" spans="2:7">
      <c r="B5180"/>
      <c r="C5180"/>
      <c r="D5180"/>
      <c r="G5180"/>
    </row>
    <row r="5181" spans="2:7">
      <c r="B5181"/>
      <c r="C5181"/>
      <c r="D5181"/>
      <c r="G5181"/>
    </row>
    <row r="5182" spans="2:7">
      <c r="B5182"/>
      <c r="C5182"/>
      <c r="D5182"/>
      <c r="G5182"/>
    </row>
    <row r="5183" spans="2:7">
      <c r="B5183"/>
      <c r="C5183"/>
      <c r="D5183"/>
      <c r="G5183"/>
    </row>
    <row r="5184" spans="2:7">
      <c r="B5184"/>
      <c r="C5184"/>
      <c r="D5184"/>
      <c r="G5184"/>
    </row>
    <row r="5185" spans="2:7">
      <c r="B5185"/>
      <c r="C5185"/>
      <c r="D5185"/>
      <c r="G5185"/>
    </row>
    <row r="5186" spans="2:7">
      <c r="B5186"/>
      <c r="C5186"/>
      <c r="D5186"/>
      <c r="G5186"/>
    </row>
    <row r="5187" spans="2:7">
      <c r="B5187"/>
      <c r="C5187"/>
      <c r="D5187"/>
      <c r="G5187"/>
    </row>
    <row r="5188" spans="2:7">
      <c r="B5188"/>
      <c r="C5188"/>
      <c r="D5188"/>
      <c r="G5188"/>
    </row>
    <row r="5189" spans="2:7">
      <c r="B5189"/>
      <c r="C5189"/>
      <c r="D5189"/>
      <c r="G5189"/>
    </row>
    <row r="5190" spans="2:7">
      <c r="B5190"/>
      <c r="C5190"/>
      <c r="D5190"/>
      <c r="G5190"/>
    </row>
    <row r="5191" spans="2:7">
      <c r="B5191"/>
      <c r="C5191"/>
      <c r="D5191"/>
      <c r="G5191"/>
    </row>
    <row r="5192" spans="2:7">
      <c r="B5192"/>
      <c r="C5192"/>
      <c r="D5192"/>
      <c r="G5192"/>
    </row>
    <row r="5193" spans="2:7">
      <c r="B5193"/>
      <c r="C5193"/>
      <c r="D5193"/>
      <c r="G5193"/>
    </row>
    <row r="5194" spans="2:7">
      <c r="B5194"/>
      <c r="C5194"/>
      <c r="D5194"/>
      <c r="G5194"/>
    </row>
    <row r="5195" spans="2:7">
      <c r="B5195"/>
      <c r="C5195"/>
      <c r="D5195"/>
      <c r="G5195"/>
    </row>
    <row r="5196" spans="2:7">
      <c r="B5196"/>
      <c r="C5196"/>
      <c r="D5196"/>
      <c r="G5196"/>
    </row>
    <row r="5197" spans="2:7">
      <c r="B5197"/>
      <c r="C5197"/>
      <c r="D5197"/>
      <c r="G5197"/>
    </row>
    <row r="5198" spans="2:7">
      <c r="B5198"/>
      <c r="C5198"/>
      <c r="D5198"/>
      <c r="G5198"/>
    </row>
    <row r="5199" spans="2:7">
      <c r="B5199"/>
      <c r="C5199"/>
      <c r="D5199"/>
      <c r="G5199"/>
    </row>
    <row r="5200" spans="2:7">
      <c r="B5200"/>
      <c r="C5200"/>
      <c r="D5200"/>
      <c r="G5200"/>
    </row>
    <row r="5201" spans="2:7">
      <c r="B5201"/>
      <c r="C5201"/>
      <c r="D5201"/>
      <c r="G5201"/>
    </row>
    <row r="5202" spans="2:7">
      <c r="B5202"/>
      <c r="C5202"/>
      <c r="D5202"/>
      <c r="G5202"/>
    </row>
    <row r="5203" spans="2:7">
      <c r="B5203"/>
      <c r="C5203"/>
      <c r="D5203"/>
      <c r="G5203"/>
    </row>
    <row r="5204" spans="2:7">
      <c r="B5204"/>
      <c r="C5204"/>
      <c r="D5204"/>
      <c r="G5204"/>
    </row>
    <row r="5205" spans="2:7">
      <c r="B5205"/>
      <c r="C5205"/>
      <c r="D5205"/>
      <c r="G5205"/>
    </row>
    <row r="5206" spans="2:7">
      <c r="B5206"/>
      <c r="C5206"/>
      <c r="D5206"/>
      <c r="G5206"/>
    </row>
    <row r="5207" spans="2:7">
      <c r="B5207"/>
      <c r="C5207"/>
      <c r="D5207"/>
      <c r="G5207"/>
    </row>
    <row r="5208" spans="2:7">
      <c r="B5208"/>
      <c r="C5208"/>
      <c r="D5208"/>
      <c r="G5208"/>
    </row>
    <row r="5209" spans="2:7">
      <c r="B5209"/>
      <c r="C5209"/>
      <c r="D5209"/>
      <c r="G5209"/>
    </row>
    <row r="5210" spans="2:7">
      <c r="B5210"/>
      <c r="C5210"/>
      <c r="D5210"/>
      <c r="G5210"/>
    </row>
    <row r="5211" spans="2:7">
      <c r="B5211"/>
      <c r="C5211"/>
      <c r="D5211"/>
      <c r="G5211"/>
    </row>
    <row r="5212" spans="2:7">
      <c r="B5212"/>
      <c r="C5212"/>
      <c r="D5212"/>
      <c r="G5212"/>
    </row>
    <row r="5213" spans="2:7">
      <c r="B5213"/>
      <c r="C5213"/>
      <c r="D5213"/>
      <c r="G5213"/>
    </row>
    <row r="5214" spans="2:7">
      <c r="B5214"/>
      <c r="C5214"/>
      <c r="D5214"/>
      <c r="G5214"/>
    </row>
    <row r="5215" spans="2:7">
      <c r="B5215"/>
      <c r="C5215"/>
      <c r="D5215"/>
      <c r="G5215"/>
    </row>
    <row r="5216" spans="2:7">
      <c r="B5216"/>
      <c r="C5216"/>
      <c r="D5216"/>
      <c r="G5216"/>
    </row>
    <row r="5217" spans="2:7">
      <c r="B5217"/>
      <c r="C5217"/>
      <c r="D5217"/>
      <c r="G5217"/>
    </row>
    <row r="5218" spans="2:7">
      <c r="B5218"/>
      <c r="C5218"/>
      <c r="D5218"/>
      <c r="G5218"/>
    </row>
    <row r="5219" spans="2:7">
      <c r="B5219"/>
      <c r="C5219"/>
      <c r="D5219"/>
      <c r="G5219"/>
    </row>
    <row r="5220" spans="2:7">
      <c r="B5220"/>
      <c r="C5220"/>
      <c r="D5220"/>
      <c r="G5220"/>
    </row>
    <row r="5221" spans="2:7">
      <c r="B5221"/>
      <c r="C5221"/>
      <c r="D5221"/>
      <c r="G5221"/>
    </row>
    <row r="5222" spans="2:7">
      <c r="B5222"/>
      <c r="C5222"/>
      <c r="D5222"/>
      <c r="G5222"/>
    </row>
    <row r="5223" spans="2:7">
      <c r="B5223"/>
      <c r="C5223"/>
      <c r="D5223"/>
      <c r="G5223"/>
    </row>
    <row r="5224" spans="2:7">
      <c r="B5224"/>
      <c r="C5224"/>
      <c r="D5224"/>
      <c r="G5224"/>
    </row>
    <row r="5225" spans="2:7">
      <c r="B5225"/>
      <c r="C5225"/>
      <c r="D5225"/>
      <c r="G5225"/>
    </row>
    <row r="5226" spans="2:7">
      <c r="B5226"/>
      <c r="C5226"/>
      <c r="D5226"/>
      <c r="G5226"/>
    </row>
    <row r="5227" spans="2:7">
      <c r="B5227"/>
      <c r="C5227"/>
      <c r="D5227"/>
      <c r="G5227"/>
    </row>
    <row r="5228" spans="2:7">
      <c r="B5228"/>
      <c r="C5228"/>
      <c r="D5228"/>
      <c r="G5228"/>
    </row>
    <row r="5229" spans="2:7">
      <c r="B5229"/>
      <c r="C5229"/>
      <c r="D5229"/>
      <c r="G5229"/>
    </row>
    <row r="5230" spans="2:7">
      <c r="B5230"/>
      <c r="C5230"/>
      <c r="D5230"/>
      <c r="G5230"/>
    </row>
    <row r="5231" spans="2:7">
      <c r="B5231"/>
      <c r="C5231"/>
      <c r="D5231"/>
      <c r="G5231"/>
    </row>
    <row r="5232" spans="2:7">
      <c r="B5232"/>
      <c r="C5232"/>
      <c r="D5232"/>
      <c r="G5232"/>
    </row>
    <row r="5233" spans="2:7">
      <c r="B5233"/>
      <c r="C5233"/>
      <c r="D5233"/>
      <c r="G5233"/>
    </row>
    <row r="5234" spans="2:7">
      <c r="B5234"/>
      <c r="C5234"/>
      <c r="D5234"/>
      <c r="G5234"/>
    </row>
    <row r="5235" spans="2:7">
      <c r="B5235"/>
      <c r="C5235"/>
      <c r="D5235"/>
      <c r="G5235"/>
    </row>
    <row r="5236" spans="2:7">
      <c r="B5236"/>
      <c r="C5236"/>
      <c r="D5236"/>
      <c r="G5236"/>
    </row>
    <row r="5237" spans="2:7">
      <c r="B5237"/>
      <c r="C5237"/>
      <c r="D5237"/>
      <c r="G5237"/>
    </row>
    <row r="5238" spans="2:7">
      <c r="B5238"/>
      <c r="C5238"/>
      <c r="D5238"/>
      <c r="G5238"/>
    </row>
    <row r="5239" spans="2:7">
      <c r="B5239"/>
      <c r="C5239"/>
      <c r="D5239"/>
      <c r="G5239"/>
    </row>
    <row r="5240" spans="2:7">
      <c r="B5240"/>
      <c r="C5240"/>
      <c r="D5240"/>
      <c r="G5240"/>
    </row>
    <row r="5241" spans="2:7">
      <c r="B5241"/>
      <c r="C5241"/>
      <c r="D5241"/>
      <c r="G5241"/>
    </row>
    <row r="5242" spans="2:7">
      <c r="B5242"/>
      <c r="C5242"/>
      <c r="D5242"/>
      <c r="G5242"/>
    </row>
    <row r="5243" spans="2:7">
      <c r="B5243"/>
      <c r="C5243"/>
      <c r="D5243"/>
      <c r="G5243"/>
    </row>
    <row r="5244" spans="2:7">
      <c r="B5244"/>
      <c r="C5244"/>
      <c r="D5244"/>
      <c r="G5244"/>
    </row>
    <row r="5245" spans="2:7">
      <c r="B5245"/>
      <c r="C5245"/>
      <c r="D5245"/>
      <c r="G5245"/>
    </row>
    <row r="5246" spans="2:7">
      <c r="B5246"/>
      <c r="C5246"/>
      <c r="D5246"/>
      <c r="G5246"/>
    </row>
    <row r="5247" spans="2:7">
      <c r="B5247"/>
      <c r="C5247"/>
      <c r="D5247"/>
      <c r="G5247"/>
    </row>
    <row r="5248" spans="2:7">
      <c r="B5248"/>
      <c r="C5248"/>
      <c r="D5248"/>
      <c r="G5248"/>
    </row>
    <row r="5249" spans="2:7">
      <c r="B5249"/>
      <c r="C5249"/>
      <c r="D5249"/>
      <c r="G5249"/>
    </row>
    <row r="5250" spans="2:7">
      <c r="B5250"/>
      <c r="C5250"/>
      <c r="D5250"/>
      <c r="G5250"/>
    </row>
    <row r="5251" spans="2:7">
      <c r="B5251"/>
      <c r="C5251"/>
      <c r="D5251"/>
      <c r="G5251"/>
    </row>
    <row r="5252" spans="2:7">
      <c r="B5252"/>
      <c r="C5252"/>
      <c r="D5252"/>
      <c r="G5252"/>
    </row>
    <row r="5253" spans="2:7">
      <c r="B5253"/>
      <c r="C5253"/>
      <c r="D5253"/>
      <c r="G5253"/>
    </row>
    <row r="5254" spans="2:7">
      <c r="B5254"/>
      <c r="C5254"/>
      <c r="D5254"/>
      <c r="G5254"/>
    </row>
    <row r="5255" spans="2:7">
      <c r="B5255"/>
      <c r="C5255"/>
      <c r="D5255"/>
      <c r="G5255"/>
    </row>
    <row r="5256" spans="2:7">
      <c r="B5256"/>
      <c r="C5256"/>
      <c r="D5256"/>
      <c r="G5256"/>
    </row>
    <row r="5257" spans="2:7">
      <c r="B5257"/>
      <c r="C5257"/>
      <c r="D5257"/>
      <c r="G5257"/>
    </row>
    <row r="5258" spans="2:7">
      <c r="B5258"/>
      <c r="C5258"/>
      <c r="D5258"/>
      <c r="G5258"/>
    </row>
    <row r="5259" spans="2:7">
      <c r="B5259"/>
      <c r="C5259"/>
      <c r="D5259"/>
      <c r="G5259"/>
    </row>
    <row r="5260" spans="2:7">
      <c r="B5260"/>
      <c r="C5260"/>
      <c r="D5260"/>
      <c r="G5260"/>
    </row>
    <row r="5261" spans="2:7">
      <c r="B5261"/>
      <c r="C5261"/>
      <c r="D5261"/>
      <c r="G5261"/>
    </row>
    <row r="5262" spans="2:7">
      <c r="B5262"/>
      <c r="C5262"/>
      <c r="D5262"/>
      <c r="G5262"/>
    </row>
    <row r="5263" spans="2:7">
      <c r="B5263"/>
      <c r="C5263"/>
      <c r="D5263"/>
      <c r="G5263"/>
    </row>
    <row r="5264" spans="2:7">
      <c r="B5264"/>
      <c r="C5264"/>
      <c r="D5264"/>
      <c r="G5264"/>
    </row>
    <row r="5265" spans="2:7">
      <c r="B5265"/>
      <c r="C5265"/>
      <c r="D5265"/>
      <c r="G5265"/>
    </row>
    <row r="5266" spans="2:7">
      <c r="B5266"/>
      <c r="C5266"/>
      <c r="D5266"/>
      <c r="G5266"/>
    </row>
    <row r="5267" spans="2:7">
      <c r="B5267"/>
      <c r="C5267"/>
      <c r="D5267"/>
      <c r="G5267"/>
    </row>
    <row r="5268" spans="2:7">
      <c r="B5268"/>
      <c r="C5268"/>
      <c r="D5268"/>
      <c r="G5268"/>
    </row>
    <row r="5269" spans="2:7">
      <c r="B5269"/>
      <c r="C5269"/>
      <c r="D5269"/>
      <c r="G5269"/>
    </row>
    <row r="5270" spans="2:7">
      <c r="B5270"/>
      <c r="C5270"/>
      <c r="D5270"/>
      <c r="G5270"/>
    </row>
    <row r="5271" spans="2:7">
      <c r="B5271"/>
      <c r="C5271"/>
      <c r="D5271"/>
      <c r="G5271"/>
    </row>
    <row r="5272" spans="2:7">
      <c r="B5272"/>
      <c r="C5272"/>
      <c r="D5272"/>
      <c r="G5272"/>
    </row>
    <row r="5273" spans="2:7">
      <c r="B5273"/>
      <c r="C5273"/>
      <c r="D5273"/>
      <c r="G5273"/>
    </row>
    <row r="5274" spans="2:7">
      <c r="B5274"/>
      <c r="C5274"/>
      <c r="D5274"/>
      <c r="G5274"/>
    </row>
    <row r="5275" spans="2:7">
      <c r="B5275"/>
      <c r="C5275"/>
      <c r="D5275"/>
      <c r="G5275"/>
    </row>
    <row r="5276" spans="2:7">
      <c r="B5276"/>
      <c r="C5276"/>
      <c r="D5276"/>
      <c r="G5276"/>
    </row>
    <row r="5277" spans="2:7">
      <c r="B5277"/>
      <c r="C5277"/>
      <c r="D5277"/>
      <c r="G5277"/>
    </row>
    <row r="5278" spans="2:7">
      <c r="B5278"/>
      <c r="C5278"/>
      <c r="D5278"/>
      <c r="G5278"/>
    </row>
    <row r="5279" spans="2:7">
      <c r="B5279"/>
      <c r="C5279"/>
      <c r="D5279"/>
      <c r="G5279"/>
    </row>
    <row r="5280" spans="2:7">
      <c r="B5280"/>
      <c r="C5280"/>
      <c r="D5280"/>
      <c r="G5280"/>
    </row>
    <row r="5281" spans="2:7">
      <c r="B5281"/>
      <c r="C5281"/>
      <c r="D5281"/>
      <c r="G5281"/>
    </row>
    <row r="5282" spans="2:7">
      <c r="B5282"/>
      <c r="C5282"/>
      <c r="D5282"/>
      <c r="G5282"/>
    </row>
    <row r="5283" spans="2:7">
      <c r="B5283"/>
      <c r="C5283"/>
      <c r="D5283"/>
      <c r="G5283"/>
    </row>
    <row r="5284" spans="2:7">
      <c r="B5284"/>
      <c r="C5284"/>
      <c r="D5284"/>
      <c r="G5284"/>
    </row>
    <row r="5285" spans="2:7">
      <c r="B5285"/>
      <c r="C5285"/>
      <c r="D5285"/>
      <c r="G5285"/>
    </row>
    <row r="5286" spans="2:7">
      <c r="B5286"/>
      <c r="C5286"/>
      <c r="D5286"/>
      <c r="G5286"/>
    </row>
    <row r="5287" spans="2:7">
      <c r="B5287"/>
      <c r="C5287"/>
      <c r="D5287"/>
      <c r="G5287"/>
    </row>
    <row r="5288" spans="2:7">
      <c r="B5288"/>
      <c r="C5288"/>
      <c r="D5288"/>
      <c r="G5288"/>
    </row>
    <row r="5289" spans="2:7">
      <c r="B5289"/>
      <c r="C5289"/>
      <c r="D5289"/>
      <c r="G5289"/>
    </row>
    <row r="5290" spans="2:7">
      <c r="B5290"/>
      <c r="C5290"/>
      <c r="D5290"/>
      <c r="G5290"/>
    </row>
    <row r="5291" spans="2:7">
      <c r="B5291"/>
      <c r="C5291"/>
      <c r="D5291"/>
      <c r="G5291"/>
    </row>
    <row r="5292" spans="2:7">
      <c r="B5292"/>
      <c r="C5292"/>
      <c r="D5292"/>
      <c r="G5292"/>
    </row>
    <row r="5293" spans="2:7">
      <c r="B5293"/>
      <c r="C5293"/>
      <c r="D5293"/>
      <c r="G5293"/>
    </row>
    <row r="5294" spans="2:7">
      <c r="B5294"/>
      <c r="C5294"/>
      <c r="D5294"/>
      <c r="G5294"/>
    </row>
    <row r="5295" spans="2:7">
      <c r="B5295"/>
      <c r="C5295"/>
      <c r="D5295"/>
      <c r="G5295"/>
    </row>
    <row r="5296" spans="2:7">
      <c r="B5296"/>
      <c r="C5296"/>
      <c r="D5296"/>
      <c r="G5296"/>
    </row>
    <row r="5297" spans="2:7">
      <c r="B5297"/>
      <c r="C5297"/>
      <c r="D5297"/>
      <c r="G5297"/>
    </row>
    <row r="5298" spans="2:7">
      <c r="B5298"/>
      <c r="C5298"/>
      <c r="D5298"/>
      <c r="G5298"/>
    </row>
    <row r="5299" spans="2:7">
      <c r="B5299"/>
      <c r="C5299"/>
      <c r="D5299"/>
      <c r="G5299"/>
    </row>
    <row r="5300" spans="2:7">
      <c r="B5300"/>
      <c r="C5300"/>
      <c r="D5300"/>
      <c r="G5300"/>
    </row>
    <row r="5301" spans="2:7">
      <c r="B5301"/>
      <c r="C5301"/>
      <c r="D5301"/>
      <c r="G5301"/>
    </row>
    <row r="5302" spans="2:7">
      <c r="B5302"/>
      <c r="C5302"/>
      <c r="D5302"/>
      <c r="G5302"/>
    </row>
    <row r="5303" spans="2:7">
      <c r="B5303"/>
      <c r="C5303"/>
      <c r="D5303"/>
      <c r="G5303"/>
    </row>
    <row r="5304" spans="2:7">
      <c r="B5304"/>
      <c r="C5304"/>
      <c r="D5304"/>
      <c r="G5304"/>
    </row>
    <row r="5305" spans="2:7">
      <c r="B5305"/>
      <c r="C5305"/>
      <c r="D5305"/>
      <c r="G5305"/>
    </row>
    <row r="5306" spans="2:7">
      <c r="B5306"/>
      <c r="C5306"/>
      <c r="D5306"/>
      <c r="G5306"/>
    </row>
    <row r="5307" spans="2:7">
      <c r="B5307"/>
      <c r="C5307"/>
      <c r="D5307"/>
      <c r="G5307"/>
    </row>
    <row r="5308" spans="2:7">
      <c r="B5308"/>
      <c r="C5308"/>
      <c r="D5308"/>
      <c r="G5308"/>
    </row>
    <row r="5309" spans="2:7">
      <c r="B5309"/>
      <c r="C5309"/>
      <c r="D5309"/>
      <c r="G5309"/>
    </row>
    <row r="5310" spans="2:7">
      <c r="B5310"/>
      <c r="C5310"/>
      <c r="D5310"/>
      <c r="G5310"/>
    </row>
    <row r="5311" spans="2:7">
      <c r="B5311"/>
      <c r="C5311"/>
      <c r="D5311"/>
      <c r="G5311"/>
    </row>
    <row r="5312" spans="2:7">
      <c r="B5312"/>
      <c r="C5312"/>
      <c r="D5312"/>
      <c r="G5312"/>
    </row>
    <row r="5313" spans="2:7">
      <c r="B5313"/>
      <c r="C5313"/>
      <c r="D5313"/>
      <c r="G5313"/>
    </row>
    <row r="5314" spans="2:7">
      <c r="B5314"/>
      <c r="C5314"/>
      <c r="D5314"/>
      <c r="G5314"/>
    </row>
    <row r="5315" spans="2:7">
      <c r="B5315"/>
      <c r="C5315"/>
      <c r="D5315"/>
      <c r="G5315"/>
    </row>
    <row r="5316" spans="2:7">
      <c r="B5316"/>
      <c r="C5316"/>
      <c r="D5316"/>
      <c r="G5316"/>
    </row>
    <row r="5317" spans="2:7">
      <c r="B5317"/>
      <c r="C5317"/>
      <c r="D5317"/>
      <c r="G5317"/>
    </row>
    <row r="5318" spans="2:7">
      <c r="B5318"/>
      <c r="C5318"/>
      <c r="D5318"/>
      <c r="G5318"/>
    </row>
    <row r="5319" spans="2:7">
      <c r="B5319"/>
      <c r="C5319"/>
      <c r="D5319"/>
      <c r="G5319"/>
    </row>
    <row r="5320" spans="2:7">
      <c r="B5320"/>
      <c r="C5320"/>
      <c r="D5320"/>
      <c r="G5320"/>
    </row>
    <row r="5321" spans="2:7">
      <c r="B5321"/>
      <c r="C5321"/>
      <c r="D5321"/>
      <c r="G5321"/>
    </row>
    <row r="5322" spans="2:7">
      <c r="B5322"/>
      <c r="C5322"/>
      <c r="D5322"/>
      <c r="G5322"/>
    </row>
    <row r="5323" spans="2:7">
      <c r="B5323"/>
      <c r="C5323"/>
      <c r="D5323"/>
      <c r="G5323"/>
    </row>
    <row r="5324" spans="2:7">
      <c r="B5324"/>
      <c r="C5324"/>
      <c r="D5324"/>
      <c r="G5324"/>
    </row>
    <row r="5325" spans="2:7">
      <c r="B5325"/>
      <c r="C5325"/>
      <c r="D5325"/>
      <c r="G5325"/>
    </row>
    <row r="5326" spans="2:7">
      <c r="B5326"/>
      <c r="C5326"/>
      <c r="D5326"/>
      <c r="G5326"/>
    </row>
    <row r="5327" spans="2:7">
      <c r="B5327"/>
      <c r="C5327"/>
      <c r="D5327"/>
      <c r="G5327"/>
    </row>
    <row r="5328" spans="2:7">
      <c r="B5328"/>
      <c r="C5328"/>
      <c r="D5328"/>
      <c r="G5328"/>
    </row>
    <row r="5329" spans="2:7">
      <c r="B5329"/>
      <c r="C5329"/>
      <c r="D5329"/>
      <c r="G5329"/>
    </row>
    <row r="5330" spans="2:7">
      <c r="B5330"/>
      <c r="C5330"/>
      <c r="D5330"/>
      <c r="G5330"/>
    </row>
    <row r="5331" spans="2:7">
      <c r="B5331"/>
      <c r="C5331"/>
      <c r="D5331"/>
      <c r="G5331"/>
    </row>
    <row r="5332" spans="2:7">
      <c r="B5332"/>
      <c r="C5332"/>
      <c r="D5332"/>
      <c r="G5332"/>
    </row>
    <row r="5333" spans="2:7">
      <c r="B5333"/>
      <c r="C5333"/>
      <c r="D5333"/>
      <c r="G5333"/>
    </row>
    <row r="5334" spans="2:7">
      <c r="B5334"/>
      <c r="C5334"/>
      <c r="D5334"/>
      <c r="G5334"/>
    </row>
    <row r="5335" spans="2:7">
      <c r="B5335"/>
      <c r="C5335"/>
      <c r="D5335"/>
      <c r="G5335"/>
    </row>
    <row r="5336" spans="2:7">
      <c r="B5336"/>
      <c r="C5336"/>
      <c r="D5336"/>
      <c r="G5336"/>
    </row>
    <row r="5337" spans="2:7">
      <c r="B5337"/>
      <c r="C5337"/>
      <c r="D5337"/>
      <c r="G5337"/>
    </row>
    <row r="5338" spans="2:7">
      <c r="B5338"/>
      <c r="C5338"/>
      <c r="D5338"/>
      <c r="G5338"/>
    </row>
    <row r="5339" spans="2:7">
      <c r="B5339"/>
      <c r="C5339"/>
      <c r="D5339"/>
      <c r="G5339"/>
    </row>
    <row r="5340" spans="2:7">
      <c r="B5340"/>
      <c r="C5340"/>
      <c r="D5340"/>
      <c r="G5340"/>
    </row>
    <row r="5341" spans="2:7">
      <c r="B5341"/>
      <c r="C5341"/>
      <c r="D5341"/>
      <c r="G5341"/>
    </row>
    <row r="5342" spans="2:7">
      <c r="B5342"/>
      <c r="C5342"/>
      <c r="D5342"/>
      <c r="G5342"/>
    </row>
    <row r="5343" spans="2:7">
      <c r="B5343"/>
      <c r="C5343"/>
      <c r="D5343"/>
      <c r="G5343"/>
    </row>
    <row r="5344" spans="2:7">
      <c r="B5344"/>
      <c r="C5344"/>
      <c r="D5344"/>
      <c r="G5344"/>
    </row>
    <row r="5345" spans="2:7">
      <c r="B5345"/>
      <c r="C5345"/>
      <c r="D5345"/>
      <c r="G5345"/>
    </row>
    <row r="5346" spans="2:7">
      <c r="B5346"/>
      <c r="C5346"/>
      <c r="D5346"/>
      <c r="G5346"/>
    </row>
    <row r="5347" spans="2:7">
      <c r="B5347"/>
      <c r="C5347"/>
      <c r="D5347"/>
      <c r="G5347"/>
    </row>
    <row r="5348" spans="2:7">
      <c r="B5348"/>
      <c r="C5348"/>
      <c r="D5348"/>
      <c r="G5348"/>
    </row>
    <row r="5349" spans="2:7">
      <c r="B5349"/>
      <c r="C5349"/>
      <c r="D5349"/>
      <c r="G5349"/>
    </row>
    <row r="5350" spans="2:7">
      <c r="B5350"/>
      <c r="C5350"/>
      <c r="D5350"/>
      <c r="G5350"/>
    </row>
    <row r="5351" spans="2:7">
      <c r="B5351"/>
      <c r="C5351"/>
      <c r="D5351"/>
      <c r="G5351"/>
    </row>
    <row r="5352" spans="2:7">
      <c r="B5352"/>
      <c r="C5352"/>
      <c r="D5352"/>
      <c r="G5352"/>
    </row>
    <row r="5353" spans="2:7">
      <c r="B5353"/>
      <c r="C5353"/>
      <c r="D5353"/>
      <c r="G5353"/>
    </row>
    <row r="5354" spans="2:7">
      <c r="B5354"/>
      <c r="C5354"/>
      <c r="D5354"/>
      <c r="G5354"/>
    </row>
    <row r="5355" spans="2:7">
      <c r="B5355"/>
      <c r="C5355"/>
      <c r="D5355"/>
      <c r="G5355"/>
    </row>
    <row r="5356" spans="2:7">
      <c r="B5356"/>
      <c r="C5356"/>
      <c r="D5356"/>
      <c r="G5356"/>
    </row>
    <row r="5357" spans="2:7">
      <c r="B5357"/>
      <c r="C5357"/>
      <c r="D5357"/>
      <c r="G5357"/>
    </row>
    <row r="5358" spans="2:7">
      <c r="B5358"/>
      <c r="C5358"/>
      <c r="D5358"/>
      <c r="G5358"/>
    </row>
    <row r="5359" spans="2:7">
      <c r="B5359"/>
      <c r="C5359"/>
      <c r="D5359"/>
      <c r="G5359"/>
    </row>
    <row r="5360" spans="2:7">
      <c r="B5360"/>
      <c r="C5360"/>
      <c r="D5360"/>
      <c r="G5360"/>
    </row>
    <row r="5361" spans="2:7">
      <c r="B5361"/>
      <c r="C5361"/>
      <c r="D5361"/>
      <c r="G5361"/>
    </row>
    <row r="5362" spans="2:7">
      <c r="B5362"/>
      <c r="C5362"/>
      <c r="D5362"/>
      <c r="G5362"/>
    </row>
    <row r="5363" spans="2:7">
      <c r="B5363"/>
      <c r="C5363"/>
      <c r="D5363"/>
      <c r="G5363"/>
    </row>
    <row r="5364" spans="2:7">
      <c r="B5364"/>
      <c r="C5364"/>
      <c r="D5364"/>
      <c r="G5364"/>
    </row>
    <row r="5365" spans="2:7">
      <c r="B5365"/>
      <c r="C5365"/>
      <c r="D5365"/>
      <c r="G5365"/>
    </row>
    <row r="5366" spans="2:7">
      <c r="B5366"/>
      <c r="C5366"/>
      <c r="D5366"/>
      <c r="G5366"/>
    </row>
    <row r="5367" spans="2:7">
      <c r="B5367"/>
      <c r="C5367"/>
      <c r="D5367"/>
      <c r="G5367"/>
    </row>
    <row r="5368" spans="2:7">
      <c r="B5368"/>
      <c r="C5368"/>
      <c r="D5368"/>
      <c r="G5368"/>
    </row>
    <row r="5369" spans="2:7">
      <c r="B5369"/>
      <c r="C5369"/>
      <c r="D5369"/>
      <c r="G5369"/>
    </row>
    <row r="5370" spans="2:7">
      <c r="B5370"/>
      <c r="C5370"/>
      <c r="D5370"/>
      <c r="G5370"/>
    </row>
    <row r="5371" spans="2:7">
      <c r="B5371"/>
      <c r="C5371"/>
      <c r="D5371"/>
      <c r="G5371"/>
    </row>
    <row r="5372" spans="2:7">
      <c r="B5372"/>
      <c r="C5372"/>
      <c r="D5372"/>
      <c r="G5372"/>
    </row>
    <row r="5373" spans="2:7">
      <c r="B5373"/>
      <c r="C5373"/>
      <c r="D5373"/>
      <c r="G5373"/>
    </row>
    <row r="5374" spans="2:7">
      <c r="B5374"/>
      <c r="C5374"/>
      <c r="D5374"/>
      <c r="G5374"/>
    </row>
    <row r="5375" spans="2:7">
      <c r="B5375"/>
      <c r="C5375"/>
      <c r="D5375"/>
      <c r="G5375"/>
    </row>
    <row r="5376" spans="2:7">
      <c r="B5376"/>
      <c r="C5376"/>
      <c r="D5376"/>
      <c r="G5376"/>
    </row>
    <row r="5377" spans="2:7">
      <c r="B5377"/>
      <c r="C5377"/>
      <c r="D5377"/>
      <c r="G5377"/>
    </row>
    <row r="5378" spans="2:7">
      <c r="B5378"/>
      <c r="C5378"/>
      <c r="D5378"/>
      <c r="G5378"/>
    </row>
    <row r="5379" spans="2:7">
      <c r="B5379"/>
      <c r="C5379"/>
      <c r="D5379"/>
      <c r="G5379"/>
    </row>
    <row r="5380" spans="2:7">
      <c r="B5380"/>
      <c r="C5380"/>
      <c r="D5380"/>
      <c r="G5380"/>
    </row>
    <row r="5381" spans="2:7">
      <c r="B5381"/>
      <c r="C5381"/>
      <c r="D5381"/>
      <c r="G5381"/>
    </row>
    <row r="5382" spans="2:7">
      <c r="B5382"/>
      <c r="C5382"/>
      <c r="D5382"/>
      <c r="G5382"/>
    </row>
    <row r="5383" spans="2:7">
      <c r="B5383"/>
      <c r="C5383"/>
      <c r="D5383"/>
      <c r="G5383"/>
    </row>
    <row r="5384" spans="2:7">
      <c r="B5384"/>
      <c r="C5384"/>
      <c r="D5384"/>
      <c r="G5384"/>
    </row>
    <row r="5385" spans="2:7">
      <c r="B5385"/>
      <c r="C5385"/>
      <c r="D5385"/>
      <c r="G5385"/>
    </row>
    <row r="5386" spans="2:7">
      <c r="B5386"/>
      <c r="C5386"/>
      <c r="D5386"/>
      <c r="G5386"/>
    </row>
    <row r="5387" spans="2:7">
      <c r="B5387"/>
      <c r="C5387"/>
      <c r="D5387"/>
      <c r="G5387"/>
    </row>
    <row r="5388" spans="2:7">
      <c r="B5388"/>
      <c r="C5388"/>
      <c r="D5388"/>
      <c r="G5388"/>
    </row>
    <row r="5389" spans="2:7">
      <c r="B5389"/>
      <c r="C5389"/>
      <c r="D5389"/>
      <c r="G5389"/>
    </row>
    <row r="5390" spans="2:7">
      <c r="B5390"/>
      <c r="C5390"/>
      <c r="D5390"/>
      <c r="G5390"/>
    </row>
    <row r="5391" spans="2:7">
      <c r="B5391"/>
      <c r="C5391"/>
      <c r="D5391"/>
      <c r="G5391"/>
    </row>
    <row r="5392" spans="2:7">
      <c r="B5392"/>
      <c r="C5392"/>
      <c r="D5392"/>
      <c r="G5392"/>
    </row>
    <row r="5393" spans="2:7">
      <c r="B5393"/>
      <c r="C5393"/>
      <c r="D5393"/>
      <c r="G5393"/>
    </row>
    <row r="5394" spans="2:7">
      <c r="B5394"/>
      <c r="C5394"/>
      <c r="D5394"/>
      <c r="G5394"/>
    </row>
    <row r="5395" spans="2:7">
      <c r="B5395"/>
      <c r="C5395"/>
      <c r="D5395"/>
      <c r="G5395"/>
    </row>
    <row r="5396" spans="2:7">
      <c r="B5396"/>
      <c r="C5396"/>
      <c r="D5396"/>
      <c r="G5396"/>
    </row>
    <row r="5397" spans="2:7">
      <c r="B5397"/>
      <c r="C5397"/>
      <c r="D5397"/>
      <c r="G5397"/>
    </row>
    <row r="5398" spans="2:7">
      <c r="B5398"/>
      <c r="C5398"/>
      <c r="D5398"/>
      <c r="G5398"/>
    </row>
    <row r="5399" spans="2:7">
      <c r="B5399"/>
      <c r="C5399"/>
      <c r="D5399"/>
      <c r="G5399"/>
    </row>
    <row r="5400" spans="2:7">
      <c r="B5400"/>
      <c r="C5400"/>
      <c r="D5400"/>
      <c r="G5400"/>
    </row>
    <row r="5401" spans="2:7">
      <c r="B5401"/>
      <c r="C5401"/>
      <c r="D5401"/>
      <c r="G5401"/>
    </row>
    <row r="5402" spans="2:7">
      <c r="B5402"/>
      <c r="C5402"/>
      <c r="D5402"/>
      <c r="G5402"/>
    </row>
    <row r="5403" spans="2:7">
      <c r="B5403"/>
      <c r="C5403"/>
      <c r="D5403"/>
      <c r="G5403"/>
    </row>
    <row r="5404" spans="2:7">
      <c r="B5404"/>
      <c r="C5404"/>
      <c r="D5404"/>
      <c r="G5404"/>
    </row>
    <row r="5405" spans="2:7">
      <c r="B5405"/>
      <c r="C5405"/>
      <c r="D5405"/>
      <c r="G5405"/>
    </row>
    <row r="5406" spans="2:7">
      <c r="B5406"/>
      <c r="C5406"/>
      <c r="D5406"/>
      <c r="G5406"/>
    </row>
    <row r="5407" spans="2:7">
      <c r="B5407"/>
      <c r="C5407"/>
      <c r="D5407"/>
      <c r="G5407"/>
    </row>
    <row r="5408" spans="2:7">
      <c r="B5408"/>
      <c r="C5408"/>
      <c r="D5408"/>
      <c r="G5408"/>
    </row>
    <row r="5409" spans="2:7">
      <c r="B5409"/>
      <c r="C5409"/>
      <c r="D5409"/>
      <c r="G5409"/>
    </row>
    <row r="5410" spans="2:7">
      <c r="B5410"/>
      <c r="C5410"/>
      <c r="D5410"/>
      <c r="G5410"/>
    </row>
    <row r="5411" spans="2:7">
      <c r="B5411"/>
      <c r="C5411"/>
      <c r="D5411"/>
      <c r="G5411"/>
    </row>
    <row r="5412" spans="2:7">
      <c r="B5412"/>
      <c r="C5412"/>
      <c r="D5412"/>
      <c r="G5412"/>
    </row>
    <row r="5413" spans="2:7">
      <c r="B5413"/>
      <c r="C5413"/>
      <c r="D5413"/>
      <c r="G5413"/>
    </row>
    <row r="5414" spans="2:7">
      <c r="B5414"/>
      <c r="C5414"/>
      <c r="D5414"/>
      <c r="G5414"/>
    </row>
    <row r="5415" spans="2:7">
      <c r="B5415"/>
      <c r="C5415"/>
      <c r="D5415"/>
      <c r="G5415"/>
    </row>
    <row r="5416" spans="2:7">
      <c r="B5416"/>
      <c r="C5416"/>
      <c r="D5416"/>
      <c r="G5416"/>
    </row>
    <row r="5417" spans="2:7">
      <c r="B5417"/>
      <c r="C5417"/>
      <c r="D5417"/>
      <c r="G5417"/>
    </row>
    <row r="5418" spans="2:7">
      <c r="B5418"/>
      <c r="C5418"/>
      <c r="D5418"/>
      <c r="G5418"/>
    </row>
    <row r="5419" spans="2:7">
      <c r="B5419"/>
      <c r="C5419"/>
      <c r="D5419"/>
      <c r="G5419"/>
    </row>
    <row r="5420" spans="2:7">
      <c r="B5420"/>
      <c r="C5420"/>
      <c r="D5420"/>
      <c r="G5420"/>
    </row>
    <row r="5421" spans="2:7">
      <c r="B5421"/>
      <c r="C5421"/>
      <c r="D5421"/>
      <c r="G5421"/>
    </row>
    <row r="5422" spans="2:7">
      <c r="B5422"/>
      <c r="C5422"/>
      <c r="D5422"/>
      <c r="G5422"/>
    </row>
    <row r="5423" spans="2:7">
      <c r="B5423"/>
      <c r="C5423"/>
      <c r="D5423"/>
      <c r="G5423"/>
    </row>
    <row r="5424" spans="2:7">
      <c r="B5424"/>
      <c r="C5424"/>
      <c r="D5424"/>
      <c r="G5424"/>
    </row>
    <row r="5425" spans="2:7">
      <c r="B5425"/>
      <c r="C5425"/>
      <c r="D5425"/>
      <c r="G5425"/>
    </row>
    <row r="5426" spans="2:7">
      <c r="B5426"/>
      <c r="C5426"/>
      <c r="D5426"/>
      <c r="G5426"/>
    </row>
    <row r="5427" spans="2:7">
      <c r="B5427"/>
      <c r="C5427"/>
      <c r="D5427"/>
      <c r="G5427"/>
    </row>
    <row r="5428" spans="2:7">
      <c r="B5428"/>
      <c r="C5428"/>
      <c r="D5428"/>
      <c r="G5428"/>
    </row>
    <row r="5429" spans="2:7">
      <c r="B5429"/>
      <c r="C5429"/>
      <c r="D5429"/>
      <c r="G5429"/>
    </row>
    <row r="5430" spans="2:7">
      <c r="B5430"/>
      <c r="C5430"/>
      <c r="D5430"/>
      <c r="G5430"/>
    </row>
    <row r="5431" spans="2:7">
      <c r="B5431"/>
      <c r="C5431"/>
      <c r="D5431"/>
      <c r="G5431"/>
    </row>
    <row r="5432" spans="2:7">
      <c r="B5432"/>
      <c r="C5432"/>
      <c r="D5432"/>
      <c r="G5432"/>
    </row>
    <row r="5433" spans="2:7">
      <c r="B5433"/>
      <c r="C5433"/>
      <c r="D5433"/>
      <c r="G5433"/>
    </row>
    <row r="5434" spans="2:7">
      <c r="B5434"/>
      <c r="C5434"/>
      <c r="D5434"/>
      <c r="G5434"/>
    </row>
    <row r="5435" spans="2:7">
      <c r="B5435"/>
      <c r="C5435"/>
      <c r="D5435"/>
      <c r="G5435"/>
    </row>
    <row r="5436" spans="2:7">
      <c r="B5436"/>
      <c r="C5436"/>
      <c r="D5436"/>
      <c r="G5436"/>
    </row>
    <row r="5437" spans="2:7">
      <c r="B5437"/>
      <c r="C5437"/>
      <c r="D5437"/>
      <c r="G5437"/>
    </row>
    <row r="5438" spans="2:7">
      <c r="B5438"/>
      <c r="C5438"/>
      <c r="D5438"/>
      <c r="G5438"/>
    </row>
    <row r="5439" spans="2:7">
      <c r="B5439"/>
      <c r="C5439"/>
      <c r="D5439"/>
      <c r="G5439"/>
    </row>
    <row r="5440" spans="2:7">
      <c r="B5440"/>
      <c r="C5440"/>
      <c r="D5440"/>
      <c r="G5440"/>
    </row>
    <row r="5441" spans="2:7">
      <c r="B5441"/>
      <c r="C5441"/>
      <c r="D5441"/>
      <c r="G5441"/>
    </row>
    <row r="5442" spans="2:7">
      <c r="B5442"/>
      <c r="C5442"/>
      <c r="D5442"/>
      <c r="G5442"/>
    </row>
    <row r="5443" spans="2:7">
      <c r="B5443"/>
      <c r="C5443"/>
      <c r="D5443"/>
      <c r="G5443"/>
    </row>
    <row r="5444" spans="2:7">
      <c r="B5444"/>
      <c r="C5444"/>
      <c r="D5444"/>
      <c r="G5444"/>
    </row>
    <row r="5445" spans="2:7">
      <c r="B5445"/>
      <c r="C5445"/>
      <c r="D5445"/>
      <c r="G5445"/>
    </row>
    <row r="5446" spans="2:7">
      <c r="B5446"/>
      <c r="C5446"/>
      <c r="D5446"/>
      <c r="G5446"/>
    </row>
    <row r="5447" spans="2:7">
      <c r="B5447"/>
      <c r="C5447"/>
      <c r="D5447"/>
      <c r="G5447"/>
    </row>
    <row r="5448" spans="2:7">
      <c r="B5448"/>
      <c r="C5448"/>
      <c r="D5448"/>
      <c r="G5448"/>
    </row>
    <row r="5449" spans="2:7">
      <c r="B5449"/>
      <c r="C5449"/>
      <c r="D5449"/>
      <c r="G5449"/>
    </row>
    <row r="5450" spans="2:7">
      <c r="B5450"/>
      <c r="C5450"/>
      <c r="D5450"/>
      <c r="G5450"/>
    </row>
    <row r="5451" spans="2:7">
      <c r="B5451"/>
      <c r="C5451"/>
      <c r="D5451"/>
      <c r="G5451"/>
    </row>
    <row r="5452" spans="2:7">
      <c r="B5452"/>
      <c r="C5452"/>
      <c r="D5452"/>
      <c r="G5452"/>
    </row>
    <row r="5453" spans="2:7">
      <c r="B5453"/>
      <c r="C5453"/>
      <c r="D5453"/>
      <c r="G5453"/>
    </row>
    <row r="5454" spans="2:7">
      <c r="B5454"/>
      <c r="C5454"/>
      <c r="D5454"/>
      <c r="G5454"/>
    </row>
    <row r="5455" spans="2:7">
      <c r="B5455"/>
      <c r="C5455"/>
      <c r="D5455"/>
      <c r="G5455"/>
    </row>
    <row r="5456" spans="2:7">
      <c r="B5456"/>
      <c r="C5456"/>
      <c r="D5456"/>
      <c r="G5456"/>
    </row>
    <row r="5457" spans="2:7">
      <c r="B5457"/>
      <c r="C5457"/>
      <c r="D5457"/>
      <c r="G5457"/>
    </row>
    <row r="5458" spans="2:7">
      <c r="B5458"/>
      <c r="C5458"/>
      <c r="D5458"/>
      <c r="G5458"/>
    </row>
    <row r="5459" spans="2:7">
      <c r="B5459"/>
      <c r="C5459"/>
      <c r="D5459"/>
      <c r="G5459"/>
    </row>
    <row r="5460" spans="2:7">
      <c r="B5460"/>
      <c r="C5460"/>
      <c r="D5460"/>
      <c r="G5460"/>
    </row>
    <row r="5461" spans="2:7">
      <c r="B5461"/>
      <c r="C5461"/>
      <c r="D5461"/>
      <c r="G5461"/>
    </row>
    <row r="5462" spans="2:7">
      <c r="B5462"/>
      <c r="C5462"/>
      <c r="D5462"/>
      <c r="G5462"/>
    </row>
    <row r="5463" spans="2:7">
      <c r="B5463"/>
      <c r="C5463"/>
      <c r="D5463"/>
      <c r="G5463"/>
    </row>
    <row r="5464" spans="2:7">
      <c r="B5464"/>
      <c r="C5464"/>
      <c r="D5464"/>
      <c r="G5464"/>
    </row>
    <row r="5465" spans="2:7">
      <c r="B5465"/>
      <c r="C5465"/>
      <c r="D5465"/>
      <c r="G5465"/>
    </row>
    <row r="5466" spans="2:7">
      <c r="B5466"/>
      <c r="C5466"/>
      <c r="D5466"/>
      <c r="G5466"/>
    </row>
    <row r="5467" spans="2:7">
      <c r="B5467"/>
      <c r="C5467"/>
      <c r="D5467"/>
      <c r="G5467"/>
    </row>
    <row r="5468" spans="2:7">
      <c r="B5468"/>
      <c r="C5468"/>
      <c r="D5468"/>
      <c r="G5468"/>
    </row>
    <row r="5469" spans="2:7">
      <c r="B5469"/>
      <c r="C5469"/>
      <c r="D5469"/>
      <c r="G5469"/>
    </row>
    <row r="5470" spans="2:7">
      <c r="B5470"/>
      <c r="C5470"/>
      <c r="D5470"/>
      <c r="G5470"/>
    </row>
    <row r="5471" spans="2:7">
      <c r="B5471"/>
      <c r="C5471"/>
      <c r="D5471"/>
      <c r="G5471"/>
    </row>
    <row r="5472" spans="2:7">
      <c r="B5472"/>
      <c r="C5472"/>
      <c r="D5472"/>
      <c r="G5472"/>
    </row>
    <row r="5473" spans="2:7">
      <c r="B5473"/>
      <c r="C5473"/>
      <c r="D5473"/>
      <c r="G5473"/>
    </row>
    <row r="5474" spans="2:7">
      <c r="B5474"/>
      <c r="C5474"/>
      <c r="D5474"/>
      <c r="G5474"/>
    </row>
    <row r="5475" spans="2:7">
      <c r="B5475"/>
      <c r="C5475"/>
      <c r="D5475"/>
      <c r="G5475"/>
    </row>
    <row r="5476" spans="2:7">
      <c r="B5476"/>
      <c r="C5476"/>
      <c r="D5476"/>
      <c r="G5476"/>
    </row>
    <row r="5477" spans="2:7">
      <c r="B5477"/>
      <c r="C5477"/>
      <c r="D5477"/>
      <c r="G5477"/>
    </row>
    <row r="5478" spans="2:7">
      <c r="B5478"/>
      <c r="C5478"/>
      <c r="D5478"/>
      <c r="G5478"/>
    </row>
    <row r="5479" spans="2:7">
      <c r="B5479"/>
      <c r="C5479"/>
      <c r="D5479"/>
      <c r="G5479"/>
    </row>
    <row r="5480" spans="2:7">
      <c r="B5480"/>
      <c r="C5480"/>
      <c r="D5480"/>
      <c r="G5480"/>
    </row>
    <row r="5481" spans="2:7">
      <c r="B5481"/>
      <c r="C5481"/>
      <c r="D5481"/>
      <c r="G5481"/>
    </row>
    <row r="5482" spans="2:7">
      <c r="B5482"/>
      <c r="C5482"/>
      <c r="D5482"/>
      <c r="G5482"/>
    </row>
    <row r="5483" spans="2:7">
      <c r="B5483"/>
      <c r="C5483"/>
      <c r="D5483"/>
      <c r="G5483"/>
    </row>
    <row r="5484" spans="2:7">
      <c r="B5484"/>
      <c r="C5484"/>
      <c r="D5484"/>
      <c r="G5484"/>
    </row>
    <row r="5485" spans="2:7">
      <c r="B5485"/>
      <c r="C5485"/>
      <c r="D5485"/>
      <c r="G5485"/>
    </row>
    <row r="5486" spans="2:7">
      <c r="B5486"/>
      <c r="C5486"/>
      <c r="D5486"/>
      <c r="G5486"/>
    </row>
    <row r="5487" spans="2:7">
      <c r="B5487"/>
      <c r="C5487"/>
      <c r="D5487"/>
      <c r="G5487"/>
    </row>
    <row r="5488" spans="2:7">
      <c r="B5488"/>
      <c r="C5488"/>
      <c r="D5488"/>
      <c r="G5488"/>
    </row>
    <row r="5489" spans="2:7">
      <c r="B5489"/>
      <c r="C5489"/>
      <c r="D5489"/>
      <c r="G5489"/>
    </row>
    <row r="5490" spans="2:7">
      <c r="B5490"/>
      <c r="C5490"/>
      <c r="D5490"/>
      <c r="G5490"/>
    </row>
    <row r="5491" spans="2:7">
      <c r="B5491"/>
      <c r="C5491"/>
      <c r="D5491"/>
      <c r="G5491"/>
    </row>
    <row r="5492" spans="2:7">
      <c r="B5492"/>
      <c r="C5492"/>
      <c r="D5492"/>
      <c r="G5492"/>
    </row>
    <row r="5493" spans="2:7">
      <c r="B5493"/>
      <c r="C5493"/>
      <c r="D5493"/>
      <c r="G5493"/>
    </row>
    <row r="5494" spans="2:7">
      <c r="B5494"/>
      <c r="C5494"/>
      <c r="D5494"/>
      <c r="G5494"/>
    </row>
    <row r="5495" spans="2:7">
      <c r="B5495"/>
      <c r="C5495"/>
      <c r="D5495"/>
      <c r="G5495"/>
    </row>
    <row r="5496" spans="2:7">
      <c r="B5496"/>
      <c r="C5496"/>
      <c r="D5496"/>
      <c r="G5496"/>
    </row>
    <row r="5497" spans="2:7">
      <c r="B5497"/>
      <c r="C5497"/>
      <c r="D5497"/>
      <c r="G5497"/>
    </row>
    <row r="5498" spans="2:7">
      <c r="B5498"/>
      <c r="C5498"/>
      <c r="D5498"/>
      <c r="G5498"/>
    </row>
    <row r="5499" spans="2:7">
      <c r="B5499"/>
      <c r="C5499"/>
      <c r="D5499"/>
      <c r="G5499"/>
    </row>
    <row r="5500" spans="2:7">
      <c r="B5500"/>
      <c r="C5500"/>
      <c r="D5500"/>
      <c r="G5500"/>
    </row>
    <row r="5501" spans="2:7">
      <c r="B5501"/>
      <c r="C5501"/>
      <c r="D5501"/>
      <c r="G5501"/>
    </row>
    <row r="5502" spans="2:7">
      <c r="B5502"/>
      <c r="C5502"/>
      <c r="D5502"/>
      <c r="G5502"/>
    </row>
    <row r="5503" spans="2:7">
      <c r="B5503"/>
      <c r="C5503"/>
      <c r="D5503"/>
      <c r="G5503"/>
    </row>
    <row r="5504" spans="2:7">
      <c r="B5504"/>
      <c r="C5504"/>
      <c r="D5504"/>
      <c r="G5504"/>
    </row>
    <row r="5505" spans="2:7">
      <c r="B5505"/>
      <c r="C5505"/>
      <c r="D5505"/>
      <c r="G5505"/>
    </row>
    <row r="5506" spans="2:7">
      <c r="B5506"/>
      <c r="C5506"/>
      <c r="D5506"/>
      <c r="G5506"/>
    </row>
    <row r="5507" spans="2:7">
      <c r="B5507"/>
      <c r="C5507"/>
      <c r="D5507"/>
      <c r="G5507"/>
    </row>
    <row r="5508" spans="2:7">
      <c r="B5508"/>
      <c r="C5508"/>
      <c r="D5508"/>
      <c r="G5508"/>
    </row>
    <row r="5509" spans="2:7">
      <c r="B5509"/>
      <c r="C5509"/>
      <c r="D5509"/>
      <c r="G5509"/>
    </row>
    <row r="5510" spans="2:7">
      <c r="B5510"/>
      <c r="C5510"/>
      <c r="D5510"/>
      <c r="G5510"/>
    </row>
    <row r="5511" spans="2:7">
      <c r="B5511"/>
      <c r="C5511"/>
      <c r="D5511"/>
      <c r="G5511"/>
    </row>
    <row r="5512" spans="2:7">
      <c r="B5512"/>
      <c r="C5512"/>
      <c r="D5512"/>
      <c r="G5512"/>
    </row>
    <row r="5513" spans="2:7">
      <c r="B5513"/>
      <c r="C5513"/>
      <c r="D5513"/>
      <c r="G5513"/>
    </row>
    <row r="5514" spans="2:7">
      <c r="B5514"/>
      <c r="C5514"/>
      <c r="D5514"/>
      <c r="G5514"/>
    </row>
    <row r="5515" spans="2:7">
      <c r="B5515"/>
      <c r="C5515"/>
      <c r="D5515"/>
      <c r="G5515"/>
    </row>
    <row r="5516" spans="2:7">
      <c r="B5516"/>
      <c r="C5516"/>
      <c r="D5516"/>
      <c r="G5516"/>
    </row>
    <row r="5517" spans="2:7">
      <c r="B5517"/>
      <c r="C5517"/>
      <c r="D5517"/>
      <c r="G5517"/>
    </row>
    <row r="5518" spans="2:7">
      <c r="B5518"/>
      <c r="C5518"/>
      <c r="D5518"/>
      <c r="G5518"/>
    </row>
    <row r="5519" spans="2:7">
      <c r="B5519"/>
      <c r="C5519"/>
      <c r="D5519"/>
      <c r="G5519"/>
    </row>
    <row r="5520" spans="2:7">
      <c r="B5520"/>
      <c r="C5520"/>
      <c r="D5520"/>
      <c r="G5520"/>
    </row>
    <row r="5521" spans="2:7">
      <c r="B5521"/>
      <c r="C5521"/>
      <c r="D5521"/>
      <c r="G5521"/>
    </row>
    <row r="5522" spans="2:7">
      <c r="B5522"/>
      <c r="C5522"/>
      <c r="D5522"/>
      <c r="G5522"/>
    </row>
    <row r="5523" spans="2:7">
      <c r="B5523"/>
      <c r="C5523"/>
      <c r="D5523"/>
      <c r="G5523"/>
    </row>
    <row r="5524" spans="2:7">
      <c r="B5524"/>
      <c r="C5524"/>
      <c r="D5524"/>
      <c r="G5524"/>
    </row>
    <row r="5525" spans="2:7">
      <c r="B5525"/>
      <c r="C5525"/>
      <c r="D5525"/>
      <c r="G5525"/>
    </row>
    <row r="5526" spans="2:7">
      <c r="B5526"/>
      <c r="C5526"/>
      <c r="D5526"/>
      <c r="G5526"/>
    </row>
    <row r="5527" spans="2:7">
      <c r="B5527"/>
      <c r="C5527"/>
      <c r="D5527"/>
      <c r="G5527"/>
    </row>
    <row r="5528" spans="2:7">
      <c r="B5528"/>
      <c r="C5528"/>
      <c r="D5528"/>
      <c r="G5528"/>
    </row>
    <row r="5529" spans="2:7">
      <c r="B5529"/>
      <c r="C5529"/>
      <c r="D5529"/>
      <c r="G5529"/>
    </row>
    <row r="5530" spans="2:7">
      <c r="B5530"/>
      <c r="C5530"/>
      <c r="D5530"/>
      <c r="G5530"/>
    </row>
    <row r="5531" spans="2:7">
      <c r="B5531"/>
      <c r="C5531"/>
      <c r="D5531"/>
      <c r="G5531"/>
    </row>
    <row r="5532" spans="2:7">
      <c r="B5532"/>
      <c r="C5532"/>
      <c r="D5532"/>
      <c r="G5532"/>
    </row>
    <row r="5533" spans="2:7">
      <c r="B5533"/>
      <c r="C5533"/>
      <c r="D5533"/>
      <c r="G5533"/>
    </row>
    <row r="5534" spans="2:7">
      <c r="B5534"/>
      <c r="C5534"/>
      <c r="D5534"/>
      <c r="G5534"/>
    </row>
    <row r="5535" spans="2:7">
      <c r="B5535"/>
      <c r="C5535"/>
      <c r="D5535"/>
      <c r="G5535"/>
    </row>
    <row r="5536" spans="2:7">
      <c r="B5536"/>
      <c r="C5536"/>
      <c r="D5536"/>
      <c r="G5536"/>
    </row>
    <row r="5537" spans="2:7">
      <c r="B5537"/>
      <c r="C5537"/>
      <c r="D5537"/>
      <c r="G5537"/>
    </row>
    <row r="5538" spans="2:7">
      <c r="B5538"/>
      <c r="C5538"/>
      <c r="D5538"/>
      <c r="G5538"/>
    </row>
    <row r="5539" spans="2:7">
      <c r="B5539"/>
      <c r="C5539"/>
      <c r="D5539"/>
      <c r="G5539"/>
    </row>
    <row r="5540" spans="2:7">
      <c r="B5540"/>
      <c r="C5540"/>
      <c r="D5540"/>
      <c r="G5540"/>
    </row>
    <row r="5541" spans="2:7">
      <c r="B5541"/>
      <c r="C5541"/>
      <c r="D5541"/>
      <c r="G5541"/>
    </row>
    <row r="5542" spans="2:7">
      <c r="B5542"/>
      <c r="C5542"/>
      <c r="D5542"/>
      <c r="G5542"/>
    </row>
    <row r="5543" spans="2:7">
      <c r="B5543"/>
      <c r="C5543"/>
      <c r="D5543"/>
      <c r="G5543"/>
    </row>
    <row r="5544" spans="2:7">
      <c r="B5544"/>
      <c r="C5544"/>
      <c r="D5544"/>
      <c r="G5544"/>
    </row>
    <row r="5545" spans="2:7">
      <c r="B5545"/>
      <c r="C5545"/>
      <c r="D5545"/>
      <c r="G5545"/>
    </row>
    <row r="5546" spans="2:7">
      <c r="B5546"/>
      <c r="C5546"/>
      <c r="D5546"/>
      <c r="G5546"/>
    </row>
    <row r="5547" spans="2:7">
      <c r="B5547"/>
      <c r="C5547"/>
      <c r="D5547"/>
      <c r="G5547"/>
    </row>
    <row r="5548" spans="2:7">
      <c r="B5548"/>
      <c r="C5548"/>
      <c r="D5548"/>
      <c r="G5548"/>
    </row>
    <row r="5549" spans="2:7">
      <c r="B5549"/>
      <c r="C5549"/>
      <c r="D5549"/>
      <c r="G5549"/>
    </row>
    <row r="5550" spans="2:7">
      <c r="B5550"/>
      <c r="C5550"/>
      <c r="D5550"/>
      <c r="G5550"/>
    </row>
    <row r="5551" spans="2:7">
      <c r="B5551"/>
      <c r="C5551"/>
      <c r="D5551"/>
      <c r="G5551"/>
    </row>
    <row r="5552" spans="2:7">
      <c r="B5552"/>
      <c r="C5552"/>
      <c r="D5552"/>
      <c r="G5552"/>
    </row>
    <row r="5553" spans="2:7">
      <c r="B5553"/>
      <c r="C5553"/>
      <c r="D5553"/>
      <c r="G5553"/>
    </row>
    <row r="5554" spans="2:7">
      <c r="B5554"/>
      <c r="C5554"/>
      <c r="D5554"/>
      <c r="G5554"/>
    </row>
    <row r="5555" spans="2:7">
      <c r="B5555"/>
      <c r="C5555"/>
      <c r="D5555"/>
      <c r="G5555"/>
    </row>
    <row r="5556" spans="2:7">
      <c r="B5556"/>
      <c r="C5556"/>
      <c r="D5556"/>
      <c r="G5556"/>
    </row>
    <row r="5557" spans="2:7">
      <c r="B5557"/>
      <c r="C5557"/>
      <c r="D5557"/>
      <c r="G5557"/>
    </row>
    <row r="5558" spans="2:7">
      <c r="B5558"/>
      <c r="C5558"/>
      <c r="D5558"/>
      <c r="G5558"/>
    </row>
    <row r="5559" spans="2:7">
      <c r="B5559"/>
      <c r="C5559"/>
      <c r="D5559"/>
      <c r="G5559"/>
    </row>
    <row r="5560" spans="2:7">
      <c r="B5560"/>
      <c r="C5560"/>
      <c r="D5560"/>
      <c r="G5560"/>
    </row>
    <row r="5561" spans="2:7">
      <c r="B5561"/>
      <c r="C5561"/>
      <c r="D5561"/>
      <c r="G5561"/>
    </row>
    <row r="5562" spans="2:7">
      <c r="B5562"/>
      <c r="C5562"/>
      <c r="D5562"/>
      <c r="G5562"/>
    </row>
    <row r="5563" spans="2:7">
      <c r="B5563"/>
      <c r="C5563"/>
      <c r="D5563"/>
      <c r="G5563"/>
    </row>
    <row r="5564" spans="2:7">
      <c r="B5564"/>
      <c r="C5564"/>
      <c r="D5564"/>
      <c r="G5564"/>
    </row>
    <row r="5565" spans="2:7">
      <c r="B5565"/>
      <c r="C5565"/>
      <c r="D5565"/>
      <c r="G5565"/>
    </row>
    <row r="5566" spans="2:7">
      <c r="B5566"/>
      <c r="C5566"/>
      <c r="D5566"/>
      <c r="G5566"/>
    </row>
    <row r="5567" spans="2:7">
      <c r="B5567"/>
      <c r="C5567"/>
      <c r="D5567"/>
      <c r="G5567"/>
    </row>
    <row r="5568" spans="2:7">
      <c r="B5568"/>
      <c r="C5568"/>
      <c r="D5568"/>
      <c r="G5568"/>
    </row>
    <row r="5569" spans="2:7">
      <c r="B5569"/>
      <c r="C5569"/>
      <c r="D5569"/>
      <c r="G5569"/>
    </row>
    <row r="5570" spans="2:7">
      <c r="B5570"/>
      <c r="C5570"/>
      <c r="D5570"/>
      <c r="G5570"/>
    </row>
    <row r="5571" spans="2:7">
      <c r="B5571"/>
      <c r="C5571"/>
      <c r="D5571"/>
      <c r="G5571"/>
    </row>
    <row r="5572" spans="2:7">
      <c r="B5572"/>
      <c r="C5572"/>
      <c r="D5572"/>
      <c r="G5572"/>
    </row>
    <row r="5573" spans="2:7">
      <c r="B5573"/>
      <c r="C5573"/>
      <c r="D5573"/>
      <c r="G5573"/>
    </row>
    <row r="5574" spans="2:7">
      <c r="B5574"/>
      <c r="C5574"/>
      <c r="D5574"/>
      <c r="G5574"/>
    </row>
    <row r="5575" spans="2:7">
      <c r="B5575"/>
      <c r="C5575"/>
      <c r="D5575"/>
      <c r="G5575"/>
    </row>
    <row r="5576" spans="2:7">
      <c r="B5576"/>
      <c r="C5576"/>
      <c r="D5576"/>
      <c r="G5576"/>
    </row>
    <row r="5577" spans="2:7">
      <c r="B5577"/>
      <c r="C5577"/>
      <c r="D5577"/>
      <c r="G5577"/>
    </row>
    <row r="5578" spans="2:7">
      <c r="B5578"/>
      <c r="C5578"/>
      <c r="D5578"/>
      <c r="G5578"/>
    </row>
    <row r="5579" spans="2:7">
      <c r="B5579"/>
      <c r="C5579"/>
      <c r="D5579"/>
      <c r="G5579"/>
    </row>
    <row r="5580" spans="2:7">
      <c r="B5580"/>
      <c r="C5580"/>
      <c r="D5580"/>
      <c r="G5580"/>
    </row>
    <row r="5581" spans="2:7">
      <c r="B5581"/>
      <c r="C5581"/>
      <c r="D5581"/>
      <c r="G5581"/>
    </row>
    <row r="5582" spans="2:7">
      <c r="B5582"/>
      <c r="C5582"/>
      <c r="D5582"/>
      <c r="G5582"/>
    </row>
    <row r="5583" spans="2:7">
      <c r="B5583"/>
      <c r="C5583"/>
      <c r="D5583"/>
      <c r="G5583"/>
    </row>
    <row r="5584" spans="2:7">
      <c r="B5584"/>
      <c r="C5584"/>
      <c r="D5584"/>
      <c r="G5584"/>
    </row>
    <row r="5585" spans="2:7">
      <c r="B5585"/>
      <c r="C5585"/>
      <c r="D5585"/>
      <c r="G5585"/>
    </row>
    <row r="5586" spans="2:7">
      <c r="B5586"/>
      <c r="C5586"/>
      <c r="D5586"/>
      <c r="G5586"/>
    </row>
    <row r="5587" spans="2:7">
      <c r="B5587"/>
      <c r="C5587"/>
      <c r="D5587"/>
      <c r="G5587"/>
    </row>
    <row r="5588" spans="2:7">
      <c r="B5588"/>
      <c r="C5588"/>
      <c r="D5588"/>
      <c r="G5588"/>
    </row>
    <row r="5589" spans="2:7">
      <c r="B5589"/>
      <c r="C5589"/>
      <c r="D5589"/>
      <c r="G5589"/>
    </row>
    <row r="5590" spans="2:7">
      <c r="B5590"/>
      <c r="C5590"/>
      <c r="D5590"/>
      <c r="G5590"/>
    </row>
    <row r="5591" spans="2:7">
      <c r="B5591"/>
      <c r="C5591"/>
      <c r="D5591"/>
      <c r="G5591"/>
    </row>
    <row r="5592" spans="2:7">
      <c r="B5592"/>
      <c r="C5592"/>
      <c r="D5592"/>
      <c r="G5592"/>
    </row>
    <row r="5593" spans="2:7">
      <c r="B5593"/>
      <c r="C5593"/>
      <c r="D5593"/>
      <c r="G5593"/>
    </row>
    <row r="5594" spans="2:7">
      <c r="B5594"/>
      <c r="C5594"/>
      <c r="D5594"/>
      <c r="G5594"/>
    </row>
    <row r="5595" spans="2:7">
      <c r="B5595"/>
      <c r="C5595"/>
      <c r="D5595"/>
      <c r="G5595"/>
    </row>
    <row r="5596" spans="2:7">
      <c r="B5596"/>
      <c r="C5596"/>
      <c r="D5596"/>
      <c r="G5596"/>
    </row>
    <row r="5597" spans="2:7">
      <c r="B5597"/>
      <c r="C5597"/>
      <c r="D5597"/>
      <c r="G5597"/>
    </row>
    <row r="5598" spans="2:7">
      <c r="B5598"/>
      <c r="C5598"/>
      <c r="D5598"/>
      <c r="G5598"/>
    </row>
    <row r="5599" spans="2:7">
      <c r="B5599"/>
      <c r="C5599"/>
      <c r="D5599"/>
      <c r="G5599"/>
    </row>
    <row r="5600" spans="2:7">
      <c r="B5600"/>
      <c r="C5600"/>
      <c r="D5600"/>
      <c r="G5600"/>
    </row>
    <row r="5601" spans="2:7">
      <c r="B5601"/>
      <c r="C5601"/>
      <c r="D5601"/>
      <c r="G5601"/>
    </row>
    <row r="5602" spans="2:7">
      <c r="B5602"/>
      <c r="C5602"/>
      <c r="D5602"/>
      <c r="G5602"/>
    </row>
    <row r="5603" spans="2:7">
      <c r="B5603"/>
      <c r="C5603"/>
      <c r="D5603"/>
      <c r="G5603"/>
    </row>
    <row r="5604" spans="2:7">
      <c r="B5604"/>
      <c r="C5604"/>
      <c r="D5604"/>
      <c r="G5604"/>
    </row>
    <row r="5605" spans="2:7">
      <c r="B5605"/>
      <c r="C5605"/>
      <c r="D5605"/>
      <c r="G5605"/>
    </row>
    <row r="5606" spans="2:7">
      <c r="B5606"/>
      <c r="C5606"/>
      <c r="D5606"/>
      <c r="G5606"/>
    </row>
    <row r="5607" spans="2:7">
      <c r="B5607"/>
      <c r="C5607"/>
      <c r="D5607"/>
      <c r="G5607"/>
    </row>
    <row r="5608" spans="2:7">
      <c r="B5608"/>
      <c r="C5608"/>
      <c r="D5608"/>
      <c r="G5608"/>
    </row>
    <row r="5609" spans="2:7">
      <c r="B5609"/>
      <c r="C5609"/>
      <c r="D5609"/>
      <c r="G5609"/>
    </row>
    <row r="5610" spans="2:7">
      <c r="B5610"/>
      <c r="C5610"/>
      <c r="D5610"/>
      <c r="G5610"/>
    </row>
    <row r="5611" spans="2:7">
      <c r="B5611"/>
      <c r="C5611"/>
      <c r="D5611"/>
      <c r="G5611"/>
    </row>
    <row r="5612" spans="2:7">
      <c r="B5612"/>
      <c r="C5612"/>
      <c r="D5612"/>
      <c r="G5612"/>
    </row>
    <row r="5613" spans="2:7">
      <c r="B5613"/>
      <c r="C5613"/>
      <c r="D5613"/>
      <c r="G5613"/>
    </row>
    <row r="5614" spans="2:7">
      <c r="B5614"/>
      <c r="C5614"/>
      <c r="D5614"/>
      <c r="G5614"/>
    </row>
    <row r="5615" spans="2:7">
      <c r="B5615"/>
      <c r="C5615"/>
      <c r="D5615"/>
      <c r="G5615"/>
    </row>
    <row r="5616" spans="2:7">
      <c r="B5616"/>
      <c r="C5616"/>
      <c r="D5616"/>
      <c r="G5616"/>
    </row>
    <row r="5617" spans="2:7">
      <c r="B5617"/>
      <c r="C5617"/>
      <c r="D5617"/>
      <c r="G5617"/>
    </row>
    <row r="5618" spans="2:7">
      <c r="B5618"/>
      <c r="C5618"/>
      <c r="D5618"/>
      <c r="G5618"/>
    </row>
    <row r="5619" spans="2:7">
      <c r="B5619"/>
      <c r="C5619"/>
      <c r="D5619"/>
      <c r="G5619"/>
    </row>
    <row r="5620" spans="2:7">
      <c r="B5620"/>
      <c r="C5620"/>
      <c r="D5620"/>
      <c r="G5620"/>
    </row>
    <row r="5621" spans="2:7">
      <c r="B5621"/>
      <c r="C5621"/>
      <c r="D5621"/>
      <c r="G5621"/>
    </row>
    <row r="5622" spans="2:7">
      <c r="B5622"/>
      <c r="C5622"/>
      <c r="D5622"/>
      <c r="G5622"/>
    </row>
    <row r="5623" spans="2:7">
      <c r="B5623"/>
      <c r="C5623"/>
      <c r="D5623"/>
      <c r="G5623"/>
    </row>
    <row r="5624" spans="2:7">
      <c r="B5624"/>
      <c r="C5624"/>
      <c r="D5624"/>
      <c r="G5624"/>
    </row>
    <row r="5625" spans="2:7">
      <c r="B5625"/>
      <c r="C5625"/>
      <c r="D5625"/>
      <c r="G5625"/>
    </row>
    <row r="5626" spans="2:7">
      <c r="B5626"/>
      <c r="C5626"/>
      <c r="D5626"/>
      <c r="G5626"/>
    </row>
    <row r="5627" spans="2:7">
      <c r="B5627"/>
      <c r="C5627"/>
      <c r="D5627"/>
      <c r="G5627"/>
    </row>
    <row r="5628" spans="2:7">
      <c r="B5628"/>
      <c r="C5628"/>
      <c r="D5628"/>
      <c r="G5628"/>
    </row>
    <row r="5629" spans="2:7">
      <c r="B5629"/>
      <c r="C5629"/>
      <c r="D5629"/>
      <c r="G5629"/>
    </row>
    <row r="5630" spans="2:7">
      <c r="B5630"/>
      <c r="C5630"/>
      <c r="D5630"/>
      <c r="G5630"/>
    </row>
    <row r="5631" spans="2:7">
      <c r="B5631"/>
      <c r="C5631"/>
      <c r="D5631"/>
      <c r="G5631"/>
    </row>
    <row r="5632" spans="2:7">
      <c r="B5632"/>
      <c r="C5632"/>
      <c r="D5632"/>
      <c r="G5632"/>
    </row>
    <row r="5633" spans="2:7">
      <c r="B5633"/>
      <c r="C5633"/>
      <c r="D5633"/>
      <c r="G5633"/>
    </row>
    <row r="5634" spans="2:7">
      <c r="B5634"/>
      <c r="C5634"/>
      <c r="D5634"/>
      <c r="G5634"/>
    </row>
    <row r="5635" spans="2:7">
      <c r="B5635"/>
      <c r="C5635"/>
      <c r="D5635"/>
      <c r="G5635"/>
    </row>
    <row r="5636" spans="2:7">
      <c r="B5636"/>
      <c r="C5636"/>
      <c r="D5636"/>
      <c r="G5636"/>
    </row>
    <row r="5637" spans="2:7">
      <c r="B5637"/>
      <c r="C5637"/>
      <c r="D5637"/>
      <c r="G5637"/>
    </row>
    <row r="5638" spans="2:7">
      <c r="B5638"/>
      <c r="C5638"/>
      <c r="D5638"/>
      <c r="G5638"/>
    </row>
    <row r="5639" spans="2:7">
      <c r="B5639"/>
      <c r="C5639"/>
      <c r="D5639"/>
      <c r="G5639"/>
    </row>
    <row r="5640" spans="2:7">
      <c r="B5640"/>
      <c r="C5640"/>
      <c r="D5640"/>
      <c r="G5640"/>
    </row>
    <row r="5641" spans="2:7">
      <c r="B5641"/>
      <c r="C5641"/>
      <c r="D5641"/>
      <c r="G5641"/>
    </row>
    <row r="5642" spans="2:7">
      <c r="B5642"/>
      <c r="C5642"/>
      <c r="D5642"/>
      <c r="G5642"/>
    </row>
    <row r="5643" spans="2:7">
      <c r="B5643"/>
      <c r="C5643"/>
      <c r="D5643"/>
      <c r="G5643"/>
    </row>
    <row r="5644" spans="2:7">
      <c r="B5644"/>
      <c r="C5644"/>
      <c r="D5644"/>
      <c r="G5644"/>
    </row>
    <row r="5645" spans="2:7">
      <c r="B5645"/>
      <c r="C5645"/>
      <c r="D5645"/>
      <c r="G5645"/>
    </row>
    <row r="5646" spans="2:7">
      <c r="B5646"/>
      <c r="C5646"/>
      <c r="D5646"/>
      <c r="G5646"/>
    </row>
    <row r="5647" spans="2:7">
      <c r="B5647"/>
      <c r="C5647"/>
      <c r="D5647"/>
      <c r="G5647"/>
    </row>
    <row r="5648" spans="2:7">
      <c r="B5648"/>
      <c r="C5648"/>
      <c r="D5648"/>
      <c r="G5648"/>
    </row>
    <row r="5649" spans="2:7">
      <c r="B5649"/>
      <c r="C5649"/>
      <c r="D5649"/>
      <c r="G5649"/>
    </row>
    <row r="5650" spans="2:7">
      <c r="B5650"/>
      <c r="C5650"/>
      <c r="D5650"/>
      <c r="G5650"/>
    </row>
    <row r="5651" spans="2:7">
      <c r="B5651"/>
      <c r="C5651"/>
      <c r="D5651"/>
      <c r="G5651"/>
    </row>
    <row r="5652" spans="2:7">
      <c r="B5652"/>
      <c r="C5652"/>
      <c r="D5652"/>
      <c r="G5652"/>
    </row>
    <row r="5653" spans="2:7">
      <c r="B5653"/>
      <c r="C5653"/>
      <c r="D5653"/>
      <c r="G5653"/>
    </row>
    <row r="5654" spans="2:7">
      <c r="B5654"/>
      <c r="C5654"/>
      <c r="D5654"/>
      <c r="G5654"/>
    </row>
    <row r="5655" spans="2:7">
      <c r="B5655"/>
      <c r="C5655"/>
      <c r="D5655"/>
      <c r="G5655"/>
    </row>
    <row r="5656" spans="2:7">
      <c r="B5656"/>
      <c r="C5656"/>
      <c r="D5656"/>
      <c r="G5656"/>
    </row>
    <row r="5657" spans="2:7">
      <c r="B5657"/>
      <c r="C5657"/>
      <c r="D5657"/>
      <c r="G5657"/>
    </row>
    <row r="5658" spans="2:7">
      <c r="B5658"/>
      <c r="C5658"/>
      <c r="D5658"/>
      <c r="G5658"/>
    </row>
    <row r="5659" spans="2:7">
      <c r="B5659"/>
      <c r="C5659"/>
      <c r="D5659"/>
      <c r="G5659"/>
    </row>
    <row r="5660" spans="2:7">
      <c r="B5660"/>
      <c r="C5660"/>
      <c r="D5660"/>
      <c r="G5660"/>
    </row>
    <row r="5661" spans="2:7">
      <c r="B5661"/>
      <c r="C5661"/>
      <c r="D5661"/>
      <c r="G5661"/>
    </row>
    <row r="5662" spans="2:7">
      <c r="B5662"/>
      <c r="C5662"/>
      <c r="D5662"/>
      <c r="G5662"/>
    </row>
    <row r="5663" spans="2:7">
      <c r="B5663"/>
      <c r="C5663"/>
      <c r="D5663"/>
      <c r="G5663"/>
    </row>
    <row r="5664" spans="2:7">
      <c r="B5664"/>
      <c r="C5664"/>
      <c r="D5664"/>
      <c r="G5664"/>
    </row>
    <row r="5665" spans="2:7">
      <c r="B5665"/>
      <c r="C5665"/>
      <c r="D5665"/>
      <c r="G5665"/>
    </row>
    <row r="5666" spans="2:7">
      <c r="B5666"/>
      <c r="C5666"/>
      <c r="D5666"/>
      <c r="G5666"/>
    </row>
    <row r="5667" spans="2:7">
      <c r="B5667"/>
      <c r="C5667"/>
      <c r="D5667"/>
      <c r="G5667"/>
    </row>
    <row r="5668" spans="2:7">
      <c r="B5668"/>
      <c r="C5668"/>
      <c r="D5668"/>
      <c r="G5668"/>
    </row>
    <row r="5669" spans="2:7">
      <c r="B5669"/>
      <c r="C5669"/>
      <c r="D5669"/>
      <c r="G5669"/>
    </row>
    <row r="5670" spans="2:7">
      <c r="B5670"/>
      <c r="C5670"/>
      <c r="D5670"/>
      <c r="G5670"/>
    </row>
    <row r="5671" spans="2:7">
      <c r="B5671"/>
      <c r="C5671"/>
      <c r="D5671"/>
      <c r="G5671"/>
    </row>
    <row r="5672" spans="2:7">
      <c r="B5672"/>
      <c r="C5672"/>
      <c r="D5672"/>
      <c r="G5672"/>
    </row>
    <row r="5673" spans="2:7">
      <c r="B5673"/>
      <c r="C5673"/>
      <c r="D5673"/>
      <c r="G5673"/>
    </row>
    <row r="5674" spans="2:7">
      <c r="B5674"/>
      <c r="C5674"/>
      <c r="D5674"/>
      <c r="G5674"/>
    </row>
    <row r="5675" spans="2:7">
      <c r="B5675"/>
      <c r="C5675"/>
      <c r="D5675"/>
      <c r="G5675"/>
    </row>
    <row r="5676" spans="2:7">
      <c r="B5676"/>
      <c r="C5676"/>
      <c r="D5676"/>
      <c r="G5676"/>
    </row>
    <row r="5677" spans="2:7">
      <c r="B5677"/>
      <c r="C5677"/>
      <c r="D5677"/>
      <c r="G5677"/>
    </row>
    <row r="5678" spans="2:7">
      <c r="B5678"/>
      <c r="C5678"/>
      <c r="D5678"/>
      <c r="G5678"/>
    </row>
    <row r="5679" spans="2:7">
      <c r="B5679"/>
      <c r="C5679"/>
      <c r="D5679"/>
      <c r="G5679"/>
    </row>
    <row r="5680" spans="2:7">
      <c r="B5680"/>
      <c r="C5680"/>
      <c r="D5680"/>
      <c r="G5680"/>
    </row>
    <row r="5681" spans="2:7">
      <c r="B5681"/>
      <c r="C5681"/>
      <c r="D5681"/>
      <c r="G5681"/>
    </row>
    <row r="5682" spans="2:7">
      <c r="B5682"/>
      <c r="C5682"/>
      <c r="D5682"/>
      <c r="G5682"/>
    </row>
    <row r="5683" spans="2:7">
      <c r="B5683"/>
      <c r="C5683"/>
      <c r="D5683"/>
      <c r="G5683"/>
    </row>
    <row r="5684" spans="2:7">
      <c r="B5684"/>
      <c r="C5684"/>
      <c r="D5684"/>
      <c r="G5684"/>
    </row>
    <row r="5685" spans="2:7">
      <c r="B5685"/>
      <c r="C5685"/>
      <c r="D5685"/>
      <c r="G5685"/>
    </row>
    <row r="5686" spans="2:7">
      <c r="B5686"/>
      <c r="C5686"/>
      <c r="D5686"/>
      <c r="G5686"/>
    </row>
    <row r="5687" spans="2:7">
      <c r="B5687"/>
      <c r="C5687"/>
      <c r="D5687"/>
      <c r="G5687"/>
    </row>
    <row r="5688" spans="2:7">
      <c r="B5688"/>
      <c r="C5688"/>
      <c r="D5688"/>
      <c r="G5688"/>
    </row>
    <row r="5689" spans="2:7">
      <c r="B5689"/>
      <c r="C5689"/>
      <c r="D5689"/>
      <c r="G5689"/>
    </row>
    <row r="5690" spans="2:7">
      <c r="B5690"/>
      <c r="C5690"/>
      <c r="D5690"/>
      <c r="G5690"/>
    </row>
    <row r="5691" spans="2:7">
      <c r="B5691"/>
      <c r="C5691"/>
      <c r="D5691"/>
      <c r="G5691"/>
    </row>
    <row r="5692" spans="2:7">
      <c r="B5692"/>
      <c r="C5692"/>
      <c r="D5692"/>
      <c r="G5692"/>
    </row>
    <row r="5693" spans="2:7">
      <c r="B5693"/>
      <c r="C5693"/>
      <c r="D5693"/>
      <c r="G5693"/>
    </row>
    <row r="5694" spans="2:7">
      <c r="B5694"/>
      <c r="C5694"/>
      <c r="D5694"/>
      <c r="G5694"/>
    </row>
    <row r="5695" spans="2:7">
      <c r="B5695"/>
      <c r="C5695"/>
      <c r="D5695"/>
      <c r="G5695"/>
    </row>
    <row r="5696" spans="2:7">
      <c r="B5696"/>
      <c r="C5696"/>
      <c r="D5696"/>
      <c r="G5696"/>
    </row>
    <row r="5697" spans="2:7">
      <c r="B5697"/>
      <c r="C5697"/>
      <c r="D5697"/>
      <c r="G5697"/>
    </row>
    <row r="5698" spans="2:7">
      <c r="B5698"/>
      <c r="C5698"/>
      <c r="D5698"/>
      <c r="G5698"/>
    </row>
    <row r="5699" spans="2:7">
      <c r="B5699"/>
      <c r="C5699"/>
      <c r="D5699"/>
      <c r="G5699"/>
    </row>
    <row r="5700" spans="2:7">
      <c r="B5700"/>
      <c r="C5700"/>
      <c r="D5700"/>
      <c r="G5700"/>
    </row>
    <row r="5701" spans="2:7">
      <c r="B5701"/>
      <c r="C5701"/>
      <c r="D5701"/>
      <c r="G5701"/>
    </row>
    <row r="5702" spans="2:7">
      <c r="B5702"/>
      <c r="C5702"/>
      <c r="D5702"/>
      <c r="G5702"/>
    </row>
    <row r="5703" spans="2:7">
      <c r="B5703"/>
      <c r="C5703"/>
      <c r="D5703"/>
      <c r="G5703"/>
    </row>
    <row r="5704" spans="2:7">
      <c r="B5704"/>
      <c r="C5704"/>
      <c r="D5704"/>
      <c r="G5704"/>
    </row>
    <row r="5705" spans="2:7">
      <c r="B5705"/>
      <c r="C5705"/>
      <c r="D5705"/>
      <c r="G5705"/>
    </row>
    <row r="5706" spans="2:7">
      <c r="B5706"/>
      <c r="C5706"/>
      <c r="D5706"/>
      <c r="G5706"/>
    </row>
    <row r="5707" spans="2:7">
      <c r="B5707"/>
      <c r="C5707"/>
      <c r="D5707"/>
      <c r="G5707"/>
    </row>
    <row r="5708" spans="2:7">
      <c r="B5708"/>
      <c r="C5708"/>
      <c r="D5708"/>
      <c r="G5708"/>
    </row>
    <row r="5709" spans="2:7">
      <c r="B5709"/>
      <c r="C5709"/>
      <c r="D5709"/>
      <c r="G5709"/>
    </row>
    <row r="5710" spans="2:7">
      <c r="B5710"/>
      <c r="C5710"/>
      <c r="D5710"/>
      <c r="G5710"/>
    </row>
    <row r="5711" spans="2:7">
      <c r="B5711"/>
      <c r="C5711"/>
      <c r="D5711"/>
      <c r="G5711"/>
    </row>
    <row r="5712" spans="2:7">
      <c r="B5712"/>
      <c r="C5712"/>
      <c r="D5712"/>
      <c r="G5712"/>
    </row>
    <row r="5713" spans="2:7">
      <c r="B5713"/>
      <c r="C5713"/>
      <c r="D5713"/>
      <c r="G5713"/>
    </row>
    <row r="5714" spans="2:7">
      <c r="B5714"/>
      <c r="C5714"/>
      <c r="D5714"/>
      <c r="G5714"/>
    </row>
    <row r="5715" spans="2:7">
      <c r="B5715"/>
      <c r="C5715"/>
      <c r="D5715"/>
      <c r="G5715"/>
    </row>
    <row r="5716" spans="2:7">
      <c r="B5716"/>
      <c r="C5716"/>
      <c r="D5716"/>
      <c r="G5716"/>
    </row>
    <row r="5717" spans="2:7">
      <c r="B5717"/>
      <c r="C5717"/>
      <c r="D5717"/>
      <c r="G5717"/>
    </row>
    <row r="5718" spans="2:7">
      <c r="B5718"/>
      <c r="C5718"/>
      <c r="D5718"/>
      <c r="G5718"/>
    </row>
    <row r="5719" spans="2:7">
      <c r="B5719"/>
      <c r="C5719"/>
      <c r="D5719"/>
      <c r="G5719"/>
    </row>
    <row r="5720" spans="2:7">
      <c r="B5720"/>
      <c r="C5720"/>
      <c r="D5720"/>
      <c r="G5720"/>
    </row>
    <row r="5721" spans="2:7">
      <c r="B5721"/>
      <c r="C5721"/>
      <c r="D5721"/>
      <c r="G5721"/>
    </row>
    <row r="5722" spans="2:7">
      <c r="B5722"/>
      <c r="C5722"/>
      <c r="D5722"/>
      <c r="G5722"/>
    </row>
    <row r="5723" spans="2:7">
      <c r="B5723"/>
      <c r="C5723"/>
      <c r="D5723"/>
      <c r="G5723"/>
    </row>
    <row r="5724" spans="2:7">
      <c r="B5724"/>
      <c r="C5724"/>
      <c r="D5724"/>
      <c r="G5724"/>
    </row>
    <row r="5725" spans="2:7">
      <c r="B5725"/>
      <c r="C5725"/>
      <c r="D5725"/>
      <c r="G5725"/>
    </row>
    <row r="5726" spans="2:7">
      <c r="B5726"/>
      <c r="C5726"/>
      <c r="D5726"/>
      <c r="G5726"/>
    </row>
    <row r="5727" spans="2:7">
      <c r="B5727"/>
      <c r="C5727"/>
      <c r="D5727"/>
      <c r="G5727"/>
    </row>
    <row r="5728" spans="2:7">
      <c r="B5728"/>
      <c r="C5728"/>
      <c r="D5728"/>
      <c r="G5728"/>
    </row>
    <row r="5729" spans="2:7">
      <c r="B5729"/>
      <c r="C5729"/>
      <c r="D5729"/>
      <c r="G5729"/>
    </row>
    <row r="5730" spans="2:7">
      <c r="B5730"/>
      <c r="C5730"/>
      <c r="D5730"/>
      <c r="G5730"/>
    </row>
    <row r="5731" spans="2:7">
      <c r="B5731"/>
      <c r="C5731"/>
      <c r="D5731"/>
      <c r="G5731"/>
    </row>
    <row r="5732" spans="2:7">
      <c r="B5732"/>
      <c r="C5732"/>
      <c r="D5732"/>
      <c r="G5732"/>
    </row>
    <row r="5733" spans="2:7">
      <c r="B5733"/>
      <c r="C5733"/>
      <c r="D5733"/>
      <c r="G5733"/>
    </row>
    <row r="5734" spans="2:7">
      <c r="B5734"/>
      <c r="C5734"/>
      <c r="D5734"/>
      <c r="G5734"/>
    </row>
    <row r="5735" spans="2:7">
      <c r="B5735"/>
      <c r="C5735"/>
      <c r="D5735"/>
      <c r="G5735"/>
    </row>
    <row r="5736" spans="2:7">
      <c r="B5736"/>
      <c r="C5736"/>
      <c r="D5736"/>
      <c r="G5736"/>
    </row>
    <row r="5737" spans="2:7">
      <c r="B5737"/>
      <c r="C5737"/>
      <c r="D5737"/>
      <c r="G5737"/>
    </row>
    <row r="5738" spans="2:7">
      <c r="B5738"/>
      <c r="C5738"/>
      <c r="D5738"/>
      <c r="G5738"/>
    </row>
    <row r="5739" spans="2:7">
      <c r="B5739"/>
      <c r="C5739"/>
      <c r="D5739"/>
      <c r="G5739"/>
    </row>
    <row r="5740" spans="2:7">
      <c r="B5740"/>
      <c r="C5740"/>
      <c r="D5740"/>
      <c r="G5740"/>
    </row>
    <row r="5741" spans="2:7">
      <c r="B5741"/>
      <c r="C5741"/>
      <c r="D5741"/>
      <c r="G5741"/>
    </row>
    <row r="5742" spans="2:7">
      <c r="B5742"/>
      <c r="C5742"/>
      <c r="D5742"/>
      <c r="G5742"/>
    </row>
    <row r="5743" spans="2:7">
      <c r="B5743"/>
      <c r="C5743"/>
      <c r="D5743"/>
      <c r="G5743"/>
    </row>
    <row r="5744" spans="2:7">
      <c r="B5744"/>
      <c r="C5744"/>
      <c r="D5744"/>
      <c r="G5744"/>
    </row>
    <row r="5745" spans="2:7">
      <c r="B5745"/>
      <c r="C5745"/>
      <c r="D5745"/>
      <c r="G5745"/>
    </row>
    <row r="5746" spans="2:7">
      <c r="B5746"/>
      <c r="C5746"/>
      <c r="D5746"/>
      <c r="G5746"/>
    </row>
    <row r="5747" spans="2:7">
      <c r="B5747"/>
      <c r="C5747"/>
      <c r="D5747"/>
      <c r="G5747"/>
    </row>
    <row r="5748" spans="2:7">
      <c r="B5748"/>
      <c r="C5748"/>
      <c r="D5748"/>
      <c r="G5748"/>
    </row>
    <row r="5749" spans="2:7">
      <c r="B5749"/>
      <c r="C5749"/>
      <c r="D5749"/>
      <c r="G5749"/>
    </row>
    <row r="5750" spans="2:7">
      <c r="B5750"/>
      <c r="C5750"/>
      <c r="D5750"/>
      <c r="G5750"/>
    </row>
    <row r="5751" spans="2:7">
      <c r="B5751"/>
      <c r="C5751"/>
      <c r="D5751"/>
      <c r="G5751"/>
    </row>
    <row r="5752" spans="2:7">
      <c r="B5752"/>
      <c r="C5752"/>
      <c r="D5752"/>
      <c r="G5752"/>
    </row>
    <row r="5753" spans="2:7">
      <c r="B5753"/>
      <c r="C5753"/>
      <c r="D5753"/>
      <c r="G5753"/>
    </row>
    <row r="5754" spans="2:7">
      <c r="B5754"/>
      <c r="C5754"/>
      <c r="D5754"/>
      <c r="G5754"/>
    </row>
    <row r="5755" spans="2:7">
      <c r="B5755"/>
      <c r="C5755"/>
      <c r="D5755"/>
      <c r="G5755"/>
    </row>
    <row r="5756" spans="2:7">
      <c r="B5756"/>
      <c r="C5756"/>
      <c r="D5756"/>
      <c r="G5756"/>
    </row>
    <row r="5757" spans="2:7">
      <c r="B5757"/>
      <c r="C5757"/>
      <c r="D5757"/>
      <c r="G5757"/>
    </row>
    <row r="5758" spans="2:7">
      <c r="B5758"/>
      <c r="C5758"/>
      <c r="D5758"/>
      <c r="G5758"/>
    </row>
    <row r="5759" spans="2:7">
      <c r="B5759"/>
      <c r="C5759"/>
      <c r="D5759"/>
      <c r="G5759"/>
    </row>
    <row r="5760" spans="2:7">
      <c r="B5760"/>
      <c r="C5760"/>
      <c r="D5760"/>
      <c r="G5760"/>
    </row>
    <row r="5761" spans="2:7">
      <c r="B5761"/>
      <c r="C5761"/>
      <c r="D5761"/>
      <c r="G5761"/>
    </row>
    <row r="5762" spans="2:7">
      <c r="B5762"/>
      <c r="C5762"/>
      <c r="D5762"/>
      <c r="G5762"/>
    </row>
    <row r="5763" spans="2:7">
      <c r="B5763"/>
      <c r="C5763"/>
      <c r="D5763"/>
      <c r="G5763"/>
    </row>
    <row r="5764" spans="2:7">
      <c r="B5764"/>
      <c r="C5764"/>
      <c r="D5764"/>
      <c r="G5764"/>
    </row>
    <row r="5765" spans="2:7">
      <c r="B5765"/>
      <c r="C5765"/>
      <c r="D5765"/>
      <c r="G5765"/>
    </row>
    <row r="5766" spans="2:7">
      <c r="B5766"/>
      <c r="C5766"/>
      <c r="D5766"/>
      <c r="G5766"/>
    </row>
    <row r="5767" spans="2:7">
      <c r="B5767"/>
      <c r="C5767"/>
      <c r="D5767"/>
      <c r="G5767"/>
    </row>
    <row r="5768" spans="2:7">
      <c r="B5768"/>
      <c r="C5768"/>
      <c r="D5768"/>
      <c r="G5768"/>
    </row>
    <row r="5769" spans="2:7">
      <c r="B5769"/>
      <c r="C5769"/>
      <c r="D5769"/>
      <c r="G5769"/>
    </row>
    <row r="5770" spans="2:7">
      <c r="B5770"/>
      <c r="C5770"/>
      <c r="D5770"/>
      <c r="G5770"/>
    </row>
    <row r="5771" spans="2:7">
      <c r="B5771"/>
      <c r="C5771"/>
      <c r="D5771"/>
      <c r="G5771"/>
    </row>
    <row r="5772" spans="2:7">
      <c r="B5772"/>
      <c r="C5772"/>
      <c r="D5772"/>
      <c r="G5772"/>
    </row>
    <row r="5773" spans="2:7">
      <c r="B5773"/>
      <c r="C5773"/>
      <c r="D5773"/>
      <c r="G5773"/>
    </row>
    <row r="5774" spans="2:7">
      <c r="B5774"/>
      <c r="C5774"/>
      <c r="D5774"/>
      <c r="G5774"/>
    </row>
    <row r="5775" spans="2:7">
      <c r="B5775"/>
      <c r="C5775"/>
      <c r="D5775"/>
      <c r="G5775"/>
    </row>
    <row r="5776" spans="2:7">
      <c r="B5776"/>
      <c r="C5776"/>
      <c r="D5776"/>
      <c r="G5776"/>
    </row>
    <row r="5777" spans="2:7">
      <c r="B5777"/>
      <c r="C5777"/>
      <c r="D5777"/>
      <c r="G5777"/>
    </row>
    <row r="5778" spans="2:7">
      <c r="B5778"/>
      <c r="C5778"/>
      <c r="D5778"/>
      <c r="G5778"/>
    </row>
    <row r="5779" spans="2:7">
      <c r="B5779"/>
      <c r="C5779"/>
      <c r="D5779"/>
      <c r="G5779"/>
    </row>
    <row r="5780" spans="2:7">
      <c r="B5780"/>
      <c r="C5780"/>
      <c r="D5780"/>
      <c r="G5780"/>
    </row>
    <row r="5781" spans="2:7">
      <c r="B5781"/>
      <c r="C5781"/>
      <c r="D5781"/>
      <c r="G5781"/>
    </row>
    <row r="5782" spans="2:7">
      <c r="B5782"/>
      <c r="C5782"/>
      <c r="D5782"/>
      <c r="G5782"/>
    </row>
    <row r="5783" spans="2:7">
      <c r="B5783"/>
      <c r="C5783"/>
      <c r="D5783"/>
      <c r="G5783"/>
    </row>
    <row r="5784" spans="2:7">
      <c r="B5784"/>
      <c r="C5784"/>
      <c r="D5784"/>
      <c r="G5784"/>
    </row>
    <row r="5785" spans="2:7">
      <c r="B5785"/>
      <c r="C5785"/>
      <c r="D5785"/>
      <c r="G5785"/>
    </row>
    <row r="5786" spans="2:7">
      <c r="B5786"/>
      <c r="C5786"/>
      <c r="D5786"/>
      <c r="G5786"/>
    </row>
    <row r="5787" spans="2:7">
      <c r="B5787"/>
      <c r="C5787"/>
      <c r="D5787"/>
      <c r="G5787"/>
    </row>
    <row r="5788" spans="2:7">
      <c r="B5788"/>
      <c r="C5788"/>
      <c r="D5788"/>
      <c r="G5788"/>
    </row>
    <row r="5789" spans="2:7">
      <c r="B5789"/>
      <c r="C5789"/>
      <c r="D5789"/>
      <c r="G5789"/>
    </row>
    <row r="5790" spans="2:7">
      <c r="B5790"/>
      <c r="C5790"/>
      <c r="D5790"/>
      <c r="G5790"/>
    </row>
    <row r="5791" spans="2:7">
      <c r="B5791"/>
      <c r="C5791"/>
      <c r="D5791"/>
      <c r="G5791"/>
    </row>
    <row r="5792" spans="2:7">
      <c r="B5792"/>
      <c r="C5792"/>
      <c r="D5792"/>
      <c r="G5792"/>
    </row>
    <row r="5793" spans="2:7">
      <c r="B5793"/>
      <c r="C5793"/>
      <c r="D5793"/>
      <c r="G5793"/>
    </row>
    <row r="5794" spans="2:7">
      <c r="B5794"/>
      <c r="C5794"/>
      <c r="D5794"/>
      <c r="G5794"/>
    </row>
    <row r="5795" spans="2:7">
      <c r="B5795"/>
      <c r="C5795"/>
      <c r="D5795"/>
      <c r="G5795"/>
    </row>
    <row r="5796" spans="2:7">
      <c r="B5796"/>
      <c r="C5796"/>
      <c r="D5796"/>
      <c r="G5796"/>
    </row>
    <row r="5797" spans="2:7">
      <c r="B5797"/>
      <c r="C5797"/>
      <c r="D5797"/>
      <c r="G5797"/>
    </row>
    <row r="5798" spans="2:7">
      <c r="B5798"/>
      <c r="C5798"/>
      <c r="D5798"/>
      <c r="G5798"/>
    </row>
    <row r="5799" spans="2:7">
      <c r="B5799"/>
      <c r="C5799"/>
      <c r="D5799"/>
      <c r="G5799"/>
    </row>
    <row r="5800" spans="2:7">
      <c r="B5800"/>
      <c r="C5800"/>
      <c r="D5800"/>
      <c r="G5800"/>
    </row>
    <row r="5801" spans="2:7">
      <c r="B5801"/>
      <c r="C5801"/>
      <c r="D5801"/>
      <c r="G5801"/>
    </row>
    <row r="5802" spans="2:7">
      <c r="B5802"/>
      <c r="C5802"/>
      <c r="D5802"/>
      <c r="G5802"/>
    </row>
    <row r="5803" spans="2:7">
      <c r="B5803"/>
      <c r="C5803"/>
      <c r="D5803"/>
      <c r="G5803"/>
    </row>
    <row r="5804" spans="2:7">
      <c r="B5804"/>
      <c r="C5804"/>
      <c r="D5804"/>
      <c r="G5804"/>
    </row>
    <row r="5805" spans="2:7">
      <c r="B5805"/>
      <c r="C5805"/>
      <c r="D5805"/>
      <c r="G5805"/>
    </row>
    <row r="5806" spans="2:7">
      <c r="B5806"/>
      <c r="C5806"/>
      <c r="D5806"/>
      <c r="G5806"/>
    </row>
    <row r="5807" spans="2:7">
      <c r="B5807"/>
      <c r="C5807"/>
      <c r="D5807"/>
      <c r="G5807"/>
    </row>
    <row r="5808" spans="2:7">
      <c r="B5808"/>
      <c r="C5808"/>
      <c r="D5808"/>
      <c r="G5808"/>
    </row>
    <row r="5809" spans="2:7">
      <c r="B5809"/>
      <c r="C5809"/>
      <c r="D5809"/>
      <c r="G5809"/>
    </row>
    <row r="5810" spans="2:7">
      <c r="B5810"/>
      <c r="C5810"/>
      <c r="D5810"/>
      <c r="G5810"/>
    </row>
    <row r="5811" spans="2:7">
      <c r="B5811"/>
      <c r="C5811"/>
      <c r="D5811"/>
      <c r="G5811"/>
    </row>
    <row r="5812" spans="2:7">
      <c r="B5812"/>
      <c r="C5812"/>
      <c r="D5812"/>
      <c r="G5812"/>
    </row>
    <row r="5813" spans="2:7">
      <c r="B5813"/>
      <c r="C5813"/>
      <c r="D5813"/>
      <c r="G5813"/>
    </row>
    <row r="5814" spans="2:7">
      <c r="B5814"/>
      <c r="C5814"/>
      <c r="D5814"/>
      <c r="G5814"/>
    </row>
    <row r="5815" spans="2:7">
      <c r="B5815"/>
      <c r="C5815"/>
      <c r="D5815"/>
      <c r="G5815"/>
    </row>
    <row r="5816" spans="2:7">
      <c r="B5816"/>
      <c r="C5816"/>
      <c r="D5816"/>
      <c r="G5816"/>
    </row>
    <row r="5817" spans="2:7">
      <c r="B5817"/>
      <c r="C5817"/>
      <c r="D5817"/>
      <c r="G5817"/>
    </row>
    <row r="5818" spans="2:7">
      <c r="B5818"/>
      <c r="C5818"/>
      <c r="D5818"/>
      <c r="G5818"/>
    </row>
    <row r="5819" spans="2:7">
      <c r="B5819"/>
      <c r="C5819"/>
      <c r="D5819"/>
      <c r="G5819"/>
    </row>
    <row r="5820" spans="2:7">
      <c r="B5820"/>
      <c r="C5820"/>
      <c r="D5820"/>
      <c r="G5820"/>
    </row>
    <row r="5821" spans="2:7">
      <c r="B5821"/>
      <c r="C5821"/>
      <c r="D5821"/>
      <c r="G5821"/>
    </row>
    <row r="5822" spans="2:7">
      <c r="B5822"/>
      <c r="C5822"/>
      <c r="D5822"/>
      <c r="G5822"/>
    </row>
    <row r="5823" spans="2:7">
      <c r="B5823"/>
      <c r="C5823"/>
      <c r="D5823"/>
      <c r="G5823"/>
    </row>
    <row r="5824" spans="2:7">
      <c r="B5824"/>
      <c r="C5824"/>
      <c r="D5824"/>
      <c r="G5824"/>
    </row>
    <row r="5825" spans="2:7">
      <c r="B5825"/>
      <c r="C5825"/>
      <c r="D5825"/>
      <c r="G5825"/>
    </row>
    <row r="5826" spans="2:7">
      <c r="B5826"/>
      <c r="C5826"/>
      <c r="D5826"/>
      <c r="G5826"/>
    </row>
    <row r="5827" spans="2:7">
      <c r="B5827"/>
      <c r="C5827"/>
      <c r="D5827"/>
      <c r="G5827"/>
    </row>
    <row r="5828" spans="2:7">
      <c r="B5828"/>
      <c r="C5828"/>
      <c r="D5828"/>
      <c r="G5828"/>
    </row>
    <row r="5829" spans="2:7">
      <c r="B5829"/>
      <c r="C5829"/>
      <c r="D5829"/>
      <c r="G5829"/>
    </row>
    <row r="5830" spans="2:7">
      <c r="B5830"/>
      <c r="C5830"/>
      <c r="D5830"/>
      <c r="G5830"/>
    </row>
    <row r="5831" spans="2:7">
      <c r="B5831"/>
      <c r="C5831"/>
      <c r="D5831"/>
      <c r="G5831"/>
    </row>
    <row r="5832" spans="2:7">
      <c r="B5832"/>
      <c r="C5832"/>
      <c r="D5832"/>
      <c r="G5832"/>
    </row>
    <row r="5833" spans="2:7">
      <c r="B5833"/>
      <c r="C5833"/>
      <c r="D5833"/>
      <c r="G5833"/>
    </row>
    <row r="5834" spans="2:7">
      <c r="B5834"/>
      <c r="C5834"/>
      <c r="D5834"/>
      <c r="G5834"/>
    </row>
    <row r="5835" spans="2:7">
      <c r="B5835"/>
      <c r="C5835"/>
      <c r="D5835"/>
      <c r="G5835"/>
    </row>
    <row r="5836" spans="2:7">
      <c r="B5836"/>
      <c r="C5836"/>
      <c r="D5836"/>
      <c r="G5836"/>
    </row>
    <row r="5837" spans="2:7">
      <c r="B5837"/>
      <c r="C5837"/>
      <c r="D5837"/>
      <c r="G5837"/>
    </row>
    <row r="5838" spans="2:7">
      <c r="B5838"/>
      <c r="C5838"/>
      <c r="D5838"/>
      <c r="G5838"/>
    </row>
    <row r="5839" spans="2:7">
      <c r="B5839"/>
      <c r="C5839"/>
      <c r="D5839"/>
      <c r="G5839"/>
    </row>
    <row r="5840" spans="2:7">
      <c r="B5840"/>
      <c r="C5840"/>
      <c r="D5840"/>
      <c r="G5840"/>
    </row>
    <row r="5841" spans="2:7">
      <c r="B5841"/>
      <c r="C5841"/>
      <c r="D5841"/>
      <c r="G5841"/>
    </row>
    <row r="5842" spans="2:7">
      <c r="B5842"/>
      <c r="C5842"/>
      <c r="D5842"/>
      <c r="G5842"/>
    </row>
    <row r="5843" spans="2:7">
      <c r="B5843"/>
      <c r="C5843"/>
      <c r="D5843"/>
      <c r="G5843"/>
    </row>
    <row r="5844" spans="2:7">
      <c r="B5844"/>
      <c r="C5844"/>
      <c r="D5844"/>
      <c r="G5844"/>
    </row>
    <row r="5845" spans="2:7">
      <c r="B5845"/>
      <c r="C5845"/>
      <c r="D5845"/>
      <c r="G5845"/>
    </row>
    <row r="5846" spans="2:7">
      <c r="B5846"/>
      <c r="C5846"/>
      <c r="D5846"/>
      <c r="G5846"/>
    </row>
    <row r="5847" spans="2:7">
      <c r="B5847"/>
      <c r="C5847"/>
      <c r="D5847"/>
      <c r="G5847"/>
    </row>
    <row r="5848" spans="2:7">
      <c r="B5848"/>
      <c r="C5848"/>
      <c r="D5848"/>
      <c r="G5848"/>
    </row>
    <row r="5849" spans="2:7">
      <c r="B5849"/>
      <c r="C5849"/>
      <c r="D5849"/>
      <c r="G5849"/>
    </row>
    <row r="5850" spans="2:7">
      <c r="B5850"/>
      <c r="C5850"/>
      <c r="D5850"/>
      <c r="G5850"/>
    </row>
    <row r="5851" spans="2:7">
      <c r="B5851"/>
      <c r="C5851"/>
      <c r="D5851"/>
      <c r="G5851"/>
    </row>
    <row r="5852" spans="2:7">
      <c r="B5852"/>
      <c r="C5852"/>
      <c r="D5852"/>
      <c r="G5852"/>
    </row>
    <row r="5853" spans="2:7">
      <c r="B5853"/>
      <c r="C5853"/>
      <c r="D5853"/>
      <c r="G5853"/>
    </row>
    <row r="5854" spans="2:7">
      <c r="B5854"/>
      <c r="C5854"/>
      <c r="D5854"/>
      <c r="G5854"/>
    </row>
    <row r="5855" spans="2:7">
      <c r="B5855"/>
      <c r="C5855"/>
      <c r="D5855"/>
      <c r="G5855"/>
    </row>
    <row r="5856" spans="2:7">
      <c r="B5856"/>
      <c r="C5856"/>
      <c r="D5856"/>
      <c r="G5856"/>
    </row>
    <row r="5857" spans="2:7">
      <c r="B5857"/>
      <c r="C5857"/>
      <c r="D5857"/>
      <c r="G5857"/>
    </row>
    <row r="5858" spans="2:7">
      <c r="B5858"/>
      <c r="C5858"/>
      <c r="D5858"/>
      <c r="G5858"/>
    </row>
    <row r="5859" spans="2:7">
      <c r="B5859"/>
      <c r="C5859"/>
      <c r="D5859"/>
      <c r="G5859"/>
    </row>
    <row r="5860" spans="2:7">
      <c r="B5860"/>
      <c r="C5860"/>
      <c r="D5860"/>
      <c r="G5860"/>
    </row>
    <row r="5861" spans="2:7">
      <c r="B5861"/>
      <c r="C5861"/>
      <c r="D5861"/>
      <c r="G5861"/>
    </row>
    <row r="5862" spans="2:7">
      <c r="B5862"/>
      <c r="C5862"/>
      <c r="D5862"/>
      <c r="G5862"/>
    </row>
    <row r="5863" spans="2:7">
      <c r="B5863"/>
      <c r="C5863"/>
      <c r="D5863"/>
      <c r="G5863"/>
    </row>
    <row r="5864" spans="2:7">
      <c r="B5864"/>
      <c r="C5864"/>
      <c r="D5864"/>
      <c r="G5864"/>
    </row>
    <row r="5865" spans="2:7">
      <c r="B5865"/>
      <c r="C5865"/>
      <c r="D5865"/>
      <c r="G5865"/>
    </row>
    <row r="5866" spans="2:7">
      <c r="B5866"/>
      <c r="C5866"/>
      <c r="D5866"/>
      <c r="G5866"/>
    </row>
    <row r="5867" spans="2:7">
      <c r="B5867"/>
      <c r="C5867"/>
      <c r="D5867"/>
      <c r="G5867"/>
    </row>
    <row r="5868" spans="2:7">
      <c r="B5868"/>
      <c r="C5868"/>
      <c r="D5868"/>
      <c r="G5868"/>
    </row>
    <row r="5869" spans="2:7">
      <c r="B5869"/>
      <c r="C5869"/>
      <c r="D5869"/>
      <c r="G5869"/>
    </row>
    <row r="5870" spans="2:7">
      <c r="B5870"/>
      <c r="C5870"/>
      <c r="D5870"/>
      <c r="G5870"/>
    </row>
    <row r="5871" spans="2:7">
      <c r="B5871"/>
      <c r="C5871"/>
      <c r="D5871"/>
      <c r="G5871"/>
    </row>
    <row r="5872" spans="2:7">
      <c r="B5872"/>
      <c r="C5872"/>
      <c r="D5872"/>
      <c r="G5872"/>
    </row>
    <row r="5873" spans="2:7">
      <c r="B5873"/>
      <c r="C5873"/>
      <c r="D5873"/>
      <c r="G5873"/>
    </row>
    <row r="5874" spans="2:7">
      <c r="B5874"/>
      <c r="C5874"/>
      <c r="D5874"/>
      <c r="G5874"/>
    </row>
    <row r="5875" spans="2:7">
      <c r="B5875"/>
      <c r="C5875"/>
      <c r="D5875"/>
      <c r="G5875"/>
    </row>
    <row r="5876" spans="2:7">
      <c r="B5876"/>
      <c r="C5876"/>
      <c r="D5876"/>
      <c r="G5876"/>
    </row>
    <row r="5877" spans="2:7">
      <c r="B5877"/>
      <c r="C5877"/>
      <c r="D5877"/>
      <c r="G5877"/>
    </row>
    <row r="5878" spans="2:7">
      <c r="B5878"/>
      <c r="C5878"/>
      <c r="D5878"/>
      <c r="G5878"/>
    </row>
    <row r="5879" spans="2:7">
      <c r="B5879"/>
      <c r="C5879"/>
      <c r="D5879"/>
      <c r="G5879"/>
    </row>
    <row r="5880" spans="2:7">
      <c r="B5880"/>
      <c r="C5880"/>
      <c r="D5880"/>
      <c r="G5880"/>
    </row>
    <row r="5881" spans="2:7">
      <c r="B5881"/>
      <c r="C5881"/>
      <c r="D5881"/>
      <c r="G5881"/>
    </row>
    <row r="5882" spans="2:7">
      <c r="B5882"/>
      <c r="C5882"/>
      <c r="D5882"/>
      <c r="G5882"/>
    </row>
    <row r="5883" spans="2:7">
      <c r="B5883"/>
      <c r="C5883"/>
      <c r="D5883"/>
      <c r="G5883"/>
    </row>
    <row r="5884" spans="2:7">
      <c r="B5884"/>
      <c r="C5884"/>
      <c r="D5884"/>
      <c r="G5884"/>
    </row>
    <row r="5885" spans="2:7">
      <c r="B5885"/>
      <c r="C5885"/>
      <c r="D5885"/>
      <c r="G5885"/>
    </row>
    <row r="5886" spans="2:7">
      <c r="B5886"/>
      <c r="C5886"/>
      <c r="D5886"/>
      <c r="G5886"/>
    </row>
    <row r="5887" spans="2:7">
      <c r="B5887"/>
      <c r="C5887"/>
      <c r="D5887"/>
      <c r="G5887"/>
    </row>
    <row r="5888" spans="2:7">
      <c r="B5888"/>
      <c r="C5888"/>
      <c r="D5888"/>
      <c r="G5888"/>
    </row>
    <row r="5889" spans="2:7">
      <c r="B5889"/>
      <c r="C5889"/>
      <c r="D5889"/>
      <c r="G5889"/>
    </row>
    <row r="5890" spans="2:7">
      <c r="B5890"/>
      <c r="C5890"/>
      <c r="D5890"/>
      <c r="G5890"/>
    </row>
    <row r="5891" spans="2:7">
      <c r="B5891"/>
      <c r="C5891"/>
      <c r="D5891"/>
      <c r="G5891"/>
    </row>
    <row r="5892" spans="2:7">
      <c r="B5892"/>
      <c r="C5892"/>
      <c r="D5892"/>
      <c r="G5892"/>
    </row>
    <row r="5893" spans="2:7">
      <c r="B5893"/>
      <c r="C5893"/>
      <c r="D5893"/>
      <c r="G5893"/>
    </row>
    <row r="5894" spans="2:7">
      <c r="B5894"/>
      <c r="C5894"/>
      <c r="D5894"/>
      <c r="G5894"/>
    </row>
    <row r="5895" spans="2:7">
      <c r="B5895"/>
      <c r="C5895"/>
      <c r="D5895"/>
      <c r="G5895"/>
    </row>
    <row r="5896" spans="2:7">
      <c r="B5896"/>
      <c r="C5896"/>
      <c r="D5896"/>
      <c r="G5896"/>
    </row>
    <row r="5897" spans="2:7">
      <c r="B5897"/>
      <c r="C5897"/>
      <c r="D5897"/>
      <c r="G5897"/>
    </row>
    <row r="5898" spans="2:7">
      <c r="B5898"/>
      <c r="C5898"/>
      <c r="D5898"/>
      <c r="G5898"/>
    </row>
    <row r="5899" spans="2:7">
      <c r="B5899"/>
      <c r="C5899"/>
      <c r="D5899"/>
      <c r="G5899"/>
    </row>
    <row r="5900" spans="2:7">
      <c r="B5900"/>
      <c r="C5900"/>
      <c r="D5900"/>
      <c r="G5900"/>
    </row>
    <row r="5901" spans="2:7">
      <c r="B5901"/>
      <c r="C5901"/>
      <c r="D5901"/>
      <c r="G5901"/>
    </row>
    <row r="5902" spans="2:7">
      <c r="B5902"/>
      <c r="C5902"/>
      <c r="D5902"/>
      <c r="G5902"/>
    </row>
    <row r="5903" spans="2:7">
      <c r="B5903"/>
      <c r="C5903"/>
      <c r="D5903"/>
      <c r="G5903"/>
    </row>
    <row r="5904" spans="2:7">
      <c r="B5904"/>
      <c r="C5904"/>
      <c r="D5904"/>
      <c r="G5904"/>
    </row>
    <row r="5905" spans="2:7">
      <c r="B5905"/>
      <c r="C5905"/>
      <c r="D5905"/>
      <c r="G5905"/>
    </row>
    <row r="5906" spans="2:7">
      <c r="B5906"/>
      <c r="C5906"/>
      <c r="D5906"/>
      <c r="G5906"/>
    </row>
    <row r="5907" spans="2:7">
      <c r="B5907"/>
      <c r="C5907"/>
      <c r="D5907"/>
      <c r="G5907"/>
    </row>
    <row r="5908" spans="2:7">
      <c r="B5908"/>
      <c r="C5908"/>
      <c r="D5908"/>
      <c r="G5908"/>
    </row>
    <row r="5909" spans="2:7">
      <c r="B5909"/>
      <c r="C5909"/>
      <c r="D5909"/>
      <c r="G5909"/>
    </row>
    <row r="5910" spans="2:7">
      <c r="B5910"/>
      <c r="C5910"/>
      <c r="D5910"/>
      <c r="G5910"/>
    </row>
    <row r="5911" spans="2:7">
      <c r="B5911"/>
      <c r="C5911"/>
      <c r="D5911"/>
      <c r="G5911"/>
    </row>
    <row r="5912" spans="2:7">
      <c r="B5912"/>
      <c r="C5912"/>
      <c r="D5912"/>
      <c r="G5912"/>
    </row>
    <row r="5913" spans="2:7">
      <c r="B5913"/>
      <c r="C5913"/>
      <c r="D5913"/>
      <c r="G5913"/>
    </row>
    <row r="5914" spans="2:7">
      <c r="B5914"/>
      <c r="C5914"/>
      <c r="D5914"/>
      <c r="G5914"/>
    </row>
    <row r="5915" spans="2:7">
      <c r="B5915"/>
      <c r="C5915"/>
      <c r="D5915"/>
      <c r="G5915"/>
    </row>
    <row r="5916" spans="2:7">
      <c r="B5916"/>
      <c r="C5916"/>
      <c r="D5916"/>
      <c r="G5916"/>
    </row>
    <row r="5917" spans="2:7">
      <c r="B5917"/>
      <c r="C5917"/>
      <c r="D5917"/>
      <c r="G5917"/>
    </row>
    <row r="5918" spans="2:7">
      <c r="B5918"/>
      <c r="C5918"/>
      <c r="D5918"/>
      <c r="G5918"/>
    </row>
    <row r="5919" spans="2:7">
      <c r="B5919"/>
      <c r="C5919"/>
      <c r="D5919"/>
      <c r="G5919"/>
    </row>
    <row r="5920" spans="2:7">
      <c r="B5920"/>
      <c r="C5920"/>
      <c r="D5920"/>
      <c r="G5920"/>
    </row>
    <row r="5921" spans="2:7">
      <c r="B5921"/>
      <c r="C5921"/>
      <c r="D5921"/>
      <c r="G5921"/>
    </row>
    <row r="5922" spans="2:7">
      <c r="B5922"/>
      <c r="C5922"/>
      <c r="D5922"/>
      <c r="G5922"/>
    </row>
    <row r="5923" spans="2:7">
      <c r="B5923"/>
      <c r="C5923"/>
      <c r="D5923"/>
      <c r="G5923"/>
    </row>
    <row r="5924" spans="2:7">
      <c r="B5924"/>
      <c r="C5924"/>
      <c r="D5924"/>
      <c r="G5924"/>
    </row>
    <row r="5925" spans="2:7">
      <c r="B5925"/>
      <c r="C5925"/>
      <c r="D5925"/>
      <c r="G5925"/>
    </row>
    <row r="5926" spans="2:7">
      <c r="B5926"/>
      <c r="C5926"/>
      <c r="D5926"/>
      <c r="G5926"/>
    </row>
    <row r="5927" spans="2:7">
      <c r="B5927"/>
      <c r="C5927"/>
      <c r="D5927"/>
      <c r="G5927"/>
    </row>
    <row r="5928" spans="2:7">
      <c r="B5928"/>
      <c r="C5928"/>
      <c r="D5928"/>
      <c r="G5928"/>
    </row>
    <row r="5929" spans="2:7">
      <c r="B5929"/>
      <c r="C5929"/>
      <c r="D5929"/>
      <c r="G5929"/>
    </row>
    <row r="5930" spans="2:7">
      <c r="B5930"/>
      <c r="C5930"/>
      <c r="D5930"/>
      <c r="G5930"/>
    </row>
    <row r="5931" spans="2:7">
      <c r="B5931"/>
      <c r="C5931"/>
      <c r="D5931"/>
      <c r="G5931"/>
    </row>
    <row r="5932" spans="2:7">
      <c r="B5932"/>
      <c r="C5932"/>
      <c r="D5932"/>
      <c r="G5932"/>
    </row>
    <row r="5933" spans="2:7">
      <c r="B5933"/>
      <c r="C5933"/>
      <c r="D5933"/>
      <c r="G5933"/>
    </row>
    <row r="5934" spans="2:7">
      <c r="B5934"/>
      <c r="C5934"/>
      <c r="D5934"/>
      <c r="G5934"/>
    </row>
    <row r="5935" spans="2:7">
      <c r="B5935"/>
      <c r="C5935"/>
      <c r="D5935"/>
      <c r="G5935"/>
    </row>
    <row r="5936" spans="2:7">
      <c r="B5936"/>
      <c r="C5936"/>
      <c r="D5936"/>
      <c r="G5936"/>
    </row>
    <row r="5937" spans="2:7">
      <c r="B5937"/>
      <c r="C5937"/>
      <c r="D5937"/>
      <c r="G5937"/>
    </row>
    <row r="5938" spans="2:7">
      <c r="B5938"/>
      <c r="C5938"/>
      <c r="D5938"/>
      <c r="G5938"/>
    </row>
    <row r="5939" spans="2:7">
      <c r="B5939"/>
      <c r="C5939"/>
      <c r="D5939"/>
      <c r="G5939"/>
    </row>
    <row r="5940" spans="2:7">
      <c r="B5940"/>
      <c r="C5940"/>
      <c r="D5940"/>
      <c r="G5940"/>
    </row>
    <row r="5941" spans="2:7">
      <c r="B5941"/>
      <c r="C5941"/>
      <c r="D5941"/>
      <c r="G5941"/>
    </row>
    <row r="5942" spans="2:7">
      <c r="B5942"/>
      <c r="C5942"/>
      <c r="D5942"/>
      <c r="G5942"/>
    </row>
    <row r="5943" spans="2:7">
      <c r="B5943"/>
      <c r="C5943"/>
      <c r="D5943"/>
      <c r="G5943"/>
    </row>
    <row r="5944" spans="2:7">
      <c r="B5944"/>
      <c r="C5944"/>
      <c r="D5944"/>
      <c r="G5944"/>
    </row>
    <row r="5945" spans="2:7">
      <c r="B5945"/>
      <c r="C5945"/>
      <c r="D5945"/>
      <c r="G5945"/>
    </row>
    <row r="5946" spans="2:7">
      <c r="B5946"/>
      <c r="C5946"/>
      <c r="D5946"/>
      <c r="G5946"/>
    </row>
    <row r="5947" spans="2:7">
      <c r="B5947"/>
      <c r="C5947"/>
      <c r="D5947"/>
      <c r="G5947"/>
    </row>
    <row r="5948" spans="2:7">
      <c r="B5948"/>
      <c r="C5948"/>
      <c r="D5948"/>
      <c r="G5948"/>
    </row>
    <row r="5949" spans="2:7">
      <c r="B5949"/>
      <c r="C5949"/>
      <c r="D5949"/>
      <c r="G5949"/>
    </row>
    <row r="5950" spans="2:7">
      <c r="B5950"/>
      <c r="C5950"/>
      <c r="D5950"/>
      <c r="G5950"/>
    </row>
    <row r="5951" spans="2:7">
      <c r="B5951"/>
      <c r="C5951"/>
      <c r="D5951"/>
      <c r="G5951"/>
    </row>
    <row r="5952" spans="2:7">
      <c r="B5952"/>
      <c r="C5952"/>
      <c r="D5952"/>
      <c r="G5952"/>
    </row>
    <row r="5953" spans="2:7">
      <c r="B5953"/>
      <c r="C5953"/>
      <c r="D5953"/>
      <c r="G5953"/>
    </row>
    <row r="5954" spans="2:7">
      <c r="B5954"/>
      <c r="C5954"/>
      <c r="D5954"/>
      <c r="G5954"/>
    </row>
    <row r="5955" spans="2:7">
      <c r="B5955"/>
      <c r="C5955"/>
      <c r="D5955"/>
      <c r="G5955"/>
    </row>
    <row r="5956" spans="2:7">
      <c r="B5956"/>
      <c r="C5956"/>
      <c r="D5956"/>
      <c r="G5956"/>
    </row>
    <row r="5957" spans="2:7">
      <c r="B5957"/>
      <c r="C5957"/>
      <c r="D5957"/>
      <c r="G5957"/>
    </row>
    <row r="5958" spans="2:7">
      <c r="B5958"/>
      <c r="C5958"/>
      <c r="D5958"/>
      <c r="G5958"/>
    </row>
    <row r="5959" spans="2:7">
      <c r="B5959"/>
      <c r="C5959"/>
      <c r="D5959"/>
      <c r="G5959"/>
    </row>
    <row r="5960" spans="2:7">
      <c r="B5960"/>
      <c r="C5960"/>
      <c r="D5960"/>
      <c r="G5960"/>
    </row>
    <row r="5961" spans="2:7">
      <c r="B5961"/>
      <c r="C5961"/>
      <c r="D5961"/>
      <c r="G5961"/>
    </row>
    <row r="5962" spans="2:7">
      <c r="B5962"/>
      <c r="C5962"/>
      <c r="D5962"/>
      <c r="G5962"/>
    </row>
    <row r="5963" spans="2:7">
      <c r="B5963"/>
      <c r="C5963"/>
      <c r="D5963"/>
      <c r="G5963"/>
    </row>
    <row r="5964" spans="2:7">
      <c r="B5964"/>
      <c r="C5964"/>
      <c r="D5964"/>
      <c r="G5964"/>
    </row>
    <row r="5965" spans="2:7">
      <c r="B5965"/>
      <c r="C5965"/>
      <c r="D5965"/>
      <c r="G5965"/>
    </row>
    <row r="5966" spans="2:7">
      <c r="B5966"/>
      <c r="C5966"/>
      <c r="D5966"/>
      <c r="G5966"/>
    </row>
    <row r="5967" spans="2:7">
      <c r="B5967"/>
      <c r="C5967"/>
      <c r="D5967"/>
      <c r="G5967"/>
    </row>
    <row r="5968" spans="2:7">
      <c r="B5968"/>
      <c r="C5968"/>
      <c r="D5968"/>
      <c r="G5968"/>
    </row>
    <row r="5969" spans="2:7">
      <c r="B5969"/>
      <c r="C5969"/>
      <c r="D5969"/>
      <c r="G5969"/>
    </row>
    <row r="5970" spans="2:7">
      <c r="B5970"/>
      <c r="C5970"/>
      <c r="D5970"/>
      <c r="G5970"/>
    </row>
    <row r="5971" spans="2:7">
      <c r="B5971"/>
      <c r="C5971"/>
      <c r="D5971"/>
      <c r="G5971"/>
    </row>
    <row r="5972" spans="2:7">
      <c r="B5972"/>
      <c r="C5972"/>
      <c r="D5972"/>
      <c r="G5972"/>
    </row>
    <row r="5973" spans="2:7">
      <c r="B5973"/>
      <c r="C5973"/>
      <c r="D5973"/>
      <c r="G5973"/>
    </row>
    <row r="5974" spans="2:7">
      <c r="B5974"/>
      <c r="C5974"/>
      <c r="D5974"/>
      <c r="G5974"/>
    </row>
    <row r="5975" spans="2:7">
      <c r="B5975"/>
      <c r="C5975"/>
      <c r="D5975"/>
      <c r="G5975"/>
    </row>
    <row r="5976" spans="2:7">
      <c r="B5976"/>
      <c r="C5976"/>
      <c r="D5976"/>
      <c r="G5976"/>
    </row>
    <row r="5977" spans="2:7">
      <c r="B5977"/>
      <c r="C5977"/>
      <c r="D5977"/>
      <c r="G5977"/>
    </row>
    <row r="5978" spans="2:7">
      <c r="B5978"/>
      <c r="C5978"/>
      <c r="D5978"/>
      <c r="G5978"/>
    </row>
    <row r="5979" spans="2:7">
      <c r="B5979"/>
      <c r="C5979"/>
      <c r="D5979"/>
      <c r="G5979"/>
    </row>
    <row r="5980" spans="2:7">
      <c r="B5980"/>
      <c r="C5980"/>
      <c r="D5980"/>
      <c r="G5980"/>
    </row>
    <row r="5981" spans="2:7">
      <c r="B5981"/>
      <c r="C5981"/>
      <c r="D5981"/>
      <c r="G5981"/>
    </row>
    <row r="5982" spans="2:7">
      <c r="B5982"/>
      <c r="C5982"/>
      <c r="D5982"/>
      <c r="G5982"/>
    </row>
    <row r="5983" spans="2:7">
      <c r="B5983"/>
      <c r="C5983"/>
      <c r="D5983"/>
      <c r="G5983"/>
    </row>
    <row r="5984" spans="2:7">
      <c r="B5984"/>
      <c r="C5984"/>
      <c r="D5984"/>
      <c r="G5984"/>
    </row>
    <row r="5985" spans="2:7">
      <c r="B5985"/>
      <c r="C5985"/>
      <c r="D5985"/>
      <c r="G5985"/>
    </row>
    <row r="5986" spans="2:7">
      <c r="B5986"/>
      <c r="C5986"/>
      <c r="D5986"/>
      <c r="G5986"/>
    </row>
    <row r="5987" spans="2:7">
      <c r="B5987"/>
      <c r="C5987"/>
      <c r="D5987"/>
      <c r="G5987"/>
    </row>
    <row r="5988" spans="2:7">
      <c r="B5988"/>
      <c r="C5988"/>
      <c r="D5988"/>
      <c r="G5988"/>
    </row>
    <row r="5989" spans="2:7">
      <c r="B5989"/>
      <c r="C5989"/>
      <c r="D5989"/>
      <c r="G5989"/>
    </row>
    <row r="5990" spans="2:7">
      <c r="B5990"/>
      <c r="C5990"/>
      <c r="D5990"/>
      <c r="G5990"/>
    </row>
    <row r="5991" spans="2:7">
      <c r="B5991"/>
      <c r="C5991"/>
      <c r="D5991"/>
      <c r="G5991"/>
    </row>
    <row r="5992" spans="2:7">
      <c r="B5992"/>
      <c r="C5992"/>
      <c r="D5992"/>
      <c r="G5992"/>
    </row>
    <row r="5993" spans="2:7">
      <c r="B5993"/>
      <c r="C5993"/>
      <c r="D5993"/>
      <c r="G5993"/>
    </row>
    <row r="5994" spans="2:7">
      <c r="B5994"/>
      <c r="C5994"/>
      <c r="D5994"/>
      <c r="G5994"/>
    </row>
    <row r="5995" spans="2:7">
      <c r="B5995"/>
      <c r="C5995"/>
      <c r="D5995"/>
      <c r="G5995"/>
    </row>
    <row r="5996" spans="2:7">
      <c r="B5996"/>
      <c r="C5996"/>
      <c r="D5996"/>
      <c r="G5996"/>
    </row>
    <row r="5997" spans="2:7">
      <c r="B5997"/>
      <c r="C5997"/>
      <c r="D5997"/>
      <c r="G5997"/>
    </row>
    <row r="5998" spans="2:7">
      <c r="B5998"/>
      <c r="C5998"/>
      <c r="D5998"/>
      <c r="G5998"/>
    </row>
    <row r="5999" spans="2:7">
      <c r="B5999"/>
      <c r="C5999"/>
      <c r="D5999"/>
      <c r="G5999"/>
    </row>
    <row r="6000" spans="2:7">
      <c r="B6000"/>
      <c r="C6000"/>
      <c r="D6000"/>
      <c r="G6000"/>
    </row>
    <row r="6001" spans="2:7">
      <c r="B6001"/>
      <c r="C6001"/>
      <c r="D6001"/>
      <c r="G6001"/>
    </row>
    <row r="6002" spans="2:7">
      <c r="B6002"/>
      <c r="C6002"/>
      <c r="D6002"/>
      <c r="G6002"/>
    </row>
    <row r="6003" spans="2:7">
      <c r="B6003"/>
      <c r="C6003"/>
      <c r="D6003"/>
      <c r="G6003"/>
    </row>
    <row r="6004" spans="2:7">
      <c r="B6004"/>
      <c r="C6004"/>
      <c r="D6004"/>
      <c r="G6004"/>
    </row>
    <row r="6005" spans="2:7">
      <c r="B6005"/>
      <c r="C6005"/>
      <c r="D6005"/>
      <c r="G6005"/>
    </row>
    <row r="6006" spans="2:7">
      <c r="B6006"/>
      <c r="C6006"/>
      <c r="D6006"/>
      <c r="G6006"/>
    </row>
    <row r="6007" spans="2:7">
      <c r="B6007"/>
      <c r="C6007"/>
      <c r="D6007"/>
      <c r="G6007"/>
    </row>
    <row r="6008" spans="2:7">
      <c r="B6008"/>
      <c r="C6008"/>
      <c r="D6008"/>
      <c r="G6008"/>
    </row>
    <row r="6009" spans="2:7">
      <c r="B6009"/>
      <c r="C6009"/>
      <c r="D6009"/>
      <c r="G6009"/>
    </row>
    <row r="6010" spans="2:7">
      <c r="B6010"/>
      <c r="C6010"/>
      <c r="D6010"/>
      <c r="G6010"/>
    </row>
    <row r="6011" spans="2:7">
      <c r="B6011"/>
      <c r="C6011"/>
      <c r="D6011"/>
      <c r="G6011"/>
    </row>
    <row r="6012" spans="2:7">
      <c r="B6012"/>
      <c r="C6012"/>
      <c r="D6012"/>
      <c r="G6012"/>
    </row>
    <row r="6013" spans="2:7">
      <c r="B6013"/>
      <c r="C6013"/>
      <c r="D6013"/>
      <c r="G6013"/>
    </row>
    <row r="6014" spans="2:7">
      <c r="B6014"/>
      <c r="C6014"/>
      <c r="D6014"/>
      <c r="G6014"/>
    </row>
    <row r="6015" spans="2:7">
      <c r="B6015"/>
      <c r="C6015"/>
      <c r="D6015"/>
      <c r="G6015"/>
    </row>
    <row r="6016" spans="2:7">
      <c r="B6016"/>
      <c r="C6016"/>
      <c r="D6016"/>
      <c r="G6016"/>
    </row>
    <row r="6017" spans="2:7">
      <c r="B6017"/>
      <c r="C6017"/>
      <c r="D6017"/>
      <c r="G6017"/>
    </row>
    <row r="6018" spans="2:7">
      <c r="B6018"/>
      <c r="C6018"/>
      <c r="D6018"/>
      <c r="G6018"/>
    </row>
    <row r="6019" spans="2:7">
      <c r="B6019"/>
      <c r="C6019"/>
      <c r="D6019"/>
      <c r="G6019"/>
    </row>
    <row r="6020" spans="2:7">
      <c r="B6020"/>
      <c r="C6020"/>
      <c r="D6020"/>
      <c r="G6020"/>
    </row>
    <row r="6021" spans="2:7">
      <c r="B6021"/>
      <c r="C6021"/>
      <c r="D6021"/>
      <c r="G6021"/>
    </row>
    <row r="6022" spans="2:7">
      <c r="B6022"/>
      <c r="C6022"/>
      <c r="D6022"/>
      <c r="G6022"/>
    </row>
    <row r="6023" spans="2:7">
      <c r="B6023"/>
      <c r="C6023"/>
      <c r="D6023"/>
      <c r="G6023"/>
    </row>
    <row r="6024" spans="2:7">
      <c r="B6024"/>
      <c r="C6024"/>
      <c r="D6024"/>
      <c r="G6024"/>
    </row>
    <row r="6025" spans="2:7">
      <c r="B6025"/>
      <c r="C6025"/>
      <c r="D6025"/>
      <c r="G6025"/>
    </row>
    <row r="6026" spans="2:7">
      <c r="B6026"/>
      <c r="C6026"/>
      <c r="D6026"/>
      <c r="G6026"/>
    </row>
    <row r="6027" spans="2:7">
      <c r="B6027"/>
      <c r="C6027"/>
      <c r="D6027"/>
      <c r="G6027"/>
    </row>
    <row r="6028" spans="2:7">
      <c r="B6028"/>
      <c r="C6028"/>
      <c r="D6028"/>
      <c r="G6028"/>
    </row>
    <row r="6029" spans="2:7">
      <c r="B6029"/>
      <c r="C6029"/>
      <c r="D6029"/>
      <c r="G6029"/>
    </row>
    <row r="6030" spans="2:7">
      <c r="B6030"/>
      <c r="C6030"/>
      <c r="D6030"/>
      <c r="G6030"/>
    </row>
    <row r="6031" spans="2:7">
      <c r="B6031"/>
      <c r="C6031"/>
      <c r="D6031"/>
      <c r="G6031"/>
    </row>
    <row r="6032" spans="2:7">
      <c r="B6032"/>
      <c r="C6032"/>
      <c r="D6032"/>
      <c r="G6032"/>
    </row>
    <row r="6033" spans="2:7">
      <c r="B6033"/>
      <c r="C6033"/>
      <c r="D6033"/>
      <c r="G6033"/>
    </row>
    <row r="6034" spans="2:7">
      <c r="B6034"/>
      <c r="C6034"/>
      <c r="D6034"/>
      <c r="G6034"/>
    </row>
    <row r="6035" spans="2:7">
      <c r="B6035"/>
      <c r="C6035"/>
      <c r="D6035"/>
      <c r="G6035"/>
    </row>
    <row r="6036" spans="2:7">
      <c r="B6036"/>
      <c r="C6036"/>
      <c r="D6036"/>
      <c r="G6036"/>
    </row>
    <row r="6037" spans="2:7">
      <c r="B6037"/>
      <c r="C6037"/>
      <c r="D6037"/>
      <c r="G6037"/>
    </row>
    <row r="6038" spans="2:7">
      <c r="B6038"/>
      <c r="C6038"/>
      <c r="D6038"/>
      <c r="G6038"/>
    </row>
    <row r="6039" spans="2:7">
      <c r="B6039"/>
      <c r="C6039"/>
      <c r="D6039"/>
      <c r="G6039"/>
    </row>
    <row r="6040" spans="2:7">
      <c r="B6040"/>
      <c r="C6040"/>
      <c r="D6040"/>
      <c r="G6040"/>
    </row>
    <row r="6041" spans="2:7">
      <c r="B6041"/>
      <c r="C6041"/>
      <c r="D6041"/>
      <c r="G6041"/>
    </row>
    <row r="6042" spans="2:7">
      <c r="B6042"/>
      <c r="C6042"/>
      <c r="D6042"/>
      <c r="G6042"/>
    </row>
    <row r="6043" spans="2:7">
      <c r="B6043"/>
      <c r="C6043"/>
      <c r="D6043"/>
      <c r="G6043"/>
    </row>
    <row r="6044" spans="2:7">
      <c r="B6044"/>
      <c r="C6044"/>
      <c r="D6044"/>
      <c r="G6044"/>
    </row>
    <row r="6045" spans="2:7">
      <c r="B6045"/>
      <c r="C6045"/>
      <c r="D6045"/>
      <c r="G6045"/>
    </row>
    <row r="6046" spans="2:7">
      <c r="B6046"/>
      <c r="C6046"/>
      <c r="D6046"/>
      <c r="G6046"/>
    </row>
    <row r="6047" spans="2:7">
      <c r="B6047"/>
      <c r="C6047"/>
      <c r="D6047"/>
      <c r="G6047"/>
    </row>
    <row r="6048" spans="2:7">
      <c r="B6048"/>
      <c r="C6048"/>
      <c r="D6048"/>
      <c r="G6048"/>
    </row>
    <row r="6049" spans="2:7">
      <c r="B6049"/>
      <c r="C6049"/>
      <c r="D6049"/>
      <c r="G6049"/>
    </row>
    <row r="6050" spans="2:7">
      <c r="B6050"/>
      <c r="C6050"/>
      <c r="D6050"/>
      <c r="G6050"/>
    </row>
    <row r="6051" spans="2:7">
      <c r="B6051"/>
      <c r="C6051"/>
      <c r="D6051"/>
      <c r="G6051"/>
    </row>
    <row r="6052" spans="2:7">
      <c r="B6052"/>
      <c r="C6052"/>
      <c r="D6052"/>
      <c r="G6052"/>
    </row>
    <row r="6053" spans="2:7">
      <c r="B6053"/>
      <c r="C6053"/>
      <c r="D6053"/>
      <c r="G6053"/>
    </row>
    <row r="6054" spans="2:7">
      <c r="B6054"/>
      <c r="C6054"/>
      <c r="D6054"/>
      <c r="G6054"/>
    </row>
    <row r="6055" spans="2:7">
      <c r="B6055"/>
      <c r="C6055"/>
      <c r="D6055"/>
      <c r="G6055"/>
    </row>
    <row r="6056" spans="2:7">
      <c r="B6056"/>
      <c r="C6056"/>
      <c r="D6056"/>
      <c r="G6056"/>
    </row>
    <row r="6057" spans="2:7">
      <c r="B6057"/>
      <c r="C6057"/>
      <c r="D6057"/>
      <c r="G6057"/>
    </row>
    <row r="6058" spans="2:7">
      <c r="B6058"/>
      <c r="C6058"/>
      <c r="D6058"/>
      <c r="G6058"/>
    </row>
    <row r="6059" spans="2:7">
      <c r="B6059"/>
      <c r="C6059"/>
      <c r="D6059"/>
      <c r="G6059"/>
    </row>
    <row r="6060" spans="2:7">
      <c r="B6060"/>
      <c r="C6060"/>
      <c r="D6060"/>
      <c r="G6060"/>
    </row>
    <row r="6061" spans="2:7">
      <c r="B6061"/>
      <c r="C6061"/>
      <c r="D6061"/>
      <c r="G6061"/>
    </row>
    <row r="6062" spans="2:7">
      <c r="B6062"/>
      <c r="C6062"/>
      <c r="D6062"/>
      <c r="G6062"/>
    </row>
    <row r="6063" spans="2:7">
      <c r="B6063"/>
      <c r="C6063"/>
      <c r="D6063"/>
      <c r="G6063"/>
    </row>
    <row r="6064" spans="2:7">
      <c r="B6064"/>
      <c r="C6064"/>
      <c r="D6064"/>
      <c r="G6064"/>
    </row>
    <row r="6065" spans="2:7">
      <c r="B6065"/>
      <c r="C6065"/>
      <c r="D6065"/>
      <c r="G6065"/>
    </row>
    <row r="6066" spans="2:7">
      <c r="B6066"/>
      <c r="C6066"/>
      <c r="D6066"/>
      <c r="G6066"/>
    </row>
    <row r="6067" spans="2:7">
      <c r="B6067"/>
      <c r="C6067"/>
      <c r="D6067"/>
      <c r="G6067"/>
    </row>
    <row r="6068" spans="2:7">
      <c r="B6068"/>
      <c r="C6068"/>
      <c r="D6068"/>
      <c r="G6068"/>
    </row>
    <row r="6069" spans="2:7">
      <c r="B6069"/>
      <c r="C6069"/>
      <c r="D6069"/>
      <c r="G6069"/>
    </row>
    <row r="6070" spans="2:7">
      <c r="B6070"/>
      <c r="C6070"/>
      <c r="D6070"/>
      <c r="G6070"/>
    </row>
    <row r="6071" spans="2:7">
      <c r="B6071"/>
      <c r="C6071"/>
      <c r="D6071"/>
      <c r="G6071"/>
    </row>
    <row r="6072" spans="2:7">
      <c r="B6072"/>
      <c r="C6072"/>
      <c r="D6072"/>
      <c r="G6072"/>
    </row>
    <row r="6073" spans="2:7">
      <c r="B6073"/>
      <c r="C6073"/>
      <c r="D6073"/>
      <c r="G6073"/>
    </row>
    <row r="6074" spans="2:7">
      <c r="B6074"/>
      <c r="C6074"/>
      <c r="D6074"/>
      <c r="G6074"/>
    </row>
    <row r="6075" spans="2:7">
      <c r="B6075"/>
      <c r="C6075"/>
      <c r="D6075"/>
      <c r="G6075"/>
    </row>
    <row r="6076" spans="2:7">
      <c r="B6076"/>
      <c r="C6076"/>
      <c r="D6076"/>
      <c r="G6076"/>
    </row>
    <row r="6077" spans="2:7">
      <c r="B6077"/>
      <c r="C6077"/>
      <c r="D6077"/>
      <c r="G6077"/>
    </row>
    <row r="6078" spans="2:7">
      <c r="B6078"/>
      <c r="C6078"/>
      <c r="D6078"/>
      <c r="G6078"/>
    </row>
    <row r="6079" spans="2:7">
      <c r="B6079"/>
      <c r="C6079"/>
      <c r="D6079"/>
      <c r="G6079"/>
    </row>
    <row r="6080" spans="2:7">
      <c r="B6080"/>
      <c r="C6080"/>
      <c r="D6080"/>
      <c r="G6080"/>
    </row>
    <row r="6081" spans="2:7">
      <c r="B6081"/>
      <c r="C6081"/>
      <c r="D6081"/>
      <c r="G6081"/>
    </row>
    <row r="6082" spans="2:7">
      <c r="B6082"/>
      <c r="C6082"/>
      <c r="D6082"/>
      <c r="G6082"/>
    </row>
    <row r="6083" spans="2:7">
      <c r="B6083"/>
      <c r="C6083"/>
      <c r="D6083"/>
      <c r="G6083"/>
    </row>
    <row r="6084" spans="2:7">
      <c r="B6084"/>
      <c r="C6084"/>
      <c r="D6084"/>
      <c r="G6084"/>
    </row>
    <row r="6085" spans="2:7">
      <c r="B6085"/>
      <c r="C6085"/>
      <c r="D6085"/>
      <c r="G6085"/>
    </row>
    <row r="6086" spans="2:7">
      <c r="B6086"/>
      <c r="C6086"/>
      <c r="D6086"/>
      <c r="G6086"/>
    </row>
    <row r="6087" spans="2:7">
      <c r="B6087"/>
      <c r="C6087"/>
      <c r="D6087"/>
      <c r="G6087"/>
    </row>
    <row r="6088" spans="2:7">
      <c r="B6088"/>
      <c r="C6088"/>
      <c r="D6088"/>
      <c r="G6088"/>
    </row>
    <row r="6089" spans="2:7">
      <c r="B6089"/>
      <c r="C6089"/>
      <c r="D6089"/>
      <c r="G6089"/>
    </row>
    <row r="6090" spans="2:7">
      <c r="B6090"/>
      <c r="C6090"/>
      <c r="D6090"/>
      <c r="G6090"/>
    </row>
    <row r="6091" spans="2:7">
      <c r="B6091"/>
      <c r="C6091"/>
      <c r="D6091"/>
      <c r="G6091"/>
    </row>
    <row r="6092" spans="2:7">
      <c r="B6092"/>
      <c r="C6092"/>
      <c r="D6092"/>
      <c r="G6092"/>
    </row>
    <row r="6093" spans="2:7">
      <c r="B6093"/>
      <c r="C6093"/>
      <c r="D6093"/>
      <c r="G6093"/>
    </row>
    <row r="6094" spans="2:7">
      <c r="B6094"/>
      <c r="C6094"/>
      <c r="D6094"/>
      <c r="G6094"/>
    </row>
    <row r="6095" spans="2:7">
      <c r="B6095"/>
      <c r="C6095"/>
      <c r="D6095"/>
      <c r="G6095"/>
    </row>
    <row r="6096" spans="2:7">
      <c r="B6096"/>
      <c r="C6096"/>
      <c r="D6096"/>
      <c r="G6096"/>
    </row>
    <row r="6097" spans="2:7">
      <c r="B6097"/>
      <c r="C6097"/>
      <c r="D6097"/>
      <c r="G6097"/>
    </row>
    <row r="6098" spans="2:7">
      <c r="B6098"/>
      <c r="C6098"/>
      <c r="D6098"/>
      <c r="G6098"/>
    </row>
    <row r="6099" spans="2:7">
      <c r="B6099"/>
      <c r="C6099"/>
      <c r="D6099"/>
      <c r="G6099"/>
    </row>
    <row r="6100" spans="2:7">
      <c r="B6100"/>
      <c r="C6100"/>
      <c r="D6100"/>
      <c r="G6100"/>
    </row>
    <row r="6101" spans="2:7">
      <c r="B6101"/>
      <c r="C6101"/>
      <c r="D6101"/>
      <c r="G6101"/>
    </row>
    <row r="6102" spans="2:7">
      <c r="B6102"/>
      <c r="C6102"/>
      <c r="D6102"/>
      <c r="G6102"/>
    </row>
    <row r="6103" spans="2:7">
      <c r="B6103"/>
      <c r="C6103"/>
      <c r="D6103"/>
      <c r="G6103"/>
    </row>
    <row r="6104" spans="2:7">
      <c r="B6104"/>
      <c r="C6104"/>
      <c r="D6104"/>
      <c r="G6104"/>
    </row>
    <row r="6105" spans="2:7">
      <c r="B6105"/>
      <c r="C6105"/>
      <c r="D6105"/>
      <c r="G6105"/>
    </row>
    <row r="6106" spans="2:7">
      <c r="B6106"/>
      <c r="C6106"/>
      <c r="D6106"/>
      <c r="G6106"/>
    </row>
    <row r="6107" spans="2:7">
      <c r="B6107"/>
      <c r="C6107"/>
      <c r="D6107"/>
      <c r="G6107"/>
    </row>
    <row r="6108" spans="2:7">
      <c r="B6108"/>
      <c r="C6108"/>
      <c r="D6108"/>
      <c r="G6108"/>
    </row>
    <row r="6109" spans="2:7">
      <c r="B6109"/>
      <c r="C6109"/>
      <c r="D6109"/>
      <c r="G6109"/>
    </row>
    <row r="6110" spans="2:7">
      <c r="B6110"/>
      <c r="C6110"/>
      <c r="D6110"/>
      <c r="G6110"/>
    </row>
    <row r="6111" spans="2:7">
      <c r="B6111"/>
      <c r="C6111"/>
      <c r="D6111"/>
      <c r="G6111"/>
    </row>
    <row r="6112" spans="2:7">
      <c r="B6112"/>
      <c r="C6112"/>
      <c r="D6112"/>
      <c r="G6112"/>
    </row>
    <row r="6113" spans="2:7">
      <c r="B6113"/>
      <c r="C6113"/>
      <c r="D6113"/>
      <c r="G6113"/>
    </row>
    <row r="6114" spans="2:7">
      <c r="B6114"/>
      <c r="C6114"/>
      <c r="D6114"/>
      <c r="G6114"/>
    </row>
    <row r="6115" spans="2:7">
      <c r="B6115"/>
      <c r="C6115"/>
      <c r="D6115"/>
      <c r="G6115"/>
    </row>
    <row r="6116" spans="2:7">
      <c r="B6116"/>
      <c r="C6116"/>
      <c r="D6116"/>
      <c r="G6116"/>
    </row>
    <row r="6117" spans="2:7">
      <c r="B6117"/>
      <c r="C6117"/>
      <c r="D6117"/>
      <c r="G6117"/>
    </row>
    <row r="6118" spans="2:7">
      <c r="B6118"/>
      <c r="C6118"/>
      <c r="D6118"/>
      <c r="G6118"/>
    </row>
    <row r="6119" spans="2:7">
      <c r="B6119"/>
      <c r="C6119"/>
      <c r="D6119"/>
      <c r="G6119"/>
    </row>
    <row r="6120" spans="2:7">
      <c r="B6120"/>
      <c r="C6120"/>
      <c r="D6120"/>
      <c r="G6120"/>
    </row>
    <row r="6121" spans="2:7">
      <c r="B6121"/>
      <c r="C6121"/>
      <c r="D6121"/>
      <c r="G6121"/>
    </row>
    <row r="6122" spans="2:7">
      <c r="B6122"/>
      <c r="C6122"/>
      <c r="D6122"/>
      <c r="G6122"/>
    </row>
    <row r="6123" spans="2:7">
      <c r="B6123"/>
      <c r="C6123"/>
      <c r="D6123"/>
      <c r="G6123"/>
    </row>
    <row r="6124" spans="2:7">
      <c r="B6124"/>
      <c r="C6124"/>
      <c r="D6124"/>
      <c r="G6124"/>
    </row>
    <row r="6125" spans="2:7">
      <c r="B6125"/>
      <c r="C6125"/>
      <c r="D6125"/>
      <c r="G6125"/>
    </row>
    <row r="6126" spans="2:7">
      <c r="B6126"/>
      <c r="C6126"/>
      <c r="D6126"/>
      <c r="G6126"/>
    </row>
    <row r="6127" spans="2:7">
      <c r="B6127"/>
      <c r="C6127"/>
      <c r="D6127"/>
      <c r="G6127"/>
    </row>
    <row r="6128" spans="2:7">
      <c r="B6128"/>
      <c r="C6128"/>
      <c r="D6128"/>
      <c r="G6128"/>
    </row>
    <row r="6129" spans="2:7">
      <c r="B6129"/>
      <c r="C6129"/>
      <c r="D6129"/>
      <c r="G6129"/>
    </row>
    <row r="6130" spans="2:7">
      <c r="B6130"/>
      <c r="C6130"/>
      <c r="D6130"/>
      <c r="G6130"/>
    </row>
    <row r="6131" spans="2:7">
      <c r="B6131"/>
      <c r="C6131"/>
      <c r="D6131"/>
      <c r="G6131"/>
    </row>
    <row r="6132" spans="2:7">
      <c r="B6132"/>
      <c r="C6132"/>
      <c r="D6132"/>
      <c r="G6132"/>
    </row>
    <row r="6133" spans="2:7">
      <c r="B6133"/>
      <c r="C6133"/>
      <c r="D6133"/>
      <c r="G6133"/>
    </row>
    <row r="6134" spans="2:7">
      <c r="B6134"/>
      <c r="C6134"/>
      <c r="D6134"/>
      <c r="G6134"/>
    </row>
    <row r="6135" spans="2:7">
      <c r="B6135"/>
      <c r="C6135"/>
      <c r="D6135"/>
      <c r="G6135"/>
    </row>
    <row r="6136" spans="2:7">
      <c r="B6136"/>
      <c r="C6136"/>
      <c r="D6136"/>
      <c r="G6136"/>
    </row>
    <row r="6137" spans="2:7">
      <c r="B6137"/>
      <c r="C6137"/>
      <c r="D6137"/>
      <c r="G6137"/>
    </row>
    <row r="6138" spans="2:7">
      <c r="B6138"/>
      <c r="C6138"/>
      <c r="D6138"/>
      <c r="G6138"/>
    </row>
    <row r="6139" spans="2:7">
      <c r="B6139"/>
      <c r="C6139"/>
      <c r="D6139"/>
      <c r="G6139"/>
    </row>
    <row r="6140" spans="2:7">
      <c r="B6140"/>
      <c r="C6140"/>
      <c r="D6140"/>
      <c r="G6140"/>
    </row>
    <row r="6141" spans="2:7">
      <c r="B6141"/>
      <c r="C6141"/>
      <c r="D6141"/>
      <c r="G6141"/>
    </row>
    <row r="6142" spans="2:7">
      <c r="B6142"/>
      <c r="C6142"/>
      <c r="D6142"/>
      <c r="G6142"/>
    </row>
    <row r="6143" spans="2:7">
      <c r="B6143"/>
      <c r="C6143"/>
      <c r="D6143"/>
      <c r="G6143"/>
    </row>
    <row r="6144" spans="2:7">
      <c r="B6144"/>
      <c r="C6144"/>
      <c r="D6144"/>
      <c r="G6144"/>
    </row>
    <row r="6145" spans="2:7">
      <c r="B6145"/>
      <c r="C6145"/>
      <c r="D6145"/>
      <c r="G6145"/>
    </row>
    <row r="6146" spans="2:7">
      <c r="B6146"/>
      <c r="C6146"/>
      <c r="D6146"/>
      <c r="G6146"/>
    </row>
    <row r="6147" spans="2:7">
      <c r="B6147"/>
      <c r="C6147"/>
      <c r="D6147"/>
      <c r="G6147"/>
    </row>
    <row r="6148" spans="2:7">
      <c r="B6148"/>
      <c r="C6148"/>
      <c r="D6148"/>
      <c r="G6148"/>
    </row>
    <row r="6149" spans="2:7">
      <c r="B6149"/>
      <c r="C6149"/>
      <c r="D6149"/>
      <c r="G6149"/>
    </row>
    <row r="6150" spans="2:7">
      <c r="B6150"/>
      <c r="C6150"/>
      <c r="D6150"/>
      <c r="G6150"/>
    </row>
    <row r="6151" spans="2:7">
      <c r="B6151"/>
      <c r="C6151"/>
      <c r="D6151"/>
      <c r="G6151"/>
    </row>
    <row r="6152" spans="2:7">
      <c r="B6152"/>
      <c r="C6152"/>
      <c r="D6152"/>
      <c r="G6152"/>
    </row>
    <row r="6153" spans="2:7">
      <c r="B6153"/>
      <c r="C6153"/>
      <c r="D6153"/>
      <c r="G6153"/>
    </row>
    <row r="6154" spans="2:7">
      <c r="B6154"/>
      <c r="C6154"/>
      <c r="D6154"/>
      <c r="G6154"/>
    </row>
    <row r="6155" spans="2:7">
      <c r="B6155"/>
      <c r="C6155"/>
      <c r="D6155"/>
      <c r="G6155"/>
    </row>
    <row r="6156" spans="2:7">
      <c r="B6156"/>
      <c r="C6156"/>
      <c r="D6156"/>
      <c r="G6156"/>
    </row>
    <row r="6157" spans="2:7">
      <c r="B6157"/>
      <c r="C6157"/>
      <c r="D6157"/>
      <c r="G6157"/>
    </row>
    <row r="6158" spans="2:7">
      <c r="B6158"/>
      <c r="C6158"/>
      <c r="D6158"/>
      <c r="G6158"/>
    </row>
    <row r="6159" spans="2:7">
      <c r="B6159"/>
      <c r="C6159"/>
      <c r="D6159"/>
      <c r="G6159"/>
    </row>
    <row r="6160" spans="2:7">
      <c r="B6160"/>
      <c r="C6160"/>
      <c r="D6160"/>
      <c r="G6160"/>
    </row>
    <row r="6161" spans="2:7">
      <c r="B6161"/>
      <c r="C6161"/>
      <c r="D6161"/>
      <c r="G6161"/>
    </row>
    <row r="6162" spans="2:7">
      <c r="B6162"/>
      <c r="C6162"/>
      <c r="D6162"/>
      <c r="G6162"/>
    </row>
    <row r="6163" spans="2:7">
      <c r="B6163"/>
      <c r="C6163"/>
      <c r="D6163"/>
      <c r="G6163"/>
    </row>
    <row r="6164" spans="2:7">
      <c r="B6164"/>
      <c r="C6164"/>
      <c r="D6164"/>
      <c r="G6164"/>
    </row>
    <row r="6165" spans="2:7">
      <c r="B6165"/>
      <c r="C6165"/>
      <c r="D6165"/>
      <c r="G6165"/>
    </row>
    <row r="6166" spans="2:7">
      <c r="B6166"/>
      <c r="C6166"/>
      <c r="D6166"/>
      <c r="G6166"/>
    </row>
    <row r="6167" spans="2:7">
      <c r="B6167"/>
      <c r="C6167"/>
      <c r="D6167"/>
      <c r="G6167"/>
    </row>
    <row r="6168" spans="2:7">
      <c r="B6168"/>
      <c r="C6168"/>
      <c r="D6168"/>
      <c r="G6168"/>
    </row>
    <row r="6169" spans="2:7">
      <c r="B6169"/>
      <c r="C6169"/>
      <c r="D6169"/>
      <c r="G6169"/>
    </row>
    <row r="6170" spans="2:7">
      <c r="B6170"/>
      <c r="C6170"/>
      <c r="D6170"/>
      <c r="G6170"/>
    </row>
    <row r="6171" spans="2:7">
      <c r="B6171"/>
      <c r="C6171"/>
      <c r="D6171"/>
      <c r="G6171"/>
    </row>
    <row r="6172" spans="2:7">
      <c r="B6172"/>
      <c r="C6172"/>
      <c r="D6172"/>
      <c r="G6172"/>
    </row>
    <row r="6173" spans="2:7">
      <c r="B6173"/>
      <c r="C6173"/>
      <c r="D6173"/>
      <c r="G6173"/>
    </row>
    <row r="6174" spans="2:7">
      <c r="B6174"/>
      <c r="C6174"/>
      <c r="D6174"/>
      <c r="G6174"/>
    </row>
    <row r="6175" spans="2:7">
      <c r="B6175"/>
      <c r="C6175"/>
      <c r="D6175"/>
      <c r="G6175"/>
    </row>
    <row r="6176" spans="2:7">
      <c r="B6176"/>
      <c r="C6176"/>
      <c r="D6176"/>
      <c r="G6176"/>
    </row>
    <row r="6177" spans="2:7">
      <c r="B6177"/>
      <c r="C6177"/>
      <c r="D6177"/>
      <c r="G6177"/>
    </row>
    <row r="6178" spans="2:7">
      <c r="B6178"/>
      <c r="C6178"/>
      <c r="D6178"/>
      <c r="G6178"/>
    </row>
    <row r="6179" spans="2:7">
      <c r="B6179"/>
      <c r="C6179"/>
      <c r="D6179"/>
      <c r="G6179"/>
    </row>
    <row r="6180" spans="2:7">
      <c r="B6180"/>
      <c r="C6180"/>
      <c r="D6180"/>
      <c r="G6180"/>
    </row>
    <row r="6181" spans="2:7">
      <c r="B6181"/>
      <c r="C6181"/>
      <c r="D6181"/>
      <c r="G6181"/>
    </row>
    <row r="6182" spans="2:7">
      <c r="B6182"/>
      <c r="C6182"/>
      <c r="D6182"/>
      <c r="G6182"/>
    </row>
    <row r="6183" spans="2:7">
      <c r="B6183"/>
      <c r="C6183"/>
      <c r="D6183"/>
      <c r="G6183"/>
    </row>
    <row r="6184" spans="2:7">
      <c r="B6184"/>
      <c r="C6184"/>
      <c r="D6184"/>
      <c r="G6184"/>
    </row>
    <row r="6185" spans="2:7">
      <c r="B6185"/>
      <c r="C6185"/>
      <c r="D6185"/>
      <c r="G6185"/>
    </row>
    <row r="6186" spans="2:7">
      <c r="B6186"/>
      <c r="C6186"/>
      <c r="D6186"/>
      <c r="G6186"/>
    </row>
    <row r="6187" spans="2:7">
      <c r="B6187"/>
      <c r="C6187"/>
      <c r="D6187"/>
      <c r="G6187"/>
    </row>
    <row r="6188" spans="2:7">
      <c r="B6188"/>
      <c r="C6188"/>
      <c r="D6188"/>
      <c r="G6188"/>
    </row>
    <row r="6189" spans="2:7">
      <c r="B6189"/>
      <c r="C6189"/>
      <c r="D6189"/>
      <c r="G6189"/>
    </row>
    <row r="6190" spans="2:7">
      <c r="B6190"/>
      <c r="C6190"/>
      <c r="D6190"/>
      <c r="G6190"/>
    </row>
    <row r="6191" spans="2:7">
      <c r="B6191"/>
      <c r="C6191"/>
      <c r="D6191"/>
      <c r="G6191"/>
    </row>
    <row r="6192" spans="2:7">
      <c r="B6192"/>
      <c r="C6192"/>
      <c r="D6192"/>
      <c r="G6192"/>
    </row>
    <row r="6193" spans="2:7">
      <c r="B6193"/>
      <c r="C6193"/>
      <c r="D6193"/>
      <c r="G6193"/>
    </row>
    <row r="6194" spans="2:7">
      <c r="B6194"/>
      <c r="C6194"/>
      <c r="D6194"/>
      <c r="G6194"/>
    </row>
    <row r="6195" spans="2:7">
      <c r="B6195"/>
      <c r="C6195"/>
      <c r="D6195"/>
      <c r="G6195"/>
    </row>
    <row r="6196" spans="2:7">
      <c r="B6196"/>
      <c r="C6196"/>
      <c r="D6196"/>
      <c r="G6196"/>
    </row>
    <row r="6197" spans="2:7">
      <c r="B6197"/>
      <c r="C6197"/>
      <c r="D6197"/>
      <c r="G6197"/>
    </row>
    <row r="6198" spans="2:7">
      <c r="B6198"/>
      <c r="C6198"/>
      <c r="D6198"/>
      <c r="G6198"/>
    </row>
    <row r="6199" spans="2:7">
      <c r="B6199"/>
      <c r="C6199"/>
      <c r="D6199"/>
      <c r="G6199"/>
    </row>
    <row r="6200" spans="2:7">
      <c r="B6200"/>
      <c r="C6200"/>
      <c r="D6200"/>
      <c r="G6200"/>
    </row>
    <row r="6201" spans="2:7">
      <c r="B6201"/>
      <c r="C6201"/>
      <c r="D6201"/>
      <c r="G6201"/>
    </row>
    <row r="6202" spans="2:7">
      <c r="B6202"/>
      <c r="C6202"/>
      <c r="D6202"/>
      <c r="G6202"/>
    </row>
    <row r="6203" spans="2:7">
      <c r="B6203"/>
      <c r="C6203"/>
      <c r="D6203"/>
      <c r="G6203"/>
    </row>
    <row r="6204" spans="2:7">
      <c r="B6204"/>
      <c r="C6204"/>
      <c r="D6204"/>
      <c r="G6204"/>
    </row>
    <row r="6205" spans="2:7">
      <c r="B6205"/>
      <c r="C6205"/>
      <c r="D6205"/>
      <c r="G6205"/>
    </row>
    <row r="6206" spans="2:7">
      <c r="B6206"/>
      <c r="C6206"/>
      <c r="D6206"/>
      <c r="G6206"/>
    </row>
    <row r="6207" spans="2:7">
      <c r="B6207"/>
      <c r="C6207"/>
      <c r="D6207"/>
      <c r="G6207"/>
    </row>
    <row r="6208" spans="2:7">
      <c r="B6208"/>
      <c r="C6208"/>
      <c r="D6208"/>
      <c r="G6208"/>
    </row>
    <row r="6209" spans="2:7">
      <c r="B6209"/>
      <c r="C6209"/>
      <c r="D6209"/>
      <c r="G6209"/>
    </row>
    <row r="6210" spans="2:7">
      <c r="B6210"/>
      <c r="C6210"/>
      <c r="D6210"/>
      <c r="G6210"/>
    </row>
    <row r="6211" spans="2:7">
      <c r="B6211"/>
      <c r="C6211"/>
      <c r="D6211"/>
      <c r="G6211"/>
    </row>
    <row r="6212" spans="2:7">
      <c r="B6212"/>
      <c r="C6212"/>
      <c r="D6212"/>
      <c r="G6212"/>
    </row>
    <row r="6213" spans="2:7">
      <c r="B6213"/>
      <c r="C6213"/>
      <c r="D6213"/>
      <c r="G6213"/>
    </row>
    <row r="6214" spans="2:7">
      <c r="B6214"/>
      <c r="C6214"/>
      <c r="D6214"/>
      <c r="G6214"/>
    </row>
    <row r="6215" spans="2:7">
      <c r="B6215"/>
      <c r="C6215"/>
      <c r="D6215"/>
      <c r="G6215"/>
    </row>
    <row r="6216" spans="2:7">
      <c r="B6216"/>
      <c r="C6216"/>
      <c r="D6216"/>
      <c r="G6216"/>
    </row>
    <row r="6217" spans="2:7">
      <c r="B6217"/>
      <c r="C6217"/>
      <c r="D6217"/>
      <c r="G6217"/>
    </row>
    <row r="6218" spans="2:7">
      <c r="B6218"/>
      <c r="C6218"/>
      <c r="D6218"/>
      <c r="G6218"/>
    </row>
    <row r="6219" spans="2:7">
      <c r="B6219"/>
      <c r="C6219"/>
      <c r="D6219"/>
      <c r="G6219"/>
    </row>
    <row r="6220" spans="2:7">
      <c r="B6220"/>
      <c r="C6220"/>
      <c r="D6220"/>
      <c r="G6220"/>
    </row>
    <row r="6221" spans="2:7">
      <c r="B6221"/>
      <c r="C6221"/>
      <c r="D6221"/>
      <c r="G6221"/>
    </row>
    <row r="6222" spans="2:7">
      <c r="B6222"/>
      <c r="C6222"/>
      <c r="D6222"/>
      <c r="G6222"/>
    </row>
    <row r="6223" spans="2:7">
      <c r="B6223"/>
      <c r="C6223"/>
      <c r="D6223"/>
      <c r="G6223"/>
    </row>
    <row r="6224" spans="2:7">
      <c r="B6224"/>
      <c r="C6224"/>
      <c r="D6224"/>
      <c r="G6224"/>
    </row>
    <row r="6225" spans="2:7">
      <c r="B6225"/>
      <c r="C6225"/>
      <c r="D6225"/>
      <c r="G6225"/>
    </row>
    <row r="6226" spans="2:7">
      <c r="B6226"/>
      <c r="C6226"/>
      <c r="D6226"/>
      <c r="G6226"/>
    </row>
    <row r="6227" spans="2:7">
      <c r="B6227"/>
      <c r="C6227"/>
      <c r="D6227"/>
      <c r="G6227"/>
    </row>
    <row r="6228" spans="2:7">
      <c r="B6228"/>
      <c r="C6228"/>
      <c r="D6228"/>
      <c r="G6228"/>
    </row>
    <row r="6229" spans="2:7">
      <c r="B6229"/>
      <c r="C6229"/>
      <c r="D6229"/>
      <c r="G6229"/>
    </row>
    <row r="6230" spans="2:7">
      <c r="B6230"/>
      <c r="C6230"/>
      <c r="D6230"/>
      <c r="G6230"/>
    </row>
    <row r="6231" spans="2:7">
      <c r="B6231"/>
      <c r="C6231"/>
      <c r="D6231"/>
      <c r="G6231"/>
    </row>
    <row r="6232" spans="2:7">
      <c r="B6232"/>
      <c r="C6232"/>
      <c r="D6232"/>
      <c r="G6232"/>
    </row>
    <row r="6233" spans="2:7">
      <c r="B6233"/>
      <c r="C6233"/>
      <c r="D6233"/>
      <c r="G6233"/>
    </row>
    <row r="6234" spans="2:7">
      <c r="B6234"/>
      <c r="C6234"/>
      <c r="D6234"/>
      <c r="G6234"/>
    </row>
    <row r="6235" spans="2:7">
      <c r="B6235"/>
      <c r="C6235"/>
      <c r="D6235"/>
      <c r="G6235"/>
    </row>
    <row r="6236" spans="2:7">
      <c r="B6236"/>
      <c r="C6236"/>
      <c r="D6236"/>
      <c r="G6236"/>
    </row>
    <row r="6237" spans="2:7">
      <c r="B6237"/>
      <c r="C6237"/>
      <c r="D6237"/>
      <c r="G6237"/>
    </row>
    <row r="6238" spans="2:7">
      <c r="B6238"/>
      <c r="C6238"/>
      <c r="D6238"/>
      <c r="G6238"/>
    </row>
    <row r="6239" spans="2:7">
      <c r="B6239"/>
      <c r="C6239"/>
      <c r="D6239"/>
      <c r="G6239"/>
    </row>
    <row r="6240" spans="2:7">
      <c r="B6240"/>
      <c r="C6240"/>
      <c r="D6240"/>
      <c r="G6240"/>
    </row>
    <row r="6241" spans="2:7">
      <c r="B6241"/>
      <c r="C6241"/>
      <c r="D6241"/>
      <c r="G6241"/>
    </row>
    <row r="6242" spans="2:7">
      <c r="B6242"/>
      <c r="C6242"/>
      <c r="D6242"/>
      <c r="G6242"/>
    </row>
    <row r="6243" spans="2:7">
      <c r="B6243"/>
      <c r="C6243"/>
      <c r="D6243"/>
      <c r="G6243"/>
    </row>
    <row r="6244" spans="2:7">
      <c r="B6244"/>
      <c r="C6244"/>
      <c r="D6244"/>
      <c r="G6244"/>
    </row>
    <row r="6245" spans="2:7">
      <c r="B6245"/>
      <c r="C6245"/>
      <c r="D6245"/>
      <c r="G6245"/>
    </row>
    <row r="6246" spans="2:7">
      <c r="B6246"/>
      <c r="C6246"/>
      <c r="D6246"/>
      <c r="G6246"/>
    </row>
    <row r="6247" spans="2:7">
      <c r="B6247"/>
      <c r="C6247"/>
      <c r="D6247"/>
      <c r="G6247"/>
    </row>
    <row r="6248" spans="2:7">
      <c r="B6248"/>
      <c r="C6248"/>
      <c r="D6248"/>
      <c r="G6248"/>
    </row>
    <row r="6249" spans="2:7">
      <c r="B6249"/>
      <c r="C6249"/>
      <c r="D6249"/>
      <c r="G6249"/>
    </row>
    <row r="6250" spans="2:7">
      <c r="B6250"/>
      <c r="C6250"/>
      <c r="D6250"/>
      <c r="G6250"/>
    </row>
    <row r="6251" spans="2:7">
      <c r="B6251"/>
      <c r="C6251"/>
      <c r="D6251"/>
      <c r="G6251"/>
    </row>
    <row r="6252" spans="2:7">
      <c r="B6252"/>
      <c r="C6252"/>
      <c r="D6252"/>
      <c r="G6252"/>
    </row>
    <row r="6253" spans="2:7">
      <c r="B6253"/>
      <c r="C6253"/>
      <c r="D6253"/>
      <c r="G6253"/>
    </row>
    <row r="6254" spans="2:7">
      <c r="B6254"/>
      <c r="C6254"/>
      <c r="D6254"/>
      <c r="G6254"/>
    </row>
    <row r="6255" spans="2:7">
      <c r="B6255"/>
      <c r="C6255"/>
      <c r="D6255"/>
      <c r="G6255"/>
    </row>
    <row r="6256" spans="2:7">
      <c r="B6256"/>
      <c r="C6256"/>
      <c r="D6256"/>
      <c r="G6256"/>
    </row>
    <row r="6257" spans="2:7">
      <c r="B6257"/>
      <c r="C6257"/>
      <c r="D6257"/>
      <c r="G6257"/>
    </row>
    <row r="6258" spans="2:7">
      <c r="B6258"/>
      <c r="C6258"/>
      <c r="D6258"/>
      <c r="G6258"/>
    </row>
    <row r="6259" spans="2:7">
      <c r="B6259"/>
      <c r="C6259"/>
      <c r="D6259"/>
      <c r="G6259"/>
    </row>
    <row r="6260" spans="2:7">
      <c r="B6260"/>
      <c r="C6260"/>
      <c r="D6260"/>
      <c r="G6260"/>
    </row>
    <row r="6261" spans="2:7">
      <c r="B6261"/>
      <c r="C6261"/>
      <c r="D6261"/>
      <c r="G6261"/>
    </row>
    <row r="6262" spans="2:7">
      <c r="B6262"/>
      <c r="C6262"/>
      <c r="D6262"/>
      <c r="G6262"/>
    </row>
    <row r="6263" spans="2:7">
      <c r="B6263"/>
      <c r="C6263"/>
      <c r="D6263"/>
      <c r="G6263"/>
    </row>
    <row r="6264" spans="2:7">
      <c r="B6264"/>
      <c r="C6264"/>
      <c r="D6264"/>
      <c r="G6264"/>
    </row>
    <row r="6265" spans="2:7">
      <c r="B6265"/>
      <c r="C6265"/>
      <c r="D6265"/>
      <c r="G6265"/>
    </row>
    <row r="6266" spans="2:7">
      <c r="B6266"/>
      <c r="C6266"/>
      <c r="D6266"/>
      <c r="G6266"/>
    </row>
    <row r="6267" spans="2:7">
      <c r="B6267"/>
      <c r="C6267"/>
      <c r="D6267"/>
      <c r="G6267"/>
    </row>
    <row r="6268" spans="2:7">
      <c r="B6268"/>
      <c r="C6268"/>
      <c r="D6268"/>
      <c r="G6268"/>
    </row>
    <row r="6269" spans="2:7">
      <c r="B6269"/>
      <c r="C6269"/>
      <c r="D6269"/>
      <c r="G6269"/>
    </row>
    <row r="6270" spans="2:7">
      <c r="B6270"/>
      <c r="C6270"/>
      <c r="D6270"/>
      <c r="G6270"/>
    </row>
    <row r="6271" spans="2:7">
      <c r="B6271"/>
      <c r="C6271"/>
      <c r="D6271"/>
      <c r="G6271"/>
    </row>
    <row r="6272" spans="2:7">
      <c r="B6272"/>
      <c r="C6272"/>
      <c r="D6272"/>
      <c r="G6272"/>
    </row>
    <row r="6273" spans="2:7">
      <c r="B6273"/>
      <c r="C6273"/>
      <c r="D6273"/>
      <c r="G6273"/>
    </row>
    <row r="6274" spans="2:7">
      <c r="B6274"/>
      <c r="C6274"/>
      <c r="D6274"/>
      <c r="G6274"/>
    </row>
    <row r="6275" spans="2:7">
      <c r="B6275"/>
      <c r="C6275"/>
      <c r="D6275"/>
      <c r="G6275"/>
    </row>
    <row r="6276" spans="2:7">
      <c r="B6276"/>
      <c r="C6276"/>
      <c r="D6276"/>
      <c r="G6276"/>
    </row>
    <row r="6277" spans="2:7">
      <c r="B6277"/>
      <c r="C6277"/>
      <c r="D6277"/>
      <c r="G6277"/>
    </row>
    <row r="6278" spans="2:7">
      <c r="B6278"/>
      <c r="C6278"/>
      <c r="D6278"/>
      <c r="G6278"/>
    </row>
    <row r="6279" spans="2:7">
      <c r="B6279"/>
      <c r="C6279"/>
      <c r="D6279"/>
      <c r="G6279"/>
    </row>
    <row r="6280" spans="2:7">
      <c r="B6280"/>
      <c r="C6280"/>
      <c r="D6280"/>
      <c r="G6280"/>
    </row>
    <row r="6281" spans="2:7">
      <c r="B6281"/>
      <c r="C6281"/>
      <c r="D6281"/>
      <c r="G6281"/>
    </row>
    <row r="6282" spans="2:7">
      <c r="B6282"/>
      <c r="C6282"/>
      <c r="D6282"/>
      <c r="G6282"/>
    </row>
    <row r="6283" spans="2:7">
      <c r="B6283"/>
      <c r="C6283"/>
      <c r="D6283"/>
      <c r="G6283"/>
    </row>
    <row r="6284" spans="2:7">
      <c r="B6284"/>
      <c r="C6284"/>
      <c r="D6284"/>
      <c r="G6284"/>
    </row>
    <row r="6285" spans="2:7">
      <c r="B6285"/>
      <c r="C6285"/>
      <c r="D6285"/>
      <c r="G6285"/>
    </row>
    <row r="6286" spans="2:7">
      <c r="B6286"/>
      <c r="C6286"/>
      <c r="D6286"/>
      <c r="G6286"/>
    </row>
    <row r="6287" spans="2:7">
      <c r="B6287"/>
      <c r="C6287"/>
      <c r="D6287"/>
      <c r="G6287"/>
    </row>
    <row r="6288" spans="2:7">
      <c r="B6288"/>
      <c r="C6288"/>
      <c r="D6288"/>
      <c r="G6288"/>
    </row>
    <row r="6289" spans="2:7">
      <c r="B6289"/>
      <c r="C6289"/>
      <c r="D6289"/>
      <c r="G6289"/>
    </row>
    <row r="6290" spans="2:7">
      <c r="B6290"/>
      <c r="C6290"/>
      <c r="D6290"/>
      <c r="G6290"/>
    </row>
    <row r="6291" spans="2:7">
      <c r="B6291"/>
      <c r="C6291"/>
      <c r="D6291"/>
      <c r="G6291"/>
    </row>
    <row r="6292" spans="2:7">
      <c r="B6292"/>
      <c r="C6292"/>
      <c r="D6292"/>
      <c r="G6292"/>
    </row>
    <row r="6293" spans="2:7">
      <c r="B6293"/>
      <c r="C6293"/>
      <c r="D6293"/>
      <c r="G6293"/>
    </row>
    <row r="6294" spans="2:7">
      <c r="B6294"/>
      <c r="C6294"/>
      <c r="D6294"/>
      <c r="G6294"/>
    </row>
    <row r="6295" spans="2:7">
      <c r="B6295"/>
      <c r="C6295"/>
      <c r="D6295"/>
      <c r="G6295"/>
    </row>
    <row r="6296" spans="2:7">
      <c r="B6296"/>
      <c r="C6296"/>
      <c r="D6296"/>
      <c r="G6296"/>
    </row>
    <row r="6297" spans="2:7">
      <c r="B6297"/>
      <c r="C6297"/>
      <c r="D6297"/>
      <c r="G6297"/>
    </row>
    <row r="6298" spans="2:7">
      <c r="B6298"/>
      <c r="C6298"/>
      <c r="D6298"/>
      <c r="G6298"/>
    </row>
    <row r="6299" spans="2:7">
      <c r="B6299"/>
      <c r="C6299"/>
      <c r="D6299"/>
      <c r="G6299"/>
    </row>
    <row r="6300" spans="2:7">
      <c r="B6300"/>
      <c r="C6300"/>
      <c r="D6300"/>
      <c r="G6300"/>
    </row>
    <row r="6301" spans="2:7">
      <c r="B6301"/>
      <c r="C6301"/>
      <c r="D6301"/>
      <c r="G6301"/>
    </row>
    <row r="6302" spans="2:7">
      <c r="B6302"/>
      <c r="C6302"/>
      <c r="D6302"/>
      <c r="G6302"/>
    </row>
    <row r="6303" spans="2:7">
      <c r="B6303"/>
      <c r="C6303"/>
      <c r="D6303"/>
      <c r="G6303"/>
    </row>
    <row r="6304" spans="2:7">
      <c r="B6304"/>
      <c r="C6304"/>
      <c r="D6304"/>
      <c r="G6304"/>
    </row>
    <row r="6305" spans="2:7">
      <c r="B6305"/>
      <c r="C6305"/>
      <c r="D6305"/>
      <c r="G6305"/>
    </row>
    <row r="6306" spans="2:7">
      <c r="B6306"/>
      <c r="C6306"/>
      <c r="D6306"/>
      <c r="G6306"/>
    </row>
    <row r="6307" spans="2:7">
      <c r="B6307"/>
      <c r="C6307"/>
      <c r="D6307"/>
      <c r="G6307"/>
    </row>
    <row r="6308" spans="2:7">
      <c r="B6308"/>
      <c r="C6308"/>
      <c r="D6308"/>
      <c r="G6308"/>
    </row>
    <row r="6309" spans="2:7">
      <c r="B6309"/>
      <c r="C6309"/>
      <c r="D6309"/>
      <c r="G6309"/>
    </row>
    <row r="6310" spans="2:7">
      <c r="B6310"/>
      <c r="C6310"/>
      <c r="D6310"/>
      <c r="G6310"/>
    </row>
    <row r="6311" spans="2:7">
      <c r="B6311"/>
      <c r="C6311"/>
      <c r="D6311"/>
      <c r="G6311"/>
    </row>
    <row r="6312" spans="2:7">
      <c r="B6312"/>
      <c r="C6312"/>
      <c r="D6312"/>
      <c r="G6312"/>
    </row>
    <row r="6313" spans="2:7">
      <c r="B6313"/>
      <c r="C6313"/>
      <c r="D6313"/>
      <c r="G6313"/>
    </row>
    <row r="6314" spans="2:7">
      <c r="B6314"/>
      <c r="C6314"/>
      <c r="D6314"/>
      <c r="G6314"/>
    </row>
    <row r="6315" spans="2:7">
      <c r="B6315"/>
      <c r="C6315"/>
      <c r="D6315"/>
      <c r="G6315"/>
    </row>
    <row r="6316" spans="2:7">
      <c r="B6316"/>
      <c r="C6316"/>
      <c r="D6316"/>
      <c r="G6316"/>
    </row>
    <row r="6317" spans="2:7">
      <c r="B6317"/>
      <c r="C6317"/>
      <c r="D6317"/>
      <c r="G6317"/>
    </row>
    <row r="6318" spans="2:7">
      <c r="B6318"/>
      <c r="C6318"/>
      <c r="D6318"/>
      <c r="G6318"/>
    </row>
    <row r="6319" spans="2:7">
      <c r="B6319"/>
      <c r="C6319"/>
      <c r="D6319"/>
      <c r="G6319"/>
    </row>
    <row r="6320" spans="2:7">
      <c r="B6320"/>
      <c r="C6320"/>
      <c r="D6320"/>
      <c r="G6320"/>
    </row>
    <row r="6321" spans="2:7">
      <c r="B6321"/>
      <c r="C6321"/>
      <c r="D6321"/>
      <c r="G6321"/>
    </row>
    <row r="6322" spans="2:7">
      <c r="B6322"/>
      <c r="C6322"/>
      <c r="D6322"/>
      <c r="G6322"/>
    </row>
    <row r="6323" spans="2:7">
      <c r="B6323"/>
      <c r="C6323"/>
      <c r="D6323"/>
      <c r="G6323"/>
    </row>
    <row r="6324" spans="2:7">
      <c r="B6324"/>
      <c r="C6324"/>
      <c r="D6324"/>
      <c r="G6324"/>
    </row>
    <row r="6325" spans="2:7">
      <c r="B6325"/>
      <c r="C6325"/>
      <c r="D6325"/>
      <c r="G6325"/>
    </row>
    <row r="6326" spans="2:7">
      <c r="B6326"/>
      <c r="C6326"/>
      <c r="D6326"/>
      <c r="G6326"/>
    </row>
    <row r="6327" spans="2:7">
      <c r="B6327"/>
      <c r="C6327"/>
      <c r="D6327"/>
      <c r="G6327"/>
    </row>
    <row r="6328" spans="2:7">
      <c r="B6328"/>
      <c r="C6328"/>
      <c r="D6328"/>
      <c r="G6328"/>
    </row>
    <row r="6329" spans="2:7">
      <c r="B6329"/>
      <c r="C6329"/>
      <c r="D6329"/>
      <c r="G6329"/>
    </row>
    <row r="6330" spans="2:7">
      <c r="B6330"/>
      <c r="C6330"/>
      <c r="D6330"/>
      <c r="G6330"/>
    </row>
    <row r="6331" spans="2:7">
      <c r="B6331"/>
      <c r="C6331"/>
      <c r="D6331"/>
      <c r="G6331"/>
    </row>
    <row r="6332" spans="2:7">
      <c r="B6332"/>
      <c r="C6332"/>
      <c r="D6332"/>
      <c r="G6332"/>
    </row>
    <row r="6333" spans="2:7">
      <c r="B6333"/>
      <c r="C6333"/>
      <c r="D6333"/>
      <c r="G6333"/>
    </row>
    <row r="6334" spans="2:7">
      <c r="B6334"/>
      <c r="C6334"/>
      <c r="D6334"/>
      <c r="G6334"/>
    </row>
    <row r="6335" spans="2:7">
      <c r="B6335"/>
      <c r="C6335"/>
      <c r="D6335"/>
      <c r="G6335"/>
    </row>
    <row r="6336" spans="2:7">
      <c r="B6336"/>
      <c r="C6336"/>
      <c r="D6336"/>
      <c r="G6336"/>
    </row>
    <row r="6337" spans="2:7">
      <c r="B6337"/>
      <c r="C6337"/>
      <c r="D6337"/>
      <c r="G6337"/>
    </row>
    <row r="6338" spans="2:7">
      <c r="B6338"/>
      <c r="C6338"/>
      <c r="D6338"/>
      <c r="G6338"/>
    </row>
    <row r="6339" spans="2:7">
      <c r="B6339"/>
      <c r="C6339"/>
      <c r="D6339"/>
      <c r="G6339"/>
    </row>
    <row r="6340" spans="2:7">
      <c r="B6340"/>
      <c r="C6340"/>
      <c r="D6340"/>
      <c r="G6340"/>
    </row>
    <row r="6341" spans="2:7">
      <c r="B6341"/>
      <c r="C6341"/>
      <c r="D6341"/>
      <c r="G6341"/>
    </row>
    <row r="6342" spans="2:7">
      <c r="B6342"/>
      <c r="C6342"/>
      <c r="D6342"/>
      <c r="G6342"/>
    </row>
    <row r="6343" spans="2:7">
      <c r="B6343"/>
      <c r="C6343"/>
      <c r="D6343"/>
      <c r="G6343"/>
    </row>
    <row r="6344" spans="2:7">
      <c r="B6344"/>
      <c r="C6344"/>
      <c r="D6344"/>
      <c r="G6344"/>
    </row>
    <row r="6345" spans="2:7">
      <c r="B6345"/>
      <c r="C6345"/>
      <c r="D6345"/>
      <c r="G6345"/>
    </row>
    <row r="6346" spans="2:7">
      <c r="B6346"/>
      <c r="C6346"/>
      <c r="D6346"/>
      <c r="G6346"/>
    </row>
    <row r="6347" spans="2:7">
      <c r="B6347"/>
      <c r="C6347"/>
      <c r="D6347"/>
      <c r="G6347"/>
    </row>
    <row r="6348" spans="2:7">
      <c r="B6348"/>
      <c r="C6348"/>
      <c r="D6348"/>
      <c r="G6348"/>
    </row>
    <row r="6349" spans="2:7">
      <c r="B6349"/>
      <c r="C6349"/>
      <c r="D6349"/>
      <c r="G6349"/>
    </row>
    <row r="6350" spans="2:7">
      <c r="B6350"/>
      <c r="C6350"/>
      <c r="D6350"/>
      <c r="G6350"/>
    </row>
    <row r="6351" spans="2:7">
      <c r="B6351"/>
      <c r="C6351"/>
      <c r="D6351"/>
      <c r="G6351"/>
    </row>
    <row r="6352" spans="2:7">
      <c r="B6352"/>
      <c r="C6352"/>
      <c r="D6352"/>
      <c r="G6352"/>
    </row>
    <row r="6353" spans="2:7">
      <c r="B6353"/>
      <c r="C6353"/>
      <c r="D6353"/>
      <c r="G6353"/>
    </row>
    <row r="6354" spans="2:7">
      <c r="B6354"/>
      <c r="C6354"/>
      <c r="D6354"/>
      <c r="G6354"/>
    </row>
    <row r="6355" spans="2:7">
      <c r="B6355"/>
      <c r="C6355"/>
      <c r="D6355"/>
      <c r="G6355"/>
    </row>
    <row r="6356" spans="2:7">
      <c r="B6356"/>
      <c r="C6356"/>
      <c r="D6356"/>
      <c r="G6356"/>
    </row>
    <row r="6357" spans="2:7">
      <c r="B6357"/>
      <c r="C6357"/>
      <c r="D6357"/>
      <c r="G6357"/>
    </row>
    <row r="6358" spans="2:7">
      <c r="B6358"/>
      <c r="C6358"/>
      <c r="D6358"/>
      <c r="G6358"/>
    </row>
    <row r="6359" spans="2:7">
      <c r="B6359"/>
      <c r="C6359"/>
      <c r="D6359"/>
      <c r="G6359"/>
    </row>
    <row r="6360" spans="2:7">
      <c r="B6360"/>
      <c r="C6360"/>
      <c r="D6360"/>
      <c r="G6360"/>
    </row>
    <row r="6361" spans="2:7">
      <c r="B6361"/>
      <c r="C6361"/>
      <c r="D6361"/>
      <c r="G6361"/>
    </row>
    <row r="6362" spans="2:7">
      <c r="B6362"/>
      <c r="C6362"/>
      <c r="D6362"/>
      <c r="G6362"/>
    </row>
    <row r="6363" spans="2:7">
      <c r="B6363"/>
      <c r="C6363"/>
      <c r="D6363"/>
      <c r="G6363"/>
    </row>
    <row r="6364" spans="2:7">
      <c r="B6364"/>
      <c r="C6364"/>
      <c r="D6364"/>
      <c r="G6364"/>
    </row>
    <row r="6365" spans="2:7">
      <c r="B6365"/>
      <c r="C6365"/>
      <c r="D6365"/>
      <c r="G6365"/>
    </row>
    <row r="6366" spans="2:7">
      <c r="B6366"/>
      <c r="C6366"/>
      <c r="D6366"/>
      <c r="G6366"/>
    </row>
    <row r="6367" spans="2:7">
      <c r="B6367"/>
      <c r="C6367"/>
      <c r="D6367"/>
      <c r="G6367"/>
    </row>
    <row r="6368" spans="2:7">
      <c r="B6368"/>
      <c r="C6368"/>
      <c r="D6368"/>
      <c r="G6368"/>
    </row>
    <row r="6369" spans="2:7">
      <c r="B6369"/>
      <c r="C6369"/>
      <c r="D6369"/>
      <c r="G6369"/>
    </row>
    <row r="6370" spans="2:7">
      <c r="B6370"/>
      <c r="C6370"/>
      <c r="D6370"/>
      <c r="G6370"/>
    </row>
    <row r="6371" spans="2:7">
      <c r="B6371"/>
      <c r="C6371"/>
      <c r="D6371"/>
      <c r="G6371"/>
    </row>
    <row r="6372" spans="2:7">
      <c r="B6372"/>
      <c r="C6372"/>
      <c r="D6372"/>
      <c r="G6372"/>
    </row>
    <row r="6373" spans="2:7">
      <c r="B6373"/>
      <c r="C6373"/>
      <c r="D6373"/>
      <c r="G6373"/>
    </row>
    <row r="6374" spans="2:7">
      <c r="B6374"/>
      <c r="C6374"/>
      <c r="D6374"/>
      <c r="G6374"/>
    </row>
    <row r="6375" spans="2:7">
      <c r="B6375"/>
      <c r="C6375"/>
      <c r="D6375"/>
      <c r="G6375"/>
    </row>
    <row r="6376" spans="2:7">
      <c r="B6376"/>
      <c r="C6376"/>
      <c r="D6376"/>
      <c r="G6376"/>
    </row>
    <row r="6377" spans="2:7">
      <c r="B6377"/>
      <c r="C6377"/>
      <c r="D6377"/>
      <c r="G6377"/>
    </row>
    <row r="6378" spans="2:7">
      <c r="B6378"/>
      <c r="C6378"/>
      <c r="D6378"/>
      <c r="G6378"/>
    </row>
    <row r="6379" spans="2:7">
      <c r="B6379"/>
      <c r="C6379"/>
      <c r="D6379"/>
      <c r="G6379"/>
    </row>
    <row r="6380" spans="2:7">
      <c r="B6380"/>
      <c r="C6380"/>
      <c r="D6380"/>
      <c r="G6380"/>
    </row>
    <row r="6381" spans="2:7">
      <c r="B6381"/>
      <c r="C6381"/>
      <c r="D6381"/>
      <c r="G6381"/>
    </row>
    <row r="6382" spans="2:7">
      <c r="B6382"/>
      <c r="C6382"/>
      <c r="D6382"/>
      <c r="G6382"/>
    </row>
    <row r="6383" spans="2:7">
      <c r="B6383"/>
      <c r="C6383"/>
      <c r="D6383"/>
      <c r="G6383"/>
    </row>
    <row r="6384" spans="2:7">
      <c r="B6384"/>
      <c r="C6384"/>
      <c r="D6384"/>
      <c r="G6384"/>
    </row>
    <row r="6385" spans="2:7">
      <c r="B6385"/>
      <c r="C6385"/>
      <c r="D6385"/>
      <c r="G6385"/>
    </row>
    <row r="6386" spans="2:7">
      <c r="B6386"/>
      <c r="C6386"/>
      <c r="D6386"/>
      <c r="G6386"/>
    </row>
    <row r="6387" spans="2:7">
      <c r="B6387"/>
      <c r="C6387"/>
      <c r="D6387"/>
      <c r="G6387"/>
    </row>
    <row r="6388" spans="2:7">
      <c r="B6388"/>
      <c r="C6388"/>
      <c r="D6388"/>
      <c r="G6388"/>
    </row>
    <row r="6389" spans="2:7">
      <c r="B6389"/>
      <c r="C6389"/>
      <c r="D6389"/>
      <c r="G6389"/>
    </row>
    <row r="6390" spans="2:7">
      <c r="B6390"/>
      <c r="C6390"/>
      <c r="D6390"/>
      <c r="G6390"/>
    </row>
    <row r="6391" spans="2:7">
      <c r="B6391"/>
      <c r="C6391"/>
      <c r="D6391"/>
      <c r="G6391"/>
    </row>
    <row r="6392" spans="2:7">
      <c r="B6392"/>
      <c r="C6392"/>
      <c r="D6392"/>
      <c r="G6392"/>
    </row>
    <row r="6393" spans="2:7">
      <c r="B6393"/>
      <c r="C6393"/>
      <c r="D6393"/>
      <c r="G6393"/>
    </row>
    <row r="6394" spans="2:7">
      <c r="B6394"/>
      <c r="C6394"/>
      <c r="D6394"/>
      <c r="G6394"/>
    </row>
    <row r="6395" spans="2:7">
      <c r="B6395"/>
      <c r="C6395"/>
      <c r="D6395"/>
      <c r="G6395"/>
    </row>
    <row r="6396" spans="2:7">
      <c r="B6396"/>
      <c r="C6396"/>
      <c r="D6396"/>
      <c r="G6396"/>
    </row>
    <row r="6397" spans="2:7">
      <c r="B6397"/>
      <c r="C6397"/>
      <c r="D6397"/>
      <c r="G6397"/>
    </row>
    <row r="6398" spans="2:7">
      <c r="B6398"/>
      <c r="C6398"/>
      <c r="D6398"/>
      <c r="G6398"/>
    </row>
    <row r="6399" spans="2:7">
      <c r="B6399"/>
      <c r="C6399"/>
      <c r="D6399"/>
      <c r="G6399"/>
    </row>
    <row r="6400" spans="2:7">
      <c r="B6400"/>
      <c r="C6400"/>
      <c r="D6400"/>
      <c r="G6400"/>
    </row>
    <row r="6401" spans="2:7">
      <c r="B6401"/>
      <c r="C6401"/>
      <c r="D6401"/>
      <c r="G6401"/>
    </row>
    <row r="6402" spans="2:7">
      <c r="B6402"/>
      <c r="C6402"/>
      <c r="D6402"/>
      <c r="G6402"/>
    </row>
    <row r="6403" spans="2:7">
      <c r="B6403"/>
      <c r="C6403"/>
      <c r="D6403"/>
      <c r="G6403"/>
    </row>
    <row r="6404" spans="2:7">
      <c r="B6404"/>
      <c r="C6404"/>
      <c r="D6404"/>
      <c r="G6404"/>
    </row>
    <row r="6405" spans="2:7">
      <c r="B6405"/>
      <c r="C6405"/>
      <c r="D6405"/>
      <c r="G6405"/>
    </row>
    <row r="6406" spans="2:7">
      <c r="B6406"/>
      <c r="C6406"/>
      <c r="D6406"/>
      <c r="G6406"/>
    </row>
    <row r="6407" spans="2:7">
      <c r="B6407"/>
      <c r="C6407"/>
      <c r="D6407"/>
      <c r="G6407"/>
    </row>
    <row r="6408" spans="2:7">
      <c r="B6408"/>
      <c r="C6408"/>
      <c r="D6408"/>
      <c r="G6408"/>
    </row>
    <row r="6409" spans="2:7">
      <c r="B6409"/>
      <c r="C6409"/>
      <c r="D6409"/>
      <c r="G6409"/>
    </row>
    <row r="6410" spans="2:7">
      <c r="B6410"/>
      <c r="C6410"/>
      <c r="D6410"/>
      <c r="G6410"/>
    </row>
    <row r="6411" spans="2:7">
      <c r="B6411"/>
      <c r="C6411"/>
      <c r="D6411"/>
      <c r="G6411"/>
    </row>
    <row r="6412" spans="2:7">
      <c r="B6412"/>
      <c r="C6412"/>
      <c r="D6412"/>
      <c r="G6412"/>
    </row>
    <row r="6413" spans="2:7">
      <c r="B6413"/>
      <c r="C6413"/>
      <c r="D6413"/>
      <c r="G6413"/>
    </row>
    <row r="6414" spans="2:7">
      <c r="B6414"/>
      <c r="C6414"/>
      <c r="D6414"/>
      <c r="G6414"/>
    </row>
    <row r="6415" spans="2:7">
      <c r="B6415"/>
      <c r="C6415"/>
      <c r="D6415"/>
      <c r="G6415"/>
    </row>
    <row r="6416" spans="2:7">
      <c r="B6416"/>
      <c r="C6416"/>
      <c r="D6416"/>
      <c r="G6416"/>
    </row>
    <row r="6417" spans="2:7">
      <c r="B6417"/>
      <c r="C6417"/>
      <c r="D6417"/>
      <c r="G6417"/>
    </row>
    <row r="6418" spans="2:7">
      <c r="B6418"/>
      <c r="C6418"/>
      <c r="D6418"/>
      <c r="G6418"/>
    </row>
    <row r="6419" spans="2:7">
      <c r="B6419"/>
      <c r="C6419"/>
      <c r="D6419"/>
      <c r="G6419"/>
    </row>
    <row r="6420" spans="2:7">
      <c r="B6420"/>
      <c r="C6420"/>
      <c r="D6420"/>
      <c r="G6420"/>
    </row>
    <row r="6421" spans="2:7">
      <c r="B6421"/>
      <c r="C6421"/>
      <c r="D6421"/>
      <c r="G6421"/>
    </row>
    <row r="6422" spans="2:7">
      <c r="B6422"/>
      <c r="C6422"/>
      <c r="D6422"/>
      <c r="G6422"/>
    </row>
    <row r="6423" spans="2:7">
      <c r="B6423"/>
      <c r="C6423"/>
      <c r="D6423"/>
      <c r="G6423"/>
    </row>
    <row r="6424" spans="2:7">
      <c r="B6424"/>
      <c r="C6424"/>
      <c r="D6424"/>
      <c r="G6424"/>
    </row>
    <row r="6425" spans="2:7">
      <c r="B6425"/>
      <c r="C6425"/>
      <c r="D6425"/>
      <c r="G6425"/>
    </row>
    <row r="6426" spans="2:7">
      <c r="B6426"/>
      <c r="C6426"/>
      <c r="D6426"/>
      <c r="G6426"/>
    </row>
    <row r="6427" spans="2:7">
      <c r="B6427"/>
      <c r="C6427"/>
      <c r="D6427"/>
      <c r="G6427"/>
    </row>
    <row r="6428" spans="2:7">
      <c r="B6428"/>
      <c r="C6428"/>
      <c r="D6428"/>
      <c r="G6428"/>
    </row>
    <row r="6429" spans="2:7">
      <c r="B6429"/>
      <c r="C6429"/>
      <c r="D6429"/>
      <c r="G6429"/>
    </row>
    <row r="6430" spans="2:7">
      <c r="B6430"/>
      <c r="C6430"/>
      <c r="D6430"/>
      <c r="G6430"/>
    </row>
    <row r="6431" spans="2:7">
      <c r="B6431"/>
      <c r="C6431"/>
      <c r="D6431"/>
      <c r="G6431"/>
    </row>
    <row r="6432" spans="2:7">
      <c r="B6432"/>
      <c r="C6432"/>
      <c r="D6432"/>
      <c r="G6432"/>
    </row>
    <row r="6433" spans="2:7">
      <c r="B6433"/>
      <c r="C6433"/>
      <c r="D6433"/>
      <c r="G6433"/>
    </row>
    <row r="6434" spans="2:7">
      <c r="B6434"/>
      <c r="C6434"/>
      <c r="D6434"/>
      <c r="G6434"/>
    </row>
    <row r="6435" spans="2:7">
      <c r="B6435"/>
      <c r="C6435"/>
      <c r="D6435"/>
      <c r="G6435"/>
    </row>
    <row r="6436" spans="2:7">
      <c r="B6436"/>
      <c r="C6436"/>
      <c r="D6436"/>
      <c r="G6436"/>
    </row>
    <row r="6437" spans="2:7">
      <c r="B6437"/>
      <c r="C6437"/>
      <c r="D6437"/>
      <c r="G6437"/>
    </row>
    <row r="6438" spans="2:7">
      <c r="B6438"/>
      <c r="C6438"/>
      <c r="D6438"/>
      <c r="G6438"/>
    </row>
    <row r="6439" spans="2:7">
      <c r="B6439"/>
      <c r="C6439"/>
      <c r="D6439"/>
      <c r="G6439"/>
    </row>
    <row r="6440" spans="2:7">
      <c r="B6440"/>
      <c r="C6440"/>
      <c r="D6440"/>
      <c r="G6440"/>
    </row>
    <row r="6441" spans="2:7">
      <c r="B6441"/>
      <c r="C6441"/>
      <c r="D6441"/>
      <c r="G6441"/>
    </row>
    <row r="6442" spans="2:7">
      <c r="B6442"/>
      <c r="C6442"/>
      <c r="D6442"/>
      <c r="G6442"/>
    </row>
    <row r="6443" spans="2:7">
      <c r="B6443"/>
      <c r="C6443"/>
      <c r="D6443"/>
      <c r="G6443"/>
    </row>
    <row r="6444" spans="2:7">
      <c r="B6444"/>
      <c r="C6444"/>
      <c r="D6444"/>
      <c r="G6444"/>
    </row>
    <row r="6445" spans="2:7">
      <c r="B6445"/>
      <c r="C6445"/>
      <c r="D6445"/>
      <c r="G6445"/>
    </row>
    <row r="6446" spans="2:7">
      <c r="B6446"/>
      <c r="C6446"/>
      <c r="D6446"/>
      <c r="G6446"/>
    </row>
    <row r="6447" spans="2:7">
      <c r="B6447"/>
      <c r="C6447"/>
      <c r="D6447"/>
      <c r="G6447"/>
    </row>
    <row r="6448" spans="2:7">
      <c r="B6448"/>
      <c r="C6448"/>
      <c r="D6448"/>
      <c r="G6448"/>
    </row>
    <row r="6449" spans="2:7">
      <c r="B6449"/>
      <c r="C6449"/>
      <c r="D6449"/>
      <c r="G6449"/>
    </row>
    <row r="6450" spans="2:7">
      <c r="B6450"/>
      <c r="C6450"/>
      <c r="D6450"/>
      <c r="G6450"/>
    </row>
    <row r="6451" spans="2:7">
      <c r="B6451"/>
      <c r="C6451"/>
      <c r="D6451"/>
      <c r="G6451"/>
    </row>
    <row r="6452" spans="2:7">
      <c r="B6452"/>
      <c r="C6452"/>
      <c r="D6452"/>
      <c r="G6452"/>
    </row>
    <row r="6453" spans="2:7">
      <c r="B6453"/>
      <c r="C6453"/>
      <c r="D6453"/>
      <c r="G6453"/>
    </row>
    <row r="6454" spans="2:7">
      <c r="B6454"/>
      <c r="C6454"/>
      <c r="D6454"/>
      <c r="G6454"/>
    </row>
    <row r="6455" spans="2:7">
      <c r="B6455"/>
      <c r="C6455"/>
      <c r="D6455"/>
      <c r="G6455"/>
    </row>
    <row r="6456" spans="2:7">
      <c r="B6456"/>
      <c r="C6456"/>
      <c r="D6456"/>
      <c r="G6456"/>
    </row>
    <row r="6457" spans="2:7">
      <c r="B6457"/>
      <c r="C6457"/>
      <c r="D6457"/>
      <c r="G6457"/>
    </row>
    <row r="6458" spans="2:7">
      <c r="B6458"/>
      <c r="C6458"/>
      <c r="D6458"/>
      <c r="G6458"/>
    </row>
    <row r="6459" spans="2:7">
      <c r="B6459"/>
      <c r="C6459"/>
      <c r="D6459"/>
      <c r="G6459"/>
    </row>
    <row r="6460" spans="2:7">
      <c r="B6460"/>
      <c r="C6460"/>
      <c r="D6460"/>
      <c r="G6460"/>
    </row>
    <row r="6461" spans="2:7">
      <c r="B6461"/>
      <c r="C6461"/>
      <c r="D6461"/>
      <c r="G6461"/>
    </row>
    <row r="6462" spans="2:7">
      <c r="B6462"/>
      <c r="C6462"/>
      <c r="D6462"/>
      <c r="G6462"/>
    </row>
    <row r="6463" spans="2:7">
      <c r="B6463"/>
      <c r="C6463"/>
      <c r="D6463"/>
      <c r="G6463"/>
    </row>
    <row r="6464" spans="2:7">
      <c r="B6464"/>
      <c r="C6464"/>
      <c r="D6464"/>
      <c r="G6464"/>
    </row>
    <row r="6465" spans="2:7">
      <c r="B6465"/>
      <c r="C6465"/>
      <c r="D6465"/>
      <c r="G6465"/>
    </row>
    <row r="6466" spans="2:7">
      <c r="B6466"/>
      <c r="C6466"/>
      <c r="D6466"/>
      <c r="G6466"/>
    </row>
    <row r="6467" spans="2:7">
      <c r="B6467"/>
      <c r="C6467"/>
      <c r="D6467"/>
      <c r="G6467"/>
    </row>
    <row r="6468" spans="2:7">
      <c r="B6468"/>
      <c r="C6468"/>
      <c r="D6468"/>
      <c r="G6468"/>
    </row>
    <row r="6469" spans="2:7">
      <c r="B6469"/>
      <c r="C6469"/>
      <c r="D6469"/>
      <c r="G6469"/>
    </row>
    <row r="6470" spans="2:7">
      <c r="B6470"/>
      <c r="C6470"/>
      <c r="D6470"/>
      <c r="G6470"/>
    </row>
    <row r="6471" spans="2:7">
      <c r="B6471"/>
      <c r="C6471"/>
      <c r="D6471"/>
      <c r="G6471"/>
    </row>
    <row r="6472" spans="2:7">
      <c r="B6472"/>
      <c r="C6472"/>
      <c r="D6472"/>
      <c r="G6472"/>
    </row>
    <row r="6473" spans="2:7">
      <c r="B6473"/>
      <c r="C6473"/>
      <c r="D6473"/>
      <c r="G6473"/>
    </row>
    <row r="6474" spans="2:7">
      <c r="B6474"/>
      <c r="C6474"/>
      <c r="D6474"/>
      <c r="G6474"/>
    </row>
    <row r="6475" spans="2:7">
      <c r="B6475"/>
      <c r="C6475"/>
      <c r="D6475"/>
      <c r="G6475"/>
    </row>
    <row r="6476" spans="2:7">
      <c r="B6476"/>
      <c r="C6476"/>
      <c r="D6476"/>
      <c r="G6476"/>
    </row>
    <row r="6477" spans="2:7">
      <c r="B6477"/>
      <c r="C6477"/>
      <c r="D6477"/>
      <c r="G6477"/>
    </row>
    <row r="6478" spans="2:7">
      <c r="B6478"/>
      <c r="C6478"/>
      <c r="D6478"/>
      <c r="G6478"/>
    </row>
    <row r="6479" spans="2:7">
      <c r="B6479"/>
      <c r="C6479"/>
      <c r="D6479"/>
      <c r="G6479"/>
    </row>
    <row r="6480" spans="2:7">
      <c r="B6480"/>
      <c r="C6480"/>
      <c r="D6480"/>
      <c r="G6480"/>
    </row>
    <row r="6481" spans="2:7">
      <c r="B6481"/>
      <c r="C6481"/>
      <c r="D6481"/>
      <c r="G6481"/>
    </row>
    <row r="6482" spans="2:7">
      <c r="B6482"/>
      <c r="C6482"/>
      <c r="D6482"/>
      <c r="G6482"/>
    </row>
    <row r="6483" spans="2:7">
      <c r="B6483"/>
      <c r="C6483"/>
      <c r="D6483"/>
      <c r="G6483"/>
    </row>
    <row r="6484" spans="2:7">
      <c r="B6484"/>
      <c r="C6484"/>
      <c r="D6484"/>
      <c r="G6484"/>
    </row>
    <row r="6485" spans="2:7">
      <c r="B6485"/>
      <c r="C6485"/>
      <c r="D6485"/>
      <c r="G6485"/>
    </row>
    <row r="6486" spans="2:7">
      <c r="B6486"/>
      <c r="C6486"/>
      <c r="D6486"/>
      <c r="G6486"/>
    </row>
    <row r="6487" spans="2:7">
      <c r="B6487"/>
      <c r="C6487"/>
      <c r="D6487"/>
      <c r="G6487"/>
    </row>
    <row r="6488" spans="2:7">
      <c r="B6488"/>
      <c r="C6488"/>
      <c r="D6488"/>
      <c r="G6488"/>
    </row>
    <row r="6489" spans="2:7">
      <c r="B6489"/>
      <c r="C6489"/>
      <c r="D6489"/>
      <c r="G6489"/>
    </row>
    <row r="6490" spans="2:7">
      <c r="B6490"/>
      <c r="C6490"/>
      <c r="D6490"/>
      <c r="G6490"/>
    </row>
    <row r="6491" spans="2:7">
      <c r="B6491"/>
      <c r="C6491"/>
      <c r="D6491"/>
      <c r="G6491"/>
    </row>
    <row r="6492" spans="2:7">
      <c r="B6492"/>
      <c r="C6492"/>
      <c r="D6492"/>
      <c r="G6492"/>
    </row>
    <row r="6493" spans="2:7">
      <c r="B6493"/>
      <c r="C6493"/>
      <c r="D6493"/>
      <c r="G6493"/>
    </row>
    <row r="6494" spans="2:7">
      <c r="B6494"/>
      <c r="C6494"/>
      <c r="D6494"/>
      <c r="G6494"/>
    </row>
    <row r="6495" spans="2:7">
      <c r="B6495"/>
      <c r="C6495"/>
      <c r="D6495"/>
      <c r="G6495"/>
    </row>
    <row r="6496" spans="2:7">
      <c r="B6496"/>
      <c r="C6496"/>
      <c r="D6496"/>
      <c r="G6496"/>
    </row>
    <row r="6497" spans="2:7">
      <c r="B6497"/>
      <c r="C6497"/>
      <c r="D6497"/>
      <c r="G6497"/>
    </row>
    <row r="6498" spans="2:7">
      <c r="B6498"/>
      <c r="C6498"/>
      <c r="D6498"/>
      <c r="G6498"/>
    </row>
    <row r="6499" spans="2:7">
      <c r="B6499"/>
      <c r="C6499"/>
      <c r="D6499"/>
      <c r="G6499"/>
    </row>
    <row r="6500" spans="2:7">
      <c r="B6500"/>
      <c r="C6500"/>
      <c r="D6500"/>
      <c r="G6500"/>
    </row>
    <row r="6501" spans="2:7">
      <c r="B6501"/>
      <c r="C6501"/>
      <c r="D6501"/>
      <c r="G6501"/>
    </row>
    <row r="6502" spans="2:7">
      <c r="B6502"/>
      <c r="C6502"/>
      <c r="D6502"/>
      <c r="G6502"/>
    </row>
    <row r="6503" spans="2:7">
      <c r="B6503"/>
      <c r="C6503"/>
      <c r="D6503"/>
      <c r="G6503"/>
    </row>
    <row r="6504" spans="2:7">
      <c r="B6504"/>
      <c r="C6504"/>
      <c r="D6504"/>
      <c r="G6504"/>
    </row>
    <row r="6505" spans="2:7">
      <c r="B6505"/>
      <c r="C6505"/>
      <c r="D6505"/>
      <c r="G6505"/>
    </row>
    <row r="6506" spans="2:7">
      <c r="B6506"/>
      <c r="C6506"/>
      <c r="D6506"/>
      <c r="G6506"/>
    </row>
    <row r="6507" spans="2:7">
      <c r="B6507"/>
      <c r="C6507"/>
      <c r="D6507"/>
      <c r="G6507"/>
    </row>
    <row r="6508" spans="2:7">
      <c r="B6508"/>
      <c r="C6508"/>
      <c r="D6508"/>
      <c r="G6508"/>
    </row>
    <row r="6509" spans="2:7">
      <c r="B6509"/>
      <c r="C6509"/>
      <c r="D6509"/>
      <c r="G6509"/>
    </row>
    <row r="6510" spans="2:7">
      <c r="B6510"/>
      <c r="C6510"/>
      <c r="D6510"/>
      <c r="G6510"/>
    </row>
    <row r="6511" spans="2:7">
      <c r="B6511"/>
      <c r="C6511"/>
      <c r="D6511"/>
      <c r="G6511"/>
    </row>
    <row r="6512" spans="2:7">
      <c r="B6512"/>
      <c r="C6512"/>
      <c r="D6512"/>
      <c r="G6512"/>
    </row>
    <row r="6513" spans="2:7">
      <c r="B6513"/>
      <c r="C6513"/>
      <c r="D6513"/>
      <c r="G6513"/>
    </row>
    <row r="6514" spans="2:7">
      <c r="B6514"/>
      <c r="C6514"/>
      <c r="D6514"/>
      <c r="G6514"/>
    </row>
    <row r="6515" spans="2:7">
      <c r="B6515"/>
      <c r="C6515"/>
      <c r="D6515"/>
      <c r="G6515"/>
    </row>
    <row r="6516" spans="2:7">
      <c r="B6516"/>
      <c r="C6516"/>
      <c r="D6516"/>
      <c r="G6516"/>
    </row>
    <row r="6517" spans="2:7">
      <c r="B6517"/>
      <c r="C6517"/>
      <c r="D6517"/>
      <c r="G6517"/>
    </row>
    <row r="6518" spans="2:7">
      <c r="B6518"/>
      <c r="C6518"/>
      <c r="D6518"/>
      <c r="G6518"/>
    </row>
    <row r="6519" spans="2:7">
      <c r="B6519"/>
      <c r="C6519"/>
      <c r="D6519"/>
      <c r="G6519"/>
    </row>
    <row r="6520" spans="2:7">
      <c r="B6520"/>
      <c r="C6520"/>
      <c r="D6520"/>
      <c r="G6520"/>
    </row>
    <row r="6521" spans="2:7">
      <c r="B6521"/>
      <c r="C6521"/>
      <c r="D6521"/>
      <c r="G6521"/>
    </row>
    <row r="6522" spans="2:7">
      <c r="B6522"/>
      <c r="C6522"/>
      <c r="D6522"/>
      <c r="G6522"/>
    </row>
    <row r="6523" spans="2:7">
      <c r="B6523"/>
      <c r="C6523"/>
      <c r="D6523"/>
      <c r="G6523"/>
    </row>
    <row r="6524" spans="2:7">
      <c r="B6524"/>
      <c r="C6524"/>
      <c r="D6524"/>
      <c r="G6524"/>
    </row>
    <row r="6525" spans="2:7">
      <c r="B6525"/>
      <c r="C6525"/>
      <c r="D6525"/>
      <c r="G6525"/>
    </row>
    <row r="6526" spans="2:7">
      <c r="B6526"/>
      <c r="C6526"/>
      <c r="D6526"/>
      <c r="G6526"/>
    </row>
    <row r="6527" spans="2:7">
      <c r="B6527"/>
      <c r="C6527"/>
      <c r="D6527"/>
      <c r="G6527"/>
    </row>
    <row r="6528" spans="2:7">
      <c r="B6528"/>
      <c r="C6528"/>
      <c r="D6528"/>
      <c r="G6528"/>
    </row>
    <row r="6529" spans="2:7">
      <c r="B6529"/>
      <c r="C6529"/>
      <c r="D6529"/>
      <c r="G6529"/>
    </row>
    <row r="6530" spans="2:7">
      <c r="B6530"/>
      <c r="C6530"/>
      <c r="D6530"/>
      <c r="G6530"/>
    </row>
    <row r="6531" spans="2:7">
      <c r="B6531"/>
      <c r="C6531"/>
      <c r="D6531"/>
      <c r="G6531"/>
    </row>
    <row r="6532" spans="2:7">
      <c r="B6532"/>
      <c r="C6532"/>
      <c r="D6532"/>
      <c r="G6532"/>
    </row>
    <row r="6533" spans="2:7">
      <c r="B6533"/>
      <c r="C6533"/>
      <c r="D6533"/>
      <c r="G6533"/>
    </row>
    <row r="6534" spans="2:7">
      <c r="B6534"/>
      <c r="C6534"/>
      <c r="D6534"/>
      <c r="G6534"/>
    </row>
    <row r="6535" spans="2:7">
      <c r="B6535"/>
      <c r="C6535"/>
      <c r="D6535"/>
      <c r="G6535"/>
    </row>
    <row r="6536" spans="2:7">
      <c r="B6536"/>
      <c r="C6536"/>
      <c r="D6536"/>
      <c r="G6536"/>
    </row>
    <row r="6537" spans="2:7">
      <c r="B6537"/>
      <c r="C6537"/>
      <c r="D6537"/>
      <c r="G6537"/>
    </row>
    <row r="6538" spans="2:7">
      <c r="B6538"/>
      <c r="C6538"/>
      <c r="D6538"/>
      <c r="G6538"/>
    </row>
    <row r="6539" spans="2:7">
      <c r="B6539"/>
      <c r="C6539"/>
      <c r="D6539"/>
      <c r="G6539"/>
    </row>
    <row r="6540" spans="2:7">
      <c r="B6540"/>
      <c r="C6540"/>
      <c r="D6540"/>
      <c r="G6540"/>
    </row>
    <row r="6541" spans="2:7">
      <c r="B6541"/>
      <c r="C6541"/>
      <c r="D6541"/>
      <c r="G6541"/>
    </row>
    <row r="6542" spans="2:7">
      <c r="B6542"/>
      <c r="C6542"/>
      <c r="D6542"/>
      <c r="G6542"/>
    </row>
    <row r="6543" spans="2:7">
      <c r="B6543"/>
      <c r="C6543"/>
      <c r="D6543"/>
      <c r="G6543"/>
    </row>
    <row r="6544" spans="2:7">
      <c r="B6544"/>
      <c r="C6544"/>
      <c r="D6544"/>
      <c r="G6544"/>
    </row>
    <row r="6545" spans="2:7">
      <c r="B6545"/>
      <c r="C6545"/>
      <c r="D6545"/>
      <c r="G6545"/>
    </row>
    <row r="6546" spans="2:7">
      <c r="B6546"/>
      <c r="C6546"/>
      <c r="D6546"/>
      <c r="G6546"/>
    </row>
    <row r="6547" spans="2:7">
      <c r="B6547"/>
      <c r="C6547"/>
      <c r="D6547"/>
      <c r="G6547"/>
    </row>
    <row r="6548" spans="2:7">
      <c r="B6548"/>
      <c r="C6548"/>
      <c r="D6548"/>
      <c r="G6548"/>
    </row>
    <row r="6549" spans="2:7">
      <c r="B6549"/>
      <c r="C6549"/>
      <c r="D6549"/>
      <c r="G6549"/>
    </row>
    <row r="6550" spans="2:7">
      <c r="B6550"/>
      <c r="C6550"/>
      <c r="D6550"/>
      <c r="G6550"/>
    </row>
    <row r="6551" spans="2:7">
      <c r="B6551"/>
      <c r="C6551"/>
      <c r="D6551"/>
      <c r="G6551"/>
    </row>
    <row r="6552" spans="2:7">
      <c r="B6552"/>
      <c r="C6552"/>
      <c r="D6552"/>
      <c r="G6552"/>
    </row>
    <row r="6553" spans="2:7">
      <c r="B6553"/>
      <c r="C6553"/>
      <c r="D6553"/>
      <c r="G6553"/>
    </row>
    <row r="6554" spans="2:7">
      <c r="B6554"/>
      <c r="C6554"/>
      <c r="D6554"/>
      <c r="G6554"/>
    </row>
    <row r="6555" spans="2:7">
      <c r="B6555"/>
      <c r="C6555"/>
      <c r="D6555"/>
      <c r="G6555"/>
    </row>
    <row r="6556" spans="2:7">
      <c r="B6556"/>
      <c r="C6556"/>
      <c r="D6556"/>
      <c r="G6556"/>
    </row>
    <row r="6557" spans="2:7">
      <c r="B6557"/>
      <c r="C6557"/>
      <c r="D6557"/>
      <c r="G6557"/>
    </row>
    <row r="6558" spans="2:7">
      <c r="B6558"/>
      <c r="C6558"/>
      <c r="D6558"/>
      <c r="G6558"/>
    </row>
    <row r="6559" spans="2:7">
      <c r="B6559"/>
      <c r="C6559"/>
      <c r="D6559"/>
      <c r="G6559"/>
    </row>
    <row r="6560" spans="2:7">
      <c r="B6560"/>
      <c r="C6560"/>
      <c r="D6560"/>
      <c r="G6560"/>
    </row>
    <row r="6561" spans="2:7">
      <c r="B6561"/>
      <c r="C6561"/>
      <c r="D6561"/>
      <c r="G6561"/>
    </row>
    <row r="6562" spans="2:7">
      <c r="B6562"/>
      <c r="C6562"/>
      <c r="D6562"/>
      <c r="G6562"/>
    </row>
    <row r="6563" spans="2:7">
      <c r="B6563"/>
      <c r="C6563"/>
      <c r="D6563"/>
      <c r="G6563"/>
    </row>
    <row r="6564" spans="2:7">
      <c r="B6564"/>
      <c r="C6564"/>
      <c r="D6564"/>
      <c r="G6564"/>
    </row>
    <row r="6565" spans="2:7">
      <c r="B6565"/>
      <c r="C6565"/>
      <c r="D6565"/>
      <c r="G6565"/>
    </row>
    <row r="6566" spans="2:7">
      <c r="B6566"/>
      <c r="C6566"/>
      <c r="D6566"/>
      <c r="G6566"/>
    </row>
    <row r="6567" spans="2:7">
      <c r="B6567"/>
      <c r="C6567"/>
      <c r="D6567"/>
      <c r="G6567"/>
    </row>
    <row r="6568" spans="2:7">
      <c r="B6568"/>
      <c r="C6568"/>
      <c r="D6568"/>
      <c r="G6568"/>
    </row>
    <row r="6569" spans="2:7">
      <c r="B6569"/>
      <c r="C6569"/>
      <c r="D6569"/>
      <c r="G6569"/>
    </row>
    <row r="6570" spans="2:7">
      <c r="B6570"/>
      <c r="C6570"/>
      <c r="D6570"/>
      <c r="G6570"/>
    </row>
    <row r="6571" spans="2:7">
      <c r="B6571"/>
      <c r="C6571"/>
      <c r="D6571"/>
      <c r="G6571"/>
    </row>
    <row r="6572" spans="2:7">
      <c r="B6572"/>
      <c r="C6572"/>
      <c r="D6572"/>
      <c r="G6572"/>
    </row>
    <row r="6573" spans="2:7">
      <c r="B6573"/>
      <c r="C6573"/>
      <c r="D6573"/>
      <c r="G6573"/>
    </row>
    <row r="6574" spans="2:7">
      <c r="B6574"/>
      <c r="C6574"/>
      <c r="D6574"/>
      <c r="G6574"/>
    </row>
    <row r="6575" spans="2:7">
      <c r="B6575"/>
      <c r="C6575"/>
      <c r="D6575"/>
      <c r="G6575"/>
    </row>
    <row r="6576" spans="2:7">
      <c r="B6576"/>
      <c r="C6576"/>
      <c r="D6576"/>
      <c r="G6576"/>
    </row>
    <row r="6577" spans="2:7">
      <c r="B6577"/>
      <c r="C6577"/>
      <c r="D6577"/>
      <c r="G6577"/>
    </row>
    <row r="6578" spans="2:7">
      <c r="B6578"/>
      <c r="C6578"/>
      <c r="D6578"/>
      <c r="G6578"/>
    </row>
    <row r="6579" spans="2:7">
      <c r="B6579"/>
      <c r="C6579"/>
      <c r="D6579"/>
      <c r="G6579"/>
    </row>
    <row r="6580" spans="2:7">
      <c r="B6580"/>
      <c r="C6580"/>
      <c r="D6580"/>
      <c r="G6580"/>
    </row>
    <row r="6581" spans="2:7">
      <c r="B6581"/>
      <c r="C6581"/>
      <c r="D6581"/>
      <c r="G6581"/>
    </row>
    <row r="6582" spans="2:7">
      <c r="B6582"/>
      <c r="C6582"/>
      <c r="D6582"/>
      <c r="G6582"/>
    </row>
    <row r="6583" spans="2:7">
      <c r="B6583"/>
      <c r="C6583"/>
      <c r="D6583"/>
      <c r="G6583"/>
    </row>
    <row r="6584" spans="2:7">
      <c r="B6584"/>
      <c r="C6584"/>
      <c r="D6584"/>
      <c r="G6584"/>
    </row>
    <row r="6585" spans="2:7">
      <c r="B6585"/>
      <c r="C6585"/>
      <c r="D6585"/>
      <c r="G6585"/>
    </row>
    <row r="6586" spans="2:7">
      <c r="B6586"/>
      <c r="C6586"/>
      <c r="D6586"/>
      <c r="G6586"/>
    </row>
    <row r="6587" spans="2:7">
      <c r="B6587"/>
      <c r="C6587"/>
      <c r="D6587"/>
      <c r="G6587"/>
    </row>
    <row r="6588" spans="2:7">
      <c r="B6588"/>
      <c r="C6588"/>
      <c r="D6588"/>
      <c r="G6588"/>
    </row>
    <row r="6589" spans="2:7">
      <c r="B6589"/>
      <c r="C6589"/>
      <c r="D6589"/>
      <c r="G6589"/>
    </row>
    <row r="6590" spans="2:7">
      <c r="B6590"/>
      <c r="C6590"/>
      <c r="D6590"/>
      <c r="G6590"/>
    </row>
    <row r="6591" spans="2:7">
      <c r="B6591"/>
      <c r="C6591"/>
      <c r="D6591"/>
      <c r="G6591"/>
    </row>
    <row r="6592" spans="2:7">
      <c r="B6592"/>
      <c r="C6592"/>
      <c r="D6592"/>
      <c r="G6592"/>
    </row>
    <row r="6593" spans="2:7">
      <c r="B6593"/>
      <c r="C6593"/>
      <c r="D6593"/>
      <c r="G6593"/>
    </row>
    <row r="6594" spans="2:7">
      <c r="B6594"/>
      <c r="C6594"/>
      <c r="D6594"/>
      <c r="G6594"/>
    </row>
    <row r="6595" spans="2:7">
      <c r="B6595"/>
      <c r="C6595"/>
      <c r="D6595"/>
      <c r="G6595"/>
    </row>
    <row r="6596" spans="2:7">
      <c r="B6596"/>
      <c r="C6596"/>
      <c r="D6596"/>
      <c r="G6596"/>
    </row>
    <row r="6597" spans="2:7">
      <c r="B6597"/>
      <c r="C6597"/>
      <c r="D6597"/>
      <c r="G6597"/>
    </row>
    <row r="6598" spans="2:7">
      <c r="B6598"/>
      <c r="C6598"/>
      <c r="D6598"/>
      <c r="G6598"/>
    </row>
    <row r="6599" spans="2:7">
      <c r="B6599"/>
      <c r="C6599"/>
      <c r="D6599"/>
      <c r="G6599"/>
    </row>
    <row r="6600" spans="2:7">
      <c r="B6600"/>
      <c r="C6600"/>
      <c r="D6600"/>
      <c r="G6600"/>
    </row>
    <row r="6601" spans="2:7">
      <c r="B6601"/>
      <c r="C6601"/>
      <c r="D6601"/>
      <c r="G6601"/>
    </row>
    <row r="6602" spans="2:7">
      <c r="B6602"/>
      <c r="C6602"/>
      <c r="D6602"/>
      <c r="G6602"/>
    </row>
    <row r="6603" spans="2:7">
      <c r="B6603"/>
      <c r="C6603"/>
      <c r="D6603"/>
      <c r="G6603"/>
    </row>
    <row r="6604" spans="2:7">
      <c r="B6604"/>
      <c r="C6604"/>
      <c r="D6604"/>
      <c r="G6604"/>
    </row>
    <row r="6605" spans="2:7">
      <c r="B6605"/>
      <c r="C6605"/>
      <c r="D6605"/>
      <c r="G6605"/>
    </row>
    <row r="6606" spans="2:7">
      <c r="B6606"/>
      <c r="C6606"/>
      <c r="D6606"/>
      <c r="G6606"/>
    </row>
    <row r="6607" spans="2:7">
      <c r="B6607"/>
      <c r="C6607"/>
      <c r="D6607"/>
      <c r="G6607"/>
    </row>
    <row r="6608" spans="2:7">
      <c r="B6608"/>
      <c r="C6608"/>
      <c r="D6608"/>
      <c r="G6608"/>
    </row>
    <row r="6609" spans="2:7">
      <c r="B6609"/>
      <c r="C6609"/>
      <c r="D6609"/>
      <c r="G6609"/>
    </row>
    <row r="6610" spans="2:7">
      <c r="B6610"/>
      <c r="C6610"/>
      <c r="D6610"/>
      <c r="G6610"/>
    </row>
    <row r="6611" spans="2:7">
      <c r="B6611"/>
      <c r="C6611"/>
      <c r="D6611"/>
      <c r="G6611"/>
    </row>
    <row r="6612" spans="2:7">
      <c r="B6612"/>
      <c r="C6612"/>
      <c r="D6612"/>
      <c r="G6612"/>
    </row>
    <row r="6613" spans="2:7">
      <c r="B6613"/>
      <c r="C6613"/>
      <c r="D6613"/>
      <c r="G6613"/>
    </row>
    <row r="6614" spans="2:7">
      <c r="B6614"/>
      <c r="C6614"/>
      <c r="D6614"/>
      <c r="G6614"/>
    </row>
    <row r="6615" spans="2:7">
      <c r="B6615"/>
      <c r="C6615"/>
      <c r="D6615"/>
      <c r="G6615"/>
    </row>
    <row r="6616" spans="2:7">
      <c r="B6616"/>
      <c r="C6616"/>
      <c r="D6616"/>
      <c r="G6616"/>
    </row>
    <row r="6617" spans="2:7">
      <c r="B6617"/>
      <c r="C6617"/>
      <c r="D6617"/>
      <c r="G6617"/>
    </row>
    <row r="6618" spans="2:7">
      <c r="B6618"/>
      <c r="C6618"/>
      <c r="D6618"/>
      <c r="G6618"/>
    </row>
    <row r="6619" spans="2:7">
      <c r="B6619"/>
      <c r="C6619"/>
      <c r="D6619"/>
      <c r="G6619"/>
    </row>
    <row r="6620" spans="2:7">
      <c r="B6620"/>
      <c r="C6620"/>
      <c r="D6620"/>
      <c r="G6620"/>
    </row>
    <row r="6621" spans="2:7">
      <c r="B6621"/>
      <c r="C6621"/>
      <c r="D6621"/>
      <c r="G6621"/>
    </row>
    <row r="6622" spans="2:7">
      <c r="B6622"/>
      <c r="C6622"/>
      <c r="D6622"/>
      <c r="G6622"/>
    </row>
    <row r="6623" spans="2:7">
      <c r="B6623"/>
      <c r="C6623"/>
      <c r="D6623"/>
      <c r="G6623"/>
    </row>
    <row r="6624" spans="2:7">
      <c r="B6624"/>
      <c r="C6624"/>
      <c r="D6624"/>
      <c r="G6624"/>
    </row>
    <row r="6625" spans="2:7">
      <c r="B6625"/>
      <c r="C6625"/>
      <c r="D6625"/>
      <c r="G6625"/>
    </row>
    <row r="6626" spans="2:7">
      <c r="B6626"/>
      <c r="C6626"/>
      <c r="D6626"/>
      <c r="G6626"/>
    </row>
    <row r="6627" spans="2:7">
      <c r="B6627"/>
      <c r="C6627"/>
      <c r="D6627"/>
      <c r="G6627"/>
    </row>
    <row r="6628" spans="2:7">
      <c r="B6628"/>
      <c r="C6628"/>
      <c r="D6628"/>
      <c r="G6628"/>
    </row>
    <row r="6629" spans="2:7">
      <c r="B6629"/>
      <c r="C6629"/>
      <c r="D6629"/>
      <c r="G6629"/>
    </row>
    <row r="6630" spans="2:7">
      <c r="B6630"/>
      <c r="C6630"/>
      <c r="D6630"/>
      <c r="G6630"/>
    </row>
    <row r="6631" spans="2:7">
      <c r="B6631"/>
      <c r="C6631"/>
      <c r="D6631"/>
      <c r="G6631"/>
    </row>
    <row r="6632" spans="2:7">
      <c r="B6632"/>
      <c r="C6632"/>
      <c r="D6632"/>
      <c r="G6632"/>
    </row>
    <row r="6633" spans="2:7">
      <c r="B6633"/>
      <c r="C6633"/>
      <c r="D6633"/>
      <c r="G6633"/>
    </row>
    <row r="6634" spans="2:7">
      <c r="B6634"/>
      <c r="C6634"/>
      <c r="D6634"/>
      <c r="G6634"/>
    </row>
    <row r="6635" spans="2:7">
      <c r="B6635"/>
      <c r="C6635"/>
      <c r="D6635"/>
      <c r="G6635"/>
    </row>
    <row r="6636" spans="2:7">
      <c r="B6636"/>
      <c r="C6636"/>
      <c r="D6636"/>
      <c r="G6636"/>
    </row>
    <row r="6637" spans="2:7">
      <c r="B6637"/>
      <c r="C6637"/>
      <c r="D6637"/>
      <c r="G6637"/>
    </row>
    <row r="6638" spans="2:7">
      <c r="B6638"/>
      <c r="C6638"/>
      <c r="D6638"/>
      <c r="G6638"/>
    </row>
    <row r="6639" spans="2:7">
      <c r="B6639"/>
      <c r="C6639"/>
      <c r="D6639"/>
      <c r="G6639"/>
    </row>
    <row r="6640" spans="2:7">
      <c r="B6640"/>
      <c r="C6640"/>
      <c r="D6640"/>
      <c r="G6640"/>
    </row>
    <row r="6641" spans="2:7">
      <c r="B6641"/>
      <c r="C6641"/>
      <c r="D6641"/>
      <c r="G6641"/>
    </row>
    <row r="6642" spans="2:7">
      <c r="B6642"/>
      <c r="C6642"/>
      <c r="D6642"/>
      <c r="G6642"/>
    </row>
    <row r="6643" spans="2:7">
      <c r="B6643"/>
      <c r="C6643"/>
      <c r="D6643"/>
      <c r="G6643"/>
    </row>
    <row r="6644" spans="2:7">
      <c r="B6644"/>
      <c r="C6644"/>
      <c r="D6644"/>
      <c r="G6644"/>
    </row>
    <row r="6645" spans="2:7">
      <c r="B6645"/>
      <c r="C6645"/>
      <c r="D6645"/>
      <c r="G6645"/>
    </row>
    <row r="6646" spans="2:7">
      <c r="B6646"/>
      <c r="C6646"/>
      <c r="D6646"/>
      <c r="G6646"/>
    </row>
    <row r="6647" spans="2:7">
      <c r="B6647"/>
      <c r="C6647"/>
      <c r="D6647"/>
      <c r="G6647"/>
    </row>
    <row r="6648" spans="2:7">
      <c r="B6648"/>
      <c r="C6648"/>
      <c r="D6648"/>
      <c r="G6648"/>
    </row>
    <row r="6649" spans="2:7">
      <c r="B6649"/>
      <c r="C6649"/>
      <c r="D6649"/>
      <c r="G6649"/>
    </row>
    <row r="6650" spans="2:7">
      <c r="B6650"/>
      <c r="C6650"/>
      <c r="D6650"/>
      <c r="G6650"/>
    </row>
    <row r="6651" spans="2:7">
      <c r="B6651"/>
      <c r="C6651"/>
      <c r="D6651"/>
      <c r="G6651"/>
    </row>
    <row r="6652" spans="2:7">
      <c r="B6652"/>
      <c r="C6652"/>
      <c r="D6652"/>
      <c r="G6652"/>
    </row>
    <row r="6653" spans="2:7">
      <c r="B6653"/>
      <c r="C6653"/>
      <c r="D6653"/>
      <c r="G6653"/>
    </row>
    <row r="6654" spans="2:7">
      <c r="B6654"/>
      <c r="C6654"/>
      <c r="D6654"/>
      <c r="G6654"/>
    </row>
    <row r="6655" spans="2:7">
      <c r="B6655"/>
      <c r="C6655"/>
      <c r="D6655"/>
      <c r="G6655"/>
    </row>
    <row r="6656" spans="2:7">
      <c r="B6656"/>
      <c r="C6656"/>
      <c r="D6656"/>
      <c r="G6656"/>
    </row>
    <row r="6657" spans="2:7">
      <c r="B6657"/>
      <c r="C6657"/>
      <c r="D6657"/>
      <c r="G6657"/>
    </row>
    <row r="6658" spans="2:7">
      <c r="B6658"/>
      <c r="C6658"/>
      <c r="D6658"/>
      <c r="G6658"/>
    </row>
    <row r="6659" spans="2:7">
      <c r="B6659"/>
      <c r="C6659"/>
      <c r="D6659"/>
      <c r="G6659"/>
    </row>
    <row r="6660" spans="2:7">
      <c r="B6660"/>
      <c r="C6660"/>
      <c r="D6660"/>
      <c r="G6660"/>
    </row>
    <row r="6661" spans="2:7">
      <c r="B6661"/>
      <c r="C6661"/>
      <c r="D6661"/>
      <c r="G6661"/>
    </row>
    <row r="6662" spans="2:7">
      <c r="B6662"/>
      <c r="C6662"/>
      <c r="D6662"/>
      <c r="G6662"/>
    </row>
    <row r="6663" spans="2:7">
      <c r="B6663"/>
      <c r="C6663"/>
      <c r="D6663"/>
      <c r="G6663"/>
    </row>
    <row r="6664" spans="2:7">
      <c r="B6664"/>
      <c r="C6664"/>
      <c r="D6664"/>
      <c r="G6664"/>
    </row>
    <row r="6665" spans="2:7">
      <c r="B6665"/>
      <c r="C6665"/>
      <c r="D6665"/>
      <c r="G6665"/>
    </row>
    <row r="6666" spans="2:7">
      <c r="B6666"/>
      <c r="C6666"/>
      <c r="D6666"/>
      <c r="G6666"/>
    </row>
    <row r="6667" spans="2:7">
      <c r="B6667"/>
      <c r="C6667"/>
      <c r="D6667"/>
      <c r="G6667"/>
    </row>
    <row r="6668" spans="2:7">
      <c r="B6668"/>
      <c r="C6668"/>
      <c r="D6668"/>
      <c r="G6668"/>
    </row>
    <row r="6669" spans="2:7">
      <c r="B6669"/>
      <c r="C6669"/>
      <c r="D6669"/>
      <c r="G6669"/>
    </row>
    <row r="6670" spans="2:7">
      <c r="B6670"/>
      <c r="C6670"/>
      <c r="D6670"/>
      <c r="G6670"/>
    </row>
    <row r="6671" spans="2:7">
      <c r="B6671"/>
      <c r="C6671"/>
      <c r="D6671"/>
      <c r="G6671"/>
    </row>
    <row r="6672" spans="2:7">
      <c r="B6672"/>
      <c r="C6672"/>
      <c r="D6672"/>
      <c r="G6672"/>
    </row>
    <row r="6673" spans="2:7">
      <c r="B6673"/>
      <c r="C6673"/>
      <c r="D6673"/>
      <c r="G6673"/>
    </row>
    <row r="6674" spans="2:7">
      <c r="B6674"/>
      <c r="C6674"/>
      <c r="D6674"/>
      <c r="G6674"/>
    </row>
    <row r="6675" spans="2:7">
      <c r="B6675"/>
      <c r="C6675"/>
      <c r="D6675"/>
      <c r="G6675"/>
    </row>
    <row r="6676" spans="2:7">
      <c r="B6676"/>
      <c r="C6676"/>
      <c r="D6676"/>
      <c r="G6676"/>
    </row>
    <row r="6677" spans="2:7">
      <c r="B6677"/>
      <c r="C6677"/>
      <c r="D6677"/>
      <c r="G6677"/>
    </row>
    <row r="6678" spans="2:7">
      <c r="B6678"/>
      <c r="C6678"/>
      <c r="D6678"/>
      <c r="G6678"/>
    </row>
    <row r="6679" spans="2:7">
      <c r="B6679"/>
      <c r="C6679"/>
      <c r="D6679"/>
      <c r="G6679"/>
    </row>
    <row r="6680" spans="2:7">
      <c r="B6680"/>
      <c r="C6680"/>
      <c r="D6680"/>
      <c r="G6680"/>
    </row>
    <row r="6681" spans="2:7">
      <c r="B6681"/>
      <c r="C6681"/>
      <c r="D6681"/>
      <c r="G6681"/>
    </row>
    <row r="6682" spans="2:7">
      <c r="B6682"/>
      <c r="C6682"/>
      <c r="D6682"/>
      <c r="G6682"/>
    </row>
    <row r="6683" spans="2:7">
      <c r="B6683"/>
      <c r="C6683"/>
      <c r="D6683"/>
      <c r="G6683"/>
    </row>
    <row r="6684" spans="2:7">
      <c r="B6684"/>
      <c r="C6684"/>
      <c r="D6684"/>
      <c r="G6684"/>
    </row>
    <row r="6685" spans="2:7">
      <c r="B6685"/>
      <c r="C6685"/>
      <c r="D6685"/>
      <c r="G6685"/>
    </row>
    <row r="6686" spans="2:7">
      <c r="B6686"/>
      <c r="C6686"/>
      <c r="D6686"/>
      <c r="G6686"/>
    </row>
    <row r="6687" spans="2:7">
      <c r="B6687"/>
      <c r="C6687"/>
      <c r="D6687"/>
      <c r="G6687"/>
    </row>
    <row r="6688" spans="2:7">
      <c r="B6688"/>
      <c r="C6688"/>
      <c r="D6688"/>
      <c r="G6688"/>
    </row>
    <row r="6689" spans="2:7">
      <c r="B6689"/>
      <c r="C6689"/>
      <c r="D6689"/>
      <c r="G6689"/>
    </row>
    <row r="6690" spans="2:7">
      <c r="B6690"/>
      <c r="C6690"/>
      <c r="D6690"/>
      <c r="G6690"/>
    </row>
    <row r="6691" spans="2:7">
      <c r="B6691"/>
      <c r="C6691"/>
      <c r="D6691"/>
      <c r="G6691"/>
    </row>
    <row r="6692" spans="2:7">
      <c r="B6692"/>
      <c r="C6692"/>
      <c r="D6692"/>
      <c r="G6692"/>
    </row>
    <row r="6693" spans="2:7">
      <c r="B6693"/>
      <c r="C6693"/>
      <c r="D6693"/>
      <c r="G6693"/>
    </row>
    <row r="6694" spans="2:7">
      <c r="B6694"/>
      <c r="C6694"/>
      <c r="D6694"/>
      <c r="G6694"/>
    </row>
    <row r="6695" spans="2:7">
      <c r="B6695"/>
      <c r="C6695"/>
      <c r="D6695"/>
      <c r="G6695"/>
    </row>
    <row r="6696" spans="2:7">
      <c r="B6696"/>
      <c r="C6696"/>
      <c r="D6696"/>
      <c r="G6696"/>
    </row>
    <row r="6697" spans="2:7">
      <c r="B6697"/>
      <c r="C6697"/>
      <c r="D6697"/>
      <c r="G6697"/>
    </row>
    <row r="6698" spans="2:7">
      <c r="B6698"/>
      <c r="C6698"/>
      <c r="D6698"/>
      <c r="G6698"/>
    </row>
    <row r="6699" spans="2:7">
      <c r="B6699"/>
      <c r="C6699"/>
      <c r="D6699"/>
      <c r="G6699"/>
    </row>
    <row r="6700" spans="2:7">
      <c r="B6700"/>
      <c r="C6700"/>
      <c r="D6700"/>
      <c r="G6700"/>
    </row>
    <row r="6701" spans="2:7">
      <c r="B6701"/>
      <c r="C6701"/>
      <c r="D6701"/>
      <c r="G6701"/>
    </row>
    <row r="6702" spans="2:7">
      <c r="B6702"/>
      <c r="C6702"/>
      <c r="D6702"/>
      <c r="G6702"/>
    </row>
    <row r="6703" spans="2:7">
      <c r="B6703"/>
      <c r="C6703"/>
      <c r="D6703"/>
      <c r="G6703"/>
    </row>
    <row r="6704" spans="2:7">
      <c r="B6704"/>
      <c r="C6704"/>
      <c r="D6704"/>
      <c r="G6704"/>
    </row>
    <row r="6705" spans="2:7">
      <c r="B6705"/>
      <c r="C6705"/>
      <c r="D6705"/>
      <c r="G6705"/>
    </row>
    <row r="6706" spans="2:7">
      <c r="B6706"/>
      <c r="C6706"/>
      <c r="D6706"/>
      <c r="G6706"/>
    </row>
    <row r="6707" spans="2:7">
      <c r="B6707"/>
      <c r="C6707"/>
      <c r="D6707"/>
      <c r="G6707"/>
    </row>
    <row r="6708" spans="2:7">
      <c r="B6708"/>
      <c r="C6708"/>
      <c r="D6708"/>
      <c r="G6708"/>
    </row>
    <row r="6709" spans="2:7">
      <c r="B6709"/>
      <c r="C6709"/>
      <c r="D6709"/>
      <c r="G6709"/>
    </row>
    <row r="6710" spans="2:7">
      <c r="B6710"/>
      <c r="C6710"/>
      <c r="D6710"/>
      <c r="G6710"/>
    </row>
    <row r="6711" spans="2:7">
      <c r="B6711"/>
      <c r="C6711"/>
      <c r="D6711"/>
      <c r="G6711"/>
    </row>
    <row r="6712" spans="2:7">
      <c r="B6712"/>
      <c r="C6712"/>
      <c r="D6712"/>
      <c r="G6712"/>
    </row>
    <row r="6713" spans="2:7">
      <c r="B6713"/>
      <c r="C6713"/>
      <c r="D6713"/>
      <c r="G6713"/>
    </row>
    <row r="6714" spans="2:7">
      <c r="B6714"/>
      <c r="C6714"/>
      <c r="D6714"/>
      <c r="G6714"/>
    </row>
    <row r="6715" spans="2:7">
      <c r="B6715"/>
      <c r="C6715"/>
      <c r="D6715"/>
      <c r="G6715"/>
    </row>
    <row r="6716" spans="2:7">
      <c r="B6716"/>
      <c r="C6716"/>
      <c r="D6716"/>
      <c r="G6716"/>
    </row>
    <row r="6717" spans="2:7">
      <c r="B6717"/>
      <c r="C6717"/>
      <c r="D6717"/>
      <c r="G6717"/>
    </row>
    <row r="6718" spans="2:7">
      <c r="B6718"/>
      <c r="C6718"/>
      <c r="D6718"/>
      <c r="G6718"/>
    </row>
    <row r="6719" spans="2:7">
      <c r="B6719"/>
      <c r="C6719"/>
      <c r="D6719"/>
      <c r="G6719"/>
    </row>
    <row r="6720" spans="2:7">
      <c r="B6720"/>
      <c r="C6720"/>
      <c r="D6720"/>
      <c r="G6720"/>
    </row>
    <row r="6721" spans="2:7">
      <c r="B6721"/>
      <c r="C6721"/>
      <c r="D6721"/>
      <c r="G6721"/>
    </row>
    <row r="6722" spans="2:7">
      <c r="B6722"/>
      <c r="C6722"/>
      <c r="D6722"/>
      <c r="G6722"/>
    </row>
    <row r="6723" spans="2:7">
      <c r="B6723"/>
      <c r="C6723"/>
      <c r="D6723"/>
      <c r="G6723"/>
    </row>
    <row r="6724" spans="2:7">
      <c r="B6724"/>
      <c r="C6724"/>
      <c r="D6724"/>
      <c r="G6724"/>
    </row>
    <row r="6725" spans="2:7">
      <c r="B6725"/>
      <c r="C6725"/>
      <c r="D6725"/>
      <c r="G6725"/>
    </row>
    <row r="6726" spans="2:7">
      <c r="B6726"/>
      <c r="C6726"/>
      <c r="D6726"/>
      <c r="G6726"/>
    </row>
    <row r="6727" spans="2:7">
      <c r="B6727"/>
      <c r="C6727"/>
      <c r="D6727"/>
      <c r="G6727"/>
    </row>
    <row r="6728" spans="2:7">
      <c r="B6728"/>
      <c r="C6728"/>
      <c r="D6728"/>
      <c r="G6728"/>
    </row>
    <row r="6729" spans="2:7">
      <c r="B6729"/>
      <c r="C6729"/>
      <c r="D6729"/>
      <c r="G6729"/>
    </row>
    <row r="6730" spans="2:7">
      <c r="B6730"/>
      <c r="C6730"/>
      <c r="D6730"/>
      <c r="G6730"/>
    </row>
    <row r="6731" spans="2:7">
      <c r="B6731"/>
      <c r="C6731"/>
      <c r="D6731"/>
      <c r="G6731"/>
    </row>
    <row r="6732" spans="2:7">
      <c r="B6732"/>
      <c r="C6732"/>
      <c r="D6732"/>
      <c r="G6732"/>
    </row>
    <row r="6733" spans="2:7">
      <c r="B6733"/>
      <c r="C6733"/>
      <c r="D6733"/>
      <c r="G6733"/>
    </row>
    <row r="6734" spans="2:7">
      <c r="B6734"/>
      <c r="C6734"/>
      <c r="D6734"/>
      <c r="G6734"/>
    </row>
    <row r="6735" spans="2:7">
      <c r="B6735"/>
      <c r="C6735"/>
      <c r="D6735"/>
      <c r="G6735"/>
    </row>
    <row r="6736" spans="2:7">
      <c r="B6736"/>
      <c r="C6736"/>
      <c r="D6736"/>
      <c r="G6736"/>
    </row>
    <row r="6737" spans="2:7">
      <c r="B6737"/>
      <c r="C6737"/>
      <c r="D6737"/>
      <c r="G6737"/>
    </row>
    <row r="6738" spans="2:7">
      <c r="B6738"/>
      <c r="C6738"/>
      <c r="D6738"/>
      <c r="G6738"/>
    </row>
    <row r="6739" spans="2:7">
      <c r="B6739"/>
      <c r="C6739"/>
      <c r="D6739"/>
      <c r="G6739"/>
    </row>
    <row r="6740" spans="2:7">
      <c r="B6740"/>
      <c r="C6740"/>
      <c r="D6740"/>
      <c r="G6740"/>
    </row>
    <row r="6741" spans="2:7">
      <c r="B6741"/>
      <c r="C6741"/>
      <c r="D6741"/>
      <c r="G6741"/>
    </row>
    <row r="6742" spans="2:7">
      <c r="B6742"/>
      <c r="C6742"/>
      <c r="D6742"/>
      <c r="G6742"/>
    </row>
    <row r="6743" spans="2:7">
      <c r="B6743"/>
      <c r="C6743"/>
      <c r="D6743"/>
      <c r="G6743"/>
    </row>
    <row r="6744" spans="2:7">
      <c r="B6744"/>
      <c r="C6744"/>
      <c r="D6744"/>
      <c r="G6744"/>
    </row>
    <row r="6745" spans="2:7">
      <c r="B6745"/>
      <c r="C6745"/>
      <c r="D6745"/>
      <c r="G6745"/>
    </row>
    <row r="6746" spans="2:7">
      <c r="B6746"/>
      <c r="C6746"/>
      <c r="D6746"/>
      <c r="G6746"/>
    </row>
    <row r="6747" spans="2:7">
      <c r="B6747"/>
      <c r="C6747"/>
      <c r="D6747"/>
      <c r="G6747"/>
    </row>
    <row r="6748" spans="2:7">
      <c r="B6748"/>
      <c r="C6748"/>
      <c r="D6748"/>
      <c r="G6748"/>
    </row>
    <row r="6749" spans="2:7">
      <c r="B6749"/>
      <c r="C6749"/>
      <c r="D6749"/>
      <c r="G6749"/>
    </row>
    <row r="6750" spans="2:7">
      <c r="B6750"/>
      <c r="C6750"/>
      <c r="D6750"/>
      <c r="G6750"/>
    </row>
    <row r="6751" spans="2:7">
      <c r="B6751"/>
      <c r="C6751"/>
      <c r="D6751"/>
      <c r="G6751"/>
    </row>
    <row r="6752" spans="2:7">
      <c r="B6752"/>
      <c r="C6752"/>
      <c r="D6752"/>
      <c r="G6752"/>
    </row>
    <row r="6753" spans="2:7">
      <c r="B6753"/>
      <c r="C6753"/>
      <c r="D6753"/>
      <c r="G6753"/>
    </row>
    <row r="6754" spans="2:7">
      <c r="B6754"/>
      <c r="C6754"/>
      <c r="D6754"/>
      <c r="G6754"/>
    </row>
    <row r="6755" spans="2:7">
      <c r="B6755"/>
      <c r="C6755"/>
      <c r="D6755"/>
      <c r="G6755"/>
    </row>
    <row r="6756" spans="2:7">
      <c r="B6756"/>
      <c r="C6756"/>
      <c r="D6756"/>
      <c r="G6756"/>
    </row>
    <row r="6757" spans="2:7">
      <c r="B6757"/>
      <c r="C6757"/>
      <c r="D6757"/>
      <c r="G6757"/>
    </row>
    <row r="6758" spans="2:7">
      <c r="B6758"/>
      <c r="C6758"/>
      <c r="D6758"/>
      <c r="G6758"/>
    </row>
    <row r="6759" spans="2:7">
      <c r="B6759"/>
      <c r="C6759"/>
      <c r="D6759"/>
      <c r="G6759"/>
    </row>
    <row r="6760" spans="2:7">
      <c r="B6760"/>
      <c r="C6760"/>
      <c r="D6760"/>
      <c r="G6760"/>
    </row>
    <row r="6761" spans="2:7">
      <c r="B6761"/>
      <c r="C6761"/>
      <c r="D6761"/>
      <c r="G6761"/>
    </row>
    <row r="6762" spans="2:7">
      <c r="B6762"/>
      <c r="C6762"/>
      <c r="D6762"/>
      <c r="G6762"/>
    </row>
    <row r="6763" spans="2:7">
      <c r="B6763"/>
      <c r="C6763"/>
      <c r="D6763"/>
      <c r="G6763"/>
    </row>
    <row r="6764" spans="2:7">
      <c r="B6764"/>
      <c r="C6764"/>
      <c r="D6764"/>
      <c r="G6764"/>
    </row>
    <row r="6765" spans="2:7">
      <c r="B6765"/>
      <c r="C6765"/>
      <c r="D6765"/>
      <c r="G6765"/>
    </row>
    <row r="6766" spans="2:7">
      <c r="B6766"/>
      <c r="C6766"/>
      <c r="D6766"/>
      <c r="G6766"/>
    </row>
    <row r="6767" spans="2:7">
      <c r="B6767"/>
      <c r="C6767"/>
      <c r="D6767"/>
      <c r="G6767"/>
    </row>
    <row r="6768" spans="2:7">
      <c r="B6768"/>
      <c r="C6768"/>
      <c r="D6768"/>
      <c r="G6768"/>
    </row>
    <row r="6769" spans="2:7">
      <c r="B6769"/>
      <c r="C6769"/>
      <c r="D6769"/>
      <c r="G6769"/>
    </row>
    <row r="6770" spans="2:7">
      <c r="B6770"/>
      <c r="C6770"/>
      <c r="D6770"/>
      <c r="G6770"/>
    </row>
    <row r="6771" spans="2:7">
      <c r="B6771"/>
      <c r="C6771"/>
      <c r="D6771"/>
      <c r="G6771"/>
    </row>
    <row r="6772" spans="2:7">
      <c r="B6772"/>
      <c r="C6772"/>
      <c r="D6772"/>
      <c r="G6772"/>
    </row>
    <row r="6773" spans="2:7">
      <c r="B6773"/>
      <c r="C6773"/>
      <c r="D6773"/>
      <c r="G6773"/>
    </row>
    <row r="6774" spans="2:7">
      <c r="B6774"/>
      <c r="C6774"/>
      <c r="D6774"/>
      <c r="G6774"/>
    </row>
    <row r="6775" spans="2:7">
      <c r="B6775"/>
      <c r="C6775"/>
      <c r="D6775"/>
      <c r="G6775"/>
    </row>
    <row r="6776" spans="2:7">
      <c r="B6776"/>
      <c r="C6776"/>
      <c r="D6776"/>
      <c r="G6776"/>
    </row>
    <row r="6777" spans="2:7">
      <c r="B6777"/>
      <c r="C6777"/>
      <c r="D6777"/>
      <c r="G6777"/>
    </row>
    <row r="6778" spans="2:7">
      <c r="B6778"/>
      <c r="C6778"/>
      <c r="D6778"/>
      <c r="G6778"/>
    </row>
    <row r="6779" spans="2:7">
      <c r="B6779"/>
      <c r="C6779"/>
      <c r="D6779"/>
      <c r="G6779"/>
    </row>
    <row r="6780" spans="2:7">
      <c r="B6780"/>
      <c r="C6780"/>
      <c r="D6780"/>
      <c r="G6780"/>
    </row>
    <row r="6781" spans="2:7">
      <c r="B6781"/>
      <c r="C6781"/>
      <c r="D6781"/>
      <c r="G6781"/>
    </row>
    <row r="6782" spans="2:7">
      <c r="B6782"/>
      <c r="C6782"/>
      <c r="D6782"/>
      <c r="G6782"/>
    </row>
    <row r="6783" spans="2:7">
      <c r="B6783"/>
      <c r="C6783"/>
      <c r="D6783"/>
      <c r="G6783"/>
    </row>
    <row r="6784" spans="2:7">
      <c r="B6784"/>
      <c r="C6784"/>
      <c r="D6784"/>
      <c r="G6784"/>
    </row>
    <row r="6785" spans="2:7">
      <c r="B6785"/>
      <c r="C6785"/>
      <c r="D6785"/>
      <c r="G6785"/>
    </row>
    <row r="6786" spans="2:7">
      <c r="B6786"/>
      <c r="C6786"/>
      <c r="D6786"/>
      <c r="G6786"/>
    </row>
    <row r="6787" spans="2:7">
      <c r="B6787"/>
      <c r="C6787"/>
      <c r="D6787"/>
      <c r="G6787"/>
    </row>
    <row r="6788" spans="2:7">
      <c r="B6788"/>
      <c r="C6788"/>
      <c r="D6788"/>
      <c r="G6788"/>
    </row>
    <row r="6789" spans="2:7">
      <c r="B6789"/>
      <c r="C6789"/>
      <c r="D6789"/>
      <c r="G6789"/>
    </row>
    <row r="6790" spans="2:7">
      <c r="B6790"/>
      <c r="C6790"/>
      <c r="D6790"/>
      <c r="G6790"/>
    </row>
    <row r="6791" spans="2:7">
      <c r="B6791"/>
      <c r="C6791"/>
      <c r="D6791"/>
      <c r="G6791"/>
    </row>
    <row r="6792" spans="2:7">
      <c r="B6792"/>
      <c r="C6792"/>
      <c r="D6792"/>
      <c r="G6792"/>
    </row>
    <row r="6793" spans="2:7">
      <c r="B6793"/>
      <c r="C6793"/>
      <c r="D6793"/>
      <c r="G6793"/>
    </row>
    <row r="6794" spans="2:7">
      <c r="B6794"/>
      <c r="C6794"/>
      <c r="D6794"/>
      <c r="G6794"/>
    </row>
    <row r="6795" spans="2:7">
      <c r="B6795"/>
      <c r="C6795"/>
      <c r="D6795"/>
      <c r="G6795"/>
    </row>
    <row r="6796" spans="2:7">
      <c r="B6796"/>
      <c r="C6796"/>
      <c r="D6796"/>
      <c r="G6796"/>
    </row>
    <row r="6797" spans="2:7">
      <c r="B6797"/>
      <c r="C6797"/>
      <c r="D6797"/>
      <c r="G6797"/>
    </row>
    <row r="6798" spans="2:7">
      <c r="B6798"/>
      <c r="C6798"/>
      <c r="D6798"/>
      <c r="G6798"/>
    </row>
    <row r="6799" spans="2:7">
      <c r="B6799"/>
      <c r="C6799"/>
      <c r="D6799"/>
      <c r="G6799"/>
    </row>
    <row r="6800" spans="2:7">
      <c r="B6800"/>
      <c r="C6800"/>
      <c r="D6800"/>
      <c r="G6800"/>
    </row>
    <row r="6801" spans="2:7">
      <c r="B6801"/>
      <c r="C6801"/>
      <c r="D6801"/>
      <c r="G6801"/>
    </row>
    <row r="6802" spans="2:7">
      <c r="B6802"/>
      <c r="C6802"/>
      <c r="D6802"/>
      <c r="G6802"/>
    </row>
    <row r="6803" spans="2:7">
      <c r="B6803"/>
      <c r="C6803"/>
      <c r="D6803"/>
      <c r="G6803"/>
    </row>
    <row r="6804" spans="2:7">
      <c r="B6804"/>
      <c r="C6804"/>
      <c r="D6804"/>
      <c r="G6804"/>
    </row>
    <row r="6805" spans="2:7">
      <c r="B6805"/>
      <c r="C6805"/>
      <c r="D6805"/>
      <c r="G6805"/>
    </row>
    <row r="6806" spans="2:7">
      <c r="B6806"/>
      <c r="C6806"/>
      <c r="D6806"/>
      <c r="G6806"/>
    </row>
    <row r="6807" spans="2:7">
      <c r="B6807"/>
      <c r="C6807"/>
      <c r="D6807"/>
      <c r="G6807"/>
    </row>
    <row r="6808" spans="2:7">
      <c r="B6808"/>
      <c r="C6808"/>
      <c r="D6808"/>
      <c r="G6808"/>
    </row>
    <row r="6809" spans="2:7">
      <c r="B6809"/>
      <c r="C6809"/>
      <c r="D6809"/>
      <c r="G6809"/>
    </row>
    <row r="6810" spans="2:7">
      <c r="B6810"/>
      <c r="C6810"/>
      <c r="D6810"/>
      <c r="G6810"/>
    </row>
    <row r="6811" spans="2:7">
      <c r="B6811"/>
      <c r="C6811"/>
      <c r="D6811"/>
      <c r="G6811"/>
    </row>
    <row r="6812" spans="2:7">
      <c r="B6812"/>
      <c r="C6812"/>
      <c r="D6812"/>
      <c r="G6812"/>
    </row>
    <row r="6813" spans="2:7">
      <c r="B6813"/>
      <c r="C6813"/>
      <c r="D6813"/>
      <c r="G6813"/>
    </row>
    <row r="6814" spans="2:7">
      <c r="B6814"/>
      <c r="C6814"/>
      <c r="D6814"/>
      <c r="G6814"/>
    </row>
    <row r="6815" spans="2:7">
      <c r="B6815"/>
      <c r="C6815"/>
      <c r="D6815"/>
      <c r="G6815"/>
    </row>
    <row r="6816" spans="2:7">
      <c r="B6816"/>
      <c r="C6816"/>
      <c r="D6816"/>
      <c r="G6816"/>
    </row>
    <row r="6817" spans="2:7">
      <c r="B6817"/>
      <c r="C6817"/>
      <c r="D6817"/>
      <c r="G6817"/>
    </row>
    <row r="6818" spans="2:7">
      <c r="B6818"/>
      <c r="C6818"/>
      <c r="D6818"/>
      <c r="G6818"/>
    </row>
    <row r="6819" spans="2:7">
      <c r="B6819"/>
      <c r="C6819"/>
      <c r="D6819"/>
      <c r="G6819"/>
    </row>
    <row r="6820" spans="2:7">
      <c r="B6820"/>
      <c r="C6820"/>
      <c r="D6820"/>
      <c r="G6820"/>
    </row>
    <row r="6821" spans="2:7">
      <c r="B6821"/>
      <c r="C6821"/>
      <c r="D6821"/>
      <c r="G6821"/>
    </row>
    <row r="6822" spans="2:7">
      <c r="B6822"/>
      <c r="C6822"/>
      <c r="D6822"/>
      <c r="G6822"/>
    </row>
    <row r="6823" spans="2:7">
      <c r="B6823"/>
      <c r="C6823"/>
      <c r="D6823"/>
      <c r="G6823"/>
    </row>
    <row r="6824" spans="2:7">
      <c r="B6824"/>
      <c r="C6824"/>
      <c r="D6824"/>
      <c r="G6824"/>
    </row>
    <row r="6825" spans="2:7">
      <c r="B6825"/>
      <c r="C6825"/>
      <c r="D6825"/>
      <c r="G6825"/>
    </row>
    <row r="6826" spans="2:7">
      <c r="B6826"/>
      <c r="C6826"/>
      <c r="D6826"/>
      <c r="G6826"/>
    </row>
    <row r="6827" spans="2:7">
      <c r="B6827"/>
      <c r="C6827"/>
      <c r="D6827"/>
      <c r="G6827"/>
    </row>
    <row r="6828" spans="2:7">
      <c r="B6828"/>
      <c r="C6828"/>
      <c r="D6828"/>
      <c r="G6828"/>
    </row>
    <row r="6829" spans="2:7">
      <c r="B6829"/>
      <c r="C6829"/>
      <c r="D6829"/>
      <c r="G6829"/>
    </row>
    <row r="6830" spans="2:7">
      <c r="B6830"/>
      <c r="C6830"/>
      <c r="D6830"/>
      <c r="G6830"/>
    </row>
    <row r="6831" spans="2:7">
      <c r="B6831"/>
      <c r="C6831"/>
      <c r="D6831"/>
      <c r="G6831"/>
    </row>
    <row r="6832" spans="2:7">
      <c r="B6832"/>
      <c r="C6832"/>
      <c r="D6832"/>
      <c r="G6832"/>
    </row>
    <row r="6833" spans="2:7">
      <c r="B6833"/>
      <c r="C6833"/>
      <c r="D6833"/>
      <c r="G6833"/>
    </row>
    <row r="6834" spans="2:7">
      <c r="B6834"/>
      <c r="C6834"/>
      <c r="D6834"/>
      <c r="G6834"/>
    </row>
    <row r="6835" spans="2:7">
      <c r="B6835"/>
      <c r="C6835"/>
      <c r="D6835"/>
      <c r="G6835"/>
    </row>
    <row r="6836" spans="2:7">
      <c r="B6836"/>
      <c r="C6836"/>
      <c r="D6836"/>
      <c r="G6836"/>
    </row>
    <row r="6837" spans="2:7">
      <c r="B6837"/>
      <c r="C6837"/>
      <c r="D6837"/>
      <c r="G6837"/>
    </row>
    <row r="6838" spans="2:7">
      <c r="B6838"/>
      <c r="C6838"/>
      <c r="D6838"/>
      <c r="G6838"/>
    </row>
    <row r="6839" spans="2:7">
      <c r="B6839"/>
      <c r="C6839"/>
      <c r="D6839"/>
      <c r="G6839"/>
    </row>
    <row r="6840" spans="2:7">
      <c r="B6840"/>
      <c r="C6840"/>
      <c r="D6840"/>
      <c r="G6840"/>
    </row>
    <row r="6841" spans="2:7">
      <c r="B6841"/>
      <c r="C6841"/>
      <c r="D6841"/>
      <c r="G6841"/>
    </row>
    <row r="6842" spans="2:7">
      <c r="B6842"/>
      <c r="C6842"/>
      <c r="D6842"/>
      <c r="G6842"/>
    </row>
    <row r="6843" spans="2:7">
      <c r="B6843"/>
      <c r="C6843"/>
      <c r="D6843"/>
      <c r="G6843"/>
    </row>
    <row r="6844" spans="2:7">
      <c r="B6844"/>
      <c r="C6844"/>
      <c r="D6844"/>
      <c r="G6844"/>
    </row>
    <row r="6845" spans="2:7">
      <c r="B6845"/>
      <c r="C6845"/>
      <c r="D6845"/>
      <c r="G6845"/>
    </row>
    <row r="6846" spans="2:7">
      <c r="B6846"/>
      <c r="C6846"/>
      <c r="D6846"/>
      <c r="G6846"/>
    </row>
    <row r="6847" spans="2:7">
      <c r="B6847"/>
      <c r="C6847"/>
      <c r="D6847"/>
      <c r="G6847"/>
    </row>
    <row r="6848" spans="2:7">
      <c r="B6848"/>
      <c r="C6848"/>
      <c r="D6848"/>
      <c r="G6848"/>
    </row>
    <row r="6849" spans="2:7">
      <c r="B6849"/>
      <c r="C6849"/>
      <c r="D6849"/>
      <c r="G6849"/>
    </row>
    <row r="6850" spans="2:7">
      <c r="B6850"/>
      <c r="C6850"/>
      <c r="D6850"/>
      <c r="G6850"/>
    </row>
    <row r="6851" spans="2:7">
      <c r="B6851"/>
      <c r="C6851"/>
      <c r="D6851"/>
      <c r="G6851"/>
    </row>
    <row r="6852" spans="2:7">
      <c r="B6852"/>
      <c r="C6852"/>
      <c r="D6852"/>
      <c r="G6852"/>
    </row>
    <row r="6853" spans="2:7">
      <c r="B6853"/>
      <c r="C6853"/>
      <c r="D6853"/>
      <c r="G6853"/>
    </row>
    <row r="6854" spans="2:7">
      <c r="B6854"/>
      <c r="C6854"/>
      <c r="D6854"/>
      <c r="G6854"/>
    </row>
    <row r="6855" spans="2:7">
      <c r="B6855"/>
      <c r="C6855"/>
      <c r="D6855"/>
      <c r="G6855"/>
    </row>
    <row r="6856" spans="2:7">
      <c r="B6856"/>
      <c r="C6856"/>
      <c r="D6856"/>
      <c r="G6856"/>
    </row>
    <row r="6857" spans="2:7">
      <c r="B6857"/>
      <c r="C6857"/>
      <c r="D6857"/>
      <c r="G6857"/>
    </row>
    <row r="6858" spans="2:7">
      <c r="B6858"/>
      <c r="C6858"/>
      <c r="D6858"/>
      <c r="G6858"/>
    </row>
    <row r="6859" spans="2:7">
      <c r="B6859"/>
      <c r="C6859"/>
      <c r="D6859"/>
      <c r="G6859"/>
    </row>
    <row r="6860" spans="2:7">
      <c r="B6860"/>
      <c r="C6860"/>
      <c r="D6860"/>
      <c r="G6860"/>
    </row>
    <row r="6861" spans="2:7">
      <c r="B6861"/>
      <c r="C6861"/>
      <c r="D6861"/>
      <c r="G6861"/>
    </row>
    <row r="6862" spans="2:7">
      <c r="B6862"/>
      <c r="C6862"/>
      <c r="D6862"/>
      <c r="G6862"/>
    </row>
    <row r="6863" spans="2:7">
      <c r="B6863"/>
      <c r="C6863"/>
      <c r="D6863"/>
      <c r="G6863"/>
    </row>
    <row r="6864" spans="2:7">
      <c r="B6864"/>
      <c r="C6864"/>
      <c r="D6864"/>
      <c r="G6864"/>
    </row>
    <row r="6865" spans="2:7">
      <c r="B6865"/>
      <c r="C6865"/>
      <c r="D6865"/>
      <c r="G6865"/>
    </row>
    <row r="6866" spans="2:7">
      <c r="B6866"/>
      <c r="C6866"/>
      <c r="D6866"/>
      <c r="G6866"/>
    </row>
    <row r="6867" spans="2:7">
      <c r="B6867"/>
      <c r="C6867"/>
      <c r="D6867"/>
      <c r="G6867"/>
    </row>
    <row r="6868" spans="2:7">
      <c r="B6868"/>
      <c r="C6868"/>
      <c r="D6868"/>
      <c r="G6868"/>
    </row>
    <row r="6869" spans="2:7">
      <c r="B6869"/>
      <c r="C6869"/>
      <c r="D6869"/>
      <c r="G6869"/>
    </row>
    <row r="6870" spans="2:7">
      <c r="B6870"/>
      <c r="C6870"/>
      <c r="D6870"/>
      <c r="G6870"/>
    </row>
    <row r="6871" spans="2:7">
      <c r="B6871"/>
      <c r="C6871"/>
      <c r="D6871"/>
      <c r="G6871"/>
    </row>
    <row r="6872" spans="2:7">
      <c r="B6872"/>
      <c r="C6872"/>
      <c r="D6872"/>
      <c r="G6872"/>
    </row>
    <row r="6873" spans="2:7">
      <c r="B6873"/>
      <c r="C6873"/>
      <c r="D6873"/>
      <c r="G6873"/>
    </row>
    <row r="6874" spans="2:7">
      <c r="B6874"/>
      <c r="C6874"/>
      <c r="D6874"/>
      <c r="G6874"/>
    </row>
    <row r="6875" spans="2:7">
      <c r="B6875"/>
      <c r="C6875"/>
      <c r="D6875"/>
      <c r="G6875"/>
    </row>
    <row r="6876" spans="2:7">
      <c r="B6876"/>
      <c r="C6876"/>
      <c r="D6876"/>
      <c r="G6876"/>
    </row>
    <row r="6877" spans="2:7">
      <c r="B6877"/>
      <c r="C6877"/>
      <c r="D6877"/>
      <c r="G6877"/>
    </row>
    <row r="6878" spans="2:7">
      <c r="B6878"/>
      <c r="C6878"/>
      <c r="D6878"/>
      <c r="G6878"/>
    </row>
    <row r="6879" spans="2:7">
      <c r="B6879"/>
      <c r="C6879"/>
      <c r="D6879"/>
      <c r="G6879"/>
    </row>
    <row r="6880" spans="2:7">
      <c r="B6880"/>
      <c r="C6880"/>
      <c r="D6880"/>
      <c r="G6880"/>
    </row>
    <row r="6881" spans="2:7">
      <c r="B6881"/>
      <c r="C6881"/>
      <c r="D6881"/>
      <c r="G6881"/>
    </row>
    <row r="6882" spans="2:7">
      <c r="B6882"/>
      <c r="C6882"/>
      <c r="D6882"/>
      <c r="G6882"/>
    </row>
    <row r="6883" spans="2:7">
      <c r="B6883"/>
      <c r="C6883"/>
      <c r="D6883"/>
      <c r="G6883"/>
    </row>
    <row r="6884" spans="2:7">
      <c r="B6884"/>
      <c r="C6884"/>
      <c r="D6884"/>
      <c r="G6884"/>
    </row>
    <row r="6885" spans="2:7">
      <c r="B6885"/>
      <c r="C6885"/>
      <c r="D6885"/>
      <c r="G6885"/>
    </row>
    <row r="6886" spans="2:7">
      <c r="B6886"/>
      <c r="C6886"/>
      <c r="D6886"/>
      <c r="G6886"/>
    </row>
    <row r="6887" spans="2:7">
      <c r="B6887"/>
      <c r="C6887"/>
      <c r="D6887"/>
      <c r="G6887"/>
    </row>
    <row r="6888" spans="2:7">
      <c r="B6888"/>
      <c r="C6888"/>
      <c r="D6888"/>
      <c r="G6888"/>
    </row>
    <row r="6889" spans="2:7">
      <c r="B6889"/>
      <c r="C6889"/>
      <c r="D6889"/>
      <c r="G6889"/>
    </row>
    <row r="6890" spans="2:7">
      <c r="B6890"/>
      <c r="C6890"/>
      <c r="D6890"/>
      <c r="G6890"/>
    </row>
    <row r="6891" spans="2:7">
      <c r="B6891"/>
      <c r="C6891"/>
      <c r="D6891"/>
      <c r="G6891"/>
    </row>
    <row r="6892" spans="2:7">
      <c r="B6892"/>
      <c r="C6892"/>
      <c r="D6892"/>
      <c r="G6892"/>
    </row>
    <row r="6893" spans="2:7">
      <c r="B6893"/>
      <c r="C6893"/>
      <c r="D6893"/>
      <c r="G6893"/>
    </row>
    <row r="6894" spans="2:7">
      <c r="B6894"/>
      <c r="C6894"/>
      <c r="D6894"/>
      <c r="G6894"/>
    </row>
    <row r="6895" spans="2:7">
      <c r="B6895"/>
      <c r="C6895"/>
      <c r="D6895"/>
      <c r="G6895"/>
    </row>
    <row r="6896" spans="2:7">
      <c r="B6896"/>
      <c r="C6896"/>
      <c r="D6896"/>
      <c r="G6896"/>
    </row>
    <row r="6897" spans="2:7">
      <c r="B6897"/>
      <c r="C6897"/>
      <c r="D6897"/>
      <c r="G6897"/>
    </row>
    <row r="6898" spans="2:7">
      <c r="B6898"/>
      <c r="C6898"/>
      <c r="D6898"/>
      <c r="G6898"/>
    </row>
    <row r="6899" spans="2:7">
      <c r="B6899"/>
      <c r="C6899"/>
      <c r="D6899"/>
      <c r="G6899"/>
    </row>
    <row r="6900" spans="2:7">
      <c r="B6900"/>
      <c r="C6900"/>
      <c r="D6900"/>
      <c r="G6900"/>
    </row>
    <row r="6901" spans="2:7">
      <c r="B6901"/>
      <c r="C6901"/>
      <c r="D6901"/>
      <c r="G6901"/>
    </row>
    <row r="6902" spans="2:7">
      <c r="B6902"/>
      <c r="C6902"/>
      <c r="D6902"/>
      <c r="G6902"/>
    </row>
    <row r="6903" spans="2:7">
      <c r="B6903"/>
      <c r="C6903"/>
      <c r="D6903"/>
      <c r="G6903"/>
    </row>
    <row r="6904" spans="2:7">
      <c r="B6904"/>
      <c r="C6904"/>
      <c r="D6904"/>
      <c r="G6904"/>
    </row>
    <row r="6905" spans="2:7">
      <c r="B6905"/>
      <c r="C6905"/>
      <c r="D6905"/>
      <c r="G6905"/>
    </row>
    <row r="6906" spans="2:7">
      <c r="B6906"/>
      <c r="C6906"/>
      <c r="D6906"/>
      <c r="G6906"/>
    </row>
    <row r="6907" spans="2:7">
      <c r="B6907"/>
      <c r="C6907"/>
      <c r="D6907"/>
      <c r="G6907"/>
    </row>
    <row r="6908" spans="2:7">
      <c r="B6908"/>
      <c r="C6908"/>
      <c r="D6908"/>
      <c r="G6908"/>
    </row>
    <row r="6909" spans="2:7">
      <c r="B6909"/>
      <c r="C6909"/>
      <c r="D6909"/>
      <c r="G6909"/>
    </row>
    <row r="6910" spans="2:7">
      <c r="B6910"/>
      <c r="C6910"/>
      <c r="D6910"/>
      <c r="G6910"/>
    </row>
    <row r="6911" spans="2:7">
      <c r="B6911"/>
      <c r="C6911"/>
      <c r="D6911"/>
      <c r="G6911"/>
    </row>
    <row r="6912" spans="2:7">
      <c r="B6912"/>
      <c r="C6912"/>
      <c r="D6912"/>
      <c r="G6912"/>
    </row>
    <row r="6913" spans="2:7">
      <c r="B6913"/>
      <c r="C6913"/>
      <c r="D6913"/>
      <c r="G6913"/>
    </row>
    <row r="6914" spans="2:7">
      <c r="B6914"/>
      <c r="C6914"/>
      <c r="D6914"/>
      <c r="G6914"/>
    </row>
    <row r="6915" spans="2:7">
      <c r="B6915"/>
      <c r="C6915"/>
      <c r="D6915"/>
      <c r="G6915"/>
    </row>
    <row r="6916" spans="2:7">
      <c r="B6916"/>
      <c r="C6916"/>
      <c r="D6916"/>
      <c r="G6916"/>
    </row>
    <row r="6917" spans="2:7">
      <c r="B6917"/>
      <c r="C6917"/>
      <c r="D6917"/>
      <c r="G6917"/>
    </row>
    <row r="6918" spans="2:7">
      <c r="B6918"/>
      <c r="C6918"/>
      <c r="D6918"/>
      <c r="G6918"/>
    </row>
    <row r="6919" spans="2:7">
      <c r="B6919"/>
      <c r="C6919"/>
      <c r="D6919"/>
      <c r="G6919"/>
    </row>
    <row r="6920" spans="2:7">
      <c r="B6920"/>
      <c r="C6920"/>
      <c r="D6920"/>
      <c r="G6920"/>
    </row>
    <row r="6921" spans="2:7">
      <c r="B6921"/>
      <c r="C6921"/>
      <c r="D6921"/>
      <c r="G6921"/>
    </row>
    <row r="6922" spans="2:7">
      <c r="B6922"/>
      <c r="C6922"/>
      <c r="D6922"/>
      <c r="G6922"/>
    </row>
    <row r="6923" spans="2:7">
      <c r="B6923"/>
      <c r="C6923"/>
      <c r="D6923"/>
      <c r="G6923"/>
    </row>
    <row r="6924" spans="2:7">
      <c r="B6924"/>
      <c r="C6924"/>
      <c r="D6924"/>
      <c r="G6924"/>
    </row>
    <row r="6925" spans="2:7">
      <c r="B6925"/>
      <c r="C6925"/>
      <c r="D6925"/>
      <c r="G6925"/>
    </row>
    <row r="6926" spans="2:7">
      <c r="B6926"/>
      <c r="C6926"/>
      <c r="D6926"/>
      <c r="G6926"/>
    </row>
    <row r="6927" spans="2:7">
      <c r="B6927"/>
      <c r="C6927"/>
      <c r="D6927"/>
      <c r="G6927"/>
    </row>
    <row r="6928" spans="2:7">
      <c r="B6928"/>
      <c r="C6928"/>
      <c r="D6928"/>
      <c r="G6928"/>
    </row>
    <row r="6929" spans="2:7">
      <c r="B6929"/>
      <c r="C6929"/>
      <c r="D6929"/>
      <c r="G6929"/>
    </row>
    <row r="6930" spans="2:7">
      <c r="B6930"/>
      <c r="C6930"/>
      <c r="D6930"/>
      <c r="G6930"/>
    </row>
    <row r="6931" spans="2:7">
      <c r="B6931"/>
      <c r="C6931"/>
      <c r="D6931"/>
      <c r="G6931"/>
    </row>
    <row r="6932" spans="2:7">
      <c r="B6932"/>
      <c r="C6932"/>
      <c r="D6932"/>
      <c r="G6932"/>
    </row>
    <row r="6933" spans="2:7">
      <c r="B6933"/>
      <c r="C6933"/>
      <c r="D6933"/>
      <c r="G6933"/>
    </row>
    <row r="6934" spans="2:7">
      <c r="B6934"/>
      <c r="C6934"/>
      <c r="D6934"/>
      <c r="G6934"/>
    </row>
    <row r="6935" spans="2:7">
      <c r="B6935"/>
      <c r="C6935"/>
      <c r="D6935"/>
      <c r="G6935"/>
    </row>
    <row r="6936" spans="2:7">
      <c r="B6936"/>
      <c r="C6936"/>
      <c r="D6936"/>
      <c r="G6936"/>
    </row>
    <row r="6937" spans="2:7">
      <c r="B6937"/>
      <c r="C6937"/>
      <c r="D6937"/>
      <c r="G6937"/>
    </row>
    <row r="6938" spans="2:7">
      <c r="B6938"/>
      <c r="C6938"/>
      <c r="D6938"/>
      <c r="G6938"/>
    </row>
    <row r="6939" spans="2:7">
      <c r="B6939"/>
      <c r="C6939"/>
      <c r="D6939"/>
      <c r="G6939"/>
    </row>
    <row r="6940" spans="2:7">
      <c r="B6940"/>
      <c r="C6940"/>
      <c r="D6940"/>
      <c r="G6940"/>
    </row>
    <row r="6941" spans="2:7">
      <c r="B6941"/>
      <c r="C6941"/>
      <c r="D6941"/>
      <c r="G6941"/>
    </row>
    <row r="6942" spans="2:7">
      <c r="B6942"/>
      <c r="C6942"/>
      <c r="D6942"/>
      <c r="G6942"/>
    </row>
    <row r="6943" spans="2:7">
      <c r="B6943"/>
      <c r="C6943"/>
      <c r="D6943"/>
      <c r="G6943"/>
    </row>
    <row r="6944" spans="2:7">
      <c r="B6944"/>
      <c r="C6944"/>
      <c r="D6944"/>
      <c r="G6944"/>
    </row>
    <row r="6945" spans="2:7">
      <c r="B6945"/>
      <c r="C6945"/>
      <c r="D6945"/>
      <c r="G6945"/>
    </row>
    <row r="6946" spans="2:7">
      <c r="B6946"/>
      <c r="C6946"/>
      <c r="D6946"/>
      <c r="G6946"/>
    </row>
    <row r="6947" spans="2:7">
      <c r="B6947"/>
      <c r="C6947"/>
      <c r="D6947"/>
      <c r="G6947"/>
    </row>
    <row r="6948" spans="2:7">
      <c r="B6948"/>
      <c r="C6948"/>
      <c r="D6948"/>
      <c r="G6948"/>
    </row>
    <row r="6949" spans="2:7">
      <c r="B6949"/>
      <c r="C6949"/>
      <c r="D6949"/>
      <c r="G6949"/>
    </row>
    <row r="6950" spans="2:7">
      <c r="B6950"/>
      <c r="C6950"/>
      <c r="D6950"/>
      <c r="G6950"/>
    </row>
    <row r="6951" spans="2:7">
      <c r="B6951"/>
      <c r="C6951"/>
      <c r="D6951"/>
      <c r="G6951"/>
    </row>
    <row r="6952" spans="2:7">
      <c r="B6952"/>
      <c r="C6952"/>
      <c r="D6952"/>
      <c r="G6952"/>
    </row>
    <row r="6953" spans="2:7">
      <c r="B6953"/>
      <c r="C6953"/>
      <c r="D6953"/>
      <c r="G6953"/>
    </row>
    <row r="6954" spans="2:7">
      <c r="B6954"/>
      <c r="C6954"/>
      <c r="D6954"/>
      <c r="G6954"/>
    </row>
    <row r="6955" spans="2:7">
      <c r="B6955"/>
      <c r="C6955"/>
      <c r="D6955"/>
      <c r="G6955"/>
    </row>
    <row r="6956" spans="2:7">
      <c r="B6956"/>
      <c r="C6956"/>
      <c r="D6956"/>
      <c r="G6956"/>
    </row>
    <row r="6957" spans="2:7">
      <c r="B6957"/>
      <c r="C6957"/>
      <c r="D6957"/>
      <c r="G6957"/>
    </row>
    <row r="6958" spans="2:7">
      <c r="B6958"/>
      <c r="C6958"/>
      <c r="D6958"/>
      <c r="G6958"/>
    </row>
    <row r="6959" spans="2:7">
      <c r="B6959"/>
      <c r="C6959"/>
      <c r="D6959"/>
      <c r="G6959"/>
    </row>
    <row r="6960" spans="2:7">
      <c r="B6960"/>
      <c r="C6960"/>
      <c r="D6960"/>
      <c r="G6960"/>
    </row>
    <row r="6961" spans="2:7">
      <c r="B6961"/>
      <c r="C6961"/>
      <c r="D6961"/>
      <c r="G6961"/>
    </row>
    <row r="6962" spans="2:7">
      <c r="B6962"/>
      <c r="C6962"/>
      <c r="D6962"/>
      <c r="G6962"/>
    </row>
    <row r="6963" spans="2:7">
      <c r="B6963"/>
      <c r="C6963"/>
      <c r="D6963"/>
      <c r="G6963"/>
    </row>
    <row r="6964" spans="2:7">
      <c r="B6964"/>
      <c r="C6964"/>
      <c r="D6964"/>
      <c r="G6964"/>
    </row>
    <row r="6965" spans="2:7">
      <c r="B6965"/>
      <c r="C6965"/>
      <c r="D6965"/>
      <c r="G6965"/>
    </row>
    <row r="6966" spans="2:7">
      <c r="B6966"/>
      <c r="C6966"/>
      <c r="D6966"/>
      <c r="G6966"/>
    </row>
    <row r="6967" spans="2:7">
      <c r="B6967"/>
      <c r="C6967"/>
      <c r="D6967"/>
      <c r="G6967"/>
    </row>
    <row r="6968" spans="2:7">
      <c r="B6968"/>
      <c r="C6968"/>
      <c r="D6968"/>
      <c r="G6968"/>
    </row>
    <row r="6969" spans="2:7">
      <c r="B6969"/>
      <c r="C6969"/>
      <c r="D6969"/>
      <c r="G6969"/>
    </row>
    <row r="6970" spans="2:7">
      <c r="B6970"/>
      <c r="C6970"/>
      <c r="D6970"/>
      <c r="G6970"/>
    </row>
    <row r="6971" spans="2:7">
      <c r="B6971"/>
      <c r="C6971"/>
      <c r="D6971"/>
      <c r="G6971"/>
    </row>
    <row r="6972" spans="2:7">
      <c r="B6972"/>
      <c r="C6972"/>
      <c r="D6972"/>
      <c r="G6972"/>
    </row>
    <row r="6973" spans="2:7">
      <c r="B6973"/>
      <c r="C6973"/>
      <c r="D6973"/>
      <c r="G6973"/>
    </row>
    <row r="6974" spans="2:7">
      <c r="B6974"/>
      <c r="C6974"/>
      <c r="D6974"/>
      <c r="G6974"/>
    </row>
    <row r="6975" spans="2:7">
      <c r="B6975"/>
      <c r="C6975"/>
      <c r="D6975"/>
      <c r="G6975"/>
    </row>
    <row r="6976" spans="2:7">
      <c r="B6976"/>
      <c r="C6976"/>
      <c r="D6976"/>
      <c r="G6976"/>
    </row>
    <row r="6977" spans="2:7">
      <c r="B6977"/>
      <c r="C6977"/>
      <c r="D6977"/>
      <c r="G6977"/>
    </row>
    <row r="6978" spans="2:7">
      <c r="B6978"/>
      <c r="C6978"/>
      <c r="D6978"/>
      <c r="G6978"/>
    </row>
    <row r="6979" spans="2:7">
      <c r="B6979"/>
      <c r="C6979"/>
      <c r="D6979"/>
      <c r="G6979"/>
    </row>
    <row r="6980" spans="2:7">
      <c r="B6980"/>
      <c r="C6980"/>
      <c r="D6980"/>
      <c r="G6980"/>
    </row>
    <row r="6981" spans="2:7">
      <c r="B6981"/>
      <c r="C6981"/>
      <c r="D6981"/>
      <c r="G6981"/>
    </row>
    <row r="6982" spans="2:7">
      <c r="B6982"/>
      <c r="C6982"/>
      <c r="D6982"/>
      <c r="G6982"/>
    </row>
    <row r="6983" spans="2:7">
      <c r="B6983"/>
      <c r="C6983"/>
      <c r="D6983"/>
      <c r="G6983"/>
    </row>
    <row r="6984" spans="2:7">
      <c r="B6984"/>
      <c r="C6984"/>
      <c r="D6984"/>
      <c r="G6984"/>
    </row>
    <row r="6985" spans="2:7">
      <c r="B6985"/>
      <c r="C6985"/>
      <c r="D6985"/>
      <c r="G6985"/>
    </row>
    <row r="6986" spans="2:7">
      <c r="B6986"/>
      <c r="C6986"/>
      <c r="D6986"/>
      <c r="G6986"/>
    </row>
    <row r="6987" spans="2:7">
      <c r="B6987"/>
      <c r="C6987"/>
      <c r="D6987"/>
      <c r="G6987"/>
    </row>
    <row r="6988" spans="2:7">
      <c r="B6988"/>
      <c r="C6988"/>
      <c r="D6988"/>
      <c r="G6988"/>
    </row>
    <row r="6989" spans="2:7">
      <c r="B6989"/>
      <c r="C6989"/>
      <c r="D6989"/>
      <c r="G6989"/>
    </row>
    <row r="6990" spans="2:7">
      <c r="B6990"/>
      <c r="C6990"/>
      <c r="D6990"/>
      <c r="G6990"/>
    </row>
    <row r="6991" spans="2:7">
      <c r="B6991"/>
      <c r="C6991"/>
      <c r="D6991"/>
      <c r="G6991"/>
    </row>
    <row r="6992" spans="2:7">
      <c r="B6992"/>
      <c r="C6992"/>
      <c r="D6992"/>
      <c r="G6992"/>
    </row>
    <row r="6993" spans="2:7">
      <c r="B6993"/>
      <c r="C6993"/>
      <c r="D6993"/>
      <c r="G6993"/>
    </row>
    <row r="6994" spans="2:7">
      <c r="B6994"/>
      <c r="C6994"/>
      <c r="D6994"/>
      <c r="G6994"/>
    </row>
    <row r="6995" spans="2:7">
      <c r="B6995"/>
      <c r="C6995"/>
      <c r="D6995"/>
      <c r="G6995"/>
    </row>
    <row r="6996" spans="2:7">
      <c r="B6996"/>
      <c r="C6996"/>
      <c r="D6996"/>
      <c r="G6996"/>
    </row>
    <row r="6997" spans="2:7">
      <c r="B6997"/>
      <c r="C6997"/>
      <c r="D6997"/>
      <c r="G6997"/>
    </row>
    <row r="6998" spans="2:7">
      <c r="B6998"/>
      <c r="C6998"/>
      <c r="D6998"/>
      <c r="G6998"/>
    </row>
    <row r="6999" spans="2:7">
      <c r="B6999"/>
      <c r="C6999"/>
      <c r="D6999"/>
      <c r="G6999"/>
    </row>
    <row r="7000" spans="2:7">
      <c r="B7000"/>
      <c r="C7000"/>
      <c r="D7000"/>
      <c r="G7000"/>
    </row>
    <row r="7001" spans="2:7">
      <c r="B7001"/>
      <c r="C7001"/>
      <c r="D7001"/>
      <c r="G7001"/>
    </row>
    <row r="7002" spans="2:7">
      <c r="B7002"/>
      <c r="C7002"/>
      <c r="D7002"/>
      <c r="G7002"/>
    </row>
    <row r="7003" spans="2:7">
      <c r="B7003"/>
      <c r="C7003"/>
      <c r="D7003"/>
      <c r="G7003"/>
    </row>
    <row r="7004" spans="2:7">
      <c r="B7004"/>
      <c r="C7004"/>
      <c r="D7004"/>
      <c r="G7004"/>
    </row>
    <row r="7005" spans="2:7">
      <c r="B7005"/>
      <c r="C7005"/>
      <c r="D7005"/>
      <c r="G7005"/>
    </row>
    <row r="7006" spans="2:7">
      <c r="B7006"/>
      <c r="C7006"/>
      <c r="D7006"/>
      <c r="G7006"/>
    </row>
    <row r="7007" spans="2:7">
      <c r="B7007"/>
      <c r="C7007"/>
      <c r="D7007"/>
      <c r="G7007"/>
    </row>
    <row r="7008" spans="2:7">
      <c r="B7008"/>
      <c r="C7008"/>
      <c r="D7008"/>
      <c r="G7008"/>
    </row>
    <row r="7009" spans="2:7">
      <c r="B7009"/>
      <c r="C7009"/>
      <c r="D7009"/>
      <c r="G7009"/>
    </row>
    <row r="7010" spans="2:7">
      <c r="B7010"/>
      <c r="C7010"/>
      <c r="D7010"/>
      <c r="G7010"/>
    </row>
    <row r="7011" spans="2:7">
      <c r="B7011"/>
      <c r="C7011"/>
      <c r="D7011"/>
      <c r="G7011"/>
    </row>
    <row r="7012" spans="2:7">
      <c r="B7012"/>
      <c r="C7012"/>
      <c r="D7012"/>
      <c r="G7012"/>
    </row>
    <row r="7013" spans="2:7">
      <c r="B7013"/>
      <c r="C7013"/>
      <c r="D7013"/>
      <c r="G7013"/>
    </row>
    <row r="7014" spans="2:7">
      <c r="B7014"/>
      <c r="C7014"/>
      <c r="D7014"/>
      <c r="G7014"/>
    </row>
    <row r="7015" spans="2:7">
      <c r="B7015"/>
      <c r="C7015"/>
      <c r="D7015"/>
      <c r="G7015"/>
    </row>
    <row r="7016" spans="2:7">
      <c r="B7016"/>
      <c r="C7016"/>
      <c r="D7016"/>
      <c r="G7016"/>
    </row>
    <row r="7017" spans="2:7">
      <c r="B7017"/>
      <c r="C7017"/>
      <c r="D7017"/>
      <c r="G7017"/>
    </row>
    <row r="7018" spans="2:7">
      <c r="B7018"/>
      <c r="C7018"/>
      <c r="D7018"/>
      <c r="G7018"/>
    </row>
    <row r="7019" spans="2:7">
      <c r="B7019"/>
      <c r="C7019"/>
      <c r="D7019"/>
      <c r="G7019"/>
    </row>
    <row r="7020" spans="2:7">
      <c r="B7020"/>
      <c r="C7020"/>
      <c r="D7020"/>
      <c r="G7020"/>
    </row>
    <row r="7021" spans="2:7">
      <c r="B7021"/>
      <c r="C7021"/>
      <c r="D7021"/>
      <c r="G7021"/>
    </row>
    <row r="7022" spans="2:7">
      <c r="B7022"/>
      <c r="C7022"/>
      <c r="D7022"/>
      <c r="G7022"/>
    </row>
    <row r="7023" spans="2:7">
      <c r="B7023"/>
      <c r="C7023"/>
      <c r="D7023"/>
      <c r="G7023"/>
    </row>
    <row r="7024" spans="2:7">
      <c r="B7024"/>
      <c r="C7024"/>
      <c r="D7024"/>
      <c r="G7024"/>
    </row>
    <row r="7025" spans="2:7">
      <c r="B7025"/>
      <c r="C7025"/>
      <c r="D7025"/>
      <c r="G7025"/>
    </row>
    <row r="7026" spans="2:7">
      <c r="B7026"/>
      <c r="C7026"/>
      <c r="D7026"/>
      <c r="G7026"/>
    </row>
    <row r="7027" spans="2:7">
      <c r="B7027"/>
      <c r="C7027"/>
      <c r="D7027"/>
      <c r="G7027"/>
    </row>
    <row r="7028" spans="2:7">
      <c r="B7028"/>
      <c r="C7028"/>
      <c r="D7028"/>
      <c r="G7028"/>
    </row>
    <row r="7029" spans="2:7">
      <c r="B7029"/>
      <c r="C7029"/>
      <c r="D7029"/>
      <c r="G7029"/>
    </row>
    <row r="7030" spans="2:7">
      <c r="B7030"/>
      <c r="C7030"/>
      <c r="D7030"/>
      <c r="G7030"/>
    </row>
    <row r="7031" spans="2:7">
      <c r="B7031"/>
      <c r="C7031"/>
      <c r="D7031"/>
      <c r="G7031"/>
    </row>
    <row r="7032" spans="2:7">
      <c r="B7032"/>
      <c r="C7032"/>
      <c r="D7032"/>
      <c r="G7032"/>
    </row>
    <row r="7033" spans="2:7">
      <c r="B7033"/>
      <c r="C7033"/>
      <c r="D7033"/>
      <c r="G7033"/>
    </row>
    <row r="7034" spans="2:7">
      <c r="B7034"/>
      <c r="C7034"/>
      <c r="D7034"/>
      <c r="G7034"/>
    </row>
    <row r="7035" spans="2:7">
      <c r="B7035"/>
      <c r="C7035"/>
      <c r="D7035"/>
      <c r="G7035"/>
    </row>
    <row r="7036" spans="2:7">
      <c r="B7036"/>
      <c r="C7036"/>
      <c r="D7036"/>
      <c r="G7036"/>
    </row>
    <row r="7037" spans="2:7">
      <c r="B7037"/>
      <c r="C7037"/>
      <c r="D7037"/>
      <c r="G7037"/>
    </row>
    <row r="7038" spans="2:7">
      <c r="B7038"/>
      <c r="C7038"/>
      <c r="D7038"/>
      <c r="G7038"/>
    </row>
    <row r="7039" spans="2:7">
      <c r="B7039"/>
      <c r="C7039"/>
      <c r="D7039"/>
      <c r="G7039"/>
    </row>
    <row r="7040" spans="2:7">
      <c r="B7040"/>
      <c r="C7040"/>
      <c r="D7040"/>
      <c r="G7040"/>
    </row>
    <row r="7041" spans="2:7">
      <c r="B7041"/>
      <c r="C7041"/>
      <c r="D7041"/>
      <c r="G7041"/>
    </row>
    <row r="7042" spans="2:7">
      <c r="B7042"/>
      <c r="C7042"/>
      <c r="D7042"/>
      <c r="G7042"/>
    </row>
    <row r="7043" spans="2:7">
      <c r="B7043"/>
      <c r="C7043"/>
      <c r="D7043"/>
      <c r="G7043"/>
    </row>
    <row r="7044" spans="2:7">
      <c r="B7044"/>
      <c r="C7044"/>
      <c r="D7044"/>
      <c r="G7044"/>
    </row>
    <row r="7045" spans="2:7">
      <c r="B7045"/>
      <c r="C7045"/>
      <c r="D7045"/>
      <c r="G7045"/>
    </row>
    <row r="7046" spans="2:7">
      <c r="B7046"/>
      <c r="C7046"/>
      <c r="D7046"/>
      <c r="G7046"/>
    </row>
    <row r="7047" spans="2:7">
      <c r="B7047"/>
      <c r="C7047"/>
      <c r="D7047"/>
      <c r="G7047"/>
    </row>
    <row r="7048" spans="2:7">
      <c r="B7048"/>
      <c r="C7048"/>
      <c r="D7048"/>
      <c r="G7048"/>
    </row>
    <row r="7049" spans="2:7">
      <c r="B7049"/>
      <c r="C7049"/>
      <c r="D7049"/>
      <c r="G7049"/>
    </row>
    <row r="7050" spans="2:7">
      <c r="B7050"/>
      <c r="C7050"/>
      <c r="D7050"/>
      <c r="G7050"/>
    </row>
    <row r="7051" spans="2:7">
      <c r="B7051"/>
      <c r="C7051"/>
      <c r="D7051"/>
      <c r="G7051"/>
    </row>
    <row r="7052" spans="2:7">
      <c r="B7052"/>
      <c r="C7052"/>
      <c r="D7052"/>
      <c r="G7052"/>
    </row>
    <row r="7053" spans="2:7">
      <c r="B7053"/>
      <c r="C7053"/>
      <c r="D7053"/>
      <c r="G7053"/>
    </row>
    <row r="7054" spans="2:7">
      <c r="B7054"/>
      <c r="C7054"/>
      <c r="D7054"/>
      <c r="G7054"/>
    </row>
    <row r="7055" spans="2:7">
      <c r="B7055"/>
      <c r="C7055"/>
      <c r="D7055"/>
      <c r="G7055"/>
    </row>
    <row r="7056" spans="2:7">
      <c r="B7056"/>
      <c r="C7056"/>
      <c r="D7056"/>
      <c r="G7056"/>
    </row>
    <row r="7057" spans="2:7">
      <c r="B7057"/>
      <c r="C7057"/>
      <c r="D7057"/>
      <c r="G7057"/>
    </row>
    <row r="7058" spans="2:7">
      <c r="B7058"/>
      <c r="C7058"/>
      <c r="D7058"/>
      <c r="G7058"/>
    </row>
    <row r="7059" spans="2:7">
      <c r="B7059"/>
      <c r="C7059"/>
      <c r="D7059"/>
      <c r="G7059"/>
    </row>
    <row r="7060" spans="2:7">
      <c r="B7060"/>
      <c r="C7060"/>
      <c r="D7060"/>
      <c r="G7060"/>
    </row>
    <row r="7061" spans="2:7">
      <c r="B7061"/>
      <c r="C7061"/>
      <c r="D7061"/>
      <c r="G7061"/>
    </row>
    <row r="7062" spans="2:7">
      <c r="B7062"/>
      <c r="C7062"/>
      <c r="D7062"/>
      <c r="G7062"/>
    </row>
    <row r="7063" spans="2:7">
      <c r="B7063"/>
      <c r="C7063"/>
      <c r="D7063"/>
      <c r="G7063"/>
    </row>
    <row r="7064" spans="2:7">
      <c r="B7064"/>
      <c r="C7064"/>
      <c r="D7064"/>
      <c r="G7064"/>
    </row>
    <row r="7065" spans="2:7">
      <c r="B7065"/>
      <c r="C7065"/>
      <c r="D7065"/>
      <c r="G7065"/>
    </row>
    <row r="7066" spans="2:7">
      <c r="B7066"/>
      <c r="C7066"/>
      <c r="D7066"/>
      <c r="G7066"/>
    </row>
    <row r="7067" spans="2:7">
      <c r="B7067"/>
      <c r="C7067"/>
      <c r="D7067"/>
      <c r="G7067"/>
    </row>
    <row r="7068" spans="2:7">
      <c r="B7068"/>
      <c r="C7068"/>
      <c r="D7068"/>
      <c r="G7068"/>
    </row>
    <row r="7069" spans="2:7">
      <c r="B7069"/>
      <c r="C7069"/>
      <c r="D7069"/>
      <c r="G7069"/>
    </row>
    <row r="7070" spans="2:7">
      <c r="B7070"/>
      <c r="C7070"/>
      <c r="D7070"/>
      <c r="G7070"/>
    </row>
    <row r="7071" spans="2:7">
      <c r="B7071"/>
      <c r="C7071"/>
      <c r="D7071"/>
      <c r="G7071"/>
    </row>
    <row r="7072" spans="2:7">
      <c r="B7072"/>
      <c r="C7072"/>
      <c r="D7072"/>
      <c r="G7072"/>
    </row>
    <row r="7073" spans="2:7">
      <c r="B7073"/>
      <c r="C7073"/>
      <c r="D7073"/>
      <c r="G7073"/>
    </row>
    <row r="7074" spans="2:7">
      <c r="B7074"/>
      <c r="C7074"/>
      <c r="D7074"/>
      <c r="G7074"/>
    </row>
    <row r="7075" spans="2:7">
      <c r="B7075"/>
      <c r="C7075"/>
      <c r="D7075"/>
      <c r="G7075"/>
    </row>
    <row r="7076" spans="2:7">
      <c r="B7076"/>
      <c r="C7076"/>
      <c r="D7076"/>
      <c r="G7076"/>
    </row>
    <row r="7077" spans="2:7">
      <c r="B7077"/>
      <c r="C7077"/>
      <c r="D7077"/>
      <c r="G7077"/>
    </row>
    <row r="7078" spans="2:7">
      <c r="B7078"/>
      <c r="C7078"/>
      <c r="D7078"/>
      <c r="G7078"/>
    </row>
    <row r="7079" spans="2:7">
      <c r="B7079"/>
      <c r="C7079"/>
      <c r="D7079"/>
      <c r="G7079"/>
    </row>
    <row r="7080" spans="2:7">
      <c r="B7080"/>
      <c r="C7080"/>
      <c r="D7080"/>
      <c r="G7080"/>
    </row>
    <row r="7081" spans="2:7">
      <c r="B7081"/>
      <c r="C7081"/>
      <c r="D7081"/>
      <c r="G7081"/>
    </row>
    <row r="7082" spans="2:7">
      <c r="B7082"/>
      <c r="C7082"/>
      <c r="D7082"/>
      <c r="G7082"/>
    </row>
    <row r="7083" spans="2:7">
      <c r="B7083"/>
      <c r="C7083"/>
      <c r="D7083"/>
      <c r="G7083"/>
    </row>
    <row r="7084" spans="2:7">
      <c r="B7084"/>
      <c r="C7084"/>
      <c r="D7084"/>
      <c r="G7084"/>
    </row>
    <row r="7085" spans="2:7">
      <c r="B7085"/>
      <c r="C7085"/>
      <c r="D7085"/>
      <c r="G7085"/>
    </row>
    <row r="7086" spans="2:7">
      <c r="B7086"/>
      <c r="C7086"/>
      <c r="D7086"/>
      <c r="G7086"/>
    </row>
    <row r="7087" spans="2:7">
      <c r="B7087"/>
      <c r="C7087"/>
      <c r="D7087"/>
      <c r="G7087"/>
    </row>
    <row r="7088" spans="2:7">
      <c r="B7088"/>
      <c r="C7088"/>
      <c r="D7088"/>
      <c r="G7088"/>
    </row>
    <row r="7089" spans="2:7">
      <c r="B7089"/>
      <c r="C7089"/>
      <c r="D7089"/>
      <c r="G7089"/>
    </row>
    <row r="7090" spans="2:7">
      <c r="B7090"/>
      <c r="C7090"/>
      <c r="D7090"/>
      <c r="G7090"/>
    </row>
    <row r="7091" spans="2:7">
      <c r="B7091"/>
      <c r="C7091"/>
      <c r="D7091"/>
      <c r="G7091"/>
    </row>
    <row r="7092" spans="2:7">
      <c r="B7092"/>
      <c r="C7092"/>
      <c r="D7092"/>
      <c r="G7092"/>
    </row>
    <row r="7093" spans="2:7">
      <c r="B7093"/>
      <c r="C7093"/>
      <c r="D7093"/>
      <c r="G7093"/>
    </row>
    <row r="7094" spans="2:7">
      <c r="B7094"/>
      <c r="C7094"/>
      <c r="D7094"/>
      <c r="G7094"/>
    </row>
    <row r="7095" spans="2:7">
      <c r="B7095"/>
      <c r="C7095"/>
      <c r="D7095"/>
      <c r="G7095"/>
    </row>
    <row r="7096" spans="2:7">
      <c r="B7096"/>
      <c r="C7096"/>
      <c r="D7096"/>
      <c r="G7096"/>
    </row>
    <row r="7097" spans="2:7">
      <c r="B7097"/>
      <c r="C7097"/>
      <c r="D7097"/>
      <c r="G7097"/>
    </row>
    <row r="7098" spans="2:7">
      <c r="B7098"/>
      <c r="C7098"/>
      <c r="D7098"/>
      <c r="G7098"/>
    </row>
    <row r="7099" spans="2:7">
      <c r="B7099"/>
      <c r="C7099"/>
      <c r="D7099"/>
      <c r="G7099"/>
    </row>
    <row r="7100" spans="2:7">
      <c r="B7100"/>
      <c r="C7100"/>
      <c r="D7100"/>
      <c r="G7100"/>
    </row>
    <row r="7101" spans="2:7">
      <c r="B7101"/>
      <c r="C7101"/>
      <c r="D7101"/>
      <c r="G7101"/>
    </row>
    <row r="7102" spans="2:7">
      <c r="B7102"/>
      <c r="C7102"/>
      <c r="D7102"/>
      <c r="G7102"/>
    </row>
    <row r="7103" spans="2:7">
      <c r="B7103"/>
      <c r="C7103"/>
      <c r="D7103"/>
      <c r="G7103"/>
    </row>
    <row r="7104" spans="2:7">
      <c r="B7104"/>
      <c r="C7104"/>
      <c r="D7104"/>
      <c r="G7104"/>
    </row>
    <row r="7105" spans="2:7">
      <c r="B7105"/>
      <c r="C7105"/>
      <c r="D7105"/>
      <c r="G7105"/>
    </row>
    <row r="7106" spans="2:7">
      <c r="B7106"/>
      <c r="C7106"/>
      <c r="D7106"/>
      <c r="G7106"/>
    </row>
    <row r="7107" spans="2:7">
      <c r="B7107"/>
      <c r="C7107"/>
      <c r="D7107"/>
      <c r="G7107"/>
    </row>
    <row r="7108" spans="2:7">
      <c r="B7108"/>
      <c r="C7108"/>
      <c r="D7108"/>
      <c r="G7108"/>
    </row>
    <row r="7109" spans="2:7">
      <c r="B7109"/>
      <c r="C7109"/>
      <c r="D7109"/>
      <c r="G7109"/>
    </row>
    <row r="7110" spans="2:7">
      <c r="B7110"/>
      <c r="C7110"/>
      <c r="D7110"/>
      <c r="G7110"/>
    </row>
    <row r="7111" spans="2:7">
      <c r="B7111"/>
      <c r="C7111"/>
      <c r="D7111"/>
      <c r="G7111"/>
    </row>
    <row r="7112" spans="2:7">
      <c r="B7112"/>
      <c r="C7112"/>
      <c r="D7112"/>
      <c r="G7112"/>
    </row>
    <row r="7113" spans="2:7">
      <c r="B7113"/>
      <c r="C7113"/>
      <c r="D7113"/>
      <c r="G7113"/>
    </row>
    <row r="7114" spans="2:7">
      <c r="B7114"/>
      <c r="C7114"/>
      <c r="D7114"/>
      <c r="G7114"/>
    </row>
    <row r="7115" spans="2:7">
      <c r="B7115"/>
      <c r="C7115"/>
      <c r="D7115"/>
      <c r="G7115"/>
    </row>
    <row r="7116" spans="2:7">
      <c r="B7116"/>
      <c r="C7116"/>
      <c r="D7116"/>
      <c r="G7116"/>
    </row>
    <row r="7117" spans="2:7">
      <c r="B7117"/>
      <c r="C7117"/>
      <c r="D7117"/>
      <c r="G7117"/>
    </row>
    <row r="7118" spans="2:7">
      <c r="B7118"/>
      <c r="C7118"/>
      <c r="D7118"/>
      <c r="G7118"/>
    </row>
    <row r="7119" spans="2:7">
      <c r="B7119"/>
      <c r="C7119"/>
      <c r="D7119"/>
      <c r="G7119"/>
    </row>
    <row r="7120" spans="2:7">
      <c r="B7120"/>
      <c r="C7120"/>
      <c r="D7120"/>
      <c r="G7120"/>
    </row>
    <row r="7121" spans="2:7">
      <c r="B7121"/>
      <c r="C7121"/>
      <c r="D7121"/>
      <c r="G7121"/>
    </row>
    <row r="7122" spans="2:7">
      <c r="B7122"/>
      <c r="C7122"/>
      <c r="D7122"/>
      <c r="G7122"/>
    </row>
    <row r="7123" spans="2:7">
      <c r="B7123"/>
      <c r="C7123"/>
      <c r="D7123"/>
      <c r="G7123"/>
    </row>
    <row r="7124" spans="2:7">
      <c r="B7124"/>
      <c r="C7124"/>
      <c r="D7124"/>
      <c r="G7124"/>
    </row>
    <row r="7125" spans="2:7">
      <c r="B7125"/>
      <c r="C7125"/>
      <c r="D7125"/>
      <c r="G7125"/>
    </row>
    <row r="7126" spans="2:7">
      <c r="B7126"/>
      <c r="C7126"/>
      <c r="D7126"/>
      <c r="G7126"/>
    </row>
    <row r="7127" spans="2:7">
      <c r="B7127"/>
      <c r="C7127"/>
      <c r="D7127"/>
      <c r="G7127"/>
    </row>
    <row r="7128" spans="2:7">
      <c r="B7128"/>
      <c r="C7128"/>
      <c r="D7128"/>
      <c r="G7128"/>
    </row>
    <row r="7129" spans="2:7">
      <c r="B7129"/>
      <c r="C7129"/>
      <c r="D7129"/>
      <c r="G7129"/>
    </row>
    <row r="7130" spans="2:7">
      <c r="B7130"/>
      <c r="C7130"/>
      <c r="D7130"/>
      <c r="G7130"/>
    </row>
    <row r="7131" spans="2:7">
      <c r="B7131"/>
      <c r="C7131"/>
      <c r="D7131"/>
      <c r="G7131"/>
    </row>
    <row r="7132" spans="2:7">
      <c r="B7132"/>
      <c r="C7132"/>
      <c r="D7132"/>
      <c r="G7132"/>
    </row>
    <row r="7133" spans="2:7">
      <c r="B7133"/>
      <c r="C7133"/>
      <c r="D7133"/>
      <c r="G7133"/>
    </row>
    <row r="7134" spans="2:7">
      <c r="B7134"/>
      <c r="C7134"/>
      <c r="D7134"/>
      <c r="G7134"/>
    </row>
    <row r="7135" spans="2:7">
      <c r="B7135"/>
      <c r="C7135"/>
      <c r="D7135"/>
      <c r="G7135"/>
    </row>
    <row r="7136" spans="2:7">
      <c r="B7136"/>
      <c r="C7136"/>
      <c r="D7136"/>
      <c r="G7136"/>
    </row>
    <row r="7137" spans="2:7">
      <c r="B7137"/>
      <c r="C7137"/>
      <c r="D7137"/>
      <c r="G7137"/>
    </row>
    <row r="7138" spans="2:7">
      <c r="B7138"/>
      <c r="C7138"/>
      <c r="D7138"/>
      <c r="G7138"/>
    </row>
    <row r="7139" spans="2:7">
      <c r="B7139"/>
      <c r="C7139"/>
      <c r="D7139"/>
      <c r="G7139"/>
    </row>
    <row r="7140" spans="2:7">
      <c r="B7140"/>
      <c r="C7140"/>
      <c r="D7140"/>
      <c r="G7140"/>
    </row>
    <row r="7141" spans="2:7">
      <c r="B7141"/>
      <c r="C7141"/>
      <c r="D7141"/>
      <c r="G7141"/>
    </row>
    <row r="7142" spans="2:7">
      <c r="B7142"/>
      <c r="C7142"/>
      <c r="D7142"/>
      <c r="G7142"/>
    </row>
    <row r="7143" spans="2:7">
      <c r="B7143"/>
      <c r="C7143"/>
      <c r="D7143"/>
      <c r="G7143"/>
    </row>
    <row r="7144" spans="2:7">
      <c r="B7144"/>
      <c r="C7144"/>
      <c r="D7144"/>
      <c r="G7144"/>
    </row>
    <row r="7145" spans="2:7">
      <c r="B7145"/>
      <c r="C7145"/>
      <c r="D7145"/>
      <c r="G7145"/>
    </row>
    <row r="7146" spans="2:7">
      <c r="B7146"/>
      <c r="C7146"/>
      <c r="D7146"/>
      <c r="G7146"/>
    </row>
    <row r="7147" spans="2:7">
      <c r="B7147"/>
      <c r="C7147"/>
      <c r="D7147"/>
      <c r="G7147"/>
    </row>
    <row r="7148" spans="2:7">
      <c r="B7148"/>
      <c r="C7148"/>
      <c r="D7148"/>
      <c r="G7148"/>
    </row>
    <row r="7149" spans="2:7">
      <c r="B7149"/>
      <c r="C7149"/>
      <c r="D7149"/>
      <c r="G7149"/>
    </row>
    <row r="7150" spans="2:7">
      <c r="B7150"/>
      <c r="C7150"/>
      <c r="D7150"/>
      <c r="G7150"/>
    </row>
    <row r="7151" spans="2:7">
      <c r="B7151"/>
      <c r="C7151"/>
      <c r="D7151"/>
      <c r="G7151"/>
    </row>
    <row r="7152" spans="2:7">
      <c r="B7152"/>
      <c r="C7152"/>
      <c r="D7152"/>
      <c r="G7152"/>
    </row>
    <row r="7153" spans="2:7">
      <c r="B7153"/>
      <c r="C7153"/>
      <c r="D7153"/>
      <c r="G7153"/>
    </row>
    <row r="7154" spans="2:7">
      <c r="B7154"/>
      <c r="C7154"/>
      <c r="D7154"/>
      <c r="G7154"/>
    </row>
    <row r="7155" spans="2:7">
      <c r="B7155"/>
      <c r="C7155"/>
      <c r="D7155"/>
      <c r="G7155"/>
    </row>
    <row r="7156" spans="2:7">
      <c r="B7156"/>
      <c r="C7156"/>
      <c r="D7156"/>
      <c r="G7156"/>
    </row>
    <row r="7157" spans="2:7">
      <c r="B7157"/>
      <c r="C7157"/>
      <c r="D7157"/>
      <c r="G7157"/>
    </row>
    <row r="7158" spans="2:7">
      <c r="B7158"/>
      <c r="C7158"/>
      <c r="D7158"/>
      <c r="G7158"/>
    </row>
    <row r="7159" spans="2:7">
      <c r="B7159"/>
      <c r="C7159"/>
      <c r="D7159"/>
      <c r="G7159"/>
    </row>
    <row r="7160" spans="2:7">
      <c r="B7160"/>
      <c r="C7160"/>
      <c r="D7160"/>
      <c r="G7160"/>
    </row>
    <row r="7161" spans="2:7">
      <c r="B7161"/>
      <c r="C7161"/>
      <c r="D7161"/>
      <c r="G7161"/>
    </row>
    <row r="7162" spans="2:7">
      <c r="B7162"/>
      <c r="C7162"/>
      <c r="D7162"/>
      <c r="G7162"/>
    </row>
    <row r="7163" spans="2:7">
      <c r="B7163"/>
      <c r="C7163"/>
      <c r="D7163"/>
      <c r="G7163"/>
    </row>
    <row r="7164" spans="2:7">
      <c r="B7164"/>
      <c r="C7164"/>
      <c r="D7164"/>
      <c r="G7164"/>
    </row>
    <row r="7165" spans="2:7">
      <c r="B7165"/>
      <c r="C7165"/>
      <c r="D7165"/>
      <c r="G7165"/>
    </row>
    <row r="7166" spans="2:7">
      <c r="B7166"/>
      <c r="C7166"/>
      <c r="D7166"/>
      <c r="G7166"/>
    </row>
    <row r="7167" spans="2:7">
      <c r="B7167"/>
      <c r="C7167"/>
      <c r="D7167"/>
      <c r="G7167"/>
    </row>
    <row r="7168" spans="2:7">
      <c r="B7168"/>
      <c r="C7168"/>
      <c r="D7168"/>
      <c r="G7168"/>
    </row>
    <row r="7169" spans="2:7">
      <c r="B7169"/>
      <c r="C7169"/>
      <c r="D7169"/>
      <c r="G7169"/>
    </row>
    <row r="7170" spans="2:7">
      <c r="B7170"/>
      <c r="C7170"/>
      <c r="D7170"/>
      <c r="G7170"/>
    </row>
    <row r="7171" spans="2:7">
      <c r="B7171"/>
      <c r="C7171"/>
      <c r="D7171"/>
      <c r="G7171"/>
    </row>
    <row r="7172" spans="2:7">
      <c r="B7172"/>
      <c r="C7172"/>
      <c r="D7172"/>
      <c r="G7172"/>
    </row>
    <row r="7173" spans="2:7">
      <c r="B7173"/>
      <c r="C7173"/>
      <c r="D7173"/>
      <c r="G7173"/>
    </row>
    <row r="7174" spans="2:7">
      <c r="B7174"/>
      <c r="C7174"/>
      <c r="D7174"/>
      <c r="G7174"/>
    </row>
    <row r="7175" spans="2:7">
      <c r="B7175"/>
      <c r="C7175"/>
      <c r="D7175"/>
      <c r="G7175"/>
    </row>
    <row r="7176" spans="2:7">
      <c r="B7176"/>
      <c r="C7176"/>
      <c r="D7176"/>
      <c r="G7176"/>
    </row>
    <row r="7177" spans="2:7">
      <c r="B7177"/>
      <c r="C7177"/>
      <c r="D7177"/>
      <c r="G7177"/>
    </row>
    <row r="7178" spans="2:7">
      <c r="B7178"/>
      <c r="C7178"/>
      <c r="D7178"/>
      <c r="G7178"/>
    </row>
    <row r="7179" spans="2:7">
      <c r="B7179"/>
      <c r="C7179"/>
      <c r="D7179"/>
      <c r="G7179"/>
    </row>
    <row r="7180" spans="2:7">
      <c r="B7180"/>
      <c r="C7180"/>
      <c r="D7180"/>
      <c r="G7180"/>
    </row>
    <row r="7181" spans="2:7">
      <c r="B7181"/>
      <c r="C7181"/>
      <c r="D7181"/>
      <c r="G7181"/>
    </row>
    <row r="7182" spans="2:7">
      <c r="B7182"/>
      <c r="C7182"/>
      <c r="D7182"/>
      <c r="G7182"/>
    </row>
    <row r="7183" spans="2:7">
      <c r="B7183"/>
      <c r="C7183"/>
      <c r="D7183"/>
      <c r="G7183"/>
    </row>
    <row r="7184" spans="2:7">
      <c r="B7184"/>
      <c r="C7184"/>
      <c r="D7184"/>
      <c r="G7184"/>
    </row>
    <row r="7185" spans="2:7">
      <c r="B7185"/>
      <c r="C7185"/>
      <c r="D7185"/>
      <c r="G7185"/>
    </row>
    <row r="7186" spans="2:7">
      <c r="B7186"/>
      <c r="C7186"/>
      <c r="D7186"/>
      <c r="G7186"/>
    </row>
    <row r="7187" spans="2:7">
      <c r="B7187"/>
      <c r="C7187"/>
      <c r="D7187"/>
      <c r="G7187"/>
    </row>
    <row r="7188" spans="2:7">
      <c r="B7188"/>
      <c r="C7188"/>
      <c r="D7188"/>
      <c r="G7188"/>
    </row>
    <row r="7189" spans="2:7">
      <c r="B7189"/>
      <c r="C7189"/>
      <c r="D7189"/>
      <c r="G7189"/>
    </row>
    <row r="7190" spans="2:7">
      <c r="B7190"/>
      <c r="C7190"/>
      <c r="D7190"/>
      <c r="G7190"/>
    </row>
    <row r="7191" spans="2:7">
      <c r="B7191"/>
      <c r="C7191"/>
      <c r="D7191"/>
      <c r="G7191"/>
    </row>
    <row r="7192" spans="2:7">
      <c r="B7192"/>
      <c r="C7192"/>
      <c r="D7192"/>
      <c r="G7192"/>
    </row>
    <row r="7193" spans="2:7">
      <c r="B7193"/>
      <c r="C7193"/>
      <c r="D7193"/>
      <c r="G7193"/>
    </row>
    <row r="7194" spans="2:7">
      <c r="B7194"/>
      <c r="C7194"/>
      <c r="D7194"/>
      <c r="G7194"/>
    </row>
    <row r="7195" spans="2:7">
      <c r="B7195"/>
      <c r="C7195"/>
      <c r="D7195"/>
      <c r="G7195"/>
    </row>
    <row r="7196" spans="2:7">
      <c r="B7196"/>
      <c r="C7196"/>
      <c r="D7196"/>
      <c r="G7196"/>
    </row>
    <row r="7197" spans="2:7">
      <c r="B7197"/>
      <c r="C7197"/>
      <c r="D7197"/>
      <c r="G7197"/>
    </row>
    <row r="7198" spans="2:7">
      <c r="B7198"/>
      <c r="C7198"/>
      <c r="D7198"/>
      <c r="G7198"/>
    </row>
    <row r="7199" spans="2:7">
      <c r="B7199"/>
      <c r="C7199"/>
      <c r="D7199"/>
      <c r="G7199"/>
    </row>
    <row r="7200" spans="2:7">
      <c r="B7200"/>
      <c r="C7200"/>
      <c r="D7200"/>
      <c r="G7200"/>
    </row>
    <row r="7201" spans="2:7">
      <c r="B7201"/>
      <c r="C7201"/>
      <c r="D7201"/>
      <c r="G7201"/>
    </row>
    <row r="7202" spans="2:7">
      <c r="B7202"/>
      <c r="C7202"/>
      <c r="D7202"/>
      <c r="G7202"/>
    </row>
    <row r="7203" spans="2:7">
      <c r="B7203"/>
      <c r="C7203"/>
      <c r="D7203"/>
      <c r="G7203"/>
    </row>
    <row r="7204" spans="2:7">
      <c r="B7204"/>
      <c r="C7204"/>
      <c r="D7204"/>
      <c r="G7204"/>
    </row>
    <row r="7205" spans="2:7">
      <c r="B7205"/>
      <c r="C7205"/>
      <c r="D7205"/>
      <c r="G7205"/>
    </row>
    <row r="7206" spans="2:7">
      <c r="B7206"/>
      <c r="C7206"/>
      <c r="D7206"/>
      <c r="G7206"/>
    </row>
    <row r="7207" spans="2:7">
      <c r="B7207"/>
      <c r="C7207"/>
      <c r="D7207"/>
      <c r="G7207"/>
    </row>
    <row r="7208" spans="2:7">
      <c r="B7208"/>
      <c r="C7208"/>
      <c r="D7208"/>
      <c r="G7208"/>
    </row>
    <row r="7209" spans="2:7">
      <c r="B7209"/>
      <c r="C7209"/>
      <c r="D7209"/>
      <c r="G7209"/>
    </row>
    <row r="7210" spans="2:7">
      <c r="B7210"/>
      <c r="C7210"/>
      <c r="D7210"/>
      <c r="G7210"/>
    </row>
    <row r="7211" spans="2:7">
      <c r="B7211"/>
      <c r="C7211"/>
      <c r="D7211"/>
      <c r="G7211"/>
    </row>
    <row r="7212" spans="2:7">
      <c r="B7212"/>
      <c r="C7212"/>
      <c r="D7212"/>
      <c r="G7212"/>
    </row>
    <row r="7213" spans="2:7">
      <c r="B7213"/>
      <c r="C7213"/>
      <c r="D7213"/>
      <c r="G7213"/>
    </row>
    <row r="7214" spans="2:7">
      <c r="B7214"/>
      <c r="C7214"/>
      <c r="D7214"/>
      <c r="G7214"/>
    </row>
    <row r="7215" spans="2:7">
      <c r="B7215"/>
      <c r="C7215"/>
      <c r="D7215"/>
      <c r="G7215"/>
    </row>
    <row r="7216" spans="2:7">
      <c r="B7216"/>
      <c r="C7216"/>
      <c r="D7216"/>
      <c r="G7216"/>
    </row>
    <row r="7217" spans="2:7">
      <c r="B7217"/>
      <c r="C7217"/>
      <c r="D7217"/>
      <c r="G7217"/>
    </row>
    <row r="7218" spans="2:7">
      <c r="B7218"/>
      <c r="C7218"/>
      <c r="D7218"/>
      <c r="G7218"/>
    </row>
    <row r="7219" spans="2:7">
      <c r="B7219"/>
      <c r="C7219"/>
      <c r="D7219"/>
      <c r="G7219"/>
    </row>
    <row r="7220" spans="2:7">
      <c r="B7220"/>
      <c r="C7220"/>
      <c r="D7220"/>
      <c r="G7220"/>
    </row>
    <row r="7221" spans="2:7">
      <c r="B7221"/>
      <c r="C7221"/>
      <c r="D7221"/>
      <c r="G7221"/>
    </row>
    <row r="7222" spans="2:7">
      <c r="B7222"/>
      <c r="C7222"/>
      <c r="D7222"/>
      <c r="G7222"/>
    </row>
    <row r="7223" spans="2:7">
      <c r="B7223"/>
      <c r="C7223"/>
      <c r="D7223"/>
      <c r="G7223"/>
    </row>
    <row r="7224" spans="2:7">
      <c r="B7224"/>
      <c r="C7224"/>
      <c r="D7224"/>
      <c r="G7224"/>
    </row>
    <row r="7225" spans="2:7">
      <c r="B7225"/>
      <c r="C7225"/>
      <c r="D7225"/>
      <c r="G7225"/>
    </row>
    <row r="7226" spans="2:7">
      <c r="B7226"/>
      <c r="C7226"/>
      <c r="D7226"/>
      <c r="G7226"/>
    </row>
    <row r="7227" spans="2:7">
      <c r="B7227"/>
      <c r="C7227"/>
      <c r="D7227"/>
      <c r="G7227"/>
    </row>
    <row r="7228" spans="2:7">
      <c r="B7228"/>
      <c r="C7228"/>
      <c r="D7228"/>
      <c r="G7228"/>
    </row>
    <row r="7229" spans="2:7">
      <c r="B7229"/>
      <c r="C7229"/>
      <c r="D7229"/>
      <c r="G7229"/>
    </row>
    <row r="7230" spans="2:7">
      <c r="B7230"/>
      <c r="C7230"/>
      <c r="D7230"/>
      <c r="G7230"/>
    </row>
    <row r="7231" spans="2:7">
      <c r="B7231"/>
      <c r="C7231"/>
      <c r="D7231"/>
      <c r="G7231"/>
    </row>
    <row r="7232" spans="2:7">
      <c r="B7232"/>
      <c r="C7232"/>
      <c r="D7232"/>
      <c r="G7232"/>
    </row>
    <row r="7233" spans="2:7">
      <c r="B7233"/>
      <c r="C7233"/>
      <c r="D7233"/>
      <c r="G7233"/>
    </row>
    <row r="7234" spans="2:7">
      <c r="B7234"/>
      <c r="C7234"/>
      <c r="D7234"/>
      <c r="G7234"/>
    </row>
    <row r="7235" spans="2:7">
      <c r="B7235"/>
      <c r="C7235"/>
      <c r="D7235"/>
      <c r="G7235"/>
    </row>
    <row r="7236" spans="2:7">
      <c r="B7236"/>
      <c r="C7236"/>
      <c r="D7236"/>
      <c r="G7236"/>
    </row>
    <row r="7237" spans="2:7">
      <c r="B7237"/>
      <c r="C7237"/>
      <c r="D7237"/>
      <c r="G7237"/>
    </row>
    <row r="7238" spans="2:7">
      <c r="B7238"/>
      <c r="C7238"/>
      <c r="D7238"/>
      <c r="G7238"/>
    </row>
    <row r="7239" spans="2:7">
      <c r="B7239"/>
      <c r="C7239"/>
      <c r="D7239"/>
      <c r="G7239"/>
    </row>
    <row r="7240" spans="2:7">
      <c r="B7240"/>
      <c r="C7240"/>
      <c r="D7240"/>
      <c r="G7240"/>
    </row>
    <row r="7241" spans="2:7">
      <c r="B7241"/>
      <c r="C7241"/>
      <c r="D7241"/>
      <c r="G7241"/>
    </row>
    <row r="7242" spans="2:7">
      <c r="B7242"/>
      <c r="C7242"/>
      <c r="D7242"/>
      <c r="G7242"/>
    </row>
    <row r="7243" spans="2:7">
      <c r="B7243"/>
      <c r="C7243"/>
      <c r="D7243"/>
      <c r="G7243"/>
    </row>
    <row r="7244" spans="2:7">
      <c r="B7244"/>
      <c r="C7244"/>
      <c r="D7244"/>
      <c r="G7244"/>
    </row>
    <row r="7245" spans="2:7">
      <c r="B7245"/>
      <c r="C7245"/>
      <c r="D7245"/>
      <c r="G7245"/>
    </row>
    <row r="7246" spans="2:7">
      <c r="B7246"/>
      <c r="C7246"/>
      <c r="D7246"/>
      <c r="G7246"/>
    </row>
    <row r="7247" spans="2:7">
      <c r="B7247"/>
      <c r="C7247"/>
      <c r="D7247"/>
      <c r="G7247"/>
    </row>
    <row r="7248" spans="2:7">
      <c r="B7248"/>
      <c r="C7248"/>
      <c r="D7248"/>
      <c r="G7248"/>
    </row>
    <row r="7249" spans="2:7">
      <c r="B7249"/>
      <c r="C7249"/>
      <c r="D7249"/>
      <c r="G7249"/>
    </row>
    <row r="7250" spans="2:7">
      <c r="B7250"/>
      <c r="C7250"/>
      <c r="D7250"/>
      <c r="G7250"/>
    </row>
    <row r="7251" spans="2:7">
      <c r="B7251"/>
      <c r="C7251"/>
      <c r="D7251"/>
      <c r="G7251"/>
    </row>
    <row r="7252" spans="2:7">
      <c r="B7252"/>
      <c r="C7252"/>
      <c r="D7252"/>
      <c r="G7252"/>
    </row>
    <row r="7253" spans="2:7">
      <c r="B7253"/>
      <c r="C7253"/>
      <c r="D7253"/>
      <c r="G7253"/>
    </row>
    <row r="7254" spans="2:7">
      <c r="B7254"/>
      <c r="C7254"/>
      <c r="D7254"/>
      <c r="G7254"/>
    </row>
    <row r="7255" spans="2:7">
      <c r="B7255"/>
      <c r="C7255"/>
      <c r="D7255"/>
      <c r="G7255"/>
    </row>
    <row r="7256" spans="2:7">
      <c r="B7256"/>
      <c r="C7256"/>
      <c r="D7256"/>
      <c r="G7256"/>
    </row>
    <row r="7257" spans="2:7">
      <c r="B7257"/>
      <c r="C7257"/>
      <c r="D7257"/>
      <c r="G7257"/>
    </row>
    <row r="7258" spans="2:7">
      <c r="B7258"/>
      <c r="C7258"/>
      <c r="D7258"/>
      <c r="G7258"/>
    </row>
    <row r="7259" spans="2:7">
      <c r="B7259"/>
      <c r="C7259"/>
      <c r="D7259"/>
      <c r="G7259"/>
    </row>
    <row r="7260" spans="2:7">
      <c r="B7260"/>
      <c r="C7260"/>
      <c r="D7260"/>
      <c r="G7260"/>
    </row>
    <row r="7261" spans="2:7">
      <c r="B7261"/>
      <c r="C7261"/>
      <c r="D7261"/>
      <c r="G7261"/>
    </row>
    <row r="7262" spans="2:7">
      <c r="B7262"/>
      <c r="C7262"/>
      <c r="D7262"/>
      <c r="G7262"/>
    </row>
    <row r="7263" spans="2:7">
      <c r="B7263"/>
      <c r="C7263"/>
      <c r="D7263"/>
      <c r="G7263"/>
    </row>
    <row r="7264" spans="2:7">
      <c r="B7264"/>
      <c r="C7264"/>
      <c r="D7264"/>
      <c r="G7264"/>
    </row>
    <row r="7265" spans="2:7">
      <c r="B7265"/>
      <c r="C7265"/>
      <c r="D7265"/>
      <c r="G7265"/>
    </row>
    <row r="7266" spans="2:7">
      <c r="B7266"/>
      <c r="C7266"/>
      <c r="D7266"/>
      <c r="G7266"/>
    </row>
    <row r="7267" spans="2:7">
      <c r="B7267"/>
      <c r="C7267"/>
      <c r="D7267"/>
      <c r="G7267"/>
    </row>
    <row r="7268" spans="2:7">
      <c r="B7268"/>
      <c r="C7268"/>
      <c r="D7268"/>
      <c r="G7268"/>
    </row>
    <row r="7269" spans="2:7">
      <c r="B7269"/>
      <c r="C7269"/>
      <c r="D7269"/>
      <c r="G7269"/>
    </row>
    <row r="7270" spans="2:7">
      <c r="B7270"/>
      <c r="C7270"/>
      <c r="D7270"/>
      <c r="G7270"/>
    </row>
    <row r="7271" spans="2:7">
      <c r="B7271"/>
      <c r="C7271"/>
      <c r="D7271"/>
      <c r="G7271"/>
    </row>
    <row r="7272" spans="2:7">
      <c r="B7272"/>
      <c r="C7272"/>
      <c r="D7272"/>
      <c r="G7272"/>
    </row>
    <row r="7273" spans="2:7">
      <c r="B7273"/>
      <c r="C7273"/>
      <c r="D7273"/>
      <c r="G7273"/>
    </row>
    <row r="7274" spans="2:7">
      <c r="B7274"/>
      <c r="C7274"/>
      <c r="D7274"/>
      <c r="G7274"/>
    </row>
    <row r="7275" spans="2:7">
      <c r="B7275"/>
      <c r="C7275"/>
      <c r="D7275"/>
      <c r="G7275"/>
    </row>
    <row r="7276" spans="2:7">
      <c r="B7276"/>
      <c r="C7276"/>
      <c r="D7276"/>
      <c r="G7276"/>
    </row>
    <row r="7277" spans="2:7">
      <c r="B7277"/>
      <c r="C7277"/>
      <c r="D7277"/>
      <c r="G7277"/>
    </row>
    <row r="7278" spans="2:7">
      <c r="B7278"/>
      <c r="C7278"/>
      <c r="D7278"/>
      <c r="G7278"/>
    </row>
    <row r="7279" spans="2:7">
      <c r="B7279"/>
      <c r="C7279"/>
      <c r="D7279"/>
      <c r="G7279"/>
    </row>
    <row r="7280" spans="2:7">
      <c r="B7280"/>
      <c r="C7280"/>
      <c r="D7280"/>
      <c r="G7280"/>
    </row>
    <row r="7281" spans="2:7">
      <c r="B7281"/>
      <c r="C7281"/>
      <c r="D7281"/>
      <c r="G7281"/>
    </row>
    <row r="7282" spans="2:7">
      <c r="B7282"/>
      <c r="C7282"/>
      <c r="D7282"/>
      <c r="G7282"/>
    </row>
    <row r="7283" spans="2:7">
      <c r="B7283"/>
      <c r="C7283"/>
      <c r="D7283"/>
      <c r="G7283"/>
    </row>
    <row r="7284" spans="2:7">
      <c r="B7284"/>
      <c r="C7284"/>
      <c r="D7284"/>
      <c r="G7284"/>
    </row>
    <row r="7285" spans="2:7">
      <c r="B7285"/>
      <c r="C7285"/>
      <c r="D7285"/>
      <c r="G7285"/>
    </row>
    <row r="7286" spans="2:7">
      <c r="B7286"/>
      <c r="C7286"/>
      <c r="D7286"/>
      <c r="G7286"/>
    </row>
    <row r="7287" spans="2:7">
      <c r="B7287"/>
      <c r="C7287"/>
      <c r="D7287"/>
      <c r="G7287"/>
    </row>
    <row r="7288" spans="2:7">
      <c r="B7288"/>
      <c r="C7288"/>
      <c r="D7288"/>
      <c r="G7288"/>
    </row>
    <row r="7289" spans="2:7">
      <c r="B7289"/>
      <c r="C7289"/>
      <c r="D7289"/>
      <c r="G7289"/>
    </row>
    <row r="7290" spans="2:7">
      <c r="B7290"/>
      <c r="C7290"/>
      <c r="D7290"/>
      <c r="G7290"/>
    </row>
    <row r="7291" spans="2:7">
      <c r="B7291"/>
      <c r="C7291"/>
      <c r="D7291"/>
      <c r="G7291"/>
    </row>
    <row r="7292" spans="2:7">
      <c r="B7292"/>
      <c r="C7292"/>
      <c r="D7292"/>
      <c r="G7292"/>
    </row>
    <row r="7293" spans="2:7">
      <c r="B7293"/>
      <c r="C7293"/>
      <c r="D7293"/>
      <c r="G7293"/>
    </row>
    <row r="7294" spans="2:7">
      <c r="B7294"/>
      <c r="C7294"/>
      <c r="D7294"/>
      <c r="G7294"/>
    </row>
    <row r="7295" spans="2:7">
      <c r="B7295"/>
      <c r="C7295"/>
      <c r="D7295"/>
      <c r="G7295"/>
    </row>
    <row r="7296" spans="2:7">
      <c r="B7296"/>
      <c r="C7296"/>
      <c r="D7296"/>
      <c r="G7296"/>
    </row>
    <row r="7297" spans="2:7">
      <c r="B7297"/>
      <c r="C7297"/>
      <c r="D7297"/>
      <c r="G7297"/>
    </row>
    <row r="7298" spans="2:7">
      <c r="B7298"/>
      <c r="C7298"/>
      <c r="D7298"/>
      <c r="G7298"/>
    </row>
    <row r="7299" spans="2:7">
      <c r="B7299"/>
      <c r="C7299"/>
      <c r="D7299"/>
      <c r="G7299"/>
    </row>
    <row r="7300" spans="2:7">
      <c r="B7300"/>
      <c r="C7300"/>
      <c r="D7300"/>
      <c r="G7300"/>
    </row>
    <row r="7301" spans="2:7">
      <c r="B7301"/>
      <c r="C7301"/>
      <c r="D7301"/>
      <c r="G7301"/>
    </row>
    <row r="7302" spans="2:7">
      <c r="B7302"/>
      <c r="C7302"/>
      <c r="D7302"/>
      <c r="G7302"/>
    </row>
    <row r="7303" spans="2:7">
      <c r="B7303"/>
      <c r="C7303"/>
      <c r="D7303"/>
      <c r="G7303"/>
    </row>
    <row r="7304" spans="2:7">
      <c r="B7304"/>
      <c r="C7304"/>
      <c r="D7304"/>
      <c r="G7304"/>
    </row>
    <row r="7305" spans="2:7">
      <c r="B7305"/>
      <c r="C7305"/>
      <c r="D7305"/>
      <c r="G7305"/>
    </row>
    <row r="7306" spans="2:7">
      <c r="B7306"/>
      <c r="C7306"/>
      <c r="D7306"/>
      <c r="G7306"/>
    </row>
    <row r="7307" spans="2:7">
      <c r="B7307"/>
      <c r="C7307"/>
      <c r="D7307"/>
      <c r="G7307"/>
    </row>
    <row r="7308" spans="2:7">
      <c r="B7308"/>
      <c r="C7308"/>
      <c r="D7308"/>
      <c r="G7308"/>
    </row>
    <row r="7309" spans="2:7">
      <c r="B7309"/>
      <c r="C7309"/>
      <c r="D7309"/>
      <c r="G7309"/>
    </row>
    <row r="7310" spans="2:7">
      <c r="B7310"/>
      <c r="C7310"/>
      <c r="D7310"/>
      <c r="G7310"/>
    </row>
    <row r="7311" spans="2:7">
      <c r="B7311"/>
      <c r="C7311"/>
      <c r="D7311"/>
      <c r="G7311"/>
    </row>
    <row r="7312" spans="2:7">
      <c r="B7312"/>
      <c r="C7312"/>
      <c r="D7312"/>
      <c r="G7312"/>
    </row>
    <row r="7313" spans="2:7">
      <c r="B7313"/>
      <c r="C7313"/>
      <c r="D7313"/>
      <c r="G7313"/>
    </row>
    <row r="7314" spans="2:7">
      <c r="B7314"/>
      <c r="C7314"/>
      <c r="D7314"/>
      <c r="G7314"/>
    </row>
    <row r="7315" spans="2:7">
      <c r="B7315"/>
      <c r="C7315"/>
      <c r="D7315"/>
      <c r="G7315"/>
    </row>
    <row r="7316" spans="2:7">
      <c r="B7316"/>
      <c r="C7316"/>
      <c r="D7316"/>
      <c r="G7316"/>
    </row>
    <row r="7317" spans="2:7">
      <c r="B7317"/>
      <c r="C7317"/>
      <c r="D7317"/>
      <c r="G7317"/>
    </row>
    <row r="7318" spans="2:7">
      <c r="B7318"/>
      <c r="C7318"/>
      <c r="D7318"/>
      <c r="G7318"/>
    </row>
    <row r="7319" spans="2:7">
      <c r="B7319"/>
      <c r="C7319"/>
      <c r="D7319"/>
      <c r="G7319"/>
    </row>
    <row r="7320" spans="2:7">
      <c r="B7320"/>
      <c r="C7320"/>
      <c r="D7320"/>
      <c r="G7320"/>
    </row>
    <row r="7321" spans="2:7">
      <c r="B7321"/>
      <c r="C7321"/>
      <c r="D7321"/>
      <c r="G7321"/>
    </row>
    <row r="7322" spans="2:7">
      <c r="B7322"/>
      <c r="C7322"/>
      <c r="D7322"/>
      <c r="G7322"/>
    </row>
    <row r="7323" spans="2:7">
      <c r="B7323"/>
      <c r="C7323"/>
      <c r="D7323"/>
      <c r="G7323"/>
    </row>
    <row r="7324" spans="2:7">
      <c r="B7324"/>
      <c r="C7324"/>
      <c r="D7324"/>
      <c r="G7324"/>
    </row>
    <row r="7325" spans="2:7">
      <c r="B7325"/>
      <c r="C7325"/>
      <c r="D7325"/>
      <c r="G7325"/>
    </row>
    <row r="7326" spans="2:7">
      <c r="B7326"/>
      <c r="C7326"/>
      <c r="D7326"/>
      <c r="G7326"/>
    </row>
    <row r="7327" spans="2:7">
      <c r="B7327"/>
      <c r="C7327"/>
      <c r="D7327"/>
      <c r="G7327"/>
    </row>
    <row r="7328" spans="2:7">
      <c r="B7328"/>
      <c r="C7328"/>
      <c r="D7328"/>
      <c r="G7328"/>
    </row>
    <row r="7329" spans="2:7">
      <c r="B7329"/>
      <c r="C7329"/>
      <c r="D7329"/>
      <c r="G7329"/>
    </row>
    <row r="7330" spans="2:7">
      <c r="B7330"/>
      <c r="C7330"/>
      <c r="D7330"/>
      <c r="G7330"/>
    </row>
    <row r="7331" spans="2:7">
      <c r="B7331"/>
      <c r="C7331"/>
      <c r="D7331"/>
      <c r="G7331"/>
    </row>
    <row r="7332" spans="2:7">
      <c r="B7332"/>
      <c r="C7332"/>
      <c r="D7332"/>
      <c r="G7332"/>
    </row>
    <row r="7333" spans="2:7">
      <c r="B7333"/>
      <c r="C7333"/>
      <c r="D7333"/>
      <c r="G7333"/>
    </row>
    <row r="7334" spans="2:7">
      <c r="B7334"/>
      <c r="C7334"/>
      <c r="D7334"/>
      <c r="G7334"/>
    </row>
    <row r="7335" spans="2:7">
      <c r="B7335"/>
      <c r="C7335"/>
      <c r="D7335"/>
      <c r="G7335"/>
    </row>
    <row r="7336" spans="2:7">
      <c r="B7336"/>
      <c r="C7336"/>
      <c r="D7336"/>
      <c r="G7336"/>
    </row>
    <row r="7337" spans="2:7">
      <c r="B7337"/>
      <c r="C7337"/>
      <c r="D7337"/>
      <c r="G7337"/>
    </row>
    <row r="7338" spans="2:7">
      <c r="B7338"/>
      <c r="C7338"/>
      <c r="D7338"/>
      <c r="G7338"/>
    </row>
    <row r="7339" spans="2:7">
      <c r="B7339"/>
      <c r="C7339"/>
      <c r="D7339"/>
      <c r="G7339"/>
    </row>
    <row r="7340" spans="2:7">
      <c r="B7340"/>
      <c r="C7340"/>
      <c r="D7340"/>
      <c r="G7340"/>
    </row>
    <row r="7341" spans="2:7">
      <c r="B7341"/>
      <c r="C7341"/>
      <c r="D7341"/>
      <c r="G7341"/>
    </row>
    <row r="7342" spans="2:7">
      <c r="B7342"/>
      <c r="C7342"/>
      <c r="D7342"/>
      <c r="G7342"/>
    </row>
    <row r="7343" spans="2:7">
      <c r="B7343"/>
      <c r="C7343"/>
      <c r="D7343"/>
      <c r="G7343"/>
    </row>
    <row r="7344" spans="2:7">
      <c r="B7344"/>
      <c r="C7344"/>
      <c r="D7344"/>
      <c r="G7344"/>
    </row>
    <row r="7345" spans="2:7">
      <c r="B7345"/>
      <c r="C7345"/>
      <c r="D7345"/>
      <c r="G7345"/>
    </row>
    <row r="7346" spans="2:7">
      <c r="B7346"/>
      <c r="C7346"/>
      <c r="D7346"/>
      <c r="G7346"/>
    </row>
    <row r="7347" spans="2:7">
      <c r="B7347"/>
      <c r="C7347"/>
      <c r="D7347"/>
      <c r="G7347"/>
    </row>
    <row r="7348" spans="2:7">
      <c r="B7348"/>
      <c r="C7348"/>
      <c r="D7348"/>
      <c r="G7348"/>
    </row>
    <row r="7349" spans="2:7">
      <c r="B7349"/>
      <c r="C7349"/>
      <c r="D7349"/>
      <c r="G7349"/>
    </row>
    <row r="7350" spans="2:7">
      <c r="B7350"/>
      <c r="C7350"/>
      <c r="D7350"/>
      <c r="G7350"/>
    </row>
    <row r="7351" spans="2:7">
      <c r="B7351"/>
      <c r="C7351"/>
      <c r="D7351"/>
      <c r="G7351"/>
    </row>
    <row r="7352" spans="2:7">
      <c r="B7352"/>
      <c r="C7352"/>
      <c r="D7352"/>
      <c r="G7352"/>
    </row>
    <row r="7353" spans="2:7">
      <c r="B7353"/>
      <c r="C7353"/>
      <c r="D7353"/>
      <c r="G7353"/>
    </row>
    <row r="7354" spans="2:7">
      <c r="B7354"/>
      <c r="C7354"/>
      <c r="D7354"/>
      <c r="G7354"/>
    </row>
    <row r="7355" spans="2:7">
      <c r="B7355"/>
      <c r="C7355"/>
      <c r="D7355"/>
      <c r="G7355"/>
    </row>
    <row r="7356" spans="2:7">
      <c r="B7356"/>
      <c r="C7356"/>
      <c r="D7356"/>
      <c r="G7356"/>
    </row>
    <row r="7357" spans="2:7">
      <c r="B7357"/>
      <c r="C7357"/>
      <c r="D7357"/>
      <c r="G7357"/>
    </row>
    <row r="7358" spans="2:7">
      <c r="B7358"/>
      <c r="C7358"/>
      <c r="D7358"/>
      <c r="G7358"/>
    </row>
    <row r="7359" spans="2:7">
      <c r="B7359"/>
      <c r="C7359"/>
      <c r="D7359"/>
      <c r="G7359"/>
    </row>
    <row r="7360" spans="2:7">
      <c r="B7360"/>
      <c r="C7360"/>
      <c r="D7360"/>
      <c r="G7360"/>
    </row>
    <row r="7361" spans="2:7">
      <c r="B7361"/>
      <c r="C7361"/>
      <c r="D7361"/>
      <c r="G7361"/>
    </row>
    <row r="7362" spans="2:7">
      <c r="B7362"/>
      <c r="C7362"/>
      <c r="D7362"/>
      <c r="G7362"/>
    </row>
    <row r="7363" spans="2:7">
      <c r="B7363"/>
      <c r="C7363"/>
      <c r="D7363"/>
      <c r="G7363"/>
    </row>
    <row r="7364" spans="2:7">
      <c r="B7364"/>
      <c r="C7364"/>
      <c r="D7364"/>
      <c r="G7364"/>
    </row>
    <row r="7365" spans="2:7">
      <c r="B7365"/>
      <c r="C7365"/>
      <c r="D7365"/>
      <c r="G7365"/>
    </row>
    <row r="7366" spans="2:7">
      <c r="B7366"/>
      <c r="C7366"/>
      <c r="D7366"/>
      <c r="G7366"/>
    </row>
    <row r="7367" spans="2:7">
      <c r="B7367"/>
      <c r="C7367"/>
      <c r="D7367"/>
      <c r="G7367"/>
    </row>
    <row r="7368" spans="2:7">
      <c r="B7368"/>
      <c r="C7368"/>
      <c r="D7368"/>
      <c r="G7368"/>
    </row>
    <row r="7369" spans="2:7">
      <c r="B7369"/>
      <c r="C7369"/>
      <c r="D7369"/>
      <c r="G7369"/>
    </row>
    <row r="7370" spans="2:7">
      <c r="B7370"/>
      <c r="C7370"/>
      <c r="D7370"/>
      <c r="G7370"/>
    </row>
    <row r="7371" spans="2:7">
      <c r="B7371"/>
      <c r="C7371"/>
      <c r="D7371"/>
      <c r="G7371"/>
    </row>
    <row r="7372" spans="2:7">
      <c r="B7372"/>
      <c r="C7372"/>
      <c r="D7372"/>
      <c r="G7372"/>
    </row>
    <row r="7373" spans="2:7">
      <c r="B7373"/>
      <c r="C7373"/>
      <c r="D7373"/>
      <c r="G7373"/>
    </row>
    <row r="7374" spans="2:7">
      <c r="B7374"/>
      <c r="C7374"/>
      <c r="D7374"/>
      <c r="G7374"/>
    </row>
    <row r="7375" spans="2:7">
      <c r="B7375"/>
      <c r="C7375"/>
      <c r="D7375"/>
      <c r="G7375"/>
    </row>
    <row r="7376" spans="2:7">
      <c r="B7376"/>
      <c r="C7376"/>
      <c r="D7376"/>
      <c r="G7376"/>
    </row>
    <row r="7377" spans="2:7">
      <c r="B7377"/>
      <c r="C7377"/>
      <c r="D7377"/>
      <c r="G7377"/>
    </row>
    <row r="7378" spans="2:7">
      <c r="B7378"/>
      <c r="C7378"/>
      <c r="D7378"/>
      <c r="G7378"/>
    </row>
    <row r="7379" spans="2:7">
      <c r="B7379"/>
      <c r="C7379"/>
      <c r="D7379"/>
      <c r="G7379"/>
    </row>
    <row r="7380" spans="2:7">
      <c r="B7380"/>
      <c r="C7380"/>
      <c r="D7380"/>
      <c r="G7380"/>
    </row>
    <row r="7381" spans="2:7">
      <c r="B7381"/>
      <c r="C7381"/>
      <c r="D7381"/>
      <c r="G7381"/>
    </row>
    <row r="7382" spans="2:7">
      <c r="B7382"/>
      <c r="C7382"/>
      <c r="D7382"/>
      <c r="G7382"/>
    </row>
    <row r="7383" spans="2:7">
      <c r="B7383"/>
      <c r="C7383"/>
      <c r="D7383"/>
      <c r="G7383"/>
    </row>
    <row r="7384" spans="2:7">
      <c r="B7384"/>
      <c r="C7384"/>
      <c r="D7384"/>
      <c r="G7384"/>
    </row>
    <row r="7385" spans="2:7">
      <c r="B7385"/>
      <c r="C7385"/>
      <c r="D7385"/>
      <c r="G7385"/>
    </row>
    <row r="7386" spans="2:7">
      <c r="B7386"/>
      <c r="C7386"/>
      <c r="D7386"/>
      <c r="G7386"/>
    </row>
    <row r="7387" spans="2:7">
      <c r="B7387"/>
      <c r="C7387"/>
      <c r="D7387"/>
      <c r="G7387"/>
    </row>
    <row r="7388" spans="2:7">
      <c r="B7388"/>
      <c r="C7388"/>
      <c r="D7388"/>
      <c r="G7388"/>
    </row>
    <row r="7389" spans="2:7">
      <c r="B7389"/>
      <c r="C7389"/>
      <c r="D7389"/>
      <c r="G7389"/>
    </row>
    <row r="7390" spans="2:7">
      <c r="B7390"/>
      <c r="C7390"/>
      <c r="D7390"/>
      <c r="G7390"/>
    </row>
    <row r="7391" spans="2:7">
      <c r="B7391"/>
      <c r="C7391"/>
      <c r="D7391"/>
      <c r="G7391"/>
    </row>
    <row r="7392" spans="2:7">
      <c r="B7392"/>
      <c r="C7392"/>
      <c r="D7392"/>
      <c r="G7392"/>
    </row>
    <row r="7393" spans="2:7">
      <c r="B7393"/>
      <c r="C7393"/>
      <c r="D7393"/>
      <c r="G7393"/>
    </row>
    <row r="7394" spans="2:7">
      <c r="B7394"/>
      <c r="C7394"/>
      <c r="D7394"/>
      <c r="G7394"/>
    </row>
    <row r="7395" spans="2:7">
      <c r="B7395"/>
      <c r="C7395"/>
      <c r="D7395"/>
      <c r="G7395"/>
    </row>
    <row r="7396" spans="2:7">
      <c r="B7396"/>
      <c r="C7396"/>
      <c r="D7396"/>
      <c r="G7396"/>
    </row>
    <row r="7397" spans="2:7">
      <c r="B7397"/>
      <c r="C7397"/>
      <c r="D7397"/>
      <c r="G7397"/>
    </row>
    <row r="7398" spans="2:7">
      <c r="B7398"/>
      <c r="C7398"/>
      <c r="D7398"/>
      <c r="G7398"/>
    </row>
    <row r="7399" spans="2:7">
      <c r="B7399"/>
      <c r="C7399"/>
      <c r="D7399"/>
      <c r="G7399"/>
    </row>
    <row r="7400" spans="2:7">
      <c r="B7400"/>
      <c r="C7400"/>
      <c r="D7400"/>
      <c r="G7400"/>
    </row>
    <row r="7401" spans="2:7">
      <c r="B7401"/>
      <c r="C7401"/>
      <c r="D7401"/>
      <c r="G7401"/>
    </row>
    <row r="7402" spans="2:7">
      <c r="B7402"/>
      <c r="C7402"/>
      <c r="D7402"/>
      <c r="G7402"/>
    </row>
    <row r="7403" spans="2:7">
      <c r="B7403"/>
      <c r="C7403"/>
      <c r="D7403"/>
      <c r="G7403"/>
    </row>
    <row r="7404" spans="2:7">
      <c r="B7404"/>
      <c r="C7404"/>
      <c r="D7404"/>
      <c r="G7404"/>
    </row>
    <row r="7405" spans="2:7">
      <c r="B7405"/>
      <c r="C7405"/>
      <c r="D7405"/>
      <c r="G7405"/>
    </row>
    <row r="7406" spans="2:7">
      <c r="B7406"/>
      <c r="C7406"/>
      <c r="D7406"/>
      <c r="G7406"/>
    </row>
    <row r="7407" spans="2:7">
      <c r="B7407"/>
      <c r="C7407"/>
      <c r="D7407"/>
      <c r="G7407"/>
    </row>
    <row r="7408" spans="2:7">
      <c r="B7408"/>
      <c r="C7408"/>
      <c r="D7408"/>
      <c r="G7408"/>
    </row>
    <row r="7409" spans="2:7">
      <c r="B7409"/>
      <c r="C7409"/>
      <c r="D7409"/>
      <c r="G7409"/>
    </row>
    <row r="7410" spans="2:7">
      <c r="B7410"/>
      <c r="C7410"/>
      <c r="D7410"/>
      <c r="G7410"/>
    </row>
    <row r="7411" spans="2:7">
      <c r="B7411"/>
      <c r="C7411"/>
      <c r="D7411"/>
      <c r="G7411"/>
    </row>
    <row r="7412" spans="2:7">
      <c r="B7412"/>
      <c r="C7412"/>
      <c r="D7412"/>
      <c r="G7412"/>
    </row>
    <row r="7413" spans="2:7">
      <c r="B7413"/>
      <c r="C7413"/>
      <c r="D7413"/>
      <c r="G7413"/>
    </row>
    <row r="7414" spans="2:7">
      <c r="B7414"/>
      <c r="C7414"/>
      <c r="D7414"/>
      <c r="G7414"/>
    </row>
    <row r="7415" spans="2:7">
      <c r="B7415"/>
      <c r="C7415"/>
      <c r="D7415"/>
      <c r="G7415"/>
    </row>
    <row r="7416" spans="2:7">
      <c r="B7416"/>
      <c r="C7416"/>
      <c r="D7416"/>
      <c r="G7416"/>
    </row>
    <row r="7417" spans="2:7">
      <c r="B7417"/>
      <c r="C7417"/>
      <c r="D7417"/>
      <c r="G7417"/>
    </row>
    <row r="7418" spans="2:7">
      <c r="B7418"/>
      <c r="C7418"/>
      <c r="D7418"/>
      <c r="G7418"/>
    </row>
    <row r="7419" spans="2:7">
      <c r="B7419"/>
      <c r="C7419"/>
      <c r="D7419"/>
      <c r="G7419"/>
    </row>
    <row r="7420" spans="2:7">
      <c r="B7420"/>
      <c r="C7420"/>
      <c r="D7420"/>
      <c r="G7420"/>
    </row>
    <row r="7421" spans="2:7">
      <c r="B7421"/>
      <c r="C7421"/>
      <c r="D7421"/>
      <c r="G7421"/>
    </row>
    <row r="7422" spans="2:7">
      <c r="B7422"/>
      <c r="C7422"/>
      <c r="D7422"/>
      <c r="G7422"/>
    </row>
    <row r="7423" spans="2:7">
      <c r="B7423"/>
      <c r="C7423"/>
      <c r="D7423"/>
      <c r="G7423"/>
    </row>
    <row r="7424" spans="2:7">
      <c r="B7424"/>
      <c r="C7424"/>
      <c r="D7424"/>
      <c r="G7424"/>
    </row>
    <row r="7425" spans="2:7">
      <c r="B7425"/>
      <c r="C7425"/>
      <c r="D7425"/>
      <c r="G7425"/>
    </row>
    <row r="7426" spans="2:7">
      <c r="B7426"/>
      <c r="C7426"/>
      <c r="D7426"/>
      <c r="G7426"/>
    </row>
    <row r="7427" spans="2:7">
      <c r="B7427"/>
      <c r="C7427"/>
      <c r="D7427"/>
      <c r="G7427"/>
    </row>
    <row r="7428" spans="2:7">
      <c r="B7428"/>
      <c r="C7428"/>
      <c r="D7428"/>
      <c r="G7428"/>
    </row>
    <row r="7429" spans="2:7">
      <c r="B7429"/>
      <c r="C7429"/>
      <c r="D7429"/>
      <c r="G7429"/>
    </row>
    <row r="7430" spans="2:7">
      <c r="B7430"/>
      <c r="C7430"/>
      <c r="D7430"/>
      <c r="G7430"/>
    </row>
    <row r="7431" spans="2:7">
      <c r="B7431"/>
      <c r="C7431"/>
      <c r="D7431"/>
      <c r="G7431"/>
    </row>
    <row r="7432" spans="2:7">
      <c r="B7432"/>
      <c r="C7432"/>
      <c r="D7432"/>
      <c r="G7432"/>
    </row>
    <row r="7433" spans="2:7">
      <c r="B7433"/>
      <c r="C7433"/>
      <c r="D7433"/>
      <c r="G7433"/>
    </row>
    <row r="7434" spans="2:7">
      <c r="B7434"/>
      <c r="C7434"/>
      <c r="D7434"/>
      <c r="G7434"/>
    </row>
    <row r="7435" spans="2:7">
      <c r="B7435"/>
      <c r="C7435"/>
      <c r="D7435"/>
      <c r="G7435"/>
    </row>
    <row r="7436" spans="2:7">
      <c r="B7436"/>
      <c r="C7436"/>
      <c r="D7436"/>
      <c r="G7436"/>
    </row>
    <row r="7437" spans="2:7">
      <c r="B7437"/>
      <c r="C7437"/>
      <c r="D7437"/>
      <c r="G7437"/>
    </row>
    <row r="7438" spans="2:7">
      <c r="B7438"/>
      <c r="C7438"/>
      <c r="D7438"/>
      <c r="G7438"/>
    </row>
    <row r="7439" spans="2:7">
      <c r="B7439"/>
      <c r="C7439"/>
      <c r="D7439"/>
      <c r="G7439"/>
    </row>
    <row r="7440" spans="2:7">
      <c r="B7440"/>
      <c r="C7440"/>
      <c r="D7440"/>
      <c r="G7440"/>
    </row>
    <row r="7441" spans="2:7">
      <c r="B7441"/>
      <c r="C7441"/>
      <c r="D7441"/>
      <c r="G7441"/>
    </row>
    <row r="7442" spans="2:7">
      <c r="B7442"/>
      <c r="C7442"/>
      <c r="D7442"/>
      <c r="G7442"/>
    </row>
    <row r="7443" spans="2:7">
      <c r="B7443"/>
      <c r="C7443"/>
      <c r="D7443"/>
      <c r="G7443"/>
    </row>
    <row r="7444" spans="2:7">
      <c r="B7444"/>
      <c r="C7444"/>
      <c r="D7444"/>
      <c r="G7444"/>
    </row>
    <row r="7445" spans="2:7">
      <c r="B7445"/>
      <c r="C7445"/>
      <c r="D7445"/>
      <c r="G7445"/>
    </row>
    <row r="7446" spans="2:7">
      <c r="B7446"/>
      <c r="C7446"/>
      <c r="D7446"/>
      <c r="G7446"/>
    </row>
    <row r="7447" spans="2:7">
      <c r="B7447"/>
      <c r="C7447"/>
      <c r="D7447"/>
      <c r="G7447"/>
    </row>
    <row r="7448" spans="2:7">
      <c r="B7448"/>
      <c r="C7448"/>
      <c r="D7448"/>
      <c r="G7448"/>
    </row>
    <row r="7449" spans="2:7">
      <c r="B7449"/>
      <c r="C7449"/>
      <c r="D7449"/>
      <c r="G7449"/>
    </row>
    <row r="7450" spans="2:7">
      <c r="B7450"/>
      <c r="C7450"/>
      <c r="D7450"/>
      <c r="G7450"/>
    </row>
    <row r="7451" spans="2:7">
      <c r="B7451"/>
      <c r="C7451"/>
      <c r="D7451"/>
      <c r="G7451"/>
    </row>
    <row r="7452" spans="2:7">
      <c r="B7452"/>
      <c r="C7452"/>
      <c r="D7452"/>
      <c r="G7452"/>
    </row>
    <row r="7453" spans="2:7">
      <c r="B7453"/>
      <c r="C7453"/>
      <c r="D7453"/>
      <c r="G7453"/>
    </row>
    <row r="7454" spans="2:7">
      <c r="B7454"/>
      <c r="C7454"/>
      <c r="D7454"/>
      <c r="G7454"/>
    </row>
    <row r="7455" spans="2:7">
      <c r="B7455"/>
      <c r="C7455"/>
      <c r="D7455"/>
      <c r="G7455"/>
    </row>
    <row r="7456" spans="2:7">
      <c r="B7456"/>
      <c r="C7456"/>
      <c r="D7456"/>
      <c r="G7456"/>
    </row>
    <row r="7457" spans="2:7">
      <c r="B7457"/>
      <c r="C7457"/>
      <c r="D7457"/>
      <c r="G7457"/>
    </row>
    <row r="7458" spans="2:7">
      <c r="B7458"/>
      <c r="C7458"/>
      <c r="D7458"/>
      <c r="G7458"/>
    </row>
    <row r="7459" spans="2:7">
      <c r="B7459"/>
      <c r="C7459"/>
      <c r="D7459"/>
      <c r="G7459"/>
    </row>
    <row r="7460" spans="2:7">
      <c r="B7460"/>
      <c r="C7460"/>
      <c r="D7460"/>
      <c r="G7460"/>
    </row>
    <row r="7461" spans="2:7">
      <c r="B7461"/>
      <c r="C7461"/>
      <c r="D7461"/>
      <c r="G7461"/>
    </row>
    <row r="7462" spans="2:7">
      <c r="B7462"/>
      <c r="C7462"/>
      <c r="D7462"/>
      <c r="G7462"/>
    </row>
    <row r="7463" spans="2:7">
      <c r="B7463"/>
      <c r="C7463"/>
      <c r="D7463"/>
      <c r="G7463"/>
    </row>
    <row r="7464" spans="2:7">
      <c r="B7464"/>
      <c r="C7464"/>
      <c r="D7464"/>
      <c r="G7464"/>
    </row>
    <row r="7465" spans="2:7">
      <c r="B7465"/>
      <c r="C7465"/>
      <c r="D7465"/>
      <c r="G7465"/>
    </row>
    <row r="7466" spans="2:7">
      <c r="B7466"/>
      <c r="C7466"/>
      <c r="D7466"/>
      <c r="G7466"/>
    </row>
    <row r="7467" spans="2:7">
      <c r="B7467"/>
      <c r="C7467"/>
      <c r="D7467"/>
      <c r="G7467"/>
    </row>
    <row r="7468" spans="2:7">
      <c r="B7468"/>
      <c r="C7468"/>
      <c r="D7468"/>
      <c r="G7468"/>
    </row>
    <row r="7469" spans="2:7">
      <c r="B7469"/>
      <c r="C7469"/>
      <c r="D7469"/>
      <c r="G7469"/>
    </row>
    <row r="7470" spans="2:7">
      <c r="B7470"/>
      <c r="C7470"/>
      <c r="D7470"/>
      <c r="G7470"/>
    </row>
    <row r="7471" spans="2:7">
      <c r="B7471"/>
      <c r="C7471"/>
      <c r="D7471"/>
      <c r="G7471"/>
    </row>
    <row r="7472" spans="2:7">
      <c r="B7472"/>
      <c r="C7472"/>
      <c r="D7472"/>
      <c r="G7472"/>
    </row>
    <row r="7473" spans="2:7">
      <c r="B7473"/>
      <c r="C7473"/>
      <c r="D7473"/>
      <c r="G7473"/>
    </row>
    <row r="7474" spans="2:7">
      <c r="B7474"/>
      <c r="C7474"/>
      <c r="D7474"/>
      <c r="G7474"/>
    </row>
    <row r="7475" spans="2:7">
      <c r="B7475"/>
      <c r="C7475"/>
      <c r="D7475"/>
      <c r="G7475"/>
    </row>
    <row r="7476" spans="2:7">
      <c r="B7476"/>
      <c r="C7476"/>
      <c r="D7476"/>
      <c r="G7476"/>
    </row>
    <row r="7477" spans="2:7">
      <c r="B7477"/>
      <c r="C7477"/>
      <c r="D7477"/>
      <c r="G7477"/>
    </row>
    <row r="7478" spans="2:7">
      <c r="B7478"/>
      <c r="C7478"/>
      <c r="D7478"/>
      <c r="G7478"/>
    </row>
    <row r="7479" spans="2:7">
      <c r="B7479"/>
      <c r="C7479"/>
      <c r="D7479"/>
      <c r="G7479"/>
    </row>
    <row r="7480" spans="2:7">
      <c r="B7480"/>
      <c r="C7480"/>
      <c r="D7480"/>
      <c r="G7480"/>
    </row>
    <row r="7481" spans="2:7">
      <c r="B7481"/>
      <c r="C7481"/>
      <c r="D7481"/>
      <c r="G7481"/>
    </row>
    <row r="7482" spans="2:7">
      <c r="B7482"/>
      <c r="C7482"/>
      <c r="D7482"/>
      <c r="G7482"/>
    </row>
    <row r="7483" spans="2:7">
      <c r="B7483"/>
      <c r="C7483"/>
      <c r="D7483"/>
      <c r="G7483"/>
    </row>
    <row r="7484" spans="2:7">
      <c r="B7484"/>
      <c r="C7484"/>
      <c r="D7484"/>
      <c r="G7484"/>
    </row>
    <row r="7485" spans="2:7">
      <c r="B7485"/>
      <c r="C7485"/>
      <c r="D7485"/>
      <c r="G7485"/>
    </row>
    <row r="7486" spans="2:7">
      <c r="B7486"/>
      <c r="C7486"/>
      <c r="D7486"/>
      <c r="G7486"/>
    </row>
    <row r="7487" spans="2:7">
      <c r="B7487"/>
      <c r="C7487"/>
      <c r="D7487"/>
      <c r="G7487"/>
    </row>
    <row r="7488" spans="2:7">
      <c r="B7488"/>
      <c r="C7488"/>
      <c r="D7488"/>
      <c r="G7488"/>
    </row>
    <row r="7489" spans="2:7">
      <c r="B7489"/>
      <c r="C7489"/>
      <c r="D7489"/>
      <c r="G7489"/>
    </row>
    <row r="7490" spans="2:7">
      <c r="B7490"/>
      <c r="C7490"/>
      <c r="D7490"/>
      <c r="G7490"/>
    </row>
    <row r="7491" spans="2:7">
      <c r="B7491"/>
      <c r="C7491"/>
      <c r="D7491"/>
      <c r="G7491"/>
    </row>
    <row r="7492" spans="2:7">
      <c r="B7492"/>
      <c r="C7492"/>
      <c r="D7492"/>
      <c r="G7492"/>
    </row>
    <row r="7493" spans="2:7">
      <c r="B7493"/>
      <c r="C7493"/>
      <c r="D7493"/>
      <c r="G7493"/>
    </row>
    <row r="7494" spans="2:7">
      <c r="B7494"/>
      <c r="C7494"/>
      <c r="D7494"/>
      <c r="G7494"/>
    </row>
    <row r="7495" spans="2:7">
      <c r="B7495"/>
      <c r="C7495"/>
      <c r="D7495"/>
      <c r="G7495"/>
    </row>
    <row r="7496" spans="2:7">
      <c r="B7496"/>
      <c r="C7496"/>
      <c r="D7496"/>
      <c r="G7496"/>
    </row>
    <row r="7497" spans="2:7">
      <c r="B7497"/>
      <c r="C7497"/>
      <c r="D7497"/>
      <c r="G7497"/>
    </row>
    <row r="7498" spans="2:7">
      <c r="B7498"/>
      <c r="C7498"/>
      <c r="D7498"/>
      <c r="G7498"/>
    </row>
    <row r="7499" spans="2:7">
      <c r="B7499"/>
      <c r="C7499"/>
      <c r="D7499"/>
      <c r="G7499"/>
    </row>
    <row r="7500" spans="2:7">
      <c r="B7500"/>
      <c r="C7500"/>
      <c r="D7500"/>
      <c r="G7500"/>
    </row>
    <row r="7501" spans="2:7">
      <c r="B7501"/>
      <c r="C7501"/>
      <c r="D7501"/>
      <c r="G7501"/>
    </row>
    <row r="7502" spans="2:7">
      <c r="B7502"/>
      <c r="C7502"/>
      <c r="D7502"/>
      <c r="G7502"/>
    </row>
    <row r="7503" spans="2:7">
      <c r="B7503"/>
      <c r="C7503"/>
      <c r="D7503"/>
      <c r="G7503"/>
    </row>
    <row r="7504" spans="2:7">
      <c r="B7504"/>
      <c r="C7504"/>
      <c r="D7504"/>
      <c r="G7504"/>
    </row>
    <row r="7505" spans="2:7">
      <c r="B7505"/>
      <c r="C7505"/>
      <c r="D7505"/>
      <c r="G7505"/>
    </row>
    <row r="7506" spans="2:7">
      <c r="B7506"/>
      <c r="C7506"/>
      <c r="D7506"/>
      <c r="G7506"/>
    </row>
    <row r="7507" spans="2:7">
      <c r="B7507"/>
      <c r="C7507"/>
      <c r="D7507"/>
      <c r="G7507"/>
    </row>
    <row r="7508" spans="2:7">
      <c r="B7508"/>
      <c r="C7508"/>
      <c r="D7508"/>
      <c r="G7508"/>
    </row>
    <row r="7509" spans="2:7">
      <c r="B7509"/>
      <c r="C7509"/>
      <c r="D7509"/>
      <c r="G7509"/>
    </row>
    <row r="7510" spans="2:7">
      <c r="B7510"/>
      <c r="C7510"/>
      <c r="D7510"/>
      <c r="G7510"/>
    </row>
    <row r="7511" spans="2:7">
      <c r="B7511"/>
      <c r="C7511"/>
      <c r="D7511"/>
      <c r="G7511"/>
    </row>
    <row r="7512" spans="2:7">
      <c r="B7512"/>
      <c r="C7512"/>
      <c r="D7512"/>
      <c r="G7512"/>
    </row>
    <row r="7513" spans="2:7">
      <c r="B7513"/>
      <c r="C7513"/>
      <c r="D7513"/>
      <c r="G7513"/>
    </row>
    <row r="7514" spans="2:7">
      <c r="B7514"/>
      <c r="C7514"/>
      <c r="D7514"/>
      <c r="G7514"/>
    </row>
    <row r="7515" spans="2:7">
      <c r="B7515"/>
      <c r="C7515"/>
      <c r="D7515"/>
      <c r="G7515"/>
    </row>
    <row r="7516" spans="2:7">
      <c r="B7516"/>
      <c r="C7516"/>
      <c r="D7516"/>
      <c r="G7516"/>
    </row>
    <row r="7517" spans="2:7">
      <c r="B7517"/>
      <c r="C7517"/>
      <c r="D7517"/>
      <c r="G7517"/>
    </row>
    <row r="7518" spans="2:7">
      <c r="B7518"/>
      <c r="C7518"/>
      <c r="D7518"/>
      <c r="G7518"/>
    </row>
    <row r="7519" spans="2:7">
      <c r="B7519"/>
      <c r="C7519"/>
      <c r="D7519"/>
      <c r="G7519"/>
    </row>
    <row r="7520" spans="2:7">
      <c r="B7520"/>
      <c r="C7520"/>
      <c r="D7520"/>
      <c r="G7520"/>
    </row>
    <row r="7521" spans="2:7">
      <c r="B7521"/>
      <c r="C7521"/>
      <c r="D7521"/>
      <c r="G7521"/>
    </row>
    <row r="7522" spans="2:7">
      <c r="B7522"/>
      <c r="C7522"/>
      <c r="D7522"/>
      <c r="G7522"/>
    </row>
    <row r="7523" spans="2:7">
      <c r="B7523"/>
      <c r="C7523"/>
      <c r="D7523"/>
      <c r="G7523"/>
    </row>
    <row r="7524" spans="2:7">
      <c r="B7524"/>
      <c r="C7524"/>
      <c r="D7524"/>
      <c r="G7524"/>
    </row>
    <row r="7525" spans="2:7">
      <c r="B7525"/>
      <c r="C7525"/>
      <c r="D7525"/>
      <c r="G7525"/>
    </row>
    <row r="7526" spans="2:7">
      <c r="B7526"/>
      <c r="C7526"/>
      <c r="D7526"/>
      <c r="G7526"/>
    </row>
    <row r="7527" spans="2:7">
      <c r="B7527"/>
      <c r="C7527"/>
      <c r="D7527"/>
      <c r="G7527"/>
    </row>
    <row r="7528" spans="2:7">
      <c r="B7528"/>
      <c r="C7528"/>
      <c r="D7528"/>
      <c r="G7528"/>
    </row>
    <row r="7529" spans="2:7">
      <c r="B7529"/>
      <c r="C7529"/>
      <c r="D7529"/>
      <c r="G7529"/>
    </row>
    <row r="7530" spans="2:7">
      <c r="B7530"/>
      <c r="C7530"/>
      <c r="D7530"/>
      <c r="G7530"/>
    </row>
    <row r="7531" spans="2:7">
      <c r="B7531"/>
      <c r="C7531"/>
      <c r="D7531"/>
      <c r="G7531"/>
    </row>
    <row r="7532" spans="2:7">
      <c r="B7532"/>
      <c r="C7532"/>
      <c r="D7532"/>
      <c r="G7532"/>
    </row>
    <row r="7533" spans="2:7">
      <c r="B7533"/>
      <c r="C7533"/>
      <c r="D7533"/>
      <c r="G7533"/>
    </row>
    <row r="7534" spans="2:7">
      <c r="B7534"/>
      <c r="C7534"/>
      <c r="D7534"/>
      <c r="G7534"/>
    </row>
    <row r="7535" spans="2:7">
      <c r="B7535"/>
      <c r="C7535"/>
      <c r="D7535"/>
      <c r="G7535"/>
    </row>
    <row r="7536" spans="2:7">
      <c r="B7536"/>
      <c r="C7536"/>
      <c r="D7536"/>
      <c r="G7536"/>
    </row>
    <row r="7537" spans="2:7">
      <c r="B7537"/>
      <c r="C7537"/>
      <c r="D7537"/>
      <c r="G7537"/>
    </row>
    <row r="7538" spans="2:7">
      <c r="B7538"/>
      <c r="C7538"/>
      <c r="D7538"/>
      <c r="G7538"/>
    </row>
    <row r="7539" spans="2:7">
      <c r="B7539"/>
      <c r="C7539"/>
      <c r="D7539"/>
      <c r="G7539"/>
    </row>
    <row r="7540" spans="2:7">
      <c r="B7540"/>
      <c r="C7540"/>
      <c r="D7540"/>
      <c r="G7540"/>
    </row>
    <row r="7541" spans="2:7">
      <c r="B7541"/>
      <c r="C7541"/>
      <c r="D7541"/>
      <c r="G7541"/>
    </row>
    <row r="7542" spans="2:7">
      <c r="B7542"/>
      <c r="C7542"/>
      <c r="D7542"/>
      <c r="G7542"/>
    </row>
    <row r="7543" spans="2:7">
      <c r="B7543"/>
      <c r="C7543"/>
      <c r="D7543"/>
      <c r="G7543"/>
    </row>
    <row r="7544" spans="2:7">
      <c r="B7544"/>
      <c r="C7544"/>
      <c r="D7544"/>
      <c r="G7544"/>
    </row>
    <row r="7545" spans="2:7">
      <c r="B7545"/>
      <c r="C7545"/>
      <c r="D7545"/>
      <c r="G7545"/>
    </row>
    <row r="7546" spans="2:7">
      <c r="B7546"/>
      <c r="C7546"/>
      <c r="D7546"/>
      <c r="G7546"/>
    </row>
    <row r="7547" spans="2:7">
      <c r="B7547"/>
      <c r="C7547"/>
      <c r="D7547"/>
      <c r="G7547"/>
    </row>
    <row r="7548" spans="2:7">
      <c r="B7548"/>
      <c r="C7548"/>
      <c r="D7548"/>
      <c r="G7548"/>
    </row>
    <row r="7549" spans="2:7">
      <c r="B7549"/>
      <c r="C7549"/>
      <c r="D7549"/>
      <c r="G7549"/>
    </row>
    <row r="7550" spans="2:7">
      <c r="B7550"/>
      <c r="C7550"/>
      <c r="D7550"/>
      <c r="G7550"/>
    </row>
    <row r="7551" spans="2:7">
      <c r="B7551"/>
      <c r="C7551"/>
      <c r="D7551"/>
      <c r="G7551"/>
    </row>
    <row r="7552" spans="2:7">
      <c r="B7552"/>
      <c r="C7552"/>
      <c r="D7552"/>
      <c r="G7552"/>
    </row>
    <row r="7553" spans="2:7">
      <c r="B7553"/>
      <c r="C7553"/>
      <c r="D7553"/>
      <c r="G7553"/>
    </row>
    <row r="7554" spans="2:7">
      <c r="B7554"/>
      <c r="C7554"/>
      <c r="D7554"/>
      <c r="G7554"/>
    </row>
    <row r="7555" spans="2:7">
      <c r="B7555"/>
      <c r="C7555"/>
      <c r="D7555"/>
      <c r="G7555"/>
    </row>
    <row r="7556" spans="2:7">
      <c r="B7556"/>
      <c r="C7556"/>
      <c r="D7556"/>
      <c r="G7556"/>
    </row>
    <row r="7557" spans="2:7">
      <c r="B7557"/>
      <c r="C7557"/>
      <c r="D7557"/>
      <c r="G7557"/>
    </row>
    <row r="7558" spans="2:7">
      <c r="B7558"/>
      <c r="C7558"/>
      <c r="D7558"/>
      <c r="G7558"/>
    </row>
    <row r="7559" spans="2:7">
      <c r="B7559"/>
      <c r="C7559"/>
      <c r="D7559"/>
      <c r="G7559"/>
    </row>
    <row r="7560" spans="2:7">
      <c r="B7560"/>
      <c r="C7560"/>
      <c r="D7560"/>
      <c r="G7560"/>
    </row>
    <row r="7561" spans="2:7">
      <c r="B7561"/>
      <c r="C7561"/>
      <c r="D7561"/>
      <c r="G7561"/>
    </row>
    <row r="7562" spans="2:7">
      <c r="B7562"/>
      <c r="C7562"/>
      <c r="D7562"/>
      <c r="G7562"/>
    </row>
    <row r="7563" spans="2:7">
      <c r="B7563"/>
      <c r="C7563"/>
      <c r="D7563"/>
      <c r="G7563"/>
    </row>
    <row r="7564" spans="2:7">
      <c r="B7564"/>
      <c r="C7564"/>
      <c r="D7564"/>
      <c r="G7564"/>
    </row>
    <row r="7565" spans="2:7">
      <c r="B7565"/>
      <c r="C7565"/>
      <c r="D7565"/>
      <c r="G7565"/>
    </row>
    <row r="7566" spans="2:7">
      <c r="B7566"/>
      <c r="C7566"/>
      <c r="D7566"/>
      <c r="G7566"/>
    </row>
    <row r="7567" spans="2:7">
      <c r="B7567"/>
      <c r="C7567"/>
      <c r="D7567"/>
      <c r="G7567"/>
    </row>
    <row r="7568" spans="2:7">
      <c r="B7568"/>
      <c r="C7568"/>
      <c r="D7568"/>
      <c r="G7568"/>
    </row>
    <row r="7569" spans="2:7">
      <c r="B7569"/>
      <c r="C7569"/>
      <c r="D7569"/>
      <c r="G7569"/>
    </row>
    <row r="7570" spans="2:7">
      <c r="B7570"/>
      <c r="C7570"/>
      <c r="D7570"/>
      <c r="G7570"/>
    </row>
    <row r="7571" spans="2:7">
      <c r="B7571"/>
      <c r="C7571"/>
      <c r="D7571"/>
      <c r="G7571"/>
    </row>
    <row r="7572" spans="2:7">
      <c r="B7572"/>
      <c r="C7572"/>
      <c r="D7572"/>
      <c r="G7572"/>
    </row>
    <row r="7573" spans="2:7">
      <c r="B7573"/>
      <c r="C7573"/>
      <c r="D7573"/>
      <c r="G7573"/>
    </row>
    <row r="7574" spans="2:7">
      <c r="B7574"/>
      <c r="C7574"/>
      <c r="D7574"/>
      <c r="G7574"/>
    </row>
    <row r="7575" spans="2:7">
      <c r="B7575"/>
      <c r="C7575"/>
      <c r="D7575"/>
      <c r="G7575"/>
    </row>
    <row r="7576" spans="2:7">
      <c r="B7576"/>
      <c r="C7576"/>
      <c r="D7576"/>
      <c r="G7576"/>
    </row>
    <row r="7577" spans="2:7">
      <c r="B7577"/>
      <c r="C7577"/>
      <c r="D7577"/>
      <c r="G7577"/>
    </row>
    <row r="7578" spans="2:7">
      <c r="B7578"/>
      <c r="C7578"/>
      <c r="D7578"/>
      <c r="G7578"/>
    </row>
    <row r="7579" spans="2:7">
      <c r="B7579"/>
      <c r="C7579"/>
      <c r="D7579"/>
      <c r="G7579"/>
    </row>
    <row r="7580" spans="2:7">
      <c r="B7580"/>
      <c r="C7580"/>
      <c r="D7580"/>
      <c r="G7580"/>
    </row>
    <row r="7581" spans="2:7">
      <c r="B7581"/>
      <c r="C7581"/>
      <c r="D7581"/>
      <c r="G7581"/>
    </row>
    <row r="7582" spans="2:7">
      <c r="B7582"/>
      <c r="C7582"/>
      <c r="D7582"/>
      <c r="G7582"/>
    </row>
    <row r="7583" spans="2:7">
      <c r="B7583"/>
      <c r="C7583"/>
      <c r="D7583"/>
      <c r="G7583"/>
    </row>
    <row r="7584" spans="2:7">
      <c r="B7584"/>
      <c r="C7584"/>
      <c r="D7584"/>
      <c r="G7584"/>
    </row>
    <row r="7585" spans="2:7">
      <c r="B7585"/>
      <c r="C7585"/>
      <c r="D7585"/>
      <c r="G7585"/>
    </row>
    <row r="7586" spans="2:7">
      <c r="B7586"/>
      <c r="C7586"/>
      <c r="D7586"/>
      <c r="G7586"/>
    </row>
    <row r="7587" spans="2:7">
      <c r="B7587"/>
      <c r="C7587"/>
      <c r="D7587"/>
      <c r="G7587"/>
    </row>
    <row r="7588" spans="2:7">
      <c r="B7588"/>
      <c r="C7588"/>
      <c r="D7588"/>
      <c r="G7588"/>
    </row>
    <row r="7589" spans="2:7">
      <c r="B7589"/>
      <c r="C7589"/>
      <c r="D7589"/>
      <c r="G7589"/>
    </row>
    <row r="7590" spans="2:7">
      <c r="B7590"/>
      <c r="C7590"/>
      <c r="D7590"/>
      <c r="G7590"/>
    </row>
    <row r="7591" spans="2:7">
      <c r="B7591"/>
      <c r="C7591"/>
      <c r="D7591"/>
      <c r="G7591"/>
    </row>
    <row r="7592" spans="2:7">
      <c r="B7592"/>
      <c r="C7592"/>
      <c r="D7592"/>
      <c r="G7592"/>
    </row>
    <row r="7593" spans="2:7">
      <c r="B7593"/>
      <c r="C7593"/>
      <c r="D7593"/>
      <c r="G7593"/>
    </row>
    <row r="7594" spans="2:7">
      <c r="B7594"/>
      <c r="C7594"/>
      <c r="D7594"/>
      <c r="G7594"/>
    </row>
    <row r="7595" spans="2:7">
      <c r="B7595"/>
      <c r="C7595"/>
      <c r="D7595"/>
      <c r="G7595"/>
    </row>
    <row r="7596" spans="2:7">
      <c r="B7596"/>
      <c r="C7596"/>
      <c r="D7596"/>
      <c r="G7596"/>
    </row>
    <row r="7597" spans="2:7">
      <c r="B7597"/>
      <c r="C7597"/>
      <c r="D7597"/>
      <c r="G7597"/>
    </row>
    <row r="7598" spans="2:7">
      <c r="B7598"/>
      <c r="C7598"/>
      <c r="D7598"/>
      <c r="G7598"/>
    </row>
    <row r="7599" spans="2:7">
      <c r="B7599"/>
      <c r="C7599"/>
      <c r="D7599"/>
      <c r="G7599"/>
    </row>
    <row r="7600" spans="2:7">
      <c r="B7600"/>
      <c r="C7600"/>
      <c r="D7600"/>
      <c r="G7600"/>
    </row>
    <row r="7601" spans="2:7">
      <c r="B7601"/>
      <c r="C7601"/>
      <c r="D7601"/>
      <c r="G7601"/>
    </row>
    <row r="7602" spans="2:7">
      <c r="B7602"/>
      <c r="C7602"/>
      <c r="D7602"/>
      <c r="G7602"/>
    </row>
    <row r="7603" spans="2:7">
      <c r="B7603"/>
      <c r="C7603"/>
      <c r="D7603"/>
      <c r="G7603"/>
    </row>
    <row r="7604" spans="2:7">
      <c r="B7604"/>
      <c r="C7604"/>
      <c r="D7604"/>
      <c r="G7604"/>
    </row>
    <row r="7605" spans="2:7">
      <c r="B7605"/>
      <c r="C7605"/>
      <c r="D7605"/>
      <c r="G7605"/>
    </row>
    <row r="7606" spans="2:7">
      <c r="B7606"/>
      <c r="C7606"/>
      <c r="D7606"/>
      <c r="G7606"/>
    </row>
    <row r="7607" spans="2:7">
      <c r="B7607"/>
      <c r="C7607"/>
      <c r="D7607"/>
      <c r="G7607"/>
    </row>
    <row r="7608" spans="2:7">
      <c r="B7608"/>
      <c r="C7608"/>
      <c r="D7608"/>
      <c r="G7608"/>
    </row>
    <row r="7609" spans="2:7">
      <c r="B7609"/>
      <c r="C7609"/>
      <c r="D7609"/>
      <c r="G7609"/>
    </row>
    <row r="7610" spans="2:7">
      <c r="B7610"/>
      <c r="C7610"/>
      <c r="D7610"/>
      <c r="G7610"/>
    </row>
    <row r="7611" spans="2:7">
      <c r="B7611"/>
      <c r="C7611"/>
      <c r="D7611"/>
      <c r="G7611"/>
    </row>
    <row r="7612" spans="2:7">
      <c r="B7612"/>
      <c r="C7612"/>
      <c r="D7612"/>
      <c r="G7612"/>
    </row>
    <row r="7613" spans="2:7">
      <c r="B7613"/>
      <c r="C7613"/>
      <c r="D7613"/>
      <c r="G7613"/>
    </row>
    <row r="7614" spans="2:7">
      <c r="B7614"/>
      <c r="C7614"/>
      <c r="D7614"/>
      <c r="G7614"/>
    </row>
    <row r="7615" spans="2:7">
      <c r="B7615"/>
      <c r="C7615"/>
      <c r="D7615"/>
      <c r="G7615"/>
    </row>
    <row r="7616" spans="2:7">
      <c r="B7616"/>
      <c r="C7616"/>
      <c r="D7616"/>
      <c r="G7616"/>
    </row>
    <row r="7617" spans="2:7">
      <c r="B7617"/>
      <c r="C7617"/>
      <c r="D7617"/>
      <c r="G7617"/>
    </row>
    <row r="7618" spans="2:7">
      <c r="B7618"/>
      <c r="C7618"/>
      <c r="D7618"/>
      <c r="G7618"/>
    </row>
    <row r="7619" spans="2:7">
      <c r="B7619"/>
      <c r="C7619"/>
      <c r="D7619"/>
      <c r="G7619"/>
    </row>
    <row r="7620" spans="2:7">
      <c r="B7620"/>
      <c r="C7620"/>
      <c r="D7620"/>
      <c r="G7620"/>
    </row>
    <row r="7621" spans="2:7">
      <c r="B7621"/>
      <c r="C7621"/>
      <c r="D7621"/>
      <c r="G7621"/>
    </row>
    <row r="7622" spans="2:7">
      <c r="B7622"/>
      <c r="C7622"/>
      <c r="D7622"/>
      <c r="G7622"/>
    </row>
    <row r="7623" spans="2:7">
      <c r="B7623"/>
      <c r="C7623"/>
      <c r="D7623"/>
      <c r="G7623"/>
    </row>
    <row r="7624" spans="2:7">
      <c r="B7624"/>
      <c r="C7624"/>
      <c r="D7624"/>
      <c r="G7624"/>
    </row>
    <row r="7625" spans="2:7">
      <c r="B7625"/>
      <c r="C7625"/>
      <c r="D7625"/>
      <c r="G7625"/>
    </row>
    <row r="7626" spans="2:7">
      <c r="B7626"/>
      <c r="C7626"/>
      <c r="D7626"/>
      <c r="G7626"/>
    </row>
    <row r="7627" spans="2:7">
      <c r="B7627"/>
      <c r="C7627"/>
      <c r="D7627"/>
      <c r="G7627"/>
    </row>
    <row r="7628" spans="2:7">
      <c r="B7628"/>
      <c r="C7628"/>
      <c r="D7628"/>
      <c r="G7628"/>
    </row>
    <row r="7629" spans="2:7">
      <c r="B7629"/>
      <c r="C7629"/>
      <c r="D7629"/>
      <c r="G7629"/>
    </row>
    <row r="7630" spans="2:7">
      <c r="B7630"/>
      <c r="C7630"/>
      <c r="D7630"/>
      <c r="G7630"/>
    </row>
    <row r="7631" spans="2:7">
      <c r="B7631"/>
      <c r="C7631"/>
      <c r="D7631"/>
      <c r="G7631"/>
    </row>
    <row r="7632" spans="2:7">
      <c r="B7632"/>
      <c r="C7632"/>
      <c r="D7632"/>
      <c r="G7632"/>
    </row>
    <row r="7633" spans="2:7">
      <c r="B7633"/>
      <c r="C7633"/>
      <c r="D7633"/>
      <c r="G7633"/>
    </row>
    <row r="7634" spans="2:7">
      <c r="B7634"/>
      <c r="C7634"/>
      <c r="D7634"/>
      <c r="G7634"/>
    </row>
    <row r="7635" spans="2:7">
      <c r="B7635"/>
      <c r="C7635"/>
      <c r="D7635"/>
      <c r="G7635"/>
    </row>
    <row r="7636" spans="2:7">
      <c r="B7636"/>
      <c r="C7636"/>
      <c r="D7636"/>
      <c r="G7636"/>
    </row>
    <row r="7637" spans="2:7">
      <c r="B7637"/>
      <c r="C7637"/>
      <c r="D7637"/>
      <c r="G7637"/>
    </row>
    <row r="7638" spans="2:7">
      <c r="B7638"/>
      <c r="C7638"/>
      <c r="D7638"/>
      <c r="G7638"/>
    </row>
    <row r="7639" spans="2:7">
      <c r="B7639"/>
      <c r="C7639"/>
      <c r="D7639"/>
      <c r="G7639"/>
    </row>
    <row r="7640" spans="2:7">
      <c r="B7640"/>
      <c r="C7640"/>
      <c r="D7640"/>
      <c r="G7640"/>
    </row>
    <row r="7641" spans="2:7">
      <c r="B7641"/>
      <c r="C7641"/>
      <c r="D7641"/>
      <c r="G7641"/>
    </row>
    <row r="7642" spans="2:7">
      <c r="B7642"/>
      <c r="C7642"/>
      <c r="D7642"/>
      <c r="G7642"/>
    </row>
    <row r="7643" spans="2:7">
      <c r="B7643"/>
      <c r="C7643"/>
      <c r="D7643"/>
      <c r="G7643"/>
    </row>
    <row r="7644" spans="2:7">
      <c r="B7644"/>
      <c r="C7644"/>
      <c r="D7644"/>
      <c r="G7644"/>
    </row>
    <row r="7645" spans="2:7">
      <c r="B7645"/>
      <c r="C7645"/>
      <c r="D7645"/>
      <c r="G7645"/>
    </row>
    <row r="7646" spans="2:7">
      <c r="B7646"/>
      <c r="C7646"/>
      <c r="D7646"/>
      <c r="G7646"/>
    </row>
    <row r="7647" spans="2:7">
      <c r="B7647"/>
      <c r="C7647"/>
      <c r="D7647"/>
      <c r="G7647"/>
    </row>
    <row r="7648" spans="2:7">
      <c r="B7648"/>
      <c r="C7648"/>
      <c r="D7648"/>
      <c r="G7648"/>
    </row>
    <row r="7649" spans="2:7">
      <c r="B7649"/>
      <c r="C7649"/>
      <c r="D7649"/>
      <c r="G7649"/>
    </row>
    <row r="7650" spans="2:7">
      <c r="B7650"/>
      <c r="C7650"/>
      <c r="D7650"/>
      <c r="G7650"/>
    </row>
    <row r="7651" spans="2:7">
      <c r="B7651"/>
      <c r="C7651"/>
      <c r="D7651"/>
      <c r="G7651"/>
    </row>
    <row r="7652" spans="2:7">
      <c r="B7652"/>
      <c r="C7652"/>
      <c r="D7652"/>
      <c r="G7652"/>
    </row>
    <row r="7653" spans="2:7">
      <c r="B7653"/>
      <c r="C7653"/>
      <c r="D7653"/>
      <c r="G7653"/>
    </row>
    <row r="7654" spans="2:7">
      <c r="B7654"/>
      <c r="C7654"/>
      <c r="D7654"/>
      <c r="G7654"/>
    </row>
    <row r="7655" spans="2:7">
      <c r="B7655"/>
      <c r="C7655"/>
      <c r="D7655"/>
      <c r="G7655"/>
    </row>
    <row r="7656" spans="2:7">
      <c r="B7656"/>
      <c r="C7656"/>
      <c r="D7656"/>
      <c r="G7656"/>
    </row>
    <row r="7657" spans="2:7">
      <c r="B7657"/>
      <c r="C7657"/>
      <c r="D7657"/>
      <c r="G7657"/>
    </row>
    <row r="7658" spans="2:7">
      <c r="B7658"/>
      <c r="C7658"/>
      <c r="D7658"/>
      <c r="G7658"/>
    </row>
    <row r="7659" spans="2:7">
      <c r="B7659"/>
      <c r="C7659"/>
      <c r="D7659"/>
      <c r="G7659"/>
    </row>
    <row r="7660" spans="2:7">
      <c r="B7660"/>
      <c r="C7660"/>
      <c r="D7660"/>
      <c r="G7660"/>
    </row>
    <row r="7661" spans="2:7">
      <c r="B7661"/>
      <c r="C7661"/>
      <c r="D7661"/>
      <c r="G7661"/>
    </row>
    <row r="7662" spans="2:7">
      <c r="B7662"/>
      <c r="C7662"/>
      <c r="D7662"/>
      <c r="G7662"/>
    </row>
    <row r="7663" spans="2:7">
      <c r="B7663"/>
      <c r="C7663"/>
      <c r="D7663"/>
      <c r="G7663"/>
    </row>
    <row r="7664" spans="2:7">
      <c r="B7664"/>
      <c r="C7664"/>
      <c r="D7664"/>
      <c r="G7664"/>
    </row>
    <row r="7665" spans="2:7">
      <c r="B7665"/>
      <c r="C7665"/>
      <c r="D7665"/>
      <c r="G7665"/>
    </row>
    <row r="7666" spans="2:7">
      <c r="B7666"/>
      <c r="C7666"/>
      <c r="D7666"/>
      <c r="G7666"/>
    </row>
    <row r="7667" spans="2:7">
      <c r="B7667"/>
      <c r="C7667"/>
      <c r="D7667"/>
      <c r="G7667"/>
    </row>
    <row r="7668" spans="2:7">
      <c r="B7668"/>
      <c r="C7668"/>
      <c r="D7668"/>
      <c r="G7668"/>
    </row>
    <row r="7669" spans="2:7">
      <c r="B7669"/>
      <c r="C7669"/>
      <c r="D7669"/>
      <c r="G7669"/>
    </row>
    <row r="7670" spans="2:7">
      <c r="B7670"/>
      <c r="C7670"/>
      <c r="D7670"/>
      <c r="G7670"/>
    </row>
    <row r="7671" spans="2:7">
      <c r="B7671"/>
      <c r="C7671"/>
      <c r="D7671"/>
      <c r="G7671"/>
    </row>
    <row r="7672" spans="2:7">
      <c r="B7672"/>
      <c r="C7672"/>
      <c r="D7672"/>
      <c r="G7672"/>
    </row>
    <row r="7673" spans="2:7">
      <c r="B7673"/>
      <c r="C7673"/>
      <c r="D7673"/>
      <c r="G7673"/>
    </row>
    <row r="7674" spans="2:7">
      <c r="B7674"/>
      <c r="C7674"/>
      <c r="D7674"/>
      <c r="G7674"/>
    </row>
    <row r="7675" spans="2:7">
      <c r="B7675"/>
      <c r="C7675"/>
      <c r="D7675"/>
      <c r="G7675"/>
    </row>
    <row r="7676" spans="2:7">
      <c r="B7676"/>
      <c r="C7676"/>
      <c r="D7676"/>
      <c r="G7676"/>
    </row>
    <row r="7677" spans="2:7">
      <c r="B7677"/>
      <c r="C7677"/>
      <c r="D7677"/>
      <c r="G7677"/>
    </row>
    <row r="7678" spans="2:7">
      <c r="B7678"/>
      <c r="C7678"/>
      <c r="D7678"/>
      <c r="G7678"/>
    </row>
    <row r="7679" spans="2:7">
      <c r="B7679"/>
      <c r="C7679"/>
      <c r="D7679"/>
      <c r="G7679"/>
    </row>
    <row r="7680" spans="2:7">
      <c r="B7680"/>
      <c r="C7680"/>
      <c r="D7680"/>
      <c r="G7680"/>
    </row>
    <row r="7681" spans="2:7">
      <c r="B7681"/>
      <c r="C7681"/>
      <c r="D7681"/>
      <c r="G7681"/>
    </row>
    <row r="7682" spans="2:7">
      <c r="B7682"/>
      <c r="C7682"/>
      <c r="D7682"/>
      <c r="G7682"/>
    </row>
    <row r="7683" spans="2:7">
      <c r="B7683"/>
      <c r="C7683"/>
      <c r="D7683"/>
      <c r="G7683"/>
    </row>
    <row r="7684" spans="2:7">
      <c r="B7684"/>
      <c r="C7684"/>
      <c r="D7684"/>
      <c r="G7684"/>
    </row>
    <row r="7685" spans="2:7">
      <c r="B7685"/>
      <c r="C7685"/>
      <c r="D7685"/>
      <c r="G7685"/>
    </row>
    <row r="7686" spans="2:7">
      <c r="B7686"/>
      <c r="C7686"/>
      <c r="D7686"/>
      <c r="G7686"/>
    </row>
    <row r="7687" spans="2:7">
      <c r="B7687"/>
      <c r="C7687"/>
      <c r="D7687"/>
      <c r="G7687"/>
    </row>
    <row r="7688" spans="2:7">
      <c r="B7688"/>
      <c r="C7688"/>
      <c r="D7688"/>
      <c r="G7688"/>
    </row>
    <row r="7689" spans="2:7">
      <c r="B7689"/>
      <c r="C7689"/>
      <c r="D7689"/>
      <c r="G7689"/>
    </row>
    <row r="7690" spans="2:7">
      <c r="B7690"/>
      <c r="C7690"/>
      <c r="D7690"/>
      <c r="G7690"/>
    </row>
    <row r="7691" spans="2:7">
      <c r="B7691"/>
      <c r="C7691"/>
      <c r="D7691"/>
      <c r="G7691"/>
    </row>
    <row r="7692" spans="2:7">
      <c r="B7692"/>
      <c r="C7692"/>
      <c r="D7692"/>
      <c r="G7692"/>
    </row>
    <row r="7693" spans="2:7">
      <c r="B7693"/>
      <c r="C7693"/>
      <c r="D7693"/>
      <c r="G7693"/>
    </row>
    <row r="7694" spans="2:7">
      <c r="B7694"/>
      <c r="C7694"/>
      <c r="D7694"/>
      <c r="G7694"/>
    </row>
    <row r="7695" spans="2:7">
      <c r="B7695"/>
      <c r="C7695"/>
      <c r="D7695"/>
      <c r="G7695"/>
    </row>
    <row r="7696" spans="2:7">
      <c r="B7696"/>
      <c r="C7696"/>
      <c r="D7696"/>
      <c r="G7696"/>
    </row>
    <row r="7697" spans="2:7">
      <c r="B7697"/>
      <c r="C7697"/>
      <c r="D7697"/>
      <c r="G7697"/>
    </row>
    <row r="7698" spans="2:7">
      <c r="B7698"/>
      <c r="C7698"/>
      <c r="D7698"/>
      <c r="G7698"/>
    </row>
    <row r="7699" spans="2:7">
      <c r="B7699"/>
      <c r="C7699"/>
      <c r="D7699"/>
      <c r="G7699"/>
    </row>
    <row r="7700" spans="2:7">
      <c r="B7700"/>
      <c r="C7700"/>
      <c r="D7700"/>
      <c r="G7700"/>
    </row>
    <row r="7701" spans="2:7">
      <c r="B7701"/>
      <c r="C7701"/>
      <c r="D7701"/>
      <c r="G7701"/>
    </row>
    <row r="7702" spans="2:7">
      <c r="B7702"/>
      <c r="C7702"/>
      <c r="D7702"/>
      <c r="G7702"/>
    </row>
    <row r="7703" spans="2:7">
      <c r="B7703"/>
      <c r="C7703"/>
      <c r="D7703"/>
      <c r="G7703"/>
    </row>
    <row r="7704" spans="2:7">
      <c r="B7704"/>
      <c r="C7704"/>
      <c r="D7704"/>
      <c r="G7704"/>
    </row>
    <row r="7705" spans="2:7">
      <c r="B7705"/>
      <c r="C7705"/>
      <c r="D7705"/>
      <c r="G7705"/>
    </row>
    <row r="7706" spans="2:7">
      <c r="B7706"/>
      <c r="C7706"/>
      <c r="D7706"/>
      <c r="G7706"/>
    </row>
    <row r="7707" spans="2:7">
      <c r="B7707"/>
      <c r="C7707"/>
      <c r="D7707"/>
      <c r="G7707"/>
    </row>
    <row r="7708" spans="2:7">
      <c r="B7708"/>
      <c r="C7708"/>
      <c r="D7708"/>
      <c r="G7708"/>
    </row>
    <row r="7709" spans="2:7">
      <c r="B7709"/>
      <c r="C7709"/>
      <c r="D7709"/>
      <c r="G7709"/>
    </row>
    <row r="7710" spans="2:7">
      <c r="B7710"/>
      <c r="C7710"/>
      <c r="D7710"/>
      <c r="G7710"/>
    </row>
    <row r="7711" spans="2:7">
      <c r="B7711"/>
      <c r="C7711"/>
      <c r="D7711"/>
      <c r="G7711"/>
    </row>
    <row r="7712" spans="2:7">
      <c r="B7712"/>
      <c r="C7712"/>
      <c r="D7712"/>
      <c r="G7712"/>
    </row>
    <row r="7713" spans="2:7">
      <c r="B7713"/>
      <c r="C7713"/>
      <c r="D7713"/>
      <c r="G7713"/>
    </row>
    <row r="7714" spans="2:7">
      <c r="B7714"/>
      <c r="C7714"/>
      <c r="D7714"/>
      <c r="G7714"/>
    </row>
    <row r="7715" spans="2:7">
      <c r="B7715"/>
      <c r="C7715"/>
      <c r="D7715"/>
      <c r="G7715"/>
    </row>
    <row r="7716" spans="2:7">
      <c r="B7716"/>
      <c r="C7716"/>
      <c r="D7716"/>
      <c r="G7716"/>
    </row>
    <row r="7717" spans="2:7">
      <c r="B7717"/>
      <c r="C7717"/>
      <c r="D7717"/>
      <c r="G7717"/>
    </row>
    <row r="7718" spans="2:7">
      <c r="B7718"/>
      <c r="C7718"/>
      <c r="D7718"/>
      <c r="G7718"/>
    </row>
    <row r="7719" spans="2:7">
      <c r="B7719"/>
      <c r="C7719"/>
      <c r="D7719"/>
      <c r="G7719"/>
    </row>
    <row r="7720" spans="2:7">
      <c r="B7720"/>
      <c r="C7720"/>
      <c r="D7720"/>
      <c r="G7720"/>
    </row>
    <row r="7721" spans="2:7">
      <c r="B7721"/>
      <c r="C7721"/>
      <c r="D7721"/>
      <c r="G7721"/>
    </row>
    <row r="7722" spans="2:7">
      <c r="B7722"/>
      <c r="C7722"/>
      <c r="D7722"/>
      <c r="G7722"/>
    </row>
    <row r="7723" spans="2:7">
      <c r="B7723"/>
      <c r="C7723"/>
      <c r="D7723"/>
      <c r="G7723"/>
    </row>
    <row r="7724" spans="2:7">
      <c r="B7724"/>
      <c r="C7724"/>
      <c r="D7724"/>
      <c r="G7724"/>
    </row>
    <row r="7725" spans="2:7">
      <c r="B7725"/>
      <c r="C7725"/>
      <c r="D7725"/>
      <c r="G7725"/>
    </row>
    <row r="7726" spans="2:7">
      <c r="B7726"/>
      <c r="C7726"/>
      <c r="D7726"/>
      <c r="G7726"/>
    </row>
    <row r="7727" spans="2:7">
      <c r="B7727"/>
      <c r="C7727"/>
      <c r="D7727"/>
      <c r="G7727"/>
    </row>
    <row r="7728" spans="2:7">
      <c r="B7728"/>
      <c r="C7728"/>
      <c r="D7728"/>
      <c r="G7728"/>
    </row>
    <row r="7729" spans="2:7">
      <c r="B7729"/>
      <c r="C7729"/>
      <c r="D7729"/>
      <c r="G7729"/>
    </row>
    <row r="7730" spans="2:7">
      <c r="B7730"/>
      <c r="C7730"/>
      <c r="D7730"/>
      <c r="G7730"/>
    </row>
    <row r="7731" spans="2:7">
      <c r="B7731"/>
      <c r="C7731"/>
      <c r="D7731"/>
      <c r="G7731"/>
    </row>
    <row r="7732" spans="2:7">
      <c r="B7732"/>
      <c r="C7732"/>
      <c r="D7732"/>
      <c r="G7732"/>
    </row>
    <row r="7733" spans="2:7">
      <c r="B7733"/>
      <c r="C7733"/>
      <c r="D7733"/>
      <c r="G7733"/>
    </row>
    <row r="7734" spans="2:7">
      <c r="B7734"/>
      <c r="C7734"/>
      <c r="D7734"/>
      <c r="G7734"/>
    </row>
    <row r="7735" spans="2:7">
      <c r="B7735"/>
      <c r="C7735"/>
      <c r="D7735"/>
      <c r="G7735"/>
    </row>
    <row r="7736" spans="2:7">
      <c r="B7736"/>
      <c r="C7736"/>
      <c r="D7736"/>
      <c r="G7736"/>
    </row>
    <row r="7737" spans="2:7">
      <c r="B7737"/>
      <c r="C7737"/>
      <c r="D7737"/>
      <c r="G7737"/>
    </row>
    <row r="7738" spans="2:7">
      <c r="B7738"/>
      <c r="C7738"/>
      <c r="D7738"/>
      <c r="G7738"/>
    </row>
    <row r="7739" spans="2:7">
      <c r="B7739"/>
      <c r="C7739"/>
      <c r="D7739"/>
      <c r="G7739"/>
    </row>
    <row r="7740" spans="2:7">
      <c r="B7740"/>
      <c r="C7740"/>
      <c r="D7740"/>
      <c r="G7740"/>
    </row>
    <row r="7741" spans="2:7">
      <c r="B7741"/>
      <c r="C7741"/>
      <c r="D7741"/>
      <c r="G7741"/>
    </row>
    <row r="7742" spans="2:7">
      <c r="B7742"/>
      <c r="C7742"/>
      <c r="D7742"/>
      <c r="G7742"/>
    </row>
    <row r="7743" spans="2:7">
      <c r="B7743"/>
      <c r="C7743"/>
      <c r="D7743"/>
      <c r="G7743"/>
    </row>
    <row r="7744" spans="2:7">
      <c r="B7744"/>
      <c r="C7744"/>
      <c r="D7744"/>
      <c r="G7744"/>
    </row>
    <row r="7745" spans="2:7">
      <c r="B7745"/>
      <c r="C7745"/>
      <c r="D7745"/>
      <c r="G7745"/>
    </row>
    <row r="7746" spans="2:7">
      <c r="B7746"/>
      <c r="C7746"/>
      <c r="D7746"/>
      <c r="G7746"/>
    </row>
    <row r="7747" spans="2:7">
      <c r="B7747"/>
      <c r="C7747"/>
      <c r="D7747"/>
      <c r="G7747"/>
    </row>
    <row r="7748" spans="2:7">
      <c r="B7748"/>
      <c r="C7748"/>
      <c r="D7748"/>
      <c r="G7748"/>
    </row>
    <row r="7749" spans="2:7">
      <c r="B7749"/>
      <c r="C7749"/>
      <c r="D7749"/>
      <c r="G7749"/>
    </row>
    <row r="7750" spans="2:7">
      <c r="B7750"/>
      <c r="C7750"/>
      <c r="D7750"/>
      <c r="G7750"/>
    </row>
    <row r="7751" spans="2:7">
      <c r="B7751"/>
      <c r="C7751"/>
      <c r="D7751"/>
      <c r="G7751"/>
    </row>
    <row r="7752" spans="2:7">
      <c r="B7752"/>
      <c r="C7752"/>
      <c r="D7752"/>
      <c r="G7752"/>
    </row>
    <row r="7753" spans="2:7">
      <c r="B7753"/>
      <c r="C7753"/>
      <c r="D7753"/>
      <c r="G7753"/>
    </row>
    <row r="7754" spans="2:7">
      <c r="B7754"/>
      <c r="C7754"/>
      <c r="D7754"/>
      <c r="G7754"/>
    </row>
    <row r="7755" spans="2:7">
      <c r="B7755"/>
      <c r="C7755"/>
      <c r="D7755"/>
      <c r="G7755"/>
    </row>
    <row r="7756" spans="2:7">
      <c r="B7756"/>
      <c r="C7756"/>
      <c r="D7756"/>
      <c r="G7756"/>
    </row>
    <row r="7757" spans="2:7">
      <c r="B7757"/>
      <c r="C7757"/>
      <c r="D7757"/>
      <c r="G7757"/>
    </row>
    <row r="7758" spans="2:7">
      <c r="B7758"/>
      <c r="C7758"/>
      <c r="D7758"/>
      <c r="G7758"/>
    </row>
    <row r="7759" spans="2:7">
      <c r="B7759"/>
      <c r="C7759"/>
      <c r="D7759"/>
      <c r="G7759"/>
    </row>
    <row r="7760" spans="2:7">
      <c r="B7760"/>
      <c r="C7760"/>
      <c r="D7760"/>
      <c r="G7760"/>
    </row>
    <row r="7761" spans="2:7">
      <c r="B7761"/>
      <c r="C7761"/>
      <c r="D7761"/>
      <c r="G7761"/>
    </row>
    <row r="7762" spans="2:7">
      <c r="B7762"/>
      <c r="C7762"/>
      <c r="D7762"/>
      <c r="G7762"/>
    </row>
    <row r="7763" spans="2:7">
      <c r="B7763"/>
      <c r="C7763"/>
      <c r="D7763"/>
      <c r="G7763"/>
    </row>
    <row r="7764" spans="2:7">
      <c r="B7764"/>
      <c r="C7764"/>
      <c r="D7764"/>
      <c r="G7764"/>
    </row>
    <row r="7765" spans="2:7">
      <c r="B7765"/>
      <c r="C7765"/>
      <c r="D7765"/>
      <c r="G7765"/>
    </row>
    <row r="7766" spans="2:7">
      <c r="B7766"/>
      <c r="C7766"/>
      <c r="D7766"/>
      <c r="G7766"/>
    </row>
    <row r="7767" spans="2:7">
      <c r="B7767"/>
      <c r="C7767"/>
      <c r="D7767"/>
      <c r="G7767"/>
    </row>
    <row r="7768" spans="2:7">
      <c r="B7768"/>
      <c r="C7768"/>
      <c r="D7768"/>
      <c r="G7768"/>
    </row>
    <row r="7769" spans="2:7">
      <c r="B7769"/>
      <c r="C7769"/>
      <c r="D7769"/>
      <c r="G7769"/>
    </row>
    <row r="7770" spans="2:7">
      <c r="B7770"/>
      <c r="C7770"/>
      <c r="D7770"/>
      <c r="G7770"/>
    </row>
    <row r="7771" spans="2:7">
      <c r="B7771"/>
      <c r="C7771"/>
      <c r="D7771"/>
      <c r="G7771"/>
    </row>
    <row r="7772" spans="2:7">
      <c r="B7772"/>
      <c r="C7772"/>
      <c r="D7772"/>
      <c r="G7772"/>
    </row>
    <row r="7773" spans="2:7">
      <c r="B7773"/>
      <c r="C7773"/>
      <c r="D7773"/>
      <c r="G7773"/>
    </row>
    <row r="7774" spans="2:7">
      <c r="B7774"/>
      <c r="C7774"/>
      <c r="D7774"/>
      <c r="G7774"/>
    </row>
    <row r="7775" spans="2:7">
      <c r="B7775"/>
      <c r="C7775"/>
      <c r="D7775"/>
      <c r="G7775"/>
    </row>
    <row r="7776" spans="2:7">
      <c r="B7776"/>
      <c r="C7776"/>
      <c r="D7776"/>
      <c r="G7776"/>
    </row>
    <row r="7777" spans="2:7">
      <c r="B7777"/>
      <c r="C7777"/>
      <c r="D7777"/>
      <c r="G7777"/>
    </row>
    <row r="7778" spans="2:7">
      <c r="B7778"/>
      <c r="C7778"/>
      <c r="D7778"/>
      <c r="G7778"/>
    </row>
    <row r="7779" spans="2:7">
      <c r="B7779"/>
      <c r="C7779"/>
      <c r="D7779"/>
      <c r="G7779"/>
    </row>
    <row r="7780" spans="2:7">
      <c r="B7780"/>
      <c r="C7780"/>
      <c r="D7780"/>
      <c r="G7780"/>
    </row>
    <row r="7781" spans="2:7">
      <c r="B7781"/>
      <c r="C7781"/>
      <c r="D7781"/>
      <c r="G7781"/>
    </row>
    <row r="7782" spans="2:7">
      <c r="B7782"/>
      <c r="C7782"/>
      <c r="D7782"/>
      <c r="G7782"/>
    </row>
    <row r="7783" spans="2:7">
      <c r="B7783"/>
      <c r="C7783"/>
      <c r="D7783"/>
      <c r="G7783"/>
    </row>
    <row r="7784" spans="2:7">
      <c r="B7784"/>
      <c r="C7784"/>
      <c r="D7784"/>
      <c r="G7784"/>
    </row>
    <row r="7785" spans="2:7">
      <c r="B7785"/>
      <c r="C7785"/>
      <c r="D7785"/>
      <c r="G7785"/>
    </row>
    <row r="7786" spans="2:7">
      <c r="B7786"/>
      <c r="C7786"/>
      <c r="D7786"/>
      <c r="G7786"/>
    </row>
    <row r="7787" spans="2:7">
      <c r="B7787"/>
      <c r="C7787"/>
      <c r="D7787"/>
      <c r="G7787"/>
    </row>
    <row r="7788" spans="2:7">
      <c r="B7788"/>
      <c r="C7788"/>
      <c r="D7788"/>
      <c r="G7788"/>
    </row>
    <row r="7789" spans="2:7">
      <c r="B7789"/>
      <c r="C7789"/>
      <c r="D7789"/>
      <c r="G7789"/>
    </row>
    <row r="7790" spans="2:7">
      <c r="B7790"/>
      <c r="C7790"/>
      <c r="D7790"/>
      <c r="G7790"/>
    </row>
    <row r="7791" spans="2:7">
      <c r="B7791"/>
      <c r="C7791"/>
      <c r="D7791"/>
      <c r="G7791"/>
    </row>
    <row r="7792" spans="2:7">
      <c r="B7792"/>
      <c r="C7792"/>
      <c r="D7792"/>
      <c r="G7792"/>
    </row>
    <row r="7793" spans="2:7">
      <c r="B7793"/>
      <c r="C7793"/>
      <c r="D7793"/>
      <c r="G7793"/>
    </row>
    <row r="7794" spans="2:7">
      <c r="B7794"/>
      <c r="C7794"/>
      <c r="D7794"/>
      <c r="G7794"/>
    </row>
    <row r="7795" spans="2:7">
      <c r="B7795"/>
      <c r="C7795"/>
      <c r="D7795"/>
      <c r="G7795"/>
    </row>
    <row r="7796" spans="2:7">
      <c r="B7796"/>
      <c r="C7796"/>
      <c r="D7796"/>
      <c r="G7796"/>
    </row>
    <row r="7797" spans="2:7">
      <c r="B7797"/>
      <c r="C7797"/>
      <c r="D7797"/>
      <c r="G7797"/>
    </row>
    <row r="7798" spans="2:7">
      <c r="B7798"/>
      <c r="C7798"/>
      <c r="D7798"/>
      <c r="G7798"/>
    </row>
    <row r="7799" spans="2:7">
      <c r="B7799"/>
      <c r="C7799"/>
      <c r="D7799"/>
      <c r="G7799"/>
    </row>
    <row r="7800" spans="2:7">
      <c r="B7800"/>
      <c r="C7800"/>
      <c r="D7800"/>
      <c r="G7800"/>
    </row>
    <row r="7801" spans="2:7">
      <c r="B7801"/>
      <c r="C7801"/>
      <c r="D7801"/>
      <c r="G7801"/>
    </row>
    <row r="7802" spans="2:7">
      <c r="B7802"/>
      <c r="C7802"/>
      <c r="D7802"/>
      <c r="G7802"/>
    </row>
    <row r="7803" spans="2:7">
      <c r="B7803"/>
      <c r="C7803"/>
      <c r="D7803"/>
      <c r="G7803"/>
    </row>
    <row r="7804" spans="2:7">
      <c r="B7804"/>
      <c r="C7804"/>
      <c r="D7804"/>
      <c r="G7804"/>
    </row>
    <row r="7805" spans="2:7">
      <c r="B7805"/>
      <c r="C7805"/>
      <c r="D7805"/>
      <c r="G7805"/>
    </row>
    <row r="7806" spans="2:7">
      <c r="B7806"/>
      <c r="C7806"/>
      <c r="D7806"/>
      <c r="G7806"/>
    </row>
    <row r="7807" spans="2:7">
      <c r="B7807"/>
      <c r="C7807"/>
      <c r="D7807"/>
      <c r="G7807"/>
    </row>
    <row r="7808" spans="2:7">
      <c r="B7808"/>
      <c r="C7808"/>
      <c r="D7808"/>
      <c r="G7808"/>
    </row>
    <row r="7809" spans="2:7">
      <c r="B7809"/>
      <c r="C7809"/>
      <c r="D7809"/>
      <c r="G7809"/>
    </row>
    <row r="7810" spans="2:7">
      <c r="B7810"/>
      <c r="C7810"/>
      <c r="D7810"/>
      <c r="G7810"/>
    </row>
    <row r="7811" spans="2:7">
      <c r="B7811"/>
      <c r="C7811"/>
      <c r="D7811"/>
      <c r="G7811"/>
    </row>
    <row r="7812" spans="2:7">
      <c r="B7812"/>
      <c r="C7812"/>
      <c r="D7812"/>
      <c r="G7812"/>
    </row>
    <row r="7813" spans="2:7">
      <c r="B7813"/>
      <c r="C7813"/>
      <c r="D7813"/>
      <c r="G7813"/>
    </row>
    <row r="7814" spans="2:7">
      <c r="B7814"/>
      <c r="C7814"/>
      <c r="D7814"/>
      <c r="G7814"/>
    </row>
    <row r="7815" spans="2:7">
      <c r="B7815"/>
      <c r="C7815"/>
      <c r="D7815"/>
      <c r="G7815"/>
    </row>
    <row r="7816" spans="2:7">
      <c r="B7816"/>
      <c r="C7816"/>
      <c r="D7816"/>
      <c r="G7816"/>
    </row>
    <row r="7817" spans="2:7">
      <c r="B7817"/>
      <c r="C7817"/>
      <c r="D7817"/>
      <c r="G7817"/>
    </row>
    <row r="7818" spans="2:7">
      <c r="B7818"/>
      <c r="C7818"/>
      <c r="D7818"/>
      <c r="G7818"/>
    </row>
    <row r="7819" spans="2:7">
      <c r="B7819"/>
      <c r="C7819"/>
      <c r="D7819"/>
      <c r="G7819"/>
    </row>
    <row r="7820" spans="2:7">
      <c r="B7820"/>
      <c r="C7820"/>
      <c r="D7820"/>
      <c r="G7820"/>
    </row>
    <row r="7821" spans="2:7">
      <c r="B7821"/>
      <c r="C7821"/>
      <c r="D7821"/>
      <c r="G7821"/>
    </row>
    <row r="7822" spans="2:7">
      <c r="B7822"/>
      <c r="C7822"/>
      <c r="D7822"/>
      <c r="G7822"/>
    </row>
    <row r="7823" spans="2:7">
      <c r="B7823"/>
      <c r="C7823"/>
      <c r="D7823"/>
      <c r="G7823"/>
    </row>
    <row r="7824" spans="2:7">
      <c r="B7824"/>
      <c r="C7824"/>
      <c r="D7824"/>
      <c r="G7824"/>
    </row>
    <row r="7825" spans="2:7">
      <c r="B7825"/>
      <c r="C7825"/>
      <c r="D7825"/>
      <c r="G7825"/>
    </row>
    <row r="7826" spans="2:7">
      <c r="B7826"/>
      <c r="C7826"/>
      <c r="D7826"/>
      <c r="G7826"/>
    </row>
    <row r="7827" spans="2:7">
      <c r="B7827"/>
      <c r="C7827"/>
      <c r="D7827"/>
      <c r="G7827"/>
    </row>
    <row r="7828" spans="2:7">
      <c r="B7828"/>
      <c r="C7828"/>
      <c r="D7828"/>
      <c r="G7828"/>
    </row>
    <row r="7829" spans="2:7">
      <c r="B7829"/>
      <c r="C7829"/>
      <c r="D7829"/>
      <c r="G7829"/>
    </row>
    <row r="7830" spans="2:7">
      <c r="B7830"/>
      <c r="C7830"/>
      <c r="D7830"/>
      <c r="G7830"/>
    </row>
    <row r="7831" spans="2:7">
      <c r="B7831"/>
      <c r="C7831"/>
      <c r="D7831"/>
      <c r="G7831"/>
    </row>
    <row r="7832" spans="2:7">
      <c r="B7832"/>
      <c r="C7832"/>
      <c r="D7832"/>
      <c r="G7832"/>
    </row>
    <row r="7833" spans="2:7">
      <c r="B7833"/>
      <c r="C7833"/>
      <c r="D7833"/>
      <c r="G7833"/>
    </row>
    <row r="7834" spans="2:7">
      <c r="B7834"/>
      <c r="C7834"/>
      <c r="D7834"/>
      <c r="G7834"/>
    </row>
    <row r="7835" spans="2:7">
      <c r="B7835"/>
      <c r="C7835"/>
      <c r="D7835"/>
      <c r="G7835"/>
    </row>
    <row r="7836" spans="2:7">
      <c r="B7836"/>
      <c r="C7836"/>
      <c r="D7836"/>
      <c r="G7836"/>
    </row>
    <row r="7837" spans="2:7">
      <c r="B7837"/>
      <c r="C7837"/>
      <c r="D7837"/>
      <c r="G7837"/>
    </row>
    <row r="7838" spans="2:7">
      <c r="B7838"/>
      <c r="C7838"/>
      <c r="D7838"/>
      <c r="G7838"/>
    </row>
    <row r="7839" spans="2:7">
      <c r="B7839"/>
      <c r="C7839"/>
      <c r="D7839"/>
      <c r="G7839"/>
    </row>
    <row r="7840" spans="2:7">
      <c r="B7840"/>
      <c r="C7840"/>
      <c r="D7840"/>
      <c r="G7840"/>
    </row>
    <row r="7841" spans="2:7">
      <c r="B7841"/>
      <c r="C7841"/>
      <c r="D7841"/>
      <c r="G7841"/>
    </row>
    <row r="7842" spans="2:7">
      <c r="B7842"/>
      <c r="C7842"/>
      <c r="D7842"/>
      <c r="G7842"/>
    </row>
    <row r="7843" spans="2:7">
      <c r="B7843"/>
      <c r="C7843"/>
      <c r="D7843"/>
      <c r="G7843"/>
    </row>
    <row r="7844" spans="2:7">
      <c r="B7844"/>
      <c r="C7844"/>
      <c r="D7844"/>
      <c r="G7844"/>
    </row>
    <row r="7845" spans="2:7">
      <c r="B7845"/>
      <c r="C7845"/>
      <c r="D7845"/>
      <c r="G7845"/>
    </row>
    <row r="7846" spans="2:7">
      <c r="B7846"/>
      <c r="C7846"/>
      <c r="D7846"/>
      <c r="G7846"/>
    </row>
    <row r="7847" spans="2:7">
      <c r="B7847"/>
      <c r="C7847"/>
      <c r="D7847"/>
      <c r="G7847"/>
    </row>
    <row r="7848" spans="2:7">
      <c r="B7848"/>
      <c r="C7848"/>
      <c r="D7848"/>
      <c r="G7848"/>
    </row>
    <row r="7849" spans="2:7">
      <c r="B7849"/>
      <c r="C7849"/>
      <c r="D7849"/>
      <c r="G7849"/>
    </row>
    <row r="7850" spans="2:7">
      <c r="B7850"/>
      <c r="C7850"/>
      <c r="D7850"/>
      <c r="G7850"/>
    </row>
    <row r="7851" spans="2:7">
      <c r="B7851"/>
      <c r="C7851"/>
      <c r="D7851"/>
      <c r="G7851"/>
    </row>
    <row r="7852" spans="2:7">
      <c r="B7852"/>
      <c r="C7852"/>
      <c r="D7852"/>
      <c r="G7852"/>
    </row>
    <row r="7853" spans="2:7">
      <c r="B7853"/>
      <c r="C7853"/>
      <c r="D7853"/>
      <c r="G7853"/>
    </row>
    <row r="7854" spans="2:7">
      <c r="B7854"/>
      <c r="C7854"/>
      <c r="D7854"/>
      <c r="G7854"/>
    </row>
    <row r="7855" spans="2:7">
      <c r="B7855"/>
      <c r="C7855"/>
      <c r="D7855"/>
      <c r="G7855"/>
    </row>
    <row r="7856" spans="2:7">
      <c r="B7856"/>
      <c r="C7856"/>
      <c r="D7856"/>
      <c r="G7856"/>
    </row>
    <row r="7857" spans="2:7">
      <c r="B7857"/>
      <c r="C7857"/>
      <c r="D7857"/>
      <c r="G7857"/>
    </row>
    <row r="7858" spans="2:7">
      <c r="B7858"/>
      <c r="C7858"/>
      <c r="D7858"/>
      <c r="G7858"/>
    </row>
    <row r="7859" spans="2:7">
      <c r="B7859"/>
      <c r="C7859"/>
      <c r="D7859"/>
      <c r="G7859"/>
    </row>
    <row r="7860" spans="2:7">
      <c r="B7860"/>
      <c r="C7860"/>
      <c r="D7860"/>
      <c r="G7860"/>
    </row>
    <row r="7861" spans="2:7">
      <c r="B7861"/>
      <c r="C7861"/>
      <c r="D7861"/>
      <c r="G7861"/>
    </row>
    <row r="7862" spans="2:7">
      <c r="B7862"/>
      <c r="C7862"/>
      <c r="D7862"/>
      <c r="G7862"/>
    </row>
    <row r="7863" spans="2:7">
      <c r="B7863"/>
      <c r="C7863"/>
      <c r="D7863"/>
      <c r="G7863"/>
    </row>
    <row r="7864" spans="2:7">
      <c r="B7864"/>
      <c r="C7864"/>
      <c r="D7864"/>
      <c r="G7864"/>
    </row>
    <row r="7865" spans="2:7">
      <c r="B7865"/>
      <c r="C7865"/>
      <c r="D7865"/>
      <c r="G7865"/>
    </row>
    <row r="7866" spans="2:7">
      <c r="B7866"/>
      <c r="C7866"/>
      <c r="D7866"/>
      <c r="G7866"/>
    </row>
    <row r="7867" spans="2:7">
      <c r="B7867"/>
      <c r="C7867"/>
      <c r="D7867"/>
      <c r="G7867"/>
    </row>
    <row r="7868" spans="2:7">
      <c r="B7868"/>
      <c r="C7868"/>
      <c r="D7868"/>
      <c r="G7868"/>
    </row>
    <row r="7869" spans="2:7">
      <c r="B7869"/>
      <c r="C7869"/>
      <c r="D7869"/>
      <c r="G7869"/>
    </row>
    <row r="7870" spans="2:7">
      <c r="B7870"/>
      <c r="C7870"/>
      <c r="D7870"/>
      <c r="G7870"/>
    </row>
    <row r="7871" spans="2:7">
      <c r="B7871"/>
      <c r="C7871"/>
      <c r="D7871"/>
      <c r="G7871"/>
    </row>
    <row r="7872" spans="2:7">
      <c r="B7872"/>
      <c r="C7872"/>
      <c r="D7872"/>
      <c r="G7872"/>
    </row>
    <row r="7873" spans="2:7">
      <c r="B7873"/>
      <c r="C7873"/>
      <c r="D7873"/>
      <c r="G7873"/>
    </row>
    <row r="7874" spans="2:7">
      <c r="B7874"/>
      <c r="C7874"/>
      <c r="D7874"/>
      <c r="G7874"/>
    </row>
    <row r="7875" spans="2:7">
      <c r="B7875"/>
      <c r="C7875"/>
      <c r="D7875"/>
      <c r="G7875"/>
    </row>
    <row r="7876" spans="2:7">
      <c r="B7876"/>
      <c r="C7876"/>
      <c r="D7876"/>
      <c r="G7876"/>
    </row>
    <row r="7877" spans="2:7">
      <c r="B7877"/>
      <c r="C7877"/>
      <c r="D7877"/>
      <c r="G7877"/>
    </row>
    <row r="7878" spans="2:7">
      <c r="B7878"/>
      <c r="C7878"/>
      <c r="D7878"/>
      <c r="G7878"/>
    </row>
    <row r="7879" spans="2:7">
      <c r="B7879"/>
      <c r="C7879"/>
      <c r="D7879"/>
      <c r="G7879"/>
    </row>
    <row r="7880" spans="2:7">
      <c r="B7880"/>
      <c r="C7880"/>
      <c r="D7880"/>
      <c r="G7880"/>
    </row>
    <row r="7881" spans="2:7">
      <c r="B7881"/>
      <c r="C7881"/>
      <c r="D7881"/>
      <c r="G7881"/>
    </row>
    <row r="7882" spans="2:7">
      <c r="B7882"/>
      <c r="C7882"/>
      <c r="D7882"/>
      <c r="G7882"/>
    </row>
    <row r="7883" spans="2:7">
      <c r="B7883"/>
      <c r="C7883"/>
      <c r="D7883"/>
      <c r="G7883"/>
    </row>
    <row r="7884" spans="2:7">
      <c r="B7884"/>
      <c r="C7884"/>
      <c r="D7884"/>
      <c r="G7884"/>
    </row>
    <row r="7885" spans="2:7">
      <c r="B7885"/>
      <c r="C7885"/>
      <c r="D7885"/>
      <c r="G7885"/>
    </row>
    <row r="7886" spans="2:7">
      <c r="B7886"/>
      <c r="C7886"/>
      <c r="D7886"/>
      <c r="G7886"/>
    </row>
    <row r="7887" spans="2:7">
      <c r="B7887"/>
      <c r="C7887"/>
      <c r="D7887"/>
      <c r="G7887"/>
    </row>
    <row r="7888" spans="2:7">
      <c r="B7888"/>
      <c r="C7888"/>
      <c r="D7888"/>
      <c r="G7888"/>
    </row>
    <row r="7889" spans="2:7">
      <c r="B7889"/>
      <c r="C7889"/>
      <c r="D7889"/>
      <c r="G7889"/>
    </row>
    <row r="7890" spans="2:7">
      <c r="B7890"/>
      <c r="C7890"/>
      <c r="D7890"/>
      <c r="G7890"/>
    </row>
    <row r="7891" spans="2:7">
      <c r="B7891"/>
      <c r="C7891"/>
      <c r="D7891"/>
      <c r="G7891"/>
    </row>
    <row r="7892" spans="2:7">
      <c r="B7892"/>
      <c r="C7892"/>
      <c r="D7892"/>
      <c r="G7892"/>
    </row>
    <row r="7893" spans="2:7">
      <c r="B7893"/>
      <c r="C7893"/>
      <c r="D7893"/>
      <c r="G7893"/>
    </row>
    <row r="7894" spans="2:7">
      <c r="B7894"/>
      <c r="C7894"/>
      <c r="D7894"/>
      <c r="G7894"/>
    </row>
    <row r="7895" spans="2:7">
      <c r="B7895"/>
      <c r="C7895"/>
      <c r="D7895"/>
      <c r="G7895"/>
    </row>
    <row r="7896" spans="2:7">
      <c r="B7896"/>
      <c r="C7896"/>
      <c r="D7896"/>
      <c r="G7896"/>
    </row>
    <row r="7897" spans="2:7">
      <c r="B7897"/>
      <c r="C7897"/>
      <c r="D7897"/>
      <c r="G7897"/>
    </row>
    <row r="7898" spans="2:7">
      <c r="B7898"/>
      <c r="C7898"/>
      <c r="D7898"/>
      <c r="G7898"/>
    </row>
    <row r="7899" spans="2:7">
      <c r="B7899"/>
      <c r="C7899"/>
      <c r="D7899"/>
      <c r="G7899"/>
    </row>
    <row r="7900" spans="2:7">
      <c r="B7900"/>
      <c r="C7900"/>
      <c r="D7900"/>
      <c r="G7900"/>
    </row>
    <row r="7901" spans="2:7">
      <c r="B7901"/>
      <c r="C7901"/>
      <c r="D7901"/>
      <c r="G7901"/>
    </row>
    <row r="7902" spans="2:7">
      <c r="B7902"/>
      <c r="C7902"/>
      <c r="D7902"/>
      <c r="G7902"/>
    </row>
    <row r="7903" spans="2:7">
      <c r="B7903"/>
      <c r="C7903"/>
      <c r="D7903"/>
      <c r="G7903"/>
    </row>
    <row r="7904" spans="2:7">
      <c r="B7904"/>
      <c r="C7904"/>
      <c r="D7904"/>
      <c r="G7904"/>
    </row>
    <row r="7905" spans="2:7">
      <c r="B7905"/>
      <c r="C7905"/>
      <c r="D7905"/>
      <c r="G7905"/>
    </row>
    <row r="7906" spans="2:7">
      <c r="B7906"/>
      <c r="C7906"/>
      <c r="D7906"/>
      <c r="G7906"/>
    </row>
    <row r="7907" spans="2:7">
      <c r="B7907"/>
      <c r="C7907"/>
      <c r="D7907"/>
      <c r="G7907"/>
    </row>
    <row r="7908" spans="2:7">
      <c r="B7908"/>
      <c r="C7908"/>
      <c r="D7908"/>
      <c r="G7908"/>
    </row>
    <row r="7909" spans="2:7">
      <c r="B7909"/>
      <c r="C7909"/>
      <c r="D7909"/>
      <c r="G7909"/>
    </row>
    <row r="7910" spans="2:7">
      <c r="B7910"/>
      <c r="C7910"/>
      <c r="D7910"/>
      <c r="G7910"/>
    </row>
    <row r="7911" spans="2:7">
      <c r="B7911"/>
      <c r="C7911"/>
      <c r="D7911"/>
      <c r="G7911"/>
    </row>
    <row r="7912" spans="2:7">
      <c r="B7912"/>
      <c r="C7912"/>
      <c r="D7912"/>
      <c r="G7912"/>
    </row>
    <row r="7913" spans="2:7">
      <c r="B7913"/>
      <c r="C7913"/>
      <c r="D7913"/>
      <c r="G7913"/>
    </row>
    <row r="7914" spans="2:7">
      <c r="B7914"/>
      <c r="C7914"/>
      <c r="D7914"/>
      <c r="G7914"/>
    </row>
    <row r="7915" spans="2:7">
      <c r="B7915"/>
      <c r="C7915"/>
      <c r="D7915"/>
      <c r="G7915"/>
    </row>
    <row r="7916" spans="2:7">
      <c r="B7916"/>
      <c r="C7916"/>
      <c r="D7916"/>
      <c r="G7916"/>
    </row>
    <row r="7917" spans="2:7">
      <c r="B7917"/>
      <c r="C7917"/>
      <c r="D7917"/>
      <c r="G7917"/>
    </row>
    <row r="7918" spans="2:7">
      <c r="B7918"/>
      <c r="C7918"/>
      <c r="D7918"/>
      <c r="G7918"/>
    </row>
    <row r="7919" spans="2:7">
      <c r="B7919"/>
      <c r="C7919"/>
      <c r="D7919"/>
      <c r="G7919"/>
    </row>
    <row r="7920" spans="2:7">
      <c r="B7920"/>
      <c r="C7920"/>
      <c r="D7920"/>
      <c r="G7920"/>
    </row>
    <row r="7921" spans="2:7">
      <c r="B7921"/>
      <c r="C7921"/>
      <c r="D7921"/>
      <c r="G7921"/>
    </row>
    <row r="7922" spans="2:7">
      <c r="B7922"/>
      <c r="C7922"/>
      <c r="D7922"/>
      <c r="G7922"/>
    </row>
    <row r="7923" spans="2:7">
      <c r="B7923"/>
      <c r="C7923"/>
      <c r="D7923"/>
      <c r="G7923"/>
    </row>
    <row r="7924" spans="2:7">
      <c r="B7924"/>
      <c r="C7924"/>
      <c r="D7924"/>
      <c r="G7924"/>
    </row>
    <row r="7925" spans="2:7">
      <c r="B7925"/>
      <c r="C7925"/>
      <c r="D7925"/>
      <c r="G7925"/>
    </row>
    <row r="7926" spans="2:7">
      <c r="B7926"/>
      <c r="C7926"/>
      <c r="D7926"/>
      <c r="G7926"/>
    </row>
    <row r="7927" spans="2:7">
      <c r="B7927"/>
      <c r="C7927"/>
      <c r="D7927"/>
      <c r="G7927"/>
    </row>
    <row r="7928" spans="2:7">
      <c r="B7928"/>
      <c r="C7928"/>
      <c r="D7928"/>
      <c r="G7928"/>
    </row>
    <row r="7929" spans="2:7">
      <c r="B7929"/>
      <c r="C7929"/>
      <c r="D7929"/>
      <c r="G7929"/>
    </row>
    <row r="7930" spans="2:7">
      <c r="B7930"/>
      <c r="C7930"/>
      <c r="D7930"/>
      <c r="G7930"/>
    </row>
    <row r="7931" spans="2:7">
      <c r="B7931"/>
      <c r="C7931"/>
      <c r="D7931"/>
      <c r="G7931"/>
    </row>
    <row r="7932" spans="2:7">
      <c r="B7932"/>
      <c r="C7932"/>
      <c r="D7932"/>
      <c r="G7932"/>
    </row>
    <row r="7933" spans="2:7">
      <c r="B7933"/>
      <c r="C7933"/>
      <c r="D7933"/>
      <c r="G7933"/>
    </row>
    <row r="7934" spans="2:7">
      <c r="B7934"/>
      <c r="C7934"/>
      <c r="D7934"/>
      <c r="G7934"/>
    </row>
    <row r="7935" spans="2:7">
      <c r="B7935"/>
      <c r="C7935"/>
      <c r="D7935"/>
      <c r="G7935"/>
    </row>
    <row r="7936" spans="2:7">
      <c r="B7936"/>
      <c r="C7936"/>
      <c r="D7936"/>
      <c r="G7936"/>
    </row>
    <row r="7937" spans="2:7">
      <c r="B7937"/>
      <c r="C7937"/>
      <c r="D7937"/>
      <c r="G7937"/>
    </row>
    <row r="7938" spans="2:7">
      <c r="B7938"/>
      <c r="C7938"/>
      <c r="D7938"/>
      <c r="G7938"/>
    </row>
    <row r="7939" spans="2:7">
      <c r="B7939"/>
      <c r="C7939"/>
      <c r="D7939"/>
      <c r="G7939"/>
    </row>
    <row r="7940" spans="2:7">
      <c r="B7940"/>
      <c r="C7940"/>
      <c r="D7940"/>
      <c r="G7940"/>
    </row>
    <row r="7941" spans="2:7">
      <c r="B7941"/>
      <c r="C7941"/>
      <c r="D7941"/>
      <c r="G7941"/>
    </row>
    <row r="7942" spans="2:7">
      <c r="B7942"/>
      <c r="C7942"/>
      <c r="D7942"/>
      <c r="G7942"/>
    </row>
    <row r="7943" spans="2:7">
      <c r="B7943"/>
      <c r="C7943"/>
      <c r="D7943"/>
      <c r="G7943"/>
    </row>
    <row r="7944" spans="2:7">
      <c r="B7944"/>
      <c r="C7944"/>
      <c r="D7944"/>
      <c r="G7944"/>
    </row>
    <row r="7945" spans="2:7">
      <c r="B7945"/>
      <c r="C7945"/>
      <c r="D7945"/>
      <c r="G7945"/>
    </row>
    <row r="7946" spans="2:7">
      <c r="B7946"/>
      <c r="C7946"/>
      <c r="D7946"/>
      <c r="G7946"/>
    </row>
    <row r="7947" spans="2:7">
      <c r="B7947"/>
      <c r="C7947"/>
      <c r="D7947"/>
      <c r="G7947"/>
    </row>
    <row r="7948" spans="2:7">
      <c r="B7948"/>
      <c r="C7948"/>
      <c r="D7948"/>
      <c r="G7948"/>
    </row>
    <row r="7949" spans="2:7">
      <c r="B7949"/>
      <c r="C7949"/>
      <c r="D7949"/>
      <c r="G7949"/>
    </row>
    <row r="7950" spans="2:7">
      <c r="B7950"/>
      <c r="C7950"/>
      <c r="D7950"/>
      <c r="G7950"/>
    </row>
    <row r="7951" spans="2:7">
      <c r="B7951"/>
      <c r="C7951"/>
      <c r="D7951"/>
      <c r="G7951"/>
    </row>
    <row r="7952" spans="2:7">
      <c r="B7952"/>
      <c r="C7952"/>
      <c r="D7952"/>
      <c r="G7952"/>
    </row>
    <row r="7953" spans="2:7">
      <c r="B7953"/>
      <c r="C7953"/>
      <c r="D7953"/>
      <c r="G7953"/>
    </row>
    <row r="7954" spans="2:7">
      <c r="B7954"/>
      <c r="C7954"/>
      <c r="D7954"/>
      <c r="G7954"/>
    </row>
    <row r="7955" spans="2:7">
      <c r="B7955"/>
      <c r="C7955"/>
      <c r="D7955"/>
      <c r="G7955"/>
    </row>
    <row r="7956" spans="2:7">
      <c r="B7956"/>
      <c r="C7956"/>
      <c r="D7956"/>
      <c r="G7956"/>
    </row>
    <row r="7957" spans="2:7">
      <c r="B7957"/>
      <c r="C7957"/>
      <c r="D7957"/>
      <c r="G7957"/>
    </row>
    <row r="7958" spans="2:7">
      <c r="B7958"/>
      <c r="C7958"/>
      <c r="D7958"/>
      <c r="G7958"/>
    </row>
    <row r="7959" spans="2:7">
      <c r="B7959"/>
      <c r="C7959"/>
      <c r="D7959"/>
      <c r="G7959"/>
    </row>
    <row r="7960" spans="2:7">
      <c r="B7960"/>
      <c r="C7960"/>
      <c r="D7960"/>
      <c r="G7960"/>
    </row>
    <row r="7961" spans="2:7">
      <c r="B7961"/>
      <c r="C7961"/>
      <c r="D7961"/>
      <c r="G7961"/>
    </row>
    <row r="7962" spans="2:7">
      <c r="B7962"/>
      <c r="C7962"/>
      <c r="D7962"/>
      <c r="G7962"/>
    </row>
    <row r="7963" spans="2:7">
      <c r="B7963"/>
      <c r="C7963"/>
      <c r="D7963"/>
      <c r="G7963"/>
    </row>
    <row r="7964" spans="2:7">
      <c r="B7964"/>
      <c r="C7964"/>
      <c r="D7964"/>
      <c r="G7964"/>
    </row>
    <row r="7965" spans="2:7">
      <c r="B7965"/>
      <c r="C7965"/>
      <c r="D7965"/>
      <c r="G7965"/>
    </row>
    <row r="7966" spans="2:7">
      <c r="B7966"/>
      <c r="C7966"/>
      <c r="D7966"/>
      <c r="G7966"/>
    </row>
    <row r="7967" spans="2:7">
      <c r="B7967"/>
      <c r="C7967"/>
      <c r="D7967"/>
      <c r="G7967"/>
    </row>
    <row r="7968" spans="2:7">
      <c r="B7968"/>
      <c r="C7968"/>
      <c r="D7968"/>
      <c r="G7968"/>
    </row>
    <row r="7969" spans="2:7">
      <c r="B7969"/>
      <c r="C7969"/>
      <c r="D7969"/>
      <c r="G7969"/>
    </row>
    <row r="7970" spans="2:7">
      <c r="B7970"/>
      <c r="C7970"/>
      <c r="D7970"/>
      <c r="G7970"/>
    </row>
    <row r="7971" spans="2:7">
      <c r="B7971"/>
      <c r="C7971"/>
      <c r="D7971"/>
      <c r="G7971"/>
    </row>
    <row r="7972" spans="2:7">
      <c r="B7972"/>
      <c r="C7972"/>
      <c r="D7972"/>
      <c r="G7972"/>
    </row>
    <row r="7973" spans="2:7">
      <c r="B7973"/>
      <c r="C7973"/>
      <c r="D7973"/>
      <c r="G7973"/>
    </row>
    <row r="7974" spans="2:7">
      <c r="B7974"/>
      <c r="C7974"/>
      <c r="D7974"/>
      <c r="G7974"/>
    </row>
    <row r="7975" spans="2:7">
      <c r="B7975"/>
      <c r="C7975"/>
      <c r="D7975"/>
      <c r="G7975"/>
    </row>
    <row r="7976" spans="2:7">
      <c r="B7976"/>
      <c r="C7976"/>
      <c r="D7976"/>
      <c r="G7976"/>
    </row>
    <row r="7977" spans="2:7">
      <c r="B7977"/>
      <c r="C7977"/>
      <c r="D7977"/>
      <c r="G7977"/>
    </row>
    <row r="7978" spans="2:7">
      <c r="B7978"/>
      <c r="C7978"/>
      <c r="D7978"/>
      <c r="G7978"/>
    </row>
    <row r="7979" spans="2:7">
      <c r="B7979"/>
      <c r="C7979"/>
      <c r="D7979"/>
      <c r="G7979"/>
    </row>
    <row r="7980" spans="2:7">
      <c r="B7980"/>
      <c r="C7980"/>
      <c r="D7980"/>
      <c r="G7980"/>
    </row>
    <row r="7981" spans="2:7">
      <c r="B7981"/>
      <c r="C7981"/>
      <c r="D7981"/>
      <c r="G7981"/>
    </row>
    <row r="7982" spans="2:7">
      <c r="B7982"/>
      <c r="C7982"/>
      <c r="D7982"/>
      <c r="G7982"/>
    </row>
    <row r="7983" spans="2:7">
      <c r="B7983"/>
      <c r="C7983"/>
      <c r="D7983"/>
      <c r="G7983"/>
    </row>
    <row r="7984" spans="2:7">
      <c r="B7984"/>
      <c r="C7984"/>
      <c r="D7984"/>
      <c r="G7984"/>
    </row>
    <row r="7985" spans="2:7">
      <c r="B7985"/>
      <c r="C7985"/>
      <c r="D7985"/>
      <c r="G7985"/>
    </row>
    <row r="7986" spans="2:7">
      <c r="B7986"/>
      <c r="C7986"/>
      <c r="D7986"/>
      <c r="G7986"/>
    </row>
    <row r="7987" spans="2:7">
      <c r="B7987"/>
      <c r="C7987"/>
      <c r="D7987"/>
      <c r="G7987"/>
    </row>
    <row r="7988" spans="2:7">
      <c r="B7988"/>
      <c r="C7988"/>
      <c r="D7988"/>
      <c r="G7988"/>
    </row>
    <row r="7989" spans="2:7">
      <c r="B7989"/>
      <c r="C7989"/>
      <c r="D7989"/>
      <c r="G7989"/>
    </row>
    <row r="7990" spans="2:7">
      <c r="B7990"/>
      <c r="C7990"/>
      <c r="D7990"/>
      <c r="G7990"/>
    </row>
    <row r="7991" spans="2:7">
      <c r="B7991"/>
      <c r="C7991"/>
      <c r="D7991"/>
      <c r="G7991"/>
    </row>
    <row r="7992" spans="2:7">
      <c r="B7992"/>
      <c r="C7992"/>
      <c r="D7992"/>
      <c r="G7992"/>
    </row>
    <row r="7993" spans="2:7">
      <c r="B7993"/>
      <c r="C7993"/>
      <c r="D7993"/>
      <c r="G7993"/>
    </row>
    <row r="7994" spans="2:7">
      <c r="B7994"/>
      <c r="C7994"/>
      <c r="D7994"/>
      <c r="G7994"/>
    </row>
    <row r="7995" spans="2:7">
      <c r="B7995"/>
      <c r="C7995"/>
      <c r="D7995"/>
      <c r="G7995"/>
    </row>
    <row r="7996" spans="2:7">
      <c r="B7996"/>
      <c r="C7996"/>
      <c r="D7996"/>
      <c r="G7996"/>
    </row>
    <row r="7997" spans="2:7">
      <c r="B7997"/>
      <c r="C7997"/>
      <c r="D7997"/>
      <c r="G7997"/>
    </row>
    <row r="7998" spans="2:7">
      <c r="B7998"/>
      <c r="C7998"/>
      <c r="D7998"/>
      <c r="G7998"/>
    </row>
    <row r="7999" spans="2:7">
      <c r="B7999"/>
      <c r="C7999"/>
      <c r="D7999"/>
      <c r="G7999"/>
    </row>
    <row r="8000" spans="2:7">
      <c r="B8000"/>
      <c r="C8000"/>
      <c r="D8000"/>
      <c r="G8000"/>
    </row>
    <row r="8001" spans="2:7">
      <c r="B8001"/>
      <c r="C8001"/>
      <c r="D8001"/>
      <c r="G8001"/>
    </row>
    <row r="8002" spans="2:7">
      <c r="B8002"/>
      <c r="C8002"/>
      <c r="D8002"/>
      <c r="G8002"/>
    </row>
    <row r="8003" spans="2:7">
      <c r="B8003"/>
      <c r="C8003"/>
      <c r="D8003"/>
      <c r="G8003"/>
    </row>
    <row r="8004" spans="2:7">
      <c r="B8004"/>
      <c r="C8004"/>
      <c r="D8004"/>
      <c r="G8004"/>
    </row>
    <row r="8005" spans="2:7">
      <c r="B8005"/>
      <c r="C8005"/>
      <c r="D8005"/>
      <c r="G8005"/>
    </row>
    <row r="8006" spans="2:7">
      <c r="B8006"/>
      <c r="C8006"/>
      <c r="D8006"/>
      <c r="G8006"/>
    </row>
    <row r="8007" spans="2:7">
      <c r="B8007"/>
      <c r="C8007"/>
      <c r="D8007"/>
      <c r="G8007"/>
    </row>
    <row r="8008" spans="2:7">
      <c r="B8008"/>
      <c r="C8008"/>
      <c r="D8008"/>
      <c r="G8008"/>
    </row>
    <row r="8009" spans="2:7">
      <c r="B8009"/>
      <c r="C8009"/>
      <c r="D8009"/>
      <c r="G8009"/>
    </row>
    <row r="8010" spans="2:7">
      <c r="B8010"/>
      <c r="C8010"/>
      <c r="D8010"/>
      <c r="G8010"/>
    </row>
    <row r="8011" spans="2:7">
      <c r="B8011"/>
      <c r="C8011"/>
      <c r="D8011"/>
      <c r="G8011"/>
    </row>
    <row r="8012" spans="2:7">
      <c r="B8012"/>
      <c r="C8012"/>
      <c r="D8012"/>
      <c r="G8012"/>
    </row>
    <row r="8013" spans="2:7">
      <c r="B8013"/>
      <c r="C8013"/>
      <c r="D8013"/>
      <c r="G8013"/>
    </row>
    <row r="8014" spans="2:7">
      <c r="B8014"/>
      <c r="C8014"/>
      <c r="D8014"/>
      <c r="G8014"/>
    </row>
    <row r="8015" spans="2:7">
      <c r="B8015"/>
      <c r="C8015"/>
      <c r="D8015"/>
      <c r="G8015"/>
    </row>
    <row r="8016" spans="2:7">
      <c r="B8016"/>
      <c r="C8016"/>
      <c r="D8016"/>
      <c r="G8016"/>
    </row>
    <row r="8017" spans="2:7">
      <c r="B8017"/>
      <c r="C8017"/>
      <c r="D8017"/>
      <c r="G8017"/>
    </row>
    <row r="8018" spans="2:7">
      <c r="B8018"/>
      <c r="C8018"/>
      <c r="D8018"/>
      <c r="G8018"/>
    </row>
    <row r="8019" spans="2:7">
      <c r="B8019"/>
      <c r="C8019"/>
      <c r="D8019"/>
      <c r="G8019"/>
    </row>
    <row r="8020" spans="2:7">
      <c r="B8020"/>
      <c r="C8020"/>
      <c r="D8020"/>
      <c r="G8020"/>
    </row>
    <row r="8021" spans="2:7">
      <c r="B8021"/>
      <c r="C8021"/>
      <c r="D8021"/>
      <c r="G8021"/>
    </row>
    <row r="8022" spans="2:7">
      <c r="B8022"/>
      <c r="C8022"/>
      <c r="D8022"/>
      <c r="G8022"/>
    </row>
    <row r="8023" spans="2:7">
      <c r="B8023"/>
      <c r="C8023"/>
      <c r="D8023"/>
      <c r="G8023"/>
    </row>
    <row r="8024" spans="2:7">
      <c r="B8024"/>
      <c r="C8024"/>
      <c r="D8024"/>
      <c r="G8024"/>
    </row>
    <row r="8025" spans="2:7">
      <c r="B8025"/>
      <c r="C8025"/>
      <c r="D8025"/>
      <c r="G8025"/>
    </row>
    <row r="8026" spans="2:7">
      <c r="B8026"/>
      <c r="C8026"/>
      <c r="D8026"/>
      <c r="G8026"/>
    </row>
    <row r="8027" spans="2:7">
      <c r="B8027"/>
      <c r="C8027"/>
      <c r="D8027"/>
      <c r="G8027"/>
    </row>
    <row r="8028" spans="2:7">
      <c r="B8028"/>
      <c r="C8028"/>
      <c r="D8028"/>
      <c r="G8028"/>
    </row>
    <row r="8029" spans="2:7">
      <c r="B8029"/>
      <c r="C8029"/>
      <c r="D8029"/>
      <c r="G8029"/>
    </row>
    <row r="8030" spans="2:7">
      <c r="B8030"/>
      <c r="C8030"/>
      <c r="D8030"/>
      <c r="G8030"/>
    </row>
    <row r="8031" spans="2:7">
      <c r="B8031"/>
      <c r="C8031"/>
      <c r="D8031"/>
      <c r="G8031"/>
    </row>
    <row r="8032" spans="2:7">
      <c r="B8032"/>
      <c r="C8032"/>
      <c r="D8032"/>
      <c r="G8032"/>
    </row>
    <row r="8033" spans="2:7">
      <c r="B8033"/>
      <c r="C8033"/>
      <c r="D8033"/>
      <c r="G8033"/>
    </row>
    <row r="8034" spans="2:7">
      <c r="B8034"/>
      <c r="C8034"/>
      <c r="D8034"/>
      <c r="G8034"/>
    </row>
    <row r="8035" spans="2:7">
      <c r="B8035"/>
      <c r="C8035"/>
      <c r="D8035"/>
      <c r="G8035"/>
    </row>
    <row r="8036" spans="2:7">
      <c r="B8036"/>
      <c r="C8036"/>
      <c r="D8036"/>
      <c r="G8036"/>
    </row>
    <row r="8037" spans="2:7">
      <c r="B8037"/>
      <c r="C8037"/>
      <c r="D8037"/>
      <c r="G8037"/>
    </row>
    <row r="8038" spans="2:7">
      <c r="B8038"/>
      <c r="C8038"/>
      <c r="D8038"/>
      <c r="G8038"/>
    </row>
    <row r="8039" spans="2:7">
      <c r="B8039"/>
      <c r="C8039"/>
      <c r="D8039"/>
      <c r="G8039"/>
    </row>
    <row r="8040" spans="2:7">
      <c r="B8040"/>
      <c r="C8040"/>
      <c r="D8040"/>
      <c r="G8040"/>
    </row>
    <row r="8041" spans="2:7">
      <c r="B8041"/>
      <c r="C8041"/>
      <c r="D8041"/>
      <c r="G8041"/>
    </row>
    <row r="8042" spans="2:7">
      <c r="B8042"/>
      <c r="C8042"/>
      <c r="D8042"/>
      <c r="G8042"/>
    </row>
    <row r="8043" spans="2:7">
      <c r="B8043"/>
      <c r="C8043"/>
      <c r="D8043"/>
      <c r="G8043"/>
    </row>
    <row r="8044" spans="2:7">
      <c r="B8044"/>
      <c r="C8044"/>
      <c r="D8044"/>
      <c r="G8044"/>
    </row>
    <row r="8045" spans="2:7">
      <c r="B8045"/>
      <c r="C8045"/>
      <c r="D8045"/>
      <c r="G8045"/>
    </row>
    <row r="8046" spans="2:7">
      <c r="B8046"/>
      <c r="C8046"/>
      <c r="D8046"/>
      <c r="G8046"/>
    </row>
    <row r="8047" spans="2:7">
      <c r="B8047"/>
      <c r="C8047"/>
      <c r="D8047"/>
      <c r="G8047"/>
    </row>
    <row r="8048" spans="2:7">
      <c r="B8048"/>
      <c r="C8048"/>
      <c r="D8048"/>
      <c r="G8048"/>
    </row>
    <row r="8049" spans="2:7">
      <c r="B8049"/>
      <c r="C8049"/>
      <c r="D8049"/>
      <c r="G8049"/>
    </row>
    <row r="8050" spans="2:7">
      <c r="B8050"/>
      <c r="C8050"/>
      <c r="D8050"/>
      <c r="G8050"/>
    </row>
    <row r="8051" spans="2:7">
      <c r="B8051"/>
      <c r="C8051"/>
      <c r="D8051"/>
      <c r="G8051"/>
    </row>
    <row r="8052" spans="2:7">
      <c r="B8052"/>
      <c r="C8052"/>
      <c r="D8052"/>
      <c r="G8052"/>
    </row>
    <row r="8053" spans="2:7">
      <c r="B8053"/>
      <c r="C8053"/>
      <c r="D8053"/>
      <c r="G8053"/>
    </row>
    <row r="8054" spans="2:7">
      <c r="B8054"/>
      <c r="C8054"/>
      <c r="D8054"/>
      <c r="G8054"/>
    </row>
    <row r="8055" spans="2:7">
      <c r="B8055"/>
      <c r="C8055"/>
      <c r="D8055"/>
      <c r="G8055"/>
    </row>
    <row r="8056" spans="2:7">
      <c r="B8056"/>
      <c r="C8056"/>
      <c r="D8056"/>
      <c r="G8056"/>
    </row>
    <row r="8057" spans="2:7">
      <c r="B8057"/>
      <c r="C8057"/>
      <c r="D8057"/>
      <c r="G8057"/>
    </row>
    <row r="8058" spans="2:7">
      <c r="B8058"/>
      <c r="C8058"/>
      <c r="D8058"/>
      <c r="G8058"/>
    </row>
    <row r="8059" spans="2:7">
      <c r="B8059"/>
      <c r="C8059"/>
      <c r="D8059"/>
      <c r="G8059"/>
    </row>
    <row r="8060" spans="2:7">
      <c r="B8060"/>
      <c r="C8060"/>
      <c r="D8060"/>
      <c r="G8060"/>
    </row>
    <row r="8061" spans="2:7">
      <c r="B8061"/>
      <c r="C8061"/>
      <c r="D8061"/>
      <c r="G8061"/>
    </row>
    <row r="8062" spans="2:7">
      <c r="B8062"/>
      <c r="C8062"/>
      <c r="D8062"/>
      <c r="G8062"/>
    </row>
    <row r="8063" spans="2:7">
      <c r="B8063"/>
      <c r="C8063"/>
      <c r="D8063"/>
      <c r="G8063"/>
    </row>
    <row r="8064" spans="2:7">
      <c r="B8064"/>
      <c r="C8064"/>
      <c r="D8064"/>
      <c r="G8064"/>
    </row>
    <row r="8065" spans="2:7">
      <c r="B8065"/>
      <c r="C8065"/>
      <c r="D8065"/>
      <c r="G8065"/>
    </row>
    <row r="8066" spans="2:7">
      <c r="B8066"/>
      <c r="C8066"/>
      <c r="D8066"/>
      <c r="G8066"/>
    </row>
    <row r="8067" spans="2:7">
      <c r="B8067"/>
      <c r="C8067"/>
      <c r="D8067"/>
      <c r="G8067"/>
    </row>
    <row r="8068" spans="2:7">
      <c r="B8068"/>
      <c r="C8068"/>
      <c r="D8068"/>
      <c r="G8068"/>
    </row>
    <row r="8069" spans="2:7">
      <c r="B8069"/>
      <c r="C8069"/>
      <c r="D8069"/>
      <c r="G8069"/>
    </row>
    <row r="8070" spans="2:7">
      <c r="B8070"/>
      <c r="C8070"/>
      <c r="D8070"/>
      <c r="G8070"/>
    </row>
    <row r="8071" spans="2:7">
      <c r="B8071"/>
      <c r="C8071"/>
      <c r="D8071"/>
      <c r="G8071"/>
    </row>
    <row r="8072" spans="2:7">
      <c r="B8072"/>
      <c r="C8072"/>
      <c r="D8072"/>
      <c r="G8072"/>
    </row>
    <row r="8073" spans="2:7">
      <c r="B8073"/>
      <c r="C8073"/>
      <c r="D8073"/>
      <c r="G8073"/>
    </row>
    <row r="8074" spans="2:7">
      <c r="B8074"/>
      <c r="C8074"/>
      <c r="D8074"/>
      <c r="G8074"/>
    </row>
    <row r="8075" spans="2:7">
      <c r="B8075"/>
      <c r="C8075"/>
      <c r="D8075"/>
      <c r="G8075"/>
    </row>
    <row r="8076" spans="2:7">
      <c r="B8076"/>
      <c r="C8076"/>
      <c r="D8076"/>
      <c r="G8076"/>
    </row>
    <row r="8077" spans="2:7">
      <c r="B8077"/>
      <c r="C8077"/>
      <c r="D8077"/>
      <c r="G8077"/>
    </row>
    <row r="8078" spans="2:7">
      <c r="B8078"/>
      <c r="C8078"/>
      <c r="D8078"/>
      <c r="G8078"/>
    </row>
    <row r="8079" spans="2:7">
      <c r="B8079"/>
      <c r="C8079"/>
      <c r="D8079"/>
      <c r="G8079"/>
    </row>
    <row r="8080" spans="2:7">
      <c r="B8080"/>
      <c r="C8080"/>
      <c r="D8080"/>
      <c r="G8080"/>
    </row>
    <row r="8081" spans="2:7">
      <c r="B8081"/>
      <c r="C8081"/>
      <c r="D8081"/>
      <c r="G8081"/>
    </row>
    <row r="8082" spans="2:7">
      <c r="B8082"/>
      <c r="C8082"/>
      <c r="D8082"/>
      <c r="G8082"/>
    </row>
    <row r="8083" spans="2:7">
      <c r="B8083"/>
      <c r="C8083"/>
      <c r="D8083"/>
      <c r="G8083"/>
    </row>
    <row r="8084" spans="2:7">
      <c r="B8084"/>
      <c r="C8084"/>
      <c r="D8084"/>
      <c r="G8084"/>
    </row>
    <row r="8085" spans="2:7">
      <c r="B8085"/>
      <c r="C8085"/>
      <c r="D8085"/>
      <c r="G8085"/>
    </row>
    <row r="8086" spans="2:7">
      <c r="B8086"/>
      <c r="C8086"/>
      <c r="D8086"/>
      <c r="G8086"/>
    </row>
    <row r="8087" spans="2:7">
      <c r="B8087"/>
      <c r="C8087"/>
      <c r="D8087"/>
      <c r="G8087"/>
    </row>
    <row r="8088" spans="2:7">
      <c r="B8088"/>
      <c r="C8088"/>
      <c r="D8088"/>
      <c r="G8088"/>
    </row>
    <row r="8089" spans="2:7">
      <c r="B8089"/>
      <c r="C8089"/>
      <c r="D8089"/>
      <c r="G8089"/>
    </row>
    <row r="8090" spans="2:7">
      <c r="B8090"/>
      <c r="C8090"/>
      <c r="D8090"/>
      <c r="G8090"/>
    </row>
    <row r="8091" spans="2:7">
      <c r="B8091"/>
      <c r="C8091"/>
      <c r="D8091"/>
      <c r="G8091"/>
    </row>
    <row r="8092" spans="2:7">
      <c r="B8092"/>
      <c r="C8092"/>
      <c r="D8092"/>
      <c r="G8092"/>
    </row>
    <row r="8093" spans="2:7">
      <c r="B8093"/>
      <c r="C8093"/>
      <c r="D8093"/>
      <c r="G8093"/>
    </row>
    <row r="8094" spans="2:7">
      <c r="B8094"/>
      <c r="C8094"/>
      <c r="D8094"/>
      <c r="G8094"/>
    </row>
    <row r="8095" spans="2:7">
      <c r="B8095"/>
      <c r="C8095"/>
      <c r="D8095"/>
      <c r="G8095"/>
    </row>
    <row r="8096" spans="2:7">
      <c r="B8096"/>
      <c r="C8096"/>
      <c r="D8096"/>
      <c r="G8096"/>
    </row>
    <row r="8097" spans="2:7">
      <c r="B8097"/>
      <c r="C8097"/>
      <c r="D8097"/>
      <c r="G8097"/>
    </row>
    <row r="8098" spans="2:7">
      <c r="B8098"/>
      <c r="C8098"/>
      <c r="D8098"/>
      <c r="G8098"/>
    </row>
    <row r="8099" spans="2:7">
      <c r="B8099"/>
      <c r="C8099"/>
      <c r="D8099"/>
      <c r="G8099"/>
    </row>
    <row r="8100" spans="2:7">
      <c r="B8100"/>
      <c r="C8100"/>
      <c r="D8100"/>
      <c r="G8100"/>
    </row>
    <row r="8101" spans="2:7">
      <c r="B8101"/>
      <c r="C8101"/>
      <c r="D8101"/>
      <c r="G8101"/>
    </row>
    <row r="8102" spans="2:7">
      <c r="B8102"/>
      <c r="C8102"/>
      <c r="D8102"/>
      <c r="G8102"/>
    </row>
    <row r="8103" spans="2:7">
      <c r="B8103"/>
      <c r="C8103"/>
      <c r="D8103"/>
      <c r="G8103"/>
    </row>
    <row r="8104" spans="2:7">
      <c r="B8104"/>
      <c r="C8104"/>
      <c r="D8104"/>
      <c r="G8104"/>
    </row>
    <row r="8105" spans="2:7">
      <c r="B8105"/>
      <c r="C8105"/>
      <c r="D8105"/>
      <c r="G8105"/>
    </row>
    <row r="8106" spans="2:7">
      <c r="B8106"/>
      <c r="C8106"/>
      <c r="D8106"/>
      <c r="G8106"/>
    </row>
    <row r="8107" spans="2:7">
      <c r="B8107"/>
      <c r="C8107"/>
      <c r="D8107"/>
      <c r="G8107"/>
    </row>
    <row r="8108" spans="2:7">
      <c r="B8108"/>
      <c r="C8108"/>
      <c r="D8108"/>
      <c r="G8108"/>
    </row>
    <row r="8109" spans="2:7">
      <c r="B8109"/>
      <c r="C8109"/>
      <c r="D8109"/>
      <c r="G8109"/>
    </row>
    <row r="8110" spans="2:7">
      <c r="B8110"/>
      <c r="C8110"/>
      <c r="D8110"/>
      <c r="G8110"/>
    </row>
    <row r="8111" spans="2:7">
      <c r="B8111"/>
      <c r="C8111"/>
      <c r="D8111"/>
      <c r="G8111"/>
    </row>
    <row r="8112" spans="2:7">
      <c r="B8112"/>
      <c r="C8112"/>
      <c r="D8112"/>
      <c r="G8112"/>
    </row>
    <row r="8113" spans="2:7">
      <c r="B8113"/>
      <c r="C8113"/>
      <c r="D8113"/>
      <c r="G8113"/>
    </row>
    <row r="8114" spans="2:7">
      <c r="B8114"/>
      <c r="C8114"/>
      <c r="D8114"/>
      <c r="G8114"/>
    </row>
    <row r="8115" spans="2:7">
      <c r="B8115"/>
      <c r="C8115"/>
      <c r="D8115"/>
      <c r="G8115"/>
    </row>
    <row r="8116" spans="2:7">
      <c r="B8116"/>
      <c r="C8116"/>
      <c r="D8116"/>
      <c r="G8116"/>
    </row>
    <row r="8117" spans="2:7">
      <c r="B8117"/>
      <c r="C8117"/>
      <c r="D8117"/>
      <c r="G8117"/>
    </row>
    <row r="8118" spans="2:7">
      <c r="B8118"/>
      <c r="C8118"/>
      <c r="D8118"/>
      <c r="G8118"/>
    </row>
    <row r="8119" spans="2:7">
      <c r="B8119"/>
      <c r="C8119"/>
      <c r="D8119"/>
      <c r="G8119"/>
    </row>
    <row r="8120" spans="2:7">
      <c r="B8120"/>
      <c r="C8120"/>
      <c r="D8120"/>
      <c r="G8120"/>
    </row>
    <row r="8121" spans="2:7">
      <c r="B8121"/>
      <c r="C8121"/>
      <c r="D8121"/>
      <c r="G8121"/>
    </row>
    <row r="8122" spans="2:7">
      <c r="B8122"/>
      <c r="C8122"/>
      <c r="D8122"/>
      <c r="G8122"/>
    </row>
    <row r="8123" spans="2:7">
      <c r="B8123"/>
      <c r="C8123"/>
      <c r="D8123"/>
      <c r="G8123"/>
    </row>
    <row r="8124" spans="2:7">
      <c r="B8124"/>
      <c r="C8124"/>
      <c r="D8124"/>
      <c r="G8124"/>
    </row>
    <row r="8125" spans="2:7">
      <c r="B8125"/>
      <c r="C8125"/>
      <c r="D8125"/>
      <c r="G8125"/>
    </row>
    <row r="8126" spans="2:7">
      <c r="B8126"/>
      <c r="C8126"/>
      <c r="D8126"/>
      <c r="G8126"/>
    </row>
    <row r="8127" spans="2:7">
      <c r="B8127"/>
      <c r="C8127"/>
      <c r="D8127"/>
      <c r="G8127"/>
    </row>
    <row r="8128" spans="2:7">
      <c r="B8128"/>
      <c r="C8128"/>
      <c r="D8128"/>
      <c r="G8128"/>
    </row>
    <row r="8129" spans="2:7">
      <c r="B8129"/>
      <c r="C8129"/>
      <c r="D8129"/>
      <c r="G8129"/>
    </row>
    <row r="8130" spans="2:7">
      <c r="B8130"/>
      <c r="C8130"/>
      <c r="D8130"/>
      <c r="G8130"/>
    </row>
    <row r="8131" spans="2:7">
      <c r="B8131"/>
      <c r="C8131"/>
      <c r="D8131"/>
      <c r="G8131"/>
    </row>
    <row r="8132" spans="2:7">
      <c r="B8132"/>
      <c r="C8132"/>
      <c r="D8132"/>
      <c r="G8132"/>
    </row>
    <row r="8133" spans="2:7">
      <c r="B8133"/>
      <c r="C8133"/>
      <c r="D8133"/>
      <c r="G8133"/>
    </row>
    <row r="8134" spans="2:7">
      <c r="B8134"/>
      <c r="C8134"/>
      <c r="D8134"/>
      <c r="G8134"/>
    </row>
    <row r="8135" spans="2:7">
      <c r="B8135"/>
      <c r="C8135"/>
      <c r="D8135"/>
      <c r="G8135"/>
    </row>
    <row r="8136" spans="2:7">
      <c r="B8136"/>
      <c r="C8136"/>
      <c r="D8136"/>
      <c r="G8136"/>
    </row>
    <row r="8137" spans="2:7">
      <c r="B8137"/>
      <c r="C8137"/>
      <c r="D8137"/>
      <c r="G8137"/>
    </row>
    <row r="8138" spans="2:7">
      <c r="B8138"/>
      <c r="C8138"/>
      <c r="D8138"/>
      <c r="G8138"/>
    </row>
    <row r="8139" spans="2:7">
      <c r="B8139"/>
      <c r="C8139"/>
      <c r="D8139"/>
      <c r="G8139"/>
    </row>
    <row r="8140" spans="2:7">
      <c r="B8140"/>
      <c r="C8140"/>
      <c r="D8140"/>
      <c r="G8140"/>
    </row>
    <row r="8141" spans="2:7">
      <c r="B8141"/>
      <c r="C8141"/>
      <c r="D8141"/>
      <c r="G8141"/>
    </row>
    <row r="8142" spans="2:7">
      <c r="B8142"/>
      <c r="C8142"/>
      <c r="D8142"/>
      <c r="G8142"/>
    </row>
    <row r="8143" spans="2:7">
      <c r="B8143"/>
      <c r="C8143"/>
      <c r="D8143"/>
      <c r="G8143"/>
    </row>
    <row r="8144" spans="2:7">
      <c r="B8144"/>
      <c r="C8144"/>
      <c r="D8144"/>
      <c r="G8144"/>
    </row>
    <row r="8145" spans="2:7">
      <c r="B8145"/>
      <c r="C8145"/>
      <c r="D8145"/>
      <c r="G8145"/>
    </row>
    <row r="8146" spans="2:7">
      <c r="B8146"/>
      <c r="C8146"/>
      <c r="D8146"/>
      <c r="G8146"/>
    </row>
    <row r="8147" spans="2:7">
      <c r="B8147"/>
      <c r="C8147"/>
      <c r="D8147"/>
      <c r="G8147"/>
    </row>
    <row r="8148" spans="2:7">
      <c r="B8148"/>
      <c r="C8148"/>
      <c r="D8148"/>
      <c r="G8148"/>
    </row>
    <row r="8149" spans="2:7">
      <c r="B8149"/>
      <c r="C8149"/>
      <c r="D8149"/>
      <c r="G8149"/>
    </row>
    <row r="8150" spans="2:7">
      <c r="B8150"/>
      <c r="C8150"/>
      <c r="D8150"/>
      <c r="G8150"/>
    </row>
    <row r="8151" spans="2:7">
      <c r="B8151"/>
      <c r="C8151"/>
      <c r="D8151"/>
      <c r="G8151"/>
    </row>
    <row r="8152" spans="2:7">
      <c r="B8152"/>
      <c r="C8152"/>
      <c r="D8152"/>
      <c r="G8152"/>
    </row>
    <row r="8153" spans="2:7">
      <c r="B8153"/>
      <c r="C8153"/>
      <c r="D8153"/>
      <c r="G8153"/>
    </row>
    <row r="8154" spans="2:7">
      <c r="B8154"/>
      <c r="C8154"/>
      <c r="D8154"/>
      <c r="G8154"/>
    </row>
    <row r="8155" spans="2:7">
      <c r="B8155"/>
      <c r="C8155"/>
      <c r="D8155"/>
      <c r="G8155"/>
    </row>
    <row r="8156" spans="2:7">
      <c r="B8156"/>
      <c r="C8156"/>
      <c r="D8156"/>
      <c r="G8156"/>
    </row>
    <row r="8157" spans="2:7">
      <c r="B8157"/>
      <c r="C8157"/>
      <c r="D8157"/>
      <c r="G8157"/>
    </row>
    <row r="8158" spans="2:7">
      <c r="B8158"/>
      <c r="C8158"/>
      <c r="D8158"/>
      <c r="G8158"/>
    </row>
    <row r="8159" spans="2:7">
      <c r="B8159"/>
      <c r="C8159"/>
      <c r="D8159"/>
      <c r="G8159"/>
    </row>
    <row r="8160" spans="2:7">
      <c r="B8160"/>
      <c r="C8160"/>
      <c r="D8160"/>
      <c r="G8160"/>
    </row>
    <row r="8161" spans="2:7">
      <c r="B8161"/>
      <c r="C8161"/>
      <c r="D8161"/>
      <c r="G8161"/>
    </row>
    <row r="8162" spans="2:7">
      <c r="B8162"/>
      <c r="C8162"/>
      <c r="D8162"/>
      <c r="G8162"/>
    </row>
    <row r="8163" spans="2:7">
      <c r="B8163"/>
      <c r="C8163"/>
      <c r="D8163"/>
      <c r="G8163"/>
    </row>
    <row r="8164" spans="2:7">
      <c r="B8164"/>
      <c r="C8164"/>
      <c r="D8164"/>
      <c r="G8164"/>
    </row>
    <row r="8165" spans="2:7">
      <c r="B8165"/>
      <c r="C8165"/>
      <c r="D8165"/>
      <c r="G8165"/>
    </row>
    <row r="8166" spans="2:7">
      <c r="B8166"/>
      <c r="C8166"/>
      <c r="D8166"/>
      <c r="G8166"/>
    </row>
    <row r="8167" spans="2:7">
      <c r="B8167"/>
      <c r="C8167"/>
      <c r="D8167"/>
      <c r="G8167"/>
    </row>
    <row r="8168" spans="2:7">
      <c r="B8168"/>
      <c r="C8168"/>
      <c r="D8168"/>
      <c r="G8168"/>
    </row>
    <row r="8169" spans="2:7">
      <c r="B8169"/>
      <c r="C8169"/>
      <c r="D8169"/>
      <c r="G8169"/>
    </row>
    <row r="8170" spans="2:7">
      <c r="B8170"/>
      <c r="C8170"/>
      <c r="D8170"/>
      <c r="G8170"/>
    </row>
    <row r="8171" spans="2:7">
      <c r="B8171"/>
      <c r="C8171"/>
      <c r="D8171"/>
      <c r="G8171"/>
    </row>
    <row r="8172" spans="2:7">
      <c r="B8172"/>
      <c r="C8172"/>
      <c r="D8172"/>
      <c r="G8172"/>
    </row>
    <row r="8173" spans="2:7">
      <c r="B8173"/>
      <c r="C8173"/>
      <c r="D8173"/>
      <c r="G8173"/>
    </row>
    <row r="8174" spans="2:7">
      <c r="B8174"/>
      <c r="C8174"/>
      <c r="D8174"/>
      <c r="G8174"/>
    </row>
    <row r="8175" spans="2:7">
      <c r="B8175"/>
      <c r="C8175"/>
      <c r="D8175"/>
      <c r="G8175"/>
    </row>
    <row r="8176" spans="2:7">
      <c r="B8176"/>
      <c r="C8176"/>
      <c r="D8176"/>
      <c r="G8176"/>
    </row>
    <row r="8177" spans="2:7">
      <c r="B8177"/>
      <c r="C8177"/>
      <c r="D8177"/>
      <c r="G8177"/>
    </row>
    <row r="8178" spans="2:7">
      <c r="B8178"/>
      <c r="C8178"/>
      <c r="D8178"/>
      <c r="G8178"/>
    </row>
    <row r="8179" spans="2:7">
      <c r="B8179"/>
      <c r="C8179"/>
      <c r="D8179"/>
      <c r="G8179"/>
    </row>
    <row r="8180" spans="2:7">
      <c r="B8180"/>
      <c r="C8180"/>
      <c r="D8180"/>
      <c r="G8180"/>
    </row>
    <row r="8181" spans="2:7">
      <c r="B8181"/>
      <c r="C8181"/>
      <c r="D8181"/>
      <c r="G8181"/>
    </row>
    <row r="8182" spans="2:7">
      <c r="B8182"/>
      <c r="C8182"/>
      <c r="D8182"/>
      <c r="G8182"/>
    </row>
    <row r="8183" spans="2:7">
      <c r="B8183"/>
      <c r="C8183"/>
      <c r="D8183"/>
      <c r="G8183"/>
    </row>
    <row r="8184" spans="2:7">
      <c r="B8184"/>
      <c r="C8184"/>
      <c r="D8184"/>
      <c r="G8184"/>
    </row>
    <row r="8185" spans="2:7">
      <c r="B8185"/>
      <c r="C8185"/>
      <c r="D8185"/>
      <c r="G8185"/>
    </row>
    <row r="8186" spans="2:7">
      <c r="B8186"/>
      <c r="C8186"/>
      <c r="D8186"/>
      <c r="G8186"/>
    </row>
    <row r="8187" spans="2:7">
      <c r="B8187"/>
      <c r="C8187"/>
      <c r="D8187"/>
      <c r="G8187"/>
    </row>
    <row r="8188" spans="2:7">
      <c r="B8188"/>
      <c r="C8188"/>
      <c r="D8188"/>
      <c r="G8188"/>
    </row>
    <row r="8189" spans="2:7">
      <c r="B8189"/>
      <c r="C8189"/>
      <c r="D8189"/>
      <c r="G8189"/>
    </row>
    <row r="8190" spans="2:7">
      <c r="B8190"/>
      <c r="C8190"/>
      <c r="D8190"/>
      <c r="G8190"/>
    </row>
    <row r="8191" spans="2:7">
      <c r="B8191"/>
      <c r="C8191"/>
      <c r="D8191"/>
      <c r="G8191"/>
    </row>
    <row r="8192" spans="2:7">
      <c r="B8192"/>
      <c r="C8192"/>
      <c r="D8192"/>
      <c r="G8192"/>
    </row>
    <row r="8193" spans="2:7">
      <c r="B8193"/>
      <c r="C8193"/>
      <c r="D8193"/>
      <c r="G8193"/>
    </row>
    <row r="8194" spans="2:7">
      <c r="B8194"/>
      <c r="C8194"/>
      <c r="D8194"/>
      <c r="G8194"/>
    </row>
    <row r="8195" spans="2:7">
      <c r="B8195"/>
      <c r="C8195"/>
      <c r="D8195"/>
      <c r="G8195"/>
    </row>
    <row r="8196" spans="2:7">
      <c r="B8196"/>
      <c r="C8196"/>
      <c r="D8196"/>
      <c r="G8196"/>
    </row>
    <row r="8197" spans="2:7">
      <c r="B8197"/>
      <c r="C8197"/>
      <c r="D8197"/>
      <c r="G8197"/>
    </row>
    <row r="8198" spans="2:7">
      <c r="B8198"/>
      <c r="C8198"/>
      <c r="D8198"/>
      <c r="G8198"/>
    </row>
    <row r="8199" spans="2:7">
      <c r="B8199"/>
      <c r="C8199"/>
      <c r="D8199"/>
      <c r="G8199"/>
    </row>
    <row r="8200" spans="2:7">
      <c r="B8200"/>
      <c r="C8200"/>
      <c r="D8200"/>
      <c r="G8200"/>
    </row>
    <row r="8201" spans="2:7">
      <c r="B8201"/>
      <c r="C8201"/>
      <c r="D8201"/>
      <c r="G8201"/>
    </row>
    <row r="8202" spans="2:7">
      <c r="B8202"/>
      <c r="C8202"/>
      <c r="D8202"/>
      <c r="G8202"/>
    </row>
    <row r="8203" spans="2:7">
      <c r="B8203"/>
      <c r="C8203"/>
      <c r="D8203"/>
      <c r="G8203"/>
    </row>
    <row r="8204" spans="2:7">
      <c r="B8204"/>
      <c r="C8204"/>
      <c r="D8204"/>
      <c r="G8204"/>
    </row>
    <row r="8205" spans="2:7">
      <c r="B8205"/>
      <c r="C8205"/>
      <c r="D8205"/>
      <c r="G8205"/>
    </row>
    <row r="8206" spans="2:7">
      <c r="B8206"/>
      <c r="C8206"/>
      <c r="D8206"/>
      <c r="G8206"/>
    </row>
    <row r="8207" spans="2:7">
      <c r="B8207"/>
      <c r="C8207"/>
      <c r="D8207"/>
      <c r="G8207"/>
    </row>
    <row r="8208" spans="2:7">
      <c r="B8208"/>
      <c r="C8208"/>
      <c r="D8208"/>
      <c r="G8208"/>
    </row>
    <row r="8209" spans="2:7">
      <c r="B8209"/>
      <c r="C8209"/>
      <c r="D8209"/>
      <c r="G8209"/>
    </row>
    <row r="8210" spans="2:7">
      <c r="B8210"/>
      <c r="C8210"/>
      <c r="D8210"/>
      <c r="G8210"/>
    </row>
    <row r="8211" spans="2:7">
      <c r="B8211"/>
      <c r="C8211"/>
      <c r="D8211"/>
      <c r="G8211"/>
    </row>
    <row r="8212" spans="2:7">
      <c r="B8212"/>
      <c r="C8212"/>
      <c r="D8212"/>
      <c r="G8212"/>
    </row>
    <row r="8213" spans="2:7">
      <c r="B8213"/>
      <c r="C8213"/>
      <c r="D8213"/>
      <c r="G8213"/>
    </row>
    <row r="8214" spans="2:7">
      <c r="B8214"/>
      <c r="C8214"/>
      <c r="D8214"/>
      <c r="G8214"/>
    </row>
    <row r="8215" spans="2:7">
      <c r="B8215"/>
      <c r="C8215"/>
      <c r="D8215"/>
      <c r="G8215"/>
    </row>
    <row r="8216" spans="2:7">
      <c r="B8216"/>
      <c r="C8216"/>
      <c r="D8216"/>
      <c r="G8216"/>
    </row>
    <row r="8217" spans="2:7">
      <c r="B8217"/>
      <c r="C8217"/>
      <c r="D8217"/>
      <c r="G8217"/>
    </row>
    <row r="8218" spans="2:7">
      <c r="B8218"/>
      <c r="C8218"/>
      <c r="D8218"/>
      <c r="G8218"/>
    </row>
    <row r="8219" spans="2:7">
      <c r="B8219"/>
      <c r="C8219"/>
      <c r="D8219"/>
      <c r="G8219"/>
    </row>
    <row r="8220" spans="2:7">
      <c r="B8220"/>
      <c r="C8220"/>
      <c r="D8220"/>
      <c r="G8220"/>
    </row>
    <row r="8221" spans="2:7">
      <c r="B8221"/>
      <c r="C8221"/>
      <c r="D8221"/>
      <c r="G8221"/>
    </row>
    <row r="8222" spans="2:7">
      <c r="B8222"/>
      <c r="C8222"/>
      <c r="D8222"/>
      <c r="G8222"/>
    </row>
    <row r="8223" spans="2:7">
      <c r="B8223"/>
      <c r="C8223"/>
      <c r="D8223"/>
      <c r="G8223"/>
    </row>
    <row r="8224" spans="2:7">
      <c r="B8224"/>
      <c r="C8224"/>
      <c r="D8224"/>
      <c r="G8224"/>
    </row>
    <row r="8225" spans="2:7">
      <c r="B8225"/>
      <c r="C8225"/>
      <c r="D8225"/>
      <c r="G8225"/>
    </row>
    <row r="8226" spans="2:7">
      <c r="B8226"/>
      <c r="C8226"/>
      <c r="D8226"/>
      <c r="G8226"/>
    </row>
    <row r="8227" spans="2:7">
      <c r="B8227"/>
      <c r="C8227"/>
      <c r="D8227"/>
      <c r="G8227"/>
    </row>
    <row r="8228" spans="2:7">
      <c r="B8228"/>
      <c r="C8228"/>
      <c r="D8228"/>
      <c r="G8228"/>
    </row>
    <row r="8229" spans="2:7">
      <c r="B8229"/>
      <c r="C8229"/>
      <c r="D8229"/>
      <c r="G8229"/>
    </row>
    <row r="8230" spans="2:7">
      <c r="B8230"/>
      <c r="C8230"/>
      <c r="D8230"/>
      <c r="G8230"/>
    </row>
    <row r="8231" spans="2:7">
      <c r="B8231"/>
      <c r="C8231"/>
      <c r="D8231"/>
      <c r="G8231"/>
    </row>
    <row r="8232" spans="2:7">
      <c r="B8232"/>
      <c r="C8232"/>
      <c r="D8232"/>
      <c r="G8232"/>
    </row>
    <row r="8233" spans="2:7">
      <c r="B8233"/>
      <c r="C8233"/>
      <c r="D8233"/>
      <c r="G8233"/>
    </row>
    <row r="8234" spans="2:7">
      <c r="B8234"/>
      <c r="C8234"/>
      <c r="D8234"/>
      <c r="G8234"/>
    </row>
    <row r="8235" spans="2:7">
      <c r="B8235"/>
      <c r="C8235"/>
      <c r="D8235"/>
      <c r="G8235"/>
    </row>
    <row r="8236" spans="2:7">
      <c r="B8236"/>
      <c r="C8236"/>
      <c r="D8236"/>
      <c r="G8236"/>
    </row>
    <row r="8237" spans="2:7">
      <c r="B8237"/>
      <c r="C8237"/>
      <c r="D8237"/>
      <c r="G8237"/>
    </row>
    <row r="8238" spans="2:7">
      <c r="B8238"/>
      <c r="C8238"/>
      <c r="D8238"/>
      <c r="G8238"/>
    </row>
    <row r="8239" spans="2:7">
      <c r="B8239"/>
      <c r="C8239"/>
      <c r="D8239"/>
      <c r="G8239"/>
    </row>
    <row r="8240" spans="2:7">
      <c r="B8240"/>
      <c r="C8240"/>
      <c r="D8240"/>
      <c r="G8240"/>
    </row>
    <row r="8241" spans="2:7">
      <c r="B8241"/>
      <c r="C8241"/>
      <c r="D8241"/>
      <c r="G8241"/>
    </row>
    <row r="8242" spans="2:7">
      <c r="B8242"/>
      <c r="C8242"/>
      <c r="D8242"/>
      <c r="G8242"/>
    </row>
    <row r="8243" spans="2:7">
      <c r="B8243"/>
      <c r="C8243"/>
      <c r="D8243"/>
      <c r="G8243"/>
    </row>
    <row r="8244" spans="2:7">
      <c r="B8244"/>
      <c r="C8244"/>
      <c r="D8244"/>
      <c r="G8244"/>
    </row>
    <row r="8245" spans="2:7">
      <c r="B8245"/>
      <c r="C8245"/>
      <c r="D8245"/>
      <c r="G8245"/>
    </row>
    <row r="8246" spans="2:7">
      <c r="B8246"/>
      <c r="C8246"/>
      <c r="D8246"/>
      <c r="G8246"/>
    </row>
    <row r="8247" spans="2:7">
      <c r="B8247"/>
      <c r="C8247"/>
      <c r="D8247"/>
      <c r="G8247"/>
    </row>
    <row r="8248" spans="2:7">
      <c r="B8248"/>
      <c r="C8248"/>
      <c r="D8248"/>
      <c r="G8248"/>
    </row>
    <row r="8249" spans="2:7">
      <c r="B8249"/>
      <c r="C8249"/>
      <c r="D8249"/>
      <c r="G8249"/>
    </row>
    <row r="8250" spans="2:7">
      <c r="B8250"/>
      <c r="C8250"/>
      <c r="D8250"/>
      <c r="G8250"/>
    </row>
    <row r="8251" spans="2:7">
      <c r="B8251"/>
      <c r="C8251"/>
      <c r="D8251"/>
      <c r="G8251"/>
    </row>
    <row r="8252" spans="2:7">
      <c r="B8252"/>
      <c r="C8252"/>
      <c r="D8252"/>
      <c r="G8252"/>
    </row>
    <row r="8253" spans="2:7">
      <c r="B8253"/>
      <c r="C8253"/>
      <c r="D8253"/>
      <c r="G8253"/>
    </row>
    <row r="8254" spans="2:7">
      <c r="B8254"/>
      <c r="C8254"/>
      <c r="D8254"/>
      <c r="G8254"/>
    </row>
    <row r="8255" spans="2:7">
      <c r="B8255"/>
      <c r="C8255"/>
      <c r="D8255"/>
      <c r="G8255"/>
    </row>
    <row r="8256" spans="2:7">
      <c r="B8256"/>
      <c r="C8256"/>
      <c r="D8256"/>
      <c r="G8256"/>
    </row>
    <row r="8257" spans="2:7">
      <c r="B8257"/>
      <c r="C8257"/>
      <c r="D8257"/>
      <c r="G8257"/>
    </row>
    <row r="8258" spans="2:7">
      <c r="B8258"/>
      <c r="C8258"/>
      <c r="D8258"/>
      <c r="G8258"/>
    </row>
    <row r="8259" spans="2:7">
      <c r="B8259"/>
      <c r="C8259"/>
      <c r="D8259"/>
      <c r="G8259"/>
    </row>
    <row r="8260" spans="2:7">
      <c r="B8260"/>
      <c r="C8260"/>
      <c r="D8260"/>
      <c r="G8260"/>
    </row>
    <row r="8261" spans="2:7">
      <c r="B8261"/>
      <c r="C8261"/>
      <c r="D8261"/>
      <c r="G8261"/>
    </row>
    <row r="8262" spans="2:7">
      <c r="B8262"/>
      <c r="C8262"/>
      <c r="D8262"/>
      <c r="G8262"/>
    </row>
    <row r="8263" spans="2:7">
      <c r="B8263"/>
      <c r="C8263"/>
      <c r="D8263"/>
      <c r="G8263"/>
    </row>
    <row r="8264" spans="2:7">
      <c r="B8264"/>
      <c r="C8264"/>
      <c r="D8264"/>
      <c r="G8264"/>
    </row>
    <row r="8265" spans="2:7">
      <c r="B8265"/>
      <c r="C8265"/>
      <c r="D8265"/>
      <c r="G8265"/>
    </row>
    <row r="8266" spans="2:7">
      <c r="B8266"/>
      <c r="C8266"/>
      <c r="D8266"/>
      <c r="G8266"/>
    </row>
    <row r="8267" spans="2:7">
      <c r="B8267"/>
      <c r="C8267"/>
      <c r="D8267"/>
      <c r="G8267"/>
    </row>
    <row r="8268" spans="2:7">
      <c r="B8268"/>
      <c r="C8268"/>
      <c r="D8268"/>
      <c r="G8268"/>
    </row>
    <row r="8269" spans="2:7">
      <c r="B8269"/>
      <c r="C8269"/>
      <c r="D8269"/>
      <c r="G8269"/>
    </row>
    <row r="8270" spans="2:7">
      <c r="B8270"/>
      <c r="C8270"/>
      <c r="D8270"/>
      <c r="G8270"/>
    </row>
    <row r="8271" spans="2:7">
      <c r="B8271"/>
      <c r="C8271"/>
      <c r="D8271"/>
      <c r="G8271"/>
    </row>
    <row r="8272" spans="2:7">
      <c r="B8272"/>
      <c r="C8272"/>
      <c r="D8272"/>
      <c r="G8272"/>
    </row>
    <row r="8273" spans="2:7">
      <c r="B8273"/>
      <c r="C8273"/>
      <c r="D8273"/>
      <c r="G8273"/>
    </row>
    <row r="8274" spans="2:7">
      <c r="B8274"/>
      <c r="C8274"/>
      <c r="D8274"/>
      <c r="G8274"/>
    </row>
    <row r="8275" spans="2:7">
      <c r="B8275"/>
      <c r="C8275"/>
      <c r="D8275"/>
      <c r="G8275"/>
    </row>
    <row r="8276" spans="2:7">
      <c r="B8276"/>
      <c r="C8276"/>
      <c r="D8276"/>
      <c r="G8276"/>
    </row>
    <row r="8277" spans="2:7">
      <c r="B8277"/>
      <c r="C8277"/>
      <c r="D8277"/>
      <c r="G8277"/>
    </row>
    <row r="8278" spans="2:7">
      <c r="B8278"/>
      <c r="C8278"/>
      <c r="D8278"/>
      <c r="G8278"/>
    </row>
    <row r="8279" spans="2:7">
      <c r="B8279"/>
      <c r="C8279"/>
      <c r="D8279"/>
      <c r="G8279"/>
    </row>
    <row r="8280" spans="2:7">
      <c r="B8280"/>
      <c r="C8280"/>
      <c r="D8280"/>
      <c r="G8280"/>
    </row>
    <row r="8281" spans="2:7">
      <c r="B8281"/>
      <c r="C8281"/>
      <c r="D8281"/>
      <c r="G8281"/>
    </row>
    <row r="8282" spans="2:7">
      <c r="B8282"/>
      <c r="C8282"/>
      <c r="D8282"/>
      <c r="G8282"/>
    </row>
    <row r="8283" spans="2:7">
      <c r="B8283"/>
      <c r="C8283"/>
      <c r="D8283"/>
      <c r="G8283"/>
    </row>
    <row r="8284" spans="2:7">
      <c r="B8284"/>
      <c r="C8284"/>
      <c r="D8284"/>
      <c r="G8284"/>
    </row>
    <row r="8285" spans="2:7">
      <c r="B8285"/>
      <c r="C8285"/>
      <c r="D8285"/>
      <c r="G8285"/>
    </row>
    <row r="8286" spans="2:7">
      <c r="B8286"/>
      <c r="C8286"/>
      <c r="D8286"/>
      <c r="G8286"/>
    </row>
    <row r="8287" spans="2:7">
      <c r="B8287"/>
      <c r="C8287"/>
      <c r="D8287"/>
      <c r="G8287"/>
    </row>
    <row r="8288" spans="2:7">
      <c r="B8288"/>
      <c r="C8288"/>
      <c r="D8288"/>
      <c r="G8288"/>
    </row>
    <row r="8289" spans="2:7">
      <c r="B8289"/>
      <c r="C8289"/>
      <c r="D8289"/>
      <c r="G8289"/>
    </row>
    <row r="8290" spans="2:7">
      <c r="B8290"/>
      <c r="C8290"/>
      <c r="D8290"/>
      <c r="G8290"/>
    </row>
    <row r="8291" spans="2:7">
      <c r="B8291"/>
      <c r="C8291"/>
      <c r="D8291"/>
      <c r="G8291"/>
    </row>
    <row r="8292" spans="2:7">
      <c r="B8292"/>
      <c r="C8292"/>
      <c r="D8292"/>
      <c r="G8292"/>
    </row>
    <row r="8293" spans="2:7">
      <c r="B8293"/>
      <c r="C8293"/>
      <c r="D8293"/>
      <c r="G8293"/>
    </row>
    <row r="8294" spans="2:7">
      <c r="B8294"/>
      <c r="C8294"/>
      <c r="D8294"/>
      <c r="G8294"/>
    </row>
    <row r="8295" spans="2:7">
      <c r="B8295"/>
      <c r="C8295"/>
      <c r="D8295"/>
      <c r="G8295"/>
    </row>
    <row r="8296" spans="2:7">
      <c r="B8296"/>
      <c r="C8296"/>
      <c r="D8296"/>
      <c r="G8296"/>
    </row>
    <row r="8297" spans="2:7">
      <c r="B8297"/>
      <c r="C8297"/>
      <c r="D8297"/>
      <c r="G8297"/>
    </row>
    <row r="8298" spans="2:7">
      <c r="B8298"/>
      <c r="C8298"/>
      <c r="D8298"/>
      <c r="G8298"/>
    </row>
    <row r="8299" spans="2:7">
      <c r="B8299"/>
      <c r="C8299"/>
      <c r="D8299"/>
      <c r="G8299"/>
    </row>
    <row r="8300" spans="2:7">
      <c r="B8300"/>
      <c r="C8300"/>
      <c r="D8300"/>
      <c r="G8300"/>
    </row>
    <row r="8301" spans="2:7">
      <c r="B8301"/>
      <c r="C8301"/>
      <c r="D8301"/>
      <c r="G8301"/>
    </row>
    <row r="8302" spans="2:7">
      <c r="B8302"/>
      <c r="C8302"/>
      <c r="D8302"/>
      <c r="G8302"/>
    </row>
    <row r="8303" spans="2:7">
      <c r="B8303"/>
      <c r="C8303"/>
      <c r="D8303"/>
      <c r="G8303"/>
    </row>
    <row r="8304" spans="2:7">
      <c r="B8304"/>
      <c r="C8304"/>
      <c r="D8304"/>
      <c r="G8304"/>
    </row>
    <row r="8305" spans="2:7">
      <c r="B8305"/>
      <c r="C8305"/>
      <c r="D8305"/>
      <c r="G8305"/>
    </row>
    <row r="8306" spans="2:7">
      <c r="B8306"/>
      <c r="C8306"/>
      <c r="D8306"/>
      <c r="G8306"/>
    </row>
    <row r="8307" spans="2:7">
      <c r="B8307"/>
      <c r="C8307"/>
      <c r="D8307"/>
      <c r="G8307"/>
    </row>
    <row r="8308" spans="2:7">
      <c r="B8308"/>
      <c r="C8308"/>
      <c r="D8308"/>
      <c r="G8308"/>
    </row>
    <row r="8309" spans="2:7">
      <c r="B8309"/>
      <c r="C8309"/>
      <c r="D8309"/>
      <c r="G8309"/>
    </row>
    <row r="8310" spans="2:7">
      <c r="B8310"/>
      <c r="C8310"/>
      <c r="D8310"/>
      <c r="G8310"/>
    </row>
    <row r="8311" spans="2:7">
      <c r="B8311"/>
      <c r="C8311"/>
      <c r="D8311"/>
      <c r="G8311"/>
    </row>
    <row r="8312" spans="2:7">
      <c r="B8312"/>
      <c r="C8312"/>
      <c r="D8312"/>
      <c r="G8312"/>
    </row>
    <row r="8313" spans="2:7">
      <c r="B8313"/>
      <c r="C8313"/>
      <c r="D8313"/>
      <c r="G8313"/>
    </row>
    <row r="8314" spans="2:7">
      <c r="B8314"/>
      <c r="C8314"/>
      <c r="D8314"/>
      <c r="G8314"/>
    </row>
    <row r="8315" spans="2:7">
      <c r="B8315"/>
      <c r="C8315"/>
      <c r="D8315"/>
      <c r="G8315"/>
    </row>
    <row r="8316" spans="2:7">
      <c r="B8316"/>
      <c r="C8316"/>
      <c r="D8316"/>
      <c r="G8316"/>
    </row>
    <row r="8317" spans="2:7">
      <c r="B8317"/>
      <c r="C8317"/>
      <c r="D8317"/>
      <c r="G8317"/>
    </row>
    <row r="8318" spans="2:7">
      <c r="B8318"/>
      <c r="C8318"/>
      <c r="D8318"/>
      <c r="G8318"/>
    </row>
    <row r="8319" spans="2:7">
      <c r="B8319"/>
      <c r="C8319"/>
      <c r="D8319"/>
      <c r="G8319"/>
    </row>
    <row r="8320" spans="2:7">
      <c r="B8320"/>
      <c r="C8320"/>
      <c r="D8320"/>
      <c r="G8320"/>
    </row>
    <row r="8321" spans="2:7">
      <c r="B8321"/>
      <c r="C8321"/>
      <c r="D8321"/>
      <c r="G8321"/>
    </row>
    <row r="8322" spans="2:7">
      <c r="B8322"/>
      <c r="C8322"/>
      <c r="D8322"/>
      <c r="G8322"/>
    </row>
    <row r="8323" spans="2:7">
      <c r="B8323"/>
      <c r="C8323"/>
      <c r="D8323"/>
      <c r="G8323"/>
    </row>
    <row r="8324" spans="2:7">
      <c r="B8324"/>
      <c r="C8324"/>
      <c r="D8324"/>
      <c r="G8324"/>
    </row>
    <row r="8325" spans="2:7">
      <c r="B8325"/>
      <c r="C8325"/>
      <c r="D8325"/>
      <c r="G8325"/>
    </row>
    <row r="8326" spans="2:7">
      <c r="B8326"/>
      <c r="C8326"/>
      <c r="D8326"/>
      <c r="G8326"/>
    </row>
    <row r="8327" spans="2:7">
      <c r="B8327"/>
      <c r="C8327"/>
      <c r="D8327"/>
      <c r="G8327"/>
    </row>
    <row r="8328" spans="2:7">
      <c r="B8328"/>
      <c r="C8328"/>
      <c r="D8328"/>
      <c r="G8328"/>
    </row>
    <row r="8329" spans="2:7">
      <c r="B8329"/>
      <c r="C8329"/>
      <c r="D8329"/>
      <c r="G8329"/>
    </row>
    <row r="8330" spans="2:7">
      <c r="B8330"/>
      <c r="C8330"/>
      <c r="D8330"/>
      <c r="G8330"/>
    </row>
    <row r="8331" spans="2:7">
      <c r="B8331"/>
      <c r="C8331"/>
      <c r="D8331"/>
      <c r="G8331"/>
    </row>
    <row r="8332" spans="2:7">
      <c r="B8332"/>
      <c r="C8332"/>
      <c r="D8332"/>
      <c r="G8332"/>
    </row>
    <row r="8333" spans="2:7">
      <c r="B8333"/>
      <c r="C8333"/>
      <c r="D8333"/>
      <c r="G8333"/>
    </row>
    <row r="8334" spans="2:7">
      <c r="B8334"/>
      <c r="C8334"/>
      <c r="D8334"/>
      <c r="G8334"/>
    </row>
    <row r="8335" spans="2:7">
      <c r="B8335"/>
      <c r="C8335"/>
      <c r="D8335"/>
      <c r="G8335"/>
    </row>
    <row r="8336" spans="2:7">
      <c r="B8336"/>
      <c r="C8336"/>
      <c r="D8336"/>
      <c r="G8336"/>
    </row>
    <row r="8337" spans="2:7">
      <c r="B8337"/>
      <c r="C8337"/>
      <c r="D8337"/>
      <c r="G8337"/>
    </row>
    <row r="8338" spans="2:7">
      <c r="B8338"/>
      <c r="C8338"/>
      <c r="D8338"/>
      <c r="G8338"/>
    </row>
    <row r="8339" spans="2:7">
      <c r="B8339"/>
      <c r="C8339"/>
      <c r="D8339"/>
      <c r="G8339"/>
    </row>
    <row r="8340" spans="2:7">
      <c r="B8340"/>
      <c r="C8340"/>
      <c r="D8340"/>
      <c r="G8340"/>
    </row>
    <row r="8341" spans="2:7">
      <c r="B8341"/>
      <c r="C8341"/>
      <c r="D8341"/>
      <c r="G8341"/>
    </row>
    <row r="8342" spans="2:7">
      <c r="B8342"/>
      <c r="C8342"/>
      <c r="D8342"/>
      <c r="G8342"/>
    </row>
    <row r="8343" spans="2:7">
      <c r="B8343"/>
      <c r="C8343"/>
      <c r="D8343"/>
      <c r="G8343"/>
    </row>
    <row r="8344" spans="2:7">
      <c r="B8344"/>
      <c r="C8344"/>
      <c r="D8344"/>
      <c r="G8344"/>
    </row>
    <row r="8345" spans="2:7">
      <c r="B8345"/>
      <c r="C8345"/>
      <c r="D8345"/>
      <c r="G8345"/>
    </row>
    <row r="8346" spans="2:7">
      <c r="B8346"/>
      <c r="C8346"/>
      <c r="D8346"/>
      <c r="G8346"/>
    </row>
    <row r="8347" spans="2:7">
      <c r="B8347"/>
      <c r="C8347"/>
      <c r="D8347"/>
      <c r="G8347"/>
    </row>
    <row r="8348" spans="2:7">
      <c r="B8348"/>
      <c r="C8348"/>
      <c r="D8348"/>
      <c r="G8348"/>
    </row>
    <row r="8349" spans="2:7">
      <c r="B8349"/>
      <c r="C8349"/>
      <c r="D8349"/>
      <c r="G8349"/>
    </row>
    <row r="8350" spans="2:7">
      <c r="B8350"/>
      <c r="C8350"/>
      <c r="D8350"/>
      <c r="G8350"/>
    </row>
    <row r="8351" spans="2:7">
      <c r="B8351"/>
      <c r="C8351"/>
      <c r="D8351"/>
      <c r="G8351"/>
    </row>
    <row r="8352" spans="2:7">
      <c r="B8352"/>
      <c r="C8352"/>
      <c r="D8352"/>
      <c r="G8352"/>
    </row>
    <row r="8353" spans="2:7">
      <c r="B8353"/>
      <c r="C8353"/>
      <c r="D8353"/>
      <c r="G8353"/>
    </row>
    <row r="8354" spans="2:7">
      <c r="B8354"/>
      <c r="C8354"/>
      <c r="D8354"/>
      <c r="G8354"/>
    </row>
    <row r="8355" spans="2:7">
      <c r="B8355"/>
      <c r="C8355"/>
      <c r="D8355"/>
      <c r="G8355"/>
    </row>
    <row r="8356" spans="2:7">
      <c r="B8356"/>
      <c r="C8356"/>
      <c r="D8356"/>
      <c r="G8356"/>
    </row>
    <row r="8357" spans="2:7">
      <c r="B8357"/>
      <c r="C8357"/>
      <c r="D8357"/>
      <c r="G8357"/>
    </row>
    <row r="8358" spans="2:7">
      <c r="B8358"/>
      <c r="C8358"/>
      <c r="D8358"/>
      <c r="G8358"/>
    </row>
    <row r="8359" spans="2:7">
      <c r="B8359"/>
      <c r="C8359"/>
      <c r="D8359"/>
      <c r="G8359"/>
    </row>
    <row r="8360" spans="2:7">
      <c r="B8360"/>
      <c r="C8360"/>
      <c r="D8360"/>
      <c r="G8360"/>
    </row>
    <row r="8361" spans="2:7">
      <c r="B8361"/>
      <c r="C8361"/>
      <c r="D8361"/>
      <c r="G8361"/>
    </row>
    <row r="8362" spans="2:7">
      <c r="B8362"/>
      <c r="C8362"/>
      <c r="D8362"/>
      <c r="G8362"/>
    </row>
    <row r="8363" spans="2:7">
      <c r="B8363"/>
      <c r="C8363"/>
      <c r="D8363"/>
      <c r="G8363"/>
    </row>
    <row r="8364" spans="2:7">
      <c r="B8364"/>
      <c r="C8364"/>
      <c r="D8364"/>
      <c r="G8364"/>
    </row>
    <row r="8365" spans="2:7">
      <c r="B8365"/>
      <c r="C8365"/>
      <c r="D8365"/>
      <c r="G8365"/>
    </row>
    <row r="8366" spans="2:7">
      <c r="B8366"/>
      <c r="C8366"/>
      <c r="D8366"/>
      <c r="G8366"/>
    </row>
    <row r="8367" spans="2:7">
      <c r="B8367"/>
      <c r="C8367"/>
      <c r="D8367"/>
      <c r="G8367"/>
    </row>
    <row r="8368" spans="2:7">
      <c r="B8368"/>
      <c r="C8368"/>
      <c r="D8368"/>
      <c r="G8368"/>
    </row>
    <row r="8369" spans="2:7">
      <c r="B8369"/>
      <c r="C8369"/>
      <c r="D8369"/>
      <c r="G8369"/>
    </row>
    <row r="8370" spans="2:7">
      <c r="B8370"/>
      <c r="C8370"/>
      <c r="D8370"/>
      <c r="G8370"/>
    </row>
    <row r="8371" spans="2:7">
      <c r="B8371"/>
      <c r="C8371"/>
      <c r="D8371"/>
      <c r="G8371"/>
    </row>
    <row r="8372" spans="2:7">
      <c r="B8372"/>
      <c r="C8372"/>
      <c r="D8372"/>
      <c r="G8372"/>
    </row>
    <row r="8373" spans="2:7">
      <c r="B8373"/>
      <c r="C8373"/>
      <c r="D8373"/>
      <c r="G8373"/>
    </row>
    <row r="8374" spans="2:7">
      <c r="B8374"/>
      <c r="C8374"/>
      <c r="D8374"/>
      <c r="G8374"/>
    </row>
    <row r="8375" spans="2:7">
      <c r="B8375"/>
      <c r="C8375"/>
      <c r="D8375"/>
      <c r="G8375"/>
    </row>
    <row r="8376" spans="2:7">
      <c r="B8376"/>
      <c r="C8376"/>
      <c r="D8376"/>
      <c r="G8376"/>
    </row>
    <row r="8377" spans="2:7">
      <c r="B8377"/>
      <c r="C8377"/>
      <c r="D8377"/>
      <c r="G8377"/>
    </row>
    <row r="8378" spans="2:7">
      <c r="B8378"/>
      <c r="C8378"/>
      <c r="D8378"/>
      <c r="G8378"/>
    </row>
    <row r="8379" spans="2:7">
      <c r="B8379"/>
      <c r="C8379"/>
      <c r="D8379"/>
      <c r="G8379"/>
    </row>
    <row r="8380" spans="2:7">
      <c r="B8380"/>
      <c r="C8380"/>
      <c r="D8380"/>
      <c r="G8380"/>
    </row>
    <row r="8381" spans="2:7">
      <c r="B8381"/>
      <c r="C8381"/>
      <c r="D8381"/>
      <c r="G8381"/>
    </row>
    <row r="8382" spans="2:7">
      <c r="B8382"/>
      <c r="C8382"/>
      <c r="D8382"/>
      <c r="G8382"/>
    </row>
    <row r="8383" spans="2:7">
      <c r="B8383"/>
      <c r="C8383"/>
      <c r="D8383"/>
      <c r="G8383"/>
    </row>
    <row r="8384" spans="2:7">
      <c r="B8384"/>
      <c r="C8384"/>
      <c r="D8384"/>
      <c r="G8384"/>
    </row>
    <row r="8385" spans="2:7">
      <c r="B8385"/>
      <c r="C8385"/>
      <c r="D8385"/>
      <c r="G8385"/>
    </row>
    <row r="8386" spans="2:7">
      <c r="B8386"/>
      <c r="C8386"/>
      <c r="D8386"/>
      <c r="G8386"/>
    </row>
    <row r="8387" spans="2:7">
      <c r="B8387"/>
      <c r="C8387"/>
      <c r="D8387"/>
      <c r="G8387"/>
    </row>
    <row r="8388" spans="2:7">
      <c r="B8388"/>
      <c r="C8388"/>
      <c r="D8388"/>
      <c r="G8388"/>
    </row>
    <row r="8389" spans="2:7">
      <c r="B8389"/>
      <c r="C8389"/>
      <c r="D8389"/>
      <c r="G8389"/>
    </row>
    <row r="8390" spans="2:7">
      <c r="B8390"/>
      <c r="C8390"/>
      <c r="D8390"/>
      <c r="G8390"/>
    </row>
    <row r="8391" spans="2:7">
      <c r="B8391"/>
      <c r="C8391"/>
      <c r="D8391"/>
      <c r="G8391"/>
    </row>
    <row r="8392" spans="2:7">
      <c r="B8392"/>
      <c r="C8392"/>
      <c r="D8392"/>
      <c r="G8392"/>
    </row>
    <row r="8393" spans="2:7">
      <c r="B8393"/>
      <c r="C8393"/>
      <c r="D8393"/>
      <c r="G8393"/>
    </row>
    <row r="8394" spans="2:7">
      <c r="B8394"/>
      <c r="C8394"/>
      <c r="D8394"/>
      <c r="G8394"/>
    </row>
    <row r="8395" spans="2:7">
      <c r="B8395"/>
      <c r="C8395"/>
      <c r="D8395"/>
      <c r="G8395"/>
    </row>
    <row r="8396" spans="2:7">
      <c r="B8396"/>
      <c r="C8396"/>
      <c r="D8396"/>
      <c r="G8396"/>
    </row>
    <row r="8397" spans="2:7">
      <c r="B8397"/>
      <c r="C8397"/>
      <c r="D8397"/>
      <c r="G8397"/>
    </row>
    <row r="8398" spans="2:7">
      <c r="B8398"/>
      <c r="C8398"/>
      <c r="D8398"/>
      <c r="G8398"/>
    </row>
    <row r="8399" spans="2:7">
      <c r="B8399"/>
      <c r="C8399"/>
      <c r="D8399"/>
      <c r="G8399"/>
    </row>
    <row r="8400" spans="2:7">
      <c r="B8400"/>
      <c r="C8400"/>
      <c r="D8400"/>
      <c r="G8400"/>
    </row>
    <row r="8401" spans="2:7">
      <c r="B8401"/>
      <c r="C8401"/>
      <c r="D8401"/>
      <c r="G8401"/>
    </row>
    <row r="8402" spans="2:7">
      <c r="B8402"/>
      <c r="C8402"/>
      <c r="D8402"/>
      <c r="G8402"/>
    </row>
    <row r="8403" spans="2:7">
      <c r="B8403"/>
      <c r="C8403"/>
      <c r="D8403"/>
      <c r="G8403"/>
    </row>
    <row r="8404" spans="2:7">
      <c r="B8404"/>
      <c r="C8404"/>
      <c r="D8404"/>
      <c r="G8404"/>
    </row>
    <row r="8405" spans="2:7">
      <c r="B8405"/>
      <c r="C8405"/>
      <c r="D8405"/>
      <c r="G8405"/>
    </row>
    <row r="8406" spans="2:7">
      <c r="B8406"/>
      <c r="C8406"/>
      <c r="D8406"/>
      <c r="G8406"/>
    </row>
    <row r="8407" spans="2:7">
      <c r="B8407"/>
      <c r="C8407"/>
      <c r="D8407"/>
      <c r="G8407"/>
    </row>
    <row r="8408" spans="2:7">
      <c r="B8408"/>
      <c r="C8408"/>
      <c r="D8408"/>
      <c r="G8408"/>
    </row>
    <row r="8409" spans="2:7">
      <c r="B8409"/>
      <c r="C8409"/>
      <c r="D8409"/>
      <c r="G8409"/>
    </row>
    <row r="8410" spans="2:7">
      <c r="B8410"/>
      <c r="C8410"/>
      <c r="D8410"/>
      <c r="G8410"/>
    </row>
    <row r="8411" spans="2:7">
      <c r="B8411"/>
      <c r="C8411"/>
      <c r="D8411"/>
      <c r="G8411"/>
    </row>
    <row r="8412" spans="2:7">
      <c r="B8412"/>
      <c r="C8412"/>
      <c r="D8412"/>
      <c r="G8412"/>
    </row>
    <row r="8413" spans="2:7">
      <c r="B8413"/>
      <c r="C8413"/>
      <c r="D8413"/>
      <c r="G8413"/>
    </row>
    <row r="8414" spans="2:7">
      <c r="B8414"/>
      <c r="C8414"/>
      <c r="D8414"/>
      <c r="G8414"/>
    </row>
    <row r="8415" spans="2:7">
      <c r="B8415"/>
      <c r="C8415"/>
      <c r="D8415"/>
      <c r="G8415"/>
    </row>
    <row r="8416" spans="2:7">
      <c r="B8416"/>
      <c r="C8416"/>
      <c r="D8416"/>
      <c r="G8416"/>
    </row>
    <row r="8417" spans="2:7">
      <c r="B8417"/>
      <c r="C8417"/>
      <c r="D8417"/>
      <c r="G8417"/>
    </row>
    <row r="8418" spans="2:7">
      <c r="B8418"/>
      <c r="C8418"/>
      <c r="D8418"/>
      <c r="G8418"/>
    </row>
    <row r="8419" spans="2:7">
      <c r="B8419"/>
      <c r="C8419"/>
      <c r="D8419"/>
      <c r="G8419"/>
    </row>
    <row r="8420" spans="2:7">
      <c r="B8420"/>
      <c r="C8420"/>
      <c r="D8420"/>
      <c r="G8420"/>
    </row>
    <row r="8421" spans="2:7">
      <c r="B8421"/>
      <c r="C8421"/>
      <c r="D8421"/>
      <c r="G8421"/>
    </row>
    <row r="8422" spans="2:7">
      <c r="B8422"/>
      <c r="C8422"/>
      <c r="D8422"/>
      <c r="G8422"/>
    </row>
    <row r="8423" spans="2:7">
      <c r="B8423"/>
      <c r="C8423"/>
      <c r="D8423"/>
      <c r="G8423"/>
    </row>
    <row r="8424" spans="2:7">
      <c r="B8424"/>
      <c r="C8424"/>
      <c r="D8424"/>
      <c r="G8424"/>
    </row>
    <row r="8425" spans="2:7">
      <c r="B8425"/>
      <c r="C8425"/>
      <c r="D8425"/>
      <c r="G8425"/>
    </row>
    <row r="8426" spans="2:7">
      <c r="B8426"/>
      <c r="C8426"/>
      <c r="D8426"/>
      <c r="G8426"/>
    </row>
    <row r="8427" spans="2:7">
      <c r="B8427"/>
      <c r="C8427"/>
      <c r="D8427"/>
      <c r="G8427"/>
    </row>
    <row r="8428" spans="2:7">
      <c r="B8428"/>
      <c r="C8428"/>
      <c r="D8428"/>
      <c r="G8428"/>
    </row>
    <row r="8429" spans="2:7">
      <c r="B8429"/>
      <c r="C8429"/>
      <c r="D8429"/>
      <c r="G8429"/>
    </row>
    <row r="8430" spans="2:7">
      <c r="B8430"/>
      <c r="C8430"/>
      <c r="D8430"/>
      <c r="G8430"/>
    </row>
    <row r="8431" spans="2:7">
      <c r="B8431"/>
      <c r="C8431"/>
      <c r="D8431"/>
      <c r="G8431"/>
    </row>
    <row r="8432" spans="2:7">
      <c r="B8432"/>
      <c r="C8432"/>
      <c r="D8432"/>
      <c r="G8432"/>
    </row>
    <row r="8433" spans="2:7">
      <c r="B8433"/>
      <c r="C8433"/>
      <c r="D8433"/>
      <c r="G8433"/>
    </row>
    <row r="8434" spans="2:7">
      <c r="B8434"/>
      <c r="C8434"/>
      <c r="D8434"/>
      <c r="G8434"/>
    </row>
    <row r="8435" spans="2:7">
      <c r="B8435"/>
      <c r="C8435"/>
      <c r="D8435"/>
      <c r="G8435"/>
    </row>
    <row r="8436" spans="2:7">
      <c r="B8436"/>
      <c r="C8436"/>
      <c r="D8436"/>
      <c r="G8436"/>
    </row>
    <row r="8437" spans="2:7">
      <c r="B8437"/>
      <c r="C8437"/>
      <c r="D8437"/>
      <c r="G8437"/>
    </row>
    <row r="8438" spans="2:7">
      <c r="B8438"/>
      <c r="C8438"/>
      <c r="D8438"/>
      <c r="G8438"/>
    </row>
    <row r="8439" spans="2:7">
      <c r="B8439"/>
      <c r="C8439"/>
      <c r="D8439"/>
      <c r="G8439"/>
    </row>
    <row r="8440" spans="2:7">
      <c r="B8440"/>
      <c r="C8440"/>
      <c r="D8440"/>
      <c r="G8440"/>
    </row>
    <row r="8441" spans="2:7">
      <c r="B8441"/>
      <c r="C8441"/>
      <c r="D8441"/>
      <c r="G8441"/>
    </row>
    <row r="8442" spans="2:7">
      <c r="B8442"/>
      <c r="C8442"/>
      <c r="D8442"/>
      <c r="G8442"/>
    </row>
    <row r="8443" spans="2:7">
      <c r="B8443"/>
      <c r="C8443"/>
      <c r="D8443"/>
      <c r="G8443"/>
    </row>
    <row r="8444" spans="2:7">
      <c r="B8444"/>
      <c r="C8444"/>
      <c r="D8444"/>
      <c r="G8444"/>
    </row>
    <row r="8445" spans="2:7">
      <c r="B8445"/>
      <c r="C8445"/>
      <c r="D8445"/>
      <c r="G8445"/>
    </row>
    <row r="8446" spans="2:7">
      <c r="B8446"/>
      <c r="C8446"/>
      <c r="D8446"/>
      <c r="G8446"/>
    </row>
    <row r="8447" spans="2:7">
      <c r="B8447"/>
      <c r="C8447"/>
      <c r="D8447"/>
      <c r="G8447"/>
    </row>
    <row r="8448" spans="2:7">
      <c r="B8448"/>
      <c r="C8448"/>
      <c r="D8448"/>
      <c r="G8448"/>
    </row>
    <row r="8449" spans="2:7">
      <c r="B8449"/>
      <c r="C8449"/>
      <c r="D8449"/>
      <c r="G8449"/>
    </row>
    <row r="8450" spans="2:7">
      <c r="B8450"/>
      <c r="C8450"/>
      <c r="D8450"/>
      <c r="G8450"/>
    </row>
    <row r="8451" spans="2:7">
      <c r="B8451"/>
      <c r="C8451"/>
      <c r="D8451"/>
      <c r="G8451"/>
    </row>
    <row r="8452" spans="2:7">
      <c r="B8452"/>
      <c r="C8452"/>
      <c r="D8452"/>
      <c r="G8452"/>
    </row>
    <row r="8453" spans="2:7">
      <c r="B8453"/>
      <c r="C8453"/>
      <c r="D8453"/>
      <c r="G8453"/>
    </row>
    <row r="8454" spans="2:7">
      <c r="B8454"/>
      <c r="C8454"/>
      <c r="D8454"/>
      <c r="G8454"/>
    </row>
    <row r="8455" spans="2:7">
      <c r="B8455"/>
      <c r="C8455"/>
      <c r="D8455"/>
      <c r="G8455"/>
    </row>
    <row r="8456" spans="2:7">
      <c r="B8456"/>
      <c r="C8456"/>
      <c r="D8456"/>
      <c r="G8456"/>
    </row>
    <row r="8457" spans="2:7">
      <c r="B8457"/>
      <c r="C8457"/>
      <c r="D8457"/>
      <c r="G8457"/>
    </row>
    <row r="8458" spans="2:7">
      <c r="B8458"/>
      <c r="C8458"/>
      <c r="D8458"/>
      <c r="G8458"/>
    </row>
    <row r="8459" spans="2:7">
      <c r="B8459"/>
      <c r="C8459"/>
      <c r="D8459"/>
      <c r="G8459"/>
    </row>
    <row r="8460" spans="2:7">
      <c r="B8460"/>
      <c r="C8460"/>
      <c r="D8460"/>
      <c r="G8460"/>
    </row>
    <row r="8461" spans="2:7">
      <c r="B8461"/>
      <c r="C8461"/>
      <c r="D8461"/>
      <c r="G8461"/>
    </row>
    <row r="8462" spans="2:7">
      <c r="B8462"/>
      <c r="C8462"/>
      <c r="D8462"/>
      <c r="G8462"/>
    </row>
    <row r="8463" spans="2:7">
      <c r="B8463"/>
      <c r="C8463"/>
      <c r="D8463"/>
      <c r="G8463"/>
    </row>
    <row r="8464" spans="2:7">
      <c r="B8464"/>
      <c r="C8464"/>
      <c r="D8464"/>
      <c r="G8464"/>
    </row>
    <row r="8465" spans="2:7">
      <c r="B8465"/>
      <c r="C8465"/>
      <c r="D8465"/>
      <c r="G8465"/>
    </row>
    <row r="8466" spans="2:7">
      <c r="B8466"/>
      <c r="C8466"/>
      <c r="D8466"/>
      <c r="G8466"/>
    </row>
    <row r="8467" spans="2:7">
      <c r="B8467"/>
      <c r="C8467"/>
      <c r="D8467"/>
      <c r="G8467"/>
    </row>
    <row r="8468" spans="2:7">
      <c r="B8468"/>
      <c r="C8468"/>
      <c r="D8468"/>
      <c r="G8468"/>
    </row>
    <row r="8469" spans="2:7">
      <c r="B8469"/>
      <c r="C8469"/>
      <c r="D8469"/>
      <c r="G8469"/>
    </row>
    <row r="8470" spans="2:7">
      <c r="B8470"/>
      <c r="C8470"/>
      <c r="D8470"/>
      <c r="G8470"/>
    </row>
    <row r="8471" spans="2:7">
      <c r="B8471"/>
      <c r="C8471"/>
      <c r="D8471"/>
      <c r="G8471"/>
    </row>
    <row r="8472" spans="2:7">
      <c r="B8472"/>
      <c r="C8472"/>
      <c r="D8472"/>
      <c r="G8472"/>
    </row>
    <row r="8473" spans="2:7">
      <c r="B8473"/>
      <c r="C8473"/>
      <c r="D8473"/>
      <c r="G8473"/>
    </row>
    <row r="8474" spans="2:7">
      <c r="B8474"/>
      <c r="C8474"/>
      <c r="D8474"/>
      <c r="G8474"/>
    </row>
    <row r="8475" spans="2:7">
      <c r="B8475"/>
      <c r="C8475"/>
      <c r="D8475"/>
      <c r="G8475"/>
    </row>
    <row r="8476" spans="2:7">
      <c r="B8476"/>
      <c r="C8476"/>
      <c r="D8476"/>
      <c r="G8476"/>
    </row>
    <row r="8477" spans="2:7">
      <c r="B8477"/>
      <c r="C8477"/>
      <c r="D8477"/>
      <c r="G8477"/>
    </row>
    <row r="8478" spans="2:7">
      <c r="B8478"/>
      <c r="C8478"/>
      <c r="D8478"/>
      <c r="G8478"/>
    </row>
    <row r="8479" spans="2:7">
      <c r="B8479"/>
      <c r="C8479"/>
      <c r="D8479"/>
      <c r="G8479"/>
    </row>
    <row r="8480" spans="2:7">
      <c r="B8480"/>
      <c r="C8480"/>
      <c r="D8480"/>
      <c r="G8480"/>
    </row>
    <row r="8481" spans="2:7">
      <c r="B8481"/>
      <c r="C8481"/>
      <c r="D8481"/>
      <c r="G8481"/>
    </row>
    <row r="8482" spans="2:7">
      <c r="B8482"/>
      <c r="C8482"/>
      <c r="D8482"/>
      <c r="G8482"/>
    </row>
    <row r="8483" spans="2:7">
      <c r="B8483"/>
      <c r="C8483"/>
      <c r="D8483"/>
      <c r="G8483"/>
    </row>
    <row r="8484" spans="2:7">
      <c r="B8484"/>
      <c r="C8484"/>
      <c r="D8484"/>
      <c r="G8484"/>
    </row>
    <row r="8485" spans="2:7">
      <c r="B8485"/>
      <c r="C8485"/>
      <c r="D8485"/>
      <c r="G8485"/>
    </row>
    <row r="8486" spans="2:7">
      <c r="B8486"/>
      <c r="C8486"/>
      <c r="D8486"/>
      <c r="G8486"/>
    </row>
    <row r="8487" spans="2:7">
      <c r="B8487"/>
      <c r="C8487"/>
      <c r="D8487"/>
      <c r="G8487"/>
    </row>
    <row r="8488" spans="2:7">
      <c r="B8488"/>
      <c r="C8488"/>
      <c r="D8488"/>
      <c r="G8488"/>
    </row>
    <row r="8489" spans="2:7">
      <c r="B8489"/>
      <c r="C8489"/>
      <c r="D8489"/>
      <c r="G8489"/>
    </row>
    <row r="8490" spans="2:7">
      <c r="B8490"/>
      <c r="C8490"/>
      <c r="D8490"/>
      <c r="G8490"/>
    </row>
    <row r="8491" spans="2:7">
      <c r="B8491"/>
      <c r="C8491"/>
      <c r="D8491"/>
      <c r="G8491"/>
    </row>
    <row r="8492" spans="2:7">
      <c r="B8492"/>
      <c r="C8492"/>
      <c r="D8492"/>
      <c r="G8492"/>
    </row>
    <row r="8493" spans="2:7">
      <c r="B8493"/>
      <c r="C8493"/>
      <c r="D8493"/>
      <c r="G8493"/>
    </row>
    <row r="8494" spans="2:7">
      <c r="B8494"/>
      <c r="C8494"/>
      <c r="D8494"/>
      <c r="G8494"/>
    </row>
    <row r="8495" spans="2:7">
      <c r="B8495"/>
      <c r="C8495"/>
      <c r="D8495"/>
      <c r="G8495"/>
    </row>
    <row r="8496" spans="2:7">
      <c r="B8496"/>
      <c r="C8496"/>
      <c r="D8496"/>
      <c r="G8496"/>
    </row>
    <row r="8497" spans="2:7">
      <c r="B8497"/>
      <c r="C8497"/>
      <c r="D8497"/>
      <c r="G8497"/>
    </row>
    <row r="8498" spans="2:7">
      <c r="B8498"/>
      <c r="C8498"/>
      <c r="D8498"/>
      <c r="G8498"/>
    </row>
    <row r="8499" spans="2:7">
      <c r="B8499"/>
      <c r="C8499"/>
      <c r="D8499"/>
      <c r="G8499"/>
    </row>
    <row r="8500" spans="2:7">
      <c r="B8500"/>
      <c r="C8500"/>
      <c r="D8500"/>
      <c r="G8500"/>
    </row>
    <row r="8501" spans="2:7">
      <c r="B8501"/>
      <c r="C8501"/>
      <c r="D8501"/>
      <c r="G8501"/>
    </row>
    <row r="8502" spans="2:7">
      <c r="B8502"/>
      <c r="C8502"/>
      <c r="D8502"/>
      <c r="G8502"/>
    </row>
    <row r="8503" spans="2:7">
      <c r="B8503"/>
      <c r="C8503"/>
      <c r="D8503"/>
      <c r="G8503"/>
    </row>
    <row r="8504" spans="2:7">
      <c r="B8504"/>
      <c r="C8504"/>
      <c r="D8504"/>
      <c r="G8504"/>
    </row>
    <row r="8505" spans="2:7">
      <c r="B8505"/>
      <c r="C8505"/>
      <c r="D8505"/>
      <c r="G8505"/>
    </row>
    <row r="8506" spans="2:7">
      <c r="B8506"/>
      <c r="C8506"/>
      <c r="D8506"/>
      <c r="G8506"/>
    </row>
    <row r="8507" spans="2:7">
      <c r="B8507"/>
      <c r="C8507"/>
      <c r="D8507"/>
      <c r="G8507"/>
    </row>
    <row r="8508" spans="2:7">
      <c r="B8508"/>
      <c r="C8508"/>
      <c r="D8508"/>
      <c r="G8508"/>
    </row>
    <row r="8509" spans="2:7">
      <c r="B8509"/>
      <c r="C8509"/>
      <c r="D8509"/>
      <c r="G8509"/>
    </row>
    <row r="8510" spans="2:7">
      <c r="B8510"/>
      <c r="C8510"/>
      <c r="D8510"/>
      <c r="G8510"/>
    </row>
    <row r="8511" spans="2:7">
      <c r="B8511"/>
      <c r="C8511"/>
      <c r="D8511"/>
      <c r="G8511"/>
    </row>
    <row r="8512" spans="2:7">
      <c r="B8512"/>
      <c r="C8512"/>
      <c r="D8512"/>
      <c r="G8512"/>
    </row>
    <row r="8513" spans="2:7">
      <c r="B8513"/>
      <c r="C8513"/>
      <c r="D8513"/>
      <c r="G8513"/>
    </row>
    <row r="8514" spans="2:7">
      <c r="B8514"/>
      <c r="C8514"/>
      <c r="D8514"/>
      <c r="G8514"/>
    </row>
    <row r="8515" spans="2:7">
      <c r="B8515"/>
      <c r="C8515"/>
      <c r="D8515"/>
      <c r="G8515"/>
    </row>
    <row r="8516" spans="2:7">
      <c r="B8516"/>
      <c r="C8516"/>
      <c r="D8516"/>
      <c r="G8516"/>
    </row>
    <row r="8517" spans="2:7">
      <c r="B8517"/>
      <c r="C8517"/>
      <c r="D8517"/>
      <c r="G8517"/>
    </row>
    <row r="8518" spans="2:7">
      <c r="B8518"/>
      <c r="C8518"/>
      <c r="D8518"/>
      <c r="G8518"/>
    </row>
    <row r="8519" spans="2:7">
      <c r="B8519"/>
      <c r="C8519"/>
      <c r="D8519"/>
      <c r="G8519"/>
    </row>
    <row r="8520" spans="2:7">
      <c r="B8520"/>
      <c r="C8520"/>
      <c r="D8520"/>
      <c r="G8520"/>
    </row>
    <row r="8521" spans="2:7">
      <c r="B8521"/>
      <c r="C8521"/>
      <c r="D8521"/>
      <c r="G8521"/>
    </row>
    <row r="8522" spans="2:7">
      <c r="B8522"/>
      <c r="C8522"/>
      <c r="D8522"/>
      <c r="G8522"/>
    </row>
    <row r="8523" spans="2:7">
      <c r="B8523"/>
      <c r="C8523"/>
      <c r="D8523"/>
      <c r="G8523"/>
    </row>
    <row r="8524" spans="2:7">
      <c r="B8524"/>
      <c r="C8524"/>
      <c r="D8524"/>
      <c r="G8524"/>
    </row>
    <row r="8525" spans="2:7">
      <c r="B8525"/>
      <c r="C8525"/>
      <c r="D8525"/>
      <c r="G8525"/>
    </row>
    <row r="8526" spans="2:7">
      <c r="B8526"/>
      <c r="C8526"/>
      <c r="D8526"/>
      <c r="G8526"/>
    </row>
    <row r="8527" spans="2:7">
      <c r="B8527"/>
      <c r="C8527"/>
      <c r="D8527"/>
      <c r="G8527"/>
    </row>
    <row r="8528" spans="2:7">
      <c r="B8528"/>
      <c r="C8528"/>
      <c r="D8528"/>
      <c r="G8528"/>
    </row>
    <row r="8529" spans="2:7">
      <c r="B8529"/>
      <c r="C8529"/>
      <c r="D8529"/>
      <c r="G8529"/>
    </row>
    <row r="8530" spans="2:7">
      <c r="B8530"/>
      <c r="C8530"/>
      <c r="D8530"/>
      <c r="G8530"/>
    </row>
    <row r="8531" spans="2:7">
      <c r="B8531"/>
      <c r="C8531"/>
      <c r="D8531"/>
      <c r="G8531"/>
    </row>
    <row r="8532" spans="2:7">
      <c r="B8532"/>
      <c r="C8532"/>
      <c r="D8532"/>
      <c r="G8532"/>
    </row>
    <row r="8533" spans="2:7">
      <c r="B8533"/>
      <c r="C8533"/>
      <c r="D8533"/>
      <c r="G8533"/>
    </row>
    <row r="8534" spans="2:7">
      <c r="B8534"/>
      <c r="C8534"/>
      <c r="D8534"/>
      <c r="G8534"/>
    </row>
    <row r="8535" spans="2:7">
      <c r="B8535"/>
      <c r="C8535"/>
      <c r="D8535"/>
      <c r="G8535"/>
    </row>
    <row r="8536" spans="2:7">
      <c r="B8536"/>
      <c r="C8536"/>
      <c r="D8536"/>
      <c r="G8536"/>
    </row>
    <row r="8537" spans="2:7">
      <c r="B8537"/>
      <c r="C8537"/>
      <c r="D8537"/>
      <c r="G8537"/>
    </row>
    <row r="8538" spans="2:7">
      <c r="B8538"/>
      <c r="C8538"/>
      <c r="D8538"/>
      <c r="G8538"/>
    </row>
    <row r="8539" spans="2:7">
      <c r="B8539"/>
      <c r="C8539"/>
      <c r="D8539"/>
      <c r="G8539"/>
    </row>
    <row r="8540" spans="2:7">
      <c r="B8540"/>
      <c r="C8540"/>
      <c r="D8540"/>
      <c r="G8540"/>
    </row>
    <row r="8541" spans="2:7">
      <c r="B8541"/>
      <c r="C8541"/>
      <c r="D8541"/>
      <c r="G8541"/>
    </row>
    <row r="8542" spans="2:7">
      <c r="B8542"/>
      <c r="C8542"/>
      <c r="D8542"/>
      <c r="G8542"/>
    </row>
    <row r="8543" spans="2:7">
      <c r="B8543"/>
      <c r="C8543"/>
      <c r="D8543"/>
      <c r="G8543"/>
    </row>
    <row r="8544" spans="2:7">
      <c r="B8544"/>
      <c r="C8544"/>
      <c r="D8544"/>
      <c r="G8544"/>
    </row>
    <row r="8545" spans="2:7">
      <c r="B8545"/>
      <c r="C8545"/>
      <c r="D8545"/>
      <c r="G8545"/>
    </row>
    <row r="8546" spans="2:7">
      <c r="B8546"/>
      <c r="C8546"/>
      <c r="D8546"/>
      <c r="G8546"/>
    </row>
    <row r="8547" spans="2:7">
      <c r="B8547"/>
      <c r="C8547"/>
      <c r="D8547"/>
      <c r="G8547"/>
    </row>
    <row r="8548" spans="2:7">
      <c r="B8548"/>
      <c r="C8548"/>
      <c r="D8548"/>
      <c r="G8548"/>
    </row>
    <row r="8549" spans="2:7">
      <c r="B8549"/>
      <c r="C8549"/>
      <c r="D8549"/>
      <c r="G8549"/>
    </row>
    <row r="8550" spans="2:7">
      <c r="B8550"/>
      <c r="C8550"/>
      <c r="D8550"/>
      <c r="G8550"/>
    </row>
    <row r="8551" spans="2:7">
      <c r="B8551"/>
      <c r="C8551"/>
      <c r="D8551"/>
      <c r="G8551"/>
    </row>
    <row r="8552" spans="2:7">
      <c r="B8552"/>
      <c r="C8552"/>
      <c r="D8552"/>
      <c r="G8552"/>
    </row>
    <row r="8553" spans="2:7">
      <c r="B8553"/>
      <c r="C8553"/>
      <c r="D8553"/>
      <c r="G8553"/>
    </row>
    <row r="8554" spans="2:7">
      <c r="B8554"/>
      <c r="C8554"/>
      <c r="D8554"/>
      <c r="G8554"/>
    </row>
    <row r="8555" spans="2:7">
      <c r="B8555"/>
      <c r="C8555"/>
      <c r="D8555"/>
      <c r="G8555"/>
    </row>
    <row r="8556" spans="2:7">
      <c r="B8556"/>
      <c r="C8556"/>
      <c r="D8556"/>
      <c r="G8556"/>
    </row>
    <row r="8557" spans="2:7">
      <c r="B8557"/>
      <c r="C8557"/>
      <c r="D8557"/>
      <c r="G8557"/>
    </row>
    <row r="8558" spans="2:7">
      <c r="B8558"/>
      <c r="C8558"/>
      <c r="D8558"/>
      <c r="G8558"/>
    </row>
    <row r="8559" spans="2:7">
      <c r="B8559"/>
      <c r="C8559"/>
      <c r="D8559"/>
      <c r="G8559"/>
    </row>
    <row r="8560" spans="2:7">
      <c r="B8560"/>
      <c r="C8560"/>
      <c r="D8560"/>
      <c r="G8560"/>
    </row>
    <row r="8561" spans="2:7">
      <c r="B8561"/>
      <c r="C8561"/>
      <c r="D8561"/>
      <c r="G8561"/>
    </row>
    <row r="8562" spans="2:7">
      <c r="B8562"/>
      <c r="C8562"/>
      <c r="D8562"/>
      <c r="G8562"/>
    </row>
    <row r="8563" spans="2:7">
      <c r="B8563"/>
      <c r="C8563"/>
      <c r="D8563"/>
      <c r="G8563"/>
    </row>
    <row r="8564" spans="2:7">
      <c r="B8564"/>
      <c r="C8564"/>
      <c r="D8564"/>
      <c r="G8564"/>
    </row>
    <row r="8565" spans="2:7">
      <c r="B8565"/>
      <c r="C8565"/>
      <c r="D8565"/>
      <c r="G8565"/>
    </row>
    <row r="8566" spans="2:7">
      <c r="B8566"/>
      <c r="C8566"/>
      <c r="D8566"/>
      <c r="G8566"/>
    </row>
    <row r="8567" spans="2:7">
      <c r="B8567"/>
      <c r="C8567"/>
      <c r="D8567"/>
      <c r="G8567"/>
    </row>
    <row r="8568" spans="2:7">
      <c r="B8568"/>
      <c r="C8568"/>
      <c r="D8568"/>
      <c r="G8568"/>
    </row>
    <row r="8569" spans="2:7">
      <c r="B8569"/>
      <c r="C8569"/>
      <c r="D8569"/>
      <c r="G8569"/>
    </row>
    <row r="8570" spans="2:7">
      <c r="B8570"/>
      <c r="C8570"/>
      <c r="D8570"/>
      <c r="G8570"/>
    </row>
    <row r="8571" spans="2:7">
      <c r="B8571"/>
      <c r="C8571"/>
      <c r="D8571"/>
      <c r="G8571"/>
    </row>
    <row r="8572" spans="2:7">
      <c r="B8572"/>
      <c r="C8572"/>
      <c r="D8572"/>
      <c r="G8572"/>
    </row>
    <row r="8573" spans="2:7">
      <c r="B8573"/>
      <c r="C8573"/>
      <c r="D8573"/>
      <c r="G8573"/>
    </row>
    <row r="8574" spans="2:7">
      <c r="B8574"/>
      <c r="C8574"/>
      <c r="D8574"/>
      <c r="G8574"/>
    </row>
    <row r="8575" spans="2:7">
      <c r="B8575"/>
      <c r="C8575"/>
      <c r="D8575"/>
      <c r="G8575"/>
    </row>
    <row r="8576" spans="2:7">
      <c r="B8576"/>
      <c r="C8576"/>
      <c r="D8576"/>
      <c r="G8576"/>
    </row>
    <row r="8577" spans="2:7">
      <c r="B8577"/>
      <c r="C8577"/>
      <c r="D8577"/>
      <c r="G8577"/>
    </row>
    <row r="8578" spans="2:7">
      <c r="B8578"/>
      <c r="C8578"/>
      <c r="D8578"/>
      <c r="G8578"/>
    </row>
    <row r="8579" spans="2:7">
      <c r="B8579"/>
      <c r="C8579"/>
      <c r="D8579"/>
      <c r="G8579"/>
    </row>
    <row r="8580" spans="2:7">
      <c r="B8580"/>
      <c r="C8580"/>
      <c r="D8580"/>
      <c r="G8580"/>
    </row>
    <row r="8581" spans="2:7">
      <c r="B8581"/>
      <c r="C8581"/>
      <c r="D8581"/>
      <c r="G8581"/>
    </row>
    <row r="8582" spans="2:7">
      <c r="B8582"/>
      <c r="C8582"/>
      <c r="D8582"/>
      <c r="G8582"/>
    </row>
    <row r="8583" spans="2:7">
      <c r="B8583"/>
      <c r="C8583"/>
      <c r="D8583"/>
      <c r="G8583"/>
    </row>
    <row r="8584" spans="2:7">
      <c r="B8584"/>
      <c r="C8584"/>
      <c r="D8584"/>
      <c r="G8584"/>
    </row>
    <row r="8585" spans="2:7">
      <c r="B8585"/>
      <c r="C8585"/>
      <c r="D8585"/>
      <c r="G8585"/>
    </row>
    <row r="8586" spans="2:7">
      <c r="B8586"/>
      <c r="C8586"/>
      <c r="D8586"/>
      <c r="G8586"/>
    </row>
    <row r="8587" spans="2:7">
      <c r="B8587"/>
      <c r="C8587"/>
      <c r="D8587"/>
      <c r="G8587"/>
    </row>
    <row r="8588" spans="2:7">
      <c r="B8588"/>
      <c r="C8588"/>
      <c r="D8588"/>
      <c r="G8588"/>
    </row>
    <row r="8589" spans="2:7">
      <c r="B8589"/>
      <c r="C8589"/>
      <c r="D8589"/>
      <c r="G8589"/>
    </row>
    <row r="8590" spans="2:7">
      <c r="B8590"/>
      <c r="C8590"/>
      <c r="D8590"/>
      <c r="G8590"/>
    </row>
    <row r="8591" spans="2:7">
      <c r="B8591"/>
      <c r="C8591"/>
      <c r="D8591"/>
      <c r="G8591"/>
    </row>
    <row r="8592" spans="2:7">
      <c r="B8592"/>
      <c r="C8592"/>
      <c r="D8592"/>
      <c r="G8592"/>
    </row>
    <row r="8593" spans="2:7">
      <c r="B8593"/>
      <c r="C8593"/>
      <c r="D8593"/>
      <c r="G8593"/>
    </row>
    <row r="8594" spans="2:7">
      <c r="B8594"/>
      <c r="C8594"/>
      <c r="D8594"/>
      <c r="G8594"/>
    </row>
    <row r="8595" spans="2:7">
      <c r="B8595"/>
      <c r="C8595"/>
      <c r="D8595"/>
      <c r="G8595"/>
    </row>
    <row r="8596" spans="2:7">
      <c r="B8596"/>
      <c r="C8596"/>
      <c r="D8596"/>
      <c r="G8596"/>
    </row>
    <row r="8597" spans="2:7">
      <c r="B8597"/>
      <c r="C8597"/>
      <c r="D8597"/>
      <c r="G8597"/>
    </row>
    <row r="8598" spans="2:7">
      <c r="B8598"/>
      <c r="C8598"/>
      <c r="D8598"/>
      <c r="G8598"/>
    </row>
    <row r="8599" spans="2:7">
      <c r="B8599"/>
      <c r="C8599"/>
      <c r="D8599"/>
      <c r="G8599"/>
    </row>
    <row r="8600" spans="2:7">
      <c r="B8600"/>
      <c r="C8600"/>
      <c r="D8600"/>
      <c r="G8600"/>
    </row>
    <row r="8601" spans="2:7">
      <c r="B8601"/>
      <c r="C8601"/>
      <c r="D8601"/>
      <c r="G8601"/>
    </row>
    <row r="8602" spans="2:7">
      <c r="B8602"/>
      <c r="C8602"/>
      <c r="D8602"/>
      <c r="G8602"/>
    </row>
    <row r="8603" spans="2:7">
      <c r="B8603"/>
      <c r="C8603"/>
      <c r="D8603"/>
      <c r="G8603"/>
    </row>
    <row r="8604" spans="2:7">
      <c r="B8604"/>
      <c r="C8604"/>
      <c r="D8604"/>
      <c r="G8604"/>
    </row>
    <row r="8605" spans="2:7">
      <c r="B8605"/>
      <c r="C8605"/>
      <c r="D8605"/>
      <c r="G8605"/>
    </row>
    <row r="8606" spans="2:7">
      <c r="B8606"/>
      <c r="C8606"/>
      <c r="D8606"/>
      <c r="G8606"/>
    </row>
    <row r="8607" spans="2:7">
      <c r="B8607"/>
      <c r="C8607"/>
      <c r="D8607"/>
      <c r="G8607"/>
    </row>
    <row r="8608" spans="2:7">
      <c r="B8608"/>
      <c r="C8608"/>
      <c r="D8608"/>
      <c r="G8608"/>
    </row>
    <row r="8609" spans="2:7">
      <c r="B8609"/>
      <c r="C8609"/>
      <c r="D8609"/>
      <c r="G8609"/>
    </row>
    <row r="8610" spans="2:7">
      <c r="B8610"/>
      <c r="C8610"/>
      <c r="D8610"/>
      <c r="G8610"/>
    </row>
    <row r="8611" spans="2:7">
      <c r="B8611"/>
      <c r="C8611"/>
      <c r="D8611"/>
      <c r="G8611"/>
    </row>
    <row r="8612" spans="2:7">
      <c r="B8612"/>
      <c r="C8612"/>
      <c r="D8612"/>
      <c r="G8612"/>
    </row>
    <row r="8613" spans="2:7">
      <c r="B8613"/>
      <c r="C8613"/>
      <c r="D8613"/>
      <c r="G8613"/>
    </row>
    <row r="8614" spans="2:7">
      <c r="B8614"/>
      <c r="C8614"/>
      <c r="D8614"/>
      <c r="G8614"/>
    </row>
    <row r="8615" spans="2:7">
      <c r="B8615"/>
      <c r="C8615"/>
      <c r="D8615"/>
      <c r="G8615"/>
    </row>
    <row r="8616" spans="2:7">
      <c r="B8616"/>
      <c r="C8616"/>
      <c r="D8616"/>
      <c r="G8616"/>
    </row>
    <row r="8617" spans="2:7">
      <c r="B8617"/>
      <c r="C8617"/>
      <c r="D8617"/>
      <c r="G8617"/>
    </row>
    <row r="8618" spans="2:7">
      <c r="B8618"/>
      <c r="C8618"/>
      <c r="D8618"/>
      <c r="G8618"/>
    </row>
    <row r="8619" spans="2:7">
      <c r="B8619"/>
      <c r="C8619"/>
      <c r="D8619"/>
      <c r="G8619"/>
    </row>
    <row r="8620" spans="2:7">
      <c r="B8620"/>
      <c r="C8620"/>
      <c r="D8620"/>
      <c r="G8620"/>
    </row>
    <row r="8621" spans="2:7">
      <c r="B8621"/>
      <c r="C8621"/>
      <c r="D8621"/>
      <c r="G8621"/>
    </row>
    <row r="8622" spans="2:7">
      <c r="B8622"/>
      <c r="C8622"/>
      <c r="D8622"/>
      <c r="G8622"/>
    </row>
    <row r="8623" spans="2:7">
      <c r="B8623"/>
      <c r="C8623"/>
      <c r="D8623"/>
      <c r="G8623"/>
    </row>
    <row r="8624" spans="2:7">
      <c r="B8624"/>
      <c r="C8624"/>
      <c r="D8624"/>
      <c r="G8624"/>
    </row>
    <row r="8625" spans="2:7">
      <c r="B8625"/>
      <c r="C8625"/>
      <c r="D8625"/>
      <c r="G8625"/>
    </row>
    <row r="8626" spans="2:7">
      <c r="B8626"/>
      <c r="C8626"/>
      <c r="D8626"/>
      <c r="G8626"/>
    </row>
    <row r="8627" spans="2:7">
      <c r="B8627"/>
      <c r="C8627"/>
      <c r="D8627"/>
      <c r="G8627"/>
    </row>
    <row r="8628" spans="2:7">
      <c r="B8628"/>
      <c r="C8628"/>
      <c r="D8628"/>
      <c r="G8628"/>
    </row>
    <row r="8629" spans="2:7">
      <c r="B8629"/>
      <c r="C8629"/>
      <c r="D8629"/>
      <c r="G8629"/>
    </row>
    <row r="8630" spans="2:7">
      <c r="B8630"/>
      <c r="C8630"/>
      <c r="D8630"/>
      <c r="G8630"/>
    </row>
    <row r="8631" spans="2:7">
      <c r="B8631"/>
      <c r="C8631"/>
      <c r="D8631"/>
      <c r="G8631"/>
    </row>
    <row r="8632" spans="2:7">
      <c r="B8632"/>
      <c r="C8632"/>
      <c r="D8632"/>
      <c r="G8632"/>
    </row>
    <row r="8633" spans="2:7">
      <c r="B8633"/>
      <c r="C8633"/>
      <c r="D8633"/>
      <c r="G8633"/>
    </row>
    <row r="8634" spans="2:7">
      <c r="B8634"/>
      <c r="C8634"/>
      <c r="D8634"/>
      <c r="G8634"/>
    </row>
    <row r="8635" spans="2:7">
      <c r="B8635"/>
      <c r="C8635"/>
      <c r="D8635"/>
      <c r="G8635"/>
    </row>
    <row r="8636" spans="2:7">
      <c r="B8636"/>
      <c r="C8636"/>
      <c r="D8636"/>
      <c r="G8636"/>
    </row>
    <row r="8637" spans="2:7">
      <c r="B8637"/>
      <c r="C8637"/>
      <c r="D8637"/>
      <c r="G8637"/>
    </row>
    <row r="8638" spans="2:7">
      <c r="B8638"/>
      <c r="C8638"/>
      <c r="D8638"/>
      <c r="G8638"/>
    </row>
    <row r="8639" spans="2:7">
      <c r="B8639"/>
      <c r="C8639"/>
      <c r="D8639"/>
      <c r="G8639"/>
    </row>
    <row r="8640" spans="2:7">
      <c r="B8640"/>
      <c r="C8640"/>
      <c r="D8640"/>
      <c r="G8640"/>
    </row>
    <row r="8641" spans="2:7">
      <c r="B8641"/>
      <c r="C8641"/>
      <c r="D8641"/>
      <c r="G8641"/>
    </row>
    <row r="8642" spans="2:7">
      <c r="B8642"/>
      <c r="C8642"/>
      <c r="D8642"/>
      <c r="G8642"/>
    </row>
    <row r="8643" spans="2:7">
      <c r="B8643"/>
      <c r="C8643"/>
      <c r="D8643"/>
      <c r="G8643"/>
    </row>
    <row r="8644" spans="2:7">
      <c r="B8644"/>
      <c r="C8644"/>
      <c r="D8644"/>
      <c r="G8644"/>
    </row>
    <row r="8645" spans="2:7">
      <c r="B8645"/>
      <c r="C8645"/>
      <c r="D8645"/>
      <c r="G8645"/>
    </row>
    <row r="8646" spans="2:7">
      <c r="B8646"/>
      <c r="C8646"/>
      <c r="D8646"/>
      <c r="G8646"/>
    </row>
    <row r="8647" spans="2:7">
      <c r="B8647"/>
      <c r="C8647"/>
      <c r="D8647"/>
      <c r="G8647"/>
    </row>
    <row r="8648" spans="2:7">
      <c r="B8648"/>
      <c r="C8648"/>
      <c r="D8648"/>
      <c r="G8648"/>
    </row>
    <row r="8649" spans="2:7">
      <c r="B8649"/>
      <c r="C8649"/>
      <c r="D8649"/>
      <c r="G8649"/>
    </row>
    <row r="8650" spans="2:7">
      <c r="B8650"/>
      <c r="C8650"/>
      <c r="D8650"/>
      <c r="G8650"/>
    </row>
    <row r="8651" spans="2:7">
      <c r="B8651"/>
      <c r="C8651"/>
      <c r="D8651"/>
      <c r="G8651"/>
    </row>
    <row r="8652" spans="2:7">
      <c r="B8652"/>
      <c r="C8652"/>
      <c r="D8652"/>
      <c r="G8652"/>
    </row>
    <row r="8653" spans="2:7">
      <c r="B8653"/>
      <c r="C8653"/>
      <c r="D8653"/>
      <c r="G8653"/>
    </row>
    <row r="8654" spans="2:7">
      <c r="B8654"/>
      <c r="C8654"/>
      <c r="D8654"/>
      <c r="G8654"/>
    </row>
    <row r="8655" spans="2:7">
      <c r="B8655"/>
      <c r="C8655"/>
      <c r="D8655"/>
      <c r="G8655"/>
    </row>
    <row r="8656" spans="2:7">
      <c r="B8656"/>
      <c r="C8656"/>
      <c r="D8656"/>
      <c r="G8656"/>
    </row>
    <row r="8657" spans="2:7">
      <c r="B8657"/>
      <c r="C8657"/>
      <c r="D8657"/>
      <c r="G8657"/>
    </row>
    <row r="8658" spans="2:7">
      <c r="B8658"/>
      <c r="C8658"/>
      <c r="D8658"/>
      <c r="G8658"/>
    </row>
    <row r="8659" spans="2:7">
      <c r="B8659"/>
      <c r="C8659"/>
      <c r="D8659"/>
      <c r="G8659"/>
    </row>
    <row r="8660" spans="2:7">
      <c r="B8660"/>
      <c r="C8660"/>
      <c r="D8660"/>
      <c r="G8660"/>
    </row>
    <row r="8661" spans="2:7">
      <c r="B8661"/>
      <c r="C8661"/>
      <c r="D8661"/>
      <c r="G8661"/>
    </row>
    <row r="8662" spans="2:7">
      <c r="B8662"/>
      <c r="C8662"/>
      <c r="D8662"/>
      <c r="G8662"/>
    </row>
    <row r="8663" spans="2:7">
      <c r="B8663"/>
      <c r="C8663"/>
      <c r="D8663"/>
      <c r="G8663"/>
    </row>
    <row r="8664" spans="2:7">
      <c r="B8664"/>
      <c r="C8664"/>
      <c r="D8664"/>
      <c r="G8664"/>
    </row>
    <row r="8665" spans="2:7">
      <c r="B8665"/>
      <c r="C8665"/>
      <c r="D8665"/>
      <c r="G8665"/>
    </row>
    <row r="8666" spans="2:7">
      <c r="B8666"/>
      <c r="C8666"/>
      <c r="D8666"/>
      <c r="G8666"/>
    </row>
    <row r="8667" spans="2:7">
      <c r="B8667"/>
      <c r="C8667"/>
      <c r="D8667"/>
      <c r="G8667"/>
    </row>
    <row r="8668" spans="2:7">
      <c r="B8668"/>
      <c r="C8668"/>
      <c r="D8668"/>
      <c r="G8668"/>
    </row>
    <row r="8669" spans="2:7">
      <c r="B8669"/>
      <c r="C8669"/>
      <c r="D8669"/>
      <c r="G8669"/>
    </row>
    <row r="8670" spans="2:7">
      <c r="B8670"/>
      <c r="C8670"/>
      <c r="D8670"/>
      <c r="G8670"/>
    </row>
    <row r="8671" spans="2:7">
      <c r="B8671"/>
      <c r="C8671"/>
      <c r="D8671"/>
      <c r="G8671"/>
    </row>
    <row r="8672" spans="2:7">
      <c r="B8672"/>
      <c r="C8672"/>
      <c r="D8672"/>
      <c r="G8672"/>
    </row>
    <row r="8673" spans="2:7">
      <c r="B8673"/>
      <c r="C8673"/>
      <c r="D8673"/>
      <c r="G8673"/>
    </row>
    <row r="8674" spans="2:7">
      <c r="B8674"/>
      <c r="C8674"/>
      <c r="D8674"/>
      <c r="G8674"/>
    </row>
    <row r="8675" spans="2:7">
      <c r="B8675"/>
      <c r="C8675"/>
      <c r="D8675"/>
      <c r="G8675"/>
    </row>
    <row r="8676" spans="2:7">
      <c r="B8676"/>
      <c r="C8676"/>
      <c r="D8676"/>
      <c r="G8676"/>
    </row>
    <row r="8677" spans="2:7">
      <c r="B8677"/>
      <c r="C8677"/>
      <c r="D8677"/>
      <c r="G8677"/>
    </row>
    <row r="8678" spans="2:7">
      <c r="B8678"/>
      <c r="C8678"/>
      <c r="D8678"/>
      <c r="G8678"/>
    </row>
    <row r="8679" spans="2:7">
      <c r="B8679"/>
      <c r="C8679"/>
      <c r="D8679"/>
      <c r="G8679"/>
    </row>
    <row r="8680" spans="2:7">
      <c r="B8680"/>
      <c r="C8680"/>
      <c r="D8680"/>
      <c r="G8680"/>
    </row>
    <row r="8681" spans="2:7">
      <c r="B8681"/>
      <c r="C8681"/>
      <c r="D8681"/>
      <c r="G8681"/>
    </row>
    <row r="8682" spans="2:7">
      <c r="B8682"/>
      <c r="C8682"/>
      <c r="D8682"/>
      <c r="G8682"/>
    </row>
    <row r="8683" spans="2:7">
      <c r="B8683"/>
      <c r="C8683"/>
      <c r="D8683"/>
      <c r="G8683"/>
    </row>
    <row r="8684" spans="2:7">
      <c r="B8684"/>
      <c r="C8684"/>
      <c r="D8684"/>
      <c r="G8684"/>
    </row>
    <row r="8685" spans="2:7">
      <c r="B8685"/>
      <c r="C8685"/>
      <c r="D8685"/>
      <c r="G8685"/>
    </row>
    <row r="8686" spans="2:7">
      <c r="B8686"/>
      <c r="C8686"/>
      <c r="D8686"/>
      <c r="G8686"/>
    </row>
    <row r="8687" spans="2:7">
      <c r="B8687"/>
      <c r="C8687"/>
      <c r="D8687"/>
      <c r="G8687"/>
    </row>
    <row r="8688" spans="2:7">
      <c r="B8688"/>
      <c r="C8688"/>
      <c r="D8688"/>
      <c r="G8688"/>
    </row>
    <row r="8689" spans="2:7">
      <c r="B8689"/>
      <c r="C8689"/>
      <c r="D8689"/>
      <c r="G8689"/>
    </row>
    <row r="8690" spans="2:7">
      <c r="B8690"/>
      <c r="C8690"/>
      <c r="D8690"/>
      <c r="G8690"/>
    </row>
    <row r="8691" spans="2:7">
      <c r="B8691"/>
      <c r="C8691"/>
      <c r="D8691"/>
      <c r="G8691"/>
    </row>
    <row r="8692" spans="2:7">
      <c r="B8692"/>
      <c r="C8692"/>
      <c r="D8692"/>
      <c r="G8692"/>
    </row>
    <row r="8693" spans="2:7">
      <c r="B8693"/>
      <c r="C8693"/>
      <c r="D8693"/>
      <c r="G8693"/>
    </row>
    <row r="8694" spans="2:7">
      <c r="B8694"/>
      <c r="C8694"/>
      <c r="D8694"/>
      <c r="G8694"/>
    </row>
    <row r="8695" spans="2:7">
      <c r="B8695"/>
      <c r="C8695"/>
      <c r="D8695"/>
      <c r="G8695"/>
    </row>
    <row r="8696" spans="2:7">
      <c r="B8696"/>
      <c r="C8696"/>
      <c r="D8696"/>
      <c r="G8696"/>
    </row>
    <row r="8697" spans="2:7">
      <c r="B8697"/>
      <c r="C8697"/>
      <c r="D8697"/>
      <c r="G8697"/>
    </row>
    <row r="8698" spans="2:7">
      <c r="B8698"/>
      <c r="C8698"/>
      <c r="D8698"/>
      <c r="G8698"/>
    </row>
    <row r="8699" spans="2:7">
      <c r="B8699"/>
      <c r="C8699"/>
      <c r="D8699"/>
      <c r="G8699"/>
    </row>
    <row r="8700" spans="2:7">
      <c r="B8700"/>
      <c r="C8700"/>
      <c r="D8700"/>
      <c r="G8700"/>
    </row>
    <row r="8701" spans="2:7">
      <c r="B8701"/>
      <c r="C8701"/>
      <c r="D8701"/>
      <c r="G8701"/>
    </row>
    <row r="8702" spans="2:7">
      <c r="B8702"/>
      <c r="C8702"/>
      <c r="D8702"/>
      <c r="G8702"/>
    </row>
    <row r="8703" spans="2:7">
      <c r="B8703"/>
      <c r="C8703"/>
      <c r="D8703"/>
      <c r="G8703"/>
    </row>
    <row r="8704" spans="2:7">
      <c r="B8704"/>
      <c r="C8704"/>
      <c r="D8704"/>
      <c r="G8704"/>
    </row>
    <row r="8705" spans="2:7">
      <c r="B8705"/>
      <c r="C8705"/>
      <c r="D8705"/>
      <c r="G8705"/>
    </row>
    <row r="8706" spans="2:7">
      <c r="B8706"/>
      <c r="C8706"/>
      <c r="D8706"/>
      <c r="G8706"/>
    </row>
    <row r="8707" spans="2:7">
      <c r="B8707"/>
      <c r="C8707"/>
      <c r="D8707"/>
      <c r="G8707"/>
    </row>
    <row r="8708" spans="2:7">
      <c r="B8708"/>
      <c r="C8708"/>
      <c r="D8708"/>
      <c r="G8708"/>
    </row>
    <row r="8709" spans="2:7">
      <c r="B8709"/>
      <c r="C8709"/>
      <c r="D8709"/>
      <c r="G8709"/>
    </row>
    <row r="8710" spans="2:7">
      <c r="B8710"/>
      <c r="C8710"/>
      <c r="D8710"/>
      <c r="G8710"/>
    </row>
    <row r="8711" spans="2:7">
      <c r="B8711"/>
      <c r="C8711"/>
      <c r="D8711"/>
      <c r="G8711"/>
    </row>
    <row r="8712" spans="2:7">
      <c r="B8712"/>
      <c r="C8712"/>
      <c r="D8712"/>
      <c r="G8712"/>
    </row>
    <row r="8713" spans="2:7">
      <c r="B8713"/>
      <c r="C8713"/>
      <c r="D8713"/>
      <c r="G8713"/>
    </row>
    <row r="8714" spans="2:7">
      <c r="B8714"/>
      <c r="C8714"/>
      <c r="D8714"/>
      <c r="G8714"/>
    </row>
    <row r="8715" spans="2:7">
      <c r="B8715"/>
      <c r="C8715"/>
      <c r="D8715"/>
      <c r="G8715"/>
    </row>
    <row r="8716" spans="2:7">
      <c r="B8716"/>
      <c r="C8716"/>
      <c r="D8716"/>
      <c r="G8716"/>
    </row>
    <row r="8717" spans="2:7">
      <c r="B8717"/>
      <c r="C8717"/>
      <c r="D8717"/>
      <c r="G8717"/>
    </row>
    <row r="8718" spans="2:7">
      <c r="B8718"/>
      <c r="C8718"/>
      <c r="D8718"/>
      <c r="G8718"/>
    </row>
    <row r="8719" spans="2:7">
      <c r="B8719"/>
      <c r="C8719"/>
      <c r="D8719"/>
      <c r="G8719"/>
    </row>
    <row r="8720" spans="2:7">
      <c r="B8720"/>
      <c r="C8720"/>
      <c r="D8720"/>
      <c r="G8720"/>
    </row>
    <row r="8721" spans="2:7">
      <c r="B8721"/>
      <c r="C8721"/>
      <c r="D8721"/>
      <c r="G8721"/>
    </row>
    <row r="8722" spans="2:7">
      <c r="B8722"/>
      <c r="C8722"/>
      <c r="D8722"/>
      <c r="G8722"/>
    </row>
    <row r="8723" spans="2:7">
      <c r="B8723"/>
      <c r="C8723"/>
      <c r="D8723"/>
      <c r="G8723"/>
    </row>
    <row r="8724" spans="2:7">
      <c r="B8724"/>
      <c r="C8724"/>
      <c r="D8724"/>
      <c r="G8724"/>
    </row>
    <row r="8725" spans="2:7">
      <c r="B8725"/>
      <c r="C8725"/>
      <c r="D8725"/>
      <c r="G8725"/>
    </row>
    <row r="8726" spans="2:7">
      <c r="B8726"/>
      <c r="C8726"/>
      <c r="D8726"/>
      <c r="G8726"/>
    </row>
    <row r="8727" spans="2:7">
      <c r="B8727"/>
      <c r="C8727"/>
      <c r="D8727"/>
      <c r="G8727"/>
    </row>
    <row r="8728" spans="2:7">
      <c r="B8728"/>
      <c r="C8728"/>
      <c r="D8728"/>
      <c r="G8728"/>
    </row>
    <row r="8729" spans="2:7">
      <c r="B8729"/>
      <c r="C8729"/>
      <c r="D8729"/>
      <c r="G8729"/>
    </row>
    <row r="8730" spans="2:7">
      <c r="B8730"/>
      <c r="C8730"/>
      <c r="D8730"/>
      <c r="G8730"/>
    </row>
    <row r="8731" spans="2:7">
      <c r="B8731"/>
      <c r="C8731"/>
      <c r="D8731"/>
      <c r="G8731"/>
    </row>
    <row r="8732" spans="2:7">
      <c r="B8732"/>
      <c r="C8732"/>
      <c r="D8732"/>
      <c r="G8732"/>
    </row>
    <row r="8733" spans="2:7">
      <c r="B8733"/>
      <c r="C8733"/>
      <c r="D8733"/>
      <c r="G8733"/>
    </row>
    <row r="8734" spans="2:7">
      <c r="B8734"/>
      <c r="C8734"/>
      <c r="D8734"/>
      <c r="G8734"/>
    </row>
    <row r="8735" spans="2:7">
      <c r="B8735"/>
      <c r="C8735"/>
      <c r="D8735"/>
      <c r="G8735"/>
    </row>
    <row r="8736" spans="2:7">
      <c r="B8736"/>
      <c r="C8736"/>
      <c r="D8736"/>
      <c r="G8736"/>
    </row>
    <row r="8737" spans="2:7">
      <c r="B8737"/>
      <c r="C8737"/>
      <c r="D8737"/>
      <c r="G8737"/>
    </row>
    <row r="8738" spans="2:7">
      <c r="B8738"/>
      <c r="C8738"/>
      <c r="D8738"/>
      <c r="G8738"/>
    </row>
    <row r="8739" spans="2:7">
      <c r="B8739"/>
      <c r="C8739"/>
      <c r="D8739"/>
      <c r="G8739"/>
    </row>
    <row r="8740" spans="2:7">
      <c r="B8740"/>
      <c r="C8740"/>
      <c r="D8740"/>
      <c r="G8740"/>
    </row>
    <row r="8741" spans="2:7">
      <c r="B8741"/>
      <c r="C8741"/>
      <c r="D8741"/>
      <c r="G8741"/>
    </row>
    <row r="8742" spans="2:7">
      <c r="B8742"/>
      <c r="C8742"/>
      <c r="D8742"/>
      <c r="G8742"/>
    </row>
    <row r="8743" spans="2:7">
      <c r="B8743"/>
      <c r="C8743"/>
      <c r="D8743"/>
      <c r="G8743"/>
    </row>
    <row r="8744" spans="2:7">
      <c r="B8744"/>
      <c r="C8744"/>
      <c r="D8744"/>
      <c r="G8744"/>
    </row>
    <row r="8745" spans="2:7">
      <c r="B8745"/>
      <c r="C8745"/>
      <c r="D8745"/>
      <c r="G8745"/>
    </row>
    <row r="8746" spans="2:7">
      <c r="B8746"/>
      <c r="C8746"/>
      <c r="D8746"/>
      <c r="G8746"/>
    </row>
    <row r="8747" spans="2:7">
      <c r="B8747"/>
      <c r="C8747"/>
      <c r="D8747"/>
      <c r="G8747"/>
    </row>
    <row r="8748" spans="2:7">
      <c r="B8748"/>
      <c r="C8748"/>
      <c r="D8748"/>
      <c r="G8748"/>
    </row>
    <row r="8749" spans="2:7">
      <c r="B8749"/>
      <c r="C8749"/>
      <c r="D8749"/>
      <c r="G8749"/>
    </row>
    <row r="8750" spans="2:7">
      <c r="B8750"/>
      <c r="C8750"/>
      <c r="D8750"/>
      <c r="G8750"/>
    </row>
    <row r="8751" spans="2:7">
      <c r="B8751"/>
      <c r="C8751"/>
      <c r="D8751"/>
      <c r="G8751"/>
    </row>
    <row r="8752" spans="2:7">
      <c r="B8752"/>
      <c r="C8752"/>
      <c r="D8752"/>
      <c r="G8752"/>
    </row>
    <row r="8753" spans="2:7">
      <c r="B8753"/>
      <c r="C8753"/>
      <c r="D8753"/>
      <c r="G8753"/>
    </row>
    <row r="8754" spans="2:7">
      <c r="B8754"/>
      <c r="C8754"/>
      <c r="D8754"/>
      <c r="G8754"/>
    </row>
    <row r="8755" spans="2:7">
      <c r="B8755"/>
      <c r="C8755"/>
      <c r="D8755"/>
      <c r="G8755"/>
    </row>
    <row r="8756" spans="2:7">
      <c r="B8756"/>
      <c r="C8756"/>
      <c r="D8756"/>
      <c r="G8756"/>
    </row>
    <row r="8757" spans="2:7">
      <c r="B8757"/>
      <c r="C8757"/>
      <c r="D8757"/>
      <c r="G8757"/>
    </row>
    <row r="8758" spans="2:7">
      <c r="B8758"/>
      <c r="C8758"/>
      <c r="D8758"/>
      <c r="G8758"/>
    </row>
    <row r="8759" spans="2:7">
      <c r="B8759"/>
      <c r="C8759"/>
      <c r="D8759"/>
      <c r="G8759"/>
    </row>
    <row r="8760" spans="2:7">
      <c r="B8760"/>
      <c r="C8760"/>
      <c r="D8760"/>
      <c r="G8760"/>
    </row>
    <row r="8761" spans="2:7">
      <c r="B8761"/>
      <c r="C8761"/>
      <c r="D8761"/>
      <c r="G8761"/>
    </row>
    <row r="8762" spans="2:7">
      <c r="B8762"/>
      <c r="C8762"/>
      <c r="D8762"/>
      <c r="G8762"/>
    </row>
    <row r="8763" spans="2:7">
      <c r="B8763"/>
      <c r="C8763"/>
      <c r="D8763"/>
      <c r="G8763"/>
    </row>
    <row r="8764" spans="2:7">
      <c r="B8764"/>
      <c r="C8764"/>
      <c r="D8764"/>
      <c r="G8764"/>
    </row>
    <row r="8765" spans="2:7">
      <c r="B8765"/>
      <c r="C8765"/>
      <c r="D8765"/>
      <c r="G8765"/>
    </row>
    <row r="8766" spans="2:7">
      <c r="B8766"/>
      <c r="C8766"/>
      <c r="D8766"/>
      <c r="G8766"/>
    </row>
    <row r="8767" spans="2:7">
      <c r="B8767"/>
      <c r="C8767"/>
      <c r="D8767"/>
      <c r="G8767"/>
    </row>
    <row r="8768" spans="2:7">
      <c r="B8768"/>
      <c r="C8768"/>
      <c r="D8768"/>
      <c r="G8768"/>
    </row>
    <row r="8769" spans="2:7">
      <c r="B8769"/>
      <c r="C8769"/>
      <c r="D8769"/>
      <c r="G8769"/>
    </row>
    <row r="8770" spans="2:7">
      <c r="B8770"/>
      <c r="C8770"/>
      <c r="D8770"/>
      <c r="G8770"/>
    </row>
    <row r="8771" spans="2:7">
      <c r="B8771"/>
      <c r="C8771"/>
      <c r="D8771"/>
      <c r="G8771"/>
    </row>
    <row r="8772" spans="2:7">
      <c r="B8772"/>
      <c r="C8772"/>
      <c r="D8772"/>
      <c r="G8772"/>
    </row>
    <row r="8773" spans="2:7">
      <c r="B8773"/>
      <c r="C8773"/>
      <c r="D8773"/>
      <c r="G8773"/>
    </row>
    <row r="8774" spans="2:7">
      <c r="B8774"/>
      <c r="C8774"/>
      <c r="D8774"/>
      <c r="G8774"/>
    </row>
    <row r="8775" spans="2:7">
      <c r="B8775"/>
      <c r="C8775"/>
      <c r="D8775"/>
      <c r="G8775"/>
    </row>
    <row r="8776" spans="2:7">
      <c r="B8776"/>
      <c r="C8776"/>
      <c r="D8776"/>
      <c r="G8776"/>
    </row>
    <row r="8777" spans="2:7">
      <c r="B8777"/>
      <c r="C8777"/>
      <c r="D8777"/>
      <c r="G8777"/>
    </row>
    <row r="8778" spans="2:7">
      <c r="B8778"/>
      <c r="C8778"/>
      <c r="D8778"/>
      <c r="G8778"/>
    </row>
    <row r="8779" spans="2:7">
      <c r="B8779"/>
      <c r="C8779"/>
      <c r="D8779"/>
      <c r="G8779"/>
    </row>
    <row r="8780" spans="2:7">
      <c r="B8780"/>
      <c r="C8780"/>
      <c r="D8780"/>
      <c r="G8780"/>
    </row>
    <row r="8781" spans="2:7">
      <c r="B8781"/>
      <c r="C8781"/>
      <c r="D8781"/>
      <c r="G8781"/>
    </row>
    <row r="8782" spans="2:7">
      <c r="B8782"/>
      <c r="C8782"/>
      <c r="D8782"/>
      <c r="G8782"/>
    </row>
    <row r="8783" spans="2:7">
      <c r="B8783"/>
      <c r="C8783"/>
      <c r="D8783"/>
      <c r="G8783"/>
    </row>
    <row r="8784" spans="2:7">
      <c r="B8784"/>
      <c r="C8784"/>
      <c r="D8784"/>
      <c r="G8784"/>
    </row>
    <row r="8785" spans="2:7">
      <c r="B8785"/>
      <c r="C8785"/>
      <c r="D8785"/>
      <c r="G8785"/>
    </row>
    <row r="8786" spans="2:7">
      <c r="B8786"/>
      <c r="C8786"/>
      <c r="D8786"/>
      <c r="G8786"/>
    </row>
    <row r="8787" spans="2:7">
      <c r="B8787"/>
      <c r="C8787"/>
      <c r="D8787"/>
      <c r="G8787"/>
    </row>
    <row r="8788" spans="2:7">
      <c r="B8788"/>
      <c r="C8788"/>
      <c r="D8788"/>
      <c r="G8788"/>
    </row>
    <row r="8789" spans="2:7">
      <c r="B8789"/>
      <c r="C8789"/>
      <c r="D8789"/>
      <c r="G8789"/>
    </row>
    <row r="8790" spans="2:7">
      <c r="B8790"/>
      <c r="C8790"/>
      <c r="D8790"/>
      <c r="G8790"/>
    </row>
    <row r="8791" spans="2:7">
      <c r="B8791"/>
      <c r="C8791"/>
      <c r="D8791"/>
      <c r="G8791"/>
    </row>
    <row r="8792" spans="2:7">
      <c r="B8792"/>
      <c r="C8792"/>
      <c r="D8792"/>
      <c r="G8792"/>
    </row>
    <row r="8793" spans="2:7">
      <c r="B8793"/>
      <c r="C8793"/>
      <c r="D8793"/>
      <c r="G8793"/>
    </row>
    <row r="8794" spans="2:7">
      <c r="B8794"/>
      <c r="C8794"/>
      <c r="D8794"/>
      <c r="G8794"/>
    </row>
    <row r="8795" spans="2:7">
      <c r="B8795"/>
      <c r="C8795"/>
      <c r="D8795"/>
      <c r="G8795"/>
    </row>
    <row r="8796" spans="2:7">
      <c r="B8796"/>
      <c r="C8796"/>
      <c r="D8796"/>
      <c r="G8796"/>
    </row>
    <row r="8797" spans="2:7">
      <c r="B8797"/>
      <c r="C8797"/>
      <c r="D8797"/>
      <c r="G8797"/>
    </row>
    <row r="8798" spans="2:7">
      <c r="B8798"/>
      <c r="C8798"/>
      <c r="D8798"/>
      <c r="G8798"/>
    </row>
    <row r="8799" spans="2:7">
      <c r="B8799"/>
      <c r="C8799"/>
      <c r="D8799"/>
      <c r="G8799"/>
    </row>
    <row r="8800" spans="2:7">
      <c r="B8800"/>
      <c r="C8800"/>
      <c r="D8800"/>
      <c r="G8800"/>
    </row>
    <row r="8801" spans="2:7">
      <c r="B8801"/>
      <c r="C8801"/>
      <c r="D8801"/>
      <c r="G8801"/>
    </row>
    <row r="8802" spans="2:7">
      <c r="B8802"/>
      <c r="C8802"/>
      <c r="D8802"/>
      <c r="G8802"/>
    </row>
    <row r="8803" spans="2:7">
      <c r="B8803"/>
      <c r="C8803"/>
      <c r="D8803"/>
      <c r="G8803"/>
    </row>
    <row r="8804" spans="2:7">
      <c r="B8804"/>
      <c r="C8804"/>
      <c r="D8804"/>
      <c r="G8804"/>
    </row>
    <row r="8805" spans="2:7">
      <c r="B8805"/>
      <c r="C8805"/>
      <c r="D8805"/>
      <c r="G8805"/>
    </row>
    <row r="8806" spans="2:7">
      <c r="B8806"/>
      <c r="C8806"/>
      <c r="D8806"/>
      <c r="G8806"/>
    </row>
    <row r="8807" spans="2:7">
      <c r="B8807"/>
      <c r="C8807"/>
      <c r="D8807"/>
      <c r="G8807"/>
    </row>
    <row r="8808" spans="2:7">
      <c r="B8808"/>
      <c r="C8808"/>
      <c r="D8808"/>
      <c r="G8808"/>
    </row>
    <row r="8809" spans="2:7">
      <c r="B8809"/>
      <c r="C8809"/>
      <c r="D8809"/>
      <c r="G8809"/>
    </row>
    <row r="8810" spans="2:7">
      <c r="B8810"/>
      <c r="C8810"/>
      <c r="D8810"/>
      <c r="G8810"/>
    </row>
    <row r="8811" spans="2:7">
      <c r="B8811"/>
      <c r="C8811"/>
      <c r="D8811"/>
      <c r="G8811"/>
    </row>
    <row r="8812" spans="2:7">
      <c r="B8812"/>
      <c r="C8812"/>
      <c r="D8812"/>
      <c r="G8812"/>
    </row>
    <row r="8813" spans="2:7">
      <c r="B8813"/>
      <c r="C8813"/>
      <c r="D8813"/>
      <c r="G8813"/>
    </row>
    <row r="8814" spans="2:7">
      <c r="B8814"/>
      <c r="C8814"/>
      <c r="D8814"/>
      <c r="G8814"/>
    </row>
    <row r="8815" spans="2:7">
      <c r="B8815"/>
      <c r="C8815"/>
      <c r="D8815"/>
      <c r="G8815"/>
    </row>
    <row r="8816" spans="2:7">
      <c r="B8816"/>
      <c r="C8816"/>
      <c r="D8816"/>
      <c r="G8816"/>
    </row>
    <row r="8817" spans="2:7">
      <c r="B8817"/>
      <c r="C8817"/>
      <c r="D8817"/>
      <c r="G8817"/>
    </row>
    <row r="8818" spans="2:7">
      <c r="B8818"/>
      <c r="C8818"/>
      <c r="D8818"/>
      <c r="G8818"/>
    </row>
    <row r="8819" spans="2:7">
      <c r="B8819"/>
      <c r="C8819"/>
      <c r="D8819"/>
      <c r="G8819"/>
    </row>
    <row r="8820" spans="2:7">
      <c r="B8820"/>
      <c r="C8820"/>
      <c r="D8820"/>
      <c r="G8820"/>
    </row>
    <row r="8821" spans="2:7">
      <c r="B8821"/>
      <c r="C8821"/>
      <c r="D8821"/>
      <c r="G8821"/>
    </row>
    <row r="8822" spans="2:7">
      <c r="B8822"/>
      <c r="C8822"/>
      <c r="D8822"/>
      <c r="G8822"/>
    </row>
    <row r="8823" spans="2:7">
      <c r="B8823"/>
      <c r="C8823"/>
      <c r="D8823"/>
      <c r="G8823"/>
    </row>
    <row r="8824" spans="2:7">
      <c r="B8824"/>
      <c r="C8824"/>
      <c r="D8824"/>
      <c r="G8824"/>
    </row>
    <row r="8825" spans="2:7">
      <c r="B8825"/>
      <c r="C8825"/>
      <c r="D8825"/>
      <c r="G8825"/>
    </row>
    <row r="8826" spans="2:7">
      <c r="B8826"/>
      <c r="C8826"/>
      <c r="D8826"/>
      <c r="G8826"/>
    </row>
    <row r="8827" spans="2:7">
      <c r="B8827"/>
      <c r="C8827"/>
      <c r="D8827"/>
      <c r="G8827"/>
    </row>
    <row r="8828" spans="2:7">
      <c r="B8828"/>
      <c r="C8828"/>
      <c r="D8828"/>
      <c r="G8828"/>
    </row>
    <row r="8829" spans="2:7">
      <c r="B8829"/>
      <c r="C8829"/>
      <c r="D8829"/>
      <c r="G8829"/>
    </row>
    <row r="8830" spans="2:7">
      <c r="B8830"/>
      <c r="C8830"/>
      <c r="D8830"/>
      <c r="G8830"/>
    </row>
    <row r="8831" spans="2:7">
      <c r="B8831"/>
      <c r="C8831"/>
      <c r="D8831"/>
      <c r="G8831"/>
    </row>
    <row r="8832" spans="2:7">
      <c r="B8832"/>
      <c r="C8832"/>
      <c r="D8832"/>
      <c r="G8832"/>
    </row>
    <row r="8833" spans="2:7">
      <c r="B8833"/>
      <c r="C8833"/>
      <c r="D8833"/>
      <c r="G8833"/>
    </row>
    <row r="8834" spans="2:7">
      <c r="B8834"/>
      <c r="C8834"/>
      <c r="D8834"/>
      <c r="G8834"/>
    </row>
    <row r="8835" spans="2:7">
      <c r="B8835"/>
      <c r="C8835"/>
      <c r="D8835"/>
      <c r="G8835"/>
    </row>
    <row r="8836" spans="2:7">
      <c r="B8836"/>
      <c r="C8836"/>
      <c r="D8836"/>
      <c r="G8836"/>
    </row>
    <row r="8837" spans="2:7">
      <c r="B8837"/>
      <c r="C8837"/>
      <c r="D8837"/>
      <c r="G8837"/>
    </row>
    <row r="8838" spans="2:7">
      <c r="B8838"/>
      <c r="C8838"/>
      <c r="D8838"/>
      <c r="G8838"/>
    </row>
    <row r="8839" spans="2:7">
      <c r="B8839"/>
      <c r="C8839"/>
      <c r="D8839"/>
      <c r="G8839"/>
    </row>
    <row r="8840" spans="2:7">
      <c r="B8840"/>
      <c r="C8840"/>
      <c r="D8840"/>
      <c r="G8840"/>
    </row>
    <row r="8841" spans="2:7">
      <c r="B8841"/>
      <c r="C8841"/>
      <c r="D8841"/>
      <c r="G8841"/>
    </row>
    <row r="8842" spans="2:7">
      <c r="B8842"/>
      <c r="C8842"/>
      <c r="D8842"/>
      <c r="G8842"/>
    </row>
    <row r="8843" spans="2:7">
      <c r="B8843"/>
      <c r="C8843"/>
      <c r="D8843"/>
      <c r="G8843"/>
    </row>
    <row r="8844" spans="2:7">
      <c r="B8844"/>
      <c r="C8844"/>
      <c r="D8844"/>
      <c r="G8844"/>
    </row>
    <row r="8845" spans="2:7">
      <c r="B8845"/>
      <c r="C8845"/>
      <c r="D8845"/>
      <c r="G8845"/>
    </row>
    <row r="8846" spans="2:7">
      <c r="B8846"/>
      <c r="C8846"/>
      <c r="D8846"/>
      <c r="G8846"/>
    </row>
    <row r="8847" spans="2:7">
      <c r="B8847"/>
      <c r="C8847"/>
      <c r="D8847"/>
      <c r="G8847"/>
    </row>
    <row r="8848" spans="2:7">
      <c r="B8848"/>
      <c r="C8848"/>
      <c r="D8848"/>
      <c r="G8848"/>
    </row>
    <row r="8849" spans="2:7">
      <c r="B8849"/>
      <c r="C8849"/>
      <c r="D8849"/>
      <c r="G8849"/>
    </row>
    <row r="8850" spans="2:7">
      <c r="B8850"/>
      <c r="C8850"/>
      <c r="D8850"/>
      <c r="G8850"/>
    </row>
    <row r="8851" spans="2:7">
      <c r="B8851"/>
      <c r="C8851"/>
      <c r="D8851"/>
      <c r="G8851"/>
    </row>
    <row r="8852" spans="2:7">
      <c r="B8852"/>
      <c r="C8852"/>
      <c r="D8852"/>
      <c r="G8852"/>
    </row>
    <row r="8853" spans="2:7">
      <c r="B8853"/>
      <c r="C8853"/>
      <c r="D8853"/>
      <c r="G8853"/>
    </row>
    <row r="8854" spans="2:7">
      <c r="B8854"/>
      <c r="C8854"/>
      <c r="D8854"/>
      <c r="G8854"/>
    </row>
    <row r="8855" spans="2:7">
      <c r="B8855"/>
      <c r="C8855"/>
      <c r="D8855"/>
      <c r="G8855"/>
    </row>
    <row r="8856" spans="2:7">
      <c r="B8856"/>
      <c r="C8856"/>
      <c r="D8856"/>
      <c r="G8856"/>
    </row>
    <row r="8857" spans="2:7">
      <c r="B8857"/>
      <c r="C8857"/>
      <c r="D8857"/>
      <c r="G8857"/>
    </row>
    <row r="8858" spans="2:7">
      <c r="B8858"/>
      <c r="C8858"/>
      <c r="D8858"/>
      <c r="G8858"/>
    </row>
    <row r="8859" spans="2:7">
      <c r="B8859"/>
      <c r="C8859"/>
      <c r="D8859"/>
      <c r="G8859"/>
    </row>
    <row r="8860" spans="2:7">
      <c r="B8860"/>
      <c r="C8860"/>
      <c r="D8860"/>
      <c r="G8860"/>
    </row>
    <row r="8861" spans="2:7">
      <c r="B8861"/>
      <c r="C8861"/>
      <c r="D8861"/>
      <c r="G8861"/>
    </row>
    <row r="8862" spans="2:7">
      <c r="B8862"/>
      <c r="C8862"/>
      <c r="D8862"/>
      <c r="G8862"/>
    </row>
    <row r="8863" spans="2:7">
      <c r="B8863"/>
      <c r="C8863"/>
      <c r="D8863"/>
      <c r="G8863"/>
    </row>
    <row r="8864" spans="2:7">
      <c r="B8864"/>
      <c r="C8864"/>
      <c r="D8864"/>
      <c r="G8864"/>
    </row>
    <row r="8865" spans="2:7">
      <c r="B8865"/>
      <c r="C8865"/>
      <c r="D8865"/>
      <c r="G8865"/>
    </row>
    <row r="8866" spans="2:7">
      <c r="B8866"/>
      <c r="C8866"/>
      <c r="D8866"/>
      <c r="G8866"/>
    </row>
    <row r="8867" spans="2:7">
      <c r="B8867"/>
      <c r="C8867"/>
      <c r="D8867"/>
      <c r="G8867"/>
    </row>
    <row r="8868" spans="2:7">
      <c r="B8868"/>
      <c r="C8868"/>
      <c r="D8868"/>
      <c r="G8868"/>
    </row>
    <row r="8869" spans="2:7">
      <c r="B8869"/>
      <c r="C8869"/>
      <c r="D8869"/>
      <c r="G8869"/>
    </row>
    <row r="8870" spans="2:7">
      <c r="B8870"/>
      <c r="C8870"/>
      <c r="D8870"/>
      <c r="G8870"/>
    </row>
    <row r="8871" spans="2:7">
      <c r="B8871"/>
      <c r="C8871"/>
      <c r="D8871"/>
      <c r="G8871"/>
    </row>
    <row r="8872" spans="2:7">
      <c r="B8872"/>
      <c r="C8872"/>
      <c r="D8872"/>
      <c r="G8872"/>
    </row>
    <row r="8873" spans="2:7">
      <c r="B8873"/>
      <c r="C8873"/>
      <c r="D8873"/>
      <c r="G8873"/>
    </row>
    <row r="8874" spans="2:7">
      <c r="B8874"/>
      <c r="C8874"/>
      <c r="D8874"/>
      <c r="G8874"/>
    </row>
    <row r="8875" spans="2:7">
      <c r="B8875"/>
      <c r="C8875"/>
      <c r="D8875"/>
      <c r="G8875"/>
    </row>
    <row r="8876" spans="2:7">
      <c r="B8876"/>
      <c r="C8876"/>
      <c r="D8876"/>
      <c r="G8876"/>
    </row>
    <row r="8877" spans="2:7">
      <c r="B8877"/>
      <c r="C8877"/>
      <c r="D8877"/>
      <c r="G8877"/>
    </row>
    <row r="8878" spans="2:7">
      <c r="B8878"/>
      <c r="C8878"/>
      <c r="D8878"/>
      <c r="G8878"/>
    </row>
    <row r="8879" spans="2:7">
      <c r="B8879"/>
      <c r="C8879"/>
      <c r="D8879"/>
      <c r="G8879"/>
    </row>
    <row r="8880" spans="2:7">
      <c r="B8880"/>
      <c r="C8880"/>
      <c r="D8880"/>
      <c r="G8880"/>
    </row>
    <row r="8881" spans="2:7">
      <c r="B8881"/>
      <c r="C8881"/>
      <c r="D8881"/>
      <c r="G8881"/>
    </row>
    <row r="8882" spans="2:7">
      <c r="B8882"/>
      <c r="C8882"/>
      <c r="D8882"/>
      <c r="G8882"/>
    </row>
    <row r="8883" spans="2:7">
      <c r="B8883"/>
      <c r="C8883"/>
      <c r="D8883"/>
      <c r="G8883"/>
    </row>
    <row r="8884" spans="2:7">
      <c r="B8884"/>
      <c r="C8884"/>
      <c r="D8884"/>
      <c r="G8884"/>
    </row>
    <row r="8885" spans="2:7">
      <c r="B8885"/>
      <c r="C8885"/>
      <c r="D8885"/>
      <c r="G8885"/>
    </row>
    <row r="8886" spans="2:7">
      <c r="B8886"/>
      <c r="C8886"/>
      <c r="D8886"/>
      <c r="G8886"/>
    </row>
    <row r="8887" spans="2:7">
      <c r="B8887"/>
      <c r="C8887"/>
      <c r="D8887"/>
      <c r="G8887"/>
    </row>
    <row r="8888" spans="2:7">
      <c r="B8888"/>
      <c r="C8888"/>
      <c r="D8888"/>
      <c r="G8888"/>
    </row>
    <row r="8889" spans="2:7">
      <c r="B8889"/>
      <c r="C8889"/>
      <c r="D8889"/>
      <c r="G8889"/>
    </row>
    <row r="8890" spans="2:7">
      <c r="B8890"/>
      <c r="C8890"/>
      <c r="D8890"/>
      <c r="G8890"/>
    </row>
    <row r="8891" spans="2:7">
      <c r="B8891"/>
      <c r="C8891"/>
      <c r="D8891"/>
      <c r="G8891"/>
    </row>
    <row r="8892" spans="2:7">
      <c r="B8892"/>
      <c r="C8892"/>
      <c r="D8892"/>
      <c r="G8892"/>
    </row>
    <row r="8893" spans="2:7">
      <c r="B8893"/>
      <c r="C8893"/>
      <c r="D8893"/>
      <c r="G8893"/>
    </row>
    <row r="8894" spans="2:7">
      <c r="B8894"/>
      <c r="C8894"/>
      <c r="D8894"/>
      <c r="G8894"/>
    </row>
    <row r="8895" spans="2:7">
      <c r="B8895"/>
      <c r="C8895"/>
      <c r="D8895"/>
      <c r="G8895"/>
    </row>
    <row r="8896" spans="2:7">
      <c r="B8896"/>
      <c r="C8896"/>
      <c r="D8896"/>
      <c r="G8896"/>
    </row>
    <row r="8897" spans="2:7">
      <c r="B8897"/>
      <c r="C8897"/>
      <c r="D8897"/>
      <c r="G8897"/>
    </row>
    <row r="8898" spans="2:7">
      <c r="B8898"/>
      <c r="C8898"/>
      <c r="D8898"/>
      <c r="G8898"/>
    </row>
    <row r="8899" spans="2:7">
      <c r="B8899"/>
      <c r="C8899"/>
      <c r="D8899"/>
      <c r="G8899"/>
    </row>
    <row r="8900" spans="2:7">
      <c r="B8900"/>
      <c r="C8900"/>
      <c r="D8900"/>
      <c r="G8900"/>
    </row>
    <row r="8901" spans="2:7">
      <c r="B8901"/>
      <c r="C8901"/>
      <c r="D8901"/>
      <c r="G8901"/>
    </row>
    <row r="8902" spans="2:7">
      <c r="B8902"/>
      <c r="C8902"/>
      <c r="D8902"/>
      <c r="G8902"/>
    </row>
    <row r="8903" spans="2:7">
      <c r="B8903"/>
      <c r="C8903"/>
      <c r="D8903"/>
      <c r="G8903"/>
    </row>
    <row r="8904" spans="2:7">
      <c r="B8904"/>
      <c r="C8904"/>
      <c r="D8904"/>
      <c r="G8904"/>
    </row>
    <row r="8905" spans="2:7">
      <c r="B8905"/>
      <c r="C8905"/>
      <c r="D8905"/>
      <c r="G8905"/>
    </row>
    <row r="8906" spans="2:7">
      <c r="B8906"/>
      <c r="C8906"/>
      <c r="D8906"/>
      <c r="G8906"/>
    </row>
    <row r="8907" spans="2:7">
      <c r="B8907"/>
      <c r="C8907"/>
      <c r="D8907"/>
      <c r="G8907"/>
    </row>
    <row r="8908" spans="2:7">
      <c r="B8908"/>
      <c r="C8908"/>
      <c r="D8908"/>
      <c r="G8908"/>
    </row>
    <row r="8909" spans="2:7">
      <c r="B8909"/>
      <c r="C8909"/>
      <c r="D8909"/>
      <c r="G8909"/>
    </row>
    <row r="8910" spans="2:7">
      <c r="B8910"/>
      <c r="C8910"/>
      <c r="D8910"/>
      <c r="G8910"/>
    </row>
    <row r="8911" spans="2:7">
      <c r="B8911"/>
      <c r="C8911"/>
      <c r="D8911"/>
      <c r="G8911"/>
    </row>
    <row r="8912" spans="2:7">
      <c r="B8912"/>
      <c r="C8912"/>
      <c r="D8912"/>
      <c r="G8912"/>
    </row>
    <row r="8913" spans="2:7">
      <c r="B8913"/>
      <c r="C8913"/>
      <c r="D8913"/>
      <c r="G8913"/>
    </row>
    <row r="8914" spans="2:7">
      <c r="B8914"/>
      <c r="C8914"/>
      <c r="D8914"/>
      <c r="G8914"/>
    </row>
    <row r="8915" spans="2:7">
      <c r="B8915"/>
      <c r="C8915"/>
      <c r="D8915"/>
      <c r="G8915"/>
    </row>
    <row r="8916" spans="2:7">
      <c r="B8916"/>
      <c r="C8916"/>
      <c r="D8916"/>
      <c r="G8916"/>
    </row>
    <row r="8917" spans="2:7">
      <c r="B8917"/>
      <c r="C8917"/>
      <c r="D8917"/>
      <c r="G8917"/>
    </row>
    <row r="8918" spans="2:7">
      <c r="B8918"/>
      <c r="C8918"/>
      <c r="D8918"/>
      <c r="G8918"/>
    </row>
    <row r="8919" spans="2:7">
      <c r="B8919"/>
      <c r="C8919"/>
      <c r="D8919"/>
      <c r="G8919"/>
    </row>
    <row r="8920" spans="2:7">
      <c r="B8920"/>
      <c r="C8920"/>
      <c r="D8920"/>
      <c r="G8920"/>
    </row>
    <row r="8921" spans="2:7">
      <c r="B8921"/>
      <c r="C8921"/>
      <c r="D8921"/>
      <c r="G8921"/>
    </row>
    <row r="8922" spans="2:7">
      <c r="B8922"/>
      <c r="C8922"/>
      <c r="D8922"/>
      <c r="G8922"/>
    </row>
    <row r="8923" spans="2:7">
      <c r="B8923"/>
      <c r="C8923"/>
      <c r="D8923"/>
      <c r="G8923"/>
    </row>
    <row r="8924" spans="2:7">
      <c r="B8924"/>
      <c r="C8924"/>
      <c r="D8924"/>
      <c r="G8924"/>
    </row>
    <row r="8925" spans="2:7">
      <c r="B8925"/>
      <c r="C8925"/>
      <c r="D8925"/>
      <c r="G8925"/>
    </row>
    <row r="8926" spans="2:7">
      <c r="B8926"/>
      <c r="C8926"/>
      <c r="D8926"/>
      <c r="G8926"/>
    </row>
    <row r="8927" spans="2:7">
      <c r="B8927"/>
      <c r="C8927"/>
      <c r="D8927"/>
      <c r="G8927"/>
    </row>
    <row r="8928" spans="2:7">
      <c r="B8928"/>
      <c r="C8928"/>
      <c r="D8928"/>
      <c r="G8928"/>
    </row>
    <row r="8929" spans="2:7">
      <c r="B8929"/>
      <c r="C8929"/>
      <c r="D8929"/>
      <c r="G8929"/>
    </row>
    <row r="8930" spans="2:7">
      <c r="B8930"/>
      <c r="C8930"/>
      <c r="D8930"/>
      <c r="G8930"/>
    </row>
    <row r="8931" spans="2:7">
      <c r="B8931"/>
      <c r="C8931"/>
      <c r="D8931"/>
      <c r="G8931"/>
    </row>
    <row r="8932" spans="2:7">
      <c r="B8932"/>
      <c r="C8932"/>
      <c r="D8932"/>
      <c r="G8932"/>
    </row>
    <row r="8933" spans="2:7">
      <c r="B8933"/>
      <c r="C8933"/>
      <c r="D8933"/>
      <c r="G8933"/>
    </row>
    <row r="8934" spans="2:7">
      <c r="B8934"/>
      <c r="C8934"/>
      <c r="D8934"/>
      <c r="G8934"/>
    </row>
    <row r="8935" spans="2:7">
      <c r="B8935"/>
      <c r="C8935"/>
      <c r="D8935"/>
      <c r="G8935"/>
    </row>
    <row r="8936" spans="2:7">
      <c r="B8936"/>
      <c r="C8936"/>
      <c r="D8936"/>
      <c r="G8936"/>
    </row>
    <row r="8937" spans="2:7">
      <c r="B8937"/>
      <c r="C8937"/>
      <c r="D8937"/>
      <c r="G8937"/>
    </row>
    <row r="8938" spans="2:7">
      <c r="B8938"/>
      <c r="C8938"/>
      <c r="D8938"/>
      <c r="G8938"/>
    </row>
    <row r="8939" spans="2:7">
      <c r="B8939"/>
      <c r="C8939"/>
      <c r="D8939"/>
      <c r="G8939"/>
    </row>
    <row r="8940" spans="2:7">
      <c r="B8940"/>
      <c r="C8940"/>
      <c r="D8940"/>
      <c r="G8940"/>
    </row>
    <row r="8941" spans="2:7">
      <c r="B8941"/>
      <c r="C8941"/>
      <c r="D8941"/>
      <c r="G8941"/>
    </row>
    <row r="8942" spans="2:7">
      <c r="B8942"/>
      <c r="C8942"/>
      <c r="D8942"/>
      <c r="G8942"/>
    </row>
    <row r="8943" spans="2:7">
      <c r="B8943"/>
      <c r="C8943"/>
      <c r="D8943"/>
      <c r="G8943"/>
    </row>
    <row r="8944" spans="2:7">
      <c r="B8944"/>
      <c r="C8944"/>
      <c r="D8944"/>
      <c r="G8944"/>
    </row>
    <row r="8945" spans="2:7">
      <c r="B8945"/>
      <c r="C8945"/>
      <c r="D8945"/>
      <c r="G8945"/>
    </row>
    <row r="8946" spans="2:7">
      <c r="B8946"/>
      <c r="C8946"/>
      <c r="D8946"/>
      <c r="G8946"/>
    </row>
    <row r="8947" spans="2:7">
      <c r="B8947"/>
      <c r="C8947"/>
      <c r="D8947"/>
      <c r="G8947"/>
    </row>
    <row r="8948" spans="2:7">
      <c r="B8948"/>
      <c r="C8948"/>
      <c r="D8948"/>
      <c r="G8948"/>
    </row>
    <row r="8949" spans="2:7">
      <c r="B8949"/>
      <c r="C8949"/>
      <c r="D8949"/>
      <c r="G8949"/>
    </row>
    <row r="8950" spans="2:7">
      <c r="B8950"/>
      <c r="C8950"/>
      <c r="D8950"/>
      <c r="G8950"/>
    </row>
    <row r="8951" spans="2:7">
      <c r="B8951"/>
      <c r="C8951"/>
      <c r="D8951"/>
      <c r="G8951"/>
    </row>
    <row r="8952" spans="2:7">
      <c r="B8952"/>
      <c r="C8952"/>
      <c r="D8952"/>
      <c r="G8952"/>
    </row>
    <row r="8953" spans="2:7">
      <c r="B8953"/>
      <c r="C8953"/>
      <c r="D8953"/>
      <c r="G8953"/>
    </row>
    <row r="8954" spans="2:7">
      <c r="B8954"/>
      <c r="C8954"/>
      <c r="D8954"/>
      <c r="G8954"/>
    </row>
    <row r="8955" spans="2:7">
      <c r="B8955"/>
      <c r="C8955"/>
      <c r="D8955"/>
      <c r="G8955"/>
    </row>
    <row r="8956" spans="2:7">
      <c r="B8956"/>
      <c r="C8956"/>
      <c r="D8956"/>
      <c r="G8956"/>
    </row>
    <row r="8957" spans="2:7">
      <c r="B8957"/>
      <c r="C8957"/>
      <c r="D8957"/>
      <c r="G8957"/>
    </row>
    <row r="8958" spans="2:7">
      <c r="B8958"/>
      <c r="C8958"/>
      <c r="D8958"/>
      <c r="G8958"/>
    </row>
    <row r="8959" spans="2:7">
      <c r="B8959"/>
      <c r="C8959"/>
      <c r="D8959"/>
      <c r="G8959"/>
    </row>
    <row r="8960" spans="2:7">
      <c r="B8960"/>
      <c r="C8960"/>
      <c r="D8960"/>
      <c r="G8960"/>
    </row>
    <row r="8961" spans="2:7">
      <c r="B8961"/>
      <c r="C8961"/>
      <c r="D8961"/>
      <c r="G8961"/>
    </row>
    <row r="8962" spans="2:7">
      <c r="B8962"/>
      <c r="C8962"/>
      <c r="D8962"/>
      <c r="G8962"/>
    </row>
    <row r="8963" spans="2:7">
      <c r="B8963"/>
      <c r="C8963"/>
      <c r="D8963"/>
      <c r="G8963"/>
    </row>
    <row r="8964" spans="2:7">
      <c r="B8964"/>
      <c r="C8964"/>
      <c r="D8964"/>
      <c r="G8964"/>
    </row>
    <row r="8965" spans="2:7">
      <c r="B8965"/>
      <c r="C8965"/>
      <c r="D8965"/>
      <c r="G8965"/>
    </row>
    <row r="8966" spans="2:7">
      <c r="B8966"/>
      <c r="C8966"/>
      <c r="D8966"/>
      <c r="G8966"/>
    </row>
    <row r="8967" spans="2:7">
      <c r="B8967"/>
      <c r="C8967"/>
      <c r="D8967"/>
      <c r="G8967"/>
    </row>
    <row r="8968" spans="2:7">
      <c r="B8968"/>
      <c r="C8968"/>
      <c r="D8968"/>
      <c r="G8968"/>
    </row>
    <row r="8969" spans="2:7">
      <c r="B8969"/>
      <c r="C8969"/>
      <c r="D8969"/>
      <c r="G8969"/>
    </row>
    <row r="8970" spans="2:7">
      <c r="B8970"/>
      <c r="C8970"/>
      <c r="D8970"/>
      <c r="G8970"/>
    </row>
    <row r="8971" spans="2:7">
      <c r="B8971"/>
      <c r="C8971"/>
      <c r="D8971"/>
      <c r="G8971"/>
    </row>
    <row r="8972" spans="2:7">
      <c r="B8972"/>
      <c r="C8972"/>
      <c r="D8972"/>
      <c r="G8972"/>
    </row>
    <row r="8973" spans="2:7">
      <c r="B8973"/>
      <c r="C8973"/>
      <c r="D8973"/>
      <c r="G8973"/>
    </row>
    <row r="8974" spans="2:7">
      <c r="B8974"/>
      <c r="C8974"/>
      <c r="D8974"/>
      <c r="G8974"/>
    </row>
    <row r="8975" spans="2:7">
      <c r="B8975"/>
      <c r="C8975"/>
      <c r="D8975"/>
      <c r="G8975"/>
    </row>
    <row r="8976" spans="2:7">
      <c r="B8976"/>
      <c r="C8976"/>
      <c r="D8976"/>
      <c r="G8976"/>
    </row>
    <row r="8977" spans="2:7">
      <c r="B8977"/>
      <c r="C8977"/>
      <c r="D8977"/>
      <c r="G8977"/>
    </row>
    <row r="8978" spans="2:7">
      <c r="B8978"/>
      <c r="C8978"/>
      <c r="D8978"/>
      <c r="G8978"/>
    </row>
    <row r="8979" spans="2:7">
      <c r="B8979"/>
      <c r="C8979"/>
      <c r="D8979"/>
      <c r="G8979"/>
    </row>
    <row r="8980" spans="2:7">
      <c r="B8980"/>
      <c r="C8980"/>
      <c r="D8980"/>
      <c r="G8980"/>
    </row>
    <row r="8981" spans="2:7">
      <c r="B8981"/>
      <c r="C8981"/>
      <c r="D8981"/>
      <c r="G8981"/>
    </row>
    <row r="8982" spans="2:7">
      <c r="B8982"/>
      <c r="C8982"/>
      <c r="D8982"/>
      <c r="G8982"/>
    </row>
    <row r="8983" spans="2:7">
      <c r="B8983"/>
      <c r="C8983"/>
      <c r="D8983"/>
      <c r="G8983"/>
    </row>
    <row r="8984" spans="2:7">
      <c r="B8984"/>
      <c r="C8984"/>
      <c r="D8984"/>
      <c r="G8984"/>
    </row>
    <row r="8985" spans="2:7">
      <c r="B8985"/>
      <c r="C8985"/>
      <c r="D8985"/>
      <c r="G8985"/>
    </row>
    <row r="8986" spans="2:7">
      <c r="B8986"/>
      <c r="C8986"/>
      <c r="D8986"/>
      <c r="G8986"/>
    </row>
    <row r="8987" spans="2:7">
      <c r="B8987"/>
      <c r="C8987"/>
      <c r="D8987"/>
      <c r="G8987"/>
    </row>
    <row r="8988" spans="2:7">
      <c r="B8988"/>
      <c r="C8988"/>
      <c r="D8988"/>
      <c r="G8988"/>
    </row>
    <row r="8989" spans="2:7">
      <c r="B8989"/>
      <c r="C8989"/>
      <c r="D8989"/>
      <c r="G8989"/>
    </row>
    <row r="8990" spans="2:7">
      <c r="B8990"/>
      <c r="C8990"/>
      <c r="D8990"/>
      <c r="G8990"/>
    </row>
    <row r="8991" spans="2:7">
      <c r="B8991"/>
      <c r="C8991"/>
      <c r="D8991"/>
      <c r="G8991"/>
    </row>
    <row r="8992" spans="2:7">
      <c r="B8992"/>
      <c r="C8992"/>
      <c r="D8992"/>
      <c r="G8992"/>
    </row>
    <row r="8993" spans="2:7">
      <c r="B8993"/>
      <c r="C8993"/>
      <c r="D8993"/>
      <c r="G8993"/>
    </row>
    <row r="8994" spans="2:7">
      <c r="B8994"/>
      <c r="C8994"/>
      <c r="D8994"/>
      <c r="G8994"/>
    </row>
    <row r="8995" spans="2:7">
      <c r="B8995"/>
      <c r="C8995"/>
      <c r="D8995"/>
      <c r="G8995"/>
    </row>
    <row r="8996" spans="2:7">
      <c r="B8996"/>
      <c r="C8996"/>
      <c r="D8996"/>
      <c r="G8996"/>
    </row>
    <row r="8997" spans="2:7">
      <c r="B8997"/>
      <c r="C8997"/>
      <c r="D8997"/>
      <c r="G8997"/>
    </row>
    <row r="8998" spans="2:7">
      <c r="B8998"/>
      <c r="C8998"/>
      <c r="D8998"/>
      <c r="G8998"/>
    </row>
    <row r="8999" spans="2:7">
      <c r="B8999"/>
      <c r="C8999"/>
      <c r="D8999"/>
      <c r="G8999"/>
    </row>
    <row r="9000" spans="2:7">
      <c r="B9000"/>
      <c r="C9000"/>
      <c r="D9000"/>
      <c r="G9000"/>
    </row>
    <row r="9001" spans="2:7">
      <c r="B9001"/>
      <c r="C9001"/>
      <c r="D9001"/>
      <c r="G9001"/>
    </row>
    <row r="9002" spans="2:7">
      <c r="B9002"/>
      <c r="C9002"/>
      <c r="D9002"/>
      <c r="G9002"/>
    </row>
    <row r="9003" spans="2:7">
      <c r="B9003"/>
      <c r="C9003"/>
      <c r="D9003"/>
      <c r="G9003"/>
    </row>
    <row r="9004" spans="2:7">
      <c r="B9004"/>
      <c r="C9004"/>
      <c r="D9004"/>
      <c r="G9004"/>
    </row>
    <row r="9005" spans="2:7">
      <c r="B9005"/>
      <c r="C9005"/>
      <c r="D9005"/>
      <c r="G9005"/>
    </row>
    <row r="9006" spans="2:7">
      <c r="B9006"/>
      <c r="C9006"/>
      <c r="D9006"/>
      <c r="G9006"/>
    </row>
    <row r="9007" spans="2:7">
      <c r="B9007"/>
      <c r="C9007"/>
      <c r="D9007"/>
      <c r="G9007"/>
    </row>
    <row r="9008" spans="2:7">
      <c r="B9008"/>
      <c r="C9008"/>
      <c r="D9008"/>
      <c r="G9008"/>
    </row>
    <row r="9009" spans="2:7">
      <c r="B9009"/>
      <c r="C9009"/>
      <c r="D9009"/>
      <c r="G9009"/>
    </row>
    <row r="9010" spans="2:7">
      <c r="B9010"/>
      <c r="C9010"/>
      <c r="D9010"/>
      <c r="G9010"/>
    </row>
    <row r="9011" spans="2:7">
      <c r="B9011"/>
      <c r="C9011"/>
      <c r="D9011"/>
      <c r="G9011"/>
    </row>
    <row r="9012" spans="2:7">
      <c r="B9012"/>
      <c r="C9012"/>
      <c r="D9012"/>
      <c r="G9012"/>
    </row>
    <row r="9013" spans="2:7">
      <c r="B9013"/>
      <c r="C9013"/>
      <c r="D9013"/>
      <c r="G9013"/>
    </row>
    <row r="9014" spans="2:7">
      <c r="B9014"/>
      <c r="C9014"/>
      <c r="D9014"/>
      <c r="G9014"/>
    </row>
    <row r="9015" spans="2:7">
      <c r="B9015"/>
      <c r="C9015"/>
      <c r="D9015"/>
      <c r="G9015"/>
    </row>
    <row r="9016" spans="2:7">
      <c r="B9016"/>
      <c r="C9016"/>
      <c r="D9016"/>
      <c r="G9016"/>
    </row>
    <row r="9017" spans="2:7">
      <c r="B9017"/>
      <c r="C9017"/>
      <c r="D9017"/>
      <c r="G9017"/>
    </row>
    <row r="9018" spans="2:7">
      <c r="B9018"/>
      <c r="C9018"/>
      <c r="D9018"/>
      <c r="G9018"/>
    </row>
    <row r="9019" spans="2:7">
      <c r="B9019"/>
      <c r="C9019"/>
      <c r="D9019"/>
      <c r="G9019"/>
    </row>
    <row r="9020" spans="2:7">
      <c r="B9020"/>
      <c r="C9020"/>
      <c r="D9020"/>
      <c r="G9020"/>
    </row>
    <row r="9021" spans="2:7">
      <c r="B9021"/>
      <c r="C9021"/>
      <c r="D9021"/>
      <c r="G9021"/>
    </row>
    <row r="9022" spans="2:7">
      <c r="B9022"/>
      <c r="C9022"/>
      <c r="D9022"/>
      <c r="G9022"/>
    </row>
    <row r="9023" spans="2:7">
      <c r="B9023"/>
      <c r="C9023"/>
      <c r="D9023"/>
      <c r="G9023"/>
    </row>
    <row r="9024" spans="2:7">
      <c r="B9024"/>
      <c r="C9024"/>
      <c r="D9024"/>
      <c r="G9024"/>
    </row>
    <row r="9025" spans="2:7">
      <c r="B9025"/>
      <c r="C9025"/>
      <c r="D9025"/>
      <c r="G9025"/>
    </row>
    <row r="9026" spans="2:7">
      <c r="B9026"/>
      <c r="C9026"/>
      <c r="D9026"/>
      <c r="G9026"/>
    </row>
    <row r="9027" spans="2:7">
      <c r="B9027"/>
      <c r="C9027"/>
      <c r="D9027"/>
      <c r="G9027"/>
    </row>
    <row r="9028" spans="2:7">
      <c r="B9028"/>
      <c r="C9028"/>
      <c r="D9028"/>
      <c r="G9028"/>
    </row>
    <row r="9029" spans="2:7">
      <c r="B9029"/>
      <c r="C9029"/>
      <c r="D9029"/>
      <c r="G9029"/>
    </row>
    <row r="9030" spans="2:7">
      <c r="B9030"/>
      <c r="C9030"/>
      <c r="D9030"/>
      <c r="G9030"/>
    </row>
    <row r="9031" spans="2:7">
      <c r="B9031"/>
      <c r="C9031"/>
      <c r="D9031"/>
      <c r="G9031"/>
    </row>
    <row r="9032" spans="2:7">
      <c r="B9032"/>
      <c r="C9032"/>
      <c r="D9032"/>
      <c r="G9032"/>
    </row>
    <row r="9033" spans="2:7">
      <c r="B9033"/>
      <c r="C9033"/>
      <c r="D9033"/>
      <c r="G9033"/>
    </row>
    <row r="9034" spans="2:7">
      <c r="B9034"/>
      <c r="C9034"/>
      <c r="D9034"/>
      <c r="G9034"/>
    </row>
    <row r="9035" spans="2:7">
      <c r="B9035"/>
      <c r="C9035"/>
      <c r="D9035"/>
      <c r="G9035"/>
    </row>
    <row r="9036" spans="2:7">
      <c r="B9036"/>
      <c r="C9036"/>
      <c r="D9036"/>
      <c r="G9036"/>
    </row>
    <row r="9037" spans="2:7">
      <c r="B9037"/>
      <c r="C9037"/>
      <c r="D9037"/>
      <c r="G9037"/>
    </row>
    <row r="9038" spans="2:7">
      <c r="B9038"/>
      <c r="C9038"/>
      <c r="D9038"/>
      <c r="G9038"/>
    </row>
    <row r="9039" spans="2:7">
      <c r="B9039"/>
      <c r="C9039"/>
      <c r="D9039"/>
      <c r="G9039"/>
    </row>
    <row r="9040" spans="2:7">
      <c r="B9040"/>
      <c r="C9040"/>
      <c r="D9040"/>
      <c r="G9040"/>
    </row>
    <row r="9041" spans="2:7">
      <c r="B9041"/>
      <c r="C9041"/>
      <c r="D9041"/>
      <c r="G9041"/>
    </row>
    <row r="9042" spans="2:7">
      <c r="B9042"/>
      <c r="C9042"/>
      <c r="D9042"/>
      <c r="G9042"/>
    </row>
    <row r="9043" spans="2:7">
      <c r="B9043"/>
      <c r="C9043"/>
      <c r="D9043"/>
      <c r="G9043"/>
    </row>
    <row r="9044" spans="2:7">
      <c r="B9044"/>
      <c r="C9044"/>
      <c r="D9044"/>
      <c r="G9044"/>
    </row>
    <row r="9045" spans="2:7">
      <c r="B9045"/>
      <c r="C9045"/>
      <c r="D9045"/>
      <c r="G9045"/>
    </row>
    <row r="9046" spans="2:7">
      <c r="B9046"/>
      <c r="C9046"/>
      <c r="D9046"/>
      <c r="G9046"/>
    </row>
    <row r="9047" spans="2:7">
      <c r="B9047"/>
      <c r="C9047"/>
      <c r="D9047"/>
      <c r="G9047"/>
    </row>
    <row r="9048" spans="2:7">
      <c r="B9048"/>
      <c r="C9048"/>
      <c r="D9048"/>
      <c r="G9048"/>
    </row>
    <row r="9049" spans="2:7">
      <c r="B9049"/>
      <c r="C9049"/>
      <c r="D9049"/>
      <c r="G9049"/>
    </row>
    <row r="9050" spans="2:7">
      <c r="B9050"/>
      <c r="C9050"/>
      <c r="D9050"/>
      <c r="G9050"/>
    </row>
    <row r="9051" spans="2:7">
      <c r="B9051"/>
      <c r="C9051"/>
      <c r="D9051"/>
      <c r="G9051"/>
    </row>
    <row r="9052" spans="2:7">
      <c r="B9052"/>
      <c r="C9052"/>
      <c r="D9052"/>
      <c r="G9052"/>
    </row>
    <row r="9053" spans="2:7">
      <c r="B9053"/>
      <c r="C9053"/>
      <c r="D9053"/>
      <c r="G9053"/>
    </row>
    <row r="9054" spans="2:7">
      <c r="B9054"/>
      <c r="C9054"/>
      <c r="D9054"/>
      <c r="G9054"/>
    </row>
    <row r="9055" spans="2:7">
      <c r="B9055"/>
      <c r="C9055"/>
      <c r="D9055"/>
      <c r="G9055"/>
    </row>
    <row r="9056" spans="2:7">
      <c r="B9056"/>
      <c r="C9056"/>
      <c r="D9056"/>
      <c r="G9056"/>
    </row>
    <row r="9057" spans="2:7">
      <c r="B9057"/>
      <c r="C9057"/>
      <c r="D9057"/>
      <c r="G9057"/>
    </row>
    <row r="9058" spans="2:7">
      <c r="B9058"/>
      <c r="C9058"/>
      <c r="D9058"/>
      <c r="G9058"/>
    </row>
    <row r="9059" spans="2:7">
      <c r="B9059"/>
      <c r="C9059"/>
      <c r="D9059"/>
      <c r="G9059"/>
    </row>
    <row r="9060" spans="2:7">
      <c r="B9060"/>
      <c r="C9060"/>
      <c r="D9060"/>
      <c r="G9060"/>
    </row>
    <row r="9061" spans="2:7">
      <c r="B9061"/>
      <c r="C9061"/>
      <c r="D9061"/>
      <c r="G9061"/>
    </row>
    <row r="9062" spans="2:7">
      <c r="B9062"/>
      <c r="C9062"/>
      <c r="D9062"/>
      <c r="G9062"/>
    </row>
    <row r="9063" spans="2:7">
      <c r="B9063"/>
      <c r="C9063"/>
      <c r="D9063"/>
      <c r="G9063"/>
    </row>
    <row r="9064" spans="2:7">
      <c r="B9064"/>
      <c r="C9064"/>
      <c r="D9064"/>
      <c r="G9064"/>
    </row>
    <row r="9065" spans="2:7">
      <c r="B9065"/>
      <c r="C9065"/>
      <c r="D9065"/>
      <c r="G9065"/>
    </row>
    <row r="9066" spans="2:7">
      <c r="B9066"/>
      <c r="C9066"/>
      <c r="D9066"/>
      <c r="G9066"/>
    </row>
    <row r="9067" spans="2:7">
      <c r="B9067"/>
      <c r="C9067"/>
      <c r="D9067"/>
      <c r="G9067"/>
    </row>
    <row r="9068" spans="2:7">
      <c r="B9068"/>
      <c r="C9068"/>
      <c r="D9068"/>
      <c r="G9068"/>
    </row>
    <row r="9069" spans="2:7">
      <c r="B9069"/>
      <c r="C9069"/>
      <c r="D9069"/>
      <c r="G9069"/>
    </row>
    <row r="9070" spans="2:7">
      <c r="B9070"/>
      <c r="C9070"/>
      <c r="D9070"/>
      <c r="G9070"/>
    </row>
    <row r="9071" spans="2:7">
      <c r="B9071"/>
      <c r="C9071"/>
      <c r="D9071"/>
      <c r="G9071"/>
    </row>
    <row r="9072" spans="2:7">
      <c r="B9072"/>
      <c r="C9072"/>
      <c r="D9072"/>
      <c r="G9072"/>
    </row>
    <row r="9073" spans="2:7">
      <c r="B9073"/>
      <c r="C9073"/>
      <c r="D9073"/>
      <c r="G9073"/>
    </row>
    <row r="9074" spans="2:7">
      <c r="B9074"/>
      <c r="C9074"/>
      <c r="D9074"/>
      <c r="G9074"/>
    </row>
    <row r="9075" spans="2:7">
      <c r="B9075"/>
      <c r="C9075"/>
      <c r="D9075"/>
      <c r="G9075"/>
    </row>
    <row r="9076" spans="2:7">
      <c r="B9076"/>
      <c r="C9076"/>
      <c r="D9076"/>
      <c r="G9076"/>
    </row>
    <row r="9077" spans="2:7">
      <c r="B9077"/>
      <c r="C9077"/>
      <c r="D9077"/>
      <c r="G9077"/>
    </row>
    <row r="9078" spans="2:7">
      <c r="B9078"/>
      <c r="C9078"/>
      <c r="D9078"/>
      <c r="G9078"/>
    </row>
    <row r="9079" spans="2:7">
      <c r="B9079"/>
      <c r="C9079"/>
      <c r="D9079"/>
      <c r="G9079"/>
    </row>
    <row r="9080" spans="2:7">
      <c r="B9080"/>
      <c r="C9080"/>
      <c r="D9080"/>
      <c r="G9080"/>
    </row>
    <row r="9081" spans="2:7">
      <c r="B9081"/>
      <c r="C9081"/>
      <c r="D9081"/>
      <c r="G9081"/>
    </row>
    <row r="9082" spans="2:7">
      <c r="B9082"/>
      <c r="C9082"/>
      <c r="D9082"/>
      <c r="G9082"/>
    </row>
    <row r="9083" spans="2:7">
      <c r="B9083"/>
      <c r="C9083"/>
      <c r="D9083"/>
      <c r="G9083"/>
    </row>
    <row r="9084" spans="2:7">
      <c r="B9084"/>
      <c r="C9084"/>
      <c r="D9084"/>
      <c r="G9084"/>
    </row>
    <row r="9085" spans="2:7">
      <c r="B9085"/>
      <c r="C9085"/>
      <c r="D9085"/>
      <c r="G9085"/>
    </row>
    <row r="9086" spans="2:7">
      <c r="B9086"/>
      <c r="C9086"/>
      <c r="D9086"/>
      <c r="G9086"/>
    </row>
    <row r="9087" spans="2:7">
      <c r="B9087"/>
      <c r="C9087"/>
      <c r="D9087"/>
      <c r="G9087"/>
    </row>
    <row r="9088" spans="2:7">
      <c r="B9088"/>
      <c r="C9088"/>
      <c r="D9088"/>
      <c r="G9088"/>
    </row>
    <row r="9089" spans="2:7">
      <c r="B9089"/>
      <c r="C9089"/>
      <c r="D9089"/>
      <c r="G9089"/>
    </row>
    <row r="9090" spans="2:7">
      <c r="B9090"/>
      <c r="C9090"/>
      <c r="D9090"/>
      <c r="G9090"/>
    </row>
    <row r="9091" spans="2:7">
      <c r="B9091"/>
      <c r="C9091"/>
      <c r="D9091"/>
      <c r="G9091"/>
    </row>
    <row r="9092" spans="2:7">
      <c r="B9092"/>
      <c r="C9092"/>
      <c r="D9092"/>
      <c r="G9092"/>
    </row>
    <row r="9093" spans="2:7">
      <c r="B9093"/>
      <c r="C9093"/>
      <c r="D9093"/>
      <c r="G9093"/>
    </row>
    <row r="9094" spans="2:7">
      <c r="B9094"/>
      <c r="C9094"/>
      <c r="D9094"/>
      <c r="G9094"/>
    </row>
    <row r="9095" spans="2:7">
      <c r="B9095"/>
      <c r="C9095"/>
      <c r="D9095"/>
      <c r="G9095"/>
    </row>
    <row r="9096" spans="2:7">
      <c r="B9096"/>
      <c r="C9096"/>
      <c r="D9096"/>
      <c r="G9096"/>
    </row>
    <row r="9097" spans="2:7">
      <c r="B9097"/>
      <c r="C9097"/>
      <c r="D9097"/>
      <c r="G9097"/>
    </row>
    <row r="9098" spans="2:7">
      <c r="B9098"/>
      <c r="C9098"/>
      <c r="D9098"/>
      <c r="G9098"/>
    </row>
    <row r="9099" spans="2:7">
      <c r="B9099"/>
      <c r="C9099"/>
      <c r="D9099"/>
      <c r="G9099"/>
    </row>
    <row r="9100" spans="2:7">
      <c r="B9100"/>
      <c r="C9100"/>
      <c r="D9100"/>
      <c r="G9100"/>
    </row>
    <row r="9101" spans="2:7">
      <c r="B9101"/>
      <c r="C9101"/>
      <c r="D9101"/>
      <c r="G9101"/>
    </row>
    <row r="9102" spans="2:7">
      <c r="B9102"/>
      <c r="C9102"/>
      <c r="D9102"/>
      <c r="G9102"/>
    </row>
    <row r="9103" spans="2:7">
      <c r="B9103"/>
      <c r="C9103"/>
      <c r="D9103"/>
      <c r="G9103"/>
    </row>
    <row r="9104" spans="2:7">
      <c r="B9104"/>
      <c r="C9104"/>
      <c r="D9104"/>
      <c r="G9104"/>
    </row>
    <row r="9105" spans="2:7">
      <c r="B9105"/>
      <c r="C9105"/>
      <c r="D9105"/>
      <c r="G9105"/>
    </row>
    <row r="9106" spans="2:7">
      <c r="B9106"/>
      <c r="C9106"/>
      <c r="D9106"/>
      <c r="G9106"/>
    </row>
    <row r="9107" spans="2:7">
      <c r="B9107"/>
      <c r="C9107"/>
      <c r="D9107"/>
      <c r="G9107"/>
    </row>
    <row r="9108" spans="2:7">
      <c r="B9108"/>
      <c r="C9108"/>
      <c r="D9108"/>
      <c r="G9108"/>
    </row>
    <row r="9109" spans="2:7">
      <c r="B9109"/>
      <c r="C9109"/>
      <c r="D9109"/>
      <c r="G9109"/>
    </row>
    <row r="9110" spans="2:7">
      <c r="B9110"/>
      <c r="C9110"/>
      <c r="D9110"/>
      <c r="G9110"/>
    </row>
    <row r="9111" spans="2:7">
      <c r="B9111"/>
      <c r="C9111"/>
      <c r="D9111"/>
      <c r="G9111"/>
    </row>
    <row r="9112" spans="2:7">
      <c r="B9112"/>
      <c r="C9112"/>
      <c r="D9112"/>
      <c r="G9112"/>
    </row>
    <row r="9113" spans="2:7">
      <c r="B9113"/>
      <c r="C9113"/>
      <c r="D9113"/>
      <c r="G9113"/>
    </row>
    <row r="9114" spans="2:7">
      <c r="B9114"/>
      <c r="C9114"/>
      <c r="D9114"/>
      <c r="G9114"/>
    </row>
    <row r="9115" spans="2:7">
      <c r="B9115"/>
      <c r="C9115"/>
      <c r="D9115"/>
      <c r="G9115"/>
    </row>
    <row r="9116" spans="2:7">
      <c r="B9116"/>
      <c r="C9116"/>
      <c r="D9116"/>
      <c r="G9116"/>
    </row>
    <row r="9117" spans="2:7">
      <c r="B9117"/>
      <c r="C9117"/>
      <c r="D9117"/>
      <c r="G9117"/>
    </row>
    <row r="9118" spans="2:7">
      <c r="B9118"/>
      <c r="C9118"/>
      <c r="D9118"/>
      <c r="G9118"/>
    </row>
    <row r="9119" spans="2:7">
      <c r="B9119"/>
      <c r="C9119"/>
      <c r="D9119"/>
      <c r="G9119"/>
    </row>
    <row r="9120" spans="2:7">
      <c r="B9120"/>
      <c r="C9120"/>
      <c r="D9120"/>
      <c r="G9120"/>
    </row>
    <row r="9121" spans="2:7">
      <c r="B9121"/>
      <c r="C9121"/>
      <c r="D9121"/>
      <c r="G9121"/>
    </row>
    <row r="9122" spans="2:7">
      <c r="B9122"/>
      <c r="C9122"/>
      <c r="D9122"/>
      <c r="G9122"/>
    </row>
    <row r="9123" spans="2:7">
      <c r="B9123"/>
      <c r="C9123"/>
      <c r="D9123"/>
      <c r="G9123"/>
    </row>
    <row r="9124" spans="2:7">
      <c r="B9124"/>
      <c r="C9124"/>
      <c r="D9124"/>
      <c r="G9124"/>
    </row>
    <row r="9125" spans="2:7">
      <c r="B9125"/>
      <c r="C9125"/>
      <c r="D9125"/>
      <c r="G9125"/>
    </row>
    <row r="9126" spans="2:7">
      <c r="B9126"/>
      <c r="C9126"/>
      <c r="D9126"/>
      <c r="G9126"/>
    </row>
    <row r="9127" spans="2:7">
      <c r="B9127"/>
      <c r="C9127"/>
      <c r="D9127"/>
      <c r="G9127"/>
    </row>
    <row r="9128" spans="2:7">
      <c r="B9128"/>
      <c r="C9128"/>
      <c r="D9128"/>
      <c r="G9128"/>
    </row>
    <row r="9129" spans="2:7">
      <c r="B9129"/>
      <c r="C9129"/>
      <c r="D9129"/>
      <c r="G9129"/>
    </row>
    <row r="9130" spans="2:7">
      <c r="B9130"/>
      <c r="C9130"/>
      <c r="D9130"/>
      <c r="G9130"/>
    </row>
    <row r="9131" spans="2:7">
      <c r="B9131"/>
      <c r="C9131"/>
      <c r="D9131"/>
      <c r="G9131"/>
    </row>
    <row r="9132" spans="2:7">
      <c r="B9132"/>
      <c r="C9132"/>
      <c r="D9132"/>
      <c r="G9132"/>
    </row>
    <row r="9133" spans="2:7">
      <c r="B9133"/>
      <c r="C9133"/>
      <c r="D9133"/>
      <c r="G9133"/>
    </row>
    <row r="9134" spans="2:7">
      <c r="B9134"/>
      <c r="C9134"/>
      <c r="D9134"/>
      <c r="G9134"/>
    </row>
    <row r="9135" spans="2:7">
      <c r="B9135"/>
      <c r="C9135"/>
      <c r="D9135"/>
      <c r="G9135"/>
    </row>
    <row r="9136" spans="2:7">
      <c r="B9136"/>
      <c r="C9136"/>
      <c r="D9136"/>
      <c r="G9136"/>
    </row>
    <row r="9137" spans="2:7">
      <c r="B9137"/>
      <c r="C9137"/>
      <c r="D9137"/>
      <c r="G9137"/>
    </row>
    <row r="9138" spans="2:7">
      <c r="B9138"/>
      <c r="C9138"/>
      <c r="D9138"/>
      <c r="G9138"/>
    </row>
    <row r="9139" spans="2:7">
      <c r="B9139"/>
      <c r="C9139"/>
      <c r="D9139"/>
      <c r="G9139"/>
    </row>
    <row r="9140" spans="2:7">
      <c r="B9140"/>
      <c r="C9140"/>
      <c r="D9140"/>
      <c r="G9140"/>
    </row>
    <row r="9141" spans="2:7">
      <c r="B9141"/>
      <c r="C9141"/>
      <c r="D9141"/>
      <c r="G9141"/>
    </row>
    <row r="9142" spans="2:7">
      <c r="B9142"/>
      <c r="C9142"/>
      <c r="D9142"/>
      <c r="G9142"/>
    </row>
    <row r="9143" spans="2:7">
      <c r="B9143"/>
      <c r="C9143"/>
      <c r="D9143"/>
      <c r="G9143"/>
    </row>
    <row r="9144" spans="2:7">
      <c r="B9144"/>
      <c r="C9144"/>
      <c r="D9144"/>
      <c r="G9144"/>
    </row>
    <row r="9145" spans="2:7">
      <c r="B9145"/>
      <c r="C9145"/>
      <c r="D9145"/>
      <c r="G9145"/>
    </row>
    <row r="9146" spans="2:7">
      <c r="B9146"/>
      <c r="C9146"/>
      <c r="D9146"/>
      <c r="G9146"/>
    </row>
    <row r="9147" spans="2:7">
      <c r="B9147"/>
      <c r="C9147"/>
      <c r="D9147"/>
      <c r="G9147"/>
    </row>
    <row r="9148" spans="2:7">
      <c r="B9148"/>
      <c r="C9148"/>
      <c r="D9148"/>
      <c r="G9148"/>
    </row>
    <row r="9149" spans="2:7">
      <c r="B9149"/>
      <c r="C9149"/>
      <c r="D9149"/>
      <c r="G9149"/>
    </row>
    <row r="9150" spans="2:7">
      <c r="B9150"/>
      <c r="C9150"/>
      <c r="D9150"/>
      <c r="G9150"/>
    </row>
    <row r="9151" spans="2:7">
      <c r="B9151"/>
      <c r="C9151"/>
      <c r="D9151"/>
      <c r="G9151"/>
    </row>
    <row r="9152" spans="2:7">
      <c r="B9152"/>
      <c r="C9152"/>
      <c r="D9152"/>
      <c r="G9152"/>
    </row>
    <row r="9153" spans="2:7">
      <c r="B9153"/>
      <c r="C9153"/>
      <c r="D9153"/>
      <c r="G9153"/>
    </row>
    <row r="9154" spans="2:7">
      <c r="B9154"/>
      <c r="C9154"/>
      <c r="D9154"/>
      <c r="G9154"/>
    </row>
    <row r="9155" spans="2:7">
      <c r="B9155"/>
      <c r="C9155"/>
      <c r="D9155"/>
      <c r="G9155"/>
    </row>
    <row r="9156" spans="2:7">
      <c r="B9156"/>
      <c r="C9156"/>
      <c r="D9156"/>
      <c r="G9156"/>
    </row>
    <row r="9157" spans="2:7">
      <c r="B9157"/>
      <c r="C9157"/>
      <c r="D9157"/>
      <c r="G9157"/>
    </row>
    <row r="9158" spans="2:7">
      <c r="B9158"/>
      <c r="C9158"/>
      <c r="D9158"/>
      <c r="G9158"/>
    </row>
    <row r="9159" spans="2:7">
      <c r="B9159"/>
      <c r="C9159"/>
      <c r="D9159"/>
      <c r="G9159"/>
    </row>
    <row r="9160" spans="2:7">
      <c r="B9160"/>
      <c r="C9160"/>
      <c r="D9160"/>
      <c r="G9160"/>
    </row>
    <row r="9161" spans="2:7">
      <c r="B9161"/>
      <c r="C9161"/>
      <c r="D9161"/>
      <c r="G9161"/>
    </row>
    <row r="9162" spans="2:7">
      <c r="B9162"/>
      <c r="C9162"/>
      <c r="D9162"/>
      <c r="G9162"/>
    </row>
    <row r="9163" spans="2:7">
      <c r="B9163"/>
      <c r="C9163"/>
      <c r="D9163"/>
      <c r="G9163"/>
    </row>
    <row r="9164" spans="2:7">
      <c r="B9164"/>
      <c r="C9164"/>
      <c r="D9164"/>
      <c r="G9164"/>
    </row>
    <row r="9165" spans="2:7">
      <c r="B9165"/>
      <c r="C9165"/>
      <c r="D9165"/>
      <c r="G9165"/>
    </row>
    <row r="9166" spans="2:7">
      <c r="B9166"/>
      <c r="C9166"/>
      <c r="D9166"/>
      <c r="G9166"/>
    </row>
    <row r="9167" spans="2:7">
      <c r="B9167"/>
      <c r="C9167"/>
      <c r="D9167"/>
      <c r="G9167"/>
    </row>
    <row r="9168" spans="2:7">
      <c r="B9168"/>
      <c r="C9168"/>
      <c r="D9168"/>
      <c r="G9168"/>
    </row>
    <row r="9169" spans="2:7">
      <c r="B9169"/>
      <c r="C9169"/>
      <c r="D9169"/>
      <c r="G9169"/>
    </row>
    <row r="9170" spans="2:7">
      <c r="B9170"/>
      <c r="C9170"/>
      <c r="D9170"/>
      <c r="G9170"/>
    </row>
    <row r="9171" spans="2:7">
      <c r="B9171"/>
      <c r="C9171"/>
      <c r="D9171"/>
      <c r="G9171"/>
    </row>
    <row r="9172" spans="2:7">
      <c r="B9172"/>
      <c r="C9172"/>
      <c r="D9172"/>
      <c r="G9172"/>
    </row>
    <row r="9173" spans="2:7">
      <c r="B9173"/>
      <c r="C9173"/>
      <c r="D9173"/>
      <c r="G9173"/>
    </row>
    <row r="9174" spans="2:7">
      <c r="B9174"/>
      <c r="C9174"/>
      <c r="D9174"/>
      <c r="G9174"/>
    </row>
    <row r="9175" spans="2:7">
      <c r="B9175"/>
      <c r="C9175"/>
      <c r="D9175"/>
      <c r="G9175"/>
    </row>
    <row r="9176" spans="2:7">
      <c r="B9176"/>
      <c r="C9176"/>
      <c r="D9176"/>
      <c r="G9176"/>
    </row>
    <row r="9177" spans="2:7">
      <c r="B9177"/>
      <c r="C9177"/>
      <c r="D9177"/>
      <c r="G9177"/>
    </row>
    <row r="9178" spans="2:7">
      <c r="B9178"/>
      <c r="C9178"/>
      <c r="D9178"/>
      <c r="G9178"/>
    </row>
    <row r="9179" spans="2:7">
      <c r="B9179"/>
      <c r="C9179"/>
      <c r="D9179"/>
      <c r="G9179"/>
    </row>
    <row r="9180" spans="2:7">
      <c r="B9180"/>
      <c r="C9180"/>
      <c r="D9180"/>
      <c r="G9180"/>
    </row>
    <row r="9181" spans="2:7">
      <c r="B9181"/>
      <c r="C9181"/>
      <c r="D9181"/>
      <c r="G9181"/>
    </row>
    <row r="9182" spans="2:7">
      <c r="B9182"/>
      <c r="C9182"/>
      <c r="D9182"/>
      <c r="G9182"/>
    </row>
    <row r="9183" spans="2:7">
      <c r="B9183"/>
      <c r="C9183"/>
      <c r="D9183"/>
      <c r="G9183"/>
    </row>
    <row r="9184" spans="2:7">
      <c r="B9184"/>
      <c r="C9184"/>
      <c r="D9184"/>
      <c r="G9184"/>
    </row>
    <row r="9185" spans="2:7">
      <c r="B9185"/>
      <c r="C9185"/>
      <c r="D9185"/>
      <c r="G9185"/>
    </row>
    <row r="9186" spans="2:7">
      <c r="B9186"/>
      <c r="C9186"/>
      <c r="D9186"/>
      <c r="G9186"/>
    </row>
    <row r="9187" spans="2:7">
      <c r="B9187"/>
      <c r="C9187"/>
      <c r="D9187"/>
      <c r="G9187"/>
    </row>
    <row r="9188" spans="2:7">
      <c r="B9188"/>
      <c r="C9188"/>
      <c r="D9188"/>
      <c r="G9188"/>
    </row>
    <row r="9189" spans="2:7">
      <c r="B9189"/>
      <c r="C9189"/>
      <c r="D9189"/>
      <c r="G9189"/>
    </row>
    <row r="9190" spans="2:7">
      <c r="B9190"/>
      <c r="C9190"/>
      <c r="D9190"/>
      <c r="G9190"/>
    </row>
    <row r="9191" spans="2:7">
      <c r="B9191"/>
      <c r="C9191"/>
      <c r="D9191"/>
      <c r="G9191"/>
    </row>
    <row r="9192" spans="2:7">
      <c r="B9192"/>
      <c r="C9192"/>
      <c r="D9192"/>
      <c r="G9192"/>
    </row>
    <row r="9193" spans="2:7">
      <c r="B9193"/>
      <c r="C9193"/>
      <c r="D9193"/>
      <c r="G9193"/>
    </row>
    <row r="9194" spans="2:7">
      <c r="B9194"/>
      <c r="C9194"/>
      <c r="D9194"/>
      <c r="G9194"/>
    </row>
    <row r="9195" spans="2:7">
      <c r="B9195"/>
      <c r="C9195"/>
      <c r="D9195"/>
      <c r="G9195"/>
    </row>
    <row r="9196" spans="2:7">
      <c r="B9196"/>
      <c r="C9196"/>
      <c r="D9196"/>
      <c r="G9196"/>
    </row>
    <row r="9197" spans="2:7">
      <c r="B9197"/>
      <c r="C9197"/>
      <c r="D9197"/>
      <c r="G9197"/>
    </row>
    <row r="9198" spans="2:7">
      <c r="B9198"/>
      <c r="C9198"/>
      <c r="D9198"/>
      <c r="G9198"/>
    </row>
    <row r="9199" spans="2:7">
      <c r="B9199"/>
      <c r="C9199"/>
      <c r="D9199"/>
      <c r="G9199"/>
    </row>
    <row r="9200" spans="2:7">
      <c r="B9200"/>
      <c r="C9200"/>
      <c r="D9200"/>
      <c r="G9200"/>
    </row>
    <row r="9201" spans="2:7">
      <c r="B9201"/>
      <c r="C9201"/>
      <c r="D9201"/>
      <c r="G9201"/>
    </row>
    <row r="9202" spans="2:7">
      <c r="B9202"/>
      <c r="C9202"/>
      <c r="D9202"/>
      <c r="G9202"/>
    </row>
    <row r="9203" spans="2:7">
      <c r="B9203"/>
      <c r="C9203"/>
      <c r="D9203"/>
      <c r="G9203"/>
    </row>
    <row r="9204" spans="2:7">
      <c r="B9204"/>
      <c r="C9204"/>
      <c r="D9204"/>
      <c r="G9204"/>
    </row>
    <row r="9205" spans="2:7">
      <c r="B9205"/>
      <c r="C9205"/>
      <c r="D9205"/>
      <c r="G9205"/>
    </row>
    <row r="9206" spans="2:7">
      <c r="B9206"/>
      <c r="C9206"/>
      <c r="D9206"/>
      <c r="G9206"/>
    </row>
    <row r="9207" spans="2:7">
      <c r="B9207"/>
      <c r="C9207"/>
      <c r="D9207"/>
      <c r="G9207"/>
    </row>
    <row r="9208" spans="2:7">
      <c r="B9208"/>
      <c r="C9208"/>
      <c r="D9208"/>
      <c r="G9208"/>
    </row>
    <row r="9209" spans="2:7">
      <c r="B9209"/>
      <c r="C9209"/>
      <c r="D9209"/>
      <c r="G9209"/>
    </row>
    <row r="9210" spans="2:7">
      <c r="B9210"/>
      <c r="C9210"/>
      <c r="D9210"/>
      <c r="G9210"/>
    </row>
    <row r="9211" spans="2:7">
      <c r="B9211"/>
      <c r="C9211"/>
      <c r="D9211"/>
      <c r="G9211"/>
    </row>
    <row r="9212" spans="2:7">
      <c r="B9212"/>
      <c r="C9212"/>
      <c r="D9212"/>
      <c r="G9212"/>
    </row>
    <row r="9213" spans="2:7">
      <c r="B9213"/>
      <c r="C9213"/>
      <c r="D9213"/>
      <c r="G9213"/>
    </row>
    <row r="9214" spans="2:7">
      <c r="B9214"/>
      <c r="C9214"/>
      <c r="D9214"/>
      <c r="G9214"/>
    </row>
    <row r="9215" spans="2:7">
      <c r="B9215"/>
      <c r="C9215"/>
      <c r="D9215"/>
      <c r="G9215"/>
    </row>
    <row r="9216" spans="2:7">
      <c r="B9216"/>
      <c r="C9216"/>
      <c r="D9216"/>
      <c r="G9216"/>
    </row>
    <row r="9217" spans="2:7">
      <c r="B9217"/>
      <c r="C9217"/>
      <c r="D9217"/>
      <c r="G9217"/>
    </row>
    <row r="9218" spans="2:7">
      <c r="B9218"/>
      <c r="C9218"/>
      <c r="D9218"/>
      <c r="G9218"/>
    </row>
    <row r="9219" spans="2:7">
      <c r="B9219"/>
      <c r="C9219"/>
      <c r="D9219"/>
      <c r="G9219"/>
    </row>
    <row r="9220" spans="2:7">
      <c r="B9220"/>
      <c r="C9220"/>
      <c r="D9220"/>
      <c r="G9220"/>
    </row>
    <row r="9221" spans="2:7">
      <c r="B9221"/>
      <c r="C9221"/>
      <c r="D9221"/>
      <c r="G9221"/>
    </row>
    <row r="9222" spans="2:7">
      <c r="B9222"/>
      <c r="C9222"/>
      <c r="D9222"/>
      <c r="G9222"/>
    </row>
    <row r="9223" spans="2:7">
      <c r="B9223"/>
      <c r="C9223"/>
      <c r="D9223"/>
      <c r="G9223"/>
    </row>
    <row r="9224" spans="2:7">
      <c r="B9224"/>
      <c r="C9224"/>
      <c r="D9224"/>
      <c r="G9224"/>
    </row>
    <row r="9225" spans="2:7">
      <c r="B9225"/>
      <c r="C9225"/>
      <c r="D9225"/>
      <c r="G9225"/>
    </row>
    <row r="9226" spans="2:7">
      <c r="B9226"/>
      <c r="C9226"/>
      <c r="D9226"/>
      <c r="G9226"/>
    </row>
    <row r="9227" spans="2:7">
      <c r="B9227"/>
      <c r="C9227"/>
      <c r="D9227"/>
      <c r="G9227"/>
    </row>
    <row r="9228" spans="2:7">
      <c r="B9228"/>
      <c r="C9228"/>
      <c r="D9228"/>
      <c r="G9228"/>
    </row>
    <row r="9229" spans="2:7">
      <c r="B9229"/>
      <c r="C9229"/>
      <c r="D9229"/>
      <c r="G9229"/>
    </row>
    <row r="9230" spans="2:7">
      <c r="B9230"/>
      <c r="C9230"/>
      <c r="D9230"/>
      <c r="G9230"/>
    </row>
    <row r="9231" spans="2:7">
      <c r="B9231"/>
      <c r="C9231"/>
      <c r="D9231"/>
      <c r="G9231"/>
    </row>
    <row r="9232" spans="2:7">
      <c r="B9232"/>
      <c r="C9232"/>
      <c r="D9232"/>
      <c r="G9232"/>
    </row>
    <row r="9233" spans="2:7">
      <c r="B9233"/>
      <c r="C9233"/>
      <c r="D9233"/>
      <c r="G9233"/>
    </row>
    <row r="9234" spans="2:7">
      <c r="B9234"/>
      <c r="C9234"/>
      <c r="D9234"/>
      <c r="G9234"/>
    </row>
    <row r="9235" spans="2:7">
      <c r="B9235"/>
      <c r="C9235"/>
      <c r="D9235"/>
      <c r="G9235"/>
    </row>
    <row r="9236" spans="2:7">
      <c r="B9236"/>
      <c r="C9236"/>
      <c r="D9236"/>
      <c r="G9236"/>
    </row>
    <row r="9237" spans="2:7">
      <c r="B9237"/>
      <c r="C9237"/>
      <c r="D9237"/>
      <c r="G9237"/>
    </row>
    <row r="9238" spans="2:7">
      <c r="B9238"/>
      <c r="C9238"/>
      <c r="D9238"/>
      <c r="G9238"/>
    </row>
    <row r="9239" spans="2:7">
      <c r="B9239"/>
      <c r="C9239"/>
      <c r="D9239"/>
      <c r="G9239"/>
    </row>
    <row r="9240" spans="2:7">
      <c r="B9240"/>
      <c r="C9240"/>
      <c r="D9240"/>
      <c r="G9240"/>
    </row>
    <row r="9241" spans="2:7">
      <c r="B9241"/>
      <c r="C9241"/>
      <c r="D9241"/>
      <c r="G9241"/>
    </row>
    <row r="9242" spans="2:7">
      <c r="B9242"/>
      <c r="C9242"/>
      <c r="D9242"/>
      <c r="G9242"/>
    </row>
    <row r="9243" spans="2:7">
      <c r="B9243"/>
      <c r="C9243"/>
      <c r="D9243"/>
      <c r="G9243"/>
    </row>
    <row r="9244" spans="2:7">
      <c r="B9244"/>
      <c r="C9244"/>
      <c r="D9244"/>
      <c r="G9244"/>
    </row>
    <row r="9245" spans="2:7">
      <c r="B9245"/>
      <c r="C9245"/>
      <c r="D9245"/>
      <c r="G9245"/>
    </row>
    <row r="9246" spans="2:7">
      <c r="B9246"/>
      <c r="C9246"/>
      <c r="D9246"/>
      <c r="G9246"/>
    </row>
    <row r="9247" spans="2:7">
      <c r="B9247"/>
      <c r="C9247"/>
      <c r="D9247"/>
      <c r="G9247"/>
    </row>
    <row r="9248" spans="2:7">
      <c r="B9248"/>
      <c r="C9248"/>
      <c r="D9248"/>
      <c r="G9248"/>
    </row>
    <row r="9249" spans="2:7">
      <c r="B9249"/>
      <c r="C9249"/>
      <c r="D9249"/>
      <c r="G9249"/>
    </row>
    <row r="9250" spans="2:7">
      <c r="B9250"/>
      <c r="C9250"/>
      <c r="D9250"/>
      <c r="G9250"/>
    </row>
    <row r="9251" spans="2:7">
      <c r="B9251"/>
      <c r="C9251"/>
      <c r="D9251"/>
      <c r="G9251"/>
    </row>
    <row r="9252" spans="2:7">
      <c r="B9252"/>
      <c r="C9252"/>
      <c r="D9252"/>
      <c r="G9252"/>
    </row>
    <row r="9253" spans="2:7">
      <c r="B9253"/>
      <c r="C9253"/>
      <c r="D9253"/>
      <c r="G9253"/>
    </row>
    <row r="9254" spans="2:7">
      <c r="B9254"/>
      <c r="C9254"/>
      <c r="D9254"/>
      <c r="G9254"/>
    </row>
    <row r="9255" spans="2:7">
      <c r="B9255"/>
      <c r="C9255"/>
      <c r="D9255"/>
      <c r="G9255"/>
    </row>
    <row r="9256" spans="2:7">
      <c r="B9256"/>
      <c r="C9256"/>
      <c r="D9256"/>
      <c r="G9256"/>
    </row>
    <row r="9257" spans="2:7">
      <c r="B9257"/>
      <c r="C9257"/>
      <c r="D9257"/>
      <c r="G9257"/>
    </row>
    <row r="9258" spans="2:7">
      <c r="B9258"/>
      <c r="C9258"/>
      <c r="D9258"/>
      <c r="G9258"/>
    </row>
    <row r="9259" spans="2:7">
      <c r="B9259"/>
      <c r="C9259"/>
      <c r="D9259"/>
      <c r="G9259"/>
    </row>
    <row r="9260" spans="2:7">
      <c r="B9260"/>
      <c r="C9260"/>
      <c r="D9260"/>
      <c r="G9260"/>
    </row>
    <row r="9261" spans="2:7">
      <c r="B9261"/>
      <c r="C9261"/>
      <c r="D9261"/>
      <c r="G9261"/>
    </row>
    <row r="9262" spans="2:7">
      <c r="B9262"/>
      <c r="C9262"/>
      <c r="D9262"/>
      <c r="G9262"/>
    </row>
    <row r="9263" spans="2:7">
      <c r="B9263"/>
      <c r="C9263"/>
      <c r="D9263"/>
      <c r="G9263"/>
    </row>
    <row r="9264" spans="2:7">
      <c r="B9264"/>
      <c r="C9264"/>
      <c r="D9264"/>
      <c r="G9264"/>
    </row>
    <row r="9265" spans="2:7">
      <c r="B9265"/>
      <c r="C9265"/>
      <c r="D9265"/>
      <c r="G9265"/>
    </row>
    <row r="9266" spans="2:7">
      <c r="B9266"/>
      <c r="C9266"/>
      <c r="D9266"/>
      <c r="G9266"/>
    </row>
    <row r="9267" spans="2:7">
      <c r="B9267"/>
      <c r="C9267"/>
      <c r="D9267"/>
      <c r="G9267"/>
    </row>
    <row r="9268" spans="2:7">
      <c r="B9268"/>
      <c r="C9268"/>
      <c r="D9268"/>
      <c r="G9268"/>
    </row>
    <row r="9269" spans="2:7">
      <c r="B9269"/>
      <c r="C9269"/>
      <c r="D9269"/>
      <c r="G9269"/>
    </row>
    <row r="9270" spans="2:7">
      <c r="B9270"/>
      <c r="C9270"/>
      <c r="D9270"/>
      <c r="G9270"/>
    </row>
    <row r="9271" spans="2:7">
      <c r="B9271"/>
      <c r="C9271"/>
      <c r="D9271"/>
      <c r="G9271"/>
    </row>
    <row r="9272" spans="2:7">
      <c r="B9272"/>
      <c r="C9272"/>
      <c r="D9272"/>
      <c r="G9272"/>
    </row>
    <row r="9273" spans="2:7">
      <c r="B9273"/>
      <c r="C9273"/>
      <c r="D9273"/>
      <c r="G9273"/>
    </row>
    <row r="9274" spans="2:7">
      <c r="B9274"/>
      <c r="C9274"/>
      <c r="D9274"/>
      <c r="G9274"/>
    </row>
    <row r="9275" spans="2:7">
      <c r="B9275"/>
      <c r="C9275"/>
      <c r="D9275"/>
      <c r="G9275"/>
    </row>
    <row r="9276" spans="2:7">
      <c r="B9276"/>
      <c r="C9276"/>
      <c r="D9276"/>
      <c r="G9276"/>
    </row>
    <row r="9277" spans="2:7">
      <c r="B9277"/>
      <c r="C9277"/>
      <c r="D9277"/>
      <c r="G9277"/>
    </row>
    <row r="9278" spans="2:7">
      <c r="B9278"/>
      <c r="C9278"/>
      <c r="D9278"/>
      <c r="G9278"/>
    </row>
    <row r="9279" spans="2:7">
      <c r="B9279"/>
      <c r="C9279"/>
      <c r="D9279"/>
      <c r="G9279"/>
    </row>
    <row r="9280" spans="2:7">
      <c r="B9280"/>
      <c r="C9280"/>
      <c r="D9280"/>
      <c r="G9280"/>
    </row>
    <row r="9281" spans="2:7">
      <c r="B9281"/>
      <c r="C9281"/>
      <c r="D9281"/>
      <c r="G9281"/>
    </row>
    <row r="9282" spans="2:7">
      <c r="B9282"/>
      <c r="C9282"/>
      <c r="D9282"/>
      <c r="G9282"/>
    </row>
    <row r="9283" spans="2:7">
      <c r="B9283"/>
      <c r="C9283"/>
      <c r="D9283"/>
      <c r="G9283"/>
    </row>
    <row r="9284" spans="2:7">
      <c r="B9284"/>
      <c r="C9284"/>
      <c r="D9284"/>
      <c r="G9284"/>
    </row>
    <row r="9285" spans="2:7">
      <c r="B9285"/>
      <c r="C9285"/>
      <c r="D9285"/>
      <c r="G9285"/>
    </row>
    <row r="9286" spans="2:7">
      <c r="B9286"/>
      <c r="C9286"/>
      <c r="D9286"/>
      <c r="G9286"/>
    </row>
    <row r="9287" spans="2:7">
      <c r="B9287"/>
      <c r="C9287"/>
      <c r="D9287"/>
      <c r="G9287"/>
    </row>
    <row r="9288" spans="2:7">
      <c r="B9288"/>
      <c r="C9288"/>
      <c r="D9288"/>
      <c r="G9288"/>
    </row>
    <row r="9289" spans="2:7">
      <c r="B9289"/>
      <c r="C9289"/>
      <c r="D9289"/>
      <c r="G9289"/>
    </row>
    <row r="9290" spans="2:7">
      <c r="B9290"/>
      <c r="C9290"/>
      <c r="D9290"/>
      <c r="G9290"/>
    </row>
    <row r="9291" spans="2:7">
      <c r="B9291"/>
      <c r="C9291"/>
      <c r="D9291"/>
      <c r="G9291"/>
    </row>
    <row r="9292" spans="2:7">
      <c r="B9292"/>
      <c r="C9292"/>
      <c r="D9292"/>
      <c r="G9292"/>
    </row>
    <row r="9293" spans="2:7">
      <c r="B9293"/>
      <c r="C9293"/>
      <c r="D9293"/>
      <c r="G9293"/>
    </row>
    <row r="9294" spans="2:7">
      <c r="B9294"/>
      <c r="C9294"/>
      <c r="D9294"/>
      <c r="G9294"/>
    </row>
    <row r="9295" spans="2:7">
      <c r="B9295"/>
      <c r="C9295"/>
      <c r="D9295"/>
      <c r="G9295"/>
    </row>
    <row r="9296" spans="2:7">
      <c r="B9296"/>
      <c r="C9296"/>
      <c r="D9296"/>
      <c r="G9296"/>
    </row>
    <row r="9297" spans="2:7">
      <c r="B9297"/>
      <c r="C9297"/>
      <c r="D9297"/>
      <c r="G9297"/>
    </row>
    <row r="9298" spans="2:7">
      <c r="B9298"/>
      <c r="C9298"/>
      <c r="D9298"/>
      <c r="G9298"/>
    </row>
    <row r="9299" spans="2:7">
      <c r="B9299"/>
      <c r="C9299"/>
      <c r="D9299"/>
      <c r="G9299"/>
    </row>
    <row r="9300" spans="2:7">
      <c r="B9300"/>
      <c r="C9300"/>
      <c r="D9300"/>
      <c r="G9300"/>
    </row>
    <row r="9301" spans="2:7">
      <c r="B9301"/>
      <c r="C9301"/>
      <c r="D9301"/>
      <c r="G9301"/>
    </row>
    <row r="9302" spans="2:7">
      <c r="B9302"/>
      <c r="C9302"/>
      <c r="D9302"/>
      <c r="G9302"/>
    </row>
    <row r="9303" spans="2:7">
      <c r="B9303"/>
      <c r="C9303"/>
      <c r="D9303"/>
      <c r="G9303"/>
    </row>
    <row r="9304" spans="2:7">
      <c r="B9304"/>
      <c r="C9304"/>
      <c r="D9304"/>
      <c r="G9304"/>
    </row>
    <row r="9305" spans="2:7">
      <c r="B9305"/>
      <c r="C9305"/>
      <c r="D9305"/>
      <c r="G9305"/>
    </row>
    <row r="9306" spans="2:7">
      <c r="B9306"/>
      <c r="C9306"/>
      <c r="D9306"/>
      <c r="G9306"/>
    </row>
    <row r="9307" spans="2:7">
      <c r="B9307"/>
      <c r="C9307"/>
      <c r="D9307"/>
      <c r="G9307"/>
    </row>
    <row r="9308" spans="2:7">
      <c r="B9308"/>
      <c r="C9308"/>
      <c r="D9308"/>
      <c r="G9308"/>
    </row>
    <row r="9309" spans="2:7">
      <c r="B9309"/>
      <c r="C9309"/>
      <c r="D9309"/>
      <c r="G9309"/>
    </row>
    <row r="9310" spans="2:7">
      <c r="B9310"/>
      <c r="C9310"/>
      <c r="D9310"/>
      <c r="G9310"/>
    </row>
    <row r="9311" spans="2:7">
      <c r="B9311"/>
      <c r="C9311"/>
      <c r="D9311"/>
      <c r="G9311"/>
    </row>
    <row r="9312" spans="2:7">
      <c r="B9312"/>
      <c r="C9312"/>
      <c r="D9312"/>
      <c r="G9312"/>
    </row>
    <row r="9313" spans="2:7">
      <c r="B9313"/>
      <c r="C9313"/>
      <c r="D9313"/>
      <c r="G9313"/>
    </row>
    <row r="9314" spans="2:7">
      <c r="B9314"/>
      <c r="C9314"/>
      <c r="D9314"/>
      <c r="G9314"/>
    </row>
    <row r="9315" spans="2:7">
      <c r="B9315"/>
      <c r="C9315"/>
      <c r="D9315"/>
      <c r="G9315"/>
    </row>
    <row r="9316" spans="2:7">
      <c r="B9316"/>
      <c r="C9316"/>
      <c r="D9316"/>
      <c r="G9316"/>
    </row>
    <row r="9317" spans="2:7">
      <c r="B9317"/>
      <c r="C9317"/>
      <c r="D9317"/>
      <c r="G9317"/>
    </row>
    <row r="9318" spans="2:7">
      <c r="B9318"/>
      <c r="C9318"/>
      <c r="D9318"/>
      <c r="G9318"/>
    </row>
    <row r="9319" spans="2:7">
      <c r="B9319"/>
      <c r="C9319"/>
      <c r="D9319"/>
      <c r="G9319"/>
    </row>
    <row r="9320" spans="2:7">
      <c r="B9320"/>
      <c r="C9320"/>
      <c r="D9320"/>
      <c r="G9320"/>
    </row>
    <row r="9321" spans="2:7">
      <c r="B9321"/>
      <c r="C9321"/>
      <c r="D9321"/>
      <c r="G9321"/>
    </row>
    <row r="9322" spans="2:7">
      <c r="B9322"/>
      <c r="C9322"/>
      <c r="D9322"/>
      <c r="G9322"/>
    </row>
    <row r="9323" spans="2:7">
      <c r="B9323"/>
      <c r="C9323"/>
      <c r="D9323"/>
      <c r="G9323"/>
    </row>
    <row r="9324" spans="2:7">
      <c r="B9324"/>
      <c r="C9324"/>
      <c r="D9324"/>
      <c r="G9324"/>
    </row>
    <row r="9325" spans="2:7">
      <c r="B9325"/>
      <c r="C9325"/>
      <c r="D9325"/>
      <c r="G9325"/>
    </row>
    <row r="9326" spans="2:7">
      <c r="B9326"/>
      <c r="C9326"/>
      <c r="D9326"/>
      <c r="G9326"/>
    </row>
    <row r="9327" spans="2:7">
      <c r="B9327"/>
      <c r="C9327"/>
      <c r="D9327"/>
      <c r="G9327"/>
    </row>
    <row r="9328" spans="2:7">
      <c r="B9328"/>
      <c r="C9328"/>
      <c r="D9328"/>
      <c r="G9328"/>
    </row>
    <row r="9329" spans="2:7">
      <c r="B9329"/>
      <c r="C9329"/>
      <c r="D9329"/>
      <c r="G9329"/>
    </row>
    <row r="9330" spans="2:7">
      <c r="B9330"/>
      <c r="C9330"/>
      <c r="D9330"/>
      <c r="G9330"/>
    </row>
    <row r="9331" spans="2:7">
      <c r="B9331"/>
      <c r="C9331"/>
      <c r="D9331"/>
      <c r="G9331"/>
    </row>
    <row r="9332" spans="2:7">
      <c r="B9332"/>
      <c r="C9332"/>
      <c r="D9332"/>
      <c r="G9332"/>
    </row>
    <row r="9333" spans="2:7">
      <c r="B9333"/>
      <c r="C9333"/>
      <c r="D9333"/>
      <c r="G9333"/>
    </row>
    <row r="9334" spans="2:7">
      <c r="B9334"/>
      <c r="C9334"/>
      <c r="D9334"/>
      <c r="G9334"/>
    </row>
    <row r="9335" spans="2:7">
      <c r="B9335"/>
      <c r="C9335"/>
      <c r="D9335"/>
      <c r="G9335"/>
    </row>
    <row r="9336" spans="2:7">
      <c r="B9336"/>
      <c r="C9336"/>
      <c r="D9336"/>
      <c r="G9336"/>
    </row>
    <row r="9337" spans="2:7">
      <c r="B9337"/>
      <c r="C9337"/>
      <c r="D9337"/>
      <c r="G9337"/>
    </row>
    <row r="9338" spans="2:7">
      <c r="B9338"/>
      <c r="C9338"/>
      <c r="D9338"/>
      <c r="G9338"/>
    </row>
    <row r="9339" spans="2:7">
      <c r="B9339"/>
      <c r="C9339"/>
      <c r="D9339"/>
      <c r="G9339"/>
    </row>
    <row r="9340" spans="2:7">
      <c r="B9340"/>
      <c r="C9340"/>
      <c r="D9340"/>
      <c r="G9340"/>
    </row>
    <row r="9341" spans="2:7">
      <c r="B9341"/>
      <c r="C9341"/>
      <c r="D9341"/>
      <c r="G9341"/>
    </row>
    <row r="9342" spans="2:7">
      <c r="B9342"/>
      <c r="C9342"/>
      <c r="D9342"/>
      <c r="G9342"/>
    </row>
    <row r="9343" spans="2:7">
      <c r="B9343"/>
      <c r="C9343"/>
      <c r="D9343"/>
      <c r="G9343"/>
    </row>
    <row r="9344" spans="2:7">
      <c r="B9344"/>
      <c r="C9344"/>
      <c r="D9344"/>
      <c r="G9344"/>
    </row>
    <row r="9345" spans="2:7">
      <c r="B9345"/>
      <c r="C9345"/>
      <c r="D9345"/>
      <c r="G9345"/>
    </row>
    <row r="9346" spans="2:7">
      <c r="B9346"/>
      <c r="C9346"/>
      <c r="D9346"/>
      <c r="G9346"/>
    </row>
    <row r="9347" spans="2:7">
      <c r="B9347"/>
      <c r="C9347"/>
      <c r="D9347"/>
      <c r="G9347"/>
    </row>
    <row r="9348" spans="2:7">
      <c r="B9348"/>
      <c r="C9348"/>
      <c r="D9348"/>
      <c r="G9348"/>
    </row>
    <row r="9349" spans="2:7">
      <c r="B9349"/>
      <c r="C9349"/>
      <c r="D9349"/>
      <c r="G9349"/>
    </row>
    <row r="9350" spans="2:7">
      <c r="B9350"/>
      <c r="C9350"/>
      <c r="D9350"/>
      <c r="G9350"/>
    </row>
    <row r="9351" spans="2:7">
      <c r="B9351"/>
      <c r="C9351"/>
      <c r="D9351"/>
      <c r="G9351"/>
    </row>
    <row r="9352" spans="2:7">
      <c r="B9352"/>
      <c r="C9352"/>
      <c r="D9352"/>
      <c r="G9352"/>
    </row>
    <row r="9353" spans="2:7">
      <c r="B9353"/>
      <c r="C9353"/>
      <c r="D9353"/>
      <c r="G9353"/>
    </row>
    <row r="9354" spans="2:7">
      <c r="B9354"/>
      <c r="C9354"/>
      <c r="D9354"/>
      <c r="G9354"/>
    </row>
    <row r="9355" spans="2:7">
      <c r="B9355"/>
      <c r="C9355"/>
      <c r="D9355"/>
      <c r="G9355"/>
    </row>
    <row r="9356" spans="2:7">
      <c r="B9356"/>
      <c r="C9356"/>
      <c r="D9356"/>
      <c r="G9356"/>
    </row>
    <row r="9357" spans="2:7">
      <c r="B9357"/>
      <c r="C9357"/>
      <c r="D9357"/>
      <c r="G9357"/>
    </row>
    <row r="9358" spans="2:7">
      <c r="B9358"/>
      <c r="C9358"/>
      <c r="D9358"/>
      <c r="G9358"/>
    </row>
    <row r="9359" spans="2:7">
      <c r="B9359"/>
      <c r="C9359"/>
      <c r="D9359"/>
      <c r="G9359"/>
    </row>
    <row r="9360" spans="2:7">
      <c r="B9360"/>
      <c r="C9360"/>
      <c r="D9360"/>
      <c r="G9360"/>
    </row>
    <row r="9361" spans="2:7">
      <c r="B9361"/>
      <c r="C9361"/>
      <c r="D9361"/>
      <c r="G9361"/>
    </row>
    <row r="9362" spans="2:7">
      <c r="B9362"/>
      <c r="C9362"/>
      <c r="D9362"/>
      <c r="G9362"/>
    </row>
    <row r="9363" spans="2:7">
      <c r="B9363"/>
      <c r="C9363"/>
      <c r="D9363"/>
      <c r="G9363"/>
    </row>
    <row r="9364" spans="2:7">
      <c r="B9364"/>
      <c r="C9364"/>
      <c r="D9364"/>
      <c r="G9364"/>
    </row>
    <row r="9365" spans="2:7">
      <c r="B9365"/>
      <c r="C9365"/>
      <c r="D9365"/>
      <c r="G9365"/>
    </row>
    <row r="9366" spans="2:7">
      <c r="B9366"/>
      <c r="C9366"/>
      <c r="D9366"/>
      <c r="G9366"/>
    </row>
    <row r="9367" spans="2:7">
      <c r="B9367"/>
      <c r="C9367"/>
      <c r="D9367"/>
      <c r="G9367"/>
    </row>
    <row r="9368" spans="2:7">
      <c r="B9368"/>
      <c r="C9368"/>
      <c r="D9368"/>
      <c r="G9368"/>
    </row>
    <row r="9369" spans="2:7">
      <c r="B9369"/>
      <c r="C9369"/>
      <c r="D9369"/>
      <c r="G9369"/>
    </row>
    <row r="9370" spans="2:7">
      <c r="B9370"/>
      <c r="C9370"/>
      <c r="D9370"/>
      <c r="G9370"/>
    </row>
    <row r="9371" spans="2:7">
      <c r="B9371"/>
      <c r="C9371"/>
      <c r="D9371"/>
      <c r="G9371"/>
    </row>
    <row r="9372" spans="2:7">
      <c r="B9372"/>
      <c r="C9372"/>
      <c r="D9372"/>
      <c r="G9372"/>
    </row>
    <row r="9373" spans="2:7">
      <c r="B9373"/>
      <c r="C9373"/>
      <c r="D9373"/>
      <c r="G9373"/>
    </row>
    <row r="9374" spans="2:7">
      <c r="B9374"/>
      <c r="C9374"/>
      <c r="D9374"/>
      <c r="G9374"/>
    </row>
    <row r="9375" spans="2:7">
      <c r="B9375"/>
      <c r="C9375"/>
      <c r="D9375"/>
      <c r="G9375"/>
    </row>
    <row r="9376" spans="2:7">
      <c r="B9376"/>
      <c r="C9376"/>
      <c r="D9376"/>
      <c r="G9376"/>
    </row>
    <row r="9377" spans="2:7">
      <c r="B9377"/>
      <c r="C9377"/>
      <c r="D9377"/>
      <c r="G9377"/>
    </row>
    <row r="9378" spans="2:7">
      <c r="B9378"/>
      <c r="C9378"/>
      <c r="D9378"/>
      <c r="G9378"/>
    </row>
    <row r="9379" spans="2:7">
      <c r="B9379"/>
      <c r="C9379"/>
      <c r="D9379"/>
      <c r="G9379"/>
    </row>
    <row r="9380" spans="2:7">
      <c r="B9380"/>
      <c r="C9380"/>
      <c r="D9380"/>
      <c r="G9380"/>
    </row>
    <row r="9381" spans="2:7">
      <c r="B9381"/>
      <c r="C9381"/>
      <c r="D9381"/>
      <c r="G9381"/>
    </row>
    <row r="9382" spans="2:7">
      <c r="B9382"/>
      <c r="C9382"/>
      <c r="D9382"/>
      <c r="G9382"/>
    </row>
    <row r="9383" spans="2:7">
      <c r="B9383"/>
      <c r="C9383"/>
      <c r="D9383"/>
      <c r="G9383"/>
    </row>
    <row r="9384" spans="2:7">
      <c r="B9384"/>
      <c r="C9384"/>
      <c r="D9384"/>
      <c r="G9384"/>
    </row>
    <row r="9385" spans="2:7">
      <c r="B9385"/>
      <c r="C9385"/>
      <c r="D9385"/>
      <c r="G9385"/>
    </row>
    <row r="9386" spans="2:7">
      <c r="B9386"/>
      <c r="C9386"/>
      <c r="D9386"/>
      <c r="G9386"/>
    </row>
    <row r="9387" spans="2:7">
      <c r="B9387"/>
      <c r="C9387"/>
      <c r="D9387"/>
      <c r="G9387"/>
    </row>
    <row r="9388" spans="2:7">
      <c r="B9388"/>
      <c r="C9388"/>
      <c r="D9388"/>
      <c r="G9388"/>
    </row>
    <row r="9389" spans="2:7">
      <c r="B9389"/>
      <c r="C9389"/>
      <c r="D9389"/>
      <c r="G9389"/>
    </row>
    <row r="9390" spans="2:7">
      <c r="B9390"/>
      <c r="C9390"/>
      <c r="D9390"/>
      <c r="G9390"/>
    </row>
    <row r="9391" spans="2:7">
      <c r="B9391"/>
      <c r="C9391"/>
      <c r="D9391"/>
      <c r="G9391"/>
    </row>
    <row r="9392" spans="2:7">
      <c r="B9392"/>
      <c r="C9392"/>
      <c r="D9392"/>
      <c r="G9392"/>
    </row>
    <row r="9393" spans="2:7">
      <c r="B9393"/>
      <c r="C9393"/>
      <c r="D9393"/>
      <c r="G9393"/>
    </row>
    <row r="9394" spans="2:7">
      <c r="B9394"/>
      <c r="C9394"/>
      <c r="D9394"/>
      <c r="G9394"/>
    </row>
    <row r="9395" spans="2:7">
      <c r="B9395"/>
      <c r="C9395"/>
      <c r="D9395"/>
      <c r="G9395"/>
    </row>
    <row r="9396" spans="2:7">
      <c r="B9396"/>
      <c r="C9396"/>
      <c r="D9396"/>
      <c r="G9396"/>
    </row>
    <row r="9397" spans="2:7">
      <c r="B9397"/>
      <c r="C9397"/>
      <c r="D9397"/>
      <c r="G9397"/>
    </row>
    <row r="9398" spans="2:7">
      <c r="B9398"/>
      <c r="C9398"/>
      <c r="D9398"/>
      <c r="G9398"/>
    </row>
    <row r="9399" spans="2:7">
      <c r="B9399"/>
      <c r="C9399"/>
      <c r="D9399"/>
      <c r="G9399"/>
    </row>
    <row r="9400" spans="2:7">
      <c r="B9400"/>
      <c r="C9400"/>
      <c r="D9400"/>
      <c r="G9400"/>
    </row>
    <row r="9401" spans="2:7">
      <c r="B9401"/>
      <c r="C9401"/>
      <c r="D9401"/>
      <c r="G9401"/>
    </row>
    <row r="9402" spans="2:7">
      <c r="B9402"/>
      <c r="C9402"/>
      <c r="D9402"/>
      <c r="G9402"/>
    </row>
    <row r="9403" spans="2:7">
      <c r="B9403"/>
      <c r="C9403"/>
      <c r="D9403"/>
      <c r="G9403"/>
    </row>
    <row r="9404" spans="2:7">
      <c r="B9404"/>
      <c r="C9404"/>
      <c r="D9404"/>
      <c r="G9404"/>
    </row>
    <row r="9405" spans="2:7">
      <c r="B9405"/>
      <c r="C9405"/>
      <c r="D9405"/>
      <c r="G9405"/>
    </row>
    <row r="9406" spans="2:7">
      <c r="B9406"/>
      <c r="C9406"/>
      <c r="D9406"/>
      <c r="G9406"/>
    </row>
    <row r="9407" spans="2:7">
      <c r="B9407"/>
      <c r="C9407"/>
      <c r="D9407"/>
      <c r="G9407"/>
    </row>
    <row r="9408" spans="2:7">
      <c r="B9408"/>
      <c r="C9408"/>
      <c r="D9408"/>
      <c r="G9408"/>
    </row>
    <row r="9409" spans="2:7">
      <c r="B9409"/>
      <c r="C9409"/>
      <c r="D9409"/>
      <c r="G9409"/>
    </row>
    <row r="9410" spans="2:7">
      <c r="B9410"/>
      <c r="C9410"/>
      <c r="D9410"/>
      <c r="G9410"/>
    </row>
    <row r="9411" spans="2:7">
      <c r="B9411"/>
      <c r="C9411"/>
      <c r="D9411"/>
      <c r="G9411"/>
    </row>
    <row r="9412" spans="2:7">
      <c r="B9412"/>
      <c r="C9412"/>
      <c r="D9412"/>
      <c r="G9412"/>
    </row>
    <row r="9413" spans="2:7">
      <c r="B9413"/>
      <c r="C9413"/>
      <c r="D9413"/>
      <c r="G9413"/>
    </row>
    <row r="9414" spans="2:7">
      <c r="B9414"/>
      <c r="C9414"/>
      <c r="D9414"/>
      <c r="G9414"/>
    </row>
    <row r="9415" spans="2:7">
      <c r="B9415"/>
      <c r="C9415"/>
      <c r="D9415"/>
      <c r="G9415"/>
    </row>
    <row r="9416" spans="2:7">
      <c r="B9416"/>
      <c r="C9416"/>
      <c r="D9416"/>
      <c r="G9416"/>
    </row>
    <row r="9417" spans="2:7">
      <c r="B9417"/>
      <c r="C9417"/>
      <c r="D9417"/>
      <c r="G9417"/>
    </row>
    <row r="9418" spans="2:7">
      <c r="B9418"/>
      <c r="C9418"/>
      <c r="D9418"/>
      <c r="G9418"/>
    </row>
    <row r="9419" spans="2:7">
      <c r="B9419"/>
      <c r="C9419"/>
      <c r="D9419"/>
      <c r="G9419"/>
    </row>
    <row r="9420" spans="2:7">
      <c r="B9420"/>
      <c r="C9420"/>
      <c r="D9420"/>
      <c r="G9420"/>
    </row>
    <row r="9421" spans="2:7">
      <c r="B9421"/>
      <c r="C9421"/>
      <c r="D9421"/>
      <c r="G9421"/>
    </row>
    <row r="9422" spans="2:7">
      <c r="B9422"/>
      <c r="C9422"/>
      <c r="D9422"/>
      <c r="G9422"/>
    </row>
    <row r="9423" spans="2:7">
      <c r="B9423"/>
      <c r="C9423"/>
      <c r="D9423"/>
      <c r="G9423"/>
    </row>
    <row r="9424" spans="2:7">
      <c r="B9424"/>
      <c r="C9424"/>
      <c r="D9424"/>
      <c r="G9424"/>
    </row>
    <row r="9425" spans="2:7">
      <c r="B9425"/>
      <c r="C9425"/>
      <c r="D9425"/>
      <c r="G9425"/>
    </row>
    <row r="9426" spans="2:7">
      <c r="B9426"/>
      <c r="C9426"/>
      <c r="D9426"/>
      <c r="G9426"/>
    </row>
    <row r="9427" spans="2:7">
      <c r="B9427"/>
      <c r="C9427"/>
      <c r="D9427"/>
      <c r="G9427"/>
    </row>
    <row r="9428" spans="2:7">
      <c r="B9428"/>
      <c r="C9428"/>
      <c r="D9428"/>
      <c r="G9428"/>
    </row>
    <row r="9429" spans="2:7">
      <c r="B9429"/>
      <c r="C9429"/>
      <c r="D9429"/>
      <c r="G9429"/>
    </row>
    <row r="9430" spans="2:7">
      <c r="B9430"/>
      <c r="C9430"/>
      <c r="D9430"/>
      <c r="G9430"/>
    </row>
    <row r="9431" spans="2:7">
      <c r="B9431"/>
      <c r="C9431"/>
      <c r="D9431"/>
      <c r="G9431"/>
    </row>
    <row r="9432" spans="2:7">
      <c r="B9432"/>
      <c r="C9432"/>
      <c r="D9432"/>
      <c r="G9432"/>
    </row>
    <row r="9433" spans="2:7">
      <c r="B9433"/>
      <c r="C9433"/>
      <c r="D9433"/>
      <c r="G9433"/>
    </row>
    <row r="9434" spans="2:7">
      <c r="B9434"/>
      <c r="C9434"/>
      <c r="D9434"/>
      <c r="G9434"/>
    </row>
    <row r="9435" spans="2:7">
      <c r="B9435"/>
      <c r="C9435"/>
      <c r="D9435"/>
      <c r="G9435"/>
    </row>
    <row r="9436" spans="2:7">
      <c r="B9436"/>
      <c r="C9436"/>
      <c r="D9436"/>
      <c r="G9436"/>
    </row>
    <row r="9437" spans="2:7">
      <c r="B9437"/>
      <c r="C9437"/>
      <c r="D9437"/>
      <c r="G9437"/>
    </row>
    <row r="9438" spans="2:7">
      <c r="B9438"/>
      <c r="C9438"/>
      <c r="D9438"/>
      <c r="G9438"/>
    </row>
    <row r="9439" spans="2:7">
      <c r="B9439"/>
      <c r="C9439"/>
      <c r="D9439"/>
      <c r="G9439"/>
    </row>
    <row r="9440" spans="2:7">
      <c r="B9440"/>
      <c r="C9440"/>
      <c r="D9440"/>
      <c r="G9440"/>
    </row>
    <row r="9441" spans="2:7">
      <c r="B9441"/>
      <c r="C9441"/>
      <c r="D9441"/>
      <c r="G9441"/>
    </row>
    <row r="9442" spans="2:7">
      <c r="B9442"/>
      <c r="C9442"/>
      <c r="D9442"/>
      <c r="G9442"/>
    </row>
    <row r="9443" spans="2:7">
      <c r="B9443"/>
      <c r="C9443"/>
      <c r="D9443"/>
      <c r="G9443"/>
    </row>
    <row r="9444" spans="2:7">
      <c r="B9444"/>
      <c r="C9444"/>
      <c r="D9444"/>
      <c r="G9444"/>
    </row>
    <row r="9445" spans="2:7">
      <c r="B9445"/>
      <c r="C9445"/>
      <c r="D9445"/>
      <c r="G9445"/>
    </row>
    <row r="9446" spans="2:7">
      <c r="B9446"/>
      <c r="C9446"/>
      <c r="D9446"/>
      <c r="G9446"/>
    </row>
    <row r="9447" spans="2:7">
      <c r="B9447"/>
      <c r="C9447"/>
      <c r="D9447"/>
      <c r="G9447"/>
    </row>
    <row r="9448" spans="2:7">
      <c r="B9448"/>
      <c r="C9448"/>
      <c r="D9448"/>
      <c r="G9448"/>
    </row>
    <row r="9449" spans="2:7">
      <c r="B9449"/>
      <c r="C9449"/>
      <c r="D9449"/>
      <c r="G9449"/>
    </row>
    <row r="9450" spans="2:7">
      <c r="B9450"/>
      <c r="C9450"/>
      <c r="D9450"/>
      <c r="G9450"/>
    </row>
    <row r="9451" spans="2:7">
      <c r="B9451"/>
      <c r="C9451"/>
      <c r="D9451"/>
      <c r="G9451"/>
    </row>
    <row r="9452" spans="2:7">
      <c r="B9452"/>
      <c r="C9452"/>
      <c r="D9452"/>
      <c r="G9452"/>
    </row>
    <row r="9453" spans="2:7">
      <c r="B9453"/>
      <c r="C9453"/>
      <c r="D9453"/>
      <c r="G9453"/>
    </row>
    <row r="9454" spans="2:7">
      <c r="B9454"/>
      <c r="C9454"/>
      <c r="D9454"/>
      <c r="G9454"/>
    </row>
    <row r="9455" spans="2:7">
      <c r="B9455"/>
      <c r="C9455"/>
      <c r="D9455"/>
      <c r="G9455"/>
    </row>
    <row r="9456" spans="2:7">
      <c r="B9456"/>
      <c r="C9456"/>
      <c r="D9456"/>
      <c r="G9456"/>
    </row>
    <row r="9457" spans="2:7">
      <c r="B9457"/>
      <c r="C9457"/>
      <c r="D9457"/>
      <c r="G9457"/>
    </row>
    <row r="9458" spans="2:7">
      <c r="B9458"/>
      <c r="C9458"/>
      <c r="D9458"/>
      <c r="G9458"/>
    </row>
    <row r="9459" spans="2:7">
      <c r="B9459"/>
      <c r="C9459"/>
      <c r="D9459"/>
      <c r="G9459"/>
    </row>
    <row r="9460" spans="2:7">
      <c r="B9460"/>
      <c r="C9460"/>
      <c r="D9460"/>
      <c r="G9460"/>
    </row>
    <row r="9461" spans="2:7">
      <c r="B9461"/>
      <c r="C9461"/>
      <c r="D9461"/>
      <c r="G9461"/>
    </row>
    <row r="9462" spans="2:7">
      <c r="B9462"/>
      <c r="C9462"/>
      <c r="D9462"/>
      <c r="G9462"/>
    </row>
    <row r="9463" spans="2:7">
      <c r="B9463"/>
      <c r="C9463"/>
      <c r="D9463"/>
      <c r="G9463"/>
    </row>
    <row r="9464" spans="2:7">
      <c r="B9464"/>
      <c r="C9464"/>
      <c r="D9464"/>
      <c r="G9464"/>
    </row>
    <row r="9465" spans="2:7">
      <c r="B9465"/>
      <c r="C9465"/>
      <c r="D9465"/>
      <c r="G9465"/>
    </row>
    <row r="9466" spans="2:7">
      <c r="B9466"/>
      <c r="C9466"/>
      <c r="D9466"/>
      <c r="G9466"/>
    </row>
    <row r="9467" spans="2:7">
      <c r="B9467"/>
      <c r="C9467"/>
      <c r="D9467"/>
      <c r="G9467"/>
    </row>
    <row r="9468" spans="2:7">
      <c r="B9468"/>
      <c r="C9468"/>
      <c r="D9468"/>
      <c r="G9468"/>
    </row>
    <row r="9469" spans="2:7">
      <c r="B9469"/>
      <c r="C9469"/>
      <c r="D9469"/>
      <c r="G9469"/>
    </row>
    <row r="9470" spans="2:7">
      <c r="B9470"/>
      <c r="C9470"/>
      <c r="D9470"/>
      <c r="G9470"/>
    </row>
    <row r="9471" spans="2:7">
      <c r="B9471"/>
      <c r="C9471"/>
      <c r="D9471"/>
      <c r="G9471"/>
    </row>
    <row r="9472" spans="2:7">
      <c r="B9472"/>
      <c r="C9472"/>
      <c r="D9472"/>
      <c r="G9472"/>
    </row>
    <row r="9473" spans="2:7">
      <c r="B9473"/>
      <c r="C9473"/>
      <c r="D9473"/>
      <c r="G9473"/>
    </row>
    <row r="9474" spans="2:7">
      <c r="B9474"/>
      <c r="C9474"/>
      <c r="D9474"/>
      <c r="G9474"/>
    </row>
    <row r="9475" spans="2:7">
      <c r="B9475"/>
      <c r="C9475"/>
      <c r="D9475"/>
      <c r="G9475"/>
    </row>
    <row r="9476" spans="2:7">
      <c r="B9476"/>
      <c r="C9476"/>
      <c r="D9476"/>
      <c r="G9476"/>
    </row>
    <row r="9477" spans="2:7">
      <c r="B9477"/>
      <c r="C9477"/>
      <c r="D9477"/>
      <c r="G9477"/>
    </row>
    <row r="9478" spans="2:7">
      <c r="B9478"/>
      <c r="C9478"/>
      <c r="D9478"/>
      <c r="G9478"/>
    </row>
    <row r="9479" spans="2:7">
      <c r="B9479"/>
      <c r="C9479"/>
      <c r="D9479"/>
      <c r="G9479"/>
    </row>
    <row r="9480" spans="2:7">
      <c r="B9480"/>
      <c r="C9480"/>
      <c r="D9480"/>
      <c r="G9480"/>
    </row>
    <row r="9481" spans="2:7">
      <c r="B9481"/>
      <c r="C9481"/>
      <c r="D9481"/>
      <c r="G9481"/>
    </row>
    <row r="9482" spans="2:7">
      <c r="B9482"/>
      <c r="C9482"/>
      <c r="D9482"/>
      <c r="G9482"/>
    </row>
    <row r="9483" spans="2:7">
      <c r="B9483"/>
      <c r="C9483"/>
      <c r="D9483"/>
      <c r="G9483"/>
    </row>
    <row r="9484" spans="2:7">
      <c r="B9484"/>
      <c r="C9484"/>
      <c r="D9484"/>
      <c r="G9484"/>
    </row>
    <row r="9485" spans="2:7">
      <c r="B9485"/>
      <c r="C9485"/>
      <c r="D9485"/>
      <c r="G9485"/>
    </row>
    <row r="9486" spans="2:7">
      <c r="B9486"/>
      <c r="C9486"/>
      <c r="D9486"/>
      <c r="G9486"/>
    </row>
    <row r="9487" spans="2:7">
      <c r="B9487"/>
      <c r="C9487"/>
      <c r="D9487"/>
      <c r="G9487"/>
    </row>
    <row r="9488" spans="2:7">
      <c r="B9488"/>
      <c r="C9488"/>
      <c r="D9488"/>
      <c r="G9488"/>
    </row>
    <row r="9489" spans="2:7">
      <c r="B9489"/>
      <c r="C9489"/>
      <c r="D9489"/>
      <c r="G9489"/>
    </row>
    <row r="9490" spans="2:7">
      <c r="B9490"/>
      <c r="C9490"/>
      <c r="D9490"/>
      <c r="G9490"/>
    </row>
    <row r="9491" spans="2:7">
      <c r="B9491"/>
      <c r="C9491"/>
      <c r="D9491"/>
      <c r="G9491"/>
    </row>
    <row r="9492" spans="2:7">
      <c r="B9492"/>
      <c r="C9492"/>
      <c r="D9492"/>
      <c r="G9492"/>
    </row>
    <row r="9493" spans="2:7">
      <c r="B9493"/>
      <c r="C9493"/>
      <c r="D9493"/>
      <c r="G9493"/>
    </row>
    <row r="9494" spans="2:7">
      <c r="B9494"/>
      <c r="C9494"/>
      <c r="D9494"/>
      <c r="G9494"/>
    </row>
    <row r="9495" spans="2:7">
      <c r="B9495"/>
      <c r="C9495"/>
      <c r="D9495"/>
      <c r="G9495"/>
    </row>
    <row r="9496" spans="2:7">
      <c r="B9496"/>
      <c r="C9496"/>
      <c r="D9496"/>
      <c r="G9496"/>
    </row>
    <row r="9497" spans="2:7">
      <c r="B9497"/>
      <c r="C9497"/>
      <c r="D9497"/>
      <c r="G9497"/>
    </row>
    <row r="9498" spans="2:7">
      <c r="B9498"/>
      <c r="C9498"/>
      <c r="D9498"/>
      <c r="G9498"/>
    </row>
    <row r="9499" spans="2:7">
      <c r="B9499"/>
      <c r="C9499"/>
      <c r="D9499"/>
      <c r="G9499"/>
    </row>
    <row r="9500" spans="2:7">
      <c r="B9500"/>
      <c r="C9500"/>
      <c r="D9500"/>
      <c r="G9500"/>
    </row>
    <row r="9501" spans="2:7">
      <c r="B9501"/>
      <c r="C9501"/>
      <c r="D9501"/>
      <c r="G9501"/>
    </row>
    <row r="9502" spans="2:7">
      <c r="B9502"/>
      <c r="C9502"/>
      <c r="D9502"/>
      <c r="G9502"/>
    </row>
    <row r="9503" spans="2:7">
      <c r="B9503"/>
      <c r="C9503"/>
      <c r="D9503"/>
      <c r="G9503"/>
    </row>
    <row r="9504" spans="2:7">
      <c r="B9504"/>
      <c r="C9504"/>
      <c r="D9504"/>
      <c r="G9504"/>
    </row>
    <row r="9505" spans="2:7">
      <c r="B9505"/>
      <c r="C9505"/>
      <c r="D9505"/>
      <c r="G9505"/>
    </row>
    <row r="9506" spans="2:7">
      <c r="B9506"/>
      <c r="C9506"/>
      <c r="D9506"/>
      <c r="G9506"/>
    </row>
    <row r="9507" spans="2:7">
      <c r="B9507"/>
      <c r="C9507"/>
      <c r="D9507"/>
      <c r="G9507"/>
    </row>
    <row r="9508" spans="2:7">
      <c r="B9508"/>
      <c r="C9508"/>
      <c r="D9508"/>
      <c r="G9508"/>
    </row>
    <row r="9509" spans="2:7">
      <c r="B9509"/>
      <c r="C9509"/>
      <c r="D9509"/>
      <c r="G9509"/>
    </row>
    <row r="9510" spans="2:7">
      <c r="B9510"/>
      <c r="C9510"/>
      <c r="D9510"/>
      <c r="G9510"/>
    </row>
    <row r="9511" spans="2:7">
      <c r="B9511"/>
      <c r="C9511"/>
      <c r="D9511"/>
      <c r="G9511"/>
    </row>
    <row r="9512" spans="2:7">
      <c r="B9512"/>
      <c r="C9512"/>
      <c r="D9512"/>
      <c r="G9512"/>
    </row>
    <row r="9513" spans="2:7">
      <c r="B9513"/>
      <c r="C9513"/>
      <c r="D9513"/>
      <c r="G9513"/>
    </row>
    <row r="9514" spans="2:7">
      <c r="B9514"/>
      <c r="C9514"/>
      <c r="D9514"/>
      <c r="G9514"/>
    </row>
    <row r="9515" spans="2:7">
      <c r="B9515"/>
      <c r="C9515"/>
      <c r="D9515"/>
      <c r="G9515"/>
    </row>
    <row r="9516" spans="2:7">
      <c r="B9516"/>
      <c r="C9516"/>
      <c r="D9516"/>
      <c r="G9516"/>
    </row>
    <row r="9517" spans="2:7">
      <c r="B9517"/>
      <c r="C9517"/>
      <c r="D9517"/>
      <c r="G9517"/>
    </row>
    <row r="9518" spans="2:7">
      <c r="B9518"/>
      <c r="C9518"/>
      <c r="D9518"/>
      <c r="G9518"/>
    </row>
    <row r="9519" spans="2:7">
      <c r="B9519"/>
      <c r="C9519"/>
      <c r="D9519"/>
      <c r="G9519"/>
    </row>
    <row r="9520" spans="2:7">
      <c r="B9520"/>
      <c r="C9520"/>
      <c r="D9520"/>
      <c r="G9520"/>
    </row>
    <row r="9521" spans="2:7">
      <c r="B9521"/>
      <c r="C9521"/>
      <c r="D9521"/>
      <c r="G9521"/>
    </row>
    <row r="9522" spans="2:7">
      <c r="B9522"/>
      <c r="C9522"/>
      <c r="D9522"/>
      <c r="G9522"/>
    </row>
    <row r="9523" spans="2:7">
      <c r="B9523"/>
      <c r="C9523"/>
      <c r="D9523"/>
      <c r="G9523"/>
    </row>
    <row r="9524" spans="2:7">
      <c r="B9524"/>
      <c r="C9524"/>
      <c r="D9524"/>
      <c r="G9524"/>
    </row>
    <row r="9525" spans="2:7">
      <c r="B9525"/>
      <c r="C9525"/>
      <c r="D9525"/>
      <c r="G9525"/>
    </row>
    <row r="9526" spans="2:7">
      <c r="B9526"/>
      <c r="C9526"/>
      <c r="D9526"/>
      <c r="G9526"/>
    </row>
    <row r="9527" spans="2:7">
      <c r="B9527"/>
      <c r="C9527"/>
      <c r="D9527"/>
      <c r="G9527"/>
    </row>
    <row r="9528" spans="2:7">
      <c r="B9528"/>
      <c r="C9528"/>
      <c r="D9528"/>
      <c r="G9528"/>
    </row>
    <row r="9529" spans="2:7">
      <c r="B9529"/>
      <c r="C9529"/>
      <c r="D9529"/>
      <c r="G9529"/>
    </row>
    <row r="9530" spans="2:7">
      <c r="B9530"/>
      <c r="C9530"/>
      <c r="D9530"/>
      <c r="G9530"/>
    </row>
    <row r="9531" spans="2:7">
      <c r="B9531"/>
      <c r="C9531"/>
      <c r="D9531"/>
      <c r="G9531"/>
    </row>
    <row r="9532" spans="2:7">
      <c r="B9532"/>
      <c r="C9532"/>
      <c r="D9532"/>
      <c r="G9532"/>
    </row>
    <row r="9533" spans="2:7">
      <c r="B9533"/>
      <c r="C9533"/>
      <c r="D9533"/>
      <c r="G9533"/>
    </row>
    <row r="9534" spans="2:7">
      <c r="B9534"/>
      <c r="C9534"/>
      <c r="D9534"/>
      <c r="G9534"/>
    </row>
    <row r="9535" spans="2:7">
      <c r="B9535"/>
      <c r="C9535"/>
      <c r="D9535"/>
      <c r="G9535"/>
    </row>
    <row r="9536" spans="2:7">
      <c r="B9536"/>
      <c r="C9536"/>
      <c r="D9536"/>
      <c r="G9536"/>
    </row>
    <row r="9537" spans="2:7">
      <c r="B9537"/>
      <c r="C9537"/>
      <c r="D9537"/>
      <c r="G9537"/>
    </row>
    <row r="9538" spans="2:7">
      <c r="B9538"/>
      <c r="C9538"/>
      <c r="D9538"/>
      <c r="G9538"/>
    </row>
    <row r="9539" spans="2:7">
      <c r="B9539"/>
      <c r="C9539"/>
      <c r="D9539"/>
      <c r="G9539"/>
    </row>
    <row r="9540" spans="2:7">
      <c r="B9540"/>
      <c r="C9540"/>
      <c r="D9540"/>
      <c r="G9540"/>
    </row>
    <row r="9541" spans="2:7">
      <c r="B9541"/>
      <c r="C9541"/>
      <c r="D9541"/>
      <c r="G9541"/>
    </row>
    <row r="9542" spans="2:7">
      <c r="B9542"/>
      <c r="C9542"/>
      <c r="D9542"/>
      <c r="G9542"/>
    </row>
    <row r="9543" spans="2:7">
      <c r="B9543"/>
      <c r="C9543"/>
      <c r="D9543"/>
      <c r="G9543"/>
    </row>
    <row r="9544" spans="2:7">
      <c r="B9544"/>
      <c r="C9544"/>
      <c r="D9544"/>
      <c r="G9544"/>
    </row>
    <row r="9545" spans="2:7">
      <c r="B9545"/>
      <c r="C9545"/>
      <c r="D9545"/>
      <c r="G9545"/>
    </row>
    <row r="9546" spans="2:7">
      <c r="B9546"/>
      <c r="C9546"/>
      <c r="D9546"/>
      <c r="G9546"/>
    </row>
    <row r="9547" spans="2:7">
      <c r="B9547"/>
      <c r="C9547"/>
      <c r="D9547"/>
      <c r="G9547"/>
    </row>
    <row r="9548" spans="2:7">
      <c r="B9548"/>
      <c r="C9548"/>
      <c r="D9548"/>
      <c r="G9548"/>
    </row>
    <row r="9549" spans="2:7">
      <c r="B9549"/>
      <c r="C9549"/>
      <c r="D9549"/>
      <c r="G9549"/>
    </row>
    <row r="9550" spans="2:7">
      <c r="B9550"/>
      <c r="C9550"/>
      <c r="D9550"/>
      <c r="G9550"/>
    </row>
    <row r="9551" spans="2:7">
      <c r="B9551"/>
      <c r="C9551"/>
      <c r="D9551"/>
      <c r="G9551"/>
    </row>
    <row r="9552" spans="2:7">
      <c r="B9552"/>
      <c r="C9552"/>
      <c r="D9552"/>
      <c r="G9552"/>
    </row>
    <row r="9553" spans="2:7">
      <c r="B9553"/>
      <c r="C9553"/>
      <c r="D9553"/>
      <c r="G9553"/>
    </row>
    <row r="9554" spans="2:7">
      <c r="B9554"/>
      <c r="C9554"/>
      <c r="D9554"/>
      <c r="G9554"/>
    </row>
    <row r="9555" spans="2:7">
      <c r="B9555"/>
      <c r="C9555"/>
      <c r="D9555"/>
      <c r="G9555"/>
    </row>
    <row r="9556" spans="2:7">
      <c r="B9556"/>
      <c r="C9556"/>
      <c r="D9556"/>
      <c r="G9556"/>
    </row>
    <row r="9557" spans="2:7">
      <c r="B9557"/>
      <c r="C9557"/>
      <c r="D9557"/>
      <c r="G9557"/>
    </row>
    <row r="9558" spans="2:7">
      <c r="B9558"/>
      <c r="C9558"/>
      <c r="D9558"/>
      <c r="G9558"/>
    </row>
    <row r="9559" spans="2:7">
      <c r="B9559"/>
      <c r="C9559"/>
      <c r="D9559"/>
      <c r="G9559"/>
    </row>
    <row r="9560" spans="2:7">
      <c r="B9560"/>
      <c r="C9560"/>
      <c r="D9560"/>
      <c r="G9560"/>
    </row>
    <row r="9561" spans="2:7">
      <c r="B9561"/>
      <c r="C9561"/>
      <c r="D9561"/>
      <c r="G9561"/>
    </row>
    <row r="9562" spans="2:7">
      <c r="B9562"/>
      <c r="C9562"/>
      <c r="D9562"/>
      <c r="G9562"/>
    </row>
    <row r="9563" spans="2:7">
      <c r="B9563"/>
      <c r="C9563"/>
      <c r="D9563"/>
      <c r="G9563"/>
    </row>
    <row r="9564" spans="2:7">
      <c r="B9564"/>
      <c r="C9564"/>
      <c r="D9564"/>
      <c r="G9564"/>
    </row>
    <row r="9565" spans="2:7">
      <c r="B9565"/>
      <c r="C9565"/>
      <c r="D9565"/>
      <c r="G9565"/>
    </row>
    <row r="9566" spans="2:7">
      <c r="B9566"/>
      <c r="C9566"/>
      <c r="D9566"/>
      <c r="G9566"/>
    </row>
    <row r="9567" spans="2:7">
      <c r="B9567"/>
      <c r="C9567"/>
      <c r="D9567"/>
      <c r="G9567"/>
    </row>
    <row r="9568" spans="2:7">
      <c r="B9568"/>
      <c r="C9568"/>
      <c r="D9568"/>
      <c r="G9568"/>
    </row>
    <row r="9569" spans="2:7">
      <c r="B9569"/>
      <c r="C9569"/>
      <c r="D9569"/>
      <c r="G9569"/>
    </row>
    <row r="9570" spans="2:7">
      <c r="B9570"/>
      <c r="C9570"/>
      <c r="D9570"/>
      <c r="G9570"/>
    </row>
    <row r="9571" spans="2:7">
      <c r="B9571"/>
      <c r="C9571"/>
      <c r="D9571"/>
      <c r="G9571"/>
    </row>
    <row r="9572" spans="2:7">
      <c r="B9572"/>
      <c r="C9572"/>
      <c r="D9572"/>
      <c r="G9572"/>
    </row>
    <row r="9573" spans="2:7">
      <c r="B9573"/>
      <c r="C9573"/>
      <c r="D9573"/>
      <c r="G9573"/>
    </row>
    <row r="9574" spans="2:7">
      <c r="B9574"/>
      <c r="C9574"/>
      <c r="D9574"/>
      <c r="G9574"/>
    </row>
    <row r="9575" spans="2:7">
      <c r="B9575"/>
      <c r="C9575"/>
      <c r="D9575"/>
      <c r="G9575"/>
    </row>
    <row r="9576" spans="2:7">
      <c r="B9576"/>
      <c r="C9576"/>
      <c r="D9576"/>
      <c r="G9576"/>
    </row>
    <row r="9577" spans="2:7">
      <c r="B9577"/>
      <c r="C9577"/>
      <c r="D9577"/>
      <c r="G9577"/>
    </row>
    <row r="9578" spans="2:7">
      <c r="B9578"/>
      <c r="C9578"/>
      <c r="D9578"/>
      <c r="G9578"/>
    </row>
    <row r="9579" spans="2:7">
      <c r="B9579"/>
      <c r="C9579"/>
      <c r="D9579"/>
      <c r="G9579"/>
    </row>
    <row r="9580" spans="2:7">
      <c r="B9580"/>
      <c r="C9580"/>
      <c r="D9580"/>
      <c r="G9580"/>
    </row>
    <row r="9581" spans="2:7">
      <c r="B9581"/>
      <c r="C9581"/>
      <c r="D9581"/>
      <c r="G9581"/>
    </row>
    <row r="9582" spans="2:7">
      <c r="B9582"/>
      <c r="C9582"/>
      <c r="D9582"/>
      <c r="G9582"/>
    </row>
    <row r="9583" spans="2:7">
      <c r="B9583"/>
      <c r="C9583"/>
      <c r="D9583"/>
      <c r="G9583"/>
    </row>
    <row r="9584" spans="2:7">
      <c r="B9584"/>
      <c r="C9584"/>
      <c r="D9584"/>
      <c r="G9584"/>
    </row>
    <row r="9585" spans="2:7">
      <c r="B9585"/>
      <c r="C9585"/>
      <c r="D9585"/>
      <c r="G9585"/>
    </row>
    <row r="9586" spans="2:7">
      <c r="B9586"/>
      <c r="C9586"/>
      <c r="D9586"/>
      <c r="G9586"/>
    </row>
    <row r="9587" spans="2:7">
      <c r="B9587"/>
      <c r="C9587"/>
      <c r="D9587"/>
      <c r="G9587"/>
    </row>
    <row r="9588" spans="2:7">
      <c r="B9588"/>
      <c r="C9588"/>
      <c r="D9588"/>
      <c r="G9588"/>
    </row>
    <row r="9589" spans="2:7">
      <c r="B9589"/>
      <c r="C9589"/>
      <c r="D9589"/>
      <c r="G9589"/>
    </row>
    <row r="9590" spans="2:7">
      <c r="B9590"/>
      <c r="C9590"/>
      <c r="D9590"/>
      <c r="G9590"/>
    </row>
    <row r="9591" spans="2:7">
      <c r="B9591"/>
      <c r="C9591"/>
      <c r="D9591"/>
      <c r="G9591"/>
    </row>
    <row r="9592" spans="2:7">
      <c r="B9592"/>
      <c r="C9592"/>
      <c r="D9592"/>
      <c r="G9592"/>
    </row>
    <row r="9593" spans="2:7">
      <c r="B9593"/>
      <c r="C9593"/>
      <c r="D9593"/>
      <c r="G9593"/>
    </row>
    <row r="9594" spans="2:7">
      <c r="B9594"/>
      <c r="C9594"/>
      <c r="D9594"/>
      <c r="G9594"/>
    </row>
    <row r="9595" spans="2:7">
      <c r="B9595"/>
      <c r="C9595"/>
      <c r="D9595"/>
      <c r="G9595"/>
    </row>
    <row r="9596" spans="2:7">
      <c r="B9596"/>
      <c r="C9596"/>
      <c r="D9596"/>
      <c r="G9596"/>
    </row>
    <row r="9597" spans="2:7">
      <c r="B9597"/>
      <c r="C9597"/>
      <c r="D9597"/>
      <c r="G9597"/>
    </row>
    <row r="9598" spans="2:7">
      <c r="B9598"/>
      <c r="C9598"/>
      <c r="D9598"/>
      <c r="G9598"/>
    </row>
    <row r="9599" spans="2:7">
      <c r="B9599"/>
      <c r="C9599"/>
      <c r="D9599"/>
      <c r="G9599"/>
    </row>
    <row r="9600" spans="2:7">
      <c r="B9600"/>
      <c r="C9600"/>
      <c r="D9600"/>
      <c r="G9600"/>
    </row>
    <row r="9601" spans="2:7">
      <c r="B9601"/>
      <c r="C9601"/>
      <c r="D9601"/>
      <c r="G9601"/>
    </row>
    <row r="9602" spans="2:7">
      <c r="B9602"/>
      <c r="C9602"/>
      <c r="D9602"/>
      <c r="G9602"/>
    </row>
    <row r="9603" spans="2:7">
      <c r="B9603"/>
      <c r="C9603"/>
      <c r="D9603"/>
      <c r="G9603"/>
    </row>
    <row r="9604" spans="2:7">
      <c r="B9604"/>
      <c r="C9604"/>
      <c r="D9604"/>
      <c r="G9604"/>
    </row>
    <row r="9605" spans="2:7">
      <c r="B9605"/>
      <c r="C9605"/>
      <c r="D9605"/>
      <c r="G9605"/>
    </row>
    <row r="9606" spans="2:7">
      <c r="B9606"/>
      <c r="C9606"/>
      <c r="D9606"/>
      <c r="G9606"/>
    </row>
    <row r="9607" spans="2:7">
      <c r="B9607"/>
      <c r="C9607"/>
      <c r="D9607"/>
      <c r="G9607"/>
    </row>
    <row r="9608" spans="2:7">
      <c r="B9608"/>
      <c r="C9608"/>
      <c r="D9608"/>
      <c r="G9608"/>
    </row>
    <row r="9609" spans="2:7">
      <c r="B9609"/>
      <c r="C9609"/>
      <c r="D9609"/>
      <c r="G9609"/>
    </row>
    <row r="9610" spans="2:7">
      <c r="B9610"/>
      <c r="C9610"/>
      <c r="D9610"/>
      <c r="G9610"/>
    </row>
    <row r="9611" spans="2:7">
      <c r="B9611"/>
      <c r="C9611"/>
      <c r="D9611"/>
      <c r="G9611"/>
    </row>
    <row r="9612" spans="2:7">
      <c r="B9612"/>
      <c r="C9612"/>
      <c r="D9612"/>
      <c r="G9612"/>
    </row>
    <row r="9613" spans="2:7">
      <c r="B9613"/>
      <c r="C9613"/>
      <c r="D9613"/>
      <c r="G9613"/>
    </row>
    <row r="9614" spans="2:7">
      <c r="B9614"/>
      <c r="C9614"/>
      <c r="D9614"/>
      <c r="G9614"/>
    </row>
    <row r="9615" spans="2:7">
      <c r="B9615"/>
      <c r="C9615"/>
      <c r="D9615"/>
      <c r="G9615"/>
    </row>
    <row r="9616" spans="2:7">
      <c r="B9616"/>
      <c r="C9616"/>
      <c r="D9616"/>
      <c r="G9616"/>
    </row>
    <row r="9617" spans="2:7">
      <c r="B9617"/>
      <c r="C9617"/>
      <c r="D9617"/>
      <c r="G9617"/>
    </row>
    <row r="9618" spans="2:7">
      <c r="B9618"/>
      <c r="C9618"/>
      <c r="D9618"/>
      <c r="G9618"/>
    </row>
    <row r="9619" spans="2:7">
      <c r="B9619"/>
      <c r="C9619"/>
      <c r="D9619"/>
      <c r="G9619"/>
    </row>
    <row r="9620" spans="2:7">
      <c r="B9620"/>
      <c r="C9620"/>
      <c r="D9620"/>
      <c r="G9620"/>
    </row>
    <row r="9621" spans="2:7">
      <c r="B9621"/>
      <c r="C9621"/>
      <c r="D9621"/>
      <c r="G9621"/>
    </row>
    <row r="9622" spans="2:7">
      <c r="B9622"/>
      <c r="C9622"/>
      <c r="D9622"/>
      <c r="G9622"/>
    </row>
    <row r="9623" spans="2:7">
      <c r="B9623"/>
      <c r="C9623"/>
      <c r="D9623"/>
      <c r="G9623"/>
    </row>
    <row r="9624" spans="2:7">
      <c r="B9624"/>
      <c r="C9624"/>
      <c r="D9624"/>
      <c r="G9624"/>
    </row>
    <row r="9625" spans="2:7">
      <c r="B9625"/>
      <c r="C9625"/>
      <c r="D9625"/>
      <c r="G9625"/>
    </row>
    <row r="9626" spans="2:7">
      <c r="B9626"/>
      <c r="C9626"/>
      <c r="D9626"/>
      <c r="G9626"/>
    </row>
    <row r="9627" spans="2:7">
      <c r="B9627"/>
      <c r="C9627"/>
      <c r="D9627"/>
      <c r="G9627"/>
    </row>
    <row r="9628" spans="2:7">
      <c r="B9628"/>
      <c r="C9628"/>
      <c r="D9628"/>
      <c r="G9628"/>
    </row>
    <row r="9629" spans="2:7">
      <c r="B9629"/>
      <c r="C9629"/>
      <c r="D9629"/>
      <c r="G9629"/>
    </row>
    <row r="9630" spans="2:7">
      <c r="B9630"/>
      <c r="C9630"/>
      <c r="D9630"/>
      <c r="G9630"/>
    </row>
    <row r="9631" spans="2:7">
      <c r="B9631"/>
      <c r="C9631"/>
      <c r="D9631"/>
      <c r="G9631"/>
    </row>
    <row r="9632" spans="2:7">
      <c r="B9632"/>
      <c r="C9632"/>
      <c r="D9632"/>
      <c r="G9632"/>
    </row>
    <row r="9633" spans="2:7">
      <c r="B9633"/>
      <c r="C9633"/>
      <c r="D9633"/>
      <c r="G9633"/>
    </row>
    <row r="9634" spans="2:7">
      <c r="B9634"/>
      <c r="C9634"/>
      <c r="D9634"/>
      <c r="G9634"/>
    </row>
    <row r="9635" spans="2:7">
      <c r="B9635"/>
      <c r="C9635"/>
      <c r="D9635"/>
      <c r="G9635"/>
    </row>
    <row r="9636" spans="2:7">
      <c r="B9636"/>
      <c r="C9636"/>
      <c r="D9636"/>
      <c r="G9636"/>
    </row>
    <row r="9637" spans="2:7">
      <c r="B9637"/>
      <c r="C9637"/>
      <c r="D9637"/>
      <c r="G9637"/>
    </row>
    <row r="9638" spans="2:7">
      <c r="B9638"/>
      <c r="C9638"/>
      <c r="D9638"/>
      <c r="G9638"/>
    </row>
    <row r="9639" spans="2:7">
      <c r="B9639"/>
      <c r="C9639"/>
      <c r="D9639"/>
      <c r="G9639"/>
    </row>
    <row r="9640" spans="2:7">
      <c r="B9640"/>
      <c r="C9640"/>
      <c r="D9640"/>
      <c r="G9640"/>
    </row>
    <row r="9641" spans="2:7">
      <c r="B9641"/>
      <c r="C9641"/>
      <c r="D9641"/>
      <c r="G9641"/>
    </row>
    <row r="9642" spans="2:7">
      <c r="B9642"/>
      <c r="C9642"/>
      <c r="D9642"/>
      <c r="G9642"/>
    </row>
    <row r="9643" spans="2:7">
      <c r="B9643"/>
      <c r="C9643"/>
      <c r="D9643"/>
      <c r="G9643"/>
    </row>
    <row r="9644" spans="2:7">
      <c r="B9644"/>
      <c r="C9644"/>
      <c r="D9644"/>
      <c r="G9644"/>
    </row>
    <row r="9645" spans="2:7">
      <c r="B9645"/>
      <c r="C9645"/>
      <c r="D9645"/>
      <c r="G9645"/>
    </row>
    <row r="9646" spans="2:7">
      <c r="B9646"/>
      <c r="C9646"/>
      <c r="D9646"/>
      <c r="G9646"/>
    </row>
    <row r="9647" spans="2:7">
      <c r="B9647"/>
      <c r="C9647"/>
      <c r="D9647"/>
      <c r="G9647"/>
    </row>
    <row r="9648" spans="2:7">
      <c r="B9648"/>
      <c r="C9648"/>
      <c r="D9648"/>
      <c r="G9648"/>
    </row>
    <row r="9649" spans="2:7">
      <c r="B9649"/>
      <c r="C9649"/>
      <c r="D9649"/>
      <c r="G9649"/>
    </row>
    <row r="9650" spans="2:7">
      <c r="B9650"/>
      <c r="C9650"/>
      <c r="D9650"/>
      <c r="G9650"/>
    </row>
    <row r="9651" spans="2:7">
      <c r="B9651"/>
      <c r="C9651"/>
      <c r="D9651"/>
      <c r="G9651"/>
    </row>
    <row r="9652" spans="2:7">
      <c r="B9652"/>
      <c r="C9652"/>
      <c r="D9652"/>
      <c r="G9652"/>
    </row>
    <row r="9653" spans="2:7">
      <c r="B9653"/>
      <c r="C9653"/>
      <c r="D9653"/>
      <c r="G9653"/>
    </row>
    <row r="9654" spans="2:7">
      <c r="B9654"/>
      <c r="C9654"/>
      <c r="D9654"/>
      <c r="G9654"/>
    </row>
    <row r="9655" spans="2:7">
      <c r="B9655"/>
      <c r="C9655"/>
      <c r="D9655"/>
      <c r="G9655"/>
    </row>
    <row r="9656" spans="2:7">
      <c r="B9656"/>
      <c r="C9656"/>
      <c r="D9656"/>
      <c r="G9656"/>
    </row>
    <row r="9657" spans="2:7">
      <c r="B9657"/>
      <c r="C9657"/>
      <c r="D9657"/>
      <c r="G9657"/>
    </row>
    <row r="9658" spans="2:7">
      <c r="B9658"/>
      <c r="C9658"/>
      <c r="D9658"/>
      <c r="G9658"/>
    </row>
    <row r="9659" spans="2:7">
      <c r="B9659"/>
      <c r="C9659"/>
      <c r="D9659"/>
      <c r="G9659"/>
    </row>
    <row r="9660" spans="2:7">
      <c r="B9660"/>
      <c r="C9660"/>
      <c r="D9660"/>
      <c r="G9660"/>
    </row>
    <row r="9661" spans="2:7">
      <c r="B9661"/>
      <c r="C9661"/>
      <c r="D9661"/>
      <c r="G9661"/>
    </row>
    <row r="9662" spans="2:7">
      <c r="B9662"/>
      <c r="C9662"/>
      <c r="D9662"/>
      <c r="G9662"/>
    </row>
    <row r="9663" spans="2:7">
      <c r="B9663"/>
      <c r="C9663"/>
      <c r="D9663"/>
      <c r="G9663"/>
    </row>
    <row r="9664" spans="2:7">
      <c r="B9664"/>
      <c r="C9664"/>
      <c r="D9664"/>
      <c r="G9664"/>
    </row>
    <row r="9665" spans="2:7">
      <c r="B9665"/>
      <c r="C9665"/>
      <c r="D9665"/>
      <c r="G9665"/>
    </row>
    <row r="9666" spans="2:7">
      <c r="B9666"/>
      <c r="C9666"/>
      <c r="D9666"/>
      <c r="G9666"/>
    </row>
    <row r="9667" spans="2:7">
      <c r="B9667"/>
      <c r="C9667"/>
      <c r="D9667"/>
      <c r="G9667"/>
    </row>
    <row r="9668" spans="2:7">
      <c r="B9668"/>
      <c r="C9668"/>
      <c r="D9668"/>
      <c r="G9668"/>
    </row>
    <row r="9669" spans="2:7">
      <c r="B9669"/>
      <c r="C9669"/>
      <c r="D9669"/>
      <c r="G9669"/>
    </row>
    <row r="9670" spans="2:7">
      <c r="B9670"/>
      <c r="C9670"/>
      <c r="D9670"/>
      <c r="G9670"/>
    </row>
    <row r="9671" spans="2:7">
      <c r="B9671"/>
      <c r="C9671"/>
      <c r="D9671"/>
      <c r="G9671"/>
    </row>
    <row r="9672" spans="2:7">
      <c r="B9672"/>
      <c r="C9672"/>
      <c r="D9672"/>
      <c r="G9672"/>
    </row>
    <row r="9673" spans="2:7">
      <c r="B9673"/>
      <c r="C9673"/>
      <c r="D9673"/>
      <c r="G9673"/>
    </row>
    <row r="9674" spans="2:7">
      <c r="B9674"/>
      <c r="C9674"/>
      <c r="D9674"/>
      <c r="G9674"/>
    </row>
    <row r="9675" spans="2:7">
      <c r="B9675"/>
      <c r="C9675"/>
      <c r="D9675"/>
      <c r="G9675"/>
    </row>
    <row r="9676" spans="2:7">
      <c r="B9676"/>
      <c r="C9676"/>
      <c r="D9676"/>
      <c r="G9676"/>
    </row>
    <row r="9677" spans="2:7">
      <c r="B9677"/>
      <c r="C9677"/>
      <c r="D9677"/>
      <c r="G9677"/>
    </row>
    <row r="9678" spans="2:7">
      <c r="B9678"/>
      <c r="C9678"/>
      <c r="D9678"/>
      <c r="G9678"/>
    </row>
    <row r="9679" spans="2:7">
      <c r="B9679"/>
      <c r="C9679"/>
      <c r="D9679"/>
      <c r="G9679"/>
    </row>
    <row r="9680" spans="2:7">
      <c r="B9680"/>
      <c r="C9680"/>
      <c r="D9680"/>
      <c r="G9680"/>
    </row>
    <row r="9681" spans="2:7">
      <c r="B9681"/>
      <c r="C9681"/>
      <c r="D9681"/>
      <c r="G9681"/>
    </row>
    <row r="9682" spans="2:7">
      <c r="B9682"/>
      <c r="C9682"/>
      <c r="D9682"/>
      <c r="G9682"/>
    </row>
    <row r="9683" spans="2:7">
      <c r="B9683"/>
      <c r="C9683"/>
      <c r="D9683"/>
      <c r="G9683"/>
    </row>
    <row r="9684" spans="2:7">
      <c r="B9684"/>
      <c r="C9684"/>
      <c r="D9684"/>
      <c r="G9684"/>
    </row>
    <row r="9685" spans="2:7">
      <c r="B9685"/>
      <c r="C9685"/>
      <c r="D9685"/>
      <c r="G9685"/>
    </row>
    <row r="9686" spans="2:7">
      <c r="B9686"/>
      <c r="C9686"/>
      <c r="D9686"/>
      <c r="G9686"/>
    </row>
    <row r="9687" spans="2:7">
      <c r="B9687"/>
      <c r="C9687"/>
      <c r="D9687"/>
      <c r="G9687"/>
    </row>
    <row r="9688" spans="2:7">
      <c r="B9688"/>
      <c r="C9688"/>
      <c r="D9688"/>
      <c r="G9688"/>
    </row>
    <row r="9689" spans="2:7">
      <c r="B9689"/>
      <c r="C9689"/>
      <c r="D9689"/>
      <c r="G9689"/>
    </row>
    <row r="9690" spans="2:7">
      <c r="B9690"/>
      <c r="C9690"/>
      <c r="D9690"/>
      <c r="G9690"/>
    </row>
    <row r="9691" spans="2:7">
      <c r="B9691"/>
      <c r="C9691"/>
      <c r="D9691"/>
      <c r="G9691"/>
    </row>
    <row r="9692" spans="2:7">
      <c r="B9692"/>
      <c r="C9692"/>
      <c r="D9692"/>
      <c r="G9692"/>
    </row>
    <row r="9693" spans="2:7">
      <c r="B9693"/>
      <c r="C9693"/>
      <c r="D9693"/>
      <c r="G9693"/>
    </row>
    <row r="9694" spans="2:7">
      <c r="B9694"/>
      <c r="C9694"/>
      <c r="D9694"/>
      <c r="G9694"/>
    </row>
    <row r="9695" spans="2:7">
      <c r="B9695"/>
      <c r="C9695"/>
      <c r="D9695"/>
      <c r="G9695"/>
    </row>
    <row r="9696" spans="2:7">
      <c r="B9696"/>
      <c r="C9696"/>
      <c r="D9696"/>
      <c r="G9696"/>
    </row>
    <row r="9697" spans="2:7">
      <c r="B9697"/>
      <c r="C9697"/>
      <c r="D9697"/>
      <c r="G9697"/>
    </row>
    <row r="9698" spans="2:7">
      <c r="B9698"/>
      <c r="C9698"/>
      <c r="D9698"/>
      <c r="G9698"/>
    </row>
    <row r="9699" spans="2:7">
      <c r="B9699"/>
      <c r="C9699"/>
      <c r="D9699"/>
      <c r="G9699"/>
    </row>
    <row r="9700" spans="2:7">
      <c r="B9700"/>
      <c r="C9700"/>
      <c r="D9700"/>
      <c r="G9700"/>
    </row>
    <row r="9701" spans="2:7">
      <c r="B9701"/>
      <c r="C9701"/>
      <c r="D9701"/>
      <c r="G9701"/>
    </row>
    <row r="9702" spans="2:7">
      <c r="B9702"/>
      <c r="C9702"/>
      <c r="D9702"/>
      <c r="G9702"/>
    </row>
    <row r="9703" spans="2:7">
      <c r="B9703"/>
      <c r="C9703"/>
      <c r="D9703"/>
      <c r="G9703"/>
    </row>
    <row r="9704" spans="2:7">
      <c r="B9704"/>
      <c r="C9704"/>
      <c r="D9704"/>
      <c r="G9704"/>
    </row>
    <row r="9705" spans="2:7">
      <c r="B9705"/>
      <c r="C9705"/>
      <c r="D9705"/>
      <c r="G9705"/>
    </row>
    <row r="9706" spans="2:7">
      <c r="B9706"/>
      <c r="C9706"/>
      <c r="D9706"/>
      <c r="G9706"/>
    </row>
    <row r="9707" spans="2:7">
      <c r="B9707"/>
      <c r="C9707"/>
      <c r="D9707"/>
      <c r="G9707"/>
    </row>
    <row r="9708" spans="2:7">
      <c r="B9708"/>
      <c r="C9708"/>
      <c r="D9708"/>
      <c r="G9708"/>
    </row>
    <row r="9709" spans="2:7">
      <c r="B9709"/>
      <c r="C9709"/>
      <c r="D9709"/>
      <c r="G9709"/>
    </row>
    <row r="9710" spans="2:7">
      <c r="B9710"/>
      <c r="C9710"/>
      <c r="D9710"/>
      <c r="G9710"/>
    </row>
    <row r="9711" spans="2:7">
      <c r="B9711"/>
      <c r="C9711"/>
      <c r="D9711"/>
      <c r="G9711"/>
    </row>
    <row r="9712" spans="2:7">
      <c r="B9712"/>
      <c r="C9712"/>
      <c r="D9712"/>
      <c r="G9712"/>
    </row>
    <row r="9713" spans="2:7">
      <c r="B9713"/>
      <c r="C9713"/>
      <c r="D9713"/>
      <c r="G9713"/>
    </row>
    <row r="9714" spans="2:7">
      <c r="B9714"/>
      <c r="C9714"/>
      <c r="D9714"/>
      <c r="G9714"/>
    </row>
    <row r="9715" spans="2:7">
      <c r="B9715"/>
      <c r="C9715"/>
      <c r="D9715"/>
      <c r="G9715"/>
    </row>
    <row r="9716" spans="2:7">
      <c r="B9716"/>
      <c r="C9716"/>
      <c r="D9716"/>
      <c r="G9716"/>
    </row>
    <row r="9717" spans="2:7">
      <c r="B9717"/>
      <c r="C9717"/>
      <c r="D9717"/>
      <c r="G9717"/>
    </row>
    <row r="9718" spans="2:7">
      <c r="B9718"/>
      <c r="C9718"/>
      <c r="D9718"/>
      <c r="G9718"/>
    </row>
    <row r="9719" spans="2:7">
      <c r="B9719"/>
      <c r="C9719"/>
      <c r="D9719"/>
      <c r="G9719"/>
    </row>
    <row r="9720" spans="2:7">
      <c r="B9720"/>
      <c r="C9720"/>
      <c r="D9720"/>
      <c r="G9720"/>
    </row>
    <row r="9721" spans="2:7">
      <c r="B9721"/>
      <c r="C9721"/>
      <c r="D9721"/>
      <c r="G9721"/>
    </row>
    <row r="9722" spans="2:7">
      <c r="B9722"/>
      <c r="C9722"/>
      <c r="D9722"/>
      <c r="G9722"/>
    </row>
    <row r="9723" spans="2:7">
      <c r="B9723"/>
      <c r="C9723"/>
      <c r="D9723"/>
      <c r="G9723"/>
    </row>
    <row r="9724" spans="2:7">
      <c r="B9724"/>
      <c r="C9724"/>
      <c r="D9724"/>
      <c r="G9724"/>
    </row>
    <row r="9725" spans="2:7">
      <c r="B9725"/>
      <c r="C9725"/>
      <c r="D9725"/>
      <c r="G9725"/>
    </row>
    <row r="9726" spans="2:7">
      <c r="B9726"/>
      <c r="C9726"/>
      <c r="D9726"/>
      <c r="G9726"/>
    </row>
    <row r="9727" spans="2:7">
      <c r="B9727"/>
      <c r="C9727"/>
      <c r="D9727"/>
      <c r="G9727"/>
    </row>
    <row r="9728" spans="2:7">
      <c r="B9728"/>
      <c r="C9728"/>
      <c r="D9728"/>
      <c r="G9728"/>
    </row>
    <row r="9729" spans="2:7">
      <c r="B9729"/>
      <c r="C9729"/>
      <c r="D9729"/>
      <c r="G9729"/>
    </row>
    <row r="9730" spans="2:7">
      <c r="B9730"/>
      <c r="C9730"/>
      <c r="D9730"/>
      <c r="G9730"/>
    </row>
    <row r="9731" spans="2:7">
      <c r="B9731"/>
      <c r="C9731"/>
      <c r="D9731"/>
      <c r="G9731"/>
    </row>
    <row r="9732" spans="2:7">
      <c r="B9732"/>
      <c r="C9732"/>
      <c r="D9732"/>
      <c r="G9732"/>
    </row>
    <row r="9733" spans="2:7">
      <c r="B9733"/>
      <c r="C9733"/>
      <c r="D9733"/>
      <c r="G9733"/>
    </row>
    <row r="9734" spans="2:7">
      <c r="B9734"/>
      <c r="C9734"/>
      <c r="D9734"/>
      <c r="G9734"/>
    </row>
    <row r="9735" spans="2:7">
      <c r="B9735"/>
      <c r="C9735"/>
      <c r="D9735"/>
      <c r="G9735"/>
    </row>
    <row r="9736" spans="2:7">
      <c r="B9736"/>
      <c r="C9736"/>
      <c r="D9736"/>
      <c r="G9736"/>
    </row>
    <row r="9737" spans="2:7">
      <c r="B9737"/>
      <c r="C9737"/>
      <c r="D9737"/>
      <c r="G9737"/>
    </row>
    <row r="9738" spans="2:7">
      <c r="B9738"/>
      <c r="C9738"/>
      <c r="D9738"/>
      <c r="G9738"/>
    </row>
    <row r="9739" spans="2:7">
      <c r="B9739"/>
      <c r="C9739"/>
      <c r="D9739"/>
      <c r="G9739"/>
    </row>
    <row r="9740" spans="2:7">
      <c r="B9740"/>
      <c r="C9740"/>
      <c r="D9740"/>
      <c r="G9740"/>
    </row>
    <row r="9741" spans="2:7">
      <c r="B9741"/>
      <c r="C9741"/>
      <c r="D9741"/>
      <c r="G9741"/>
    </row>
    <row r="9742" spans="2:7">
      <c r="B9742"/>
      <c r="C9742"/>
      <c r="D9742"/>
      <c r="G9742"/>
    </row>
    <row r="9743" spans="2:7">
      <c r="B9743"/>
      <c r="C9743"/>
      <c r="D9743"/>
      <c r="G9743"/>
    </row>
    <row r="9744" spans="2:7">
      <c r="B9744"/>
      <c r="C9744"/>
      <c r="D9744"/>
      <c r="G9744"/>
    </row>
    <row r="9745" spans="2:7">
      <c r="B9745"/>
      <c r="C9745"/>
      <c r="D9745"/>
      <c r="G9745"/>
    </row>
    <row r="9746" spans="2:7">
      <c r="B9746"/>
      <c r="C9746"/>
      <c r="D9746"/>
      <c r="G9746"/>
    </row>
    <row r="9747" spans="2:7">
      <c r="B9747"/>
      <c r="C9747"/>
      <c r="D9747"/>
      <c r="G9747"/>
    </row>
    <row r="9748" spans="2:7">
      <c r="B9748"/>
      <c r="C9748"/>
      <c r="D9748"/>
      <c r="G9748"/>
    </row>
    <row r="9749" spans="2:7">
      <c r="B9749"/>
      <c r="C9749"/>
      <c r="D9749"/>
      <c r="G9749"/>
    </row>
    <row r="9750" spans="2:7">
      <c r="B9750"/>
      <c r="C9750"/>
      <c r="D9750"/>
      <c r="G9750"/>
    </row>
    <row r="9751" spans="2:7">
      <c r="B9751"/>
      <c r="C9751"/>
      <c r="D9751"/>
      <c r="G9751"/>
    </row>
    <row r="9752" spans="2:7">
      <c r="B9752"/>
      <c r="C9752"/>
      <c r="D9752"/>
      <c r="G9752"/>
    </row>
    <row r="9753" spans="2:7">
      <c r="B9753"/>
      <c r="C9753"/>
      <c r="D9753"/>
      <c r="G9753"/>
    </row>
    <row r="9754" spans="2:7">
      <c r="B9754"/>
      <c r="C9754"/>
      <c r="D9754"/>
      <c r="G9754"/>
    </row>
    <row r="9755" spans="2:7">
      <c r="B9755"/>
      <c r="C9755"/>
      <c r="D9755"/>
      <c r="G9755"/>
    </row>
    <row r="9756" spans="2:7">
      <c r="B9756"/>
      <c r="C9756"/>
      <c r="D9756"/>
      <c r="G9756"/>
    </row>
    <row r="9757" spans="2:7">
      <c r="B9757"/>
      <c r="C9757"/>
      <c r="D9757"/>
      <c r="G9757"/>
    </row>
    <row r="9758" spans="2:7">
      <c r="B9758"/>
      <c r="C9758"/>
      <c r="D9758"/>
      <c r="G9758"/>
    </row>
    <row r="9759" spans="2:7">
      <c r="B9759"/>
      <c r="C9759"/>
      <c r="D9759"/>
      <c r="G9759"/>
    </row>
    <row r="9760" spans="2:7">
      <c r="B9760"/>
      <c r="C9760"/>
      <c r="D9760"/>
      <c r="G9760"/>
    </row>
    <row r="9761" spans="2:7">
      <c r="B9761"/>
      <c r="C9761"/>
      <c r="D9761"/>
      <c r="G9761"/>
    </row>
    <row r="9762" spans="2:7">
      <c r="B9762"/>
      <c r="C9762"/>
      <c r="D9762"/>
      <c r="G9762"/>
    </row>
    <row r="9763" spans="2:7">
      <c r="B9763"/>
      <c r="C9763"/>
      <c r="D9763"/>
      <c r="G9763"/>
    </row>
    <row r="9764" spans="2:7">
      <c r="B9764"/>
      <c r="C9764"/>
      <c r="D9764"/>
      <c r="G9764"/>
    </row>
    <row r="9765" spans="2:7">
      <c r="B9765"/>
      <c r="C9765"/>
      <c r="D9765"/>
      <c r="G9765"/>
    </row>
    <row r="9766" spans="2:7">
      <c r="B9766"/>
      <c r="C9766"/>
      <c r="D9766"/>
      <c r="G9766"/>
    </row>
    <row r="9767" spans="2:7">
      <c r="B9767"/>
      <c r="C9767"/>
      <c r="D9767"/>
      <c r="G9767"/>
    </row>
    <row r="9768" spans="2:7">
      <c r="B9768"/>
      <c r="C9768"/>
      <c r="D9768"/>
      <c r="G9768"/>
    </row>
    <row r="9769" spans="2:7">
      <c r="B9769"/>
      <c r="C9769"/>
      <c r="D9769"/>
      <c r="G9769"/>
    </row>
    <row r="9770" spans="2:7">
      <c r="B9770"/>
      <c r="C9770"/>
      <c r="D9770"/>
      <c r="G9770"/>
    </row>
    <row r="9771" spans="2:7">
      <c r="B9771"/>
      <c r="C9771"/>
      <c r="D9771"/>
      <c r="G9771"/>
    </row>
    <row r="9772" spans="2:7">
      <c r="B9772"/>
      <c r="C9772"/>
      <c r="D9772"/>
      <c r="G9772"/>
    </row>
    <row r="9773" spans="2:7">
      <c r="B9773"/>
      <c r="C9773"/>
      <c r="D9773"/>
      <c r="G9773"/>
    </row>
    <row r="9774" spans="2:7">
      <c r="B9774"/>
      <c r="C9774"/>
      <c r="D9774"/>
      <c r="G9774"/>
    </row>
    <row r="9775" spans="2:7">
      <c r="B9775"/>
      <c r="C9775"/>
      <c r="D9775"/>
      <c r="G9775"/>
    </row>
    <row r="9776" spans="2:7">
      <c r="B9776"/>
      <c r="C9776"/>
      <c r="D9776"/>
      <c r="G9776"/>
    </row>
    <row r="9777" spans="2:7">
      <c r="B9777"/>
      <c r="C9777"/>
      <c r="D9777"/>
      <c r="G9777"/>
    </row>
    <row r="9778" spans="2:7">
      <c r="B9778"/>
      <c r="C9778"/>
      <c r="D9778"/>
      <c r="G9778"/>
    </row>
    <row r="9779" spans="2:7">
      <c r="B9779"/>
      <c r="C9779"/>
      <c r="D9779"/>
      <c r="G9779"/>
    </row>
    <row r="9780" spans="2:7">
      <c r="B9780"/>
      <c r="C9780"/>
      <c r="D9780"/>
      <c r="G9780"/>
    </row>
    <row r="9781" spans="2:7">
      <c r="B9781"/>
      <c r="C9781"/>
      <c r="D9781"/>
      <c r="G9781"/>
    </row>
    <row r="9782" spans="2:7">
      <c r="B9782"/>
      <c r="C9782"/>
      <c r="D9782"/>
      <c r="G9782"/>
    </row>
    <row r="9783" spans="2:7">
      <c r="B9783"/>
      <c r="C9783"/>
      <c r="D9783"/>
      <c r="G9783"/>
    </row>
    <row r="9784" spans="2:7">
      <c r="B9784"/>
      <c r="C9784"/>
      <c r="D9784"/>
      <c r="G9784"/>
    </row>
    <row r="9785" spans="2:7">
      <c r="B9785"/>
      <c r="C9785"/>
      <c r="D9785"/>
      <c r="G9785"/>
    </row>
    <row r="9786" spans="2:7">
      <c r="B9786"/>
      <c r="C9786"/>
      <c r="D9786"/>
      <c r="G9786"/>
    </row>
    <row r="9787" spans="2:7">
      <c r="B9787"/>
      <c r="C9787"/>
      <c r="D9787"/>
      <c r="G9787"/>
    </row>
    <row r="9788" spans="2:7">
      <c r="B9788"/>
      <c r="C9788"/>
      <c r="D9788"/>
      <c r="G9788"/>
    </row>
    <row r="9789" spans="2:7">
      <c r="B9789"/>
      <c r="C9789"/>
      <c r="D9789"/>
      <c r="G9789"/>
    </row>
    <row r="9790" spans="2:7">
      <c r="B9790"/>
      <c r="C9790"/>
      <c r="D9790"/>
      <c r="G9790"/>
    </row>
    <row r="9791" spans="2:7">
      <c r="B9791"/>
      <c r="C9791"/>
      <c r="D9791"/>
      <c r="G9791"/>
    </row>
    <row r="9792" spans="2:7">
      <c r="B9792"/>
      <c r="C9792"/>
      <c r="D9792"/>
      <c r="G9792"/>
    </row>
    <row r="9793" spans="2:7">
      <c r="B9793"/>
      <c r="C9793"/>
      <c r="D9793"/>
      <c r="G9793"/>
    </row>
    <row r="9794" spans="2:7">
      <c r="B9794"/>
      <c r="C9794"/>
      <c r="D9794"/>
      <c r="G9794"/>
    </row>
    <row r="9795" spans="2:7">
      <c r="B9795"/>
      <c r="C9795"/>
      <c r="D9795"/>
      <c r="G9795"/>
    </row>
    <row r="9796" spans="2:7">
      <c r="B9796"/>
      <c r="C9796"/>
      <c r="D9796"/>
      <c r="G9796"/>
    </row>
    <row r="9797" spans="2:7">
      <c r="B9797"/>
      <c r="C9797"/>
      <c r="D9797"/>
      <c r="G9797"/>
    </row>
    <row r="9798" spans="2:7">
      <c r="B9798"/>
      <c r="C9798"/>
      <c r="D9798"/>
      <c r="G9798"/>
    </row>
    <row r="9799" spans="2:7">
      <c r="B9799"/>
      <c r="C9799"/>
      <c r="D9799"/>
      <c r="G9799"/>
    </row>
    <row r="9800" spans="2:7">
      <c r="B9800"/>
      <c r="C9800"/>
      <c r="D9800"/>
      <c r="G9800"/>
    </row>
    <row r="9801" spans="2:7">
      <c r="B9801"/>
      <c r="C9801"/>
      <c r="D9801"/>
      <c r="G9801"/>
    </row>
    <row r="9802" spans="2:7">
      <c r="B9802"/>
      <c r="C9802"/>
      <c r="D9802"/>
      <c r="G9802"/>
    </row>
    <row r="9803" spans="2:7">
      <c r="B9803"/>
      <c r="C9803"/>
      <c r="D9803"/>
      <c r="G9803"/>
    </row>
    <row r="9804" spans="2:7">
      <c r="B9804"/>
      <c r="C9804"/>
      <c r="D9804"/>
      <c r="G9804"/>
    </row>
    <row r="9805" spans="2:7">
      <c r="B9805"/>
      <c r="C9805"/>
      <c r="D9805"/>
      <c r="G9805"/>
    </row>
    <row r="9806" spans="2:7">
      <c r="B9806"/>
      <c r="C9806"/>
      <c r="D9806"/>
      <c r="G9806"/>
    </row>
    <row r="9807" spans="2:7">
      <c r="B9807"/>
      <c r="C9807"/>
      <c r="D9807"/>
      <c r="G9807"/>
    </row>
    <row r="9808" spans="2:7">
      <c r="B9808"/>
      <c r="C9808"/>
      <c r="D9808"/>
      <c r="G9808"/>
    </row>
    <row r="9809" spans="2:7">
      <c r="B9809"/>
      <c r="C9809"/>
      <c r="D9809"/>
      <c r="G9809"/>
    </row>
    <row r="9810" spans="2:7">
      <c r="B9810"/>
      <c r="C9810"/>
      <c r="D9810"/>
      <c r="G9810"/>
    </row>
    <row r="9811" spans="2:7">
      <c r="B9811"/>
      <c r="C9811"/>
      <c r="D9811"/>
      <c r="G9811"/>
    </row>
    <row r="9812" spans="2:7">
      <c r="B9812"/>
      <c r="C9812"/>
      <c r="D9812"/>
      <c r="G9812"/>
    </row>
    <row r="9813" spans="2:7">
      <c r="B9813"/>
      <c r="C9813"/>
      <c r="D9813"/>
      <c r="G9813"/>
    </row>
    <row r="9814" spans="2:7">
      <c r="B9814"/>
      <c r="C9814"/>
      <c r="D9814"/>
      <c r="G9814"/>
    </row>
    <row r="9815" spans="2:7">
      <c r="B9815"/>
      <c r="C9815"/>
      <c r="D9815"/>
      <c r="G9815"/>
    </row>
    <row r="9816" spans="2:7">
      <c r="B9816"/>
      <c r="C9816"/>
      <c r="D9816"/>
      <c r="G9816"/>
    </row>
    <row r="9817" spans="2:7">
      <c r="B9817"/>
      <c r="C9817"/>
      <c r="D9817"/>
      <c r="G9817"/>
    </row>
    <row r="9818" spans="2:7">
      <c r="B9818"/>
      <c r="C9818"/>
      <c r="D9818"/>
      <c r="G9818"/>
    </row>
    <row r="9819" spans="2:7">
      <c r="B9819"/>
      <c r="C9819"/>
      <c r="D9819"/>
      <c r="G9819"/>
    </row>
    <row r="9820" spans="2:7">
      <c r="B9820"/>
      <c r="C9820"/>
      <c r="D9820"/>
      <c r="G9820"/>
    </row>
    <row r="9821" spans="2:7">
      <c r="B9821"/>
      <c r="C9821"/>
      <c r="D9821"/>
      <c r="G9821"/>
    </row>
    <row r="9822" spans="2:7">
      <c r="B9822"/>
      <c r="C9822"/>
      <c r="D9822"/>
      <c r="G9822"/>
    </row>
    <row r="9823" spans="2:7">
      <c r="B9823"/>
      <c r="C9823"/>
      <c r="D9823"/>
      <c r="G9823"/>
    </row>
    <row r="9824" spans="2:7">
      <c r="B9824"/>
      <c r="C9824"/>
      <c r="D9824"/>
      <c r="G9824"/>
    </row>
    <row r="9825" spans="2:7">
      <c r="B9825"/>
      <c r="C9825"/>
      <c r="D9825"/>
      <c r="G9825"/>
    </row>
    <row r="9826" spans="2:7">
      <c r="B9826"/>
      <c r="C9826"/>
      <c r="D9826"/>
      <c r="G9826"/>
    </row>
    <row r="9827" spans="2:7">
      <c r="B9827"/>
      <c r="C9827"/>
      <c r="D9827"/>
      <c r="G9827"/>
    </row>
    <row r="9828" spans="2:7">
      <c r="B9828"/>
      <c r="C9828"/>
      <c r="D9828"/>
      <c r="G9828"/>
    </row>
    <row r="9829" spans="2:7">
      <c r="B9829"/>
      <c r="C9829"/>
      <c r="D9829"/>
      <c r="G9829"/>
    </row>
    <row r="9830" spans="2:7">
      <c r="B9830"/>
      <c r="C9830"/>
      <c r="D9830"/>
      <c r="G9830"/>
    </row>
    <row r="9831" spans="2:7">
      <c r="B9831"/>
      <c r="C9831"/>
      <c r="D9831"/>
      <c r="G9831"/>
    </row>
    <row r="9832" spans="2:7">
      <c r="B9832"/>
      <c r="C9832"/>
      <c r="D9832"/>
      <c r="G9832"/>
    </row>
    <row r="9833" spans="2:7">
      <c r="B9833"/>
      <c r="C9833"/>
      <c r="D9833"/>
      <c r="G9833"/>
    </row>
    <row r="9834" spans="2:7">
      <c r="B9834"/>
      <c r="C9834"/>
      <c r="D9834"/>
      <c r="G9834"/>
    </row>
    <row r="9835" spans="2:7">
      <c r="B9835"/>
      <c r="C9835"/>
      <c r="D9835"/>
      <c r="G9835"/>
    </row>
    <row r="9836" spans="2:7">
      <c r="B9836"/>
      <c r="C9836"/>
      <c r="D9836"/>
      <c r="G9836"/>
    </row>
    <row r="9837" spans="2:7">
      <c r="B9837"/>
      <c r="C9837"/>
      <c r="D9837"/>
      <c r="G9837"/>
    </row>
    <row r="9838" spans="2:7">
      <c r="B9838"/>
      <c r="C9838"/>
      <c r="D9838"/>
      <c r="G9838"/>
    </row>
    <row r="9839" spans="2:7">
      <c r="B9839"/>
      <c r="C9839"/>
      <c r="D9839"/>
      <c r="G9839"/>
    </row>
    <row r="9840" spans="2:7">
      <c r="B9840"/>
      <c r="C9840"/>
      <c r="D9840"/>
      <c r="G9840"/>
    </row>
    <row r="9841" spans="2:7">
      <c r="B9841"/>
      <c r="C9841"/>
      <c r="D9841"/>
      <c r="G9841"/>
    </row>
    <row r="9842" spans="2:7">
      <c r="B9842"/>
      <c r="C9842"/>
      <c r="D9842"/>
      <c r="G9842"/>
    </row>
    <row r="9843" spans="2:7">
      <c r="B9843"/>
      <c r="C9843"/>
      <c r="D9843"/>
      <c r="G9843"/>
    </row>
    <row r="9844" spans="2:7">
      <c r="B9844"/>
      <c r="C9844"/>
      <c r="D9844"/>
      <c r="G9844"/>
    </row>
    <row r="9845" spans="2:7">
      <c r="B9845"/>
      <c r="C9845"/>
      <c r="D9845"/>
      <c r="G9845"/>
    </row>
    <row r="9846" spans="2:7">
      <c r="B9846"/>
      <c r="C9846"/>
      <c r="D9846"/>
      <c r="G9846"/>
    </row>
    <row r="9847" spans="2:7">
      <c r="B9847"/>
      <c r="C9847"/>
      <c r="D9847"/>
      <c r="G9847"/>
    </row>
    <row r="9848" spans="2:7">
      <c r="B9848"/>
      <c r="C9848"/>
      <c r="D9848"/>
      <c r="G9848"/>
    </row>
    <row r="9849" spans="2:7">
      <c r="B9849"/>
      <c r="C9849"/>
      <c r="D9849"/>
      <c r="G9849"/>
    </row>
    <row r="9850" spans="2:7">
      <c r="B9850"/>
      <c r="C9850"/>
      <c r="D9850"/>
      <c r="G9850"/>
    </row>
    <row r="9851" spans="2:7">
      <c r="B9851"/>
      <c r="C9851"/>
      <c r="D9851"/>
      <c r="G9851"/>
    </row>
    <row r="9852" spans="2:7">
      <c r="B9852"/>
      <c r="C9852"/>
      <c r="D9852"/>
      <c r="G9852"/>
    </row>
    <row r="9853" spans="2:7">
      <c r="B9853"/>
      <c r="C9853"/>
      <c r="D9853"/>
      <c r="G9853"/>
    </row>
    <row r="9854" spans="2:7">
      <c r="B9854"/>
      <c r="C9854"/>
      <c r="D9854"/>
      <c r="G9854"/>
    </row>
    <row r="9855" spans="2:7">
      <c r="B9855"/>
      <c r="C9855"/>
      <c r="D9855"/>
      <c r="G9855"/>
    </row>
    <row r="9856" spans="2:7">
      <c r="B9856"/>
      <c r="C9856"/>
      <c r="D9856"/>
      <c r="G9856"/>
    </row>
    <row r="9857" spans="2:7">
      <c r="B9857"/>
      <c r="C9857"/>
      <c r="D9857"/>
      <c r="G9857"/>
    </row>
    <row r="9858" spans="2:7">
      <c r="B9858"/>
      <c r="C9858"/>
      <c r="D9858"/>
      <c r="G9858"/>
    </row>
    <row r="9859" spans="2:7">
      <c r="B9859"/>
      <c r="C9859"/>
      <c r="D9859"/>
      <c r="G9859"/>
    </row>
    <row r="9860" spans="2:7">
      <c r="B9860"/>
      <c r="C9860"/>
      <c r="D9860"/>
      <c r="G9860"/>
    </row>
    <row r="9861" spans="2:7">
      <c r="B9861"/>
      <c r="C9861"/>
      <c r="D9861"/>
      <c r="G9861"/>
    </row>
    <row r="9862" spans="2:7">
      <c r="B9862"/>
      <c r="C9862"/>
      <c r="D9862"/>
      <c r="G9862"/>
    </row>
    <row r="9863" spans="2:7">
      <c r="B9863"/>
      <c r="C9863"/>
      <c r="D9863"/>
      <c r="G9863"/>
    </row>
    <row r="9864" spans="2:7">
      <c r="B9864"/>
      <c r="C9864"/>
      <c r="D9864"/>
      <c r="G9864"/>
    </row>
    <row r="9865" spans="2:7">
      <c r="B9865"/>
      <c r="C9865"/>
      <c r="D9865"/>
      <c r="G9865"/>
    </row>
    <row r="9866" spans="2:7">
      <c r="B9866"/>
      <c r="C9866"/>
      <c r="D9866"/>
      <c r="G9866"/>
    </row>
    <row r="9867" spans="2:7">
      <c r="B9867"/>
      <c r="C9867"/>
      <c r="D9867"/>
      <c r="G9867"/>
    </row>
    <row r="9868" spans="2:7">
      <c r="B9868"/>
      <c r="C9868"/>
      <c r="D9868"/>
      <c r="G9868"/>
    </row>
    <row r="9869" spans="2:7">
      <c r="B9869"/>
      <c r="C9869"/>
      <c r="D9869"/>
      <c r="G9869"/>
    </row>
    <row r="9870" spans="2:7">
      <c r="B9870"/>
      <c r="C9870"/>
      <c r="D9870"/>
      <c r="G9870"/>
    </row>
    <row r="9871" spans="2:7">
      <c r="B9871"/>
      <c r="C9871"/>
      <c r="D9871"/>
      <c r="G9871"/>
    </row>
    <row r="9872" spans="2:7">
      <c r="B9872"/>
      <c r="C9872"/>
      <c r="D9872"/>
      <c r="G9872"/>
    </row>
    <row r="9873" spans="2:7">
      <c r="B9873"/>
      <c r="C9873"/>
      <c r="D9873"/>
      <c r="G9873"/>
    </row>
    <row r="9874" spans="2:7">
      <c r="B9874"/>
      <c r="C9874"/>
      <c r="D9874"/>
      <c r="G9874"/>
    </row>
    <row r="9875" spans="2:7">
      <c r="B9875"/>
      <c r="C9875"/>
      <c r="D9875"/>
      <c r="G9875"/>
    </row>
    <row r="9876" spans="2:7">
      <c r="B9876"/>
      <c r="C9876"/>
      <c r="D9876"/>
      <c r="G9876"/>
    </row>
    <row r="9877" spans="2:7">
      <c r="B9877"/>
      <c r="C9877"/>
      <c r="D9877"/>
      <c r="G9877"/>
    </row>
    <row r="9878" spans="2:7">
      <c r="B9878"/>
      <c r="C9878"/>
      <c r="D9878"/>
      <c r="G9878"/>
    </row>
    <row r="9879" spans="2:7">
      <c r="B9879"/>
      <c r="C9879"/>
      <c r="D9879"/>
      <c r="G9879"/>
    </row>
    <row r="9880" spans="2:7">
      <c r="B9880"/>
      <c r="C9880"/>
      <c r="D9880"/>
      <c r="G9880"/>
    </row>
    <row r="9881" spans="2:7">
      <c r="B9881"/>
      <c r="C9881"/>
      <c r="D9881"/>
      <c r="G9881"/>
    </row>
    <row r="9882" spans="2:7">
      <c r="B9882"/>
      <c r="C9882"/>
      <c r="D9882"/>
      <c r="G9882"/>
    </row>
    <row r="9883" spans="2:7">
      <c r="B9883"/>
      <c r="C9883"/>
      <c r="D9883"/>
      <c r="G9883"/>
    </row>
    <row r="9884" spans="2:7">
      <c r="B9884"/>
      <c r="C9884"/>
      <c r="D9884"/>
      <c r="G9884"/>
    </row>
    <row r="9885" spans="2:7">
      <c r="B9885"/>
      <c r="C9885"/>
      <c r="D9885"/>
      <c r="G9885"/>
    </row>
    <row r="9886" spans="2:7">
      <c r="B9886"/>
      <c r="C9886"/>
      <c r="D9886"/>
      <c r="G9886"/>
    </row>
    <row r="9887" spans="2:7">
      <c r="B9887"/>
      <c r="C9887"/>
      <c r="D9887"/>
      <c r="G9887"/>
    </row>
    <row r="9888" spans="2:7">
      <c r="B9888"/>
      <c r="C9888"/>
      <c r="D9888"/>
      <c r="G9888"/>
    </row>
    <row r="9889" spans="2:7">
      <c r="B9889"/>
      <c r="C9889"/>
      <c r="D9889"/>
      <c r="G9889"/>
    </row>
    <row r="9890" spans="2:7">
      <c r="B9890"/>
      <c r="C9890"/>
      <c r="D9890"/>
      <c r="G9890"/>
    </row>
    <row r="9891" spans="2:7">
      <c r="B9891"/>
      <c r="C9891"/>
      <c r="D9891"/>
      <c r="G9891"/>
    </row>
    <row r="9892" spans="2:7">
      <c r="B9892"/>
      <c r="C9892"/>
      <c r="D9892"/>
      <c r="G9892"/>
    </row>
    <row r="9893" spans="2:7">
      <c r="B9893"/>
      <c r="C9893"/>
      <c r="D9893"/>
      <c r="G9893"/>
    </row>
    <row r="9894" spans="2:7">
      <c r="B9894"/>
      <c r="C9894"/>
      <c r="D9894"/>
      <c r="G9894"/>
    </row>
    <row r="9895" spans="2:7">
      <c r="B9895"/>
      <c r="C9895"/>
      <c r="D9895"/>
      <c r="G9895"/>
    </row>
    <row r="9896" spans="2:7">
      <c r="B9896"/>
      <c r="C9896"/>
      <c r="D9896"/>
      <c r="G9896"/>
    </row>
    <row r="9897" spans="2:7">
      <c r="B9897"/>
      <c r="C9897"/>
      <c r="D9897"/>
      <c r="G9897"/>
    </row>
    <row r="9898" spans="2:7">
      <c r="B9898"/>
      <c r="C9898"/>
      <c r="D9898"/>
      <c r="G9898"/>
    </row>
    <row r="9899" spans="2:7">
      <c r="B9899"/>
      <c r="C9899"/>
      <c r="D9899"/>
      <c r="G9899"/>
    </row>
    <row r="9900" spans="2:7">
      <c r="B9900"/>
      <c r="C9900"/>
      <c r="D9900"/>
      <c r="G9900"/>
    </row>
    <row r="9901" spans="2:7">
      <c r="B9901"/>
      <c r="C9901"/>
      <c r="D9901"/>
      <c r="G9901"/>
    </row>
    <row r="9902" spans="2:7">
      <c r="B9902"/>
      <c r="C9902"/>
      <c r="D9902"/>
      <c r="G9902"/>
    </row>
    <row r="9903" spans="2:7">
      <c r="B9903"/>
      <c r="C9903"/>
      <c r="D9903"/>
      <c r="G9903"/>
    </row>
    <row r="9904" spans="2:7">
      <c r="B9904"/>
      <c r="C9904"/>
      <c r="D9904"/>
      <c r="G9904"/>
    </row>
    <row r="9905" spans="2:7">
      <c r="B9905"/>
      <c r="C9905"/>
      <c r="D9905"/>
      <c r="G9905"/>
    </row>
    <row r="9906" spans="2:7">
      <c r="B9906"/>
      <c r="C9906"/>
      <c r="D9906"/>
      <c r="G9906"/>
    </row>
    <row r="9907" spans="2:7">
      <c r="B9907"/>
      <c r="C9907"/>
      <c r="D9907"/>
      <c r="G9907"/>
    </row>
    <row r="9908" spans="2:7">
      <c r="B9908"/>
      <c r="C9908"/>
      <c r="D9908"/>
      <c r="G9908"/>
    </row>
    <row r="9909" spans="2:7">
      <c r="B9909"/>
      <c r="C9909"/>
      <c r="D9909"/>
      <c r="G9909"/>
    </row>
    <row r="9910" spans="2:7">
      <c r="B9910"/>
      <c r="C9910"/>
      <c r="D9910"/>
      <c r="G9910"/>
    </row>
    <row r="9911" spans="2:7">
      <c r="B9911"/>
      <c r="C9911"/>
      <c r="D9911"/>
      <c r="G9911"/>
    </row>
    <row r="9912" spans="2:7">
      <c r="B9912"/>
      <c r="C9912"/>
      <c r="D9912"/>
      <c r="G9912"/>
    </row>
    <row r="9913" spans="2:7">
      <c r="B9913"/>
      <c r="C9913"/>
      <c r="D9913"/>
      <c r="G9913"/>
    </row>
    <row r="9914" spans="2:7">
      <c r="B9914"/>
      <c r="C9914"/>
      <c r="D9914"/>
      <c r="G9914"/>
    </row>
    <row r="9915" spans="2:7">
      <c r="B9915"/>
      <c r="C9915"/>
      <c r="D9915"/>
      <c r="G9915"/>
    </row>
    <row r="9916" spans="2:7">
      <c r="B9916"/>
      <c r="C9916"/>
      <c r="D9916"/>
      <c r="G9916"/>
    </row>
    <row r="9917" spans="2:7">
      <c r="B9917"/>
      <c r="C9917"/>
      <c r="D9917"/>
      <c r="G9917"/>
    </row>
    <row r="9918" spans="2:7">
      <c r="B9918"/>
      <c r="C9918"/>
      <c r="D9918"/>
      <c r="G9918"/>
    </row>
    <row r="9919" spans="2:7">
      <c r="B9919"/>
      <c r="C9919"/>
      <c r="D9919"/>
      <c r="G9919"/>
    </row>
    <row r="9920" spans="2:7">
      <c r="B9920"/>
      <c r="C9920"/>
      <c r="D9920"/>
      <c r="G9920"/>
    </row>
    <row r="9921" spans="2:7">
      <c r="B9921"/>
      <c r="C9921"/>
      <c r="D9921"/>
      <c r="G9921"/>
    </row>
    <row r="9922" spans="2:7">
      <c r="B9922"/>
      <c r="C9922"/>
      <c r="D9922"/>
      <c r="G9922"/>
    </row>
    <row r="9923" spans="2:7">
      <c r="B9923"/>
      <c r="C9923"/>
      <c r="D9923"/>
      <c r="G9923"/>
    </row>
    <row r="9924" spans="2:7">
      <c r="B9924"/>
      <c r="C9924"/>
      <c r="D9924"/>
      <c r="G9924"/>
    </row>
    <row r="9925" spans="2:7">
      <c r="B9925"/>
      <c r="C9925"/>
      <c r="D9925"/>
      <c r="G9925"/>
    </row>
    <row r="9926" spans="2:7">
      <c r="B9926"/>
      <c r="C9926"/>
      <c r="D9926"/>
      <c r="G9926"/>
    </row>
    <row r="9927" spans="2:7">
      <c r="B9927"/>
      <c r="C9927"/>
      <c r="D9927"/>
      <c r="G9927"/>
    </row>
    <row r="9928" spans="2:7">
      <c r="B9928"/>
      <c r="C9928"/>
      <c r="D9928"/>
      <c r="G9928"/>
    </row>
    <row r="9929" spans="2:7">
      <c r="B9929"/>
      <c r="C9929"/>
      <c r="D9929"/>
      <c r="G9929"/>
    </row>
    <row r="9930" spans="2:7">
      <c r="B9930"/>
      <c r="C9930"/>
      <c r="D9930"/>
      <c r="G9930"/>
    </row>
    <row r="9931" spans="2:7">
      <c r="B9931"/>
      <c r="C9931"/>
      <c r="D9931"/>
      <c r="G9931"/>
    </row>
    <row r="9932" spans="2:7">
      <c r="B9932"/>
      <c r="C9932"/>
      <c r="D9932"/>
      <c r="G9932"/>
    </row>
    <row r="9933" spans="2:7">
      <c r="B9933"/>
      <c r="C9933"/>
      <c r="D9933"/>
      <c r="G9933"/>
    </row>
    <row r="9934" spans="2:7">
      <c r="B9934"/>
      <c r="C9934"/>
      <c r="D9934"/>
      <c r="G9934"/>
    </row>
    <row r="9935" spans="2:7">
      <c r="B9935"/>
      <c r="C9935"/>
      <c r="D9935"/>
      <c r="G9935"/>
    </row>
    <row r="9936" spans="2:7">
      <c r="B9936"/>
      <c r="C9936"/>
      <c r="D9936"/>
      <c r="G9936"/>
    </row>
    <row r="9937" spans="2:7">
      <c r="B9937"/>
      <c r="C9937"/>
      <c r="D9937"/>
      <c r="G9937"/>
    </row>
    <row r="9938" spans="2:7">
      <c r="B9938"/>
      <c r="C9938"/>
      <c r="D9938"/>
      <c r="G9938"/>
    </row>
    <row r="9939" spans="2:7">
      <c r="B9939"/>
      <c r="C9939"/>
      <c r="D9939"/>
      <c r="G9939"/>
    </row>
    <row r="9940" spans="2:7">
      <c r="B9940"/>
      <c r="C9940"/>
      <c r="D9940"/>
      <c r="G9940"/>
    </row>
    <row r="9941" spans="2:7">
      <c r="B9941"/>
      <c r="C9941"/>
      <c r="D9941"/>
      <c r="G9941"/>
    </row>
    <row r="9942" spans="2:7">
      <c r="B9942"/>
      <c r="C9942"/>
      <c r="D9942"/>
      <c r="G9942"/>
    </row>
    <row r="9943" spans="2:7">
      <c r="B9943"/>
      <c r="C9943"/>
      <c r="D9943"/>
      <c r="G9943"/>
    </row>
    <row r="9944" spans="2:7">
      <c r="B9944"/>
      <c r="C9944"/>
      <c r="D9944"/>
      <c r="G9944"/>
    </row>
    <row r="9945" spans="2:7">
      <c r="B9945"/>
      <c r="C9945"/>
      <c r="D9945"/>
      <c r="G9945"/>
    </row>
    <row r="9946" spans="2:7">
      <c r="B9946"/>
      <c r="C9946"/>
      <c r="D9946"/>
      <c r="G9946"/>
    </row>
    <row r="9947" spans="2:7">
      <c r="B9947"/>
      <c r="C9947"/>
      <c r="D9947"/>
      <c r="G9947"/>
    </row>
    <row r="9948" spans="2:7">
      <c r="B9948"/>
      <c r="C9948"/>
      <c r="D9948"/>
      <c r="G9948"/>
    </row>
    <row r="9949" spans="2:7">
      <c r="B9949"/>
      <c r="C9949"/>
      <c r="D9949"/>
      <c r="G9949"/>
    </row>
    <row r="9950" spans="2:7">
      <c r="B9950"/>
      <c r="C9950"/>
      <c r="D9950"/>
      <c r="G9950"/>
    </row>
    <row r="9951" spans="2:7">
      <c r="B9951"/>
      <c r="C9951"/>
      <c r="D9951"/>
      <c r="G9951"/>
    </row>
    <row r="9952" spans="2:7">
      <c r="B9952"/>
      <c r="C9952"/>
      <c r="D9952"/>
      <c r="G9952"/>
    </row>
    <row r="9953" spans="2:7">
      <c r="B9953"/>
      <c r="C9953"/>
      <c r="D9953"/>
      <c r="G9953"/>
    </row>
    <row r="9954" spans="2:7">
      <c r="B9954"/>
      <c r="C9954"/>
      <c r="D9954"/>
      <c r="G9954"/>
    </row>
    <row r="9955" spans="2:7">
      <c r="B9955"/>
      <c r="C9955"/>
      <c r="D9955"/>
      <c r="G9955"/>
    </row>
    <row r="9956" spans="2:7">
      <c r="B9956"/>
      <c r="C9956"/>
      <c r="D9956"/>
      <c r="G9956"/>
    </row>
    <row r="9957" spans="2:7">
      <c r="B9957"/>
      <c r="C9957"/>
      <c r="D9957"/>
      <c r="G9957"/>
    </row>
    <row r="9958" spans="2:7">
      <c r="B9958"/>
      <c r="C9958"/>
      <c r="D9958"/>
      <c r="G9958"/>
    </row>
    <row r="9959" spans="2:7">
      <c r="B9959"/>
      <c r="C9959"/>
      <c r="D9959"/>
      <c r="G9959"/>
    </row>
    <row r="9960" spans="2:7">
      <c r="B9960"/>
      <c r="C9960"/>
      <c r="D9960"/>
      <c r="G9960"/>
    </row>
    <row r="9961" spans="2:7">
      <c r="B9961"/>
      <c r="C9961"/>
      <c r="D9961"/>
      <c r="G9961"/>
    </row>
    <row r="9962" spans="2:7">
      <c r="B9962"/>
      <c r="C9962"/>
      <c r="D9962"/>
      <c r="G9962"/>
    </row>
    <row r="9963" spans="2:7">
      <c r="B9963"/>
      <c r="C9963"/>
      <c r="D9963"/>
      <c r="G9963"/>
    </row>
    <row r="9964" spans="2:7">
      <c r="B9964"/>
      <c r="C9964"/>
      <c r="D9964"/>
      <c r="G9964"/>
    </row>
    <row r="9965" spans="2:7">
      <c r="B9965"/>
      <c r="C9965"/>
      <c r="D9965"/>
      <c r="G9965"/>
    </row>
    <row r="9966" spans="2:7">
      <c r="B9966"/>
      <c r="C9966"/>
      <c r="D9966"/>
      <c r="G9966"/>
    </row>
    <row r="9967" spans="2:7">
      <c r="B9967"/>
      <c r="C9967"/>
      <c r="D9967"/>
      <c r="G9967"/>
    </row>
    <row r="9968" spans="2:7">
      <c r="B9968"/>
      <c r="C9968"/>
      <c r="D9968"/>
      <c r="G9968"/>
    </row>
    <row r="9969" spans="2:7">
      <c r="B9969"/>
      <c r="C9969"/>
      <c r="D9969"/>
      <c r="G9969"/>
    </row>
    <row r="9970" spans="2:7">
      <c r="B9970"/>
      <c r="C9970"/>
      <c r="D9970"/>
      <c r="G9970"/>
    </row>
    <row r="9971" spans="2:7">
      <c r="B9971"/>
      <c r="C9971"/>
      <c r="D9971"/>
      <c r="G9971"/>
    </row>
    <row r="9972" spans="2:7">
      <c r="B9972"/>
      <c r="C9972"/>
      <c r="D9972"/>
      <c r="G9972"/>
    </row>
    <row r="9973" spans="2:7">
      <c r="B9973"/>
      <c r="C9973"/>
      <c r="D9973"/>
      <c r="G9973"/>
    </row>
    <row r="9974" spans="2:7">
      <c r="B9974"/>
      <c r="C9974"/>
      <c r="D9974"/>
      <c r="G9974"/>
    </row>
    <row r="9975" spans="2:7">
      <c r="B9975"/>
      <c r="C9975"/>
      <c r="D9975"/>
      <c r="G9975"/>
    </row>
    <row r="9976" spans="2:7">
      <c r="B9976"/>
      <c r="C9976"/>
      <c r="D9976"/>
      <c r="G9976"/>
    </row>
    <row r="9977" spans="2:7">
      <c r="B9977"/>
      <c r="C9977"/>
      <c r="D9977"/>
      <c r="G9977"/>
    </row>
    <row r="9978" spans="2:7">
      <c r="B9978"/>
      <c r="C9978"/>
      <c r="D9978"/>
      <c r="G9978"/>
    </row>
    <row r="9979" spans="2:7">
      <c r="B9979"/>
      <c r="C9979"/>
      <c r="D9979"/>
      <c r="G9979"/>
    </row>
    <row r="9980" spans="2:7">
      <c r="B9980"/>
      <c r="C9980"/>
      <c r="D9980"/>
      <c r="G9980"/>
    </row>
    <row r="9981" spans="2:7">
      <c r="B9981"/>
      <c r="C9981"/>
      <c r="D9981"/>
      <c r="G9981"/>
    </row>
    <row r="9982" spans="2:7">
      <c r="B9982"/>
      <c r="C9982"/>
      <c r="D9982"/>
      <c r="G9982"/>
    </row>
    <row r="9983" spans="2:7">
      <c r="B9983"/>
      <c r="C9983"/>
      <c r="D9983"/>
      <c r="G9983"/>
    </row>
    <row r="9984" spans="2:7">
      <c r="B9984"/>
      <c r="C9984"/>
      <c r="D9984"/>
      <c r="G9984"/>
    </row>
    <row r="9985" spans="2:7">
      <c r="B9985"/>
      <c r="C9985"/>
      <c r="D9985"/>
      <c r="G9985"/>
    </row>
    <row r="9986" spans="2:7">
      <c r="B9986"/>
      <c r="C9986"/>
      <c r="D9986"/>
      <c r="G9986"/>
    </row>
    <row r="9987" spans="2:7">
      <c r="B9987"/>
      <c r="C9987"/>
      <c r="D9987"/>
      <c r="G9987"/>
    </row>
    <row r="9988" spans="2:7">
      <c r="B9988"/>
      <c r="C9988"/>
      <c r="D9988"/>
      <c r="G9988"/>
    </row>
    <row r="9989" spans="2:7">
      <c r="B9989"/>
      <c r="C9989"/>
      <c r="D9989"/>
      <c r="G9989"/>
    </row>
    <row r="9990" spans="2:7">
      <c r="B9990"/>
      <c r="C9990"/>
      <c r="D9990"/>
      <c r="G9990"/>
    </row>
    <row r="9991" spans="2:7">
      <c r="B9991"/>
      <c r="C9991"/>
      <c r="D9991"/>
      <c r="G9991"/>
    </row>
    <row r="9992" spans="2:7">
      <c r="B9992"/>
      <c r="C9992"/>
      <c r="D9992"/>
      <c r="G9992"/>
    </row>
    <row r="9993" spans="2:7">
      <c r="B9993"/>
      <c r="C9993"/>
      <c r="D9993"/>
      <c r="G9993"/>
    </row>
    <row r="9994" spans="2:7">
      <c r="B9994"/>
      <c r="C9994"/>
      <c r="D9994"/>
      <c r="G9994"/>
    </row>
    <row r="9995" spans="2:7">
      <c r="B9995"/>
      <c r="C9995"/>
      <c r="D9995"/>
      <c r="G9995"/>
    </row>
    <row r="9996" spans="2:7">
      <c r="B9996"/>
      <c r="C9996"/>
      <c r="D9996"/>
      <c r="G9996"/>
    </row>
    <row r="9997" spans="2:7">
      <c r="B9997"/>
      <c r="C9997"/>
      <c r="D9997"/>
      <c r="G9997"/>
    </row>
    <row r="9998" spans="2:7">
      <c r="B9998"/>
      <c r="C9998"/>
      <c r="D9998"/>
      <c r="G9998"/>
    </row>
    <row r="9999" spans="2:7">
      <c r="B9999"/>
      <c r="C9999"/>
      <c r="D9999"/>
      <c r="G9999"/>
    </row>
    <row r="10000" spans="2:7">
      <c r="B10000"/>
      <c r="C10000"/>
      <c r="D10000"/>
      <c r="G10000"/>
    </row>
    <row r="10001" spans="2:7">
      <c r="B10001"/>
      <c r="C10001"/>
      <c r="D10001"/>
      <c r="G10001"/>
    </row>
    <row r="10002" spans="2:7">
      <c r="B10002"/>
      <c r="C10002"/>
      <c r="D10002"/>
      <c r="G10002"/>
    </row>
    <row r="10003" spans="2:7">
      <c r="B10003"/>
      <c r="C10003"/>
      <c r="D10003"/>
      <c r="G10003"/>
    </row>
    <row r="10004" spans="2:7">
      <c r="B10004"/>
      <c r="C10004"/>
      <c r="D10004"/>
      <c r="G10004"/>
    </row>
    <row r="10005" spans="2:7">
      <c r="B10005"/>
      <c r="C10005"/>
      <c r="D10005"/>
      <c r="G10005"/>
    </row>
    <row r="10006" spans="2:7">
      <c r="B10006"/>
      <c r="C10006"/>
      <c r="D10006"/>
      <c r="G10006"/>
    </row>
    <row r="10007" spans="2:7">
      <c r="B10007"/>
      <c r="C10007"/>
      <c r="D10007"/>
      <c r="G10007"/>
    </row>
    <row r="10008" spans="2:7">
      <c r="B10008"/>
      <c r="C10008"/>
      <c r="D10008"/>
      <c r="G10008"/>
    </row>
    <row r="10009" spans="2:7">
      <c r="B10009"/>
      <c r="C10009"/>
      <c r="D10009"/>
      <c r="G10009"/>
    </row>
    <row r="10010" spans="2:7">
      <c r="B10010"/>
      <c r="C10010"/>
      <c r="D10010"/>
      <c r="G10010"/>
    </row>
    <row r="10011" spans="2:7">
      <c r="B10011"/>
      <c r="C10011"/>
      <c r="D10011"/>
      <c r="G10011"/>
    </row>
    <row r="10012" spans="2:7">
      <c r="B10012"/>
      <c r="C10012"/>
      <c r="D10012"/>
      <c r="G10012"/>
    </row>
    <row r="10013" spans="2:7">
      <c r="B10013"/>
      <c r="C10013"/>
      <c r="D10013"/>
      <c r="G10013"/>
    </row>
    <row r="10014" spans="2:7">
      <c r="B10014"/>
      <c r="C10014"/>
      <c r="D10014"/>
      <c r="G10014"/>
    </row>
    <row r="10015" spans="2:7">
      <c r="B10015"/>
      <c r="C10015"/>
      <c r="D10015"/>
      <c r="G10015"/>
    </row>
    <row r="10016" spans="2:7">
      <c r="B10016"/>
      <c r="C10016"/>
      <c r="D10016"/>
      <c r="G10016"/>
    </row>
    <row r="10017" spans="2:7">
      <c r="B10017"/>
      <c r="C10017"/>
      <c r="D10017"/>
      <c r="G10017"/>
    </row>
    <row r="10018" spans="2:7">
      <c r="B10018"/>
      <c r="C10018"/>
      <c r="D10018"/>
      <c r="G10018"/>
    </row>
    <row r="10019" spans="2:7">
      <c r="B10019"/>
      <c r="C10019"/>
      <c r="D10019"/>
      <c r="G10019"/>
    </row>
    <row r="10020" spans="2:7">
      <c r="B10020"/>
      <c r="C10020"/>
      <c r="D10020"/>
      <c r="G10020"/>
    </row>
    <row r="10021" spans="2:7">
      <c r="B10021"/>
      <c r="C10021"/>
      <c r="D10021"/>
      <c r="G10021"/>
    </row>
    <row r="10022" spans="2:7">
      <c r="B10022"/>
      <c r="C10022"/>
      <c r="D10022"/>
      <c r="G10022"/>
    </row>
    <row r="10023" spans="2:7">
      <c r="B10023"/>
      <c r="C10023"/>
      <c r="D10023"/>
      <c r="G10023"/>
    </row>
    <row r="10024" spans="2:7">
      <c r="B10024"/>
      <c r="C10024"/>
      <c r="D10024"/>
      <c r="G10024"/>
    </row>
    <row r="10025" spans="2:7">
      <c r="B10025"/>
      <c r="C10025"/>
      <c r="D10025"/>
      <c r="G10025"/>
    </row>
    <row r="10026" spans="2:7">
      <c r="B10026"/>
      <c r="C10026"/>
      <c r="D10026"/>
      <c r="G10026"/>
    </row>
    <row r="10027" spans="2:7">
      <c r="B10027"/>
      <c r="C10027"/>
      <c r="D10027"/>
      <c r="G10027"/>
    </row>
    <row r="10028" spans="2:7">
      <c r="B10028"/>
      <c r="C10028"/>
      <c r="D10028"/>
      <c r="G10028"/>
    </row>
    <row r="10029" spans="2:7">
      <c r="B10029"/>
      <c r="C10029"/>
      <c r="D10029"/>
      <c r="G10029"/>
    </row>
    <row r="10030" spans="2:7">
      <c r="B10030"/>
      <c r="C10030"/>
      <c r="D10030"/>
      <c r="G10030"/>
    </row>
    <row r="10031" spans="2:7">
      <c r="B10031"/>
      <c r="C10031"/>
      <c r="D10031"/>
      <c r="G10031"/>
    </row>
    <row r="10032" spans="2:7">
      <c r="B10032"/>
      <c r="C10032"/>
      <c r="D10032"/>
      <c r="G10032"/>
    </row>
    <row r="10033" spans="2:7">
      <c r="B10033"/>
      <c r="C10033"/>
      <c r="D10033"/>
      <c r="G10033"/>
    </row>
    <row r="10034" spans="2:7">
      <c r="B10034"/>
      <c r="C10034"/>
      <c r="D10034"/>
      <c r="G10034"/>
    </row>
    <row r="10035" spans="2:7">
      <c r="B10035"/>
      <c r="C10035"/>
      <c r="D10035"/>
      <c r="G10035"/>
    </row>
    <row r="10036" spans="2:7">
      <c r="B10036"/>
      <c r="C10036"/>
      <c r="D10036"/>
      <c r="G10036"/>
    </row>
    <row r="10037" spans="2:7">
      <c r="B10037"/>
      <c r="C10037"/>
      <c r="D10037"/>
      <c r="G10037"/>
    </row>
    <row r="10038" spans="2:7">
      <c r="B10038"/>
      <c r="C10038"/>
      <c r="D10038"/>
      <c r="G10038"/>
    </row>
    <row r="10039" spans="2:7">
      <c r="B10039"/>
      <c r="C10039"/>
      <c r="D10039"/>
      <c r="G10039"/>
    </row>
    <row r="10040" spans="2:7">
      <c r="B10040"/>
      <c r="C10040"/>
      <c r="D10040"/>
      <c r="G10040"/>
    </row>
    <row r="10041" spans="2:7">
      <c r="B10041"/>
      <c r="C10041"/>
      <c r="D10041"/>
      <c r="G10041"/>
    </row>
    <row r="10042" spans="2:7">
      <c r="B10042"/>
      <c r="C10042"/>
      <c r="D10042"/>
      <c r="G10042"/>
    </row>
    <row r="10043" spans="2:7">
      <c r="B10043"/>
      <c r="C10043"/>
      <c r="D10043"/>
      <c r="G10043"/>
    </row>
    <row r="10044" spans="2:7">
      <c r="B10044"/>
      <c r="C10044"/>
      <c r="D10044"/>
      <c r="G10044"/>
    </row>
    <row r="10045" spans="2:7">
      <c r="B10045"/>
      <c r="C10045"/>
      <c r="D10045"/>
      <c r="G10045"/>
    </row>
    <row r="10046" spans="2:7">
      <c r="B10046"/>
      <c r="C10046"/>
      <c r="D10046"/>
      <c r="G10046"/>
    </row>
    <row r="10047" spans="2:7">
      <c r="B10047"/>
      <c r="C10047"/>
      <c r="D10047"/>
      <c r="G10047"/>
    </row>
    <row r="10048" spans="2:7">
      <c r="B10048"/>
      <c r="C10048"/>
      <c r="D10048"/>
      <c r="G10048"/>
    </row>
    <row r="10049" spans="2:7">
      <c r="B10049"/>
      <c r="C10049"/>
      <c r="D10049"/>
      <c r="G10049"/>
    </row>
    <row r="10050" spans="2:7">
      <c r="B10050"/>
      <c r="C10050"/>
      <c r="D10050"/>
      <c r="G10050"/>
    </row>
    <row r="10051" spans="2:7">
      <c r="B10051"/>
      <c r="C10051"/>
      <c r="D10051"/>
      <c r="G10051"/>
    </row>
    <row r="10052" spans="2:7">
      <c r="B10052"/>
      <c r="C10052"/>
      <c r="D10052"/>
      <c r="G10052"/>
    </row>
    <row r="10053" spans="2:7">
      <c r="B10053"/>
      <c r="C10053"/>
      <c r="D10053"/>
      <c r="G10053"/>
    </row>
    <row r="10054" spans="2:7">
      <c r="B10054"/>
      <c r="C10054"/>
      <c r="D10054"/>
      <c r="G10054"/>
    </row>
    <row r="10055" spans="2:7">
      <c r="B10055"/>
      <c r="C10055"/>
      <c r="D10055"/>
      <c r="G10055"/>
    </row>
    <row r="10056" spans="2:7">
      <c r="B10056"/>
      <c r="C10056"/>
      <c r="D10056"/>
      <c r="G10056"/>
    </row>
    <row r="10057" spans="2:7">
      <c r="B10057"/>
      <c r="C10057"/>
      <c r="D10057"/>
      <c r="G10057"/>
    </row>
    <row r="10058" spans="2:7">
      <c r="B10058"/>
      <c r="C10058"/>
      <c r="D10058"/>
      <c r="G10058"/>
    </row>
    <row r="10059" spans="2:7">
      <c r="B10059"/>
      <c r="C10059"/>
      <c r="D10059"/>
      <c r="G10059"/>
    </row>
    <row r="10060" spans="2:7">
      <c r="B10060"/>
      <c r="C10060"/>
      <c r="D10060"/>
      <c r="G10060"/>
    </row>
    <row r="10061" spans="2:7">
      <c r="B10061"/>
      <c r="C10061"/>
      <c r="D10061"/>
      <c r="G10061"/>
    </row>
    <row r="10062" spans="2:7">
      <c r="B10062"/>
      <c r="C10062"/>
      <c r="D10062"/>
      <c r="G10062"/>
    </row>
    <row r="10063" spans="2:7">
      <c r="B10063"/>
      <c r="C10063"/>
      <c r="D10063"/>
      <c r="G10063"/>
    </row>
    <row r="10064" spans="2:7">
      <c r="B10064"/>
      <c r="C10064"/>
      <c r="D10064"/>
      <c r="G10064"/>
    </row>
    <row r="10065" spans="2:7">
      <c r="B10065"/>
      <c r="C10065"/>
      <c r="D10065"/>
      <c r="G10065"/>
    </row>
    <row r="10066" spans="2:7">
      <c r="B10066"/>
      <c r="C10066"/>
      <c r="D10066"/>
      <c r="G10066"/>
    </row>
    <row r="10067" spans="2:7">
      <c r="B10067"/>
      <c r="C10067"/>
      <c r="D10067"/>
      <c r="G10067"/>
    </row>
    <row r="10068" spans="2:7">
      <c r="B10068"/>
      <c r="C10068"/>
      <c r="D10068"/>
      <c r="G10068"/>
    </row>
    <row r="10069" spans="2:7">
      <c r="B10069"/>
      <c r="C10069"/>
      <c r="D10069"/>
      <c r="G10069"/>
    </row>
    <row r="10070" spans="2:7">
      <c r="B10070"/>
      <c r="C10070"/>
      <c r="D10070"/>
      <c r="G10070"/>
    </row>
    <row r="10071" spans="2:7">
      <c r="B10071"/>
      <c r="C10071"/>
      <c r="D10071"/>
      <c r="G10071"/>
    </row>
    <row r="10072" spans="2:7">
      <c r="B10072"/>
      <c r="C10072"/>
      <c r="D10072"/>
      <c r="G10072"/>
    </row>
    <row r="10073" spans="2:7">
      <c r="B10073"/>
      <c r="C10073"/>
      <c r="D10073"/>
      <c r="G10073"/>
    </row>
    <row r="10074" spans="2:7">
      <c r="B10074"/>
      <c r="C10074"/>
      <c r="D10074"/>
      <c r="G10074"/>
    </row>
    <row r="10075" spans="2:7">
      <c r="B10075"/>
      <c r="C10075"/>
      <c r="D10075"/>
      <c r="G10075"/>
    </row>
    <row r="10076" spans="2:7">
      <c r="B10076"/>
      <c r="C10076"/>
      <c r="D10076"/>
      <c r="G10076"/>
    </row>
    <row r="10077" spans="2:7">
      <c r="B10077"/>
      <c r="C10077"/>
      <c r="D10077"/>
      <c r="G10077"/>
    </row>
    <row r="10078" spans="2:7">
      <c r="B10078"/>
      <c r="C10078"/>
      <c r="D10078"/>
      <c r="G10078"/>
    </row>
    <row r="10079" spans="2:7">
      <c r="B10079"/>
      <c r="C10079"/>
      <c r="D10079"/>
      <c r="G10079"/>
    </row>
    <row r="10080" spans="2:7">
      <c r="B10080"/>
      <c r="C10080"/>
      <c r="D10080"/>
      <c r="G10080"/>
    </row>
    <row r="10081" spans="2:7">
      <c r="B10081"/>
      <c r="C10081"/>
      <c r="D10081"/>
      <c r="G10081"/>
    </row>
    <row r="10082" spans="2:7">
      <c r="B10082"/>
      <c r="C10082"/>
      <c r="D10082"/>
      <c r="G10082"/>
    </row>
    <row r="10083" spans="2:7">
      <c r="B10083"/>
      <c r="C10083"/>
      <c r="D10083"/>
      <c r="G10083"/>
    </row>
    <row r="10084" spans="2:7">
      <c r="B10084"/>
      <c r="C10084"/>
      <c r="D10084"/>
      <c r="G10084"/>
    </row>
    <row r="10085" spans="2:7">
      <c r="B10085"/>
      <c r="C10085"/>
      <c r="D10085"/>
      <c r="G10085"/>
    </row>
    <row r="10086" spans="2:7">
      <c r="B10086"/>
      <c r="C10086"/>
      <c r="D10086"/>
      <c r="G10086"/>
    </row>
    <row r="10087" spans="2:7">
      <c r="B10087"/>
      <c r="C10087"/>
      <c r="D10087"/>
      <c r="G10087"/>
    </row>
    <row r="10088" spans="2:7">
      <c r="B10088"/>
      <c r="C10088"/>
      <c r="D10088"/>
      <c r="G10088"/>
    </row>
    <row r="10089" spans="2:7">
      <c r="B10089"/>
      <c r="C10089"/>
      <c r="D10089"/>
      <c r="G10089"/>
    </row>
    <row r="10090" spans="2:7">
      <c r="B10090"/>
      <c r="C10090"/>
      <c r="D10090"/>
      <c r="G10090"/>
    </row>
    <row r="10091" spans="2:7">
      <c r="B10091"/>
      <c r="C10091"/>
      <c r="D10091"/>
      <c r="G10091"/>
    </row>
    <row r="10092" spans="2:7">
      <c r="B10092"/>
      <c r="C10092"/>
      <c r="D10092"/>
      <c r="G10092"/>
    </row>
    <row r="10093" spans="2:7">
      <c r="B10093"/>
      <c r="C10093"/>
      <c r="D10093"/>
      <c r="G10093"/>
    </row>
    <row r="10094" spans="2:7">
      <c r="B10094"/>
      <c r="C10094"/>
      <c r="D10094"/>
      <c r="G10094"/>
    </row>
    <row r="10095" spans="2:7">
      <c r="B10095"/>
      <c r="C10095"/>
      <c r="D10095"/>
      <c r="G10095"/>
    </row>
    <row r="10096" spans="2:7">
      <c r="B10096"/>
      <c r="C10096"/>
      <c r="D10096"/>
      <c r="G10096"/>
    </row>
    <row r="10097" spans="2:7">
      <c r="B10097"/>
      <c r="C10097"/>
      <c r="D10097"/>
      <c r="G10097"/>
    </row>
    <row r="10098" spans="2:7">
      <c r="B10098"/>
      <c r="C10098"/>
      <c r="D10098"/>
      <c r="G10098"/>
    </row>
    <row r="10099" spans="2:7">
      <c r="B10099"/>
      <c r="C10099"/>
      <c r="D10099"/>
      <c r="G10099"/>
    </row>
    <row r="10100" spans="2:7">
      <c r="B10100"/>
      <c r="C10100"/>
      <c r="D10100"/>
      <c r="G10100"/>
    </row>
    <row r="10101" spans="2:7">
      <c r="B10101"/>
      <c r="C10101"/>
      <c r="D10101"/>
      <c r="G10101"/>
    </row>
    <row r="10102" spans="2:7">
      <c r="B10102"/>
      <c r="C10102"/>
      <c r="D10102"/>
      <c r="G10102"/>
    </row>
    <row r="10103" spans="2:7">
      <c r="B10103"/>
      <c r="C10103"/>
      <c r="D10103"/>
      <c r="G10103"/>
    </row>
    <row r="10104" spans="2:7">
      <c r="B10104"/>
      <c r="C10104"/>
      <c r="D10104"/>
      <c r="G10104"/>
    </row>
    <row r="10105" spans="2:7">
      <c r="B10105"/>
      <c r="C10105"/>
      <c r="D10105"/>
      <c r="G10105"/>
    </row>
    <row r="10106" spans="2:7">
      <c r="B10106"/>
      <c r="C10106"/>
      <c r="D10106"/>
      <c r="G10106"/>
    </row>
    <row r="10107" spans="2:7">
      <c r="B10107"/>
      <c r="C10107"/>
      <c r="D10107"/>
      <c r="G10107"/>
    </row>
    <row r="10108" spans="2:7">
      <c r="B10108"/>
      <c r="C10108"/>
      <c r="D10108"/>
      <c r="G10108"/>
    </row>
    <row r="10109" spans="2:7">
      <c r="B10109"/>
      <c r="C10109"/>
      <c r="D10109"/>
      <c r="G10109"/>
    </row>
    <row r="10110" spans="2:7">
      <c r="B10110"/>
      <c r="C10110"/>
      <c r="D10110"/>
      <c r="G10110"/>
    </row>
    <row r="10111" spans="2:7">
      <c r="B10111"/>
      <c r="C10111"/>
      <c r="D10111"/>
      <c r="G10111"/>
    </row>
    <row r="10112" spans="2:7">
      <c r="B10112"/>
      <c r="C10112"/>
      <c r="D10112"/>
      <c r="G10112"/>
    </row>
    <row r="10113" spans="2:7">
      <c r="B10113"/>
      <c r="C10113"/>
      <c r="D10113"/>
      <c r="G10113"/>
    </row>
    <row r="10114" spans="2:7">
      <c r="B10114"/>
      <c r="C10114"/>
      <c r="D10114"/>
      <c r="G10114"/>
    </row>
    <row r="10115" spans="2:7">
      <c r="B10115"/>
      <c r="C10115"/>
      <c r="D10115"/>
      <c r="G10115"/>
    </row>
    <row r="10116" spans="2:7">
      <c r="B10116"/>
      <c r="C10116"/>
      <c r="D10116"/>
      <c r="G10116"/>
    </row>
    <row r="10117" spans="2:7">
      <c r="B10117"/>
      <c r="C10117"/>
      <c r="D10117"/>
      <c r="G10117"/>
    </row>
    <row r="10118" spans="2:7">
      <c r="B10118"/>
      <c r="C10118"/>
      <c r="D10118"/>
      <c r="G10118"/>
    </row>
    <row r="10119" spans="2:7">
      <c r="B10119"/>
      <c r="C10119"/>
      <c r="D10119"/>
      <c r="G10119"/>
    </row>
    <row r="10120" spans="2:7">
      <c r="B10120"/>
      <c r="C10120"/>
      <c r="D10120"/>
      <c r="G10120"/>
    </row>
    <row r="10121" spans="2:7">
      <c r="B10121"/>
      <c r="C10121"/>
      <c r="D10121"/>
      <c r="G10121"/>
    </row>
    <row r="10122" spans="2:7">
      <c r="B10122"/>
      <c r="C10122"/>
      <c r="D10122"/>
      <c r="G10122"/>
    </row>
    <row r="10123" spans="2:7">
      <c r="B10123"/>
      <c r="C10123"/>
      <c r="D10123"/>
      <c r="G10123"/>
    </row>
    <row r="10124" spans="2:7">
      <c r="B10124"/>
      <c r="C10124"/>
      <c r="D10124"/>
      <c r="G10124"/>
    </row>
    <row r="10125" spans="2:7">
      <c r="B10125"/>
      <c r="C10125"/>
      <c r="D10125"/>
      <c r="G10125"/>
    </row>
    <row r="10126" spans="2:7">
      <c r="B10126"/>
      <c r="C10126"/>
      <c r="D10126"/>
      <c r="G10126"/>
    </row>
    <row r="10127" spans="2:7">
      <c r="B10127"/>
      <c r="C10127"/>
      <c r="D10127"/>
      <c r="G10127"/>
    </row>
    <row r="10128" spans="2:7">
      <c r="B10128"/>
      <c r="C10128"/>
      <c r="D10128"/>
      <c r="G10128"/>
    </row>
    <row r="10129" spans="2:7">
      <c r="B10129"/>
      <c r="C10129"/>
      <c r="D10129"/>
      <c r="G10129"/>
    </row>
    <row r="10130" spans="2:7">
      <c r="B10130"/>
      <c r="C10130"/>
      <c r="D10130"/>
      <c r="G10130"/>
    </row>
    <row r="10131" spans="2:7">
      <c r="B10131"/>
      <c r="C10131"/>
      <c r="D10131"/>
      <c r="G10131"/>
    </row>
    <row r="10132" spans="2:7">
      <c r="B10132"/>
      <c r="C10132"/>
      <c r="D10132"/>
      <c r="G10132"/>
    </row>
    <row r="10133" spans="2:7">
      <c r="B10133"/>
      <c r="C10133"/>
      <c r="D10133"/>
      <c r="G10133"/>
    </row>
    <row r="10134" spans="2:7">
      <c r="B10134"/>
      <c r="C10134"/>
      <c r="D10134"/>
      <c r="G10134"/>
    </row>
    <row r="10135" spans="2:7">
      <c r="B10135"/>
      <c r="C10135"/>
      <c r="D10135"/>
      <c r="G10135"/>
    </row>
    <row r="10136" spans="2:7">
      <c r="B10136"/>
      <c r="C10136"/>
      <c r="D10136"/>
      <c r="G10136"/>
    </row>
    <row r="10137" spans="2:7">
      <c r="B10137"/>
      <c r="C10137"/>
      <c r="D10137"/>
      <c r="G10137"/>
    </row>
    <row r="10138" spans="2:7">
      <c r="B10138"/>
      <c r="C10138"/>
      <c r="D10138"/>
      <c r="G10138"/>
    </row>
    <row r="10139" spans="2:7">
      <c r="B10139"/>
      <c r="C10139"/>
      <c r="D10139"/>
      <c r="G10139"/>
    </row>
    <row r="10140" spans="2:7">
      <c r="B10140"/>
      <c r="C10140"/>
      <c r="D10140"/>
      <c r="G10140"/>
    </row>
    <row r="10141" spans="2:7">
      <c r="B10141"/>
      <c r="C10141"/>
      <c r="D10141"/>
      <c r="G10141"/>
    </row>
    <row r="10142" spans="2:7">
      <c r="B10142"/>
      <c r="C10142"/>
      <c r="D10142"/>
      <c r="G10142"/>
    </row>
    <row r="10143" spans="2:7">
      <c r="B10143"/>
      <c r="C10143"/>
      <c r="D10143"/>
      <c r="G10143"/>
    </row>
    <row r="10144" spans="2:7">
      <c r="B10144"/>
      <c r="C10144"/>
      <c r="D10144"/>
      <c r="G10144"/>
    </row>
    <row r="10145" spans="2:7">
      <c r="B10145"/>
      <c r="C10145"/>
      <c r="D10145"/>
      <c r="G10145"/>
    </row>
    <row r="10146" spans="2:7">
      <c r="B10146"/>
      <c r="C10146"/>
      <c r="D10146"/>
      <c r="G10146"/>
    </row>
    <row r="10147" spans="2:7">
      <c r="B10147"/>
      <c r="C10147"/>
      <c r="D10147"/>
      <c r="G10147"/>
    </row>
    <row r="10148" spans="2:7">
      <c r="B10148"/>
      <c r="C10148"/>
      <c r="D10148"/>
      <c r="G10148"/>
    </row>
    <row r="10149" spans="2:7">
      <c r="B10149"/>
      <c r="C10149"/>
      <c r="D10149"/>
      <c r="G10149"/>
    </row>
    <row r="10150" spans="2:7">
      <c r="B10150"/>
      <c r="C10150"/>
      <c r="D10150"/>
      <c r="G10150"/>
    </row>
    <row r="10151" spans="2:7">
      <c r="B10151"/>
      <c r="C10151"/>
      <c r="D10151"/>
      <c r="G10151"/>
    </row>
    <row r="10152" spans="2:7">
      <c r="B10152"/>
      <c r="C10152"/>
      <c r="D10152"/>
      <c r="G10152"/>
    </row>
    <row r="10153" spans="2:7">
      <c r="B10153"/>
      <c r="C10153"/>
      <c r="D10153"/>
      <c r="G10153"/>
    </row>
    <row r="10154" spans="2:7">
      <c r="B10154"/>
      <c r="C10154"/>
      <c r="D10154"/>
      <c r="G10154"/>
    </row>
    <row r="10155" spans="2:7">
      <c r="B10155"/>
      <c r="C10155"/>
      <c r="D10155"/>
      <c r="G10155"/>
    </row>
    <row r="10156" spans="2:7">
      <c r="B10156"/>
      <c r="C10156"/>
      <c r="D10156"/>
      <c r="G10156"/>
    </row>
    <row r="10157" spans="2:7">
      <c r="B10157"/>
      <c r="C10157"/>
      <c r="D10157"/>
      <c r="G10157"/>
    </row>
    <row r="10158" spans="2:7">
      <c r="B10158"/>
      <c r="C10158"/>
      <c r="D10158"/>
      <c r="G10158"/>
    </row>
    <row r="10159" spans="2:7">
      <c r="B10159"/>
      <c r="C10159"/>
      <c r="D10159"/>
      <c r="G10159"/>
    </row>
    <row r="10160" spans="2:7">
      <c r="B10160"/>
      <c r="C10160"/>
      <c r="D10160"/>
      <c r="G10160"/>
    </row>
    <row r="10161" spans="2:7">
      <c r="B10161"/>
      <c r="C10161"/>
      <c r="D10161"/>
      <c r="G10161"/>
    </row>
    <row r="10162" spans="2:7">
      <c r="B10162"/>
      <c r="C10162"/>
      <c r="D10162"/>
      <c r="G10162"/>
    </row>
    <row r="10163" spans="2:7">
      <c r="B10163"/>
      <c r="C10163"/>
      <c r="D10163"/>
      <c r="G10163"/>
    </row>
    <row r="10164" spans="2:7">
      <c r="B10164"/>
      <c r="C10164"/>
      <c r="D10164"/>
      <c r="G10164"/>
    </row>
    <row r="10165" spans="2:7">
      <c r="B10165"/>
      <c r="C10165"/>
      <c r="D10165"/>
      <c r="G10165"/>
    </row>
    <row r="10166" spans="2:7">
      <c r="B10166"/>
      <c r="C10166"/>
      <c r="D10166"/>
      <c r="G10166"/>
    </row>
    <row r="10167" spans="2:7">
      <c r="B10167"/>
      <c r="C10167"/>
      <c r="D10167"/>
      <c r="G10167"/>
    </row>
    <row r="10168" spans="2:7">
      <c r="B10168"/>
      <c r="C10168"/>
      <c r="D10168"/>
      <c r="G10168"/>
    </row>
    <row r="10169" spans="2:7">
      <c r="B10169"/>
      <c r="C10169"/>
      <c r="D10169"/>
      <c r="G10169"/>
    </row>
    <row r="10170" spans="2:7">
      <c r="B10170"/>
      <c r="C10170"/>
      <c r="D10170"/>
      <c r="G10170"/>
    </row>
    <row r="10171" spans="2:7">
      <c r="B10171"/>
      <c r="C10171"/>
      <c r="D10171"/>
      <c r="G10171"/>
    </row>
    <row r="10172" spans="2:7">
      <c r="B10172"/>
      <c r="C10172"/>
      <c r="D10172"/>
      <c r="G10172"/>
    </row>
    <row r="10173" spans="2:7">
      <c r="B10173"/>
      <c r="C10173"/>
      <c r="D10173"/>
      <c r="G10173"/>
    </row>
    <row r="10174" spans="2:7">
      <c r="B10174"/>
      <c r="C10174"/>
      <c r="D10174"/>
      <c r="G10174"/>
    </row>
    <row r="10175" spans="2:7">
      <c r="B10175"/>
      <c r="C10175"/>
      <c r="D10175"/>
      <c r="G10175"/>
    </row>
    <row r="10176" spans="2:7">
      <c r="B10176"/>
      <c r="C10176"/>
      <c r="D10176"/>
      <c r="G10176"/>
    </row>
    <row r="10177" spans="2:7">
      <c r="B10177"/>
      <c r="C10177"/>
      <c r="D10177"/>
      <c r="G10177"/>
    </row>
    <row r="10178" spans="2:7">
      <c r="B10178"/>
      <c r="C10178"/>
      <c r="D10178"/>
      <c r="G10178"/>
    </row>
    <row r="10179" spans="2:7">
      <c r="B10179"/>
      <c r="C10179"/>
      <c r="D10179"/>
      <c r="G10179"/>
    </row>
    <row r="10180" spans="2:7">
      <c r="B10180"/>
      <c r="C10180"/>
      <c r="D10180"/>
      <c r="G10180"/>
    </row>
    <row r="10181" spans="2:7">
      <c r="B10181"/>
      <c r="C10181"/>
      <c r="D10181"/>
      <c r="G10181"/>
    </row>
    <row r="10182" spans="2:7">
      <c r="B10182"/>
      <c r="C10182"/>
      <c r="D10182"/>
      <c r="G10182"/>
    </row>
    <row r="10183" spans="2:7">
      <c r="B10183"/>
      <c r="C10183"/>
      <c r="D10183"/>
      <c r="G10183"/>
    </row>
    <row r="10184" spans="2:7">
      <c r="B10184"/>
      <c r="C10184"/>
      <c r="D10184"/>
      <c r="G10184"/>
    </row>
    <row r="10185" spans="2:7">
      <c r="B10185"/>
      <c r="C10185"/>
      <c r="D10185"/>
      <c r="G10185"/>
    </row>
    <row r="10186" spans="2:7">
      <c r="B10186"/>
      <c r="C10186"/>
      <c r="D10186"/>
      <c r="G10186"/>
    </row>
    <row r="10187" spans="2:7">
      <c r="B10187"/>
      <c r="C10187"/>
      <c r="D10187"/>
      <c r="G10187"/>
    </row>
    <row r="10188" spans="2:7">
      <c r="B10188"/>
      <c r="C10188"/>
      <c r="D10188"/>
      <c r="G10188"/>
    </row>
    <row r="10189" spans="2:7">
      <c r="B10189"/>
      <c r="C10189"/>
      <c r="D10189"/>
      <c r="G10189"/>
    </row>
    <row r="10190" spans="2:7">
      <c r="B10190"/>
      <c r="C10190"/>
      <c r="D10190"/>
      <c r="G10190"/>
    </row>
    <row r="10191" spans="2:7">
      <c r="B10191"/>
      <c r="C10191"/>
      <c r="D10191"/>
      <c r="G10191"/>
    </row>
    <row r="10192" spans="2:7">
      <c r="B10192"/>
      <c r="C10192"/>
      <c r="D10192"/>
      <c r="G10192"/>
    </row>
    <row r="10193" spans="2:7">
      <c r="B10193"/>
      <c r="C10193"/>
      <c r="D10193"/>
      <c r="G10193"/>
    </row>
    <row r="10194" spans="2:7">
      <c r="B10194"/>
      <c r="C10194"/>
      <c r="D10194"/>
      <c r="G10194"/>
    </row>
    <row r="10195" spans="2:7">
      <c r="B10195"/>
      <c r="C10195"/>
      <c r="D10195"/>
      <c r="G10195"/>
    </row>
    <row r="10196" spans="2:7">
      <c r="B10196"/>
      <c r="C10196"/>
      <c r="D10196"/>
      <c r="G10196"/>
    </row>
    <row r="10197" spans="2:7">
      <c r="B10197"/>
      <c r="C10197"/>
      <c r="D10197"/>
      <c r="G10197"/>
    </row>
    <row r="10198" spans="2:7">
      <c r="B10198"/>
      <c r="C10198"/>
      <c r="D10198"/>
      <c r="G10198"/>
    </row>
    <row r="10199" spans="2:7">
      <c r="B10199"/>
      <c r="C10199"/>
      <c r="D10199"/>
      <c r="G10199"/>
    </row>
    <row r="10200" spans="2:7">
      <c r="B10200"/>
      <c r="C10200"/>
      <c r="D10200"/>
      <c r="G10200"/>
    </row>
    <row r="10201" spans="2:7">
      <c r="B10201"/>
      <c r="C10201"/>
      <c r="D10201"/>
      <c r="G10201"/>
    </row>
    <row r="10202" spans="2:7">
      <c r="B10202"/>
      <c r="C10202"/>
      <c r="D10202"/>
      <c r="G10202"/>
    </row>
    <row r="10203" spans="2:7">
      <c r="B10203"/>
      <c r="C10203"/>
      <c r="D10203"/>
      <c r="G10203"/>
    </row>
    <row r="10204" spans="2:7">
      <c r="B10204"/>
      <c r="C10204"/>
      <c r="D10204"/>
      <c r="G10204"/>
    </row>
    <row r="10205" spans="2:7">
      <c r="B10205"/>
      <c r="C10205"/>
      <c r="D10205"/>
      <c r="G10205"/>
    </row>
    <row r="10206" spans="2:7">
      <c r="B10206"/>
      <c r="C10206"/>
      <c r="D10206"/>
      <c r="G10206"/>
    </row>
    <row r="10207" spans="2:7">
      <c r="B10207"/>
      <c r="C10207"/>
      <c r="D10207"/>
      <c r="G10207"/>
    </row>
    <row r="10208" spans="2:7">
      <c r="B10208"/>
      <c r="C10208"/>
      <c r="D10208"/>
      <c r="G10208"/>
    </row>
    <row r="10209" spans="2:7">
      <c r="B10209"/>
      <c r="C10209"/>
      <c r="D10209"/>
      <c r="G10209"/>
    </row>
    <row r="10210" spans="2:7">
      <c r="B10210"/>
      <c r="C10210"/>
      <c r="D10210"/>
      <c r="G10210"/>
    </row>
    <row r="10211" spans="2:7">
      <c r="B10211"/>
      <c r="C10211"/>
      <c r="D10211"/>
      <c r="G10211"/>
    </row>
    <row r="10212" spans="2:7">
      <c r="B10212"/>
      <c r="C10212"/>
      <c r="D10212"/>
      <c r="G10212"/>
    </row>
    <row r="10213" spans="2:7">
      <c r="B10213"/>
      <c r="C10213"/>
      <c r="D10213"/>
      <c r="G10213"/>
    </row>
    <row r="10214" spans="2:7">
      <c r="B10214"/>
      <c r="C10214"/>
      <c r="D10214"/>
      <c r="G10214"/>
    </row>
    <row r="10215" spans="2:7">
      <c r="B10215"/>
      <c r="C10215"/>
      <c r="D10215"/>
      <c r="G10215"/>
    </row>
    <row r="10216" spans="2:7">
      <c r="B10216"/>
      <c r="C10216"/>
      <c r="D10216"/>
      <c r="G10216"/>
    </row>
    <row r="10217" spans="2:7">
      <c r="B10217"/>
      <c r="C10217"/>
      <c r="D10217"/>
      <c r="G10217"/>
    </row>
    <row r="10218" spans="2:7">
      <c r="B10218"/>
      <c r="C10218"/>
      <c r="D10218"/>
      <c r="G10218"/>
    </row>
    <row r="10219" spans="2:7">
      <c r="B10219"/>
      <c r="C10219"/>
      <c r="D10219"/>
      <c r="G10219"/>
    </row>
    <row r="10220" spans="2:7">
      <c r="B10220"/>
      <c r="C10220"/>
      <c r="D10220"/>
      <c r="G10220"/>
    </row>
    <row r="10221" spans="2:7">
      <c r="B10221"/>
      <c r="C10221"/>
      <c r="D10221"/>
      <c r="G10221"/>
    </row>
    <row r="10222" spans="2:7">
      <c r="B10222"/>
      <c r="C10222"/>
      <c r="D10222"/>
      <c r="G10222"/>
    </row>
    <row r="10223" spans="2:7">
      <c r="B10223"/>
      <c r="C10223"/>
      <c r="D10223"/>
      <c r="G10223"/>
    </row>
    <row r="10224" spans="2:7">
      <c r="B10224"/>
      <c r="C10224"/>
      <c r="D10224"/>
      <c r="G10224"/>
    </row>
    <row r="10225" spans="2:7">
      <c r="B10225"/>
      <c r="C10225"/>
      <c r="D10225"/>
      <c r="G10225"/>
    </row>
    <row r="10226" spans="2:7">
      <c r="B10226"/>
      <c r="C10226"/>
      <c r="D10226"/>
      <c r="G10226"/>
    </row>
    <row r="10227" spans="2:7">
      <c r="B10227"/>
      <c r="C10227"/>
      <c r="D10227"/>
      <c r="G10227"/>
    </row>
    <row r="10228" spans="2:7">
      <c r="B10228"/>
      <c r="C10228"/>
      <c r="D10228"/>
      <c r="G10228"/>
    </row>
    <row r="10229" spans="2:7">
      <c r="B10229"/>
      <c r="C10229"/>
      <c r="D10229"/>
      <c r="G10229"/>
    </row>
    <row r="10230" spans="2:7">
      <c r="B10230"/>
      <c r="C10230"/>
      <c r="D10230"/>
      <c r="G10230"/>
    </row>
    <row r="10231" spans="2:7">
      <c r="B10231"/>
      <c r="C10231"/>
      <c r="D10231"/>
      <c r="G10231"/>
    </row>
    <row r="10232" spans="2:7">
      <c r="B10232"/>
      <c r="C10232"/>
      <c r="D10232"/>
      <c r="G10232"/>
    </row>
    <row r="10233" spans="2:7">
      <c r="B10233"/>
      <c r="C10233"/>
      <c r="D10233"/>
      <c r="G10233"/>
    </row>
    <row r="10234" spans="2:7">
      <c r="B10234"/>
      <c r="C10234"/>
      <c r="D10234"/>
      <c r="G10234"/>
    </row>
    <row r="10235" spans="2:7">
      <c r="B10235"/>
      <c r="C10235"/>
      <c r="D10235"/>
      <c r="G10235"/>
    </row>
    <row r="10236" spans="2:7">
      <c r="B10236"/>
      <c r="C10236"/>
      <c r="D10236"/>
      <c r="G10236"/>
    </row>
    <row r="10237" spans="2:7">
      <c r="B10237"/>
      <c r="C10237"/>
      <c r="D10237"/>
      <c r="G10237"/>
    </row>
    <row r="10238" spans="2:7">
      <c r="B10238"/>
      <c r="C10238"/>
      <c r="D10238"/>
      <c r="G10238"/>
    </row>
    <row r="10239" spans="2:7">
      <c r="B10239"/>
      <c r="C10239"/>
      <c r="D10239"/>
      <c r="G10239"/>
    </row>
    <row r="10240" spans="2:7">
      <c r="B10240"/>
      <c r="C10240"/>
      <c r="D10240"/>
      <c r="G10240"/>
    </row>
    <row r="10241" spans="2:7">
      <c r="B10241"/>
      <c r="C10241"/>
      <c r="D10241"/>
      <c r="G10241"/>
    </row>
    <row r="10242" spans="2:7">
      <c r="B10242"/>
      <c r="C10242"/>
      <c r="D10242"/>
      <c r="G10242"/>
    </row>
    <row r="10243" spans="2:7">
      <c r="B10243"/>
      <c r="C10243"/>
      <c r="D10243"/>
      <c r="G10243"/>
    </row>
    <row r="10244" spans="2:7">
      <c r="B10244"/>
      <c r="C10244"/>
      <c r="D10244"/>
      <c r="G10244"/>
    </row>
    <row r="10245" spans="2:7">
      <c r="B10245"/>
      <c r="C10245"/>
      <c r="D10245"/>
      <c r="G10245"/>
    </row>
    <row r="10246" spans="2:7">
      <c r="B10246"/>
      <c r="C10246"/>
      <c r="D10246"/>
      <c r="G10246"/>
    </row>
    <row r="10247" spans="2:7">
      <c r="B10247"/>
      <c r="C10247"/>
      <c r="D10247"/>
      <c r="G10247"/>
    </row>
    <row r="10248" spans="2:7">
      <c r="B10248"/>
      <c r="C10248"/>
      <c r="D10248"/>
      <c r="G10248"/>
    </row>
    <row r="10249" spans="2:7">
      <c r="B10249"/>
      <c r="C10249"/>
      <c r="D10249"/>
      <c r="G10249"/>
    </row>
    <row r="10250" spans="2:7">
      <c r="B10250"/>
      <c r="C10250"/>
      <c r="D10250"/>
      <c r="G10250"/>
    </row>
    <row r="10251" spans="2:7">
      <c r="B10251"/>
      <c r="C10251"/>
      <c r="D10251"/>
      <c r="G10251"/>
    </row>
    <row r="10252" spans="2:7">
      <c r="B10252"/>
      <c r="C10252"/>
      <c r="D10252"/>
      <c r="G10252"/>
    </row>
    <row r="10253" spans="2:7">
      <c r="B10253"/>
      <c r="C10253"/>
      <c r="D10253"/>
      <c r="G10253"/>
    </row>
    <row r="10254" spans="2:7">
      <c r="B10254"/>
      <c r="C10254"/>
      <c r="D10254"/>
      <c r="G10254"/>
    </row>
    <row r="10255" spans="2:7">
      <c r="B10255"/>
      <c r="C10255"/>
      <c r="D10255"/>
      <c r="G10255"/>
    </row>
    <row r="10256" spans="2:7">
      <c r="B10256"/>
      <c r="C10256"/>
      <c r="D10256"/>
      <c r="G10256"/>
    </row>
    <row r="10257" spans="2:7">
      <c r="B10257"/>
      <c r="C10257"/>
      <c r="D10257"/>
      <c r="G10257"/>
    </row>
    <row r="10258" spans="2:7">
      <c r="B10258"/>
      <c r="C10258"/>
      <c r="D10258"/>
      <c r="G10258"/>
    </row>
    <row r="10259" spans="2:7">
      <c r="B10259"/>
      <c r="C10259"/>
      <c r="D10259"/>
      <c r="G10259"/>
    </row>
    <row r="10260" spans="2:7">
      <c r="B10260"/>
      <c r="C10260"/>
      <c r="D10260"/>
      <c r="G10260"/>
    </row>
    <row r="10261" spans="2:7">
      <c r="B10261"/>
      <c r="C10261"/>
      <c r="D10261"/>
      <c r="G10261"/>
    </row>
    <row r="10262" spans="2:7">
      <c r="B10262"/>
      <c r="C10262"/>
      <c r="D10262"/>
      <c r="G10262"/>
    </row>
    <row r="10263" spans="2:7">
      <c r="B10263"/>
      <c r="C10263"/>
      <c r="D10263"/>
      <c r="G10263"/>
    </row>
    <row r="10264" spans="2:7">
      <c r="B10264"/>
      <c r="C10264"/>
      <c r="D10264"/>
      <c r="G10264"/>
    </row>
    <row r="10265" spans="2:7">
      <c r="B10265"/>
      <c r="C10265"/>
      <c r="D10265"/>
      <c r="G10265"/>
    </row>
    <row r="10266" spans="2:7">
      <c r="B10266"/>
      <c r="C10266"/>
      <c r="D10266"/>
      <c r="G10266"/>
    </row>
    <row r="10267" spans="2:7">
      <c r="B10267"/>
      <c r="C10267"/>
      <c r="D10267"/>
      <c r="G10267"/>
    </row>
    <row r="10268" spans="2:7">
      <c r="B10268"/>
      <c r="C10268"/>
      <c r="D10268"/>
      <c r="G10268"/>
    </row>
    <row r="10269" spans="2:7">
      <c r="B10269"/>
      <c r="C10269"/>
      <c r="D10269"/>
      <c r="G10269"/>
    </row>
    <row r="10270" spans="2:7">
      <c r="B10270"/>
      <c r="C10270"/>
      <c r="D10270"/>
      <c r="G10270"/>
    </row>
    <row r="10271" spans="2:7">
      <c r="B10271"/>
      <c r="C10271"/>
      <c r="D10271"/>
      <c r="G10271"/>
    </row>
    <row r="10272" spans="2:7">
      <c r="B10272"/>
      <c r="C10272"/>
      <c r="D10272"/>
      <c r="G10272"/>
    </row>
    <row r="10273" spans="2:7">
      <c r="B10273"/>
      <c r="C10273"/>
      <c r="D10273"/>
      <c r="G10273"/>
    </row>
    <row r="10274" spans="2:7">
      <c r="B10274"/>
      <c r="C10274"/>
      <c r="D10274"/>
      <c r="G10274"/>
    </row>
    <row r="10275" spans="2:7">
      <c r="B10275"/>
      <c r="C10275"/>
      <c r="D10275"/>
      <c r="G10275"/>
    </row>
    <row r="10276" spans="2:7">
      <c r="B10276"/>
      <c r="C10276"/>
      <c r="D10276"/>
      <c r="G10276"/>
    </row>
    <row r="10277" spans="2:7">
      <c r="B10277"/>
      <c r="C10277"/>
      <c r="D10277"/>
      <c r="G10277"/>
    </row>
    <row r="10278" spans="2:7">
      <c r="B10278"/>
      <c r="C10278"/>
      <c r="D10278"/>
      <c r="G10278"/>
    </row>
    <row r="10279" spans="2:7">
      <c r="B10279"/>
      <c r="C10279"/>
      <c r="D10279"/>
      <c r="G10279"/>
    </row>
    <row r="10280" spans="2:7">
      <c r="B10280"/>
      <c r="C10280"/>
      <c r="D10280"/>
      <c r="G10280"/>
    </row>
    <row r="10281" spans="2:7">
      <c r="B10281"/>
      <c r="C10281"/>
      <c r="D10281"/>
      <c r="G10281"/>
    </row>
    <row r="10282" spans="2:7">
      <c r="B10282"/>
      <c r="C10282"/>
      <c r="D10282"/>
      <c r="G10282"/>
    </row>
    <row r="10283" spans="2:7">
      <c r="B10283"/>
      <c r="C10283"/>
      <c r="D10283"/>
      <c r="G10283"/>
    </row>
    <row r="10284" spans="2:7">
      <c r="B10284"/>
      <c r="C10284"/>
      <c r="D10284"/>
      <c r="G10284"/>
    </row>
    <row r="10285" spans="2:7">
      <c r="B10285"/>
      <c r="C10285"/>
      <c r="D10285"/>
      <c r="G10285"/>
    </row>
    <row r="10286" spans="2:7">
      <c r="B10286"/>
      <c r="C10286"/>
      <c r="D10286"/>
      <c r="G10286"/>
    </row>
    <row r="10287" spans="2:7">
      <c r="B10287"/>
      <c r="C10287"/>
      <c r="D10287"/>
      <c r="G10287"/>
    </row>
    <row r="10288" spans="2:7">
      <c r="B10288"/>
      <c r="C10288"/>
      <c r="D10288"/>
      <c r="G10288"/>
    </row>
    <row r="10289" spans="2:7">
      <c r="B10289"/>
      <c r="C10289"/>
      <c r="D10289"/>
      <c r="G10289"/>
    </row>
    <row r="10290" spans="2:7">
      <c r="B10290"/>
      <c r="C10290"/>
      <c r="D10290"/>
      <c r="G10290"/>
    </row>
    <row r="10291" spans="2:7">
      <c r="B10291"/>
      <c r="C10291"/>
      <c r="D10291"/>
      <c r="G10291"/>
    </row>
    <row r="10292" spans="2:7">
      <c r="B10292"/>
      <c r="C10292"/>
      <c r="D10292"/>
      <c r="G10292"/>
    </row>
    <row r="10293" spans="2:7">
      <c r="B10293"/>
      <c r="C10293"/>
      <c r="D10293"/>
      <c r="G10293"/>
    </row>
    <row r="10294" spans="2:7">
      <c r="B10294"/>
      <c r="C10294"/>
      <c r="D10294"/>
      <c r="G10294"/>
    </row>
    <row r="10295" spans="2:7">
      <c r="B10295"/>
      <c r="C10295"/>
      <c r="D10295"/>
      <c r="G10295"/>
    </row>
    <row r="10296" spans="2:7">
      <c r="B10296"/>
      <c r="C10296"/>
      <c r="D10296"/>
      <c r="G10296"/>
    </row>
    <row r="10297" spans="2:7">
      <c r="B10297"/>
      <c r="C10297"/>
      <c r="D10297"/>
      <c r="G10297"/>
    </row>
    <row r="10298" spans="2:7">
      <c r="B10298"/>
      <c r="C10298"/>
      <c r="D10298"/>
      <c r="G10298"/>
    </row>
    <row r="10299" spans="2:7">
      <c r="B10299"/>
      <c r="C10299"/>
      <c r="D10299"/>
      <c r="G10299"/>
    </row>
    <row r="10300" spans="2:7">
      <c r="B10300"/>
      <c r="C10300"/>
      <c r="D10300"/>
      <c r="G10300"/>
    </row>
    <row r="10301" spans="2:7">
      <c r="B10301"/>
      <c r="C10301"/>
      <c r="D10301"/>
      <c r="G10301"/>
    </row>
    <row r="10302" spans="2:7">
      <c r="B10302"/>
      <c r="C10302"/>
      <c r="D10302"/>
      <c r="G10302"/>
    </row>
    <row r="10303" spans="2:7">
      <c r="B10303"/>
      <c r="C10303"/>
      <c r="D10303"/>
      <c r="G10303"/>
    </row>
    <row r="10304" spans="2:7">
      <c r="B10304"/>
      <c r="C10304"/>
      <c r="D10304"/>
      <c r="G10304"/>
    </row>
    <row r="10305" spans="2:7">
      <c r="B10305"/>
      <c r="C10305"/>
      <c r="D10305"/>
      <c r="G10305"/>
    </row>
    <row r="10306" spans="2:7">
      <c r="B10306"/>
      <c r="C10306"/>
      <c r="D10306"/>
      <c r="G10306"/>
    </row>
    <row r="10307" spans="2:7">
      <c r="B10307"/>
      <c r="C10307"/>
      <c r="D10307"/>
      <c r="G10307"/>
    </row>
    <row r="10308" spans="2:7">
      <c r="B10308"/>
      <c r="C10308"/>
      <c r="D10308"/>
      <c r="G10308"/>
    </row>
    <row r="10309" spans="2:7">
      <c r="B10309"/>
      <c r="C10309"/>
      <c r="D10309"/>
      <c r="G10309"/>
    </row>
    <row r="10310" spans="2:7">
      <c r="B10310"/>
      <c r="C10310"/>
      <c r="D10310"/>
      <c r="G10310"/>
    </row>
    <row r="10311" spans="2:7">
      <c r="B10311"/>
      <c r="C10311"/>
      <c r="D10311"/>
      <c r="G10311"/>
    </row>
    <row r="10312" spans="2:7">
      <c r="B10312"/>
      <c r="C10312"/>
      <c r="D10312"/>
      <c r="G10312"/>
    </row>
    <row r="10313" spans="2:7">
      <c r="B10313"/>
      <c r="C10313"/>
      <c r="D10313"/>
      <c r="G10313"/>
    </row>
    <row r="10314" spans="2:7">
      <c r="B10314"/>
      <c r="C10314"/>
      <c r="D10314"/>
      <c r="G10314"/>
    </row>
    <row r="10315" spans="2:7">
      <c r="B10315"/>
      <c r="C10315"/>
      <c r="D10315"/>
      <c r="G10315"/>
    </row>
    <row r="10316" spans="2:7">
      <c r="B10316"/>
      <c r="C10316"/>
      <c r="D10316"/>
      <c r="G10316"/>
    </row>
    <row r="10317" spans="2:7">
      <c r="B10317"/>
      <c r="C10317"/>
      <c r="D10317"/>
      <c r="G10317"/>
    </row>
    <row r="10318" spans="2:7">
      <c r="B10318"/>
      <c r="C10318"/>
      <c r="D10318"/>
      <c r="G10318"/>
    </row>
    <row r="10319" spans="2:7">
      <c r="B10319"/>
      <c r="C10319"/>
      <c r="D10319"/>
      <c r="G10319"/>
    </row>
    <row r="10320" spans="2:7">
      <c r="B10320"/>
      <c r="C10320"/>
      <c r="D10320"/>
      <c r="G10320"/>
    </row>
    <row r="10321" spans="2:7">
      <c r="B10321"/>
      <c r="C10321"/>
      <c r="D10321"/>
      <c r="G10321"/>
    </row>
    <row r="10322" spans="2:7">
      <c r="B10322"/>
      <c r="C10322"/>
      <c r="D10322"/>
      <c r="G10322"/>
    </row>
    <row r="10323" spans="2:7">
      <c r="B10323"/>
      <c r="C10323"/>
      <c r="D10323"/>
      <c r="G10323"/>
    </row>
    <row r="10324" spans="2:7">
      <c r="B10324"/>
      <c r="C10324"/>
      <c r="D10324"/>
      <c r="G10324"/>
    </row>
    <row r="10325" spans="2:7">
      <c r="B10325"/>
      <c r="C10325"/>
      <c r="D10325"/>
      <c r="G10325"/>
    </row>
    <row r="10326" spans="2:7">
      <c r="B10326"/>
      <c r="C10326"/>
      <c r="D10326"/>
      <c r="G10326"/>
    </row>
    <row r="10327" spans="2:7">
      <c r="B10327"/>
      <c r="C10327"/>
      <c r="D10327"/>
      <c r="G10327"/>
    </row>
    <row r="10328" spans="2:7">
      <c r="B10328"/>
      <c r="C10328"/>
      <c r="D10328"/>
      <c r="G10328"/>
    </row>
    <row r="10329" spans="2:7">
      <c r="B10329"/>
      <c r="C10329"/>
      <c r="D10329"/>
      <c r="G10329"/>
    </row>
    <row r="10330" spans="2:7">
      <c r="B10330"/>
      <c r="C10330"/>
      <c r="D10330"/>
      <c r="G10330"/>
    </row>
    <row r="10331" spans="2:7">
      <c r="B10331"/>
      <c r="C10331"/>
      <c r="D10331"/>
      <c r="G10331"/>
    </row>
    <row r="10332" spans="2:7">
      <c r="B10332"/>
      <c r="C10332"/>
      <c r="D10332"/>
      <c r="G10332"/>
    </row>
    <row r="10333" spans="2:7">
      <c r="B10333"/>
      <c r="C10333"/>
      <c r="D10333"/>
      <c r="G10333"/>
    </row>
    <row r="10334" spans="2:7">
      <c r="B10334"/>
      <c r="C10334"/>
      <c r="D10334"/>
      <c r="G10334"/>
    </row>
    <row r="10335" spans="2:7">
      <c r="B10335"/>
      <c r="C10335"/>
      <c r="D10335"/>
      <c r="G10335"/>
    </row>
    <row r="10336" spans="2:7">
      <c r="B10336"/>
      <c r="C10336"/>
      <c r="D10336"/>
      <c r="G10336"/>
    </row>
    <row r="10337" spans="2:7">
      <c r="B10337"/>
      <c r="C10337"/>
      <c r="D10337"/>
      <c r="G10337"/>
    </row>
    <row r="10338" spans="2:7">
      <c r="B10338"/>
      <c r="C10338"/>
      <c r="D10338"/>
      <c r="G10338"/>
    </row>
    <row r="10339" spans="2:7">
      <c r="B10339"/>
      <c r="C10339"/>
      <c r="D10339"/>
      <c r="G10339"/>
    </row>
    <row r="10340" spans="2:7">
      <c r="B10340"/>
      <c r="C10340"/>
      <c r="D10340"/>
      <c r="G10340"/>
    </row>
    <row r="10341" spans="2:7">
      <c r="B10341"/>
      <c r="C10341"/>
      <c r="D10341"/>
      <c r="G10341"/>
    </row>
    <row r="10342" spans="2:7">
      <c r="B10342"/>
      <c r="C10342"/>
      <c r="D10342"/>
      <c r="G10342"/>
    </row>
    <row r="10343" spans="2:7">
      <c r="B10343"/>
      <c r="C10343"/>
      <c r="D10343"/>
      <c r="G10343"/>
    </row>
    <row r="10344" spans="2:7">
      <c r="B10344"/>
      <c r="C10344"/>
      <c r="D10344"/>
      <c r="G10344"/>
    </row>
    <row r="10345" spans="2:7">
      <c r="B10345"/>
      <c r="C10345"/>
      <c r="D10345"/>
      <c r="G10345"/>
    </row>
    <row r="10346" spans="2:7">
      <c r="B10346"/>
      <c r="C10346"/>
      <c r="D10346"/>
      <c r="G10346"/>
    </row>
    <row r="10347" spans="2:7">
      <c r="B10347"/>
      <c r="C10347"/>
      <c r="D10347"/>
      <c r="G10347"/>
    </row>
    <row r="10348" spans="2:7">
      <c r="B10348"/>
      <c r="C10348"/>
      <c r="D10348"/>
      <c r="G10348"/>
    </row>
    <row r="10349" spans="2:7">
      <c r="B10349"/>
      <c r="C10349"/>
      <c r="D10349"/>
      <c r="G10349"/>
    </row>
    <row r="10350" spans="2:7">
      <c r="B10350"/>
      <c r="C10350"/>
      <c r="D10350"/>
      <c r="G10350"/>
    </row>
    <row r="10351" spans="2:7">
      <c r="B10351"/>
      <c r="C10351"/>
      <c r="D10351"/>
      <c r="G10351"/>
    </row>
    <row r="10352" spans="2:7">
      <c r="B10352"/>
      <c r="C10352"/>
      <c r="D10352"/>
      <c r="G10352"/>
    </row>
    <row r="10353" spans="2:7">
      <c r="B10353"/>
      <c r="C10353"/>
      <c r="D10353"/>
      <c r="G10353"/>
    </row>
    <row r="10354" spans="2:7">
      <c r="B10354"/>
      <c r="C10354"/>
      <c r="D10354"/>
      <c r="G10354"/>
    </row>
    <row r="10355" spans="2:7">
      <c r="B10355"/>
      <c r="C10355"/>
      <c r="D10355"/>
      <c r="G10355"/>
    </row>
    <row r="10356" spans="2:7">
      <c r="B10356"/>
      <c r="C10356"/>
      <c r="D10356"/>
      <c r="G10356"/>
    </row>
    <row r="10357" spans="2:7">
      <c r="B10357"/>
      <c r="C10357"/>
      <c r="D10357"/>
      <c r="G10357"/>
    </row>
    <row r="10358" spans="2:7">
      <c r="B10358"/>
      <c r="C10358"/>
      <c r="D10358"/>
      <c r="G10358"/>
    </row>
    <row r="10359" spans="2:7">
      <c r="B10359"/>
      <c r="C10359"/>
      <c r="D10359"/>
      <c r="G10359"/>
    </row>
    <row r="10360" spans="2:7">
      <c r="B10360"/>
      <c r="C10360"/>
      <c r="D10360"/>
      <c r="G10360"/>
    </row>
    <row r="10361" spans="2:7">
      <c r="B10361"/>
      <c r="C10361"/>
      <c r="D10361"/>
      <c r="G10361"/>
    </row>
    <row r="10362" spans="2:7">
      <c r="B10362"/>
      <c r="C10362"/>
      <c r="D10362"/>
      <c r="G10362"/>
    </row>
    <row r="10363" spans="2:7">
      <c r="B10363"/>
      <c r="C10363"/>
      <c r="D10363"/>
      <c r="G10363"/>
    </row>
    <row r="10364" spans="2:7">
      <c r="B10364"/>
      <c r="C10364"/>
      <c r="D10364"/>
      <c r="G10364"/>
    </row>
    <row r="10365" spans="2:7">
      <c r="B10365"/>
      <c r="C10365"/>
      <c r="D10365"/>
      <c r="G10365"/>
    </row>
    <row r="10366" spans="2:7">
      <c r="B10366"/>
      <c r="C10366"/>
      <c r="D10366"/>
      <c r="G10366"/>
    </row>
    <row r="10367" spans="2:7">
      <c r="B10367"/>
      <c r="C10367"/>
      <c r="D10367"/>
      <c r="G10367"/>
    </row>
    <row r="10368" spans="2:7">
      <c r="B10368"/>
      <c r="C10368"/>
      <c r="D10368"/>
      <c r="G10368"/>
    </row>
    <row r="10369" spans="2:7">
      <c r="B10369"/>
      <c r="C10369"/>
      <c r="D10369"/>
      <c r="G10369"/>
    </row>
    <row r="10370" spans="2:7">
      <c r="B10370"/>
      <c r="C10370"/>
      <c r="D10370"/>
      <c r="G10370"/>
    </row>
    <row r="10371" spans="2:7">
      <c r="B10371"/>
      <c r="C10371"/>
      <c r="D10371"/>
      <c r="G10371"/>
    </row>
    <row r="10372" spans="2:7">
      <c r="B10372"/>
      <c r="C10372"/>
      <c r="D10372"/>
      <c r="G10372"/>
    </row>
    <row r="10373" spans="2:7">
      <c r="B10373"/>
      <c r="C10373"/>
      <c r="D10373"/>
      <c r="G10373"/>
    </row>
    <row r="10374" spans="2:7">
      <c r="B10374"/>
      <c r="C10374"/>
      <c r="D10374"/>
      <c r="G10374"/>
    </row>
    <row r="10375" spans="2:7">
      <c r="B10375"/>
      <c r="C10375"/>
      <c r="D10375"/>
      <c r="G10375"/>
    </row>
    <row r="10376" spans="2:7">
      <c r="B10376"/>
      <c r="C10376"/>
      <c r="D10376"/>
      <c r="G10376"/>
    </row>
    <row r="10377" spans="2:7">
      <c r="B10377"/>
      <c r="C10377"/>
      <c r="D10377"/>
      <c r="G10377"/>
    </row>
    <row r="10378" spans="2:7">
      <c r="B10378"/>
      <c r="C10378"/>
      <c r="D10378"/>
      <c r="G10378"/>
    </row>
    <row r="10379" spans="2:7">
      <c r="B10379"/>
      <c r="C10379"/>
      <c r="D10379"/>
      <c r="G10379"/>
    </row>
    <row r="10380" spans="2:7">
      <c r="B10380"/>
      <c r="C10380"/>
      <c r="D10380"/>
      <c r="G10380"/>
    </row>
    <row r="10381" spans="2:7">
      <c r="B10381"/>
      <c r="C10381"/>
      <c r="D10381"/>
      <c r="G10381"/>
    </row>
    <row r="10382" spans="2:7">
      <c r="B10382"/>
      <c r="C10382"/>
      <c r="D10382"/>
      <c r="G10382"/>
    </row>
    <row r="10383" spans="2:7">
      <c r="B10383"/>
      <c r="C10383"/>
      <c r="D10383"/>
      <c r="G10383"/>
    </row>
    <row r="10384" spans="2:7">
      <c r="B10384"/>
      <c r="C10384"/>
      <c r="D10384"/>
      <c r="G10384"/>
    </row>
    <row r="10385" spans="2:7">
      <c r="B10385"/>
      <c r="C10385"/>
      <c r="D10385"/>
      <c r="G10385"/>
    </row>
    <row r="10386" spans="2:7">
      <c r="B10386"/>
      <c r="C10386"/>
      <c r="D10386"/>
      <c r="G10386"/>
    </row>
    <row r="10387" spans="2:7">
      <c r="B10387"/>
      <c r="C10387"/>
      <c r="D10387"/>
      <c r="G10387"/>
    </row>
    <row r="10388" spans="2:7">
      <c r="B10388"/>
      <c r="C10388"/>
      <c r="D10388"/>
      <c r="G10388"/>
    </row>
    <row r="10389" spans="2:7">
      <c r="B10389"/>
      <c r="C10389"/>
      <c r="D10389"/>
      <c r="G10389"/>
    </row>
    <row r="10390" spans="2:7">
      <c r="B10390"/>
      <c r="C10390"/>
      <c r="D10390"/>
      <c r="G10390"/>
    </row>
    <row r="10391" spans="2:7">
      <c r="B10391"/>
      <c r="C10391"/>
      <c r="D10391"/>
      <c r="G10391"/>
    </row>
    <row r="10392" spans="2:7">
      <c r="B10392"/>
      <c r="C10392"/>
      <c r="D10392"/>
      <c r="G10392"/>
    </row>
    <row r="10393" spans="2:7">
      <c r="B10393"/>
      <c r="C10393"/>
      <c r="D10393"/>
      <c r="G10393"/>
    </row>
    <row r="10394" spans="2:7">
      <c r="B10394"/>
      <c r="C10394"/>
      <c r="D10394"/>
      <c r="G10394"/>
    </row>
    <row r="10395" spans="2:7">
      <c r="B10395"/>
      <c r="C10395"/>
      <c r="D10395"/>
      <c r="G10395"/>
    </row>
    <row r="10396" spans="2:7">
      <c r="B10396"/>
      <c r="C10396"/>
      <c r="D10396"/>
      <c r="G10396"/>
    </row>
    <row r="10397" spans="2:7">
      <c r="B10397"/>
      <c r="C10397"/>
      <c r="D10397"/>
      <c r="G10397"/>
    </row>
    <row r="10398" spans="2:7">
      <c r="B10398"/>
      <c r="C10398"/>
      <c r="D10398"/>
      <c r="G10398"/>
    </row>
    <row r="10399" spans="2:7">
      <c r="B10399"/>
      <c r="C10399"/>
      <c r="D10399"/>
      <c r="G10399"/>
    </row>
    <row r="10400" spans="2:7">
      <c r="B10400"/>
      <c r="C10400"/>
      <c r="D10400"/>
      <c r="G10400"/>
    </row>
    <row r="10401" spans="2:7">
      <c r="B10401"/>
      <c r="C10401"/>
      <c r="D10401"/>
      <c r="G10401"/>
    </row>
    <row r="10402" spans="2:7">
      <c r="B10402"/>
      <c r="C10402"/>
      <c r="D10402"/>
      <c r="G10402"/>
    </row>
    <row r="10403" spans="2:7">
      <c r="B10403"/>
      <c r="C10403"/>
      <c r="D10403"/>
      <c r="G10403"/>
    </row>
    <row r="10404" spans="2:7">
      <c r="B10404"/>
      <c r="C10404"/>
      <c r="D10404"/>
      <c r="G10404"/>
    </row>
    <row r="10405" spans="2:7">
      <c r="B10405"/>
      <c r="C10405"/>
      <c r="D10405"/>
      <c r="G10405"/>
    </row>
    <row r="10406" spans="2:7">
      <c r="B10406"/>
      <c r="C10406"/>
      <c r="D10406"/>
      <c r="G10406"/>
    </row>
    <row r="10407" spans="2:7">
      <c r="B10407"/>
      <c r="C10407"/>
      <c r="D10407"/>
      <c r="G10407"/>
    </row>
    <row r="10408" spans="2:7">
      <c r="B10408"/>
      <c r="C10408"/>
      <c r="D10408"/>
      <c r="G10408"/>
    </row>
    <row r="10409" spans="2:7">
      <c r="B10409"/>
      <c r="C10409"/>
      <c r="D10409"/>
      <c r="G10409"/>
    </row>
    <row r="10410" spans="2:7">
      <c r="B10410"/>
      <c r="C10410"/>
      <c r="D10410"/>
      <c r="G10410"/>
    </row>
    <row r="10411" spans="2:7">
      <c r="B10411"/>
      <c r="C10411"/>
      <c r="D10411"/>
      <c r="G10411"/>
    </row>
    <row r="10412" spans="2:7">
      <c r="B10412"/>
      <c r="C10412"/>
      <c r="D10412"/>
      <c r="G10412"/>
    </row>
    <row r="10413" spans="2:7">
      <c r="B10413"/>
      <c r="C10413"/>
      <c r="D10413"/>
      <c r="G10413"/>
    </row>
    <row r="10414" spans="2:7">
      <c r="B10414"/>
      <c r="C10414"/>
      <c r="D10414"/>
      <c r="G10414"/>
    </row>
    <row r="10415" spans="2:7">
      <c r="B10415"/>
      <c r="C10415"/>
      <c r="D10415"/>
      <c r="G10415"/>
    </row>
    <row r="10416" spans="2:7">
      <c r="B10416"/>
      <c r="C10416"/>
      <c r="D10416"/>
      <c r="G10416"/>
    </row>
    <row r="10417" spans="2:7">
      <c r="B10417"/>
      <c r="C10417"/>
      <c r="D10417"/>
      <c r="G10417"/>
    </row>
    <row r="10418" spans="2:7">
      <c r="B10418"/>
      <c r="C10418"/>
      <c r="D10418"/>
      <c r="G10418"/>
    </row>
    <row r="10419" spans="2:7">
      <c r="B10419"/>
      <c r="C10419"/>
      <c r="D10419"/>
      <c r="G10419"/>
    </row>
    <row r="10420" spans="2:7">
      <c r="B10420"/>
      <c r="C10420"/>
      <c r="D10420"/>
      <c r="G10420"/>
    </row>
    <row r="10421" spans="2:7">
      <c r="B10421"/>
      <c r="C10421"/>
      <c r="D10421"/>
      <c r="G10421"/>
    </row>
    <row r="10422" spans="2:7">
      <c r="B10422"/>
      <c r="C10422"/>
      <c r="D10422"/>
      <c r="G10422"/>
    </row>
    <row r="10423" spans="2:7">
      <c r="B10423"/>
      <c r="C10423"/>
      <c r="D10423"/>
      <c r="G10423"/>
    </row>
    <row r="10424" spans="2:7">
      <c r="B10424"/>
      <c r="C10424"/>
      <c r="D10424"/>
      <c r="G10424"/>
    </row>
    <row r="10425" spans="2:7">
      <c r="B10425"/>
      <c r="C10425"/>
      <c r="D10425"/>
      <c r="G10425"/>
    </row>
    <row r="10426" spans="2:7">
      <c r="B10426"/>
      <c r="C10426"/>
      <c r="D10426"/>
      <c r="G10426"/>
    </row>
    <row r="10427" spans="2:7">
      <c r="B10427"/>
      <c r="C10427"/>
      <c r="D10427"/>
      <c r="G10427"/>
    </row>
    <row r="10428" spans="2:7">
      <c r="B10428"/>
      <c r="C10428"/>
      <c r="D10428"/>
      <c r="G10428"/>
    </row>
    <row r="10429" spans="2:7">
      <c r="B10429"/>
      <c r="C10429"/>
      <c r="D10429"/>
      <c r="G10429"/>
    </row>
    <row r="10430" spans="2:7">
      <c r="B10430"/>
      <c r="C10430"/>
      <c r="D10430"/>
      <c r="G10430"/>
    </row>
    <row r="10431" spans="2:7">
      <c r="B10431"/>
      <c r="C10431"/>
      <c r="D10431"/>
      <c r="G10431"/>
    </row>
    <row r="10432" spans="2:7">
      <c r="B10432"/>
      <c r="C10432"/>
      <c r="D10432"/>
      <c r="G10432"/>
    </row>
    <row r="10433" spans="2:7">
      <c r="B10433"/>
      <c r="C10433"/>
      <c r="D10433"/>
      <c r="G10433"/>
    </row>
    <row r="10434" spans="2:7">
      <c r="B10434"/>
      <c r="C10434"/>
      <c r="D10434"/>
      <c r="G10434"/>
    </row>
    <row r="10435" spans="2:7">
      <c r="B10435"/>
      <c r="C10435"/>
      <c r="D10435"/>
      <c r="G10435"/>
    </row>
    <row r="10436" spans="2:7">
      <c r="B10436"/>
      <c r="C10436"/>
      <c r="D10436"/>
      <c r="G10436"/>
    </row>
    <row r="10437" spans="2:7">
      <c r="B10437"/>
      <c r="C10437"/>
      <c r="D10437"/>
      <c r="G10437"/>
    </row>
    <row r="10438" spans="2:7">
      <c r="B10438"/>
      <c r="C10438"/>
      <c r="D10438"/>
      <c r="G10438"/>
    </row>
    <row r="10439" spans="2:7">
      <c r="B10439"/>
      <c r="C10439"/>
      <c r="D10439"/>
      <c r="G10439"/>
    </row>
    <row r="10440" spans="2:7">
      <c r="B10440"/>
      <c r="C10440"/>
      <c r="D10440"/>
      <c r="G10440"/>
    </row>
    <row r="10441" spans="2:7">
      <c r="B10441"/>
      <c r="C10441"/>
      <c r="D10441"/>
      <c r="G10441"/>
    </row>
    <row r="10442" spans="2:7">
      <c r="B10442"/>
      <c r="C10442"/>
      <c r="D10442"/>
      <c r="G10442"/>
    </row>
    <row r="10443" spans="2:7">
      <c r="B10443"/>
      <c r="C10443"/>
      <c r="D10443"/>
      <c r="G10443"/>
    </row>
    <row r="10444" spans="2:7">
      <c r="B10444"/>
      <c r="C10444"/>
      <c r="D10444"/>
      <c r="G10444"/>
    </row>
    <row r="10445" spans="2:7">
      <c r="B10445"/>
      <c r="C10445"/>
      <c r="D10445"/>
      <c r="G10445"/>
    </row>
    <row r="10446" spans="2:7">
      <c r="B10446"/>
      <c r="C10446"/>
      <c r="D10446"/>
      <c r="G10446"/>
    </row>
    <row r="10447" spans="2:7">
      <c r="B10447"/>
      <c r="C10447"/>
      <c r="D10447"/>
      <c r="G10447"/>
    </row>
    <row r="10448" spans="2:7">
      <c r="B10448"/>
      <c r="C10448"/>
      <c r="D10448"/>
      <c r="G10448"/>
    </row>
    <row r="10449" spans="2:7">
      <c r="B10449"/>
      <c r="C10449"/>
      <c r="D10449"/>
      <c r="G10449"/>
    </row>
    <row r="10450" spans="2:7">
      <c r="B10450"/>
      <c r="C10450"/>
      <c r="D10450"/>
      <c r="G10450"/>
    </row>
    <row r="10451" spans="2:7">
      <c r="B10451"/>
      <c r="C10451"/>
      <c r="D10451"/>
      <c r="G10451"/>
    </row>
    <row r="10452" spans="2:7">
      <c r="B10452"/>
      <c r="C10452"/>
      <c r="D10452"/>
      <c r="G10452"/>
    </row>
    <row r="10453" spans="2:7">
      <c r="B10453"/>
      <c r="C10453"/>
      <c r="D10453"/>
      <c r="G10453"/>
    </row>
    <row r="10454" spans="2:7">
      <c r="B10454"/>
      <c r="C10454"/>
      <c r="D10454"/>
      <c r="G10454"/>
    </row>
    <row r="10455" spans="2:7">
      <c r="B10455"/>
      <c r="C10455"/>
      <c r="D10455"/>
      <c r="G10455"/>
    </row>
    <row r="10456" spans="2:7">
      <c r="B10456"/>
      <c r="C10456"/>
      <c r="D10456"/>
      <c r="G10456"/>
    </row>
    <row r="10457" spans="2:7">
      <c r="B10457"/>
      <c r="C10457"/>
      <c r="D10457"/>
      <c r="G10457"/>
    </row>
    <row r="10458" spans="2:7">
      <c r="B10458"/>
      <c r="C10458"/>
      <c r="D10458"/>
      <c r="G10458"/>
    </row>
    <row r="10459" spans="2:7">
      <c r="B10459"/>
      <c r="C10459"/>
      <c r="D10459"/>
      <c r="G10459"/>
    </row>
    <row r="10460" spans="2:7">
      <c r="B10460"/>
      <c r="C10460"/>
      <c r="D10460"/>
      <c r="G10460"/>
    </row>
    <row r="10461" spans="2:7">
      <c r="B10461"/>
      <c r="C10461"/>
      <c r="D10461"/>
      <c r="G10461"/>
    </row>
    <row r="10462" spans="2:7">
      <c r="B10462"/>
      <c r="C10462"/>
      <c r="D10462"/>
      <c r="G10462"/>
    </row>
    <row r="10463" spans="2:7">
      <c r="B10463"/>
      <c r="C10463"/>
      <c r="D10463"/>
      <c r="G10463"/>
    </row>
    <row r="10464" spans="2:7">
      <c r="B10464"/>
      <c r="C10464"/>
      <c r="D10464"/>
      <c r="G10464"/>
    </row>
    <row r="10465" spans="2:7">
      <c r="B10465"/>
      <c r="C10465"/>
      <c r="D10465"/>
      <c r="G10465"/>
    </row>
    <row r="10466" spans="2:7">
      <c r="B10466"/>
      <c r="C10466"/>
      <c r="D10466"/>
      <c r="G10466"/>
    </row>
    <row r="10467" spans="2:7">
      <c r="B10467"/>
      <c r="C10467"/>
      <c r="D10467"/>
      <c r="G10467"/>
    </row>
    <row r="10468" spans="2:7">
      <c r="B10468"/>
      <c r="C10468"/>
      <c r="D10468"/>
      <c r="G10468"/>
    </row>
    <row r="10469" spans="2:7">
      <c r="B10469"/>
      <c r="C10469"/>
      <c r="D10469"/>
      <c r="G10469"/>
    </row>
    <row r="10470" spans="2:7">
      <c r="B10470"/>
      <c r="C10470"/>
      <c r="D10470"/>
      <c r="G10470"/>
    </row>
    <row r="10471" spans="2:7">
      <c r="B10471"/>
      <c r="C10471"/>
      <c r="D10471"/>
      <c r="G10471"/>
    </row>
    <row r="10472" spans="2:7">
      <c r="B10472"/>
      <c r="C10472"/>
      <c r="D10472"/>
      <c r="G10472"/>
    </row>
    <row r="10473" spans="2:7">
      <c r="B10473"/>
      <c r="C10473"/>
      <c r="D10473"/>
      <c r="G10473"/>
    </row>
    <row r="10474" spans="2:7">
      <c r="B10474"/>
      <c r="C10474"/>
      <c r="D10474"/>
      <c r="G10474"/>
    </row>
    <row r="10475" spans="2:7">
      <c r="B10475"/>
      <c r="C10475"/>
      <c r="D10475"/>
      <c r="G10475"/>
    </row>
    <row r="10476" spans="2:7">
      <c r="B10476"/>
      <c r="C10476"/>
      <c r="D10476"/>
      <c r="G10476"/>
    </row>
    <row r="10477" spans="2:7">
      <c r="B10477"/>
      <c r="C10477"/>
      <c r="D10477"/>
      <c r="G10477"/>
    </row>
    <row r="10478" spans="2:7">
      <c r="B10478"/>
      <c r="C10478"/>
      <c r="D10478"/>
      <c r="G10478"/>
    </row>
    <row r="10479" spans="2:7">
      <c r="B10479"/>
      <c r="C10479"/>
      <c r="D10479"/>
      <c r="G10479"/>
    </row>
    <row r="10480" spans="2:7">
      <c r="B10480"/>
      <c r="C10480"/>
      <c r="D10480"/>
      <c r="G10480"/>
    </row>
    <row r="10481" spans="2:7">
      <c r="B10481"/>
      <c r="C10481"/>
      <c r="D10481"/>
      <c r="G10481"/>
    </row>
    <row r="10482" spans="2:7">
      <c r="B10482"/>
      <c r="C10482"/>
      <c r="D10482"/>
      <c r="G10482"/>
    </row>
    <row r="10483" spans="2:7">
      <c r="B10483"/>
      <c r="C10483"/>
      <c r="D10483"/>
      <c r="G10483"/>
    </row>
    <row r="10484" spans="2:7">
      <c r="B10484"/>
      <c r="C10484"/>
      <c r="D10484"/>
      <c r="G10484"/>
    </row>
    <row r="10485" spans="2:7">
      <c r="B10485"/>
      <c r="C10485"/>
      <c r="D10485"/>
      <c r="G10485"/>
    </row>
    <row r="10486" spans="2:7">
      <c r="B10486"/>
      <c r="C10486"/>
      <c r="D10486"/>
      <c r="G10486"/>
    </row>
    <row r="10487" spans="2:7">
      <c r="B10487"/>
      <c r="C10487"/>
      <c r="D10487"/>
      <c r="G10487"/>
    </row>
    <row r="10488" spans="2:7">
      <c r="B10488"/>
      <c r="C10488"/>
      <c r="D10488"/>
      <c r="G10488"/>
    </row>
    <row r="10489" spans="2:7">
      <c r="B10489"/>
      <c r="C10489"/>
      <c r="D10489"/>
      <c r="G10489"/>
    </row>
    <row r="10490" spans="2:7">
      <c r="B10490"/>
      <c r="C10490"/>
      <c r="D10490"/>
      <c r="G10490"/>
    </row>
    <row r="10491" spans="2:7">
      <c r="B10491"/>
      <c r="C10491"/>
      <c r="D10491"/>
      <c r="G10491"/>
    </row>
    <row r="10492" spans="2:7">
      <c r="B10492"/>
      <c r="C10492"/>
      <c r="D10492"/>
      <c r="G10492"/>
    </row>
    <row r="10493" spans="2:7">
      <c r="B10493"/>
      <c r="C10493"/>
      <c r="D10493"/>
      <c r="G10493"/>
    </row>
    <row r="10494" spans="2:7">
      <c r="B10494"/>
      <c r="C10494"/>
      <c r="D10494"/>
      <c r="G10494"/>
    </row>
    <row r="10495" spans="2:7">
      <c r="B10495"/>
      <c r="C10495"/>
      <c r="D10495"/>
      <c r="G10495"/>
    </row>
    <row r="10496" spans="2:7">
      <c r="B10496"/>
      <c r="C10496"/>
      <c r="D10496"/>
      <c r="G10496"/>
    </row>
    <row r="10497" spans="2:7">
      <c r="B10497"/>
      <c r="C10497"/>
      <c r="D10497"/>
      <c r="G10497"/>
    </row>
    <row r="10498" spans="2:7">
      <c r="B10498"/>
      <c r="C10498"/>
      <c r="D10498"/>
      <c r="G10498"/>
    </row>
    <row r="10499" spans="2:7">
      <c r="B10499"/>
      <c r="C10499"/>
      <c r="D10499"/>
      <c r="G10499"/>
    </row>
    <row r="10500" spans="2:7">
      <c r="B10500"/>
      <c r="C10500"/>
      <c r="D10500"/>
      <c r="G10500"/>
    </row>
    <row r="10501" spans="2:7">
      <c r="B10501"/>
      <c r="C10501"/>
      <c r="D10501"/>
      <c r="G10501"/>
    </row>
    <row r="10502" spans="2:7">
      <c r="B10502"/>
      <c r="C10502"/>
      <c r="D10502"/>
      <c r="G10502"/>
    </row>
    <row r="10503" spans="2:7">
      <c r="B10503"/>
      <c r="C10503"/>
      <c r="D10503"/>
      <c r="G10503"/>
    </row>
    <row r="10504" spans="2:7">
      <c r="B10504"/>
      <c r="C10504"/>
      <c r="D10504"/>
      <c r="G10504"/>
    </row>
    <row r="10505" spans="2:7">
      <c r="B10505"/>
      <c r="C10505"/>
      <c r="D10505"/>
      <c r="G10505"/>
    </row>
    <row r="10506" spans="2:7">
      <c r="B10506"/>
      <c r="C10506"/>
      <c r="D10506"/>
      <c r="G10506"/>
    </row>
    <row r="10507" spans="2:7">
      <c r="B10507"/>
      <c r="C10507"/>
      <c r="D10507"/>
      <c r="G10507"/>
    </row>
    <row r="10508" spans="2:7">
      <c r="B10508"/>
      <c r="C10508"/>
      <c r="D10508"/>
      <c r="G10508"/>
    </row>
    <row r="10509" spans="2:7">
      <c r="B10509"/>
      <c r="C10509"/>
      <c r="D10509"/>
      <c r="G10509"/>
    </row>
    <row r="10510" spans="2:7">
      <c r="B10510"/>
      <c r="C10510"/>
      <c r="D10510"/>
      <c r="G10510"/>
    </row>
    <row r="10511" spans="2:7">
      <c r="B10511"/>
      <c r="C10511"/>
      <c r="D10511"/>
      <c r="G10511"/>
    </row>
    <row r="10512" spans="2:7">
      <c r="B10512"/>
      <c r="C10512"/>
      <c r="D10512"/>
      <c r="G10512"/>
    </row>
    <row r="10513" spans="2:7">
      <c r="B10513"/>
      <c r="C10513"/>
      <c r="D10513"/>
      <c r="G10513"/>
    </row>
    <row r="10514" spans="2:7">
      <c r="B10514"/>
      <c r="C10514"/>
      <c r="D10514"/>
      <c r="G10514"/>
    </row>
    <row r="10515" spans="2:7">
      <c r="B10515"/>
      <c r="C10515"/>
      <c r="D10515"/>
      <c r="G10515"/>
    </row>
    <row r="10516" spans="2:7">
      <c r="B10516"/>
      <c r="C10516"/>
      <c r="D10516"/>
      <c r="G10516"/>
    </row>
    <row r="10517" spans="2:7">
      <c r="B10517"/>
      <c r="C10517"/>
      <c r="D10517"/>
      <c r="G10517"/>
    </row>
    <row r="10518" spans="2:7">
      <c r="B10518"/>
      <c r="C10518"/>
      <c r="D10518"/>
      <c r="G10518"/>
    </row>
    <row r="10519" spans="2:7">
      <c r="B10519"/>
      <c r="C10519"/>
      <c r="D10519"/>
      <c r="G10519"/>
    </row>
    <row r="10520" spans="2:7">
      <c r="B10520"/>
      <c r="C10520"/>
      <c r="D10520"/>
      <c r="G10520"/>
    </row>
    <row r="10521" spans="2:7">
      <c r="B10521"/>
      <c r="C10521"/>
      <c r="D10521"/>
      <c r="G10521"/>
    </row>
    <row r="10522" spans="2:7">
      <c r="B10522"/>
      <c r="C10522"/>
      <c r="D10522"/>
      <c r="G10522"/>
    </row>
    <row r="10523" spans="2:7">
      <c r="B10523"/>
      <c r="C10523"/>
      <c r="D10523"/>
      <c r="G10523"/>
    </row>
    <row r="10524" spans="2:7">
      <c r="B10524"/>
      <c r="C10524"/>
      <c r="D10524"/>
      <c r="G10524"/>
    </row>
    <row r="10525" spans="2:7">
      <c r="B10525"/>
      <c r="C10525"/>
      <c r="D10525"/>
      <c r="G10525"/>
    </row>
    <row r="10526" spans="2:7">
      <c r="B10526"/>
      <c r="C10526"/>
      <c r="D10526"/>
      <c r="G10526"/>
    </row>
    <row r="10527" spans="2:7">
      <c r="B10527"/>
      <c r="C10527"/>
      <c r="D10527"/>
      <c r="G10527"/>
    </row>
    <row r="10528" spans="2:7">
      <c r="B10528"/>
      <c r="C10528"/>
      <c r="D10528"/>
      <c r="G10528"/>
    </row>
    <row r="10529" spans="2:7">
      <c r="B10529"/>
      <c r="C10529"/>
      <c r="D10529"/>
      <c r="G10529"/>
    </row>
    <row r="10530" spans="2:7">
      <c r="B10530"/>
      <c r="C10530"/>
      <c r="D10530"/>
      <c r="G10530"/>
    </row>
    <row r="10531" spans="2:7">
      <c r="B10531"/>
      <c r="C10531"/>
      <c r="D10531"/>
      <c r="G10531"/>
    </row>
    <row r="10532" spans="2:7">
      <c r="B10532"/>
      <c r="C10532"/>
      <c r="D10532"/>
      <c r="G10532"/>
    </row>
    <row r="10533" spans="2:7">
      <c r="B10533"/>
      <c r="C10533"/>
      <c r="D10533"/>
      <c r="G10533"/>
    </row>
    <row r="10534" spans="2:7">
      <c r="B10534"/>
      <c r="C10534"/>
      <c r="D10534"/>
      <c r="G10534"/>
    </row>
    <row r="10535" spans="2:7">
      <c r="B10535"/>
      <c r="C10535"/>
      <c r="D10535"/>
      <c r="G10535"/>
    </row>
    <row r="10536" spans="2:7">
      <c r="B10536"/>
      <c r="C10536"/>
      <c r="D10536"/>
      <c r="G10536"/>
    </row>
    <row r="10537" spans="2:7">
      <c r="B10537"/>
      <c r="C10537"/>
      <c r="D10537"/>
      <c r="G10537"/>
    </row>
    <row r="10538" spans="2:7">
      <c r="B10538"/>
      <c r="C10538"/>
      <c r="D10538"/>
      <c r="G10538"/>
    </row>
    <row r="10539" spans="2:7">
      <c r="B10539"/>
      <c r="C10539"/>
      <c r="D10539"/>
      <c r="G10539"/>
    </row>
    <row r="10540" spans="2:7">
      <c r="B10540"/>
      <c r="C10540"/>
      <c r="D10540"/>
      <c r="G10540"/>
    </row>
    <row r="10541" spans="2:7">
      <c r="B10541"/>
      <c r="C10541"/>
      <c r="D10541"/>
      <c r="G10541"/>
    </row>
    <row r="10542" spans="2:7">
      <c r="B10542"/>
      <c r="C10542"/>
      <c r="D10542"/>
      <c r="G10542"/>
    </row>
    <row r="10543" spans="2:7">
      <c r="B10543"/>
      <c r="C10543"/>
      <c r="D10543"/>
      <c r="G10543"/>
    </row>
    <row r="10544" spans="2:7">
      <c r="B10544"/>
      <c r="C10544"/>
      <c r="D10544"/>
      <c r="G10544"/>
    </row>
    <row r="10545" spans="2:7">
      <c r="B10545"/>
      <c r="C10545"/>
      <c r="D10545"/>
      <c r="G10545"/>
    </row>
    <row r="10546" spans="2:7">
      <c r="B10546"/>
      <c r="C10546"/>
      <c r="D10546"/>
      <c r="G10546"/>
    </row>
    <row r="10547" spans="2:7">
      <c r="B10547"/>
      <c r="C10547"/>
      <c r="D10547"/>
      <c r="G10547"/>
    </row>
    <row r="10548" spans="2:7">
      <c r="B10548"/>
      <c r="C10548"/>
      <c r="D10548"/>
      <c r="G10548"/>
    </row>
    <row r="10549" spans="2:7">
      <c r="B10549"/>
      <c r="C10549"/>
      <c r="D10549"/>
      <c r="G10549"/>
    </row>
    <row r="10550" spans="2:7">
      <c r="B10550"/>
      <c r="C10550"/>
      <c r="D10550"/>
      <c r="G10550"/>
    </row>
    <row r="10551" spans="2:7">
      <c r="B10551"/>
      <c r="C10551"/>
      <c r="D10551"/>
      <c r="G10551"/>
    </row>
    <row r="10552" spans="2:7">
      <c r="B10552"/>
      <c r="C10552"/>
      <c r="D10552"/>
      <c r="G10552"/>
    </row>
    <row r="10553" spans="2:7">
      <c r="B10553"/>
      <c r="C10553"/>
      <c r="D10553"/>
      <c r="G10553"/>
    </row>
    <row r="10554" spans="2:7">
      <c r="B10554"/>
      <c r="C10554"/>
      <c r="D10554"/>
      <c r="G10554"/>
    </row>
    <row r="10555" spans="2:7">
      <c r="B10555"/>
      <c r="C10555"/>
      <c r="D10555"/>
      <c r="G10555"/>
    </row>
    <row r="10556" spans="2:7">
      <c r="B10556"/>
      <c r="C10556"/>
      <c r="D10556"/>
      <c r="G10556"/>
    </row>
    <row r="10557" spans="2:7">
      <c r="B10557"/>
      <c r="C10557"/>
      <c r="D10557"/>
      <c r="G10557"/>
    </row>
    <row r="10558" spans="2:7">
      <c r="B10558"/>
      <c r="C10558"/>
      <c r="D10558"/>
      <c r="G10558"/>
    </row>
    <row r="10559" spans="2:7">
      <c r="B10559"/>
      <c r="C10559"/>
      <c r="D10559"/>
      <c r="G10559"/>
    </row>
    <row r="10560" spans="2:7">
      <c r="B10560"/>
      <c r="C10560"/>
      <c r="D10560"/>
      <c r="G10560"/>
    </row>
    <row r="10561" spans="2:7">
      <c r="B10561"/>
      <c r="C10561"/>
      <c r="D10561"/>
      <c r="G10561"/>
    </row>
    <row r="10562" spans="2:7">
      <c r="B10562"/>
      <c r="C10562"/>
      <c r="D10562"/>
      <c r="G10562"/>
    </row>
    <row r="10563" spans="2:7">
      <c r="B10563"/>
      <c r="C10563"/>
      <c r="D10563"/>
      <c r="G10563"/>
    </row>
    <row r="10564" spans="2:7">
      <c r="B10564"/>
      <c r="C10564"/>
      <c r="D10564"/>
      <c r="G10564"/>
    </row>
    <row r="10565" spans="2:7">
      <c r="B10565"/>
      <c r="C10565"/>
      <c r="D10565"/>
      <c r="G10565"/>
    </row>
    <row r="10566" spans="2:7">
      <c r="B10566"/>
      <c r="C10566"/>
      <c r="D10566"/>
      <c r="G10566"/>
    </row>
    <row r="10567" spans="2:7">
      <c r="B10567"/>
      <c r="C10567"/>
      <c r="D10567"/>
      <c r="G10567"/>
    </row>
    <row r="10568" spans="2:7">
      <c r="B10568"/>
      <c r="C10568"/>
      <c r="D10568"/>
      <c r="G10568"/>
    </row>
    <row r="10569" spans="2:7">
      <c r="B10569"/>
      <c r="C10569"/>
      <c r="D10569"/>
      <c r="G10569"/>
    </row>
    <row r="10570" spans="2:7">
      <c r="B10570"/>
      <c r="C10570"/>
      <c r="D10570"/>
      <c r="G10570"/>
    </row>
    <row r="10571" spans="2:7">
      <c r="B10571"/>
      <c r="C10571"/>
      <c r="D10571"/>
      <c r="G10571"/>
    </row>
    <row r="10572" spans="2:7">
      <c r="B10572"/>
      <c r="C10572"/>
      <c r="D10572"/>
      <c r="G10572"/>
    </row>
    <row r="10573" spans="2:7">
      <c r="B10573"/>
      <c r="C10573"/>
      <c r="D10573"/>
      <c r="G10573"/>
    </row>
    <row r="10574" spans="2:7">
      <c r="B10574"/>
      <c r="C10574"/>
      <c r="D10574"/>
      <c r="G10574"/>
    </row>
    <row r="10575" spans="2:7">
      <c r="B10575"/>
      <c r="C10575"/>
      <c r="D10575"/>
      <c r="G10575"/>
    </row>
    <row r="10576" spans="2:7">
      <c r="B10576"/>
      <c r="C10576"/>
      <c r="D10576"/>
      <c r="G10576"/>
    </row>
    <row r="10577" spans="2:7">
      <c r="B10577"/>
      <c r="C10577"/>
      <c r="D10577"/>
      <c r="G10577"/>
    </row>
    <row r="10578" spans="2:7">
      <c r="B10578"/>
      <c r="C10578"/>
      <c r="D10578"/>
      <c r="G10578"/>
    </row>
    <row r="10579" spans="2:7">
      <c r="B10579"/>
      <c r="C10579"/>
      <c r="D10579"/>
      <c r="G10579"/>
    </row>
    <row r="10580" spans="2:7">
      <c r="B10580"/>
      <c r="C10580"/>
      <c r="D10580"/>
      <c r="G10580"/>
    </row>
    <row r="10581" spans="2:7">
      <c r="B10581"/>
      <c r="C10581"/>
      <c r="D10581"/>
      <c r="G10581"/>
    </row>
    <row r="10582" spans="2:7">
      <c r="B10582"/>
      <c r="C10582"/>
      <c r="D10582"/>
      <c r="G10582"/>
    </row>
    <row r="10583" spans="2:7">
      <c r="B10583"/>
      <c r="C10583"/>
      <c r="D10583"/>
      <c r="G10583"/>
    </row>
    <row r="10584" spans="2:7">
      <c r="B10584"/>
      <c r="C10584"/>
      <c r="D10584"/>
      <c r="G10584"/>
    </row>
    <row r="10585" spans="2:7">
      <c r="B10585"/>
      <c r="C10585"/>
      <c r="D10585"/>
      <c r="G10585"/>
    </row>
    <row r="10586" spans="2:7">
      <c r="B10586"/>
      <c r="C10586"/>
      <c r="D10586"/>
      <c r="G10586"/>
    </row>
    <row r="10587" spans="2:7">
      <c r="B10587"/>
      <c r="C10587"/>
      <c r="D10587"/>
      <c r="G10587"/>
    </row>
    <row r="10588" spans="2:7">
      <c r="B10588"/>
      <c r="C10588"/>
      <c r="D10588"/>
      <c r="G10588"/>
    </row>
    <row r="10589" spans="2:7">
      <c r="B10589"/>
      <c r="C10589"/>
      <c r="D10589"/>
      <c r="G10589"/>
    </row>
    <row r="10590" spans="2:7">
      <c r="B10590"/>
      <c r="C10590"/>
      <c r="D10590"/>
      <c r="G10590"/>
    </row>
    <row r="10591" spans="2:7">
      <c r="B10591"/>
      <c r="C10591"/>
      <c r="D10591"/>
      <c r="G10591"/>
    </row>
    <row r="10592" spans="2:7">
      <c r="B10592"/>
      <c r="C10592"/>
      <c r="D10592"/>
      <c r="G10592"/>
    </row>
    <row r="10593" spans="2:7">
      <c r="B10593"/>
      <c r="C10593"/>
      <c r="D10593"/>
      <c r="G10593"/>
    </row>
    <row r="10594" spans="2:7">
      <c r="B10594"/>
      <c r="C10594"/>
      <c r="D10594"/>
      <c r="G10594"/>
    </row>
    <row r="10595" spans="2:7">
      <c r="B10595"/>
      <c r="C10595"/>
      <c r="D10595"/>
      <c r="G10595"/>
    </row>
    <row r="10596" spans="2:7">
      <c r="B10596"/>
      <c r="C10596"/>
      <c r="D10596"/>
      <c r="G10596"/>
    </row>
    <row r="10597" spans="2:7">
      <c r="B10597"/>
      <c r="C10597"/>
      <c r="D10597"/>
      <c r="G10597"/>
    </row>
    <row r="10598" spans="2:7">
      <c r="B10598"/>
      <c r="C10598"/>
      <c r="D10598"/>
      <c r="G10598"/>
    </row>
    <row r="10599" spans="2:7">
      <c r="B10599"/>
      <c r="C10599"/>
      <c r="D10599"/>
      <c r="G10599"/>
    </row>
    <row r="10600" spans="2:7">
      <c r="B10600"/>
      <c r="C10600"/>
      <c r="D10600"/>
      <c r="G10600"/>
    </row>
    <row r="10601" spans="2:7">
      <c r="B10601"/>
      <c r="C10601"/>
      <c r="D10601"/>
      <c r="G10601"/>
    </row>
    <row r="10602" spans="2:7">
      <c r="B10602"/>
      <c r="C10602"/>
      <c r="D10602"/>
      <c r="G10602"/>
    </row>
    <row r="10603" spans="2:7">
      <c r="B10603"/>
      <c r="C10603"/>
      <c r="D10603"/>
      <c r="G10603"/>
    </row>
    <row r="10604" spans="2:7">
      <c r="B10604"/>
      <c r="C10604"/>
      <c r="D10604"/>
      <c r="G10604"/>
    </row>
    <row r="10605" spans="2:7">
      <c r="B10605"/>
      <c r="C10605"/>
      <c r="D10605"/>
      <c r="G10605"/>
    </row>
    <row r="10606" spans="2:7">
      <c r="B10606"/>
      <c r="C10606"/>
      <c r="D10606"/>
      <c r="G10606"/>
    </row>
    <row r="10607" spans="2:7">
      <c r="B10607"/>
      <c r="C10607"/>
      <c r="D10607"/>
      <c r="G10607"/>
    </row>
    <row r="10608" spans="2:7">
      <c r="B10608"/>
      <c r="C10608"/>
      <c r="D10608"/>
      <c r="G10608"/>
    </row>
    <row r="10609" spans="2:7">
      <c r="B10609"/>
      <c r="C10609"/>
      <c r="D10609"/>
      <c r="G10609"/>
    </row>
    <row r="10610" spans="2:7">
      <c r="B10610"/>
      <c r="C10610"/>
      <c r="D10610"/>
      <c r="G10610"/>
    </row>
    <row r="10611" spans="2:7">
      <c r="B10611"/>
      <c r="C10611"/>
      <c r="D10611"/>
      <c r="G10611"/>
    </row>
    <row r="10612" spans="2:7">
      <c r="B10612"/>
      <c r="C10612"/>
      <c r="D10612"/>
      <c r="G10612"/>
    </row>
    <row r="10613" spans="2:7">
      <c r="B10613"/>
      <c r="C10613"/>
      <c r="D10613"/>
      <c r="G10613"/>
    </row>
    <row r="10614" spans="2:7">
      <c r="B10614"/>
      <c r="C10614"/>
      <c r="D10614"/>
      <c r="G10614"/>
    </row>
    <row r="10615" spans="2:7">
      <c r="B10615"/>
      <c r="C10615"/>
      <c r="D10615"/>
      <c r="G10615"/>
    </row>
    <row r="10616" spans="2:7">
      <c r="B10616"/>
      <c r="C10616"/>
      <c r="D10616"/>
      <c r="G10616"/>
    </row>
    <row r="10617" spans="2:7">
      <c r="B10617"/>
      <c r="C10617"/>
      <c r="D10617"/>
      <c r="G10617"/>
    </row>
    <row r="10618" spans="2:7">
      <c r="B10618"/>
      <c r="C10618"/>
      <c r="D10618"/>
      <c r="G10618"/>
    </row>
    <row r="10619" spans="2:7">
      <c r="B10619"/>
      <c r="C10619"/>
      <c r="D10619"/>
      <c r="G10619"/>
    </row>
    <row r="10620" spans="2:7">
      <c r="B10620"/>
      <c r="C10620"/>
      <c r="D10620"/>
      <c r="G10620"/>
    </row>
    <row r="10621" spans="2:7">
      <c r="B10621"/>
      <c r="C10621"/>
      <c r="D10621"/>
      <c r="G10621"/>
    </row>
    <row r="10622" spans="2:7">
      <c r="B10622"/>
      <c r="C10622"/>
      <c r="D10622"/>
      <c r="G10622"/>
    </row>
    <row r="10623" spans="2:7">
      <c r="B10623"/>
      <c r="C10623"/>
      <c r="D10623"/>
      <c r="G10623"/>
    </row>
    <row r="10624" spans="2:7">
      <c r="B10624"/>
      <c r="C10624"/>
      <c r="D10624"/>
      <c r="G10624"/>
    </row>
    <row r="10625" spans="2:7">
      <c r="B10625"/>
      <c r="C10625"/>
      <c r="D10625"/>
      <c r="G10625"/>
    </row>
    <row r="10626" spans="2:7">
      <c r="B10626"/>
      <c r="C10626"/>
      <c r="D10626"/>
      <c r="G10626"/>
    </row>
    <row r="10627" spans="2:7">
      <c r="B10627"/>
      <c r="C10627"/>
      <c r="D10627"/>
      <c r="G10627"/>
    </row>
    <row r="10628" spans="2:7">
      <c r="B10628"/>
      <c r="C10628"/>
      <c r="D10628"/>
      <c r="G10628"/>
    </row>
    <row r="10629" spans="2:7">
      <c r="B10629"/>
      <c r="C10629"/>
      <c r="D10629"/>
      <c r="G10629"/>
    </row>
    <row r="10630" spans="2:7">
      <c r="B10630"/>
      <c r="C10630"/>
      <c r="D10630"/>
      <c r="G10630"/>
    </row>
    <row r="10631" spans="2:7">
      <c r="B10631"/>
      <c r="C10631"/>
      <c r="D10631"/>
      <c r="G10631"/>
    </row>
    <row r="10632" spans="2:7">
      <c r="B10632"/>
      <c r="C10632"/>
      <c r="D10632"/>
      <c r="G10632"/>
    </row>
    <row r="10633" spans="2:7">
      <c r="B10633"/>
      <c r="C10633"/>
      <c r="D10633"/>
      <c r="G10633"/>
    </row>
    <row r="10634" spans="2:7">
      <c r="B10634"/>
      <c r="C10634"/>
      <c r="D10634"/>
      <c r="G10634"/>
    </row>
    <row r="10635" spans="2:7">
      <c r="B10635"/>
      <c r="C10635"/>
      <c r="D10635"/>
      <c r="G10635"/>
    </row>
    <row r="10636" spans="2:7">
      <c r="B10636"/>
      <c r="C10636"/>
      <c r="D10636"/>
      <c r="G10636"/>
    </row>
    <row r="10637" spans="2:7">
      <c r="B10637"/>
      <c r="C10637"/>
      <c r="D10637"/>
      <c r="G10637"/>
    </row>
    <row r="10638" spans="2:7">
      <c r="B10638"/>
      <c r="C10638"/>
      <c r="D10638"/>
      <c r="G10638"/>
    </row>
    <row r="10639" spans="2:7">
      <c r="B10639"/>
      <c r="C10639"/>
      <c r="D10639"/>
      <c r="G10639"/>
    </row>
    <row r="10640" spans="2:7">
      <c r="B10640"/>
      <c r="C10640"/>
      <c r="D10640"/>
      <c r="G10640"/>
    </row>
    <row r="10641" spans="2:7">
      <c r="B10641"/>
      <c r="C10641"/>
      <c r="D10641"/>
      <c r="G10641"/>
    </row>
    <row r="10642" spans="2:7">
      <c r="B10642"/>
      <c r="C10642"/>
      <c r="D10642"/>
      <c r="G10642"/>
    </row>
    <row r="10643" spans="2:7">
      <c r="B10643"/>
      <c r="C10643"/>
      <c r="D10643"/>
      <c r="G10643"/>
    </row>
    <row r="10644" spans="2:7">
      <c r="B10644"/>
      <c r="C10644"/>
      <c r="D10644"/>
      <c r="G10644"/>
    </row>
    <row r="10645" spans="2:7">
      <c r="B10645"/>
      <c r="C10645"/>
      <c r="D10645"/>
      <c r="G10645"/>
    </row>
    <row r="10646" spans="2:7">
      <c r="B10646"/>
      <c r="C10646"/>
      <c r="D10646"/>
      <c r="G10646"/>
    </row>
    <row r="10647" spans="2:7">
      <c r="B10647"/>
      <c r="C10647"/>
      <c r="D10647"/>
      <c r="G10647"/>
    </row>
    <row r="10648" spans="2:7">
      <c r="B10648"/>
      <c r="C10648"/>
      <c r="D10648"/>
      <c r="G10648"/>
    </row>
    <row r="10649" spans="2:7">
      <c r="B10649"/>
      <c r="C10649"/>
      <c r="D10649"/>
      <c r="G10649"/>
    </row>
    <row r="10650" spans="2:7">
      <c r="B10650"/>
      <c r="C10650"/>
      <c r="D10650"/>
      <c r="G10650"/>
    </row>
    <row r="10651" spans="2:7">
      <c r="B10651"/>
      <c r="C10651"/>
      <c r="D10651"/>
      <c r="G10651"/>
    </row>
    <row r="10652" spans="2:7">
      <c r="B10652"/>
      <c r="C10652"/>
      <c r="D10652"/>
      <c r="G10652"/>
    </row>
    <row r="10653" spans="2:7">
      <c r="B10653"/>
      <c r="C10653"/>
      <c r="D10653"/>
      <c r="G10653"/>
    </row>
    <row r="10654" spans="2:7">
      <c r="B10654"/>
      <c r="C10654"/>
      <c r="D10654"/>
      <c r="G10654"/>
    </row>
    <row r="10655" spans="2:7">
      <c r="B10655"/>
      <c r="C10655"/>
      <c r="D10655"/>
      <c r="G10655"/>
    </row>
    <row r="10656" spans="2:7">
      <c r="B10656"/>
      <c r="C10656"/>
      <c r="D10656"/>
      <c r="G10656"/>
    </row>
    <row r="10657" spans="2:7">
      <c r="B10657"/>
      <c r="C10657"/>
      <c r="D10657"/>
      <c r="G10657"/>
    </row>
    <row r="10658" spans="2:7">
      <c r="B10658"/>
      <c r="C10658"/>
      <c r="D10658"/>
      <c r="G10658"/>
    </row>
    <row r="10659" spans="2:7">
      <c r="B10659"/>
      <c r="C10659"/>
      <c r="D10659"/>
      <c r="G10659"/>
    </row>
    <row r="10660" spans="2:7">
      <c r="B10660"/>
      <c r="C10660"/>
      <c r="D10660"/>
      <c r="G10660"/>
    </row>
    <row r="10661" spans="2:7">
      <c r="B10661"/>
      <c r="C10661"/>
      <c r="D10661"/>
      <c r="G10661"/>
    </row>
    <row r="10662" spans="2:7">
      <c r="B10662"/>
      <c r="C10662"/>
      <c r="D10662"/>
      <c r="G10662"/>
    </row>
    <row r="10663" spans="2:7">
      <c r="B10663"/>
      <c r="C10663"/>
      <c r="D10663"/>
      <c r="G10663"/>
    </row>
    <row r="10664" spans="2:7">
      <c r="B10664"/>
      <c r="C10664"/>
      <c r="D10664"/>
      <c r="G10664"/>
    </row>
    <row r="10665" spans="2:7">
      <c r="B10665"/>
      <c r="C10665"/>
      <c r="D10665"/>
      <c r="G10665"/>
    </row>
    <row r="10666" spans="2:7">
      <c r="B10666"/>
      <c r="C10666"/>
      <c r="D10666"/>
      <c r="G10666"/>
    </row>
    <row r="10667" spans="2:7">
      <c r="B10667"/>
      <c r="C10667"/>
      <c r="D10667"/>
      <c r="G10667"/>
    </row>
    <row r="10668" spans="2:7">
      <c r="B10668"/>
      <c r="C10668"/>
      <c r="D10668"/>
      <c r="G10668"/>
    </row>
    <row r="10669" spans="2:7">
      <c r="B10669"/>
      <c r="C10669"/>
      <c r="D10669"/>
      <c r="G10669"/>
    </row>
    <row r="10670" spans="2:7">
      <c r="B10670"/>
      <c r="C10670"/>
      <c r="D10670"/>
      <c r="G10670"/>
    </row>
    <row r="10671" spans="2:7">
      <c r="B10671"/>
      <c r="C10671"/>
      <c r="D10671"/>
      <c r="G10671"/>
    </row>
    <row r="10672" spans="2:7">
      <c r="B10672"/>
      <c r="C10672"/>
      <c r="D10672"/>
      <c r="G10672"/>
    </row>
    <row r="10673" spans="2:7">
      <c r="B10673"/>
      <c r="C10673"/>
      <c r="D10673"/>
      <c r="G10673"/>
    </row>
    <row r="10674" spans="2:7">
      <c r="B10674"/>
      <c r="C10674"/>
      <c r="D10674"/>
      <c r="G10674"/>
    </row>
    <row r="10675" spans="2:7">
      <c r="B10675"/>
      <c r="C10675"/>
      <c r="D10675"/>
      <c r="G10675"/>
    </row>
    <row r="10676" spans="2:7">
      <c r="B10676"/>
      <c r="C10676"/>
      <c r="D10676"/>
      <c r="G10676"/>
    </row>
    <row r="10677" spans="2:7">
      <c r="B10677"/>
      <c r="C10677"/>
      <c r="D10677"/>
      <c r="G10677"/>
    </row>
    <row r="10678" spans="2:7">
      <c r="B10678"/>
      <c r="C10678"/>
      <c r="D10678"/>
      <c r="G10678"/>
    </row>
    <row r="10679" spans="2:7">
      <c r="B10679"/>
      <c r="C10679"/>
      <c r="D10679"/>
      <c r="G10679"/>
    </row>
    <row r="10680" spans="2:7">
      <c r="B10680"/>
      <c r="C10680"/>
      <c r="D10680"/>
      <c r="G10680"/>
    </row>
    <row r="10681" spans="2:7">
      <c r="B10681"/>
      <c r="C10681"/>
      <c r="D10681"/>
      <c r="G10681"/>
    </row>
    <row r="10682" spans="2:7">
      <c r="B10682"/>
      <c r="C10682"/>
      <c r="D10682"/>
      <c r="G10682"/>
    </row>
    <row r="10683" spans="2:7">
      <c r="B10683"/>
      <c r="C10683"/>
      <c r="D10683"/>
      <c r="G10683"/>
    </row>
    <row r="10684" spans="2:7">
      <c r="B10684"/>
      <c r="C10684"/>
      <c r="D10684"/>
      <c r="G10684"/>
    </row>
    <row r="10685" spans="2:7">
      <c r="B10685"/>
      <c r="C10685"/>
      <c r="D10685"/>
      <c r="G10685"/>
    </row>
    <row r="10686" spans="2:7">
      <c r="B10686"/>
      <c r="C10686"/>
      <c r="D10686"/>
      <c r="G10686"/>
    </row>
    <row r="10687" spans="2:7">
      <c r="B10687"/>
      <c r="C10687"/>
      <c r="D10687"/>
      <c r="G10687"/>
    </row>
    <row r="10688" spans="2:7">
      <c r="B10688"/>
      <c r="C10688"/>
      <c r="D10688"/>
      <c r="G10688"/>
    </row>
    <row r="10689" spans="2:7">
      <c r="B10689"/>
      <c r="C10689"/>
      <c r="D10689"/>
      <c r="G10689"/>
    </row>
    <row r="10690" spans="2:7">
      <c r="B10690"/>
      <c r="C10690"/>
      <c r="D10690"/>
      <c r="G10690"/>
    </row>
    <row r="10691" spans="2:7">
      <c r="B10691"/>
      <c r="C10691"/>
      <c r="D10691"/>
      <c r="G10691"/>
    </row>
    <row r="10692" spans="2:7">
      <c r="B10692"/>
      <c r="C10692"/>
      <c r="D10692"/>
      <c r="G10692"/>
    </row>
    <row r="10693" spans="2:7">
      <c r="B10693"/>
      <c r="C10693"/>
      <c r="D10693"/>
      <c r="G10693"/>
    </row>
    <row r="10694" spans="2:7">
      <c r="B10694"/>
      <c r="C10694"/>
      <c r="D10694"/>
      <c r="G10694"/>
    </row>
    <row r="10695" spans="2:7">
      <c r="B10695"/>
      <c r="C10695"/>
      <c r="D10695"/>
      <c r="G10695"/>
    </row>
    <row r="10696" spans="2:7">
      <c r="B10696"/>
      <c r="C10696"/>
      <c r="D10696"/>
      <c r="G10696"/>
    </row>
    <row r="10697" spans="2:7">
      <c r="B10697"/>
      <c r="C10697"/>
      <c r="D10697"/>
      <c r="G10697"/>
    </row>
    <row r="10698" spans="2:7">
      <c r="B10698"/>
      <c r="C10698"/>
      <c r="D10698"/>
      <c r="G10698"/>
    </row>
    <row r="10699" spans="2:7">
      <c r="B10699"/>
      <c r="C10699"/>
      <c r="D10699"/>
      <c r="G10699"/>
    </row>
    <row r="10700" spans="2:7">
      <c r="B10700"/>
      <c r="C10700"/>
      <c r="D10700"/>
      <c r="G10700"/>
    </row>
    <row r="10701" spans="2:7">
      <c r="B10701"/>
      <c r="C10701"/>
      <c r="D10701"/>
      <c r="G10701"/>
    </row>
    <row r="10702" spans="2:7">
      <c r="B10702"/>
      <c r="C10702"/>
      <c r="D10702"/>
      <c r="G10702"/>
    </row>
    <row r="10703" spans="2:7">
      <c r="B10703"/>
      <c r="C10703"/>
      <c r="D10703"/>
      <c r="G10703"/>
    </row>
    <row r="10704" spans="2:7">
      <c r="B10704"/>
      <c r="C10704"/>
      <c r="D10704"/>
      <c r="G10704"/>
    </row>
    <row r="10705" spans="2:7">
      <c r="B10705"/>
      <c r="C10705"/>
      <c r="D10705"/>
      <c r="G10705"/>
    </row>
    <row r="10706" spans="2:7">
      <c r="B10706"/>
      <c r="C10706"/>
      <c r="D10706"/>
      <c r="G10706"/>
    </row>
    <row r="10707" spans="2:7">
      <c r="B10707"/>
      <c r="C10707"/>
      <c r="D10707"/>
      <c r="G10707"/>
    </row>
    <row r="10708" spans="2:7">
      <c r="B10708"/>
      <c r="C10708"/>
      <c r="D10708"/>
      <c r="G10708"/>
    </row>
    <row r="10709" spans="2:7">
      <c r="B10709"/>
      <c r="C10709"/>
      <c r="D10709"/>
      <c r="G10709"/>
    </row>
    <row r="10710" spans="2:7">
      <c r="B10710"/>
      <c r="C10710"/>
      <c r="D10710"/>
      <c r="G10710"/>
    </row>
    <row r="10711" spans="2:7">
      <c r="B10711"/>
      <c r="C10711"/>
      <c r="D10711"/>
      <c r="G10711"/>
    </row>
    <row r="10712" spans="2:7">
      <c r="B10712"/>
      <c r="C10712"/>
      <c r="D10712"/>
      <c r="G10712"/>
    </row>
    <row r="10713" spans="2:7">
      <c r="B10713"/>
      <c r="C10713"/>
      <c r="D10713"/>
      <c r="G10713"/>
    </row>
    <row r="10714" spans="2:7">
      <c r="B10714"/>
      <c r="C10714"/>
      <c r="D10714"/>
      <c r="G10714"/>
    </row>
    <row r="10715" spans="2:7">
      <c r="B10715"/>
      <c r="C10715"/>
      <c r="D10715"/>
      <c r="G10715"/>
    </row>
    <row r="10716" spans="2:7">
      <c r="B10716"/>
      <c r="C10716"/>
      <c r="D10716"/>
      <c r="G10716"/>
    </row>
    <row r="10717" spans="2:7">
      <c r="B10717"/>
      <c r="C10717"/>
      <c r="D10717"/>
      <c r="G10717"/>
    </row>
    <row r="10718" spans="2:7">
      <c r="B10718"/>
      <c r="C10718"/>
      <c r="D10718"/>
      <c r="G10718"/>
    </row>
    <row r="10719" spans="2:7">
      <c r="B10719"/>
      <c r="C10719"/>
      <c r="D10719"/>
      <c r="G10719"/>
    </row>
    <row r="10720" spans="2:7">
      <c r="B10720"/>
      <c r="C10720"/>
      <c r="D10720"/>
      <c r="G10720"/>
    </row>
    <row r="10721" spans="2:7">
      <c r="B10721"/>
      <c r="C10721"/>
      <c r="D10721"/>
      <c r="G10721"/>
    </row>
    <row r="10722" spans="2:7">
      <c r="B10722"/>
      <c r="C10722"/>
      <c r="D10722"/>
      <c r="G10722"/>
    </row>
    <row r="10723" spans="2:7">
      <c r="B10723"/>
      <c r="C10723"/>
      <c r="D10723"/>
      <c r="G10723"/>
    </row>
    <row r="10724" spans="2:7">
      <c r="B10724"/>
      <c r="C10724"/>
      <c r="D10724"/>
      <c r="G10724"/>
    </row>
    <row r="10725" spans="2:7">
      <c r="B10725"/>
      <c r="C10725"/>
      <c r="D10725"/>
      <c r="G10725"/>
    </row>
    <row r="10726" spans="2:7">
      <c r="B10726"/>
      <c r="C10726"/>
      <c r="D10726"/>
      <c r="G10726"/>
    </row>
    <row r="10727" spans="2:7">
      <c r="B10727"/>
      <c r="C10727"/>
      <c r="D10727"/>
      <c r="G10727"/>
    </row>
    <row r="10728" spans="2:7">
      <c r="B10728"/>
      <c r="C10728"/>
      <c r="D10728"/>
      <c r="G10728"/>
    </row>
    <row r="10729" spans="2:7">
      <c r="B10729"/>
      <c r="C10729"/>
      <c r="D10729"/>
      <c r="G10729"/>
    </row>
    <row r="10730" spans="2:7">
      <c r="B10730"/>
      <c r="C10730"/>
      <c r="D10730"/>
      <c r="G10730"/>
    </row>
    <row r="10731" spans="2:7">
      <c r="B10731"/>
      <c r="C10731"/>
      <c r="D10731"/>
      <c r="G10731"/>
    </row>
    <row r="10732" spans="2:7">
      <c r="B10732"/>
      <c r="C10732"/>
      <c r="D10732"/>
      <c r="G10732"/>
    </row>
    <row r="10733" spans="2:7">
      <c r="B10733"/>
      <c r="C10733"/>
      <c r="D10733"/>
      <c r="G10733"/>
    </row>
    <row r="10734" spans="2:7">
      <c r="B10734"/>
      <c r="C10734"/>
      <c r="D10734"/>
      <c r="G10734"/>
    </row>
    <row r="10735" spans="2:7">
      <c r="B10735"/>
      <c r="C10735"/>
      <c r="D10735"/>
      <c r="G10735"/>
    </row>
    <row r="10736" spans="2:7">
      <c r="B10736"/>
      <c r="C10736"/>
      <c r="D10736"/>
      <c r="G10736"/>
    </row>
    <row r="10737" spans="2:7">
      <c r="B10737"/>
      <c r="C10737"/>
      <c r="D10737"/>
      <c r="G10737"/>
    </row>
    <row r="10738" spans="2:7">
      <c r="B10738"/>
      <c r="C10738"/>
      <c r="D10738"/>
      <c r="G10738"/>
    </row>
    <row r="10739" spans="2:7">
      <c r="B10739"/>
      <c r="C10739"/>
      <c r="D10739"/>
      <c r="G10739"/>
    </row>
    <row r="10740" spans="2:7">
      <c r="B10740"/>
      <c r="C10740"/>
      <c r="D10740"/>
      <c r="G10740"/>
    </row>
    <row r="10741" spans="2:7">
      <c r="B10741"/>
      <c r="C10741"/>
      <c r="D10741"/>
      <c r="G10741"/>
    </row>
    <row r="10742" spans="2:7">
      <c r="B10742"/>
      <c r="C10742"/>
      <c r="D10742"/>
      <c r="G10742"/>
    </row>
    <row r="10743" spans="2:7">
      <c r="B10743"/>
      <c r="C10743"/>
      <c r="D10743"/>
      <c r="G10743"/>
    </row>
    <row r="10744" spans="2:7">
      <c r="B10744"/>
      <c r="C10744"/>
      <c r="D10744"/>
      <c r="G10744"/>
    </row>
    <row r="10745" spans="2:7">
      <c r="B10745"/>
      <c r="C10745"/>
      <c r="D10745"/>
      <c r="G10745"/>
    </row>
    <row r="10746" spans="2:7">
      <c r="B10746"/>
      <c r="C10746"/>
      <c r="D10746"/>
      <c r="G10746"/>
    </row>
    <row r="10747" spans="2:7">
      <c r="B10747"/>
      <c r="C10747"/>
      <c r="D10747"/>
      <c r="G10747"/>
    </row>
    <row r="10748" spans="2:7">
      <c r="B10748"/>
      <c r="C10748"/>
      <c r="D10748"/>
      <c r="G10748"/>
    </row>
    <row r="10749" spans="2:7">
      <c r="B10749"/>
      <c r="C10749"/>
      <c r="D10749"/>
      <c r="G10749"/>
    </row>
    <row r="10750" spans="2:7">
      <c r="B10750"/>
      <c r="C10750"/>
      <c r="D10750"/>
      <c r="G10750"/>
    </row>
    <row r="10751" spans="2:7">
      <c r="B10751"/>
      <c r="C10751"/>
      <c r="D10751"/>
      <c r="G10751"/>
    </row>
    <row r="10752" spans="2:7">
      <c r="B10752"/>
      <c r="C10752"/>
      <c r="D10752"/>
      <c r="G10752"/>
    </row>
    <row r="10753" spans="2:7">
      <c r="B10753"/>
      <c r="C10753"/>
      <c r="D10753"/>
      <c r="G10753"/>
    </row>
    <row r="10754" spans="2:7">
      <c r="B10754"/>
      <c r="C10754"/>
      <c r="D10754"/>
      <c r="G10754"/>
    </row>
    <row r="10755" spans="2:7">
      <c r="B10755"/>
      <c r="C10755"/>
      <c r="D10755"/>
      <c r="G10755"/>
    </row>
    <row r="10756" spans="2:7">
      <c r="B10756"/>
      <c r="C10756"/>
      <c r="D10756"/>
      <c r="G10756"/>
    </row>
    <row r="10757" spans="2:7">
      <c r="B10757"/>
      <c r="C10757"/>
      <c r="D10757"/>
      <c r="G10757"/>
    </row>
    <row r="10758" spans="2:7">
      <c r="B10758"/>
      <c r="C10758"/>
      <c r="D10758"/>
      <c r="G10758"/>
    </row>
    <row r="10759" spans="2:7">
      <c r="B10759"/>
      <c r="C10759"/>
      <c r="D10759"/>
      <c r="G10759"/>
    </row>
    <row r="10760" spans="2:7">
      <c r="B10760"/>
      <c r="C10760"/>
      <c r="D10760"/>
      <c r="G10760"/>
    </row>
    <row r="10761" spans="2:7">
      <c r="B10761"/>
      <c r="C10761"/>
      <c r="D10761"/>
      <c r="G10761"/>
    </row>
    <row r="10762" spans="2:7">
      <c r="B10762"/>
      <c r="C10762"/>
      <c r="D10762"/>
      <c r="G10762"/>
    </row>
    <row r="10763" spans="2:7">
      <c r="B10763"/>
      <c r="C10763"/>
      <c r="D10763"/>
      <c r="G10763"/>
    </row>
    <row r="10764" spans="2:7">
      <c r="B10764"/>
      <c r="C10764"/>
      <c r="D10764"/>
      <c r="G10764"/>
    </row>
    <row r="10765" spans="2:7">
      <c r="B10765"/>
      <c r="C10765"/>
      <c r="D10765"/>
      <c r="G10765"/>
    </row>
    <row r="10766" spans="2:7">
      <c r="B10766"/>
      <c r="C10766"/>
      <c r="D10766"/>
      <c r="G10766"/>
    </row>
    <row r="10767" spans="2:7">
      <c r="B10767"/>
      <c r="C10767"/>
      <c r="D10767"/>
      <c r="G10767"/>
    </row>
    <row r="10768" spans="2:7">
      <c r="B10768"/>
      <c r="C10768"/>
      <c r="D10768"/>
      <c r="G10768"/>
    </row>
    <row r="10769" spans="2:7">
      <c r="B10769"/>
      <c r="C10769"/>
      <c r="D10769"/>
      <c r="G10769"/>
    </row>
    <row r="10770" spans="2:7">
      <c r="B10770"/>
      <c r="C10770"/>
      <c r="D10770"/>
      <c r="G10770"/>
    </row>
    <row r="10771" spans="2:7">
      <c r="B10771"/>
      <c r="C10771"/>
      <c r="D10771"/>
      <c r="G10771"/>
    </row>
    <row r="10772" spans="2:7">
      <c r="B10772"/>
      <c r="C10772"/>
      <c r="D10772"/>
      <c r="G10772"/>
    </row>
    <row r="10773" spans="2:7">
      <c r="B10773"/>
      <c r="C10773"/>
      <c r="D10773"/>
      <c r="G10773"/>
    </row>
    <row r="10774" spans="2:7">
      <c r="B10774"/>
      <c r="C10774"/>
      <c r="D10774"/>
      <c r="G10774"/>
    </row>
    <row r="10775" spans="2:7">
      <c r="B10775"/>
      <c r="C10775"/>
      <c r="D10775"/>
      <c r="G10775"/>
    </row>
    <row r="10776" spans="2:7">
      <c r="B10776"/>
      <c r="C10776"/>
      <c r="D10776"/>
      <c r="G10776"/>
    </row>
    <row r="10777" spans="2:7">
      <c r="B10777"/>
      <c r="C10777"/>
      <c r="D10777"/>
      <c r="G10777"/>
    </row>
    <row r="10778" spans="2:7">
      <c r="B10778"/>
      <c r="C10778"/>
      <c r="D10778"/>
      <c r="G10778"/>
    </row>
    <row r="10779" spans="2:7">
      <c r="B10779"/>
      <c r="C10779"/>
      <c r="D10779"/>
      <c r="G10779"/>
    </row>
    <row r="10780" spans="2:7">
      <c r="B10780"/>
      <c r="C10780"/>
      <c r="D10780"/>
      <c r="G10780"/>
    </row>
    <row r="10781" spans="2:7">
      <c r="B10781"/>
      <c r="C10781"/>
      <c r="D10781"/>
      <c r="G10781"/>
    </row>
    <row r="10782" spans="2:7">
      <c r="B10782"/>
      <c r="C10782"/>
      <c r="D10782"/>
      <c r="G10782"/>
    </row>
    <row r="10783" spans="2:7">
      <c r="B10783"/>
      <c r="C10783"/>
      <c r="D10783"/>
      <c r="G10783"/>
    </row>
    <row r="10784" spans="2:7">
      <c r="B10784"/>
      <c r="C10784"/>
      <c r="D10784"/>
      <c r="G10784"/>
    </row>
    <row r="10785" spans="2:7">
      <c r="B10785"/>
      <c r="C10785"/>
      <c r="D10785"/>
      <c r="G10785"/>
    </row>
    <row r="10786" spans="2:7">
      <c r="B10786"/>
      <c r="C10786"/>
      <c r="D10786"/>
      <c r="G10786"/>
    </row>
    <row r="10787" spans="2:7">
      <c r="B10787"/>
      <c r="C10787"/>
      <c r="D10787"/>
      <c r="G10787"/>
    </row>
    <row r="10788" spans="2:7">
      <c r="B10788"/>
      <c r="C10788"/>
      <c r="D10788"/>
      <c r="G10788"/>
    </row>
    <row r="10789" spans="2:7">
      <c r="B10789"/>
      <c r="C10789"/>
      <c r="D10789"/>
      <c r="G10789"/>
    </row>
    <row r="10790" spans="2:7">
      <c r="B10790"/>
      <c r="C10790"/>
      <c r="D10790"/>
      <c r="G10790"/>
    </row>
    <row r="10791" spans="2:7">
      <c r="B10791"/>
      <c r="C10791"/>
      <c r="D10791"/>
      <c r="G10791"/>
    </row>
    <row r="10792" spans="2:7">
      <c r="B10792"/>
      <c r="C10792"/>
      <c r="D10792"/>
      <c r="G10792"/>
    </row>
    <row r="10793" spans="2:7">
      <c r="B10793"/>
      <c r="C10793"/>
      <c r="D10793"/>
      <c r="G10793"/>
    </row>
    <row r="10794" spans="2:7">
      <c r="B10794"/>
      <c r="C10794"/>
      <c r="D10794"/>
      <c r="G10794"/>
    </row>
    <row r="10795" spans="2:7">
      <c r="B10795"/>
      <c r="C10795"/>
      <c r="D10795"/>
      <c r="G10795"/>
    </row>
    <row r="10796" spans="2:7">
      <c r="B10796"/>
      <c r="C10796"/>
      <c r="D10796"/>
      <c r="G10796"/>
    </row>
    <row r="10797" spans="2:7">
      <c r="B10797"/>
      <c r="C10797"/>
      <c r="D10797"/>
      <c r="G10797"/>
    </row>
    <row r="10798" spans="2:7">
      <c r="B10798"/>
      <c r="C10798"/>
      <c r="D10798"/>
      <c r="G10798"/>
    </row>
    <row r="10799" spans="2:7">
      <c r="B10799"/>
      <c r="C10799"/>
      <c r="D10799"/>
      <c r="G10799"/>
    </row>
    <row r="10800" spans="2:7">
      <c r="B10800"/>
      <c r="C10800"/>
      <c r="D10800"/>
      <c r="G10800"/>
    </row>
    <row r="10801" spans="2:7">
      <c r="B10801"/>
      <c r="C10801"/>
      <c r="D10801"/>
      <c r="G10801"/>
    </row>
    <row r="10802" spans="2:7">
      <c r="B10802"/>
      <c r="C10802"/>
      <c r="D10802"/>
      <c r="G10802"/>
    </row>
    <row r="10803" spans="2:7">
      <c r="B10803"/>
      <c r="C10803"/>
      <c r="D10803"/>
      <c r="G10803"/>
    </row>
    <row r="10804" spans="2:7">
      <c r="B10804"/>
      <c r="C10804"/>
      <c r="D10804"/>
      <c r="G10804"/>
    </row>
    <row r="10805" spans="2:7">
      <c r="B10805"/>
      <c r="C10805"/>
      <c r="D10805"/>
      <c r="G10805"/>
    </row>
    <row r="10806" spans="2:7">
      <c r="B10806"/>
      <c r="C10806"/>
      <c r="D10806"/>
      <c r="G10806"/>
    </row>
    <row r="10807" spans="2:7">
      <c r="B10807"/>
      <c r="C10807"/>
      <c r="D10807"/>
      <c r="G10807"/>
    </row>
    <row r="10808" spans="2:7">
      <c r="B10808"/>
      <c r="C10808"/>
      <c r="D10808"/>
      <c r="G10808"/>
    </row>
    <row r="10809" spans="2:7">
      <c r="B10809"/>
      <c r="C10809"/>
      <c r="D10809"/>
      <c r="G10809"/>
    </row>
    <row r="10810" spans="2:7">
      <c r="B10810"/>
      <c r="C10810"/>
      <c r="D10810"/>
      <c r="G10810"/>
    </row>
    <row r="10811" spans="2:7">
      <c r="B10811"/>
      <c r="C10811"/>
      <c r="D10811"/>
      <c r="G10811"/>
    </row>
    <row r="10812" spans="2:7">
      <c r="B10812"/>
      <c r="C10812"/>
      <c r="D10812"/>
      <c r="G10812"/>
    </row>
    <row r="10813" spans="2:7">
      <c r="B10813"/>
      <c r="C10813"/>
      <c r="D10813"/>
      <c r="G10813"/>
    </row>
    <row r="10814" spans="2:7">
      <c r="B10814"/>
      <c r="C10814"/>
      <c r="D10814"/>
      <c r="G10814"/>
    </row>
    <row r="10815" spans="2:7">
      <c r="B10815"/>
      <c r="C10815"/>
      <c r="D10815"/>
      <c r="G10815"/>
    </row>
    <row r="10816" spans="2:7">
      <c r="B10816"/>
      <c r="C10816"/>
      <c r="D10816"/>
      <c r="G10816"/>
    </row>
    <row r="10817" spans="2:7">
      <c r="B10817"/>
      <c r="C10817"/>
      <c r="D10817"/>
      <c r="G10817"/>
    </row>
    <row r="10818" spans="2:7">
      <c r="B10818"/>
      <c r="C10818"/>
      <c r="D10818"/>
      <c r="G10818"/>
    </row>
    <row r="10819" spans="2:7">
      <c r="B10819"/>
      <c r="C10819"/>
      <c r="D10819"/>
      <c r="G10819"/>
    </row>
    <row r="10820" spans="2:7">
      <c r="B10820"/>
      <c r="C10820"/>
      <c r="D10820"/>
      <c r="G10820"/>
    </row>
    <row r="10821" spans="2:7">
      <c r="B10821"/>
      <c r="C10821"/>
      <c r="D10821"/>
      <c r="G10821"/>
    </row>
    <row r="10822" spans="2:7">
      <c r="B10822"/>
      <c r="C10822"/>
      <c r="D10822"/>
      <c r="G10822"/>
    </row>
    <row r="10823" spans="2:7">
      <c r="B10823"/>
      <c r="C10823"/>
      <c r="D10823"/>
      <c r="G10823"/>
    </row>
    <row r="10824" spans="2:7">
      <c r="B10824"/>
      <c r="C10824"/>
      <c r="D10824"/>
      <c r="G10824"/>
    </row>
    <row r="10825" spans="2:7">
      <c r="B10825"/>
      <c r="C10825"/>
      <c r="D10825"/>
      <c r="G10825"/>
    </row>
    <row r="10826" spans="2:7">
      <c r="B10826"/>
      <c r="C10826"/>
      <c r="D10826"/>
      <c r="G10826"/>
    </row>
    <row r="10827" spans="2:7">
      <c r="B10827"/>
      <c r="C10827"/>
      <c r="D10827"/>
      <c r="G10827"/>
    </row>
    <row r="10828" spans="2:7">
      <c r="B10828"/>
      <c r="C10828"/>
      <c r="D10828"/>
      <c r="G10828"/>
    </row>
    <row r="10829" spans="2:7">
      <c r="B10829"/>
      <c r="C10829"/>
      <c r="D10829"/>
      <c r="G10829"/>
    </row>
    <row r="10830" spans="2:7">
      <c r="B10830"/>
      <c r="C10830"/>
      <c r="D10830"/>
      <c r="G10830"/>
    </row>
    <row r="10831" spans="2:7">
      <c r="B10831"/>
      <c r="C10831"/>
      <c r="D10831"/>
      <c r="G10831"/>
    </row>
    <row r="10832" spans="2:7">
      <c r="B10832"/>
      <c r="C10832"/>
      <c r="D10832"/>
      <c r="G10832"/>
    </row>
    <row r="10833" spans="2:7">
      <c r="B10833"/>
      <c r="C10833"/>
      <c r="D10833"/>
      <c r="G10833"/>
    </row>
    <row r="10834" spans="2:7">
      <c r="B10834"/>
      <c r="C10834"/>
      <c r="D10834"/>
      <c r="G10834"/>
    </row>
    <row r="10835" spans="2:7">
      <c r="B10835"/>
      <c r="C10835"/>
      <c r="D10835"/>
      <c r="G10835"/>
    </row>
    <row r="10836" spans="2:7">
      <c r="B10836"/>
      <c r="C10836"/>
      <c r="D10836"/>
      <c r="G10836"/>
    </row>
    <row r="10837" spans="2:7">
      <c r="B10837"/>
      <c r="C10837"/>
      <c r="D10837"/>
      <c r="G10837"/>
    </row>
    <row r="10838" spans="2:7">
      <c r="B10838"/>
      <c r="C10838"/>
      <c r="D10838"/>
      <c r="G10838"/>
    </row>
    <row r="10839" spans="2:7">
      <c r="B10839"/>
      <c r="C10839"/>
      <c r="D10839"/>
      <c r="G10839"/>
    </row>
    <row r="10840" spans="2:7">
      <c r="B10840"/>
      <c r="C10840"/>
      <c r="D10840"/>
      <c r="G10840"/>
    </row>
    <row r="10841" spans="2:7">
      <c r="B10841"/>
      <c r="C10841"/>
      <c r="D10841"/>
      <c r="G10841"/>
    </row>
    <row r="10842" spans="2:7">
      <c r="B10842"/>
      <c r="C10842"/>
      <c r="D10842"/>
      <c r="G10842"/>
    </row>
    <row r="10843" spans="2:7">
      <c r="B10843"/>
      <c r="C10843"/>
      <c r="D10843"/>
      <c r="G10843"/>
    </row>
    <row r="10844" spans="2:7">
      <c r="B10844"/>
      <c r="C10844"/>
      <c r="D10844"/>
      <c r="G10844"/>
    </row>
    <row r="10845" spans="2:7">
      <c r="B10845"/>
      <c r="C10845"/>
      <c r="D10845"/>
      <c r="G10845"/>
    </row>
    <row r="10846" spans="2:7">
      <c r="B10846"/>
      <c r="C10846"/>
      <c r="D10846"/>
      <c r="G10846"/>
    </row>
    <row r="10847" spans="2:7">
      <c r="B10847"/>
      <c r="C10847"/>
      <c r="D10847"/>
      <c r="G10847"/>
    </row>
    <row r="10848" spans="2:7">
      <c r="B10848"/>
      <c r="C10848"/>
      <c r="D10848"/>
      <c r="G10848"/>
    </row>
    <row r="10849" spans="2:7">
      <c r="B10849"/>
      <c r="C10849"/>
      <c r="D10849"/>
      <c r="G10849"/>
    </row>
    <row r="10850" spans="2:7">
      <c r="B10850"/>
      <c r="C10850"/>
      <c r="D10850"/>
      <c r="G10850"/>
    </row>
    <row r="10851" spans="2:7">
      <c r="B10851"/>
      <c r="C10851"/>
      <c r="D10851"/>
      <c r="G10851"/>
    </row>
    <row r="10852" spans="2:7">
      <c r="B10852"/>
      <c r="C10852"/>
      <c r="D10852"/>
      <c r="G10852"/>
    </row>
    <row r="10853" spans="2:7">
      <c r="B10853"/>
      <c r="C10853"/>
      <c r="D10853"/>
      <c r="G10853"/>
    </row>
    <row r="10854" spans="2:7">
      <c r="B10854"/>
      <c r="C10854"/>
      <c r="D10854"/>
      <c r="G10854"/>
    </row>
    <row r="10855" spans="2:7">
      <c r="B10855"/>
      <c r="C10855"/>
      <c r="D10855"/>
      <c r="G10855"/>
    </row>
    <row r="10856" spans="2:7">
      <c r="B10856"/>
      <c r="C10856"/>
      <c r="D10856"/>
      <c r="G10856"/>
    </row>
    <row r="10857" spans="2:7">
      <c r="B10857"/>
      <c r="C10857"/>
      <c r="D10857"/>
      <c r="G10857"/>
    </row>
    <row r="10858" spans="2:7">
      <c r="B10858"/>
      <c r="C10858"/>
      <c r="D10858"/>
      <c r="G10858"/>
    </row>
    <row r="10859" spans="2:7">
      <c r="B10859"/>
      <c r="C10859"/>
      <c r="D10859"/>
      <c r="G10859"/>
    </row>
    <row r="10860" spans="2:7">
      <c r="B10860"/>
      <c r="C10860"/>
      <c r="D10860"/>
      <c r="G10860"/>
    </row>
    <row r="10861" spans="2:7">
      <c r="B10861"/>
      <c r="C10861"/>
      <c r="D10861"/>
      <c r="G10861"/>
    </row>
    <row r="10862" spans="2:7">
      <c r="B10862"/>
      <c r="C10862"/>
      <c r="D10862"/>
      <c r="G10862"/>
    </row>
    <row r="10863" spans="2:7">
      <c r="B10863"/>
      <c r="C10863"/>
      <c r="D10863"/>
      <c r="G10863"/>
    </row>
    <row r="10864" spans="2:7">
      <c r="B10864"/>
      <c r="C10864"/>
      <c r="D10864"/>
      <c r="G10864"/>
    </row>
    <row r="10865" spans="2:7">
      <c r="B10865"/>
      <c r="C10865"/>
      <c r="D10865"/>
      <c r="G10865"/>
    </row>
    <row r="10866" spans="2:7">
      <c r="B10866"/>
      <c r="C10866"/>
      <c r="D10866"/>
      <c r="G10866"/>
    </row>
    <row r="10867" spans="2:7">
      <c r="B10867"/>
      <c r="C10867"/>
      <c r="D10867"/>
      <c r="G10867"/>
    </row>
    <row r="10868" spans="2:7">
      <c r="B10868"/>
      <c r="C10868"/>
      <c r="D10868"/>
      <c r="G10868"/>
    </row>
    <row r="10869" spans="2:7">
      <c r="B10869"/>
      <c r="C10869"/>
      <c r="D10869"/>
      <c r="G10869"/>
    </row>
    <row r="10870" spans="2:7">
      <c r="B10870"/>
      <c r="C10870"/>
      <c r="D10870"/>
      <c r="G10870"/>
    </row>
    <row r="10871" spans="2:7">
      <c r="B10871"/>
      <c r="C10871"/>
      <c r="D10871"/>
      <c r="G10871"/>
    </row>
    <row r="10872" spans="2:7">
      <c r="B10872"/>
      <c r="C10872"/>
      <c r="D10872"/>
      <c r="G10872"/>
    </row>
    <row r="10873" spans="2:7">
      <c r="B10873"/>
      <c r="C10873"/>
      <c r="D10873"/>
      <c r="G10873"/>
    </row>
    <row r="10874" spans="2:7">
      <c r="B10874"/>
      <c r="C10874"/>
      <c r="D10874"/>
      <c r="G10874"/>
    </row>
    <row r="10875" spans="2:7">
      <c r="B10875"/>
      <c r="C10875"/>
      <c r="D10875"/>
      <c r="G10875"/>
    </row>
    <row r="10876" spans="2:7">
      <c r="B10876"/>
      <c r="C10876"/>
      <c r="D10876"/>
      <c r="G10876"/>
    </row>
    <row r="10877" spans="2:7">
      <c r="B10877"/>
      <c r="C10877"/>
      <c r="D10877"/>
      <c r="G10877"/>
    </row>
    <row r="10878" spans="2:7">
      <c r="B10878"/>
      <c r="C10878"/>
      <c r="D10878"/>
      <c r="G10878"/>
    </row>
    <row r="10879" spans="2:7">
      <c r="B10879"/>
      <c r="C10879"/>
      <c r="D10879"/>
      <c r="G10879"/>
    </row>
    <row r="10880" spans="2:7">
      <c r="B10880"/>
      <c r="C10880"/>
      <c r="D10880"/>
      <c r="G10880"/>
    </row>
    <row r="10881" spans="2:7">
      <c r="B10881"/>
      <c r="C10881"/>
      <c r="D10881"/>
      <c r="G10881"/>
    </row>
    <row r="10882" spans="2:7">
      <c r="B10882"/>
      <c r="C10882"/>
      <c r="D10882"/>
      <c r="G10882"/>
    </row>
    <row r="10883" spans="2:7">
      <c r="B10883"/>
      <c r="C10883"/>
      <c r="D10883"/>
      <c r="G10883"/>
    </row>
    <row r="10884" spans="2:7">
      <c r="B10884"/>
      <c r="C10884"/>
      <c r="D10884"/>
      <c r="G10884"/>
    </row>
    <row r="10885" spans="2:7">
      <c r="B10885"/>
      <c r="C10885"/>
      <c r="D10885"/>
      <c r="G10885"/>
    </row>
    <row r="10886" spans="2:7">
      <c r="B10886"/>
      <c r="C10886"/>
      <c r="D10886"/>
      <c r="G10886"/>
    </row>
    <row r="10887" spans="2:7">
      <c r="B10887"/>
      <c r="C10887"/>
      <c r="D10887"/>
      <c r="G10887"/>
    </row>
    <row r="10888" spans="2:7">
      <c r="B10888"/>
      <c r="C10888"/>
      <c r="D10888"/>
      <c r="G10888"/>
    </row>
    <row r="10889" spans="2:7">
      <c r="B10889"/>
      <c r="C10889"/>
      <c r="D10889"/>
      <c r="G10889"/>
    </row>
    <row r="10890" spans="2:7">
      <c r="B10890"/>
      <c r="C10890"/>
      <c r="D10890"/>
      <c r="G10890"/>
    </row>
    <row r="10891" spans="2:7">
      <c r="B10891"/>
      <c r="C10891"/>
      <c r="D10891"/>
      <c r="G10891"/>
    </row>
    <row r="10892" spans="2:7">
      <c r="B10892"/>
      <c r="C10892"/>
      <c r="D10892"/>
      <c r="G10892"/>
    </row>
    <row r="10893" spans="2:7">
      <c r="B10893"/>
      <c r="C10893"/>
      <c r="D10893"/>
      <c r="G10893"/>
    </row>
    <row r="10894" spans="2:7">
      <c r="B10894"/>
      <c r="C10894"/>
      <c r="D10894"/>
      <c r="G10894"/>
    </row>
    <row r="10895" spans="2:7">
      <c r="B10895"/>
      <c r="C10895"/>
      <c r="D10895"/>
      <c r="G10895"/>
    </row>
    <row r="10896" spans="2:7">
      <c r="B10896"/>
      <c r="C10896"/>
      <c r="D10896"/>
      <c r="G10896"/>
    </row>
    <row r="10897" spans="2:7">
      <c r="B10897"/>
      <c r="C10897"/>
      <c r="D10897"/>
      <c r="G10897"/>
    </row>
    <row r="10898" spans="2:7">
      <c r="B10898"/>
      <c r="C10898"/>
      <c r="D10898"/>
      <c r="G10898"/>
    </row>
    <row r="10899" spans="2:7">
      <c r="B10899"/>
      <c r="C10899"/>
      <c r="D10899"/>
      <c r="G10899"/>
    </row>
    <row r="10900" spans="2:7">
      <c r="B10900"/>
      <c r="C10900"/>
      <c r="D10900"/>
      <c r="G10900"/>
    </row>
    <row r="10901" spans="2:7">
      <c r="B10901"/>
      <c r="C10901"/>
      <c r="D10901"/>
      <c r="G10901"/>
    </row>
    <row r="10902" spans="2:7">
      <c r="B10902"/>
      <c r="C10902"/>
      <c r="D10902"/>
      <c r="G10902"/>
    </row>
    <row r="10903" spans="2:7">
      <c r="B10903"/>
      <c r="C10903"/>
      <c r="D10903"/>
      <c r="G10903"/>
    </row>
    <row r="10904" spans="2:7">
      <c r="B10904"/>
      <c r="C10904"/>
      <c r="D10904"/>
      <c r="G10904"/>
    </row>
    <row r="10905" spans="2:7">
      <c r="B10905"/>
      <c r="C10905"/>
      <c r="D10905"/>
      <c r="G10905"/>
    </row>
    <row r="10906" spans="2:7">
      <c r="B10906"/>
      <c r="C10906"/>
      <c r="D10906"/>
      <c r="G10906"/>
    </row>
    <row r="10907" spans="2:7">
      <c r="B10907"/>
      <c r="C10907"/>
      <c r="D10907"/>
      <c r="G10907"/>
    </row>
    <row r="10908" spans="2:7">
      <c r="B10908"/>
      <c r="C10908"/>
      <c r="D10908"/>
      <c r="G10908"/>
    </row>
    <row r="10909" spans="2:7">
      <c r="B10909"/>
      <c r="C10909"/>
      <c r="D10909"/>
      <c r="G10909"/>
    </row>
    <row r="10910" spans="2:7">
      <c r="B10910"/>
      <c r="C10910"/>
      <c r="D10910"/>
      <c r="G10910"/>
    </row>
    <row r="10911" spans="2:7">
      <c r="B10911"/>
      <c r="C10911"/>
      <c r="D10911"/>
      <c r="G10911"/>
    </row>
    <row r="10912" spans="2:7">
      <c r="B10912"/>
      <c r="C10912"/>
      <c r="D10912"/>
      <c r="G10912"/>
    </row>
    <row r="10913" spans="2:7">
      <c r="B10913"/>
      <c r="C10913"/>
      <c r="D10913"/>
      <c r="G10913"/>
    </row>
    <row r="10914" spans="2:7">
      <c r="B10914"/>
      <c r="C10914"/>
      <c r="D10914"/>
      <c r="G10914"/>
    </row>
    <row r="10915" spans="2:7">
      <c r="B10915"/>
      <c r="C10915"/>
      <c r="D10915"/>
      <c r="G10915"/>
    </row>
    <row r="10916" spans="2:7">
      <c r="B10916"/>
      <c r="C10916"/>
      <c r="D10916"/>
      <c r="G10916"/>
    </row>
    <row r="10917" spans="2:7">
      <c r="B10917"/>
      <c r="C10917"/>
      <c r="D10917"/>
      <c r="G10917"/>
    </row>
    <row r="10918" spans="2:7">
      <c r="B10918"/>
      <c r="C10918"/>
      <c r="D10918"/>
      <c r="G10918"/>
    </row>
    <row r="10919" spans="2:7">
      <c r="B10919"/>
      <c r="C10919"/>
      <c r="D10919"/>
      <c r="G10919"/>
    </row>
    <row r="10920" spans="2:7">
      <c r="B10920"/>
      <c r="C10920"/>
      <c r="D10920"/>
      <c r="G10920"/>
    </row>
    <row r="10921" spans="2:7">
      <c r="B10921"/>
      <c r="C10921"/>
      <c r="D10921"/>
      <c r="G10921"/>
    </row>
    <row r="10922" spans="2:7">
      <c r="B10922"/>
      <c r="C10922"/>
      <c r="D10922"/>
      <c r="G10922"/>
    </row>
    <row r="10923" spans="2:7">
      <c r="B10923"/>
      <c r="C10923"/>
      <c r="D10923"/>
      <c r="G10923"/>
    </row>
    <row r="10924" spans="2:7">
      <c r="B10924"/>
      <c r="C10924"/>
      <c r="D10924"/>
      <c r="G10924"/>
    </row>
    <row r="10925" spans="2:7">
      <c r="B10925"/>
      <c r="C10925"/>
      <c r="D10925"/>
      <c r="G10925"/>
    </row>
    <row r="10926" spans="2:7">
      <c r="B10926"/>
      <c r="C10926"/>
      <c r="D10926"/>
      <c r="G10926"/>
    </row>
    <row r="10927" spans="2:7">
      <c r="B10927"/>
      <c r="C10927"/>
      <c r="D10927"/>
      <c r="G10927"/>
    </row>
    <row r="10928" spans="2:7">
      <c r="B10928"/>
      <c r="C10928"/>
      <c r="D10928"/>
      <c r="G10928"/>
    </row>
    <row r="10929" spans="2:7">
      <c r="B10929"/>
      <c r="C10929"/>
      <c r="D10929"/>
      <c r="G10929"/>
    </row>
    <row r="10930" spans="2:7">
      <c r="B10930"/>
      <c r="C10930"/>
      <c r="D10930"/>
      <c r="G10930"/>
    </row>
    <row r="10931" spans="2:7">
      <c r="B10931"/>
      <c r="C10931"/>
      <c r="D10931"/>
      <c r="G10931"/>
    </row>
    <row r="10932" spans="2:7">
      <c r="B10932"/>
      <c r="C10932"/>
      <c r="D10932"/>
      <c r="G10932"/>
    </row>
    <row r="10933" spans="2:7">
      <c r="B10933"/>
      <c r="C10933"/>
      <c r="D10933"/>
      <c r="G10933"/>
    </row>
    <row r="10934" spans="2:7">
      <c r="B10934"/>
      <c r="C10934"/>
      <c r="D10934"/>
      <c r="G10934"/>
    </row>
    <row r="10935" spans="2:7">
      <c r="B10935"/>
      <c r="C10935"/>
      <c r="D10935"/>
      <c r="G10935"/>
    </row>
    <row r="10936" spans="2:7">
      <c r="B10936"/>
      <c r="C10936"/>
      <c r="D10936"/>
      <c r="G10936"/>
    </row>
    <row r="10937" spans="2:7">
      <c r="B10937"/>
      <c r="C10937"/>
      <c r="D10937"/>
      <c r="G10937"/>
    </row>
    <row r="10938" spans="2:7">
      <c r="B10938"/>
      <c r="C10938"/>
      <c r="D10938"/>
      <c r="G10938"/>
    </row>
    <row r="10939" spans="2:7">
      <c r="B10939"/>
      <c r="C10939"/>
      <c r="D10939"/>
      <c r="G10939"/>
    </row>
    <row r="10940" spans="2:7">
      <c r="B10940"/>
      <c r="C10940"/>
      <c r="D10940"/>
      <c r="G10940"/>
    </row>
    <row r="10941" spans="2:7">
      <c r="B10941"/>
      <c r="C10941"/>
      <c r="D10941"/>
      <c r="G10941"/>
    </row>
    <row r="10942" spans="2:7">
      <c r="B10942"/>
      <c r="C10942"/>
      <c r="D10942"/>
      <c r="G10942"/>
    </row>
    <row r="10943" spans="2:7">
      <c r="B10943"/>
      <c r="C10943"/>
      <c r="D10943"/>
      <c r="G10943"/>
    </row>
    <row r="10944" spans="2:7">
      <c r="B10944"/>
      <c r="C10944"/>
      <c r="D10944"/>
      <c r="G10944"/>
    </row>
    <row r="10945" spans="2:7">
      <c r="B10945"/>
      <c r="C10945"/>
      <c r="D10945"/>
      <c r="G10945"/>
    </row>
    <row r="10946" spans="2:7">
      <c r="B10946"/>
      <c r="C10946"/>
      <c r="D10946"/>
      <c r="G10946"/>
    </row>
    <row r="10947" spans="2:7">
      <c r="B10947"/>
      <c r="C10947"/>
      <c r="D10947"/>
      <c r="G10947"/>
    </row>
    <row r="10948" spans="2:7">
      <c r="B10948"/>
      <c r="C10948"/>
      <c r="D10948"/>
      <c r="G10948"/>
    </row>
    <row r="10949" spans="2:7">
      <c r="B10949"/>
      <c r="C10949"/>
      <c r="D10949"/>
      <c r="G10949"/>
    </row>
    <row r="10950" spans="2:7">
      <c r="B10950"/>
      <c r="C10950"/>
      <c r="D10950"/>
      <c r="G10950"/>
    </row>
    <row r="10951" spans="2:7">
      <c r="B10951"/>
      <c r="C10951"/>
      <c r="D10951"/>
      <c r="G10951"/>
    </row>
    <row r="10952" spans="2:7">
      <c r="B10952"/>
      <c r="C10952"/>
      <c r="D10952"/>
      <c r="G10952"/>
    </row>
    <row r="10953" spans="2:7">
      <c r="B10953"/>
      <c r="C10953"/>
      <c r="D10953"/>
      <c r="G10953"/>
    </row>
    <row r="10954" spans="2:7">
      <c r="B10954"/>
      <c r="C10954"/>
      <c r="D10954"/>
      <c r="G10954"/>
    </row>
    <row r="10955" spans="2:7">
      <c r="B10955"/>
      <c r="C10955"/>
      <c r="D10955"/>
      <c r="G10955"/>
    </row>
    <row r="10956" spans="2:7">
      <c r="B10956"/>
      <c r="C10956"/>
      <c r="D10956"/>
      <c r="G10956"/>
    </row>
    <row r="10957" spans="2:7">
      <c r="B10957"/>
      <c r="C10957"/>
      <c r="D10957"/>
      <c r="G10957"/>
    </row>
    <row r="10958" spans="2:7">
      <c r="B10958"/>
      <c r="C10958"/>
      <c r="D10958"/>
      <c r="G10958"/>
    </row>
    <row r="10959" spans="2:7">
      <c r="B10959"/>
      <c r="C10959"/>
      <c r="D10959"/>
      <c r="G10959"/>
    </row>
    <row r="10960" spans="2:7">
      <c r="B10960"/>
      <c r="C10960"/>
      <c r="D10960"/>
      <c r="G10960"/>
    </row>
    <row r="10961" spans="2:7">
      <c r="B10961"/>
      <c r="C10961"/>
      <c r="D10961"/>
      <c r="G10961"/>
    </row>
    <row r="10962" spans="2:7">
      <c r="B10962"/>
      <c r="C10962"/>
      <c r="D10962"/>
      <c r="G10962"/>
    </row>
    <row r="10963" spans="2:7">
      <c r="B10963"/>
      <c r="C10963"/>
      <c r="D10963"/>
      <c r="G10963"/>
    </row>
    <row r="10964" spans="2:7">
      <c r="B10964"/>
      <c r="C10964"/>
      <c r="D10964"/>
      <c r="G10964"/>
    </row>
    <row r="10965" spans="2:7">
      <c r="B10965"/>
      <c r="C10965"/>
      <c r="D10965"/>
      <c r="G10965"/>
    </row>
    <row r="10966" spans="2:7">
      <c r="B10966"/>
      <c r="C10966"/>
      <c r="D10966"/>
      <c r="G10966"/>
    </row>
    <row r="10967" spans="2:7">
      <c r="B10967"/>
      <c r="C10967"/>
      <c r="D10967"/>
      <c r="G10967"/>
    </row>
    <row r="10968" spans="2:7">
      <c r="B10968"/>
      <c r="C10968"/>
      <c r="D10968"/>
      <c r="G10968"/>
    </row>
    <row r="10969" spans="2:7">
      <c r="B10969"/>
      <c r="C10969"/>
      <c r="D10969"/>
      <c r="G10969"/>
    </row>
    <row r="10970" spans="2:7">
      <c r="B10970"/>
      <c r="C10970"/>
      <c r="D10970"/>
      <c r="G10970"/>
    </row>
    <row r="10971" spans="2:7">
      <c r="B10971"/>
      <c r="C10971"/>
      <c r="D10971"/>
      <c r="G10971"/>
    </row>
    <row r="10972" spans="2:7">
      <c r="B10972"/>
      <c r="C10972"/>
      <c r="D10972"/>
      <c r="G10972"/>
    </row>
    <row r="10973" spans="2:7">
      <c r="B10973"/>
      <c r="C10973"/>
      <c r="D10973"/>
      <c r="G10973"/>
    </row>
    <row r="10974" spans="2:7">
      <c r="B10974"/>
      <c r="C10974"/>
      <c r="D10974"/>
      <c r="G10974"/>
    </row>
    <row r="10975" spans="2:7">
      <c r="B10975"/>
      <c r="C10975"/>
      <c r="D10975"/>
      <c r="G10975"/>
    </row>
    <row r="10976" spans="2:7">
      <c r="B10976"/>
      <c r="C10976"/>
      <c r="D10976"/>
      <c r="G10976"/>
    </row>
    <row r="10977" spans="2:7">
      <c r="B10977"/>
      <c r="C10977"/>
      <c r="D10977"/>
      <c r="G10977"/>
    </row>
    <row r="10978" spans="2:7">
      <c r="B10978"/>
      <c r="C10978"/>
      <c r="D10978"/>
      <c r="G10978"/>
    </row>
    <row r="10979" spans="2:7">
      <c r="B10979"/>
      <c r="C10979"/>
      <c r="D10979"/>
      <c r="G10979"/>
    </row>
    <row r="10980" spans="2:7">
      <c r="B10980"/>
      <c r="C10980"/>
      <c r="D10980"/>
      <c r="G10980"/>
    </row>
    <row r="10981" spans="2:7">
      <c r="B10981"/>
      <c r="C10981"/>
      <c r="D10981"/>
      <c r="G10981"/>
    </row>
    <row r="10982" spans="2:7">
      <c r="B10982"/>
      <c r="C10982"/>
      <c r="D10982"/>
      <c r="G10982"/>
    </row>
    <row r="10983" spans="2:7">
      <c r="B10983"/>
      <c r="C10983"/>
      <c r="D10983"/>
      <c r="G10983"/>
    </row>
    <row r="10984" spans="2:7">
      <c r="B10984"/>
      <c r="C10984"/>
      <c r="D10984"/>
      <c r="G10984"/>
    </row>
    <row r="10985" spans="2:7">
      <c r="B10985"/>
      <c r="C10985"/>
      <c r="D10985"/>
      <c r="G10985"/>
    </row>
    <row r="10986" spans="2:7">
      <c r="B10986"/>
      <c r="C10986"/>
      <c r="D10986"/>
      <c r="G10986"/>
    </row>
    <row r="10987" spans="2:7">
      <c r="B10987"/>
      <c r="C10987"/>
      <c r="D10987"/>
      <c r="G10987"/>
    </row>
    <row r="10988" spans="2:7">
      <c r="B10988"/>
      <c r="C10988"/>
      <c r="D10988"/>
      <c r="G10988"/>
    </row>
    <row r="10989" spans="2:7">
      <c r="B10989"/>
      <c r="C10989"/>
      <c r="D10989"/>
      <c r="G10989"/>
    </row>
    <row r="10990" spans="2:7">
      <c r="B10990"/>
      <c r="C10990"/>
      <c r="D10990"/>
      <c r="G10990"/>
    </row>
    <row r="10991" spans="2:7">
      <c r="B10991"/>
      <c r="C10991"/>
      <c r="D10991"/>
      <c r="G10991"/>
    </row>
    <row r="10992" spans="2:7">
      <c r="B10992"/>
      <c r="C10992"/>
      <c r="D10992"/>
      <c r="G10992"/>
    </row>
    <row r="10993" spans="2:7">
      <c r="B10993"/>
      <c r="C10993"/>
      <c r="D10993"/>
      <c r="G10993"/>
    </row>
    <row r="10994" spans="2:7">
      <c r="B10994"/>
      <c r="C10994"/>
      <c r="D10994"/>
      <c r="G10994"/>
    </row>
    <row r="10995" spans="2:7">
      <c r="B10995"/>
      <c r="C10995"/>
      <c r="D10995"/>
      <c r="G10995"/>
    </row>
    <row r="10996" spans="2:7">
      <c r="B10996"/>
      <c r="C10996"/>
      <c r="D10996"/>
      <c r="G10996"/>
    </row>
    <row r="10997" spans="2:7">
      <c r="B10997"/>
      <c r="C10997"/>
      <c r="D10997"/>
      <c r="G10997"/>
    </row>
    <row r="10998" spans="2:7">
      <c r="B10998"/>
      <c r="C10998"/>
      <c r="D10998"/>
      <c r="G10998"/>
    </row>
    <row r="10999" spans="2:7">
      <c r="B10999"/>
      <c r="C10999"/>
      <c r="D10999"/>
      <c r="G10999"/>
    </row>
    <row r="11000" spans="2:7">
      <c r="B11000"/>
      <c r="C11000"/>
      <c r="D11000"/>
      <c r="G11000"/>
    </row>
    <row r="11001" spans="2:7">
      <c r="B11001"/>
      <c r="C11001"/>
      <c r="D11001"/>
      <c r="G11001"/>
    </row>
    <row r="11002" spans="2:7">
      <c r="B11002"/>
      <c r="C11002"/>
      <c r="D11002"/>
      <c r="G11002"/>
    </row>
    <row r="11003" spans="2:7">
      <c r="B11003"/>
      <c r="C11003"/>
      <c r="D11003"/>
      <c r="G11003"/>
    </row>
    <row r="11004" spans="2:7">
      <c r="B11004"/>
      <c r="C11004"/>
      <c r="D11004"/>
      <c r="G11004"/>
    </row>
    <row r="11005" spans="2:7">
      <c r="B11005"/>
      <c r="C11005"/>
      <c r="D11005"/>
      <c r="G11005"/>
    </row>
    <row r="11006" spans="2:7">
      <c r="B11006"/>
      <c r="C11006"/>
      <c r="D11006"/>
      <c r="G11006"/>
    </row>
    <row r="11007" spans="2:7">
      <c r="B11007"/>
      <c r="C11007"/>
      <c r="D11007"/>
      <c r="G11007"/>
    </row>
    <row r="11008" spans="2:7">
      <c r="B11008"/>
      <c r="C11008"/>
      <c r="D11008"/>
      <c r="G11008"/>
    </row>
    <row r="11009" spans="2:7">
      <c r="B11009"/>
      <c r="C11009"/>
      <c r="D11009"/>
      <c r="G11009"/>
    </row>
    <row r="11010" spans="2:7">
      <c r="B11010"/>
      <c r="C11010"/>
      <c r="D11010"/>
      <c r="G11010"/>
    </row>
    <row r="11011" spans="2:7">
      <c r="B11011"/>
      <c r="C11011"/>
      <c r="D11011"/>
      <c r="G11011"/>
    </row>
    <row r="11012" spans="2:7">
      <c r="B11012"/>
      <c r="C11012"/>
      <c r="D11012"/>
      <c r="G11012"/>
    </row>
    <row r="11013" spans="2:7">
      <c r="B11013"/>
      <c r="C11013"/>
      <c r="D11013"/>
      <c r="G11013"/>
    </row>
    <row r="11014" spans="2:7">
      <c r="B11014"/>
      <c r="C11014"/>
      <c r="D11014"/>
      <c r="G11014"/>
    </row>
    <row r="11015" spans="2:7">
      <c r="B11015"/>
      <c r="C11015"/>
      <c r="D11015"/>
      <c r="G11015"/>
    </row>
    <row r="11016" spans="2:7">
      <c r="B11016"/>
      <c r="C11016"/>
      <c r="D11016"/>
      <c r="G11016"/>
    </row>
    <row r="11017" spans="2:7">
      <c r="B11017"/>
      <c r="C11017"/>
      <c r="D11017"/>
      <c r="G11017"/>
    </row>
    <row r="11018" spans="2:7">
      <c r="B11018"/>
      <c r="C11018"/>
      <c r="D11018"/>
      <c r="G11018"/>
    </row>
    <row r="11019" spans="2:7">
      <c r="B11019"/>
      <c r="C11019"/>
      <c r="D11019"/>
      <c r="G11019"/>
    </row>
    <row r="11020" spans="2:7">
      <c r="B11020"/>
      <c r="C11020"/>
      <c r="D11020"/>
      <c r="G11020"/>
    </row>
    <row r="11021" spans="2:7">
      <c r="B11021"/>
      <c r="C11021"/>
      <c r="D11021"/>
      <c r="G11021"/>
    </row>
    <row r="11022" spans="2:7">
      <c r="B11022"/>
      <c r="C11022"/>
      <c r="D11022"/>
      <c r="G11022"/>
    </row>
    <row r="11023" spans="2:7">
      <c r="B11023"/>
      <c r="C11023"/>
      <c r="D11023"/>
      <c r="G11023"/>
    </row>
    <row r="11024" spans="2:7">
      <c r="B11024"/>
      <c r="C11024"/>
      <c r="D11024"/>
      <c r="G11024"/>
    </row>
    <row r="11025" spans="2:7">
      <c r="B11025"/>
      <c r="C11025"/>
      <c r="D11025"/>
      <c r="G11025"/>
    </row>
    <row r="11026" spans="2:7">
      <c r="B11026"/>
      <c r="C11026"/>
      <c r="D11026"/>
      <c r="G11026"/>
    </row>
    <row r="11027" spans="2:7">
      <c r="B11027"/>
      <c r="C11027"/>
      <c r="D11027"/>
      <c r="G11027"/>
    </row>
    <row r="11028" spans="2:7">
      <c r="B11028"/>
      <c r="C11028"/>
      <c r="D11028"/>
      <c r="G11028"/>
    </row>
    <row r="11029" spans="2:7">
      <c r="B11029"/>
      <c r="C11029"/>
      <c r="D11029"/>
      <c r="G11029"/>
    </row>
    <row r="11030" spans="2:7">
      <c r="B11030"/>
      <c r="C11030"/>
      <c r="D11030"/>
      <c r="G11030"/>
    </row>
    <row r="11031" spans="2:7">
      <c r="B11031"/>
      <c r="C11031"/>
      <c r="D11031"/>
      <c r="G11031"/>
    </row>
    <row r="11032" spans="2:7">
      <c r="B11032"/>
      <c r="C11032"/>
      <c r="D11032"/>
      <c r="G11032"/>
    </row>
    <row r="11033" spans="2:7">
      <c r="B11033"/>
      <c r="C11033"/>
      <c r="D11033"/>
      <c r="G11033"/>
    </row>
    <row r="11034" spans="2:7">
      <c r="B11034"/>
      <c r="C11034"/>
      <c r="D11034"/>
      <c r="G11034"/>
    </row>
    <row r="11035" spans="2:7">
      <c r="B11035"/>
      <c r="C11035"/>
      <c r="D11035"/>
      <c r="G11035"/>
    </row>
    <row r="11036" spans="2:7">
      <c r="B11036"/>
      <c r="C11036"/>
      <c r="D11036"/>
      <c r="G11036"/>
    </row>
    <row r="11037" spans="2:7">
      <c r="B11037"/>
      <c r="C11037"/>
      <c r="D11037"/>
      <c r="G11037"/>
    </row>
    <row r="11038" spans="2:7">
      <c r="B11038"/>
      <c r="C11038"/>
      <c r="D11038"/>
      <c r="G11038"/>
    </row>
    <row r="11039" spans="2:7">
      <c r="B11039"/>
      <c r="C11039"/>
      <c r="D11039"/>
      <c r="G11039"/>
    </row>
    <row r="11040" spans="2:7">
      <c r="B11040"/>
      <c r="C11040"/>
      <c r="D11040"/>
      <c r="G11040"/>
    </row>
    <row r="11041" spans="2:7">
      <c r="B11041"/>
      <c r="C11041"/>
      <c r="D11041"/>
      <c r="G11041"/>
    </row>
    <row r="11042" spans="2:7">
      <c r="B11042"/>
      <c r="C11042"/>
      <c r="D11042"/>
      <c r="G11042"/>
    </row>
    <row r="11043" spans="2:7">
      <c r="B11043"/>
      <c r="C11043"/>
      <c r="D11043"/>
      <c r="G11043"/>
    </row>
    <row r="11044" spans="2:7">
      <c r="B11044"/>
      <c r="C11044"/>
      <c r="D11044"/>
      <c r="G11044"/>
    </row>
    <row r="11045" spans="2:7">
      <c r="B11045"/>
      <c r="C11045"/>
      <c r="D11045"/>
      <c r="G11045"/>
    </row>
    <row r="11046" spans="2:7">
      <c r="B11046"/>
      <c r="C11046"/>
      <c r="D11046"/>
      <c r="G11046"/>
    </row>
    <row r="11047" spans="2:7">
      <c r="B11047"/>
      <c r="C11047"/>
      <c r="D11047"/>
      <c r="G11047"/>
    </row>
    <row r="11048" spans="2:7">
      <c r="B11048"/>
      <c r="C11048"/>
      <c r="D11048"/>
      <c r="G11048"/>
    </row>
    <row r="11049" spans="2:7">
      <c r="B11049"/>
      <c r="C11049"/>
      <c r="D11049"/>
      <c r="G11049"/>
    </row>
    <row r="11050" spans="2:7">
      <c r="B11050"/>
      <c r="C11050"/>
      <c r="D11050"/>
      <c r="G11050"/>
    </row>
    <row r="11051" spans="2:7">
      <c r="B11051"/>
      <c r="C11051"/>
      <c r="D11051"/>
      <c r="G11051"/>
    </row>
    <row r="11052" spans="2:7">
      <c r="B11052"/>
      <c r="C11052"/>
      <c r="D11052"/>
      <c r="G11052"/>
    </row>
    <row r="11053" spans="2:7">
      <c r="B11053"/>
      <c r="C11053"/>
      <c r="D11053"/>
      <c r="G11053"/>
    </row>
    <row r="11054" spans="2:7">
      <c r="B11054"/>
      <c r="C11054"/>
      <c r="D11054"/>
      <c r="G11054"/>
    </row>
    <row r="11055" spans="2:7">
      <c r="B11055"/>
      <c r="C11055"/>
      <c r="D11055"/>
      <c r="G11055"/>
    </row>
    <row r="11056" spans="2:7">
      <c r="B11056"/>
      <c r="C11056"/>
      <c r="D11056"/>
      <c r="G11056"/>
    </row>
    <row r="11057" spans="2:7">
      <c r="B11057"/>
      <c r="C11057"/>
      <c r="D11057"/>
      <c r="G11057"/>
    </row>
    <row r="11058" spans="2:7">
      <c r="B11058"/>
      <c r="C11058"/>
      <c r="D11058"/>
      <c r="G11058"/>
    </row>
    <row r="11059" spans="2:7">
      <c r="B11059"/>
      <c r="C11059"/>
      <c r="D11059"/>
      <c r="G11059"/>
    </row>
    <row r="11060" spans="2:7">
      <c r="B11060"/>
      <c r="C11060"/>
      <c r="D11060"/>
      <c r="G11060"/>
    </row>
    <row r="11061" spans="2:7">
      <c r="B11061"/>
      <c r="C11061"/>
      <c r="D11061"/>
      <c r="G11061"/>
    </row>
    <row r="11062" spans="2:7">
      <c r="B11062"/>
      <c r="C11062"/>
      <c r="D11062"/>
      <c r="G11062"/>
    </row>
    <row r="11063" spans="2:7">
      <c r="B11063"/>
      <c r="C11063"/>
      <c r="D11063"/>
      <c r="G11063"/>
    </row>
    <row r="11064" spans="2:7">
      <c r="B11064"/>
      <c r="C11064"/>
      <c r="D11064"/>
      <c r="G11064"/>
    </row>
    <row r="11065" spans="2:7">
      <c r="B11065"/>
      <c r="C11065"/>
      <c r="D11065"/>
      <c r="G11065"/>
    </row>
    <row r="11066" spans="2:7">
      <c r="B11066"/>
      <c r="C11066"/>
      <c r="D11066"/>
      <c r="G11066"/>
    </row>
    <row r="11067" spans="2:7">
      <c r="B11067"/>
      <c r="C11067"/>
      <c r="D11067"/>
      <c r="G11067"/>
    </row>
    <row r="11068" spans="2:7">
      <c r="B11068"/>
      <c r="C11068"/>
      <c r="D11068"/>
      <c r="G11068"/>
    </row>
    <row r="11069" spans="2:7">
      <c r="B11069"/>
      <c r="C11069"/>
      <c r="D11069"/>
      <c r="G11069"/>
    </row>
    <row r="11070" spans="2:7">
      <c r="B11070"/>
      <c r="C11070"/>
      <c r="D11070"/>
      <c r="G11070"/>
    </row>
    <row r="11071" spans="2:7">
      <c r="B11071"/>
      <c r="C11071"/>
      <c r="D11071"/>
      <c r="G11071"/>
    </row>
    <row r="11072" spans="2:7">
      <c r="B11072"/>
      <c r="C11072"/>
      <c r="D11072"/>
      <c r="G11072"/>
    </row>
    <row r="11073" spans="2:7">
      <c r="B11073"/>
      <c r="C11073"/>
      <c r="D11073"/>
      <c r="G11073"/>
    </row>
    <row r="11074" spans="2:7">
      <c r="B11074"/>
      <c r="C11074"/>
      <c r="D11074"/>
      <c r="G11074"/>
    </row>
    <row r="11075" spans="2:7">
      <c r="B11075"/>
      <c r="C11075"/>
      <c r="D11075"/>
      <c r="G11075"/>
    </row>
    <row r="11076" spans="2:7">
      <c r="B11076"/>
      <c r="C11076"/>
      <c r="D11076"/>
      <c r="G11076"/>
    </row>
    <row r="11077" spans="2:7">
      <c r="B11077"/>
      <c r="C11077"/>
      <c r="D11077"/>
      <c r="G11077"/>
    </row>
    <row r="11078" spans="2:7">
      <c r="B11078"/>
      <c r="C11078"/>
      <c r="D11078"/>
      <c r="G11078"/>
    </row>
    <row r="11079" spans="2:7">
      <c r="B11079"/>
      <c r="C11079"/>
      <c r="D11079"/>
      <c r="G11079"/>
    </row>
    <row r="11080" spans="2:7">
      <c r="B11080"/>
      <c r="C11080"/>
      <c r="D11080"/>
      <c r="G11080"/>
    </row>
    <row r="11081" spans="2:7">
      <c r="B11081"/>
      <c r="C11081"/>
      <c r="D11081"/>
      <c r="G11081"/>
    </row>
    <row r="11082" spans="2:7">
      <c r="B11082"/>
      <c r="C11082"/>
      <c r="D11082"/>
      <c r="G11082"/>
    </row>
    <row r="11083" spans="2:7">
      <c r="B11083"/>
      <c r="C11083"/>
      <c r="D11083"/>
      <c r="G11083"/>
    </row>
    <row r="11084" spans="2:7">
      <c r="B11084"/>
      <c r="C11084"/>
      <c r="D11084"/>
      <c r="G11084"/>
    </row>
    <row r="11085" spans="2:7">
      <c r="B11085"/>
      <c r="C11085"/>
      <c r="D11085"/>
      <c r="G11085"/>
    </row>
    <row r="11086" spans="2:7">
      <c r="B11086"/>
      <c r="C11086"/>
      <c r="D11086"/>
      <c r="G11086"/>
    </row>
    <row r="11087" spans="2:7">
      <c r="B11087"/>
      <c r="C11087"/>
      <c r="D11087"/>
      <c r="G11087"/>
    </row>
    <row r="11088" spans="2:7">
      <c r="B11088"/>
      <c r="C11088"/>
      <c r="D11088"/>
      <c r="G11088"/>
    </row>
    <row r="11089" spans="2:7">
      <c r="B11089"/>
      <c r="C11089"/>
      <c r="D11089"/>
      <c r="G11089"/>
    </row>
    <row r="11090" spans="2:7">
      <c r="B11090"/>
      <c r="C11090"/>
      <c r="D11090"/>
      <c r="G11090"/>
    </row>
    <row r="11091" spans="2:7">
      <c r="B11091"/>
      <c r="C11091"/>
      <c r="D11091"/>
      <c r="G11091"/>
    </row>
    <row r="11092" spans="2:7">
      <c r="B11092"/>
      <c r="C11092"/>
      <c r="D11092"/>
      <c r="G11092"/>
    </row>
    <row r="11093" spans="2:7">
      <c r="B11093"/>
      <c r="C11093"/>
      <c r="D11093"/>
      <c r="G11093"/>
    </row>
    <row r="11094" spans="2:7">
      <c r="B11094"/>
      <c r="C11094"/>
      <c r="D11094"/>
      <c r="G11094"/>
    </row>
    <row r="11095" spans="2:7">
      <c r="B11095"/>
      <c r="C11095"/>
      <c r="D11095"/>
      <c r="G11095"/>
    </row>
    <row r="11096" spans="2:7">
      <c r="B11096"/>
      <c r="C11096"/>
      <c r="D11096"/>
      <c r="G11096"/>
    </row>
    <row r="11097" spans="2:7">
      <c r="B11097"/>
      <c r="C11097"/>
      <c r="D11097"/>
      <c r="G11097"/>
    </row>
    <row r="11098" spans="2:7">
      <c r="B11098"/>
      <c r="C11098"/>
      <c r="D11098"/>
      <c r="G11098"/>
    </row>
    <row r="11099" spans="2:7">
      <c r="B11099"/>
      <c r="C11099"/>
      <c r="D11099"/>
      <c r="G11099"/>
    </row>
    <row r="11100" spans="2:7">
      <c r="B11100"/>
      <c r="C11100"/>
      <c r="D11100"/>
      <c r="G11100"/>
    </row>
    <row r="11101" spans="2:7">
      <c r="B11101"/>
      <c r="C11101"/>
      <c r="D11101"/>
      <c r="G11101"/>
    </row>
    <row r="11102" spans="2:7">
      <c r="B11102"/>
      <c r="C11102"/>
      <c r="D11102"/>
      <c r="G11102"/>
    </row>
    <row r="11103" spans="2:7">
      <c r="B11103"/>
      <c r="C11103"/>
      <c r="D11103"/>
      <c r="G11103"/>
    </row>
    <row r="11104" spans="2:7">
      <c r="B11104"/>
      <c r="C11104"/>
      <c r="D11104"/>
      <c r="G11104"/>
    </row>
    <row r="11105" spans="2:7">
      <c r="B11105"/>
      <c r="C11105"/>
      <c r="D11105"/>
      <c r="G11105"/>
    </row>
    <row r="11106" spans="2:7">
      <c r="B11106"/>
      <c r="C11106"/>
      <c r="D11106"/>
      <c r="G11106"/>
    </row>
    <row r="11107" spans="2:7">
      <c r="B11107"/>
      <c r="C11107"/>
      <c r="D11107"/>
      <c r="G11107"/>
    </row>
    <row r="11108" spans="2:7">
      <c r="B11108"/>
      <c r="C11108"/>
      <c r="D11108"/>
      <c r="G11108"/>
    </row>
    <row r="11109" spans="2:7">
      <c r="B11109"/>
      <c r="C11109"/>
      <c r="D11109"/>
      <c r="G11109"/>
    </row>
    <row r="11110" spans="2:7">
      <c r="B11110"/>
      <c r="C11110"/>
      <c r="D11110"/>
      <c r="G11110"/>
    </row>
    <row r="11111" spans="2:7">
      <c r="B11111"/>
      <c r="C11111"/>
      <c r="D11111"/>
      <c r="G11111"/>
    </row>
    <row r="11112" spans="2:7">
      <c r="B11112"/>
      <c r="C11112"/>
      <c r="D11112"/>
      <c r="G11112"/>
    </row>
    <row r="11113" spans="2:7">
      <c r="B11113"/>
      <c r="C11113"/>
      <c r="D11113"/>
      <c r="G11113"/>
    </row>
    <row r="11114" spans="2:7">
      <c r="B11114"/>
      <c r="C11114"/>
      <c r="D11114"/>
      <c r="G11114"/>
    </row>
    <row r="11115" spans="2:7">
      <c r="B11115"/>
      <c r="C11115"/>
      <c r="D11115"/>
      <c r="G11115"/>
    </row>
    <row r="11116" spans="2:7">
      <c r="B11116"/>
      <c r="C11116"/>
      <c r="D11116"/>
      <c r="G11116"/>
    </row>
    <row r="11117" spans="2:7">
      <c r="B11117"/>
      <c r="C11117"/>
      <c r="D11117"/>
      <c r="G11117"/>
    </row>
    <row r="11118" spans="2:7">
      <c r="B11118"/>
      <c r="C11118"/>
      <c r="D11118"/>
      <c r="G11118"/>
    </row>
    <row r="11119" spans="2:7">
      <c r="B11119"/>
      <c r="C11119"/>
      <c r="D11119"/>
      <c r="G11119"/>
    </row>
    <row r="11120" spans="2:7">
      <c r="B11120"/>
      <c r="C11120"/>
      <c r="D11120"/>
      <c r="G11120"/>
    </row>
    <row r="11121" spans="2:7">
      <c r="B11121"/>
      <c r="C11121"/>
      <c r="D11121"/>
      <c r="G11121"/>
    </row>
    <row r="11122" spans="2:7">
      <c r="B11122"/>
      <c r="C11122"/>
      <c r="D11122"/>
      <c r="G11122"/>
    </row>
    <row r="11123" spans="2:7">
      <c r="B11123"/>
      <c r="C11123"/>
      <c r="D11123"/>
      <c r="G11123"/>
    </row>
    <row r="11124" spans="2:7">
      <c r="B11124"/>
      <c r="C11124"/>
      <c r="D11124"/>
      <c r="G11124"/>
    </row>
    <row r="11125" spans="2:7">
      <c r="B11125"/>
      <c r="C11125"/>
      <c r="D11125"/>
      <c r="G11125"/>
    </row>
    <row r="11126" spans="2:7">
      <c r="B11126"/>
      <c r="C11126"/>
      <c r="D11126"/>
      <c r="G11126"/>
    </row>
    <row r="11127" spans="2:7">
      <c r="B11127"/>
      <c r="C11127"/>
      <c r="D11127"/>
      <c r="G11127"/>
    </row>
    <row r="11128" spans="2:7">
      <c r="B11128"/>
      <c r="C11128"/>
      <c r="D11128"/>
      <c r="G11128"/>
    </row>
    <row r="11129" spans="2:7">
      <c r="B11129"/>
      <c r="C11129"/>
      <c r="D11129"/>
      <c r="G11129"/>
    </row>
    <row r="11130" spans="2:7">
      <c r="B11130"/>
      <c r="C11130"/>
      <c r="D11130"/>
      <c r="G11130"/>
    </row>
    <row r="11131" spans="2:7">
      <c r="B11131"/>
      <c r="C11131"/>
      <c r="D11131"/>
      <c r="G11131"/>
    </row>
    <row r="11132" spans="2:7">
      <c r="B11132"/>
      <c r="C11132"/>
      <c r="D11132"/>
      <c r="G11132"/>
    </row>
    <row r="11133" spans="2:7">
      <c r="B11133"/>
      <c r="C11133"/>
      <c r="D11133"/>
      <c r="G11133"/>
    </row>
    <row r="11134" spans="2:7">
      <c r="B11134"/>
      <c r="C11134"/>
      <c r="D11134"/>
      <c r="G11134"/>
    </row>
    <row r="11135" spans="2:7">
      <c r="B11135"/>
      <c r="C11135"/>
      <c r="D11135"/>
      <c r="G11135"/>
    </row>
    <row r="11136" spans="2:7">
      <c r="B11136"/>
      <c r="C11136"/>
      <c r="D11136"/>
      <c r="G11136"/>
    </row>
    <row r="11137" spans="2:7">
      <c r="B11137"/>
      <c r="C11137"/>
      <c r="D11137"/>
      <c r="G11137"/>
    </row>
    <row r="11138" spans="2:7">
      <c r="B11138"/>
      <c r="C11138"/>
      <c r="D11138"/>
      <c r="G11138"/>
    </row>
    <row r="11139" spans="2:7">
      <c r="B11139"/>
      <c r="C11139"/>
      <c r="D11139"/>
      <c r="G11139"/>
    </row>
    <row r="11140" spans="2:7">
      <c r="B11140"/>
      <c r="C11140"/>
      <c r="D11140"/>
      <c r="G11140"/>
    </row>
    <row r="11141" spans="2:7">
      <c r="B11141"/>
      <c r="C11141"/>
      <c r="D11141"/>
      <c r="G11141"/>
    </row>
    <row r="11142" spans="2:7">
      <c r="B11142"/>
      <c r="C11142"/>
      <c r="D11142"/>
      <c r="G11142"/>
    </row>
    <row r="11143" spans="2:7">
      <c r="B11143"/>
      <c r="C11143"/>
      <c r="D11143"/>
      <c r="G11143"/>
    </row>
    <row r="11144" spans="2:7">
      <c r="B11144"/>
      <c r="C11144"/>
      <c r="D11144"/>
      <c r="G11144"/>
    </row>
    <row r="11145" spans="2:7">
      <c r="B11145"/>
      <c r="C11145"/>
      <c r="D11145"/>
      <c r="G11145"/>
    </row>
    <row r="11146" spans="2:7">
      <c r="B11146"/>
      <c r="C11146"/>
      <c r="D11146"/>
      <c r="G11146"/>
    </row>
    <row r="11147" spans="2:7">
      <c r="B11147"/>
      <c r="C11147"/>
      <c r="D11147"/>
      <c r="G11147"/>
    </row>
    <row r="11148" spans="2:7">
      <c r="B11148"/>
      <c r="C11148"/>
      <c r="D11148"/>
      <c r="G11148"/>
    </row>
    <row r="11149" spans="2:7">
      <c r="B11149"/>
      <c r="C11149"/>
      <c r="D11149"/>
      <c r="G11149"/>
    </row>
    <row r="11150" spans="2:7">
      <c r="B11150"/>
      <c r="C11150"/>
      <c r="D11150"/>
      <c r="G11150"/>
    </row>
    <row r="11151" spans="2:7">
      <c r="B11151"/>
      <c r="C11151"/>
      <c r="D11151"/>
      <c r="G11151"/>
    </row>
    <row r="11152" spans="2:7">
      <c r="B11152"/>
      <c r="C11152"/>
      <c r="D11152"/>
      <c r="G11152"/>
    </row>
    <row r="11153" spans="2:7">
      <c r="B11153"/>
      <c r="C11153"/>
      <c r="D11153"/>
      <c r="G11153"/>
    </row>
    <row r="11154" spans="2:7">
      <c r="B11154"/>
      <c r="C11154"/>
      <c r="D11154"/>
      <c r="G11154"/>
    </row>
    <row r="11155" spans="2:7">
      <c r="B11155"/>
      <c r="C11155"/>
      <c r="D11155"/>
      <c r="G11155"/>
    </row>
    <row r="11156" spans="2:7">
      <c r="B11156"/>
      <c r="C11156"/>
      <c r="D11156"/>
      <c r="G11156"/>
    </row>
    <row r="11157" spans="2:7">
      <c r="B11157"/>
      <c r="C11157"/>
      <c r="D11157"/>
      <c r="G11157"/>
    </row>
    <row r="11158" spans="2:7">
      <c r="B11158"/>
      <c r="C11158"/>
      <c r="D11158"/>
      <c r="G11158"/>
    </row>
    <row r="11159" spans="2:7">
      <c r="B11159"/>
      <c r="C11159"/>
      <c r="D11159"/>
      <c r="G11159"/>
    </row>
    <row r="11160" spans="2:7">
      <c r="B11160"/>
      <c r="C11160"/>
      <c r="D11160"/>
      <c r="G11160"/>
    </row>
    <row r="11161" spans="2:7">
      <c r="B11161"/>
      <c r="C11161"/>
      <c r="D11161"/>
      <c r="G11161"/>
    </row>
    <row r="11162" spans="2:7">
      <c r="B11162"/>
      <c r="C11162"/>
      <c r="D11162"/>
      <c r="G11162"/>
    </row>
    <row r="11163" spans="2:7">
      <c r="B11163"/>
      <c r="C11163"/>
      <c r="D11163"/>
      <c r="G11163"/>
    </row>
    <row r="11164" spans="2:7">
      <c r="B11164"/>
      <c r="C11164"/>
      <c r="D11164"/>
      <c r="G11164"/>
    </row>
    <row r="11165" spans="2:7">
      <c r="B11165"/>
      <c r="C11165"/>
      <c r="D11165"/>
      <c r="G11165"/>
    </row>
    <row r="11166" spans="2:7">
      <c r="B11166"/>
      <c r="C11166"/>
      <c r="D11166"/>
      <c r="G11166"/>
    </row>
    <row r="11167" spans="2:7">
      <c r="B11167"/>
      <c r="C11167"/>
      <c r="D11167"/>
      <c r="G11167"/>
    </row>
    <row r="11168" spans="2:7">
      <c r="B11168"/>
      <c r="C11168"/>
      <c r="D11168"/>
      <c r="G11168"/>
    </row>
    <row r="11169" spans="2:7">
      <c r="B11169"/>
      <c r="C11169"/>
      <c r="D11169"/>
      <c r="G11169"/>
    </row>
    <row r="11170" spans="2:7">
      <c r="B11170"/>
      <c r="C11170"/>
      <c r="D11170"/>
      <c r="G11170"/>
    </row>
    <row r="11171" spans="2:7">
      <c r="B11171"/>
      <c r="C11171"/>
      <c r="D11171"/>
      <c r="G11171"/>
    </row>
    <row r="11172" spans="2:7">
      <c r="B11172"/>
      <c r="C11172"/>
      <c r="D11172"/>
      <c r="G11172"/>
    </row>
    <row r="11173" spans="2:7">
      <c r="B11173"/>
      <c r="C11173"/>
      <c r="D11173"/>
      <c r="G11173"/>
    </row>
    <row r="11174" spans="2:7">
      <c r="B11174"/>
      <c r="C11174"/>
      <c r="D11174"/>
      <c r="G11174"/>
    </row>
    <row r="11175" spans="2:7">
      <c r="B11175"/>
      <c r="C11175"/>
      <c r="D11175"/>
      <c r="G11175"/>
    </row>
    <row r="11176" spans="2:7">
      <c r="B11176"/>
      <c r="C11176"/>
      <c r="D11176"/>
      <c r="G11176"/>
    </row>
    <row r="11177" spans="2:7">
      <c r="B11177"/>
      <c r="C11177"/>
      <c r="D11177"/>
      <c r="G11177"/>
    </row>
    <row r="11178" spans="2:7">
      <c r="B11178"/>
      <c r="C11178"/>
      <c r="D11178"/>
      <c r="G11178"/>
    </row>
    <row r="11179" spans="2:7">
      <c r="B11179"/>
      <c r="C11179"/>
      <c r="D11179"/>
      <c r="G11179"/>
    </row>
    <row r="11180" spans="2:7">
      <c r="B11180"/>
      <c r="C11180"/>
      <c r="D11180"/>
      <c r="G11180"/>
    </row>
    <row r="11181" spans="2:7">
      <c r="B11181"/>
      <c r="C11181"/>
      <c r="D11181"/>
      <c r="G11181"/>
    </row>
    <row r="11182" spans="2:7">
      <c r="B11182"/>
      <c r="C11182"/>
      <c r="D11182"/>
      <c r="G11182"/>
    </row>
    <row r="11183" spans="2:7">
      <c r="B11183"/>
      <c r="C11183"/>
      <c r="D11183"/>
      <c r="G11183"/>
    </row>
    <row r="11184" spans="2:7">
      <c r="B11184"/>
      <c r="C11184"/>
      <c r="D11184"/>
      <c r="G11184"/>
    </row>
    <row r="11185" spans="2:7">
      <c r="B11185"/>
      <c r="C11185"/>
      <c r="D11185"/>
      <c r="G11185"/>
    </row>
    <row r="11186" spans="2:7">
      <c r="B11186"/>
      <c r="C11186"/>
      <c r="D11186"/>
      <c r="G11186"/>
    </row>
    <row r="11187" spans="2:7">
      <c r="B11187"/>
      <c r="C11187"/>
      <c r="D11187"/>
      <c r="G11187"/>
    </row>
    <row r="11188" spans="2:7">
      <c r="B11188"/>
      <c r="C11188"/>
      <c r="D11188"/>
      <c r="G11188"/>
    </row>
    <row r="11189" spans="2:7">
      <c r="B11189"/>
      <c r="C11189"/>
      <c r="D11189"/>
      <c r="G11189"/>
    </row>
    <row r="11190" spans="2:7">
      <c r="B11190"/>
      <c r="C11190"/>
      <c r="D11190"/>
      <c r="G11190"/>
    </row>
    <row r="11191" spans="2:7">
      <c r="B11191"/>
      <c r="C11191"/>
      <c r="D11191"/>
      <c r="G11191"/>
    </row>
    <row r="11192" spans="2:7">
      <c r="B11192"/>
      <c r="C11192"/>
      <c r="D11192"/>
      <c r="G11192"/>
    </row>
    <row r="11193" spans="2:7">
      <c r="B11193"/>
      <c r="C11193"/>
      <c r="D11193"/>
      <c r="G11193"/>
    </row>
    <row r="11194" spans="2:7">
      <c r="B11194"/>
      <c r="C11194"/>
      <c r="D11194"/>
      <c r="G11194"/>
    </row>
    <row r="11195" spans="2:7">
      <c r="B11195"/>
      <c r="C11195"/>
      <c r="D11195"/>
      <c r="G11195"/>
    </row>
    <row r="11196" spans="2:7">
      <c r="B11196"/>
      <c r="C11196"/>
      <c r="D11196"/>
      <c r="G11196"/>
    </row>
    <row r="11197" spans="2:7">
      <c r="B11197"/>
      <c r="C11197"/>
      <c r="D11197"/>
      <c r="G11197"/>
    </row>
    <row r="11198" spans="2:7">
      <c r="B11198"/>
      <c r="C11198"/>
      <c r="D11198"/>
      <c r="G11198"/>
    </row>
    <row r="11199" spans="2:7">
      <c r="B11199"/>
      <c r="C11199"/>
      <c r="D11199"/>
      <c r="G11199"/>
    </row>
    <row r="11200" spans="2:7">
      <c r="B11200"/>
      <c r="C11200"/>
      <c r="D11200"/>
      <c r="G11200"/>
    </row>
    <row r="11201" spans="2:7">
      <c r="B11201"/>
      <c r="C11201"/>
      <c r="D11201"/>
      <c r="G11201"/>
    </row>
    <row r="11202" spans="2:7">
      <c r="B11202"/>
      <c r="C11202"/>
      <c r="D11202"/>
      <c r="G11202"/>
    </row>
    <row r="11203" spans="2:7">
      <c r="B11203"/>
      <c r="C11203"/>
      <c r="D11203"/>
      <c r="G11203"/>
    </row>
    <row r="11204" spans="2:7">
      <c r="B11204"/>
      <c r="C11204"/>
      <c r="D11204"/>
      <c r="G11204"/>
    </row>
    <row r="11205" spans="2:7">
      <c r="B11205"/>
      <c r="C11205"/>
      <c r="D11205"/>
      <c r="G11205"/>
    </row>
    <row r="11206" spans="2:7">
      <c r="B11206"/>
      <c r="C11206"/>
      <c r="D11206"/>
      <c r="G11206"/>
    </row>
    <row r="11207" spans="2:7">
      <c r="B11207"/>
      <c r="C11207"/>
      <c r="D11207"/>
      <c r="G11207"/>
    </row>
    <row r="11208" spans="2:7">
      <c r="B11208"/>
      <c r="C11208"/>
      <c r="D11208"/>
      <c r="G11208"/>
    </row>
    <row r="11209" spans="2:7">
      <c r="B11209"/>
      <c r="C11209"/>
      <c r="D11209"/>
      <c r="G11209"/>
    </row>
    <row r="11210" spans="2:7">
      <c r="B11210"/>
      <c r="C11210"/>
      <c r="D11210"/>
      <c r="G11210"/>
    </row>
    <row r="11211" spans="2:7">
      <c r="B11211"/>
      <c r="C11211"/>
      <c r="D11211"/>
      <c r="G11211"/>
    </row>
    <row r="11212" spans="2:7">
      <c r="B11212"/>
      <c r="C11212"/>
      <c r="D11212"/>
      <c r="G11212"/>
    </row>
    <row r="11213" spans="2:7">
      <c r="B11213"/>
      <c r="C11213"/>
      <c r="D11213"/>
      <c r="G11213"/>
    </row>
    <row r="11214" spans="2:7">
      <c r="B11214"/>
      <c r="C11214"/>
      <c r="D11214"/>
      <c r="G11214"/>
    </row>
    <row r="11215" spans="2:7">
      <c r="B11215"/>
      <c r="C11215"/>
      <c r="D11215"/>
      <c r="G11215"/>
    </row>
    <row r="11216" spans="2:7">
      <c r="B11216"/>
      <c r="C11216"/>
      <c r="D11216"/>
      <c r="G11216"/>
    </row>
    <row r="11217" spans="2:7">
      <c r="B11217"/>
      <c r="C11217"/>
      <c r="D11217"/>
      <c r="G11217"/>
    </row>
    <row r="11218" spans="2:7">
      <c r="B11218"/>
      <c r="C11218"/>
      <c r="D11218"/>
      <c r="G11218"/>
    </row>
    <row r="11219" spans="2:7">
      <c r="B11219"/>
      <c r="C11219"/>
      <c r="D11219"/>
      <c r="G11219"/>
    </row>
    <row r="11220" spans="2:7">
      <c r="B11220"/>
      <c r="C11220"/>
      <c r="D11220"/>
      <c r="G11220"/>
    </row>
    <row r="11221" spans="2:7">
      <c r="B11221"/>
      <c r="C11221"/>
      <c r="D11221"/>
      <c r="G11221"/>
    </row>
    <row r="11222" spans="2:7">
      <c r="B11222"/>
      <c r="C11222"/>
      <c r="D11222"/>
      <c r="G11222"/>
    </row>
    <row r="11223" spans="2:7">
      <c r="B11223"/>
      <c r="C11223"/>
      <c r="D11223"/>
      <c r="G11223"/>
    </row>
    <row r="11224" spans="2:7">
      <c r="B11224"/>
      <c r="C11224"/>
      <c r="D11224"/>
      <c r="G11224"/>
    </row>
    <row r="11225" spans="2:7">
      <c r="B11225"/>
      <c r="C11225"/>
      <c r="D11225"/>
      <c r="G11225"/>
    </row>
    <row r="11226" spans="2:7">
      <c r="B11226"/>
      <c r="C11226"/>
      <c r="D11226"/>
      <c r="G11226"/>
    </row>
    <row r="11227" spans="2:7">
      <c r="B11227"/>
      <c r="C11227"/>
      <c r="D11227"/>
      <c r="G11227"/>
    </row>
    <row r="11228" spans="2:7">
      <c r="B11228"/>
      <c r="C11228"/>
      <c r="D11228"/>
      <c r="G11228"/>
    </row>
    <row r="11229" spans="2:7">
      <c r="B11229"/>
      <c r="C11229"/>
      <c r="D11229"/>
      <c r="G11229"/>
    </row>
    <row r="11230" spans="2:7">
      <c r="B11230"/>
      <c r="C11230"/>
      <c r="D11230"/>
      <c r="G11230"/>
    </row>
    <row r="11231" spans="2:7">
      <c r="B11231"/>
      <c r="C11231"/>
      <c r="D11231"/>
      <c r="G11231"/>
    </row>
    <row r="11232" spans="2:7">
      <c r="B11232"/>
      <c r="C11232"/>
      <c r="D11232"/>
      <c r="G11232"/>
    </row>
    <row r="11233" spans="2:7">
      <c r="B11233"/>
      <c r="C11233"/>
      <c r="D11233"/>
      <c r="G11233"/>
    </row>
    <row r="11234" spans="2:7">
      <c r="B11234"/>
      <c r="C11234"/>
      <c r="D11234"/>
      <c r="G11234"/>
    </row>
    <row r="11235" spans="2:7">
      <c r="B11235"/>
      <c r="C11235"/>
      <c r="D11235"/>
      <c r="G11235"/>
    </row>
    <row r="11236" spans="2:7">
      <c r="B11236"/>
      <c r="C11236"/>
      <c r="D11236"/>
      <c r="G11236"/>
    </row>
    <row r="11237" spans="2:7">
      <c r="B11237"/>
      <c r="C11237"/>
      <c r="D11237"/>
      <c r="G11237"/>
    </row>
    <row r="11238" spans="2:7">
      <c r="B11238"/>
      <c r="C11238"/>
      <c r="D11238"/>
      <c r="G11238"/>
    </row>
    <row r="11239" spans="2:7">
      <c r="B11239"/>
      <c r="C11239"/>
      <c r="D11239"/>
      <c r="G11239"/>
    </row>
    <row r="11240" spans="2:7">
      <c r="B11240"/>
      <c r="C11240"/>
      <c r="D11240"/>
      <c r="G11240"/>
    </row>
    <row r="11241" spans="2:7">
      <c r="B11241"/>
      <c r="C11241"/>
      <c r="D11241"/>
      <c r="G11241"/>
    </row>
    <row r="11242" spans="2:7">
      <c r="B11242"/>
      <c r="C11242"/>
      <c r="D11242"/>
      <c r="G11242"/>
    </row>
    <row r="11243" spans="2:7">
      <c r="B11243"/>
      <c r="C11243"/>
      <c r="D11243"/>
      <c r="G11243"/>
    </row>
    <row r="11244" spans="2:7">
      <c r="B11244"/>
      <c r="C11244"/>
      <c r="D11244"/>
      <c r="G11244"/>
    </row>
    <row r="11245" spans="2:7">
      <c r="B11245"/>
      <c r="C11245"/>
      <c r="D11245"/>
      <c r="G11245"/>
    </row>
    <row r="11246" spans="2:7">
      <c r="B11246"/>
      <c r="C11246"/>
      <c r="D11246"/>
      <c r="G11246"/>
    </row>
    <row r="11247" spans="2:7">
      <c r="B11247"/>
      <c r="C11247"/>
      <c r="D11247"/>
      <c r="G11247"/>
    </row>
    <row r="11248" spans="2:7">
      <c r="B11248"/>
      <c r="C11248"/>
      <c r="D11248"/>
      <c r="G11248"/>
    </row>
    <row r="11249" spans="2:7">
      <c r="B11249"/>
      <c r="C11249"/>
      <c r="D11249"/>
      <c r="G11249"/>
    </row>
    <row r="11250" spans="2:7">
      <c r="B11250"/>
      <c r="C11250"/>
      <c r="D11250"/>
      <c r="G11250"/>
    </row>
    <row r="11251" spans="2:7">
      <c r="B11251"/>
      <c r="C11251"/>
      <c r="D11251"/>
      <c r="G11251"/>
    </row>
    <row r="11252" spans="2:7">
      <c r="B11252"/>
      <c r="C11252"/>
      <c r="D11252"/>
      <c r="G11252"/>
    </row>
    <row r="11253" spans="2:7">
      <c r="B11253"/>
      <c r="C11253"/>
      <c r="D11253"/>
      <c r="G11253"/>
    </row>
    <row r="11254" spans="2:7">
      <c r="B11254"/>
      <c r="C11254"/>
      <c r="D11254"/>
      <c r="G11254"/>
    </row>
    <row r="11255" spans="2:7">
      <c r="B11255"/>
      <c r="C11255"/>
      <c r="D11255"/>
      <c r="G11255"/>
    </row>
    <row r="11256" spans="2:7">
      <c r="B11256"/>
      <c r="C11256"/>
      <c r="D11256"/>
      <c r="G11256"/>
    </row>
    <row r="11257" spans="2:7">
      <c r="B11257"/>
      <c r="C11257"/>
      <c r="D11257"/>
      <c r="G11257"/>
    </row>
    <row r="11258" spans="2:7">
      <c r="B11258"/>
      <c r="C11258"/>
      <c r="D11258"/>
      <c r="G11258"/>
    </row>
    <row r="11259" spans="2:7">
      <c r="B11259"/>
      <c r="C11259"/>
      <c r="D11259"/>
      <c r="G11259"/>
    </row>
    <row r="11260" spans="2:7">
      <c r="B11260"/>
      <c r="C11260"/>
      <c r="D11260"/>
      <c r="G11260"/>
    </row>
    <row r="11261" spans="2:7">
      <c r="B11261"/>
      <c r="C11261"/>
      <c r="D11261"/>
      <c r="G11261"/>
    </row>
    <row r="11262" spans="2:7">
      <c r="B11262"/>
      <c r="C11262"/>
      <c r="D11262"/>
      <c r="G11262"/>
    </row>
    <row r="11263" spans="2:7">
      <c r="B11263"/>
      <c r="C11263"/>
      <c r="D11263"/>
      <c r="G11263"/>
    </row>
    <row r="11264" spans="2:7">
      <c r="B11264"/>
      <c r="C11264"/>
      <c r="D11264"/>
      <c r="G11264"/>
    </row>
    <row r="11265" spans="2:7">
      <c r="B11265"/>
      <c r="C11265"/>
      <c r="D11265"/>
      <c r="G11265"/>
    </row>
    <row r="11266" spans="2:7">
      <c r="B11266"/>
      <c r="C11266"/>
      <c r="D11266"/>
      <c r="G11266"/>
    </row>
    <row r="11267" spans="2:7">
      <c r="B11267"/>
      <c r="C11267"/>
      <c r="D11267"/>
      <c r="G11267"/>
    </row>
    <row r="11268" spans="2:7">
      <c r="B11268"/>
      <c r="C11268"/>
      <c r="D11268"/>
      <c r="G11268"/>
    </row>
    <row r="11269" spans="2:7">
      <c r="B11269"/>
      <c r="C11269"/>
      <c r="D11269"/>
      <c r="G11269"/>
    </row>
    <row r="11270" spans="2:7">
      <c r="B11270"/>
      <c r="C11270"/>
      <c r="D11270"/>
      <c r="G11270"/>
    </row>
    <row r="11271" spans="2:7">
      <c r="B11271"/>
      <c r="C11271"/>
      <c r="D11271"/>
      <c r="G11271"/>
    </row>
    <row r="11272" spans="2:7">
      <c r="B11272"/>
      <c r="C11272"/>
      <c r="D11272"/>
      <c r="G11272"/>
    </row>
    <row r="11273" spans="2:7">
      <c r="B11273"/>
      <c r="C11273"/>
      <c r="D11273"/>
      <c r="G11273"/>
    </row>
    <row r="11274" spans="2:7">
      <c r="B11274"/>
      <c r="C11274"/>
      <c r="D11274"/>
      <c r="G11274"/>
    </row>
    <row r="11275" spans="2:7">
      <c r="B11275"/>
      <c r="C11275"/>
      <c r="D11275"/>
      <c r="G11275"/>
    </row>
    <row r="11276" spans="2:7">
      <c r="B11276"/>
      <c r="C11276"/>
      <c r="D11276"/>
      <c r="G11276"/>
    </row>
    <row r="11277" spans="2:7">
      <c r="B11277"/>
      <c r="C11277"/>
      <c r="D11277"/>
      <c r="G11277"/>
    </row>
    <row r="11278" spans="2:7">
      <c r="B11278"/>
      <c r="C11278"/>
      <c r="D11278"/>
      <c r="G11278"/>
    </row>
    <row r="11279" spans="2:7">
      <c r="B11279"/>
      <c r="C11279"/>
      <c r="D11279"/>
      <c r="G11279"/>
    </row>
    <row r="11280" spans="2:7">
      <c r="B11280"/>
      <c r="C11280"/>
      <c r="D11280"/>
      <c r="G11280"/>
    </row>
    <row r="11281" spans="2:7">
      <c r="B11281"/>
      <c r="C11281"/>
      <c r="D11281"/>
      <c r="G11281"/>
    </row>
    <row r="11282" spans="2:7">
      <c r="B11282"/>
      <c r="C11282"/>
      <c r="D11282"/>
      <c r="G11282"/>
    </row>
    <row r="11283" spans="2:7">
      <c r="B11283"/>
      <c r="C11283"/>
      <c r="D11283"/>
      <c r="G11283"/>
    </row>
    <row r="11284" spans="2:7">
      <c r="B11284"/>
      <c r="C11284"/>
      <c r="D11284"/>
      <c r="G11284"/>
    </row>
    <row r="11285" spans="2:7">
      <c r="B11285"/>
      <c r="C11285"/>
      <c r="D11285"/>
      <c r="G11285"/>
    </row>
    <row r="11286" spans="2:7">
      <c r="B11286"/>
      <c r="C11286"/>
      <c r="D11286"/>
      <c r="G11286"/>
    </row>
    <row r="11287" spans="2:7">
      <c r="B11287"/>
      <c r="C11287"/>
      <c r="D11287"/>
      <c r="G11287"/>
    </row>
    <row r="11288" spans="2:7">
      <c r="B11288"/>
      <c r="C11288"/>
      <c r="D11288"/>
      <c r="G11288"/>
    </row>
    <row r="11289" spans="2:7">
      <c r="B11289"/>
      <c r="C11289"/>
      <c r="D11289"/>
      <c r="G11289"/>
    </row>
    <row r="11290" spans="2:7">
      <c r="B11290"/>
      <c r="C11290"/>
      <c r="D11290"/>
      <c r="G11290"/>
    </row>
    <row r="11291" spans="2:7">
      <c r="B11291"/>
      <c r="C11291"/>
      <c r="D11291"/>
      <c r="G11291"/>
    </row>
    <row r="11292" spans="2:7">
      <c r="B11292"/>
      <c r="C11292"/>
      <c r="D11292"/>
      <c r="G11292"/>
    </row>
    <row r="11293" spans="2:7">
      <c r="B11293"/>
      <c r="C11293"/>
      <c r="D11293"/>
      <c r="G11293"/>
    </row>
    <row r="11294" spans="2:7">
      <c r="B11294"/>
      <c r="C11294"/>
      <c r="D11294"/>
      <c r="G11294"/>
    </row>
    <row r="11295" spans="2:7">
      <c r="B11295"/>
      <c r="C11295"/>
      <c r="D11295"/>
      <c r="G11295"/>
    </row>
    <row r="11296" spans="2:7">
      <c r="B11296"/>
      <c r="C11296"/>
      <c r="D11296"/>
      <c r="G11296"/>
    </row>
    <row r="11297" spans="2:7">
      <c r="B11297"/>
      <c r="C11297"/>
      <c r="D11297"/>
      <c r="G11297"/>
    </row>
    <row r="11298" spans="2:7">
      <c r="B11298"/>
      <c r="C11298"/>
      <c r="D11298"/>
      <c r="G11298"/>
    </row>
    <row r="11299" spans="2:7">
      <c r="B11299"/>
      <c r="C11299"/>
      <c r="D11299"/>
      <c r="G11299"/>
    </row>
    <row r="11300" spans="2:7">
      <c r="B11300"/>
      <c r="C11300"/>
      <c r="D11300"/>
      <c r="G11300"/>
    </row>
    <row r="11301" spans="2:7">
      <c r="B11301"/>
      <c r="C11301"/>
      <c r="D11301"/>
      <c r="G11301"/>
    </row>
    <row r="11302" spans="2:7">
      <c r="B11302"/>
      <c r="C11302"/>
      <c r="D11302"/>
      <c r="G11302"/>
    </row>
    <row r="11303" spans="2:7">
      <c r="B11303"/>
      <c r="C11303"/>
      <c r="D11303"/>
      <c r="G11303"/>
    </row>
    <row r="11304" spans="2:7">
      <c r="B11304"/>
      <c r="C11304"/>
      <c r="D11304"/>
      <c r="G11304"/>
    </row>
    <row r="11305" spans="2:7">
      <c r="B11305"/>
      <c r="C11305"/>
      <c r="D11305"/>
      <c r="G11305"/>
    </row>
    <row r="11306" spans="2:7">
      <c r="B11306"/>
      <c r="C11306"/>
      <c r="D11306"/>
      <c r="G11306"/>
    </row>
    <row r="11307" spans="2:7">
      <c r="B11307"/>
      <c r="C11307"/>
      <c r="D11307"/>
      <c r="G11307"/>
    </row>
    <row r="11308" spans="2:7">
      <c r="B11308"/>
      <c r="C11308"/>
      <c r="D11308"/>
      <c r="G11308"/>
    </row>
    <row r="11309" spans="2:7">
      <c r="B11309"/>
      <c r="C11309"/>
      <c r="D11309"/>
      <c r="G11309"/>
    </row>
    <row r="11310" spans="2:7">
      <c r="B11310"/>
      <c r="C11310"/>
      <c r="D11310"/>
      <c r="G11310"/>
    </row>
    <row r="11311" spans="2:7">
      <c r="B11311"/>
      <c r="C11311"/>
      <c r="D11311"/>
      <c r="G11311"/>
    </row>
    <row r="11312" spans="2:7">
      <c r="B11312"/>
      <c r="C11312"/>
      <c r="D11312"/>
      <c r="G11312"/>
    </row>
    <row r="11313" spans="2:7">
      <c r="B11313"/>
      <c r="C11313"/>
      <c r="D11313"/>
      <c r="G11313"/>
    </row>
    <row r="11314" spans="2:7">
      <c r="B11314"/>
      <c r="C11314"/>
      <c r="D11314"/>
      <c r="G11314"/>
    </row>
    <row r="11315" spans="2:7">
      <c r="B11315"/>
      <c r="C11315"/>
      <c r="D11315"/>
      <c r="G11315"/>
    </row>
    <row r="11316" spans="2:7">
      <c r="B11316"/>
      <c r="C11316"/>
      <c r="D11316"/>
      <c r="G11316"/>
    </row>
    <row r="11317" spans="2:7">
      <c r="B11317"/>
      <c r="C11317"/>
      <c r="D11317"/>
      <c r="G11317"/>
    </row>
    <row r="11318" spans="2:7">
      <c r="B11318"/>
      <c r="C11318"/>
      <c r="D11318"/>
      <c r="G11318"/>
    </row>
    <row r="11319" spans="2:7">
      <c r="B11319"/>
      <c r="C11319"/>
      <c r="D11319"/>
      <c r="G11319"/>
    </row>
    <row r="11320" spans="2:7">
      <c r="B11320"/>
      <c r="C11320"/>
      <c r="D11320"/>
      <c r="G11320"/>
    </row>
    <row r="11321" spans="2:7">
      <c r="B11321"/>
      <c r="C11321"/>
      <c r="D11321"/>
      <c r="G11321"/>
    </row>
    <row r="11322" spans="2:7">
      <c r="B11322"/>
      <c r="C11322"/>
      <c r="D11322"/>
      <c r="G11322"/>
    </row>
    <row r="11323" spans="2:7">
      <c r="B11323"/>
      <c r="C11323"/>
      <c r="D11323"/>
      <c r="G11323"/>
    </row>
    <row r="11324" spans="2:7">
      <c r="B11324"/>
      <c r="C11324"/>
      <c r="D11324"/>
      <c r="G11324"/>
    </row>
    <row r="11325" spans="2:7">
      <c r="B11325"/>
      <c r="C11325"/>
      <c r="D11325"/>
      <c r="G11325"/>
    </row>
    <row r="11326" spans="2:7">
      <c r="B11326"/>
      <c r="C11326"/>
      <c r="D11326"/>
      <c r="G11326"/>
    </row>
    <row r="11327" spans="2:7">
      <c r="B11327"/>
      <c r="C11327"/>
      <c r="D11327"/>
      <c r="G11327"/>
    </row>
    <row r="11328" spans="2:7">
      <c r="B11328"/>
      <c r="C11328"/>
      <c r="D11328"/>
      <c r="G11328"/>
    </row>
    <row r="11329" spans="2:7">
      <c r="B11329"/>
      <c r="C11329"/>
      <c r="D11329"/>
      <c r="G11329"/>
    </row>
    <row r="11330" spans="2:7">
      <c r="B11330"/>
      <c r="C11330"/>
      <c r="D11330"/>
      <c r="G11330"/>
    </row>
    <row r="11331" spans="2:7">
      <c r="B11331"/>
      <c r="C11331"/>
      <c r="D11331"/>
      <c r="G11331"/>
    </row>
    <row r="11332" spans="2:7">
      <c r="B11332"/>
      <c r="C11332"/>
      <c r="D11332"/>
      <c r="G11332"/>
    </row>
    <row r="11333" spans="2:7">
      <c r="B11333"/>
      <c r="C11333"/>
      <c r="D11333"/>
      <c r="G11333"/>
    </row>
    <row r="11334" spans="2:7">
      <c r="B11334"/>
      <c r="C11334"/>
      <c r="D11334"/>
      <c r="G11334"/>
    </row>
    <row r="11335" spans="2:7">
      <c r="B11335"/>
      <c r="C11335"/>
      <c r="D11335"/>
      <c r="G11335"/>
    </row>
    <row r="11336" spans="2:7">
      <c r="B11336"/>
      <c r="C11336"/>
      <c r="D11336"/>
      <c r="G11336"/>
    </row>
    <row r="11337" spans="2:7">
      <c r="B11337"/>
      <c r="C11337"/>
      <c r="D11337"/>
      <c r="G11337"/>
    </row>
    <row r="11338" spans="2:7">
      <c r="B11338"/>
      <c r="C11338"/>
      <c r="D11338"/>
      <c r="G11338"/>
    </row>
    <row r="11339" spans="2:7">
      <c r="B11339"/>
      <c r="C11339"/>
      <c r="D11339"/>
      <c r="G11339"/>
    </row>
    <row r="11340" spans="2:7">
      <c r="B11340"/>
      <c r="C11340"/>
      <c r="D11340"/>
      <c r="G11340"/>
    </row>
    <row r="11341" spans="2:7">
      <c r="B11341"/>
      <c r="C11341"/>
      <c r="D11341"/>
      <c r="G11341"/>
    </row>
    <row r="11342" spans="2:7">
      <c r="B11342"/>
      <c r="C11342"/>
      <c r="D11342"/>
      <c r="G11342"/>
    </row>
    <row r="11343" spans="2:7">
      <c r="B11343"/>
      <c r="C11343"/>
      <c r="D11343"/>
      <c r="G11343"/>
    </row>
    <row r="11344" spans="2:7">
      <c r="B11344"/>
      <c r="C11344"/>
      <c r="D11344"/>
      <c r="G11344"/>
    </row>
    <row r="11345" spans="2:7">
      <c r="B11345"/>
      <c r="C11345"/>
      <c r="D11345"/>
      <c r="G11345"/>
    </row>
    <row r="11346" spans="2:7">
      <c r="B11346"/>
      <c r="C11346"/>
      <c r="D11346"/>
      <c r="G11346"/>
    </row>
    <row r="11347" spans="2:7">
      <c r="B11347"/>
      <c r="C11347"/>
      <c r="D11347"/>
      <c r="G11347"/>
    </row>
    <row r="11348" spans="2:7">
      <c r="B11348"/>
      <c r="C11348"/>
      <c r="D11348"/>
      <c r="G11348"/>
    </row>
    <row r="11349" spans="2:7">
      <c r="B11349"/>
      <c r="C11349"/>
      <c r="D11349"/>
      <c r="G11349"/>
    </row>
    <row r="11350" spans="2:7">
      <c r="B11350"/>
      <c r="C11350"/>
      <c r="D11350"/>
      <c r="G11350"/>
    </row>
    <row r="11351" spans="2:7">
      <c r="B11351"/>
      <c r="C11351"/>
      <c r="D11351"/>
      <c r="G11351"/>
    </row>
    <row r="11352" spans="2:7">
      <c r="B11352"/>
      <c r="C11352"/>
      <c r="D11352"/>
      <c r="G11352"/>
    </row>
    <row r="11353" spans="2:7">
      <c r="B11353"/>
      <c r="C11353"/>
      <c r="D11353"/>
      <c r="G11353"/>
    </row>
    <row r="11354" spans="2:7">
      <c r="B11354"/>
      <c r="C11354"/>
      <c r="D11354"/>
      <c r="G11354"/>
    </row>
    <row r="11355" spans="2:7">
      <c r="B11355"/>
      <c r="C11355"/>
      <c r="D11355"/>
      <c r="G11355"/>
    </row>
    <row r="11356" spans="2:7">
      <c r="B11356"/>
      <c r="C11356"/>
      <c r="D11356"/>
      <c r="G11356"/>
    </row>
    <row r="11357" spans="2:7">
      <c r="B11357"/>
      <c r="C11357"/>
      <c r="D11357"/>
      <c r="G11357"/>
    </row>
    <row r="11358" spans="2:7">
      <c r="B11358"/>
      <c r="C11358"/>
      <c r="D11358"/>
      <c r="G11358"/>
    </row>
    <row r="11359" spans="2:7">
      <c r="B11359"/>
      <c r="C11359"/>
      <c r="D11359"/>
      <c r="G11359"/>
    </row>
    <row r="11360" spans="2:7">
      <c r="B11360"/>
      <c r="C11360"/>
      <c r="D11360"/>
      <c r="G11360"/>
    </row>
    <row r="11361" spans="2:7">
      <c r="B11361"/>
      <c r="C11361"/>
      <c r="D11361"/>
      <c r="G11361"/>
    </row>
    <row r="11362" spans="2:7">
      <c r="B11362"/>
      <c r="C11362"/>
      <c r="D11362"/>
      <c r="G11362"/>
    </row>
    <row r="11363" spans="2:7">
      <c r="B11363"/>
      <c r="C11363"/>
      <c r="D11363"/>
      <c r="G11363"/>
    </row>
    <row r="11364" spans="2:7">
      <c r="B11364"/>
      <c r="C11364"/>
      <c r="D11364"/>
      <c r="G11364"/>
    </row>
    <row r="11365" spans="2:7">
      <c r="B11365"/>
      <c r="C11365"/>
      <c r="D11365"/>
      <c r="G11365"/>
    </row>
    <row r="11366" spans="2:7">
      <c r="B11366"/>
      <c r="C11366"/>
      <c r="D11366"/>
      <c r="G11366"/>
    </row>
    <row r="11367" spans="2:7">
      <c r="B11367"/>
      <c r="C11367"/>
      <c r="D11367"/>
      <c r="G11367"/>
    </row>
    <row r="11368" spans="2:7">
      <c r="B11368"/>
      <c r="C11368"/>
      <c r="D11368"/>
      <c r="G11368"/>
    </row>
    <row r="11369" spans="2:7">
      <c r="B11369"/>
      <c r="C11369"/>
      <c r="D11369"/>
      <c r="G11369"/>
    </row>
    <row r="11370" spans="2:7">
      <c r="B11370"/>
      <c r="C11370"/>
      <c r="D11370"/>
      <c r="G11370"/>
    </row>
    <row r="11371" spans="2:7">
      <c r="B11371"/>
      <c r="C11371"/>
      <c r="D11371"/>
      <c r="G11371"/>
    </row>
    <row r="11372" spans="2:7">
      <c r="B11372"/>
      <c r="C11372"/>
      <c r="D11372"/>
      <c r="G11372"/>
    </row>
    <row r="11373" spans="2:7">
      <c r="B11373"/>
      <c r="C11373"/>
      <c r="D11373"/>
      <c r="G11373"/>
    </row>
    <row r="11374" spans="2:7">
      <c r="B11374"/>
      <c r="C11374"/>
      <c r="D11374"/>
      <c r="G11374"/>
    </row>
    <row r="11375" spans="2:7">
      <c r="B11375"/>
      <c r="C11375"/>
      <c r="D11375"/>
      <c r="G11375"/>
    </row>
    <row r="11376" spans="2:7">
      <c r="B11376"/>
      <c r="C11376"/>
      <c r="D11376"/>
      <c r="G11376"/>
    </row>
    <row r="11377" spans="2:7">
      <c r="B11377"/>
      <c r="C11377"/>
      <c r="D11377"/>
      <c r="G11377"/>
    </row>
    <row r="11378" spans="2:7">
      <c r="B11378"/>
      <c r="C11378"/>
      <c r="D11378"/>
      <c r="G11378"/>
    </row>
    <row r="11379" spans="2:7">
      <c r="B11379"/>
      <c r="C11379"/>
      <c r="D11379"/>
      <c r="G11379"/>
    </row>
    <row r="11380" spans="2:7">
      <c r="B11380"/>
      <c r="C11380"/>
      <c r="D11380"/>
      <c r="G11380"/>
    </row>
    <row r="11381" spans="2:7">
      <c r="B11381"/>
      <c r="C11381"/>
      <c r="D11381"/>
      <c r="G11381"/>
    </row>
    <row r="11382" spans="2:7">
      <c r="B11382"/>
      <c r="C11382"/>
      <c r="D11382"/>
      <c r="G11382"/>
    </row>
    <row r="11383" spans="2:7">
      <c r="B11383"/>
      <c r="C11383"/>
      <c r="D11383"/>
      <c r="G11383"/>
    </row>
    <row r="11384" spans="2:7">
      <c r="B11384"/>
      <c r="C11384"/>
      <c r="D11384"/>
      <c r="G11384"/>
    </row>
    <row r="11385" spans="2:7">
      <c r="B11385"/>
      <c r="C11385"/>
      <c r="D11385"/>
      <c r="G11385"/>
    </row>
    <row r="11386" spans="2:7">
      <c r="B11386"/>
      <c r="C11386"/>
      <c r="D11386"/>
      <c r="G11386"/>
    </row>
    <row r="11387" spans="2:7">
      <c r="B11387"/>
      <c r="C11387"/>
      <c r="D11387"/>
      <c r="G11387"/>
    </row>
    <row r="11388" spans="2:7">
      <c r="B11388"/>
      <c r="C11388"/>
      <c r="D11388"/>
      <c r="G11388"/>
    </row>
    <row r="11389" spans="2:7">
      <c r="B11389"/>
      <c r="C11389"/>
      <c r="D11389"/>
      <c r="G11389"/>
    </row>
    <row r="11390" spans="2:7">
      <c r="B11390"/>
      <c r="C11390"/>
      <c r="D11390"/>
      <c r="G11390"/>
    </row>
    <row r="11391" spans="2:7">
      <c r="B11391"/>
      <c r="C11391"/>
      <c r="D11391"/>
      <c r="G11391"/>
    </row>
    <row r="11392" spans="2:7">
      <c r="B11392"/>
      <c r="C11392"/>
      <c r="D11392"/>
      <c r="G11392"/>
    </row>
    <row r="11393" spans="2:7">
      <c r="B11393"/>
      <c r="C11393"/>
      <c r="D11393"/>
      <c r="G11393"/>
    </row>
    <row r="11394" spans="2:7">
      <c r="B11394"/>
      <c r="C11394"/>
      <c r="D11394"/>
      <c r="G11394"/>
    </row>
    <row r="11395" spans="2:7">
      <c r="B11395"/>
      <c r="C11395"/>
      <c r="D11395"/>
      <c r="G11395"/>
    </row>
    <row r="11396" spans="2:7">
      <c r="B11396"/>
      <c r="C11396"/>
      <c r="D11396"/>
      <c r="G11396"/>
    </row>
    <row r="11397" spans="2:7">
      <c r="B11397"/>
      <c r="C11397"/>
      <c r="D11397"/>
      <c r="G11397"/>
    </row>
    <row r="11398" spans="2:7">
      <c r="B11398"/>
      <c r="C11398"/>
      <c r="D11398"/>
      <c r="G11398"/>
    </row>
    <row r="11399" spans="2:7">
      <c r="B11399"/>
      <c r="C11399"/>
      <c r="D11399"/>
      <c r="G11399"/>
    </row>
    <row r="11400" spans="2:7">
      <c r="B11400"/>
      <c r="C11400"/>
      <c r="D11400"/>
      <c r="G11400"/>
    </row>
    <row r="11401" spans="2:7">
      <c r="B11401"/>
      <c r="C11401"/>
      <c r="D11401"/>
      <c r="G11401"/>
    </row>
    <row r="11402" spans="2:7">
      <c r="B11402"/>
      <c r="C11402"/>
      <c r="D11402"/>
      <c r="G11402"/>
    </row>
    <row r="11403" spans="2:7">
      <c r="B11403"/>
      <c r="C11403"/>
      <c r="D11403"/>
      <c r="G11403"/>
    </row>
    <row r="11404" spans="2:7">
      <c r="B11404"/>
      <c r="C11404"/>
      <c r="D11404"/>
      <c r="G11404"/>
    </row>
    <row r="11405" spans="2:7">
      <c r="B11405"/>
      <c r="C11405"/>
      <c r="D11405"/>
      <c r="G11405"/>
    </row>
    <row r="11406" spans="2:7">
      <c r="B11406"/>
      <c r="C11406"/>
      <c r="D11406"/>
      <c r="G11406"/>
    </row>
    <row r="11407" spans="2:7">
      <c r="B11407"/>
      <c r="C11407"/>
      <c r="D11407"/>
      <c r="G11407"/>
    </row>
    <row r="11408" spans="2:7">
      <c r="B11408"/>
      <c r="C11408"/>
      <c r="D11408"/>
      <c r="G11408"/>
    </row>
    <row r="11409" spans="2:7">
      <c r="B11409"/>
      <c r="C11409"/>
      <c r="D11409"/>
      <c r="G11409"/>
    </row>
    <row r="11410" spans="2:7">
      <c r="B11410"/>
      <c r="C11410"/>
      <c r="D11410"/>
      <c r="G11410"/>
    </row>
    <row r="11411" spans="2:7">
      <c r="B11411"/>
      <c r="C11411"/>
      <c r="D11411"/>
      <c r="G11411"/>
    </row>
    <row r="11412" spans="2:7">
      <c r="B11412"/>
      <c r="C11412"/>
      <c r="D11412"/>
      <c r="G11412"/>
    </row>
    <row r="11413" spans="2:7">
      <c r="B11413"/>
      <c r="C11413"/>
      <c r="D11413"/>
      <c r="G11413"/>
    </row>
    <row r="11414" spans="2:7">
      <c r="B11414"/>
      <c r="C11414"/>
      <c r="D11414"/>
      <c r="G11414"/>
    </row>
    <row r="11415" spans="2:7">
      <c r="B11415"/>
      <c r="C11415"/>
      <c r="D11415"/>
      <c r="G11415"/>
    </row>
    <row r="11416" spans="2:7">
      <c r="B11416"/>
      <c r="C11416"/>
      <c r="D11416"/>
      <c r="G11416"/>
    </row>
    <row r="11417" spans="2:7">
      <c r="B11417"/>
      <c r="C11417"/>
      <c r="D11417"/>
      <c r="G11417"/>
    </row>
    <row r="11418" spans="2:7">
      <c r="B11418"/>
      <c r="C11418"/>
      <c r="D11418"/>
      <c r="G11418"/>
    </row>
    <row r="11419" spans="2:7">
      <c r="B11419"/>
      <c r="C11419"/>
      <c r="D11419"/>
      <c r="G11419"/>
    </row>
    <row r="11420" spans="2:7">
      <c r="B11420"/>
      <c r="C11420"/>
      <c r="D11420"/>
      <c r="G11420"/>
    </row>
    <row r="11421" spans="2:7">
      <c r="B11421"/>
      <c r="C11421"/>
      <c r="D11421"/>
      <c r="G11421"/>
    </row>
    <row r="11422" spans="2:7">
      <c r="B11422"/>
      <c r="C11422"/>
      <c r="D11422"/>
      <c r="G11422"/>
    </row>
    <row r="11423" spans="2:7">
      <c r="B11423"/>
      <c r="C11423"/>
      <c r="D11423"/>
      <c r="G11423"/>
    </row>
    <row r="11424" spans="2:7">
      <c r="B11424"/>
      <c r="C11424"/>
      <c r="D11424"/>
      <c r="G11424"/>
    </row>
    <row r="11425" spans="2:7">
      <c r="B11425"/>
      <c r="C11425"/>
      <c r="D11425"/>
      <c r="G11425"/>
    </row>
    <row r="11426" spans="2:7">
      <c r="B11426"/>
      <c r="C11426"/>
      <c r="D11426"/>
      <c r="G11426"/>
    </row>
    <row r="11427" spans="2:7">
      <c r="B11427"/>
      <c r="C11427"/>
      <c r="D11427"/>
      <c r="G11427"/>
    </row>
    <row r="11428" spans="2:7">
      <c r="B11428"/>
      <c r="C11428"/>
      <c r="D11428"/>
      <c r="G11428"/>
    </row>
    <row r="11429" spans="2:7">
      <c r="B11429"/>
      <c r="C11429"/>
      <c r="D11429"/>
      <c r="G11429"/>
    </row>
    <row r="11430" spans="2:7">
      <c r="B11430"/>
      <c r="C11430"/>
      <c r="D11430"/>
      <c r="G11430"/>
    </row>
    <row r="11431" spans="2:7">
      <c r="B11431"/>
      <c r="C11431"/>
      <c r="D11431"/>
      <c r="G11431"/>
    </row>
    <row r="11432" spans="2:7">
      <c r="B11432"/>
      <c r="C11432"/>
      <c r="D11432"/>
      <c r="G11432"/>
    </row>
    <row r="11433" spans="2:7">
      <c r="B11433"/>
      <c r="C11433"/>
      <c r="D11433"/>
      <c r="G11433"/>
    </row>
    <row r="11434" spans="2:7">
      <c r="B11434"/>
      <c r="C11434"/>
      <c r="D11434"/>
      <c r="G11434"/>
    </row>
    <row r="11435" spans="2:7">
      <c r="B11435"/>
      <c r="C11435"/>
      <c r="D11435"/>
      <c r="G11435"/>
    </row>
    <row r="11436" spans="2:7">
      <c r="B11436"/>
      <c r="C11436"/>
      <c r="D11436"/>
      <c r="G11436"/>
    </row>
    <row r="11437" spans="2:7">
      <c r="B11437"/>
      <c r="C11437"/>
      <c r="D11437"/>
      <c r="G11437"/>
    </row>
    <row r="11438" spans="2:7">
      <c r="B11438"/>
      <c r="C11438"/>
      <c r="D11438"/>
      <c r="G11438"/>
    </row>
    <row r="11439" spans="2:7">
      <c r="B11439"/>
      <c r="C11439"/>
      <c r="D11439"/>
      <c r="G11439"/>
    </row>
    <row r="11440" spans="2:7">
      <c r="B11440"/>
      <c r="C11440"/>
      <c r="D11440"/>
      <c r="G11440"/>
    </row>
    <row r="11441" spans="2:7">
      <c r="B11441"/>
      <c r="C11441"/>
      <c r="D11441"/>
      <c r="G11441"/>
    </row>
    <row r="11442" spans="2:7">
      <c r="B11442"/>
      <c r="C11442"/>
      <c r="D11442"/>
      <c r="G11442"/>
    </row>
    <row r="11443" spans="2:7">
      <c r="B11443"/>
      <c r="C11443"/>
      <c r="D11443"/>
      <c r="G11443"/>
    </row>
    <row r="11444" spans="2:7">
      <c r="B11444"/>
      <c r="C11444"/>
      <c r="D11444"/>
      <c r="G11444"/>
    </row>
    <row r="11445" spans="2:7">
      <c r="B11445"/>
      <c r="C11445"/>
      <c r="D11445"/>
      <c r="G11445"/>
    </row>
    <row r="11446" spans="2:7">
      <c r="B11446"/>
      <c r="C11446"/>
      <c r="D11446"/>
      <c r="G11446"/>
    </row>
    <row r="11447" spans="2:7">
      <c r="B11447"/>
      <c r="C11447"/>
      <c r="D11447"/>
      <c r="G11447"/>
    </row>
    <row r="11448" spans="2:7">
      <c r="B11448"/>
      <c r="C11448"/>
      <c r="D11448"/>
      <c r="G11448"/>
    </row>
    <row r="11449" spans="2:7">
      <c r="B11449"/>
      <c r="C11449"/>
      <c r="D11449"/>
      <c r="G11449"/>
    </row>
    <row r="11450" spans="2:7">
      <c r="B11450"/>
      <c r="C11450"/>
      <c r="D11450"/>
      <c r="G11450"/>
    </row>
    <row r="11451" spans="2:7">
      <c r="B11451"/>
      <c r="C11451"/>
      <c r="D11451"/>
      <c r="G11451"/>
    </row>
    <row r="11452" spans="2:7">
      <c r="B11452"/>
      <c r="C11452"/>
      <c r="D11452"/>
      <c r="G11452"/>
    </row>
    <row r="11453" spans="2:7">
      <c r="B11453"/>
      <c r="C11453"/>
      <c r="D11453"/>
      <c r="G11453"/>
    </row>
    <row r="11454" spans="2:7">
      <c r="B11454"/>
      <c r="C11454"/>
      <c r="D11454"/>
      <c r="G11454"/>
    </row>
    <row r="11455" spans="2:7">
      <c r="B11455"/>
      <c r="C11455"/>
      <c r="D11455"/>
      <c r="G11455"/>
    </row>
    <row r="11456" spans="2:7">
      <c r="B11456"/>
      <c r="C11456"/>
      <c r="D11456"/>
      <c r="G11456"/>
    </row>
    <row r="11457" spans="2:7">
      <c r="B11457"/>
      <c r="C11457"/>
      <c r="D11457"/>
      <c r="G11457"/>
    </row>
    <row r="11458" spans="2:7">
      <c r="B11458"/>
      <c r="C11458"/>
      <c r="D11458"/>
      <c r="G11458"/>
    </row>
    <row r="11459" spans="2:7">
      <c r="B11459"/>
      <c r="C11459"/>
      <c r="D11459"/>
      <c r="G11459"/>
    </row>
    <row r="11460" spans="2:7">
      <c r="B11460"/>
      <c r="C11460"/>
      <c r="D11460"/>
      <c r="G11460"/>
    </row>
    <row r="11461" spans="2:7">
      <c r="B11461"/>
      <c r="C11461"/>
      <c r="D11461"/>
      <c r="G11461"/>
    </row>
    <row r="11462" spans="2:7">
      <c r="B11462"/>
      <c r="C11462"/>
      <c r="D11462"/>
      <c r="G11462"/>
    </row>
    <row r="11463" spans="2:7">
      <c r="B11463"/>
      <c r="C11463"/>
      <c r="D11463"/>
      <c r="G11463"/>
    </row>
    <row r="11464" spans="2:7">
      <c r="B11464"/>
      <c r="C11464"/>
      <c r="D11464"/>
      <c r="G11464"/>
    </row>
    <row r="11465" spans="2:7">
      <c r="B11465"/>
      <c r="C11465"/>
      <c r="D11465"/>
      <c r="G11465"/>
    </row>
    <row r="11466" spans="2:7">
      <c r="B11466"/>
      <c r="C11466"/>
      <c r="D11466"/>
      <c r="G11466"/>
    </row>
    <row r="11467" spans="2:7">
      <c r="B11467"/>
      <c r="C11467"/>
      <c r="D11467"/>
      <c r="G11467"/>
    </row>
    <row r="11468" spans="2:7">
      <c r="B11468"/>
      <c r="C11468"/>
      <c r="D11468"/>
      <c r="G11468"/>
    </row>
    <row r="11469" spans="2:7">
      <c r="B11469"/>
      <c r="C11469"/>
      <c r="D11469"/>
      <c r="G11469"/>
    </row>
    <row r="11470" spans="2:7">
      <c r="B11470"/>
      <c r="C11470"/>
      <c r="D11470"/>
      <c r="G11470"/>
    </row>
    <row r="11471" spans="2:7">
      <c r="B11471"/>
      <c r="C11471"/>
      <c r="D11471"/>
      <c r="G11471"/>
    </row>
    <row r="11472" spans="2:7">
      <c r="B11472"/>
      <c r="C11472"/>
      <c r="D11472"/>
      <c r="G11472"/>
    </row>
    <row r="11473" spans="2:7">
      <c r="B11473"/>
      <c r="C11473"/>
      <c r="D11473"/>
      <c r="G11473"/>
    </row>
    <row r="11474" spans="2:7">
      <c r="B11474"/>
      <c r="C11474"/>
      <c r="D11474"/>
      <c r="G11474"/>
    </row>
    <row r="11475" spans="2:7">
      <c r="B11475"/>
      <c r="C11475"/>
      <c r="D11475"/>
      <c r="G11475"/>
    </row>
    <row r="11476" spans="2:7">
      <c r="B11476"/>
      <c r="C11476"/>
      <c r="D11476"/>
      <c r="G11476"/>
    </row>
    <row r="11477" spans="2:7">
      <c r="B11477"/>
      <c r="C11477"/>
      <c r="D11477"/>
      <c r="G11477"/>
    </row>
    <row r="11478" spans="2:7">
      <c r="B11478"/>
      <c r="C11478"/>
      <c r="D11478"/>
      <c r="G11478"/>
    </row>
    <row r="11479" spans="2:7">
      <c r="B11479"/>
      <c r="C11479"/>
      <c r="D11479"/>
      <c r="G11479"/>
    </row>
    <row r="11480" spans="2:7">
      <c r="B11480"/>
      <c r="C11480"/>
      <c r="D11480"/>
      <c r="G11480"/>
    </row>
    <row r="11481" spans="2:7">
      <c r="B11481"/>
      <c r="C11481"/>
      <c r="D11481"/>
      <c r="G11481"/>
    </row>
    <row r="11482" spans="2:7">
      <c r="B11482"/>
      <c r="C11482"/>
      <c r="D11482"/>
      <c r="G11482"/>
    </row>
    <row r="11483" spans="2:7">
      <c r="B11483"/>
      <c r="C11483"/>
      <c r="D11483"/>
      <c r="G11483"/>
    </row>
    <row r="11484" spans="2:7">
      <c r="B11484"/>
      <c r="C11484"/>
      <c r="D11484"/>
      <c r="G11484"/>
    </row>
    <row r="11485" spans="2:7">
      <c r="B11485"/>
      <c r="C11485"/>
      <c r="D11485"/>
      <c r="G11485"/>
    </row>
    <row r="11486" spans="2:7">
      <c r="B11486"/>
      <c r="C11486"/>
      <c r="D11486"/>
      <c r="G11486"/>
    </row>
    <row r="11487" spans="2:7">
      <c r="B11487"/>
      <c r="C11487"/>
      <c r="D11487"/>
      <c r="G11487"/>
    </row>
    <row r="11488" spans="2:7">
      <c r="B11488"/>
      <c r="C11488"/>
      <c r="D11488"/>
      <c r="G11488"/>
    </row>
    <row r="11489" spans="2:7">
      <c r="B11489"/>
      <c r="C11489"/>
      <c r="D11489"/>
      <c r="G11489"/>
    </row>
    <row r="11490" spans="2:7">
      <c r="B11490"/>
      <c r="C11490"/>
      <c r="D11490"/>
      <c r="G11490"/>
    </row>
    <row r="11491" spans="2:7">
      <c r="B11491"/>
      <c r="C11491"/>
      <c r="D11491"/>
      <c r="G11491"/>
    </row>
    <row r="11492" spans="2:7">
      <c r="B11492"/>
      <c r="C11492"/>
      <c r="D11492"/>
      <c r="G11492"/>
    </row>
    <row r="11493" spans="2:7">
      <c r="B11493"/>
      <c r="C11493"/>
      <c r="D11493"/>
      <c r="G11493"/>
    </row>
    <row r="11494" spans="2:7">
      <c r="B11494"/>
      <c r="C11494"/>
      <c r="D11494"/>
      <c r="G11494"/>
    </row>
    <row r="11495" spans="2:7">
      <c r="B11495"/>
      <c r="C11495"/>
      <c r="D11495"/>
      <c r="G11495"/>
    </row>
    <row r="11496" spans="2:7">
      <c r="B11496"/>
      <c r="C11496"/>
      <c r="D11496"/>
      <c r="G11496"/>
    </row>
    <row r="11497" spans="2:7">
      <c r="B11497"/>
      <c r="C11497"/>
      <c r="D11497"/>
      <c r="G11497"/>
    </row>
    <row r="11498" spans="2:7">
      <c r="B11498"/>
      <c r="C11498"/>
      <c r="D11498"/>
      <c r="G11498"/>
    </row>
    <row r="11499" spans="2:7">
      <c r="B11499"/>
      <c r="C11499"/>
      <c r="D11499"/>
      <c r="G11499"/>
    </row>
    <row r="11500" spans="2:7">
      <c r="B11500"/>
      <c r="C11500"/>
      <c r="D11500"/>
      <c r="G11500"/>
    </row>
    <row r="11501" spans="2:7">
      <c r="B11501"/>
      <c r="C11501"/>
      <c r="D11501"/>
      <c r="G11501"/>
    </row>
    <row r="11502" spans="2:7">
      <c r="B11502"/>
      <c r="C11502"/>
      <c r="D11502"/>
      <c r="G11502"/>
    </row>
    <row r="11503" spans="2:7">
      <c r="B11503"/>
      <c r="C11503"/>
      <c r="D11503"/>
      <c r="G11503"/>
    </row>
    <row r="11504" spans="2:7">
      <c r="B11504"/>
      <c r="C11504"/>
      <c r="D11504"/>
      <c r="G11504"/>
    </row>
    <row r="11505" spans="2:7">
      <c r="B11505"/>
      <c r="C11505"/>
      <c r="D11505"/>
      <c r="G11505"/>
    </row>
    <row r="11506" spans="2:7">
      <c r="B11506"/>
      <c r="C11506"/>
      <c r="D11506"/>
      <c r="G11506"/>
    </row>
    <row r="11507" spans="2:7">
      <c r="B11507"/>
      <c r="C11507"/>
      <c r="D11507"/>
      <c r="G11507"/>
    </row>
    <row r="11508" spans="2:7">
      <c r="B11508"/>
      <c r="C11508"/>
      <c r="D11508"/>
      <c r="G11508"/>
    </row>
    <row r="11509" spans="2:7">
      <c r="B11509"/>
      <c r="C11509"/>
      <c r="D11509"/>
      <c r="G11509"/>
    </row>
    <row r="11510" spans="2:7">
      <c r="B11510"/>
      <c r="C11510"/>
      <c r="D11510"/>
      <c r="G11510"/>
    </row>
    <row r="11511" spans="2:7">
      <c r="B11511"/>
      <c r="C11511"/>
      <c r="D11511"/>
      <c r="G11511"/>
    </row>
    <row r="11512" spans="2:7">
      <c r="B11512"/>
      <c r="C11512"/>
      <c r="D11512"/>
      <c r="G11512"/>
    </row>
    <row r="11513" spans="2:7">
      <c r="B11513"/>
      <c r="C11513"/>
      <c r="D11513"/>
      <c r="G11513"/>
    </row>
    <row r="11514" spans="2:7">
      <c r="B11514"/>
      <c r="C11514"/>
      <c r="D11514"/>
      <c r="G11514"/>
    </row>
    <row r="11515" spans="2:7">
      <c r="B11515"/>
      <c r="C11515"/>
      <c r="D11515"/>
      <c r="G11515"/>
    </row>
    <row r="11516" spans="2:7">
      <c r="B11516"/>
      <c r="C11516"/>
      <c r="D11516"/>
      <c r="G11516"/>
    </row>
    <row r="11517" spans="2:7">
      <c r="B11517"/>
      <c r="C11517"/>
      <c r="D11517"/>
      <c r="G11517"/>
    </row>
    <row r="11518" spans="2:7">
      <c r="B11518"/>
      <c r="C11518"/>
      <c r="D11518"/>
      <c r="G11518"/>
    </row>
    <row r="11519" spans="2:7">
      <c r="B11519"/>
      <c r="C11519"/>
      <c r="D11519"/>
      <c r="G11519"/>
    </row>
    <row r="11520" spans="2:7">
      <c r="B11520"/>
      <c r="C11520"/>
      <c r="D11520"/>
      <c r="G11520"/>
    </row>
    <row r="11521" spans="2:7">
      <c r="B11521"/>
      <c r="C11521"/>
      <c r="D11521"/>
      <c r="G11521"/>
    </row>
    <row r="11522" spans="2:7">
      <c r="B11522"/>
      <c r="C11522"/>
      <c r="D11522"/>
      <c r="G11522"/>
    </row>
    <row r="11523" spans="2:7">
      <c r="B11523"/>
      <c r="C11523"/>
      <c r="D11523"/>
      <c r="G11523"/>
    </row>
    <row r="11524" spans="2:7">
      <c r="B11524"/>
      <c r="C11524"/>
      <c r="D11524"/>
      <c r="G11524"/>
    </row>
    <row r="11525" spans="2:7">
      <c r="B11525"/>
      <c r="C11525"/>
      <c r="D11525"/>
      <c r="G11525"/>
    </row>
    <row r="11526" spans="2:7">
      <c r="B11526"/>
      <c r="C11526"/>
      <c r="D11526"/>
      <c r="G11526"/>
    </row>
    <row r="11527" spans="2:7">
      <c r="B11527"/>
      <c r="C11527"/>
      <c r="D11527"/>
      <c r="G11527"/>
    </row>
    <row r="11528" spans="2:7">
      <c r="B11528"/>
      <c r="C11528"/>
      <c r="D11528"/>
      <c r="G11528"/>
    </row>
    <row r="11529" spans="2:7">
      <c r="B11529"/>
      <c r="C11529"/>
      <c r="D11529"/>
      <c r="G11529"/>
    </row>
    <row r="11530" spans="2:7">
      <c r="B11530"/>
      <c r="C11530"/>
      <c r="D11530"/>
      <c r="G11530"/>
    </row>
    <row r="11531" spans="2:7">
      <c r="B11531"/>
      <c r="C11531"/>
      <c r="D11531"/>
      <c r="G11531"/>
    </row>
    <row r="11532" spans="2:7">
      <c r="B11532"/>
      <c r="C11532"/>
      <c r="D11532"/>
      <c r="G11532"/>
    </row>
    <row r="11533" spans="2:7">
      <c r="B11533"/>
      <c r="C11533"/>
      <c r="D11533"/>
      <c r="G11533"/>
    </row>
    <row r="11534" spans="2:7">
      <c r="B11534"/>
      <c r="C11534"/>
      <c r="D11534"/>
      <c r="G11534"/>
    </row>
    <row r="11535" spans="2:7">
      <c r="B11535"/>
      <c r="C11535"/>
      <c r="D11535"/>
      <c r="G11535"/>
    </row>
    <row r="11536" spans="2:7">
      <c r="B11536"/>
      <c r="C11536"/>
      <c r="D11536"/>
      <c r="G11536"/>
    </row>
    <row r="11537" spans="2:7">
      <c r="B11537"/>
      <c r="C11537"/>
      <c r="D11537"/>
      <c r="G11537"/>
    </row>
    <row r="11538" spans="2:7">
      <c r="B11538"/>
      <c r="C11538"/>
      <c r="D11538"/>
      <c r="G11538"/>
    </row>
    <row r="11539" spans="2:7">
      <c r="B11539"/>
      <c r="C11539"/>
      <c r="D11539"/>
      <c r="G11539"/>
    </row>
    <row r="11540" spans="2:7">
      <c r="B11540"/>
      <c r="C11540"/>
      <c r="D11540"/>
      <c r="G11540"/>
    </row>
    <row r="11541" spans="2:7">
      <c r="B11541"/>
      <c r="C11541"/>
      <c r="D11541"/>
      <c r="G11541"/>
    </row>
    <row r="11542" spans="2:7">
      <c r="B11542"/>
      <c r="C11542"/>
      <c r="D11542"/>
      <c r="G11542"/>
    </row>
    <row r="11543" spans="2:7">
      <c r="B11543"/>
      <c r="C11543"/>
      <c r="D11543"/>
      <c r="G11543"/>
    </row>
    <row r="11544" spans="2:7">
      <c r="B11544"/>
      <c r="C11544"/>
      <c r="D11544"/>
      <c r="G11544"/>
    </row>
    <row r="11545" spans="2:7">
      <c r="B11545"/>
      <c r="C11545"/>
      <c r="D11545"/>
      <c r="G11545"/>
    </row>
    <row r="11546" spans="2:7">
      <c r="B11546"/>
      <c r="C11546"/>
      <c r="D11546"/>
      <c r="G11546"/>
    </row>
    <row r="11547" spans="2:7">
      <c r="B11547"/>
      <c r="C11547"/>
      <c r="D11547"/>
      <c r="G11547"/>
    </row>
    <row r="11548" spans="2:7">
      <c r="B11548"/>
      <c r="C11548"/>
      <c r="D11548"/>
      <c r="G11548"/>
    </row>
    <row r="11549" spans="2:7">
      <c r="B11549"/>
      <c r="C11549"/>
      <c r="D11549"/>
      <c r="G11549"/>
    </row>
    <row r="11550" spans="2:7">
      <c r="B11550"/>
      <c r="C11550"/>
      <c r="D11550"/>
      <c r="G11550"/>
    </row>
    <row r="11551" spans="2:7">
      <c r="B11551"/>
      <c r="C11551"/>
      <c r="D11551"/>
      <c r="G11551"/>
    </row>
    <row r="11552" spans="2:7">
      <c r="B11552"/>
      <c r="C11552"/>
      <c r="D11552"/>
      <c r="G11552"/>
    </row>
    <row r="11553" spans="2:7">
      <c r="B11553"/>
      <c r="C11553"/>
      <c r="D11553"/>
      <c r="G11553"/>
    </row>
    <row r="11554" spans="2:7">
      <c r="B11554"/>
      <c r="C11554"/>
      <c r="D11554"/>
      <c r="G11554"/>
    </row>
    <row r="11555" spans="2:7">
      <c r="B11555"/>
      <c r="C11555"/>
      <c r="D11555"/>
      <c r="G11555"/>
    </row>
    <row r="11556" spans="2:7">
      <c r="B11556"/>
      <c r="C11556"/>
      <c r="D11556"/>
      <c r="G11556"/>
    </row>
    <row r="11557" spans="2:7">
      <c r="B11557"/>
      <c r="C11557"/>
      <c r="D11557"/>
      <c r="G11557"/>
    </row>
    <row r="11558" spans="2:7">
      <c r="B11558"/>
      <c r="C11558"/>
      <c r="D11558"/>
      <c r="G11558"/>
    </row>
    <row r="11559" spans="2:7">
      <c r="B11559"/>
      <c r="C11559"/>
      <c r="D11559"/>
      <c r="G11559"/>
    </row>
    <row r="11560" spans="2:7">
      <c r="B11560"/>
      <c r="C11560"/>
      <c r="D11560"/>
      <c r="G11560"/>
    </row>
    <row r="11561" spans="2:7">
      <c r="B11561"/>
      <c r="C11561"/>
      <c r="D11561"/>
      <c r="G11561"/>
    </row>
    <row r="11562" spans="2:7">
      <c r="B11562"/>
      <c r="C11562"/>
      <c r="D11562"/>
      <c r="G11562"/>
    </row>
    <row r="11563" spans="2:7">
      <c r="B11563"/>
      <c r="C11563"/>
      <c r="D11563"/>
      <c r="G11563"/>
    </row>
    <row r="11564" spans="2:7">
      <c r="B11564"/>
      <c r="C11564"/>
      <c r="D11564"/>
      <c r="G11564"/>
    </row>
    <row r="11565" spans="2:7">
      <c r="B11565"/>
      <c r="C11565"/>
      <c r="D11565"/>
      <c r="G11565"/>
    </row>
    <row r="11566" spans="2:7">
      <c r="B11566"/>
      <c r="C11566"/>
      <c r="D11566"/>
      <c r="G11566"/>
    </row>
    <row r="11567" spans="2:7">
      <c r="B11567"/>
      <c r="C11567"/>
      <c r="D11567"/>
      <c r="G11567"/>
    </row>
    <row r="11568" spans="2:7">
      <c r="B11568"/>
      <c r="C11568"/>
      <c r="D11568"/>
      <c r="G11568"/>
    </row>
    <row r="11569" spans="2:7">
      <c r="B11569"/>
      <c r="C11569"/>
      <c r="D11569"/>
      <c r="G11569"/>
    </row>
    <row r="11570" spans="2:7">
      <c r="B11570"/>
      <c r="C11570"/>
      <c r="D11570"/>
      <c r="G11570"/>
    </row>
    <row r="11571" spans="2:7">
      <c r="B11571"/>
      <c r="C11571"/>
      <c r="D11571"/>
      <c r="G11571"/>
    </row>
    <row r="11572" spans="2:7">
      <c r="B11572"/>
      <c r="C11572"/>
      <c r="D11572"/>
      <c r="G11572"/>
    </row>
    <row r="11573" spans="2:7">
      <c r="B11573"/>
      <c r="C11573"/>
      <c r="D11573"/>
      <c r="G11573"/>
    </row>
    <row r="11574" spans="2:7">
      <c r="B11574"/>
      <c r="C11574"/>
      <c r="D11574"/>
      <c r="G11574"/>
    </row>
    <row r="11575" spans="2:7">
      <c r="B11575"/>
      <c r="C11575"/>
      <c r="D11575"/>
      <c r="G11575"/>
    </row>
    <row r="11576" spans="2:7">
      <c r="B11576"/>
      <c r="C11576"/>
      <c r="D11576"/>
      <c r="G11576"/>
    </row>
    <row r="11577" spans="2:7">
      <c r="B11577"/>
      <c r="C11577"/>
      <c r="D11577"/>
      <c r="G11577"/>
    </row>
    <row r="11578" spans="2:7">
      <c r="B11578"/>
      <c r="C11578"/>
      <c r="D11578"/>
      <c r="G11578"/>
    </row>
    <row r="11579" spans="2:7">
      <c r="B11579"/>
      <c r="C11579"/>
      <c r="D11579"/>
      <c r="G11579"/>
    </row>
    <row r="11580" spans="2:7">
      <c r="B11580"/>
      <c r="C11580"/>
      <c r="D11580"/>
      <c r="G11580"/>
    </row>
    <row r="11581" spans="2:7">
      <c r="B11581"/>
      <c r="C11581"/>
      <c r="D11581"/>
      <c r="G11581"/>
    </row>
    <row r="11582" spans="2:7">
      <c r="B11582"/>
      <c r="C11582"/>
      <c r="D11582"/>
      <c r="G11582"/>
    </row>
    <row r="11583" spans="2:7">
      <c r="B11583"/>
      <c r="C11583"/>
      <c r="D11583"/>
      <c r="G11583"/>
    </row>
    <row r="11584" spans="2:7">
      <c r="B11584"/>
      <c r="C11584"/>
      <c r="D11584"/>
      <c r="G11584"/>
    </row>
    <row r="11585" spans="2:7">
      <c r="B11585"/>
      <c r="C11585"/>
      <c r="D11585"/>
      <c r="G11585"/>
    </row>
    <row r="11586" spans="2:7">
      <c r="B11586"/>
      <c r="C11586"/>
      <c r="D11586"/>
      <c r="G11586"/>
    </row>
    <row r="11587" spans="2:7">
      <c r="B11587"/>
      <c r="C11587"/>
      <c r="D11587"/>
      <c r="G11587"/>
    </row>
    <row r="11588" spans="2:7">
      <c r="B11588"/>
      <c r="C11588"/>
      <c r="D11588"/>
      <c r="G11588"/>
    </row>
    <row r="11589" spans="2:7">
      <c r="B11589"/>
      <c r="C11589"/>
      <c r="D11589"/>
      <c r="G11589"/>
    </row>
    <row r="11590" spans="2:7">
      <c r="B11590"/>
      <c r="C11590"/>
      <c r="D11590"/>
      <c r="G11590"/>
    </row>
    <row r="11591" spans="2:7">
      <c r="B11591"/>
      <c r="C11591"/>
      <c r="D11591"/>
      <c r="G11591"/>
    </row>
    <row r="11592" spans="2:7">
      <c r="B11592"/>
      <c r="C11592"/>
      <c r="D11592"/>
      <c r="G11592"/>
    </row>
    <row r="11593" spans="2:7">
      <c r="B11593"/>
      <c r="C11593"/>
      <c r="D11593"/>
      <c r="G11593"/>
    </row>
    <row r="11594" spans="2:7">
      <c r="B11594"/>
      <c r="C11594"/>
      <c r="D11594"/>
      <c r="G11594"/>
    </row>
    <row r="11595" spans="2:7">
      <c r="B11595"/>
      <c r="C11595"/>
      <c r="D11595"/>
      <c r="G11595"/>
    </row>
    <row r="11596" spans="2:7">
      <c r="B11596"/>
      <c r="C11596"/>
      <c r="D11596"/>
      <c r="G11596"/>
    </row>
    <row r="11597" spans="2:7">
      <c r="B11597"/>
      <c r="C11597"/>
      <c r="D11597"/>
      <c r="G11597"/>
    </row>
    <row r="11598" spans="2:7">
      <c r="B11598"/>
      <c r="C11598"/>
      <c r="D11598"/>
      <c r="G11598"/>
    </row>
    <row r="11599" spans="2:7">
      <c r="B11599"/>
      <c r="C11599"/>
      <c r="D11599"/>
      <c r="G11599"/>
    </row>
    <row r="11600" spans="2:7">
      <c r="B11600"/>
      <c r="C11600"/>
      <c r="D11600"/>
      <c r="G11600"/>
    </row>
    <row r="11601" spans="2:7">
      <c r="B11601"/>
      <c r="C11601"/>
      <c r="D11601"/>
      <c r="G11601"/>
    </row>
    <row r="11602" spans="2:7">
      <c r="B11602"/>
      <c r="C11602"/>
      <c r="D11602"/>
      <c r="G11602"/>
    </row>
    <row r="11603" spans="2:7">
      <c r="B11603"/>
      <c r="C11603"/>
      <c r="D11603"/>
      <c r="G11603"/>
    </row>
    <row r="11604" spans="2:7">
      <c r="B11604"/>
      <c r="C11604"/>
      <c r="D11604"/>
      <c r="G11604"/>
    </row>
    <row r="11605" spans="2:7">
      <c r="B11605"/>
      <c r="C11605"/>
      <c r="D11605"/>
      <c r="G11605"/>
    </row>
    <row r="11606" spans="2:7">
      <c r="B11606"/>
      <c r="C11606"/>
      <c r="D11606"/>
      <c r="G11606"/>
    </row>
    <row r="11607" spans="2:7">
      <c r="B11607"/>
      <c r="C11607"/>
      <c r="D11607"/>
      <c r="G11607"/>
    </row>
    <row r="11608" spans="2:7">
      <c r="B11608"/>
      <c r="C11608"/>
      <c r="D11608"/>
      <c r="G11608"/>
    </row>
    <row r="11609" spans="2:7">
      <c r="B11609"/>
      <c r="C11609"/>
      <c r="D11609"/>
      <c r="G11609"/>
    </row>
    <row r="11610" spans="2:7">
      <c r="B11610"/>
      <c r="C11610"/>
      <c r="D11610"/>
      <c r="G11610"/>
    </row>
    <row r="11611" spans="2:7">
      <c r="B11611"/>
      <c r="C11611"/>
      <c r="D11611"/>
      <c r="G11611"/>
    </row>
    <row r="11612" spans="2:7">
      <c r="B11612"/>
      <c r="C11612"/>
      <c r="D11612"/>
      <c r="G11612"/>
    </row>
    <row r="11613" spans="2:7">
      <c r="B11613"/>
      <c r="C11613"/>
      <c r="D11613"/>
      <c r="G11613"/>
    </row>
    <row r="11614" spans="2:7">
      <c r="B11614"/>
      <c r="C11614"/>
      <c r="D11614"/>
      <c r="G11614"/>
    </row>
    <row r="11615" spans="2:7">
      <c r="B11615"/>
      <c r="C11615"/>
      <c r="D11615"/>
      <c r="G11615"/>
    </row>
    <row r="11616" spans="2:7">
      <c r="B11616"/>
      <c r="C11616"/>
      <c r="D11616"/>
      <c r="G11616"/>
    </row>
    <row r="11617" spans="2:7">
      <c r="B11617"/>
      <c r="C11617"/>
      <c r="D11617"/>
      <c r="G11617"/>
    </row>
    <row r="11618" spans="2:7">
      <c r="B11618"/>
      <c r="C11618"/>
      <c r="D11618"/>
      <c r="G11618"/>
    </row>
    <row r="11619" spans="2:7">
      <c r="B11619"/>
      <c r="C11619"/>
      <c r="D11619"/>
      <c r="G11619"/>
    </row>
    <row r="11620" spans="2:7">
      <c r="B11620"/>
      <c r="C11620"/>
      <c r="D11620"/>
      <c r="G11620"/>
    </row>
    <row r="11621" spans="2:7">
      <c r="B11621"/>
      <c r="C11621"/>
      <c r="D11621"/>
      <c r="G11621"/>
    </row>
    <row r="11622" spans="2:7">
      <c r="B11622"/>
      <c r="C11622"/>
      <c r="D11622"/>
      <c r="G11622"/>
    </row>
    <row r="11623" spans="2:7">
      <c r="B11623"/>
      <c r="C11623"/>
      <c r="D11623"/>
      <c r="G11623"/>
    </row>
    <row r="11624" spans="2:7">
      <c r="B11624"/>
      <c r="C11624"/>
      <c r="D11624"/>
      <c r="G11624"/>
    </row>
    <row r="11625" spans="2:7">
      <c r="B11625"/>
      <c r="C11625"/>
      <c r="D11625"/>
      <c r="G11625"/>
    </row>
    <row r="11626" spans="2:7">
      <c r="B11626"/>
      <c r="C11626"/>
      <c r="D11626"/>
      <c r="G11626"/>
    </row>
    <row r="11627" spans="2:7">
      <c r="B11627"/>
      <c r="C11627"/>
      <c r="D11627"/>
      <c r="G11627"/>
    </row>
    <row r="11628" spans="2:7">
      <c r="B11628"/>
      <c r="C11628"/>
      <c r="D11628"/>
      <c r="G11628"/>
    </row>
    <row r="11629" spans="2:7">
      <c r="B11629"/>
      <c r="C11629"/>
      <c r="D11629"/>
      <c r="G11629"/>
    </row>
    <row r="11630" spans="2:7">
      <c r="B11630"/>
      <c r="C11630"/>
      <c r="D11630"/>
      <c r="G11630"/>
    </row>
    <row r="11631" spans="2:7">
      <c r="B11631"/>
      <c r="C11631"/>
      <c r="D11631"/>
      <c r="G11631"/>
    </row>
    <row r="11632" spans="2:7">
      <c r="B11632"/>
      <c r="C11632"/>
      <c r="D11632"/>
      <c r="G11632"/>
    </row>
    <row r="11633" spans="2:7">
      <c r="B11633"/>
      <c r="C11633"/>
      <c r="D11633"/>
      <c r="G11633"/>
    </row>
    <row r="11634" spans="2:7">
      <c r="B11634"/>
      <c r="C11634"/>
      <c r="D11634"/>
      <c r="G11634"/>
    </row>
    <row r="11635" spans="2:7">
      <c r="B11635"/>
      <c r="C11635"/>
      <c r="D11635"/>
      <c r="G11635"/>
    </row>
    <row r="11636" spans="2:7">
      <c r="B11636"/>
      <c r="C11636"/>
      <c r="D11636"/>
      <c r="G11636"/>
    </row>
    <row r="11637" spans="2:7">
      <c r="B11637"/>
      <c r="C11637"/>
      <c r="D11637"/>
      <c r="G11637"/>
    </row>
    <row r="11638" spans="2:7">
      <c r="B11638"/>
      <c r="C11638"/>
      <c r="D11638"/>
      <c r="G11638"/>
    </row>
    <row r="11639" spans="2:7">
      <c r="B11639"/>
      <c r="C11639"/>
      <c r="D11639"/>
      <c r="G11639"/>
    </row>
    <row r="11640" spans="2:7">
      <c r="B11640"/>
      <c r="C11640"/>
      <c r="D11640"/>
      <c r="G11640"/>
    </row>
    <row r="11641" spans="2:7">
      <c r="B11641"/>
      <c r="C11641"/>
      <c r="D11641"/>
      <c r="G11641"/>
    </row>
    <row r="11642" spans="2:7">
      <c r="B11642"/>
      <c r="C11642"/>
      <c r="D11642"/>
      <c r="G11642"/>
    </row>
    <row r="11643" spans="2:7">
      <c r="B11643"/>
      <c r="C11643"/>
      <c r="D11643"/>
      <c r="G11643"/>
    </row>
    <row r="11644" spans="2:7">
      <c r="B11644"/>
      <c r="C11644"/>
      <c r="D11644"/>
      <c r="G11644"/>
    </row>
    <row r="11645" spans="2:7">
      <c r="B11645"/>
      <c r="C11645"/>
      <c r="D11645"/>
      <c r="G11645"/>
    </row>
    <row r="11646" spans="2:7">
      <c r="B11646"/>
      <c r="C11646"/>
      <c r="D11646"/>
      <c r="G11646"/>
    </row>
    <row r="11647" spans="2:7">
      <c r="B11647"/>
      <c r="C11647"/>
      <c r="D11647"/>
      <c r="G11647"/>
    </row>
    <row r="11648" spans="2:7">
      <c r="B11648"/>
      <c r="C11648"/>
      <c r="D11648"/>
      <c r="G11648"/>
    </row>
    <row r="11649" spans="2:7">
      <c r="B11649"/>
      <c r="C11649"/>
      <c r="D11649"/>
      <c r="G11649"/>
    </row>
    <row r="11650" spans="2:7">
      <c r="B11650"/>
      <c r="C11650"/>
      <c r="D11650"/>
      <c r="G11650"/>
    </row>
    <row r="11651" spans="2:7">
      <c r="B11651"/>
      <c r="C11651"/>
      <c r="D11651"/>
      <c r="G11651"/>
    </row>
    <row r="11652" spans="2:7">
      <c r="B11652"/>
      <c r="C11652"/>
      <c r="D11652"/>
      <c r="G11652"/>
    </row>
    <row r="11653" spans="2:7">
      <c r="B11653"/>
      <c r="C11653"/>
      <c r="D11653"/>
      <c r="G11653"/>
    </row>
    <row r="11654" spans="2:7">
      <c r="B11654"/>
      <c r="C11654"/>
      <c r="D11654"/>
      <c r="G11654"/>
    </row>
    <row r="11655" spans="2:7">
      <c r="B11655"/>
      <c r="C11655"/>
      <c r="D11655"/>
      <c r="G11655"/>
    </row>
    <row r="11656" spans="2:7">
      <c r="B11656"/>
      <c r="C11656"/>
      <c r="D11656"/>
      <c r="G11656"/>
    </row>
    <row r="11657" spans="2:7">
      <c r="B11657"/>
      <c r="C11657"/>
      <c r="D11657"/>
      <c r="G11657"/>
    </row>
    <row r="11658" spans="2:7">
      <c r="B11658"/>
      <c r="C11658"/>
      <c r="D11658"/>
      <c r="G11658"/>
    </row>
    <row r="11659" spans="2:7">
      <c r="B11659"/>
      <c r="C11659"/>
      <c r="D11659"/>
      <c r="G11659"/>
    </row>
    <row r="11660" spans="2:7">
      <c r="B11660"/>
      <c r="C11660"/>
      <c r="D11660"/>
      <c r="G11660"/>
    </row>
    <row r="11661" spans="2:7">
      <c r="B11661"/>
      <c r="C11661"/>
      <c r="D11661"/>
      <c r="G11661"/>
    </row>
    <row r="11662" spans="2:7">
      <c r="B11662"/>
      <c r="C11662"/>
      <c r="D11662"/>
      <c r="G11662"/>
    </row>
    <row r="11663" spans="2:7">
      <c r="B11663"/>
      <c r="C11663"/>
      <c r="D11663"/>
      <c r="G11663"/>
    </row>
    <row r="11664" spans="2:7">
      <c r="B11664"/>
      <c r="C11664"/>
      <c r="D11664"/>
      <c r="G11664"/>
    </row>
    <row r="11665" spans="2:7">
      <c r="B11665"/>
      <c r="C11665"/>
      <c r="D11665"/>
      <c r="G11665"/>
    </row>
    <row r="11666" spans="2:7">
      <c r="B11666"/>
      <c r="C11666"/>
      <c r="D11666"/>
      <c r="G11666"/>
    </row>
    <row r="11667" spans="2:7">
      <c r="B11667"/>
      <c r="C11667"/>
      <c r="D11667"/>
      <c r="G11667"/>
    </row>
    <row r="11668" spans="2:7">
      <c r="B11668"/>
      <c r="C11668"/>
      <c r="D11668"/>
      <c r="G11668"/>
    </row>
    <row r="11669" spans="2:7">
      <c r="B11669"/>
      <c r="C11669"/>
      <c r="D11669"/>
      <c r="G11669"/>
    </row>
    <row r="11670" spans="2:7">
      <c r="B11670"/>
      <c r="C11670"/>
      <c r="D11670"/>
      <c r="G11670"/>
    </row>
    <row r="11671" spans="2:7">
      <c r="B11671"/>
      <c r="C11671"/>
      <c r="D11671"/>
      <c r="G11671"/>
    </row>
    <row r="11672" spans="2:7">
      <c r="B11672"/>
      <c r="C11672"/>
      <c r="D11672"/>
      <c r="G11672"/>
    </row>
    <row r="11673" spans="2:7">
      <c r="B11673"/>
      <c r="C11673"/>
      <c r="D11673"/>
      <c r="G11673"/>
    </row>
    <row r="11674" spans="2:7">
      <c r="B11674"/>
      <c r="C11674"/>
      <c r="D11674"/>
      <c r="G11674"/>
    </row>
    <row r="11675" spans="2:7">
      <c r="B11675"/>
      <c r="C11675"/>
      <c r="D11675"/>
      <c r="G11675"/>
    </row>
    <row r="11676" spans="2:7">
      <c r="B11676"/>
      <c r="C11676"/>
      <c r="D11676"/>
      <c r="G11676"/>
    </row>
    <row r="11677" spans="2:7">
      <c r="B11677"/>
      <c r="C11677"/>
      <c r="D11677"/>
      <c r="G11677"/>
    </row>
    <row r="11678" spans="2:7">
      <c r="B11678"/>
      <c r="C11678"/>
      <c r="D11678"/>
      <c r="G11678"/>
    </row>
    <row r="11679" spans="2:7">
      <c r="B11679"/>
      <c r="C11679"/>
      <c r="D11679"/>
      <c r="G11679"/>
    </row>
    <row r="11680" spans="2:7">
      <c r="B11680"/>
      <c r="C11680"/>
      <c r="D11680"/>
      <c r="G11680"/>
    </row>
    <row r="11681" spans="2:7">
      <c r="B11681"/>
      <c r="C11681"/>
      <c r="D11681"/>
      <c r="G11681"/>
    </row>
    <row r="11682" spans="2:7">
      <c r="B11682"/>
      <c r="C11682"/>
      <c r="D11682"/>
      <c r="G11682"/>
    </row>
    <row r="11683" spans="2:7">
      <c r="B11683"/>
      <c r="C11683"/>
      <c r="D11683"/>
      <c r="G11683"/>
    </row>
    <row r="11684" spans="2:7">
      <c r="B11684"/>
      <c r="C11684"/>
      <c r="D11684"/>
      <c r="G11684"/>
    </row>
    <row r="11685" spans="2:7">
      <c r="B11685"/>
      <c r="C11685"/>
      <c r="D11685"/>
      <c r="G11685"/>
    </row>
    <row r="11686" spans="2:7">
      <c r="B11686"/>
      <c r="C11686"/>
      <c r="D11686"/>
      <c r="G11686"/>
    </row>
    <row r="11687" spans="2:7">
      <c r="B11687"/>
      <c r="C11687"/>
      <c r="D11687"/>
      <c r="G11687"/>
    </row>
    <row r="11688" spans="2:7">
      <c r="B11688"/>
      <c r="C11688"/>
      <c r="D11688"/>
      <c r="G11688"/>
    </row>
    <row r="11689" spans="2:7">
      <c r="B11689"/>
      <c r="C11689"/>
      <c r="D11689"/>
      <c r="G11689"/>
    </row>
    <row r="11690" spans="2:7">
      <c r="B11690"/>
      <c r="C11690"/>
      <c r="D11690"/>
      <c r="G11690"/>
    </row>
    <row r="11691" spans="2:7">
      <c r="B11691"/>
      <c r="C11691"/>
      <c r="D11691"/>
      <c r="G11691"/>
    </row>
    <row r="11692" spans="2:7">
      <c r="B11692"/>
      <c r="C11692"/>
      <c r="D11692"/>
      <c r="G11692"/>
    </row>
    <row r="11693" spans="2:7">
      <c r="B11693"/>
      <c r="C11693"/>
      <c r="D11693"/>
      <c r="G11693"/>
    </row>
    <row r="11694" spans="2:7">
      <c r="B11694"/>
      <c r="C11694"/>
      <c r="D11694"/>
      <c r="G11694"/>
    </row>
    <row r="11695" spans="2:7">
      <c r="B11695"/>
      <c r="C11695"/>
      <c r="D11695"/>
      <c r="G11695"/>
    </row>
    <row r="11696" spans="2:7">
      <c r="B11696"/>
      <c r="C11696"/>
      <c r="D11696"/>
      <c r="G11696"/>
    </row>
    <row r="11697" spans="2:7">
      <c r="B11697"/>
      <c r="C11697"/>
      <c r="D11697"/>
      <c r="G11697"/>
    </row>
    <row r="11698" spans="2:7">
      <c r="B11698"/>
      <c r="C11698"/>
      <c r="D11698"/>
      <c r="G11698"/>
    </row>
    <row r="11699" spans="2:7">
      <c r="B11699"/>
      <c r="C11699"/>
      <c r="D11699"/>
      <c r="G11699"/>
    </row>
    <row r="11700" spans="2:7">
      <c r="B11700"/>
      <c r="C11700"/>
      <c r="D11700"/>
      <c r="G11700"/>
    </row>
    <row r="11701" spans="2:7">
      <c r="B11701"/>
      <c r="C11701"/>
      <c r="D11701"/>
      <c r="G11701"/>
    </row>
    <row r="11702" spans="2:7">
      <c r="B11702"/>
      <c r="C11702"/>
      <c r="D11702"/>
      <c r="G11702"/>
    </row>
    <row r="11703" spans="2:7">
      <c r="B11703"/>
      <c r="C11703"/>
      <c r="D11703"/>
      <c r="G11703"/>
    </row>
    <row r="11704" spans="2:7">
      <c r="B11704"/>
      <c r="C11704"/>
      <c r="D11704"/>
      <c r="G11704"/>
    </row>
    <row r="11705" spans="2:7">
      <c r="B11705"/>
      <c r="C11705"/>
      <c r="D11705"/>
      <c r="G11705"/>
    </row>
    <row r="11706" spans="2:7">
      <c r="B11706"/>
      <c r="C11706"/>
      <c r="D11706"/>
      <c r="G11706"/>
    </row>
    <row r="11707" spans="2:7">
      <c r="B11707"/>
      <c r="C11707"/>
      <c r="D11707"/>
      <c r="G11707"/>
    </row>
    <row r="11708" spans="2:7">
      <c r="B11708"/>
      <c r="C11708"/>
      <c r="D11708"/>
      <c r="G11708"/>
    </row>
    <row r="11709" spans="2:7">
      <c r="B11709"/>
      <c r="C11709"/>
      <c r="D11709"/>
      <c r="G11709"/>
    </row>
    <row r="11710" spans="2:7">
      <c r="B11710"/>
      <c r="C11710"/>
      <c r="D11710"/>
      <c r="G11710"/>
    </row>
    <row r="11711" spans="2:7">
      <c r="B11711"/>
      <c r="C11711"/>
      <c r="D11711"/>
      <c r="G11711"/>
    </row>
    <row r="11712" spans="2:7">
      <c r="B11712"/>
      <c r="C11712"/>
      <c r="D11712"/>
      <c r="G11712"/>
    </row>
    <row r="11713" spans="2:7">
      <c r="B11713"/>
      <c r="C11713"/>
      <c r="D11713"/>
      <c r="G11713"/>
    </row>
    <row r="11714" spans="2:7">
      <c r="B11714"/>
      <c r="C11714"/>
      <c r="D11714"/>
      <c r="G11714"/>
    </row>
    <row r="11715" spans="2:7">
      <c r="B11715"/>
      <c r="C11715"/>
      <c r="D11715"/>
      <c r="G11715"/>
    </row>
    <row r="11716" spans="2:7">
      <c r="B11716"/>
      <c r="C11716"/>
      <c r="D11716"/>
      <c r="G11716"/>
    </row>
    <row r="11717" spans="2:7">
      <c r="B11717"/>
      <c r="C11717"/>
      <c r="D11717"/>
      <c r="G11717"/>
    </row>
    <row r="11718" spans="2:7">
      <c r="B11718"/>
      <c r="C11718"/>
      <c r="D11718"/>
      <c r="G11718"/>
    </row>
    <row r="11719" spans="2:7">
      <c r="B11719"/>
      <c r="C11719"/>
      <c r="D11719"/>
      <c r="G11719"/>
    </row>
    <row r="11720" spans="2:7">
      <c r="B11720"/>
      <c r="C11720"/>
      <c r="D11720"/>
      <c r="G11720"/>
    </row>
    <row r="11721" spans="2:7">
      <c r="B11721"/>
      <c r="C11721"/>
      <c r="D11721"/>
      <c r="G11721"/>
    </row>
    <row r="11722" spans="2:7">
      <c r="B11722"/>
      <c r="C11722"/>
      <c r="D11722"/>
      <c r="G11722"/>
    </row>
    <row r="11723" spans="2:7">
      <c r="B11723"/>
      <c r="C11723"/>
      <c r="D11723"/>
      <c r="G11723"/>
    </row>
    <row r="11724" spans="2:7">
      <c r="B11724"/>
      <c r="C11724"/>
      <c r="D11724"/>
      <c r="G11724"/>
    </row>
    <row r="11725" spans="2:7">
      <c r="B11725"/>
      <c r="C11725"/>
      <c r="D11725"/>
      <c r="G11725"/>
    </row>
    <row r="11726" spans="2:7">
      <c r="B11726"/>
      <c r="C11726"/>
      <c r="D11726"/>
      <c r="G11726"/>
    </row>
    <row r="11727" spans="2:7">
      <c r="B11727"/>
      <c r="C11727"/>
      <c r="D11727"/>
      <c r="G11727"/>
    </row>
    <row r="11728" spans="2:7">
      <c r="B11728"/>
      <c r="C11728"/>
      <c r="D11728"/>
      <c r="G11728"/>
    </row>
    <row r="11729" spans="2:7">
      <c r="B11729"/>
      <c r="C11729"/>
      <c r="D11729"/>
      <c r="G11729"/>
    </row>
    <row r="11730" spans="2:7">
      <c r="B11730"/>
      <c r="C11730"/>
      <c r="D11730"/>
      <c r="G11730"/>
    </row>
    <row r="11731" spans="2:7">
      <c r="B11731"/>
      <c r="C11731"/>
      <c r="D11731"/>
      <c r="G11731"/>
    </row>
    <row r="11732" spans="2:7">
      <c r="B11732"/>
      <c r="C11732"/>
      <c r="D11732"/>
      <c r="G11732"/>
    </row>
    <row r="11733" spans="2:7">
      <c r="B11733"/>
      <c r="C11733"/>
      <c r="D11733"/>
      <c r="G11733"/>
    </row>
    <row r="11734" spans="2:7">
      <c r="B11734"/>
      <c r="C11734"/>
      <c r="D11734"/>
      <c r="G11734"/>
    </row>
    <row r="11735" spans="2:7">
      <c r="B11735"/>
      <c r="C11735"/>
      <c r="D11735"/>
      <c r="G11735"/>
    </row>
    <row r="11736" spans="2:7">
      <c r="B11736"/>
      <c r="C11736"/>
      <c r="D11736"/>
      <c r="G11736"/>
    </row>
    <row r="11737" spans="2:7">
      <c r="B11737"/>
      <c r="C11737"/>
      <c r="D11737"/>
      <c r="G11737"/>
    </row>
    <row r="11738" spans="2:7">
      <c r="B11738"/>
      <c r="C11738"/>
      <c r="D11738"/>
      <c r="G11738"/>
    </row>
    <row r="11739" spans="2:7">
      <c r="B11739"/>
      <c r="C11739"/>
      <c r="D11739"/>
      <c r="G11739"/>
    </row>
    <row r="11740" spans="2:7">
      <c r="B11740"/>
      <c r="C11740"/>
      <c r="D11740"/>
      <c r="G11740"/>
    </row>
    <row r="11741" spans="2:7">
      <c r="B11741"/>
      <c r="C11741"/>
      <c r="D11741"/>
      <c r="G11741"/>
    </row>
    <row r="11742" spans="2:7">
      <c r="B11742"/>
      <c r="C11742"/>
      <c r="D11742"/>
      <c r="G11742"/>
    </row>
    <row r="11743" spans="2:7">
      <c r="B11743"/>
      <c r="C11743"/>
      <c r="D11743"/>
      <c r="G11743"/>
    </row>
    <row r="11744" spans="2:7">
      <c r="B11744"/>
      <c r="C11744"/>
      <c r="D11744"/>
      <c r="G11744"/>
    </row>
    <row r="11745" spans="2:7">
      <c r="B11745"/>
      <c r="C11745"/>
      <c r="D11745"/>
      <c r="G11745"/>
    </row>
    <row r="11746" spans="2:7">
      <c r="B11746"/>
      <c r="C11746"/>
      <c r="D11746"/>
      <c r="G11746"/>
    </row>
    <row r="11747" spans="2:7">
      <c r="B11747"/>
      <c r="C11747"/>
      <c r="D11747"/>
      <c r="G11747"/>
    </row>
    <row r="11748" spans="2:7">
      <c r="B11748"/>
      <c r="C11748"/>
      <c r="D11748"/>
      <c r="G11748"/>
    </row>
    <row r="11749" spans="2:7">
      <c r="B11749"/>
      <c r="C11749"/>
      <c r="D11749"/>
      <c r="G11749"/>
    </row>
    <row r="11750" spans="2:7">
      <c r="B11750"/>
      <c r="C11750"/>
      <c r="D11750"/>
      <c r="G11750"/>
    </row>
    <row r="11751" spans="2:7">
      <c r="B11751"/>
      <c r="C11751"/>
      <c r="D11751"/>
      <c r="G11751"/>
    </row>
    <row r="11752" spans="2:7">
      <c r="B11752"/>
      <c r="C11752"/>
      <c r="D11752"/>
      <c r="G11752"/>
    </row>
    <row r="11753" spans="2:7">
      <c r="B11753"/>
      <c r="C11753"/>
      <c r="D11753"/>
      <c r="G11753"/>
    </row>
    <row r="11754" spans="2:7">
      <c r="B11754"/>
      <c r="C11754"/>
      <c r="D11754"/>
      <c r="G11754"/>
    </row>
    <row r="11755" spans="2:7">
      <c r="B11755"/>
      <c r="C11755"/>
      <c r="D11755"/>
      <c r="G11755"/>
    </row>
    <row r="11756" spans="2:7">
      <c r="B11756"/>
      <c r="C11756"/>
      <c r="D11756"/>
      <c r="G11756"/>
    </row>
    <row r="11757" spans="2:7">
      <c r="B11757"/>
      <c r="C11757"/>
      <c r="D11757"/>
      <c r="G11757"/>
    </row>
    <row r="11758" spans="2:7">
      <c r="B11758"/>
      <c r="C11758"/>
      <c r="D11758"/>
      <c r="G11758"/>
    </row>
    <row r="11759" spans="2:7">
      <c r="B11759"/>
      <c r="C11759"/>
      <c r="D11759"/>
      <c r="G11759"/>
    </row>
    <row r="11760" spans="2:7">
      <c r="B11760"/>
      <c r="C11760"/>
      <c r="D11760"/>
      <c r="G11760"/>
    </row>
    <row r="11761" spans="2:7">
      <c r="B11761"/>
      <c r="C11761"/>
      <c r="D11761"/>
      <c r="G11761"/>
    </row>
    <row r="11762" spans="2:7">
      <c r="B11762"/>
      <c r="C11762"/>
      <c r="D11762"/>
      <c r="G11762"/>
    </row>
    <row r="11763" spans="2:7">
      <c r="B11763"/>
      <c r="C11763"/>
      <c r="D11763"/>
      <c r="G11763"/>
    </row>
    <row r="11764" spans="2:7">
      <c r="B11764"/>
      <c r="C11764"/>
      <c r="D11764"/>
      <c r="G11764"/>
    </row>
    <row r="11765" spans="2:7">
      <c r="B11765"/>
      <c r="C11765"/>
      <c r="D11765"/>
      <c r="G11765"/>
    </row>
    <row r="11766" spans="2:7">
      <c r="B11766"/>
      <c r="C11766"/>
      <c r="D11766"/>
      <c r="G11766"/>
    </row>
    <row r="11767" spans="2:7">
      <c r="B11767"/>
      <c r="C11767"/>
      <c r="D11767"/>
      <c r="G11767"/>
    </row>
    <row r="11768" spans="2:7">
      <c r="B11768"/>
      <c r="C11768"/>
      <c r="D11768"/>
      <c r="G11768"/>
    </row>
    <row r="11769" spans="2:7">
      <c r="B11769"/>
      <c r="C11769"/>
      <c r="D11769"/>
      <c r="G11769"/>
    </row>
    <row r="11770" spans="2:7">
      <c r="B11770"/>
      <c r="C11770"/>
      <c r="D11770"/>
      <c r="G11770"/>
    </row>
    <row r="11771" spans="2:7">
      <c r="B11771"/>
      <c r="C11771"/>
      <c r="D11771"/>
      <c r="G11771"/>
    </row>
    <row r="11772" spans="2:7">
      <c r="B11772"/>
      <c r="C11772"/>
      <c r="D11772"/>
      <c r="G11772"/>
    </row>
    <row r="11773" spans="2:7">
      <c r="B11773"/>
      <c r="C11773"/>
      <c r="D11773"/>
      <c r="G11773"/>
    </row>
    <row r="11774" spans="2:7">
      <c r="B11774"/>
      <c r="C11774"/>
      <c r="D11774"/>
      <c r="G11774"/>
    </row>
    <row r="11775" spans="2:7">
      <c r="B11775"/>
      <c r="C11775"/>
      <c r="D11775"/>
      <c r="G11775"/>
    </row>
    <row r="11776" spans="2:7">
      <c r="B11776"/>
      <c r="C11776"/>
      <c r="D11776"/>
      <c r="G11776"/>
    </row>
    <row r="11777" spans="2:7">
      <c r="B11777"/>
      <c r="C11777"/>
      <c r="D11777"/>
      <c r="G11777"/>
    </row>
    <row r="11778" spans="2:7">
      <c r="B11778"/>
      <c r="C11778"/>
      <c r="D11778"/>
      <c r="G11778"/>
    </row>
    <row r="11779" spans="2:7">
      <c r="B11779"/>
      <c r="C11779"/>
      <c r="D11779"/>
      <c r="G11779"/>
    </row>
    <row r="11780" spans="2:7">
      <c r="B11780"/>
      <c r="C11780"/>
      <c r="D11780"/>
      <c r="G11780"/>
    </row>
    <row r="11781" spans="2:7">
      <c r="B11781"/>
      <c r="C11781"/>
      <c r="D11781"/>
      <c r="G11781"/>
    </row>
    <row r="11782" spans="2:7">
      <c r="B11782"/>
      <c r="C11782"/>
      <c r="D11782"/>
      <c r="G11782"/>
    </row>
    <row r="11783" spans="2:7">
      <c r="B11783"/>
      <c r="C11783"/>
      <c r="D11783"/>
      <c r="G11783"/>
    </row>
    <row r="11784" spans="2:7">
      <c r="B11784"/>
      <c r="C11784"/>
      <c r="D11784"/>
      <c r="G11784"/>
    </row>
    <row r="11785" spans="2:7">
      <c r="B11785"/>
      <c r="C11785"/>
      <c r="D11785"/>
      <c r="G11785"/>
    </row>
    <row r="11786" spans="2:7">
      <c r="B11786"/>
      <c r="C11786"/>
      <c r="D11786"/>
      <c r="G11786"/>
    </row>
    <row r="11787" spans="2:7">
      <c r="B11787"/>
      <c r="C11787"/>
      <c r="D11787"/>
      <c r="G11787"/>
    </row>
    <row r="11788" spans="2:7">
      <c r="B11788"/>
      <c r="C11788"/>
      <c r="D11788"/>
      <c r="G11788"/>
    </row>
    <row r="11789" spans="2:7">
      <c r="B11789"/>
      <c r="C11789"/>
      <c r="D11789"/>
      <c r="G11789"/>
    </row>
    <row r="11790" spans="2:7">
      <c r="B11790"/>
      <c r="C11790"/>
      <c r="D11790"/>
      <c r="G11790"/>
    </row>
    <row r="11791" spans="2:7">
      <c r="B11791"/>
      <c r="C11791"/>
      <c r="D11791"/>
      <c r="G11791"/>
    </row>
    <row r="11792" spans="2:7">
      <c r="B11792"/>
      <c r="C11792"/>
      <c r="D11792"/>
      <c r="G11792"/>
    </row>
    <row r="11793" spans="2:7">
      <c r="B11793"/>
      <c r="C11793"/>
      <c r="D11793"/>
      <c r="G11793"/>
    </row>
    <row r="11794" spans="2:7">
      <c r="B11794"/>
      <c r="C11794"/>
      <c r="D11794"/>
      <c r="G11794"/>
    </row>
    <row r="11795" spans="2:7">
      <c r="B11795"/>
      <c r="C11795"/>
      <c r="D11795"/>
      <c r="G11795"/>
    </row>
    <row r="11796" spans="2:7">
      <c r="B11796"/>
      <c r="C11796"/>
      <c r="D11796"/>
      <c r="G11796"/>
    </row>
    <row r="11797" spans="2:7">
      <c r="B11797"/>
      <c r="C11797"/>
      <c r="D11797"/>
      <c r="G11797"/>
    </row>
    <row r="11798" spans="2:7">
      <c r="B11798"/>
      <c r="C11798"/>
      <c r="D11798"/>
      <c r="G11798"/>
    </row>
    <row r="11799" spans="2:7">
      <c r="B11799"/>
      <c r="C11799"/>
      <c r="D11799"/>
      <c r="G11799"/>
    </row>
    <row r="11800" spans="2:7">
      <c r="B11800"/>
      <c r="C11800"/>
      <c r="D11800"/>
      <c r="G11800"/>
    </row>
    <row r="11801" spans="2:7">
      <c r="B11801"/>
      <c r="C11801"/>
      <c r="D11801"/>
      <c r="G11801"/>
    </row>
    <row r="11802" spans="2:7">
      <c r="B11802"/>
      <c r="C11802"/>
      <c r="D11802"/>
      <c r="G11802"/>
    </row>
    <row r="11803" spans="2:7">
      <c r="B11803"/>
      <c r="C11803"/>
      <c r="D11803"/>
      <c r="G11803"/>
    </row>
    <row r="11804" spans="2:7">
      <c r="B11804"/>
      <c r="C11804"/>
      <c r="D11804"/>
      <c r="G11804"/>
    </row>
    <row r="11805" spans="2:7">
      <c r="B11805"/>
      <c r="C11805"/>
      <c r="D11805"/>
      <c r="G11805"/>
    </row>
    <row r="11806" spans="2:7">
      <c r="B11806"/>
      <c r="C11806"/>
      <c r="D11806"/>
      <c r="G11806"/>
    </row>
    <row r="11807" spans="2:7">
      <c r="B11807"/>
      <c r="C11807"/>
      <c r="D11807"/>
      <c r="G11807"/>
    </row>
    <row r="11808" spans="2:7">
      <c r="B11808"/>
      <c r="C11808"/>
      <c r="D11808"/>
      <c r="G11808"/>
    </row>
    <row r="11809" spans="2:7">
      <c r="B11809"/>
      <c r="C11809"/>
      <c r="D11809"/>
      <c r="G11809"/>
    </row>
    <row r="11810" spans="2:7">
      <c r="B11810"/>
      <c r="C11810"/>
      <c r="D11810"/>
      <c r="G11810"/>
    </row>
    <row r="11811" spans="2:7">
      <c r="B11811"/>
      <c r="C11811"/>
      <c r="D11811"/>
      <c r="G11811"/>
    </row>
    <row r="11812" spans="2:7">
      <c r="B11812"/>
      <c r="C11812"/>
      <c r="D11812"/>
      <c r="G11812"/>
    </row>
    <row r="11813" spans="2:7">
      <c r="B11813"/>
      <c r="C11813"/>
      <c r="D11813"/>
      <c r="G11813"/>
    </row>
    <row r="11814" spans="2:7">
      <c r="B11814"/>
      <c r="C11814"/>
      <c r="D11814"/>
      <c r="G11814"/>
    </row>
    <row r="11815" spans="2:7">
      <c r="B11815"/>
      <c r="C11815"/>
      <c r="D11815"/>
      <c r="G11815"/>
    </row>
    <row r="11816" spans="2:7">
      <c r="B11816"/>
      <c r="C11816"/>
      <c r="D11816"/>
      <c r="G11816"/>
    </row>
    <row r="11817" spans="2:7">
      <c r="B11817"/>
      <c r="C11817"/>
      <c r="D11817"/>
      <c r="G11817"/>
    </row>
    <row r="11818" spans="2:7">
      <c r="B11818"/>
      <c r="C11818"/>
      <c r="D11818"/>
      <c r="G11818"/>
    </row>
    <row r="11819" spans="2:7">
      <c r="B11819"/>
      <c r="C11819"/>
      <c r="D11819"/>
      <c r="G11819"/>
    </row>
    <row r="11820" spans="2:7">
      <c r="B11820"/>
      <c r="C11820"/>
      <c r="D11820"/>
      <c r="G11820"/>
    </row>
    <row r="11821" spans="2:7">
      <c r="B11821"/>
      <c r="C11821"/>
      <c r="D11821"/>
      <c r="G11821"/>
    </row>
    <row r="11822" spans="2:7">
      <c r="B11822"/>
      <c r="C11822"/>
      <c r="D11822"/>
      <c r="G11822"/>
    </row>
    <row r="11823" spans="2:7">
      <c r="B11823"/>
      <c r="C11823"/>
      <c r="D11823"/>
      <c r="G11823"/>
    </row>
    <row r="11824" spans="2:7">
      <c r="B11824"/>
      <c r="C11824"/>
      <c r="D11824"/>
      <c r="G11824"/>
    </row>
    <row r="11825" spans="2:7">
      <c r="B11825"/>
      <c r="C11825"/>
      <c r="D11825"/>
      <c r="G11825"/>
    </row>
    <row r="11826" spans="2:7">
      <c r="B11826"/>
      <c r="C11826"/>
      <c r="D11826"/>
      <c r="G11826"/>
    </row>
    <row r="11827" spans="2:7">
      <c r="B11827"/>
      <c r="C11827"/>
      <c r="D11827"/>
      <c r="G11827"/>
    </row>
    <row r="11828" spans="2:7">
      <c r="B11828"/>
      <c r="C11828"/>
      <c r="D11828"/>
      <c r="G11828"/>
    </row>
    <row r="11829" spans="2:7">
      <c r="B11829"/>
      <c r="C11829"/>
      <c r="D11829"/>
      <c r="G11829"/>
    </row>
    <row r="11830" spans="2:7">
      <c r="B11830"/>
      <c r="C11830"/>
      <c r="D11830"/>
      <c r="G11830"/>
    </row>
    <row r="11831" spans="2:7">
      <c r="B11831"/>
      <c r="C11831"/>
      <c r="D11831"/>
      <c r="G11831"/>
    </row>
    <row r="11832" spans="2:7">
      <c r="B11832"/>
      <c r="C11832"/>
      <c r="D11832"/>
      <c r="G11832"/>
    </row>
    <row r="11833" spans="2:7">
      <c r="B11833"/>
      <c r="C11833"/>
      <c r="D11833"/>
      <c r="G11833"/>
    </row>
    <row r="11834" spans="2:7">
      <c r="B11834"/>
      <c r="C11834"/>
      <c r="D11834"/>
      <c r="G11834"/>
    </row>
    <row r="11835" spans="2:7">
      <c r="B11835"/>
      <c r="C11835"/>
      <c r="D11835"/>
      <c r="G11835"/>
    </row>
    <row r="11836" spans="2:7">
      <c r="B11836"/>
      <c r="C11836"/>
      <c r="D11836"/>
      <c r="G11836"/>
    </row>
    <row r="11837" spans="2:7">
      <c r="B11837"/>
      <c r="C11837"/>
      <c r="D11837"/>
      <c r="G11837"/>
    </row>
    <row r="11838" spans="2:7">
      <c r="B11838"/>
      <c r="C11838"/>
      <c r="D11838"/>
      <c r="G11838"/>
    </row>
    <row r="11839" spans="2:7">
      <c r="B11839"/>
      <c r="C11839"/>
      <c r="D11839"/>
      <c r="G11839"/>
    </row>
    <row r="11840" spans="2:7">
      <c r="B11840"/>
      <c r="C11840"/>
      <c r="D11840"/>
      <c r="G11840"/>
    </row>
    <row r="11841" spans="2:7">
      <c r="B11841"/>
      <c r="C11841"/>
      <c r="D11841"/>
      <c r="G11841"/>
    </row>
    <row r="11842" spans="2:7">
      <c r="B11842"/>
      <c r="C11842"/>
      <c r="D11842"/>
      <c r="G11842"/>
    </row>
    <row r="11843" spans="2:7">
      <c r="B11843"/>
      <c r="C11843"/>
      <c r="D11843"/>
      <c r="G11843"/>
    </row>
    <row r="11844" spans="2:7">
      <c r="B11844"/>
      <c r="C11844"/>
      <c r="D11844"/>
      <c r="G11844"/>
    </row>
    <row r="11845" spans="2:7">
      <c r="B11845"/>
      <c r="C11845"/>
      <c r="D11845"/>
      <c r="G11845"/>
    </row>
    <row r="11846" spans="2:7">
      <c r="B11846"/>
      <c r="C11846"/>
      <c r="D11846"/>
      <c r="G11846"/>
    </row>
    <row r="11847" spans="2:7">
      <c r="B11847"/>
      <c r="C11847"/>
      <c r="D11847"/>
      <c r="G11847"/>
    </row>
    <row r="11848" spans="2:7">
      <c r="B11848"/>
      <c r="C11848"/>
      <c r="D11848"/>
      <c r="G11848"/>
    </row>
    <row r="11849" spans="2:7">
      <c r="B11849"/>
      <c r="C11849"/>
      <c r="D11849"/>
      <c r="G11849"/>
    </row>
    <row r="11850" spans="2:7">
      <c r="B11850"/>
      <c r="C11850"/>
      <c r="D11850"/>
      <c r="G11850"/>
    </row>
    <row r="11851" spans="2:7">
      <c r="B11851"/>
      <c r="C11851"/>
      <c r="D11851"/>
      <c r="G11851"/>
    </row>
    <row r="11852" spans="2:7">
      <c r="B11852"/>
      <c r="C11852"/>
      <c r="D11852"/>
      <c r="G11852"/>
    </row>
    <row r="11853" spans="2:7">
      <c r="B11853"/>
      <c r="C11853"/>
      <c r="D11853"/>
      <c r="G11853"/>
    </row>
    <row r="11854" spans="2:7">
      <c r="B11854"/>
      <c r="C11854"/>
      <c r="D11854"/>
      <c r="G11854"/>
    </row>
    <row r="11855" spans="2:7">
      <c r="B11855"/>
      <c r="C11855"/>
      <c r="D11855"/>
      <c r="G11855"/>
    </row>
    <row r="11856" spans="2:7">
      <c r="B11856"/>
      <c r="C11856"/>
      <c r="D11856"/>
      <c r="G11856"/>
    </row>
    <row r="11857" spans="2:7">
      <c r="B11857"/>
      <c r="C11857"/>
      <c r="D11857"/>
      <c r="G11857"/>
    </row>
    <row r="11858" spans="2:7">
      <c r="B11858"/>
      <c r="C11858"/>
      <c r="D11858"/>
      <c r="G11858"/>
    </row>
    <row r="11859" spans="2:7">
      <c r="B11859"/>
      <c r="C11859"/>
      <c r="D11859"/>
      <c r="G11859"/>
    </row>
    <row r="11860" spans="2:7">
      <c r="B11860"/>
      <c r="C11860"/>
      <c r="D11860"/>
      <c r="G11860"/>
    </row>
    <row r="11861" spans="2:7">
      <c r="B11861"/>
      <c r="C11861"/>
      <c r="D11861"/>
      <c r="G11861"/>
    </row>
    <row r="11862" spans="2:7">
      <c r="B11862"/>
      <c r="C11862"/>
      <c r="D11862"/>
      <c r="G11862"/>
    </row>
    <row r="11863" spans="2:7">
      <c r="B11863"/>
      <c r="C11863"/>
      <c r="D11863"/>
      <c r="G11863"/>
    </row>
    <row r="11864" spans="2:7">
      <c r="B11864"/>
      <c r="C11864"/>
      <c r="D11864"/>
      <c r="G11864"/>
    </row>
    <row r="11865" spans="2:7">
      <c r="B11865"/>
      <c r="C11865"/>
      <c r="D11865"/>
      <c r="G11865"/>
    </row>
    <row r="11866" spans="2:7">
      <c r="B11866"/>
      <c r="C11866"/>
      <c r="D11866"/>
      <c r="G11866"/>
    </row>
    <row r="11867" spans="2:7">
      <c r="B11867"/>
      <c r="C11867"/>
      <c r="D11867"/>
      <c r="G11867"/>
    </row>
    <row r="11868" spans="2:7">
      <c r="B11868"/>
      <c r="C11868"/>
      <c r="D11868"/>
      <c r="G11868"/>
    </row>
    <row r="11869" spans="2:7">
      <c r="B11869"/>
      <c r="C11869"/>
      <c r="D11869"/>
      <c r="G11869"/>
    </row>
    <row r="11870" spans="2:7">
      <c r="B11870"/>
      <c r="C11870"/>
      <c r="D11870"/>
      <c r="G11870"/>
    </row>
    <row r="11871" spans="2:7">
      <c r="B11871"/>
      <c r="C11871"/>
      <c r="D11871"/>
      <c r="G11871"/>
    </row>
    <row r="11872" spans="2:7">
      <c r="B11872"/>
      <c r="C11872"/>
      <c r="D11872"/>
      <c r="G11872"/>
    </row>
    <row r="11873" spans="2:7">
      <c r="B11873"/>
      <c r="C11873"/>
      <c r="D11873"/>
      <c r="G11873"/>
    </row>
    <row r="11874" spans="2:7">
      <c r="B11874"/>
      <c r="C11874"/>
      <c r="D11874"/>
      <c r="G11874"/>
    </row>
    <row r="11875" spans="2:7">
      <c r="B11875"/>
      <c r="C11875"/>
      <c r="D11875"/>
      <c r="G11875"/>
    </row>
    <row r="11876" spans="2:7">
      <c r="B11876"/>
      <c r="C11876"/>
      <c r="D11876"/>
      <c r="G11876"/>
    </row>
    <row r="11877" spans="2:7">
      <c r="B11877"/>
      <c r="C11877"/>
      <c r="D11877"/>
      <c r="G11877"/>
    </row>
    <row r="11878" spans="2:7">
      <c r="B11878"/>
      <c r="C11878"/>
      <c r="D11878"/>
      <c r="G11878"/>
    </row>
    <row r="11879" spans="2:7">
      <c r="B11879"/>
      <c r="C11879"/>
      <c r="D11879"/>
      <c r="G11879"/>
    </row>
    <row r="11880" spans="2:7">
      <c r="B11880"/>
      <c r="C11880"/>
      <c r="D11880"/>
      <c r="G11880"/>
    </row>
    <row r="11881" spans="2:7">
      <c r="B11881"/>
      <c r="C11881"/>
      <c r="D11881"/>
      <c r="G11881"/>
    </row>
    <row r="11882" spans="2:7">
      <c r="B11882"/>
      <c r="C11882"/>
      <c r="D11882"/>
      <c r="G11882"/>
    </row>
    <row r="11883" spans="2:7">
      <c r="B11883"/>
      <c r="C11883"/>
      <c r="D11883"/>
      <c r="G11883"/>
    </row>
    <row r="11884" spans="2:7">
      <c r="B11884"/>
      <c r="C11884"/>
      <c r="D11884"/>
      <c r="G11884"/>
    </row>
    <row r="11885" spans="2:7">
      <c r="B11885"/>
      <c r="C11885"/>
      <c r="D11885"/>
      <c r="G11885"/>
    </row>
    <row r="11886" spans="2:7">
      <c r="B11886"/>
      <c r="C11886"/>
      <c r="D11886"/>
      <c r="G11886"/>
    </row>
    <row r="11887" spans="2:7">
      <c r="B11887"/>
      <c r="C11887"/>
      <c r="D11887"/>
      <c r="G11887"/>
    </row>
    <row r="11888" spans="2:7">
      <c r="B11888"/>
      <c r="C11888"/>
      <c r="D11888"/>
      <c r="G11888"/>
    </row>
    <row r="11889" spans="2:7">
      <c r="B11889"/>
      <c r="C11889"/>
      <c r="D11889"/>
      <c r="G11889"/>
    </row>
    <row r="11890" spans="2:7">
      <c r="B11890"/>
      <c r="C11890"/>
      <c r="D11890"/>
      <c r="G11890"/>
    </row>
    <row r="11891" spans="2:7">
      <c r="B11891"/>
      <c r="C11891"/>
      <c r="D11891"/>
      <c r="G11891"/>
    </row>
    <row r="11892" spans="2:7">
      <c r="B11892"/>
      <c r="C11892"/>
      <c r="D11892"/>
      <c r="G11892"/>
    </row>
    <row r="11893" spans="2:7">
      <c r="B11893"/>
      <c r="C11893"/>
      <c r="D11893"/>
      <c r="G11893"/>
    </row>
    <row r="11894" spans="2:7">
      <c r="B11894"/>
      <c r="C11894"/>
      <c r="D11894"/>
      <c r="G11894"/>
    </row>
    <row r="11895" spans="2:7">
      <c r="B11895"/>
      <c r="C11895"/>
      <c r="D11895"/>
      <c r="G11895"/>
    </row>
    <row r="11896" spans="2:7">
      <c r="B11896"/>
      <c r="C11896"/>
      <c r="D11896"/>
      <c r="G11896"/>
    </row>
    <row r="11897" spans="2:7">
      <c r="B11897"/>
      <c r="C11897"/>
      <c r="D11897"/>
      <c r="G11897"/>
    </row>
    <row r="11898" spans="2:7">
      <c r="B11898"/>
      <c r="C11898"/>
      <c r="D11898"/>
      <c r="G11898"/>
    </row>
    <row r="11899" spans="2:7">
      <c r="B11899"/>
      <c r="C11899"/>
      <c r="D11899"/>
      <c r="G11899"/>
    </row>
    <row r="11900" spans="2:7">
      <c r="B11900"/>
      <c r="C11900"/>
      <c r="D11900"/>
      <c r="G11900"/>
    </row>
    <row r="11901" spans="2:7">
      <c r="B11901"/>
      <c r="C11901"/>
      <c r="D11901"/>
      <c r="G11901"/>
    </row>
    <row r="11902" spans="2:7">
      <c r="B11902"/>
      <c r="C11902"/>
      <c r="D11902"/>
      <c r="G11902"/>
    </row>
    <row r="11903" spans="2:7">
      <c r="B11903"/>
      <c r="C11903"/>
      <c r="D11903"/>
      <c r="G11903"/>
    </row>
    <row r="11904" spans="2:7">
      <c r="B11904"/>
      <c r="C11904"/>
      <c r="D11904"/>
      <c r="G11904"/>
    </row>
    <row r="11905" spans="2:7">
      <c r="B11905"/>
      <c r="C11905"/>
      <c r="D11905"/>
      <c r="G11905"/>
    </row>
    <row r="11906" spans="2:7">
      <c r="B11906"/>
      <c r="C11906"/>
      <c r="D11906"/>
      <c r="G11906"/>
    </row>
    <row r="11907" spans="2:7">
      <c r="B11907"/>
      <c r="C11907"/>
      <c r="D11907"/>
      <c r="G11907"/>
    </row>
    <row r="11908" spans="2:7">
      <c r="B11908"/>
      <c r="C11908"/>
      <c r="D11908"/>
      <c r="G11908"/>
    </row>
    <row r="11909" spans="2:7">
      <c r="B11909"/>
      <c r="C11909"/>
      <c r="D11909"/>
      <c r="G11909"/>
    </row>
    <row r="11910" spans="2:7">
      <c r="B11910"/>
      <c r="C11910"/>
      <c r="D11910"/>
      <c r="G11910"/>
    </row>
    <row r="11911" spans="2:7">
      <c r="B11911"/>
      <c r="C11911"/>
      <c r="D11911"/>
      <c r="G11911"/>
    </row>
    <row r="11912" spans="2:7">
      <c r="B11912"/>
      <c r="C11912"/>
      <c r="D11912"/>
      <c r="G11912"/>
    </row>
    <row r="11913" spans="2:7">
      <c r="B11913"/>
      <c r="C11913"/>
      <c r="D11913"/>
      <c r="G11913"/>
    </row>
    <row r="11914" spans="2:7">
      <c r="B11914"/>
      <c r="C11914"/>
      <c r="D11914"/>
      <c r="G11914"/>
    </row>
    <row r="11915" spans="2:7">
      <c r="B11915"/>
      <c r="C11915"/>
      <c r="D11915"/>
      <c r="G11915"/>
    </row>
    <row r="11916" spans="2:7">
      <c r="B11916"/>
      <c r="C11916"/>
      <c r="D11916"/>
      <c r="G11916"/>
    </row>
    <row r="11917" spans="2:7">
      <c r="B11917"/>
      <c r="C11917"/>
      <c r="D11917"/>
      <c r="G11917"/>
    </row>
    <row r="11918" spans="2:7">
      <c r="B11918"/>
      <c r="C11918"/>
      <c r="D11918"/>
      <c r="G11918"/>
    </row>
    <row r="11919" spans="2:7">
      <c r="B11919"/>
      <c r="C11919"/>
      <c r="D11919"/>
      <c r="G11919"/>
    </row>
    <row r="11920" spans="2:7">
      <c r="B11920"/>
      <c r="C11920"/>
      <c r="D11920"/>
      <c r="G11920"/>
    </row>
    <row r="11921" spans="2:7">
      <c r="B11921"/>
      <c r="C11921"/>
      <c r="D11921"/>
      <c r="G11921"/>
    </row>
    <row r="11922" spans="2:7">
      <c r="B11922"/>
      <c r="C11922"/>
      <c r="D11922"/>
      <c r="G11922"/>
    </row>
    <row r="11923" spans="2:7">
      <c r="B11923"/>
      <c r="C11923"/>
      <c r="D11923"/>
      <c r="G11923"/>
    </row>
    <row r="11924" spans="2:7">
      <c r="B11924"/>
      <c r="C11924"/>
      <c r="D11924"/>
      <c r="G11924"/>
    </row>
    <row r="11925" spans="2:7">
      <c r="B11925"/>
      <c r="C11925"/>
      <c r="D11925"/>
      <c r="G11925"/>
    </row>
    <row r="11926" spans="2:7">
      <c r="B11926"/>
      <c r="C11926"/>
      <c r="D11926"/>
      <c r="G11926"/>
    </row>
    <row r="11927" spans="2:7">
      <c r="B11927"/>
      <c r="C11927"/>
      <c r="D11927"/>
      <c r="G11927"/>
    </row>
    <row r="11928" spans="2:7">
      <c r="B11928"/>
      <c r="C11928"/>
      <c r="D11928"/>
      <c r="G11928"/>
    </row>
    <row r="11929" spans="2:7">
      <c r="B11929"/>
      <c r="C11929"/>
      <c r="D11929"/>
      <c r="G11929"/>
    </row>
    <row r="11930" spans="2:7">
      <c r="B11930"/>
      <c r="C11930"/>
      <c r="D11930"/>
      <c r="G11930"/>
    </row>
    <row r="11931" spans="2:7">
      <c r="B11931"/>
      <c r="C11931"/>
      <c r="D11931"/>
      <c r="G11931"/>
    </row>
    <row r="11932" spans="2:7">
      <c r="B11932"/>
      <c r="C11932"/>
      <c r="D11932"/>
      <c r="G11932"/>
    </row>
    <row r="11933" spans="2:7">
      <c r="B11933"/>
      <c r="C11933"/>
      <c r="D11933"/>
      <c r="G11933"/>
    </row>
    <row r="11934" spans="2:7">
      <c r="B11934"/>
      <c r="C11934"/>
      <c r="D11934"/>
      <c r="G11934"/>
    </row>
    <row r="11935" spans="2:7">
      <c r="B11935"/>
      <c r="C11935"/>
      <c r="D11935"/>
      <c r="G11935"/>
    </row>
    <row r="11936" spans="2:7">
      <c r="B11936"/>
      <c r="C11936"/>
      <c r="D11936"/>
      <c r="G11936"/>
    </row>
    <row r="11937" spans="2:7">
      <c r="B11937"/>
      <c r="C11937"/>
      <c r="D11937"/>
      <c r="G11937"/>
    </row>
    <row r="11938" spans="2:7">
      <c r="B11938"/>
      <c r="C11938"/>
      <c r="D11938"/>
      <c r="G11938"/>
    </row>
    <row r="11939" spans="2:7">
      <c r="B11939"/>
      <c r="C11939"/>
      <c r="D11939"/>
      <c r="G11939"/>
    </row>
    <row r="11940" spans="2:7">
      <c r="B11940"/>
      <c r="C11940"/>
      <c r="D11940"/>
      <c r="G11940"/>
    </row>
    <row r="11941" spans="2:7">
      <c r="B11941"/>
      <c r="C11941"/>
      <c r="D11941"/>
      <c r="G11941"/>
    </row>
    <row r="11942" spans="2:7">
      <c r="B11942"/>
      <c r="C11942"/>
      <c r="D11942"/>
      <c r="G11942"/>
    </row>
    <row r="11943" spans="2:7">
      <c r="B11943"/>
      <c r="C11943"/>
      <c r="D11943"/>
      <c r="G11943"/>
    </row>
    <row r="11944" spans="2:7">
      <c r="B11944"/>
      <c r="C11944"/>
      <c r="D11944"/>
      <c r="G11944"/>
    </row>
    <row r="11945" spans="2:7">
      <c r="B11945"/>
      <c r="C11945"/>
      <c r="D11945"/>
      <c r="G11945"/>
    </row>
    <row r="11946" spans="2:7">
      <c r="B11946"/>
      <c r="C11946"/>
      <c r="D11946"/>
      <c r="G11946"/>
    </row>
    <row r="11947" spans="2:7">
      <c r="B11947"/>
      <c r="C11947"/>
      <c r="D11947"/>
      <c r="G11947"/>
    </row>
    <row r="11948" spans="2:7">
      <c r="B11948"/>
      <c r="C11948"/>
      <c r="D11948"/>
      <c r="G11948"/>
    </row>
    <row r="11949" spans="2:7">
      <c r="B11949"/>
      <c r="C11949"/>
      <c r="D11949"/>
      <c r="G11949"/>
    </row>
    <row r="11950" spans="2:7">
      <c r="B11950"/>
      <c r="C11950"/>
      <c r="D11950"/>
      <c r="G11950"/>
    </row>
    <row r="11951" spans="2:7">
      <c r="B11951"/>
      <c r="C11951"/>
      <c r="D11951"/>
      <c r="G11951"/>
    </row>
    <row r="11952" spans="2:7">
      <c r="B11952"/>
      <c r="C11952"/>
      <c r="D11952"/>
      <c r="G11952"/>
    </row>
    <row r="11953" spans="2:7">
      <c r="B11953"/>
      <c r="C11953"/>
      <c r="D11953"/>
      <c r="G11953"/>
    </row>
    <row r="11954" spans="2:7">
      <c r="B11954"/>
      <c r="C11954"/>
      <c r="D11954"/>
      <c r="G11954"/>
    </row>
    <row r="11955" spans="2:7">
      <c r="B11955"/>
      <c r="C11955"/>
      <c r="D11955"/>
      <c r="G11955"/>
    </row>
    <row r="11956" spans="2:7">
      <c r="B11956"/>
      <c r="C11956"/>
      <c r="D11956"/>
      <c r="G11956"/>
    </row>
    <row r="11957" spans="2:7">
      <c r="B11957"/>
      <c r="C11957"/>
      <c r="D11957"/>
      <c r="G11957"/>
    </row>
    <row r="11958" spans="2:7">
      <c r="B11958"/>
      <c r="C11958"/>
      <c r="D11958"/>
      <c r="G11958"/>
    </row>
    <row r="11959" spans="2:7">
      <c r="B11959"/>
      <c r="C11959"/>
      <c r="D11959"/>
      <c r="G11959"/>
    </row>
    <row r="11960" spans="2:7">
      <c r="B11960"/>
      <c r="C11960"/>
      <c r="D11960"/>
      <c r="G11960"/>
    </row>
    <row r="11961" spans="2:7">
      <c r="B11961"/>
      <c r="C11961"/>
      <c r="D11961"/>
      <c r="G11961"/>
    </row>
    <row r="11962" spans="2:7">
      <c r="B11962"/>
      <c r="C11962"/>
      <c r="D11962"/>
      <c r="G11962"/>
    </row>
    <row r="11963" spans="2:7">
      <c r="B11963"/>
      <c r="C11963"/>
      <c r="D11963"/>
      <c r="G11963"/>
    </row>
    <row r="11964" spans="2:7">
      <c r="B11964"/>
      <c r="C11964"/>
      <c r="D11964"/>
      <c r="G11964"/>
    </row>
    <row r="11965" spans="2:7">
      <c r="B11965"/>
      <c r="C11965"/>
      <c r="D11965"/>
      <c r="G11965"/>
    </row>
    <row r="11966" spans="2:7">
      <c r="B11966"/>
      <c r="C11966"/>
      <c r="D11966"/>
      <c r="G11966"/>
    </row>
    <row r="11967" spans="2:7">
      <c r="B11967"/>
      <c r="C11967"/>
      <c r="D11967"/>
      <c r="G11967"/>
    </row>
    <row r="11968" spans="2:7">
      <c r="B11968"/>
      <c r="C11968"/>
      <c r="D11968"/>
      <c r="G11968"/>
    </row>
    <row r="11969" spans="2:7">
      <c r="B11969"/>
      <c r="C11969"/>
      <c r="D11969"/>
      <c r="G11969"/>
    </row>
    <row r="11970" spans="2:7">
      <c r="B11970"/>
      <c r="C11970"/>
      <c r="D11970"/>
      <c r="G11970"/>
    </row>
    <row r="11971" spans="2:7">
      <c r="B11971"/>
      <c r="C11971"/>
      <c r="D11971"/>
      <c r="G11971"/>
    </row>
    <row r="11972" spans="2:7">
      <c r="B11972"/>
      <c r="C11972"/>
      <c r="D11972"/>
      <c r="G11972"/>
    </row>
    <row r="11973" spans="2:7">
      <c r="B11973"/>
      <c r="C11973"/>
      <c r="D11973"/>
      <c r="G11973"/>
    </row>
    <row r="11974" spans="2:7">
      <c r="B11974"/>
      <c r="C11974"/>
      <c r="D11974"/>
      <c r="G11974"/>
    </row>
    <row r="11975" spans="2:7">
      <c r="B11975"/>
      <c r="C11975"/>
      <c r="D11975"/>
      <c r="G11975"/>
    </row>
    <row r="11976" spans="2:7">
      <c r="B11976"/>
      <c r="C11976"/>
      <c r="D11976"/>
      <c r="G11976"/>
    </row>
    <row r="11977" spans="2:7">
      <c r="B11977"/>
      <c r="C11977"/>
      <c r="D11977"/>
      <c r="G11977"/>
    </row>
    <row r="11978" spans="2:7">
      <c r="B11978"/>
      <c r="C11978"/>
      <c r="D11978"/>
      <c r="G11978"/>
    </row>
    <row r="11979" spans="2:7">
      <c r="B11979"/>
      <c r="C11979"/>
      <c r="D11979"/>
      <c r="G11979"/>
    </row>
    <row r="11980" spans="2:7">
      <c r="B11980"/>
      <c r="C11980"/>
      <c r="D11980"/>
      <c r="G11980"/>
    </row>
    <row r="11981" spans="2:7">
      <c r="B11981"/>
      <c r="C11981"/>
      <c r="D11981"/>
      <c r="G11981"/>
    </row>
    <row r="11982" spans="2:7">
      <c r="B11982"/>
      <c r="C11982"/>
      <c r="D11982"/>
      <c r="G11982"/>
    </row>
    <row r="11983" spans="2:7">
      <c r="B11983"/>
      <c r="C11983"/>
      <c r="D11983"/>
      <c r="G11983"/>
    </row>
    <row r="11984" spans="2:7">
      <c r="B11984"/>
      <c r="C11984"/>
      <c r="D11984"/>
      <c r="G11984"/>
    </row>
    <row r="11985" spans="2:7">
      <c r="B11985"/>
      <c r="C11985"/>
      <c r="D11985"/>
      <c r="G11985"/>
    </row>
    <row r="11986" spans="2:7">
      <c r="B11986"/>
      <c r="C11986"/>
      <c r="D11986"/>
      <c r="G11986"/>
    </row>
    <row r="11987" spans="2:7">
      <c r="B11987"/>
      <c r="C11987"/>
      <c r="D11987"/>
      <c r="G11987"/>
    </row>
    <row r="11988" spans="2:7">
      <c r="B11988"/>
      <c r="C11988"/>
      <c r="D11988"/>
      <c r="G11988"/>
    </row>
    <row r="11989" spans="2:7">
      <c r="B11989"/>
      <c r="C11989"/>
      <c r="D11989"/>
      <c r="G11989"/>
    </row>
    <row r="11990" spans="2:7">
      <c r="B11990"/>
      <c r="C11990"/>
      <c r="D11990"/>
      <c r="G11990"/>
    </row>
    <row r="11991" spans="2:7">
      <c r="B11991"/>
      <c r="C11991"/>
      <c r="D11991"/>
      <c r="G11991"/>
    </row>
    <row r="11992" spans="2:7">
      <c r="B11992"/>
      <c r="C11992"/>
      <c r="D11992"/>
      <c r="G11992"/>
    </row>
    <row r="11993" spans="2:7">
      <c r="B11993"/>
      <c r="C11993"/>
      <c r="D11993"/>
      <c r="G11993"/>
    </row>
    <row r="11994" spans="2:7">
      <c r="B11994"/>
      <c r="C11994"/>
      <c r="D11994"/>
      <c r="G11994"/>
    </row>
    <row r="11995" spans="2:7">
      <c r="B11995"/>
      <c r="C11995"/>
      <c r="D11995"/>
      <c r="G11995"/>
    </row>
    <row r="11996" spans="2:7">
      <c r="B11996"/>
      <c r="C11996"/>
      <c r="D11996"/>
      <c r="G11996"/>
    </row>
    <row r="11997" spans="2:7">
      <c r="B11997"/>
      <c r="C11997"/>
      <c r="D11997"/>
      <c r="G11997"/>
    </row>
    <row r="11998" spans="2:7">
      <c r="B11998"/>
      <c r="C11998"/>
      <c r="D11998"/>
      <c r="G11998"/>
    </row>
    <row r="11999" spans="2:7">
      <c r="B11999"/>
      <c r="C11999"/>
      <c r="D11999"/>
      <c r="G11999"/>
    </row>
    <row r="12000" spans="2:7">
      <c r="B12000"/>
      <c r="C12000"/>
      <c r="D12000"/>
      <c r="G12000"/>
    </row>
    <row r="12001" spans="2:7">
      <c r="B12001"/>
      <c r="C12001"/>
      <c r="D12001"/>
      <c r="G12001"/>
    </row>
    <row r="12002" spans="2:7">
      <c r="B12002"/>
      <c r="C12002"/>
      <c r="D12002"/>
      <c r="G12002"/>
    </row>
    <row r="12003" spans="2:7">
      <c r="B12003"/>
      <c r="C12003"/>
      <c r="D12003"/>
      <c r="G12003"/>
    </row>
    <row r="12004" spans="2:7">
      <c r="B12004"/>
      <c r="C12004"/>
      <c r="D12004"/>
      <c r="G12004"/>
    </row>
    <row r="12005" spans="2:7">
      <c r="B12005"/>
      <c r="C12005"/>
      <c r="D12005"/>
      <c r="G12005"/>
    </row>
    <row r="12006" spans="2:7">
      <c r="B12006"/>
      <c r="C12006"/>
      <c r="D12006"/>
      <c r="G12006"/>
    </row>
    <row r="12007" spans="2:7">
      <c r="B12007"/>
      <c r="C12007"/>
      <c r="D12007"/>
      <c r="G12007"/>
    </row>
    <row r="12008" spans="2:7">
      <c r="B12008"/>
      <c r="C12008"/>
      <c r="D12008"/>
      <c r="G12008"/>
    </row>
    <row r="12009" spans="2:7">
      <c r="B12009"/>
      <c r="C12009"/>
      <c r="D12009"/>
      <c r="G12009"/>
    </row>
    <row r="12010" spans="2:7">
      <c r="B12010"/>
      <c r="C12010"/>
      <c r="D12010"/>
      <c r="G12010"/>
    </row>
    <row r="12011" spans="2:7">
      <c r="B12011"/>
      <c r="C12011"/>
      <c r="D12011"/>
      <c r="G12011"/>
    </row>
    <row r="12012" spans="2:7">
      <c r="B12012"/>
      <c r="C12012"/>
      <c r="D12012"/>
      <c r="G12012"/>
    </row>
    <row r="12013" spans="2:7">
      <c r="B12013"/>
      <c r="C12013"/>
      <c r="D12013"/>
      <c r="G12013"/>
    </row>
    <row r="12014" spans="2:7">
      <c r="B12014"/>
      <c r="C12014"/>
      <c r="D12014"/>
      <c r="G12014"/>
    </row>
    <row r="12015" spans="2:7">
      <c r="B12015"/>
      <c r="C12015"/>
      <c r="D12015"/>
      <c r="G12015"/>
    </row>
    <row r="12016" spans="2:7">
      <c r="B12016"/>
      <c r="C12016"/>
      <c r="D12016"/>
      <c r="G12016"/>
    </row>
    <row r="12017" spans="2:7">
      <c r="B12017"/>
      <c r="C12017"/>
      <c r="D12017"/>
      <c r="G12017"/>
    </row>
    <row r="12018" spans="2:7">
      <c r="B12018"/>
      <c r="C12018"/>
      <c r="D12018"/>
      <c r="G12018"/>
    </row>
    <row r="12019" spans="2:7">
      <c r="B12019"/>
      <c r="C12019"/>
      <c r="D12019"/>
      <c r="G12019"/>
    </row>
    <row r="12020" spans="2:7">
      <c r="B12020"/>
      <c r="C12020"/>
      <c r="D12020"/>
      <c r="G12020"/>
    </row>
    <row r="12021" spans="2:7">
      <c r="B12021"/>
      <c r="C12021"/>
      <c r="D12021"/>
      <c r="G12021"/>
    </row>
    <row r="12022" spans="2:7">
      <c r="B12022"/>
      <c r="C12022"/>
      <c r="D12022"/>
      <c r="G12022"/>
    </row>
    <row r="12023" spans="2:7">
      <c r="B12023"/>
      <c r="C12023"/>
      <c r="D12023"/>
      <c r="G12023"/>
    </row>
    <row r="12024" spans="2:7">
      <c r="B12024"/>
      <c r="C12024"/>
      <c r="D12024"/>
      <c r="G12024"/>
    </row>
    <row r="12025" spans="2:7">
      <c r="B12025"/>
      <c r="C12025"/>
      <c r="D12025"/>
      <c r="G12025"/>
    </row>
    <row r="12026" spans="2:7">
      <c r="B12026"/>
      <c r="C12026"/>
      <c r="D12026"/>
      <c r="G12026"/>
    </row>
    <row r="12027" spans="2:7">
      <c r="B12027"/>
      <c r="C12027"/>
      <c r="D12027"/>
      <c r="G12027"/>
    </row>
    <row r="12028" spans="2:7">
      <c r="B12028"/>
      <c r="C12028"/>
      <c r="D12028"/>
      <c r="G12028"/>
    </row>
    <row r="12029" spans="2:7">
      <c r="B12029"/>
      <c r="C12029"/>
      <c r="D12029"/>
      <c r="G12029"/>
    </row>
    <row r="12030" spans="2:7">
      <c r="B12030"/>
      <c r="C12030"/>
      <c r="D12030"/>
      <c r="G12030"/>
    </row>
    <row r="12031" spans="2:7">
      <c r="B12031"/>
      <c r="C12031"/>
      <c r="D12031"/>
      <c r="G12031"/>
    </row>
    <row r="12032" spans="2:7">
      <c r="B12032"/>
      <c r="C12032"/>
      <c r="D12032"/>
      <c r="G12032"/>
    </row>
    <row r="12033" spans="2:7">
      <c r="B12033"/>
      <c r="C12033"/>
      <c r="D12033"/>
      <c r="G12033"/>
    </row>
    <row r="12034" spans="2:7">
      <c r="B12034"/>
      <c r="C12034"/>
      <c r="D12034"/>
      <c r="G12034"/>
    </row>
    <row r="12035" spans="2:7">
      <c r="B12035"/>
      <c r="C12035"/>
      <c r="D12035"/>
      <c r="G12035"/>
    </row>
    <row r="12036" spans="2:7">
      <c r="B12036"/>
      <c r="C12036"/>
      <c r="D12036"/>
      <c r="G12036"/>
    </row>
    <row r="12037" spans="2:7">
      <c r="B12037"/>
      <c r="C12037"/>
      <c r="D12037"/>
      <c r="G12037"/>
    </row>
    <row r="12038" spans="2:7">
      <c r="B12038"/>
      <c r="C12038"/>
      <c r="D12038"/>
      <c r="G12038"/>
    </row>
    <row r="12039" spans="2:7">
      <c r="B12039"/>
      <c r="C12039"/>
      <c r="D12039"/>
      <c r="G12039"/>
    </row>
    <row r="12040" spans="2:7">
      <c r="B12040"/>
      <c r="C12040"/>
      <c r="D12040"/>
      <c r="G12040"/>
    </row>
    <row r="12041" spans="2:7">
      <c r="B12041"/>
      <c r="C12041"/>
      <c r="D12041"/>
      <c r="G12041"/>
    </row>
    <row r="12042" spans="2:7">
      <c r="B12042"/>
      <c r="C12042"/>
      <c r="D12042"/>
      <c r="G12042"/>
    </row>
    <row r="12043" spans="2:7">
      <c r="B12043"/>
      <c r="C12043"/>
      <c r="D12043"/>
      <c r="G12043"/>
    </row>
    <row r="12044" spans="2:7">
      <c r="B12044"/>
      <c r="C12044"/>
      <c r="D12044"/>
      <c r="G12044"/>
    </row>
    <row r="12045" spans="2:7">
      <c r="B12045"/>
      <c r="C12045"/>
      <c r="D12045"/>
      <c r="G12045"/>
    </row>
    <row r="12046" spans="2:7">
      <c r="B12046"/>
      <c r="C12046"/>
      <c r="D12046"/>
      <c r="G12046"/>
    </row>
    <row r="12047" spans="2:7">
      <c r="B12047"/>
      <c r="C12047"/>
      <c r="D12047"/>
      <c r="G12047"/>
    </row>
    <row r="12048" spans="2:7">
      <c r="B12048"/>
      <c r="C12048"/>
      <c r="D12048"/>
      <c r="G12048"/>
    </row>
    <row r="12049" spans="2:7">
      <c r="B12049"/>
      <c r="C12049"/>
      <c r="D12049"/>
      <c r="G12049"/>
    </row>
    <row r="12050" spans="2:7">
      <c r="B12050"/>
      <c r="C12050"/>
      <c r="D12050"/>
      <c r="G12050"/>
    </row>
    <row r="12051" spans="2:7">
      <c r="B12051"/>
      <c r="C12051"/>
      <c r="D12051"/>
      <c r="G12051"/>
    </row>
    <row r="12052" spans="2:7">
      <c r="B12052"/>
      <c r="C12052"/>
      <c r="D12052"/>
      <c r="G12052"/>
    </row>
    <row r="12053" spans="2:7">
      <c r="B12053"/>
      <c r="C12053"/>
      <c r="D12053"/>
      <c r="G12053"/>
    </row>
    <row r="12054" spans="2:7">
      <c r="B12054"/>
      <c r="C12054"/>
      <c r="D12054"/>
      <c r="G12054"/>
    </row>
    <row r="12055" spans="2:7">
      <c r="B12055"/>
      <c r="C12055"/>
      <c r="D12055"/>
      <c r="G12055"/>
    </row>
    <row r="12056" spans="2:7">
      <c r="B12056"/>
      <c r="C12056"/>
      <c r="D12056"/>
      <c r="G12056"/>
    </row>
    <row r="12057" spans="2:7">
      <c r="B12057"/>
      <c r="C12057"/>
      <c r="D12057"/>
      <c r="G12057"/>
    </row>
    <row r="12058" spans="2:7">
      <c r="B12058"/>
      <c r="C12058"/>
      <c r="D12058"/>
      <c r="G12058"/>
    </row>
    <row r="12059" spans="2:7">
      <c r="B12059"/>
      <c r="C12059"/>
      <c r="D12059"/>
      <c r="G12059"/>
    </row>
    <row r="12060" spans="2:7">
      <c r="B12060"/>
      <c r="C12060"/>
      <c r="D12060"/>
      <c r="G12060"/>
    </row>
    <row r="12061" spans="2:7">
      <c r="B12061"/>
      <c r="C12061"/>
      <c r="D12061"/>
      <c r="G12061"/>
    </row>
    <row r="12062" spans="2:7">
      <c r="B12062"/>
      <c r="C12062"/>
      <c r="D12062"/>
      <c r="G12062"/>
    </row>
    <row r="12063" spans="2:7">
      <c r="B12063"/>
      <c r="C12063"/>
      <c r="D12063"/>
      <c r="G12063"/>
    </row>
    <row r="12064" spans="2:7">
      <c r="B12064"/>
      <c r="C12064"/>
      <c r="D12064"/>
      <c r="G12064"/>
    </row>
    <row r="12065" spans="2:7">
      <c r="B12065"/>
      <c r="C12065"/>
      <c r="D12065"/>
      <c r="G12065"/>
    </row>
    <row r="12066" spans="2:7">
      <c r="B12066"/>
      <c r="C12066"/>
      <c r="D12066"/>
      <c r="G12066"/>
    </row>
    <row r="12067" spans="2:7">
      <c r="B12067"/>
      <c r="C12067"/>
      <c r="D12067"/>
      <c r="G12067"/>
    </row>
    <row r="12068" spans="2:7">
      <c r="B12068"/>
      <c r="C12068"/>
      <c r="D12068"/>
      <c r="G12068"/>
    </row>
    <row r="12069" spans="2:7">
      <c r="B12069"/>
      <c r="C12069"/>
      <c r="D12069"/>
      <c r="G12069"/>
    </row>
    <row r="12070" spans="2:7">
      <c r="B12070"/>
      <c r="C12070"/>
      <c r="D12070"/>
      <c r="G12070"/>
    </row>
    <row r="12071" spans="2:7">
      <c r="B12071"/>
      <c r="C12071"/>
      <c r="D12071"/>
      <c r="G12071"/>
    </row>
    <row r="12072" spans="2:7">
      <c r="B12072"/>
      <c r="C12072"/>
      <c r="D12072"/>
      <c r="G12072"/>
    </row>
    <row r="12073" spans="2:7">
      <c r="B12073"/>
      <c r="C12073"/>
      <c r="D12073"/>
      <c r="G12073"/>
    </row>
    <row r="12074" spans="2:7">
      <c r="B12074"/>
      <c r="C12074"/>
      <c r="D12074"/>
      <c r="G12074"/>
    </row>
    <row r="12075" spans="2:7">
      <c r="B12075"/>
      <c r="C12075"/>
      <c r="D12075"/>
      <c r="G12075"/>
    </row>
    <row r="12076" spans="2:7">
      <c r="B12076"/>
      <c r="C12076"/>
      <c r="D12076"/>
      <c r="G12076"/>
    </row>
    <row r="12077" spans="2:7">
      <c r="B12077"/>
      <c r="C12077"/>
      <c r="D12077"/>
      <c r="G12077"/>
    </row>
    <row r="12078" spans="2:7">
      <c r="B12078"/>
      <c r="C12078"/>
      <c r="D12078"/>
      <c r="G12078"/>
    </row>
    <row r="12079" spans="2:7">
      <c r="B12079"/>
      <c r="C12079"/>
      <c r="D12079"/>
      <c r="G12079"/>
    </row>
    <row r="12080" spans="2:7">
      <c r="B12080"/>
      <c r="C12080"/>
      <c r="D12080"/>
      <c r="G12080"/>
    </row>
    <row r="12081" spans="2:7">
      <c r="B12081"/>
      <c r="C12081"/>
      <c r="D12081"/>
      <c r="G12081"/>
    </row>
    <row r="12082" spans="2:7">
      <c r="B12082"/>
      <c r="C12082"/>
      <c r="D12082"/>
      <c r="G12082"/>
    </row>
    <row r="12083" spans="2:7">
      <c r="B12083"/>
      <c r="C12083"/>
      <c r="D12083"/>
      <c r="G12083"/>
    </row>
    <row r="12084" spans="2:7">
      <c r="B12084"/>
      <c r="C12084"/>
      <c r="D12084"/>
      <c r="G12084"/>
    </row>
    <row r="12085" spans="2:7">
      <c r="B12085"/>
      <c r="C12085"/>
      <c r="D12085"/>
      <c r="G12085"/>
    </row>
    <row r="12086" spans="2:7">
      <c r="B12086"/>
      <c r="C12086"/>
      <c r="D12086"/>
      <c r="G12086"/>
    </row>
    <row r="12087" spans="2:7">
      <c r="B12087"/>
      <c r="C12087"/>
      <c r="D12087"/>
      <c r="G12087"/>
    </row>
    <row r="12088" spans="2:7">
      <c r="B12088"/>
      <c r="C12088"/>
      <c r="D12088"/>
      <c r="G12088"/>
    </row>
    <row r="12089" spans="2:7">
      <c r="B12089"/>
      <c r="C12089"/>
      <c r="D12089"/>
      <c r="G12089"/>
    </row>
    <row r="12090" spans="2:7">
      <c r="B12090"/>
      <c r="C12090"/>
      <c r="D12090"/>
      <c r="G12090"/>
    </row>
    <row r="12091" spans="2:7">
      <c r="B12091"/>
      <c r="C12091"/>
      <c r="D12091"/>
      <c r="G12091"/>
    </row>
    <row r="12092" spans="2:7">
      <c r="B12092"/>
      <c r="C12092"/>
      <c r="D12092"/>
      <c r="G12092"/>
    </row>
    <row r="12093" spans="2:7">
      <c r="B12093"/>
      <c r="C12093"/>
      <c r="D12093"/>
      <c r="G12093"/>
    </row>
    <row r="12094" spans="2:7">
      <c r="B12094"/>
      <c r="C12094"/>
      <c r="D12094"/>
      <c r="G12094"/>
    </row>
    <row r="12095" spans="2:7">
      <c r="B12095"/>
      <c r="C12095"/>
      <c r="D12095"/>
      <c r="G12095"/>
    </row>
    <row r="12096" spans="2:7">
      <c r="B12096"/>
      <c r="C12096"/>
      <c r="D12096"/>
      <c r="G12096"/>
    </row>
    <row r="12097" spans="2:7">
      <c r="B12097"/>
      <c r="C12097"/>
      <c r="D12097"/>
      <c r="G12097"/>
    </row>
    <row r="12098" spans="2:7">
      <c r="B12098"/>
      <c r="C12098"/>
      <c r="D12098"/>
      <c r="G12098"/>
    </row>
    <row r="12099" spans="2:7">
      <c r="B12099"/>
      <c r="C12099"/>
      <c r="D12099"/>
      <c r="G12099"/>
    </row>
    <row r="12100" spans="2:7">
      <c r="B12100"/>
      <c r="C12100"/>
      <c r="D12100"/>
      <c r="G12100"/>
    </row>
    <row r="12101" spans="2:7">
      <c r="B12101"/>
      <c r="C12101"/>
      <c r="D12101"/>
      <c r="G12101"/>
    </row>
    <row r="12102" spans="2:7">
      <c r="B12102"/>
      <c r="C12102"/>
      <c r="D12102"/>
      <c r="G12102"/>
    </row>
    <row r="12103" spans="2:7">
      <c r="B12103"/>
      <c r="C12103"/>
      <c r="D12103"/>
      <c r="G12103"/>
    </row>
    <row r="12104" spans="2:7">
      <c r="B12104"/>
      <c r="C12104"/>
      <c r="D12104"/>
      <c r="G12104"/>
    </row>
    <row r="12105" spans="2:7">
      <c r="B12105"/>
      <c r="C12105"/>
      <c r="D12105"/>
      <c r="G12105"/>
    </row>
    <row r="12106" spans="2:7">
      <c r="B12106"/>
      <c r="C12106"/>
      <c r="D12106"/>
      <c r="G12106"/>
    </row>
    <row r="12107" spans="2:7">
      <c r="B12107"/>
      <c r="C12107"/>
      <c r="D12107"/>
      <c r="G12107"/>
    </row>
    <row r="12108" spans="2:7">
      <c r="B12108"/>
      <c r="C12108"/>
      <c r="D12108"/>
      <c r="G12108"/>
    </row>
    <row r="12109" spans="2:7">
      <c r="B12109"/>
      <c r="C12109"/>
      <c r="D12109"/>
      <c r="G12109"/>
    </row>
    <row r="12110" spans="2:7">
      <c r="B12110"/>
      <c r="C12110"/>
      <c r="D12110"/>
      <c r="G12110"/>
    </row>
    <row r="12111" spans="2:7">
      <c r="B12111"/>
      <c r="C12111"/>
      <c r="D12111"/>
      <c r="G12111"/>
    </row>
    <row r="12112" spans="2:7">
      <c r="B12112"/>
      <c r="C12112"/>
      <c r="D12112"/>
      <c r="G12112"/>
    </row>
    <row r="12113" spans="2:7">
      <c r="B12113"/>
      <c r="C12113"/>
      <c r="D12113"/>
      <c r="G12113"/>
    </row>
    <row r="12114" spans="2:7">
      <c r="B12114"/>
      <c r="C12114"/>
      <c r="D12114"/>
      <c r="G12114"/>
    </row>
    <row r="12115" spans="2:7">
      <c r="B12115"/>
      <c r="C12115"/>
      <c r="D12115"/>
      <c r="G12115"/>
    </row>
    <row r="12116" spans="2:7">
      <c r="B12116"/>
      <c r="C12116"/>
      <c r="D12116"/>
      <c r="G12116"/>
    </row>
    <row r="12117" spans="2:7">
      <c r="B12117"/>
      <c r="C12117"/>
      <c r="D12117"/>
      <c r="G12117"/>
    </row>
    <row r="12118" spans="2:7">
      <c r="B12118"/>
      <c r="C12118"/>
      <c r="D12118"/>
      <c r="G12118"/>
    </row>
    <row r="12119" spans="2:7">
      <c r="B12119"/>
      <c r="C12119"/>
      <c r="D12119"/>
      <c r="G12119"/>
    </row>
    <row r="12120" spans="2:7">
      <c r="B12120"/>
      <c r="C12120"/>
      <c r="D12120"/>
      <c r="G12120"/>
    </row>
    <row r="12121" spans="2:7">
      <c r="B12121"/>
      <c r="C12121"/>
      <c r="D12121"/>
      <c r="G12121"/>
    </row>
    <row r="12122" spans="2:7">
      <c r="B12122"/>
      <c r="C12122"/>
      <c r="D12122"/>
      <c r="G12122"/>
    </row>
    <row r="12123" spans="2:7">
      <c r="B12123"/>
      <c r="C12123"/>
      <c r="D12123"/>
      <c r="G12123"/>
    </row>
    <row r="12124" spans="2:7">
      <c r="B12124"/>
      <c r="C12124"/>
      <c r="D12124"/>
      <c r="G12124"/>
    </row>
    <row r="12125" spans="2:7">
      <c r="B12125"/>
      <c r="C12125"/>
      <c r="D12125"/>
      <c r="G12125"/>
    </row>
    <row r="12126" spans="2:7">
      <c r="B12126"/>
      <c r="C12126"/>
      <c r="D12126"/>
      <c r="G12126"/>
    </row>
    <row r="12127" spans="2:7">
      <c r="B12127"/>
      <c r="C12127"/>
      <c r="D12127"/>
      <c r="G12127"/>
    </row>
    <row r="12128" spans="2:7">
      <c r="B12128"/>
      <c r="C12128"/>
      <c r="D12128"/>
      <c r="G12128"/>
    </row>
    <row r="12129" spans="2:7">
      <c r="B12129"/>
      <c r="C12129"/>
      <c r="D12129"/>
      <c r="G12129"/>
    </row>
    <row r="12130" spans="2:7">
      <c r="B12130"/>
      <c r="C12130"/>
      <c r="D12130"/>
      <c r="G12130"/>
    </row>
    <row r="12131" spans="2:7">
      <c r="B12131"/>
      <c r="C12131"/>
      <c r="D12131"/>
      <c r="G12131"/>
    </row>
    <row r="12132" spans="2:7">
      <c r="B12132"/>
      <c r="C12132"/>
      <c r="D12132"/>
      <c r="G12132"/>
    </row>
    <row r="12133" spans="2:7">
      <c r="B12133"/>
      <c r="C12133"/>
      <c r="D12133"/>
      <c r="G12133"/>
    </row>
    <row r="12134" spans="2:7">
      <c r="B12134"/>
      <c r="C12134"/>
      <c r="D12134"/>
      <c r="G12134"/>
    </row>
    <row r="12135" spans="2:7">
      <c r="B12135"/>
      <c r="C12135"/>
      <c r="D12135"/>
      <c r="G12135"/>
    </row>
    <row r="12136" spans="2:7">
      <c r="B12136"/>
      <c r="C12136"/>
      <c r="D12136"/>
      <c r="G12136"/>
    </row>
    <row r="12137" spans="2:7">
      <c r="B12137"/>
      <c r="C12137"/>
      <c r="D12137"/>
      <c r="G12137"/>
    </row>
    <row r="12138" spans="2:7">
      <c r="B12138"/>
      <c r="C12138"/>
      <c r="D12138"/>
      <c r="G12138"/>
    </row>
    <row r="12139" spans="2:7">
      <c r="B12139"/>
      <c r="C12139"/>
      <c r="D12139"/>
      <c r="G12139"/>
    </row>
    <row r="12140" spans="2:7">
      <c r="B12140"/>
      <c r="C12140"/>
      <c r="D12140"/>
      <c r="G12140"/>
    </row>
    <row r="12141" spans="2:7">
      <c r="B12141"/>
      <c r="C12141"/>
      <c r="D12141"/>
      <c r="G12141"/>
    </row>
    <row r="12142" spans="2:7">
      <c r="B12142"/>
      <c r="C12142"/>
      <c r="D12142"/>
      <c r="G12142"/>
    </row>
    <row r="12143" spans="2:7">
      <c r="B12143"/>
      <c r="C12143"/>
      <c r="D12143"/>
      <c r="G12143"/>
    </row>
    <row r="12144" spans="2:7">
      <c r="B12144"/>
      <c r="C12144"/>
      <c r="D12144"/>
      <c r="G12144"/>
    </row>
    <row r="12145" spans="2:7">
      <c r="B12145"/>
      <c r="C12145"/>
      <c r="D12145"/>
      <c r="G12145"/>
    </row>
    <row r="12146" spans="2:7">
      <c r="B12146"/>
      <c r="C12146"/>
      <c r="D12146"/>
      <c r="G12146"/>
    </row>
    <row r="12147" spans="2:7">
      <c r="B12147"/>
      <c r="C12147"/>
      <c r="D12147"/>
      <c r="G12147"/>
    </row>
    <row r="12148" spans="2:7">
      <c r="B12148"/>
      <c r="C12148"/>
      <c r="D12148"/>
      <c r="G12148"/>
    </row>
    <row r="12149" spans="2:7">
      <c r="B12149"/>
      <c r="C12149"/>
      <c r="D12149"/>
      <c r="G12149"/>
    </row>
    <row r="12150" spans="2:7">
      <c r="B12150"/>
      <c r="C12150"/>
      <c r="D12150"/>
      <c r="G12150"/>
    </row>
    <row r="12151" spans="2:7">
      <c r="B12151"/>
      <c r="C12151"/>
      <c r="D12151"/>
      <c r="G12151"/>
    </row>
    <row r="12152" spans="2:7">
      <c r="B12152"/>
      <c r="C12152"/>
      <c r="D12152"/>
      <c r="G12152"/>
    </row>
    <row r="12153" spans="2:7">
      <c r="B12153"/>
      <c r="C12153"/>
      <c r="D12153"/>
      <c r="G12153"/>
    </row>
    <row r="12154" spans="2:7">
      <c r="B12154"/>
      <c r="C12154"/>
      <c r="D12154"/>
      <c r="G12154"/>
    </row>
    <row r="12155" spans="2:7">
      <c r="B12155"/>
      <c r="C12155"/>
      <c r="D12155"/>
      <c r="G12155"/>
    </row>
    <row r="12156" spans="2:7">
      <c r="B12156"/>
      <c r="C12156"/>
      <c r="D12156"/>
      <c r="G12156"/>
    </row>
    <row r="12157" spans="2:7">
      <c r="B12157"/>
      <c r="C12157"/>
      <c r="D12157"/>
      <c r="G12157"/>
    </row>
    <row r="12158" spans="2:7">
      <c r="B12158"/>
      <c r="C12158"/>
      <c r="D12158"/>
      <c r="G12158"/>
    </row>
    <row r="12159" spans="2:7">
      <c r="B12159"/>
      <c r="C12159"/>
      <c r="D12159"/>
      <c r="G12159"/>
    </row>
    <row r="12160" spans="2:7">
      <c r="B12160"/>
      <c r="C12160"/>
      <c r="D12160"/>
      <c r="G12160"/>
    </row>
    <row r="12161" spans="2:7">
      <c r="B12161"/>
      <c r="C12161"/>
      <c r="D12161"/>
      <c r="G12161"/>
    </row>
    <row r="12162" spans="2:7">
      <c r="B12162"/>
      <c r="C12162"/>
      <c r="D12162"/>
      <c r="G12162"/>
    </row>
    <row r="12163" spans="2:7">
      <c r="B12163"/>
      <c r="C12163"/>
      <c r="D12163"/>
      <c r="G12163"/>
    </row>
    <row r="12164" spans="2:7">
      <c r="B12164"/>
      <c r="C12164"/>
      <c r="D12164"/>
      <c r="G12164"/>
    </row>
    <row r="12165" spans="2:7">
      <c r="B12165"/>
      <c r="C12165"/>
      <c r="D12165"/>
      <c r="G12165"/>
    </row>
    <row r="12166" spans="2:7">
      <c r="B12166"/>
      <c r="C12166"/>
      <c r="D12166"/>
      <c r="G12166"/>
    </row>
    <row r="12167" spans="2:7">
      <c r="B12167"/>
      <c r="C12167"/>
      <c r="D12167"/>
      <c r="G12167"/>
    </row>
    <row r="12168" spans="2:7">
      <c r="B12168"/>
      <c r="C12168"/>
      <c r="D12168"/>
      <c r="G12168"/>
    </row>
    <row r="12169" spans="2:7">
      <c r="B12169"/>
      <c r="C12169"/>
      <c r="D12169"/>
      <c r="G12169"/>
    </row>
    <row r="12170" spans="2:7">
      <c r="B12170"/>
      <c r="C12170"/>
      <c r="D12170"/>
      <c r="G12170"/>
    </row>
    <row r="12171" spans="2:7">
      <c r="B12171"/>
      <c r="C12171"/>
      <c r="D12171"/>
      <c r="G12171"/>
    </row>
    <row r="12172" spans="2:7">
      <c r="B12172"/>
      <c r="C12172"/>
      <c r="D12172"/>
      <c r="G12172"/>
    </row>
    <row r="12173" spans="2:7">
      <c r="B12173"/>
      <c r="C12173"/>
      <c r="D12173"/>
      <c r="G12173"/>
    </row>
    <row r="12174" spans="2:7">
      <c r="B12174"/>
      <c r="C12174"/>
      <c r="D12174"/>
      <c r="G12174"/>
    </row>
    <row r="12175" spans="2:7">
      <c r="B12175"/>
      <c r="C12175"/>
      <c r="D12175"/>
      <c r="G12175"/>
    </row>
    <row r="12176" spans="2:7">
      <c r="B12176"/>
      <c r="C12176"/>
      <c r="D12176"/>
      <c r="G12176"/>
    </row>
    <row r="12177" spans="2:7">
      <c r="B12177"/>
      <c r="C12177"/>
      <c r="D12177"/>
      <c r="G12177"/>
    </row>
    <row r="12178" spans="2:7">
      <c r="B12178"/>
      <c r="C12178"/>
      <c r="D12178"/>
      <c r="G12178"/>
    </row>
    <row r="12179" spans="2:7">
      <c r="B12179"/>
      <c r="C12179"/>
      <c r="D12179"/>
      <c r="G12179"/>
    </row>
    <row r="12180" spans="2:7">
      <c r="B12180"/>
      <c r="C12180"/>
      <c r="D12180"/>
      <c r="G12180"/>
    </row>
    <row r="12181" spans="2:7">
      <c r="B12181"/>
      <c r="C12181"/>
      <c r="D12181"/>
      <c r="G12181"/>
    </row>
    <row r="12182" spans="2:7">
      <c r="B12182"/>
      <c r="C12182"/>
      <c r="D12182"/>
      <c r="G12182"/>
    </row>
    <row r="12183" spans="2:7">
      <c r="B12183"/>
      <c r="C12183"/>
      <c r="D12183"/>
      <c r="G12183"/>
    </row>
    <row r="12184" spans="2:7">
      <c r="B12184"/>
      <c r="C12184"/>
      <c r="D12184"/>
      <c r="G12184"/>
    </row>
    <row r="12185" spans="2:7">
      <c r="B12185"/>
      <c r="C12185"/>
      <c r="D12185"/>
      <c r="G12185"/>
    </row>
    <row r="12186" spans="2:7">
      <c r="B12186"/>
      <c r="C12186"/>
      <c r="D12186"/>
      <c r="G12186"/>
    </row>
    <row r="12187" spans="2:7">
      <c r="B12187"/>
      <c r="C12187"/>
      <c r="D12187"/>
      <c r="G12187"/>
    </row>
    <row r="12188" spans="2:7">
      <c r="B12188"/>
      <c r="C12188"/>
      <c r="D12188"/>
      <c r="G12188"/>
    </row>
    <row r="12189" spans="2:7">
      <c r="B12189"/>
      <c r="C12189"/>
      <c r="D12189"/>
      <c r="G12189"/>
    </row>
    <row r="12190" spans="2:7">
      <c r="B12190"/>
      <c r="C12190"/>
      <c r="D12190"/>
      <c r="G12190"/>
    </row>
    <row r="12191" spans="2:7">
      <c r="B12191"/>
      <c r="C12191"/>
      <c r="D12191"/>
      <c r="G12191"/>
    </row>
    <row r="12192" spans="2:7">
      <c r="B12192"/>
      <c r="C12192"/>
      <c r="D12192"/>
      <c r="G12192"/>
    </row>
    <row r="12193" spans="2:7">
      <c r="B12193"/>
      <c r="C12193"/>
      <c r="D12193"/>
      <c r="G12193"/>
    </row>
    <row r="12194" spans="2:7">
      <c r="B12194"/>
      <c r="C12194"/>
      <c r="D12194"/>
      <c r="G12194"/>
    </row>
    <row r="12195" spans="2:7">
      <c r="B12195"/>
      <c r="C12195"/>
      <c r="D12195"/>
      <c r="G12195"/>
    </row>
    <row r="12196" spans="2:7">
      <c r="B12196"/>
      <c r="C12196"/>
      <c r="D12196"/>
      <c r="G12196"/>
    </row>
    <row r="12197" spans="2:7">
      <c r="B12197"/>
      <c r="C12197"/>
      <c r="D12197"/>
      <c r="G12197"/>
    </row>
    <row r="12198" spans="2:7">
      <c r="B12198"/>
      <c r="C12198"/>
      <c r="D12198"/>
      <c r="G12198"/>
    </row>
    <row r="12199" spans="2:7">
      <c r="B12199"/>
      <c r="C12199"/>
      <c r="D12199"/>
      <c r="G12199"/>
    </row>
    <row r="12200" spans="2:7">
      <c r="B12200"/>
      <c r="C12200"/>
      <c r="D12200"/>
      <c r="G12200"/>
    </row>
    <row r="12201" spans="2:7">
      <c r="B12201"/>
      <c r="C12201"/>
      <c r="D12201"/>
      <c r="G12201"/>
    </row>
    <row r="12202" spans="2:7">
      <c r="B12202"/>
      <c r="C12202"/>
      <c r="D12202"/>
      <c r="G12202"/>
    </row>
    <row r="12203" spans="2:7">
      <c r="B12203"/>
      <c r="C12203"/>
      <c r="D12203"/>
      <c r="G12203"/>
    </row>
    <row r="12204" spans="2:7">
      <c r="B12204"/>
      <c r="C12204"/>
      <c r="D12204"/>
      <c r="G12204"/>
    </row>
    <row r="12205" spans="2:7">
      <c r="B12205"/>
      <c r="C12205"/>
      <c r="D12205"/>
      <c r="G12205"/>
    </row>
    <row r="12206" spans="2:7">
      <c r="B12206"/>
      <c r="C12206"/>
      <c r="D12206"/>
      <c r="G12206"/>
    </row>
    <row r="12207" spans="2:7">
      <c r="B12207"/>
      <c r="C12207"/>
      <c r="D12207"/>
      <c r="G12207"/>
    </row>
    <row r="12208" spans="2:7">
      <c r="B12208"/>
      <c r="C12208"/>
      <c r="D12208"/>
      <c r="G12208"/>
    </row>
    <row r="12209" spans="2:7">
      <c r="B12209"/>
      <c r="C12209"/>
      <c r="D12209"/>
      <c r="G12209"/>
    </row>
    <row r="12210" spans="2:7">
      <c r="B12210"/>
      <c r="C12210"/>
      <c r="D12210"/>
      <c r="G12210"/>
    </row>
    <row r="12211" spans="2:7">
      <c r="B12211"/>
      <c r="C12211"/>
      <c r="D12211"/>
      <c r="G12211"/>
    </row>
    <row r="12212" spans="2:7">
      <c r="B12212"/>
      <c r="C12212"/>
      <c r="D12212"/>
      <c r="G12212"/>
    </row>
    <row r="12213" spans="2:7">
      <c r="B12213"/>
      <c r="C12213"/>
      <c r="D12213"/>
      <c r="G12213"/>
    </row>
    <row r="12214" spans="2:7">
      <c r="B12214"/>
      <c r="C12214"/>
      <c r="D12214"/>
      <c r="G12214"/>
    </row>
    <row r="12215" spans="2:7">
      <c r="B12215"/>
      <c r="C12215"/>
      <c r="D12215"/>
      <c r="G12215"/>
    </row>
    <row r="12216" spans="2:7">
      <c r="B12216"/>
      <c r="C12216"/>
      <c r="D12216"/>
      <c r="G12216"/>
    </row>
    <row r="12217" spans="2:7">
      <c r="B12217"/>
      <c r="C12217"/>
      <c r="D12217"/>
      <c r="G12217"/>
    </row>
    <row r="12218" spans="2:7">
      <c r="B12218"/>
      <c r="C12218"/>
      <c r="D12218"/>
      <c r="G12218"/>
    </row>
    <row r="12219" spans="2:7">
      <c r="B12219"/>
      <c r="C12219"/>
      <c r="D12219"/>
      <c r="G12219"/>
    </row>
    <row r="12220" spans="2:7">
      <c r="B12220"/>
      <c r="C12220"/>
      <c r="D12220"/>
      <c r="G12220"/>
    </row>
    <row r="12221" spans="2:7">
      <c r="B12221"/>
      <c r="C12221"/>
      <c r="D12221"/>
      <c r="G12221"/>
    </row>
    <row r="12222" spans="2:7">
      <c r="B12222"/>
      <c r="C12222"/>
      <c r="D12222"/>
      <c r="G12222"/>
    </row>
    <row r="12223" spans="2:7">
      <c r="B12223"/>
      <c r="C12223"/>
      <c r="D12223"/>
      <c r="G12223"/>
    </row>
    <row r="12224" spans="2:7">
      <c r="B12224"/>
      <c r="C12224"/>
      <c r="D12224"/>
      <c r="G12224"/>
    </row>
    <row r="12225" spans="2:7">
      <c r="B12225"/>
      <c r="C12225"/>
      <c r="D12225"/>
      <c r="G12225"/>
    </row>
    <row r="12226" spans="2:7">
      <c r="B12226"/>
      <c r="C12226"/>
      <c r="D12226"/>
      <c r="G12226"/>
    </row>
    <row r="12227" spans="2:7">
      <c r="B12227"/>
      <c r="C12227"/>
      <c r="D12227"/>
      <c r="G12227"/>
    </row>
    <row r="12228" spans="2:7">
      <c r="B12228"/>
      <c r="C12228"/>
      <c r="D12228"/>
      <c r="G12228"/>
    </row>
    <row r="12229" spans="2:7">
      <c r="B12229"/>
      <c r="C12229"/>
      <c r="D12229"/>
      <c r="G12229"/>
    </row>
    <row r="12230" spans="2:7">
      <c r="B12230"/>
      <c r="C12230"/>
      <c r="D12230"/>
      <c r="G12230"/>
    </row>
    <row r="12231" spans="2:7">
      <c r="B12231"/>
      <c r="C12231"/>
      <c r="D12231"/>
      <c r="G12231"/>
    </row>
    <row r="12232" spans="2:7">
      <c r="B12232"/>
      <c r="C12232"/>
      <c r="D12232"/>
      <c r="G12232"/>
    </row>
    <row r="12233" spans="2:7">
      <c r="B12233"/>
      <c r="C12233"/>
      <c r="D12233"/>
      <c r="G12233"/>
    </row>
    <row r="12234" spans="2:7">
      <c r="B12234"/>
      <c r="C12234"/>
      <c r="D12234"/>
      <c r="G12234"/>
    </row>
    <row r="12235" spans="2:7">
      <c r="B12235"/>
      <c r="C12235"/>
      <c r="D12235"/>
      <c r="G12235"/>
    </row>
    <row r="12236" spans="2:7">
      <c r="B12236"/>
      <c r="C12236"/>
      <c r="D12236"/>
      <c r="G12236"/>
    </row>
    <row r="12237" spans="2:7">
      <c r="B12237"/>
      <c r="C12237"/>
      <c r="D12237"/>
      <c r="G12237"/>
    </row>
    <row r="12238" spans="2:7">
      <c r="B12238"/>
      <c r="C12238"/>
      <c r="D12238"/>
      <c r="G12238"/>
    </row>
    <row r="12239" spans="2:7">
      <c r="B12239"/>
      <c r="C12239"/>
      <c r="D12239"/>
      <c r="G12239"/>
    </row>
    <row r="12240" spans="2:7">
      <c r="B12240"/>
      <c r="C12240"/>
      <c r="D12240"/>
      <c r="G12240"/>
    </row>
    <row r="12241" spans="2:7">
      <c r="B12241"/>
      <c r="C12241"/>
      <c r="D12241"/>
      <c r="G12241"/>
    </row>
    <row r="12242" spans="2:7">
      <c r="B12242"/>
      <c r="C12242"/>
      <c r="D12242"/>
      <c r="G12242"/>
    </row>
    <row r="12243" spans="2:7">
      <c r="B12243"/>
      <c r="C12243"/>
      <c r="D12243"/>
      <c r="G12243"/>
    </row>
    <row r="12244" spans="2:7">
      <c r="B12244"/>
      <c r="C12244"/>
      <c r="D12244"/>
      <c r="G12244"/>
    </row>
    <row r="12245" spans="2:7">
      <c r="B12245"/>
      <c r="C12245"/>
      <c r="D12245"/>
      <c r="G12245"/>
    </row>
    <row r="12246" spans="2:7">
      <c r="B12246"/>
      <c r="C12246"/>
      <c r="D12246"/>
      <c r="G12246"/>
    </row>
    <row r="12247" spans="2:7">
      <c r="B12247"/>
      <c r="C12247"/>
      <c r="D12247"/>
      <c r="G12247"/>
    </row>
    <row r="12248" spans="2:7">
      <c r="B12248"/>
      <c r="C12248"/>
      <c r="D12248"/>
      <c r="G12248"/>
    </row>
    <row r="12249" spans="2:7">
      <c r="B12249"/>
      <c r="C12249"/>
      <c r="D12249"/>
      <c r="G12249"/>
    </row>
    <row r="12250" spans="2:7">
      <c r="B12250"/>
      <c r="C12250"/>
      <c r="D12250"/>
      <c r="G12250"/>
    </row>
    <row r="12251" spans="2:7">
      <c r="B12251"/>
      <c r="C12251"/>
      <c r="D12251"/>
      <c r="G12251"/>
    </row>
    <row r="12252" spans="2:7">
      <c r="B12252"/>
      <c r="C12252"/>
      <c r="D12252"/>
      <c r="G12252"/>
    </row>
    <row r="12253" spans="2:7">
      <c r="B12253"/>
      <c r="C12253"/>
      <c r="D12253"/>
      <c r="G12253"/>
    </row>
    <row r="12254" spans="2:7">
      <c r="B12254"/>
      <c r="C12254"/>
      <c r="D12254"/>
      <c r="G12254"/>
    </row>
    <row r="12255" spans="2:7">
      <c r="B12255"/>
      <c r="C12255"/>
      <c r="D12255"/>
      <c r="G12255"/>
    </row>
    <row r="12256" spans="2:7">
      <c r="B12256"/>
      <c r="C12256"/>
      <c r="D12256"/>
      <c r="G12256"/>
    </row>
    <row r="12257" spans="2:7">
      <c r="B12257"/>
      <c r="C12257"/>
      <c r="D12257"/>
      <c r="G12257"/>
    </row>
    <row r="12258" spans="2:7">
      <c r="B12258"/>
      <c r="C12258"/>
      <c r="D12258"/>
      <c r="G12258"/>
    </row>
    <row r="12259" spans="2:7">
      <c r="B12259"/>
      <c r="C12259"/>
      <c r="D12259"/>
      <c r="G12259"/>
    </row>
    <row r="12260" spans="2:7">
      <c r="B12260"/>
      <c r="C12260"/>
      <c r="D12260"/>
      <c r="G12260"/>
    </row>
    <row r="12261" spans="2:7">
      <c r="B12261"/>
      <c r="C12261"/>
      <c r="D12261"/>
      <c r="G12261"/>
    </row>
    <row r="12262" spans="2:7">
      <c r="B12262"/>
      <c r="C12262"/>
      <c r="D12262"/>
      <c r="G12262"/>
    </row>
    <row r="12263" spans="2:7">
      <c r="B12263"/>
      <c r="C12263"/>
      <c r="D12263"/>
      <c r="G12263"/>
    </row>
    <row r="12264" spans="2:7">
      <c r="B12264"/>
      <c r="C12264"/>
      <c r="D12264"/>
      <c r="G12264"/>
    </row>
    <row r="12265" spans="2:7">
      <c r="B12265"/>
      <c r="C12265"/>
      <c r="D12265"/>
      <c r="G12265"/>
    </row>
    <row r="12266" spans="2:7">
      <c r="B12266"/>
      <c r="C12266"/>
      <c r="D12266"/>
      <c r="G12266"/>
    </row>
    <row r="12267" spans="2:7">
      <c r="B12267"/>
      <c r="C12267"/>
      <c r="D12267"/>
      <c r="G12267"/>
    </row>
    <row r="12268" spans="2:7">
      <c r="B12268"/>
      <c r="C12268"/>
      <c r="D12268"/>
      <c r="G12268"/>
    </row>
    <row r="12269" spans="2:7">
      <c r="B12269"/>
      <c r="C12269"/>
      <c r="D12269"/>
      <c r="G12269"/>
    </row>
    <row r="12270" spans="2:7">
      <c r="B12270"/>
      <c r="C12270"/>
      <c r="D12270"/>
      <c r="G12270"/>
    </row>
    <row r="12271" spans="2:7">
      <c r="B12271"/>
      <c r="C12271"/>
      <c r="D12271"/>
      <c r="G12271"/>
    </row>
    <row r="12272" spans="2:7">
      <c r="B12272"/>
      <c r="C12272"/>
      <c r="D12272"/>
      <c r="G12272"/>
    </row>
    <row r="12273" spans="2:7">
      <c r="B12273"/>
      <c r="C12273"/>
      <c r="D12273"/>
      <c r="G12273"/>
    </row>
    <row r="12274" spans="2:7">
      <c r="B12274"/>
      <c r="C12274"/>
      <c r="D12274"/>
      <c r="G12274"/>
    </row>
    <row r="12275" spans="2:7">
      <c r="B12275"/>
      <c r="C12275"/>
      <c r="D12275"/>
      <c r="G12275"/>
    </row>
    <row r="12276" spans="2:7">
      <c r="B12276"/>
      <c r="C12276"/>
      <c r="D12276"/>
      <c r="G12276"/>
    </row>
    <row r="12277" spans="2:7">
      <c r="B12277"/>
      <c r="C12277"/>
      <c r="D12277"/>
      <c r="G12277"/>
    </row>
    <row r="12278" spans="2:7">
      <c r="B12278"/>
      <c r="C12278"/>
      <c r="D12278"/>
      <c r="G12278"/>
    </row>
    <row r="12279" spans="2:7">
      <c r="B12279"/>
      <c r="C12279"/>
      <c r="D12279"/>
      <c r="G12279"/>
    </row>
    <row r="12280" spans="2:7">
      <c r="B12280"/>
      <c r="C12280"/>
      <c r="D12280"/>
      <c r="G12280"/>
    </row>
    <row r="12281" spans="2:7">
      <c r="B12281"/>
      <c r="C12281"/>
      <c r="D12281"/>
      <c r="G12281"/>
    </row>
    <row r="12282" spans="2:7">
      <c r="B12282"/>
      <c r="C12282"/>
      <c r="D12282"/>
      <c r="G12282"/>
    </row>
    <row r="12283" spans="2:7">
      <c r="B12283"/>
      <c r="C12283"/>
      <c r="D12283"/>
      <c r="G12283"/>
    </row>
    <row r="12284" spans="2:7">
      <c r="B12284"/>
      <c r="C12284"/>
      <c r="D12284"/>
      <c r="G12284"/>
    </row>
    <row r="12285" spans="2:7">
      <c r="B12285"/>
      <c r="C12285"/>
      <c r="D12285"/>
      <c r="G12285"/>
    </row>
    <row r="12286" spans="2:7">
      <c r="B12286"/>
      <c r="C12286"/>
      <c r="D12286"/>
      <c r="G12286"/>
    </row>
    <row r="12287" spans="2:7">
      <c r="B12287"/>
      <c r="C12287"/>
      <c r="D12287"/>
      <c r="G12287"/>
    </row>
    <row r="12288" spans="2:7">
      <c r="B12288"/>
      <c r="C12288"/>
      <c r="D12288"/>
      <c r="G12288"/>
    </row>
    <row r="12289" spans="2:7">
      <c r="B12289"/>
      <c r="C12289"/>
      <c r="D12289"/>
      <c r="G12289"/>
    </row>
    <row r="12290" spans="2:7">
      <c r="B12290"/>
      <c r="C12290"/>
      <c r="D12290"/>
      <c r="G12290"/>
    </row>
    <row r="12291" spans="2:7">
      <c r="B12291"/>
      <c r="C12291"/>
      <c r="D12291"/>
      <c r="G12291"/>
    </row>
    <row r="12292" spans="2:7">
      <c r="B12292"/>
      <c r="C12292"/>
      <c r="D12292"/>
      <c r="G12292"/>
    </row>
    <row r="12293" spans="2:7">
      <c r="B12293"/>
      <c r="C12293"/>
      <c r="D12293"/>
      <c r="G12293"/>
    </row>
    <row r="12294" spans="2:7">
      <c r="B12294"/>
      <c r="C12294"/>
      <c r="D12294"/>
      <c r="G12294"/>
    </row>
    <row r="12295" spans="2:7">
      <c r="B12295"/>
      <c r="C12295"/>
      <c r="D12295"/>
      <c r="G12295"/>
    </row>
    <row r="12296" spans="2:7">
      <c r="B12296"/>
      <c r="C12296"/>
      <c r="D12296"/>
      <c r="G12296"/>
    </row>
    <row r="12297" spans="2:7">
      <c r="B12297"/>
      <c r="C12297"/>
      <c r="D12297"/>
      <c r="G12297"/>
    </row>
    <row r="12298" spans="2:7">
      <c r="B12298"/>
      <c r="C12298"/>
      <c r="D12298"/>
      <c r="G12298"/>
    </row>
    <row r="12299" spans="2:7">
      <c r="B12299"/>
      <c r="C12299"/>
      <c r="D12299"/>
      <c r="G12299"/>
    </row>
    <row r="12300" spans="2:7">
      <c r="B12300"/>
      <c r="C12300"/>
      <c r="D12300"/>
      <c r="G12300"/>
    </row>
    <row r="12301" spans="2:7">
      <c r="B12301"/>
      <c r="C12301"/>
      <c r="D12301"/>
      <c r="G12301"/>
    </row>
    <row r="12302" spans="2:7">
      <c r="B12302"/>
      <c r="C12302"/>
      <c r="D12302"/>
      <c r="G12302"/>
    </row>
    <row r="12303" spans="2:7">
      <c r="B12303"/>
      <c r="C12303"/>
      <c r="D12303"/>
      <c r="G12303"/>
    </row>
    <row r="12304" spans="2:7">
      <c r="B12304"/>
      <c r="C12304"/>
      <c r="D12304"/>
      <c r="G12304"/>
    </row>
    <row r="12305" spans="2:7">
      <c r="B12305"/>
      <c r="C12305"/>
      <c r="D12305"/>
      <c r="G12305"/>
    </row>
    <row r="12306" spans="2:7">
      <c r="B12306"/>
      <c r="C12306"/>
      <c r="D12306"/>
      <c r="G12306"/>
    </row>
    <row r="12307" spans="2:7">
      <c r="B12307"/>
      <c r="C12307"/>
      <c r="D12307"/>
      <c r="G12307"/>
    </row>
    <row r="12308" spans="2:7">
      <c r="B12308"/>
      <c r="C12308"/>
      <c r="D12308"/>
      <c r="G12308"/>
    </row>
    <row r="12309" spans="2:7">
      <c r="B12309"/>
      <c r="C12309"/>
      <c r="D12309"/>
      <c r="G12309"/>
    </row>
    <row r="12310" spans="2:7">
      <c r="B12310"/>
      <c r="C12310"/>
      <c r="D12310"/>
      <c r="G12310"/>
    </row>
    <row r="12311" spans="2:7">
      <c r="B12311"/>
      <c r="C12311"/>
      <c r="D12311"/>
      <c r="G12311"/>
    </row>
    <row r="12312" spans="2:7">
      <c r="B12312"/>
      <c r="C12312"/>
      <c r="D12312"/>
      <c r="G12312"/>
    </row>
    <row r="12313" spans="2:7">
      <c r="B12313"/>
      <c r="C12313"/>
      <c r="D12313"/>
      <c r="G12313"/>
    </row>
    <row r="12314" spans="2:7">
      <c r="B12314"/>
      <c r="C12314"/>
      <c r="D12314"/>
      <c r="G12314"/>
    </row>
    <row r="12315" spans="2:7">
      <c r="B12315"/>
      <c r="C12315"/>
      <c r="D12315"/>
      <c r="G12315"/>
    </row>
    <row r="12316" spans="2:7">
      <c r="B12316"/>
      <c r="C12316"/>
      <c r="D12316"/>
      <c r="G12316"/>
    </row>
    <row r="12317" spans="2:7">
      <c r="B12317"/>
      <c r="C12317"/>
      <c r="D12317"/>
      <c r="G12317"/>
    </row>
    <row r="12318" spans="2:7">
      <c r="B12318"/>
      <c r="C12318"/>
      <c r="D12318"/>
      <c r="G12318"/>
    </row>
    <row r="12319" spans="2:7">
      <c r="B12319"/>
      <c r="C12319"/>
      <c r="D12319"/>
      <c r="G12319"/>
    </row>
    <row r="12320" spans="2:7">
      <c r="B12320"/>
      <c r="C12320"/>
      <c r="D12320"/>
      <c r="G12320"/>
    </row>
    <row r="12321" spans="2:7">
      <c r="B12321"/>
      <c r="C12321"/>
      <c r="D12321"/>
      <c r="G12321"/>
    </row>
    <row r="12322" spans="2:7">
      <c r="B12322"/>
      <c r="C12322"/>
      <c r="D12322"/>
      <c r="G12322"/>
    </row>
    <row r="12323" spans="2:7">
      <c r="B12323"/>
      <c r="C12323"/>
      <c r="D12323"/>
      <c r="G12323"/>
    </row>
    <row r="12324" spans="2:7">
      <c r="B12324"/>
      <c r="C12324"/>
      <c r="D12324"/>
      <c r="G12324"/>
    </row>
    <row r="12325" spans="2:7">
      <c r="B12325"/>
      <c r="C12325"/>
      <c r="D12325"/>
      <c r="G12325"/>
    </row>
    <row r="12326" spans="2:7">
      <c r="B12326"/>
      <c r="C12326"/>
      <c r="D12326"/>
      <c r="G12326"/>
    </row>
    <row r="12327" spans="2:7">
      <c r="B12327"/>
      <c r="C12327"/>
      <c r="D12327"/>
      <c r="G12327"/>
    </row>
    <row r="12328" spans="2:7">
      <c r="B12328"/>
      <c r="C12328"/>
      <c r="D12328"/>
      <c r="G12328"/>
    </row>
    <row r="12329" spans="2:7">
      <c r="B12329"/>
      <c r="C12329"/>
      <c r="D12329"/>
      <c r="G12329"/>
    </row>
    <row r="12330" spans="2:7">
      <c r="B12330"/>
      <c r="C12330"/>
      <c r="D12330"/>
      <c r="G12330"/>
    </row>
    <row r="12331" spans="2:7">
      <c r="B12331"/>
      <c r="C12331"/>
      <c r="D12331"/>
      <c r="G12331"/>
    </row>
    <row r="12332" spans="2:7">
      <c r="B12332"/>
      <c r="C12332"/>
      <c r="D12332"/>
      <c r="G12332"/>
    </row>
    <row r="12333" spans="2:7">
      <c r="B12333"/>
      <c r="C12333"/>
      <c r="D12333"/>
      <c r="G12333"/>
    </row>
    <row r="12334" spans="2:7">
      <c r="B12334"/>
      <c r="C12334"/>
      <c r="D12334"/>
      <c r="G12334"/>
    </row>
    <row r="12335" spans="2:7">
      <c r="B12335"/>
      <c r="C12335"/>
      <c r="D12335"/>
      <c r="G12335"/>
    </row>
    <row r="12336" spans="2:7">
      <c r="B12336"/>
      <c r="C12336"/>
      <c r="D12336"/>
      <c r="G12336"/>
    </row>
    <row r="12337" spans="2:7">
      <c r="B12337"/>
      <c r="C12337"/>
      <c r="D12337"/>
      <c r="G12337"/>
    </row>
    <row r="12338" spans="2:7">
      <c r="B12338"/>
      <c r="C12338"/>
      <c r="D12338"/>
      <c r="G12338"/>
    </row>
    <row r="12339" spans="2:7">
      <c r="B12339"/>
      <c r="C12339"/>
      <c r="D12339"/>
      <c r="G12339"/>
    </row>
    <row r="12340" spans="2:7">
      <c r="B12340"/>
      <c r="C12340"/>
      <c r="D12340"/>
      <c r="G12340"/>
    </row>
    <row r="12341" spans="2:7">
      <c r="B12341"/>
      <c r="C12341"/>
      <c r="D12341"/>
      <c r="G12341"/>
    </row>
    <row r="12342" spans="2:7">
      <c r="B12342"/>
      <c r="C12342"/>
      <c r="D12342"/>
      <c r="G12342"/>
    </row>
    <row r="12343" spans="2:7">
      <c r="B12343"/>
      <c r="C12343"/>
      <c r="D12343"/>
      <c r="G12343"/>
    </row>
    <row r="12344" spans="2:7">
      <c r="B12344"/>
      <c r="C12344"/>
      <c r="D12344"/>
      <c r="G12344"/>
    </row>
    <row r="12345" spans="2:7">
      <c r="B12345"/>
      <c r="C12345"/>
      <c r="D12345"/>
      <c r="G12345"/>
    </row>
    <row r="12346" spans="2:7">
      <c r="B12346"/>
      <c r="C12346"/>
      <c r="D12346"/>
      <c r="G12346"/>
    </row>
    <row r="12347" spans="2:7">
      <c r="B12347"/>
      <c r="C12347"/>
      <c r="D12347"/>
      <c r="G12347"/>
    </row>
    <row r="12348" spans="2:7">
      <c r="B12348"/>
      <c r="C12348"/>
      <c r="D12348"/>
      <c r="G12348"/>
    </row>
    <row r="12349" spans="2:7">
      <c r="B12349"/>
      <c r="C12349"/>
      <c r="D12349"/>
      <c r="G12349"/>
    </row>
    <row r="12350" spans="2:7">
      <c r="B12350"/>
      <c r="C12350"/>
      <c r="D12350"/>
      <c r="G12350"/>
    </row>
    <row r="12351" spans="2:7">
      <c r="B12351"/>
      <c r="C12351"/>
      <c r="D12351"/>
      <c r="G12351"/>
    </row>
    <row r="12352" spans="2:7">
      <c r="B12352"/>
      <c r="C12352"/>
      <c r="D12352"/>
      <c r="G12352"/>
    </row>
    <row r="12353" spans="2:7">
      <c r="B12353"/>
      <c r="C12353"/>
      <c r="D12353"/>
      <c r="G12353"/>
    </row>
    <row r="12354" spans="2:7">
      <c r="B12354"/>
      <c r="C12354"/>
      <c r="D12354"/>
      <c r="G12354"/>
    </row>
    <row r="12355" spans="2:7">
      <c r="B12355"/>
      <c r="C12355"/>
      <c r="D12355"/>
      <c r="G12355"/>
    </row>
    <row r="12356" spans="2:7">
      <c r="B12356"/>
      <c r="C12356"/>
      <c r="D12356"/>
      <c r="G12356"/>
    </row>
    <row r="12357" spans="2:7">
      <c r="B12357"/>
      <c r="C12357"/>
      <c r="D12357"/>
      <c r="G12357"/>
    </row>
    <row r="12358" spans="2:7">
      <c r="B12358"/>
      <c r="C12358"/>
      <c r="D12358"/>
      <c r="G12358"/>
    </row>
    <row r="12359" spans="2:7">
      <c r="B12359"/>
      <c r="C12359"/>
      <c r="D12359"/>
      <c r="G12359"/>
    </row>
    <row r="12360" spans="2:7">
      <c r="B12360"/>
      <c r="C12360"/>
      <c r="D12360"/>
      <c r="G12360"/>
    </row>
    <row r="12361" spans="2:7">
      <c r="B12361"/>
      <c r="C12361"/>
      <c r="D12361"/>
      <c r="G12361"/>
    </row>
    <row r="12362" spans="2:7">
      <c r="B12362"/>
      <c r="C12362"/>
      <c r="D12362"/>
      <c r="G12362"/>
    </row>
    <row r="12363" spans="2:7">
      <c r="B12363"/>
      <c r="C12363"/>
      <c r="D12363"/>
      <c r="G12363"/>
    </row>
    <row r="12364" spans="2:7">
      <c r="B12364"/>
      <c r="C12364"/>
      <c r="D12364"/>
      <c r="G12364"/>
    </row>
    <row r="12365" spans="2:7">
      <c r="B12365"/>
      <c r="C12365"/>
      <c r="D12365"/>
      <c r="G12365"/>
    </row>
    <row r="12366" spans="2:7">
      <c r="B12366"/>
      <c r="C12366"/>
      <c r="D12366"/>
      <c r="G12366"/>
    </row>
    <row r="12367" spans="2:7">
      <c r="B12367"/>
      <c r="C12367"/>
      <c r="D12367"/>
      <c r="G12367"/>
    </row>
    <row r="12368" spans="2:7">
      <c r="B12368"/>
      <c r="C12368"/>
      <c r="D12368"/>
      <c r="G12368"/>
    </row>
    <row r="12369" spans="2:7">
      <c r="B12369"/>
      <c r="C12369"/>
      <c r="D12369"/>
      <c r="G12369"/>
    </row>
    <row r="12370" spans="2:7">
      <c r="B12370"/>
      <c r="C12370"/>
      <c r="D12370"/>
      <c r="G12370"/>
    </row>
    <row r="12371" spans="2:7">
      <c r="B12371"/>
      <c r="C12371"/>
      <c r="D12371"/>
      <c r="G12371"/>
    </row>
    <row r="12372" spans="2:7">
      <c r="B12372"/>
      <c r="C12372"/>
      <c r="D12372"/>
      <c r="G12372"/>
    </row>
    <row r="12373" spans="2:7">
      <c r="B12373"/>
      <c r="C12373"/>
      <c r="D12373"/>
      <c r="G12373"/>
    </row>
    <row r="12374" spans="2:7">
      <c r="B12374"/>
      <c r="C12374"/>
      <c r="D12374"/>
      <c r="G12374"/>
    </row>
    <row r="12375" spans="2:7">
      <c r="B12375"/>
      <c r="C12375"/>
      <c r="D12375"/>
      <c r="G12375"/>
    </row>
    <row r="12376" spans="2:7">
      <c r="B12376"/>
      <c r="C12376"/>
      <c r="D12376"/>
      <c r="G12376"/>
    </row>
    <row r="12377" spans="2:7">
      <c r="B12377"/>
      <c r="C12377"/>
      <c r="D12377"/>
      <c r="G12377"/>
    </row>
    <row r="12378" spans="2:7">
      <c r="B12378"/>
      <c r="C12378"/>
      <c r="D12378"/>
      <c r="G12378"/>
    </row>
    <row r="12379" spans="2:7">
      <c r="B12379"/>
      <c r="C12379"/>
      <c r="D12379"/>
      <c r="G12379"/>
    </row>
    <row r="12380" spans="2:7">
      <c r="B12380"/>
      <c r="C12380"/>
      <c r="D12380"/>
      <c r="G12380"/>
    </row>
    <row r="12381" spans="2:7">
      <c r="B12381"/>
      <c r="C12381"/>
      <c r="D12381"/>
      <c r="G12381"/>
    </row>
    <row r="12382" spans="2:7">
      <c r="B12382"/>
      <c r="C12382"/>
      <c r="D12382"/>
      <c r="G12382"/>
    </row>
    <row r="12383" spans="2:7">
      <c r="B12383"/>
      <c r="C12383"/>
      <c r="D12383"/>
      <c r="G12383"/>
    </row>
    <row r="12384" spans="2:7">
      <c r="B12384"/>
      <c r="C12384"/>
      <c r="D12384"/>
      <c r="G12384"/>
    </row>
    <row r="12385" spans="2:7">
      <c r="B12385"/>
      <c r="C12385"/>
      <c r="D12385"/>
      <c r="G12385"/>
    </row>
    <row r="12386" spans="2:7">
      <c r="B12386"/>
      <c r="C12386"/>
      <c r="D12386"/>
      <c r="G12386"/>
    </row>
    <row r="12387" spans="2:7">
      <c r="B12387"/>
      <c r="C12387"/>
      <c r="D12387"/>
      <c r="G12387"/>
    </row>
    <row r="12388" spans="2:7">
      <c r="B12388"/>
      <c r="C12388"/>
      <c r="D12388"/>
      <c r="G12388"/>
    </row>
    <row r="12389" spans="2:7">
      <c r="B12389"/>
      <c r="C12389"/>
      <c r="D12389"/>
      <c r="G12389"/>
    </row>
    <row r="12390" spans="2:7">
      <c r="B12390"/>
      <c r="C12390"/>
      <c r="D12390"/>
      <c r="G12390"/>
    </row>
    <row r="12391" spans="2:7">
      <c r="B12391"/>
      <c r="C12391"/>
      <c r="D12391"/>
      <c r="G12391"/>
    </row>
    <row r="12392" spans="2:7">
      <c r="B12392"/>
      <c r="C12392"/>
      <c r="D12392"/>
      <c r="G12392"/>
    </row>
    <row r="12393" spans="2:7">
      <c r="B12393"/>
      <c r="C12393"/>
      <c r="D12393"/>
      <c r="G12393"/>
    </row>
    <row r="12394" spans="2:7">
      <c r="B12394"/>
      <c r="C12394"/>
      <c r="D12394"/>
      <c r="G12394"/>
    </row>
    <row r="12395" spans="2:7">
      <c r="B12395"/>
      <c r="C12395"/>
      <c r="D12395"/>
      <c r="G12395"/>
    </row>
    <row r="12396" spans="2:7">
      <c r="B12396"/>
      <c r="C12396"/>
      <c r="D12396"/>
      <c r="G12396"/>
    </row>
    <row r="12397" spans="2:7">
      <c r="B12397"/>
      <c r="C12397"/>
      <c r="D12397"/>
      <c r="G12397"/>
    </row>
    <row r="12398" spans="2:7">
      <c r="B12398"/>
      <c r="C12398"/>
      <c r="D12398"/>
      <c r="G12398"/>
    </row>
    <row r="12399" spans="2:7">
      <c r="B12399"/>
      <c r="C12399"/>
      <c r="D12399"/>
      <c r="G12399"/>
    </row>
    <row r="12400" spans="2:7">
      <c r="B12400"/>
      <c r="C12400"/>
      <c r="D12400"/>
      <c r="G12400"/>
    </row>
    <row r="12401" spans="2:7">
      <c r="B12401"/>
      <c r="C12401"/>
      <c r="D12401"/>
      <c r="G12401"/>
    </row>
    <row r="12402" spans="2:7">
      <c r="B12402"/>
      <c r="C12402"/>
      <c r="D12402"/>
      <c r="G12402"/>
    </row>
    <row r="12403" spans="2:7">
      <c r="B12403"/>
      <c r="C12403"/>
      <c r="D12403"/>
      <c r="G12403"/>
    </row>
    <row r="12404" spans="2:7">
      <c r="B12404"/>
      <c r="C12404"/>
      <c r="D12404"/>
      <c r="G12404"/>
    </row>
    <row r="12405" spans="2:7">
      <c r="B12405"/>
      <c r="C12405"/>
      <c r="D12405"/>
      <c r="G12405"/>
    </row>
    <row r="12406" spans="2:7">
      <c r="B12406"/>
      <c r="C12406"/>
      <c r="D12406"/>
      <c r="G12406"/>
    </row>
    <row r="12407" spans="2:7">
      <c r="B12407"/>
      <c r="C12407"/>
      <c r="D12407"/>
      <c r="G12407"/>
    </row>
    <row r="12408" spans="2:7">
      <c r="B12408"/>
      <c r="C12408"/>
      <c r="D12408"/>
      <c r="G12408"/>
    </row>
    <row r="12409" spans="2:7">
      <c r="B12409"/>
      <c r="C12409"/>
      <c r="D12409"/>
      <c r="G12409"/>
    </row>
    <row r="12410" spans="2:7">
      <c r="B12410"/>
      <c r="C12410"/>
      <c r="D12410"/>
      <c r="G12410"/>
    </row>
    <row r="12411" spans="2:7">
      <c r="B12411"/>
      <c r="C12411"/>
      <c r="D12411"/>
      <c r="G12411"/>
    </row>
    <row r="12412" spans="2:7">
      <c r="B12412"/>
      <c r="C12412"/>
      <c r="D12412"/>
      <c r="G12412"/>
    </row>
    <row r="12413" spans="2:7">
      <c r="B12413"/>
      <c r="C12413"/>
      <c r="D12413"/>
      <c r="G12413"/>
    </row>
    <row r="12414" spans="2:7">
      <c r="B12414"/>
      <c r="C12414"/>
      <c r="D12414"/>
      <c r="G12414"/>
    </row>
    <row r="12415" spans="2:7">
      <c r="B12415"/>
      <c r="C12415"/>
      <c r="D12415"/>
      <c r="G12415"/>
    </row>
    <row r="12416" spans="2:7">
      <c r="B12416"/>
      <c r="C12416"/>
      <c r="D12416"/>
      <c r="G12416"/>
    </row>
    <row r="12417" spans="2:7">
      <c r="B12417"/>
      <c r="C12417"/>
      <c r="D12417"/>
      <c r="G12417"/>
    </row>
    <row r="12418" spans="2:7">
      <c r="B12418"/>
      <c r="C12418"/>
      <c r="D12418"/>
      <c r="G12418"/>
    </row>
    <row r="12419" spans="2:7">
      <c r="B12419"/>
      <c r="C12419"/>
      <c r="D12419"/>
      <c r="G12419"/>
    </row>
    <row r="12420" spans="2:7">
      <c r="B12420"/>
      <c r="C12420"/>
      <c r="D12420"/>
      <c r="G12420"/>
    </row>
    <row r="12421" spans="2:7">
      <c r="B12421"/>
      <c r="C12421"/>
      <c r="D12421"/>
      <c r="G12421"/>
    </row>
    <row r="12422" spans="2:7">
      <c r="B12422"/>
      <c r="C12422"/>
      <c r="D12422"/>
      <c r="G12422"/>
    </row>
    <row r="12423" spans="2:7">
      <c r="B12423"/>
      <c r="C12423"/>
      <c r="D12423"/>
      <c r="G12423"/>
    </row>
    <row r="12424" spans="2:7">
      <c r="B12424"/>
      <c r="C12424"/>
      <c r="D12424"/>
      <c r="G12424"/>
    </row>
    <row r="12425" spans="2:7">
      <c r="B12425"/>
      <c r="C12425"/>
      <c r="D12425"/>
      <c r="G12425"/>
    </row>
    <row r="12426" spans="2:7">
      <c r="B12426"/>
      <c r="C12426"/>
      <c r="D12426"/>
      <c r="G12426"/>
    </row>
    <row r="12427" spans="2:7">
      <c r="B12427"/>
      <c r="C12427"/>
      <c r="D12427"/>
      <c r="G12427"/>
    </row>
    <row r="12428" spans="2:7">
      <c r="B12428"/>
      <c r="C12428"/>
      <c r="D12428"/>
      <c r="G12428"/>
    </row>
    <row r="12429" spans="2:7">
      <c r="B12429"/>
      <c r="C12429"/>
      <c r="D12429"/>
      <c r="G12429"/>
    </row>
    <row r="12430" spans="2:7">
      <c r="B12430"/>
      <c r="C12430"/>
      <c r="D12430"/>
      <c r="G12430"/>
    </row>
    <row r="12431" spans="2:7">
      <c r="B12431"/>
      <c r="C12431"/>
      <c r="D12431"/>
      <c r="G12431"/>
    </row>
    <row r="12432" spans="2:7">
      <c r="B12432"/>
      <c r="C12432"/>
      <c r="D12432"/>
      <c r="G12432"/>
    </row>
    <row r="12433" spans="2:7">
      <c r="B12433"/>
      <c r="C12433"/>
      <c r="D12433"/>
      <c r="G12433"/>
    </row>
    <row r="12434" spans="2:7">
      <c r="B12434"/>
      <c r="C12434"/>
      <c r="D12434"/>
      <c r="G12434"/>
    </row>
    <row r="12435" spans="2:7">
      <c r="B12435"/>
      <c r="C12435"/>
      <c r="D12435"/>
      <c r="G12435"/>
    </row>
    <row r="12436" spans="2:7">
      <c r="B12436"/>
      <c r="C12436"/>
      <c r="D12436"/>
      <c r="G12436"/>
    </row>
    <row r="12437" spans="2:7">
      <c r="B12437"/>
      <c r="C12437"/>
      <c r="D12437"/>
      <c r="G12437"/>
    </row>
    <row r="12438" spans="2:7">
      <c r="B12438"/>
      <c r="C12438"/>
      <c r="D12438"/>
      <c r="G12438"/>
    </row>
    <row r="12439" spans="2:7">
      <c r="B12439"/>
      <c r="C12439"/>
      <c r="D12439"/>
      <c r="G12439"/>
    </row>
    <row r="12440" spans="2:7">
      <c r="B12440"/>
      <c r="C12440"/>
      <c r="D12440"/>
      <c r="G12440"/>
    </row>
    <row r="12441" spans="2:7">
      <c r="B12441"/>
      <c r="C12441"/>
      <c r="D12441"/>
      <c r="G12441"/>
    </row>
    <row r="12442" spans="2:7">
      <c r="B12442"/>
      <c r="C12442"/>
      <c r="D12442"/>
      <c r="G12442"/>
    </row>
    <row r="12443" spans="2:7">
      <c r="B12443"/>
      <c r="C12443"/>
      <c r="D12443"/>
      <c r="G12443"/>
    </row>
    <row r="12444" spans="2:7">
      <c r="B12444"/>
      <c r="C12444"/>
      <c r="D12444"/>
      <c r="G12444"/>
    </row>
    <row r="12445" spans="2:7">
      <c r="B12445"/>
      <c r="C12445"/>
      <c r="D12445"/>
      <c r="G12445"/>
    </row>
    <row r="12446" spans="2:7">
      <c r="B12446"/>
      <c r="C12446"/>
      <c r="D12446"/>
      <c r="G12446"/>
    </row>
    <row r="12447" spans="2:7">
      <c r="B12447"/>
      <c r="C12447"/>
      <c r="D12447"/>
      <c r="G12447"/>
    </row>
    <row r="12448" spans="2:7">
      <c r="B12448"/>
      <c r="C12448"/>
      <c r="D12448"/>
      <c r="G12448"/>
    </row>
    <row r="12449" spans="2:7">
      <c r="B12449"/>
      <c r="C12449"/>
      <c r="D12449"/>
      <c r="G12449"/>
    </row>
    <row r="12450" spans="2:7">
      <c r="B12450"/>
      <c r="C12450"/>
      <c r="D12450"/>
      <c r="G12450"/>
    </row>
    <row r="12451" spans="2:7">
      <c r="B12451"/>
      <c r="C12451"/>
      <c r="D12451"/>
      <c r="G12451"/>
    </row>
    <row r="12452" spans="2:7">
      <c r="B12452"/>
      <c r="C12452"/>
      <c r="D12452"/>
      <c r="G12452"/>
    </row>
    <row r="12453" spans="2:7">
      <c r="B12453"/>
      <c r="C12453"/>
      <c r="D12453"/>
      <c r="G12453"/>
    </row>
    <row r="12454" spans="2:7">
      <c r="B12454"/>
      <c r="C12454"/>
      <c r="D12454"/>
      <c r="G12454"/>
    </row>
    <row r="12455" spans="2:7">
      <c r="B12455"/>
      <c r="C12455"/>
      <c r="D12455"/>
      <c r="G12455"/>
    </row>
    <row r="12456" spans="2:7">
      <c r="B12456"/>
      <c r="C12456"/>
      <c r="D12456"/>
      <c r="G12456"/>
    </row>
    <row r="12457" spans="2:7">
      <c r="B12457"/>
      <c r="C12457"/>
      <c r="D12457"/>
      <c r="G12457"/>
    </row>
    <row r="12458" spans="2:7">
      <c r="B12458"/>
      <c r="C12458"/>
      <c r="D12458"/>
      <c r="G12458"/>
    </row>
    <row r="12459" spans="2:7">
      <c r="B12459"/>
      <c r="C12459"/>
      <c r="D12459"/>
      <c r="G12459"/>
    </row>
    <row r="12460" spans="2:7">
      <c r="B12460"/>
      <c r="C12460"/>
      <c r="D12460"/>
      <c r="G12460"/>
    </row>
    <row r="12461" spans="2:7">
      <c r="B12461"/>
      <c r="C12461"/>
      <c r="D12461"/>
      <c r="G12461"/>
    </row>
    <row r="12462" spans="2:7">
      <c r="B12462"/>
      <c r="C12462"/>
      <c r="D12462"/>
      <c r="G12462"/>
    </row>
    <row r="12463" spans="2:7">
      <c r="B12463"/>
      <c r="C12463"/>
      <c r="D12463"/>
      <c r="G12463"/>
    </row>
    <row r="12464" spans="2:7">
      <c r="B12464"/>
      <c r="C12464"/>
      <c r="D12464"/>
      <c r="G12464"/>
    </row>
    <row r="12465" spans="2:7">
      <c r="B12465"/>
      <c r="C12465"/>
      <c r="D12465"/>
      <c r="G12465"/>
    </row>
    <row r="12466" spans="2:7">
      <c r="B12466"/>
      <c r="C12466"/>
      <c r="D12466"/>
      <c r="G12466"/>
    </row>
    <row r="12467" spans="2:7">
      <c r="B12467"/>
      <c r="C12467"/>
      <c r="D12467"/>
      <c r="G12467"/>
    </row>
    <row r="12468" spans="2:7">
      <c r="B12468"/>
      <c r="C12468"/>
      <c r="D12468"/>
      <c r="G12468"/>
    </row>
    <row r="12469" spans="2:7">
      <c r="B12469"/>
      <c r="C12469"/>
      <c r="D12469"/>
      <c r="G12469"/>
    </row>
    <row r="12470" spans="2:7">
      <c r="B12470"/>
      <c r="C12470"/>
      <c r="D12470"/>
      <c r="G12470"/>
    </row>
    <row r="12471" spans="2:7">
      <c r="B12471"/>
      <c r="C12471"/>
      <c r="D12471"/>
      <c r="G12471"/>
    </row>
    <row r="12472" spans="2:7">
      <c r="B12472"/>
      <c r="C12472"/>
      <c r="D12472"/>
      <c r="G12472"/>
    </row>
    <row r="12473" spans="2:7">
      <c r="B12473"/>
      <c r="C12473"/>
      <c r="D12473"/>
      <c r="G12473"/>
    </row>
    <row r="12474" spans="2:7">
      <c r="B12474"/>
      <c r="C12474"/>
      <c r="D12474"/>
      <c r="G12474"/>
    </row>
    <row r="12475" spans="2:7">
      <c r="B12475"/>
      <c r="C12475"/>
      <c r="D12475"/>
      <c r="G12475"/>
    </row>
    <row r="12476" spans="2:7">
      <c r="B12476"/>
      <c r="C12476"/>
      <c r="D12476"/>
      <c r="G12476"/>
    </row>
    <row r="12477" spans="2:7">
      <c r="B12477"/>
      <c r="C12477"/>
      <c r="D12477"/>
      <c r="G12477"/>
    </row>
    <row r="12478" spans="2:7">
      <c r="B12478"/>
      <c r="C12478"/>
      <c r="D12478"/>
      <c r="G12478"/>
    </row>
    <row r="12479" spans="2:7">
      <c r="B12479"/>
      <c r="C12479"/>
      <c r="D12479"/>
      <c r="G12479"/>
    </row>
    <row r="12480" spans="2:7">
      <c r="B12480"/>
      <c r="C12480"/>
      <c r="D12480"/>
      <c r="G12480"/>
    </row>
    <row r="12481" spans="2:7">
      <c r="B12481"/>
      <c r="C12481"/>
      <c r="D12481"/>
      <c r="G12481"/>
    </row>
    <row r="12482" spans="2:7">
      <c r="B12482"/>
      <c r="C12482"/>
      <c r="D12482"/>
      <c r="G12482"/>
    </row>
    <row r="12483" spans="2:7">
      <c r="B12483"/>
      <c r="C12483"/>
      <c r="D12483"/>
      <c r="G12483"/>
    </row>
    <row r="12484" spans="2:7">
      <c r="B12484"/>
      <c r="C12484"/>
      <c r="D12484"/>
      <c r="G12484"/>
    </row>
    <row r="12485" spans="2:7">
      <c r="B12485"/>
      <c r="C12485"/>
      <c r="D12485"/>
      <c r="G12485"/>
    </row>
    <row r="12486" spans="2:7">
      <c r="B12486"/>
      <c r="C12486"/>
      <c r="D12486"/>
      <c r="G12486"/>
    </row>
    <row r="12487" spans="2:7">
      <c r="B12487"/>
      <c r="C12487"/>
      <c r="D12487"/>
      <c r="G12487"/>
    </row>
    <row r="12488" spans="2:7">
      <c r="B12488"/>
      <c r="C12488"/>
      <c r="D12488"/>
      <c r="G12488"/>
    </row>
    <row r="12489" spans="2:7">
      <c r="B12489"/>
      <c r="C12489"/>
      <c r="D12489"/>
      <c r="G12489"/>
    </row>
    <row r="12490" spans="2:7">
      <c r="B12490"/>
      <c r="C12490"/>
      <c r="D12490"/>
      <c r="G12490"/>
    </row>
    <row r="12491" spans="2:7">
      <c r="B12491"/>
      <c r="C12491"/>
      <c r="D12491"/>
      <c r="G12491"/>
    </row>
    <row r="12492" spans="2:7">
      <c r="B12492"/>
      <c r="C12492"/>
      <c r="D12492"/>
      <c r="G12492"/>
    </row>
    <row r="12493" spans="2:7">
      <c r="B12493"/>
      <c r="C12493"/>
      <c r="D12493"/>
      <c r="G12493"/>
    </row>
    <row r="12494" spans="2:7">
      <c r="B12494"/>
      <c r="C12494"/>
      <c r="D12494"/>
      <c r="G12494"/>
    </row>
    <row r="12495" spans="2:7">
      <c r="B12495"/>
      <c r="C12495"/>
      <c r="D12495"/>
      <c r="G12495"/>
    </row>
    <row r="12496" spans="2:7">
      <c r="B12496"/>
      <c r="C12496"/>
      <c r="D12496"/>
      <c r="G12496"/>
    </row>
    <row r="12497" spans="2:7">
      <c r="B12497"/>
      <c r="C12497"/>
      <c r="D12497"/>
      <c r="G12497"/>
    </row>
    <row r="12498" spans="2:7">
      <c r="B12498"/>
      <c r="C12498"/>
      <c r="D12498"/>
      <c r="G12498"/>
    </row>
    <row r="12499" spans="2:7">
      <c r="B12499"/>
      <c r="C12499"/>
      <c r="D12499"/>
      <c r="G12499"/>
    </row>
    <row r="12500" spans="2:7">
      <c r="B12500"/>
      <c r="C12500"/>
      <c r="D12500"/>
      <c r="G12500"/>
    </row>
    <row r="12501" spans="2:7">
      <c r="B12501"/>
      <c r="C12501"/>
      <c r="D12501"/>
      <c r="G12501"/>
    </row>
    <row r="12502" spans="2:7">
      <c r="B12502"/>
      <c r="C12502"/>
      <c r="D12502"/>
      <c r="G12502"/>
    </row>
    <row r="12503" spans="2:7">
      <c r="B12503"/>
      <c r="C12503"/>
      <c r="D12503"/>
      <c r="G12503"/>
    </row>
    <row r="12504" spans="2:7">
      <c r="B12504"/>
      <c r="C12504"/>
      <c r="D12504"/>
      <c r="G12504"/>
    </row>
    <row r="12505" spans="2:7">
      <c r="B12505"/>
      <c r="C12505"/>
      <c r="D12505"/>
      <c r="G12505"/>
    </row>
    <row r="12506" spans="2:7">
      <c r="B12506"/>
      <c r="C12506"/>
      <c r="D12506"/>
      <c r="G12506"/>
    </row>
    <row r="12507" spans="2:7">
      <c r="B12507"/>
      <c r="C12507"/>
      <c r="D12507"/>
      <c r="G12507"/>
    </row>
    <row r="12508" spans="2:7">
      <c r="B12508"/>
      <c r="C12508"/>
      <c r="D12508"/>
      <c r="G12508"/>
    </row>
    <row r="12509" spans="2:7">
      <c r="B12509"/>
      <c r="C12509"/>
      <c r="D12509"/>
      <c r="G12509"/>
    </row>
    <row r="12510" spans="2:7">
      <c r="B12510"/>
      <c r="C12510"/>
      <c r="D12510"/>
      <c r="G12510"/>
    </row>
    <row r="12511" spans="2:7">
      <c r="B12511"/>
      <c r="C12511"/>
      <c r="D12511"/>
      <c r="G12511"/>
    </row>
    <row r="12512" spans="2:7">
      <c r="B12512"/>
      <c r="C12512"/>
      <c r="D12512"/>
      <c r="G12512"/>
    </row>
    <row r="12513" spans="2:7">
      <c r="B12513"/>
      <c r="C12513"/>
      <c r="D12513"/>
      <c r="G12513"/>
    </row>
    <row r="12514" spans="2:7">
      <c r="B12514"/>
      <c r="C12514"/>
      <c r="D12514"/>
      <c r="G12514"/>
    </row>
    <row r="12515" spans="2:7">
      <c r="B12515"/>
      <c r="C12515"/>
      <c r="D12515"/>
      <c r="G12515"/>
    </row>
    <row r="12516" spans="2:7">
      <c r="B12516"/>
      <c r="C12516"/>
      <c r="D12516"/>
      <c r="G12516"/>
    </row>
    <row r="12517" spans="2:7">
      <c r="B12517"/>
      <c r="C12517"/>
      <c r="D12517"/>
      <c r="G12517"/>
    </row>
    <row r="12518" spans="2:7">
      <c r="B12518"/>
      <c r="C12518"/>
      <c r="D12518"/>
      <c r="G12518"/>
    </row>
    <row r="12519" spans="2:7">
      <c r="B12519"/>
      <c r="C12519"/>
      <c r="D12519"/>
      <c r="G12519"/>
    </row>
    <row r="12520" spans="2:7">
      <c r="B12520"/>
      <c r="C12520"/>
      <c r="D12520"/>
      <c r="G12520"/>
    </row>
    <row r="12521" spans="2:7">
      <c r="B12521"/>
      <c r="C12521"/>
      <c r="D12521"/>
      <c r="G12521"/>
    </row>
    <row r="12522" spans="2:7">
      <c r="B12522"/>
      <c r="C12522"/>
      <c r="D12522"/>
      <c r="G12522"/>
    </row>
    <row r="12523" spans="2:7">
      <c r="B12523"/>
      <c r="C12523"/>
      <c r="D12523"/>
      <c r="G12523"/>
    </row>
    <row r="12524" spans="2:7">
      <c r="B12524"/>
      <c r="C12524"/>
      <c r="D12524"/>
      <c r="G12524"/>
    </row>
    <row r="12525" spans="2:7">
      <c r="B12525"/>
      <c r="C12525"/>
      <c r="D12525"/>
      <c r="G12525"/>
    </row>
    <row r="12526" spans="2:7">
      <c r="B12526"/>
      <c r="C12526"/>
      <c r="D12526"/>
      <c r="G12526"/>
    </row>
    <row r="12527" spans="2:7">
      <c r="B12527"/>
      <c r="C12527"/>
      <c r="D12527"/>
      <c r="G12527"/>
    </row>
    <row r="12528" spans="2:7">
      <c r="B12528"/>
      <c r="C12528"/>
      <c r="D12528"/>
      <c r="G12528"/>
    </row>
    <row r="12529" spans="2:7">
      <c r="B12529"/>
      <c r="C12529"/>
      <c r="D12529"/>
      <c r="G12529"/>
    </row>
    <row r="12530" spans="2:7">
      <c r="B12530"/>
      <c r="C12530"/>
      <c r="D12530"/>
      <c r="G12530"/>
    </row>
    <row r="12531" spans="2:7">
      <c r="B12531"/>
      <c r="C12531"/>
      <c r="D12531"/>
      <c r="G12531"/>
    </row>
    <row r="12532" spans="2:7">
      <c r="B12532"/>
      <c r="C12532"/>
      <c r="D12532"/>
      <c r="G12532"/>
    </row>
    <row r="12533" spans="2:7">
      <c r="B12533"/>
      <c r="C12533"/>
      <c r="D12533"/>
      <c r="G12533"/>
    </row>
    <row r="12534" spans="2:7">
      <c r="B12534"/>
      <c r="C12534"/>
      <c r="D12534"/>
      <c r="G12534"/>
    </row>
    <row r="12535" spans="2:7">
      <c r="B12535"/>
      <c r="C12535"/>
      <c r="D12535"/>
      <c r="G12535"/>
    </row>
    <row r="12536" spans="2:7">
      <c r="B12536"/>
      <c r="C12536"/>
      <c r="D12536"/>
      <c r="G12536"/>
    </row>
    <row r="12537" spans="2:7">
      <c r="B12537"/>
      <c r="C12537"/>
      <c r="D12537"/>
      <c r="G12537"/>
    </row>
    <row r="12538" spans="2:7">
      <c r="B12538"/>
      <c r="C12538"/>
      <c r="D12538"/>
      <c r="G12538"/>
    </row>
    <row r="12539" spans="2:7">
      <c r="B12539"/>
      <c r="C12539"/>
      <c r="D12539"/>
      <c r="G12539"/>
    </row>
    <row r="12540" spans="2:7">
      <c r="B12540"/>
      <c r="C12540"/>
      <c r="D12540"/>
      <c r="G12540"/>
    </row>
    <row r="12541" spans="2:7">
      <c r="B12541"/>
      <c r="C12541"/>
      <c r="D12541"/>
      <c r="G12541"/>
    </row>
    <row r="12542" spans="2:7">
      <c r="B12542"/>
      <c r="C12542"/>
      <c r="D12542"/>
      <c r="G12542"/>
    </row>
    <row r="12543" spans="2:7">
      <c r="B12543"/>
      <c r="C12543"/>
      <c r="D12543"/>
      <c r="G12543"/>
    </row>
    <row r="12544" spans="2:7">
      <c r="B12544"/>
      <c r="C12544"/>
      <c r="D12544"/>
      <c r="G12544"/>
    </row>
    <row r="12545" spans="2:7">
      <c r="B12545"/>
      <c r="C12545"/>
      <c r="D12545"/>
      <c r="G12545"/>
    </row>
    <row r="12546" spans="2:7">
      <c r="B12546"/>
      <c r="C12546"/>
      <c r="D12546"/>
      <c r="G12546"/>
    </row>
    <row r="12547" spans="2:7">
      <c r="B12547"/>
      <c r="C12547"/>
      <c r="D12547"/>
      <c r="G12547"/>
    </row>
    <row r="12548" spans="2:7">
      <c r="B12548"/>
      <c r="C12548"/>
      <c r="D12548"/>
      <c r="G12548"/>
    </row>
    <row r="12549" spans="2:7">
      <c r="B12549"/>
      <c r="C12549"/>
      <c r="D12549"/>
      <c r="G12549"/>
    </row>
    <row r="12550" spans="2:7">
      <c r="B12550"/>
      <c r="C12550"/>
      <c r="D12550"/>
      <c r="G12550"/>
    </row>
    <row r="12551" spans="2:7">
      <c r="B12551"/>
      <c r="C12551"/>
      <c r="D12551"/>
      <c r="G12551"/>
    </row>
    <row r="12552" spans="2:7">
      <c r="B12552"/>
      <c r="C12552"/>
      <c r="D12552"/>
      <c r="G12552"/>
    </row>
    <row r="12553" spans="2:7">
      <c r="B12553"/>
      <c r="C12553"/>
      <c r="D12553"/>
      <c r="G12553"/>
    </row>
    <row r="12554" spans="2:7">
      <c r="B12554"/>
      <c r="C12554"/>
      <c r="D12554"/>
      <c r="G12554"/>
    </row>
    <row r="12555" spans="2:7">
      <c r="B12555"/>
      <c r="C12555"/>
      <c r="D12555"/>
      <c r="G12555"/>
    </row>
    <row r="12556" spans="2:7">
      <c r="B12556"/>
      <c r="C12556"/>
      <c r="D12556"/>
      <c r="G12556"/>
    </row>
    <row r="12557" spans="2:7">
      <c r="B12557"/>
      <c r="C12557"/>
      <c r="D12557"/>
      <c r="G12557"/>
    </row>
    <row r="12558" spans="2:7">
      <c r="B12558"/>
      <c r="C12558"/>
      <c r="D12558"/>
      <c r="G12558"/>
    </row>
    <row r="12559" spans="2:7">
      <c r="B12559"/>
      <c r="C12559"/>
      <c r="D12559"/>
      <c r="G12559"/>
    </row>
    <row r="12560" spans="2:7">
      <c r="B12560"/>
      <c r="C12560"/>
      <c r="D12560"/>
      <c r="G12560"/>
    </row>
    <row r="12561" spans="2:7">
      <c r="B12561"/>
      <c r="C12561"/>
      <c r="D12561"/>
      <c r="G12561"/>
    </row>
    <row r="12562" spans="2:7">
      <c r="B12562"/>
      <c r="C12562"/>
      <c r="D12562"/>
      <c r="G12562"/>
    </row>
    <row r="12563" spans="2:7">
      <c r="B12563"/>
      <c r="C12563"/>
      <c r="D12563"/>
      <c r="G12563"/>
    </row>
    <row r="12564" spans="2:7">
      <c r="B12564"/>
      <c r="C12564"/>
      <c r="D12564"/>
      <c r="G12564"/>
    </row>
    <row r="12565" spans="2:7">
      <c r="B12565"/>
      <c r="C12565"/>
      <c r="D12565"/>
      <c r="G12565"/>
    </row>
    <row r="12566" spans="2:7">
      <c r="B12566"/>
      <c r="C12566"/>
      <c r="D12566"/>
      <c r="G12566"/>
    </row>
    <row r="12567" spans="2:7">
      <c r="B12567"/>
      <c r="C12567"/>
      <c r="D12567"/>
      <c r="G12567"/>
    </row>
    <row r="12568" spans="2:7">
      <c r="B12568"/>
      <c r="C12568"/>
      <c r="D12568"/>
      <c r="G12568"/>
    </row>
    <row r="12569" spans="2:7">
      <c r="B12569"/>
      <c r="C12569"/>
      <c r="D12569"/>
      <c r="G12569"/>
    </row>
    <row r="12570" spans="2:7">
      <c r="B12570"/>
      <c r="C12570"/>
      <c r="D12570"/>
      <c r="G12570"/>
    </row>
    <row r="12571" spans="2:7">
      <c r="B12571"/>
      <c r="C12571"/>
      <c r="D12571"/>
      <c r="G12571"/>
    </row>
    <row r="12572" spans="2:7">
      <c r="B12572"/>
      <c r="C12572"/>
      <c r="D12572"/>
      <c r="G12572"/>
    </row>
    <row r="12573" spans="2:7">
      <c r="B12573"/>
      <c r="C12573"/>
      <c r="D12573"/>
      <c r="G12573"/>
    </row>
    <row r="12574" spans="2:7">
      <c r="B12574"/>
      <c r="C12574"/>
      <c r="D12574"/>
      <c r="G12574"/>
    </row>
    <row r="12575" spans="2:7">
      <c r="B12575"/>
      <c r="C12575"/>
      <c r="D12575"/>
      <c r="G12575"/>
    </row>
    <row r="12576" spans="2:7">
      <c r="B12576"/>
      <c r="C12576"/>
      <c r="D12576"/>
      <c r="G12576"/>
    </row>
    <row r="12577" spans="2:7">
      <c r="B12577"/>
      <c r="C12577"/>
      <c r="D12577"/>
      <c r="G12577"/>
    </row>
    <row r="12578" spans="2:7">
      <c r="B12578"/>
      <c r="C12578"/>
      <c r="D12578"/>
      <c r="G12578"/>
    </row>
    <row r="12579" spans="2:7">
      <c r="B12579"/>
      <c r="C12579"/>
      <c r="D12579"/>
      <c r="G12579"/>
    </row>
    <row r="12580" spans="2:7">
      <c r="B12580"/>
      <c r="C12580"/>
      <c r="D12580"/>
      <c r="G12580"/>
    </row>
    <row r="12581" spans="2:7">
      <c r="B12581"/>
      <c r="C12581"/>
      <c r="D12581"/>
      <c r="G12581"/>
    </row>
    <row r="12582" spans="2:7">
      <c r="B12582"/>
      <c r="C12582"/>
      <c r="D12582"/>
      <c r="G12582"/>
    </row>
    <row r="12583" spans="2:7">
      <c r="B12583"/>
      <c r="C12583"/>
      <c r="D12583"/>
      <c r="G12583"/>
    </row>
    <row r="12584" spans="2:7">
      <c r="B12584"/>
      <c r="C12584"/>
      <c r="D12584"/>
      <c r="G12584"/>
    </row>
    <row r="12585" spans="2:7">
      <c r="B12585"/>
      <c r="C12585"/>
      <c r="D12585"/>
      <c r="G12585"/>
    </row>
    <row r="12586" spans="2:7">
      <c r="B12586"/>
      <c r="C12586"/>
      <c r="D12586"/>
      <c r="G12586"/>
    </row>
    <row r="12587" spans="2:7">
      <c r="B12587"/>
      <c r="C12587"/>
      <c r="D12587"/>
      <c r="G12587"/>
    </row>
    <row r="12588" spans="2:7">
      <c r="B12588"/>
      <c r="C12588"/>
      <c r="D12588"/>
      <c r="G12588"/>
    </row>
    <row r="12589" spans="2:7">
      <c r="B12589"/>
      <c r="C12589"/>
      <c r="D12589"/>
      <c r="G12589"/>
    </row>
    <row r="12590" spans="2:7">
      <c r="B12590"/>
      <c r="C12590"/>
      <c r="D12590"/>
      <c r="G12590"/>
    </row>
    <row r="12591" spans="2:7">
      <c r="B12591"/>
      <c r="C12591"/>
      <c r="D12591"/>
      <c r="G12591"/>
    </row>
    <row r="12592" spans="2:7">
      <c r="B12592"/>
      <c r="C12592"/>
      <c r="D12592"/>
      <c r="G12592"/>
    </row>
    <row r="12593" spans="2:7">
      <c r="B12593"/>
      <c r="C12593"/>
      <c r="D12593"/>
      <c r="G12593"/>
    </row>
    <row r="12594" spans="2:7">
      <c r="B12594"/>
      <c r="C12594"/>
      <c r="D12594"/>
      <c r="G12594"/>
    </row>
    <row r="12595" spans="2:7">
      <c r="B12595"/>
      <c r="C12595"/>
      <c r="D12595"/>
      <c r="G12595"/>
    </row>
    <row r="12596" spans="2:7">
      <c r="B12596"/>
      <c r="C12596"/>
      <c r="D12596"/>
      <c r="G12596"/>
    </row>
    <row r="12597" spans="2:7">
      <c r="B12597"/>
      <c r="C12597"/>
      <c r="D12597"/>
      <c r="G12597"/>
    </row>
    <row r="12598" spans="2:7">
      <c r="B12598"/>
      <c r="C12598"/>
      <c r="D12598"/>
      <c r="G12598"/>
    </row>
    <row r="12599" spans="2:7">
      <c r="B12599"/>
      <c r="C12599"/>
      <c r="D12599"/>
      <c r="G12599"/>
    </row>
    <row r="12600" spans="2:7">
      <c r="B12600"/>
      <c r="C12600"/>
      <c r="D12600"/>
      <c r="G12600"/>
    </row>
    <row r="12601" spans="2:7">
      <c r="B12601"/>
      <c r="C12601"/>
      <c r="D12601"/>
      <c r="G12601"/>
    </row>
    <row r="12602" spans="2:7">
      <c r="B12602"/>
      <c r="C12602"/>
      <c r="D12602"/>
      <c r="G12602"/>
    </row>
    <row r="12603" spans="2:7">
      <c r="B12603"/>
      <c r="C12603"/>
      <c r="D12603"/>
      <c r="G12603"/>
    </row>
    <row r="12604" spans="2:7">
      <c r="B12604"/>
      <c r="C12604"/>
      <c r="D12604"/>
      <c r="G12604"/>
    </row>
    <row r="12605" spans="2:7">
      <c r="B12605"/>
      <c r="C12605"/>
      <c r="D12605"/>
      <c r="G12605"/>
    </row>
    <row r="12606" spans="2:7">
      <c r="B12606"/>
      <c r="C12606"/>
      <c r="D12606"/>
      <c r="G12606"/>
    </row>
    <row r="12607" spans="2:7">
      <c r="B12607"/>
      <c r="C12607"/>
      <c r="D12607"/>
      <c r="G12607"/>
    </row>
    <row r="12608" spans="2:7">
      <c r="B12608"/>
      <c r="C12608"/>
      <c r="D12608"/>
      <c r="G12608"/>
    </row>
    <row r="12609" spans="2:7">
      <c r="B12609"/>
      <c r="C12609"/>
      <c r="D12609"/>
      <c r="G12609"/>
    </row>
    <row r="12610" spans="2:7">
      <c r="B12610"/>
      <c r="C12610"/>
      <c r="D12610"/>
      <c r="G12610"/>
    </row>
    <row r="12611" spans="2:7">
      <c r="B12611"/>
      <c r="C12611"/>
      <c r="D12611"/>
      <c r="G12611"/>
    </row>
    <row r="12612" spans="2:7">
      <c r="B12612"/>
      <c r="C12612"/>
      <c r="D12612"/>
      <c r="G12612"/>
    </row>
    <row r="12613" spans="2:7">
      <c r="B12613"/>
      <c r="C12613"/>
      <c r="D12613"/>
      <c r="G12613"/>
    </row>
    <row r="12614" spans="2:7">
      <c r="B12614"/>
      <c r="C12614"/>
      <c r="D12614"/>
      <c r="G12614"/>
    </row>
    <row r="12615" spans="2:7">
      <c r="B12615"/>
      <c r="C12615"/>
      <c r="D12615"/>
      <c r="G12615"/>
    </row>
    <row r="12616" spans="2:7">
      <c r="B12616"/>
      <c r="C12616"/>
      <c r="D12616"/>
      <c r="G12616"/>
    </row>
    <row r="12617" spans="2:7">
      <c r="B12617"/>
      <c r="C12617"/>
      <c r="D12617"/>
      <c r="G12617"/>
    </row>
    <row r="12618" spans="2:7">
      <c r="B12618"/>
      <c r="C12618"/>
      <c r="D12618"/>
      <c r="G12618"/>
    </row>
    <row r="12619" spans="2:7">
      <c r="B12619"/>
      <c r="C12619"/>
      <c r="D12619"/>
      <c r="G12619"/>
    </row>
    <row r="12620" spans="2:7">
      <c r="B12620"/>
      <c r="C12620"/>
      <c r="D12620"/>
      <c r="G12620"/>
    </row>
    <row r="12621" spans="2:7">
      <c r="B12621"/>
      <c r="C12621"/>
      <c r="D12621"/>
      <c r="G12621"/>
    </row>
    <row r="12622" spans="2:7">
      <c r="B12622"/>
      <c r="C12622"/>
      <c r="D12622"/>
      <c r="G12622"/>
    </row>
    <row r="12623" spans="2:7">
      <c r="B12623"/>
      <c r="C12623"/>
      <c r="D12623"/>
      <c r="G12623"/>
    </row>
    <row r="12624" spans="2:7">
      <c r="B12624"/>
      <c r="C12624"/>
      <c r="D12624"/>
      <c r="G12624"/>
    </row>
    <row r="12625" spans="2:7">
      <c r="B12625"/>
      <c r="C12625"/>
      <c r="D12625"/>
      <c r="G12625"/>
    </row>
    <row r="12626" spans="2:7">
      <c r="B12626"/>
      <c r="C12626"/>
      <c r="D12626"/>
      <c r="G12626"/>
    </row>
    <row r="12627" spans="2:7">
      <c r="B12627"/>
      <c r="C12627"/>
      <c r="D12627"/>
      <c r="G12627"/>
    </row>
    <row r="12628" spans="2:7">
      <c r="B12628"/>
      <c r="C12628"/>
      <c r="D12628"/>
      <c r="G12628"/>
    </row>
    <row r="12629" spans="2:7">
      <c r="B12629"/>
      <c r="C12629"/>
      <c r="D12629"/>
      <c r="G12629"/>
    </row>
    <row r="12630" spans="2:7">
      <c r="B12630"/>
      <c r="C12630"/>
      <c r="D12630"/>
      <c r="G12630"/>
    </row>
    <row r="12631" spans="2:7">
      <c r="B12631"/>
      <c r="C12631"/>
      <c r="D12631"/>
      <c r="G12631"/>
    </row>
    <row r="12632" spans="2:7">
      <c r="B12632"/>
      <c r="C12632"/>
      <c r="D12632"/>
      <c r="G12632"/>
    </row>
    <row r="12633" spans="2:7">
      <c r="B12633"/>
      <c r="C12633"/>
      <c r="D12633"/>
      <c r="G12633"/>
    </row>
    <row r="12634" spans="2:7">
      <c r="B12634"/>
      <c r="C12634"/>
      <c r="D12634"/>
      <c r="G12634"/>
    </row>
    <row r="12635" spans="2:7">
      <c r="B12635"/>
      <c r="C12635"/>
      <c r="D12635"/>
      <c r="G12635"/>
    </row>
    <row r="12636" spans="2:7">
      <c r="B12636"/>
      <c r="C12636"/>
      <c r="D12636"/>
      <c r="G12636"/>
    </row>
    <row r="12637" spans="2:7">
      <c r="B12637"/>
      <c r="C12637"/>
      <c r="D12637"/>
      <c r="G12637"/>
    </row>
    <row r="12638" spans="2:7">
      <c r="B12638"/>
      <c r="C12638"/>
      <c r="D12638"/>
      <c r="G12638"/>
    </row>
    <row r="12639" spans="2:7">
      <c r="B12639"/>
      <c r="C12639"/>
      <c r="D12639"/>
      <c r="G12639"/>
    </row>
    <row r="12640" spans="2:7">
      <c r="B12640"/>
      <c r="C12640"/>
      <c r="D12640"/>
      <c r="G12640"/>
    </row>
    <row r="12641" spans="2:7">
      <c r="B12641"/>
      <c r="C12641"/>
      <c r="D12641"/>
      <c r="G12641"/>
    </row>
    <row r="12642" spans="2:7">
      <c r="B12642"/>
      <c r="C12642"/>
      <c r="D12642"/>
      <c r="G12642"/>
    </row>
    <row r="12643" spans="2:7">
      <c r="B12643"/>
      <c r="C12643"/>
      <c r="D12643"/>
      <c r="G12643"/>
    </row>
    <row r="12644" spans="2:7">
      <c r="B12644"/>
      <c r="C12644"/>
      <c r="D12644"/>
      <c r="G12644"/>
    </row>
    <row r="12645" spans="2:7">
      <c r="B12645"/>
      <c r="C12645"/>
      <c r="D12645"/>
      <c r="G12645"/>
    </row>
    <row r="12646" spans="2:7">
      <c r="B12646"/>
      <c r="C12646"/>
      <c r="D12646"/>
      <c r="G12646"/>
    </row>
    <row r="12647" spans="2:7">
      <c r="B12647"/>
      <c r="C12647"/>
      <c r="D12647"/>
      <c r="G12647"/>
    </row>
    <row r="12648" spans="2:7">
      <c r="B12648"/>
      <c r="C12648"/>
      <c r="D12648"/>
      <c r="G12648"/>
    </row>
    <row r="12649" spans="2:7">
      <c r="B12649"/>
      <c r="C12649"/>
      <c r="D12649"/>
      <c r="G12649"/>
    </row>
    <row r="12650" spans="2:7">
      <c r="B12650"/>
      <c r="C12650"/>
      <c r="D12650"/>
      <c r="G12650"/>
    </row>
    <row r="12651" spans="2:7">
      <c r="B12651"/>
      <c r="C12651"/>
      <c r="D12651"/>
      <c r="G12651"/>
    </row>
    <row r="12652" spans="2:7">
      <c r="B12652"/>
      <c r="C12652"/>
      <c r="D12652"/>
      <c r="G12652"/>
    </row>
    <row r="12653" spans="2:7">
      <c r="B12653"/>
      <c r="C12653"/>
      <c r="D12653"/>
      <c r="G12653"/>
    </row>
    <row r="12654" spans="2:7">
      <c r="B12654"/>
      <c r="C12654"/>
      <c r="D12654"/>
      <c r="G12654"/>
    </row>
    <row r="12655" spans="2:7">
      <c r="B12655"/>
      <c r="C12655"/>
      <c r="D12655"/>
      <c r="G12655"/>
    </row>
    <row r="12656" spans="2:7">
      <c r="B12656"/>
      <c r="C12656"/>
      <c r="D12656"/>
      <c r="G12656"/>
    </row>
    <row r="12657" spans="2:7">
      <c r="B12657"/>
      <c r="C12657"/>
      <c r="D12657"/>
      <c r="G12657"/>
    </row>
    <row r="12658" spans="2:7">
      <c r="B12658"/>
      <c r="C12658"/>
      <c r="D12658"/>
      <c r="G12658"/>
    </row>
    <row r="12659" spans="2:7">
      <c r="B12659"/>
      <c r="C12659"/>
      <c r="D12659"/>
      <c r="G12659"/>
    </row>
    <row r="12660" spans="2:7">
      <c r="B12660"/>
      <c r="C12660"/>
      <c r="D12660"/>
      <c r="G12660"/>
    </row>
    <row r="12661" spans="2:7">
      <c r="B12661"/>
      <c r="C12661"/>
      <c r="D12661"/>
      <c r="G12661"/>
    </row>
    <row r="12662" spans="2:7">
      <c r="B12662"/>
      <c r="C12662"/>
      <c r="D12662"/>
      <c r="G12662"/>
    </row>
    <row r="12663" spans="2:7">
      <c r="B12663"/>
      <c r="C12663"/>
      <c r="D12663"/>
      <c r="G12663"/>
    </row>
    <row r="12664" spans="2:7">
      <c r="B12664"/>
      <c r="C12664"/>
      <c r="D12664"/>
      <c r="G12664"/>
    </row>
    <row r="12665" spans="2:7">
      <c r="B12665"/>
      <c r="C12665"/>
      <c r="D12665"/>
      <c r="G12665"/>
    </row>
    <row r="12666" spans="2:7">
      <c r="B12666"/>
      <c r="C12666"/>
      <c r="D12666"/>
      <c r="G12666"/>
    </row>
    <row r="12667" spans="2:7">
      <c r="B12667"/>
      <c r="C12667"/>
      <c r="D12667"/>
      <c r="G12667"/>
    </row>
    <row r="12668" spans="2:7">
      <c r="B12668"/>
      <c r="C12668"/>
      <c r="D12668"/>
      <c r="G12668"/>
    </row>
    <row r="12669" spans="2:7">
      <c r="B12669"/>
      <c r="C12669"/>
      <c r="D12669"/>
      <c r="G12669"/>
    </row>
    <row r="12670" spans="2:7">
      <c r="B12670"/>
      <c r="C12670"/>
      <c r="D12670"/>
      <c r="G12670"/>
    </row>
    <row r="12671" spans="2:7">
      <c r="B12671"/>
      <c r="C12671"/>
      <c r="D12671"/>
      <c r="G12671"/>
    </row>
    <row r="12672" spans="2:7">
      <c r="B12672"/>
      <c r="C12672"/>
      <c r="D12672"/>
      <c r="G12672"/>
    </row>
    <row r="12673" spans="2:7">
      <c r="B12673"/>
      <c r="C12673"/>
      <c r="D12673"/>
      <c r="G12673"/>
    </row>
    <row r="12674" spans="2:7">
      <c r="B12674"/>
      <c r="C12674"/>
      <c r="D12674"/>
      <c r="G12674"/>
    </row>
    <row r="12675" spans="2:7">
      <c r="B12675"/>
      <c r="C12675"/>
      <c r="D12675"/>
      <c r="G12675"/>
    </row>
    <row r="12676" spans="2:7">
      <c r="B12676"/>
      <c r="C12676"/>
      <c r="D12676"/>
      <c r="G12676"/>
    </row>
    <row r="12677" spans="2:7">
      <c r="B12677"/>
      <c r="C12677"/>
      <c r="D12677"/>
      <c r="G12677"/>
    </row>
    <row r="12678" spans="2:7">
      <c r="B12678"/>
      <c r="C12678"/>
      <c r="D12678"/>
      <c r="G12678"/>
    </row>
    <row r="12679" spans="2:7">
      <c r="B12679"/>
      <c r="C12679"/>
      <c r="D12679"/>
      <c r="G12679"/>
    </row>
    <row r="12680" spans="2:7">
      <c r="B12680"/>
      <c r="C12680"/>
      <c r="D12680"/>
      <c r="G12680"/>
    </row>
    <row r="12681" spans="2:7">
      <c r="B12681"/>
      <c r="C12681"/>
      <c r="D12681"/>
      <c r="G12681"/>
    </row>
    <row r="12682" spans="2:7">
      <c r="B12682"/>
      <c r="C12682"/>
      <c r="D12682"/>
      <c r="G12682"/>
    </row>
    <row r="12683" spans="2:7">
      <c r="B12683"/>
      <c r="C12683"/>
      <c r="D12683"/>
      <c r="G12683"/>
    </row>
    <row r="12684" spans="2:7">
      <c r="B12684"/>
      <c r="C12684"/>
      <c r="D12684"/>
      <c r="G12684"/>
    </row>
    <row r="12685" spans="2:7">
      <c r="B12685"/>
      <c r="C12685"/>
      <c r="D12685"/>
      <c r="G12685"/>
    </row>
    <row r="12686" spans="2:7">
      <c r="B12686"/>
      <c r="C12686"/>
      <c r="D12686"/>
      <c r="G12686"/>
    </row>
    <row r="12687" spans="2:7">
      <c r="B12687"/>
      <c r="C12687"/>
      <c r="D12687"/>
      <c r="G12687"/>
    </row>
    <row r="12688" spans="2:7">
      <c r="B12688"/>
      <c r="C12688"/>
      <c r="D12688"/>
      <c r="G12688"/>
    </row>
    <row r="12689" spans="2:7">
      <c r="B12689"/>
      <c r="C12689"/>
      <c r="D12689"/>
      <c r="G12689"/>
    </row>
    <row r="12690" spans="2:7">
      <c r="B12690"/>
      <c r="C12690"/>
      <c r="D12690"/>
      <c r="G12690"/>
    </row>
    <row r="12691" spans="2:7">
      <c r="B12691"/>
      <c r="C12691"/>
      <c r="D12691"/>
      <c r="G12691"/>
    </row>
    <row r="12692" spans="2:7">
      <c r="B12692"/>
      <c r="C12692"/>
      <c r="D12692"/>
      <c r="G12692"/>
    </row>
    <row r="12693" spans="2:7">
      <c r="B12693"/>
      <c r="C12693"/>
      <c r="D12693"/>
      <c r="G12693"/>
    </row>
    <row r="12694" spans="2:7">
      <c r="B12694"/>
      <c r="C12694"/>
      <c r="D12694"/>
      <c r="G12694"/>
    </row>
    <row r="12695" spans="2:7">
      <c r="B12695"/>
      <c r="C12695"/>
      <c r="D12695"/>
      <c r="G12695"/>
    </row>
    <row r="12696" spans="2:7">
      <c r="B12696"/>
      <c r="C12696"/>
      <c r="D12696"/>
      <c r="G12696"/>
    </row>
    <row r="12697" spans="2:7">
      <c r="B12697"/>
      <c r="C12697"/>
      <c r="D12697"/>
      <c r="G12697"/>
    </row>
    <row r="12698" spans="2:7">
      <c r="B12698"/>
      <c r="C12698"/>
      <c r="D12698"/>
      <c r="G12698"/>
    </row>
    <row r="12699" spans="2:7">
      <c r="B12699"/>
      <c r="C12699"/>
      <c r="D12699"/>
      <c r="G12699"/>
    </row>
    <row r="12700" spans="2:7">
      <c r="B12700"/>
      <c r="C12700"/>
      <c r="D12700"/>
      <c r="G12700"/>
    </row>
    <row r="12701" spans="2:7">
      <c r="B12701"/>
      <c r="C12701"/>
      <c r="D12701"/>
      <c r="G12701"/>
    </row>
    <row r="12702" spans="2:7">
      <c r="B12702"/>
      <c r="C12702"/>
      <c r="D12702"/>
      <c r="G12702"/>
    </row>
    <row r="12703" spans="2:7">
      <c r="B12703"/>
      <c r="C12703"/>
      <c r="D12703"/>
      <c r="G12703"/>
    </row>
    <row r="12704" spans="2:7">
      <c r="B12704"/>
      <c r="C12704"/>
      <c r="D12704"/>
      <c r="G12704"/>
    </row>
    <row r="12705" spans="2:7">
      <c r="B12705"/>
      <c r="C12705"/>
      <c r="D12705"/>
      <c r="G12705"/>
    </row>
    <row r="12706" spans="2:7">
      <c r="B12706"/>
      <c r="C12706"/>
      <c r="D12706"/>
      <c r="G12706"/>
    </row>
    <row r="12707" spans="2:7">
      <c r="B12707"/>
      <c r="C12707"/>
      <c r="D12707"/>
      <c r="G12707"/>
    </row>
    <row r="12708" spans="2:7">
      <c r="B12708"/>
      <c r="C12708"/>
      <c r="D12708"/>
      <c r="G12708"/>
    </row>
    <row r="12709" spans="2:7">
      <c r="B12709"/>
      <c r="C12709"/>
      <c r="D12709"/>
      <c r="G12709"/>
    </row>
    <row r="12710" spans="2:7">
      <c r="B12710"/>
      <c r="C12710"/>
      <c r="D12710"/>
      <c r="G12710"/>
    </row>
    <row r="12711" spans="2:7">
      <c r="B12711"/>
      <c r="C12711"/>
      <c r="D12711"/>
      <c r="G12711"/>
    </row>
    <row r="12712" spans="2:7">
      <c r="B12712"/>
      <c r="C12712"/>
      <c r="D12712"/>
      <c r="G12712"/>
    </row>
    <row r="12713" spans="2:7">
      <c r="B12713"/>
      <c r="C12713"/>
      <c r="D12713"/>
      <c r="G12713"/>
    </row>
    <row r="12714" spans="2:7">
      <c r="B12714"/>
      <c r="C12714"/>
      <c r="D12714"/>
      <c r="G12714"/>
    </row>
    <row r="12715" spans="2:7">
      <c r="B12715"/>
      <c r="C12715"/>
      <c r="D12715"/>
      <c r="G12715"/>
    </row>
    <row r="12716" spans="2:7">
      <c r="B12716"/>
      <c r="C12716"/>
      <c r="D12716"/>
      <c r="G12716"/>
    </row>
    <row r="12717" spans="2:7">
      <c r="B12717"/>
      <c r="C12717"/>
      <c r="D12717"/>
      <c r="G12717"/>
    </row>
    <row r="12718" spans="2:7">
      <c r="B12718"/>
      <c r="C12718"/>
      <c r="D12718"/>
      <c r="G12718"/>
    </row>
    <row r="12719" spans="2:7">
      <c r="B12719"/>
      <c r="C12719"/>
      <c r="D12719"/>
      <c r="G12719"/>
    </row>
    <row r="12720" spans="2:7">
      <c r="B12720"/>
      <c r="C12720"/>
      <c r="D12720"/>
      <c r="G12720"/>
    </row>
    <row r="12721" spans="2:7">
      <c r="B12721"/>
      <c r="C12721"/>
      <c r="D12721"/>
      <c r="G12721"/>
    </row>
    <row r="12722" spans="2:7">
      <c r="B12722"/>
      <c r="C12722"/>
      <c r="D12722"/>
      <c r="G12722"/>
    </row>
    <row r="12723" spans="2:7">
      <c r="B12723"/>
      <c r="C12723"/>
      <c r="D12723"/>
      <c r="G12723"/>
    </row>
    <row r="12724" spans="2:7">
      <c r="B12724"/>
      <c r="C12724"/>
      <c r="D12724"/>
      <c r="G12724"/>
    </row>
    <row r="12725" spans="2:7">
      <c r="B12725"/>
      <c r="C12725"/>
      <c r="D12725"/>
      <c r="G12725"/>
    </row>
    <row r="12726" spans="2:7">
      <c r="B12726"/>
      <c r="C12726"/>
      <c r="D12726"/>
      <c r="G12726"/>
    </row>
    <row r="12727" spans="2:7">
      <c r="B12727"/>
      <c r="C12727"/>
      <c r="D12727"/>
      <c r="G12727"/>
    </row>
    <row r="12728" spans="2:7">
      <c r="B12728"/>
      <c r="C12728"/>
      <c r="D12728"/>
      <c r="G12728"/>
    </row>
    <row r="12729" spans="2:7">
      <c r="B12729"/>
      <c r="C12729"/>
      <c r="D12729"/>
      <c r="G12729"/>
    </row>
    <row r="12730" spans="2:7">
      <c r="B12730"/>
      <c r="C12730"/>
      <c r="D12730"/>
      <c r="G12730"/>
    </row>
    <row r="12731" spans="2:7">
      <c r="B12731"/>
      <c r="C12731"/>
      <c r="D12731"/>
      <c r="G12731"/>
    </row>
    <row r="12732" spans="2:7">
      <c r="B12732"/>
      <c r="C12732"/>
      <c r="D12732"/>
      <c r="G12732"/>
    </row>
    <row r="12733" spans="2:7">
      <c r="B12733"/>
      <c r="C12733"/>
      <c r="D12733"/>
      <c r="G12733"/>
    </row>
    <row r="12734" spans="2:7">
      <c r="B12734"/>
      <c r="C12734"/>
      <c r="D12734"/>
      <c r="G12734"/>
    </row>
    <row r="12735" spans="2:7">
      <c r="B12735"/>
      <c r="C12735"/>
      <c r="D12735"/>
      <c r="G12735"/>
    </row>
    <row r="12736" spans="2:7">
      <c r="B12736"/>
      <c r="C12736"/>
      <c r="D12736"/>
      <c r="G12736"/>
    </row>
    <row r="12737" spans="2:7">
      <c r="B12737"/>
      <c r="C12737"/>
      <c r="D12737"/>
      <c r="G12737"/>
    </row>
    <row r="12738" spans="2:7">
      <c r="B12738"/>
      <c r="C12738"/>
      <c r="D12738"/>
      <c r="G12738"/>
    </row>
    <row r="12739" spans="2:7">
      <c r="B12739"/>
      <c r="C12739"/>
      <c r="D12739"/>
      <c r="G12739"/>
    </row>
    <row r="12740" spans="2:7">
      <c r="B12740"/>
      <c r="C12740"/>
      <c r="D12740"/>
      <c r="G12740"/>
    </row>
    <row r="12741" spans="2:7">
      <c r="B12741"/>
      <c r="C12741"/>
      <c r="D12741"/>
      <c r="G12741"/>
    </row>
    <row r="12742" spans="2:7">
      <c r="B12742"/>
      <c r="C12742"/>
      <c r="D12742"/>
      <c r="G12742"/>
    </row>
    <row r="12743" spans="2:7">
      <c r="B12743"/>
      <c r="C12743"/>
      <c r="D12743"/>
      <c r="G12743"/>
    </row>
    <row r="12744" spans="2:7">
      <c r="B12744"/>
      <c r="C12744"/>
      <c r="D12744"/>
      <c r="G12744"/>
    </row>
    <row r="12745" spans="2:7">
      <c r="B12745"/>
      <c r="C12745"/>
      <c r="D12745"/>
      <c r="G12745"/>
    </row>
    <row r="12746" spans="2:7">
      <c r="B12746"/>
      <c r="C12746"/>
      <c r="D12746"/>
      <c r="G12746"/>
    </row>
    <row r="12747" spans="2:7">
      <c r="B12747"/>
      <c r="C12747"/>
      <c r="D12747"/>
      <c r="G12747"/>
    </row>
    <row r="12748" spans="2:7">
      <c r="B12748"/>
      <c r="C12748"/>
      <c r="D12748"/>
      <c r="G12748"/>
    </row>
    <row r="12749" spans="2:7">
      <c r="B12749"/>
      <c r="C12749"/>
      <c r="D12749"/>
      <c r="G12749"/>
    </row>
    <row r="12750" spans="2:7">
      <c r="B12750"/>
      <c r="C12750"/>
      <c r="D12750"/>
      <c r="G12750"/>
    </row>
    <row r="12751" spans="2:7">
      <c r="B12751"/>
      <c r="C12751"/>
      <c r="D12751"/>
      <c r="G12751"/>
    </row>
    <row r="12752" spans="2:7">
      <c r="B12752"/>
      <c r="C12752"/>
      <c r="D12752"/>
      <c r="G12752"/>
    </row>
    <row r="12753" spans="2:7">
      <c r="B12753"/>
      <c r="C12753"/>
      <c r="D12753"/>
      <c r="G12753"/>
    </row>
    <row r="12754" spans="2:7">
      <c r="B12754"/>
      <c r="C12754"/>
      <c r="D12754"/>
      <c r="G12754"/>
    </row>
    <row r="12755" spans="2:7">
      <c r="B12755"/>
      <c r="C12755"/>
      <c r="D12755"/>
      <c r="G12755"/>
    </row>
    <row r="12756" spans="2:7">
      <c r="B12756"/>
      <c r="C12756"/>
      <c r="D12756"/>
      <c r="G12756"/>
    </row>
    <row r="12757" spans="2:7">
      <c r="B12757"/>
      <c r="C12757"/>
      <c r="D12757"/>
      <c r="G12757"/>
    </row>
    <row r="12758" spans="2:7">
      <c r="B12758"/>
      <c r="C12758"/>
      <c r="D12758"/>
      <c r="G12758"/>
    </row>
    <row r="12759" spans="2:7">
      <c r="B12759"/>
      <c r="C12759"/>
      <c r="D12759"/>
      <c r="G12759"/>
    </row>
    <row r="12760" spans="2:7">
      <c r="B12760"/>
      <c r="C12760"/>
      <c r="D12760"/>
      <c r="G12760"/>
    </row>
    <row r="12761" spans="2:7">
      <c r="B12761"/>
      <c r="C12761"/>
      <c r="D12761"/>
      <c r="G12761"/>
    </row>
    <row r="12762" spans="2:7">
      <c r="B12762"/>
      <c r="C12762"/>
      <c r="D12762"/>
      <c r="G12762"/>
    </row>
    <row r="12763" spans="2:7">
      <c r="B12763"/>
      <c r="C12763"/>
      <c r="D12763"/>
      <c r="G12763"/>
    </row>
    <row r="12764" spans="2:7">
      <c r="B12764"/>
      <c r="C12764"/>
      <c r="D12764"/>
      <c r="G12764"/>
    </row>
    <row r="12765" spans="2:7">
      <c r="B12765"/>
      <c r="C12765"/>
      <c r="D12765"/>
      <c r="G12765"/>
    </row>
    <row r="12766" spans="2:7">
      <c r="B12766"/>
      <c r="C12766"/>
      <c r="D12766"/>
      <c r="G12766"/>
    </row>
    <row r="12767" spans="2:7">
      <c r="B12767"/>
      <c r="C12767"/>
      <c r="D12767"/>
      <c r="G12767"/>
    </row>
    <row r="12768" spans="2:7">
      <c r="B12768"/>
      <c r="C12768"/>
      <c r="D12768"/>
      <c r="G12768"/>
    </row>
    <row r="12769" spans="2:7">
      <c r="B12769"/>
      <c r="C12769"/>
      <c r="D12769"/>
      <c r="G12769"/>
    </row>
    <row r="12770" spans="2:7">
      <c r="B12770"/>
      <c r="C12770"/>
      <c r="D12770"/>
      <c r="G12770"/>
    </row>
    <row r="12771" spans="2:7">
      <c r="B12771"/>
      <c r="C12771"/>
      <c r="D12771"/>
      <c r="G12771"/>
    </row>
    <row r="12772" spans="2:7">
      <c r="B12772"/>
      <c r="C12772"/>
      <c r="D12772"/>
      <c r="G12772"/>
    </row>
    <row r="12773" spans="2:7">
      <c r="B12773"/>
      <c r="C12773"/>
      <c r="D12773"/>
      <c r="G12773"/>
    </row>
    <row r="12774" spans="2:7">
      <c r="B12774"/>
      <c r="C12774"/>
      <c r="D12774"/>
      <c r="G12774"/>
    </row>
    <row r="12775" spans="2:7">
      <c r="B12775"/>
      <c r="C12775"/>
      <c r="D12775"/>
      <c r="G12775"/>
    </row>
    <row r="12776" spans="2:7">
      <c r="B12776"/>
      <c r="C12776"/>
      <c r="D12776"/>
      <c r="G12776"/>
    </row>
    <row r="12777" spans="2:7">
      <c r="B12777"/>
      <c r="C12777"/>
      <c r="D12777"/>
      <c r="G12777"/>
    </row>
    <row r="12778" spans="2:7">
      <c r="B12778"/>
      <c r="C12778"/>
      <c r="D12778"/>
      <c r="G12778"/>
    </row>
    <row r="12779" spans="2:7">
      <c r="B12779"/>
      <c r="C12779"/>
      <c r="D12779"/>
      <c r="G12779"/>
    </row>
    <row r="12780" spans="2:7">
      <c r="B12780"/>
      <c r="C12780"/>
      <c r="D12780"/>
      <c r="G12780"/>
    </row>
    <row r="12781" spans="2:7">
      <c r="B12781"/>
      <c r="C12781"/>
      <c r="D12781"/>
      <c r="G12781"/>
    </row>
    <row r="12782" spans="2:7">
      <c r="B12782"/>
      <c r="C12782"/>
      <c r="D12782"/>
      <c r="G12782"/>
    </row>
    <row r="12783" spans="2:7">
      <c r="B12783"/>
      <c r="C12783"/>
      <c r="D12783"/>
      <c r="G12783"/>
    </row>
    <row r="12784" spans="2:7">
      <c r="B12784"/>
      <c r="C12784"/>
      <c r="D12784"/>
      <c r="G12784"/>
    </row>
    <row r="12785" spans="2:7">
      <c r="B12785"/>
      <c r="C12785"/>
      <c r="D12785"/>
      <c r="G12785"/>
    </row>
    <row r="12786" spans="2:7">
      <c r="B12786"/>
      <c r="C12786"/>
      <c r="D12786"/>
      <c r="G12786"/>
    </row>
    <row r="12787" spans="2:7">
      <c r="B12787"/>
      <c r="C12787"/>
      <c r="D12787"/>
      <c r="G12787"/>
    </row>
    <row r="12788" spans="2:7">
      <c r="B12788"/>
      <c r="C12788"/>
      <c r="D12788"/>
      <c r="G12788"/>
    </row>
    <row r="12789" spans="2:7">
      <c r="B12789"/>
      <c r="C12789"/>
      <c r="D12789"/>
      <c r="G12789"/>
    </row>
    <row r="12790" spans="2:7">
      <c r="B12790"/>
      <c r="C12790"/>
      <c r="D12790"/>
      <c r="G12790"/>
    </row>
    <row r="12791" spans="2:7">
      <c r="B12791"/>
      <c r="C12791"/>
      <c r="D12791"/>
      <c r="G12791"/>
    </row>
    <row r="12792" spans="2:7">
      <c r="B12792"/>
      <c r="C12792"/>
      <c r="D12792"/>
      <c r="G12792"/>
    </row>
    <row r="12793" spans="2:7">
      <c r="B12793"/>
      <c r="C12793"/>
      <c r="D12793"/>
      <c r="G12793"/>
    </row>
    <row r="12794" spans="2:7">
      <c r="B12794"/>
      <c r="C12794"/>
      <c r="D12794"/>
      <c r="G12794"/>
    </row>
    <row r="12795" spans="2:7">
      <c r="B12795"/>
      <c r="C12795"/>
      <c r="D12795"/>
      <c r="G12795"/>
    </row>
    <row r="12796" spans="2:7">
      <c r="B12796"/>
      <c r="C12796"/>
      <c r="D12796"/>
      <c r="G12796"/>
    </row>
    <row r="12797" spans="2:7">
      <c r="B12797"/>
      <c r="C12797"/>
      <c r="D12797"/>
      <c r="G12797"/>
    </row>
    <row r="12798" spans="2:7">
      <c r="B12798"/>
      <c r="C12798"/>
      <c r="D12798"/>
      <c r="G12798"/>
    </row>
    <row r="12799" spans="2:7">
      <c r="B12799"/>
      <c r="C12799"/>
      <c r="D12799"/>
      <c r="G12799"/>
    </row>
    <row r="12800" spans="2:7">
      <c r="B12800"/>
      <c r="C12800"/>
      <c r="D12800"/>
      <c r="G12800"/>
    </row>
    <row r="12801" spans="2:7">
      <c r="B12801"/>
      <c r="C12801"/>
      <c r="D12801"/>
      <c r="G12801"/>
    </row>
    <row r="12802" spans="2:7">
      <c r="B12802"/>
      <c r="C12802"/>
      <c r="D12802"/>
      <c r="G12802"/>
    </row>
    <row r="12803" spans="2:7">
      <c r="B12803"/>
      <c r="C12803"/>
      <c r="D12803"/>
      <c r="G12803"/>
    </row>
    <row r="12804" spans="2:7">
      <c r="B12804"/>
      <c r="C12804"/>
      <c r="D12804"/>
      <c r="G12804"/>
    </row>
    <row r="12805" spans="2:7">
      <c r="B12805"/>
      <c r="C12805"/>
      <c r="D12805"/>
      <c r="G12805"/>
    </row>
    <row r="12806" spans="2:7">
      <c r="B12806"/>
      <c r="C12806"/>
      <c r="D12806"/>
      <c r="G12806"/>
    </row>
    <row r="12807" spans="2:7">
      <c r="B12807"/>
      <c r="C12807"/>
      <c r="D12807"/>
      <c r="G12807"/>
    </row>
    <row r="12808" spans="2:7">
      <c r="B12808"/>
      <c r="C12808"/>
      <c r="D12808"/>
      <c r="G12808"/>
    </row>
    <row r="12809" spans="2:7">
      <c r="B12809"/>
      <c r="C12809"/>
      <c r="D12809"/>
      <c r="G12809"/>
    </row>
    <row r="12810" spans="2:7">
      <c r="B12810"/>
      <c r="C12810"/>
      <c r="D12810"/>
      <c r="G12810"/>
    </row>
    <row r="12811" spans="2:7">
      <c r="B12811"/>
      <c r="C12811"/>
      <c r="D12811"/>
      <c r="G12811"/>
    </row>
    <row r="12812" spans="2:7">
      <c r="B12812"/>
      <c r="C12812"/>
      <c r="D12812"/>
      <c r="G12812"/>
    </row>
    <row r="12813" spans="2:7">
      <c r="B12813"/>
      <c r="C12813"/>
      <c r="D12813"/>
      <c r="G12813"/>
    </row>
    <row r="12814" spans="2:7">
      <c r="B12814"/>
      <c r="C12814"/>
      <c r="D12814"/>
      <c r="G12814"/>
    </row>
    <row r="12815" spans="2:7">
      <c r="B12815"/>
      <c r="C12815"/>
      <c r="D12815"/>
      <c r="G12815"/>
    </row>
    <row r="12816" spans="2:7">
      <c r="B12816"/>
      <c r="C12816"/>
      <c r="D12816"/>
      <c r="G12816"/>
    </row>
    <row r="12817" spans="2:7">
      <c r="B12817"/>
      <c r="C12817"/>
      <c r="D12817"/>
      <c r="G12817"/>
    </row>
    <row r="12818" spans="2:7">
      <c r="B12818"/>
      <c r="C12818"/>
      <c r="D12818"/>
      <c r="G12818"/>
    </row>
    <row r="12819" spans="2:7">
      <c r="B12819"/>
      <c r="C12819"/>
      <c r="D12819"/>
      <c r="G12819"/>
    </row>
    <row r="12820" spans="2:7">
      <c r="B12820"/>
      <c r="C12820"/>
      <c r="D12820"/>
      <c r="G12820"/>
    </row>
    <row r="12821" spans="2:7">
      <c r="B12821"/>
      <c r="C12821"/>
      <c r="D12821"/>
      <c r="G12821"/>
    </row>
    <row r="12822" spans="2:7">
      <c r="B12822"/>
      <c r="C12822"/>
      <c r="D12822"/>
      <c r="G12822"/>
    </row>
    <row r="12823" spans="2:7">
      <c r="B12823"/>
      <c r="C12823"/>
      <c r="D12823"/>
      <c r="G12823"/>
    </row>
    <row r="12824" spans="2:7">
      <c r="B12824"/>
      <c r="C12824"/>
      <c r="D12824"/>
      <c r="G12824"/>
    </row>
    <row r="12825" spans="2:7">
      <c r="B12825"/>
      <c r="C12825"/>
      <c r="D12825"/>
      <c r="G12825"/>
    </row>
    <row r="12826" spans="2:7">
      <c r="B12826"/>
      <c r="C12826"/>
      <c r="D12826"/>
      <c r="G12826"/>
    </row>
    <row r="12827" spans="2:7">
      <c r="B12827"/>
      <c r="C12827"/>
      <c r="D12827"/>
      <c r="G12827"/>
    </row>
    <row r="12828" spans="2:7">
      <c r="B12828"/>
      <c r="C12828"/>
      <c r="D12828"/>
      <c r="G12828"/>
    </row>
    <row r="12829" spans="2:7">
      <c r="B12829"/>
      <c r="C12829"/>
      <c r="D12829"/>
      <c r="G12829"/>
    </row>
    <row r="12830" spans="2:7">
      <c r="B12830"/>
      <c r="C12830"/>
      <c r="D12830"/>
      <c r="G12830"/>
    </row>
    <row r="12831" spans="2:7">
      <c r="B12831"/>
      <c r="C12831"/>
      <c r="D12831"/>
      <c r="G12831"/>
    </row>
    <row r="12832" spans="2:7">
      <c r="B12832"/>
      <c r="C12832"/>
      <c r="D12832"/>
      <c r="G12832"/>
    </row>
    <row r="12833" spans="2:7">
      <c r="B12833"/>
      <c r="C12833"/>
      <c r="D12833"/>
      <c r="G12833"/>
    </row>
    <row r="12834" spans="2:7">
      <c r="B12834"/>
      <c r="C12834"/>
      <c r="D12834"/>
      <c r="G12834"/>
    </row>
    <row r="12835" spans="2:7">
      <c r="B12835"/>
      <c r="C12835"/>
      <c r="D12835"/>
      <c r="G12835"/>
    </row>
    <row r="12836" spans="2:7">
      <c r="B12836"/>
      <c r="C12836"/>
      <c r="D12836"/>
      <c r="G12836"/>
    </row>
    <row r="12837" spans="2:7">
      <c r="B12837"/>
      <c r="C12837"/>
      <c r="D12837"/>
      <c r="G12837"/>
    </row>
    <row r="12838" spans="2:7">
      <c r="B12838"/>
      <c r="C12838"/>
      <c r="D12838"/>
      <c r="G12838"/>
    </row>
    <row r="12839" spans="2:7">
      <c r="B12839"/>
      <c r="C12839"/>
      <c r="D12839"/>
      <c r="G12839"/>
    </row>
    <row r="12840" spans="2:7">
      <c r="B12840"/>
      <c r="C12840"/>
      <c r="D12840"/>
      <c r="G12840"/>
    </row>
    <row r="12841" spans="2:7">
      <c r="B12841"/>
      <c r="C12841"/>
      <c r="D12841"/>
      <c r="G12841"/>
    </row>
    <row r="12842" spans="2:7">
      <c r="B12842"/>
      <c r="C12842"/>
      <c r="D12842"/>
      <c r="G12842"/>
    </row>
    <row r="12843" spans="2:7">
      <c r="B12843"/>
      <c r="C12843"/>
      <c r="D12843"/>
      <c r="G12843"/>
    </row>
    <row r="12844" spans="2:7">
      <c r="B12844"/>
      <c r="C12844"/>
      <c r="D12844"/>
      <c r="G12844"/>
    </row>
    <row r="12845" spans="2:7">
      <c r="B12845"/>
      <c r="C12845"/>
      <c r="D12845"/>
      <c r="G12845"/>
    </row>
    <row r="12846" spans="2:7">
      <c r="B12846"/>
      <c r="C12846"/>
      <c r="D12846"/>
      <c r="G12846"/>
    </row>
    <row r="12847" spans="2:7">
      <c r="B12847"/>
      <c r="C12847"/>
      <c r="D12847"/>
      <c r="G12847"/>
    </row>
    <row r="12848" spans="2:7">
      <c r="B12848"/>
      <c r="C12848"/>
      <c r="D12848"/>
      <c r="G12848"/>
    </row>
    <row r="12849" spans="2:7">
      <c r="B12849"/>
      <c r="C12849"/>
      <c r="D12849"/>
      <c r="G12849"/>
    </row>
    <row r="12850" spans="2:7">
      <c r="B12850"/>
      <c r="C12850"/>
      <c r="D12850"/>
      <c r="G12850"/>
    </row>
    <row r="12851" spans="2:7">
      <c r="B12851"/>
      <c r="C12851"/>
      <c r="D12851"/>
      <c r="G12851"/>
    </row>
    <row r="12852" spans="2:7">
      <c r="B12852"/>
      <c r="C12852"/>
      <c r="D12852"/>
      <c r="G12852"/>
    </row>
    <row r="12853" spans="2:7">
      <c r="B12853"/>
      <c r="C12853"/>
      <c r="D12853"/>
      <c r="G12853"/>
    </row>
    <row r="12854" spans="2:7">
      <c r="B12854"/>
      <c r="C12854"/>
      <c r="D12854"/>
      <c r="G12854"/>
    </row>
    <row r="12855" spans="2:7">
      <c r="B12855"/>
      <c r="C12855"/>
      <c r="D12855"/>
      <c r="G12855"/>
    </row>
    <row r="12856" spans="2:7">
      <c r="B12856"/>
      <c r="C12856"/>
      <c r="D12856"/>
      <c r="G12856"/>
    </row>
    <row r="12857" spans="2:7">
      <c r="B12857"/>
      <c r="C12857"/>
      <c r="D12857"/>
      <c r="G12857"/>
    </row>
    <row r="12858" spans="2:7">
      <c r="B12858"/>
      <c r="C12858"/>
      <c r="D12858"/>
      <c r="G12858"/>
    </row>
    <row r="12859" spans="2:7">
      <c r="B12859"/>
      <c r="C12859"/>
      <c r="D12859"/>
      <c r="G12859"/>
    </row>
    <row r="12860" spans="2:7">
      <c r="B12860"/>
      <c r="C12860"/>
      <c r="D12860"/>
      <c r="G12860"/>
    </row>
    <row r="12861" spans="2:7">
      <c r="B12861"/>
      <c r="C12861"/>
      <c r="D12861"/>
      <c r="G12861"/>
    </row>
    <row r="12862" spans="2:7">
      <c r="B12862"/>
      <c r="C12862"/>
      <c r="D12862"/>
      <c r="G12862"/>
    </row>
    <row r="12863" spans="2:7">
      <c r="B12863"/>
      <c r="C12863"/>
      <c r="D12863"/>
      <c r="G12863"/>
    </row>
    <row r="12864" spans="2:7">
      <c r="B12864"/>
      <c r="C12864"/>
      <c r="D12864"/>
      <c r="G12864"/>
    </row>
    <row r="12865" spans="2:7">
      <c r="B12865"/>
      <c r="C12865"/>
      <c r="D12865"/>
      <c r="G12865"/>
    </row>
    <row r="12866" spans="2:7">
      <c r="B12866"/>
      <c r="C12866"/>
      <c r="D12866"/>
      <c r="G12866"/>
    </row>
    <row r="12867" spans="2:7">
      <c r="B12867"/>
      <c r="C12867"/>
      <c r="D12867"/>
      <c r="G12867"/>
    </row>
    <row r="12868" spans="2:7">
      <c r="B12868"/>
      <c r="C12868"/>
      <c r="D12868"/>
      <c r="G12868"/>
    </row>
    <row r="12869" spans="2:7">
      <c r="B12869"/>
      <c r="C12869"/>
      <c r="D12869"/>
      <c r="G12869"/>
    </row>
    <row r="12870" spans="2:7">
      <c r="B12870"/>
      <c r="C12870"/>
      <c r="D12870"/>
      <c r="G12870"/>
    </row>
    <row r="12871" spans="2:7">
      <c r="B12871"/>
      <c r="C12871"/>
      <c r="D12871"/>
      <c r="G12871"/>
    </row>
    <row r="12872" spans="2:7">
      <c r="B12872"/>
      <c r="C12872"/>
      <c r="D12872"/>
      <c r="G12872"/>
    </row>
    <row r="12873" spans="2:7">
      <c r="B12873"/>
      <c r="C12873"/>
      <c r="D12873"/>
      <c r="G12873"/>
    </row>
    <row r="12874" spans="2:7">
      <c r="B12874"/>
      <c r="C12874"/>
      <c r="D12874"/>
      <c r="G12874"/>
    </row>
    <row r="12875" spans="2:7">
      <c r="B12875"/>
      <c r="C12875"/>
      <c r="D12875"/>
      <c r="G12875"/>
    </row>
    <row r="12876" spans="2:7">
      <c r="B12876"/>
      <c r="C12876"/>
      <c r="D12876"/>
      <c r="G12876"/>
    </row>
    <row r="12877" spans="2:7">
      <c r="B12877"/>
      <c r="C12877"/>
      <c r="D12877"/>
      <c r="G12877"/>
    </row>
    <row r="12878" spans="2:7">
      <c r="B12878"/>
      <c r="C12878"/>
      <c r="D12878"/>
      <c r="G12878"/>
    </row>
    <row r="12879" spans="2:7">
      <c r="B12879"/>
      <c r="C12879"/>
      <c r="D12879"/>
      <c r="G12879"/>
    </row>
    <row r="12880" spans="2:7">
      <c r="B12880"/>
      <c r="C12880"/>
      <c r="D12880"/>
      <c r="G12880"/>
    </row>
    <row r="12881" spans="2:7">
      <c r="B12881"/>
      <c r="C12881"/>
      <c r="D12881"/>
      <c r="G12881"/>
    </row>
    <row r="12882" spans="2:7">
      <c r="B12882"/>
      <c r="C12882"/>
      <c r="D12882"/>
      <c r="G12882"/>
    </row>
    <row r="12883" spans="2:7">
      <c r="B12883"/>
      <c r="C12883"/>
      <c r="D12883"/>
      <c r="G12883"/>
    </row>
    <row r="12884" spans="2:7">
      <c r="B12884"/>
      <c r="C12884"/>
      <c r="D12884"/>
      <c r="G12884"/>
    </row>
    <row r="12885" spans="2:7">
      <c r="B12885"/>
      <c r="C12885"/>
      <c r="D12885"/>
      <c r="G12885"/>
    </row>
    <row r="12886" spans="2:7">
      <c r="B12886"/>
      <c r="C12886"/>
      <c r="D12886"/>
      <c r="G12886"/>
    </row>
    <row r="12887" spans="2:7">
      <c r="B12887"/>
      <c r="C12887"/>
      <c r="D12887"/>
      <c r="G12887"/>
    </row>
    <row r="12888" spans="2:7">
      <c r="B12888"/>
      <c r="C12888"/>
      <c r="D12888"/>
      <c r="G12888"/>
    </row>
    <row r="12889" spans="2:7">
      <c r="B12889"/>
      <c r="C12889"/>
      <c r="D12889"/>
      <c r="G12889"/>
    </row>
    <row r="12890" spans="2:7">
      <c r="B12890"/>
      <c r="C12890"/>
      <c r="D12890"/>
      <c r="G12890"/>
    </row>
    <row r="12891" spans="2:7">
      <c r="B12891"/>
      <c r="C12891"/>
      <c r="D12891"/>
      <c r="G12891"/>
    </row>
    <row r="12892" spans="2:7">
      <c r="B12892"/>
      <c r="C12892"/>
      <c r="D12892"/>
      <c r="G12892"/>
    </row>
    <row r="12893" spans="2:7">
      <c r="B12893"/>
      <c r="C12893"/>
      <c r="D12893"/>
      <c r="G12893"/>
    </row>
    <row r="12894" spans="2:7">
      <c r="B12894"/>
      <c r="C12894"/>
      <c r="D12894"/>
      <c r="G12894"/>
    </row>
    <row r="12895" spans="2:7">
      <c r="B12895"/>
      <c r="C12895"/>
      <c r="D12895"/>
      <c r="G12895"/>
    </row>
    <row r="12896" spans="2:7">
      <c r="B12896"/>
      <c r="C12896"/>
      <c r="D12896"/>
      <c r="G12896"/>
    </row>
    <row r="12897" spans="2:7">
      <c r="B12897"/>
      <c r="C12897"/>
      <c r="D12897"/>
      <c r="G12897"/>
    </row>
    <row r="12898" spans="2:7">
      <c r="B12898"/>
      <c r="C12898"/>
      <c r="D12898"/>
      <c r="G12898"/>
    </row>
    <row r="12899" spans="2:7">
      <c r="B12899"/>
      <c r="C12899"/>
      <c r="D12899"/>
      <c r="G12899"/>
    </row>
    <row r="12900" spans="2:7">
      <c r="B12900"/>
      <c r="C12900"/>
      <c r="D12900"/>
      <c r="G12900"/>
    </row>
    <row r="12901" spans="2:7">
      <c r="B12901"/>
      <c r="C12901"/>
      <c r="D12901"/>
      <c r="G12901"/>
    </row>
    <row r="12902" spans="2:7">
      <c r="B12902"/>
      <c r="C12902"/>
      <c r="D12902"/>
      <c r="G12902"/>
    </row>
    <row r="12903" spans="2:7">
      <c r="B12903"/>
      <c r="C12903"/>
      <c r="D12903"/>
      <c r="G12903"/>
    </row>
    <row r="12904" spans="2:7">
      <c r="B12904"/>
      <c r="C12904"/>
      <c r="D12904"/>
      <c r="G12904"/>
    </row>
    <row r="12905" spans="2:7">
      <c r="B12905"/>
      <c r="C12905"/>
      <c r="D12905"/>
      <c r="G12905"/>
    </row>
    <row r="12906" spans="2:7">
      <c r="B12906"/>
      <c r="C12906"/>
      <c r="D12906"/>
      <c r="G12906"/>
    </row>
    <row r="12907" spans="2:7">
      <c r="B12907"/>
      <c r="C12907"/>
      <c r="D12907"/>
      <c r="G12907"/>
    </row>
    <row r="12908" spans="2:7">
      <c r="B12908"/>
      <c r="C12908"/>
      <c r="D12908"/>
      <c r="G12908"/>
    </row>
    <row r="12909" spans="2:7">
      <c r="B12909"/>
      <c r="C12909"/>
      <c r="D12909"/>
      <c r="G12909"/>
    </row>
    <row r="12910" spans="2:7">
      <c r="B12910"/>
      <c r="C12910"/>
      <c r="D12910"/>
      <c r="G12910"/>
    </row>
    <row r="12911" spans="2:7">
      <c r="B12911"/>
      <c r="C12911"/>
      <c r="D12911"/>
      <c r="G12911"/>
    </row>
    <row r="12912" spans="2:7">
      <c r="B12912"/>
      <c r="C12912"/>
      <c r="D12912"/>
      <c r="G12912"/>
    </row>
    <row r="12913" spans="2:7">
      <c r="B12913"/>
      <c r="C12913"/>
      <c r="D12913"/>
      <c r="G12913"/>
    </row>
    <row r="12914" spans="2:7">
      <c r="B12914"/>
      <c r="C12914"/>
      <c r="D12914"/>
      <c r="G12914"/>
    </row>
    <row r="12915" spans="2:7">
      <c r="B12915"/>
      <c r="C12915"/>
      <c r="D12915"/>
      <c r="G12915"/>
    </row>
    <row r="12916" spans="2:7">
      <c r="B12916"/>
      <c r="C12916"/>
      <c r="D12916"/>
      <c r="G12916"/>
    </row>
    <row r="12917" spans="2:7">
      <c r="B12917"/>
      <c r="C12917"/>
      <c r="D12917"/>
      <c r="G12917"/>
    </row>
    <row r="12918" spans="2:7">
      <c r="B12918"/>
      <c r="C12918"/>
      <c r="D12918"/>
      <c r="G12918"/>
    </row>
    <row r="12919" spans="2:7">
      <c r="B12919"/>
      <c r="C12919"/>
      <c r="D12919"/>
      <c r="G12919"/>
    </row>
    <row r="12920" spans="2:7">
      <c r="B12920"/>
      <c r="C12920"/>
      <c r="D12920"/>
      <c r="G12920"/>
    </row>
    <row r="12921" spans="2:7">
      <c r="B12921"/>
      <c r="C12921"/>
      <c r="D12921"/>
      <c r="G12921"/>
    </row>
    <row r="12922" spans="2:7">
      <c r="B12922"/>
      <c r="C12922"/>
      <c r="D12922"/>
      <c r="G12922"/>
    </row>
    <row r="12923" spans="2:7">
      <c r="B12923"/>
      <c r="C12923"/>
      <c r="D12923"/>
      <c r="G12923"/>
    </row>
    <row r="12924" spans="2:7">
      <c r="B12924"/>
      <c r="C12924"/>
      <c r="D12924"/>
      <c r="G12924"/>
    </row>
    <row r="12925" spans="2:7">
      <c r="B12925"/>
      <c r="C12925"/>
      <c r="D12925"/>
      <c r="G12925"/>
    </row>
    <row r="12926" spans="2:7">
      <c r="B12926"/>
      <c r="C12926"/>
      <c r="D12926"/>
      <c r="G12926"/>
    </row>
    <row r="12927" spans="2:7">
      <c r="B12927"/>
      <c r="C12927"/>
      <c r="D12927"/>
      <c r="G12927"/>
    </row>
    <row r="12928" spans="2:7">
      <c r="B12928"/>
      <c r="C12928"/>
      <c r="D12928"/>
      <c r="G12928"/>
    </row>
    <row r="12929" spans="2:7">
      <c r="B12929"/>
      <c r="C12929"/>
      <c r="D12929"/>
      <c r="G12929"/>
    </row>
    <row r="12930" spans="2:7">
      <c r="B12930"/>
      <c r="C12930"/>
      <c r="D12930"/>
      <c r="G12930"/>
    </row>
    <row r="12931" spans="2:7">
      <c r="B12931"/>
      <c r="C12931"/>
      <c r="D12931"/>
      <c r="G12931"/>
    </row>
    <row r="12932" spans="2:7">
      <c r="B12932"/>
      <c r="C12932"/>
      <c r="D12932"/>
      <c r="G12932"/>
    </row>
    <row r="12933" spans="2:7">
      <c r="B12933"/>
      <c r="C12933"/>
      <c r="D12933"/>
      <c r="G12933"/>
    </row>
    <row r="12934" spans="2:7">
      <c r="B12934"/>
      <c r="C12934"/>
      <c r="D12934"/>
      <c r="G12934"/>
    </row>
    <row r="12935" spans="2:7">
      <c r="B12935"/>
      <c r="C12935"/>
      <c r="D12935"/>
      <c r="G12935"/>
    </row>
    <row r="12936" spans="2:7">
      <c r="B12936"/>
      <c r="C12936"/>
      <c r="D12936"/>
      <c r="G12936"/>
    </row>
    <row r="12937" spans="2:7">
      <c r="B12937"/>
      <c r="C12937"/>
      <c r="D12937"/>
      <c r="G12937"/>
    </row>
    <row r="12938" spans="2:7">
      <c r="B12938"/>
      <c r="C12938"/>
      <c r="D12938"/>
      <c r="G12938"/>
    </row>
    <row r="12939" spans="2:7">
      <c r="B12939"/>
      <c r="C12939"/>
      <c r="D12939"/>
      <c r="G12939"/>
    </row>
    <row r="12940" spans="2:7">
      <c r="B12940"/>
      <c r="C12940"/>
      <c r="D12940"/>
      <c r="G12940"/>
    </row>
    <row r="12941" spans="2:7">
      <c r="B12941"/>
      <c r="C12941"/>
      <c r="D12941"/>
      <c r="G12941"/>
    </row>
    <row r="12942" spans="2:7">
      <c r="B12942"/>
      <c r="C12942"/>
      <c r="D12942"/>
      <c r="G12942"/>
    </row>
    <row r="12943" spans="2:7">
      <c r="B12943"/>
      <c r="C12943"/>
      <c r="D12943"/>
      <c r="G12943"/>
    </row>
    <row r="12944" spans="2:7">
      <c r="B12944"/>
      <c r="C12944"/>
      <c r="D12944"/>
      <c r="G12944"/>
    </row>
    <row r="12945" spans="2:7">
      <c r="B12945"/>
      <c r="C12945"/>
      <c r="D12945"/>
      <c r="G12945"/>
    </row>
    <row r="12946" spans="2:7">
      <c r="B12946"/>
      <c r="C12946"/>
      <c r="D12946"/>
      <c r="G12946"/>
    </row>
    <row r="12947" spans="2:7">
      <c r="B12947"/>
      <c r="C12947"/>
      <c r="D12947"/>
      <c r="G12947"/>
    </row>
    <row r="12948" spans="2:7">
      <c r="B12948"/>
      <c r="C12948"/>
      <c r="D12948"/>
      <c r="G12948"/>
    </row>
    <row r="12949" spans="2:7">
      <c r="B12949"/>
      <c r="C12949"/>
      <c r="D12949"/>
      <c r="G12949"/>
    </row>
    <row r="12950" spans="2:7">
      <c r="B12950"/>
      <c r="C12950"/>
      <c r="D12950"/>
      <c r="G12950"/>
    </row>
    <row r="12951" spans="2:7">
      <c r="B12951"/>
      <c r="C12951"/>
      <c r="D12951"/>
      <c r="G12951"/>
    </row>
    <row r="12952" spans="2:7">
      <c r="B12952"/>
      <c r="C12952"/>
      <c r="D12952"/>
      <c r="G12952"/>
    </row>
    <row r="12953" spans="2:7">
      <c r="B12953"/>
      <c r="C12953"/>
      <c r="D12953"/>
      <c r="G12953"/>
    </row>
    <row r="12954" spans="2:7">
      <c r="B12954"/>
      <c r="C12954"/>
      <c r="D12954"/>
      <c r="G12954"/>
    </row>
    <row r="12955" spans="2:7">
      <c r="B12955"/>
      <c r="C12955"/>
      <c r="D12955"/>
      <c r="G12955"/>
    </row>
    <row r="12956" spans="2:7">
      <c r="B12956"/>
      <c r="C12956"/>
      <c r="D12956"/>
      <c r="G12956"/>
    </row>
    <row r="12957" spans="2:7">
      <c r="B12957"/>
      <c r="C12957"/>
      <c r="D12957"/>
      <c r="G12957"/>
    </row>
    <row r="12958" spans="2:7">
      <c r="B12958"/>
      <c r="C12958"/>
      <c r="D12958"/>
      <c r="G12958"/>
    </row>
    <row r="12959" spans="2:7">
      <c r="B12959"/>
      <c r="C12959"/>
      <c r="D12959"/>
      <c r="G12959"/>
    </row>
    <row r="12960" spans="2:7">
      <c r="B12960"/>
      <c r="C12960"/>
      <c r="D12960"/>
      <c r="G12960"/>
    </row>
    <row r="12961" spans="2:7">
      <c r="B12961"/>
      <c r="C12961"/>
      <c r="D12961"/>
      <c r="G12961"/>
    </row>
    <row r="12962" spans="2:7">
      <c r="B12962"/>
      <c r="C12962"/>
      <c r="D12962"/>
      <c r="G12962"/>
    </row>
    <row r="12963" spans="2:7">
      <c r="B12963"/>
      <c r="C12963"/>
      <c r="D12963"/>
      <c r="G12963"/>
    </row>
    <row r="12964" spans="2:7">
      <c r="B12964"/>
      <c r="C12964"/>
      <c r="D12964"/>
      <c r="G12964"/>
    </row>
    <row r="12965" spans="2:7">
      <c r="B12965"/>
      <c r="C12965"/>
      <c r="D12965"/>
      <c r="G12965"/>
    </row>
    <row r="12966" spans="2:7">
      <c r="B12966"/>
      <c r="C12966"/>
      <c r="D12966"/>
      <c r="G12966"/>
    </row>
    <row r="12967" spans="2:7">
      <c r="B12967"/>
      <c r="C12967"/>
      <c r="D12967"/>
      <c r="G12967"/>
    </row>
    <row r="12968" spans="2:7">
      <c r="B12968"/>
      <c r="C12968"/>
      <c r="D12968"/>
      <c r="G12968"/>
    </row>
    <row r="12969" spans="2:7">
      <c r="B12969"/>
      <c r="C12969"/>
      <c r="D12969"/>
      <c r="G12969"/>
    </row>
    <row r="12970" spans="2:7">
      <c r="B12970"/>
      <c r="C12970"/>
      <c r="D12970"/>
      <c r="G12970"/>
    </row>
    <row r="12971" spans="2:7">
      <c r="B12971"/>
      <c r="C12971"/>
      <c r="D12971"/>
      <c r="G12971"/>
    </row>
    <row r="12972" spans="2:7">
      <c r="B12972"/>
      <c r="C12972"/>
      <c r="D12972"/>
      <c r="G12972"/>
    </row>
    <row r="12973" spans="2:7">
      <c r="B12973"/>
      <c r="C12973"/>
      <c r="D12973"/>
      <c r="G12973"/>
    </row>
    <row r="12974" spans="2:7">
      <c r="B12974"/>
      <c r="C12974"/>
      <c r="D12974"/>
      <c r="G12974"/>
    </row>
    <row r="12975" spans="2:7">
      <c r="B12975"/>
      <c r="C12975"/>
      <c r="D12975"/>
      <c r="G12975"/>
    </row>
    <row r="12976" spans="2:7">
      <c r="B12976"/>
      <c r="C12976"/>
      <c r="D12976"/>
      <c r="G12976"/>
    </row>
    <row r="12977" spans="2:7">
      <c r="B12977"/>
      <c r="C12977"/>
      <c r="D12977"/>
      <c r="G12977"/>
    </row>
    <row r="12978" spans="2:7">
      <c r="B12978"/>
      <c r="C12978"/>
      <c r="D12978"/>
      <c r="G12978"/>
    </row>
    <row r="12979" spans="2:7">
      <c r="B12979"/>
      <c r="C12979"/>
      <c r="D12979"/>
      <c r="G12979"/>
    </row>
    <row r="12980" spans="2:7">
      <c r="B12980"/>
      <c r="C12980"/>
      <c r="D12980"/>
      <c r="G12980"/>
    </row>
    <row r="12981" spans="2:7">
      <c r="B12981"/>
      <c r="C12981"/>
      <c r="D12981"/>
      <c r="G12981"/>
    </row>
    <row r="12982" spans="2:7">
      <c r="B12982"/>
      <c r="C12982"/>
      <c r="D12982"/>
      <c r="G12982"/>
    </row>
    <row r="12983" spans="2:7">
      <c r="B12983"/>
      <c r="C12983"/>
      <c r="D12983"/>
      <c r="G12983"/>
    </row>
    <row r="12984" spans="2:7">
      <c r="B12984"/>
      <c r="C12984"/>
      <c r="D12984"/>
      <c r="G12984"/>
    </row>
    <row r="12985" spans="2:7">
      <c r="B12985"/>
      <c r="C12985"/>
      <c r="D12985"/>
      <c r="G12985"/>
    </row>
    <row r="12986" spans="2:7">
      <c r="B12986"/>
      <c r="C12986"/>
      <c r="D12986"/>
      <c r="G12986"/>
    </row>
    <row r="12987" spans="2:7">
      <c r="B12987"/>
      <c r="C12987"/>
      <c r="D12987"/>
      <c r="G12987"/>
    </row>
    <row r="12988" spans="2:7">
      <c r="B12988"/>
      <c r="C12988"/>
      <c r="D12988"/>
      <c r="G12988"/>
    </row>
    <row r="12989" spans="2:7">
      <c r="B12989"/>
      <c r="C12989"/>
      <c r="D12989"/>
      <c r="G12989"/>
    </row>
    <row r="12990" spans="2:7">
      <c r="B12990"/>
      <c r="C12990"/>
      <c r="D12990"/>
      <c r="G12990"/>
    </row>
    <row r="12991" spans="2:7">
      <c r="B12991"/>
      <c r="C12991"/>
      <c r="D12991"/>
      <c r="G12991"/>
    </row>
    <row r="12992" spans="2:7">
      <c r="B12992"/>
      <c r="C12992"/>
      <c r="D12992"/>
      <c r="G12992"/>
    </row>
    <row r="12993" spans="2:7">
      <c r="B12993"/>
      <c r="C12993"/>
      <c r="D12993"/>
      <c r="G12993"/>
    </row>
    <row r="12994" spans="2:7">
      <c r="B12994"/>
      <c r="C12994"/>
      <c r="D12994"/>
      <c r="G12994"/>
    </row>
    <row r="12995" spans="2:7">
      <c r="B12995"/>
      <c r="C12995"/>
      <c r="D12995"/>
      <c r="G12995"/>
    </row>
    <row r="12996" spans="2:7">
      <c r="B12996"/>
      <c r="C12996"/>
      <c r="D12996"/>
      <c r="G12996"/>
    </row>
    <row r="12997" spans="2:7">
      <c r="B12997"/>
      <c r="C12997"/>
      <c r="D12997"/>
      <c r="G12997"/>
    </row>
    <row r="12998" spans="2:7">
      <c r="B12998"/>
      <c r="C12998"/>
      <c r="D12998"/>
      <c r="G12998"/>
    </row>
    <row r="12999" spans="2:7">
      <c r="B12999"/>
      <c r="C12999"/>
      <c r="D12999"/>
      <c r="G12999"/>
    </row>
    <row r="13000" spans="2:7">
      <c r="B13000"/>
      <c r="C13000"/>
      <c r="D13000"/>
      <c r="G13000"/>
    </row>
    <row r="13001" spans="2:7">
      <c r="B13001"/>
      <c r="C13001"/>
      <c r="D13001"/>
      <c r="G13001"/>
    </row>
    <row r="13002" spans="2:7">
      <c r="B13002"/>
      <c r="C13002"/>
      <c r="D13002"/>
      <c r="G13002"/>
    </row>
    <row r="13003" spans="2:7">
      <c r="B13003"/>
      <c r="C13003"/>
      <c r="D13003"/>
      <c r="G13003"/>
    </row>
    <row r="13004" spans="2:7">
      <c r="B13004"/>
      <c r="C13004"/>
      <c r="D13004"/>
      <c r="G13004"/>
    </row>
    <row r="13005" spans="2:7">
      <c r="B13005"/>
      <c r="C13005"/>
      <c r="D13005"/>
      <c r="G13005"/>
    </row>
    <row r="13006" spans="2:7">
      <c r="B13006"/>
      <c r="C13006"/>
      <c r="D13006"/>
      <c r="G13006"/>
    </row>
    <row r="13007" spans="2:7">
      <c r="B13007"/>
      <c r="C13007"/>
      <c r="D13007"/>
      <c r="G13007"/>
    </row>
    <row r="13008" spans="2:7">
      <c r="B13008"/>
      <c r="C13008"/>
      <c r="D13008"/>
      <c r="G13008"/>
    </row>
    <row r="13009" spans="2:7">
      <c r="B13009"/>
      <c r="C13009"/>
      <c r="D13009"/>
      <c r="G13009"/>
    </row>
    <row r="13010" spans="2:7">
      <c r="B13010"/>
      <c r="C13010"/>
      <c r="D13010"/>
      <c r="G13010"/>
    </row>
    <row r="13011" spans="2:7">
      <c r="B13011"/>
      <c r="C13011"/>
      <c r="D13011"/>
      <c r="G13011"/>
    </row>
    <row r="13012" spans="2:7">
      <c r="B13012"/>
      <c r="C13012"/>
      <c r="D13012"/>
      <c r="G13012"/>
    </row>
    <row r="13013" spans="2:7">
      <c r="B13013"/>
      <c r="C13013"/>
      <c r="D13013"/>
      <c r="G13013"/>
    </row>
    <row r="13014" spans="2:7">
      <c r="B13014"/>
      <c r="C13014"/>
      <c r="D13014"/>
      <c r="G13014"/>
    </row>
    <row r="13015" spans="2:7">
      <c r="B13015"/>
      <c r="C13015"/>
      <c r="D13015"/>
      <c r="G13015"/>
    </row>
    <row r="13016" spans="2:7">
      <c r="B13016"/>
      <c r="C13016"/>
      <c r="D13016"/>
      <c r="G13016"/>
    </row>
    <row r="13017" spans="2:7">
      <c r="B13017"/>
      <c r="C13017"/>
      <c r="D13017"/>
      <c r="G13017"/>
    </row>
    <row r="13018" spans="2:7">
      <c r="B13018"/>
      <c r="C13018"/>
      <c r="D13018"/>
      <c r="G13018"/>
    </row>
    <row r="13019" spans="2:7">
      <c r="B13019"/>
      <c r="C13019"/>
      <c r="D13019"/>
      <c r="G13019"/>
    </row>
    <row r="13020" spans="2:7">
      <c r="B13020"/>
      <c r="C13020"/>
      <c r="D13020"/>
      <c r="G13020"/>
    </row>
    <row r="13021" spans="2:7">
      <c r="B13021"/>
      <c r="C13021"/>
      <c r="D13021"/>
      <c r="G13021"/>
    </row>
    <row r="13022" spans="2:7">
      <c r="B13022"/>
      <c r="C13022"/>
      <c r="D13022"/>
      <c r="G13022"/>
    </row>
    <row r="13023" spans="2:7">
      <c r="B13023"/>
      <c r="C13023"/>
      <c r="D13023"/>
      <c r="G13023"/>
    </row>
    <row r="13024" spans="2:7">
      <c r="B13024"/>
      <c r="C13024"/>
      <c r="D13024"/>
      <c r="G13024"/>
    </row>
    <row r="13025" spans="2:7">
      <c r="B13025"/>
      <c r="C13025"/>
      <c r="D13025"/>
      <c r="G13025"/>
    </row>
    <row r="13026" spans="2:7">
      <c r="B13026"/>
      <c r="C13026"/>
      <c r="D13026"/>
      <c r="G13026"/>
    </row>
    <row r="13027" spans="2:7">
      <c r="B13027"/>
      <c r="C13027"/>
      <c r="D13027"/>
      <c r="G13027"/>
    </row>
    <row r="13028" spans="2:7">
      <c r="B13028"/>
      <c r="C13028"/>
      <c r="D13028"/>
      <c r="G13028"/>
    </row>
    <row r="13029" spans="2:7">
      <c r="B13029"/>
      <c r="C13029"/>
      <c r="D13029"/>
      <c r="G13029"/>
    </row>
    <row r="13030" spans="2:7">
      <c r="B13030"/>
      <c r="C13030"/>
      <c r="D13030"/>
      <c r="G13030"/>
    </row>
    <row r="13031" spans="2:7">
      <c r="B13031"/>
      <c r="C13031"/>
      <c r="D13031"/>
      <c r="G13031"/>
    </row>
    <row r="13032" spans="2:7">
      <c r="B13032"/>
      <c r="C13032"/>
      <c r="D13032"/>
      <c r="G13032"/>
    </row>
    <row r="13033" spans="2:7">
      <c r="B13033"/>
      <c r="C13033"/>
      <c r="D13033"/>
      <c r="G13033"/>
    </row>
    <row r="13034" spans="2:7">
      <c r="B13034"/>
      <c r="C13034"/>
      <c r="D13034"/>
      <c r="G13034"/>
    </row>
    <row r="13035" spans="2:7">
      <c r="B13035"/>
      <c r="C13035"/>
      <c r="D13035"/>
      <c r="G13035"/>
    </row>
    <row r="13036" spans="2:7">
      <c r="B13036"/>
      <c r="C13036"/>
      <c r="D13036"/>
      <c r="G13036"/>
    </row>
    <row r="13037" spans="2:7">
      <c r="B13037"/>
      <c r="C13037"/>
      <c r="D13037"/>
      <c r="G13037"/>
    </row>
    <row r="13038" spans="2:7">
      <c r="B13038"/>
      <c r="C13038"/>
      <c r="D13038"/>
      <c r="G13038"/>
    </row>
    <row r="13039" spans="2:7">
      <c r="B13039"/>
      <c r="C13039"/>
      <c r="D13039"/>
      <c r="G13039"/>
    </row>
    <row r="13040" spans="2:7">
      <c r="B13040"/>
      <c r="C13040"/>
      <c r="D13040"/>
      <c r="G13040"/>
    </row>
    <row r="13041" spans="2:7">
      <c r="B13041"/>
      <c r="C13041"/>
      <c r="D13041"/>
      <c r="G13041"/>
    </row>
    <row r="13042" spans="2:7">
      <c r="B13042"/>
      <c r="C13042"/>
      <c r="D13042"/>
      <c r="G13042"/>
    </row>
    <row r="13043" spans="2:7">
      <c r="B13043"/>
      <c r="C13043"/>
      <c r="D13043"/>
      <c r="G13043"/>
    </row>
    <row r="13044" spans="2:7">
      <c r="B13044"/>
      <c r="C13044"/>
      <c r="D13044"/>
      <c r="G13044"/>
    </row>
    <row r="13045" spans="2:7">
      <c r="B13045"/>
      <c r="C13045"/>
      <c r="D13045"/>
      <c r="G13045"/>
    </row>
    <row r="13046" spans="2:7">
      <c r="B13046"/>
      <c r="C13046"/>
      <c r="D13046"/>
      <c r="G13046"/>
    </row>
    <row r="13047" spans="2:7">
      <c r="B13047"/>
      <c r="C13047"/>
      <c r="D13047"/>
      <c r="G13047"/>
    </row>
    <row r="13048" spans="2:7">
      <c r="B13048"/>
      <c r="C13048"/>
      <c r="D13048"/>
      <c r="G13048"/>
    </row>
    <row r="13049" spans="2:7">
      <c r="B13049"/>
      <c r="C13049"/>
      <c r="D13049"/>
      <c r="G13049"/>
    </row>
    <row r="13050" spans="2:7">
      <c r="B13050"/>
      <c r="C13050"/>
      <c r="D13050"/>
      <c r="G13050"/>
    </row>
    <row r="13051" spans="2:7">
      <c r="B13051"/>
      <c r="C13051"/>
      <c r="D13051"/>
      <c r="G13051"/>
    </row>
    <row r="13052" spans="2:7">
      <c r="B13052"/>
      <c r="C13052"/>
      <c r="D13052"/>
      <c r="G13052"/>
    </row>
    <row r="13053" spans="2:7">
      <c r="B13053"/>
      <c r="C13053"/>
      <c r="D13053"/>
      <c r="G13053"/>
    </row>
    <row r="13054" spans="2:7">
      <c r="B13054"/>
      <c r="C13054"/>
      <c r="D13054"/>
      <c r="G13054"/>
    </row>
    <row r="13055" spans="2:7">
      <c r="B13055"/>
      <c r="C13055"/>
      <c r="D13055"/>
      <c r="G13055"/>
    </row>
    <row r="13056" spans="2:7">
      <c r="B13056"/>
      <c r="C13056"/>
      <c r="D13056"/>
      <c r="G13056"/>
    </row>
    <row r="13057" spans="2:7">
      <c r="B13057"/>
      <c r="C13057"/>
      <c r="D13057"/>
      <c r="G13057"/>
    </row>
    <row r="13058" spans="2:7">
      <c r="B13058"/>
      <c r="C13058"/>
      <c r="D13058"/>
      <c r="G13058"/>
    </row>
    <row r="13059" spans="2:7">
      <c r="B13059"/>
      <c r="C13059"/>
      <c r="D13059"/>
      <c r="G13059"/>
    </row>
    <row r="13060" spans="2:7">
      <c r="B13060"/>
      <c r="C13060"/>
      <c r="D13060"/>
      <c r="G13060"/>
    </row>
    <row r="13061" spans="2:7">
      <c r="B13061"/>
      <c r="C13061"/>
      <c r="D13061"/>
      <c r="G13061"/>
    </row>
    <row r="13062" spans="2:7">
      <c r="B13062"/>
      <c r="C13062"/>
      <c r="D13062"/>
      <c r="G13062"/>
    </row>
    <row r="13063" spans="2:7">
      <c r="B13063"/>
      <c r="C13063"/>
      <c r="D13063"/>
      <c r="G13063"/>
    </row>
    <row r="13064" spans="2:7">
      <c r="B13064"/>
      <c r="C13064"/>
      <c r="D13064"/>
      <c r="G13064"/>
    </row>
    <row r="13065" spans="2:7">
      <c r="B13065"/>
      <c r="C13065"/>
      <c r="D13065"/>
      <c r="G13065"/>
    </row>
    <row r="13066" spans="2:7">
      <c r="B13066"/>
      <c r="C13066"/>
      <c r="D13066"/>
      <c r="G13066"/>
    </row>
    <row r="13067" spans="2:7">
      <c r="B13067"/>
      <c r="C13067"/>
      <c r="D13067"/>
      <c r="G13067"/>
    </row>
    <row r="13068" spans="2:7">
      <c r="B13068"/>
      <c r="C13068"/>
      <c r="D13068"/>
      <c r="G13068"/>
    </row>
    <row r="13069" spans="2:7">
      <c r="B13069"/>
      <c r="C13069"/>
      <c r="D13069"/>
      <c r="G13069"/>
    </row>
    <row r="13070" spans="2:7">
      <c r="B13070"/>
      <c r="C13070"/>
      <c r="D13070"/>
      <c r="G13070"/>
    </row>
    <row r="13071" spans="2:7">
      <c r="B13071"/>
      <c r="C13071"/>
      <c r="D13071"/>
      <c r="G13071"/>
    </row>
    <row r="13072" spans="2:7">
      <c r="B13072"/>
      <c r="C13072"/>
      <c r="D13072"/>
      <c r="G13072"/>
    </row>
    <row r="13073" spans="2:7">
      <c r="B13073"/>
      <c r="C13073"/>
      <c r="D13073"/>
      <c r="G13073"/>
    </row>
    <row r="13074" spans="2:7">
      <c r="B13074"/>
      <c r="C13074"/>
      <c r="D13074"/>
      <c r="G13074"/>
    </row>
    <row r="13075" spans="2:7">
      <c r="B13075"/>
      <c r="C13075"/>
      <c r="D13075"/>
      <c r="G13075"/>
    </row>
    <row r="13076" spans="2:7">
      <c r="B13076"/>
      <c r="C13076"/>
      <c r="D13076"/>
      <c r="G13076"/>
    </row>
    <row r="13077" spans="2:7">
      <c r="B13077"/>
      <c r="C13077"/>
      <c r="D13077"/>
      <c r="G13077"/>
    </row>
    <row r="13078" spans="2:7">
      <c r="B13078"/>
      <c r="C13078"/>
      <c r="D13078"/>
      <c r="G13078"/>
    </row>
    <row r="13079" spans="2:7">
      <c r="B13079"/>
      <c r="C13079"/>
      <c r="D13079"/>
      <c r="G13079"/>
    </row>
    <row r="13080" spans="2:7">
      <c r="B13080"/>
      <c r="C13080"/>
      <c r="D13080"/>
      <c r="G13080"/>
    </row>
    <row r="13081" spans="2:7">
      <c r="B13081"/>
      <c r="C13081"/>
      <c r="D13081"/>
      <c r="G13081"/>
    </row>
    <row r="13082" spans="2:7">
      <c r="B13082"/>
      <c r="C13082"/>
      <c r="D13082"/>
      <c r="G13082"/>
    </row>
    <row r="13083" spans="2:7">
      <c r="B13083"/>
      <c r="C13083"/>
      <c r="D13083"/>
      <c r="G13083"/>
    </row>
    <row r="13084" spans="2:7">
      <c r="B13084"/>
      <c r="C13084"/>
      <c r="D13084"/>
      <c r="G13084"/>
    </row>
    <row r="13085" spans="2:7">
      <c r="B13085"/>
      <c r="C13085"/>
      <c r="D13085"/>
      <c r="G13085"/>
    </row>
    <row r="13086" spans="2:7">
      <c r="B13086"/>
      <c r="C13086"/>
      <c r="D13086"/>
      <c r="G13086"/>
    </row>
    <row r="13087" spans="2:7">
      <c r="B13087"/>
      <c r="C13087"/>
      <c r="D13087"/>
      <c r="G13087"/>
    </row>
    <row r="13088" spans="2:7">
      <c r="B13088"/>
      <c r="C13088"/>
      <c r="D13088"/>
      <c r="G13088"/>
    </row>
    <row r="13089" spans="2:7">
      <c r="B13089"/>
      <c r="C13089"/>
      <c r="D13089"/>
      <c r="G13089"/>
    </row>
    <row r="13090" spans="2:7">
      <c r="B13090"/>
      <c r="C13090"/>
      <c r="D13090"/>
      <c r="G13090"/>
    </row>
    <row r="13091" spans="2:7">
      <c r="B13091"/>
      <c r="C13091"/>
      <c r="D13091"/>
      <c r="G13091"/>
    </row>
    <row r="13092" spans="2:7">
      <c r="B13092"/>
      <c r="C13092"/>
      <c r="D13092"/>
      <c r="G13092"/>
    </row>
    <row r="13093" spans="2:7">
      <c r="B13093"/>
      <c r="C13093"/>
      <c r="D13093"/>
      <c r="G13093"/>
    </row>
    <row r="13094" spans="2:7">
      <c r="B13094"/>
      <c r="C13094"/>
      <c r="D13094"/>
      <c r="G13094"/>
    </row>
    <row r="13095" spans="2:7">
      <c r="B13095"/>
      <c r="C13095"/>
      <c r="D13095"/>
      <c r="G13095"/>
    </row>
    <row r="13096" spans="2:7">
      <c r="B13096"/>
      <c r="C13096"/>
      <c r="D13096"/>
      <c r="G13096"/>
    </row>
    <row r="13097" spans="2:7">
      <c r="B13097"/>
      <c r="C13097"/>
      <c r="D13097"/>
      <c r="G13097"/>
    </row>
    <row r="13098" spans="2:7">
      <c r="B13098"/>
      <c r="C13098"/>
      <c r="D13098"/>
      <c r="G13098"/>
    </row>
    <row r="13099" spans="2:7">
      <c r="B13099"/>
      <c r="C13099"/>
      <c r="D13099"/>
      <c r="G13099"/>
    </row>
    <row r="13100" spans="2:7">
      <c r="B13100"/>
      <c r="C13100"/>
      <c r="D13100"/>
      <c r="G13100"/>
    </row>
    <row r="13101" spans="2:7">
      <c r="B13101"/>
      <c r="C13101"/>
      <c r="D13101"/>
      <c r="G13101"/>
    </row>
    <row r="13102" spans="2:7">
      <c r="B13102"/>
      <c r="C13102"/>
      <c r="D13102"/>
      <c r="G13102"/>
    </row>
    <row r="13103" spans="2:7">
      <c r="B13103"/>
      <c r="C13103"/>
      <c r="D13103"/>
      <c r="G13103"/>
    </row>
    <row r="13104" spans="2:7">
      <c r="B13104"/>
      <c r="C13104"/>
      <c r="D13104"/>
      <c r="G13104"/>
    </row>
    <row r="13105" spans="2:7">
      <c r="B13105"/>
      <c r="C13105"/>
      <c r="D13105"/>
      <c r="G13105"/>
    </row>
    <row r="13106" spans="2:7">
      <c r="B13106"/>
      <c r="C13106"/>
      <c r="D13106"/>
      <c r="G13106"/>
    </row>
    <row r="13107" spans="2:7">
      <c r="B13107"/>
      <c r="C13107"/>
      <c r="D13107"/>
      <c r="G13107"/>
    </row>
    <row r="13108" spans="2:7">
      <c r="B13108"/>
      <c r="C13108"/>
      <c r="D13108"/>
      <c r="G13108"/>
    </row>
    <row r="13109" spans="2:7">
      <c r="B13109"/>
      <c r="C13109"/>
      <c r="D13109"/>
      <c r="G13109"/>
    </row>
    <row r="13110" spans="2:7">
      <c r="B13110"/>
      <c r="C13110"/>
      <c r="D13110"/>
      <c r="G13110"/>
    </row>
    <row r="13111" spans="2:7">
      <c r="B13111"/>
      <c r="C13111"/>
      <c r="D13111"/>
      <c r="G13111"/>
    </row>
    <row r="13112" spans="2:7">
      <c r="B13112"/>
      <c r="C13112"/>
      <c r="D13112"/>
      <c r="G13112"/>
    </row>
    <row r="13113" spans="2:7">
      <c r="B13113"/>
      <c r="C13113"/>
      <c r="D13113"/>
      <c r="G13113"/>
    </row>
    <row r="13114" spans="2:7">
      <c r="B13114"/>
      <c r="C13114"/>
      <c r="D13114"/>
      <c r="G13114"/>
    </row>
    <row r="13115" spans="2:7">
      <c r="B13115"/>
      <c r="C13115"/>
      <c r="D13115"/>
      <c r="G13115"/>
    </row>
    <row r="13116" spans="2:7">
      <c r="B13116"/>
      <c r="C13116"/>
      <c r="D13116"/>
      <c r="G13116"/>
    </row>
    <row r="13117" spans="2:7">
      <c r="B13117"/>
      <c r="C13117"/>
      <c r="D13117"/>
      <c r="G13117"/>
    </row>
    <row r="13118" spans="2:7">
      <c r="B13118"/>
      <c r="C13118"/>
      <c r="D13118"/>
      <c r="G13118"/>
    </row>
    <row r="13119" spans="2:7">
      <c r="B13119"/>
      <c r="C13119"/>
      <c r="D13119"/>
      <c r="G13119"/>
    </row>
    <row r="13120" spans="2:7">
      <c r="B13120"/>
      <c r="C13120"/>
      <c r="D13120"/>
      <c r="G13120"/>
    </row>
    <row r="13121" spans="2:7">
      <c r="B13121"/>
      <c r="C13121"/>
      <c r="D13121"/>
      <c r="G13121"/>
    </row>
    <row r="13122" spans="2:7">
      <c r="B13122"/>
      <c r="C13122"/>
      <c r="D13122"/>
      <c r="G13122"/>
    </row>
    <row r="13123" spans="2:7">
      <c r="B13123"/>
      <c r="C13123"/>
      <c r="D13123"/>
      <c r="G13123"/>
    </row>
    <row r="13124" spans="2:7">
      <c r="B13124"/>
      <c r="C13124"/>
      <c r="D13124"/>
      <c r="G13124"/>
    </row>
    <row r="13125" spans="2:7">
      <c r="B13125"/>
      <c r="C13125"/>
      <c r="D13125"/>
      <c r="G13125"/>
    </row>
    <row r="13126" spans="2:7">
      <c r="B13126"/>
      <c r="C13126"/>
      <c r="D13126"/>
      <c r="G13126"/>
    </row>
    <row r="13127" spans="2:7">
      <c r="B13127"/>
      <c r="C13127"/>
      <c r="D13127"/>
      <c r="G13127"/>
    </row>
    <row r="13128" spans="2:7">
      <c r="B13128"/>
      <c r="C13128"/>
      <c r="D13128"/>
      <c r="G13128"/>
    </row>
    <row r="13129" spans="2:7">
      <c r="B13129"/>
      <c r="C13129"/>
      <c r="D13129"/>
      <c r="G13129"/>
    </row>
    <row r="13130" spans="2:7">
      <c r="B13130"/>
      <c r="C13130"/>
      <c r="D13130"/>
      <c r="G13130"/>
    </row>
    <row r="13131" spans="2:7">
      <c r="B13131"/>
      <c r="C13131"/>
      <c r="D13131"/>
      <c r="G13131"/>
    </row>
    <row r="13132" spans="2:7">
      <c r="B13132"/>
      <c r="C13132"/>
      <c r="D13132"/>
      <c r="G13132"/>
    </row>
    <row r="13133" spans="2:7">
      <c r="B13133"/>
      <c r="C13133"/>
      <c r="D13133"/>
      <c r="G13133"/>
    </row>
    <row r="13134" spans="2:7">
      <c r="B13134"/>
      <c r="C13134"/>
      <c r="D13134"/>
      <c r="G13134"/>
    </row>
    <row r="13135" spans="2:7">
      <c r="B13135"/>
      <c r="C13135"/>
      <c r="D13135"/>
      <c r="G13135"/>
    </row>
    <row r="13136" spans="2:7">
      <c r="B13136"/>
      <c r="C13136"/>
      <c r="D13136"/>
      <c r="G13136"/>
    </row>
    <row r="13137" spans="2:7">
      <c r="B13137"/>
      <c r="C13137"/>
      <c r="D13137"/>
      <c r="G13137"/>
    </row>
    <row r="13138" spans="2:7">
      <c r="B13138"/>
      <c r="C13138"/>
      <c r="D13138"/>
      <c r="G13138"/>
    </row>
    <row r="13139" spans="2:7">
      <c r="B13139"/>
      <c r="C13139"/>
      <c r="D13139"/>
      <c r="G13139"/>
    </row>
    <row r="13140" spans="2:7">
      <c r="B13140"/>
      <c r="C13140"/>
      <c r="D13140"/>
      <c r="G13140"/>
    </row>
    <row r="13141" spans="2:7">
      <c r="B13141"/>
      <c r="C13141"/>
      <c r="D13141"/>
      <c r="G13141"/>
    </row>
    <row r="13142" spans="2:7">
      <c r="B13142"/>
      <c r="C13142"/>
      <c r="D13142"/>
      <c r="G13142"/>
    </row>
    <row r="13143" spans="2:7">
      <c r="B13143"/>
      <c r="C13143"/>
      <c r="D13143"/>
      <c r="G13143"/>
    </row>
    <row r="13144" spans="2:7">
      <c r="B13144"/>
      <c r="C13144"/>
      <c r="D13144"/>
      <c r="G13144"/>
    </row>
    <row r="13145" spans="2:7">
      <c r="B13145"/>
      <c r="C13145"/>
      <c r="D13145"/>
      <c r="G13145"/>
    </row>
    <row r="13146" spans="2:7">
      <c r="B13146"/>
      <c r="C13146"/>
      <c r="D13146"/>
      <c r="G13146"/>
    </row>
    <row r="13147" spans="2:7">
      <c r="B13147"/>
      <c r="C13147"/>
      <c r="D13147"/>
      <c r="G13147"/>
    </row>
    <row r="13148" spans="2:7">
      <c r="B13148"/>
      <c r="C13148"/>
      <c r="D13148"/>
      <c r="G13148"/>
    </row>
    <row r="13149" spans="2:7">
      <c r="B13149"/>
      <c r="C13149"/>
      <c r="D13149"/>
      <c r="G13149"/>
    </row>
    <row r="13150" spans="2:7">
      <c r="B13150"/>
      <c r="C13150"/>
      <c r="D13150"/>
      <c r="G13150"/>
    </row>
    <row r="13151" spans="2:7">
      <c r="B13151"/>
      <c r="C13151"/>
      <c r="D13151"/>
      <c r="G13151"/>
    </row>
    <row r="13152" spans="2:7">
      <c r="B13152"/>
      <c r="C13152"/>
      <c r="D13152"/>
      <c r="G13152"/>
    </row>
    <row r="13153" spans="2:7">
      <c r="B13153"/>
      <c r="C13153"/>
      <c r="D13153"/>
      <c r="G13153"/>
    </row>
    <row r="13154" spans="2:7">
      <c r="B13154"/>
      <c r="C13154"/>
      <c r="D13154"/>
      <c r="G13154"/>
    </row>
    <row r="13155" spans="2:7">
      <c r="B13155"/>
      <c r="C13155"/>
      <c r="D13155"/>
      <c r="G13155"/>
    </row>
    <row r="13156" spans="2:7">
      <c r="B13156"/>
      <c r="C13156"/>
      <c r="D13156"/>
      <c r="G13156"/>
    </row>
    <row r="13157" spans="2:7">
      <c r="B13157"/>
      <c r="C13157"/>
      <c r="D13157"/>
      <c r="G13157"/>
    </row>
    <row r="13158" spans="2:7">
      <c r="B13158"/>
      <c r="C13158"/>
      <c r="D13158"/>
      <c r="G13158"/>
    </row>
    <row r="13159" spans="2:7">
      <c r="B13159"/>
      <c r="C13159"/>
      <c r="D13159"/>
      <c r="G13159"/>
    </row>
    <row r="13160" spans="2:7">
      <c r="B13160"/>
      <c r="C13160"/>
      <c r="D13160"/>
      <c r="G13160"/>
    </row>
    <row r="13161" spans="2:7">
      <c r="B13161"/>
      <c r="C13161"/>
      <c r="D13161"/>
      <c r="G13161"/>
    </row>
    <row r="13162" spans="2:7">
      <c r="B13162"/>
      <c r="C13162"/>
      <c r="D13162"/>
      <c r="G13162"/>
    </row>
    <row r="13163" spans="2:7">
      <c r="B13163"/>
      <c r="C13163"/>
      <c r="D13163"/>
      <c r="G13163"/>
    </row>
    <row r="13164" spans="2:7">
      <c r="B13164"/>
      <c r="C13164"/>
      <c r="D13164"/>
      <c r="G13164"/>
    </row>
    <row r="13165" spans="2:7">
      <c r="B13165"/>
      <c r="C13165"/>
      <c r="D13165"/>
      <c r="G13165"/>
    </row>
    <row r="13166" spans="2:7">
      <c r="B13166"/>
      <c r="C13166"/>
      <c r="D13166"/>
      <c r="G13166"/>
    </row>
    <row r="13167" spans="2:7">
      <c r="B13167"/>
      <c r="C13167"/>
      <c r="D13167"/>
      <c r="G13167"/>
    </row>
    <row r="13168" spans="2:7">
      <c r="B13168"/>
      <c r="C13168"/>
      <c r="D13168"/>
      <c r="G13168"/>
    </row>
    <row r="13169" spans="2:7">
      <c r="B13169"/>
      <c r="C13169"/>
      <c r="D13169"/>
      <c r="G13169"/>
    </row>
    <row r="13170" spans="2:7">
      <c r="B13170"/>
      <c r="C13170"/>
      <c r="D13170"/>
      <c r="G13170"/>
    </row>
    <row r="13171" spans="2:7">
      <c r="B13171"/>
      <c r="C13171"/>
      <c r="D13171"/>
      <c r="G13171"/>
    </row>
    <row r="13172" spans="2:7">
      <c r="B13172"/>
      <c r="C13172"/>
      <c r="D13172"/>
      <c r="G13172"/>
    </row>
    <row r="13173" spans="2:7">
      <c r="B13173"/>
      <c r="C13173"/>
      <c r="D13173"/>
      <c r="G13173"/>
    </row>
    <row r="13174" spans="2:7">
      <c r="B13174"/>
      <c r="C13174"/>
      <c r="D13174"/>
      <c r="G13174"/>
    </row>
    <row r="13175" spans="2:7">
      <c r="B13175"/>
      <c r="C13175"/>
      <c r="D13175"/>
      <c r="G13175"/>
    </row>
    <row r="13176" spans="2:7">
      <c r="B13176"/>
      <c r="C13176"/>
      <c r="D13176"/>
      <c r="G13176"/>
    </row>
    <row r="13177" spans="2:7">
      <c r="B13177"/>
      <c r="C13177"/>
      <c r="D13177"/>
      <c r="G13177"/>
    </row>
    <row r="13178" spans="2:7">
      <c r="B13178"/>
      <c r="C13178"/>
      <c r="D13178"/>
      <c r="G13178"/>
    </row>
    <row r="13179" spans="2:7">
      <c r="B13179"/>
      <c r="C13179"/>
      <c r="D13179"/>
      <c r="G13179"/>
    </row>
    <row r="13180" spans="2:7">
      <c r="B13180"/>
      <c r="C13180"/>
      <c r="D13180"/>
      <c r="G13180"/>
    </row>
    <row r="13181" spans="2:7">
      <c r="B13181"/>
      <c r="C13181"/>
      <c r="D13181"/>
      <c r="G13181"/>
    </row>
    <row r="13182" spans="2:7">
      <c r="B13182"/>
      <c r="C13182"/>
      <c r="D13182"/>
      <c r="G13182"/>
    </row>
    <row r="13183" spans="2:7">
      <c r="B13183"/>
      <c r="C13183"/>
      <c r="D13183"/>
      <c r="G13183"/>
    </row>
    <row r="13184" spans="2:7">
      <c r="B13184"/>
      <c r="C13184"/>
      <c r="D13184"/>
      <c r="G13184"/>
    </row>
    <row r="13185" spans="2:7">
      <c r="B13185"/>
      <c r="C13185"/>
      <c r="D13185"/>
      <c r="G13185"/>
    </row>
    <row r="13186" spans="2:7">
      <c r="B13186"/>
      <c r="C13186"/>
      <c r="D13186"/>
      <c r="G13186"/>
    </row>
    <row r="13187" spans="2:7">
      <c r="B13187"/>
      <c r="C13187"/>
      <c r="D13187"/>
      <c r="G13187"/>
    </row>
    <row r="13188" spans="2:7">
      <c r="B13188"/>
      <c r="C13188"/>
      <c r="D13188"/>
      <c r="G13188"/>
    </row>
    <row r="13189" spans="2:7">
      <c r="B13189"/>
      <c r="C13189"/>
      <c r="D13189"/>
      <c r="G13189"/>
    </row>
    <row r="13190" spans="2:7">
      <c r="B13190"/>
      <c r="C13190"/>
      <c r="D13190"/>
      <c r="G13190"/>
    </row>
    <row r="13191" spans="2:7">
      <c r="B13191"/>
      <c r="C13191"/>
      <c r="D13191"/>
      <c r="G13191"/>
    </row>
    <row r="13192" spans="2:7">
      <c r="B13192"/>
      <c r="C13192"/>
      <c r="D13192"/>
      <c r="G13192"/>
    </row>
    <row r="13193" spans="2:7">
      <c r="B13193"/>
      <c r="C13193"/>
      <c r="D13193"/>
      <c r="G13193"/>
    </row>
    <row r="13194" spans="2:7">
      <c r="B13194"/>
      <c r="C13194"/>
      <c r="D13194"/>
      <c r="G13194"/>
    </row>
    <row r="13195" spans="2:7">
      <c r="B13195"/>
      <c r="C13195"/>
      <c r="D13195"/>
      <c r="G13195"/>
    </row>
    <row r="13196" spans="2:7">
      <c r="B13196"/>
      <c r="C13196"/>
      <c r="D13196"/>
      <c r="G13196"/>
    </row>
    <row r="13197" spans="2:7">
      <c r="B13197"/>
      <c r="C13197"/>
      <c r="D13197"/>
      <c r="G13197"/>
    </row>
    <row r="13198" spans="2:7">
      <c r="B13198"/>
      <c r="C13198"/>
      <c r="D13198"/>
      <c r="G13198"/>
    </row>
    <row r="13199" spans="2:7">
      <c r="B13199"/>
      <c r="C13199"/>
      <c r="D13199"/>
      <c r="G13199"/>
    </row>
    <row r="13200" spans="2:7">
      <c r="B13200"/>
      <c r="C13200"/>
      <c r="D13200"/>
      <c r="G13200"/>
    </row>
    <row r="13201" spans="2:7">
      <c r="B13201"/>
      <c r="C13201"/>
      <c r="D13201"/>
      <c r="G13201"/>
    </row>
    <row r="13202" spans="2:7">
      <c r="B13202"/>
      <c r="C13202"/>
      <c r="D13202"/>
      <c r="G13202"/>
    </row>
    <row r="13203" spans="2:7">
      <c r="B13203"/>
      <c r="C13203"/>
      <c r="D13203"/>
      <c r="G13203"/>
    </row>
    <row r="13204" spans="2:7">
      <c r="B13204"/>
      <c r="C13204"/>
      <c r="D13204"/>
      <c r="G13204"/>
    </row>
    <row r="13205" spans="2:7">
      <c r="B13205"/>
      <c r="C13205"/>
      <c r="D13205"/>
      <c r="G13205"/>
    </row>
    <row r="13206" spans="2:7">
      <c r="B13206"/>
      <c r="C13206"/>
      <c r="D13206"/>
      <c r="G13206"/>
    </row>
    <row r="13207" spans="2:7">
      <c r="B13207"/>
      <c r="C13207"/>
      <c r="D13207"/>
      <c r="G13207"/>
    </row>
    <row r="13208" spans="2:7">
      <c r="B13208"/>
      <c r="C13208"/>
      <c r="D13208"/>
      <c r="G13208"/>
    </row>
    <row r="13209" spans="2:7">
      <c r="B13209"/>
      <c r="C13209"/>
      <c r="D13209"/>
      <c r="G13209"/>
    </row>
    <row r="13210" spans="2:7">
      <c r="B13210"/>
      <c r="C13210"/>
      <c r="D13210"/>
      <c r="G13210"/>
    </row>
    <row r="13211" spans="2:7">
      <c r="B13211"/>
      <c r="C13211"/>
      <c r="D13211"/>
      <c r="G13211"/>
    </row>
    <row r="13212" spans="2:7">
      <c r="B13212"/>
      <c r="C13212"/>
      <c r="D13212"/>
      <c r="G13212"/>
    </row>
    <row r="13213" spans="2:7">
      <c r="B13213"/>
      <c r="C13213"/>
      <c r="D13213"/>
      <c r="G13213"/>
    </row>
    <row r="13214" spans="2:7">
      <c r="B13214"/>
      <c r="C13214"/>
      <c r="D13214"/>
      <c r="G13214"/>
    </row>
    <row r="13215" spans="2:7">
      <c r="B13215"/>
      <c r="C13215"/>
      <c r="D13215"/>
      <c r="G13215"/>
    </row>
    <row r="13216" spans="2:7">
      <c r="B13216"/>
      <c r="C13216"/>
      <c r="D13216"/>
      <c r="G13216"/>
    </row>
    <row r="13217" spans="2:7">
      <c r="B13217"/>
      <c r="C13217"/>
      <c r="D13217"/>
      <c r="G13217"/>
    </row>
    <row r="13218" spans="2:7">
      <c r="B13218"/>
      <c r="C13218"/>
      <c r="D13218"/>
      <c r="G13218"/>
    </row>
    <row r="13219" spans="2:7">
      <c r="B13219"/>
      <c r="C13219"/>
      <c r="D13219"/>
      <c r="G13219"/>
    </row>
    <row r="13220" spans="2:7">
      <c r="B13220"/>
      <c r="C13220"/>
      <c r="D13220"/>
      <c r="G13220"/>
    </row>
    <row r="13221" spans="2:7">
      <c r="B13221"/>
      <c r="C13221"/>
      <c r="D13221"/>
      <c r="G13221"/>
    </row>
    <row r="13222" spans="2:7">
      <c r="B13222"/>
      <c r="C13222"/>
      <c r="D13222"/>
      <c r="G13222"/>
    </row>
    <row r="13223" spans="2:7">
      <c r="B13223"/>
      <c r="C13223"/>
      <c r="D13223"/>
      <c r="G13223"/>
    </row>
    <row r="13224" spans="2:7">
      <c r="B13224"/>
      <c r="C13224"/>
      <c r="D13224"/>
      <c r="G13224"/>
    </row>
    <row r="13225" spans="2:7">
      <c r="B13225"/>
      <c r="C13225"/>
      <c r="D13225"/>
      <c r="G13225"/>
    </row>
    <row r="13226" spans="2:7">
      <c r="B13226"/>
      <c r="C13226"/>
      <c r="D13226"/>
      <c r="G13226"/>
    </row>
    <row r="13227" spans="2:7">
      <c r="B13227"/>
      <c r="C13227"/>
      <c r="D13227"/>
      <c r="G13227"/>
    </row>
    <row r="13228" spans="2:7">
      <c r="B13228"/>
      <c r="C13228"/>
      <c r="D13228"/>
      <c r="G13228"/>
    </row>
    <row r="13229" spans="2:7">
      <c r="B13229"/>
      <c r="C13229"/>
      <c r="D13229"/>
      <c r="G13229"/>
    </row>
    <row r="13230" spans="2:7">
      <c r="B13230"/>
      <c r="C13230"/>
      <c r="D13230"/>
      <c r="G13230"/>
    </row>
    <row r="13231" spans="2:7">
      <c r="B13231"/>
      <c r="C13231"/>
      <c r="D13231"/>
      <c r="G13231"/>
    </row>
    <row r="13232" spans="2:7">
      <c r="B13232"/>
      <c r="C13232"/>
      <c r="D13232"/>
      <c r="G13232"/>
    </row>
    <row r="13233" spans="2:7">
      <c r="B13233"/>
      <c r="C13233"/>
      <c r="D13233"/>
      <c r="G13233"/>
    </row>
    <row r="13234" spans="2:7">
      <c r="B13234"/>
      <c r="C13234"/>
      <c r="D13234"/>
      <c r="G13234"/>
    </row>
    <row r="13235" spans="2:7">
      <c r="B13235"/>
      <c r="C13235"/>
      <c r="D13235"/>
      <c r="G13235"/>
    </row>
    <row r="13236" spans="2:7">
      <c r="B13236"/>
      <c r="C13236"/>
      <c r="D13236"/>
      <c r="G13236"/>
    </row>
    <row r="13237" spans="2:7">
      <c r="B13237"/>
      <c r="C13237"/>
      <c r="D13237"/>
      <c r="G13237"/>
    </row>
    <row r="13238" spans="2:7">
      <c r="B13238"/>
      <c r="C13238"/>
      <c r="D13238"/>
      <c r="G13238"/>
    </row>
    <row r="13239" spans="2:7">
      <c r="B13239"/>
      <c r="C13239"/>
      <c r="D13239"/>
      <c r="G13239"/>
    </row>
    <row r="13240" spans="2:7">
      <c r="B13240"/>
      <c r="C13240"/>
      <c r="D13240"/>
      <c r="G13240"/>
    </row>
    <row r="13241" spans="2:7">
      <c r="B13241"/>
      <c r="C13241"/>
      <c r="D13241"/>
      <c r="G13241"/>
    </row>
    <row r="13242" spans="2:7">
      <c r="B13242"/>
      <c r="C13242"/>
      <c r="D13242"/>
      <c r="G13242"/>
    </row>
    <row r="13243" spans="2:7">
      <c r="B13243"/>
      <c r="C13243"/>
      <c r="D13243"/>
      <c r="G13243"/>
    </row>
    <row r="13244" spans="2:7">
      <c r="B13244"/>
      <c r="C13244"/>
      <c r="D13244"/>
      <c r="G13244"/>
    </row>
    <row r="13245" spans="2:7">
      <c r="B13245"/>
      <c r="C13245"/>
      <c r="D13245"/>
      <c r="G13245"/>
    </row>
    <row r="13246" spans="2:7">
      <c r="B13246"/>
      <c r="C13246"/>
      <c r="D13246"/>
      <c r="G13246"/>
    </row>
    <row r="13247" spans="2:7">
      <c r="B13247"/>
      <c r="C13247"/>
      <c r="D13247"/>
      <c r="G13247"/>
    </row>
    <row r="13248" spans="2:7">
      <c r="B13248"/>
      <c r="C13248"/>
      <c r="D13248"/>
      <c r="G13248"/>
    </row>
    <row r="13249" spans="2:7">
      <c r="B13249"/>
      <c r="C13249"/>
      <c r="D13249"/>
      <c r="G13249"/>
    </row>
    <row r="13250" spans="2:7">
      <c r="B13250"/>
      <c r="C13250"/>
      <c r="D13250"/>
      <c r="G13250"/>
    </row>
    <row r="13251" spans="2:7">
      <c r="B13251"/>
      <c r="C13251"/>
      <c r="D13251"/>
      <c r="G13251"/>
    </row>
    <row r="13252" spans="2:7">
      <c r="B13252"/>
      <c r="C13252"/>
      <c r="D13252"/>
      <c r="G13252"/>
    </row>
    <row r="13253" spans="2:7">
      <c r="B13253"/>
      <c r="C13253"/>
      <c r="D13253"/>
      <c r="G13253"/>
    </row>
    <row r="13254" spans="2:7">
      <c r="B13254"/>
      <c r="C13254"/>
      <c r="D13254"/>
      <c r="G13254"/>
    </row>
    <row r="13255" spans="2:7">
      <c r="B13255"/>
      <c r="C13255"/>
      <c r="D13255"/>
      <c r="G13255"/>
    </row>
    <row r="13256" spans="2:7">
      <c r="B13256"/>
      <c r="C13256"/>
      <c r="D13256"/>
      <c r="G13256"/>
    </row>
    <row r="13257" spans="2:7">
      <c r="B13257"/>
      <c r="C13257"/>
      <c r="D13257"/>
      <c r="G13257"/>
    </row>
    <row r="13258" spans="2:7">
      <c r="B13258"/>
      <c r="C13258"/>
      <c r="D13258"/>
      <c r="G13258"/>
    </row>
    <row r="13259" spans="2:7">
      <c r="B13259"/>
      <c r="C13259"/>
      <c r="D13259"/>
      <c r="G13259"/>
    </row>
    <row r="13260" spans="2:7">
      <c r="B13260"/>
      <c r="C13260"/>
      <c r="D13260"/>
      <c r="G13260"/>
    </row>
    <row r="13261" spans="2:7">
      <c r="B13261"/>
      <c r="C13261"/>
      <c r="D13261"/>
      <c r="G13261"/>
    </row>
    <row r="13262" spans="2:7">
      <c r="B13262"/>
      <c r="C13262"/>
      <c r="D13262"/>
      <c r="G13262"/>
    </row>
    <row r="13263" spans="2:7">
      <c r="B13263"/>
      <c r="C13263"/>
      <c r="D13263"/>
      <c r="G13263"/>
    </row>
    <row r="13264" spans="2:7">
      <c r="B13264"/>
      <c r="C13264"/>
      <c r="D13264"/>
      <c r="G13264"/>
    </row>
    <row r="13265" spans="2:7">
      <c r="B13265"/>
      <c r="C13265"/>
      <c r="D13265"/>
      <c r="G13265"/>
    </row>
    <row r="13266" spans="2:7">
      <c r="B13266"/>
      <c r="C13266"/>
      <c r="D13266"/>
      <c r="G13266"/>
    </row>
    <row r="13267" spans="2:7">
      <c r="B13267"/>
      <c r="C13267"/>
      <c r="D13267"/>
      <c r="G13267"/>
    </row>
    <row r="13268" spans="2:7">
      <c r="B13268"/>
      <c r="C13268"/>
      <c r="D13268"/>
      <c r="G13268"/>
    </row>
    <row r="13269" spans="2:7">
      <c r="B13269"/>
      <c r="C13269"/>
      <c r="D13269"/>
      <c r="G13269"/>
    </row>
    <row r="13270" spans="2:7">
      <c r="B13270"/>
      <c r="C13270"/>
      <c r="D13270"/>
      <c r="G13270"/>
    </row>
    <row r="13271" spans="2:7">
      <c r="B13271"/>
      <c r="C13271"/>
      <c r="D13271"/>
      <c r="G13271"/>
    </row>
    <row r="13272" spans="2:7">
      <c r="B13272"/>
      <c r="C13272"/>
      <c r="D13272"/>
      <c r="G13272"/>
    </row>
    <row r="13273" spans="2:7">
      <c r="B13273"/>
      <c r="C13273"/>
      <c r="D13273"/>
      <c r="G13273"/>
    </row>
    <row r="13274" spans="2:7">
      <c r="B13274"/>
      <c r="C13274"/>
      <c r="D13274"/>
      <c r="G13274"/>
    </row>
    <row r="13275" spans="2:7">
      <c r="B13275"/>
      <c r="C13275"/>
      <c r="D13275"/>
      <c r="G13275"/>
    </row>
    <row r="13276" spans="2:7">
      <c r="B13276"/>
      <c r="C13276"/>
      <c r="D13276"/>
      <c r="G13276"/>
    </row>
    <row r="13277" spans="2:7">
      <c r="B13277"/>
      <c r="C13277"/>
      <c r="D13277"/>
      <c r="G13277"/>
    </row>
    <row r="13278" spans="2:7">
      <c r="B13278"/>
      <c r="C13278"/>
      <c r="D13278"/>
      <c r="G13278"/>
    </row>
    <row r="13279" spans="2:7">
      <c r="B13279"/>
      <c r="C13279"/>
      <c r="D13279"/>
      <c r="G13279"/>
    </row>
    <row r="13280" spans="2:7">
      <c r="B13280"/>
      <c r="C13280"/>
      <c r="D13280"/>
      <c r="G13280"/>
    </row>
    <row r="13281" spans="2:7">
      <c r="B13281"/>
      <c r="C13281"/>
      <c r="D13281"/>
      <c r="G13281"/>
    </row>
    <row r="13282" spans="2:7">
      <c r="B13282"/>
      <c r="C13282"/>
      <c r="D13282"/>
      <c r="G13282"/>
    </row>
    <row r="13283" spans="2:7">
      <c r="B13283"/>
      <c r="C13283"/>
      <c r="D13283"/>
      <c r="G13283"/>
    </row>
    <row r="13284" spans="2:7">
      <c r="B13284"/>
      <c r="C13284"/>
      <c r="D13284"/>
      <c r="G13284"/>
    </row>
    <row r="13285" spans="2:7">
      <c r="B13285"/>
      <c r="C13285"/>
      <c r="D13285"/>
      <c r="G13285"/>
    </row>
    <row r="13286" spans="2:7">
      <c r="B13286"/>
      <c r="C13286"/>
      <c r="D13286"/>
      <c r="G13286"/>
    </row>
    <row r="13287" spans="2:7">
      <c r="B13287"/>
      <c r="C13287"/>
      <c r="D13287"/>
      <c r="G13287"/>
    </row>
    <row r="13288" spans="2:7">
      <c r="B13288"/>
      <c r="C13288"/>
      <c r="D13288"/>
      <c r="G13288"/>
    </row>
    <row r="13289" spans="2:7">
      <c r="B13289"/>
      <c r="C13289"/>
      <c r="D13289"/>
      <c r="G13289"/>
    </row>
    <row r="13290" spans="2:7">
      <c r="B13290"/>
      <c r="C13290"/>
      <c r="D13290"/>
      <c r="G13290"/>
    </row>
    <row r="13291" spans="2:7">
      <c r="B13291"/>
      <c r="C13291"/>
      <c r="D13291"/>
      <c r="G13291"/>
    </row>
    <row r="13292" spans="2:7">
      <c r="B13292"/>
      <c r="C13292"/>
      <c r="D13292"/>
      <c r="G13292"/>
    </row>
    <row r="13293" spans="2:7">
      <c r="B13293"/>
      <c r="C13293"/>
      <c r="D13293"/>
      <c r="G13293"/>
    </row>
    <row r="13294" spans="2:7">
      <c r="B13294"/>
      <c r="C13294"/>
      <c r="D13294"/>
      <c r="G13294"/>
    </row>
    <row r="13295" spans="2:7">
      <c r="B13295"/>
      <c r="C13295"/>
      <c r="D13295"/>
      <c r="G13295"/>
    </row>
    <row r="13296" spans="2:7">
      <c r="B13296"/>
      <c r="C13296"/>
      <c r="D13296"/>
      <c r="G13296"/>
    </row>
    <row r="13297" spans="2:7">
      <c r="B13297"/>
      <c r="C13297"/>
      <c r="D13297"/>
      <c r="G13297"/>
    </row>
    <row r="13298" spans="2:7">
      <c r="B13298"/>
      <c r="C13298"/>
      <c r="D13298"/>
      <c r="G13298"/>
    </row>
    <row r="13299" spans="2:7">
      <c r="B13299"/>
      <c r="C13299"/>
      <c r="D13299"/>
      <c r="G13299"/>
    </row>
    <row r="13300" spans="2:7">
      <c r="B13300"/>
      <c r="C13300"/>
      <c r="D13300"/>
      <c r="G13300"/>
    </row>
    <row r="13301" spans="2:7">
      <c r="B13301"/>
      <c r="C13301"/>
      <c r="D13301"/>
      <c r="G13301"/>
    </row>
    <row r="13302" spans="2:7">
      <c r="B13302"/>
      <c r="C13302"/>
      <c r="D13302"/>
      <c r="G13302"/>
    </row>
    <row r="13303" spans="2:7">
      <c r="B13303"/>
      <c r="C13303"/>
      <c r="D13303"/>
      <c r="G13303"/>
    </row>
    <row r="13304" spans="2:7">
      <c r="B13304"/>
      <c r="C13304"/>
      <c r="D13304"/>
      <c r="G13304"/>
    </row>
    <row r="13305" spans="2:7">
      <c r="B13305"/>
      <c r="C13305"/>
      <c r="D13305"/>
      <c r="G13305"/>
    </row>
    <row r="13306" spans="2:7">
      <c r="B13306"/>
      <c r="C13306"/>
      <c r="D13306"/>
      <c r="G13306"/>
    </row>
    <row r="13307" spans="2:7">
      <c r="B13307"/>
      <c r="C13307"/>
      <c r="D13307"/>
      <c r="G13307"/>
    </row>
    <row r="13308" spans="2:7">
      <c r="B13308"/>
      <c r="C13308"/>
      <c r="D13308"/>
      <c r="G13308"/>
    </row>
    <row r="13309" spans="2:7">
      <c r="B13309"/>
      <c r="C13309"/>
      <c r="D13309"/>
      <c r="G13309"/>
    </row>
    <row r="13310" spans="2:7">
      <c r="B13310"/>
      <c r="C13310"/>
      <c r="D13310"/>
      <c r="G13310"/>
    </row>
    <row r="13311" spans="2:7">
      <c r="B13311"/>
      <c r="C13311"/>
      <c r="D13311"/>
      <c r="G13311"/>
    </row>
    <row r="13312" spans="2:7">
      <c r="B13312"/>
      <c r="C13312"/>
      <c r="D13312"/>
      <c r="G13312"/>
    </row>
    <row r="13313" spans="2:7">
      <c r="B13313"/>
      <c r="C13313"/>
      <c r="D13313"/>
      <c r="G13313"/>
    </row>
    <row r="13314" spans="2:7">
      <c r="B13314"/>
      <c r="C13314"/>
      <c r="D13314"/>
      <c r="G13314"/>
    </row>
    <row r="13315" spans="2:7">
      <c r="B13315"/>
      <c r="C13315"/>
      <c r="D13315"/>
      <c r="G13315"/>
    </row>
    <row r="13316" spans="2:7">
      <c r="B13316"/>
      <c r="C13316"/>
      <c r="D13316"/>
      <c r="G13316"/>
    </row>
    <row r="13317" spans="2:7">
      <c r="B13317"/>
      <c r="C13317"/>
      <c r="D13317"/>
      <c r="G13317"/>
    </row>
    <row r="13318" spans="2:7">
      <c r="B13318"/>
      <c r="C13318"/>
      <c r="D13318"/>
      <c r="G13318"/>
    </row>
    <row r="13319" spans="2:7">
      <c r="B13319"/>
      <c r="C13319"/>
      <c r="D13319"/>
      <c r="G13319"/>
    </row>
    <row r="13320" spans="2:7">
      <c r="B13320"/>
      <c r="C13320"/>
      <c r="D13320"/>
      <c r="G13320"/>
    </row>
    <row r="13321" spans="2:7">
      <c r="B13321"/>
      <c r="C13321"/>
      <c r="D13321"/>
      <c r="G13321"/>
    </row>
    <row r="13322" spans="2:7">
      <c r="B13322"/>
      <c r="C13322"/>
      <c r="D13322"/>
      <c r="G13322"/>
    </row>
    <row r="13323" spans="2:7">
      <c r="B13323"/>
      <c r="C13323"/>
      <c r="D13323"/>
      <c r="G13323"/>
    </row>
    <row r="13324" spans="2:7">
      <c r="B13324"/>
      <c r="C13324"/>
      <c r="D13324"/>
      <c r="G13324"/>
    </row>
    <row r="13325" spans="2:7">
      <c r="B13325"/>
      <c r="C13325"/>
      <c r="D13325"/>
      <c r="G13325"/>
    </row>
    <row r="13326" spans="2:7">
      <c r="B13326"/>
      <c r="C13326"/>
      <c r="D13326"/>
      <c r="G13326"/>
    </row>
    <row r="13327" spans="2:7">
      <c r="B13327"/>
      <c r="C13327"/>
      <c r="D13327"/>
      <c r="G13327"/>
    </row>
    <row r="13328" spans="2:7">
      <c r="B13328"/>
      <c r="C13328"/>
      <c r="D13328"/>
      <c r="G13328"/>
    </row>
    <row r="13329" spans="2:7">
      <c r="B13329"/>
      <c r="C13329"/>
      <c r="D13329"/>
      <c r="G13329"/>
    </row>
    <row r="13330" spans="2:7">
      <c r="B13330"/>
      <c r="C13330"/>
      <c r="D13330"/>
      <c r="G13330"/>
    </row>
    <row r="13331" spans="2:7">
      <c r="B13331"/>
      <c r="C13331"/>
      <c r="D13331"/>
      <c r="G13331"/>
    </row>
    <row r="13332" spans="2:7">
      <c r="B13332"/>
      <c r="C13332"/>
      <c r="D13332"/>
      <c r="G13332"/>
    </row>
    <row r="13333" spans="2:7">
      <c r="B13333"/>
      <c r="C13333"/>
      <c r="D13333"/>
      <c r="G13333"/>
    </row>
    <row r="13334" spans="2:7">
      <c r="B13334"/>
      <c r="C13334"/>
      <c r="D13334"/>
      <c r="G13334"/>
    </row>
    <row r="13335" spans="2:7">
      <c r="B13335"/>
      <c r="C13335"/>
      <c r="D13335"/>
      <c r="G13335"/>
    </row>
    <row r="13336" spans="2:7">
      <c r="B13336"/>
      <c r="C13336"/>
      <c r="D13336"/>
      <c r="G13336"/>
    </row>
    <row r="13337" spans="2:7">
      <c r="B13337"/>
      <c r="C13337"/>
      <c r="D13337"/>
      <c r="G13337"/>
    </row>
    <row r="13338" spans="2:7">
      <c r="B13338"/>
      <c r="C13338"/>
      <c r="D13338"/>
      <c r="G13338"/>
    </row>
    <row r="13339" spans="2:7">
      <c r="B13339"/>
      <c r="C13339"/>
      <c r="D13339"/>
      <c r="G13339"/>
    </row>
    <row r="13340" spans="2:7">
      <c r="B13340"/>
      <c r="C13340"/>
      <c r="D13340"/>
      <c r="G13340"/>
    </row>
    <row r="13341" spans="2:7">
      <c r="B13341"/>
      <c r="C13341"/>
      <c r="D13341"/>
      <c r="G13341"/>
    </row>
    <row r="13342" spans="2:7">
      <c r="B13342"/>
      <c r="C13342"/>
      <c r="D13342"/>
      <c r="G13342"/>
    </row>
    <row r="13343" spans="2:7">
      <c r="B13343"/>
      <c r="C13343"/>
      <c r="D13343"/>
      <c r="G13343"/>
    </row>
    <row r="13344" spans="2:7">
      <c r="B13344"/>
      <c r="C13344"/>
      <c r="D13344"/>
      <c r="G13344"/>
    </row>
    <row r="13345" spans="2:7">
      <c r="B13345"/>
      <c r="C13345"/>
      <c r="D13345"/>
      <c r="G13345"/>
    </row>
    <row r="13346" spans="2:7">
      <c r="B13346"/>
      <c r="C13346"/>
      <c r="D13346"/>
      <c r="G13346"/>
    </row>
    <row r="13347" spans="2:7">
      <c r="B13347"/>
      <c r="C13347"/>
      <c r="D13347"/>
      <c r="G13347"/>
    </row>
    <row r="13348" spans="2:7">
      <c r="B13348"/>
      <c r="C13348"/>
      <c r="D13348"/>
      <c r="G13348"/>
    </row>
    <row r="13349" spans="2:7">
      <c r="B13349"/>
      <c r="C13349"/>
      <c r="D13349"/>
      <c r="G13349"/>
    </row>
    <row r="13350" spans="2:7">
      <c r="B13350"/>
      <c r="C13350"/>
      <c r="D13350"/>
      <c r="G13350"/>
    </row>
    <row r="13351" spans="2:7">
      <c r="B13351"/>
      <c r="C13351"/>
      <c r="D13351"/>
      <c r="G13351"/>
    </row>
    <row r="13352" spans="2:7">
      <c r="B13352"/>
      <c r="C13352"/>
      <c r="D13352"/>
      <c r="G13352"/>
    </row>
    <row r="13353" spans="2:7">
      <c r="B13353"/>
      <c r="C13353"/>
      <c r="D13353"/>
      <c r="G13353"/>
    </row>
    <row r="13354" spans="2:7">
      <c r="B13354"/>
      <c r="C13354"/>
      <c r="D13354"/>
      <c r="G13354"/>
    </row>
    <row r="13355" spans="2:7">
      <c r="B13355"/>
      <c r="C13355"/>
      <c r="D13355"/>
      <c r="G13355"/>
    </row>
    <row r="13356" spans="2:7">
      <c r="B13356"/>
      <c r="C13356"/>
      <c r="D13356"/>
      <c r="G13356"/>
    </row>
    <row r="13357" spans="2:7">
      <c r="B13357"/>
      <c r="C13357"/>
      <c r="D13357"/>
      <c r="G13357"/>
    </row>
    <row r="13358" spans="2:7">
      <c r="B13358"/>
      <c r="C13358"/>
      <c r="D13358"/>
      <c r="G13358"/>
    </row>
    <row r="13359" spans="2:7">
      <c r="B13359"/>
      <c r="C13359"/>
      <c r="D13359"/>
      <c r="G13359"/>
    </row>
    <row r="13360" spans="2:7">
      <c r="B13360"/>
      <c r="C13360"/>
      <c r="D13360"/>
      <c r="G13360"/>
    </row>
    <row r="13361" spans="2:7">
      <c r="B13361"/>
      <c r="C13361"/>
      <c r="D13361"/>
      <c r="G13361"/>
    </row>
    <row r="13362" spans="2:7">
      <c r="B13362"/>
      <c r="C13362"/>
      <c r="D13362"/>
      <c r="G13362"/>
    </row>
    <row r="13363" spans="2:7">
      <c r="B13363"/>
      <c r="C13363"/>
      <c r="D13363"/>
      <c r="G13363"/>
    </row>
    <row r="13364" spans="2:7">
      <c r="B13364"/>
      <c r="C13364"/>
      <c r="D13364"/>
      <c r="G13364"/>
    </row>
    <row r="13365" spans="2:7">
      <c r="B13365"/>
      <c r="C13365"/>
      <c r="D13365"/>
      <c r="G13365"/>
    </row>
    <row r="13366" spans="2:7">
      <c r="B13366"/>
      <c r="C13366"/>
      <c r="D13366"/>
      <c r="G13366"/>
    </row>
    <row r="13367" spans="2:7">
      <c r="B13367"/>
      <c r="C13367"/>
      <c r="D13367"/>
      <c r="G13367"/>
    </row>
    <row r="13368" spans="2:7">
      <c r="B13368"/>
      <c r="C13368"/>
      <c r="D13368"/>
      <c r="G13368"/>
    </row>
    <row r="13369" spans="2:7">
      <c r="B13369"/>
      <c r="C13369"/>
      <c r="D13369"/>
      <c r="G13369"/>
    </row>
    <row r="13370" spans="2:7">
      <c r="B13370"/>
      <c r="C13370"/>
      <c r="D13370"/>
      <c r="G13370"/>
    </row>
    <row r="13371" spans="2:7">
      <c r="B13371"/>
      <c r="C13371"/>
      <c r="D13371"/>
      <c r="G13371"/>
    </row>
    <row r="13372" spans="2:7">
      <c r="B13372"/>
      <c r="C13372"/>
      <c r="D13372"/>
      <c r="G13372"/>
    </row>
    <row r="13373" spans="2:7">
      <c r="B13373"/>
      <c r="C13373"/>
      <c r="D13373"/>
      <c r="G13373"/>
    </row>
    <row r="13374" spans="2:7">
      <c r="B13374"/>
      <c r="C13374"/>
      <c r="D13374"/>
      <c r="G13374"/>
    </row>
    <row r="13375" spans="2:7">
      <c r="B13375"/>
      <c r="C13375"/>
      <c r="D13375"/>
      <c r="G13375"/>
    </row>
    <row r="13376" spans="2:7">
      <c r="B13376"/>
      <c r="C13376"/>
      <c r="D13376"/>
      <c r="G13376"/>
    </row>
    <row r="13377" spans="2:7">
      <c r="B13377"/>
      <c r="C13377"/>
      <c r="D13377"/>
      <c r="G13377"/>
    </row>
    <row r="13378" spans="2:7">
      <c r="B13378"/>
      <c r="C13378"/>
      <c r="D13378"/>
      <c r="G13378"/>
    </row>
    <row r="13379" spans="2:7">
      <c r="B13379"/>
      <c r="C13379"/>
      <c r="D13379"/>
      <c r="G13379"/>
    </row>
    <row r="13380" spans="2:7">
      <c r="B13380"/>
      <c r="C13380"/>
      <c r="D13380"/>
      <c r="G13380"/>
    </row>
    <row r="13381" spans="2:7">
      <c r="B13381"/>
      <c r="C13381"/>
      <c r="D13381"/>
      <c r="G13381"/>
    </row>
    <row r="13382" spans="2:7">
      <c r="B13382"/>
      <c r="C13382"/>
      <c r="D13382"/>
      <c r="G13382"/>
    </row>
    <row r="13383" spans="2:7">
      <c r="B13383"/>
      <c r="C13383"/>
      <c r="D13383"/>
      <c r="G13383"/>
    </row>
    <row r="13384" spans="2:7">
      <c r="B13384"/>
      <c r="C13384"/>
      <c r="D13384"/>
      <c r="G13384"/>
    </row>
    <row r="13385" spans="2:7">
      <c r="B13385"/>
      <c r="C13385"/>
      <c r="D13385"/>
      <c r="G13385"/>
    </row>
    <row r="13386" spans="2:7">
      <c r="B13386"/>
      <c r="C13386"/>
      <c r="D13386"/>
      <c r="G13386"/>
    </row>
    <row r="13387" spans="2:7">
      <c r="B13387"/>
      <c r="C13387"/>
      <c r="D13387"/>
      <c r="G13387"/>
    </row>
    <row r="13388" spans="2:7">
      <c r="B13388"/>
      <c r="C13388"/>
      <c r="D13388"/>
      <c r="G13388"/>
    </row>
    <row r="13389" spans="2:7">
      <c r="B13389"/>
      <c r="C13389"/>
      <c r="D13389"/>
      <c r="G13389"/>
    </row>
    <row r="13390" spans="2:7">
      <c r="B13390"/>
      <c r="C13390"/>
      <c r="D13390"/>
      <c r="G13390"/>
    </row>
    <row r="13391" spans="2:7">
      <c r="B13391"/>
      <c r="C13391"/>
      <c r="D13391"/>
      <c r="G13391"/>
    </row>
    <row r="13392" spans="2:7">
      <c r="B13392"/>
      <c r="C13392"/>
      <c r="D13392"/>
      <c r="G13392"/>
    </row>
    <row r="13393" spans="2:7">
      <c r="B13393"/>
      <c r="C13393"/>
      <c r="D13393"/>
      <c r="G13393"/>
    </row>
    <row r="13394" spans="2:7">
      <c r="B13394"/>
      <c r="C13394"/>
      <c r="D13394"/>
      <c r="G13394"/>
    </row>
    <row r="13395" spans="2:7">
      <c r="B13395"/>
      <c r="C13395"/>
      <c r="D13395"/>
      <c r="G13395"/>
    </row>
    <row r="13396" spans="2:7">
      <c r="B13396"/>
      <c r="C13396"/>
      <c r="D13396"/>
      <c r="G13396"/>
    </row>
    <row r="13397" spans="2:7">
      <c r="B13397"/>
      <c r="C13397"/>
      <c r="D13397"/>
      <c r="G13397"/>
    </row>
    <row r="13398" spans="2:7">
      <c r="B13398"/>
      <c r="C13398"/>
      <c r="D13398"/>
      <c r="G13398"/>
    </row>
    <row r="13399" spans="2:7">
      <c r="B13399"/>
      <c r="C13399"/>
      <c r="D13399"/>
      <c r="G13399"/>
    </row>
    <row r="13400" spans="2:7">
      <c r="B13400"/>
      <c r="C13400"/>
      <c r="D13400"/>
      <c r="G13400"/>
    </row>
    <row r="13401" spans="2:7">
      <c r="B13401"/>
      <c r="C13401"/>
      <c r="D13401"/>
      <c r="G13401"/>
    </row>
    <row r="13402" spans="2:7">
      <c r="B13402"/>
      <c r="C13402"/>
      <c r="D13402"/>
      <c r="G13402"/>
    </row>
    <row r="13403" spans="2:7">
      <c r="B13403"/>
      <c r="C13403"/>
      <c r="D13403"/>
      <c r="G13403"/>
    </row>
    <row r="13404" spans="2:7">
      <c r="B13404"/>
      <c r="C13404"/>
      <c r="D13404"/>
      <c r="G13404"/>
    </row>
    <row r="13405" spans="2:7">
      <c r="B13405"/>
      <c r="C13405"/>
      <c r="D13405"/>
      <c r="G13405"/>
    </row>
    <row r="13406" spans="2:7">
      <c r="B13406"/>
      <c r="C13406"/>
      <c r="D13406"/>
      <c r="G13406"/>
    </row>
    <row r="13407" spans="2:7">
      <c r="B13407"/>
      <c r="C13407"/>
      <c r="D13407"/>
      <c r="G13407"/>
    </row>
    <row r="13408" spans="2:7">
      <c r="B13408"/>
      <c r="C13408"/>
      <c r="D13408"/>
      <c r="G13408"/>
    </row>
    <row r="13409" spans="2:7">
      <c r="B13409"/>
      <c r="C13409"/>
      <c r="D13409"/>
      <c r="G13409"/>
    </row>
    <row r="13410" spans="2:7">
      <c r="B13410"/>
      <c r="C13410"/>
      <c r="D13410"/>
      <c r="G13410"/>
    </row>
    <row r="13411" spans="2:7">
      <c r="B13411"/>
      <c r="C13411"/>
      <c r="D13411"/>
      <c r="G13411"/>
    </row>
    <row r="13412" spans="2:7">
      <c r="B13412"/>
      <c r="C13412"/>
      <c r="D13412"/>
      <c r="G13412"/>
    </row>
    <row r="13413" spans="2:7">
      <c r="B13413"/>
      <c r="C13413"/>
      <c r="D13413"/>
      <c r="G13413"/>
    </row>
    <row r="13414" spans="2:7">
      <c r="B13414"/>
      <c r="C13414"/>
      <c r="D13414"/>
      <c r="G13414"/>
    </row>
    <row r="13415" spans="2:7">
      <c r="B13415"/>
      <c r="C13415"/>
      <c r="D13415"/>
      <c r="G13415"/>
    </row>
    <row r="13416" spans="2:7">
      <c r="B13416"/>
      <c r="C13416"/>
      <c r="D13416"/>
      <c r="G13416"/>
    </row>
    <row r="13417" spans="2:7">
      <c r="B13417"/>
      <c r="C13417"/>
      <c r="D13417"/>
      <c r="G13417"/>
    </row>
    <row r="13418" spans="2:7">
      <c r="B13418"/>
      <c r="C13418"/>
      <c r="D13418"/>
      <c r="G13418"/>
    </row>
    <row r="13419" spans="2:7">
      <c r="B13419"/>
      <c r="C13419"/>
      <c r="D13419"/>
      <c r="G13419"/>
    </row>
    <row r="13420" spans="2:7">
      <c r="B13420"/>
      <c r="C13420"/>
      <c r="D13420"/>
      <c r="G13420"/>
    </row>
    <row r="13421" spans="2:7">
      <c r="B13421"/>
      <c r="C13421"/>
      <c r="D13421"/>
      <c r="G13421"/>
    </row>
    <row r="13422" spans="2:7">
      <c r="B13422"/>
      <c r="C13422"/>
      <c r="D13422"/>
      <c r="G13422"/>
    </row>
    <row r="13423" spans="2:7">
      <c r="B13423"/>
      <c r="C13423"/>
      <c r="D13423"/>
      <c r="G13423"/>
    </row>
    <row r="13424" spans="2:7">
      <c r="B13424"/>
      <c r="C13424"/>
      <c r="D13424"/>
      <c r="G13424"/>
    </row>
    <row r="13425" spans="2:7">
      <c r="B13425"/>
      <c r="C13425"/>
      <c r="D13425"/>
      <c r="G13425"/>
    </row>
    <row r="13426" spans="2:7">
      <c r="B13426"/>
      <c r="C13426"/>
      <c r="D13426"/>
      <c r="G13426"/>
    </row>
    <row r="13427" spans="2:7">
      <c r="B13427"/>
      <c r="C13427"/>
      <c r="D13427"/>
      <c r="G13427"/>
    </row>
    <row r="13428" spans="2:7">
      <c r="B13428"/>
      <c r="C13428"/>
      <c r="D13428"/>
      <c r="G13428"/>
    </row>
    <row r="13429" spans="2:7">
      <c r="B13429"/>
      <c r="C13429"/>
      <c r="D13429"/>
      <c r="G13429"/>
    </row>
    <row r="13430" spans="2:7">
      <c r="B13430"/>
      <c r="C13430"/>
      <c r="D13430"/>
      <c r="G13430"/>
    </row>
    <row r="13431" spans="2:7">
      <c r="B13431"/>
      <c r="C13431"/>
      <c r="D13431"/>
      <c r="G13431"/>
    </row>
    <row r="13432" spans="2:7">
      <c r="B13432"/>
      <c r="C13432"/>
      <c r="D13432"/>
      <c r="G13432"/>
    </row>
    <row r="13433" spans="2:7">
      <c r="B13433"/>
      <c r="C13433"/>
      <c r="D13433"/>
      <c r="G13433"/>
    </row>
    <row r="13434" spans="2:7">
      <c r="B13434"/>
      <c r="C13434"/>
      <c r="D13434"/>
      <c r="G13434"/>
    </row>
    <row r="13435" spans="2:7">
      <c r="B13435"/>
      <c r="C13435"/>
      <c r="D13435"/>
      <c r="G13435"/>
    </row>
    <row r="13436" spans="2:7">
      <c r="B13436"/>
      <c r="C13436"/>
      <c r="D13436"/>
      <c r="G13436"/>
    </row>
    <row r="13437" spans="2:7">
      <c r="B13437"/>
      <c r="C13437"/>
      <c r="D13437"/>
      <c r="G13437"/>
    </row>
    <row r="13438" spans="2:7">
      <c r="B13438"/>
      <c r="C13438"/>
      <c r="D13438"/>
      <c r="G13438"/>
    </row>
    <row r="13439" spans="2:7">
      <c r="B13439"/>
      <c r="C13439"/>
      <c r="D13439"/>
      <c r="G13439"/>
    </row>
    <row r="13440" spans="2:7">
      <c r="B13440"/>
      <c r="C13440"/>
      <c r="D13440"/>
      <c r="G13440"/>
    </row>
    <row r="13441" spans="2:7">
      <c r="B13441"/>
      <c r="C13441"/>
      <c r="D13441"/>
      <c r="G13441"/>
    </row>
    <row r="13442" spans="2:7">
      <c r="B13442"/>
      <c r="C13442"/>
      <c r="D13442"/>
      <c r="G13442"/>
    </row>
    <row r="13443" spans="2:7">
      <c r="B13443"/>
      <c r="C13443"/>
      <c r="D13443"/>
      <c r="G13443"/>
    </row>
    <row r="13444" spans="2:7">
      <c r="B13444"/>
      <c r="C13444"/>
      <c r="D13444"/>
      <c r="G13444"/>
    </row>
    <row r="13445" spans="2:7">
      <c r="B13445"/>
      <c r="C13445"/>
      <c r="D13445"/>
      <c r="G13445"/>
    </row>
    <row r="13446" spans="2:7">
      <c r="B13446"/>
      <c r="C13446"/>
      <c r="D13446"/>
      <c r="G13446"/>
    </row>
    <row r="13447" spans="2:7">
      <c r="B13447"/>
      <c r="C13447"/>
      <c r="D13447"/>
      <c r="G13447"/>
    </row>
    <row r="13448" spans="2:7">
      <c r="B13448"/>
      <c r="C13448"/>
      <c r="D13448"/>
      <c r="G13448"/>
    </row>
    <row r="13449" spans="2:7">
      <c r="B13449"/>
      <c r="C13449"/>
      <c r="D13449"/>
      <c r="G13449"/>
    </row>
    <row r="13450" spans="2:7">
      <c r="B13450"/>
      <c r="C13450"/>
      <c r="D13450"/>
      <c r="G13450"/>
    </row>
    <row r="13451" spans="2:7">
      <c r="B13451"/>
      <c r="C13451"/>
      <c r="D13451"/>
      <c r="G13451"/>
    </row>
    <row r="13452" spans="2:7">
      <c r="B13452"/>
      <c r="C13452"/>
      <c r="D13452"/>
      <c r="G13452"/>
    </row>
    <row r="13453" spans="2:7">
      <c r="B13453"/>
      <c r="C13453"/>
      <c r="D13453"/>
      <c r="G13453"/>
    </row>
    <row r="13454" spans="2:7">
      <c r="B13454"/>
      <c r="C13454"/>
      <c r="D13454"/>
      <c r="G13454"/>
    </row>
    <row r="13455" spans="2:7">
      <c r="B13455"/>
      <c r="C13455"/>
      <c r="D13455"/>
      <c r="G13455"/>
    </row>
    <row r="13456" spans="2:7">
      <c r="B13456"/>
      <c r="C13456"/>
      <c r="D13456"/>
      <c r="G13456"/>
    </row>
    <row r="13457" spans="2:7">
      <c r="B13457"/>
      <c r="C13457"/>
      <c r="D13457"/>
      <c r="G13457"/>
    </row>
    <row r="13458" spans="2:7">
      <c r="B13458"/>
      <c r="C13458"/>
      <c r="D13458"/>
      <c r="G13458"/>
    </row>
    <row r="13459" spans="2:7">
      <c r="B13459"/>
      <c r="C13459"/>
      <c r="D13459"/>
      <c r="G13459"/>
    </row>
    <row r="13460" spans="2:7">
      <c r="B13460"/>
      <c r="C13460"/>
      <c r="D13460"/>
      <c r="G13460"/>
    </row>
    <row r="13461" spans="2:7">
      <c r="B13461"/>
      <c r="C13461"/>
      <c r="D13461"/>
      <c r="G13461"/>
    </row>
    <row r="13462" spans="2:7">
      <c r="B13462"/>
      <c r="C13462"/>
      <c r="D13462"/>
      <c r="G13462"/>
    </row>
    <row r="13463" spans="2:7">
      <c r="B13463"/>
      <c r="C13463"/>
      <c r="D13463"/>
      <c r="G13463"/>
    </row>
    <row r="13464" spans="2:7">
      <c r="B13464"/>
      <c r="C13464"/>
      <c r="D13464"/>
      <c r="G13464"/>
    </row>
    <row r="13465" spans="2:7">
      <c r="B13465"/>
      <c r="C13465"/>
      <c r="D13465"/>
      <c r="G13465"/>
    </row>
    <row r="13466" spans="2:7">
      <c r="B13466"/>
      <c r="C13466"/>
      <c r="D13466"/>
      <c r="G13466"/>
    </row>
    <row r="13467" spans="2:7">
      <c r="B13467"/>
      <c r="C13467"/>
      <c r="D13467"/>
      <c r="G13467"/>
    </row>
    <row r="13468" spans="2:7">
      <c r="B13468"/>
      <c r="C13468"/>
      <c r="D13468"/>
      <c r="G13468"/>
    </row>
    <row r="13469" spans="2:7">
      <c r="B13469"/>
      <c r="C13469"/>
      <c r="D13469"/>
      <c r="G13469"/>
    </row>
    <row r="13470" spans="2:7">
      <c r="B13470"/>
      <c r="C13470"/>
      <c r="D13470"/>
      <c r="G13470"/>
    </row>
    <row r="13471" spans="2:7">
      <c r="B13471"/>
      <c r="C13471"/>
      <c r="D13471"/>
      <c r="G13471"/>
    </row>
    <row r="13472" spans="2:7">
      <c r="B13472"/>
      <c r="C13472"/>
      <c r="D13472"/>
      <c r="G13472"/>
    </row>
    <row r="13473" spans="2:7">
      <c r="B13473"/>
      <c r="C13473"/>
      <c r="D13473"/>
      <c r="G13473"/>
    </row>
    <row r="13474" spans="2:7">
      <c r="B13474"/>
      <c r="C13474"/>
      <c r="D13474"/>
      <c r="G13474"/>
    </row>
    <row r="13475" spans="2:7">
      <c r="B13475"/>
      <c r="C13475"/>
      <c r="D13475"/>
      <c r="G13475"/>
    </row>
    <row r="13476" spans="2:7">
      <c r="B13476"/>
      <c r="C13476"/>
      <c r="D13476"/>
      <c r="G13476"/>
    </row>
    <row r="13477" spans="2:7">
      <c r="B13477"/>
      <c r="C13477"/>
      <c r="D13477"/>
      <c r="G13477"/>
    </row>
    <row r="13478" spans="2:7">
      <c r="B13478"/>
      <c r="C13478"/>
      <c r="D13478"/>
      <c r="G13478"/>
    </row>
    <row r="13479" spans="2:7">
      <c r="B13479"/>
      <c r="C13479"/>
      <c r="D13479"/>
      <c r="G13479"/>
    </row>
    <row r="13480" spans="2:7">
      <c r="B13480"/>
      <c r="C13480"/>
      <c r="D13480"/>
      <c r="G13480"/>
    </row>
    <row r="13481" spans="2:7">
      <c r="B13481"/>
      <c r="C13481"/>
      <c r="D13481"/>
      <c r="G13481"/>
    </row>
    <row r="13482" spans="2:7">
      <c r="B13482"/>
      <c r="C13482"/>
      <c r="D13482"/>
      <c r="G13482"/>
    </row>
    <row r="13483" spans="2:7">
      <c r="B13483"/>
      <c r="C13483"/>
      <c r="D13483"/>
      <c r="G13483"/>
    </row>
    <row r="13484" spans="2:7">
      <c r="B13484"/>
      <c r="C13484"/>
      <c r="D13484"/>
      <c r="G13484"/>
    </row>
    <row r="13485" spans="2:7">
      <c r="B13485"/>
      <c r="C13485"/>
      <c r="D13485"/>
      <c r="G13485"/>
    </row>
    <row r="13486" spans="2:7">
      <c r="B13486"/>
      <c r="C13486"/>
      <c r="D13486"/>
      <c r="G13486"/>
    </row>
    <row r="13487" spans="2:7">
      <c r="B13487"/>
      <c r="C13487"/>
      <c r="D13487"/>
      <c r="G13487"/>
    </row>
    <row r="13488" spans="2:7">
      <c r="B13488"/>
      <c r="C13488"/>
      <c r="D13488"/>
      <c r="G13488"/>
    </row>
    <row r="13489" spans="2:7">
      <c r="B13489"/>
      <c r="C13489"/>
      <c r="D13489"/>
      <c r="G13489"/>
    </row>
    <row r="13490" spans="2:7">
      <c r="B13490"/>
      <c r="C13490"/>
      <c r="D13490"/>
      <c r="G13490"/>
    </row>
    <row r="13491" spans="2:7">
      <c r="B13491"/>
      <c r="C13491"/>
      <c r="D13491"/>
      <c r="G13491"/>
    </row>
    <row r="13492" spans="2:7">
      <c r="B13492"/>
      <c r="C13492"/>
      <c r="D13492"/>
      <c r="G13492"/>
    </row>
    <row r="13493" spans="2:7">
      <c r="B13493"/>
      <c r="C13493"/>
      <c r="D13493"/>
      <c r="G13493"/>
    </row>
    <row r="13494" spans="2:7">
      <c r="B13494"/>
      <c r="C13494"/>
      <c r="D13494"/>
      <c r="G13494"/>
    </row>
    <row r="13495" spans="2:7">
      <c r="B13495"/>
      <c r="C13495"/>
      <c r="D13495"/>
      <c r="G13495"/>
    </row>
    <row r="13496" spans="2:7">
      <c r="B13496"/>
      <c r="C13496"/>
      <c r="D13496"/>
      <c r="G13496"/>
    </row>
    <row r="13497" spans="2:7">
      <c r="B13497"/>
      <c r="C13497"/>
      <c r="D13497"/>
      <c r="G13497"/>
    </row>
    <row r="13498" spans="2:7">
      <c r="B13498"/>
      <c r="C13498"/>
      <c r="D13498"/>
      <c r="G13498"/>
    </row>
    <row r="13499" spans="2:7">
      <c r="B13499"/>
      <c r="C13499"/>
      <c r="D13499"/>
      <c r="G13499"/>
    </row>
    <row r="13500" spans="2:7">
      <c r="B13500"/>
      <c r="C13500"/>
      <c r="D13500"/>
      <c r="G13500"/>
    </row>
    <row r="13501" spans="2:7">
      <c r="B13501"/>
      <c r="C13501"/>
      <c r="D13501"/>
      <c r="G13501"/>
    </row>
    <row r="13502" spans="2:7">
      <c r="B13502"/>
      <c r="C13502"/>
      <c r="D13502"/>
      <c r="G13502"/>
    </row>
    <row r="13503" spans="2:7">
      <c r="B13503"/>
      <c r="C13503"/>
      <c r="D13503"/>
      <c r="G13503"/>
    </row>
    <row r="13504" spans="2:7">
      <c r="B13504"/>
      <c r="C13504"/>
      <c r="D13504"/>
      <c r="G13504"/>
    </row>
    <row r="13505" spans="2:7">
      <c r="B13505"/>
      <c r="C13505"/>
      <c r="D13505"/>
      <c r="G13505"/>
    </row>
    <row r="13506" spans="2:7">
      <c r="B13506"/>
      <c r="C13506"/>
      <c r="D13506"/>
      <c r="G13506"/>
    </row>
    <row r="13507" spans="2:7">
      <c r="B13507"/>
      <c r="C13507"/>
      <c r="D13507"/>
      <c r="G13507"/>
    </row>
    <row r="13508" spans="2:7">
      <c r="B13508"/>
      <c r="C13508"/>
      <c r="D13508"/>
      <c r="G13508"/>
    </row>
    <row r="13509" spans="2:7">
      <c r="B13509"/>
      <c r="C13509"/>
      <c r="D13509"/>
      <c r="G13509"/>
    </row>
    <row r="13510" spans="2:7">
      <c r="B13510"/>
      <c r="C13510"/>
      <c r="D13510"/>
      <c r="G13510"/>
    </row>
    <row r="13511" spans="2:7">
      <c r="B13511"/>
      <c r="C13511"/>
      <c r="D13511"/>
      <c r="G13511"/>
    </row>
    <row r="13512" spans="2:7">
      <c r="B13512"/>
      <c r="C13512"/>
      <c r="D13512"/>
      <c r="G13512"/>
    </row>
    <row r="13513" spans="2:7">
      <c r="B13513"/>
      <c r="C13513"/>
      <c r="D13513"/>
      <c r="G13513"/>
    </row>
    <row r="13514" spans="2:7">
      <c r="B13514"/>
      <c r="C13514"/>
      <c r="D13514"/>
      <c r="G13514"/>
    </row>
    <row r="13515" spans="2:7">
      <c r="B13515"/>
      <c r="C13515"/>
      <c r="D13515"/>
      <c r="G13515"/>
    </row>
    <row r="13516" spans="2:7">
      <c r="B13516"/>
      <c r="C13516"/>
      <c r="D13516"/>
      <c r="G13516"/>
    </row>
    <row r="13517" spans="2:7">
      <c r="B13517"/>
      <c r="C13517"/>
      <c r="D13517"/>
      <c r="G13517"/>
    </row>
    <row r="13518" spans="2:7">
      <c r="B13518"/>
      <c r="C13518"/>
      <c r="D13518"/>
      <c r="G13518"/>
    </row>
    <row r="13519" spans="2:7">
      <c r="B13519"/>
      <c r="C13519"/>
      <c r="D13519"/>
      <c r="G13519"/>
    </row>
    <row r="13520" spans="2:7">
      <c r="B13520"/>
      <c r="C13520"/>
      <c r="D13520"/>
      <c r="G13520"/>
    </row>
    <row r="13521" spans="2:7">
      <c r="B13521"/>
      <c r="C13521"/>
      <c r="D13521"/>
      <c r="G13521"/>
    </row>
    <row r="13522" spans="2:7">
      <c r="B13522"/>
      <c r="C13522"/>
      <c r="D13522"/>
      <c r="G13522"/>
    </row>
    <row r="13523" spans="2:7">
      <c r="B13523"/>
      <c r="C13523"/>
      <c r="D13523"/>
      <c r="G13523"/>
    </row>
    <row r="13524" spans="2:7">
      <c r="B13524"/>
      <c r="C13524"/>
      <c r="D13524"/>
      <c r="G13524"/>
    </row>
    <row r="13525" spans="2:7">
      <c r="B13525"/>
      <c r="C13525"/>
      <c r="D13525"/>
      <c r="G13525"/>
    </row>
    <row r="13526" spans="2:7">
      <c r="B13526"/>
      <c r="C13526"/>
      <c r="D13526"/>
      <c r="G13526"/>
    </row>
    <row r="13527" spans="2:7">
      <c r="B13527"/>
      <c r="C13527"/>
      <c r="D13527"/>
      <c r="G13527"/>
    </row>
    <row r="13528" spans="2:7">
      <c r="B13528"/>
      <c r="C13528"/>
      <c r="D13528"/>
      <c r="G13528"/>
    </row>
    <row r="13529" spans="2:7">
      <c r="B13529"/>
      <c r="C13529"/>
      <c r="D13529"/>
      <c r="G13529"/>
    </row>
    <row r="13530" spans="2:7">
      <c r="B13530"/>
      <c r="C13530"/>
      <c r="D13530"/>
      <c r="G13530"/>
    </row>
    <row r="13531" spans="2:7">
      <c r="B13531"/>
      <c r="C13531"/>
      <c r="D13531"/>
      <c r="G13531"/>
    </row>
    <row r="13532" spans="2:7">
      <c r="B13532"/>
      <c r="C13532"/>
      <c r="D13532"/>
      <c r="G13532"/>
    </row>
    <row r="13533" spans="2:7">
      <c r="B13533"/>
      <c r="C13533"/>
      <c r="D13533"/>
      <c r="G13533"/>
    </row>
    <row r="13534" spans="2:7">
      <c r="B13534"/>
      <c r="C13534"/>
      <c r="D13534"/>
      <c r="G13534"/>
    </row>
    <row r="13535" spans="2:7">
      <c r="B13535"/>
      <c r="C13535"/>
      <c r="D13535"/>
      <c r="G13535"/>
    </row>
    <row r="13536" spans="2:7">
      <c r="B13536"/>
      <c r="C13536"/>
      <c r="D13536"/>
      <c r="G13536"/>
    </row>
    <row r="13537" spans="2:7">
      <c r="B13537"/>
      <c r="C13537"/>
      <c r="D13537"/>
      <c r="G13537"/>
    </row>
    <row r="13538" spans="2:7">
      <c r="B13538"/>
      <c r="C13538"/>
      <c r="D13538"/>
      <c r="G13538"/>
    </row>
    <row r="13539" spans="2:7">
      <c r="B13539"/>
      <c r="C13539"/>
      <c r="D13539"/>
      <c r="G13539"/>
    </row>
    <row r="13540" spans="2:7">
      <c r="B13540"/>
      <c r="C13540"/>
      <c r="D13540"/>
      <c r="G13540"/>
    </row>
    <row r="13541" spans="2:7">
      <c r="B13541"/>
      <c r="C13541"/>
      <c r="D13541"/>
      <c r="G13541"/>
    </row>
    <row r="13542" spans="2:7">
      <c r="B13542"/>
      <c r="C13542"/>
      <c r="D13542"/>
      <c r="G13542"/>
    </row>
    <row r="13543" spans="2:7">
      <c r="B13543"/>
      <c r="C13543"/>
      <c r="D13543"/>
      <c r="G13543"/>
    </row>
    <row r="13544" spans="2:7">
      <c r="B13544"/>
      <c r="C13544"/>
      <c r="D13544"/>
      <c r="G13544"/>
    </row>
    <row r="13545" spans="2:7">
      <c r="B13545"/>
      <c r="C13545"/>
      <c r="D13545"/>
      <c r="G13545"/>
    </row>
    <row r="13546" spans="2:7">
      <c r="B13546"/>
      <c r="C13546"/>
      <c r="D13546"/>
      <c r="G13546"/>
    </row>
    <row r="13547" spans="2:7">
      <c r="B13547"/>
      <c r="C13547"/>
      <c r="D13547"/>
      <c r="G13547"/>
    </row>
    <row r="13548" spans="2:7">
      <c r="B13548"/>
      <c r="C13548"/>
      <c r="D13548"/>
      <c r="G13548"/>
    </row>
    <row r="13549" spans="2:7">
      <c r="B13549"/>
      <c r="C13549"/>
      <c r="D13549"/>
      <c r="G13549"/>
    </row>
    <row r="13550" spans="2:7">
      <c r="B13550"/>
      <c r="C13550"/>
      <c r="D13550"/>
      <c r="G13550"/>
    </row>
    <row r="13551" spans="2:7">
      <c r="B13551"/>
      <c r="C13551"/>
      <c r="D13551"/>
      <c r="G13551"/>
    </row>
    <row r="13552" spans="2:7">
      <c r="B13552"/>
      <c r="C13552"/>
      <c r="D13552"/>
      <c r="G13552"/>
    </row>
    <row r="13553" spans="2:7">
      <c r="B13553"/>
      <c r="C13553"/>
      <c r="D13553"/>
      <c r="G13553"/>
    </row>
    <row r="13554" spans="2:7">
      <c r="B13554"/>
      <c r="C13554"/>
      <c r="D13554"/>
      <c r="G13554"/>
    </row>
    <row r="13555" spans="2:7">
      <c r="B13555"/>
      <c r="C13555"/>
      <c r="D13555"/>
      <c r="G13555"/>
    </row>
    <row r="13556" spans="2:7">
      <c r="B13556"/>
      <c r="C13556"/>
      <c r="D13556"/>
      <c r="G13556"/>
    </row>
    <row r="13557" spans="2:7">
      <c r="B13557"/>
      <c r="C13557"/>
      <c r="D13557"/>
      <c r="G13557"/>
    </row>
    <row r="13558" spans="2:7">
      <c r="B13558"/>
      <c r="C13558"/>
      <c r="D13558"/>
      <c r="G13558"/>
    </row>
    <row r="13559" spans="2:7">
      <c r="B13559"/>
      <c r="C13559"/>
      <c r="D13559"/>
      <c r="G13559"/>
    </row>
    <row r="13560" spans="2:7">
      <c r="B13560"/>
      <c r="C13560"/>
      <c r="D13560"/>
      <c r="G13560"/>
    </row>
    <row r="13561" spans="2:7">
      <c r="B13561"/>
      <c r="C13561"/>
      <c r="D13561"/>
      <c r="G13561"/>
    </row>
    <row r="13562" spans="2:7">
      <c r="B13562"/>
      <c r="C13562"/>
      <c r="D13562"/>
      <c r="G13562"/>
    </row>
    <row r="13563" spans="2:7">
      <c r="B13563"/>
      <c r="C13563"/>
      <c r="D13563"/>
      <c r="G13563"/>
    </row>
    <row r="13564" spans="2:7">
      <c r="B13564"/>
      <c r="C13564"/>
      <c r="D13564"/>
      <c r="G13564"/>
    </row>
    <row r="13565" spans="2:7">
      <c r="B13565"/>
      <c r="C13565"/>
      <c r="D13565"/>
      <c r="G13565"/>
    </row>
    <row r="13566" spans="2:7">
      <c r="B13566"/>
      <c r="C13566"/>
      <c r="D13566"/>
      <c r="G13566"/>
    </row>
    <row r="13567" spans="2:7">
      <c r="B13567"/>
      <c r="C13567"/>
      <c r="D13567"/>
      <c r="G13567"/>
    </row>
    <row r="13568" spans="2:7">
      <c r="B13568"/>
      <c r="C13568"/>
      <c r="D13568"/>
      <c r="G13568"/>
    </row>
    <row r="13569" spans="2:7">
      <c r="B13569"/>
      <c r="C13569"/>
      <c r="D13569"/>
      <c r="G13569"/>
    </row>
    <row r="13570" spans="2:7">
      <c r="B13570"/>
      <c r="C13570"/>
      <c r="D13570"/>
      <c r="G13570"/>
    </row>
    <row r="13571" spans="2:7">
      <c r="B13571"/>
      <c r="C13571"/>
      <c r="D13571"/>
      <c r="G13571"/>
    </row>
    <row r="13572" spans="2:7">
      <c r="B13572"/>
      <c r="C13572"/>
      <c r="D13572"/>
      <c r="G13572"/>
    </row>
    <row r="13573" spans="2:7">
      <c r="B13573"/>
      <c r="C13573"/>
      <c r="D13573"/>
      <c r="G13573"/>
    </row>
    <row r="13574" spans="2:7">
      <c r="B13574"/>
      <c r="C13574"/>
      <c r="D13574"/>
      <c r="G13574"/>
    </row>
    <row r="13575" spans="2:7">
      <c r="B13575"/>
      <c r="C13575"/>
      <c r="D13575"/>
      <c r="G13575"/>
    </row>
    <row r="13576" spans="2:7">
      <c r="B13576"/>
      <c r="C13576"/>
      <c r="D13576"/>
      <c r="G13576"/>
    </row>
    <row r="13577" spans="2:7">
      <c r="B13577"/>
      <c r="C13577"/>
      <c r="D13577"/>
      <c r="G13577"/>
    </row>
    <row r="13578" spans="2:7">
      <c r="B13578"/>
      <c r="C13578"/>
      <c r="D13578"/>
      <c r="G13578"/>
    </row>
    <row r="13579" spans="2:7">
      <c r="B13579"/>
      <c r="C13579"/>
      <c r="D13579"/>
      <c r="G13579"/>
    </row>
    <row r="13580" spans="2:7">
      <c r="B13580"/>
      <c r="C13580"/>
      <c r="D13580"/>
      <c r="G13580"/>
    </row>
    <row r="13581" spans="2:7">
      <c r="B13581"/>
      <c r="C13581"/>
      <c r="D13581"/>
      <c r="G13581"/>
    </row>
    <row r="13582" spans="2:7">
      <c r="B13582"/>
      <c r="C13582"/>
      <c r="D13582"/>
      <c r="G13582"/>
    </row>
    <row r="13583" spans="2:7">
      <c r="B13583"/>
      <c r="C13583"/>
      <c r="D13583"/>
      <c r="G13583"/>
    </row>
    <row r="13584" spans="2:7">
      <c r="B13584"/>
      <c r="C13584"/>
      <c r="D13584"/>
      <c r="G13584"/>
    </row>
    <row r="13585" spans="2:7">
      <c r="B13585"/>
      <c r="C13585"/>
      <c r="D13585"/>
      <c r="G13585"/>
    </row>
    <row r="13586" spans="2:7">
      <c r="B13586"/>
      <c r="C13586"/>
      <c r="D13586"/>
      <c r="G13586"/>
    </row>
    <row r="13587" spans="2:7">
      <c r="B13587"/>
      <c r="C13587"/>
      <c r="D13587"/>
      <c r="G13587"/>
    </row>
    <row r="13588" spans="2:7">
      <c r="B13588"/>
      <c r="C13588"/>
      <c r="D13588"/>
      <c r="G13588"/>
    </row>
    <row r="13589" spans="2:7">
      <c r="B13589"/>
      <c r="C13589"/>
      <c r="D13589"/>
      <c r="G13589"/>
    </row>
    <row r="13590" spans="2:7">
      <c r="B13590"/>
      <c r="C13590"/>
      <c r="D13590"/>
      <c r="G13590"/>
    </row>
    <row r="13591" spans="2:7">
      <c r="B13591"/>
      <c r="C13591"/>
      <c r="D13591"/>
      <c r="G13591"/>
    </row>
    <row r="13592" spans="2:7">
      <c r="B13592"/>
      <c r="C13592"/>
      <c r="D13592"/>
      <c r="G13592"/>
    </row>
    <row r="13593" spans="2:7">
      <c r="B13593"/>
      <c r="C13593"/>
      <c r="D13593"/>
      <c r="G13593"/>
    </row>
    <row r="13594" spans="2:7">
      <c r="B13594"/>
      <c r="C13594"/>
      <c r="D13594"/>
      <c r="G13594"/>
    </row>
    <row r="13595" spans="2:7">
      <c r="B13595"/>
      <c r="C13595"/>
      <c r="D13595"/>
      <c r="G13595"/>
    </row>
    <row r="13596" spans="2:7">
      <c r="B13596"/>
      <c r="C13596"/>
      <c r="D13596"/>
      <c r="G13596"/>
    </row>
    <row r="13597" spans="2:7">
      <c r="B13597"/>
      <c r="C13597"/>
      <c r="D13597"/>
      <c r="G13597"/>
    </row>
    <row r="13598" spans="2:7">
      <c r="B13598"/>
      <c r="C13598"/>
      <c r="D13598"/>
      <c r="G13598"/>
    </row>
    <row r="13599" spans="2:7">
      <c r="B13599"/>
      <c r="C13599"/>
      <c r="D13599"/>
      <c r="G13599"/>
    </row>
    <row r="13600" spans="2:7">
      <c r="B13600"/>
      <c r="C13600"/>
      <c r="D13600"/>
      <c r="G13600"/>
    </row>
    <row r="13601" spans="2:7">
      <c r="B13601"/>
      <c r="C13601"/>
      <c r="D13601"/>
      <c r="G13601"/>
    </row>
    <row r="13602" spans="2:7">
      <c r="B13602"/>
      <c r="C13602"/>
      <c r="D13602"/>
      <c r="G13602"/>
    </row>
    <row r="13603" spans="2:7">
      <c r="B13603"/>
      <c r="C13603"/>
      <c r="D13603"/>
      <c r="G13603"/>
    </row>
    <row r="13604" spans="2:7">
      <c r="B13604"/>
      <c r="C13604"/>
      <c r="D13604"/>
      <c r="G13604"/>
    </row>
    <row r="13605" spans="2:7">
      <c r="B13605"/>
      <c r="C13605"/>
      <c r="D13605"/>
      <c r="G13605"/>
    </row>
    <row r="13606" spans="2:7">
      <c r="B13606"/>
      <c r="C13606"/>
      <c r="D13606"/>
      <c r="G13606"/>
    </row>
    <row r="13607" spans="2:7">
      <c r="B13607"/>
      <c r="C13607"/>
      <c r="D13607"/>
      <c r="G13607"/>
    </row>
    <row r="13608" spans="2:7">
      <c r="B13608"/>
      <c r="C13608"/>
      <c r="D13608"/>
      <c r="G13608"/>
    </row>
    <row r="13609" spans="2:7">
      <c r="B13609"/>
      <c r="C13609"/>
      <c r="D13609"/>
      <c r="G13609"/>
    </row>
    <row r="13610" spans="2:7">
      <c r="B13610"/>
      <c r="C13610"/>
      <c r="D13610"/>
      <c r="G13610"/>
    </row>
    <row r="13611" spans="2:7">
      <c r="B13611"/>
      <c r="C13611"/>
      <c r="D13611"/>
      <c r="G13611"/>
    </row>
    <row r="13612" spans="2:7">
      <c r="B13612"/>
      <c r="C13612"/>
      <c r="D13612"/>
      <c r="G13612"/>
    </row>
    <row r="13613" spans="2:7">
      <c r="B13613"/>
      <c r="C13613"/>
      <c r="D13613"/>
      <c r="G13613"/>
    </row>
    <row r="13614" spans="2:7">
      <c r="B13614"/>
      <c r="C13614"/>
      <c r="D13614"/>
      <c r="G13614"/>
    </row>
    <row r="13615" spans="2:7">
      <c r="B13615"/>
      <c r="C13615"/>
      <c r="D13615"/>
      <c r="G13615"/>
    </row>
    <row r="13616" spans="2:7">
      <c r="B13616"/>
      <c r="C13616"/>
      <c r="D13616"/>
      <c r="G13616"/>
    </row>
    <row r="13617" spans="2:7">
      <c r="B13617"/>
      <c r="C13617"/>
      <c r="D13617"/>
      <c r="G13617"/>
    </row>
    <row r="13618" spans="2:7">
      <c r="B13618"/>
      <c r="C13618"/>
      <c r="D13618"/>
      <c r="G13618"/>
    </row>
    <row r="13619" spans="2:7">
      <c r="B13619"/>
      <c r="C13619"/>
      <c r="D13619"/>
      <c r="G13619"/>
    </row>
    <row r="13620" spans="2:7">
      <c r="B13620"/>
      <c r="C13620"/>
      <c r="D13620"/>
      <c r="G13620"/>
    </row>
    <row r="13621" spans="2:7">
      <c r="B13621"/>
      <c r="C13621"/>
      <c r="D13621"/>
      <c r="G13621"/>
    </row>
    <row r="13622" spans="2:7">
      <c r="B13622"/>
      <c r="C13622"/>
      <c r="D13622"/>
      <c r="G13622"/>
    </row>
    <row r="13623" spans="2:7">
      <c r="B13623"/>
      <c r="C13623"/>
      <c r="D13623"/>
      <c r="G13623"/>
    </row>
    <row r="13624" spans="2:7">
      <c r="B13624"/>
      <c r="C13624"/>
      <c r="D13624"/>
      <c r="G13624"/>
    </row>
    <row r="13625" spans="2:7">
      <c r="B13625"/>
      <c r="C13625"/>
      <c r="D13625"/>
      <c r="G13625"/>
    </row>
    <row r="13626" spans="2:7">
      <c r="B13626"/>
      <c r="C13626"/>
      <c r="D13626"/>
      <c r="G13626"/>
    </row>
    <row r="13627" spans="2:7">
      <c r="B13627"/>
      <c r="C13627"/>
      <c r="D13627"/>
      <c r="G13627"/>
    </row>
    <row r="13628" spans="2:7">
      <c r="B13628"/>
      <c r="C13628"/>
      <c r="D13628"/>
      <c r="G13628"/>
    </row>
    <row r="13629" spans="2:7">
      <c r="B13629"/>
      <c r="C13629"/>
      <c r="D13629"/>
      <c r="G13629"/>
    </row>
    <row r="13630" spans="2:7">
      <c r="B13630"/>
      <c r="C13630"/>
      <c r="D13630"/>
      <c r="G13630"/>
    </row>
    <row r="13631" spans="2:7">
      <c r="B13631"/>
      <c r="C13631"/>
      <c r="D13631"/>
      <c r="G13631"/>
    </row>
    <row r="13632" spans="2:7">
      <c r="B13632"/>
      <c r="C13632"/>
      <c r="D13632"/>
      <c r="G13632"/>
    </row>
    <row r="13633" spans="2:7">
      <c r="B13633"/>
      <c r="C13633"/>
      <c r="D13633"/>
      <c r="G13633"/>
    </row>
    <row r="13634" spans="2:7">
      <c r="B13634"/>
      <c r="C13634"/>
      <c r="D13634"/>
      <c r="G13634"/>
    </row>
    <row r="13635" spans="2:7">
      <c r="B13635"/>
      <c r="C13635"/>
      <c r="D13635"/>
      <c r="G13635"/>
    </row>
    <row r="13636" spans="2:7">
      <c r="B13636"/>
      <c r="C13636"/>
      <c r="D13636"/>
      <c r="G13636"/>
    </row>
    <row r="13637" spans="2:7">
      <c r="B13637"/>
      <c r="C13637"/>
      <c r="D13637"/>
      <c r="G13637"/>
    </row>
    <row r="13638" spans="2:7">
      <c r="B13638"/>
      <c r="C13638"/>
      <c r="D13638"/>
      <c r="G13638"/>
    </row>
    <row r="13639" spans="2:7">
      <c r="B13639"/>
      <c r="C13639"/>
      <c r="D13639"/>
      <c r="G13639"/>
    </row>
    <row r="13640" spans="2:7">
      <c r="B13640"/>
      <c r="C13640"/>
      <c r="D13640"/>
      <c r="G13640"/>
    </row>
    <row r="13641" spans="2:7">
      <c r="B13641"/>
      <c r="C13641"/>
      <c r="D13641"/>
      <c r="G13641"/>
    </row>
    <row r="13642" spans="2:7">
      <c r="B13642"/>
      <c r="C13642"/>
      <c r="D13642"/>
      <c r="G13642"/>
    </row>
    <row r="13643" spans="2:7">
      <c r="B13643"/>
      <c r="C13643"/>
      <c r="D13643"/>
      <c r="G13643"/>
    </row>
    <row r="13644" spans="2:7">
      <c r="B13644"/>
      <c r="C13644"/>
      <c r="D13644"/>
      <c r="G13644"/>
    </row>
    <row r="13645" spans="2:7">
      <c r="B13645"/>
      <c r="C13645"/>
      <c r="D13645"/>
      <c r="G13645"/>
    </row>
    <row r="13646" spans="2:7">
      <c r="B13646"/>
      <c r="C13646"/>
      <c r="D13646"/>
      <c r="G13646"/>
    </row>
    <row r="13647" spans="2:7">
      <c r="B13647"/>
      <c r="C13647"/>
      <c r="D13647"/>
      <c r="G13647"/>
    </row>
    <row r="13648" spans="2:7">
      <c r="B13648"/>
      <c r="C13648"/>
      <c r="D13648"/>
      <c r="G13648"/>
    </row>
    <row r="13649" spans="2:7">
      <c r="B13649"/>
      <c r="C13649"/>
      <c r="D13649"/>
      <c r="G13649"/>
    </row>
    <row r="13650" spans="2:7">
      <c r="B13650"/>
      <c r="C13650"/>
      <c r="D13650"/>
      <c r="G13650"/>
    </row>
    <row r="13651" spans="2:7">
      <c r="B13651"/>
      <c r="C13651"/>
      <c r="D13651"/>
      <c r="G13651"/>
    </row>
    <row r="13652" spans="2:7">
      <c r="B13652"/>
      <c r="C13652"/>
      <c r="D13652"/>
      <c r="G13652"/>
    </row>
    <row r="13653" spans="2:7">
      <c r="B13653"/>
      <c r="C13653"/>
      <c r="D13653"/>
      <c r="G13653"/>
    </row>
    <row r="13654" spans="2:7">
      <c r="B13654"/>
      <c r="C13654"/>
      <c r="D13654"/>
      <c r="G13654"/>
    </row>
    <row r="13655" spans="2:7">
      <c r="B13655"/>
      <c r="C13655"/>
      <c r="D13655"/>
      <c r="G13655"/>
    </row>
    <row r="13656" spans="2:7">
      <c r="B13656"/>
      <c r="C13656"/>
      <c r="D13656"/>
      <c r="G13656"/>
    </row>
    <row r="13657" spans="2:7">
      <c r="B13657"/>
      <c r="C13657"/>
      <c r="D13657"/>
      <c r="G13657"/>
    </row>
    <row r="13658" spans="2:7">
      <c r="B13658"/>
      <c r="C13658"/>
      <c r="D13658"/>
      <c r="G13658"/>
    </row>
    <row r="13659" spans="2:7">
      <c r="B13659"/>
      <c r="C13659"/>
      <c r="D13659"/>
      <c r="G13659"/>
    </row>
    <row r="13660" spans="2:7">
      <c r="B13660"/>
      <c r="C13660"/>
      <c r="D13660"/>
      <c r="G13660"/>
    </row>
    <row r="13661" spans="2:7">
      <c r="B13661"/>
      <c r="C13661"/>
      <c r="D13661"/>
      <c r="G13661"/>
    </row>
    <row r="13662" spans="2:7">
      <c r="B13662"/>
      <c r="C13662"/>
      <c r="D13662"/>
      <c r="G13662"/>
    </row>
    <row r="13663" spans="2:7">
      <c r="B13663"/>
      <c r="C13663"/>
      <c r="D13663"/>
      <c r="G13663"/>
    </row>
    <row r="13664" spans="2:7">
      <c r="B13664"/>
      <c r="C13664"/>
      <c r="D13664"/>
      <c r="G13664"/>
    </row>
    <row r="13665" spans="2:7">
      <c r="B13665"/>
      <c r="C13665"/>
      <c r="D13665"/>
      <c r="G13665"/>
    </row>
    <row r="13666" spans="2:7">
      <c r="B13666"/>
      <c r="C13666"/>
      <c r="D13666"/>
      <c r="G13666"/>
    </row>
    <row r="13667" spans="2:7">
      <c r="B13667"/>
      <c r="C13667"/>
      <c r="D13667"/>
      <c r="G13667"/>
    </row>
    <row r="13668" spans="2:7">
      <c r="B13668"/>
      <c r="C13668"/>
      <c r="D13668"/>
      <c r="G13668"/>
    </row>
    <row r="13669" spans="2:7">
      <c r="B13669"/>
      <c r="C13669"/>
      <c r="D13669"/>
      <c r="G13669"/>
    </row>
    <row r="13670" spans="2:7">
      <c r="B13670"/>
      <c r="C13670"/>
      <c r="D13670"/>
      <c r="G13670"/>
    </row>
    <row r="13671" spans="2:7">
      <c r="B13671"/>
      <c r="C13671"/>
      <c r="D13671"/>
      <c r="G13671"/>
    </row>
    <row r="13672" spans="2:7">
      <c r="B13672"/>
      <c r="C13672"/>
      <c r="D13672"/>
      <c r="G13672"/>
    </row>
    <row r="13673" spans="2:7">
      <c r="B13673"/>
      <c r="C13673"/>
      <c r="D13673"/>
      <c r="G13673"/>
    </row>
    <row r="13674" spans="2:7">
      <c r="B13674"/>
      <c r="C13674"/>
      <c r="D13674"/>
      <c r="G13674"/>
    </row>
    <row r="13675" spans="2:7">
      <c r="B13675"/>
      <c r="C13675"/>
      <c r="D13675"/>
      <c r="G13675"/>
    </row>
    <row r="13676" spans="2:7">
      <c r="B13676"/>
      <c r="C13676"/>
      <c r="D13676"/>
      <c r="G13676"/>
    </row>
    <row r="13677" spans="2:7">
      <c r="B13677"/>
      <c r="C13677"/>
      <c r="D13677"/>
      <c r="G13677"/>
    </row>
    <row r="13678" spans="2:7">
      <c r="B13678"/>
      <c r="C13678"/>
      <c r="D13678"/>
      <c r="G13678"/>
    </row>
    <row r="13679" spans="2:7">
      <c r="B13679"/>
      <c r="C13679"/>
      <c r="D13679"/>
      <c r="G13679"/>
    </row>
    <row r="13680" spans="2:7">
      <c r="B13680"/>
      <c r="C13680"/>
      <c r="D13680"/>
      <c r="G13680"/>
    </row>
    <row r="13681" spans="2:7">
      <c r="B13681"/>
      <c r="C13681"/>
      <c r="D13681"/>
      <c r="G13681"/>
    </row>
    <row r="13682" spans="2:7">
      <c r="B13682"/>
      <c r="C13682"/>
      <c r="D13682"/>
      <c r="G13682"/>
    </row>
    <row r="13683" spans="2:7">
      <c r="B13683"/>
      <c r="C13683"/>
      <c r="D13683"/>
      <c r="G13683"/>
    </row>
    <row r="13684" spans="2:7">
      <c r="B13684"/>
      <c r="C13684"/>
      <c r="D13684"/>
      <c r="G13684"/>
    </row>
    <row r="13685" spans="2:7">
      <c r="B13685"/>
      <c r="C13685"/>
      <c r="D13685"/>
      <c r="G13685"/>
    </row>
    <row r="13686" spans="2:7">
      <c r="B13686"/>
      <c r="C13686"/>
      <c r="D13686"/>
      <c r="G13686"/>
    </row>
    <row r="13687" spans="2:7">
      <c r="B13687"/>
      <c r="C13687"/>
      <c r="D13687"/>
      <c r="G13687"/>
    </row>
    <row r="13688" spans="2:7">
      <c r="B13688"/>
      <c r="C13688"/>
      <c r="D13688"/>
      <c r="G13688"/>
    </row>
    <row r="13689" spans="2:7">
      <c r="B13689"/>
      <c r="C13689"/>
      <c r="D13689"/>
      <c r="G13689"/>
    </row>
    <row r="13690" spans="2:7">
      <c r="B13690"/>
      <c r="C13690"/>
      <c r="D13690"/>
      <c r="G13690"/>
    </row>
    <row r="13691" spans="2:7">
      <c r="B13691"/>
      <c r="C13691"/>
      <c r="D13691"/>
      <c r="G13691"/>
    </row>
    <row r="13692" spans="2:7">
      <c r="B13692"/>
      <c r="C13692"/>
      <c r="D13692"/>
      <c r="G13692"/>
    </row>
    <row r="13693" spans="2:7">
      <c r="B13693"/>
      <c r="C13693"/>
      <c r="D13693"/>
      <c r="G13693"/>
    </row>
    <row r="13694" spans="2:7">
      <c r="B13694"/>
      <c r="C13694"/>
      <c r="D13694"/>
      <c r="G13694"/>
    </row>
    <row r="13695" spans="2:7">
      <c r="B13695"/>
      <c r="C13695"/>
      <c r="D13695"/>
      <c r="G13695"/>
    </row>
    <row r="13696" spans="2:7">
      <c r="B13696"/>
      <c r="C13696"/>
      <c r="D13696"/>
      <c r="G13696"/>
    </row>
    <row r="13697" spans="2:7">
      <c r="B13697"/>
      <c r="C13697"/>
      <c r="D13697"/>
      <c r="G13697"/>
    </row>
    <row r="13698" spans="2:7">
      <c r="B13698"/>
      <c r="C13698"/>
      <c r="D13698"/>
      <c r="G13698"/>
    </row>
    <row r="13699" spans="2:7">
      <c r="B13699"/>
      <c r="C13699"/>
      <c r="D13699"/>
      <c r="G13699"/>
    </row>
    <row r="13700" spans="2:7">
      <c r="B13700"/>
      <c r="C13700"/>
      <c r="D13700"/>
      <c r="G13700"/>
    </row>
    <row r="13701" spans="2:7">
      <c r="B13701"/>
      <c r="C13701"/>
      <c r="D13701"/>
      <c r="G13701"/>
    </row>
    <row r="13702" spans="2:7">
      <c r="B13702"/>
      <c r="C13702"/>
      <c r="D13702"/>
      <c r="G13702"/>
    </row>
    <row r="13703" spans="2:7">
      <c r="B13703"/>
      <c r="C13703"/>
      <c r="D13703"/>
      <c r="G13703"/>
    </row>
    <row r="13704" spans="2:7">
      <c r="B13704"/>
      <c r="C13704"/>
      <c r="D13704"/>
      <c r="G13704"/>
    </row>
    <row r="13705" spans="2:7">
      <c r="B13705"/>
      <c r="C13705"/>
      <c r="D13705"/>
      <c r="G13705"/>
    </row>
    <row r="13706" spans="2:7">
      <c r="B13706"/>
      <c r="C13706"/>
      <c r="D13706"/>
      <c r="G13706"/>
    </row>
    <row r="13707" spans="2:7">
      <c r="B13707"/>
      <c r="C13707"/>
      <c r="D13707"/>
      <c r="G13707"/>
    </row>
    <row r="13708" spans="2:7">
      <c r="B13708"/>
      <c r="C13708"/>
      <c r="D13708"/>
      <c r="G13708"/>
    </row>
    <row r="13709" spans="2:7">
      <c r="B13709"/>
      <c r="C13709"/>
      <c r="D13709"/>
      <c r="G13709"/>
    </row>
    <row r="13710" spans="2:7">
      <c r="B13710"/>
      <c r="C13710"/>
      <c r="D13710"/>
      <c r="G13710"/>
    </row>
    <row r="13711" spans="2:7">
      <c r="B13711"/>
      <c r="C13711"/>
      <c r="D13711"/>
      <c r="G13711"/>
    </row>
    <row r="13712" spans="2:7">
      <c r="B13712"/>
      <c r="C13712"/>
      <c r="D13712"/>
      <c r="G13712"/>
    </row>
    <row r="13713" spans="2:7">
      <c r="B13713"/>
      <c r="C13713"/>
      <c r="D13713"/>
      <c r="G13713"/>
    </row>
    <row r="13714" spans="2:7">
      <c r="B13714"/>
      <c r="C13714"/>
      <c r="D13714"/>
      <c r="G13714"/>
    </row>
    <row r="13715" spans="2:7">
      <c r="B13715"/>
      <c r="C13715"/>
      <c r="D13715"/>
      <c r="G13715"/>
    </row>
    <row r="13716" spans="2:7">
      <c r="B13716"/>
      <c r="C13716"/>
      <c r="D13716"/>
      <c r="G13716"/>
    </row>
    <row r="13717" spans="2:7">
      <c r="B13717"/>
      <c r="C13717"/>
      <c r="D13717"/>
      <c r="G13717"/>
    </row>
    <row r="13718" spans="2:7">
      <c r="B13718"/>
      <c r="C13718"/>
      <c r="D13718"/>
      <c r="G13718"/>
    </row>
    <row r="13719" spans="2:7">
      <c r="B13719"/>
      <c r="C13719"/>
      <c r="D13719"/>
      <c r="G13719"/>
    </row>
    <row r="13720" spans="2:7">
      <c r="B13720"/>
      <c r="C13720"/>
      <c r="D13720"/>
      <c r="G13720"/>
    </row>
    <row r="13721" spans="2:7">
      <c r="B13721"/>
      <c r="C13721"/>
      <c r="D13721"/>
      <c r="G13721"/>
    </row>
    <row r="13722" spans="2:7">
      <c r="B13722"/>
      <c r="C13722"/>
      <c r="D13722"/>
      <c r="G13722"/>
    </row>
    <row r="13723" spans="2:7">
      <c r="B13723"/>
      <c r="C13723"/>
      <c r="D13723"/>
      <c r="G13723"/>
    </row>
    <row r="13724" spans="2:7">
      <c r="B13724"/>
      <c r="C13724"/>
      <c r="D13724"/>
      <c r="G13724"/>
    </row>
    <row r="13725" spans="2:7">
      <c r="B13725"/>
      <c r="C13725"/>
      <c r="D13725"/>
      <c r="G13725"/>
    </row>
    <row r="13726" spans="2:7">
      <c r="B13726"/>
      <c r="C13726"/>
      <c r="D13726"/>
      <c r="G13726"/>
    </row>
    <row r="13727" spans="2:7">
      <c r="B13727"/>
      <c r="C13727"/>
      <c r="D13727"/>
      <c r="G13727"/>
    </row>
    <row r="13728" spans="2:7">
      <c r="B13728"/>
      <c r="C13728"/>
      <c r="D13728"/>
      <c r="G13728"/>
    </row>
    <row r="13729" spans="2:7">
      <c r="B13729"/>
      <c r="C13729"/>
      <c r="D13729"/>
      <c r="G13729"/>
    </row>
    <row r="13730" spans="2:7">
      <c r="B13730"/>
      <c r="C13730"/>
      <c r="D13730"/>
      <c r="G13730"/>
    </row>
    <row r="13731" spans="2:7">
      <c r="B13731"/>
      <c r="C13731"/>
      <c r="D13731"/>
      <c r="G13731"/>
    </row>
    <row r="13732" spans="2:7">
      <c r="B13732"/>
      <c r="C13732"/>
      <c r="D13732"/>
      <c r="G13732"/>
    </row>
    <row r="13733" spans="2:7">
      <c r="B13733"/>
      <c r="C13733"/>
      <c r="D13733"/>
      <c r="G13733"/>
    </row>
    <row r="13734" spans="2:7">
      <c r="B13734"/>
      <c r="C13734"/>
      <c r="D13734"/>
      <c r="G13734"/>
    </row>
    <row r="13735" spans="2:7">
      <c r="B13735"/>
      <c r="C13735"/>
      <c r="D13735"/>
      <c r="G13735"/>
    </row>
    <row r="13736" spans="2:7">
      <c r="B13736"/>
      <c r="C13736"/>
      <c r="D13736"/>
      <c r="G13736"/>
    </row>
    <row r="13737" spans="2:7">
      <c r="B13737"/>
      <c r="C13737"/>
      <c r="D13737"/>
      <c r="G13737"/>
    </row>
    <row r="13738" spans="2:7">
      <c r="B13738"/>
      <c r="C13738"/>
      <c r="D13738"/>
      <c r="G13738"/>
    </row>
    <row r="13739" spans="2:7">
      <c r="B13739"/>
      <c r="C13739"/>
      <c r="D13739"/>
      <c r="G13739"/>
    </row>
    <row r="13740" spans="2:7">
      <c r="B13740"/>
      <c r="C13740"/>
      <c r="D13740"/>
      <c r="G13740"/>
    </row>
    <row r="13741" spans="2:7">
      <c r="B13741"/>
      <c r="C13741"/>
      <c r="D13741"/>
      <c r="G13741"/>
    </row>
    <row r="13742" spans="2:7">
      <c r="B13742"/>
      <c r="C13742"/>
      <c r="D13742"/>
      <c r="G13742"/>
    </row>
    <row r="13743" spans="2:7">
      <c r="B13743"/>
      <c r="C13743"/>
      <c r="D13743"/>
      <c r="G13743"/>
    </row>
    <row r="13744" spans="2:7">
      <c r="B13744"/>
      <c r="C13744"/>
      <c r="D13744"/>
      <c r="G13744"/>
    </row>
    <row r="13745" spans="2:7">
      <c r="B13745"/>
      <c r="C13745"/>
      <c r="D13745"/>
      <c r="G13745"/>
    </row>
    <row r="13746" spans="2:7">
      <c r="B13746"/>
      <c r="C13746"/>
      <c r="D13746"/>
      <c r="G13746"/>
    </row>
    <row r="13747" spans="2:7">
      <c r="B13747"/>
      <c r="C13747"/>
      <c r="D13747"/>
      <c r="G13747"/>
    </row>
    <row r="13748" spans="2:7">
      <c r="B13748"/>
      <c r="C13748"/>
      <c r="D13748"/>
      <c r="G13748"/>
    </row>
    <row r="13749" spans="2:7">
      <c r="B13749"/>
      <c r="C13749"/>
      <c r="D13749"/>
      <c r="G13749"/>
    </row>
    <row r="13750" spans="2:7">
      <c r="B13750"/>
      <c r="C13750"/>
      <c r="D13750"/>
      <c r="G13750"/>
    </row>
    <row r="13751" spans="2:7">
      <c r="B13751"/>
      <c r="C13751"/>
      <c r="D13751"/>
      <c r="G13751"/>
    </row>
    <row r="13752" spans="2:7">
      <c r="B13752"/>
      <c r="C13752"/>
      <c r="D13752"/>
      <c r="G13752"/>
    </row>
    <row r="13753" spans="2:7">
      <c r="B13753"/>
      <c r="C13753"/>
      <c r="D13753"/>
      <c r="G13753"/>
    </row>
    <row r="13754" spans="2:7">
      <c r="B13754"/>
      <c r="C13754"/>
      <c r="D13754"/>
      <c r="G13754"/>
    </row>
    <row r="13755" spans="2:7">
      <c r="B13755"/>
      <c r="C13755"/>
      <c r="D13755"/>
      <c r="G13755"/>
    </row>
    <row r="13756" spans="2:7">
      <c r="B13756"/>
      <c r="C13756"/>
      <c r="D13756"/>
      <c r="G13756"/>
    </row>
    <row r="13757" spans="2:7">
      <c r="B13757"/>
      <c r="C13757"/>
      <c r="D13757"/>
      <c r="G13757"/>
    </row>
    <row r="13758" spans="2:7">
      <c r="B13758"/>
      <c r="C13758"/>
      <c r="D13758"/>
      <c r="G13758"/>
    </row>
    <row r="13759" spans="2:7">
      <c r="B13759"/>
      <c r="C13759"/>
      <c r="D13759"/>
      <c r="G13759"/>
    </row>
    <row r="13760" spans="2:7">
      <c r="B13760"/>
      <c r="C13760"/>
      <c r="D13760"/>
      <c r="G13760"/>
    </row>
    <row r="13761" spans="2:7">
      <c r="B13761"/>
      <c r="C13761"/>
      <c r="D13761"/>
      <c r="G13761"/>
    </row>
    <row r="13762" spans="2:7">
      <c r="B13762"/>
      <c r="C13762"/>
      <c r="D13762"/>
      <c r="G13762"/>
    </row>
    <row r="13763" spans="2:7">
      <c r="B13763"/>
      <c r="C13763"/>
      <c r="D13763"/>
      <c r="G13763"/>
    </row>
    <row r="13764" spans="2:7">
      <c r="B13764"/>
      <c r="C13764"/>
      <c r="D13764"/>
      <c r="G13764"/>
    </row>
    <row r="13765" spans="2:7">
      <c r="B13765"/>
      <c r="C13765"/>
      <c r="D13765"/>
      <c r="G13765"/>
    </row>
    <row r="13766" spans="2:7">
      <c r="B13766"/>
      <c r="C13766"/>
      <c r="D13766"/>
      <c r="G13766"/>
    </row>
    <row r="13767" spans="2:7">
      <c r="B13767"/>
      <c r="C13767"/>
      <c r="D13767"/>
      <c r="G13767"/>
    </row>
    <row r="13768" spans="2:7">
      <c r="B13768"/>
      <c r="C13768"/>
      <c r="D13768"/>
      <c r="G13768"/>
    </row>
    <row r="13769" spans="2:7">
      <c r="B13769"/>
      <c r="C13769"/>
      <c r="D13769"/>
      <c r="G13769"/>
    </row>
    <row r="13770" spans="2:7">
      <c r="B13770"/>
      <c r="C13770"/>
      <c r="D13770"/>
      <c r="G13770"/>
    </row>
    <row r="13771" spans="2:7">
      <c r="B13771"/>
      <c r="C13771"/>
      <c r="D13771"/>
      <c r="G13771"/>
    </row>
    <row r="13772" spans="2:7">
      <c r="B13772"/>
      <c r="C13772"/>
      <c r="D13772"/>
      <c r="G13772"/>
    </row>
    <row r="13773" spans="2:7">
      <c r="B13773"/>
      <c r="C13773"/>
      <c r="D13773"/>
      <c r="G13773"/>
    </row>
    <row r="13774" spans="2:7">
      <c r="B13774"/>
      <c r="C13774"/>
      <c r="D13774"/>
      <c r="G13774"/>
    </row>
    <row r="13775" spans="2:7">
      <c r="B13775"/>
      <c r="C13775"/>
      <c r="D13775"/>
      <c r="G13775"/>
    </row>
    <row r="13776" spans="2:7">
      <c r="B13776"/>
      <c r="C13776"/>
      <c r="D13776"/>
      <c r="G13776"/>
    </row>
    <row r="13777" spans="2:7">
      <c r="B13777"/>
      <c r="C13777"/>
      <c r="D13777"/>
      <c r="G13777"/>
    </row>
    <row r="13778" spans="2:7">
      <c r="B13778"/>
      <c r="C13778"/>
      <c r="D13778"/>
      <c r="G13778"/>
    </row>
    <row r="13779" spans="2:7">
      <c r="B13779"/>
      <c r="C13779"/>
      <c r="D13779"/>
      <c r="G13779"/>
    </row>
    <row r="13780" spans="2:7">
      <c r="B13780"/>
      <c r="C13780"/>
      <c r="D13780"/>
      <c r="G13780"/>
    </row>
    <row r="13781" spans="2:7">
      <c r="B13781"/>
      <c r="C13781"/>
      <c r="D13781"/>
      <c r="G13781"/>
    </row>
    <row r="13782" spans="2:7">
      <c r="B13782"/>
      <c r="C13782"/>
      <c r="D13782"/>
      <c r="G13782"/>
    </row>
    <row r="13783" spans="2:7">
      <c r="B13783"/>
      <c r="C13783"/>
      <c r="D13783"/>
      <c r="G13783"/>
    </row>
    <row r="13784" spans="2:7">
      <c r="B13784"/>
      <c r="C13784"/>
      <c r="D13784"/>
      <c r="G13784"/>
    </row>
    <row r="13785" spans="2:7">
      <c r="B13785"/>
      <c r="C13785"/>
      <c r="D13785"/>
      <c r="G13785"/>
    </row>
    <row r="13786" spans="2:7">
      <c r="B13786"/>
      <c r="C13786"/>
      <c r="D13786"/>
      <c r="G13786"/>
    </row>
    <row r="13787" spans="2:7">
      <c r="B13787"/>
      <c r="C13787"/>
      <c r="D13787"/>
      <c r="G13787"/>
    </row>
    <row r="13788" spans="2:7">
      <c r="B13788"/>
      <c r="C13788"/>
      <c r="D13788"/>
      <c r="G13788"/>
    </row>
    <row r="13789" spans="2:7">
      <c r="B13789"/>
      <c r="C13789"/>
      <c r="D13789"/>
      <c r="G13789"/>
    </row>
    <row r="13790" spans="2:7">
      <c r="B13790"/>
      <c r="C13790"/>
      <c r="D13790"/>
      <c r="G13790"/>
    </row>
    <row r="13791" spans="2:7">
      <c r="B13791"/>
      <c r="C13791"/>
      <c r="D13791"/>
      <c r="G13791"/>
    </row>
    <row r="13792" spans="2:7">
      <c r="B13792"/>
      <c r="C13792"/>
      <c r="D13792"/>
      <c r="G13792"/>
    </row>
    <row r="13793" spans="2:7">
      <c r="B13793"/>
      <c r="C13793"/>
      <c r="D13793"/>
      <c r="G13793"/>
    </row>
    <row r="13794" spans="2:7">
      <c r="B13794"/>
      <c r="C13794"/>
      <c r="D13794"/>
      <c r="G13794"/>
    </row>
    <row r="13795" spans="2:7">
      <c r="B13795"/>
      <c r="C13795"/>
      <c r="D13795"/>
      <c r="G13795"/>
    </row>
    <row r="13796" spans="2:7">
      <c r="B13796"/>
      <c r="C13796"/>
      <c r="D13796"/>
      <c r="G13796"/>
    </row>
    <row r="13797" spans="2:7">
      <c r="B13797"/>
      <c r="C13797"/>
      <c r="D13797"/>
      <c r="G13797"/>
    </row>
    <row r="13798" spans="2:7">
      <c r="B13798"/>
      <c r="C13798"/>
      <c r="D13798"/>
      <c r="G13798"/>
    </row>
    <row r="13799" spans="2:7">
      <c r="B13799"/>
      <c r="C13799"/>
      <c r="D13799"/>
      <c r="G13799"/>
    </row>
    <row r="13800" spans="2:7">
      <c r="B13800"/>
      <c r="C13800"/>
      <c r="D13800"/>
      <c r="G13800"/>
    </row>
    <row r="13801" spans="2:7">
      <c r="B13801"/>
      <c r="C13801"/>
      <c r="D13801"/>
      <c r="G13801"/>
    </row>
    <row r="13802" spans="2:7">
      <c r="B13802"/>
      <c r="C13802"/>
      <c r="D13802"/>
      <c r="G13802"/>
    </row>
    <row r="13803" spans="2:7">
      <c r="B13803"/>
      <c r="C13803"/>
      <c r="D13803"/>
      <c r="G13803"/>
    </row>
    <row r="13804" spans="2:7">
      <c r="B13804"/>
      <c r="C13804"/>
      <c r="D13804"/>
      <c r="G13804"/>
    </row>
    <row r="13805" spans="2:7">
      <c r="B13805"/>
      <c r="C13805"/>
      <c r="D13805"/>
      <c r="G13805"/>
    </row>
    <row r="13806" spans="2:7">
      <c r="B13806"/>
      <c r="C13806"/>
      <c r="D13806"/>
      <c r="G13806"/>
    </row>
    <row r="13807" spans="2:7">
      <c r="B13807"/>
      <c r="C13807"/>
      <c r="D13807"/>
      <c r="G13807"/>
    </row>
    <row r="13808" spans="2:7">
      <c r="B13808"/>
      <c r="C13808"/>
      <c r="D13808"/>
      <c r="G13808"/>
    </row>
    <row r="13809" spans="2:7">
      <c r="B13809"/>
      <c r="C13809"/>
      <c r="D13809"/>
      <c r="G13809"/>
    </row>
    <row r="13810" spans="2:7">
      <c r="B13810"/>
      <c r="C13810"/>
      <c r="D13810"/>
      <c r="G13810"/>
    </row>
    <row r="13811" spans="2:7">
      <c r="B13811"/>
      <c r="C13811"/>
      <c r="D13811"/>
      <c r="G13811"/>
    </row>
    <row r="13812" spans="2:7">
      <c r="B13812"/>
      <c r="C13812"/>
      <c r="D13812"/>
      <c r="G13812"/>
    </row>
    <row r="13813" spans="2:7">
      <c r="B13813"/>
      <c r="C13813"/>
      <c r="D13813"/>
      <c r="G13813"/>
    </row>
    <row r="13814" spans="2:7">
      <c r="B13814"/>
      <c r="C13814"/>
      <c r="D13814"/>
      <c r="G13814"/>
    </row>
    <row r="13815" spans="2:7">
      <c r="B13815"/>
      <c r="C13815"/>
      <c r="D13815"/>
      <c r="G13815"/>
    </row>
    <row r="13816" spans="2:7">
      <c r="B13816"/>
      <c r="C13816"/>
      <c r="D13816"/>
      <c r="G13816"/>
    </row>
    <row r="13817" spans="2:7">
      <c r="B13817"/>
      <c r="C13817"/>
      <c r="D13817"/>
      <c r="G13817"/>
    </row>
    <row r="13818" spans="2:7">
      <c r="B13818"/>
      <c r="C13818"/>
      <c r="D13818"/>
      <c r="G13818"/>
    </row>
    <row r="13819" spans="2:7">
      <c r="B13819"/>
      <c r="C13819"/>
      <c r="D13819"/>
      <c r="G13819"/>
    </row>
    <row r="13820" spans="2:7">
      <c r="B13820"/>
      <c r="C13820"/>
      <c r="D13820"/>
      <c r="G13820"/>
    </row>
    <row r="13821" spans="2:7">
      <c r="B13821"/>
      <c r="C13821"/>
      <c r="D13821"/>
      <c r="G13821"/>
    </row>
    <row r="13822" spans="2:7">
      <c r="B13822"/>
      <c r="C13822"/>
      <c r="D13822"/>
      <c r="G13822"/>
    </row>
    <row r="13823" spans="2:7">
      <c r="B13823"/>
      <c r="C13823"/>
      <c r="D13823"/>
      <c r="G13823"/>
    </row>
    <row r="13824" spans="2:7">
      <c r="B13824"/>
      <c r="C13824"/>
      <c r="D13824"/>
      <c r="G13824"/>
    </row>
    <row r="13825" spans="2:7">
      <c r="B13825"/>
      <c r="C13825"/>
      <c r="D13825"/>
      <c r="G13825"/>
    </row>
    <row r="13826" spans="2:7">
      <c r="B13826"/>
      <c r="C13826"/>
      <c r="D13826"/>
      <c r="G13826"/>
    </row>
    <row r="13827" spans="2:7">
      <c r="B13827"/>
      <c r="C13827"/>
      <c r="D13827"/>
      <c r="G13827"/>
    </row>
    <row r="13828" spans="2:7">
      <c r="B13828"/>
      <c r="C13828"/>
      <c r="D13828"/>
      <c r="G13828"/>
    </row>
    <row r="13829" spans="2:7">
      <c r="B13829"/>
      <c r="C13829"/>
      <c r="D13829"/>
      <c r="G13829"/>
    </row>
    <row r="13830" spans="2:7">
      <c r="B13830"/>
      <c r="C13830"/>
      <c r="D13830"/>
      <c r="G13830"/>
    </row>
    <row r="13831" spans="2:7">
      <c r="B13831"/>
      <c r="C13831"/>
      <c r="D13831"/>
      <c r="G13831"/>
    </row>
    <row r="13832" spans="2:7">
      <c r="B13832"/>
      <c r="C13832"/>
      <c r="D13832"/>
      <c r="G13832"/>
    </row>
    <row r="13833" spans="2:7">
      <c r="B13833"/>
      <c r="C13833"/>
      <c r="D13833"/>
      <c r="G13833"/>
    </row>
    <row r="13834" spans="2:7">
      <c r="B13834"/>
      <c r="C13834"/>
      <c r="D13834"/>
      <c r="G13834"/>
    </row>
    <row r="13835" spans="2:7">
      <c r="B13835"/>
      <c r="C13835"/>
      <c r="D13835"/>
      <c r="G13835"/>
    </row>
    <row r="13836" spans="2:7">
      <c r="B13836"/>
      <c r="C13836"/>
      <c r="D13836"/>
      <c r="G13836"/>
    </row>
    <row r="13837" spans="2:7">
      <c r="B13837"/>
      <c r="C13837"/>
      <c r="D13837"/>
      <c r="G13837"/>
    </row>
    <row r="13838" spans="2:7">
      <c r="B13838"/>
      <c r="C13838"/>
      <c r="D13838"/>
      <c r="G13838"/>
    </row>
    <row r="13839" spans="2:7">
      <c r="B13839"/>
      <c r="C13839"/>
      <c r="D13839"/>
      <c r="G13839"/>
    </row>
    <row r="13840" spans="2:7">
      <c r="B13840"/>
      <c r="C13840"/>
      <c r="D13840"/>
      <c r="G13840"/>
    </row>
    <row r="13841" spans="2:7">
      <c r="B13841"/>
      <c r="C13841"/>
      <c r="D13841"/>
      <c r="G13841"/>
    </row>
    <row r="13842" spans="2:7">
      <c r="B13842"/>
      <c r="C13842"/>
      <c r="D13842"/>
      <c r="G13842"/>
    </row>
    <row r="13843" spans="2:7">
      <c r="B13843"/>
      <c r="C13843"/>
      <c r="D13843"/>
      <c r="G13843"/>
    </row>
    <row r="13844" spans="2:7">
      <c r="B13844"/>
      <c r="C13844"/>
      <c r="D13844"/>
      <c r="G13844"/>
    </row>
    <row r="13845" spans="2:7">
      <c r="B13845"/>
      <c r="C13845"/>
      <c r="D13845"/>
      <c r="G13845"/>
    </row>
    <row r="13846" spans="2:7">
      <c r="B13846"/>
      <c r="C13846"/>
      <c r="D13846"/>
      <c r="G13846"/>
    </row>
    <row r="13847" spans="2:7">
      <c r="B13847"/>
      <c r="C13847"/>
      <c r="D13847"/>
      <c r="G13847"/>
    </row>
    <row r="13848" spans="2:7">
      <c r="B13848"/>
      <c r="C13848"/>
      <c r="D13848"/>
      <c r="G13848"/>
    </row>
    <row r="13849" spans="2:7">
      <c r="B13849"/>
      <c r="C13849"/>
      <c r="D13849"/>
      <c r="G13849"/>
    </row>
    <row r="13850" spans="2:7">
      <c r="B13850"/>
      <c r="C13850"/>
      <c r="D13850"/>
      <c r="G13850"/>
    </row>
    <row r="13851" spans="2:7">
      <c r="B13851"/>
      <c r="C13851"/>
      <c r="D13851"/>
      <c r="G13851"/>
    </row>
    <row r="13852" spans="2:7">
      <c r="B13852"/>
      <c r="C13852"/>
      <c r="D13852"/>
      <c r="G13852"/>
    </row>
    <row r="13853" spans="2:7">
      <c r="B13853"/>
      <c r="C13853"/>
      <c r="D13853"/>
      <c r="G13853"/>
    </row>
    <row r="13854" spans="2:7">
      <c r="B13854"/>
      <c r="C13854"/>
      <c r="D13854"/>
      <c r="G13854"/>
    </row>
    <row r="13855" spans="2:7">
      <c r="B13855"/>
      <c r="C13855"/>
      <c r="D13855"/>
      <c r="G13855"/>
    </row>
    <row r="13856" spans="2:7">
      <c r="B13856"/>
      <c r="C13856"/>
      <c r="D13856"/>
      <c r="G13856"/>
    </row>
    <row r="13857" spans="2:7">
      <c r="B13857"/>
      <c r="C13857"/>
      <c r="D13857"/>
      <c r="G13857"/>
    </row>
    <row r="13858" spans="2:7">
      <c r="B13858"/>
      <c r="C13858"/>
      <c r="D13858"/>
      <c r="G13858"/>
    </row>
    <row r="13859" spans="2:7">
      <c r="B13859"/>
      <c r="C13859"/>
      <c r="D13859"/>
      <c r="G13859"/>
    </row>
    <row r="13860" spans="2:7">
      <c r="B13860"/>
      <c r="C13860"/>
      <c r="D13860"/>
      <c r="G13860"/>
    </row>
    <row r="13861" spans="2:7">
      <c r="B13861"/>
      <c r="C13861"/>
      <c r="D13861"/>
      <c r="G13861"/>
    </row>
    <row r="13862" spans="2:7">
      <c r="B13862"/>
      <c r="C13862"/>
      <c r="D13862"/>
      <c r="G13862"/>
    </row>
    <row r="13863" spans="2:7">
      <c r="B13863"/>
      <c r="C13863"/>
      <c r="D13863"/>
      <c r="G13863"/>
    </row>
    <row r="13864" spans="2:7">
      <c r="B13864"/>
      <c r="C13864"/>
      <c r="D13864"/>
      <c r="G13864"/>
    </row>
    <row r="13865" spans="2:7">
      <c r="B13865"/>
      <c r="C13865"/>
      <c r="D13865"/>
      <c r="G13865"/>
    </row>
    <row r="13866" spans="2:7">
      <c r="B13866"/>
      <c r="C13866"/>
      <c r="D13866"/>
      <c r="G13866"/>
    </row>
    <row r="13867" spans="2:7">
      <c r="B13867"/>
      <c r="C13867"/>
      <c r="D13867"/>
      <c r="G13867"/>
    </row>
    <row r="13868" spans="2:7">
      <c r="B13868"/>
      <c r="C13868"/>
      <c r="D13868"/>
      <c r="G13868"/>
    </row>
    <row r="13869" spans="2:7">
      <c r="B13869"/>
      <c r="C13869"/>
      <c r="D13869"/>
      <c r="G13869"/>
    </row>
    <row r="13870" spans="2:7">
      <c r="B13870"/>
      <c r="C13870"/>
      <c r="D13870"/>
      <c r="G13870"/>
    </row>
    <row r="13871" spans="2:7">
      <c r="B13871"/>
      <c r="C13871"/>
      <c r="D13871"/>
      <c r="G13871"/>
    </row>
    <row r="13872" spans="2:7">
      <c r="B13872"/>
      <c r="C13872"/>
      <c r="D13872"/>
      <c r="G13872"/>
    </row>
    <row r="13873" spans="2:7">
      <c r="B13873"/>
      <c r="C13873"/>
      <c r="D13873"/>
      <c r="G13873"/>
    </row>
    <row r="13874" spans="2:7">
      <c r="B13874"/>
      <c r="C13874"/>
      <c r="D13874"/>
      <c r="G13874"/>
    </row>
    <row r="13875" spans="2:7">
      <c r="B13875"/>
      <c r="C13875"/>
      <c r="D13875"/>
      <c r="G13875"/>
    </row>
    <row r="13876" spans="2:7">
      <c r="B13876"/>
      <c r="C13876"/>
      <c r="D13876"/>
      <c r="G13876"/>
    </row>
    <row r="13877" spans="2:7">
      <c r="B13877"/>
      <c r="C13877"/>
      <c r="D13877"/>
      <c r="G13877"/>
    </row>
    <row r="13878" spans="2:7">
      <c r="B13878"/>
      <c r="C13878"/>
      <c r="D13878"/>
      <c r="G13878"/>
    </row>
    <row r="13879" spans="2:7">
      <c r="B13879"/>
      <c r="C13879"/>
      <c r="D13879"/>
      <c r="G13879"/>
    </row>
    <row r="13880" spans="2:7">
      <c r="B13880"/>
      <c r="C13880"/>
      <c r="D13880"/>
      <c r="G13880"/>
    </row>
    <row r="13881" spans="2:7">
      <c r="B13881"/>
      <c r="C13881"/>
      <c r="D13881"/>
      <c r="G13881"/>
    </row>
    <row r="13882" spans="2:7">
      <c r="B13882"/>
      <c r="C13882"/>
      <c r="D13882"/>
      <c r="G13882"/>
    </row>
    <row r="13883" spans="2:7">
      <c r="B13883"/>
      <c r="C13883"/>
      <c r="D13883"/>
      <c r="G13883"/>
    </row>
    <row r="13884" spans="2:7">
      <c r="B13884"/>
      <c r="C13884"/>
      <c r="D13884"/>
      <c r="G13884"/>
    </row>
    <row r="13885" spans="2:7">
      <c r="B13885"/>
      <c r="C13885"/>
      <c r="D13885"/>
      <c r="G13885"/>
    </row>
    <row r="13886" spans="2:7">
      <c r="B13886"/>
      <c r="C13886"/>
      <c r="D13886"/>
      <c r="G13886"/>
    </row>
    <row r="13887" spans="2:7">
      <c r="B13887"/>
      <c r="C13887"/>
      <c r="D13887"/>
      <c r="G13887"/>
    </row>
    <row r="13888" spans="2:7">
      <c r="B13888"/>
      <c r="C13888"/>
      <c r="D13888"/>
      <c r="G13888"/>
    </row>
    <row r="13889" spans="2:7">
      <c r="B13889"/>
      <c r="C13889"/>
      <c r="D13889"/>
      <c r="G13889"/>
    </row>
    <row r="13890" spans="2:7">
      <c r="B13890"/>
      <c r="C13890"/>
      <c r="D13890"/>
      <c r="G13890"/>
    </row>
    <row r="13891" spans="2:7">
      <c r="B13891"/>
      <c r="C13891"/>
      <c r="D13891"/>
      <c r="G13891"/>
    </row>
    <row r="13892" spans="2:7">
      <c r="B13892"/>
      <c r="C13892"/>
      <c r="D13892"/>
      <c r="G13892"/>
    </row>
    <row r="13893" spans="2:7">
      <c r="B13893"/>
      <c r="C13893"/>
      <c r="D13893"/>
      <c r="G13893"/>
    </row>
    <row r="13894" spans="2:7">
      <c r="B13894"/>
      <c r="C13894"/>
      <c r="D13894"/>
      <c r="G13894"/>
    </row>
    <row r="13895" spans="2:7">
      <c r="B13895"/>
      <c r="C13895"/>
      <c r="D13895"/>
      <c r="G13895"/>
    </row>
    <row r="13896" spans="2:7">
      <c r="B13896"/>
      <c r="C13896"/>
      <c r="D13896"/>
      <c r="G13896"/>
    </row>
    <row r="13897" spans="2:7">
      <c r="B13897"/>
      <c r="C13897"/>
      <c r="D13897"/>
      <c r="G13897"/>
    </row>
    <row r="13898" spans="2:7">
      <c r="B13898"/>
      <c r="C13898"/>
      <c r="D13898"/>
      <c r="G13898"/>
    </row>
    <row r="13899" spans="2:7">
      <c r="B13899"/>
      <c r="C13899"/>
      <c r="D13899"/>
      <c r="G13899"/>
    </row>
    <row r="13900" spans="2:7">
      <c r="B13900"/>
      <c r="C13900"/>
      <c r="D13900"/>
      <c r="G13900"/>
    </row>
    <row r="13901" spans="2:7">
      <c r="B13901"/>
      <c r="C13901"/>
      <c r="D13901"/>
      <c r="G13901"/>
    </row>
    <row r="13902" spans="2:7">
      <c r="B13902"/>
      <c r="C13902"/>
      <c r="D13902"/>
      <c r="G13902"/>
    </row>
    <row r="13903" spans="2:7">
      <c r="B13903"/>
      <c r="C13903"/>
      <c r="D13903"/>
      <c r="G13903"/>
    </row>
    <row r="13904" spans="2:7">
      <c r="B13904"/>
      <c r="C13904"/>
      <c r="D13904"/>
      <c r="G13904"/>
    </row>
    <row r="13905" spans="2:7">
      <c r="B13905"/>
      <c r="C13905"/>
      <c r="D13905"/>
      <c r="G13905"/>
    </row>
    <row r="13906" spans="2:7">
      <c r="B13906"/>
      <c r="C13906"/>
      <c r="D13906"/>
      <c r="G13906"/>
    </row>
    <row r="13907" spans="2:7">
      <c r="B13907"/>
      <c r="C13907"/>
      <c r="D13907"/>
      <c r="G13907"/>
    </row>
    <row r="13908" spans="2:7">
      <c r="B13908"/>
      <c r="C13908"/>
      <c r="D13908"/>
      <c r="G13908"/>
    </row>
    <row r="13909" spans="2:7">
      <c r="B13909"/>
      <c r="C13909"/>
      <c r="D13909"/>
      <c r="G13909"/>
    </row>
    <row r="13910" spans="2:7">
      <c r="B13910"/>
      <c r="C13910"/>
      <c r="D13910"/>
      <c r="G13910"/>
    </row>
    <row r="13911" spans="2:7">
      <c r="B13911"/>
      <c r="C13911"/>
      <c r="D13911"/>
      <c r="G13911"/>
    </row>
    <row r="13912" spans="2:7">
      <c r="B13912"/>
      <c r="C13912"/>
      <c r="D13912"/>
      <c r="G13912"/>
    </row>
    <row r="13913" spans="2:7">
      <c r="B13913"/>
      <c r="C13913"/>
      <c r="D13913"/>
      <c r="G13913"/>
    </row>
    <row r="13914" spans="2:7">
      <c r="B13914"/>
      <c r="C13914"/>
      <c r="D13914"/>
      <c r="G13914"/>
    </row>
    <row r="13915" spans="2:7">
      <c r="B13915"/>
      <c r="C13915"/>
      <c r="D13915"/>
      <c r="G13915"/>
    </row>
    <row r="13916" spans="2:7">
      <c r="B13916"/>
      <c r="C13916"/>
      <c r="D13916"/>
      <c r="G13916"/>
    </row>
    <row r="13917" spans="2:7">
      <c r="B13917"/>
      <c r="C13917"/>
      <c r="D13917"/>
      <c r="G13917"/>
    </row>
    <row r="13918" spans="2:7">
      <c r="B13918"/>
      <c r="C13918"/>
      <c r="D13918"/>
      <c r="G13918"/>
    </row>
    <row r="13919" spans="2:7">
      <c r="B13919"/>
      <c r="C13919"/>
      <c r="D13919"/>
      <c r="G13919"/>
    </row>
    <row r="13920" spans="2:7">
      <c r="B13920"/>
      <c r="C13920"/>
      <c r="D13920"/>
      <c r="G13920"/>
    </row>
    <row r="13921" spans="2:7">
      <c r="B13921"/>
      <c r="C13921"/>
      <c r="D13921"/>
      <c r="G13921"/>
    </row>
    <row r="13922" spans="2:7">
      <c r="B13922"/>
      <c r="C13922"/>
      <c r="D13922"/>
      <c r="G13922"/>
    </row>
    <row r="13923" spans="2:7">
      <c r="B13923"/>
      <c r="C13923"/>
      <c r="D13923"/>
      <c r="G13923"/>
    </row>
    <row r="13924" spans="2:7">
      <c r="B13924"/>
      <c r="C13924"/>
      <c r="D13924"/>
      <c r="G13924"/>
    </row>
    <row r="13925" spans="2:7">
      <c r="B13925"/>
      <c r="C13925"/>
      <c r="D13925"/>
      <c r="G13925"/>
    </row>
    <row r="13926" spans="2:7">
      <c r="B13926"/>
      <c r="C13926"/>
      <c r="D13926"/>
      <c r="G13926"/>
    </row>
    <row r="13927" spans="2:7">
      <c r="B13927"/>
      <c r="C13927"/>
      <c r="D13927"/>
      <c r="G13927"/>
    </row>
    <row r="13928" spans="2:7">
      <c r="B13928"/>
      <c r="C13928"/>
      <c r="D13928"/>
      <c r="G13928"/>
    </row>
    <row r="13929" spans="2:7">
      <c r="B13929"/>
      <c r="C13929"/>
      <c r="D13929"/>
      <c r="G13929"/>
    </row>
    <row r="13930" spans="2:7">
      <c r="B13930"/>
      <c r="C13930"/>
      <c r="D13930"/>
      <c r="G13930"/>
    </row>
    <row r="13931" spans="2:7">
      <c r="B13931"/>
      <c r="C13931"/>
      <c r="D13931"/>
      <c r="G13931"/>
    </row>
    <row r="13932" spans="2:7">
      <c r="B13932"/>
      <c r="C13932"/>
      <c r="D13932"/>
      <c r="G13932"/>
    </row>
    <row r="13933" spans="2:7">
      <c r="B13933"/>
      <c r="C13933"/>
      <c r="D13933"/>
      <c r="G13933"/>
    </row>
    <row r="13934" spans="2:7">
      <c r="B13934"/>
      <c r="C13934"/>
      <c r="D13934"/>
      <c r="G13934"/>
    </row>
    <row r="13935" spans="2:7">
      <c r="B13935"/>
      <c r="C13935"/>
      <c r="D13935"/>
      <c r="G13935"/>
    </row>
    <row r="13936" spans="2:7">
      <c r="B13936"/>
      <c r="C13936"/>
      <c r="D13936"/>
      <c r="G13936"/>
    </row>
    <row r="13937" spans="2:7">
      <c r="B13937"/>
      <c r="C13937"/>
      <c r="D13937"/>
      <c r="G13937"/>
    </row>
    <row r="13938" spans="2:7">
      <c r="B13938"/>
      <c r="C13938"/>
      <c r="D13938"/>
      <c r="G13938"/>
    </row>
    <row r="13939" spans="2:7">
      <c r="B13939"/>
      <c r="C13939"/>
      <c r="D13939"/>
      <c r="G13939"/>
    </row>
    <row r="13940" spans="2:7">
      <c r="B13940"/>
      <c r="C13940"/>
      <c r="D13940"/>
      <c r="G13940"/>
    </row>
    <row r="13941" spans="2:7">
      <c r="B13941"/>
      <c r="C13941"/>
      <c r="D13941"/>
      <c r="G13941"/>
    </row>
    <row r="13942" spans="2:7">
      <c r="B13942"/>
      <c r="C13942"/>
      <c r="D13942"/>
      <c r="G13942"/>
    </row>
    <row r="13943" spans="2:7">
      <c r="B13943"/>
      <c r="C13943"/>
      <c r="D13943"/>
      <c r="G13943"/>
    </row>
    <row r="13944" spans="2:7">
      <c r="B13944"/>
      <c r="C13944"/>
      <c r="D13944"/>
      <c r="G13944"/>
    </row>
    <row r="13945" spans="2:7">
      <c r="B13945"/>
      <c r="C13945"/>
      <c r="D13945"/>
      <c r="G13945"/>
    </row>
    <row r="13946" spans="2:7">
      <c r="B13946"/>
      <c r="C13946"/>
      <c r="D13946"/>
      <c r="G13946"/>
    </row>
    <row r="13947" spans="2:7">
      <c r="B13947"/>
      <c r="C13947"/>
      <c r="D13947"/>
      <c r="G13947"/>
    </row>
    <row r="13948" spans="2:7">
      <c r="B13948"/>
      <c r="C13948"/>
      <c r="D13948"/>
      <c r="G13948"/>
    </row>
    <row r="13949" spans="2:7">
      <c r="B13949"/>
      <c r="C13949"/>
      <c r="D13949"/>
      <c r="G13949"/>
    </row>
    <row r="13950" spans="2:7">
      <c r="B13950"/>
      <c r="C13950"/>
      <c r="D13950"/>
      <c r="G13950"/>
    </row>
    <row r="13951" spans="2:7">
      <c r="B13951"/>
      <c r="C13951"/>
      <c r="D13951"/>
      <c r="G13951"/>
    </row>
    <row r="13952" spans="2:7">
      <c r="B13952"/>
      <c r="C13952"/>
      <c r="D13952"/>
      <c r="G13952"/>
    </row>
    <row r="13953" spans="2:7">
      <c r="B13953"/>
      <c r="C13953"/>
      <c r="D13953"/>
      <c r="G13953"/>
    </row>
    <row r="13954" spans="2:7">
      <c r="B13954"/>
      <c r="C13954"/>
      <c r="D13954"/>
      <c r="G13954"/>
    </row>
    <row r="13955" spans="2:7">
      <c r="B13955"/>
      <c r="C13955"/>
      <c r="D13955"/>
      <c r="G13955"/>
    </row>
    <row r="13956" spans="2:7">
      <c r="B13956"/>
      <c r="C13956"/>
      <c r="D13956"/>
      <c r="G13956"/>
    </row>
    <row r="13957" spans="2:7">
      <c r="B13957"/>
      <c r="C13957"/>
      <c r="D13957"/>
      <c r="G13957"/>
    </row>
    <row r="13958" spans="2:7">
      <c r="B13958"/>
      <c r="C13958"/>
      <c r="D13958"/>
      <c r="G13958"/>
    </row>
    <row r="13959" spans="2:7">
      <c r="B13959"/>
      <c r="C13959"/>
      <c r="D13959"/>
      <c r="G13959"/>
    </row>
    <row r="13960" spans="2:7">
      <c r="B13960"/>
      <c r="C13960"/>
      <c r="D13960"/>
      <c r="G13960"/>
    </row>
    <row r="13961" spans="2:7">
      <c r="B13961"/>
      <c r="C13961"/>
      <c r="D13961"/>
      <c r="G13961"/>
    </row>
    <row r="13962" spans="2:7">
      <c r="B13962"/>
      <c r="C13962"/>
      <c r="D13962"/>
      <c r="G13962"/>
    </row>
    <row r="13963" spans="2:7">
      <c r="B13963"/>
      <c r="C13963"/>
      <c r="D13963"/>
      <c r="G13963"/>
    </row>
    <row r="13964" spans="2:7">
      <c r="B13964"/>
      <c r="C13964"/>
      <c r="D13964"/>
      <c r="G13964"/>
    </row>
    <row r="13965" spans="2:7">
      <c r="B13965"/>
      <c r="C13965"/>
      <c r="D13965"/>
      <c r="G13965"/>
    </row>
    <row r="13966" spans="2:7">
      <c r="B13966"/>
      <c r="C13966"/>
      <c r="D13966"/>
      <c r="G13966"/>
    </row>
    <row r="13967" spans="2:7">
      <c r="B13967"/>
      <c r="C13967"/>
      <c r="D13967"/>
      <c r="G13967"/>
    </row>
    <row r="13968" spans="2:7">
      <c r="B13968"/>
      <c r="C13968"/>
      <c r="D13968"/>
      <c r="G13968"/>
    </row>
    <row r="13969" spans="2:7">
      <c r="B13969"/>
      <c r="C13969"/>
      <c r="D13969"/>
      <c r="G13969"/>
    </row>
    <row r="13970" spans="2:7">
      <c r="B13970"/>
      <c r="C13970"/>
      <c r="D13970"/>
      <c r="G13970"/>
    </row>
    <row r="13971" spans="2:7">
      <c r="B13971"/>
      <c r="C13971"/>
      <c r="D13971"/>
      <c r="G13971"/>
    </row>
    <row r="13972" spans="2:7">
      <c r="B13972"/>
      <c r="C13972"/>
      <c r="D13972"/>
      <c r="G13972"/>
    </row>
    <row r="13973" spans="2:7">
      <c r="B13973"/>
      <c r="C13973"/>
      <c r="D13973"/>
      <c r="G13973"/>
    </row>
    <row r="13974" spans="2:7">
      <c r="B13974"/>
      <c r="C13974"/>
      <c r="D13974"/>
      <c r="G13974"/>
    </row>
    <row r="13975" spans="2:7">
      <c r="B13975"/>
      <c r="C13975"/>
      <c r="D13975"/>
      <c r="G13975"/>
    </row>
    <row r="13976" spans="2:7">
      <c r="B13976"/>
      <c r="C13976"/>
      <c r="D13976"/>
      <c r="G13976"/>
    </row>
    <row r="13977" spans="2:7">
      <c r="B13977"/>
      <c r="C13977"/>
      <c r="D13977"/>
      <c r="G13977"/>
    </row>
    <row r="13978" spans="2:7">
      <c r="B13978"/>
      <c r="C13978"/>
      <c r="D13978"/>
      <c r="G13978"/>
    </row>
    <row r="13979" spans="2:7">
      <c r="B13979"/>
      <c r="C13979"/>
      <c r="D13979"/>
      <c r="G13979"/>
    </row>
    <row r="13980" spans="2:7">
      <c r="B13980"/>
      <c r="C13980"/>
      <c r="D13980"/>
      <c r="G13980"/>
    </row>
    <row r="13981" spans="2:7">
      <c r="B13981"/>
      <c r="C13981"/>
      <c r="D13981"/>
      <c r="G13981"/>
    </row>
    <row r="13982" spans="2:7">
      <c r="B13982"/>
      <c r="C13982"/>
      <c r="D13982"/>
      <c r="G13982"/>
    </row>
    <row r="13983" spans="2:7">
      <c r="B13983"/>
      <c r="C13983"/>
      <c r="D13983"/>
      <c r="G13983"/>
    </row>
    <row r="13984" spans="2:7">
      <c r="B13984"/>
      <c r="C13984"/>
      <c r="D13984"/>
      <c r="G13984"/>
    </row>
    <row r="13985" spans="2:7">
      <c r="B13985"/>
      <c r="C13985"/>
      <c r="D13985"/>
      <c r="G13985"/>
    </row>
    <row r="13986" spans="2:7">
      <c r="B13986"/>
      <c r="C13986"/>
      <c r="D13986"/>
      <c r="G13986"/>
    </row>
    <row r="13987" spans="2:7">
      <c r="B13987"/>
      <c r="C13987"/>
      <c r="D13987"/>
      <c r="G13987"/>
    </row>
    <row r="13988" spans="2:7">
      <c r="B13988"/>
      <c r="C13988"/>
      <c r="D13988"/>
      <c r="G13988"/>
    </row>
    <row r="13989" spans="2:7">
      <c r="B13989"/>
      <c r="C13989"/>
      <c r="D13989"/>
      <c r="G13989"/>
    </row>
    <row r="13990" spans="2:7">
      <c r="B13990"/>
      <c r="C13990"/>
      <c r="D13990"/>
      <c r="G13990"/>
    </row>
    <row r="13991" spans="2:7">
      <c r="B13991"/>
      <c r="C13991"/>
      <c r="D13991"/>
      <c r="G13991"/>
    </row>
    <row r="13992" spans="2:7">
      <c r="B13992"/>
      <c r="C13992"/>
      <c r="D13992"/>
      <c r="G13992"/>
    </row>
    <row r="13993" spans="2:7">
      <c r="B13993"/>
      <c r="C13993"/>
      <c r="D13993"/>
      <c r="G13993"/>
    </row>
    <row r="13994" spans="2:7">
      <c r="B13994"/>
      <c r="C13994"/>
      <c r="D13994"/>
      <c r="G13994"/>
    </row>
    <row r="13995" spans="2:7">
      <c r="B13995"/>
      <c r="C13995"/>
      <c r="D13995"/>
      <c r="G13995"/>
    </row>
    <row r="13996" spans="2:7">
      <c r="B13996"/>
      <c r="C13996"/>
      <c r="D13996"/>
      <c r="G13996"/>
    </row>
    <row r="13997" spans="2:7">
      <c r="B13997"/>
      <c r="C13997"/>
      <c r="D13997"/>
      <c r="G13997"/>
    </row>
    <row r="13998" spans="2:7">
      <c r="B13998"/>
      <c r="C13998"/>
      <c r="D13998"/>
      <c r="G13998"/>
    </row>
    <row r="13999" spans="2:7">
      <c r="B13999"/>
      <c r="C13999"/>
      <c r="D13999"/>
      <c r="G13999"/>
    </row>
    <row r="14000" spans="2:7">
      <c r="B14000"/>
      <c r="C14000"/>
      <c r="D14000"/>
      <c r="G14000"/>
    </row>
    <row r="14001" spans="2:7">
      <c r="B14001"/>
      <c r="C14001"/>
      <c r="D14001"/>
      <c r="G14001"/>
    </row>
    <row r="14002" spans="2:7">
      <c r="B14002"/>
      <c r="C14002"/>
      <c r="D14002"/>
      <c r="G14002"/>
    </row>
    <row r="14003" spans="2:7">
      <c r="B14003"/>
      <c r="C14003"/>
      <c r="D14003"/>
      <c r="G14003"/>
    </row>
    <row r="14004" spans="2:7">
      <c r="B14004"/>
      <c r="C14004"/>
      <c r="D14004"/>
      <c r="G14004"/>
    </row>
    <row r="14005" spans="2:7">
      <c r="B14005"/>
      <c r="C14005"/>
      <c r="D14005"/>
      <c r="G14005"/>
    </row>
    <row r="14006" spans="2:7">
      <c r="B14006"/>
      <c r="C14006"/>
      <c r="D14006"/>
      <c r="G14006"/>
    </row>
    <row r="14007" spans="2:7">
      <c r="B14007"/>
      <c r="C14007"/>
      <c r="D14007"/>
      <c r="G14007"/>
    </row>
    <row r="14008" spans="2:7">
      <c r="B14008"/>
      <c r="C14008"/>
      <c r="D14008"/>
      <c r="G14008"/>
    </row>
    <row r="14009" spans="2:7">
      <c r="B14009"/>
      <c r="C14009"/>
      <c r="D14009"/>
      <c r="G14009"/>
    </row>
    <row r="14010" spans="2:7">
      <c r="B14010"/>
      <c r="C14010"/>
      <c r="D14010"/>
      <c r="G14010"/>
    </row>
    <row r="14011" spans="2:7">
      <c r="B14011"/>
      <c r="C14011"/>
      <c r="D14011"/>
      <c r="G14011"/>
    </row>
    <row r="14012" spans="2:7">
      <c r="B14012"/>
      <c r="C14012"/>
      <c r="D14012"/>
      <c r="G14012"/>
    </row>
    <row r="14013" spans="2:7">
      <c r="B14013"/>
      <c r="C14013"/>
      <c r="D14013"/>
      <c r="G14013"/>
    </row>
    <row r="14014" spans="2:7">
      <c r="B14014"/>
      <c r="C14014"/>
      <c r="D14014"/>
      <c r="G14014"/>
    </row>
    <row r="14015" spans="2:7">
      <c r="B14015"/>
      <c r="C14015"/>
      <c r="D14015"/>
      <c r="G14015"/>
    </row>
    <row r="14016" spans="2:7">
      <c r="B14016"/>
      <c r="C14016"/>
      <c r="D14016"/>
      <c r="G14016"/>
    </row>
    <row r="14017" spans="2:7">
      <c r="B14017"/>
      <c r="C14017"/>
      <c r="D14017"/>
      <c r="G14017"/>
    </row>
    <row r="14018" spans="2:7">
      <c r="B14018"/>
      <c r="C14018"/>
      <c r="D14018"/>
      <c r="G14018"/>
    </row>
    <row r="14019" spans="2:7">
      <c r="B14019"/>
      <c r="C14019"/>
      <c r="D14019"/>
      <c r="G14019"/>
    </row>
    <row r="14020" spans="2:7">
      <c r="B14020"/>
      <c r="C14020"/>
      <c r="D14020"/>
      <c r="G14020"/>
    </row>
    <row r="14021" spans="2:7">
      <c r="B14021"/>
      <c r="C14021"/>
      <c r="D14021"/>
      <c r="G14021"/>
    </row>
    <row r="14022" spans="2:7">
      <c r="B14022"/>
      <c r="C14022"/>
      <c r="D14022"/>
      <c r="G14022"/>
    </row>
    <row r="14023" spans="2:7">
      <c r="B14023"/>
      <c r="C14023"/>
      <c r="D14023"/>
      <c r="G14023"/>
    </row>
    <row r="14024" spans="2:7">
      <c r="B14024"/>
      <c r="C14024"/>
      <c r="D14024"/>
      <c r="G14024"/>
    </row>
    <row r="14025" spans="2:7">
      <c r="B14025"/>
      <c r="C14025"/>
      <c r="D14025"/>
      <c r="G14025"/>
    </row>
    <row r="14026" spans="2:7">
      <c r="B14026"/>
      <c r="C14026"/>
      <c r="D14026"/>
      <c r="G14026"/>
    </row>
    <row r="14027" spans="2:7">
      <c r="B14027"/>
      <c r="C14027"/>
      <c r="D14027"/>
      <c r="G14027"/>
    </row>
    <row r="14028" spans="2:7">
      <c r="B14028"/>
      <c r="C14028"/>
      <c r="D14028"/>
      <c r="G14028"/>
    </row>
    <row r="14029" spans="2:7">
      <c r="B14029"/>
      <c r="C14029"/>
      <c r="D14029"/>
      <c r="G14029"/>
    </row>
    <row r="14030" spans="2:7">
      <c r="B14030"/>
      <c r="C14030"/>
      <c r="D14030"/>
      <c r="G14030"/>
    </row>
    <row r="14031" spans="2:7">
      <c r="B14031"/>
      <c r="C14031"/>
      <c r="D14031"/>
      <c r="G14031"/>
    </row>
    <row r="14032" spans="2:7">
      <c r="B14032"/>
      <c r="C14032"/>
      <c r="D14032"/>
      <c r="G14032"/>
    </row>
    <row r="14033" spans="2:7">
      <c r="B14033"/>
      <c r="C14033"/>
      <c r="D14033"/>
      <c r="G14033"/>
    </row>
    <row r="14034" spans="2:7">
      <c r="B14034"/>
      <c r="C14034"/>
      <c r="D14034"/>
      <c r="G14034"/>
    </row>
    <row r="14035" spans="2:7">
      <c r="B14035"/>
      <c r="C14035"/>
      <c r="D14035"/>
      <c r="G14035"/>
    </row>
    <row r="14036" spans="2:7">
      <c r="B14036"/>
      <c r="C14036"/>
      <c r="D14036"/>
      <c r="G14036"/>
    </row>
    <row r="14037" spans="2:7">
      <c r="B14037"/>
      <c r="C14037"/>
      <c r="D14037"/>
      <c r="G14037"/>
    </row>
    <row r="14038" spans="2:7">
      <c r="B14038"/>
      <c r="C14038"/>
      <c r="D14038"/>
      <c r="G14038"/>
    </row>
    <row r="14039" spans="2:7">
      <c r="B14039"/>
      <c r="C14039"/>
      <c r="D14039"/>
      <c r="G14039"/>
    </row>
    <row r="14040" spans="2:7">
      <c r="B14040"/>
      <c r="C14040"/>
      <c r="D14040"/>
      <c r="G14040"/>
    </row>
    <row r="14041" spans="2:7">
      <c r="B14041"/>
      <c r="C14041"/>
      <c r="D14041"/>
      <c r="G14041"/>
    </row>
    <row r="14042" spans="2:7">
      <c r="B14042"/>
      <c r="C14042"/>
      <c r="D14042"/>
      <c r="G14042"/>
    </row>
    <row r="14043" spans="2:7">
      <c r="B14043"/>
      <c r="C14043"/>
      <c r="D14043"/>
      <c r="G14043"/>
    </row>
    <row r="14044" spans="2:7">
      <c r="B14044"/>
      <c r="C14044"/>
      <c r="D14044"/>
      <c r="G14044"/>
    </row>
    <row r="14045" spans="2:7">
      <c r="B14045"/>
      <c r="C14045"/>
      <c r="D14045"/>
      <c r="G14045"/>
    </row>
    <row r="14046" spans="2:7">
      <c r="B14046"/>
      <c r="C14046"/>
      <c r="D14046"/>
      <c r="G14046"/>
    </row>
    <row r="14047" spans="2:7">
      <c r="B14047"/>
      <c r="C14047"/>
      <c r="D14047"/>
      <c r="G14047"/>
    </row>
    <row r="14048" spans="2:7">
      <c r="B14048"/>
      <c r="C14048"/>
      <c r="D14048"/>
      <c r="G14048"/>
    </row>
    <row r="14049" spans="2:7">
      <c r="B14049"/>
      <c r="C14049"/>
      <c r="D14049"/>
      <c r="G14049"/>
    </row>
    <row r="14050" spans="2:7">
      <c r="B14050"/>
      <c r="C14050"/>
      <c r="D14050"/>
      <c r="G14050"/>
    </row>
    <row r="14051" spans="2:7">
      <c r="B14051"/>
      <c r="C14051"/>
      <c r="D14051"/>
      <c r="G14051"/>
    </row>
    <row r="14052" spans="2:7">
      <c r="B14052"/>
      <c r="C14052"/>
      <c r="D14052"/>
      <c r="G14052"/>
    </row>
    <row r="14053" spans="2:7">
      <c r="B14053"/>
      <c r="C14053"/>
      <c r="D14053"/>
      <c r="G14053"/>
    </row>
    <row r="14054" spans="2:7">
      <c r="B14054"/>
      <c r="C14054"/>
      <c r="D14054"/>
      <c r="G14054"/>
    </row>
    <row r="14055" spans="2:7">
      <c r="B14055"/>
      <c r="C14055"/>
      <c r="D14055"/>
      <c r="G14055"/>
    </row>
    <row r="14056" spans="2:7">
      <c r="B14056"/>
      <c r="C14056"/>
      <c r="D14056"/>
      <c r="G14056"/>
    </row>
    <row r="14057" spans="2:7">
      <c r="B14057"/>
      <c r="C14057"/>
      <c r="D14057"/>
      <c r="G14057"/>
    </row>
    <row r="14058" spans="2:7">
      <c r="B14058"/>
      <c r="C14058"/>
      <c r="D14058"/>
      <c r="G14058"/>
    </row>
    <row r="14059" spans="2:7">
      <c r="B14059"/>
      <c r="C14059"/>
      <c r="D14059"/>
      <c r="G14059"/>
    </row>
    <row r="14060" spans="2:7">
      <c r="B14060"/>
      <c r="C14060"/>
      <c r="D14060"/>
      <c r="G14060"/>
    </row>
    <row r="14061" spans="2:7">
      <c r="B14061"/>
      <c r="C14061"/>
      <c r="D14061"/>
      <c r="G14061"/>
    </row>
    <row r="14062" spans="2:7">
      <c r="B14062"/>
      <c r="C14062"/>
      <c r="D14062"/>
      <c r="G14062"/>
    </row>
    <row r="14063" spans="2:7">
      <c r="B14063"/>
      <c r="C14063"/>
      <c r="D14063"/>
      <c r="G14063"/>
    </row>
    <row r="14064" spans="2:7">
      <c r="B14064"/>
      <c r="C14064"/>
      <c r="D14064"/>
      <c r="G14064"/>
    </row>
    <row r="14065" spans="2:7">
      <c r="B14065"/>
      <c r="C14065"/>
      <c r="D14065"/>
      <c r="G14065"/>
    </row>
    <row r="14066" spans="2:7">
      <c r="B14066"/>
      <c r="C14066"/>
      <c r="D14066"/>
      <c r="G14066"/>
    </row>
    <row r="14067" spans="2:7">
      <c r="B14067"/>
      <c r="C14067"/>
      <c r="D14067"/>
      <c r="G14067"/>
    </row>
    <row r="14068" spans="2:7">
      <c r="B14068"/>
      <c r="C14068"/>
      <c r="D14068"/>
      <c r="G14068"/>
    </row>
    <row r="14069" spans="2:7">
      <c r="B14069"/>
      <c r="C14069"/>
      <c r="D14069"/>
      <c r="G14069"/>
    </row>
    <row r="14070" spans="2:7">
      <c r="B14070"/>
      <c r="C14070"/>
      <c r="D14070"/>
      <c r="G14070"/>
    </row>
    <row r="14071" spans="2:7">
      <c r="B14071"/>
      <c r="C14071"/>
      <c r="D14071"/>
      <c r="G14071"/>
    </row>
    <row r="14072" spans="2:7">
      <c r="B14072"/>
      <c r="C14072"/>
      <c r="D14072"/>
      <c r="G14072"/>
    </row>
    <row r="14073" spans="2:7">
      <c r="B14073"/>
      <c r="C14073"/>
      <c r="D14073"/>
      <c r="G14073"/>
    </row>
    <row r="14074" spans="2:7">
      <c r="B14074"/>
      <c r="C14074"/>
      <c r="D14074"/>
      <c r="G14074"/>
    </row>
    <row r="14075" spans="2:7">
      <c r="B14075"/>
      <c r="C14075"/>
      <c r="D14075"/>
      <c r="G14075"/>
    </row>
    <row r="14076" spans="2:7">
      <c r="B14076"/>
      <c r="C14076"/>
      <c r="D14076"/>
      <c r="G14076"/>
    </row>
    <row r="14077" spans="2:7">
      <c r="B14077"/>
      <c r="C14077"/>
      <c r="D14077"/>
      <c r="G14077"/>
    </row>
    <row r="14078" spans="2:7">
      <c r="B14078"/>
      <c r="C14078"/>
      <c r="D14078"/>
      <c r="G14078"/>
    </row>
    <row r="14079" spans="2:7">
      <c r="B14079"/>
      <c r="C14079"/>
      <c r="D14079"/>
      <c r="G14079"/>
    </row>
    <row r="14080" spans="2:7">
      <c r="B14080"/>
      <c r="C14080"/>
      <c r="D14080"/>
      <c r="G14080"/>
    </row>
    <row r="14081" spans="2:7">
      <c r="B14081"/>
      <c r="C14081"/>
      <c r="D14081"/>
      <c r="G14081"/>
    </row>
    <row r="14082" spans="2:7">
      <c r="B14082"/>
      <c r="C14082"/>
      <c r="D14082"/>
      <c r="G14082"/>
    </row>
    <row r="14083" spans="2:7">
      <c r="B14083"/>
      <c r="C14083"/>
      <c r="D14083"/>
      <c r="G14083"/>
    </row>
    <row r="14084" spans="2:7">
      <c r="B14084"/>
      <c r="C14084"/>
      <c r="D14084"/>
      <c r="G14084"/>
    </row>
    <row r="14085" spans="2:7">
      <c r="B14085"/>
      <c r="C14085"/>
      <c r="D14085"/>
      <c r="G14085"/>
    </row>
    <row r="14086" spans="2:7">
      <c r="B14086"/>
      <c r="C14086"/>
      <c r="D14086"/>
      <c r="G14086"/>
    </row>
    <row r="14087" spans="2:7">
      <c r="B14087"/>
      <c r="C14087"/>
      <c r="D14087"/>
      <c r="G14087"/>
    </row>
    <row r="14088" spans="2:7">
      <c r="B14088"/>
      <c r="C14088"/>
      <c r="D14088"/>
      <c r="G14088"/>
    </row>
    <row r="14089" spans="2:7">
      <c r="B14089"/>
      <c r="C14089"/>
      <c r="D14089"/>
      <c r="G14089"/>
    </row>
    <row r="14090" spans="2:7">
      <c r="B14090"/>
      <c r="C14090"/>
      <c r="D14090"/>
      <c r="G14090"/>
    </row>
    <row r="14091" spans="2:7">
      <c r="B14091"/>
      <c r="C14091"/>
      <c r="D14091"/>
      <c r="G14091"/>
    </row>
    <row r="14092" spans="2:7">
      <c r="B14092"/>
      <c r="C14092"/>
      <c r="D14092"/>
      <c r="G14092"/>
    </row>
    <row r="14093" spans="2:7">
      <c r="B14093"/>
      <c r="C14093"/>
      <c r="D14093"/>
      <c r="G14093"/>
    </row>
    <row r="14094" spans="2:7">
      <c r="B14094"/>
      <c r="C14094"/>
      <c r="D14094"/>
      <c r="G14094"/>
    </row>
    <row r="14095" spans="2:7">
      <c r="B14095"/>
      <c r="C14095"/>
      <c r="D14095"/>
      <c r="G14095"/>
    </row>
    <row r="14096" spans="2:7">
      <c r="B14096"/>
      <c r="C14096"/>
      <c r="D14096"/>
      <c r="G14096"/>
    </row>
    <row r="14097" spans="2:7">
      <c r="B14097"/>
      <c r="C14097"/>
      <c r="D14097"/>
      <c r="G14097"/>
    </row>
    <row r="14098" spans="2:7">
      <c r="B14098"/>
      <c r="C14098"/>
      <c r="D14098"/>
      <c r="G14098"/>
    </row>
    <row r="14099" spans="2:7">
      <c r="B14099"/>
      <c r="C14099"/>
      <c r="D14099"/>
      <c r="G14099"/>
    </row>
    <row r="14100" spans="2:7">
      <c r="B14100"/>
      <c r="C14100"/>
      <c r="D14100"/>
      <c r="G14100"/>
    </row>
    <row r="14101" spans="2:7">
      <c r="B14101"/>
      <c r="C14101"/>
      <c r="D14101"/>
      <c r="G14101"/>
    </row>
    <row r="14102" spans="2:7">
      <c r="B14102"/>
      <c r="C14102"/>
      <c r="D14102"/>
      <c r="G14102"/>
    </row>
    <row r="14103" spans="2:7">
      <c r="B14103"/>
      <c r="C14103"/>
      <c r="D14103"/>
      <c r="G14103"/>
    </row>
    <row r="14104" spans="2:7">
      <c r="B14104"/>
      <c r="C14104"/>
      <c r="D14104"/>
      <c r="G14104"/>
    </row>
    <row r="14105" spans="2:7">
      <c r="B14105"/>
      <c r="C14105"/>
      <c r="D14105"/>
      <c r="G14105"/>
    </row>
    <row r="14106" spans="2:7">
      <c r="B14106"/>
      <c r="C14106"/>
      <c r="D14106"/>
      <c r="G14106"/>
    </row>
    <row r="14107" spans="2:7">
      <c r="B14107"/>
      <c r="C14107"/>
      <c r="D14107"/>
      <c r="G14107"/>
    </row>
    <row r="14108" spans="2:7">
      <c r="B14108"/>
      <c r="C14108"/>
      <c r="D14108"/>
      <c r="G14108"/>
    </row>
    <row r="14109" spans="2:7">
      <c r="B14109"/>
      <c r="C14109"/>
      <c r="D14109"/>
      <c r="G14109"/>
    </row>
    <row r="14110" spans="2:7">
      <c r="B14110"/>
      <c r="C14110"/>
      <c r="D14110"/>
      <c r="G14110"/>
    </row>
    <row r="14111" spans="2:7">
      <c r="B14111"/>
      <c r="C14111"/>
      <c r="D14111"/>
      <c r="G14111"/>
    </row>
    <row r="14112" spans="2:7">
      <c r="B14112"/>
      <c r="C14112"/>
      <c r="D14112"/>
      <c r="G14112"/>
    </row>
    <row r="14113" spans="2:7">
      <c r="B14113"/>
      <c r="C14113"/>
      <c r="D14113"/>
      <c r="G14113"/>
    </row>
    <row r="14114" spans="2:7">
      <c r="B14114"/>
      <c r="C14114"/>
      <c r="D14114"/>
      <c r="G14114"/>
    </row>
    <row r="14115" spans="2:7">
      <c r="B14115"/>
      <c r="C14115"/>
      <c r="D14115"/>
      <c r="G14115"/>
    </row>
    <row r="14116" spans="2:7">
      <c r="B14116"/>
      <c r="C14116"/>
      <c r="D14116"/>
      <c r="G14116"/>
    </row>
    <row r="14117" spans="2:7">
      <c r="B14117"/>
      <c r="C14117"/>
      <c r="D14117"/>
      <c r="G14117"/>
    </row>
    <row r="14118" spans="2:7">
      <c r="B14118"/>
      <c r="C14118"/>
      <c r="D14118"/>
      <c r="G14118"/>
    </row>
    <row r="14119" spans="2:7">
      <c r="B14119"/>
      <c r="C14119"/>
      <c r="D14119"/>
      <c r="G14119"/>
    </row>
    <row r="14120" spans="2:7">
      <c r="B14120"/>
      <c r="C14120"/>
      <c r="D14120"/>
      <c r="G14120"/>
    </row>
    <row r="14121" spans="2:7">
      <c r="B14121"/>
      <c r="C14121"/>
      <c r="D14121"/>
      <c r="G14121"/>
    </row>
    <row r="14122" spans="2:7">
      <c r="B14122"/>
      <c r="C14122"/>
      <c r="D14122"/>
      <c r="G14122"/>
    </row>
    <row r="14123" spans="2:7">
      <c r="B14123"/>
      <c r="C14123"/>
      <c r="D14123"/>
      <c r="G14123"/>
    </row>
    <row r="14124" spans="2:7">
      <c r="B14124"/>
      <c r="C14124"/>
      <c r="D14124"/>
      <c r="G14124"/>
    </row>
    <row r="14125" spans="2:7">
      <c r="B14125"/>
      <c r="C14125"/>
      <c r="D14125"/>
      <c r="G14125"/>
    </row>
    <row r="14126" spans="2:7">
      <c r="B14126"/>
      <c r="C14126"/>
      <c r="D14126"/>
      <c r="G14126"/>
    </row>
    <row r="14127" spans="2:7">
      <c r="B14127"/>
      <c r="C14127"/>
      <c r="D14127"/>
      <c r="G14127"/>
    </row>
    <row r="14128" spans="2:7">
      <c r="B14128"/>
      <c r="C14128"/>
      <c r="D14128"/>
      <c r="G14128"/>
    </row>
    <row r="14129" spans="2:7">
      <c r="B14129"/>
      <c r="C14129"/>
      <c r="D14129"/>
      <c r="G14129"/>
    </row>
    <row r="14130" spans="2:7">
      <c r="B14130"/>
      <c r="C14130"/>
      <c r="D14130"/>
      <c r="G14130"/>
    </row>
    <row r="14131" spans="2:7">
      <c r="B14131"/>
      <c r="C14131"/>
      <c r="D14131"/>
      <c r="G14131"/>
    </row>
    <row r="14132" spans="2:7">
      <c r="B14132"/>
      <c r="C14132"/>
      <c r="D14132"/>
      <c r="G14132"/>
    </row>
    <row r="14133" spans="2:7">
      <c r="B14133"/>
      <c r="C14133"/>
      <c r="D14133"/>
      <c r="G14133"/>
    </row>
    <row r="14134" spans="2:7">
      <c r="B14134"/>
      <c r="C14134"/>
      <c r="D14134"/>
      <c r="G14134"/>
    </row>
    <row r="14135" spans="2:7">
      <c r="B14135"/>
      <c r="C14135"/>
      <c r="D14135"/>
      <c r="G14135"/>
    </row>
    <row r="14136" spans="2:7">
      <c r="B14136"/>
      <c r="C14136"/>
      <c r="D14136"/>
      <c r="G14136"/>
    </row>
    <row r="14137" spans="2:7">
      <c r="B14137"/>
      <c r="C14137"/>
      <c r="D14137"/>
      <c r="G14137"/>
    </row>
    <row r="14138" spans="2:7">
      <c r="B14138"/>
      <c r="C14138"/>
      <c r="D14138"/>
      <c r="G14138"/>
    </row>
    <row r="14139" spans="2:7">
      <c r="B14139"/>
      <c r="C14139"/>
      <c r="D14139"/>
      <c r="G14139"/>
    </row>
    <row r="14140" spans="2:7">
      <c r="B14140"/>
      <c r="C14140"/>
      <c r="D14140"/>
      <c r="G14140"/>
    </row>
    <row r="14141" spans="2:7">
      <c r="B14141"/>
      <c r="C14141"/>
      <c r="D14141"/>
      <c r="G14141"/>
    </row>
    <row r="14142" spans="2:7">
      <c r="B14142"/>
      <c r="C14142"/>
      <c r="D14142"/>
      <c r="G14142"/>
    </row>
    <row r="14143" spans="2:7">
      <c r="B14143"/>
      <c r="C14143"/>
      <c r="D14143"/>
      <c r="G14143"/>
    </row>
    <row r="14144" spans="2:7">
      <c r="B14144"/>
      <c r="C14144"/>
      <c r="D14144"/>
      <c r="G14144"/>
    </row>
    <row r="14145" spans="2:7">
      <c r="B14145"/>
      <c r="C14145"/>
      <c r="D14145"/>
      <c r="G14145"/>
    </row>
    <row r="14146" spans="2:7">
      <c r="B14146"/>
      <c r="C14146"/>
      <c r="D14146"/>
      <c r="G14146"/>
    </row>
    <row r="14147" spans="2:7">
      <c r="B14147"/>
      <c r="C14147"/>
      <c r="D14147"/>
      <c r="G14147"/>
    </row>
    <row r="14148" spans="2:7">
      <c r="B14148"/>
      <c r="C14148"/>
      <c r="D14148"/>
      <c r="G14148"/>
    </row>
    <row r="14149" spans="2:7">
      <c r="B14149"/>
      <c r="C14149"/>
      <c r="D14149"/>
      <c r="G14149"/>
    </row>
    <row r="14150" spans="2:7">
      <c r="B14150"/>
      <c r="C14150"/>
      <c r="D14150"/>
      <c r="G14150"/>
    </row>
    <row r="14151" spans="2:7">
      <c r="B14151"/>
      <c r="C14151"/>
      <c r="D14151"/>
      <c r="G14151"/>
    </row>
    <row r="14152" spans="2:7">
      <c r="B14152"/>
      <c r="C14152"/>
      <c r="D14152"/>
      <c r="G14152"/>
    </row>
    <row r="14153" spans="2:7">
      <c r="B14153"/>
      <c r="C14153"/>
      <c r="D14153"/>
      <c r="G14153"/>
    </row>
    <row r="14154" spans="2:7">
      <c r="B14154"/>
      <c r="C14154"/>
      <c r="D14154"/>
      <c r="G14154"/>
    </row>
    <row r="14155" spans="2:7">
      <c r="B14155"/>
      <c r="C14155"/>
      <c r="D14155"/>
      <c r="G14155"/>
    </row>
    <row r="14156" spans="2:7">
      <c r="B14156"/>
      <c r="C14156"/>
      <c r="D14156"/>
      <c r="G14156"/>
    </row>
    <row r="14157" spans="2:7">
      <c r="B14157"/>
      <c r="C14157"/>
      <c r="D14157"/>
      <c r="G14157"/>
    </row>
    <row r="14158" spans="2:7">
      <c r="B14158"/>
      <c r="C14158"/>
      <c r="D14158"/>
      <c r="G14158"/>
    </row>
    <row r="14159" spans="2:7">
      <c r="B14159"/>
      <c r="C14159"/>
      <c r="D14159"/>
      <c r="G14159"/>
    </row>
    <row r="14160" spans="2:7">
      <c r="B14160"/>
      <c r="C14160"/>
      <c r="D14160"/>
      <c r="G14160"/>
    </row>
    <row r="14161" spans="2:7">
      <c r="B14161"/>
      <c r="C14161"/>
      <c r="D14161"/>
      <c r="G14161"/>
    </row>
    <row r="14162" spans="2:7">
      <c r="B14162"/>
      <c r="C14162"/>
      <c r="D14162"/>
      <c r="G14162"/>
    </row>
    <row r="14163" spans="2:7">
      <c r="B14163"/>
      <c r="C14163"/>
      <c r="D14163"/>
      <c r="G14163"/>
    </row>
    <row r="14164" spans="2:7">
      <c r="B14164"/>
      <c r="C14164"/>
      <c r="D14164"/>
      <c r="G14164"/>
    </row>
    <row r="14165" spans="2:7">
      <c r="B14165"/>
      <c r="C14165"/>
      <c r="D14165"/>
      <c r="G14165"/>
    </row>
    <row r="14166" spans="2:7">
      <c r="B14166"/>
      <c r="C14166"/>
      <c r="D14166"/>
      <c r="G14166"/>
    </row>
    <row r="14167" spans="2:7">
      <c r="B14167"/>
      <c r="C14167"/>
      <c r="D14167"/>
      <c r="G14167"/>
    </row>
    <row r="14168" spans="2:7">
      <c r="B14168"/>
      <c r="C14168"/>
      <c r="D14168"/>
      <c r="G14168"/>
    </row>
    <row r="14169" spans="2:7">
      <c r="B14169"/>
      <c r="C14169"/>
      <c r="D14169"/>
      <c r="G14169"/>
    </row>
    <row r="14170" spans="2:7">
      <c r="B14170"/>
      <c r="C14170"/>
      <c r="D14170"/>
      <c r="G14170"/>
    </row>
    <row r="14171" spans="2:7">
      <c r="B14171"/>
      <c r="C14171"/>
      <c r="D14171"/>
      <c r="G14171"/>
    </row>
    <row r="14172" spans="2:7">
      <c r="B14172"/>
      <c r="C14172"/>
      <c r="D14172"/>
      <c r="G14172"/>
    </row>
    <row r="14173" spans="2:7">
      <c r="B14173"/>
      <c r="C14173"/>
      <c r="D14173"/>
      <c r="G14173"/>
    </row>
    <row r="14174" spans="2:7">
      <c r="B14174"/>
      <c r="C14174"/>
      <c r="D14174"/>
      <c r="G14174"/>
    </row>
    <row r="14175" spans="2:7">
      <c r="B14175"/>
      <c r="C14175"/>
      <c r="D14175"/>
      <c r="G14175"/>
    </row>
    <row r="14176" spans="2:7">
      <c r="B14176"/>
      <c r="C14176"/>
      <c r="D14176"/>
      <c r="G14176"/>
    </row>
    <row r="14177" spans="2:7">
      <c r="B14177"/>
      <c r="C14177"/>
      <c r="D14177"/>
      <c r="G14177"/>
    </row>
    <row r="14178" spans="2:7">
      <c r="B14178"/>
      <c r="C14178"/>
      <c r="D14178"/>
      <c r="G14178"/>
    </row>
    <row r="14179" spans="2:7">
      <c r="B14179"/>
      <c r="C14179"/>
      <c r="D14179"/>
      <c r="G14179"/>
    </row>
    <row r="14180" spans="2:7">
      <c r="B14180"/>
      <c r="C14180"/>
      <c r="D14180"/>
      <c r="G14180"/>
    </row>
    <row r="14181" spans="2:7">
      <c r="B14181"/>
      <c r="C14181"/>
      <c r="D14181"/>
      <c r="G14181"/>
    </row>
    <row r="14182" spans="2:7">
      <c r="B14182"/>
      <c r="C14182"/>
      <c r="D14182"/>
      <c r="G14182"/>
    </row>
    <row r="14183" spans="2:7">
      <c r="B14183"/>
      <c r="C14183"/>
      <c r="D14183"/>
      <c r="G14183"/>
    </row>
    <row r="14184" spans="2:7">
      <c r="B14184"/>
      <c r="C14184"/>
      <c r="D14184"/>
      <c r="G14184"/>
    </row>
    <row r="14185" spans="2:7">
      <c r="B14185"/>
      <c r="C14185"/>
      <c r="D14185"/>
      <c r="G14185"/>
    </row>
    <row r="14186" spans="2:7">
      <c r="B14186"/>
      <c r="C14186"/>
      <c r="D14186"/>
      <c r="G14186"/>
    </row>
    <row r="14187" spans="2:7">
      <c r="B14187"/>
      <c r="C14187"/>
      <c r="D14187"/>
      <c r="G14187"/>
    </row>
    <row r="14188" spans="2:7">
      <c r="B14188"/>
      <c r="C14188"/>
      <c r="D14188"/>
      <c r="G14188"/>
    </row>
    <row r="14189" spans="2:7">
      <c r="B14189"/>
      <c r="C14189"/>
      <c r="D14189"/>
      <c r="G14189"/>
    </row>
    <row r="14190" spans="2:7">
      <c r="B14190"/>
      <c r="C14190"/>
      <c r="D14190"/>
      <c r="G14190"/>
    </row>
    <row r="14191" spans="2:7">
      <c r="B14191"/>
      <c r="C14191"/>
      <c r="D14191"/>
      <c r="G14191"/>
    </row>
    <row r="14192" spans="2:7">
      <c r="B14192"/>
      <c r="C14192"/>
      <c r="D14192"/>
      <c r="G14192"/>
    </row>
    <row r="14193" spans="2:7">
      <c r="B14193"/>
      <c r="C14193"/>
      <c r="D14193"/>
      <c r="G14193"/>
    </row>
    <row r="14194" spans="2:7">
      <c r="B14194"/>
      <c r="C14194"/>
      <c r="D14194"/>
      <c r="G14194"/>
    </row>
    <row r="14195" spans="2:7">
      <c r="B14195"/>
      <c r="C14195"/>
      <c r="D14195"/>
      <c r="G14195"/>
    </row>
    <row r="14196" spans="2:7">
      <c r="B14196"/>
      <c r="C14196"/>
      <c r="D14196"/>
      <c r="G14196"/>
    </row>
    <row r="14197" spans="2:7">
      <c r="B14197"/>
      <c r="C14197"/>
      <c r="D14197"/>
      <c r="G14197"/>
    </row>
    <row r="14198" spans="2:7">
      <c r="B14198"/>
      <c r="C14198"/>
      <c r="D14198"/>
      <c r="G14198"/>
    </row>
    <row r="14199" spans="2:7">
      <c r="B14199"/>
      <c r="C14199"/>
      <c r="D14199"/>
      <c r="G14199"/>
    </row>
    <row r="14200" spans="2:7">
      <c r="B14200"/>
      <c r="C14200"/>
      <c r="D14200"/>
      <c r="G14200"/>
    </row>
    <row r="14201" spans="2:7">
      <c r="B14201"/>
      <c r="C14201"/>
      <c r="D14201"/>
      <c r="G14201"/>
    </row>
    <row r="14202" spans="2:7">
      <c r="B14202"/>
      <c r="C14202"/>
      <c r="D14202"/>
      <c r="G14202"/>
    </row>
    <row r="14203" spans="2:7">
      <c r="B14203"/>
      <c r="C14203"/>
      <c r="D14203"/>
      <c r="G14203"/>
    </row>
    <row r="14204" spans="2:7">
      <c r="B14204"/>
      <c r="C14204"/>
      <c r="D14204"/>
      <c r="G14204"/>
    </row>
    <row r="14205" spans="2:7">
      <c r="B14205"/>
      <c r="C14205"/>
      <c r="D14205"/>
      <c r="G14205"/>
    </row>
    <row r="14206" spans="2:7">
      <c r="B14206"/>
      <c r="C14206"/>
      <c r="D14206"/>
      <c r="G14206"/>
    </row>
    <row r="14207" spans="2:7">
      <c r="B14207"/>
      <c r="C14207"/>
      <c r="D14207"/>
      <c r="G14207"/>
    </row>
    <row r="14208" spans="2:7">
      <c r="B14208"/>
      <c r="C14208"/>
      <c r="D14208"/>
      <c r="G14208"/>
    </row>
    <row r="14209" spans="2:7">
      <c r="B14209"/>
      <c r="C14209"/>
      <c r="D14209"/>
      <c r="G14209"/>
    </row>
    <row r="14210" spans="2:7">
      <c r="B14210"/>
      <c r="C14210"/>
      <c r="D14210"/>
      <c r="G14210"/>
    </row>
    <row r="14211" spans="2:7">
      <c r="B14211"/>
      <c r="C14211"/>
      <c r="D14211"/>
      <c r="G14211"/>
    </row>
    <row r="14212" spans="2:7">
      <c r="B14212"/>
      <c r="C14212"/>
      <c r="D14212"/>
      <c r="G14212"/>
    </row>
    <row r="14213" spans="2:7">
      <c r="B14213"/>
      <c r="C14213"/>
      <c r="D14213"/>
      <c r="G14213"/>
    </row>
    <row r="14214" spans="2:7">
      <c r="B14214"/>
      <c r="C14214"/>
      <c r="D14214"/>
      <c r="G14214"/>
    </row>
    <row r="14215" spans="2:7">
      <c r="B14215"/>
      <c r="C14215"/>
      <c r="D14215"/>
      <c r="G14215"/>
    </row>
    <row r="14216" spans="2:7">
      <c r="B14216"/>
      <c r="C14216"/>
      <c r="D14216"/>
      <c r="G14216"/>
    </row>
    <row r="14217" spans="2:7">
      <c r="B14217"/>
      <c r="C14217"/>
      <c r="D14217"/>
      <c r="G14217"/>
    </row>
    <row r="14218" spans="2:7">
      <c r="B14218"/>
      <c r="C14218"/>
      <c r="D14218"/>
      <c r="G14218"/>
    </row>
    <row r="14219" spans="2:7">
      <c r="B14219"/>
      <c r="C14219"/>
      <c r="D14219"/>
      <c r="G14219"/>
    </row>
    <row r="14220" spans="2:7">
      <c r="B14220"/>
      <c r="C14220"/>
      <c r="D14220"/>
      <c r="G14220"/>
    </row>
    <row r="14221" spans="2:7">
      <c r="B14221"/>
      <c r="C14221"/>
      <c r="D14221"/>
      <c r="G14221"/>
    </row>
    <row r="14222" spans="2:7">
      <c r="B14222"/>
      <c r="C14222"/>
      <c r="D14222"/>
      <c r="G14222"/>
    </row>
    <row r="14223" spans="2:7">
      <c r="B14223"/>
      <c r="C14223"/>
      <c r="D14223"/>
      <c r="G14223"/>
    </row>
    <row r="14224" spans="2:7">
      <c r="B14224"/>
      <c r="C14224"/>
      <c r="D14224"/>
      <c r="G14224"/>
    </row>
    <row r="14225" spans="2:7">
      <c r="B14225"/>
      <c r="C14225"/>
      <c r="D14225"/>
      <c r="G14225"/>
    </row>
    <row r="14226" spans="2:7">
      <c r="B14226"/>
      <c r="C14226"/>
      <c r="D14226"/>
      <c r="G14226"/>
    </row>
    <row r="14227" spans="2:7">
      <c r="B14227"/>
      <c r="C14227"/>
      <c r="D14227"/>
      <c r="G14227"/>
    </row>
    <row r="14228" spans="2:7">
      <c r="B14228"/>
      <c r="C14228"/>
      <c r="D14228"/>
      <c r="G14228"/>
    </row>
    <row r="14229" spans="2:7">
      <c r="B14229"/>
      <c r="C14229"/>
      <c r="D14229"/>
      <c r="G14229"/>
    </row>
    <row r="14230" spans="2:7">
      <c r="B14230"/>
      <c r="C14230"/>
      <c r="D14230"/>
      <c r="G14230"/>
    </row>
    <row r="14231" spans="2:7">
      <c r="B14231"/>
      <c r="C14231"/>
      <c r="D14231"/>
      <c r="G14231"/>
    </row>
    <row r="14232" spans="2:7">
      <c r="B14232"/>
      <c r="C14232"/>
      <c r="D14232"/>
      <c r="G14232"/>
    </row>
    <row r="14233" spans="2:7">
      <c r="B14233"/>
      <c r="C14233"/>
      <c r="D14233"/>
      <c r="G14233"/>
    </row>
    <row r="14234" spans="2:7">
      <c r="B14234"/>
      <c r="C14234"/>
      <c r="D14234"/>
      <c r="G14234"/>
    </row>
    <row r="14235" spans="2:7">
      <c r="B14235"/>
      <c r="C14235"/>
      <c r="D14235"/>
      <c r="G14235"/>
    </row>
    <row r="14236" spans="2:7">
      <c r="B14236"/>
      <c r="C14236"/>
      <c r="D14236"/>
      <c r="G14236"/>
    </row>
    <row r="14237" spans="2:7">
      <c r="B14237"/>
      <c r="C14237"/>
      <c r="D14237"/>
      <c r="G14237"/>
    </row>
    <row r="14238" spans="2:7">
      <c r="B14238"/>
      <c r="C14238"/>
      <c r="D14238"/>
      <c r="G14238"/>
    </row>
    <row r="14239" spans="2:7">
      <c r="B14239"/>
      <c r="C14239"/>
      <c r="D14239"/>
      <c r="G14239"/>
    </row>
    <row r="14240" spans="2:7">
      <c r="B14240"/>
      <c r="C14240"/>
      <c r="D14240"/>
      <c r="G14240"/>
    </row>
    <row r="14241" spans="2:7">
      <c r="B14241"/>
      <c r="C14241"/>
      <c r="D14241"/>
      <c r="G14241"/>
    </row>
    <row r="14242" spans="2:7">
      <c r="B14242"/>
      <c r="C14242"/>
      <c r="D14242"/>
      <c r="G14242"/>
    </row>
    <row r="14243" spans="2:7">
      <c r="B14243"/>
      <c r="C14243"/>
      <c r="D14243"/>
      <c r="G14243"/>
    </row>
    <row r="14244" spans="2:7">
      <c r="B14244"/>
      <c r="C14244"/>
      <c r="D14244"/>
      <c r="G14244"/>
    </row>
    <row r="14245" spans="2:7">
      <c r="B14245"/>
      <c r="C14245"/>
      <c r="D14245"/>
      <c r="G14245"/>
    </row>
    <row r="14246" spans="2:7">
      <c r="B14246"/>
      <c r="C14246"/>
      <c r="D14246"/>
      <c r="G14246"/>
    </row>
    <row r="14247" spans="2:7">
      <c r="B14247"/>
      <c r="C14247"/>
      <c r="D14247"/>
      <c r="G14247"/>
    </row>
    <row r="14248" spans="2:7">
      <c r="B14248"/>
      <c r="C14248"/>
      <c r="D14248"/>
      <c r="G14248"/>
    </row>
    <row r="14249" spans="2:7">
      <c r="B14249"/>
      <c r="C14249"/>
      <c r="D14249"/>
      <c r="G14249"/>
    </row>
    <row r="14250" spans="2:7">
      <c r="B14250"/>
      <c r="C14250"/>
      <c r="D14250"/>
      <c r="G14250"/>
    </row>
    <row r="14251" spans="2:7">
      <c r="B14251"/>
      <c r="C14251"/>
      <c r="D14251"/>
      <c r="G14251"/>
    </row>
    <row r="14252" spans="2:7">
      <c r="B14252"/>
      <c r="C14252"/>
      <c r="D14252"/>
      <c r="G14252"/>
    </row>
    <row r="14253" spans="2:7">
      <c r="B14253"/>
      <c r="C14253"/>
      <c r="D14253"/>
      <c r="G14253"/>
    </row>
    <row r="14254" spans="2:7">
      <c r="B14254"/>
      <c r="C14254"/>
      <c r="D14254"/>
      <c r="G14254"/>
    </row>
    <row r="14255" spans="2:7">
      <c r="B14255"/>
      <c r="C14255"/>
      <c r="D14255"/>
      <c r="G14255"/>
    </row>
    <row r="14256" spans="2:7">
      <c r="B14256"/>
      <c r="C14256"/>
      <c r="D14256"/>
      <c r="G14256"/>
    </row>
    <row r="14257" spans="2:7">
      <c r="B14257"/>
      <c r="C14257"/>
      <c r="D14257"/>
      <c r="G14257"/>
    </row>
    <row r="14258" spans="2:7">
      <c r="B14258"/>
      <c r="C14258"/>
      <c r="D14258"/>
      <c r="G14258"/>
    </row>
    <row r="14259" spans="2:7">
      <c r="B14259"/>
      <c r="C14259"/>
      <c r="D14259"/>
      <c r="G14259"/>
    </row>
    <row r="14260" spans="2:7">
      <c r="B14260"/>
      <c r="C14260"/>
      <c r="D14260"/>
      <c r="G14260"/>
    </row>
    <row r="14261" spans="2:7">
      <c r="B14261"/>
      <c r="C14261"/>
      <c r="D14261"/>
      <c r="G14261"/>
    </row>
    <row r="14262" spans="2:7">
      <c r="B14262"/>
      <c r="C14262"/>
      <c r="D14262"/>
      <c r="G14262"/>
    </row>
    <row r="14263" spans="2:7">
      <c r="B14263"/>
      <c r="C14263"/>
      <c r="D14263"/>
      <c r="G14263"/>
    </row>
    <row r="14264" spans="2:7">
      <c r="B14264"/>
      <c r="C14264"/>
      <c r="D14264"/>
      <c r="G14264"/>
    </row>
    <row r="14265" spans="2:7">
      <c r="B14265"/>
      <c r="C14265"/>
      <c r="D14265"/>
      <c r="G14265"/>
    </row>
    <row r="14266" spans="2:7">
      <c r="B14266"/>
      <c r="C14266"/>
      <c r="D14266"/>
      <c r="G14266"/>
    </row>
    <row r="14267" spans="2:7">
      <c r="B14267"/>
      <c r="C14267"/>
      <c r="D14267"/>
      <c r="G14267"/>
    </row>
    <row r="14268" spans="2:7">
      <c r="B14268"/>
      <c r="C14268"/>
      <c r="D14268"/>
      <c r="G14268"/>
    </row>
    <row r="14269" spans="2:7">
      <c r="B14269"/>
      <c r="C14269"/>
      <c r="D14269"/>
      <c r="G14269"/>
    </row>
    <row r="14270" spans="2:7">
      <c r="B14270"/>
      <c r="C14270"/>
      <c r="D14270"/>
      <c r="G14270"/>
    </row>
    <row r="14271" spans="2:7">
      <c r="B14271"/>
      <c r="C14271"/>
      <c r="D14271"/>
      <c r="G14271"/>
    </row>
    <row r="14272" spans="2:7">
      <c r="B14272"/>
      <c r="C14272"/>
      <c r="D14272"/>
      <c r="G14272"/>
    </row>
    <row r="14273" spans="2:7">
      <c r="B14273"/>
      <c r="C14273"/>
      <c r="D14273"/>
      <c r="G14273"/>
    </row>
    <row r="14274" spans="2:7">
      <c r="B14274"/>
      <c r="C14274"/>
      <c r="D14274"/>
      <c r="G14274"/>
    </row>
    <row r="14275" spans="2:7">
      <c r="B14275"/>
      <c r="C14275"/>
      <c r="D14275"/>
      <c r="G14275"/>
    </row>
    <row r="14276" spans="2:7">
      <c r="B14276"/>
      <c r="C14276"/>
      <c r="D14276"/>
      <c r="G14276"/>
    </row>
    <row r="14277" spans="2:7">
      <c r="B14277"/>
      <c r="C14277"/>
      <c r="D14277"/>
      <c r="G14277"/>
    </row>
    <row r="14278" spans="2:7">
      <c r="B14278"/>
      <c r="C14278"/>
      <c r="D14278"/>
      <c r="G14278"/>
    </row>
    <row r="14279" spans="2:7">
      <c r="B14279"/>
      <c r="C14279"/>
      <c r="D14279"/>
      <c r="G14279"/>
    </row>
    <row r="14280" spans="2:7">
      <c r="B14280"/>
      <c r="C14280"/>
      <c r="D14280"/>
      <c r="G14280"/>
    </row>
    <row r="14281" spans="2:7">
      <c r="B14281"/>
      <c r="C14281"/>
      <c r="D14281"/>
      <c r="G14281"/>
    </row>
    <row r="14282" spans="2:7">
      <c r="B14282"/>
      <c r="C14282"/>
      <c r="D14282"/>
      <c r="G14282"/>
    </row>
    <row r="14283" spans="2:7">
      <c r="B14283"/>
      <c r="C14283"/>
      <c r="D14283"/>
      <c r="G14283"/>
    </row>
    <row r="14284" spans="2:7">
      <c r="B14284"/>
      <c r="C14284"/>
      <c r="D14284"/>
      <c r="G14284"/>
    </row>
    <row r="14285" spans="2:7">
      <c r="B14285"/>
      <c r="C14285"/>
      <c r="D14285"/>
      <c r="G14285"/>
    </row>
    <row r="14286" spans="2:7">
      <c r="B14286"/>
      <c r="C14286"/>
      <c r="D14286"/>
      <c r="G14286"/>
    </row>
    <row r="14287" spans="2:7">
      <c r="B14287"/>
      <c r="C14287"/>
      <c r="D14287"/>
      <c r="G14287"/>
    </row>
    <row r="14288" spans="2:7">
      <c r="B14288"/>
      <c r="C14288"/>
      <c r="D14288"/>
      <c r="G14288"/>
    </row>
    <row r="14289" spans="2:7">
      <c r="B14289"/>
      <c r="C14289"/>
      <c r="D14289"/>
      <c r="G14289"/>
    </row>
    <row r="14290" spans="2:7">
      <c r="B14290"/>
      <c r="C14290"/>
      <c r="D14290"/>
      <c r="G14290"/>
    </row>
    <row r="14291" spans="2:7">
      <c r="B14291"/>
      <c r="C14291"/>
      <c r="D14291"/>
      <c r="G14291"/>
    </row>
    <row r="14292" spans="2:7">
      <c r="B14292"/>
      <c r="C14292"/>
      <c r="D14292"/>
      <c r="G14292"/>
    </row>
    <row r="14293" spans="2:7">
      <c r="B14293"/>
      <c r="C14293"/>
      <c r="D14293"/>
      <c r="G14293"/>
    </row>
    <row r="14294" spans="2:7">
      <c r="B14294"/>
      <c r="C14294"/>
      <c r="D14294"/>
      <c r="G14294"/>
    </row>
    <row r="14295" spans="2:7">
      <c r="B14295"/>
      <c r="C14295"/>
      <c r="D14295"/>
      <c r="G14295"/>
    </row>
    <row r="14296" spans="2:7">
      <c r="B14296"/>
      <c r="C14296"/>
      <c r="D14296"/>
      <c r="G14296"/>
    </row>
    <row r="14297" spans="2:7">
      <c r="B14297"/>
      <c r="C14297"/>
      <c r="D14297"/>
      <c r="G14297"/>
    </row>
    <row r="14298" spans="2:7">
      <c r="B14298"/>
      <c r="C14298"/>
      <c r="D14298"/>
      <c r="G14298"/>
    </row>
    <row r="14299" spans="2:7">
      <c r="B14299"/>
      <c r="C14299"/>
      <c r="D14299"/>
      <c r="G14299"/>
    </row>
    <row r="14300" spans="2:7">
      <c r="B14300"/>
      <c r="C14300"/>
      <c r="D14300"/>
      <c r="G14300"/>
    </row>
    <row r="14301" spans="2:7">
      <c r="B14301"/>
      <c r="C14301"/>
      <c r="D14301"/>
      <c r="G14301"/>
    </row>
    <row r="14302" spans="2:7">
      <c r="B14302"/>
      <c r="C14302"/>
      <c r="D14302"/>
      <c r="G14302"/>
    </row>
    <row r="14303" spans="2:7">
      <c r="B14303"/>
      <c r="C14303"/>
      <c r="D14303"/>
      <c r="G14303"/>
    </row>
    <row r="14304" spans="2:7">
      <c r="B14304"/>
      <c r="C14304"/>
      <c r="D14304"/>
      <c r="G14304"/>
    </row>
    <row r="14305" spans="2:7">
      <c r="B14305"/>
      <c r="C14305"/>
      <c r="D14305"/>
      <c r="G14305"/>
    </row>
    <row r="14306" spans="2:7">
      <c r="B14306"/>
      <c r="C14306"/>
      <c r="D14306"/>
      <c r="G14306"/>
    </row>
    <row r="14307" spans="2:7">
      <c r="B14307"/>
      <c r="C14307"/>
      <c r="D14307"/>
      <c r="G14307"/>
    </row>
    <row r="14308" spans="2:7">
      <c r="B14308"/>
      <c r="C14308"/>
      <c r="D14308"/>
      <c r="G14308"/>
    </row>
    <row r="14309" spans="2:7">
      <c r="B14309"/>
      <c r="C14309"/>
      <c r="D14309"/>
      <c r="G14309"/>
    </row>
    <row r="14310" spans="2:7">
      <c r="B14310"/>
      <c r="C14310"/>
      <c r="D14310"/>
      <c r="G14310"/>
    </row>
    <row r="14311" spans="2:7">
      <c r="B14311"/>
      <c r="C14311"/>
      <c r="D14311"/>
      <c r="G14311"/>
    </row>
    <row r="14312" spans="2:7">
      <c r="B14312"/>
      <c r="C14312"/>
      <c r="D14312"/>
      <c r="G14312"/>
    </row>
    <row r="14313" spans="2:7">
      <c r="B14313"/>
      <c r="C14313"/>
      <c r="D14313"/>
      <c r="G14313"/>
    </row>
    <row r="14314" spans="2:7">
      <c r="B14314"/>
      <c r="C14314"/>
      <c r="D14314"/>
      <c r="G14314"/>
    </row>
    <row r="14315" spans="2:7">
      <c r="B14315"/>
      <c r="C14315"/>
      <c r="D14315"/>
      <c r="G14315"/>
    </row>
    <row r="14316" spans="2:7">
      <c r="B14316"/>
      <c r="C14316"/>
      <c r="D14316"/>
      <c r="G14316"/>
    </row>
    <row r="14317" spans="2:7">
      <c r="B14317"/>
      <c r="C14317"/>
      <c r="D14317"/>
      <c r="G14317"/>
    </row>
    <row r="14318" spans="2:7">
      <c r="B14318"/>
      <c r="C14318"/>
      <c r="D14318"/>
      <c r="G14318"/>
    </row>
    <row r="14319" spans="2:7">
      <c r="B14319"/>
      <c r="C14319"/>
      <c r="D14319"/>
      <c r="G14319"/>
    </row>
    <row r="14320" spans="2:7">
      <c r="B14320"/>
      <c r="C14320"/>
      <c r="D14320"/>
      <c r="G14320"/>
    </row>
    <row r="14321" spans="2:7">
      <c r="B14321"/>
      <c r="C14321"/>
      <c r="D14321"/>
      <c r="G14321"/>
    </row>
    <row r="14322" spans="2:7">
      <c r="B14322"/>
      <c r="C14322"/>
      <c r="D14322"/>
      <c r="G14322"/>
    </row>
    <row r="14323" spans="2:7">
      <c r="B14323"/>
      <c r="C14323"/>
      <c r="D14323"/>
      <c r="G14323"/>
    </row>
    <row r="14324" spans="2:7">
      <c r="B14324"/>
      <c r="C14324"/>
      <c r="D14324"/>
      <c r="G14324"/>
    </row>
    <row r="14325" spans="2:7">
      <c r="B14325"/>
      <c r="C14325"/>
      <c r="D14325"/>
      <c r="G14325"/>
    </row>
    <row r="14326" spans="2:7">
      <c r="B14326"/>
      <c r="C14326"/>
      <c r="D14326"/>
      <c r="G14326"/>
    </row>
    <row r="14327" spans="2:7">
      <c r="B14327"/>
      <c r="C14327"/>
      <c r="D14327"/>
      <c r="G14327"/>
    </row>
    <row r="14328" spans="2:7">
      <c r="B14328"/>
      <c r="C14328"/>
      <c r="D14328"/>
      <c r="G14328"/>
    </row>
    <row r="14329" spans="2:7">
      <c r="B14329"/>
      <c r="C14329"/>
      <c r="D14329"/>
      <c r="G14329"/>
    </row>
    <row r="14330" spans="2:7">
      <c r="B14330"/>
      <c r="C14330"/>
      <c r="D14330"/>
      <c r="G14330"/>
    </row>
    <row r="14331" spans="2:7">
      <c r="B14331"/>
      <c r="C14331"/>
      <c r="D14331"/>
      <c r="G14331"/>
    </row>
    <row r="14332" spans="2:7">
      <c r="B14332"/>
      <c r="C14332"/>
      <c r="D14332"/>
      <c r="G14332"/>
    </row>
    <row r="14333" spans="2:7">
      <c r="B14333"/>
      <c r="C14333"/>
      <c r="D14333"/>
      <c r="G14333"/>
    </row>
    <row r="14334" spans="2:7">
      <c r="B14334"/>
      <c r="C14334"/>
      <c r="D14334"/>
      <c r="G14334"/>
    </row>
    <row r="14335" spans="2:7">
      <c r="B14335"/>
      <c r="C14335"/>
      <c r="D14335"/>
      <c r="G14335"/>
    </row>
    <row r="14336" spans="2:7">
      <c r="B14336"/>
      <c r="C14336"/>
      <c r="D14336"/>
      <c r="G14336"/>
    </row>
    <row r="14337" spans="2:7">
      <c r="B14337"/>
      <c r="C14337"/>
      <c r="D14337"/>
      <c r="G14337"/>
    </row>
    <row r="14338" spans="2:7">
      <c r="B14338"/>
      <c r="C14338"/>
      <c r="D14338"/>
      <c r="G14338"/>
    </row>
    <row r="14339" spans="2:7">
      <c r="B14339"/>
      <c r="C14339"/>
      <c r="D14339"/>
      <c r="G14339"/>
    </row>
    <row r="14340" spans="2:7">
      <c r="B14340"/>
      <c r="C14340"/>
      <c r="D14340"/>
      <c r="G14340"/>
    </row>
    <row r="14341" spans="2:7">
      <c r="B14341"/>
      <c r="C14341"/>
      <c r="D14341"/>
      <c r="G14341"/>
    </row>
    <row r="14342" spans="2:7">
      <c r="B14342"/>
      <c r="C14342"/>
      <c r="D14342"/>
      <c r="G14342"/>
    </row>
    <row r="14343" spans="2:7">
      <c r="B14343"/>
      <c r="C14343"/>
      <c r="D14343"/>
      <c r="G14343"/>
    </row>
    <row r="14344" spans="2:7">
      <c r="B14344"/>
      <c r="C14344"/>
      <c r="D14344"/>
      <c r="G14344"/>
    </row>
    <row r="14345" spans="2:7">
      <c r="B14345"/>
      <c r="C14345"/>
      <c r="D14345"/>
      <c r="G14345"/>
    </row>
    <row r="14346" spans="2:7">
      <c r="B14346"/>
      <c r="C14346"/>
      <c r="D14346"/>
      <c r="G14346"/>
    </row>
    <row r="14347" spans="2:7">
      <c r="B14347"/>
      <c r="C14347"/>
      <c r="D14347"/>
      <c r="G14347"/>
    </row>
    <row r="14348" spans="2:7">
      <c r="B14348"/>
      <c r="C14348"/>
      <c r="D14348"/>
      <c r="G14348"/>
    </row>
    <row r="14349" spans="2:7">
      <c r="B14349"/>
      <c r="C14349"/>
      <c r="D14349"/>
      <c r="G14349"/>
    </row>
    <row r="14350" spans="2:7">
      <c r="B14350"/>
      <c r="C14350"/>
      <c r="D14350"/>
      <c r="G14350"/>
    </row>
    <row r="14351" spans="2:7">
      <c r="B14351"/>
      <c r="C14351"/>
      <c r="D14351"/>
      <c r="G14351"/>
    </row>
    <row r="14352" spans="2:7">
      <c r="B14352"/>
      <c r="C14352"/>
      <c r="D14352"/>
      <c r="G14352"/>
    </row>
    <row r="14353" spans="2:7">
      <c r="B14353"/>
      <c r="C14353"/>
      <c r="D14353"/>
      <c r="G14353"/>
    </row>
    <row r="14354" spans="2:7">
      <c r="B14354"/>
      <c r="C14354"/>
      <c r="D14354"/>
      <c r="G14354"/>
    </row>
    <row r="14355" spans="2:7">
      <c r="B14355"/>
      <c r="C14355"/>
      <c r="D14355"/>
      <c r="G14355"/>
    </row>
    <row r="14356" spans="2:7">
      <c r="B14356"/>
      <c r="C14356"/>
      <c r="D14356"/>
      <c r="G14356"/>
    </row>
    <row r="14357" spans="2:7">
      <c r="B14357"/>
      <c r="C14357"/>
      <c r="D14357"/>
      <c r="G14357"/>
    </row>
    <row r="14358" spans="2:7">
      <c r="B14358"/>
      <c r="C14358"/>
      <c r="D14358"/>
      <c r="G14358"/>
    </row>
    <row r="14359" spans="2:7">
      <c r="B14359"/>
      <c r="C14359"/>
      <c r="D14359"/>
      <c r="G14359"/>
    </row>
    <row r="14360" spans="2:7">
      <c r="B14360"/>
      <c r="C14360"/>
      <c r="D14360"/>
      <c r="G14360"/>
    </row>
    <row r="14361" spans="2:7">
      <c r="B14361"/>
      <c r="C14361"/>
      <c r="D14361"/>
      <c r="G14361"/>
    </row>
    <row r="14362" spans="2:7">
      <c r="B14362"/>
      <c r="C14362"/>
      <c r="D14362"/>
      <c r="G14362"/>
    </row>
    <row r="14363" spans="2:7">
      <c r="B14363"/>
      <c r="C14363"/>
      <c r="D14363"/>
      <c r="G14363"/>
    </row>
    <row r="14364" spans="2:7">
      <c r="B14364"/>
      <c r="C14364"/>
      <c r="D14364"/>
      <c r="G14364"/>
    </row>
    <row r="14365" spans="2:7">
      <c r="B14365"/>
      <c r="C14365"/>
      <c r="D14365"/>
      <c r="G14365"/>
    </row>
    <row r="14366" spans="2:7">
      <c r="B14366"/>
      <c r="C14366"/>
      <c r="D14366"/>
      <c r="G14366"/>
    </row>
    <row r="14367" spans="2:7">
      <c r="B14367"/>
      <c r="C14367"/>
      <c r="D14367"/>
      <c r="G14367"/>
    </row>
    <row r="14368" spans="2:7">
      <c r="B14368"/>
      <c r="C14368"/>
      <c r="D14368"/>
      <c r="G14368"/>
    </row>
    <row r="14369" spans="2:7">
      <c r="B14369"/>
      <c r="C14369"/>
      <c r="D14369"/>
      <c r="G14369"/>
    </row>
    <row r="14370" spans="2:7">
      <c r="B14370"/>
      <c r="C14370"/>
      <c r="D14370"/>
      <c r="G14370"/>
    </row>
    <row r="14371" spans="2:7">
      <c r="B14371"/>
      <c r="C14371"/>
      <c r="D14371"/>
      <c r="G14371"/>
    </row>
    <row r="14372" spans="2:7">
      <c r="B14372"/>
      <c r="C14372"/>
      <c r="D14372"/>
      <c r="G14372"/>
    </row>
    <row r="14373" spans="2:7">
      <c r="B14373"/>
      <c r="C14373"/>
      <c r="D14373"/>
      <c r="G14373"/>
    </row>
    <row r="14374" spans="2:7">
      <c r="B14374"/>
      <c r="C14374"/>
      <c r="D14374"/>
      <c r="G14374"/>
    </row>
    <row r="14375" spans="2:7">
      <c r="B14375"/>
      <c r="C14375"/>
      <c r="D14375"/>
      <c r="G14375"/>
    </row>
    <row r="14376" spans="2:7">
      <c r="B14376"/>
      <c r="C14376"/>
      <c r="D14376"/>
      <c r="G14376"/>
    </row>
    <row r="14377" spans="2:7">
      <c r="B14377"/>
      <c r="C14377"/>
      <c r="D14377"/>
      <c r="G14377"/>
    </row>
    <row r="14378" spans="2:7">
      <c r="B14378"/>
      <c r="C14378"/>
      <c r="D14378"/>
      <c r="G14378"/>
    </row>
    <row r="14379" spans="2:7">
      <c r="B14379"/>
      <c r="C14379"/>
      <c r="D14379"/>
      <c r="G14379"/>
    </row>
    <row r="14380" spans="2:7">
      <c r="B14380"/>
      <c r="C14380"/>
      <c r="D14380"/>
      <c r="G14380"/>
    </row>
    <row r="14381" spans="2:7">
      <c r="B14381"/>
      <c r="C14381"/>
      <c r="D14381"/>
      <c r="G14381"/>
    </row>
    <row r="14382" spans="2:7">
      <c r="B14382"/>
      <c r="C14382"/>
      <c r="D14382"/>
      <c r="G14382"/>
    </row>
    <row r="14383" spans="2:7">
      <c r="B14383"/>
      <c r="C14383"/>
      <c r="D14383"/>
      <c r="G14383"/>
    </row>
    <row r="14384" spans="2:7">
      <c r="B14384"/>
      <c r="C14384"/>
      <c r="D14384"/>
      <c r="G14384"/>
    </row>
    <row r="14385" spans="2:7">
      <c r="B14385"/>
      <c r="C14385"/>
      <c r="D14385"/>
      <c r="G14385"/>
    </row>
    <row r="14386" spans="2:7">
      <c r="B14386"/>
      <c r="C14386"/>
      <c r="D14386"/>
      <c r="G14386"/>
    </row>
    <row r="14387" spans="2:7">
      <c r="B14387"/>
      <c r="C14387"/>
      <c r="D14387"/>
      <c r="G14387"/>
    </row>
    <row r="14388" spans="2:7">
      <c r="B14388"/>
      <c r="C14388"/>
      <c r="D14388"/>
      <c r="G14388"/>
    </row>
    <row r="14389" spans="2:7">
      <c r="B14389"/>
      <c r="C14389"/>
      <c r="D14389"/>
      <c r="G14389"/>
    </row>
    <row r="14390" spans="2:7">
      <c r="B14390"/>
      <c r="C14390"/>
      <c r="D14390"/>
      <c r="G14390"/>
    </row>
    <row r="14391" spans="2:7">
      <c r="B14391"/>
      <c r="C14391"/>
      <c r="D14391"/>
      <c r="G14391"/>
    </row>
    <row r="14392" spans="2:7">
      <c r="B14392"/>
      <c r="C14392"/>
      <c r="D14392"/>
      <c r="G14392"/>
    </row>
    <row r="14393" spans="2:7">
      <c r="B14393"/>
      <c r="C14393"/>
      <c r="D14393"/>
      <c r="G14393"/>
    </row>
    <row r="14394" spans="2:7">
      <c r="B14394"/>
      <c r="C14394"/>
      <c r="D14394"/>
      <c r="G14394"/>
    </row>
    <row r="14395" spans="2:7">
      <c r="B14395"/>
      <c r="C14395"/>
      <c r="D14395"/>
      <c r="G14395"/>
    </row>
    <row r="14396" spans="2:7">
      <c r="B14396"/>
      <c r="C14396"/>
      <c r="D14396"/>
      <c r="G14396"/>
    </row>
    <row r="14397" spans="2:7">
      <c r="B14397"/>
      <c r="C14397"/>
      <c r="D14397"/>
      <c r="G14397"/>
    </row>
    <row r="14398" spans="2:7">
      <c r="B14398"/>
      <c r="C14398"/>
      <c r="D14398"/>
      <c r="G14398"/>
    </row>
    <row r="14399" spans="2:7">
      <c r="B14399"/>
      <c r="C14399"/>
      <c r="D14399"/>
      <c r="G14399"/>
    </row>
    <row r="14400" spans="2:7">
      <c r="B14400"/>
      <c r="C14400"/>
      <c r="D14400"/>
      <c r="G14400"/>
    </row>
    <row r="14401" spans="2:7">
      <c r="B14401"/>
      <c r="C14401"/>
      <c r="D14401"/>
      <c r="G14401"/>
    </row>
    <row r="14402" spans="2:7">
      <c r="B14402"/>
      <c r="C14402"/>
      <c r="D14402"/>
      <c r="G14402"/>
    </row>
    <row r="14403" spans="2:7">
      <c r="B14403"/>
      <c r="C14403"/>
      <c r="D14403"/>
      <c r="G14403"/>
    </row>
    <row r="14404" spans="2:7">
      <c r="B14404"/>
      <c r="C14404"/>
      <c r="D14404"/>
      <c r="G14404"/>
    </row>
    <row r="14405" spans="2:7">
      <c r="B14405"/>
      <c r="C14405"/>
      <c r="D14405"/>
      <c r="G14405"/>
    </row>
    <row r="14406" spans="2:7">
      <c r="B14406"/>
      <c r="C14406"/>
      <c r="D14406"/>
      <c r="G14406"/>
    </row>
    <row r="14407" spans="2:7">
      <c r="B14407"/>
      <c r="C14407"/>
      <c r="D14407"/>
      <c r="G14407"/>
    </row>
    <row r="14408" spans="2:7">
      <c r="B14408"/>
      <c r="C14408"/>
      <c r="D14408"/>
      <c r="G14408"/>
    </row>
    <row r="14409" spans="2:7">
      <c r="B14409"/>
      <c r="C14409"/>
      <c r="D14409"/>
      <c r="G14409"/>
    </row>
    <row r="14410" spans="2:7">
      <c r="B14410"/>
      <c r="C14410"/>
      <c r="D14410"/>
      <c r="G14410"/>
    </row>
    <row r="14411" spans="2:7">
      <c r="B14411"/>
      <c r="C14411"/>
      <c r="D14411"/>
      <c r="G14411"/>
    </row>
    <row r="14412" spans="2:7">
      <c r="B14412"/>
      <c r="C14412"/>
      <c r="D14412"/>
      <c r="G14412"/>
    </row>
    <row r="14413" spans="2:7">
      <c r="B14413"/>
      <c r="C14413"/>
      <c r="D14413"/>
      <c r="G14413"/>
    </row>
    <row r="14414" spans="2:7">
      <c r="B14414"/>
      <c r="C14414"/>
      <c r="D14414"/>
      <c r="G14414"/>
    </row>
    <row r="14415" spans="2:7">
      <c r="B14415"/>
      <c r="C14415"/>
      <c r="D14415"/>
      <c r="G14415"/>
    </row>
    <row r="14416" spans="2:7">
      <c r="B14416"/>
      <c r="C14416"/>
      <c r="D14416"/>
      <c r="G14416"/>
    </row>
    <row r="14417" spans="2:7">
      <c r="B14417"/>
      <c r="C14417"/>
      <c r="D14417"/>
      <c r="G14417"/>
    </row>
    <row r="14418" spans="2:7">
      <c r="B14418"/>
      <c r="C14418"/>
      <c r="D14418"/>
      <c r="G14418"/>
    </row>
    <row r="14419" spans="2:7">
      <c r="B14419"/>
      <c r="C14419"/>
      <c r="D14419"/>
      <c r="G14419"/>
    </row>
    <row r="14420" spans="2:7">
      <c r="B14420"/>
      <c r="C14420"/>
      <c r="D14420"/>
      <c r="G14420"/>
    </row>
    <row r="14421" spans="2:7">
      <c r="B14421"/>
      <c r="C14421"/>
      <c r="D14421"/>
      <c r="G14421"/>
    </row>
    <row r="14422" spans="2:7">
      <c r="B14422"/>
      <c r="C14422"/>
      <c r="D14422"/>
      <c r="G14422"/>
    </row>
    <row r="14423" spans="2:7">
      <c r="B14423"/>
      <c r="C14423"/>
      <c r="D14423"/>
      <c r="G14423"/>
    </row>
    <row r="14424" spans="2:7">
      <c r="B14424"/>
      <c r="C14424"/>
      <c r="D14424"/>
      <c r="G14424"/>
    </row>
    <row r="14425" spans="2:7">
      <c r="B14425"/>
      <c r="C14425"/>
      <c r="D14425"/>
      <c r="G14425"/>
    </row>
    <row r="14426" spans="2:7">
      <c r="B14426"/>
      <c r="C14426"/>
      <c r="D14426"/>
      <c r="G14426"/>
    </row>
    <row r="14427" spans="2:7">
      <c r="B14427"/>
      <c r="C14427"/>
      <c r="D14427"/>
      <c r="G14427"/>
    </row>
    <row r="14428" spans="2:7">
      <c r="B14428"/>
      <c r="C14428"/>
      <c r="D14428"/>
      <c r="G14428"/>
    </row>
    <row r="14429" spans="2:7">
      <c r="B14429"/>
      <c r="C14429"/>
      <c r="D14429"/>
      <c r="G14429"/>
    </row>
    <row r="14430" spans="2:7">
      <c r="B14430"/>
      <c r="C14430"/>
      <c r="D14430"/>
      <c r="G14430"/>
    </row>
    <row r="14431" spans="2:7">
      <c r="B14431"/>
      <c r="C14431"/>
      <c r="D14431"/>
      <c r="G14431"/>
    </row>
    <row r="14432" spans="2:7">
      <c r="B14432"/>
      <c r="C14432"/>
      <c r="D14432"/>
      <c r="G14432"/>
    </row>
    <row r="14433" spans="2:7">
      <c r="B14433"/>
      <c r="C14433"/>
      <c r="D14433"/>
      <c r="G14433"/>
    </row>
    <row r="14434" spans="2:7">
      <c r="B14434"/>
      <c r="C14434"/>
      <c r="D14434"/>
      <c r="G14434"/>
    </row>
    <row r="14435" spans="2:7">
      <c r="B14435"/>
      <c r="C14435"/>
      <c r="D14435"/>
      <c r="G14435"/>
    </row>
    <row r="14436" spans="2:7">
      <c r="B14436"/>
      <c r="C14436"/>
      <c r="D14436"/>
      <c r="G14436"/>
    </row>
    <row r="14437" spans="2:7">
      <c r="B14437"/>
      <c r="C14437"/>
      <c r="D14437"/>
      <c r="G14437"/>
    </row>
    <row r="14438" spans="2:7">
      <c r="B14438"/>
      <c r="C14438"/>
      <c r="D14438"/>
      <c r="G14438"/>
    </row>
    <row r="14439" spans="2:7">
      <c r="B14439"/>
      <c r="C14439"/>
      <c r="D14439"/>
      <c r="G14439"/>
    </row>
    <row r="14440" spans="2:7">
      <c r="B14440"/>
      <c r="C14440"/>
      <c r="D14440"/>
      <c r="G14440"/>
    </row>
    <row r="14441" spans="2:7">
      <c r="B14441"/>
      <c r="C14441"/>
      <c r="D14441"/>
      <c r="G14441"/>
    </row>
    <row r="14442" spans="2:7">
      <c r="B14442"/>
      <c r="C14442"/>
      <c r="D14442"/>
      <c r="G14442"/>
    </row>
    <row r="14443" spans="2:7">
      <c r="B14443"/>
      <c r="C14443"/>
      <c r="D14443"/>
      <c r="G14443"/>
    </row>
    <row r="14444" spans="2:7">
      <c r="B14444"/>
      <c r="C14444"/>
      <c r="D14444"/>
      <c r="G14444"/>
    </row>
    <row r="14445" spans="2:7">
      <c r="B14445"/>
      <c r="C14445"/>
      <c r="D14445"/>
      <c r="G14445"/>
    </row>
    <row r="14446" spans="2:7">
      <c r="B14446"/>
      <c r="C14446"/>
      <c r="D14446"/>
      <c r="G14446"/>
    </row>
    <row r="14447" spans="2:7">
      <c r="B14447"/>
      <c r="C14447"/>
      <c r="D14447"/>
      <c r="G14447"/>
    </row>
    <row r="14448" spans="2:7">
      <c r="B14448"/>
      <c r="C14448"/>
      <c r="D14448"/>
      <c r="G14448"/>
    </row>
    <row r="14449" spans="2:7">
      <c r="B14449"/>
      <c r="C14449"/>
      <c r="D14449"/>
      <c r="G14449"/>
    </row>
    <row r="14450" spans="2:7">
      <c r="B14450"/>
      <c r="C14450"/>
      <c r="D14450"/>
      <c r="G14450"/>
    </row>
    <row r="14451" spans="2:7">
      <c r="B14451"/>
      <c r="C14451"/>
      <c r="D14451"/>
      <c r="G14451"/>
    </row>
    <row r="14452" spans="2:7">
      <c r="B14452"/>
      <c r="C14452"/>
      <c r="D14452"/>
      <c r="G14452"/>
    </row>
    <row r="14453" spans="2:7">
      <c r="B14453"/>
      <c r="C14453"/>
      <c r="D14453"/>
      <c r="G14453"/>
    </row>
    <row r="14454" spans="2:7">
      <c r="B14454"/>
      <c r="C14454"/>
      <c r="D14454"/>
      <c r="G14454"/>
    </row>
    <row r="14455" spans="2:7">
      <c r="B14455"/>
      <c r="C14455"/>
      <c r="D14455"/>
      <c r="G14455"/>
    </row>
    <row r="14456" spans="2:7">
      <c r="B14456"/>
      <c r="C14456"/>
      <c r="D14456"/>
      <c r="G14456"/>
    </row>
    <row r="14457" spans="2:7">
      <c r="B14457"/>
      <c r="C14457"/>
      <c r="D14457"/>
      <c r="G14457"/>
    </row>
    <row r="14458" spans="2:7">
      <c r="B14458"/>
      <c r="C14458"/>
      <c r="D14458"/>
      <c r="G14458"/>
    </row>
    <row r="14459" spans="2:7">
      <c r="B14459"/>
      <c r="C14459"/>
      <c r="D14459"/>
      <c r="G14459"/>
    </row>
    <row r="14460" spans="2:7">
      <c r="B14460"/>
      <c r="C14460"/>
      <c r="D14460"/>
      <c r="G14460"/>
    </row>
    <row r="14461" spans="2:7">
      <c r="B14461"/>
      <c r="C14461"/>
      <c r="D14461"/>
      <c r="G14461"/>
    </row>
    <row r="14462" spans="2:7">
      <c r="B14462"/>
      <c r="C14462"/>
      <c r="D14462"/>
      <c r="G14462"/>
    </row>
    <row r="14463" spans="2:7">
      <c r="B14463"/>
      <c r="C14463"/>
      <c r="D14463"/>
      <c r="G14463"/>
    </row>
    <row r="14464" spans="2:7">
      <c r="B14464"/>
      <c r="C14464"/>
      <c r="D14464"/>
      <c r="G14464"/>
    </row>
    <row r="14465" spans="2:7">
      <c r="B14465"/>
      <c r="C14465"/>
      <c r="D14465"/>
      <c r="G14465"/>
    </row>
    <row r="14466" spans="2:7">
      <c r="B14466"/>
      <c r="C14466"/>
      <c r="D14466"/>
      <c r="G14466"/>
    </row>
    <row r="14467" spans="2:7">
      <c r="B14467"/>
      <c r="C14467"/>
      <c r="D14467"/>
      <c r="G14467"/>
    </row>
    <row r="14468" spans="2:7">
      <c r="B14468"/>
      <c r="C14468"/>
      <c r="D14468"/>
      <c r="G14468"/>
    </row>
    <row r="14469" spans="2:7">
      <c r="B14469"/>
      <c r="C14469"/>
      <c r="D14469"/>
      <c r="G14469"/>
    </row>
    <row r="14470" spans="2:7">
      <c r="B14470"/>
      <c r="C14470"/>
      <c r="D14470"/>
      <c r="G14470"/>
    </row>
    <row r="14471" spans="2:7">
      <c r="B14471"/>
      <c r="C14471"/>
      <c r="D14471"/>
      <c r="G14471"/>
    </row>
    <row r="14472" spans="2:7">
      <c r="B14472"/>
      <c r="C14472"/>
      <c r="D14472"/>
      <c r="G14472"/>
    </row>
    <row r="14473" spans="2:7">
      <c r="B14473"/>
      <c r="C14473"/>
      <c r="D14473"/>
      <c r="G14473"/>
    </row>
    <row r="14474" spans="2:7">
      <c r="B14474"/>
      <c r="C14474"/>
      <c r="D14474"/>
      <c r="G14474"/>
    </row>
    <row r="14475" spans="2:7">
      <c r="B14475"/>
      <c r="C14475"/>
      <c r="D14475"/>
      <c r="G14475"/>
    </row>
    <row r="14476" spans="2:7">
      <c r="B14476"/>
      <c r="C14476"/>
      <c r="D14476"/>
      <c r="G14476"/>
    </row>
    <row r="14477" spans="2:7">
      <c r="B14477"/>
      <c r="C14477"/>
      <c r="D14477"/>
      <c r="G14477"/>
    </row>
    <row r="14478" spans="2:7">
      <c r="B14478"/>
      <c r="C14478"/>
      <c r="D14478"/>
      <c r="G14478"/>
    </row>
    <row r="14479" spans="2:7">
      <c r="B14479"/>
      <c r="C14479"/>
      <c r="D14479"/>
      <c r="G14479"/>
    </row>
    <row r="14480" spans="2:7">
      <c r="B14480"/>
      <c r="C14480"/>
      <c r="D14480"/>
      <c r="G14480"/>
    </row>
    <row r="14481" spans="2:7">
      <c r="B14481"/>
      <c r="C14481"/>
      <c r="D14481"/>
      <c r="G14481"/>
    </row>
    <row r="14482" spans="2:7">
      <c r="B14482"/>
      <c r="C14482"/>
      <c r="D14482"/>
      <c r="G14482"/>
    </row>
    <row r="14483" spans="2:7">
      <c r="B14483"/>
      <c r="C14483"/>
      <c r="D14483"/>
      <c r="G14483"/>
    </row>
    <row r="14484" spans="2:7">
      <c r="B14484"/>
      <c r="C14484"/>
      <c r="D14484"/>
      <c r="G14484"/>
    </row>
    <row r="14485" spans="2:7">
      <c r="B14485"/>
      <c r="C14485"/>
      <c r="D14485"/>
      <c r="G14485"/>
    </row>
    <row r="14486" spans="2:7">
      <c r="B14486"/>
      <c r="C14486"/>
      <c r="D14486"/>
      <c r="G14486"/>
    </row>
    <row r="14487" spans="2:7">
      <c r="B14487"/>
      <c r="C14487"/>
      <c r="D14487"/>
      <c r="G14487"/>
    </row>
    <row r="14488" spans="2:7">
      <c r="B14488"/>
      <c r="C14488"/>
      <c r="D14488"/>
      <c r="G14488"/>
    </row>
    <row r="14489" spans="2:7">
      <c r="B14489"/>
      <c r="C14489"/>
      <c r="D14489"/>
      <c r="G14489"/>
    </row>
    <row r="14490" spans="2:7">
      <c r="B14490"/>
      <c r="C14490"/>
      <c r="D14490"/>
      <c r="G14490"/>
    </row>
    <row r="14491" spans="2:7">
      <c r="B14491"/>
      <c r="C14491"/>
      <c r="D14491"/>
      <c r="G14491"/>
    </row>
    <row r="14492" spans="2:7">
      <c r="B14492"/>
      <c r="C14492"/>
      <c r="D14492"/>
      <c r="G14492"/>
    </row>
    <row r="14493" spans="2:7">
      <c r="B14493"/>
      <c r="C14493"/>
      <c r="D14493"/>
      <c r="G14493"/>
    </row>
    <row r="14494" spans="2:7">
      <c r="B14494"/>
      <c r="C14494"/>
      <c r="D14494"/>
      <c r="G14494"/>
    </row>
    <row r="14495" spans="2:7">
      <c r="B14495"/>
      <c r="C14495"/>
      <c r="D14495"/>
      <c r="G14495"/>
    </row>
    <row r="14496" spans="2:7">
      <c r="B14496"/>
      <c r="C14496"/>
      <c r="D14496"/>
      <c r="G14496"/>
    </row>
    <row r="14497" spans="2:7">
      <c r="B14497"/>
      <c r="C14497"/>
      <c r="D14497"/>
      <c r="G14497"/>
    </row>
    <row r="14498" spans="2:7">
      <c r="B14498"/>
      <c r="C14498"/>
      <c r="D14498"/>
      <c r="G14498"/>
    </row>
    <row r="14499" spans="2:7">
      <c r="B14499"/>
      <c r="C14499"/>
      <c r="D14499"/>
      <c r="G14499"/>
    </row>
    <row r="14500" spans="2:7">
      <c r="B14500"/>
      <c r="C14500"/>
      <c r="D14500"/>
      <c r="G14500"/>
    </row>
    <row r="14501" spans="2:7">
      <c r="B14501"/>
      <c r="C14501"/>
      <c r="D14501"/>
      <c r="G14501"/>
    </row>
    <row r="14502" spans="2:7">
      <c r="B14502"/>
      <c r="C14502"/>
      <c r="D14502"/>
      <c r="G14502"/>
    </row>
    <row r="14503" spans="2:7">
      <c r="B14503"/>
      <c r="C14503"/>
      <c r="D14503"/>
      <c r="G14503"/>
    </row>
    <row r="14504" spans="2:7">
      <c r="B14504"/>
      <c r="C14504"/>
      <c r="D14504"/>
      <c r="G14504"/>
    </row>
    <row r="14505" spans="2:7">
      <c r="B14505"/>
      <c r="C14505"/>
      <c r="D14505"/>
      <c r="G14505"/>
    </row>
    <row r="14506" spans="2:7">
      <c r="B14506"/>
      <c r="C14506"/>
      <c r="D14506"/>
      <c r="G14506"/>
    </row>
    <row r="14507" spans="2:7">
      <c r="B14507"/>
      <c r="C14507"/>
      <c r="D14507"/>
      <c r="G14507"/>
    </row>
    <row r="14508" spans="2:7">
      <c r="B14508"/>
      <c r="C14508"/>
      <c r="D14508"/>
      <c r="G14508"/>
    </row>
    <row r="14509" spans="2:7">
      <c r="B14509"/>
      <c r="C14509"/>
      <c r="D14509"/>
      <c r="G14509"/>
    </row>
    <row r="14510" spans="2:7">
      <c r="B14510"/>
      <c r="C14510"/>
      <c r="D14510"/>
      <c r="G14510"/>
    </row>
    <row r="14511" spans="2:7">
      <c r="B14511"/>
      <c r="C14511"/>
      <c r="D14511"/>
      <c r="G14511"/>
    </row>
    <row r="14512" spans="2:7">
      <c r="B14512"/>
      <c r="C14512"/>
      <c r="D14512"/>
      <c r="G14512"/>
    </row>
    <row r="14513" spans="2:7">
      <c r="B14513"/>
      <c r="C14513"/>
      <c r="D14513"/>
      <c r="G14513"/>
    </row>
    <row r="14514" spans="2:7">
      <c r="B14514"/>
      <c r="C14514"/>
      <c r="D14514"/>
      <c r="G14514"/>
    </row>
    <row r="14515" spans="2:7">
      <c r="B14515"/>
      <c r="C14515"/>
      <c r="D14515"/>
      <c r="G14515"/>
    </row>
    <row r="14516" spans="2:7">
      <c r="B14516"/>
      <c r="C14516"/>
      <c r="D14516"/>
      <c r="G14516"/>
    </row>
    <row r="14517" spans="2:7">
      <c r="B14517"/>
      <c r="C14517"/>
      <c r="D14517"/>
      <c r="G14517"/>
    </row>
    <row r="14518" spans="2:7">
      <c r="B14518"/>
      <c r="C14518"/>
      <c r="D14518"/>
      <c r="G14518"/>
    </row>
    <row r="14519" spans="2:7">
      <c r="B14519"/>
      <c r="C14519"/>
      <c r="D14519"/>
      <c r="G14519"/>
    </row>
    <row r="14520" spans="2:7">
      <c r="B14520"/>
      <c r="C14520"/>
      <c r="D14520"/>
      <c r="G14520"/>
    </row>
    <row r="14521" spans="2:7">
      <c r="B14521"/>
      <c r="C14521"/>
      <c r="D14521"/>
      <c r="G14521"/>
    </row>
    <row r="14522" spans="2:7">
      <c r="B14522"/>
      <c r="C14522"/>
      <c r="D14522"/>
      <c r="G14522"/>
    </row>
    <row r="14523" spans="2:7">
      <c r="B14523"/>
      <c r="C14523"/>
      <c r="D14523"/>
      <c r="G14523"/>
    </row>
    <row r="14524" spans="2:7">
      <c r="B14524"/>
      <c r="C14524"/>
      <c r="D14524"/>
      <c r="G14524"/>
    </row>
    <row r="14525" spans="2:7">
      <c r="B14525"/>
      <c r="C14525"/>
      <c r="D14525"/>
      <c r="G14525"/>
    </row>
    <row r="14526" spans="2:7">
      <c r="B14526"/>
      <c r="C14526"/>
      <c r="D14526"/>
      <c r="G14526"/>
    </row>
    <row r="14527" spans="2:7">
      <c r="B14527"/>
      <c r="C14527"/>
      <c r="D14527"/>
      <c r="G14527"/>
    </row>
    <row r="14528" spans="2:7">
      <c r="B14528"/>
      <c r="C14528"/>
      <c r="D14528"/>
      <c r="G14528"/>
    </row>
    <row r="14529" spans="2:7">
      <c r="B14529"/>
      <c r="C14529"/>
      <c r="D14529"/>
      <c r="G14529"/>
    </row>
    <row r="14530" spans="2:7">
      <c r="B14530"/>
      <c r="C14530"/>
      <c r="D14530"/>
      <c r="G14530"/>
    </row>
    <row r="14531" spans="2:7">
      <c r="B14531"/>
      <c r="C14531"/>
      <c r="D14531"/>
      <c r="G14531"/>
    </row>
    <row r="14532" spans="2:7">
      <c r="B14532"/>
      <c r="C14532"/>
      <c r="D14532"/>
      <c r="G14532"/>
    </row>
    <row r="14533" spans="2:7">
      <c r="B14533"/>
      <c r="C14533"/>
      <c r="D14533"/>
      <c r="G14533"/>
    </row>
    <row r="14534" spans="2:7">
      <c r="B14534"/>
      <c r="C14534"/>
      <c r="D14534"/>
      <c r="G14534"/>
    </row>
    <row r="14535" spans="2:7">
      <c r="B14535"/>
      <c r="C14535"/>
      <c r="D14535"/>
      <c r="G14535"/>
    </row>
    <row r="14536" spans="2:7">
      <c r="B14536"/>
      <c r="C14536"/>
      <c r="D14536"/>
      <c r="G14536"/>
    </row>
    <row r="14537" spans="2:7">
      <c r="B14537"/>
      <c r="C14537"/>
      <c r="D14537"/>
      <c r="G14537"/>
    </row>
    <row r="14538" spans="2:7">
      <c r="B14538"/>
      <c r="C14538"/>
      <c r="D14538"/>
      <c r="G14538"/>
    </row>
    <row r="14539" spans="2:7">
      <c r="B14539"/>
      <c r="C14539"/>
      <c r="D14539"/>
      <c r="G14539"/>
    </row>
    <row r="14540" spans="2:7">
      <c r="B14540"/>
      <c r="C14540"/>
      <c r="D14540"/>
      <c r="G14540"/>
    </row>
    <row r="14541" spans="2:7">
      <c r="B14541"/>
      <c r="C14541"/>
      <c r="D14541"/>
      <c r="G14541"/>
    </row>
    <row r="14542" spans="2:7">
      <c r="B14542"/>
      <c r="C14542"/>
      <c r="D14542"/>
      <c r="G14542"/>
    </row>
    <row r="14543" spans="2:7">
      <c r="B14543"/>
      <c r="C14543"/>
      <c r="D14543"/>
      <c r="G14543"/>
    </row>
    <row r="14544" spans="2:7">
      <c r="B14544"/>
      <c r="C14544"/>
      <c r="D14544"/>
      <c r="G14544"/>
    </row>
    <row r="14545" spans="2:7">
      <c r="B14545"/>
      <c r="C14545"/>
      <c r="D14545"/>
      <c r="G14545"/>
    </row>
    <row r="14546" spans="2:7">
      <c r="B14546"/>
      <c r="C14546"/>
      <c r="D14546"/>
      <c r="G14546"/>
    </row>
    <row r="14547" spans="2:7">
      <c r="B14547"/>
      <c r="C14547"/>
      <c r="D14547"/>
      <c r="G14547"/>
    </row>
    <row r="14548" spans="2:7">
      <c r="B14548"/>
      <c r="C14548"/>
      <c r="D14548"/>
      <c r="G14548"/>
    </row>
    <row r="14549" spans="2:7">
      <c r="B14549"/>
      <c r="C14549"/>
      <c r="D14549"/>
      <c r="G14549"/>
    </row>
    <row r="14550" spans="2:7">
      <c r="B14550"/>
      <c r="C14550"/>
      <c r="D14550"/>
      <c r="G14550"/>
    </row>
    <row r="14551" spans="2:7">
      <c r="B14551"/>
      <c r="C14551"/>
      <c r="D14551"/>
      <c r="G14551"/>
    </row>
    <row r="14552" spans="2:7">
      <c r="B14552"/>
      <c r="C14552"/>
      <c r="D14552"/>
      <c r="G14552"/>
    </row>
    <row r="14553" spans="2:7">
      <c r="B14553"/>
      <c r="C14553"/>
      <c r="D14553"/>
      <c r="G14553"/>
    </row>
    <row r="14554" spans="2:7">
      <c r="B14554"/>
      <c r="C14554"/>
      <c r="D14554"/>
      <c r="G14554"/>
    </row>
    <row r="14555" spans="2:7">
      <c r="B14555"/>
      <c r="C14555"/>
      <c r="D14555"/>
      <c r="G14555"/>
    </row>
    <row r="14556" spans="2:7">
      <c r="B14556"/>
      <c r="C14556"/>
      <c r="D14556"/>
      <c r="G14556"/>
    </row>
    <row r="14557" spans="2:7">
      <c r="B14557"/>
      <c r="C14557"/>
      <c r="D14557"/>
      <c r="G14557"/>
    </row>
    <row r="14558" spans="2:7">
      <c r="B14558"/>
      <c r="C14558"/>
      <c r="D14558"/>
      <c r="G14558"/>
    </row>
    <row r="14559" spans="2:7">
      <c r="B14559"/>
      <c r="C14559"/>
      <c r="D14559"/>
      <c r="G14559"/>
    </row>
    <row r="14560" spans="2:7">
      <c r="B14560"/>
      <c r="C14560"/>
      <c r="D14560"/>
      <c r="G14560"/>
    </row>
    <row r="14561" spans="2:7">
      <c r="B14561"/>
      <c r="C14561"/>
      <c r="D14561"/>
      <c r="G14561"/>
    </row>
    <row r="14562" spans="2:7">
      <c r="B14562"/>
      <c r="C14562"/>
      <c r="D14562"/>
      <c r="G14562"/>
    </row>
    <row r="14563" spans="2:7">
      <c r="B14563"/>
      <c r="C14563"/>
      <c r="D14563"/>
      <c r="G14563"/>
    </row>
    <row r="14564" spans="2:7">
      <c r="B14564"/>
      <c r="C14564"/>
      <c r="D14564"/>
      <c r="G14564"/>
    </row>
    <row r="14565" spans="2:7">
      <c r="B14565"/>
      <c r="C14565"/>
      <c r="D14565"/>
      <c r="G14565"/>
    </row>
    <row r="14566" spans="2:7">
      <c r="B14566"/>
      <c r="C14566"/>
      <c r="D14566"/>
      <c r="G14566"/>
    </row>
    <row r="14567" spans="2:7">
      <c r="B14567"/>
      <c r="C14567"/>
      <c r="D14567"/>
      <c r="G14567"/>
    </row>
    <row r="14568" spans="2:7">
      <c r="B14568"/>
      <c r="C14568"/>
      <c r="D14568"/>
      <c r="G14568"/>
    </row>
    <row r="14569" spans="2:7">
      <c r="B14569"/>
      <c r="C14569"/>
      <c r="D14569"/>
      <c r="G14569"/>
    </row>
    <row r="14570" spans="2:7">
      <c r="B14570"/>
      <c r="C14570"/>
      <c r="D14570"/>
      <c r="G14570"/>
    </row>
    <row r="14571" spans="2:7">
      <c r="B14571"/>
      <c r="C14571"/>
      <c r="D14571"/>
      <c r="G14571"/>
    </row>
    <row r="14572" spans="2:7">
      <c r="B14572"/>
      <c r="C14572"/>
      <c r="D14572"/>
      <c r="G14572"/>
    </row>
    <row r="14573" spans="2:7">
      <c r="B14573"/>
      <c r="C14573"/>
      <c r="D14573"/>
      <c r="G14573"/>
    </row>
    <row r="14574" spans="2:7">
      <c r="B14574"/>
      <c r="C14574"/>
      <c r="D14574"/>
      <c r="G14574"/>
    </row>
    <row r="14575" spans="2:7">
      <c r="B14575"/>
      <c r="C14575"/>
      <c r="D14575"/>
      <c r="G14575"/>
    </row>
    <row r="14576" spans="2:7">
      <c r="B14576"/>
      <c r="C14576"/>
      <c r="D14576"/>
      <c r="G14576"/>
    </row>
    <row r="14577" spans="2:7">
      <c r="B14577"/>
      <c r="C14577"/>
      <c r="D14577"/>
      <c r="G14577"/>
    </row>
    <row r="14578" spans="2:7">
      <c r="B14578"/>
      <c r="C14578"/>
      <c r="D14578"/>
      <c r="G14578"/>
    </row>
    <row r="14579" spans="2:7">
      <c r="B14579"/>
      <c r="C14579"/>
      <c r="D14579"/>
      <c r="G14579"/>
    </row>
    <row r="14580" spans="2:7">
      <c r="B14580"/>
      <c r="C14580"/>
      <c r="D14580"/>
      <c r="G14580"/>
    </row>
    <row r="14581" spans="2:7">
      <c r="B14581"/>
      <c r="C14581"/>
      <c r="D14581"/>
      <c r="G14581"/>
    </row>
    <row r="14582" spans="2:7">
      <c r="B14582"/>
      <c r="C14582"/>
      <c r="D14582"/>
      <c r="G14582"/>
    </row>
    <row r="14583" spans="2:7">
      <c r="B14583"/>
      <c r="C14583"/>
      <c r="D14583"/>
      <c r="G14583"/>
    </row>
    <row r="14584" spans="2:7">
      <c r="B14584"/>
      <c r="C14584"/>
      <c r="D14584"/>
      <c r="G14584"/>
    </row>
    <row r="14585" spans="2:7">
      <c r="B14585"/>
      <c r="C14585"/>
      <c r="D14585"/>
      <c r="G14585"/>
    </row>
    <row r="14586" spans="2:7">
      <c r="B14586"/>
      <c r="C14586"/>
      <c r="D14586"/>
      <c r="G14586"/>
    </row>
    <row r="14587" spans="2:7">
      <c r="B14587"/>
      <c r="C14587"/>
      <c r="D14587"/>
      <c r="G14587"/>
    </row>
    <row r="14588" spans="2:7">
      <c r="B14588"/>
      <c r="C14588"/>
      <c r="D14588"/>
      <c r="G14588"/>
    </row>
    <row r="14589" spans="2:7">
      <c r="B14589"/>
      <c r="C14589"/>
      <c r="D14589"/>
      <c r="G14589"/>
    </row>
    <row r="14590" spans="2:7">
      <c r="B14590"/>
      <c r="C14590"/>
      <c r="D14590"/>
      <c r="G14590"/>
    </row>
    <row r="14591" spans="2:7">
      <c r="B14591"/>
      <c r="C14591"/>
      <c r="D14591"/>
      <c r="G14591"/>
    </row>
    <row r="14592" spans="2:7">
      <c r="B14592"/>
      <c r="C14592"/>
      <c r="D14592"/>
      <c r="G14592"/>
    </row>
    <row r="14593" spans="2:7">
      <c r="B14593"/>
      <c r="C14593"/>
      <c r="D14593"/>
      <c r="G14593"/>
    </row>
    <row r="14594" spans="2:7">
      <c r="B14594"/>
      <c r="C14594"/>
      <c r="D14594"/>
      <c r="G14594"/>
    </row>
    <row r="14595" spans="2:7">
      <c r="B14595"/>
      <c r="C14595"/>
      <c r="D14595"/>
      <c r="G14595"/>
    </row>
    <row r="14596" spans="2:7">
      <c r="B14596"/>
      <c r="C14596"/>
      <c r="D14596"/>
      <c r="G14596"/>
    </row>
    <row r="14597" spans="2:7">
      <c r="B14597"/>
      <c r="C14597"/>
      <c r="D14597"/>
      <c r="G14597"/>
    </row>
    <row r="14598" spans="2:7">
      <c r="B14598"/>
      <c r="C14598"/>
      <c r="D14598"/>
      <c r="G14598"/>
    </row>
    <row r="14599" spans="2:7">
      <c r="B14599"/>
      <c r="C14599"/>
      <c r="D14599"/>
      <c r="G14599"/>
    </row>
    <row r="14600" spans="2:7">
      <c r="B14600"/>
      <c r="C14600"/>
      <c r="D14600"/>
      <c r="G14600"/>
    </row>
    <row r="14601" spans="2:7">
      <c r="B14601"/>
      <c r="C14601"/>
      <c r="D14601"/>
      <c r="G14601"/>
    </row>
    <row r="14602" spans="2:7">
      <c r="B14602"/>
      <c r="C14602"/>
      <c r="D14602"/>
      <c r="G14602"/>
    </row>
    <row r="14603" spans="2:7">
      <c r="B14603"/>
      <c r="C14603"/>
      <c r="D14603"/>
      <c r="G14603"/>
    </row>
    <row r="14604" spans="2:7">
      <c r="B14604"/>
      <c r="C14604"/>
      <c r="D14604"/>
      <c r="G14604"/>
    </row>
    <row r="14605" spans="2:7">
      <c r="B14605"/>
      <c r="C14605"/>
      <c r="D14605"/>
      <c r="G14605"/>
    </row>
    <row r="14606" spans="2:7">
      <c r="B14606"/>
      <c r="C14606"/>
      <c r="D14606"/>
      <c r="G14606"/>
    </row>
    <row r="14607" spans="2:7">
      <c r="B14607"/>
      <c r="C14607"/>
      <c r="D14607"/>
      <c r="G14607"/>
    </row>
    <row r="14608" spans="2:7">
      <c r="B14608"/>
      <c r="C14608"/>
      <c r="D14608"/>
      <c r="G14608"/>
    </row>
    <row r="14609" spans="2:7">
      <c r="B14609"/>
      <c r="C14609"/>
      <c r="D14609"/>
      <c r="G14609"/>
    </row>
    <row r="14610" spans="2:7">
      <c r="B14610"/>
      <c r="C14610"/>
      <c r="D14610"/>
      <c r="G14610"/>
    </row>
    <row r="14611" spans="2:7">
      <c r="B14611"/>
      <c r="C14611"/>
      <c r="D14611"/>
      <c r="G14611"/>
    </row>
    <row r="14612" spans="2:7">
      <c r="B14612"/>
      <c r="C14612"/>
      <c r="D14612"/>
      <c r="G14612"/>
    </row>
    <row r="14613" spans="2:7">
      <c r="B14613"/>
      <c r="C14613"/>
      <c r="D14613"/>
      <c r="G14613"/>
    </row>
    <row r="14614" spans="2:7">
      <c r="B14614"/>
      <c r="C14614"/>
      <c r="D14614"/>
      <c r="G14614"/>
    </row>
    <row r="14615" spans="2:7">
      <c r="B14615"/>
      <c r="C14615"/>
      <c r="D14615"/>
      <c r="G14615"/>
    </row>
    <row r="14616" spans="2:7">
      <c r="B14616"/>
      <c r="C14616"/>
      <c r="D14616"/>
      <c r="G14616"/>
    </row>
    <row r="14617" spans="2:7">
      <c r="B14617"/>
      <c r="C14617"/>
      <c r="D14617"/>
      <c r="G14617"/>
    </row>
    <row r="14618" spans="2:7">
      <c r="B14618"/>
      <c r="C14618"/>
      <c r="D14618"/>
      <c r="G14618"/>
    </row>
    <row r="14619" spans="2:7">
      <c r="B14619"/>
      <c r="C14619"/>
      <c r="D14619"/>
      <c r="G14619"/>
    </row>
    <row r="14620" spans="2:7">
      <c r="B14620"/>
      <c r="C14620"/>
      <c r="D14620"/>
      <c r="G14620"/>
    </row>
    <row r="14621" spans="2:7">
      <c r="B14621"/>
      <c r="C14621"/>
      <c r="D14621"/>
      <c r="G14621"/>
    </row>
    <row r="14622" spans="2:7">
      <c r="B14622"/>
      <c r="C14622"/>
      <c r="D14622"/>
      <c r="G14622"/>
    </row>
    <row r="14623" spans="2:7">
      <c r="B14623"/>
      <c r="C14623"/>
      <c r="D14623"/>
      <c r="G14623"/>
    </row>
    <row r="14624" spans="2:7">
      <c r="B14624"/>
      <c r="C14624"/>
      <c r="D14624"/>
      <c r="G14624"/>
    </row>
    <row r="14625" spans="2:7">
      <c r="B14625"/>
      <c r="C14625"/>
      <c r="D14625"/>
      <c r="G14625"/>
    </row>
    <row r="14626" spans="2:7">
      <c r="B14626"/>
      <c r="C14626"/>
      <c r="D14626"/>
      <c r="G14626"/>
    </row>
    <row r="14627" spans="2:7">
      <c r="B14627"/>
      <c r="C14627"/>
      <c r="D14627"/>
      <c r="G14627"/>
    </row>
    <row r="14628" spans="2:7">
      <c r="B14628"/>
      <c r="C14628"/>
      <c r="D14628"/>
      <c r="G14628"/>
    </row>
    <row r="14629" spans="2:7">
      <c r="B14629"/>
      <c r="C14629"/>
      <c r="D14629"/>
      <c r="G14629"/>
    </row>
    <row r="14630" spans="2:7">
      <c r="B14630"/>
      <c r="C14630"/>
      <c r="D14630"/>
      <c r="G14630"/>
    </row>
    <row r="14631" spans="2:7">
      <c r="B14631"/>
      <c r="C14631"/>
      <c r="D14631"/>
      <c r="G14631"/>
    </row>
    <row r="14632" spans="2:7">
      <c r="B14632"/>
      <c r="C14632"/>
      <c r="D14632"/>
      <c r="G14632"/>
    </row>
    <row r="14633" spans="2:7">
      <c r="B14633"/>
      <c r="C14633"/>
      <c r="D14633"/>
      <c r="G14633"/>
    </row>
    <row r="14634" spans="2:7">
      <c r="B14634"/>
      <c r="C14634"/>
      <c r="D14634"/>
      <c r="G14634"/>
    </row>
    <row r="14635" spans="2:7">
      <c r="B14635"/>
      <c r="C14635"/>
      <c r="D14635"/>
      <c r="G14635"/>
    </row>
    <row r="14636" spans="2:7">
      <c r="B14636"/>
      <c r="C14636"/>
      <c r="D14636"/>
      <c r="G14636"/>
    </row>
    <row r="14637" spans="2:7">
      <c r="B14637"/>
      <c r="C14637"/>
      <c r="D14637"/>
      <c r="G14637"/>
    </row>
    <row r="14638" spans="2:7">
      <c r="B14638"/>
      <c r="C14638"/>
      <c r="D14638"/>
      <c r="G14638"/>
    </row>
    <row r="14639" spans="2:7">
      <c r="B14639"/>
      <c r="C14639"/>
      <c r="D14639"/>
      <c r="G14639"/>
    </row>
    <row r="14640" spans="2:7">
      <c r="B14640"/>
      <c r="C14640"/>
      <c r="D14640"/>
      <c r="G14640"/>
    </row>
    <row r="14641" spans="2:7">
      <c r="B14641"/>
      <c r="C14641"/>
      <c r="D14641"/>
      <c r="G14641"/>
    </row>
    <row r="14642" spans="2:7">
      <c r="B14642"/>
      <c r="C14642"/>
      <c r="D14642"/>
      <c r="G14642"/>
    </row>
    <row r="14643" spans="2:7">
      <c r="B14643"/>
      <c r="C14643"/>
      <c r="D14643"/>
      <c r="G14643"/>
    </row>
    <row r="14644" spans="2:7">
      <c r="B14644"/>
      <c r="C14644"/>
      <c r="D14644"/>
      <c r="G14644"/>
    </row>
    <row r="14645" spans="2:7">
      <c r="B14645"/>
      <c r="C14645"/>
      <c r="D14645"/>
      <c r="G14645"/>
    </row>
    <row r="14646" spans="2:7">
      <c r="B14646"/>
      <c r="C14646"/>
      <c r="D14646"/>
      <c r="G14646"/>
    </row>
    <row r="14647" spans="2:7">
      <c r="B14647"/>
      <c r="C14647"/>
      <c r="D14647"/>
      <c r="G14647"/>
    </row>
    <row r="14648" spans="2:7">
      <c r="B14648"/>
      <c r="C14648"/>
      <c r="D14648"/>
      <c r="G14648"/>
    </row>
    <row r="14649" spans="2:7">
      <c r="B14649"/>
      <c r="C14649"/>
      <c r="D14649"/>
      <c r="G14649"/>
    </row>
    <row r="14650" spans="2:7">
      <c r="B14650"/>
      <c r="C14650"/>
      <c r="D14650"/>
      <c r="G14650"/>
    </row>
    <row r="14651" spans="2:7">
      <c r="B14651"/>
      <c r="C14651"/>
      <c r="D14651"/>
      <c r="G14651"/>
    </row>
    <row r="14652" spans="2:7">
      <c r="B14652"/>
      <c r="C14652"/>
      <c r="D14652"/>
      <c r="G14652"/>
    </row>
    <row r="14653" spans="2:7">
      <c r="B14653"/>
      <c r="C14653"/>
      <c r="D14653"/>
      <c r="G14653"/>
    </row>
    <row r="14654" spans="2:7">
      <c r="B14654"/>
      <c r="C14654"/>
      <c r="D14654"/>
      <c r="G14654"/>
    </row>
    <row r="14655" spans="2:7">
      <c r="B14655"/>
      <c r="C14655"/>
      <c r="D14655"/>
      <c r="G14655"/>
    </row>
    <row r="14656" spans="2:7">
      <c r="B14656"/>
      <c r="C14656"/>
      <c r="D14656"/>
      <c r="G14656"/>
    </row>
    <row r="14657" spans="2:7">
      <c r="B14657"/>
      <c r="C14657"/>
      <c r="D14657"/>
      <c r="G14657"/>
    </row>
    <row r="14658" spans="2:7">
      <c r="B14658"/>
      <c r="C14658"/>
      <c r="D14658"/>
      <c r="G14658"/>
    </row>
    <row r="14659" spans="2:7">
      <c r="B14659"/>
      <c r="C14659"/>
      <c r="D14659"/>
      <c r="G14659"/>
    </row>
    <row r="14660" spans="2:7">
      <c r="B14660"/>
      <c r="C14660"/>
      <c r="D14660"/>
      <c r="G14660"/>
    </row>
    <row r="14661" spans="2:7">
      <c r="B14661"/>
      <c r="C14661"/>
      <c r="D14661"/>
      <c r="G14661"/>
    </row>
    <row r="14662" spans="2:7">
      <c r="B14662"/>
      <c r="C14662"/>
      <c r="D14662"/>
      <c r="G14662"/>
    </row>
    <row r="14663" spans="2:7">
      <c r="B14663"/>
      <c r="C14663"/>
      <c r="D14663"/>
      <c r="G14663"/>
    </row>
    <row r="14664" spans="2:7">
      <c r="B14664"/>
      <c r="C14664"/>
      <c r="D14664"/>
      <c r="G14664"/>
    </row>
    <row r="14665" spans="2:7">
      <c r="B14665"/>
      <c r="C14665"/>
      <c r="D14665"/>
      <c r="G14665"/>
    </row>
    <row r="14666" spans="2:7">
      <c r="B14666"/>
      <c r="C14666"/>
      <c r="D14666"/>
      <c r="G14666"/>
    </row>
    <row r="14667" spans="2:7">
      <c r="B14667"/>
      <c r="C14667"/>
      <c r="D14667"/>
      <c r="G14667"/>
    </row>
    <row r="14668" spans="2:7">
      <c r="B14668"/>
      <c r="C14668"/>
      <c r="D14668"/>
      <c r="G14668"/>
    </row>
    <row r="14669" spans="2:7">
      <c r="B14669"/>
      <c r="C14669"/>
      <c r="D14669"/>
      <c r="G14669"/>
    </row>
    <row r="14670" spans="2:7">
      <c r="B14670"/>
      <c r="C14670"/>
      <c r="D14670"/>
      <c r="G14670"/>
    </row>
    <row r="14671" spans="2:7">
      <c r="B14671"/>
      <c r="C14671"/>
      <c r="D14671"/>
      <c r="G14671"/>
    </row>
    <row r="14672" spans="2:7">
      <c r="B14672"/>
      <c r="C14672"/>
      <c r="D14672"/>
      <c r="G14672"/>
    </row>
    <row r="14673" spans="2:7">
      <c r="B14673"/>
      <c r="C14673"/>
      <c r="D14673"/>
      <c r="G14673"/>
    </row>
    <row r="14674" spans="2:7">
      <c r="B14674"/>
      <c r="C14674"/>
      <c r="D14674"/>
      <c r="G14674"/>
    </row>
    <row r="14675" spans="2:7">
      <c r="B14675"/>
      <c r="C14675"/>
      <c r="D14675"/>
      <c r="G14675"/>
    </row>
    <row r="14676" spans="2:7">
      <c r="B14676"/>
      <c r="C14676"/>
      <c r="D14676"/>
      <c r="G14676"/>
    </row>
    <row r="14677" spans="2:7">
      <c r="B14677"/>
      <c r="C14677"/>
      <c r="D14677"/>
      <c r="G14677"/>
    </row>
    <row r="14678" spans="2:7">
      <c r="B14678"/>
      <c r="C14678"/>
      <c r="D14678"/>
      <c r="G14678"/>
    </row>
    <row r="14679" spans="2:7">
      <c r="B14679"/>
      <c r="C14679"/>
      <c r="D14679"/>
      <c r="G14679"/>
    </row>
    <row r="14680" spans="2:7">
      <c r="B14680"/>
      <c r="C14680"/>
      <c r="D14680"/>
      <c r="G14680"/>
    </row>
    <row r="14681" spans="2:7">
      <c r="B14681"/>
      <c r="C14681"/>
      <c r="D14681"/>
      <c r="G14681"/>
    </row>
    <row r="14682" spans="2:7">
      <c r="B14682"/>
      <c r="C14682"/>
      <c r="D14682"/>
      <c r="G14682"/>
    </row>
    <row r="14683" spans="2:7">
      <c r="B14683"/>
      <c r="C14683"/>
      <c r="D14683"/>
      <c r="G14683"/>
    </row>
    <row r="14684" spans="2:7">
      <c r="B14684"/>
      <c r="C14684"/>
      <c r="D14684"/>
      <c r="G14684"/>
    </row>
    <row r="14685" spans="2:7">
      <c r="B14685"/>
      <c r="C14685"/>
      <c r="D14685"/>
      <c r="G14685"/>
    </row>
    <row r="14686" spans="2:7">
      <c r="B14686"/>
      <c r="C14686"/>
      <c r="D14686"/>
      <c r="G14686"/>
    </row>
    <row r="14687" spans="2:7">
      <c r="B14687"/>
      <c r="C14687"/>
      <c r="D14687"/>
      <c r="G14687"/>
    </row>
    <row r="14688" spans="2:7">
      <c r="B14688"/>
      <c r="C14688"/>
      <c r="D14688"/>
      <c r="G14688"/>
    </row>
    <row r="14689" spans="2:7">
      <c r="B14689"/>
      <c r="C14689"/>
      <c r="D14689"/>
      <c r="G14689"/>
    </row>
    <row r="14690" spans="2:7">
      <c r="B14690"/>
      <c r="C14690"/>
      <c r="D14690"/>
      <c r="G14690"/>
    </row>
    <row r="14691" spans="2:7">
      <c r="B14691"/>
      <c r="C14691"/>
      <c r="D14691"/>
      <c r="G14691"/>
    </row>
    <row r="14692" spans="2:7">
      <c r="B14692"/>
      <c r="C14692"/>
      <c r="D14692"/>
      <c r="G14692"/>
    </row>
    <row r="14693" spans="2:7">
      <c r="B14693"/>
      <c r="C14693"/>
      <c r="D14693"/>
      <c r="G14693"/>
    </row>
    <row r="14694" spans="2:7">
      <c r="B14694"/>
      <c r="C14694"/>
      <c r="D14694"/>
      <c r="G14694"/>
    </row>
    <row r="14695" spans="2:7">
      <c r="B14695"/>
      <c r="C14695"/>
      <c r="D14695"/>
      <c r="G14695"/>
    </row>
    <row r="14696" spans="2:7">
      <c r="B14696"/>
      <c r="C14696"/>
      <c r="D14696"/>
      <c r="G14696"/>
    </row>
    <row r="14697" spans="2:7">
      <c r="B14697"/>
      <c r="C14697"/>
      <c r="D14697"/>
      <c r="G14697"/>
    </row>
    <row r="14698" spans="2:7">
      <c r="B14698"/>
      <c r="C14698"/>
      <c r="D14698"/>
      <c r="G14698"/>
    </row>
    <row r="14699" spans="2:7">
      <c r="B14699"/>
      <c r="C14699"/>
      <c r="D14699"/>
      <c r="G14699"/>
    </row>
    <row r="14700" spans="2:7">
      <c r="B14700"/>
      <c r="C14700"/>
      <c r="D14700"/>
      <c r="G14700"/>
    </row>
    <row r="14701" spans="2:7">
      <c r="B14701"/>
      <c r="C14701"/>
      <c r="D14701"/>
      <c r="G14701"/>
    </row>
    <row r="14702" spans="2:7">
      <c r="B14702"/>
      <c r="C14702"/>
      <c r="D14702"/>
      <c r="G14702"/>
    </row>
    <row r="14703" spans="2:7">
      <c r="B14703"/>
      <c r="C14703"/>
      <c r="D14703"/>
      <c r="G14703"/>
    </row>
    <row r="14704" spans="2:7">
      <c r="B14704"/>
      <c r="C14704"/>
      <c r="D14704"/>
      <c r="G14704"/>
    </row>
    <row r="14705" spans="2:7">
      <c r="B14705"/>
      <c r="C14705"/>
      <c r="D14705"/>
      <c r="G14705"/>
    </row>
    <row r="14706" spans="2:7">
      <c r="B14706"/>
      <c r="C14706"/>
      <c r="D14706"/>
      <c r="G14706"/>
    </row>
    <row r="14707" spans="2:7">
      <c r="B14707"/>
      <c r="C14707"/>
      <c r="D14707"/>
      <c r="G14707"/>
    </row>
    <row r="14708" spans="2:7">
      <c r="B14708"/>
      <c r="C14708"/>
      <c r="D14708"/>
      <c r="G14708"/>
    </row>
    <row r="14709" spans="2:7">
      <c r="B14709"/>
      <c r="C14709"/>
      <c r="D14709"/>
      <c r="G14709"/>
    </row>
    <row r="14710" spans="2:7">
      <c r="B14710"/>
      <c r="C14710"/>
      <c r="D14710"/>
      <c r="G14710"/>
    </row>
    <row r="14711" spans="2:7">
      <c r="B14711"/>
      <c r="C14711"/>
      <c r="D14711"/>
      <c r="G14711"/>
    </row>
    <row r="14712" spans="2:7">
      <c r="B14712"/>
      <c r="C14712"/>
      <c r="D14712"/>
      <c r="G14712"/>
    </row>
    <row r="14713" spans="2:7">
      <c r="B14713"/>
      <c r="C14713"/>
      <c r="D14713"/>
      <c r="G14713"/>
    </row>
    <row r="14714" spans="2:7">
      <c r="B14714"/>
      <c r="C14714"/>
      <c r="D14714"/>
      <c r="G14714"/>
    </row>
    <row r="14715" spans="2:7">
      <c r="B14715"/>
      <c r="C14715"/>
      <c r="D14715"/>
      <c r="G14715"/>
    </row>
    <row r="14716" spans="2:7">
      <c r="B14716"/>
      <c r="C14716"/>
      <c r="D14716"/>
      <c r="G14716"/>
    </row>
    <row r="14717" spans="2:7">
      <c r="B14717"/>
      <c r="C14717"/>
      <c r="D14717"/>
      <c r="G14717"/>
    </row>
    <row r="14718" spans="2:7">
      <c r="B14718"/>
      <c r="C14718"/>
      <c r="D14718"/>
      <c r="G14718"/>
    </row>
    <row r="14719" spans="2:7">
      <c r="B14719"/>
      <c r="C14719"/>
      <c r="D14719"/>
      <c r="G14719"/>
    </row>
    <row r="14720" spans="2:7">
      <c r="B14720"/>
      <c r="C14720"/>
      <c r="D14720"/>
      <c r="G14720"/>
    </row>
    <row r="14721" spans="2:7">
      <c r="B14721"/>
      <c r="C14721"/>
      <c r="D14721"/>
      <c r="G14721"/>
    </row>
    <row r="14722" spans="2:7">
      <c r="B14722"/>
      <c r="C14722"/>
      <c r="D14722"/>
      <c r="G14722"/>
    </row>
    <row r="14723" spans="2:7">
      <c r="B14723"/>
      <c r="C14723"/>
      <c r="D14723"/>
      <c r="G14723"/>
    </row>
    <row r="14724" spans="2:7">
      <c r="B14724"/>
      <c r="C14724"/>
      <c r="D14724"/>
      <c r="G14724"/>
    </row>
    <row r="14725" spans="2:7">
      <c r="B14725"/>
      <c r="C14725"/>
      <c r="D14725"/>
      <c r="G14725"/>
    </row>
    <row r="14726" spans="2:7">
      <c r="B14726"/>
      <c r="C14726"/>
      <c r="D14726"/>
      <c r="G14726"/>
    </row>
    <row r="14727" spans="2:7">
      <c r="B14727"/>
      <c r="C14727"/>
      <c r="D14727"/>
      <c r="G14727"/>
    </row>
    <row r="14728" spans="2:7">
      <c r="B14728"/>
      <c r="C14728"/>
      <c r="D14728"/>
      <c r="G14728"/>
    </row>
    <row r="14729" spans="2:7">
      <c r="B14729"/>
      <c r="C14729"/>
      <c r="D14729"/>
      <c r="G14729"/>
    </row>
    <row r="14730" spans="2:7">
      <c r="B14730"/>
      <c r="C14730"/>
      <c r="D14730"/>
      <c r="G14730"/>
    </row>
    <row r="14731" spans="2:7">
      <c r="B14731"/>
      <c r="C14731"/>
      <c r="D14731"/>
      <c r="G14731"/>
    </row>
    <row r="14732" spans="2:7">
      <c r="B14732"/>
      <c r="C14732"/>
      <c r="D14732"/>
      <c r="G14732"/>
    </row>
    <row r="14733" spans="2:7">
      <c r="B14733"/>
      <c r="C14733"/>
      <c r="D14733"/>
      <c r="G14733"/>
    </row>
    <row r="14734" spans="2:7">
      <c r="B14734"/>
      <c r="C14734"/>
      <c r="D14734"/>
      <c r="G14734"/>
    </row>
    <row r="14735" spans="2:7">
      <c r="B14735"/>
      <c r="C14735"/>
      <c r="D14735"/>
      <c r="G14735"/>
    </row>
    <row r="14736" spans="2:7">
      <c r="B14736"/>
      <c r="C14736"/>
      <c r="D14736"/>
      <c r="G14736"/>
    </row>
    <row r="14737" spans="2:7">
      <c r="B14737"/>
      <c r="C14737"/>
      <c r="D14737"/>
      <c r="G14737"/>
    </row>
    <row r="14738" spans="2:7">
      <c r="B14738"/>
      <c r="C14738"/>
      <c r="D14738"/>
      <c r="G14738"/>
    </row>
    <row r="14739" spans="2:7">
      <c r="B14739"/>
      <c r="C14739"/>
      <c r="D14739"/>
      <c r="G14739"/>
    </row>
    <row r="14740" spans="2:7">
      <c r="B14740"/>
      <c r="C14740"/>
      <c r="D14740"/>
      <c r="G14740"/>
    </row>
    <row r="14741" spans="2:7">
      <c r="B14741"/>
      <c r="C14741"/>
      <c r="D14741"/>
      <c r="G14741"/>
    </row>
    <row r="14742" spans="2:7">
      <c r="B14742"/>
      <c r="C14742"/>
      <c r="D14742"/>
      <c r="G14742"/>
    </row>
    <row r="14743" spans="2:7">
      <c r="B14743"/>
      <c r="C14743"/>
      <c r="D14743"/>
      <c r="G14743"/>
    </row>
    <row r="14744" spans="2:7">
      <c r="B14744"/>
      <c r="C14744"/>
      <c r="D14744"/>
      <c r="G14744"/>
    </row>
    <row r="14745" spans="2:7">
      <c r="B14745"/>
      <c r="C14745"/>
      <c r="D14745"/>
      <c r="G14745"/>
    </row>
    <row r="14746" spans="2:7">
      <c r="B14746"/>
      <c r="C14746"/>
      <c r="D14746"/>
      <c r="G14746"/>
    </row>
    <row r="14747" spans="2:7">
      <c r="B14747"/>
      <c r="C14747"/>
      <c r="D14747"/>
      <c r="G14747"/>
    </row>
    <row r="14748" spans="2:7">
      <c r="B14748"/>
      <c r="C14748"/>
      <c r="D14748"/>
      <c r="G14748"/>
    </row>
    <row r="14749" spans="2:7">
      <c r="B14749"/>
      <c r="C14749"/>
      <c r="D14749"/>
      <c r="G14749"/>
    </row>
    <row r="14750" spans="2:7">
      <c r="B14750"/>
      <c r="C14750"/>
      <c r="D14750"/>
      <c r="G14750"/>
    </row>
    <row r="14751" spans="2:7">
      <c r="B14751"/>
      <c r="C14751"/>
      <c r="D14751"/>
      <c r="G14751"/>
    </row>
    <row r="14752" spans="2:7">
      <c r="B14752"/>
      <c r="C14752"/>
      <c r="D14752"/>
      <c r="G14752"/>
    </row>
    <row r="14753" spans="2:7">
      <c r="B14753"/>
      <c r="C14753"/>
      <c r="D14753"/>
      <c r="G14753"/>
    </row>
    <row r="14754" spans="2:7">
      <c r="B14754"/>
      <c r="C14754"/>
      <c r="D14754"/>
      <c r="G14754"/>
    </row>
    <row r="14755" spans="2:7">
      <c r="B14755"/>
      <c r="C14755"/>
      <c r="D14755"/>
      <c r="G14755"/>
    </row>
    <row r="14756" spans="2:7">
      <c r="B14756"/>
      <c r="C14756"/>
      <c r="D14756"/>
      <c r="G14756"/>
    </row>
    <row r="14757" spans="2:7">
      <c r="B14757"/>
      <c r="C14757"/>
      <c r="D14757"/>
      <c r="G14757"/>
    </row>
    <row r="14758" spans="2:7">
      <c r="B14758"/>
      <c r="C14758"/>
      <c r="D14758"/>
      <c r="G14758"/>
    </row>
    <row r="14759" spans="2:7">
      <c r="B14759"/>
      <c r="C14759"/>
      <c r="D14759"/>
      <c r="G14759"/>
    </row>
    <row r="14760" spans="2:7">
      <c r="B14760"/>
      <c r="C14760"/>
      <c r="D14760"/>
      <c r="G14760"/>
    </row>
    <row r="14761" spans="2:7">
      <c r="B14761"/>
      <c r="C14761"/>
      <c r="D14761"/>
      <c r="G14761"/>
    </row>
    <row r="14762" spans="2:7">
      <c r="B14762"/>
      <c r="C14762"/>
      <c r="D14762"/>
      <c r="G14762"/>
    </row>
    <row r="14763" spans="2:7">
      <c r="B14763"/>
      <c r="C14763"/>
      <c r="D14763"/>
      <c r="G14763"/>
    </row>
    <row r="14764" spans="2:7">
      <c r="B14764"/>
      <c r="C14764"/>
      <c r="D14764"/>
      <c r="G14764"/>
    </row>
    <row r="14765" spans="2:7">
      <c r="B14765"/>
      <c r="C14765"/>
      <c r="D14765"/>
      <c r="G14765"/>
    </row>
    <row r="14766" spans="2:7">
      <c r="B14766"/>
      <c r="C14766"/>
      <c r="D14766"/>
      <c r="G14766"/>
    </row>
    <row r="14767" spans="2:7">
      <c r="B14767"/>
      <c r="C14767"/>
      <c r="D14767"/>
      <c r="G14767"/>
    </row>
    <row r="14768" spans="2:7">
      <c r="B14768"/>
      <c r="C14768"/>
      <c r="D14768"/>
      <c r="G14768"/>
    </row>
    <row r="14769" spans="2:7">
      <c r="B14769"/>
      <c r="C14769"/>
      <c r="D14769"/>
      <c r="G14769"/>
    </row>
    <row r="14770" spans="2:7">
      <c r="B14770"/>
      <c r="C14770"/>
      <c r="D14770"/>
      <c r="G14770"/>
    </row>
    <row r="14771" spans="2:7">
      <c r="B14771"/>
      <c r="C14771"/>
      <c r="D14771"/>
      <c r="G14771"/>
    </row>
    <row r="14772" spans="2:7">
      <c r="B14772"/>
      <c r="C14772"/>
      <c r="D14772"/>
      <c r="G14772"/>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93809" r:id="rId4" name="FormaPago_ComboBox">
          <controlPr defaultSize="0" autoLine="0" listFillRange="'Datos(temp)'!I5:I20" r:id="rId5">
            <anchor moveWithCells="1">
              <from>
                <xdr:col>3</xdr:col>
                <xdr:colOff>0</xdr:colOff>
                <xdr:row>6</xdr:row>
                <xdr:rowOff>0</xdr:rowOff>
              </from>
              <to>
                <xdr:col>6</xdr:col>
                <xdr:colOff>0</xdr:colOff>
                <xdr:row>8</xdr:row>
                <xdr:rowOff>0</xdr:rowOff>
              </to>
            </anchor>
          </controlPr>
        </control>
      </mc:Choice>
      <mc:Fallback>
        <control shapeId="393809" r:id="rId4" name="FormaPago_ComboBox"/>
      </mc:Fallback>
    </mc:AlternateContent>
    <mc:AlternateContent xmlns:mc="http://schemas.openxmlformats.org/markup-compatibility/2006">
      <mc:Choice Requires="x14">
        <control shapeId="393808" r:id="rId6" name="Plazo_ComboBox">
          <controlPr defaultSize="0" autoLine="0" listFillRange="'Datos(temp)'!H5:H20" r:id="rId7">
            <anchor moveWithCells="1">
              <from>
                <xdr:col>3</xdr:col>
                <xdr:colOff>0</xdr:colOff>
                <xdr:row>2</xdr:row>
                <xdr:rowOff>0</xdr:rowOff>
              </from>
              <to>
                <xdr:col>6</xdr:col>
                <xdr:colOff>0</xdr:colOff>
                <xdr:row>4</xdr:row>
                <xdr:rowOff>0</xdr:rowOff>
              </to>
            </anchor>
          </controlPr>
        </control>
      </mc:Choice>
      <mc:Fallback>
        <control shapeId="393808" r:id="rId6" name="Plazo_ComboBox"/>
      </mc:Fallback>
    </mc:AlternateContent>
    <mc:AlternateContent xmlns:mc="http://schemas.openxmlformats.org/markup-compatibility/2006">
      <mc:Choice Requires="x14">
        <control shapeId="251510" r:id="rId8" name="IPAut_ComboBox">
          <controlPr defaultSize="0" autoLine="0" listFillRange="'Datos(temp)'!A5:A21" r:id="rId9">
            <anchor moveWithCells="1">
              <from>
                <xdr:col>0</xdr:col>
                <xdr:colOff>0</xdr:colOff>
                <xdr:row>13</xdr:row>
                <xdr:rowOff>0</xdr:rowOff>
              </from>
              <to>
                <xdr:col>2</xdr:col>
                <xdr:colOff>0</xdr:colOff>
                <xdr:row>15</xdr:row>
                <xdr:rowOff>0</xdr:rowOff>
              </to>
            </anchor>
          </controlPr>
        </control>
      </mc:Choice>
      <mc:Fallback>
        <control shapeId="251510" r:id="rId8" name="IPAut_ComboBox"/>
      </mc:Fallback>
    </mc:AlternateContent>
    <mc:AlternateContent xmlns:mc="http://schemas.openxmlformats.org/markup-compatibility/2006">
      <mc:Choice Requires="x14">
        <control shapeId="251511" r:id="rId10" name="ColorAut_ComboBox">
          <controlPr defaultSize="0" autoLine="0" listFillRange="'Datos(temp)'!B5:B10" r:id="rId11">
            <anchor moveWithCells="1">
              <from>
                <xdr:col>0</xdr:col>
                <xdr:colOff>0</xdr:colOff>
                <xdr:row>17</xdr:row>
                <xdr:rowOff>0</xdr:rowOff>
              </from>
              <to>
                <xdr:col>2</xdr:col>
                <xdr:colOff>0</xdr:colOff>
                <xdr:row>19</xdr:row>
                <xdr:rowOff>0</xdr:rowOff>
              </to>
            </anchor>
          </controlPr>
        </control>
      </mc:Choice>
      <mc:Fallback>
        <control shapeId="251511" r:id="rId10" name="ColorAut_ComboBox"/>
      </mc:Fallback>
    </mc:AlternateContent>
    <mc:AlternateContent xmlns:mc="http://schemas.openxmlformats.org/markup-compatibility/2006">
      <mc:Choice Requires="x14">
        <control shapeId="251512" r:id="rId12" name="MarcaRed_ComboBox">
          <controlPr defaultSize="0" autoLine="0" listFillRange="'Datos(temp)'!E5:E10" r:id="rId13">
            <anchor moveWithCells="1">
              <from>
                <xdr:col>0</xdr:col>
                <xdr:colOff>0</xdr:colOff>
                <xdr:row>6</xdr:row>
                <xdr:rowOff>0</xdr:rowOff>
              </from>
              <to>
                <xdr:col>2</xdr:col>
                <xdr:colOff>0</xdr:colOff>
                <xdr:row>8</xdr:row>
                <xdr:rowOff>0</xdr:rowOff>
              </to>
            </anchor>
          </controlPr>
        </control>
      </mc:Choice>
      <mc:Fallback>
        <control shapeId="251512" r:id="rId12" name="MarcaRed_ComboBox"/>
      </mc:Fallback>
    </mc:AlternateContent>
    <mc:AlternateContent xmlns:mc="http://schemas.openxmlformats.org/markup-compatibility/2006">
      <mc:Choice Requires="x14">
        <control shapeId="251513" r:id="rId14" name="TenAut_ComboBox">
          <controlPr defaultSize="0" autoLine="0" listFillRange="'Datos(temp)'!C5:C21" r:id="rId15">
            <anchor moveWithCells="1">
              <from>
                <xdr:col>0</xdr:col>
                <xdr:colOff>0</xdr:colOff>
                <xdr:row>21</xdr:row>
                <xdr:rowOff>0</xdr:rowOff>
              </from>
              <to>
                <xdr:col>2</xdr:col>
                <xdr:colOff>0</xdr:colOff>
                <xdr:row>23</xdr:row>
                <xdr:rowOff>0</xdr:rowOff>
              </to>
            </anchor>
          </controlPr>
        </control>
      </mc:Choice>
      <mc:Fallback>
        <control shapeId="251513" r:id="rId14" name="TenAut_ComboBox"/>
      </mc:Fallback>
    </mc:AlternateContent>
    <mc:AlternateContent xmlns:mc="http://schemas.openxmlformats.org/markup-compatibility/2006">
      <mc:Choice Requires="x14">
        <control shapeId="251514" r:id="rId16" name="Vendedor_ComboBox">
          <controlPr defaultSize="0" autoLine="0" listFillRange="'Datos(temp)'!F5:F20" r:id="rId17">
            <anchor moveWithCells="1">
              <from>
                <xdr:col>0</xdr:col>
                <xdr:colOff>0</xdr:colOff>
                <xdr:row>2</xdr:row>
                <xdr:rowOff>0</xdr:rowOff>
              </from>
              <to>
                <xdr:col>2</xdr:col>
                <xdr:colOff>0</xdr:colOff>
                <xdr:row>4</xdr:row>
                <xdr:rowOff>0</xdr:rowOff>
              </to>
            </anchor>
          </controlPr>
        </control>
      </mc:Choice>
      <mc:Fallback>
        <control shapeId="251514" r:id="rId16" name="Vendedor_ComboBox"/>
      </mc:Fallback>
    </mc:AlternateContent>
    <mc:AlternateContent xmlns:mc="http://schemas.openxmlformats.org/markup-compatibility/2006">
      <mc:Choice Requires="x14">
        <control shapeId="251515" r:id="rId18" name="Redactar_Button">
          <controlPr defaultSize="0" autoLine="0" r:id="rId19">
            <anchor moveWithCells="1">
              <from>
                <xdr:col>2</xdr:col>
                <xdr:colOff>2000250</xdr:colOff>
                <xdr:row>8</xdr:row>
                <xdr:rowOff>76200</xdr:rowOff>
              </from>
              <to>
                <xdr:col>2</xdr:col>
                <xdr:colOff>3486150</xdr:colOff>
                <xdr:row>12</xdr:row>
                <xdr:rowOff>57150</xdr:rowOff>
              </to>
            </anchor>
          </controlPr>
        </control>
      </mc:Choice>
      <mc:Fallback>
        <control shapeId="251515" r:id="rId18" name="Redactar_Button"/>
      </mc:Fallback>
    </mc:AlternateContent>
    <mc:AlternateContent xmlns:mc="http://schemas.openxmlformats.org/markup-compatibility/2006">
      <mc:Choice Requires="x14">
        <control shapeId="266797" r:id="rId20" name="IPDist_ComboBox">
          <controlPr defaultSize="0" autoLine="0" listFillRange="'Datos(temp)'!A26:A50" r:id="rId21">
            <anchor moveWithCells="1">
              <from>
                <xdr:col>3</xdr:col>
                <xdr:colOff>0</xdr:colOff>
                <xdr:row>13</xdr:row>
                <xdr:rowOff>0</xdr:rowOff>
              </from>
              <to>
                <xdr:col>5</xdr:col>
                <xdr:colOff>161925</xdr:colOff>
                <xdr:row>15</xdr:row>
                <xdr:rowOff>0</xdr:rowOff>
              </to>
            </anchor>
          </controlPr>
        </control>
      </mc:Choice>
      <mc:Fallback>
        <control shapeId="266797" r:id="rId20" name="IPDist_ComboBox"/>
      </mc:Fallback>
    </mc:AlternateContent>
    <mc:AlternateContent xmlns:mc="http://schemas.openxmlformats.org/markup-compatibility/2006">
      <mc:Choice Requires="x14">
        <control shapeId="266798" r:id="rId22" name="ColorDist_ComboBox">
          <controlPr defaultSize="0" autoLine="0" listFillRange="'Datos(temp)'!B26:B44" r:id="rId23">
            <anchor moveWithCells="1">
              <from>
                <xdr:col>3</xdr:col>
                <xdr:colOff>0</xdr:colOff>
                <xdr:row>17</xdr:row>
                <xdr:rowOff>0</xdr:rowOff>
              </from>
              <to>
                <xdr:col>5</xdr:col>
                <xdr:colOff>161925</xdr:colOff>
                <xdr:row>19</xdr:row>
                <xdr:rowOff>0</xdr:rowOff>
              </to>
            </anchor>
          </controlPr>
        </control>
      </mc:Choice>
      <mc:Fallback>
        <control shapeId="266798" r:id="rId22" name="ColorDist_ComboBox"/>
      </mc:Fallback>
    </mc:AlternateContent>
    <mc:AlternateContent xmlns:mc="http://schemas.openxmlformats.org/markup-compatibility/2006">
      <mc:Choice Requires="x14">
        <control shapeId="266800" r:id="rId24" name="TenDist_ComboBox">
          <controlPr defaultSize="0" autoLine="0" listFillRange="'Datos(temp)'!C26:C44" r:id="rId25">
            <anchor moveWithCells="1">
              <from>
                <xdr:col>3</xdr:col>
                <xdr:colOff>0</xdr:colOff>
                <xdr:row>21</xdr:row>
                <xdr:rowOff>0</xdr:rowOff>
              </from>
              <to>
                <xdr:col>5</xdr:col>
                <xdr:colOff>200025</xdr:colOff>
                <xdr:row>23</xdr:row>
                <xdr:rowOff>0</xdr:rowOff>
              </to>
            </anchor>
          </controlPr>
        </control>
      </mc:Choice>
      <mc:Fallback>
        <control shapeId="266800" r:id="rId24" name="TenDist_ComboBox"/>
      </mc:Fallback>
    </mc:AlternateContent>
    <mc:AlternateContent xmlns:mc="http://schemas.openxmlformats.org/markup-compatibility/2006">
      <mc:Choice Requires="x14">
        <control shapeId="283399" r:id="rId26" name="EspAut_ComboBox">
          <controlPr defaultSize="0" autoLine="0" listFillRange="'Datos(temp)'!D5:D21" r:id="rId27">
            <anchor moveWithCells="1">
              <from>
                <xdr:col>0</xdr:col>
                <xdr:colOff>0</xdr:colOff>
                <xdr:row>25</xdr:row>
                <xdr:rowOff>0</xdr:rowOff>
              </from>
              <to>
                <xdr:col>2</xdr:col>
                <xdr:colOff>0</xdr:colOff>
                <xdr:row>27</xdr:row>
                <xdr:rowOff>0</xdr:rowOff>
              </to>
            </anchor>
          </controlPr>
        </control>
      </mc:Choice>
      <mc:Fallback>
        <control shapeId="283399" r:id="rId26" name="EspAut_ComboBox"/>
      </mc:Fallback>
    </mc:AlternateContent>
    <mc:AlternateContent xmlns:mc="http://schemas.openxmlformats.org/markup-compatibility/2006">
      <mc:Choice Requires="x14">
        <control shapeId="283400" r:id="rId28" name="EspDist_ComboBox">
          <controlPr defaultSize="0" autoLine="0" listFillRange="'Datos(temp)'!D26:D44" r:id="rId29">
            <anchor moveWithCells="1">
              <from>
                <xdr:col>3</xdr:col>
                <xdr:colOff>0</xdr:colOff>
                <xdr:row>25</xdr:row>
                <xdr:rowOff>0</xdr:rowOff>
              </from>
              <to>
                <xdr:col>5</xdr:col>
                <xdr:colOff>190500</xdr:colOff>
                <xdr:row>27</xdr:row>
                <xdr:rowOff>0</xdr:rowOff>
              </to>
            </anchor>
          </controlPr>
        </control>
      </mc:Choice>
      <mc:Fallback>
        <control shapeId="283400" r:id="rId28" name="EspDist_ComboBox"/>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9">
    <pageSetUpPr fitToPage="1"/>
  </sheetPr>
  <dimension ref="A1:ATO764"/>
  <sheetViews>
    <sheetView zoomScaleNormal="100" workbookViewId="0">
      <selection activeCell="B691" sqref="B691:E692"/>
    </sheetView>
  </sheetViews>
  <sheetFormatPr baseColWidth="10" defaultRowHeight="12.75"/>
  <cols>
    <col min="1" max="1" width="20.7109375" style="1218" customWidth="1"/>
    <col min="2" max="2" width="5.28515625" style="1218" customWidth="1"/>
    <col min="3" max="3" width="82.7109375" style="1218" customWidth="1"/>
    <col min="4" max="4" width="15.28515625" style="1312" customWidth="1"/>
    <col min="5" max="5" width="5.28515625" style="1312" customWidth="1"/>
    <col min="6" max="6" width="18.7109375" style="1312" customWidth="1"/>
    <col min="7" max="7" width="11.42578125" style="1218"/>
    <col min="348" max="16384" width="11.42578125" style="1331"/>
  </cols>
  <sheetData>
    <row r="1" spans="1:347" ht="24.75" customHeight="1">
      <c r="A1" s="2735"/>
      <c r="B1" s="2736"/>
      <c r="C1" s="1504" t="s">
        <v>4004</v>
      </c>
      <c r="D1" s="2748" t="s">
        <v>4271</v>
      </c>
      <c r="E1" s="2749"/>
      <c r="F1" s="2750"/>
    </row>
    <row r="2" spans="1:347" ht="24.75" customHeight="1">
      <c r="A2" s="2737"/>
      <c r="B2" s="2738"/>
      <c r="C2" s="1504" t="s">
        <v>4005</v>
      </c>
      <c r="D2" s="2739" t="s">
        <v>4006</v>
      </c>
      <c r="E2" s="2740"/>
      <c r="F2" s="2741"/>
    </row>
    <row r="3" spans="1:347" ht="21.75" customHeight="1">
      <c r="A3" s="1219" t="s">
        <v>4007</v>
      </c>
      <c r="B3" s="1372"/>
      <c r="C3" s="1220"/>
      <c r="D3" s="2742" t="s">
        <v>14287</v>
      </c>
      <c r="E3" s="2743"/>
      <c r="F3" s="2744"/>
    </row>
    <row r="4" spans="1:347" ht="21.75" customHeight="1">
      <c r="A4" s="1219"/>
      <c r="C4" s="1221"/>
      <c r="D4" s="2745"/>
      <c r="E4" s="2746"/>
      <c r="F4" s="2747"/>
    </row>
    <row r="5" spans="1:347" ht="12" customHeight="1">
      <c r="A5" s="1221"/>
      <c r="B5" s="1221"/>
      <c r="C5" s="1221"/>
      <c r="D5" s="1222"/>
      <c r="E5" s="1222"/>
      <c r="F5" s="1222"/>
    </row>
    <row r="6" spans="1:347" ht="12.95" customHeight="1">
      <c r="A6" s="1582" t="s">
        <v>4013</v>
      </c>
      <c r="B6" s="1221"/>
      <c r="C6" s="1221"/>
      <c r="D6" s="2753">
        <v>43887</v>
      </c>
      <c r="E6" s="2753"/>
      <c r="F6" s="2753"/>
    </row>
    <row r="7" spans="1:347" ht="12.95" customHeight="1">
      <c r="A7" s="1221"/>
      <c r="B7" s="1221"/>
      <c r="C7" s="1221"/>
      <c r="D7" s="1371"/>
      <c r="E7" s="1222"/>
      <c r="F7" s="1222"/>
    </row>
    <row r="8" spans="1:347" s="1431" customFormat="1" ht="14.25">
      <c r="A8" s="1583" t="s">
        <v>4009</v>
      </c>
      <c r="B8" s="1583"/>
      <c r="C8" s="1584"/>
      <c r="D8" s="1585"/>
      <c r="E8" s="1586"/>
      <c r="F8" s="1587"/>
      <c r="G8" s="1430"/>
      <c r="H8" s="64"/>
      <c r="I8" s="64"/>
      <c r="J8" s="64"/>
      <c r="K8" s="64"/>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c r="BU8" s="64"/>
      <c r="BV8" s="64"/>
      <c r="BW8" s="64"/>
      <c r="BX8" s="64"/>
      <c r="BY8" s="64"/>
      <c r="BZ8" s="64"/>
      <c r="CA8" s="64"/>
      <c r="CB8" s="64"/>
      <c r="CC8" s="64"/>
      <c r="CD8" s="64"/>
      <c r="CE8" s="64"/>
      <c r="CF8" s="64"/>
      <c r="CG8" s="64"/>
      <c r="CH8" s="64"/>
      <c r="CI8" s="64"/>
      <c r="CJ8" s="64"/>
      <c r="CK8" s="64"/>
      <c r="CL8" s="64"/>
      <c r="CM8" s="64"/>
      <c r="CN8" s="64"/>
      <c r="CO8" s="64"/>
      <c r="CP8" s="64"/>
      <c r="CQ8" s="64"/>
      <c r="CR8" s="64"/>
      <c r="CS8" s="64"/>
      <c r="CT8" s="64"/>
      <c r="CU8" s="64"/>
      <c r="CV8" s="64"/>
      <c r="CW8" s="64"/>
      <c r="CX8" s="64"/>
      <c r="CY8" s="64"/>
      <c r="CZ8" s="64"/>
      <c r="DA8" s="64"/>
      <c r="DB8" s="64"/>
      <c r="DC8" s="64"/>
      <c r="DD8" s="64"/>
      <c r="DE8" s="64"/>
      <c r="DF8" s="64"/>
      <c r="DG8" s="64"/>
      <c r="DH8" s="64"/>
      <c r="DI8" s="64"/>
      <c r="DJ8" s="64"/>
      <c r="DK8" s="64"/>
      <c r="DL8" s="64"/>
      <c r="DM8" s="64"/>
      <c r="DN8" s="64"/>
      <c r="DO8" s="64"/>
      <c r="DP8" s="64"/>
      <c r="DQ8" s="64"/>
      <c r="DR8" s="64"/>
      <c r="DS8" s="64"/>
      <c r="DT8" s="64"/>
      <c r="DU8" s="64"/>
      <c r="DV8" s="64"/>
      <c r="DW8" s="64"/>
      <c r="DX8" s="64"/>
      <c r="DY8" s="64"/>
      <c r="DZ8" s="64"/>
      <c r="EA8" s="64"/>
      <c r="EB8" s="64"/>
      <c r="EC8" s="64"/>
      <c r="ED8" s="64"/>
      <c r="EE8" s="64"/>
      <c r="EF8" s="64"/>
      <c r="EG8" s="64"/>
      <c r="EH8" s="64"/>
      <c r="EI8" s="64"/>
      <c r="EJ8" s="64"/>
      <c r="EK8" s="64"/>
      <c r="EL8" s="64"/>
      <c r="EM8" s="64"/>
      <c r="EN8" s="64"/>
      <c r="EO8" s="64"/>
      <c r="EP8" s="64"/>
      <c r="EQ8" s="64"/>
      <c r="ER8" s="64"/>
      <c r="ES8" s="64"/>
      <c r="ET8" s="64"/>
      <c r="EU8" s="64"/>
      <c r="EV8" s="64"/>
      <c r="EW8" s="64"/>
      <c r="EX8" s="64"/>
      <c r="EY8" s="64"/>
      <c r="EZ8" s="64"/>
      <c r="FA8" s="64"/>
      <c r="FB8" s="64"/>
      <c r="FC8" s="64"/>
      <c r="FD8" s="64"/>
      <c r="FE8" s="64"/>
      <c r="FF8" s="64"/>
      <c r="FG8" s="64"/>
      <c r="FH8" s="64"/>
      <c r="FI8" s="64"/>
      <c r="FJ8" s="64"/>
      <c r="FK8" s="64"/>
      <c r="FL8" s="64"/>
      <c r="FM8" s="64"/>
      <c r="FN8" s="64"/>
      <c r="FO8" s="64"/>
      <c r="FP8" s="64"/>
      <c r="FQ8" s="64"/>
      <c r="FR8" s="64"/>
      <c r="FS8" s="64"/>
      <c r="FT8" s="64"/>
      <c r="FU8" s="64"/>
      <c r="FV8" s="64"/>
      <c r="FW8" s="64"/>
      <c r="FX8" s="64"/>
      <c r="FY8" s="64"/>
      <c r="FZ8" s="64"/>
      <c r="GA8" s="64"/>
      <c r="GB8" s="64"/>
      <c r="GC8" s="64"/>
      <c r="GD8" s="64"/>
      <c r="GE8" s="64"/>
      <c r="GF8" s="64"/>
      <c r="GG8" s="64"/>
      <c r="GH8" s="64"/>
      <c r="GI8" s="64"/>
      <c r="GJ8" s="64"/>
      <c r="GK8" s="64"/>
      <c r="GL8" s="64"/>
      <c r="GM8" s="64"/>
      <c r="GN8" s="64"/>
      <c r="GO8" s="64"/>
      <c r="GP8" s="64"/>
      <c r="GQ8" s="64"/>
      <c r="GR8" s="64"/>
      <c r="GS8" s="64"/>
      <c r="GT8" s="64"/>
      <c r="GU8" s="64"/>
      <c r="GV8" s="64"/>
      <c r="GW8" s="64"/>
      <c r="GX8" s="64"/>
      <c r="GY8" s="64"/>
      <c r="GZ8" s="64"/>
      <c r="HA8" s="64"/>
      <c r="HB8" s="64"/>
      <c r="HC8" s="64"/>
      <c r="HD8" s="64"/>
      <c r="HE8" s="64"/>
      <c r="HF8" s="64"/>
      <c r="HG8" s="64"/>
      <c r="HH8" s="64"/>
      <c r="HI8" s="64"/>
      <c r="HJ8" s="64"/>
      <c r="HK8" s="64"/>
      <c r="HL8" s="64"/>
      <c r="HM8" s="64"/>
      <c r="HN8" s="64"/>
      <c r="HO8" s="64"/>
      <c r="HP8" s="64"/>
      <c r="HQ8" s="64"/>
      <c r="HR8" s="64"/>
      <c r="HS8" s="64"/>
      <c r="HT8" s="64"/>
      <c r="HU8" s="64"/>
      <c r="HV8" s="64"/>
      <c r="HW8" s="64"/>
      <c r="HX8" s="64"/>
      <c r="HY8" s="64"/>
      <c r="HZ8" s="64"/>
      <c r="IA8" s="64"/>
      <c r="IB8" s="64"/>
      <c r="IC8" s="64"/>
      <c r="ID8" s="64"/>
      <c r="IE8" s="64"/>
      <c r="IF8" s="64"/>
      <c r="IG8" s="64"/>
      <c r="IH8" s="64"/>
      <c r="II8" s="64"/>
      <c r="IJ8" s="64"/>
      <c r="IK8" s="64"/>
      <c r="IL8" s="64"/>
      <c r="IM8" s="64"/>
      <c r="IN8" s="64"/>
      <c r="IO8" s="64"/>
      <c r="IP8" s="64"/>
      <c r="IQ8" s="64"/>
      <c r="IR8" s="64"/>
      <c r="IS8" s="64"/>
      <c r="IT8" s="64"/>
      <c r="IU8" s="64"/>
      <c r="IV8" s="64"/>
      <c r="IW8" s="64"/>
      <c r="IX8" s="64"/>
      <c r="IY8" s="64"/>
      <c r="IZ8" s="64"/>
      <c r="JA8" s="64"/>
      <c r="JB8" s="64"/>
      <c r="JC8" s="64"/>
      <c r="JD8" s="64"/>
      <c r="JE8" s="64"/>
      <c r="JF8" s="64"/>
      <c r="JG8" s="64"/>
      <c r="JH8" s="64"/>
      <c r="JI8" s="64"/>
      <c r="JJ8" s="64"/>
      <c r="JK8" s="64"/>
      <c r="JL8" s="64"/>
      <c r="JM8" s="64"/>
      <c r="JN8" s="64"/>
      <c r="JO8" s="64"/>
      <c r="JP8" s="64"/>
      <c r="JQ8" s="64"/>
      <c r="JR8" s="64"/>
      <c r="JS8" s="64"/>
      <c r="JT8" s="64"/>
      <c r="JU8" s="64"/>
      <c r="JV8" s="64"/>
      <c r="JW8" s="64"/>
      <c r="JX8" s="64"/>
      <c r="JY8" s="64"/>
      <c r="JZ8" s="64"/>
      <c r="KA8" s="64"/>
      <c r="KB8" s="64"/>
      <c r="KC8" s="64"/>
      <c r="KD8" s="64"/>
      <c r="KE8" s="64"/>
      <c r="KF8" s="64"/>
      <c r="KG8" s="64"/>
      <c r="KH8" s="64"/>
      <c r="KI8" s="64"/>
      <c r="KJ8" s="64"/>
      <c r="KK8" s="64"/>
      <c r="KL8" s="64"/>
      <c r="KM8" s="64"/>
      <c r="KN8" s="64"/>
      <c r="KO8" s="64"/>
      <c r="KP8" s="64"/>
      <c r="KQ8" s="64"/>
      <c r="KR8" s="64"/>
      <c r="KS8" s="64"/>
      <c r="KT8" s="64"/>
      <c r="KU8" s="64"/>
      <c r="KV8" s="64"/>
      <c r="KW8" s="64"/>
      <c r="KX8" s="64"/>
      <c r="KY8" s="64"/>
      <c r="KZ8" s="64"/>
      <c r="LA8" s="64"/>
      <c r="LB8" s="64"/>
      <c r="LC8" s="64"/>
      <c r="LD8" s="64"/>
      <c r="LE8" s="64"/>
      <c r="LF8" s="64"/>
      <c r="LG8" s="64"/>
      <c r="LH8" s="64"/>
      <c r="LI8" s="64"/>
      <c r="LJ8" s="64"/>
      <c r="LK8" s="64"/>
      <c r="LL8" s="64"/>
      <c r="LM8" s="64"/>
      <c r="LN8" s="64"/>
      <c r="LO8" s="64"/>
      <c r="LP8" s="64"/>
      <c r="LQ8" s="64"/>
      <c r="LR8" s="64"/>
      <c r="LS8" s="64"/>
      <c r="LT8" s="64"/>
      <c r="LU8" s="64"/>
      <c r="LV8" s="64"/>
      <c r="LW8" s="64"/>
      <c r="LX8" s="64"/>
      <c r="LY8" s="64"/>
      <c r="LZ8" s="64"/>
      <c r="MA8" s="64"/>
      <c r="MB8" s="64"/>
      <c r="MC8" s="64"/>
      <c r="MD8" s="64"/>
      <c r="ME8" s="64"/>
      <c r="MF8" s="64"/>
      <c r="MG8" s="64"/>
      <c r="MH8" s="64"/>
      <c r="MI8" s="64"/>
    </row>
    <row r="9" spans="1:347" s="1431" customFormat="1" ht="18.95" customHeight="1">
      <c r="A9" s="1588" t="s">
        <v>14231</v>
      </c>
      <c r="B9" s="1589"/>
      <c r="C9" s="1583"/>
      <c r="D9" s="1585"/>
      <c r="E9" s="1583"/>
      <c r="F9" s="1590"/>
      <c r="G9" s="1430"/>
      <c r="H9" s="64"/>
      <c r="I9" s="64"/>
      <c r="J9" s="64"/>
      <c r="K9" s="64"/>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c r="BU9" s="64"/>
      <c r="BV9" s="64"/>
      <c r="BW9" s="64"/>
      <c r="BX9" s="64"/>
      <c r="BY9" s="64"/>
      <c r="BZ9" s="64"/>
      <c r="CA9" s="64"/>
      <c r="CB9" s="64"/>
      <c r="CC9" s="64"/>
      <c r="CD9" s="64"/>
      <c r="CE9" s="64"/>
      <c r="CF9" s="64"/>
      <c r="CG9" s="64"/>
      <c r="CH9" s="64"/>
      <c r="CI9" s="64"/>
      <c r="CJ9" s="64"/>
      <c r="CK9" s="64"/>
      <c r="CL9" s="64"/>
      <c r="CM9" s="64"/>
      <c r="CN9" s="64"/>
      <c r="CO9" s="64"/>
      <c r="CP9" s="64"/>
      <c r="CQ9" s="64"/>
      <c r="CR9" s="64"/>
      <c r="CS9" s="64"/>
      <c r="CT9" s="64"/>
      <c r="CU9" s="64"/>
      <c r="CV9" s="64"/>
      <c r="CW9" s="64"/>
      <c r="CX9" s="64"/>
      <c r="CY9" s="64"/>
      <c r="CZ9" s="64"/>
      <c r="DA9" s="64"/>
      <c r="DB9" s="64"/>
      <c r="DC9" s="64"/>
      <c r="DD9" s="64"/>
      <c r="DE9" s="64"/>
      <c r="DF9" s="64"/>
      <c r="DG9" s="64"/>
      <c r="DH9" s="64"/>
      <c r="DI9" s="64"/>
      <c r="DJ9" s="64"/>
      <c r="DK9" s="64"/>
      <c r="DL9" s="64"/>
      <c r="DM9" s="64"/>
      <c r="DN9" s="64"/>
      <c r="DO9" s="64"/>
      <c r="DP9" s="64"/>
      <c r="DQ9" s="64"/>
      <c r="DR9" s="64"/>
      <c r="DS9" s="64"/>
      <c r="DT9" s="64"/>
      <c r="DU9" s="64"/>
      <c r="DV9" s="64"/>
      <c r="DW9" s="64"/>
      <c r="DX9" s="64"/>
      <c r="DY9" s="64"/>
      <c r="DZ9" s="64"/>
      <c r="EA9" s="64"/>
      <c r="EB9" s="64"/>
      <c r="EC9" s="64"/>
      <c r="ED9" s="64"/>
      <c r="EE9" s="64"/>
      <c r="EF9" s="64"/>
      <c r="EG9" s="64"/>
      <c r="EH9" s="64"/>
      <c r="EI9" s="64"/>
      <c r="EJ9" s="64"/>
      <c r="EK9" s="64"/>
      <c r="EL9" s="64"/>
      <c r="EM9" s="64"/>
      <c r="EN9" s="64"/>
      <c r="EO9" s="64"/>
      <c r="EP9" s="64"/>
      <c r="EQ9" s="64"/>
      <c r="ER9" s="64"/>
      <c r="ES9" s="64"/>
      <c r="ET9" s="64"/>
      <c r="EU9" s="64"/>
      <c r="EV9" s="64"/>
      <c r="EW9" s="64"/>
      <c r="EX9" s="64"/>
      <c r="EY9" s="64"/>
      <c r="EZ9" s="64"/>
      <c r="FA9" s="64"/>
      <c r="FB9" s="64"/>
      <c r="FC9" s="64"/>
      <c r="FD9" s="64"/>
      <c r="FE9" s="64"/>
      <c r="FF9" s="64"/>
      <c r="FG9" s="64"/>
      <c r="FH9" s="64"/>
      <c r="FI9" s="64"/>
      <c r="FJ9" s="64"/>
      <c r="FK9" s="64"/>
      <c r="FL9" s="64"/>
      <c r="FM9" s="64"/>
      <c r="FN9" s="64"/>
      <c r="FO9" s="64"/>
      <c r="FP9" s="64"/>
      <c r="FQ9" s="64"/>
      <c r="FR9" s="64"/>
      <c r="FS9" s="64"/>
      <c r="FT9" s="64"/>
      <c r="FU9" s="64"/>
      <c r="FV9" s="64"/>
      <c r="FW9" s="64"/>
      <c r="FX9" s="64"/>
      <c r="FY9" s="64"/>
      <c r="FZ9" s="64"/>
      <c r="GA9" s="64"/>
      <c r="GB9" s="64"/>
      <c r="GC9" s="64"/>
      <c r="GD9" s="64"/>
      <c r="GE9" s="64"/>
      <c r="GF9" s="64"/>
      <c r="GG9" s="64"/>
      <c r="GH9" s="64"/>
      <c r="GI9" s="64"/>
      <c r="GJ9" s="64"/>
      <c r="GK9" s="64"/>
      <c r="GL9" s="64"/>
      <c r="GM9" s="64"/>
      <c r="GN9" s="64"/>
      <c r="GO9" s="64"/>
      <c r="GP9" s="64"/>
      <c r="GQ9" s="64"/>
      <c r="GR9" s="64"/>
      <c r="GS9" s="64"/>
      <c r="GT9" s="64"/>
      <c r="GU9" s="64"/>
      <c r="GV9" s="64"/>
      <c r="GW9" s="64"/>
      <c r="GX9" s="64"/>
      <c r="GY9" s="64"/>
      <c r="GZ9" s="64"/>
      <c r="HA9" s="64"/>
      <c r="HB9" s="64"/>
      <c r="HC9" s="64"/>
      <c r="HD9" s="64"/>
      <c r="HE9" s="64"/>
      <c r="HF9" s="64"/>
      <c r="HG9" s="64"/>
      <c r="HH9" s="64"/>
      <c r="HI9" s="64"/>
      <c r="HJ9" s="64"/>
      <c r="HK9" s="64"/>
      <c r="HL9" s="64"/>
      <c r="HM9" s="64"/>
      <c r="HN9" s="64"/>
      <c r="HO9" s="64"/>
      <c r="HP9" s="64"/>
      <c r="HQ9" s="64"/>
      <c r="HR9" s="64"/>
      <c r="HS9" s="64"/>
      <c r="HT9" s="64"/>
      <c r="HU9" s="64"/>
      <c r="HV9" s="64"/>
      <c r="HW9" s="64"/>
      <c r="HX9" s="64"/>
      <c r="HY9" s="64"/>
      <c r="HZ9" s="64"/>
      <c r="IA9" s="64"/>
      <c r="IB9" s="64"/>
      <c r="IC9" s="64"/>
      <c r="ID9" s="64"/>
      <c r="IE9" s="64"/>
      <c r="IF9" s="64"/>
      <c r="IG9" s="64"/>
      <c r="IH9" s="64"/>
      <c r="II9" s="64"/>
      <c r="IJ9" s="64"/>
      <c r="IK9" s="64"/>
      <c r="IL9" s="64"/>
      <c r="IM9" s="64"/>
      <c r="IN9" s="64"/>
      <c r="IO9" s="64"/>
      <c r="IP9" s="64"/>
      <c r="IQ9" s="64"/>
      <c r="IR9" s="64"/>
      <c r="IS9" s="64"/>
      <c r="IT9" s="64"/>
      <c r="IU9" s="64"/>
      <c r="IV9" s="64"/>
      <c r="IW9" s="64"/>
      <c r="IX9" s="64"/>
      <c r="IY9" s="64"/>
      <c r="IZ9" s="64"/>
      <c r="JA9" s="64"/>
      <c r="JB9" s="64"/>
      <c r="JC9" s="64"/>
      <c r="JD9" s="64"/>
      <c r="JE9" s="64"/>
      <c r="JF9" s="64"/>
      <c r="JG9" s="64"/>
      <c r="JH9" s="64"/>
      <c r="JI9" s="64"/>
      <c r="JJ9" s="64"/>
      <c r="JK9" s="64"/>
      <c r="JL9" s="64"/>
      <c r="JM9" s="64"/>
      <c r="JN9" s="64"/>
      <c r="JO9" s="64"/>
      <c r="JP9" s="64"/>
      <c r="JQ9" s="64"/>
      <c r="JR9" s="64"/>
      <c r="JS9" s="64"/>
      <c r="JT9" s="64"/>
      <c r="JU9" s="64"/>
      <c r="JV9" s="64"/>
      <c r="JW9" s="64"/>
      <c r="JX9" s="64"/>
      <c r="JY9" s="64"/>
      <c r="JZ9" s="64"/>
      <c r="KA9" s="64"/>
      <c r="KB9" s="64"/>
      <c r="KC9" s="64"/>
      <c r="KD9" s="64"/>
      <c r="KE9" s="64"/>
      <c r="KF9" s="64"/>
      <c r="KG9" s="64"/>
      <c r="KH9" s="64"/>
      <c r="KI9" s="64"/>
      <c r="KJ9" s="64"/>
      <c r="KK9" s="64"/>
      <c r="KL9" s="64"/>
      <c r="KM9" s="64"/>
      <c r="KN9" s="64"/>
      <c r="KO9" s="64"/>
      <c r="KP9" s="64"/>
      <c r="KQ9" s="64"/>
      <c r="KR9" s="64"/>
      <c r="KS9" s="64"/>
      <c r="KT9" s="64"/>
      <c r="KU9" s="64"/>
      <c r="KV9" s="64"/>
      <c r="KW9" s="64"/>
      <c r="KX9" s="64"/>
      <c r="KY9" s="64"/>
      <c r="KZ9" s="64"/>
      <c r="LA9" s="64"/>
      <c r="LB9" s="64"/>
      <c r="LC9" s="64"/>
      <c r="LD9" s="64"/>
      <c r="LE9" s="64"/>
      <c r="LF9" s="64"/>
      <c r="LG9" s="64"/>
      <c r="LH9" s="64"/>
      <c r="LI9" s="64"/>
      <c r="LJ9" s="64"/>
      <c r="LK9" s="64"/>
      <c r="LL9" s="64"/>
      <c r="LM9" s="64"/>
      <c r="LN9" s="64"/>
      <c r="LO9" s="64"/>
      <c r="LP9" s="64"/>
      <c r="LQ9" s="64"/>
      <c r="LR9" s="64"/>
      <c r="LS9" s="64"/>
      <c r="LT9" s="64"/>
      <c r="LU9" s="64"/>
      <c r="LV9" s="64"/>
      <c r="LW9" s="64"/>
      <c r="LX9" s="64"/>
      <c r="LY9" s="64"/>
      <c r="LZ9" s="64"/>
      <c r="MA9" s="64"/>
      <c r="MB9" s="64"/>
      <c r="MC9" s="64"/>
      <c r="MD9" s="64"/>
      <c r="ME9" s="64"/>
      <c r="MF9" s="64"/>
      <c r="MG9" s="64"/>
      <c r="MH9" s="64"/>
      <c r="MI9" s="64"/>
    </row>
    <row r="10" spans="1:347" s="1431" customFormat="1" ht="17.100000000000001" customHeight="1">
      <c r="A10" s="1589" t="s">
        <v>4011</v>
      </c>
      <c r="B10" s="1589" t="s">
        <v>14230</v>
      </c>
      <c r="C10" s="1591"/>
      <c r="D10" s="1582"/>
      <c r="E10" s="1590"/>
      <c r="F10" s="1590"/>
      <c r="G10" s="1430"/>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L10" s="64"/>
      <c r="DM10" s="64"/>
      <c r="DN10" s="64"/>
      <c r="DO10" s="64"/>
      <c r="DP10" s="64"/>
      <c r="DQ10" s="64"/>
      <c r="DR10" s="64"/>
      <c r="DS10" s="64"/>
      <c r="DT10" s="64"/>
      <c r="DU10" s="64"/>
      <c r="DV10" s="64"/>
      <c r="DW10" s="64"/>
      <c r="DX10" s="64"/>
      <c r="DY10" s="64"/>
      <c r="DZ10" s="64"/>
      <c r="EA10" s="64"/>
      <c r="EB10" s="64"/>
      <c r="EC10" s="64"/>
      <c r="ED10" s="64"/>
      <c r="EE10" s="64"/>
      <c r="EF10" s="64"/>
      <c r="EG10" s="64"/>
      <c r="EH10" s="64"/>
      <c r="EI10" s="64"/>
      <c r="EJ10" s="64"/>
      <c r="EK10" s="64"/>
      <c r="EL10" s="64"/>
      <c r="EM10" s="64"/>
      <c r="EN10" s="64"/>
      <c r="EO10" s="64"/>
      <c r="EP10" s="64"/>
      <c r="EQ10" s="64"/>
      <c r="ER10" s="64"/>
      <c r="ES10" s="64"/>
      <c r="ET10" s="64"/>
      <c r="EU10" s="64"/>
      <c r="EV10" s="64"/>
      <c r="EW10" s="64"/>
      <c r="EX10" s="64"/>
      <c r="EY10" s="64"/>
      <c r="EZ10" s="64"/>
      <c r="FA10" s="64"/>
      <c r="FB10" s="64"/>
      <c r="FC10" s="64"/>
      <c r="FD10" s="64"/>
      <c r="FE10" s="64"/>
      <c r="FF10" s="64"/>
      <c r="FG10" s="64"/>
      <c r="FH10" s="64"/>
      <c r="FI10" s="64"/>
      <c r="FJ10" s="64"/>
      <c r="FK10" s="64"/>
      <c r="FL10" s="64"/>
      <c r="FM10" s="64"/>
      <c r="FN10" s="64"/>
      <c r="FO10" s="64"/>
      <c r="FP10" s="64"/>
      <c r="FQ10" s="64"/>
      <c r="FR10" s="64"/>
      <c r="FS10" s="64"/>
      <c r="FT10" s="64"/>
      <c r="FU10" s="64"/>
      <c r="FV10" s="64"/>
      <c r="FW10" s="64"/>
      <c r="FX10" s="64"/>
      <c r="FY10" s="64"/>
      <c r="FZ10" s="64"/>
      <c r="GA10" s="64"/>
      <c r="GB10" s="64"/>
      <c r="GC10" s="64"/>
      <c r="GD10" s="64"/>
      <c r="GE10" s="64"/>
      <c r="GF10" s="64"/>
      <c r="GG10" s="64"/>
      <c r="GH10" s="64"/>
      <c r="GI10" s="64"/>
      <c r="GJ10" s="64"/>
      <c r="GK10" s="64"/>
      <c r="GL10" s="64"/>
      <c r="GM10" s="64"/>
      <c r="GN10" s="64"/>
      <c r="GO10" s="64"/>
      <c r="GP10" s="64"/>
      <c r="GQ10" s="64"/>
      <c r="GR10" s="64"/>
      <c r="GS10" s="64"/>
      <c r="GT10" s="64"/>
      <c r="GU10" s="64"/>
      <c r="GV10" s="64"/>
      <c r="GW10" s="64"/>
      <c r="GX10" s="64"/>
      <c r="GY10" s="64"/>
      <c r="GZ10" s="64"/>
      <c r="HA10" s="64"/>
      <c r="HB10" s="64"/>
      <c r="HC10" s="64"/>
      <c r="HD10" s="64"/>
      <c r="HE10" s="64"/>
      <c r="HF10" s="64"/>
      <c r="HG10" s="64"/>
      <c r="HH10" s="64"/>
      <c r="HI10" s="64"/>
      <c r="HJ10" s="64"/>
      <c r="HK10" s="64"/>
      <c r="HL10" s="64"/>
      <c r="HM10" s="64"/>
      <c r="HN10" s="64"/>
      <c r="HO10" s="64"/>
      <c r="HP10" s="64"/>
      <c r="HQ10" s="64"/>
      <c r="HR10" s="64"/>
      <c r="HS10" s="64"/>
      <c r="HT10" s="64"/>
      <c r="HU10" s="64"/>
      <c r="HV10" s="64"/>
      <c r="HW10" s="64"/>
      <c r="HX10" s="64"/>
      <c r="HY10" s="64"/>
      <c r="HZ10" s="64"/>
      <c r="IA10" s="64"/>
      <c r="IB10" s="64"/>
      <c r="IC10" s="64"/>
      <c r="ID10" s="64"/>
      <c r="IE10" s="64"/>
      <c r="IF10" s="64"/>
      <c r="IG10" s="64"/>
      <c r="IH10" s="64"/>
      <c r="II10" s="64"/>
      <c r="IJ10" s="64"/>
      <c r="IK10" s="64"/>
      <c r="IL10" s="64"/>
      <c r="IM10" s="64"/>
      <c r="IN10" s="64"/>
      <c r="IO10" s="64"/>
      <c r="IP10" s="64"/>
      <c r="IQ10" s="64"/>
      <c r="IR10" s="64"/>
      <c r="IS10" s="64"/>
      <c r="IT10" s="64"/>
      <c r="IU10" s="64"/>
      <c r="IV10" s="64"/>
      <c r="IW10" s="64"/>
      <c r="IX10" s="64"/>
      <c r="IY10" s="64"/>
      <c r="IZ10" s="64"/>
      <c r="JA10" s="64"/>
      <c r="JB10" s="64"/>
      <c r="JC10" s="64"/>
      <c r="JD10" s="64"/>
      <c r="JE10" s="64"/>
      <c r="JF10" s="64"/>
      <c r="JG10" s="64"/>
      <c r="JH10" s="64"/>
      <c r="JI10" s="64"/>
      <c r="JJ10" s="64"/>
      <c r="JK10" s="64"/>
      <c r="JL10" s="64"/>
      <c r="JM10" s="64"/>
      <c r="JN10" s="64"/>
      <c r="JO10" s="64"/>
      <c r="JP10" s="64"/>
      <c r="JQ10" s="64"/>
      <c r="JR10" s="64"/>
      <c r="JS10" s="64"/>
      <c r="JT10" s="64"/>
      <c r="JU10" s="64"/>
      <c r="JV10" s="64"/>
      <c r="JW10" s="64"/>
      <c r="JX10" s="64"/>
      <c r="JY10" s="64"/>
      <c r="JZ10" s="64"/>
      <c r="KA10" s="64"/>
      <c r="KB10" s="64"/>
      <c r="KC10" s="64"/>
      <c r="KD10" s="64"/>
      <c r="KE10" s="64"/>
      <c r="KF10" s="64"/>
      <c r="KG10" s="64"/>
      <c r="KH10" s="64"/>
      <c r="KI10" s="64"/>
      <c r="KJ10" s="64"/>
      <c r="KK10" s="64"/>
      <c r="KL10" s="64"/>
      <c r="KM10" s="64"/>
      <c r="KN10" s="64"/>
      <c r="KO10" s="64"/>
      <c r="KP10" s="64"/>
      <c r="KQ10" s="64"/>
      <c r="KR10" s="64"/>
      <c r="KS10" s="64"/>
      <c r="KT10" s="64"/>
      <c r="KU10" s="64"/>
      <c r="KV10" s="64"/>
      <c r="KW10" s="64"/>
      <c r="KX10" s="64"/>
      <c r="KY10" s="64"/>
      <c r="KZ10" s="64"/>
      <c r="LA10" s="64"/>
      <c r="LB10" s="64"/>
      <c r="LC10" s="64"/>
      <c r="LD10" s="64"/>
      <c r="LE10" s="64"/>
      <c r="LF10" s="64"/>
      <c r="LG10" s="64"/>
      <c r="LH10" s="64"/>
      <c r="LI10" s="64"/>
      <c r="LJ10" s="64"/>
      <c r="LK10" s="64"/>
      <c r="LL10" s="64"/>
      <c r="LM10" s="64"/>
      <c r="LN10" s="64"/>
      <c r="LO10" s="64"/>
      <c r="LP10" s="64"/>
      <c r="LQ10" s="64"/>
      <c r="LR10" s="64"/>
      <c r="LS10" s="64"/>
      <c r="LT10" s="64"/>
      <c r="LU10" s="64"/>
      <c r="LV10" s="64"/>
      <c r="LW10" s="64"/>
      <c r="LX10" s="64"/>
      <c r="LY10" s="64"/>
      <c r="LZ10" s="64"/>
      <c r="MA10" s="64"/>
      <c r="MB10" s="64"/>
      <c r="MC10" s="64"/>
      <c r="MD10" s="64"/>
      <c r="ME10" s="64"/>
      <c r="MF10" s="64"/>
      <c r="MG10" s="64"/>
      <c r="MH10" s="64"/>
      <c r="MI10" s="64"/>
    </row>
    <row r="11" spans="1:347" s="1431" customFormat="1" ht="17.100000000000001" customHeight="1">
      <c r="A11" s="1589" t="s">
        <v>4014</v>
      </c>
      <c r="B11" s="1592" t="s">
        <v>14232</v>
      </c>
      <c r="C11" s="1593"/>
      <c r="D11" s="1594"/>
      <c r="E11" s="1594"/>
      <c r="F11" s="1590"/>
      <c r="G11" s="1430"/>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c r="BU11" s="64"/>
      <c r="BV11" s="64"/>
      <c r="BW11" s="64"/>
      <c r="BX11" s="64"/>
      <c r="BY11" s="64"/>
      <c r="BZ11" s="64"/>
      <c r="CA11" s="64"/>
      <c r="CB11" s="64"/>
      <c r="CC11" s="64"/>
      <c r="CD11" s="64"/>
      <c r="CE11" s="64"/>
      <c r="CF11" s="64"/>
      <c r="CG11" s="64"/>
      <c r="CH11" s="64"/>
      <c r="CI11" s="64"/>
      <c r="CJ11" s="64"/>
      <c r="CK11" s="64"/>
      <c r="CL11" s="64"/>
      <c r="CM11" s="64"/>
      <c r="CN11" s="64"/>
      <c r="CO11" s="64"/>
      <c r="CP11" s="64"/>
      <c r="CQ11" s="64"/>
      <c r="CR11" s="64"/>
      <c r="CS11" s="64"/>
      <c r="CT11" s="64"/>
      <c r="CU11" s="64"/>
      <c r="CV11" s="64"/>
      <c r="CW11" s="64"/>
      <c r="CX11" s="64"/>
      <c r="CY11" s="64"/>
      <c r="CZ11" s="64"/>
      <c r="DA11" s="64"/>
      <c r="DB11" s="64"/>
      <c r="DC11" s="64"/>
      <c r="DD11" s="64"/>
      <c r="DE11" s="64"/>
      <c r="DF11" s="64"/>
      <c r="DG11" s="64"/>
      <c r="DH11" s="64"/>
      <c r="DI11" s="64"/>
      <c r="DJ11" s="64"/>
      <c r="DK11" s="64"/>
      <c r="DL11" s="64"/>
      <c r="DM11" s="64"/>
      <c r="DN11" s="64"/>
      <c r="DO11" s="64"/>
      <c r="DP11" s="64"/>
      <c r="DQ11" s="64"/>
      <c r="DR11" s="64"/>
      <c r="DS11" s="64"/>
      <c r="DT11" s="64"/>
      <c r="DU11" s="64"/>
      <c r="DV11" s="64"/>
      <c r="DW11" s="64"/>
      <c r="DX11" s="64"/>
      <c r="DY11" s="64"/>
      <c r="DZ11" s="64"/>
      <c r="EA11" s="64"/>
      <c r="EB11" s="64"/>
      <c r="EC11" s="64"/>
      <c r="ED11" s="64"/>
      <c r="EE11" s="64"/>
      <c r="EF11" s="64"/>
      <c r="EG11" s="64"/>
      <c r="EH11" s="64"/>
      <c r="EI11" s="64"/>
      <c r="EJ11" s="64"/>
      <c r="EK11" s="64"/>
      <c r="EL11" s="64"/>
      <c r="EM11" s="64"/>
      <c r="EN11" s="64"/>
      <c r="EO11" s="64"/>
      <c r="EP11" s="64"/>
      <c r="EQ11" s="64"/>
      <c r="ER11" s="64"/>
      <c r="ES11" s="64"/>
      <c r="ET11" s="64"/>
      <c r="EU11" s="64"/>
      <c r="EV11" s="64"/>
      <c r="EW11" s="64"/>
      <c r="EX11" s="64"/>
      <c r="EY11" s="64"/>
      <c r="EZ11" s="64"/>
      <c r="FA11" s="64"/>
      <c r="FB11" s="64"/>
      <c r="FC11" s="64"/>
      <c r="FD11" s="64"/>
      <c r="FE11" s="64"/>
      <c r="FF11" s="64"/>
      <c r="FG11" s="64"/>
      <c r="FH11" s="64"/>
      <c r="FI11" s="64"/>
      <c r="FJ11" s="64"/>
      <c r="FK11" s="64"/>
      <c r="FL11" s="64"/>
      <c r="FM11" s="64"/>
      <c r="FN11" s="64"/>
      <c r="FO11" s="64"/>
      <c r="FP11" s="64"/>
      <c r="FQ11" s="64"/>
      <c r="FR11" s="64"/>
      <c r="FS11" s="64"/>
      <c r="FT11" s="64"/>
      <c r="FU11" s="64"/>
      <c r="FV11" s="64"/>
      <c r="FW11" s="64"/>
      <c r="FX11" s="64"/>
      <c r="FY11" s="64"/>
      <c r="FZ11" s="64"/>
      <c r="GA11" s="64"/>
      <c r="GB11" s="64"/>
      <c r="GC11" s="64"/>
      <c r="GD11" s="64"/>
      <c r="GE11" s="64"/>
      <c r="GF11" s="64"/>
      <c r="GG11" s="64"/>
      <c r="GH11" s="64"/>
      <c r="GI11" s="64"/>
      <c r="GJ11" s="64"/>
      <c r="GK11" s="64"/>
      <c r="GL11" s="64"/>
      <c r="GM11" s="64"/>
      <c r="GN11" s="64"/>
      <c r="GO11" s="64"/>
      <c r="GP11" s="64"/>
      <c r="GQ11" s="64"/>
      <c r="GR11" s="64"/>
      <c r="GS11" s="64"/>
      <c r="GT11" s="64"/>
      <c r="GU11" s="64"/>
      <c r="GV11" s="64"/>
      <c r="GW11" s="64"/>
      <c r="GX11" s="64"/>
      <c r="GY11" s="64"/>
      <c r="GZ11" s="64"/>
      <c r="HA11" s="64"/>
      <c r="HB11" s="64"/>
      <c r="HC11" s="64"/>
      <c r="HD11" s="64"/>
      <c r="HE11" s="64"/>
      <c r="HF11" s="64"/>
      <c r="HG11" s="64"/>
      <c r="HH11" s="64"/>
      <c r="HI11" s="64"/>
      <c r="HJ11" s="64"/>
      <c r="HK11" s="64"/>
      <c r="HL11" s="64"/>
      <c r="HM11" s="64"/>
      <c r="HN11" s="64"/>
      <c r="HO11" s="64"/>
      <c r="HP11" s="64"/>
      <c r="HQ11" s="64"/>
      <c r="HR11" s="64"/>
      <c r="HS11" s="64"/>
      <c r="HT11" s="64"/>
      <c r="HU11" s="64"/>
      <c r="HV11" s="64"/>
      <c r="HW11" s="64"/>
      <c r="HX11" s="64"/>
      <c r="HY11" s="64"/>
      <c r="HZ11" s="64"/>
      <c r="IA11" s="64"/>
      <c r="IB11" s="64"/>
      <c r="IC11" s="64"/>
      <c r="ID11" s="64"/>
      <c r="IE11" s="64"/>
      <c r="IF11" s="64"/>
      <c r="IG11" s="64"/>
      <c r="IH11" s="64"/>
      <c r="II11" s="64"/>
      <c r="IJ11" s="64"/>
      <c r="IK11" s="64"/>
      <c r="IL11" s="64"/>
      <c r="IM11" s="64"/>
      <c r="IN11" s="64"/>
      <c r="IO11" s="64"/>
      <c r="IP11" s="64"/>
      <c r="IQ11" s="64"/>
      <c r="IR11" s="64"/>
      <c r="IS11" s="64"/>
      <c r="IT11" s="64"/>
      <c r="IU11" s="64"/>
      <c r="IV11" s="64"/>
      <c r="IW11" s="64"/>
      <c r="IX11" s="64"/>
      <c r="IY11" s="64"/>
      <c r="IZ11" s="64"/>
      <c r="JA11" s="64"/>
      <c r="JB11" s="64"/>
      <c r="JC11" s="64"/>
      <c r="JD11" s="64"/>
      <c r="JE11" s="64"/>
      <c r="JF11" s="64"/>
      <c r="JG11" s="64"/>
      <c r="JH11" s="64"/>
      <c r="JI11" s="64"/>
      <c r="JJ11" s="64"/>
      <c r="JK11" s="64"/>
      <c r="JL11" s="64"/>
      <c r="JM11" s="64"/>
      <c r="JN11" s="64"/>
      <c r="JO11" s="64"/>
      <c r="JP11" s="64"/>
      <c r="JQ11" s="64"/>
      <c r="JR11" s="64"/>
      <c r="JS11" s="64"/>
      <c r="JT11" s="64"/>
      <c r="JU11" s="64"/>
      <c r="JV11" s="64"/>
      <c r="JW11" s="64"/>
      <c r="JX11" s="64"/>
      <c r="JY11" s="64"/>
      <c r="JZ11" s="64"/>
      <c r="KA11" s="64"/>
      <c r="KB11" s="64"/>
      <c r="KC11" s="64"/>
      <c r="KD11" s="64"/>
      <c r="KE11" s="64"/>
      <c r="KF11" s="64"/>
      <c r="KG11" s="64"/>
      <c r="KH11" s="64"/>
      <c r="KI11" s="64"/>
      <c r="KJ11" s="64"/>
      <c r="KK11" s="64"/>
      <c r="KL11" s="64"/>
      <c r="KM11" s="64"/>
      <c r="KN11" s="64"/>
      <c r="KO11" s="64"/>
      <c r="KP11" s="64"/>
      <c r="KQ11" s="64"/>
      <c r="KR11" s="64"/>
      <c r="KS11" s="64"/>
      <c r="KT11" s="64"/>
      <c r="KU11" s="64"/>
      <c r="KV11" s="64"/>
      <c r="KW11" s="64"/>
      <c r="KX11" s="64"/>
      <c r="KY11" s="64"/>
      <c r="KZ11" s="64"/>
      <c r="LA11" s="64"/>
      <c r="LB11" s="64"/>
      <c r="LC11" s="64"/>
      <c r="LD11" s="64"/>
      <c r="LE11" s="64"/>
      <c r="LF11" s="64"/>
      <c r="LG11" s="64"/>
      <c r="LH11" s="64"/>
      <c r="LI11" s="64"/>
      <c r="LJ11" s="64"/>
      <c r="LK11" s="64"/>
      <c r="LL11" s="64"/>
      <c r="LM11" s="64"/>
      <c r="LN11" s="64"/>
      <c r="LO11" s="64"/>
      <c r="LP11" s="64"/>
      <c r="LQ11" s="64"/>
      <c r="LR11" s="64"/>
      <c r="LS11" s="64"/>
      <c r="LT11" s="64"/>
      <c r="LU11" s="64"/>
      <c r="LV11" s="64"/>
      <c r="LW11" s="64"/>
      <c r="LX11" s="64"/>
      <c r="LY11" s="64"/>
      <c r="LZ11" s="64"/>
      <c r="MA11" s="64"/>
      <c r="MB11" s="64"/>
      <c r="MC11" s="64"/>
      <c r="MD11" s="64"/>
      <c r="ME11" s="64"/>
      <c r="MF11" s="64"/>
      <c r="MG11" s="64"/>
      <c r="MH11" s="64"/>
      <c r="MI11" s="64"/>
    </row>
    <row r="12" spans="1:347" s="1431" customFormat="1" ht="17.100000000000001" customHeight="1">
      <c r="A12" s="1589" t="s">
        <v>4016</v>
      </c>
      <c r="B12" s="1589"/>
      <c r="C12" s="1583"/>
      <c r="D12" s="1590"/>
      <c r="E12" s="1590"/>
      <c r="F12" s="1590"/>
      <c r="G12" s="1430"/>
      <c r="H12" s="64"/>
      <c r="I12" s="64"/>
      <c r="J12" s="64"/>
      <c r="K12" s="64"/>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c r="BU12" s="64"/>
      <c r="BV12" s="64"/>
      <c r="BW12" s="64"/>
      <c r="BX12" s="64"/>
      <c r="BY12" s="64"/>
      <c r="BZ12" s="64"/>
      <c r="CA12" s="64"/>
      <c r="CB12" s="64"/>
      <c r="CC12" s="64"/>
      <c r="CD12" s="64"/>
      <c r="CE12" s="64"/>
      <c r="CF12" s="64"/>
      <c r="CG12" s="64"/>
      <c r="CH12" s="64"/>
      <c r="CI12" s="64"/>
      <c r="CJ12" s="64"/>
      <c r="CK12" s="64"/>
      <c r="CL12" s="64"/>
      <c r="CM12" s="64"/>
      <c r="CN12" s="64"/>
      <c r="CO12" s="64"/>
      <c r="CP12" s="64"/>
      <c r="CQ12" s="64"/>
      <c r="CR12" s="64"/>
      <c r="CS12" s="64"/>
      <c r="CT12" s="64"/>
      <c r="CU12" s="64"/>
      <c r="CV12" s="64"/>
      <c r="CW12" s="64"/>
      <c r="CX12" s="64"/>
      <c r="CY12" s="64"/>
      <c r="CZ12" s="64"/>
      <c r="DA12" s="64"/>
      <c r="DB12" s="64"/>
      <c r="DC12" s="64"/>
      <c r="DD12" s="64"/>
      <c r="DE12" s="64"/>
      <c r="DF12" s="64"/>
      <c r="DG12" s="64"/>
      <c r="DH12" s="64"/>
      <c r="DI12" s="64"/>
      <c r="DJ12" s="64"/>
      <c r="DK12" s="64"/>
      <c r="DL12" s="64"/>
      <c r="DM12" s="64"/>
      <c r="DN12" s="64"/>
      <c r="DO12" s="64"/>
      <c r="DP12" s="64"/>
      <c r="DQ12" s="64"/>
      <c r="DR12" s="64"/>
      <c r="DS12" s="64"/>
      <c r="DT12" s="64"/>
      <c r="DU12" s="64"/>
      <c r="DV12" s="64"/>
      <c r="DW12" s="64"/>
      <c r="DX12" s="64"/>
      <c r="DY12" s="64"/>
      <c r="DZ12" s="64"/>
      <c r="EA12" s="64"/>
      <c r="EB12" s="64"/>
      <c r="EC12" s="64"/>
      <c r="ED12" s="64"/>
      <c r="EE12" s="64"/>
      <c r="EF12" s="64"/>
      <c r="EG12" s="64"/>
      <c r="EH12" s="64"/>
      <c r="EI12" s="64"/>
      <c r="EJ12" s="64"/>
      <c r="EK12" s="64"/>
      <c r="EL12" s="64"/>
      <c r="EM12" s="64"/>
      <c r="EN12" s="64"/>
      <c r="EO12" s="64"/>
      <c r="EP12" s="64"/>
      <c r="EQ12" s="64"/>
      <c r="ER12" s="64"/>
      <c r="ES12" s="64"/>
      <c r="ET12" s="64"/>
      <c r="EU12" s="64"/>
      <c r="EV12" s="64"/>
      <c r="EW12" s="64"/>
      <c r="EX12" s="64"/>
      <c r="EY12" s="64"/>
      <c r="EZ12" s="64"/>
      <c r="FA12" s="64"/>
      <c r="FB12" s="64"/>
      <c r="FC12" s="64"/>
      <c r="FD12" s="64"/>
      <c r="FE12" s="64"/>
      <c r="FF12" s="64"/>
      <c r="FG12" s="64"/>
      <c r="FH12" s="64"/>
      <c r="FI12" s="64"/>
      <c r="FJ12" s="64"/>
      <c r="FK12" s="64"/>
      <c r="FL12" s="64"/>
      <c r="FM12" s="64"/>
      <c r="FN12" s="64"/>
      <c r="FO12" s="64"/>
      <c r="FP12" s="64"/>
      <c r="FQ12" s="64"/>
      <c r="FR12" s="64"/>
      <c r="FS12" s="64"/>
      <c r="FT12" s="64"/>
      <c r="FU12" s="64"/>
      <c r="FV12" s="64"/>
      <c r="FW12" s="64"/>
      <c r="FX12" s="64"/>
      <c r="FY12" s="64"/>
      <c r="FZ12" s="64"/>
      <c r="GA12" s="64"/>
      <c r="GB12" s="64"/>
      <c r="GC12" s="64"/>
      <c r="GD12" s="64"/>
      <c r="GE12" s="64"/>
      <c r="GF12" s="64"/>
      <c r="GG12" s="64"/>
      <c r="GH12" s="64"/>
      <c r="GI12" s="64"/>
      <c r="GJ12" s="64"/>
      <c r="GK12" s="64"/>
      <c r="GL12" s="64"/>
      <c r="GM12" s="64"/>
      <c r="GN12" s="64"/>
      <c r="GO12" s="64"/>
      <c r="GP12" s="64"/>
      <c r="GQ12" s="64"/>
      <c r="GR12" s="64"/>
      <c r="GS12" s="64"/>
      <c r="GT12" s="64"/>
      <c r="GU12" s="64"/>
      <c r="GV12" s="64"/>
      <c r="GW12" s="64"/>
      <c r="GX12" s="64"/>
      <c r="GY12" s="64"/>
      <c r="GZ12" s="64"/>
      <c r="HA12" s="64"/>
      <c r="HB12" s="64"/>
      <c r="HC12" s="64"/>
      <c r="HD12" s="64"/>
      <c r="HE12" s="64"/>
      <c r="HF12" s="64"/>
      <c r="HG12" s="64"/>
      <c r="HH12" s="64"/>
      <c r="HI12" s="64"/>
      <c r="HJ12" s="64"/>
      <c r="HK12" s="64"/>
      <c r="HL12" s="64"/>
      <c r="HM12" s="64"/>
      <c r="HN12" s="64"/>
      <c r="HO12" s="64"/>
      <c r="HP12" s="64"/>
      <c r="HQ12" s="64"/>
      <c r="HR12" s="64"/>
      <c r="HS12" s="64"/>
      <c r="HT12" s="64"/>
      <c r="HU12" s="64"/>
      <c r="HV12" s="64"/>
      <c r="HW12" s="64"/>
      <c r="HX12" s="64"/>
      <c r="HY12" s="64"/>
      <c r="HZ12" s="64"/>
      <c r="IA12" s="64"/>
      <c r="IB12" s="64"/>
      <c r="IC12" s="64"/>
      <c r="ID12" s="64"/>
      <c r="IE12" s="64"/>
      <c r="IF12" s="64"/>
      <c r="IG12" s="64"/>
      <c r="IH12" s="64"/>
      <c r="II12" s="64"/>
      <c r="IJ12" s="64"/>
      <c r="IK12" s="64"/>
      <c r="IL12" s="64"/>
      <c r="IM12" s="64"/>
      <c r="IN12" s="64"/>
      <c r="IO12" s="64"/>
      <c r="IP12" s="64"/>
      <c r="IQ12" s="64"/>
      <c r="IR12" s="64"/>
      <c r="IS12" s="64"/>
      <c r="IT12" s="64"/>
      <c r="IU12" s="64"/>
      <c r="IV12" s="64"/>
      <c r="IW12" s="64"/>
      <c r="IX12" s="64"/>
      <c r="IY12" s="64"/>
      <c r="IZ12" s="64"/>
      <c r="JA12" s="64"/>
      <c r="JB12" s="64"/>
      <c r="JC12" s="64"/>
      <c r="JD12" s="64"/>
      <c r="JE12" s="64"/>
      <c r="JF12" s="64"/>
      <c r="JG12" s="64"/>
      <c r="JH12" s="64"/>
      <c r="JI12" s="64"/>
      <c r="JJ12" s="64"/>
      <c r="JK12" s="64"/>
      <c r="JL12" s="64"/>
      <c r="JM12" s="64"/>
      <c r="JN12" s="64"/>
      <c r="JO12" s="64"/>
      <c r="JP12" s="64"/>
      <c r="JQ12" s="64"/>
      <c r="JR12" s="64"/>
      <c r="JS12" s="64"/>
      <c r="JT12" s="64"/>
      <c r="JU12" s="64"/>
      <c r="JV12" s="64"/>
      <c r="JW12" s="64"/>
      <c r="JX12" s="64"/>
      <c r="JY12" s="64"/>
      <c r="JZ12" s="64"/>
      <c r="KA12" s="64"/>
      <c r="KB12" s="64"/>
      <c r="KC12" s="64"/>
      <c r="KD12" s="64"/>
      <c r="KE12" s="64"/>
      <c r="KF12" s="64"/>
      <c r="KG12" s="64"/>
      <c r="KH12" s="64"/>
      <c r="KI12" s="64"/>
      <c r="KJ12" s="64"/>
      <c r="KK12" s="64"/>
      <c r="KL12" s="64"/>
      <c r="KM12" s="64"/>
      <c r="KN12" s="64"/>
      <c r="KO12" s="64"/>
      <c r="KP12" s="64"/>
      <c r="KQ12" s="64"/>
      <c r="KR12" s="64"/>
      <c r="KS12" s="64"/>
      <c r="KT12" s="64"/>
      <c r="KU12" s="64"/>
      <c r="KV12" s="64"/>
      <c r="KW12" s="64"/>
      <c r="KX12" s="64"/>
      <c r="KY12" s="64"/>
      <c r="KZ12" s="64"/>
      <c r="LA12" s="64"/>
      <c r="LB12" s="64"/>
      <c r="LC12" s="64"/>
      <c r="LD12" s="64"/>
      <c r="LE12" s="64"/>
      <c r="LF12" s="64"/>
      <c r="LG12" s="64"/>
      <c r="LH12" s="64"/>
      <c r="LI12" s="64"/>
      <c r="LJ12" s="64"/>
      <c r="LK12" s="64"/>
      <c r="LL12" s="64"/>
      <c r="LM12" s="64"/>
      <c r="LN12" s="64"/>
      <c r="LO12" s="64"/>
      <c r="LP12" s="64"/>
      <c r="LQ12" s="64"/>
      <c r="LR12" s="64"/>
      <c r="LS12" s="64"/>
      <c r="LT12" s="64"/>
      <c r="LU12" s="64"/>
      <c r="LV12" s="64"/>
      <c r="LW12" s="64"/>
      <c r="LX12" s="64"/>
      <c r="LY12" s="64"/>
      <c r="LZ12" s="64"/>
      <c r="MA12" s="64"/>
      <c r="MB12" s="64"/>
      <c r="MC12" s="64"/>
      <c r="MD12" s="64"/>
      <c r="ME12" s="64"/>
      <c r="MF12" s="64"/>
      <c r="MG12" s="64"/>
      <c r="MH12" s="64"/>
      <c r="MI12" s="64"/>
    </row>
    <row r="13" spans="1:347" s="1431" customFormat="1" ht="17.100000000000001" customHeight="1">
      <c r="A13" s="1583"/>
      <c r="B13" s="1583" t="s">
        <v>4017</v>
      </c>
      <c r="C13" s="1583"/>
      <c r="D13" s="1590"/>
      <c r="E13" s="1590"/>
      <c r="F13" s="1590"/>
      <c r="G13" s="1430"/>
      <c r="H13" s="64"/>
      <c r="I13" s="64"/>
      <c r="J13" s="64"/>
      <c r="K13" s="64"/>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4"/>
      <c r="BN13" s="64"/>
      <c r="BO13" s="64"/>
      <c r="BP13" s="64"/>
      <c r="BQ13" s="64"/>
      <c r="BR13" s="64"/>
      <c r="BS13" s="64"/>
      <c r="BT13" s="64"/>
      <c r="BU13" s="64"/>
      <c r="BV13" s="64"/>
      <c r="BW13" s="64"/>
      <c r="BX13" s="64"/>
      <c r="BY13" s="64"/>
      <c r="BZ13" s="64"/>
      <c r="CA13" s="64"/>
      <c r="CB13" s="64"/>
      <c r="CC13" s="64"/>
      <c r="CD13" s="64"/>
      <c r="CE13" s="64"/>
      <c r="CF13" s="64"/>
      <c r="CG13" s="64"/>
      <c r="CH13" s="64"/>
      <c r="CI13" s="64"/>
      <c r="CJ13" s="64"/>
      <c r="CK13" s="64"/>
      <c r="CL13" s="64"/>
      <c r="CM13" s="64"/>
      <c r="CN13" s="64"/>
      <c r="CO13" s="64"/>
      <c r="CP13" s="64"/>
      <c r="CQ13" s="64"/>
      <c r="CR13" s="64"/>
      <c r="CS13" s="64"/>
      <c r="CT13" s="64"/>
      <c r="CU13" s="64"/>
      <c r="CV13" s="64"/>
      <c r="CW13" s="64"/>
      <c r="CX13" s="64"/>
      <c r="CY13" s="64"/>
      <c r="CZ13" s="64"/>
      <c r="DA13" s="64"/>
      <c r="DB13" s="64"/>
      <c r="DC13" s="64"/>
      <c r="DD13" s="64"/>
      <c r="DE13" s="64"/>
      <c r="DF13" s="64"/>
      <c r="DG13" s="64"/>
      <c r="DH13" s="64"/>
      <c r="DI13" s="64"/>
      <c r="DJ13" s="64"/>
      <c r="DK13" s="64"/>
      <c r="DL13" s="64"/>
      <c r="DM13" s="64"/>
      <c r="DN13" s="64"/>
      <c r="DO13" s="64"/>
      <c r="DP13" s="64"/>
      <c r="DQ13" s="64"/>
      <c r="DR13" s="64"/>
      <c r="DS13" s="64"/>
      <c r="DT13" s="64"/>
      <c r="DU13" s="64"/>
      <c r="DV13" s="64"/>
      <c r="DW13" s="64"/>
      <c r="DX13" s="64"/>
      <c r="DY13" s="64"/>
      <c r="DZ13" s="64"/>
      <c r="EA13" s="64"/>
      <c r="EB13" s="64"/>
      <c r="EC13" s="64"/>
      <c r="ED13" s="64"/>
      <c r="EE13" s="64"/>
      <c r="EF13" s="64"/>
      <c r="EG13" s="64"/>
      <c r="EH13" s="64"/>
      <c r="EI13" s="64"/>
      <c r="EJ13" s="64"/>
      <c r="EK13" s="64"/>
      <c r="EL13" s="64"/>
      <c r="EM13" s="64"/>
      <c r="EN13" s="64"/>
      <c r="EO13" s="64"/>
      <c r="EP13" s="64"/>
      <c r="EQ13" s="64"/>
      <c r="ER13" s="64"/>
      <c r="ES13" s="64"/>
      <c r="ET13" s="64"/>
      <c r="EU13" s="64"/>
      <c r="EV13" s="64"/>
      <c r="EW13" s="64"/>
      <c r="EX13" s="64"/>
      <c r="EY13" s="64"/>
      <c r="EZ13" s="64"/>
      <c r="FA13" s="64"/>
      <c r="FB13" s="64"/>
      <c r="FC13" s="64"/>
      <c r="FD13" s="64"/>
      <c r="FE13" s="64"/>
      <c r="FF13" s="64"/>
      <c r="FG13" s="64"/>
      <c r="FH13" s="64"/>
      <c r="FI13" s="64"/>
      <c r="FJ13" s="64"/>
      <c r="FK13" s="64"/>
      <c r="FL13" s="64"/>
      <c r="FM13" s="64"/>
      <c r="FN13" s="64"/>
      <c r="FO13" s="64"/>
      <c r="FP13" s="64"/>
      <c r="FQ13" s="64"/>
      <c r="FR13" s="64"/>
      <c r="FS13" s="64"/>
      <c r="FT13" s="64"/>
      <c r="FU13" s="64"/>
      <c r="FV13" s="64"/>
      <c r="FW13" s="64"/>
      <c r="FX13" s="64"/>
      <c r="FY13" s="64"/>
      <c r="FZ13" s="64"/>
      <c r="GA13" s="64"/>
      <c r="GB13" s="64"/>
      <c r="GC13" s="64"/>
      <c r="GD13" s="64"/>
      <c r="GE13" s="64"/>
      <c r="GF13" s="64"/>
      <c r="GG13" s="64"/>
      <c r="GH13" s="64"/>
      <c r="GI13" s="64"/>
      <c r="GJ13" s="64"/>
      <c r="GK13" s="64"/>
      <c r="GL13" s="64"/>
      <c r="GM13" s="64"/>
      <c r="GN13" s="64"/>
      <c r="GO13" s="64"/>
      <c r="GP13" s="64"/>
      <c r="GQ13" s="64"/>
      <c r="GR13" s="64"/>
      <c r="GS13" s="64"/>
      <c r="GT13" s="64"/>
      <c r="GU13" s="64"/>
      <c r="GV13" s="64"/>
      <c r="GW13" s="64"/>
      <c r="GX13" s="64"/>
      <c r="GY13" s="64"/>
      <c r="GZ13" s="64"/>
      <c r="HA13" s="64"/>
      <c r="HB13" s="64"/>
      <c r="HC13" s="64"/>
      <c r="HD13" s="64"/>
      <c r="HE13" s="64"/>
      <c r="HF13" s="64"/>
      <c r="HG13" s="64"/>
      <c r="HH13" s="64"/>
      <c r="HI13" s="64"/>
      <c r="HJ13" s="64"/>
      <c r="HK13" s="64"/>
      <c r="HL13" s="64"/>
      <c r="HM13" s="64"/>
      <c r="HN13" s="64"/>
      <c r="HO13" s="64"/>
      <c r="HP13" s="64"/>
      <c r="HQ13" s="64"/>
      <c r="HR13" s="64"/>
      <c r="HS13" s="64"/>
      <c r="HT13" s="64"/>
      <c r="HU13" s="64"/>
      <c r="HV13" s="64"/>
      <c r="HW13" s="64"/>
      <c r="HX13" s="64"/>
      <c r="HY13" s="64"/>
      <c r="HZ13" s="64"/>
      <c r="IA13" s="64"/>
      <c r="IB13" s="64"/>
      <c r="IC13" s="64"/>
      <c r="ID13" s="64"/>
      <c r="IE13" s="64"/>
      <c r="IF13" s="64"/>
      <c r="IG13" s="64"/>
      <c r="IH13" s="64"/>
      <c r="II13" s="64"/>
      <c r="IJ13" s="64"/>
      <c r="IK13" s="64"/>
      <c r="IL13" s="64"/>
      <c r="IM13" s="64"/>
      <c r="IN13" s="64"/>
      <c r="IO13" s="64"/>
      <c r="IP13" s="64"/>
      <c r="IQ13" s="64"/>
      <c r="IR13" s="64"/>
      <c r="IS13" s="64"/>
      <c r="IT13" s="64"/>
      <c r="IU13" s="64"/>
      <c r="IV13" s="64"/>
      <c r="IW13" s="64"/>
      <c r="IX13" s="64"/>
      <c r="IY13" s="64"/>
      <c r="IZ13" s="64"/>
      <c r="JA13" s="64"/>
      <c r="JB13" s="64"/>
      <c r="JC13" s="64"/>
      <c r="JD13" s="64"/>
      <c r="JE13" s="64"/>
      <c r="JF13" s="64"/>
      <c r="JG13" s="64"/>
      <c r="JH13" s="64"/>
      <c r="JI13" s="64"/>
      <c r="JJ13" s="64"/>
      <c r="JK13" s="64"/>
      <c r="JL13" s="64"/>
      <c r="JM13" s="64"/>
      <c r="JN13" s="64"/>
      <c r="JO13" s="64"/>
      <c r="JP13" s="64"/>
      <c r="JQ13" s="64"/>
      <c r="JR13" s="64"/>
      <c r="JS13" s="64"/>
      <c r="JT13" s="64"/>
      <c r="JU13" s="64"/>
      <c r="JV13" s="64"/>
      <c r="JW13" s="64"/>
      <c r="JX13" s="64"/>
      <c r="JY13" s="64"/>
      <c r="JZ13" s="64"/>
      <c r="KA13" s="64"/>
      <c r="KB13" s="64"/>
      <c r="KC13" s="64"/>
      <c r="KD13" s="64"/>
      <c r="KE13" s="64"/>
      <c r="KF13" s="64"/>
      <c r="KG13" s="64"/>
      <c r="KH13" s="64"/>
      <c r="KI13" s="64"/>
      <c r="KJ13" s="64"/>
      <c r="KK13" s="64"/>
      <c r="KL13" s="64"/>
      <c r="KM13" s="64"/>
      <c r="KN13" s="64"/>
      <c r="KO13" s="64"/>
      <c r="KP13" s="64"/>
      <c r="KQ13" s="64"/>
      <c r="KR13" s="64"/>
      <c r="KS13" s="64"/>
      <c r="KT13" s="64"/>
      <c r="KU13" s="64"/>
      <c r="KV13" s="64"/>
      <c r="KW13" s="64"/>
      <c r="KX13" s="64"/>
      <c r="KY13" s="64"/>
      <c r="KZ13" s="64"/>
      <c r="LA13" s="64"/>
      <c r="LB13" s="64"/>
      <c r="LC13" s="64"/>
      <c r="LD13" s="64"/>
      <c r="LE13" s="64"/>
      <c r="LF13" s="64"/>
      <c r="LG13" s="64"/>
      <c r="LH13" s="64"/>
      <c r="LI13" s="64"/>
      <c r="LJ13" s="64"/>
      <c r="LK13" s="64"/>
      <c r="LL13" s="64"/>
      <c r="LM13" s="64"/>
      <c r="LN13" s="64"/>
      <c r="LO13" s="64"/>
      <c r="LP13" s="64"/>
      <c r="LQ13" s="64"/>
      <c r="LR13" s="64"/>
      <c r="LS13" s="64"/>
      <c r="LT13" s="64"/>
      <c r="LU13" s="64"/>
      <c r="LV13" s="64"/>
      <c r="LW13" s="64"/>
      <c r="LX13" s="64"/>
      <c r="LY13" s="64"/>
      <c r="LZ13" s="64"/>
      <c r="MA13" s="64"/>
      <c r="MB13" s="64"/>
      <c r="MC13" s="64"/>
      <c r="MD13" s="64"/>
      <c r="ME13" s="64"/>
      <c r="MF13" s="64"/>
      <c r="MG13" s="64"/>
      <c r="MH13" s="64"/>
      <c r="MI13" s="64"/>
    </row>
    <row r="14" spans="1:347" ht="17.100000000000001" customHeight="1">
      <c r="A14" s="1221"/>
      <c r="B14" s="1221"/>
      <c r="C14" s="1221"/>
      <c r="D14" s="1222"/>
      <c r="E14" s="1222"/>
      <c r="F14" s="1222"/>
    </row>
    <row r="15" spans="1:347" ht="17.100000000000001" customHeight="1" thickBot="1">
      <c r="A15" s="1221"/>
      <c r="B15" s="1221"/>
      <c r="C15" s="1221"/>
      <c r="D15" s="1222"/>
      <c r="E15" s="1222"/>
      <c r="F15" s="1222"/>
    </row>
    <row r="16" spans="1:347" s="1431" customFormat="1" ht="23.25" customHeight="1" thickBot="1">
      <c r="A16" s="1427" t="s">
        <v>317</v>
      </c>
      <c r="B16" s="1428" t="s">
        <v>41</v>
      </c>
      <c r="C16" s="1432" t="s">
        <v>47</v>
      </c>
      <c r="D16" s="2751" t="s">
        <v>4018</v>
      </c>
      <c r="E16" s="2752"/>
      <c r="F16" s="1429" t="s">
        <v>4019</v>
      </c>
      <c r="G16" s="1430"/>
      <c r="H16" s="64"/>
      <c r="I16" s="64"/>
      <c r="J16" s="64"/>
      <c r="K16" s="64"/>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c r="DI16" s="64"/>
      <c r="DJ16" s="64"/>
      <c r="DK16" s="64"/>
      <c r="DL16" s="64"/>
      <c r="DM16" s="64"/>
      <c r="DN16" s="64"/>
      <c r="DO16" s="64"/>
      <c r="DP16" s="64"/>
      <c r="DQ16" s="64"/>
      <c r="DR16" s="64"/>
      <c r="DS16" s="64"/>
      <c r="DT16" s="64"/>
      <c r="DU16" s="64"/>
      <c r="DV16" s="64"/>
      <c r="DW16" s="64"/>
      <c r="DX16" s="64"/>
      <c r="DY16" s="64"/>
      <c r="DZ16" s="64"/>
      <c r="EA16" s="64"/>
      <c r="EB16" s="64"/>
      <c r="EC16" s="64"/>
      <c r="ED16" s="64"/>
      <c r="EE16" s="64"/>
      <c r="EF16" s="64"/>
      <c r="EG16" s="64"/>
      <c r="EH16" s="64"/>
      <c r="EI16" s="64"/>
      <c r="EJ16" s="64"/>
      <c r="EK16" s="64"/>
      <c r="EL16" s="64"/>
      <c r="EM16" s="64"/>
      <c r="EN16" s="64"/>
      <c r="EO16" s="64"/>
      <c r="EP16" s="64"/>
      <c r="EQ16" s="64"/>
      <c r="ER16" s="64"/>
      <c r="ES16" s="64"/>
      <c r="ET16" s="64"/>
      <c r="EU16" s="64"/>
      <c r="EV16" s="64"/>
      <c r="EW16" s="64"/>
      <c r="EX16" s="64"/>
      <c r="EY16" s="64"/>
      <c r="EZ16" s="64"/>
      <c r="FA16" s="64"/>
      <c r="FB16" s="64"/>
      <c r="FC16" s="64"/>
      <c r="FD16" s="64"/>
      <c r="FE16" s="64"/>
      <c r="FF16" s="64"/>
      <c r="FG16" s="64"/>
      <c r="FH16" s="64"/>
      <c r="FI16" s="64"/>
      <c r="FJ16" s="64"/>
      <c r="FK16" s="64"/>
      <c r="FL16" s="64"/>
      <c r="FM16" s="64"/>
      <c r="FN16" s="64"/>
      <c r="FO16" s="64"/>
      <c r="FP16" s="64"/>
      <c r="FQ16" s="64"/>
      <c r="FR16" s="64"/>
      <c r="FS16" s="64"/>
      <c r="FT16" s="64"/>
      <c r="FU16" s="64"/>
      <c r="FV16" s="64"/>
      <c r="FW16" s="64"/>
      <c r="FX16" s="64"/>
      <c r="FY16" s="64"/>
      <c r="FZ16" s="64"/>
      <c r="GA16" s="64"/>
      <c r="GB16" s="64"/>
      <c r="GC16" s="64"/>
      <c r="GD16" s="64"/>
      <c r="GE16" s="64"/>
      <c r="GF16" s="64"/>
      <c r="GG16" s="64"/>
      <c r="GH16" s="64"/>
      <c r="GI16" s="64"/>
      <c r="GJ16" s="64"/>
      <c r="GK16" s="64"/>
      <c r="GL16" s="64"/>
      <c r="GM16" s="64"/>
      <c r="GN16" s="64"/>
      <c r="GO16" s="64"/>
      <c r="GP16" s="64"/>
      <c r="GQ16" s="64"/>
      <c r="GR16" s="64"/>
      <c r="GS16" s="64"/>
      <c r="GT16" s="64"/>
      <c r="GU16" s="64"/>
      <c r="GV16" s="64"/>
      <c r="GW16" s="64"/>
      <c r="GX16" s="64"/>
      <c r="GY16" s="64"/>
      <c r="GZ16" s="64"/>
      <c r="HA16" s="64"/>
      <c r="HB16" s="64"/>
      <c r="HC16" s="64"/>
      <c r="HD16" s="64"/>
      <c r="HE16" s="64"/>
      <c r="HF16" s="64"/>
      <c r="HG16" s="64"/>
      <c r="HH16" s="64"/>
      <c r="HI16" s="64"/>
      <c r="HJ16" s="64"/>
      <c r="HK16" s="64"/>
      <c r="HL16" s="64"/>
      <c r="HM16" s="64"/>
      <c r="HN16" s="64"/>
      <c r="HO16" s="64"/>
      <c r="HP16" s="64"/>
      <c r="HQ16" s="64"/>
      <c r="HR16" s="64"/>
      <c r="HS16" s="64"/>
      <c r="HT16" s="64"/>
      <c r="HU16" s="64"/>
      <c r="HV16" s="64"/>
      <c r="HW16" s="64"/>
      <c r="HX16" s="64"/>
      <c r="HY16" s="64"/>
      <c r="HZ16" s="64"/>
      <c r="IA16" s="64"/>
      <c r="IB16" s="64"/>
      <c r="IC16" s="64"/>
      <c r="ID16" s="64"/>
      <c r="IE16" s="64"/>
      <c r="IF16" s="64"/>
      <c r="IG16" s="64"/>
      <c r="IH16" s="64"/>
      <c r="II16" s="64"/>
      <c r="IJ16" s="64"/>
      <c r="IK16" s="64"/>
      <c r="IL16" s="64"/>
      <c r="IM16" s="64"/>
      <c r="IN16" s="64"/>
      <c r="IO16" s="64"/>
      <c r="IP16" s="64"/>
      <c r="IQ16" s="64"/>
      <c r="IR16" s="64"/>
      <c r="IS16" s="64"/>
      <c r="IT16" s="64"/>
      <c r="IU16" s="64"/>
      <c r="IV16" s="64"/>
      <c r="IW16" s="64"/>
      <c r="IX16" s="64"/>
      <c r="IY16" s="64"/>
      <c r="IZ16" s="64"/>
      <c r="JA16" s="64"/>
      <c r="JB16" s="64"/>
      <c r="JC16" s="64"/>
      <c r="JD16" s="64"/>
      <c r="JE16" s="64"/>
      <c r="JF16" s="64"/>
      <c r="JG16" s="64"/>
      <c r="JH16" s="64"/>
      <c r="JI16" s="64"/>
      <c r="JJ16" s="64"/>
      <c r="JK16" s="64"/>
      <c r="JL16" s="64"/>
      <c r="JM16" s="64"/>
      <c r="JN16" s="64"/>
      <c r="JO16" s="64"/>
      <c r="JP16" s="64"/>
      <c r="JQ16" s="64"/>
      <c r="JR16" s="64"/>
      <c r="JS16" s="64"/>
      <c r="JT16" s="64"/>
      <c r="JU16" s="64"/>
      <c r="JV16" s="64"/>
      <c r="JW16" s="64"/>
      <c r="JX16" s="64"/>
      <c r="JY16" s="64"/>
      <c r="JZ16" s="64"/>
      <c r="KA16" s="64"/>
      <c r="KB16" s="64"/>
      <c r="KC16" s="64"/>
      <c r="KD16" s="64"/>
      <c r="KE16" s="64"/>
      <c r="KF16" s="64"/>
      <c r="KG16" s="64"/>
      <c r="KH16" s="64"/>
      <c r="KI16" s="64"/>
      <c r="KJ16" s="64"/>
      <c r="KK16" s="64"/>
      <c r="KL16" s="64"/>
      <c r="KM16" s="64"/>
      <c r="KN16" s="64"/>
      <c r="KO16" s="64"/>
      <c r="KP16" s="64"/>
      <c r="KQ16" s="64"/>
      <c r="KR16" s="64"/>
      <c r="KS16" s="64"/>
      <c r="KT16" s="64"/>
      <c r="KU16" s="64"/>
      <c r="KV16" s="64"/>
      <c r="KW16" s="64"/>
      <c r="KX16" s="64"/>
      <c r="KY16" s="64"/>
      <c r="KZ16" s="64"/>
      <c r="LA16" s="64"/>
      <c r="LB16" s="64"/>
      <c r="LC16" s="64"/>
      <c r="LD16" s="64"/>
      <c r="LE16" s="64"/>
      <c r="LF16" s="64"/>
      <c r="LG16" s="64"/>
      <c r="LH16" s="64"/>
      <c r="LI16" s="64"/>
      <c r="LJ16" s="64"/>
      <c r="LK16" s="64"/>
      <c r="LL16" s="64"/>
      <c r="LM16" s="64"/>
      <c r="LN16" s="64"/>
      <c r="LO16" s="64"/>
      <c r="LP16" s="64"/>
      <c r="LQ16" s="64"/>
      <c r="LR16" s="64"/>
      <c r="LS16" s="64"/>
      <c r="LT16" s="64"/>
      <c r="LU16" s="64"/>
      <c r="LV16" s="64"/>
      <c r="LW16" s="64"/>
      <c r="LX16" s="64"/>
      <c r="LY16" s="64"/>
      <c r="LZ16" s="64"/>
      <c r="MA16" s="64"/>
      <c r="MB16" s="64"/>
      <c r="MC16" s="64"/>
      <c r="MD16" s="64"/>
      <c r="ME16" s="64"/>
      <c r="MF16" s="64"/>
      <c r="MG16" s="64"/>
      <c r="MH16" s="64"/>
      <c r="MI16" s="64"/>
    </row>
    <row r="17" spans="1:347" ht="30" customHeight="1">
      <c r="A17" s="1507"/>
      <c r="B17" s="1530"/>
      <c r="C17" s="1528" t="s">
        <v>4973</v>
      </c>
      <c r="D17" s="1394"/>
      <c r="E17" s="1395"/>
      <c r="F17" s="1396"/>
    </row>
    <row r="18" spans="1:347" s="1641" customFormat="1" ht="95.1" customHeight="1">
      <c r="A18" s="1635"/>
      <c r="B18" s="1636"/>
      <c r="C18" s="1533" t="s">
        <v>14290</v>
      </c>
      <c r="D18" s="1637"/>
      <c r="E18" s="1638"/>
      <c r="F18" s="1639"/>
      <c r="G18" s="1640"/>
      <c r="H18" s="1463"/>
      <c r="I18" s="1463"/>
      <c r="J18" s="1463"/>
      <c r="K18" s="1463"/>
      <c r="L18" s="1463"/>
      <c r="M18" s="1463"/>
      <c r="N18" s="1463"/>
      <c r="O18" s="1463"/>
      <c r="P18" s="1463"/>
      <c r="Q18" s="1463"/>
      <c r="R18" s="1463"/>
      <c r="S18" s="1463"/>
      <c r="T18" s="1463"/>
      <c r="U18" s="1463"/>
      <c r="V18" s="1463"/>
      <c r="W18" s="1463"/>
      <c r="X18" s="1463"/>
      <c r="Y18" s="1463"/>
      <c r="Z18" s="1463"/>
      <c r="AA18" s="1463"/>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c r="BJ18" s="1463"/>
      <c r="BK18" s="1463"/>
      <c r="BL18" s="1463"/>
      <c r="BM18" s="1463"/>
      <c r="BN18" s="1463"/>
      <c r="BO18" s="1463"/>
      <c r="BP18" s="1463"/>
      <c r="BQ18" s="1463"/>
      <c r="BR18" s="1463"/>
      <c r="BS18" s="1463"/>
      <c r="BT18" s="1463"/>
      <c r="BU18" s="1463"/>
      <c r="BV18" s="1463"/>
      <c r="BW18" s="1463"/>
      <c r="BX18" s="1463"/>
      <c r="BY18" s="1463"/>
      <c r="BZ18" s="1463"/>
      <c r="CA18" s="1463"/>
      <c r="CB18" s="1463"/>
      <c r="CC18" s="1463"/>
      <c r="CD18" s="1463"/>
      <c r="CE18" s="1463"/>
      <c r="CF18" s="1463"/>
      <c r="CG18" s="1463"/>
      <c r="CH18" s="1463"/>
      <c r="CI18" s="1463"/>
      <c r="CJ18" s="1463"/>
      <c r="CK18" s="1463"/>
      <c r="CL18" s="1463"/>
      <c r="CM18" s="1463"/>
      <c r="CN18" s="1463"/>
      <c r="CO18" s="1463"/>
      <c r="CP18" s="1463"/>
      <c r="CQ18" s="1463"/>
      <c r="CR18" s="1463"/>
      <c r="CS18" s="1463"/>
      <c r="CT18" s="1463"/>
      <c r="CU18" s="1463"/>
      <c r="CV18" s="1463"/>
      <c r="CW18" s="1463"/>
      <c r="CX18" s="1463"/>
      <c r="CY18" s="1463"/>
      <c r="CZ18" s="1463"/>
      <c r="DA18" s="1463"/>
      <c r="DB18" s="1463"/>
      <c r="DC18" s="1463"/>
      <c r="DD18" s="1463"/>
      <c r="DE18" s="1463"/>
      <c r="DF18" s="1463"/>
      <c r="DG18" s="1463"/>
      <c r="DH18" s="1463"/>
      <c r="DI18" s="1463"/>
      <c r="DJ18" s="1463"/>
      <c r="DK18" s="1463"/>
      <c r="DL18" s="1463"/>
      <c r="DM18" s="1463"/>
      <c r="DN18" s="1463"/>
      <c r="DO18" s="1463"/>
      <c r="DP18" s="1463"/>
      <c r="DQ18" s="1463"/>
      <c r="DR18" s="1463"/>
      <c r="DS18" s="1463"/>
      <c r="DT18" s="1463"/>
      <c r="DU18" s="1463"/>
      <c r="DV18" s="1463"/>
      <c r="DW18" s="1463"/>
      <c r="DX18" s="1463"/>
      <c r="DY18" s="1463"/>
      <c r="DZ18" s="1463"/>
      <c r="EA18" s="1463"/>
      <c r="EB18" s="1463"/>
      <c r="EC18" s="1463"/>
      <c r="ED18" s="1463"/>
      <c r="EE18" s="1463"/>
      <c r="EF18" s="1463"/>
      <c r="EG18" s="1463"/>
      <c r="EH18" s="1463"/>
      <c r="EI18" s="1463"/>
      <c r="EJ18" s="1463"/>
      <c r="EK18" s="1463"/>
      <c r="EL18" s="1463"/>
      <c r="EM18" s="1463"/>
      <c r="EN18" s="1463"/>
      <c r="EO18" s="1463"/>
      <c r="EP18" s="1463"/>
      <c r="EQ18" s="1463"/>
      <c r="ER18" s="1463"/>
      <c r="ES18" s="1463"/>
      <c r="ET18" s="1463"/>
      <c r="EU18" s="1463"/>
      <c r="EV18" s="1463"/>
      <c r="EW18" s="1463"/>
      <c r="EX18" s="1463"/>
      <c r="EY18" s="1463"/>
      <c r="EZ18" s="1463"/>
      <c r="FA18" s="1463"/>
      <c r="FB18" s="1463"/>
      <c r="FC18" s="1463"/>
      <c r="FD18" s="1463"/>
      <c r="FE18" s="1463"/>
      <c r="FF18" s="1463"/>
      <c r="FG18" s="1463"/>
      <c r="FH18" s="1463"/>
      <c r="FI18" s="1463"/>
      <c r="FJ18" s="1463"/>
      <c r="FK18" s="1463"/>
      <c r="FL18" s="1463"/>
      <c r="FM18" s="1463"/>
      <c r="FN18" s="1463"/>
      <c r="FO18" s="1463"/>
      <c r="FP18" s="1463"/>
      <c r="FQ18" s="1463"/>
      <c r="FR18" s="1463"/>
      <c r="FS18" s="1463"/>
      <c r="FT18" s="1463"/>
      <c r="FU18" s="1463"/>
      <c r="FV18" s="1463"/>
      <c r="FW18" s="1463"/>
      <c r="FX18" s="1463"/>
      <c r="FY18" s="1463"/>
      <c r="FZ18" s="1463"/>
      <c r="GA18" s="1463"/>
      <c r="GB18" s="1463"/>
      <c r="GC18" s="1463"/>
      <c r="GD18" s="1463"/>
      <c r="GE18" s="1463"/>
      <c r="GF18" s="1463"/>
      <c r="GG18" s="1463"/>
      <c r="GH18" s="1463"/>
      <c r="GI18" s="1463"/>
      <c r="GJ18" s="1463"/>
      <c r="GK18" s="1463"/>
      <c r="GL18" s="1463"/>
      <c r="GM18" s="1463"/>
      <c r="GN18" s="1463"/>
      <c r="GO18" s="1463"/>
      <c r="GP18" s="1463"/>
      <c r="GQ18" s="1463"/>
      <c r="GR18" s="1463"/>
      <c r="GS18" s="1463"/>
      <c r="GT18" s="1463"/>
      <c r="GU18" s="1463"/>
      <c r="GV18" s="1463"/>
      <c r="GW18" s="1463"/>
      <c r="GX18" s="1463"/>
      <c r="GY18" s="1463"/>
      <c r="GZ18" s="1463"/>
      <c r="HA18" s="1463"/>
      <c r="HB18" s="1463"/>
      <c r="HC18" s="1463"/>
      <c r="HD18" s="1463"/>
      <c r="HE18" s="1463"/>
      <c r="HF18" s="1463"/>
      <c r="HG18" s="1463"/>
      <c r="HH18" s="1463"/>
      <c r="HI18" s="1463"/>
      <c r="HJ18" s="1463"/>
      <c r="HK18" s="1463"/>
      <c r="HL18" s="1463"/>
      <c r="HM18" s="1463"/>
      <c r="HN18" s="1463"/>
      <c r="HO18" s="1463"/>
      <c r="HP18" s="1463"/>
      <c r="HQ18" s="1463"/>
      <c r="HR18" s="1463"/>
      <c r="HS18" s="1463"/>
      <c r="HT18" s="1463"/>
      <c r="HU18" s="1463"/>
      <c r="HV18" s="1463"/>
      <c r="HW18" s="1463"/>
      <c r="HX18" s="1463"/>
      <c r="HY18" s="1463"/>
      <c r="HZ18" s="1463"/>
      <c r="IA18" s="1463"/>
      <c r="IB18" s="1463"/>
      <c r="IC18" s="1463"/>
      <c r="ID18" s="1463"/>
      <c r="IE18" s="1463"/>
      <c r="IF18" s="1463"/>
      <c r="IG18" s="1463"/>
      <c r="IH18" s="1463"/>
      <c r="II18" s="1463"/>
      <c r="IJ18" s="1463"/>
      <c r="IK18" s="1463"/>
      <c r="IL18" s="1463"/>
      <c r="IM18" s="1463"/>
      <c r="IN18" s="1463"/>
      <c r="IO18" s="1463"/>
      <c r="IP18" s="1463"/>
      <c r="IQ18" s="1463"/>
      <c r="IR18" s="1463"/>
      <c r="IS18" s="1463"/>
      <c r="IT18" s="1463"/>
      <c r="IU18" s="1463"/>
      <c r="IV18" s="1463"/>
      <c r="IW18" s="1463"/>
      <c r="IX18" s="1463"/>
      <c r="IY18" s="1463"/>
      <c r="IZ18" s="1463"/>
      <c r="JA18" s="1463"/>
      <c r="JB18" s="1463"/>
      <c r="JC18" s="1463"/>
      <c r="JD18" s="1463"/>
      <c r="JE18" s="1463"/>
      <c r="JF18" s="1463"/>
      <c r="JG18" s="1463"/>
      <c r="JH18" s="1463"/>
      <c r="JI18" s="1463"/>
      <c r="JJ18" s="1463"/>
      <c r="JK18" s="1463"/>
      <c r="JL18" s="1463"/>
      <c r="JM18" s="1463"/>
      <c r="JN18" s="1463"/>
      <c r="JO18" s="1463"/>
      <c r="JP18" s="1463"/>
      <c r="JQ18" s="1463"/>
      <c r="JR18" s="1463"/>
      <c r="JS18" s="1463"/>
      <c r="JT18" s="1463"/>
      <c r="JU18" s="1463"/>
      <c r="JV18" s="1463"/>
      <c r="JW18" s="1463"/>
      <c r="JX18" s="1463"/>
      <c r="JY18" s="1463"/>
      <c r="JZ18" s="1463"/>
      <c r="KA18" s="1463"/>
      <c r="KB18" s="1463"/>
      <c r="KC18" s="1463"/>
      <c r="KD18" s="1463"/>
      <c r="KE18" s="1463"/>
      <c r="KF18" s="1463"/>
      <c r="KG18" s="1463"/>
      <c r="KH18" s="1463"/>
      <c r="KI18" s="1463"/>
      <c r="KJ18" s="1463"/>
      <c r="KK18" s="1463"/>
      <c r="KL18" s="1463"/>
      <c r="KM18" s="1463"/>
      <c r="KN18" s="1463"/>
      <c r="KO18" s="1463"/>
      <c r="KP18" s="1463"/>
      <c r="KQ18" s="1463"/>
      <c r="KR18" s="1463"/>
      <c r="KS18" s="1463"/>
      <c r="KT18" s="1463"/>
      <c r="KU18" s="1463"/>
      <c r="KV18" s="1463"/>
      <c r="KW18" s="1463"/>
      <c r="KX18" s="1463"/>
      <c r="KY18" s="1463"/>
      <c r="KZ18" s="1463"/>
      <c r="LA18" s="1463"/>
      <c r="LB18" s="1463"/>
      <c r="LC18" s="1463"/>
      <c r="LD18" s="1463"/>
      <c r="LE18" s="1463"/>
      <c r="LF18" s="1463"/>
      <c r="LG18" s="1463"/>
      <c r="LH18" s="1463"/>
      <c r="LI18" s="1463"/>
      <c r="LJ18" s="1463"/>
      <c r="LK18" s="1463"/>
      <c r="LL18" s="1463"/>
      <c r="LM18" s="1463"/>
      <c r="LN18" s="1463"/>
      <c r="LO18" s="1463"/>
      <c r="LP18" s="1463"/>
      <c r="LQ18" s="1463"/>
      <c r="LR18" s="1463"/>
      <c r="LS18" s="1463"/>
      <c r="LT18" s="1463"/>
      <c r="LU18" s="1463"/>
      <c r="LV18" s="1463"/>
      <c r="LW18" s="1463"/>
      <c r="LX18" s="1463"/>
      <c r="LY18" s="1463"/>
      <c r="LZ18" s="1463"/>
      <c r="MA18" s="1463"/>
      <c r="MB18" s="1463"/>
      <c r="MC18" s="1463"/>
      <c r="MD18" s="1463"/>
      <c r="ME18" s="1463"/>
      <c r="MF18" s="1463"/>
      <c r="MG18" s="1463"/>
      <c r="MH18" s="1463"/>
      <c r="MI18" s="1463"/>
    </row>
    <row r="19" spans="1:347" ht="50.1" customHeight="1">
      <c r="A19" s="1507"/>
      <c r="B19" s="1531"/>
      <c r="C19" s="1533" t="s">
        <v>4334</v>
      </c>
      <c r="D19" s="1394"/>
      <c r="E19" s="1395"/>
      <c r="F19" s="1396"/>
    </row>
    <row r="20" spans="1:347" ht="35.1" customHeight="1">
      <c r="A20" s="1507"/>
      <c r="B20" s="1531"/>
      <c r="C20" s="1533" t="s">
        <v>14291</v>
      </c>
      <c r="D20" s="1394"/>
      <c r="E20" s="1395"/>
      <c r="F20" s="1396"/>
    </row>
    <row r="21" spans="1:347" ht="21" customHeight="1" thickBot="1">
      <c r="A21" s="1507"/>
      <c r="B21" s="1532"/>
      <c r="C21" s="1529"/>
      <c r="D21" s="1508"/>
      <c r="E21" s="1509"/>
      <c r="F21" s="1510"/>
    </row>
    <row r="22" spans="1:347" s="64" customFormat="1" ht="20.100000000000001" customHeight="1" thickBot="1">
      <c r="A22" s="1988">
        <v>1</v>
      </c>
      <c r="B22" s="2535">
        <v>1</v>
      </c>
      <c r="C22" s="1458" t="s">
        <v>14157</v>
      </c>
      <c r="D22" s="2541">
        <v>14858</v>
      </c>
      <c r="E22" s="1700"/>
      <c r="F22" s="1700">
        <v>14858</v>
      </c>
    </row>
    <row r="23" spans="1:347" customFormat="1" ht="14.45" customHeight="1">
      <c r="A23" s="852" t="s">
        <v>3310</v>
      </c>
      <c r="B23" s="1978"/>
      <c r="C23" s="1922"/>
      <c r="D23" s="2542"/>
      <c r="E23" s="1702"/>
      <c r="F23" s="1702"/>
    </row>
    <row r="24" spans="1:347" customFormat="1" ht="14.45" customHeight="1">
      <c r="A24" s="856" t="s">
        <v>4059</v>
      </c>
      <c r="B24" s="1979"/>
      <c r="C24" s="1441" t="s">
        <v>3301</v>
      </c>
      <c r="D24" s="2542"/>
      <c r="E24" s="1702"/>
      <c r="F24" s="1702"/>
    </row>
    <row r="25" spans="1:347" customFormat="1" ht="25.5">
      <c r="A25" s="856" t="s">
        <v>4321</v>
      </c>
      <c r="B25" s="1553">
        <v>1</v>
      </c>
      <c r="C25" s="1444" t="s">
        <v>4726</v>
      </c>
      <c r="D25" s="2542"/>
      <c r="E25" s="1703"/>
      <c r="F25" s="1703"/>
    </row>
    <row r="26" spans="1:347" customFormat="1" ht="14.45" customHeight="1">
      <c r="A26" s="856" t="s">
        <v>3725</v>
      </c>
      <c r="B26" s="2517"/>
      <c r="C26" s="1698"/>
      <c r="D26" s="1701"/>
      <c r="E26" s="1703"/>
      <c r="F26" s="1703"/>
    </row>
    <row r="27" spans="1:347" customFormat="1" ht="14.45" customHeight="1">
      <c r="A27" s="856" t="s">
        <v>3726</v>
      </c>
      <c r="B27" s="1553"/>
      <c r="C27" s="1980" t="s">
        <v>9489</v>
      </c>
      <c r="D27" s="2542"/>
      <c r="E27" s="1703"/>
      <c r="F27" s="1703"/>
    </row>
    <row r="28" spans="1:347" customFormat="1" ht="14.45" customHeight="1">
      <c r="A28" s="865"/>
      <c r="B28" s="1563">
        <v>1</v>
      </c>
      <c r="C28" s="1571" t="s">
        <v>6230</v>
      </c>
      <c r="D28" s="2543"/>
      <c r="E28" s="1703"/>
      <c r="F28" s="1703"/>
    </row>
    <row r="29" spans="1:347" customFormat="1" ht="14.45" customHeight="1">
      <c r="A29" s="864"/>
      <c r="B29" s="1440">
        <v>1</v>
      </c>
      <c r="C29" s="1697" t="s">
        <v>3536</v>
      </c>
      <c r="D29" s="2544"/>
      <c r="E29" s="1705"/>
      <c r="F29" s="1705"/>
    </row>
    <row r="30" spans="1:347" customFormat="1" ht="14.45" customHeight="1">
      <c r="A30" s="856"/>
      <c r="B30" s="1437">
        <v>1</v>
      </c>
      <c r="C30" s="1572" t="s">
        <v>2332</v>
      </c>
      <c r="D30" s="2543"/>
      <c r="E30" s="1702"/>
      <c r="F30" s="1702"/>
    </row>
    <row r="31" spans="1:347" customFormat="1" ht="25.5">
      <c r="A31" s="856"/>
      <c r="B31" s="1437">
        <v>1</v>
      </c>
      <c r="C31" s="2536" t="s">
        <v>7097</v>
      </c>
      <c r="D31" s="2543"/>
      <c r="E31" s="1702"/>
      <c r="F31" s="1702"/>
    </row>
    <row r="32" spans="1:347" customFormat="1" ht="14.45" customHeight="1">
      <c r="A32" s="856"/>
      <c r="B32" s="1437">
        <v>1</v>
      </c>
      <c r="C32" s="1572" t="s">
        <v>14158</v>
      </c>
      <c r="D32" s="2543"/>
      <c r="E32" s="1702"/>
      <c r="F32" s="1702"/>
    </row>
    <row r="33" spans="1:6" customFormat="1" ht="14.45" customHeight="1">
      <c r="A33" s="856"/>
      <c r="B33" s="1437">
        <v>1</v>
      </c>
      <c r="C33" s="1572" t="s">
        <v>14159</v>
      </c>
      <c r="D33" s="2543"/>
      <c r="E33" s="1702"/>
      <c r="F33" s="1702"/>
    </row>
    <row r="34" spans="1:6" customFormat="1" ht="14.45" customHeight="1">
      <c r="A34" s="856"/>
      <c r="B34" s="1437">
        <v>1</v>
      </c>
      <c r="C34" s="1572" t="s">
        <v>1878</v>
      </c>
      <c r="D34" s="2543"/>
      <c r="E34" s="1702"/>
      <c r="F34" s="1702"/>
    </row>
    <row r="35" spans="1:6" customFormat="1" ht="14.45" customHeight="1">
      <c r="A35" s="856"/>
      <c r="B35" s="1437">
        <v>1</v>
      </c>
      <c r="C35" s="1572" t="s">
        <v>11253</v>
      </c>
      <c r="D35" s="2543"/>
      <c r="E35" s="1702"/>
      <c r="F35" s="1702"/>
    </row>
    <row r="36" spans="1:6" customFormat="1" ht="14.45" customHeight="1">
      <c r="A36" s="856"/>
      <c r="B36" s="1437">
        <v>2</v>
      </c>
      <c r="C36" s="1572" t="s">
        <v>8453</v>
      </c>
      <c r="D36" s="2543"/>
      <c r="E36" s="1702"/>
      <c r="F36" s="1702"/>
    </row>
    <row r="37" spans="1:6" customFormat="1" ht="14.45" customHeight="1">
      <c r="A37" s="1447"/>
      <c r="B37" s="1440">
        <v>1</v>
      </c>
      <c r="C37" s="1697" t="s">
        <v>3537</v>
      </c>
      <c r="D37" s="2544"/>
      <c r="E37" s="1705"/>
      <c r="F37" s="1705"/>
    </row>
    <row r="38" spans="1:6" customFormat="1" ht="14.45" customHeight="1">
      <c r="A38" s="856"/>
      <c r="B38" s="1553"/>
      <c r="C38" s="1980" t="s">
        <v>9489</v>
      </c>
      <c r="D38" s="2542"/>
      <c r="E38" s="1703"/>
      <c r="F38" s="1703"/>
    </row>
    <row r="39" spans="1:6" customFormat="1" ht="14.45" customHeight="1">
      <c r="A39" s="1123"/>
      <c r="B39" s="1553"/>
      <c r="C39" s="1571" t="s">
        <v>3535</v>
      </c>
      <c r="D39" s="2542"/>
      <c r="E39" s="1703"/>
      <c r="F39" s="1703"/>
    </row>
    <row r="40" spans="1:6" customFormat="1" ht="25.5">
      <c r="A40" s="863"/>
      <c r="B40" s="1553">
        <v>1</v>
      </c>
      <c r="C40" s="1444" t="s">
        <v>4726</v>
      </c>
      <c r="D40" s="2542"/>
      <c r="E40" s="1703"/>
      <c r="F40" s="1703"/>
    </row>
    <row r="41" spans="1:6" customFormat="1" ht="14.45" customHeight="1">
      <c r="A41" s="1124"/>
      <c r="B41" s="1553">
        <v>6</v>
      </c>
      <c r="C41" s="1442" t="s">
        <v>4989</v>
      </c>
      <c r="D41" s="2542"/>
      <c r="E41" s="1703"/>
      <c r="F41" s="1703"/>
    </row>
    <row r="42" spans="1:6" customFormat="1" ht="14.45" customHeight="1">
      <c r="A42" s="865"/>
      <c r="B42" s="1553">
        <v>2</v>
      </c>
      <c r="C42" s="1439" t="s">
        <v>9490</v>
      </c>
      <c r="D42" s="2542"/>
      <c r="E42" s="1703"/>
      <c r="F42" s="1703"/>
    </row>
    <row r="43" spans="1:6" customFormat="1" ht="14.45" customHeight="1">
      <c r="A43" s="863"/>
      <c r="B43" s="1435"/>
      <c r="C43" s="1442" t="s">
        <v>729</v>
      </c>
      <c r="D43" s="1701"/>
      <c r="E43" s="1703"/>
      <c r="F43" s="1703"/>
    </row>
    <row r="44" spans="1:6" customFormat="1" ht="14.45" customHeight="1">
      <c r="A44" s="856"/>
      <c r="B44" s="1438">
        <v>1</v>
      </c>
      <c r="C44" s="1443" t="s">
        <v>5370</v>
      </c>
      <c r="D44" s="1704"/>
      <c r="E44" s="1705"/>
      <c r="F44" s="1705"/>
    </row>
    <row r="45" spans="1:6" customFormat="1" ht="14.45" customHeight="1">
      <c r="A45" s="1447"/>
      <c r="B45" s="1438">
        <v>1</v>
      </c>
      <c r="C45" s="1443" t="s">
        <v>3591</v>
      </c>
      <c r="D45" s="1704"/>
      <c r="E45" s="1705"/>
      <c r="F45" s="1705"/>
    </row>
    <row r="46" spans="1:6" customFormat="1" ht="14.45" customHeight="1">
      <c r="A46" s="1447"/>
      <c r="B46" s="1435"/>
      <c r="C46" s="1442" t="s">
        <v>729</v>
      </c>
      <c r="D46" s="1701"/>
      <c r="E46" s="1703"/>
      <c r="F46" s="1703"/>
    </row>
    <row r="47" spans="1:6" customFormat="1" ht="14.45" customHeight="1">
      <c r="A47" s="856"/>
      <c r="B47" s="1436">
        <v>1</v>
      </c>
      <c r="C47" s="1441" t="s">
        <v>9491</v>
      </c>
      <c r="D47" s="1701"/>
      <c r="E47" s="1702"/>
      <c r="F47" s="1702"/>
    </row>
    <row r="48" spans="1:6" customFormat="1" ht="14.45" customHeight="1">
      <c r="A48" s="856"/>
      <c r="B48" s="1435">
        <v>1</v>
      </c>
      <c r="C48" s="1433" t="s">
        <v>8319</v>
      </c>
      <c r="D48" s="1701"/>
      <c r="E48" s="1703"/>
      <c r="F48" s="1703"/>
    </row>
    <row r="49" spans="1:347" customFormat="1" ht="14.45" customHeight="1">
      <c r="A49" s="1889"/>
      <c r="B49" s="1435">
        <v>3</v>
      </c>
      <c r="C49" s="1433" t="s">
        <v>428</v>
      </c>
      <c r="D49" s="1701"/>
      <c r="E49" s="1703"/>
      <c r="F49" s="1703"/>
    </row>
    <row r="50" spans="1:347" customFormat="1" ht="14.45" customHeight="1">
      <c r="A50" s="1447"/>
      <c r="B50" s="1438">
        <v>1</v>
      </c>
      <c r="C50" s="1445" t="s">
        <v>3302</v>
      </c>
      <c r="D50" s="1704"/>
      <c r="E50" s="1705"/>
      <c r="F50" s="1705"/>
    </row>
    <row r="51" spans="1:347" customFormat="1" ht="14.45" customHeight="1">
      <c r="A51" s="1447"/>
      <c r="B51" s="1438">
        <v>1</v>
      </c>
      <c r="C51" s="1445" t="s">
        <v>3303</v>
      </c>
      <c r="D51" s="1704"/>
      <c r="E51" s="1705"/>
      <c r="F51" s="1705"/>
    </row>
    <row r="52" spans="1:347" customFormat="1" ht="14.45" customHeight="1">
      <c r="A52" s="856"/>
      <c r="B52" s="1553"/>
      <c r="C52" s="1439" t="s">
        <v>729</v>
      </c>
      <c r="D52" s="2542"/>
      <c r="E52" s="1703"/>
      <c r="F52" s="1703"/>
    </row>
    <row r="53" spans="1:347" customFormat="1" ht="14.45" customHeight="1">
      <c r="A53" s="1889"/>
      <c r="B53" s="1434"/>
      <c r="C53" s="1570"/>
      <c r="D53" s="1706"/>
      <c r="E53" s="1707"/>
      <c r="F53" s="1707"/>
    </row>
    <row r="54" spans="1:347" customFormat="1" ht="14.45" customHeight="1">
      <c r="A54" s="856"/>
      <c r="B54" s="1435"/>
      <c r="C54" s="1442" t="s">
        <v>729</v>
      </c>
      <c r="D54" s="1701"/>
      <c r="E54" s="1703"/>
      <c r="F54" s="1703"/>
    </row>
    <row r="55" spans="1:347" customFormat="1" ht="14.45" customHeight="1">
      <c r="A55" s="1446"/>
      <c r="B55" s="1436">
        <v>1</v>
      </c>
      <c r="C55" s="1441" t="s">
        <v>4044</v>
      </c>
      <c r="D55" s="2542"/>
      <c r="E55" s="1702"/>
      <c r="F55" s="1702"/>
    </row>
    <row r="56" spans="1:347" customFormat="1" ht="14.45" customHeight="1">
      <c r="A56" s="856"/>
      <c r="B56" s="1437">
        <v>3</v>
      </c>
      <c r="C56" s="1433" t="s">
        <v>14160</v>
      </c>
      <c r="D56" s="2542"/>
      <c r="E56" s="1703"/>
      <c r="F56" s="1703"/>
    </row>
    <row r="57" spans="1:347" customFormat="1" ht="14.45" customHeight="1">
      <c r="A57" s="1447"/>
      <c r="B57" s="1440">
        <v>1</v>
      </c>
      <c r="C57" s="1445" t="s">
        <v>9497</v>
      </c>
      <c r="D57" s="2545"/>
      <c r="E57" s="1705"/>
      <c r="F57" s="1705"/>
    </row>
    <row r="58" spans="1:347" customFormat="1" ht="14.45" customHeight="1">
      <c r="A58" s="856"/>
      <c r="B58" s="1553"/>
      <c r="C58" s="1439" t="s">
        <v>729</v>
      </c>
      <c r="D58" s="2542"/>
      <c r="E58" s="1703"/>
      <c r="F58" s="1703"/>
    </row>
    <row r="59" spans="1:347" customFormat="1" ht="14.45" customHeight="1">
      <c r="A59" s="856"/>
      <c r="B59" s="1553">
        <v>1</v>
      </c>
      <c r="C59" s="1439" t="s">
        <v>9498</v>
      </c>
      <c r="D59" s="2546"/>
      <c r="E59" s="1703"/>
      <c r="F59" s="1703"/>
    </row>
    <row r="60" spans="1:347" customFormat="1" ht="14.45" customHeight="1">
      <c r="A60" s="856"/>
      <c r="B60" s="1553"/>
      <c r="C60" s="1439" t="s">
        <v>729</v>
      </c>
      <c r="D60" s="2542"/>
      <c r="E60" s="1703"/>
      <c r="F60" s="1703"/>
    </row>
    <row r="61" spans="1:347" customFormat="1" ht="14.45" customHeight="1" thickBot="1">
      <c r="A61" s="871"/>
      <c r="B61" s="1565"/>
      <c r="C61" s="1573"/>
      <c r="D61" s="2547"/>
      <c r="E61" s="1711"/>
      <c r="F61" s="1711"/>
    </row>
    <row r="62" spans="1:347" ht="30" customHeight="1" thickBot="1">
      <c r="A62" s="2560"/>
      <c r="B62" s="2561"/>
      <c r="C62" s="2562" t="s">
        <v>14292</v>
      </c>
      <c r="D62" s="2563"/>
      <c r="E62" s="2564"/>
      <c r="F62" s="2565"/>
      <c r="H62" s="1331"/>
      <c r="I62" s="1331"/>
      <c r="J62" s="1331"/>
      <c r="K62" s="1331"/>
      <c r="L62" s="1331"/>
      <c r="M62" s="1331"/>
      <c r="N62" s="1331"/>
      <c r="O62" s="1331"/>
      <c r="P62" s="1331"/>
      <c r="Q62" s="1331"/>
      <c r="R62" s="1331"/>
      <c r="S62" s="1331"/>
      <c r="T62" s="1331"/>
      <c r="U62" s="1331"/>
      <c r="V62" s="1331"/>
      <c r="W62" s="1331"/>
      <c r="X62" s="1331"/>
      <c r="Y62" s="1331"/>
      <c r="Z62" s="1331"/>
      <c r="AA62" s="1331"/>
      <c r="AB62" s="1331"/>
      <c r="AC62" s="1331"/>
      <c r="AD62" s="1331"/>
      <c r="AE62" s="1331"/>
      <c r="AF62" s="1331"/>
      <c r="AG62" s="1331"/>
      <c r="AH62" s="1331"/>
      <c r="AI62" s="1331"/>
      <c r="AJ62" s="1331"/>
      <c r="AK62" s="1331"/>
      <c r="AL62" s="1331"/>
      <c r="AM62" s="1331"/>
      <c r="AN62" s="1331"/>
      <c r="AO62" s="1331"/>
      <c r="AP62" s="1331"/>
      <c r="AQ62" s="1331"/>
      <c r="AR62" s="1331"/>
      <c r="AS62" s="1331"/>
      <c r="AT62" s="1331"/>
      <c r="AU62" s="1331"/>
      <c r="AV62" s="1331"/>
      <c r="AW62" s="1331"/>
      <c r="AX62" s="1331"/>
      <c r="AY62" s="1331"/>
      <c r="AZ62" s="1331"/>
      <c r="BA62" s="1331"/>
      <c r="BB62" s="1331"/>
      <c r="BC62" s="1331"/>
      <c r="BD62" s="1331"/>
      <c r="BE62" s="1331"/>
      <c r="BF62" s="1331"/>
      <c r="BG62" s="1331"/>
      <c r="BH62" s="1331"/>
      <c r="BI62" s="1331"/>
      <c r="BJ62" s="1331"/>
      <c r="BK62" s="1331"/>
      <c r="BL62" s="1331"/>
      <c r="BM62" s="1331"/>
      <c r="BN62" s="1331"/>
      <c r="BO62" s="1331"/>
      <c r="BP62" s="1331"/>
      <c r="BQ62" s="1331"/>
      <c r="BR62" s="1331"/>
      <c r="BS62" s="1331"/>
      <c r="BT62" s="1331"/>
      <c r="BU62" s="1331"/>
      <c r="BV62" s="1331"/>
      <c r="BW62" s="1331"/>
      <c r="BX62" s="1331"/>
      <c r="BY62" s="1331"/>
      <c r="BZ62" s="1331"/>
      <c r="CA62" s="1331"/>
      <c r="CB62" s="1331"/>
      <c r="CC62" s="1331"/>
      <c r="CD62" s="1331"/>
      <c r="CE62" s="1331"/>
      <c r="CF62" s="1331"/>
      <c r="CG62" s="1331"/>
      <c r="CH62" s="1331"/>
      <c r="CI62" s="1331"/>
      <c r="CJ62" s="1331"/>
      <c r="CK62" s="1331"/>
      <c r="CL62" s="1331"/>
      <c r="CM62" s="1331"/>
      <c r="CN62" s="1331"/>
      <c r="CO62" s="1331"/>
      <c r="CP62" s="1331"/>
      <c r="CQ62" s="1331"/>
      <c r="CR62" s="1331"/>
      <c r="CS62" s="1331"/>
      <c r="CT62" s="1331"/>
      <c r="CU62" s="1331"/>
      <c r="CV62" s="1331"/>
      <c r="CW62" s="1331"/>
      <c r="CX62" s="1331"/>
      <c r="CY62" s="1331"/>
      <c r="CZ62" s="1331"/>
      <c r="DA62" s="1331"/>
      <c r="DB62" s="1331"/>
      <c r="DC62" s="1331"/>
      <c r="DD62" s="1331"/>
      <c r="DE62" s="1331"/>
      <c r="DF62" s="1331"/>
      <c r="DG62" s="1331"/>
      <c r="DH62" s="1331"/>
      <c r="DI62" s="1331"/>
      <c r="DJ62" s="1331"/>
      <c r="DK62" s="1331"/>
      <c r="DL62" s="1331"/>
      <c r="DM62" s="1331"/>
      <c r="DN62" s="1331"/>
      <c r="DO62" s="1331"/>
      <c r="DP62" s="1331"/>
      <c r="DQ62" s="1331"/>
      <c r="DR62" s="1331"/>
      <c r="DS62" s="1331"/>
      <c r="DT62" s="1331"/>
      <c r="DU62" s="1331"/>
      <c r="DV62" s="1331"/>
      <c r="DW62" s="1331"/>
      <c r="DX62" s="1331"/>
      <c r="DY62" s="1331"/>
      <c r="DZ62" s="1331"/>
      <c r="EA62" s="1331"/>
      <c r="EB62" s="1331"/>
      <c r="EC62" s="1331"/>
      <c r="ED62" s="1331"/>
      <c r="EE62" s="1331"/>
      <c r="EF62" s="1331"/>
      <c r="EG62" s="1331"/>
      <c r="EH62" s="1331"/>
      <c r="EI62" s="1331"/>
      <c r="EJ62" s="1331"/>
      <c r="EK62" s="1331"/>
      <c r="EL62" s="1331"/>
      <c r="EM62" s="1331"/>
      <c r="EN62" s="1331"/>
      <c r="EO62" s="1331"/>
      <c r="EP62" s="1331"/>
      <c r="EQ62" s="1331"/>
      <c r="ER62" s="1331"/>
      <c r="ES62" s="1331"/>
      <c r="ET62" s="1331"/>
      <c r="EU62" s="1331"/>
      <c r="EV62" s="1331"/>
      <c r="EW62" s="1331"/>
      <c r="EX62" s="1331"/>
      <c r="EY62" s="1331"/>
      <c r="EZ62" s="1331"/>
      <c r="FA62" s="1331"/>
      <c r="FB62" s="1331"/>
      <c r="FC62" s="1331"/>
      <c r="FD62" s="1331"/>
      <c r="FE62" s="1331"/>
      <c r="FF62" s="1331"/>
      <c r="FG62" s="1331"/>
      <c r="FH62" s="1331"/>
      <c r="FI62" s="1331"/>
      <c r="FJ62" s="1331"/>
      <c r="FK62" s="1331"/>
      <c r="FL62" s="1331"/>
      <c r="FM62" s="1331"/>
      <c r="FN62" s="1331"/>
      <c r="FO62" s="1331"/>
      <c r="FP62" s="1331"/>
      <c r="FQ62" s="1331"/>
      <c r="FR62" s="1331"/>
      <c r="FS62" s="1331"/>
      <c r="FT62" s="1331"/>
      <c r="FU62" s="1331"/>
      <c r="FV62" s="1331"/>
      <c r="FW62" s="1331"/>
      <c r="FX62" s="1331"/>
      <c r="FY62" s="1331"/>
      <c r="FZ62" s="1331"/>
      <c r="GA62" s="1331"/>
      <c r="GB62" s="1331"/>
      <c r="GC62" s="1331"/>
      <c r="GD62" s="1331"/>
      <c r="GE62" s="1331"/>
      <c r="GF62" s="1331"/>
      <c r="GG62" s="1331"/>
      <c r="GH62" s="1331"/>
      <c r="GI62" s="1331"/>
      <c r="GJ62" s="1331"/>
      <c r="GK62" s="1331"/>
      <c r="GL62" s="1331"/>
      <c r="GM62" s="1331"/>
      <c r="GN62" s="1331"/>
      <c r="GO62" s="1331"/>
      <c r="GP62" s="1331"/>
      <c r="GQ62" s="1331"/>
      <c r="GR62" s="1331"/>
      <c r="GS62" s="1331"/>
      <c r="GT62" s="1331"/>
      <c r="GU62" s="1331"/>
      <c r="GV62" s="1331"/>
      <c r="GW62" s="1331"/>
      <c r="GX62" s="1331"/>
      <c r="GY62" s="1331"/>
      <c r="GZ62" s="1331"/>
      <c r="HA62" s="1331"/>
      <c r="HB62" s="1331"/>
      <c r="HC62" s="1331"/>
      <c r="HD62" s="1331"/>
      <c r="HE62" s="1331"/>
      <c r="HF62" s="1331"/>
      <c r="HG62" s="1331"/>
      <c r="HH62" s="1331"/>
      <c r="HI62" s="1331"/>
      <c r="HJ62" s="1331"/>
      <c r="HK62" s="1331"/>
      <c r="HL62" s="1331"/>
      <c r="HM62" s="1331"/>
      <c r="HN62" s="1331"/>
      <c r="HO62" s="1331"/>
      <c r="HP62" s="1331"/>
      <c r="HQ62" s="1331"/>
      <c r="HR62" s="1331"/>
      <c r="HS62" s="1331"/>
      <c r="HT62" s="1331"/>
      <c r="HU62" s="1331"/>
      <c r="HV62" s="1331"/>
      <c r="HW62" s="1331"/>
      <c r="HX62" s="1331"/>
      <c r="HY62" s="1331"/>
      <c r="HZ62" s="1331"/>
      <c r="IA62" s="1331"/>
      <c r="IB62" s="1331"/>
      <c r="IC62" s="1331"/>
      <c r="ID62" s="1331"/>
      <c r="IE62" s="1331"/>
      <c r="IF62" s="1331"/>
      <c r="IG62" s="1331"/>
      <c r="IH62" s="1331"/>
      <c r="II62" s="1331"/>
      <c r="IJ62" s="1331"/>
      <c r="IK62" s="1331"/>
      <c r="IL62" s="1331"/>
      <c r="IM62" s="1331"/>
      <c r="IN62" s="1331"/>
      <c r="IO62" s="1331"/>
      <c r="IP62" s="1331"/>
      <c r="IQ62" s="1331"/>
      <c r="IR62" s="1331"/>
      <c r="IS62" s="1331"/>
      <c r="IT62" s="1331"/>
      <c r="IU62" s="1331"/>
      <c r="IV62" s="1331"/>
      <c r="IW62" s="1331"/>
      <c r="IX62" s="1331"/>
      <c r="IY62" s="1331"/>
      <c r="IZ62" s="1331"/>
      <c r="JA62" s="1331"/>
      <c r="JB62" s="1331"/>
      <c r="JC62" s="1331"/>
      <c r="JD62" s="1331"/>
      <c r="JE62" s="1331"/>
      <c r="JF62" s="1331"/>
      <c r="JG62" s="1331"/>
      <c r="JH62" s="1331"/>
      <c r="JI62" s="1331"/>
      <c r="JJ62" s="1331"/>
      <c r="JK62" s="1331"/>
      <c r="JL62" s="1331"/>
      <c r="JM62" s="1331"/>
      <c r="JN62" s="1331"/>
      <c r="JO62" s="1331"/>
      <c r="JP62" s="1331"/>
      <c r="JQ62" s="1331"/>
      <c r="JR62" s="1331"/>
      <c r="JS62" s="1331"/>
      <c r="JT62" s="1331"/>
      <c r="JU62" s="1331"/>
      <c r="JV62" s="1331"/>
      <c r="JW62" s="1331"/>
      <c r="JX62" s="1331"/>
      <c r="JY62" s="1331"/>
      <c r="JZ62" s="1331"/>
      <c r="KA62" s="1331"/>
      <c r="KB62" s="1331"/>
      <c r="KC62" s="1331"/>
      <c r="KD62" s="1331"/>
      <c r="KE62" s="1331"/>
      <c r="KF62" s="1331"/>
      <c r="KG62" s="1331"/>
      <c r="KH62" s="1331"/>
      <c r="KI62" s="1331"/>
      <c r="KJ62" s="1331"/>
      <c r="KK62" s="1331"/>
      <c r="KL62" s="1331"/>
      <c r="KM62" s="1331"/>
      <c r="KN62" s="1331"/>
      <c r="KO62" s="1331"/>
      <c r="KP62" s="1331"/>
      <c r="KQ62" s="1331"/>
      <c r="KR62" s="1331"/>
      <c r="KS62" s="1331"/>
      <c r="KT62" s="1331"/>
      <c r="KU62" s="1331"/>
      <c r="KV62" s="1331"/>
      <c r="KW62" s="1331"/>
      <c r="KX62" s="1331"/>
      <c r="KY62" s="1331"/>
      <c r="KZ62" s="1331"/>
      <c r="LA62" s="1331"/>
      <c r="LB62" s="1331"/>
      <c r="LC62" s="1331"/>
      <c r="LD62" s="1331"/>
      <c r="LE62" s="1331"/>
      <c r="LF62" s="1331"/>
      <c r="LG62" s="1331"/>
      <c r="LH62" s="1331"/>
      <c r="LI62" s="1331"/>
      <c r="LJ62" s="1331"/>
      <c r="LK62" s="1331"/>
      <c r="LL62" s="1331"/>
      <c r="LM62" s="1331"/>
      <c r="LN62" s="1331"/>
      <c r="LO62" s="1331"/>
      <c r="LP62" s="1331"/>
      <c r="LQ62" s="1331"/>
      <c r="LR62" s="1331"/>
      <c r="LS62" s="1331"/>
      <c r="LT62" s="1331"/>
      <c r="LU62" s="1331"/>
      <c r="LV62" s="1331"/>
      <c r="LW62" s="1331"/>
      <c r="LX62" s="1331"/>
      <c r="LY62" s="1331"/>
      <c r="LZ62" s="1331"/>
      <c r="MA62" s="1331"/>
      <c r="MB62" s="1331"/>
      <c r="MC62" s="1331"/>
      <c r="MD62" s="1331"/>
      <c r="ME62" s="1331"/>
      <c r="MF62" s="1331"/>
      <c r="MG62" s="1331"/>
      <c r="MH62" s="1331"/>
      <c r="MI62" s="1331"/>
    </row>
    <row r="63" spans="1:347" s="1641" customFormat="1" ht="49.5" customHeight="1">
      <c r="A63" s="2566"/>
      <c r="B63" s="2567"/>
      <c r="C63" s="2568" t="s">
        <v>14293</v>
      </c>
      <c r="D63" s="1637"/>
      <c r="E63" s="1638"/>
      <c r="F63" s="1639"/>
      <c r="G63" s="1640"/>
    </row>
    <row r="64" spans="1:347" ht="35.1" customHeight="1">
      <c r="A64" s="2569"/>
      <c r="B64" s="2570"/>
      <c r="C64" s="2571" t="s">
        <v>14294</v>
      </c>
      <c r="D64" s="1394"/>
      <c r="E64" s="1395"/>
      <c r="F64" s="1396"/>
      <c r="H64" s="1331"/>
      <c r="I64" s="1331"/>
      <c r="J64" s="1331"/>
      <c r="K64" s="1331"/>
      <c r="L64" s="1331"/>
      <c r="M64" s="1331"/>
      <c r="N64" s="1331"/>
      <c r="O64" s="1331"/>
      <c r="P64" s="1331"/>
      <c r="Q64" s="1331"/>
      <c r="R64" s="1331"/>
      <c r="S64" s="1331"/>
      <c r="T64" s="1331"/>
      <c r="U64" s="1331"/>
      <c r="V64" s="1331"/>
      <c r="W64" s="1331"/>
      <c r="X64" s="1331"/>
      <c r="Y64" s="1331"/>
      <c r="Z64" s="1331"/>
      <c r="AA64" s="1331"/>
      <c r="AB64" s="1331"/>
      <c r="AC64" s="1331"/>
      <c r="AD64" s="1331"/>
      <c r="AE64" s="1331"/>
      <c r="AF64" s="1331"/>
      <c r="AG64" s="1331"/>
      <c r="AH64" s="1331"/>
      <c r="AI64" s="1331"/>
      <c r="AJ64" s="1331"/>
      <c r="AK64" s="1331"/>
      <c r="AL64" s="1331"/>
      <c r="AM64" s="1331"/>
      <c r="AN64" s="1331"/>
      <c r="AO64" s="1331"/>
      <c r="AP64" s="1331"/>
      <c r="AQ64" s="1331"/>
      <c r="AR64" s="1331"/>
      <c r="AS64" s="1331"/>
      <c r="AT64" s="1331"/>
      <c r="AU64" s="1331"/>
      <c r="AV64" s="1331"/>
      <c r="AW64" s="1331"/>
      <c r="AX64" s="1331"/>
      <c r="AY64" s="1331"/>
      <c r="AZ64" s="1331"/>
      <c r="BA64" s="1331"/>
      <c r="BB64" s="1331"/>
      <c r="BC64" s="1331"/>
      <c r="BD64" s="1331"/>
      <c r="BE64" s="1331"/>
      <c r="BF64" s="1331"/>
      <c r="BG64" s="1331"/>
      <c r="BH64" s="1331"/>
      <c r="BI64" s="1331"/>
      <c r="BJ64" s="1331"/>
      <c r="BK64" s="1331"/>
      <c r="BL64" s="1331"/>
      <c r="BM64" s="1331"/>
      <c r="BN64" s="1331"/>
      <c r="BO64" s="1331"/>
      <c r="BP64" s="1331"/>
      <c r="BQ64" s="1331"/>
      <c r="BR64" s="1331"/>
      <c r="BS64" s="1331"/>
      <c r="BT64" s="1331"/>
      <c r="BU64" s="1331"/>
      <c r="BV64" s="1331"/>
      <c r="BW64" s="1331"/>
      <c r="BX64" s="1331"/>
      <c r="BY64" s="1331"/>
      <c r="BZ64" s="1331"/>
      <c r="CA64" s="1331"/>
      <c r="CB64" s="1331"/>
      <c r="CC64" s="1331"/>
      <c r="CD64" s="1331"/>
      <c r="CE64" s="1331"/>
      <c r="CF64" s="1331"/>
      <c r="CG64" s="1331"/>
      <c r="CH64" s="1331"/>
      <c r="CI64" s="1331"/>
      <c r="CJ64" s="1331"/>
      <c r="CK64" s="1331"/>
      <c r="CL64" s="1331"/>
      <c r="CM64" s="1331"/>
      <c r="CN64" s="1331"/>
      <c r="CO64" s="1331"/>
      <c r="CP64" s="1331"/>
      <c r="CQ64" s="1331"/>
      <c r="CR64" s="1331"/>
      <c r="CS64" s="1331"/>
      <c r="CT64" s="1331"/>
      <c r="CU64" s="1331"/>
      <c r="CV64" s="1331"/>
      <c r="CW64" s="1331"/>
      <c r="CX64" s="1331"/>
      <c r="CY64" s="1331"/>
      <c r="CZ64" s="1331"/>
      <c r="DA64" s="1331"/>
      <c r="DB64" s="1331"/>
      <c r="DC64" s="1331"/>
      <c r="DD64" s="1331"/>
      <c r="DE64" s="1331"/>
      <c r="DF64" s="1331"/>
      <c r="DG64" s="1331"/>
      <c r="DH64" s="1331"/>
      <c r="DI64" s="1331"/>
      <c r="DJ64" s="1331"/>
      <c r="DK64" s="1331"/>
      <c r="DL64" s="1331"/>
      <c r="DM64" s="1331"/>
      <c r="DN64" s="1331"/>
      <c r="DO64" s="1331"/>
      <c r="DP64" s="1331"/>
      <c r="DQ64" s="1331"/>
      <c r="DR64" s="1331"/>
      <c r="DS64" s="1331"/>
      <c r="DT64" s="1331"/>
      <c r="DU64" s="1331"/>
      <c r="DV64" s="1331"/>
      <c r="DW64" s="1331"/>
      <c r="DX64" s="1331"/>
      <c r="DY64" s="1331"/>
      <c r="DZ64" s="1331"/>
      <c r="EA64" s="1331"/>
      <c r="EB64" s="1331"/>
      <c r="EC64" s="1331"/>
      <c r="ED64" s="1331"/>
      <c r="EE64" s="1331"/>
      <c r="EF64" s="1331"/>
      <c r="EG64" s="1331"/>
      <c r="EH64" s="1331"/>
      <c r="EI64" s="1331"/>
      <c r="EJ64" s="1331"/>
      <c r="EK64" s="1331"/>
      <c r="EL64" s="1331"/>
      <c r="EM64" s="1331"/>
      <c r="EN64" s="1331"/>
      <c r="EO64" s="1331"/>
      <c r="EP64" s="1331"/>
      <c r="EQ64" s="1331"/>
      <c r="ER64" s="1331"/>
      <c r="ES64" s="1331"/>
      <c r="ET64" s="1331"/>
      <c r="EU64" s="1331"/>
      <c r="EV64" s="1331"/>
      <c r="EW64" s="1331"/>
      <c r="EX64" s="1331"/>
      <c r="EY64" s="1331"/>
      <c r="EZ64" s="1331"/>
      <c r="FA64" s="1331"/>
      <c r="FB64" s="1331"/>
      <c r="FC64" s="1331"/>
      <c r="FD64" s="1331"/>
      <c r="FE64" s="1331"/>
      <c r="FF64" s="1331"/>
      <c r="FG64" s="1331"/>
      <c r="FH64" s="1331"/>
      <c r="FI64" s="1331"/>
      <c r="FJ64" s="1331"/>
      <c r="FK64" s="1331"/>
      <c r="FL64" s="1331"/>
      <c r="FM64" s="1331"/>
      <c r="FN64" s="1331"/>
      <c r="FO64" s="1331"/>
      <c r="FP64" s="1331"/>
      <c r="FQ64" s="1331"/>
      <c r="FR64" s="1331"/>
      <c r="FS64" s="1331"/>
      <c r="FT64" s="1331"/>
      <c r="FU64" s="1331"/>
      <c r="FV64" s="1331"/>
      <c r="FW64" s="1331"/>
      <c r="FX64" s="1331"/>
      <c r="FY64" s="1331"/>
      <c r="FZ64" s="1331"/>
      <c r="GA64" s="1331"/>
      <c r="GB64" s="1331"/>
      <c r="GC64" s="1331"/>
      <c r="GD64" s="1331"/>
      <c r="GE64" s="1331"/>
      <c r="GF64" s="1331"/>
      <c r="GG64" s="1331"/>
      <c r="GH64" s="1331"/>
      <c r="GI64" s="1331"/>
      <c r="GJ64" s="1331"/>
      <c r="GK64" s="1331"/>
      <c r="GL64" s="1331"/>
      <c r="GM64" s="1331"/>
      <c r="GN64" s="1331"/>
      <c r="GO64" s="1331"/>
      <c r="GP64" s="1331"/>
      <c r="GQ64" s="1331"/>
      <c r="GR64" s="1331"/>
      <c r="GS64" s="1331"/>
      <c r="GT64" s="1331"/>
      <c r="GU64" s="1331"/>
      <c r="GV64" s="1331"/>
      <c r="GW64" s="1331"/>
      <c r="GX64" s="1331"/>
      <c r="GY64" s="1331"/>
      <c r="GZ64" s="1331"/>
      <c r="HA64" s="1331"/>
      <c r="HB64" s="1331"/>
      <c r="HC64" s="1331"/>
      <c r="HD64" s="1331"/>
      <c r="HE64" s="1331"/>
      <c r="HF64" s="1331"/>
      <c r="HG64" s="1331"/>
      <c r="HH64" s="1331"/>
      <c r="HI64" s="1331"/>
      <c r="HJ64" s="1331"/>
      <c r="HK64" s="1331"/>
      <c r="HL64" s="1331"/>
      <c r="HM64" s="1331"/>
      <c r="HN64" s="1331"/>
      <c r="HO64" s="1331"/>
      <c r="HP64" s="1331"/>
      <c r="HQ64" s="1331"/>
      <c r="HR64" s="1331"/>
      <c r="HS64" s="1331"/>
      <c r="HT64" s="1331"/>
      <c r="HU64" s="1331"/>
      <c r="HV64" s="1331"/>
      <c r="HW64" s="1331"/>
      <c r="HX64" s="1331"/>
      <c r="HY64" s="1331"/>
      <c r="HZ64" s="1331"/>
      <c r="IA64" s="1331"/>
      <c r="IB64" s="1331"/>
      <c r="IC64" s="1331"/>
      <c r="ID64" s="1331"/>
      <c r="IE64" s="1331"/>
      <c r="IF64" s="1331"/>
      <c r="IG64" s="1331"/>
      <c r="IH64" s="1331"/>
      <c r="II64" s="1331"/>
      <c r="IJ64" s="1331"/>
      <c r="IK64" s="1331"/>
      <c r="IL64" s="1331"/>
      <c r="IM64" s="1331"/>
      <c r="IN64" s="1331"/>
      <c r="IO64" s="1331"/>
      <c r="IP64" s="1331"/>
      <c r="IQ64" s="1331"/>
      <c r="IR64" s="1331"/>
      <c r="IS64" s="1331"/>
      <c r="IT64" s="1331"/>
      <c r="IU64" s="1331"/>
      <c r="IV64" s="1331"/>
      <c r="IW64" s="1331"/>
      <c r="IX64" s="1331"/>
      <c r="IY64" s="1331"/>
      <c r="IZ64" s="1331"/>
      <c r="JA64" s="1331"/>
      <c r="JB64" s="1331"/>
      <c r="JC64" s="1331"/>
      <c r="JD64" s="1331"/>
      <c r="JE64" s="1331"/>
      <c r="JF64" s="1331"/>
      <c r="JG64" s="1331"/>
      <c r="JH64" s="1331"/>
      <c r="JI64" s="1331"/>
      <c r="JJ64" s="1331"/>
      <c r="JK64" s="1331"/>
      <c r="JL64" s="1331"/>
      <c r="JM64" s="1331"/>
      <c r="JN64" s="1331"/>
      <c r="JO64" s="1331"/>
      <c r="JP64" s="1331"/>
      <c r="JQ64" s="1331"/>
      <c r="JR64" s="1331"/>
      <c r="JS64" s="1331"/>
      <c r="JT64" s="1331"/>
      <c r="JU64" s="1331"/>
      <c r="JV64" s="1331"/>
      <c r="JW64" s="1331"/>
      <c r="JX64" s="1331"/>
      <c r="JY64" s="1331"/>
      <c r="JZ64" s="1331"/>
      <c r="KA64" s="1331"/>
      <c r="KB64" s="1331"/>
      <c r="KC64" s="1331"/>
      <c r="KD64" s="1331"/>
      <c r="KE64" s="1331"/>
      <c r="KF64" s="1331"/>
      <c r="KG64" s="1331"/>
      <c r="KH64" s="1331"/>
      <c r="KI64" s="1331"/>
      <c r="KJ64" s="1331"/>
      <c r="KK64" s="1331"/>
      <c r="KL64" s="1331"/>
      <c r="KM64" s="1331"/>
      <c r="KN64" s="1331"/>
      <c r="KO64" s="1331"/>
      <c r="KP64" s="1331"/>
      <c r="KQ64" s="1331"/>
      <c r="KR64" s="1331"/>
      <c r="KS64" s="1331"/>
      <c r="KT64" s="1331"/>
      <c r="KU64" s="1331"/>
      <c r="KV64" s="1331"/>
      <c r="KW64" s="1331"/>
      <c r="KX64" s="1331"/>
      <c r="KY64" s="1331"/>
      <c r="KZ64" s="1331"/>
      <c r="LA64" s="1331"/>
      <c r="LB64" s="1331"/>
      <c r="LC64" s="1331"/>
      <c r="LD64" s="1331"/>
      <c r="LE64" s="1331"/>
      <c r="LF64" s="1331"/>
      <c r="LG64" s="1331"/>
      <c r="LH64" s="1331"/>
      <c r="LI64" s="1331"/>
      <c r="LJ64" s="1331"/>
      <c r="LK64" s="1331"/>
      <c r="LL64" s="1331"/>
      <c r="LM64" s="1331"/>
      <c r="LN64" s="1331"/>
      <c r="LO64" s="1331"/>
      <c r="LP64" s="1331"/>
      <c r="LQ64" s="1331"/>
      <c r="LR64" s="1331"/>
      <c r="LS64" s="1331"/>
      <c r="LT64" s="1331"/>
      <c r="LU64" s="1331"/>
      <c r="LV64" s="1331"/>
      <c r="LW64" s="1331"/>
      <c r="LX64" s="1331"/>
      <c r="LY64" s="1331"/>
      <c r="LZ64" s="1331"/>
      <c r="MA64" s="1331"/>
      <c r="MB64" s="1331"/>
      <c r="MC64" s="1331"/>
      <c r="MD64" s="1331"/>
      <c r="ME64" s="1331"/>
      <c r="MF64" s="1331"/>
      <c r="MG64" s="1331"/>
      <c r="MH64" s="1331"/>
      <c r="MI64" s="1331"/>
    </row>
    <row r="65" spans="1:347" ht="21" customHeight="1" thickBot="1">
      <c r="A65" s="2569"/>
      <c r="B65" s="2572"/>
      <c r="C65" s="2573"/>
      <c r="D65" s="1508"/>
      <c r="E65" s="1509"/>
      <c r="F65" s="1510"/>
      <c r="H65" s="1331"/>
      <c r="I65" s="1331"/>
      <c r="J65" s="1331"/>
      <c r="K65" s="1331"/>
      <c r="L65" s="1331"/>
      <c r="M65" s="1331"/>
      <c r="N65" s="1331"/>
      <c r="O65" s="1331"/>
      <c r="P65" s="1331"/>
      <c r="Q65" s="1331"/>
      <c r="R65" s="1331"/>
      <c r="S65" s="1331"/>
      <c r="T65" s="1331"/>
      <c r="U65" s="1331"/>
      <c r="V65" s="1331"/>
      <c r="W65" s="1331"/>
      <c r="X65" s="1331"/>
      <c r="Y65" s="1331"/>
      <c r="Z65" s="1331"/>
      <c r="AA65" s="1331"/>
      <c r="AB65" s="1331"/>
      <c r="AC65" s="1331"/>
      <c r="AD65" s="1331"/>
      <c r="AE65" s="1331"/>
      <c r="AF65" s="1331"/>
      <c r="AG65" s="1331"/>
      <c r="AH65" s="1331"/>
      <c r="AI65" s="1331"/>
      <c r="AJ65" s="1331"/>
      <c r="AK65" s="1331"/>
      <c r="AL65" s="1331"/>
      <c r="AM65" s="1331"/>
      <c r="AN65" s="1331"/>
      <c r="AO65" s="1331"/>
      <c r="AP65" s="1331"/>
      <c r="AQ65" s="1331"/>
      <c r="AR65" s="1331"/>
      <c r="AS65" s="1331"/>
      <c r="AT65" s="1331"/>
      <c r="AU65" s="1331"/>
      <c r="AV65" s="1331"/>
      <c r="AW65" s="1331"/>
      <c r="AX65" s="1331"/>
      <c r="AY65" s="1331"/>
      <c r="AZ65" s="1331"/>
      <c r="BA65" s="1331"/>
      <c r="BB65" s="1331"/>
      <c r="BC65" s="1331"/>
      <c r="BD65" s="1331"/>
      <c r="BE65" s="1331"/>
      <c r="BF65" s="1331"/>
      <c r="BG65" s="1331"/>
      <c r="BH65" s="1331"/>
      <c r="BI65" s="1331"/>
      <c r="BJ65" s="1331"/>
      <c r="BK65" s="1331"/>
      <c r="BL65" s="1331"/>
      <c r="BM65" s="1331"/>
      <c r="BN65" s="1331"/>
      <c r="BO65" s="1331"/>
      <c r="BP65" s="1331"/>
      <c r="BQ65" s="1331"/>
      <c r="BR65" s="1331"/>
      <c r="BS65" s="1331"/>
      <c r="BT65" s="1331"/>
      <c r="BU65" s="1331"/>
      <c r="BV65" s="1331"/>
      <c r="BW65" s="1331"/>
      <c r="BX65" s="1331"/>
      <c r="BY65" s="1331"/>
      <c r="BZ65" s="1331"/>
      <c r="CA65" s="1331"/>
      <c r="CB65" s="1331"/>
      <c r="CC65" s="1331"/>
      <c r="CD65" s="1331"/>
      <c r="CE65" s="1331"/>
      <c r="CF65" s="1331"/>
      <c r="CG65" s="1331"/>
      <c r="CH65" s="1331"/>
      <c r="CI65" s="1331"/>
      <c r="CJ65" s="1331"/>
      <c r="CK65" s="1331"/>
      <c r="CL65" s="1331"/>
      <c r="CM65" s="1331"/>
      <c r="CN65" s="1331"/>
      <c r="CO65" s="1331"/>
      <c r="CP65" s="1331"/>
      <c r="CQ65" s="1331"/>
      <c r="CR65" s="1331"/>
      <c r="CS65" s="1331"/>
      <c r="CT65" s="1331"/>
      <c r="CU65" s="1331"/>
      <c r="CV65" s="1331"/>
      <c r="CW65" s="1331"/>
      <c r="CX65" s="1331"/>
      <c r="CY65" s="1331"/>
      <c r="CZ65" s="1331"/>
      <c r="DA65" s="1331"/>
      <c r="DB65" s="1331"/>
      <c r="DC65" s="1331"/>
      <c r="DD65" s="1331"/>
      <c r="DE65" s="1331"/>
      <c r="DF65" s="1331"/>
      <c r="DG65" s="1331"/>
      <c r="DH65" s="1331"/>
      <c r="DI65" s="1331"/>
      <c r="DJ65" s="1331"/>
      <c r="DK65" s="1331"/>
      <c r="DL65" s="1331"/>
      <c r="DM65" s="1331"/>
      <c r="DN65" s="1331"/>
      <c r="DO65" s="1331"/>
      <c r="DP65" s="1331"/>
      <c r="DQ65" s="1331"/>
      <c r="DR65" s="1331"/>
      <c r="DS65" s="1331"/>
      <c r="DT65" s="1331"/>
      <c r="DU65" s="1331"/>
      <c r="DV65" s="1331"/>
      <c r="DW65" s="1331"/>
      <c r="DX65" s="1331"/>
      <c r="DY65" s="1331"/>
      <c r="DZ65" s="1331"/>
      <c r="EA65" s="1331"/>
      <c r="EB65" s="1331"/>
      <c r="EC65" s="1331"/>
      <c r="ED65" s="1331"/>
      <c r="EE65" s="1331"/>
      <c r="EF65" s="1331"/>
      <c r="EG65" s="1331"/>
      <c r="EH65" s="1331"/>
      <c r="EI65" s="1331"/>
      <c r="EJ65" s="1331"/>
      <c r="EK65" s="1331"/>
      <c r="EL65" s="1331"/>
      <c r="EM65" s="1331"/>
      <c r="EN65" s="1331"/>
      <c r="EO65" s="1331"/>
      <c r="EP65" s="1331"/>
      <c r="EQ65" s="1331"/>
      <c r="ER65" s="1331"/>
      <c r="ES65" s="1331"/>
      <c r="ET65" s="1331"/>
      <c r="EU65" s="1331"/>
      <c r="EV65" s="1331"/>
      <c r="EW65" s="1331"/>
      <c r="EX65" s="1331"/>
      <c r="EY65" s="1331"/>
      <c r="EZ65" s="1331"/>
      <c r="FA65" s="1331"/>
      <c r="FB65" s="1331"/>
      <c r="FC65" s="1331"/>
      <c r="FD65" s="1331"/>
      <c r="FE65" s="1331"/>
      <c r="FF65" s="1331"/>
      <c r="FG65" s="1331"/>
      <c r="FH65" s="1331"/>
      <c r="FI65" s="1331"/>
      <c r="FJ65" s="1331"/>
      <c r="FK65" s="1331"/>
      <c r="FL65" s="1331"/>
      <c r="FM65" s="1331"/>
      <c r="FN65" s="1331"/>
      <c r="FO65" s="1331"/>
      <c r="FP65" s="1331"/>
      <c r="FQ65" s="1331"/>
      <c r="FR65" s="1331"/>
      <c r="FS65" s="1331"/>
      <c r="FT65" s="1331"/>
      <c r="FU65" s="1331"/>
      <c r="FV65" s="1331"/>
      <c r="FW65" s="1331"/>
      <c r="FX65" s="1331"/>
      <c r="FY65" s="1331"/>
      <c r="FZ65" s="1331"/>
      <c r="GA65" s="1331"/>
      <c r="GB65" s="1331"/>
      <c r="GC65" s="1331"/>
      <c r="GD65" s="1331"/>
      <c r="GE65" s="1331"/>
      <c r="GF65" s="1331"/>
      <c r="GG65" s="1331"/>
      <c r="GH65" s="1331"/>
      <c r="GI65" s="1331"/>
      <c r="GJ65" s="1331"/>
      <c r="GK65" s="1331"/>
      <c r="GL65" s="1331"/>
      <c r="GM65" s="1331"/>
      <c r="GN65" s="1331"/>
      <c r="GO65" s="1331"/>
      <c r="GP65" s="1331"/>
      <c r="GQ65" s="1331"/>
      <c r="GR65" s="1331"/>
      <c r="GS65" s="1331"/>
      <c r="GT65" s="1331"/>
      <c r="GU65" s="1331"/>
      <c r="GV65" s="1331"/>
      <c r="GW65" s="1331"/>
      <c r="GX65" s="1331"/>
      <c r="GY65" s="1331"/>
      <c r="GZ65" s="1331"/>
      <c r="HA65" s="1331"/>
      <c r="HB65" s="1331"/>
      <c r="HC65" s="1331"/>
      <c r="HD65" s="1331"/>
      <c r="HE65" s="1331"/>
      <c r="HF65" s="1331"/>
      <c r="HG65" s="1331"/>
      <c r="HH65" s="1331"/>
      <c r="HI65" s="1331"/>
      <c r="HJ65" s="1331"/>
      <c r="HK65" s="1331"/>
      <c r="HL65" s="1331"/>
      <c r="HM65" s="1331"/>
      <c r="HN65" s="1331"/>
      <c r="HO65" s="1331"/>
      <c r="HP65" s="1331"/>
      <c r="HQ65" s="1331"/>
      <c r="HR65" s="1331"/>
      <c r="HS65" s="1331"/>
      <c r="HT65" s="1331"/>
      <c r="HU65" s="1331"/>
      <c r="HV65" s="1331"/>
      <c r="HW65" s="1331"/>
      <c r="HX65" s="1331"/>
      <c r="HY65" s="1331"/>
      <c r="HZ65" s="1331"/>
      <c r="IA65" s="1331"/>
      <c r="IB65" s="1331"/>
      <c r="IC65" s="1331"/>
      <c r="ID65" s="1331"/>
      <c r="IE65" s="1331"/>
      <c r="IF65" s="1331"/>
      <c r="IG65" s="1331"/>
      <c r="IH65" s="1331"/>
      <c r="II65" s="1331"/>
      <c r="IJ65" s="1331"/>
      <c r="IK65" s="1331"/>
      <c r="IL65" s="1331"/>
      <c r="IM65" s="1331"/>
      <c r="IN65" s="1331"/>
      <c r="IO65" s="1331"/>
      <c r="IP65" s="1331"/>
      <c r="IQ65" s="1331"/>
      <c r="IR65" s="1331"/>
      <c r="IS65" s="1331"/>
      <c r="IT65" s="1331"/>
      <c r="IU65" s="1331"/>
      <c r="IV65" s="1331"/>
      <c r="IW65" s="1331"/>
      <c r="IX65" s="1331"/>
      <c r="IY65" s="1331"/>
      <c r="IZ65" s="1331"/>
      <c r="JA65" s="1331"/>
      <c r="JB65" s="1331"/>
      <c r="JC65" s="1331"/>
      <c r="JD65" s="1331"/>
      <c r="JE65" s="1331"/>
      <c r="JF65" s="1331"/>
      <c r="JG65" s="1331"/>
      <c r="JH65" s="1331"/>
      <c r="JI65" s="1331"/>
      <c r="JJ65" s="1331"/>
      <c r="JK65" s="1331"/>
      <c r="JL65" s="1331"/>
      <c r="JM65" s="1331"/>
      <c r="JN65" s="1331"/>
      <c r="JO65" s="1331"/>
      <c r="JP65" s="1331"/>
      <c r="JQ65" s="1331"/>
      <c r="JR65" s="1331"/>
      <c r="JS65" s="1331"/>
      <c r="JT65" s="1331"/>
      <c r="JU65" s="1331"/>
      <c r="JV65" s="1331"/>
      <c r="JW65" s="1331"/>
      <c r="JX65" s="1331"/>
      <c r="JY65" s="1331"/>
      <c r="JZ65" s="1331"/>
      <c r="KA65" s="1331"/>
      <c r="KB65" s="1331"/>
      <c r="KC65" s="1331"/>
      <c r="KD65" s="1331"/>
      <c r="KE65" s="1331"/>
      <c r="KF65" s="1331"/>
      <c r="KG65" s="1331"/>
      <c r="KH65" s="1331"/>
      <c r="KI65" s="1331"/>
      <c r="KJ65" s="1331"/>
      <c r="KK65" s="1331"/>
      <c r="KL65" s="1331"/>
      <c r="KM65" s="1331"/>
      <c r="KN65" s="1331"/>
      <c r="KO65" s="1331"/>
      <c r="KP65" s="1331"/>
      <c r="KQ65" s="1331"/>
      <c r="KR65" s="1331"/>
      <c r="KS65" s="1331"/>
      <c r="KT65" s="1331"/>
      <c r="KU65" s="1331"/>
      <c r="KV65" s="1331"/>
      <c r="KW65" s="1331"/>
      <c r="KX65" s="1331"/>
      <c r="KY65" s="1331"/>
      <c r="KZ65" s="1331"/>
      <c r="LA65" s="1331"/>
      <c r="LB65" s="1331"/>
      <c r="LC65" s="1331"/>
      <c r="LD65" s="1331"/>
      <c r="LE65" s="1331"/>
      <c r="LF65" s="1331"/>
      <c r="LG65" s="1331"/>
      <c r="LH65" s="1331"/>
      <c r="LI65" s="1331"/>
      <c r="LJ65" s="1331"/>
      <c r="LK65" s="1331"/>
      <c r="LL65" s="1331"/>
      <c r="LM65" s="1331"/>
      <c r="LN65" s="1331"/>
      <c r="LO65" s="1331"/>
      <c r="LP65" s="1331"/>
      <c r="LQ65" s="1331"/>
      <c r="LR65" s="1331"/>
      <c r="LS65" s="1331"/>
      <c r="LT65" s="1331"/>
      <c r="LU65" s="1331"/>
      <c r="LV65" s="1331"/>
      <c r="LW65" s="1331"/>
      <c r="LX65" s="1331"/>
      <c r="LY65" s="1331"/>
      <c r="LZ65" s="1331"/>
      <c r="MA65" s="1331"/>
      <c r="MB65" s="1331"/>
      <c r="MC65" s="1331"/>
      <c r="MD65" s="1331"/>
      <c r="ME65" s="1331"/>
      <c r="MF65" s="1331"/>
      <c r="MG65" s="1331"/>
      <c r="MH65" s="1331"/>
      <c r="MI65" s="1331"/>
    </row>
    <row r="66" spans="1:347" s="64" customFormat="1" ht="26.25" thickBot="1">
      <c r="A66" s="1919">
        <v>5</v>
      </c>
      <c r="B66" s="2539">
        <v>19</v>
      </c>
      <c r="C66" s="2540" t="s">
        <v>14171</v>
      </c>
      <c r="D66" s="2550">
        <v>668</v>
      </c>
      <c r="E66" s="2551"/>
      <c r="F66" s="2551">
        <v>12692</v>
      </c>
    </row>
    <row r="67" spans="1:347" customFormat="1" ht="14.45" customHeight="1">
      <c r="A67" s="2455" t="s">
        <v>9502</v>
      </c>
      <c r="B67" s="1559"/>
      <c r="C67" s="2522"/>
      <c r="D67" s="2552"/>
      <c r="E67" s="2553"/>
      <c r="F67" s="2553"/>
    </row>
    <row r="68" spans="1:347" customFormat="1" ht="14.45" customHeight="1">
      <c r="A68" s="1913"/>
      <c r="B68" s="1553"/>
      <c r="C68" s="1975" t="s">
        <v>3301</v>
      </c>
      <c r="D68" s="2552"/>
      <c r="E68" s="2554"/>
      <c r="F68" s="2554"/>
    </row>
    <row r="69" spans="1:347" customFormat="1" ht="14.45" customHeight="1">
      <c r="A69" s="1913" t="s">
        <v>10377</v>
      </c>
      <c r="B69" s="1553">
        <v>1</v>
      </c>
      <c r="C69" s="1439" t="s">
        <v>4352</v>
      </c>
      <c r="D69" s="2552"/>
      <c r="E69" s="2554"/>
      <c r="F69" s="2554"/>
    </row>
    <row r="70" spans="1:347" customFormat="1" ht="14.45" customHeight="1">
      <c r="A70" s="1913" t="s">
        <v>10378</v>
      </c>
      <c r="B70" s="1553"/>
      <c r="C70" s="1439" t="s">
        <v>729</v>
      </c>
      <c r="D70" s="2552"/>
      <c r="E70" s="2554"/>
      <c r="F70" s="2554"/>
    </row>
    <row r="71" spans="1:347" customFormat="1" ht="14.45" customHeight="1">
      <c r="A71" s="1913"/>
      <c r="B71" s="1562"/>
      <c r="C71" s="1975" t="s">
        <v>14172</v>
      </c>
      <c r="D71" s="2552"/>
      <c r="E71" s="2554"/>
      <c r="F71" s="2554"/>
    </row>
    <row r="72" spans="1:347" customFormat="1" ht="14.45" customHeight="1">
      <c r="A72" s="2515" t="s">
        <v>13383</v>
      </c>
      <c r="B72" s="1553">
        <v>6</v>
      </c>
      <c r="C72" s="1439" t="s">
        <v>4347</v>
      </c>
      <c r="D72" s="2552"/>
      <c r="E72" s="2553"/>
      <c r="F72" s="2553"/>
    </row>
    <row r="73" spans="1:347" customFormat="1" ht="14.45" customHeight="1">
      <c r="A73" s="2472"/>
      <c r="B73" s="1553">
        <v>6</v>
      </c>
      <c r="C73" s="1439" t="s">
        <v>2029</v>
      </c>
      <c r="D73" s="2552"/>
      <c r="E73" s="2553"/>
      <c r="F73" s="2553"/>
    </row>
    <row r="74" spans="1:347" customFormat="1" ht="14.45" customHeight="1">
      <c r="A74" s="2472"/>
      <c r="B74" s="1553">
        <v>1</v>
      </c>
      <c r="C74" s="2525" t="s">
        <v>3070</v>
      </c>
      <c r="D74" s="2552"/>
      <c r="E74" s="2554"/>
      <c r="F74" s="2554"/>
    </row>
    <row r="75" spans="1:347" customFormat="1" ht="14.45" customHeight="1">
      <c r="A75" s="2472"/>
      <c r="B75" s="1553"/>
      <c r="C75" s="1439" t="s">
        <v>729</v>
      </c>
      <c r="D75" s="2552"/>
      <c r="E75" s="2554"/>
      <c r="F75" s="2554"/>
    </row>
    <row r="76" spans="1:347" customFormat="1" ht="14.45" customHeight="1">
      <c r="A76" s="1912"/>
      <c r="B76" s="1553">
        <v>1</v>
      </c>
      <c r="C76" s="1439" t="s">
        <v>316</v>
      </c>
      <c r="D76" s="2555"/>
      <c r="E76" s="2556"/>
      <c r="F76" s="2556"/>
    </row>
    <row r="77" spans="1:347" customFormat="1" ht="14.45" customHeight="1">
      <c r="A77" s="1746"/>
      <c r="B77" s="1553"/>
      <c r="C77" s="1439" t="s">
        <v>729</v>
      </c>
      <c r="D77" s="2552"/>
      <c r="E77" s="2554"/>
      <c r="F77" s="2554"/>
    </row>
    <row r="78" spans="1:347" customFormat="1" ht="14.45" customHeight="1" thickBot="1">
      <c r="A78" s="1746"/>
      <c r="B78" s="2527"/>
      <c r="C78" s="1984"/>
      <c r="D78" s="2557"/>
      <c r="E78" s="2558"/>
      <c r="F78" s="2558"/>
    </row>
    <row r="79" spans="1:347" s="64" customFormat="1" ht="26.25" thickBot="1">
      <c r="A79" s="1919">
        <v>6</v>
      </c>
      <c r="B79" s="2539">
        <v>23</v>
      </c>
      <c r="C79" s="2540" t="s">
        <v>14173</v>
      </c>
      <c r="D79" s="2550">
        <v>480</v>
      </c>
      <c r="E79" s="2551"/>
      <c r="F79" s="2551">
        <v>11040</v>
      </c>
    </row>
    <row r="80" spans="1:347" customFormat="1" ht="14.45" customHeight="1">
      <c r="A80" s="2455" t="s">
        <v>9502</v>
      </c>
      <c r="B80" s="1559"/>
      <c r="C80" s="2522"/>
      <c r="D80" s="2552"/>
      <c r="E80" s="2553"/>
      <c r="F80" s="2553"/>
    </row>
    <row r="81" spans="1:6" customFormat="1" ht="14.45" customHeight="1">
      <c r="A81" s="1913"/>
      <c r="B81" s="1553"/>
      <c r="C81" s="1975" t="s">
        <v>3301</v>
      </c>
      <c r="D81" s="2552"/>
      <c r="E81" s="2554"/>
      <c r="F81" s="2554"/>
    </row>
    <row r="82" spans="1:6" customFormat="1" ht="14.45" customHeight="1">
      <c r="A82" s="1913" t="s">
        <v>10377</v>
      </c>
      <c r="B82" s="1553">
        <v>1</v>
      </c>
      <c r="C82" s="1439" t="s">
        <v>4352</v>
      </c>
      <c r="D82" s="2552"/>
      <c r="E82" s="2554"/>
      <c r="F82" s="2554"/>
    </row>
    <row r="83" spans="1:6" customFormat="1" ht="14.45" customHeight="1">
      <c r="A83" s="1913" t="s">
        <v>10378</v>
      </c>
      <c r="B83" s="1553"/>
      <c r="C83" s="1439" t="s">
        <v>729</v>
      </c>
      <c r="D83" s="2552"/>
      <c r="E83" s="2554"/>
      <c r="F83" s="2554"/>
    </row>
    <row r="84" spans="1:6" customFormat="1" ht="14.45" customHeight="1">
      <c r="A84" s="1913"/>
      <c r="B84" s="1562"/>
      <c r="C84" s="1975" t="s">
        <v>14172</v>
      </c>
      <c r="D84" s="2552"/>
      <c r="E84" s="2554"/>
      <c r="F84" s="2554"/>
    </row>
    <row r="85" spans="1:6" customFormat="1" ht="14.45" customHeight="1">
      <c r="A85" s="2515" t="s">
        <v>13372</v>
      </c>
      <c r="B85" s="1553">
        <v>4</v>
      </c>
      <c r="C85" s="1439" t="s">
        <v>4347</v>
      </c>
      <c r="D85" s="2552"/>
      <c r="E85" s="2553"/>
      <c r="F85" s="2553"/>
    </row>
    <row r="86" spans="1:6" customFormat="1" ht="14.45" customHeight="1">
      <c r="A86" s="2472"/>
      <c r="B86" s="1553">
        <v>4</v>
      </c>
      <c r="C86" s="1439" t="s">
        <v>2029</v>
      </c>
      <c r="D86" s="2552"/>
      <c r="E86" s="2553"/>
      <c r="F86" s="2553"/>
    </row>
    <row r="87" spans="1:6" customFormat="1" ht="14.45" customHeight="1">
      <c r="A87" s="2472"/>
      <c r="B87" s="1553">
        <v>1</v>
      </c>
      <c r="C87" s="2525" t="s">
        <v>3070</v>
      </c>
      <c r="D87" s="2552"/>
      <c r="E87" s="2554"/>
      <c r="F87" s="2554"/>
    </row>
    <row r="88" spans="1:6" customFormat="1" ht="14.45" customHeight="1">
      <c r="A88" s="1746"/>
      <c r="B88" s="1553"/>
      <c r="C88" s="1439" t="s">
        <v>729</v>
      </c>
      <c r="D88" s="2552"/>
      <c r="E88" s="2554"/>
      <c r="F88" s="2554"/>
    </row>
    <row r="89" spans="1:6" customFormat="1" ht="14.45" customHeight="1">
      <c r="A89" s="1912"/>
      <c r="B89" s="1553">
        <v>1</v>
      </c>
      <c r="C89" s="1439" t="s">
        <v>316</v>
      </c>
      <c r="D89" s="2555"/>
      <c r="E89" s="2556"/>
      <c r="F89" s="2556"/>
    </row>
    <row r="90" spans="1:6" customFormat="1" ht="14.45" customHeight="1">
      <c r="A90" s="1746"/>
      <c r="B90" s="1553"/>
      <c r="C90" s="1439" t="s">
        <v>729</v>
      </c>
      <c r="D90" s="2552"/>
      <c r="E90" s="2554"/>
      <c r="F90" s="2554"/>
    </row>
    <row r="91" spans="1:6" customFormat="1" ht="14.45" customHeight="1" thickBot="1">
      <c r="A91" s="126"/>
      <c r="B91" s="2527"/>
      <c r="C91" s="1984"/>
      <c r="D91" s="2557"/>
      <c r="E91" s="2558"/>
      <c r="F91" s="2558"/>
    </row>
    <row r="92" spans="1:6" s="64" customFormat="1" ht="26.25" thickBot="1">
      <c r="A92" s="1919">
        <v>7</v>
      </c>
      <c r="B92" s="2539">
        <v>19</v>
      </c>
      <c r="C92" s="2540" t="s">
        <v>14174</v>
      </c>
      <c r="D92" s="2550">
        <v>570</v>
      </c>
      <c r="E92" s="2551"/>
      <c r="F92" s="2551">
        <v>10830</v>
      </c>
    </row>
    <row r="93" spans="1:6" customFormat="1" ht="14.45" customHeight="1">
      <c r="A93" s="2455" t="s">
        <v>9502</v>
      </c>
      <c r="B93" s="1559"/>
      <c r="C93" s="2522"/>
      <c r="D93" s="2552"/>
      <c r="E93" s="2553"/>
      <c r="F93" s="2553"/>
    </row>
    <row r="94" spans="1:6" customFormat="1" ht="14.45" customHeight="1">
      <c r="A94" s="1913"/>
      <c r="B94" s="1553"/>
      <c r="C94" s="1975" t="s">
        <v>3301</v>
      </c>
      <c r="D94" s="2552"/>
      <c r="E94" s="2554"/>
      <c r="F94" s="2554"/>
    </row>
    <row r="95" spans="1:6" customFormat="1" ht="14.45" customHeight="1">
      <c r="A95" s="1913" t="s">
        <v>10377</v>
      </c>
      <c r="B95" s="1553">
        <v>1</v>
      </c>
      <c r="C95" s="1439" t="s">
        <v>4352</v>
      </c>
      <c r="D95" s="2552"/>
      <c r="E95" s="2554"/>
      <c r="F95" s="2554"/>
    </row>
    <row r="96" spans="1:6" customFormat="1" ht="14.45" customHeight="1">
      <c r="A96" s="1913" t="s">
        <v>10378</v>
      </c>
      <c r="B96" s="1553"/>
      <c r="C96" s="1439" t="s">
        <v>729</v>
      </c>
      <c r="D96" s="2552"/>
      <c r="E96" s="2554"/>
      <c r="F96" s="2554"/>
    </row>
    <row r="97" spans="1:6" customFormat="1" ht="14.45" customHeight="1">
      <c r="A97" s="1913"/>
      <c r="B97" s="1562"/>
      <c r="C97" s="1975" t="s">
        <v>14172</v>
      </c>
      <c r="D97" s="2552"/>
      <c r="E97" s="2554"/>
      <c r="F97" s="2554"/>
    </row>
    <row r="98" spans="1:6" customFormat="1" ht="14.45" customHeight="1">
      <c r="A98" s="2472" t="s">
        <v>13372</v>
      </c>
      <c r="B98" s="1553">
        <v>5</v>
      </c>
      <c r="C98" s="1439" t="s">
        <v>4347</v>
      </c>
      <c r="D98" s="2552"/>
      <c r="E98" s="2553"/>
      <c r="F98" s="2553"/>
    </row>
    <row r="99" spans="1:6" customFormat="1" ht="14.45" customHeight="1">
      <c r="A99" s="2472"/>
      <c r="B99" s="1553">
        <v>5</v>
      </c>
      <c r="C99" s="1439" t="s">
        <v>2029</v>
      </c>
      <c r="D99" s="2552"/>
      <c r="E99" s="2553"/>
      <c r="F99" s="2553"/>
    </row>
    <row r="100" spans="1:6" customFormat="1" ht="14.45" customHeight="1">
      <c r="A100" s="2472"/>
      <c r="B100" s="1553">
        <v>1</v>
      </c>
      <c r="C100" s="2525" t="s">
        <v>3070</v>
      </c>
      <c r="D100" s="2552"/>
      <c r="E100" s="2554"/>
      <c r="F100" s="2554"/>
    </row>
    <row r="101" spans="1:6" customFormat="1" ht="14.45" customHeight="1">
      <c r="A101" s="1746"/>
      <c r="B101" s="1553"/>
      <c r="C101" s="1439" t="s">
        <v>729</v>
      </c>
      <c r="D101" s="2552"/>
      <c r="E101" s="2554"/>
      <c r="F101" s="2554"/>
    </row>
    <row r="102" spans="1:6" customFormat="1" ht="14.45" customHeight="1">
      <c r="A102" s="1912"/>
      <c r="B102" s="1553">
        <v>1</v>
      </c>
      <c r="C102" s="1439" t="s">
        <v>316</v>
      </c>
      <c r="D102" s="2555"/>
      <c r="E102" s="2556"/>
      <c r="F102" s="2556"/>
    </row>
    <row r="103" spans="1:6" customFormat="1" ht="14.45" customHeight="1">
      <c r="A103" s="1746"/>
      <c r="B103" s="1553"/>
      <c r="C103" s="1439" t="s">
        <v>729</v>
      </c>
      <c r="D103" s="2552"/>
      <c r="E103" s="2554"/>
      <c r="F103" s="2554"/>
    </row>
    <row r="104" spans="1:6" customFormat="1" ht="14.45" customHeight="1" thickBot="1">
      <c r="A104" s="1746"/>
      <c r="B104" s="2527"/>
      <c r="C104" s="1984"/>
      <c r="D104" s="2557"/>
      <c r="E104" s="2558"/>
      <c r="F104" s="2558"/>
    </row>
    <row r="105" spans="1:6" s="64" customFormat="1" ht="20.100000000000001" customHeight="1" thickBot="1">
      <c r="A105" s="1919">
        <v>8</v>
      </c>
      <c r="B105" s="2539">
        <v>6</v>
      </c>
      <c r="C105" s="2540" t="s">
        <v>14175</v>
      </c>
      <c r="D105" s="2550">
        <v>750</v>
      </c>
      <c r="E105" s="2551"/>
      <c r="F105" s="2551">
        <v>4500</v>
      </c>
    </row>
    <row r="106" spans="1:6" customFormat="1" ht="14.45" customHeight="1">
      <c r="A106" s="2455" t="s">
        <v>9502</v>
      </c>
      <c r="B106" s="1559"/>
      <c r="C106" s="2522"/>
      <c r="D106" s="2552"/>
      <c r="E106" s="2553"/>
      <c r="F106" s="2553"/>
    </row>
    <row r="107" spans="1:6" customFormat="1" ht="14.45" customHeight="1">
      <c r="A107" s="1913"/>
      <c r="B107" s="1553"/>
      <c r="C107" s="1975" t="s">
        <v>3301</v>
      </c>
      <c r="D107" s="2552"/>
      <c r="E107" s="2554"/>
      <c r="F107" s="2554"/>
    </row>
    <row r="108" spans="1:6" customFormat="1" ht="14.45" customHeight="1">
      <c r="A108" s="1913" t="s">
        <v>10377</v>
      </c>
      <c r="B108" s="1553">
        <v>1</v>
      </c>
      <c r="C108" s="1439" t="s">
        <v>4352</v>
      </c>
      <c r="D108" s="2552"/>
      <c r="E108" s="2554"/>
      <c r="F108" s="2554"/>
    </row>
    <row r="109" spans="1:6" customFormat="1" ht="14.45" customHeight="1">
      <c r="A109" s="1913" t="s">
        <v>10378</v>
      </c>
      <c r="B109" s="1553"/>
      <c r="C109" s="1439" t="s">
        <v>729</v>
      </c>
      <c r="D109" s="2552"/>
      <c r="E109" s="2554"/>
      <c r="F109" s="2554"/>
    </row>
    <row r="110" spans="1:6" customFormat="1" ht="14.45" customHeight="1">
      <c r="A110" s="1913"/>
      <c r="B110" s="1562"/>
      <c r="C110" s="1975" t="s">
        <v>14172</v>
      </c>
      <c r="D110" s="2552"/>
      <c r="E110" s="2554"/>
      <c r="F110" s="2554"/>
    </row>
    <row r="111" spans="1:6" customFormat="1" ht="14.45" customHeight="1">
      <c r="A111" s="2515" t="s">
        <v>13383</v>
      </c>
      <c r="B111" s="1553">
        <v>7</v>
      </c>
      <c r="C111" s="1439" t="s">
        <v>4347</v>
      </c>
      <c r="D111" s="2552"/>
      <c r="E111" s="2553"/>
      <c r="F111" s="2553"/>
    </row>
    <row r="112" spans="1:6" customFormat="1" ht="14.45" customHeight="1">
      <c r="A112" s="2515"/>
      <c r="B112" s="1553">
        <v>7</v>
      </c>
      <c r="C112" s="1439" t="s">
        <v>2029</v>
      </c>
      <c r="D112" s="2552"/>
      <c r="E112" s="2553"/>
      <c r="F112" s="2553"/>
    </row>
    <row r="113" spans="1:6" customFormat="1" ht="14.45" customHeight="1">
      <c r="A113" s="2515"/>
      <c r="B113" s="1553">
        <v>1</v>
      </c>
      <c r="C113" s="2525" t="s">
        <v>3070</v>
      </c>
      <c r="D113" s="2552"/>
      <c r="E113" s="2554"/>
      <c r="F113" s="2554"/>
    </row>
    <row r="114" spans="1:6" customFormat="1" ht="14.45" customHeight="1">
      <c r="A114" s="1746"/>
      <c r="B114" s="1553"/>
      <c r="C114" s="1439" t="s">
        <v>729</v>
      </c>
      <c r="D114" s="2552"/>
      <c r="E114" s="2554"/>
      <c r="F114" s="2554"/>
    </row>
    <row r="115" spans="1:6" customFormat="1" ht="14.45" customHeight="1">
      <c r="A115" s="1912"/>
      <c r="B115" s="1553">
        <v>1</v>
      </c>
      <c r="C115" s="1439" t="s">
        <v>316</v>
      </c>
      <c r="D115" s="2555"/>
      <c r="E115" s="2556"/>
      <c r="F115" s="2556"/>
    </row>
    <row r="116" spans="1:6" customFormat="1" ht="14.45" customHeight="1">
      <c r="A116" s="1746"/>
      <c r="B116" s="1553"/>
      <c r="C116" s="1439" t="s">
        <v>729</v>
      </c>
      <c r="D116" s="2552"/>
      <c r="E116" s="2554"/>
      <c r="F116" s="2554"/>
    </row>
    <row r="117" spans="1:6" customFormat="1" ht="14.45" customHeight="1" thickBot="1">
      <c r="A117" s="1746"/>
      <c r="B117" s="2527"/>
      <c r="C117" s="1984"/>
      <c r="D117" s="2557"/>
      <c r="E117" s="2558"/>
      <c r="F117" s="2558"/>
    </row>
    <row r="118" spans="1:6" s="64" customFormat="1" ht="26.25" thickBot="1">
      <c r="A118" s="1919">
        <v>9</v>
      </c>
      <c r="B118" s="2539">
        <v>12</v>
      </c>
      <c r="C118" s="2540" t="s">
        <v>14176</v>
      </c>
      <c r="D118" s="2550">
        <v>480</v>
      </c>
      <c r="E118" s="2551"/>
      <c r="F118" s="2551">
        <v>5760</v>
      </c>
    </row>
    <row r="119" spans="1:6" customFormat="1" ht="14.45" customHeight="1">
      <c r="A119" s="2455" t="s">
        <v>9502</v>
      </c>
      <c r="B119" s="1559"/>
      <c r="C119" s="2522"/>
      <c r="D119" s="2552"/>
      <c r="E119" s="2553"/>
      <c r="F119" s="2553"/>
    </row>
    <row r="120" spans="1:6" customFormat="1" ht="14.45" customHeight="1">
      <c r="A120" s="1913"/>
      <c r="B120" s="1553"/>
      <c r="C120" s="1975" t="s">
        <v>3301</v>
      </c>
      <c r="D120" s="2552"/>
      <c r="E120" s="2554"/>
      <c r="F120" s="2554"/>
    </row>
    <row r="121" spans="1:6" customFormat="1" ht="14.45" customHeight="1">
      <c r="A121" s="1913" t="s">
        <v>10377</v>
      </c>
      <c r="B121" s="1553">
        <v>1</v>
      </c>
      <c r="C121" s="1439" t="s">
        <v>4352</v>
      </c>
      <c r="D121" s="2552"/>
      <c r="E121" s="2554"/>
      <c r="F121" s="2554"/>
    </row>
    <row r="122" spans="1:6" customFormat="1" ht="14.45" customHeight="1">
      <c r="A122" s="1913" t="s">
        <v>10378</v>
      </c>
      <c r="B122" s="1553"/>
      <c r="C122" s="1439" t="s">
        <v>729</v>
      </c>
      <c r="D122" s="2552"/>
      <c r="E122" s="2554"/>
      <c r="F122" s="2554"/>
    </row>
    <row r="123" spans="1:6" customFormat="1" ht="14.45" customHeight="1">
      <c r="A123" s="1913"/>
      <c r="B123" s="1562"/>
      <c r="C123" s="1975" t="s">
        <v>14172</v>
      </c>
      <c r="D123" s="2552"/>
      <c r="E123" s="2554"/>
      <c r="F123" s="2554"/>
    </row>
    <row r="124" spans="1:6" customFormat="1" ht="14.45" customHeight="1">
      <c r="A124" s="2472" t="s">
        <v>13372</v>
      </c>
      <c r="B124" s="1553">
        <v>4</v>
      </c>
      <c r="C124" s="1439" t="s">
        <v>4347</v>
      </c>
      <c r="D124" s="2552"/>
      <c r="E124" s="2553"/>
      <c r="F124" s="2553"/>
    </row>
    <row r="125" spans="1:6" customFormat="1" ht="14.45" customHeight="1">
      <c r="A125" s="2472"/>
      <c r="B125" s="1553">
        <v>4</v>
      </c>
      <c r="C125" s="1439" t="s">
        <v>2029</v>
      </c>
      <c r="D125" s="2552"/>
      <c r="E125" s="2553"/>
      <c r="F125" s="2553"/>
    </row>
    <row r="126" spans="1:6" customFormat="1" ht="14.45" customHeight="1">
      <c r="A126" s="2472"/>
      <c r="B126" s="1553">
        <v>1</v>
      </c>
      <c r="C126" s="2525" t="s">
        <v>3070</v>
      </c>
      <c r="D126" s="2552"/>
      <c r="E126" s="2554"/>
      <c r="F126" s="2554"/>
    </row>
    <row r="127" spans="1:6" customFormat="1" ht="14.45" customHeight="1">
      <c r="A127" s="1746"/>
      <c r="B127" s="1553"/>
      <c r="C127" s="1439" t="s">
        <v>729</v>
      </c>
      <c r="D127" s="2552"/>
      <c r="E127" s="2554"/>
      <c r="F127" s="2554"/>
    </row>
    <row r="128" spans="1:6" customFormat="1" ht="14.45" customHeight="1">
      <c r="A128" s="1912"/>
      <c r="B128" s="1553">
        <v>1</v>
      </c>
      <c r="C128" s="1439" t="s">
        <v>316</v>
      </c>
      <c r="D128" s="2555"/>
      <c r="E128" s="2556"/>
      <c r="F128" s="2556"/>
    </row>
    <row r="129" spans="1:347" customFormat="1" ht="14.45" customHeight="1">
      <c r="A129" s="126"/>
      <c r="B129" s="1553"/>
      <c r="C129" s="1439" t="s">
        <v>729</v>
      </c>
      <c r="D129" s="2552"/>
      <c r="E129" s="2554"/>
      <c r="F129" s="2554"/>
    </row>
    <row r="130" spans="1:347" customFormat="1" ht="14.45" customHeight="1" thickBot="1">
      <c r="A130" s="1746"/>
      <c r="B130" s="2527"/>
      <c r="C130" s="1984"/>
      <c r="D130" s="2557"/>
      <c r="E130" s="2558"/>
      <c r="F130" s="2558"/>
    </row>
    <row r="131" spans="1:347" s="64" customFormat="1" ht="20.100000000000001" customHeight="1" thickBot="1">
      <c r="A131" s="1919">
        <v>10</v>
      </c>
      <c r="B131" s="2539">
        <v>8</v>
      </c>
      <c r="C131" s="2540" t="s">
        <v>14177</v>
      </c>
      <c r="D131" s="2550">
        <v>668</v>
      </c>
      <c r="E131" s="2551"/>
      <c r="F131" s="2551">
        <v>5344</v>
      </c>
    </row>
    <row r="132" spans="1:347" customFormat="1" ht="14.45" customHeight="1">
      <c r="A132" s="2455" t="s">
        <v>9502</v>
      </c>
      <c r="B132" s="1559"/>
      <c r="C132" s="2522"/>
      <c r="D132" s="2552"/>
      <c r="E132" s="2553"/>
      <c r="F132" s="2553"/>
    </row>
    <row r="133" spans="1:347" customFormat="1" ht="14.45" customHeight="1">
      <c r="A133" s="1913"/>
      <c r="B133" s="1553"/>
      <c r="C133" s="1975" t="s">
        <v>3301</v>
      </c>
      <c r="D133" s="2552"/>
      <c r="E133" s="2554"/>
      <c r="F133" s="2554"/>
    </row>
    <row r="134" spans="1:347" customFormat="1" ht="14.45" customHeight="1">
      <c r="A134" s="1913" t="s">
        <v>10377</v>
      </c>
      <c r="B134" s="1553">
        <v>1</v>
      </c>
      <c r="C134" s="1439" t="s">
        <v>4352</v>
      </c>
      <c r="D134" s="2552"/>
      <c r="E134" s="2554"/>
      <c r="F134" s="2554"/>
    </row>
    <row r="135" spans="1:347" customFormat="1" ht="14.45" customHeight="1">
      <c r="A135" s="1913" t="s">
        <v>10378</v>
      </c>
      <c r="B135" s="1553"/>
      <c r="C135" s="1439" t="s">
        <v>729</v>
      </c>
      <c r="D135" s="2552"/>
      <c r="E135" s="2554"/>
      <c r="F135" s="2554"/>
    </row>
    <row r="136" spans="1:347" customFormat="1" ht="14.45" customHeight="1">
      <c r="A136" s="1913"/>
      <c r="B136" s="1562"/>
      <c r="C136" s="1975" t="s">
        <v>14172</v>
      </c>
      <c r="D136" s="2552"/>
      <c r="E136" s="2554"/>
      <c r="F136" s="2554"/>
    </row>
    <row r="137" spans="1:347" customFormat="1" ht="14.45" customHeight="1">
      <c r="A137" s="2472" t="s">
        <v>13383</v>
      </c>
      <c r="B137" s="1553">
        <v>6</v>
      </c>
      <c r="C137" s="1439" t="s">
        <v>4347</v>
      </c>
      <c r="D137" s="2552"/>
      <c r="E137" s="2553"/>
      <c r="F137" s="2553"/>
    </row>
    <row r="138" spans="1:347" customFormat="1" ht="14.45" customHeight="1">
      <c r="A138" s="2472"/>
      <c r="B138" s="1553">
        <v>6</v>
      </c>
      <c r="C138" s="1439" t="s">
        <v>2029</v>
      </c>
      <c r="D138" s="2552"/>
      <c r="E138" s="2553"/>
      <c r="F138" s="2553"/>
    </row>
    <row r="139" spans="1:347" customFormat="1" ht="14.45" customHeight="1">
      <c r="A139" s="2472"/>
      <c r="B139" s="1553">
        <v>1</v>
      </c>
      <c r="C139" s="2525" t="s">
        <v>3070</v>
      </c>
      <c r="D139" s="2552"/>
      <c r="E139" s="2554"/>
      <c r="F139" s="2554"/>
    </row>
    <row r="140" spans="1:347" customFormat="1" ht="14.45" customHeight="1">
      <c r="A140" s="1746"/>
      <c r="B140" s="1553"/>
      <c r="C140" s="1439" t="s">
        <v>729</v>
      </c>
      <c r="D140" s="2552"/>
      <c r="E140" s="2554"/>
      <c r="F140" s="2554"/>
    </row>
    <row r="141" spans="1:347" customFormat="1" ht="14.45" customHeight="1">
      <c r="A141" s="1912"/>
      <c r="B141" s="1553">
        <v>1</v>
      </c>
      <c r="C141" s="1439" t="s">
        <v>316</v>
      </c>
      <c r="D141" s="2555"/>
      <c r="E141" s="2556"/>
      <c r="F141" s="2556"/>
    </row>
    <row r="142" spans="1:347" customFormat="1" ht="14.45" customHeight="1">
      <c r="A142" s="1746"/>
      <c r="B142" s="1553"/>
      <c r="C142" s="1439" t="s">
        <v>729</v>
      </c>
      <c r="D142" s="2552"/>
      <c r="E142" s="2554"/>
      <c r="F142" s="2554"/>
    </row>
    <row r="143" spans="1:347" customFormat="1" ht="14.45" customHeight="1" thickBot="1">
      <c r="A143" s="1746"/>
      <c r="B143" s="2527"/>
      <c r="C143" s="1984"/>
      <c r="D143" s="2557"/>
      <c r="E143" s="2558"/>
      <c r="F143" s="2558"/>
    </row>
    <row r="144" spans="1:347" ht="24" customHeight="1">
      <c r="A144" s="2578"/>
      <c r="B144" s="2579"/>
      <c r="C144" s="2577" t="s">
        <v>4956</v>
      </c>
      <c r="D144" s="2580"/>
      <c r="E144" s="2581"/>
      <c r="F144" s="2581"/>
      <c r="G144" s="1331"/>
      <c r="H144" s="1331"/>
      <c r="I144" s="1331"/>
      <c r="J144" s="1331"/>
      <c r="K144" s="1331"/>
      <c r="L144" s="1331"/>
      <c r="M144" s="1331"/>
      <c r="N144" s="1331"/>
      <c r="O144" s="1331"/>
      <c r="P144" s="1331"/>
      <c r="Q144" s="1331"/>
      <c r="R144" s="1331"/>
      <c r="S144" s="1331"/>
      <c r="T144" s="1331"/>
      <c r="U144" s="1331"/>
      <c r="V144" s="1331"/>
      <c r="W144" s="1331"/>
      <c r="X144" s="1331"/>
      <c r="Y144" s="1331"/>
      <c r="Z144" s="1331"/>
      <c r="AA144" s="1331"/>
      <c r="AB144" s="1331"/>
      <c r="AC144" s="1331"/>
      <c r="AD144" s="1331"/>
      <c r="AE144" s="1331"/>
      <c r="AF144" s="1331"/>
      <c r="AG144" s="1331"/>
      <c r="AH144" s="1331"/>
      <c r="AI144" s="1331"/>
      <c r="AJ144" s="1331"/>
      <c r="AK144" s="1331"/>
      <c r="AL144" s="1331"/>
      <c r="AM144" s="1331"/>
      <c r="AN144" s="1331"/>
      <c r="AO144" s="1331"/>
      <c r="AP144" s="1331"/>
      <c r="AQ144" s="1331"/>
      <c r="AR144" s="1331"/>
      <c r="AS144" s="1331"/>
      <c r="AT144" s="1331"/>
      <c r="AU144" s="1331"/>
      <c r="AV144" s="1331"/>
      <c r="AW144" s="1331"/>
      <c r="AX144" s="1331"/>
      <c r="AY144" s="1331"/>
      <c r="AZ144" s="1331"/>
      <c r="BA144" s="1331"/>
      <c r="BB144" s="1331"/>
      <c r="BC144" s="1331"/>
      <c r="BD144" s="1331"/>
      <c r="BE144" s="1331"/>
      <c r="BF144" s="1331"/>
      <c r="BG144" s="1331"/>
      <c r="BH144" s="1331"/>
      <c r="BI144" s="1331"/>
      <c r="BJ144" s="1331"/>
      <c r="BK144" s="1331"/>
      <c r="BL144" s="1331"/>
      <c r="BM144" s="1331"/>
      <c r="BN144" s="1331"/>
      <c r="BO144" s="1331"/>
      <c r="BP144" s="1331"/>
      <c r="BQ144" s="1331"/>
      <c r="BR144" s="1331"/>
      <c r="BS144" s="1331"/>
      <c r="BT144" s="1331"/>
      <c r="BU144" s="1331"/>
      <c r="BV144" s="1331"/>
      <c r="BW144" s="1331"/>
      <c r="BX144" s="1331"/>
      <c r="BY144" s="1331"/>
      <c r="BZ144" s="1331"/>
      <c r="CA144" s="1331"/>
      <c r="CB144" s="1331"/>
      <c r="CC144" s="1331"/>
      <c r="CD144" s="1331"/>
      <c r="CE144" s="1331"/>
      <c r="CF144" s="1331"/>
      <c r="CG144" s="1331"/>
      <c r="CH144" s="1331"/>
      <c r="CI144" s="1331"/>
      <c r="CJ144" s="1331"/>
      <c r="CK144" s="1331"/>
      <c r="CL144" s="1331"/>
      <c r="CM144" s="1331"/>
      <c r="CN144" s="1331"/>
      <c r="CO144" s="1331"/>
      <c r="CP144" s="1331"/>
      <c r="CQ144" s="1331"/>
      <c r="CR144" s="1331"/>
      <c r="CS144" s="1331"/>
      <c r="CT144" s="1331"/>
      <c r="CU144" s="1331"/>
      <c r="CV144" s="1331"/>
      <c r="CW144" s="1331"/>
      <c r="CX144" s="1331"/>
      <c r="CY144" s="1331"/>
      <c r="CZ144" s="1331"/>
      <c r="DA144" s="1331"/>
      <c r="DB144" s="1331"/>
      <c r="DC144" s="1331"/>
      <c r="DD144" s="1331"/>
      <c r="DE144" s="1331"/>
      <c r="DF144" s="1331"/>
      <c r="DG144" s="1331"/>
      <c r="DH144" s="1331"/>
      <c r="DI144" s="1331"/>
      <c r="DJ144" s="1331"/>
      <c r="DK144" s="1331"/>
      <c r="DL144" s="1331"/>
      <c r="DM144" s="1331"/>
      <c r="DN144" s="1331"/>
      <c r="DO144" s="1331"/>
      <c r="DP144" s="1331"/>
      <c r="DQ144" s="1331"/>
      <c r="DR144" s="1331"/>
      <c r="DS144" s="1331"/>
      <c r="DT144" s="1331"/>
      <c r="DU144" s="1331"/>
      <c r="DV144" s="1331"/>
      <c r="DW144" s="1331"/>
      <c r="DX144" s="1331"/>
      <c r="DY144" s="1331"/>
      <c r="DZ144" s="1331"/>
      <c r="EA144" s="1331"/>
      <c r="EB144" s="1331"/>
      <c r="EC144" s="1331"/>
      <c r="ED144" s="1331"/>
      <c r="EE144" s="1331"/>
      <c r="EF144" s="1331"/>
      <c r="EG144" s="1331"/>
      <c r="EH144" s="1331"/>
      <c r="EI144" s="1331"/>
      <c r="EJ144" s="1331"/>
      <c r="EK144" s="1331"/>
      <c r="EL144" s="1331"/>
      <c r="EM144" s="1331"/>
      <c r="EN144" s="1331"/>
      <c r="EO144" s="1331"/>
      <c r="EP144" s="1331"/>
      <c r="EQ144" s="1331"/>
      <c r="ER144" s="1331"/>
      <c r="ES144" s="1331"/>
      <c r="ET144" s="1331"/>
      <c r="EU144" s="1331"/>
      <c r="EV144" s="1331"/>
      <c r="EW144" s="1331"/>
      <c r="EX144" s="1331"/>
      <c r="EY144" s="1331"/>
      <c r="EZ144" s="1331"/>
      <c r="FA144" s="1331"/>
      <c r="FB144" s="1331"/>
      <c r="FC144" s="1331"/>
      <c r="FD144" s="1331"/>
      <c r="FE144" s="1331"/>
      <c r="FF144" s="1331"/>
      <c r="FG144" s="1331"/>
      <c r="FH144" s="1331"/>
      <c r="FI144" s="1331"/>
      <c r="FJ144" s="1331"/>
      <c r="FK144" s="1331"/>
      <c r="FL144" s="1331"/>
      <c r="FM144" s="1331"/>
      <c r="FN144" s="1331"/>
      <c r="FO144" s="1331"/>
      <c r="FP144" s="1331"/>
      <c r="FQ144" s="1331"/>
      <c r="FR144" s="1331"/>
      <c r="FS144" s="1331"/>
      <c r="FT144" s="1331"/>
      <c r="FU144" s="1331"/>
      <c r="FV144" s="1331"/>
      <c r="FW144" s="1331"/>
      <c r="FX144" s="1331"/>
      <c r="FY144" s="1331"/>
      <c r="FZ144" s="1331"/>
      <c r="GA144" s="1331"/>
      <c r="GB144" s="1331"/>
      <c r="GC144" s="1331"/>
      <c r="GD144" s="1331"/>
      <c r="GE144" s="1331"/>
      <c r="GF144" s="1331"/>
      <c r="GG144" s="1331"/>
      <c r="GH144" s="1331"/>
      <c r="GI144" s="1331"/>
      <c r="GJ144" s="1331"/>
      <c r="GK144" s="1331"/>
      <c r="GL144" s="1331"/>
      <c r="GM144" s="1331"/>
      <c r="GN144" s="1331"/>
      <c r="GO144" s="1331"/>
      <c r="GP144" s="1331"/>
      <c r="GQ144" s="1331"/>
      <c r="GR144" s="1331"/>
      <c r="GS144" s="1331"/>
      <c r="GT144" s="1331"/>
      <c r="GU144" s="1331"/>
      <c r="GV144" s="1331"/>
      <c r="GW144" s="1331"/>
      <c r="GX144" s="1331"/>
      <c r="GY144" s="1331"/>
      <c r="GZ144" s="1331"/>
      <c r="HA144" s="1331"/>
      <c r="HB144" s="1331"/>
      <c r="HC144" s="1331"/>
      <c r="HD144" s="1331"/>
      <c r="HE144" s="1331"/>
      <c r="HF144" s="1331"/>
      <c r="HG144" s="1331"/>
      <c r="HH144" s="1331"/>
      <c r="HI144" s="1331"/>
      <c r="HJ144" s="1331"/>
      <c r="HK144" s="1331"/>
      <c r="HL144" s="1331"/>
      <c r="HM144" s="1331"/>
      <c r="HN144" s="1331"/>
      <c r="HO144" s="1331"/>
      <c r="HP144" s="1331"/>
      <c r="HQ144" s="1331"/>
      <c r="HR144" s="1331"/>
      <c r="HS144" s="1331"/>
      <c r="HT144" s="1331"/>
      <c r="HU144" s="1331"/>
      <c r="HV144" s="1331"/>
      <c r="HW144" s="1331"/>
      <c r="HX144" s="1331"/>
      <c r="HY144" s="1331"/>
      <c r="HZ144" s="1331"/>
      <c r="IA144" s="1331"/>
      <c r="IB144" s="1331"/>
      <c r="IC144" s="1331"/>
      <c r="ID144" s="1331"/>
      <c r="IE144" s="1331"/>
      <c r="IF144" s="1331"/>
      <c r="IG144" s="1331"/>
      <c r="IH144" s="1331"/>
      <c r="II144" s="1331"/>
      <c r="IJ144" s="1331"/>
      <c r="IK144" s="1331"/>
      <c r="IL144" s="1331"/>
      <c r="IM144" s="1331"/>
      <c r="IN144" s="1331"/>
      <c r="IO144" s="1331"/>
      <c r="IP144" s="1331"/>
      <c r="IQ144" s="1331"/>
      <c r="IR144" s="1331"/>
      <c r="IS144" s="1331"/>
      <c r="IT144" s="1331"/>
      <c r="IU144" s="1331"/>
      <c r="IV144" s="1331"/>
      <c r="IW144" s="1331"/>
      <c r="IX144" s="1331"/>
      <c r="IY144" s="1331"/>
      <c r="IZ144" s="1331"/>
      <c r="JA144" s="1331"/>
      <c r="JB144" s="1331"/>
      <c r="JC144" s="1331"/>
      <c r="JD144" s="1331"/>
      <c r="JE144" s="1331"/>
      <c r="JF144" s="1331"/>
      <c r="JG144" s="1331"/>
      <c r="JH144" s="1331"/>
      <c r="JI144" s="1331"/>
      <c r="JJ144" s="1331"/>
      <c r="JK144" s="1331"/>
      <c r="JL144" s="1331"/>
      <c r="JM144" s="1331"/>
      <c r="JN144" s="1331"/>
      <c r="JO144" s="1331"/>
      <c r="JP144" s="1331"/>
      <c r="JQ144" s="1331"/>
      <c r="JR144" s="1331"/>
      <c r="JS144" s="1331"/>
      <c r="JT144" s="1331"/>
      <c r="JU144" s="1331"/>
      <c r="JV144" s="1331"/>
      <c r="JW144" s="1331"/>
      <c r="JX144" s="1331"/>
      <c r="JY144" s="1331"/>
      <c r="JZ144" s="1331"/>
      <c r="KA144" s="1331"/>
      <c r="KB144" s="1331"/>
      <c r="KC144" s="1331"/>
      <c r="KD144" s="1331"/>
      <c r="KE144" s="1331"/>
      <c r="KF144" s="1331"/>
      <c r="KG144" s="1331"/>
      <c r="KH144" s="1331"/>
      <c r="KI144" s="1331"/>
      <c r="KJ144" s="1331"/>
      <c r="KK144" s="1331"/>
      <c r="KL144" s="1331"/>
      <c r="KM144" s="1331"/>
      <c r="KN144" s="1331"/>
      <c r="KO144" s="1331"/>
      <c r="KP144" s="1331"/>
      <c r="KQ144" s="1331"/>
      <c r="KR144" s="1331"/>
      <c r="KS144" s="1331"/>
      <c r="KT144" s="1331"/>
      <c r="KU144" s="1331"/>
      <c r="KV144" s="1331"/>
      <c r="KW144" s="1331"/>
      <c r="KX144" s="1331"/>
      <c r="KY144" s="1331"/>
      <c r="KZ144" s="1331"/>
      <c r="LA144" s="1331"/>
      <c r="LB144" s="1331"/>
      <c r="LC144" s="1331"/>
      <c r="LD144" s="1331"/>
      <c r="LE144" s="1331"/>
      <c r="LF144" s="1331"/>
      <c r="LG144" s="1331"/>
      <c r="LH144" s="1331"/>
      <c r="LI144" s="1331"/>
      <c r="LJ144" s="1331"/>
      <c r="LK144" s="1331"/>
      <c r="LL144" s="1331"/>
      <c r="LM144" s="1331"/>
      <c r="LN144" s="1331"/>
      <c r="LO144" s="1331"/>
      <c r="LP144" s="1331"/>
      <c r="LQ144" s="1331"/>
      <c r="LR144" s="1331"/>
      <c r="LS144" s="1331"/>
      <c r="LT144" s="1331"/>
      <c r="LU144" s="1331"/>
      <c r="LV144" s="1331"/>
      <c r="LW144" s="1331"/>
      <c r="LX144" s="1331"/>
      <c r="LY144" s="1331"/>
      <c r="LZ144" s="1331"/>
      <c r="MA144" s="1331"/>
      <c r="MB144" s="1331"/>
      <c r="MC144" s="1331"/>
      <c r="MD144" s="1331"/>
      <c r="ME144" s="1331"/>
      <c r="MF144" s="1331"/>
      <c r="MG144" s="1331"/>
      <c r="MH144" s="1331"/>
      <c r="MI144" s="1331"/>
    </row>
    <row r="145" spans="1:347" ht="69.75" customHeight="1">
      <c r="A145" s="2574"/>
      <c r="B145" s="1537"/>
      <c r="C145" s="1540" t="s">
        <v>14296</v>
      </c>
      <c r="D145" s="2575"/>
      <c r="E145" s="1707"/>
      <c r="F145" s="1707"/>
      <c r="G145" s="1331"/>
      <c r="H145" s="1331"/>
      <c r="I145" s="1331"/>
      <c r="J145" s="1331"/>
      <c r="K145" s="1331"/>
      <c r="L145" s="1331"/>
      <c r="M145" s="1331"/>
      <c r="N145" s="1331"/>
      <c r="O145" s="1331"/>
      <c r="P145" s="1331"/>
      <c r="Q145" s="1331"/>
      <c r="R145" s="1331"/>
      <c r="S145" s="1331"/>
      <c r="T145" s="1331"/>
      <c r="U145" s="1331"/>
      <c r="V145" s="1331"/>
      <c r="W145" s="1331"/>
      <c r="X145" s="1331"/>
      <c r="Y145" s="1331"/>
      <c r="Z145" s="1331"/>
      <c r="AA145" s="1331"/>
      <c r="AB145" s="1331"/>
      <c r="AC145" s="1331"/>
      <c r="AD145" s="1331"/>
      <c r="AE145" s="1331"/>
      <c r="AF145" s="1331"/>
      <c r="AG145" s="1331"/>
      <c r="AH145" s="1331"/>
      <c r="AI145" s="1331"/>
      <c r="AJ145" s="1331"/>
      <c r="AK145" s="1331"/>
      <c r="AL145" s="1331"/>
      <c r="AM145" s="1331"/>
      <c r="AN145" s="1331"/>
      <c r="AO145" s="1331"/>
      <c r="AP145" s="1331"/>
      <c r="AQ145" s="1331"/>
      <c r="AR145" s="1331"/>
      <c r="AS145" s="1331"/>
      <c r="AT145" s="1331"/>
      <c r="AU145" s="1331"/>
      <c r="AV145" s="1331"/>
      <c r="AW145" s="1331"/>
      <c r="AX145" s="1331"/>
      <c r="AY145" s="1331"/>
      <c r="AZ145" s="1331"/>
      <c r="BA145" s="1331"/>
      <c r="BB145" s="1331"/>
      <c r="BC145" s="1331"/>
      <c r="BD145" s="1331"/>
      <c r="BE145" s="1331"/>
      <c r="BF145" s="1331"/>
      <c r="BG145" s="1331"/>
      <c r="BH145" s="1331"/>
      <c r="BI145" s="1331"/>
      <c r="BJ145" s="1331"/>
      <c r="BK145" s="1331"/>
      <c r="BL145" s="1331"/>
      <c r="BM145" s="1331"/>
      <c r="BN145" s="1331"/>
      <c r="BO145" s="1331"/>
      <c r="BP145" s="1331"/>
      <c r="BQ145" s="1331"/>
      <c r="BR145" s="1331"/>
      <c r="BS145" s="1331"/>
      <c r="BT145" s="1331"/>
      <c r="BU145" s="1331"/>
      <c r="BV145" s="1331"/>
      <c r="BW145" s="1331"/>
      <c r="BX145" s="1331"/>
      <c r="BY145" s="1331"/>
      <c r="BZ145" s="1331"/>
      <c r="CA145" s="1331"/>
      <c r="CB145" s="1331"/>
      <c r="CC145" s="1331"/>
      <c r="CD145" s="1331"/>
      <c r="CE145" s="1331"/>
      <c r="CF145" s="1331"/>
      <c r="CG145" s="1331"/>
      <c r="CH145" s="1331"/>
      <c r="CI145" s="1331"/>
      <c r="CJ145" s="1331"/>
      <c r="CK145" s="1331"/>
      <c r="CL145" s="1331"/>
      <c r="CM145" s="1331"/>
      <c r="CN145" s="1331"/>
      <c r="CO145" s="1331"/>
      <c r="CP145" s="1331"/>
      <c r="CQ145" s="1331"/>
      <c r="CR145" s="1331"/>
      <c r="CS145" s="1331"/>
      <c r="CT145" s="1331"/>
      <c r="CU145" s="1331"/>
      <c r="CV145" s="1331"/>
      <c r="CW145" s="1331"/>
      <c r="CX145" s="1331"/>
      <c r="CY145" s="1331"/>
      <c r="CZ145" s="1331"/>
      <c r="DA145" s="1331"/>
      <c r="DB145" s="1331"/>
      <c r="DC145" s="1331"/>
      <c r="DD145" s="1331"/>
      <c r="DE145" s="1331"/>
      <c r="DF145" s="1331"/>
      <c r="DG145" s="1331"/>
      <c r="DH145" s="1331"/>
      <c r="DI145" s="1331"/>
      <c r="DJ145" s="1331"/>
      <c r="DK145" s="1331"/>
      <c r="DL145" s="1331"/>
      <c r="DM145" s="1331"/>
      <c r="DN145" s="1331"/>
      <c r="DO145" s="1331"/>
      <c r="DP145" s="1331"/>
      <c r="DQ145" s="1331"/>
      <c r="DR145" s="1331"/>
      <c r="DS145" s="1331"/>
      <c r="DT145" s="1331"/>
      <c r="DU145" s="1331"/>
      <c r="DV145" s="1331"/>
      <c r="DW145" s="1331"/>
      <c r="DX145" s="1331"/>
      <c r="DY145" s="1331"/>
      <c r="DZ145" s="1331"/>
      <c r="EA145" s="1331"/>
      <c r="EB145" s="1331"/>
      <c r="EC145" s="1331"/>
      <c r="ED145" s="1331"/>
      <c r="EE145" s="1331"/>
      <c r="EF145" s="1331"/>
      <c r="EG145" s="1331"/>
      <c r="EH145" s="1331"/>
      <c r="EI145" s="1331"/>
      <c r="EJ145" s="1331"/>
      <c r="EK145" s="1331"/>
      <c r="EL145" s="1331"/>
      <c r="EM145" s="1331"/>
      <c r="EN145" s="1331"/>
      <c r="EO145" s="1331"/>
      <c r="EP145" s="1331"/>
      <c r="EQ145" s="1331"/>
      <c r="ER145" s="1331"/>
      <c r="ES145" s="1331"/>
      <c r="ET145" s="1331"/>
      <c r="EU145" s="1331"/>
      <c r="EV145" s="1331"/>
      <c r="EW145" s="1331"/>
      <c r="EX145" s="1331"/>
      <c r="EY145" s="1331"/>
      <c r="EZ145" s="1331"/>
      <c r="FA145" s="1331"/>
      <c r="FB145" s="1331"/>
      <c r="FC145" s="1331"/>
      <c r="FD145" s="1331"/>
      <c r="FE145" s="1331"/>
      <c r="FF145" s="1331"/>
      <c r="FG145" s="1331"/>
      <c r="FH145" s="1331"/>
      <c r="FI145" s="1331"/>
      <c r="FJ145" s="1331"/>
      <c r="FK145" s="1331"/>
      <c r="FL145" s="1331"/>
      <c r="FM145" s="1331"/>
      <c r="FN145" s="1331"/>
      <c r="FO145" s="1331"/>
      <c r="FP145" s="1331"/>
      <c r="FQ145" s="1331"/>
      <c r="FR145" s="1331"/>
      <c r="FS145" s="1331"/>
      <c r="FT145" s="1331"/>
      <c r="FU145" s="1331"/>
      <c r="FV145" s="1331"/>
      <c r="FW145" s="1331"/>
      <c r="FX145" s="1331"/>
      <c r="FY145" s="1331"/>
      <c r="FZ145" s="1331"/>
      <c r="GA145" s="1331"/>
      <c r="GB145" s="1331"/>
      <c r="GC145" s="1331"/>
      <c r="GD145" s="1331"/>
      <c r="GE145" s="1331"/>
      <c r="GF145" s="1331"/>
      <c r="GG145" s="1331"/>
      <c r="GH145" s="1331"/>
      <c r="GI145" s="1331"/>
      <c r="GJ145" s="1331"/>
      <c r="GK145" s="1331"/>
      <c r="GL145" s="1331"/>
      <c r="GM145" s="1331"/>
      <c r="GN145" s="1331"/>
      <c r="GO145" s="1331"/>
      <c r="GP145" s="1331"/>
      <c r="GQ145" s="1331"/>
      <c r="GR145" s="1331"/>
      <c r="GS145" s="1331"/>
      <c r="GT145" s="1331"/>
      <c r="GU145" s="1331"/>
      <c r="GV145" s="1331"/>
      <c r="GW145" s="1331"/>
      <c r="GX145" s="1331"/>
      <c r="GY145" s="1331"/>
      <c r="GZ145" s="1331"/>
      <c r="HA145" s="1331"/>
      <c r="HB145" s="1331"/>
      <c r="HC145" s="1331"/>
      <c r="HD145" s="1331"/>
      <c r="HE145" s="1331"/>
      <c r="HF145" s="1331"/>
      <c r="HG145" s="1331"/>
      <c r="HH145" s="1331"/>
      <c r="HI145" s="1331"/>
      <c r="HJ145" s="1331"/>
      <c r="HK145" s="1331"/>
      <c r="HL145" s="1331"/>
      <c r="HM145" s="1331"/>
      <c r="HN145" s="1331"/>
      <c r="HO145" s="1331"/>
      <c r="HP145" s="1331"/>
      <c r="HQ145" s="1331"/>
      <c r="HR145" s="1331"/>
      <c r="HS145" s="1331"/>
      <c r="HT145" s="1331"/>
      <c r="HU145" s="1331"/>
      <c r="HV145" s="1331"/>
      <c r="HW145" s="1331"/>
      <c r="HX145" s="1331"/>
      <c r="HY145" s="1331"/>
      <c r="HZ145" s="1331"/>
      <c r="IA145" s="1331"/>
      <c r="IB145" s="1331"/>
      <c r="IC145" s="1331"/>
      <c r="ID145" s="1331"/>
      <c r="IE145" s="1331"/>
      <c r="IF145" s="1331"/>
      <c r="IG145" s="1331"/>
      <c r="IH145" s="1331"/>
      <c r="II145" s="1331"/>
      <c r="IJ145" s="1331"/>
      <c r="IK145" s="1331"/>
      <c r="IL145" s="1331"/>
      <c r="IM145" s="1331"/>
      <c r="IN145" s="1331"/>
      <c r="IO145" s="1331"/>
      <c r="IP145" s="1331"/>
      <c r="IQ145" s="1331"/>
      <c r="IR145" s="1331"/>
      <c r="IS145" s="1331"/>
      <c r="IT145" s="1331"/>
      <c r="IU145" s="1331"/>
      <c r="IV145" s="1331"/>
      <c r="IW145" s="1331"/>
      <c r="IX145" s="1331"/>
      <c r="IY145" s="1331"/>
      <c r="IZ145" s="1331"/>
      <c r="JA145" s="1331"/>
      <c r="JB145" s="1331"/>
      <c r="JC145" s="1331"/>
      <c r="JD145" s="1331"/>
      <c r="JE145" s="1331"/>
      <c r="JF145" s="1331"/>
      <c r="JG145" s="1331"/>
      <c r="JH145" s="1331"/>
      <c r="JI145" s="1331"/>
      <c r="JJ145" s="1331"/>
      <c r="JK145" s="1331"/>
      <c r="JL145" s="1331"/>
      <c r="JM145" s="1331"/>
      <c r="JN145" s="1331"/>
      <c r="JO145" s="1331"/>
      <c r="JP145" s="1331"/>
      <c r="JQ145" s="1331"/>
      <c r="JR145" s="1331"/>
      <c r="JS145" s="1331"/>
      <c r="JT145" s="1331"/>
      <c r="JU145" s="1331"/>
      <c r="JV145" s="1331"/>
      <c r="JW145" s="1331"/>
      <c r="JX145" s="1331"/>
      <c r="JY145" s="1331"/>
      <c r="JZ145" s="1331"/>
      <c r="KA145" s="1331"/>
      <c r="KB145" s="1331"/>
      <c r="KC145" s="1331"/>
      <c r="KD145" s="1331"/>
      <c r="KE145" s="1331"/>
      <c r="KF145" s="1331"/>
      <c r="KG145" s="1331"/>
      <c r="KH145" s="1331"/>
      <c r="KI145" s="1331"/>
      <c r="KJ145" s="1331"/>
      <c r="KK145" s="1331"/>
      <c r="KL145" s="1331"/>
      <c r="KM145" s="1331"/>
      <c r="KN145" s="1331"/>
      <c r="KO145" s="1331"/>
      <c r="KP145" s="1331"/>
      <c r="KQ145" s="1331"/>
      <c r="KR145" s="1331"/>
      <c r="KS145" s="1331"/>
      <c r="KT145" s="1331"/>
      <c r="KU145" s="1331"/>
      <c r="KV145" s="1331"/>
      <c r="KW145" s="1331"/>
      <c r="KX145" s="1331"/>
      <c r="KY145" s="1331"/>
      <c r="KZ145" s="1331"/>
      <c r="LA145" s="1331"/>
      <c r="LB145" s="1331"/>
      <c r="LC145" s="1331"/>
      <c r="LD145" s="1331"/>
      <c r="LE145" s="1331"/>
      <c r="LF145" s="1331"/>
      <c r="LG145" s="1331"/>
      <c r="LH145" s="1331"/>
      <c r="LI145" s="1331"/>
      <c r="LJ145" s="1331"/>
      <c r="LK145" s="1331"/>
      <c r="LL145" s="1331"/>
      <c r="LM145" s="1331"/>
      <c r="LN145" s="1331"/>
      <c r="LO145" s="1331"/>
      <c r="LP145" s="1331"/>
      <c r="LQ145" s="1331"/>
      <c r="LR145" s="1331"/>
      <c r="LS145" s="1331"/>
      <c r="LT145" s="1331"/>
      <c r="LU145" s="1331"/>
      <c r="LV145" s="1331"/>
      <c r="LW145" s="1331"/>
      <c r="LX145" s="1331"/>
      <c r="LY145" s="1331"/>
      <c r="LZ145" s="1331"/>
      <c r="MA145" s="1331"/>
      <c r="MB145" s="1331"/>
      <c r="MC145" s="1331"/>
      <c r="MD145" s="1331"/>
      <c r="ME145" s="1331"/>
      <c r="MF145" s="1331"/>
      <c r="MG145" s="1331"/>
      <c r="MH145" s="1331"/>
      <c r="MI145" s="1331"/>
    </row>
    <row r="146" spans="1:347" ht="33" customHeight="1">
      <c r="A146" s="2574"/>
      <c r="B146" s="1537"/>
      <c r="C146" s="1533" t="s">
        <v>14295</v>
      </c>
      <c r="D146" s="2575"/>
      <c r="E146" s="1707"/>
      <c r="F146" s="1707"/>
      <c r="G146" s="1331"/>
      <c r="H146" s="1331"/>
      <c r="I146" s="1331"/>
      <c r="J146" s="1331"/>
      <c r="K146" s="1331"/>
      <c r="L146" s="1331"/>
      <c r="M146" s="1331"/>
      <c r="N146" s="1331"/>
      <c r="O146" s="1331"/>
      <c r="P146" s="1331"/>
      <c r="Q146" s="1331"/>
      <c r="R146" s="1331"/>
      <c r="S146" s="1331"/>
      <c r="T146" s="1331"/>
      <c r="U146" s="1331"/>
      <c r="V146" s="1331"/>
      <c r="W146" s="1331"/>
      <c r="X146" s="1331"/>
      <c r="Y146" s="1331"/>
      <c r="Z146" s="1331"/>
      <c r="AA146" s="1331"/>
      <c r="AB146" s="1331"/>
      <c r="AC146" s="1331"/>
      <c r="AD146" s="1331"/>
      <c r="AE146" s="1331"/>
      <c r="AF146" s="1331"/>
      <c r="AG146" s="1331"/>
      <c r="AH146" s="1331"/>
      <c r="AI146" s="1331"/>
      <c r="AJ146" s="1331"/>
      <c r="AK146" s="1331"/>
      <c r="AL146" s="1331"/>
      <c r="AM146" s="1331"/>
      <c r="AN146" s="1331"/>
      <c r="AO146" s="1331"/>
      <c r="AP146" s="1331"/>
      <c r="AQ146" s="1331"/>
      <c r="AR146" s="1331"/>
      <c r="AS146" s="1331"/>
      <c r="AT146" s="1331"/>
      <c r="AU146" s="1331"/>
      <c r="AV146" s="1331"/>
      <c r="AW146" s="1331"/>
      <c r="AX146" s="1331"/>
      <c r="AY146" s="1331"/>
      <c r="AZ146" s="1331"/>
      <c r="BA146" s="1331"/>
      <c r="BB146" s="1331"/>
      <c r="BC146" s="1331"/>
      <c r="BD146" s="1331"/>
      <c r="BE146" s="1331"/>
      <c r="BF146" s="1331"/>
      <c r="BG146" s="1331"/>
      <c r="BH146" s="1331"/>
      <c r="BI146" s="1331"/>
      <c r="BJ146" s="1331"/>
      <c r="BK146" s="1331"/>
      <c r="BL146" s="1331"/>
      <c r="BM146" s="1331"/>
      <c r="BN146" s="1331"/>
      <c r="BO146" s="1331"/>
      <c r="BP146" s="1331"/>
      <c r="BQ146" s="1331"/>
      <c r="BR146" s="1331"/>
      <c r="BS146" s="1331"/>
      <c r="BT146" s="1331"/>
      <c r="BU146" s="1331"/>
      <c r="BV146" s="1331"/>
      <c r="BW146" s="1331"/>
      <c r="BX146" s="1331"/>
      <c r="BY146" s="1331"/>
      <c r="BZ146" s="1331"/>
      <c r="CA146" s="1331"/>
      <c r="CB146" s="1331"/>
      <c r="CC146" s="1331"/>
      <c r="CD146" s="1331"/>
      <c r="CE146" s="1331"/>
      <c r="CF146" s="1331"/>
      <c r="CG146" s="1331"/>
      <c r="CH146" s="1331"/>
      <c r="CI146" s="1331"/>
      <c r="CJ146" s="1331"/>
      <c r="CK146" s="1331"/>
      <c r="CL146" s="1331"/>
      <c r="CM146" s="1331"/>
      <c r="CN146" s="1331"/>
      <c r="CO146" s="1331"/>
      <c r="CP146" s="1331"/>
      <c r="CQ146" s="1331"/>
      <c r="CR146" s="1331"/>
      <c r="CS146" s="1331"/>
      <c r="CT146" s="1331"/>
      <c r="CU146" s="1331"/>
      <c r="CV146" s="1331"/>
      <c r="CW146" s="1331"/>
      <c r="CX146" s="1331"/>
      <c r="CY146" s="1331"/>
      <c r="CZ146" s="1331"/>
      <c r="DA146" s="1331"/>
      <c r="DB146" s="1331"/>
      <c r="DC146" s="1331"/>
      <c r="DD146" s="1331"/>
      <c r="DE146" s="1331"/>
      <c r="DF146" s="1331"/>
      <c r="DG146" s="1331"/>
      <c r="DH146" s="1331"/>
      <c r="DI146" s="1331"/>
      <c r="DJ146" s="1331"/>
      <c r="DK146" s="1331"/>
      <c r="DL146" s="1331"/>
      <c r="DM146" s="1331"/>
      <c r="DN146" s="1331"/>
      <c r="DO146" s="1331"/>
      <c r="DP146" s="1331"/>
      <c r="DQ146" s="1331"/>
      <c r="DR146" s="1331"/>
      <c r="DS146" s="1331"/>
      <c r="DT146" s="1331"/>
      <c r="DU146" s="1331"/>
      <c r="DV146" s="1331"/>
      <c r="DW146" s="1331"/>
      <c r="DX146" s="1331"/>
      <c r="DY146" s="1331"/>
      <c r="DZ146" s="1331"/>
      <c r="EA146" s="1331"/>
      <c r="EB146" s="1331"/>
      <c r="EC146" s="1331"/>
      <c r="ED146" s="1331"/>
      <c r="EE146" s="1331"/>
      <c r="EF146" s="1331"/>
      <c r="EG146" s="1331"/>
      <c r="EH146" s="1331"/>
      <c r="EI146" s="1331"/>
      <c r="EJ146" s="1331"/>
      <c r="EK146" s="1331"/>
      <c r="EL146" s="1331"/>
      <c r="EM146" s="1331"/>
      <c r="EN146" s="1331"/>
      <c r="EO146" s="1331"/>
      <c r="EP146" s="1331"/>
      <c r="EQ146" s="1331"/>
      <c r="ER146" s="1331"/>
      <c r="ES146" s="1331"/>
      <c r="ET146" s="1331"/>
      <c r="EU146" s="1331"/>
      <c r="EV146" s="1331"/>
      <c r="EW146" s="1331"/>
      <c r="EX146" s="1331"/>
      <c r="EY146" s="1331"/>
      <c r="EZ146" s="1331"/>
      <c r="FA146" s="1331"/>
      <c r="FB146" s="1331"/>
      <c r="FC146" s="1331"/>
      <c r="FD146" s="1331"/>
      <c r="FE146" s="1331"/>
      <c r="FF146" s="1331"/>
      <c r="FG146" s="1331"/>
      <c r="FH146" s="1331"/>
      <c r="FI146" s="1331"/>
      <c r="FJ146" s="1331"/>
      <c r="FK146" s="1331"/>
      <c r="FL146" s="1331"/>
      <c r="FM146" s="1331"/>
      <c r="FN146" s="1331"/>
      <c r="FO146" s="1331"/>
      <c r="FP146" s="1331"/>
      <c r="FQ146" s="1331"/>
      <c r="FR146" s="1331"/>
      <c r="FS146" s="1331"/>
      <c r="FT146" s="1331"/>
      <c r="FU146" s="1331"/>
      <c r="FV146" s="1331"/>
      <c r="FW146" s="1331"/>
      <c r="FX146" s="1331"/>
      <c r="FY146" s="1331"/>
      <c r="FZ146" s="1331"/>
      <c r="GA146" s="1331"/>
      <c r="GB146" s="1331"/>
      <c r="GC146" s="1331"/>
      <c r="GD146" s="1331"/>
      <c r="GE146" s="1331"/>
      <c r="GF146" s="1331"/>
      <c r="GG146" s="1331"/>
      <c r="GH146" s="1331"/>
      <c r="GI146" s="1331"/>
      <c r="GJ146" s="1331"/>
      <c r="GK146" s="1331"/>
      <c r="GL146" s="1331"/>
      <c r="GM146" s="1331"/>
      <c r="GN146" s="1331"/>
      <c r="GO146" s="1331"/>
      <c r="GP146" s="1331"/>
      <c r="GQ146" s="1331"/>
      <c r="GR146" s="1331"/>
      <c r="GS146" s="1331"/>
      <c r="GT146" s="1331"/>
      <c r="GU146" s="1331"/>
      <c r="GV146" s="1331"/>
      <c r="GW146" s="1331"/>
      <c r="GX146" s="1331"/>
      <c r="GY146" s="1331"/>
      <c r="GZ146" s="1331"/>
      <c r="HA146" s="1331"/>
      <c r="HB146" s="1331"/>
      <c r="HC146" s="1331"/>
      <c r="HD146" s="1331"/>
      <c r="HE146" s="1331"/>
      <c r="HF146" s="1331"/>
      <c r="HG146" s="1331"/>
      <c r="HH146" s="1331"/>
      <c r="HI146" s="1331"/>
      <c r="HJ146" s="1331"/>
      <c r="HK146" s="1331"/>
      <c r="HL146" s="1331"/>
      <c r="HM146" s="1331"/>
      <c r="HN146" s="1331"/>
      <c r="HO146" s="1331"/>
      <c r="HP146" s="1331"/>
      <c r="HQ146" s="1331"/>
      <c r="HR146" s="1331"/>
      <c r="HS146" s="1331"/>
      <c r="HT146" s="1331"/>
      <c r="HU146" s="1331"/>
      <c r="HV146" s="1331"/>
      <c r="HW146" s="1331"/>
      <c r="HX146" s="1331"/>
      <c r="HY146" s="1331"/>
      <c r="HZ146" s="1331"/>
      <c r="IA146" s="1331"/>
      <c r="IB146" s="1331"/>
      <c r="IC146" s="1331"/>
      <c r="ID146" s="1331"/>
      <c r="IE146" s="1331"/>
      <c r="IF146" s="1331"/>
      <c r="IG146" s="1331"/>
      <c r="IH146" s="1331"/>
      <c r="II146" s="1331"/>
      <c r="IJ146" s="1331"/>
      <c r="IK146" s="1331"/>
      <c r="IL146" s="1331"/>
      <c r="IM146" s="1331"/>
      <c r="IN146" s="1331"/>
      <c r="IO146" s="1331"/>
      <c r="IP146" s="1331"/>
      <c r="IQ146" s="1331"/>
      <c r="IR146" s="1331"/>
      <c r="IS146" s="1331"/>
      <c r="IT146" s="1331"/>
      <c r="IU146" s="1331"/>
      <c r="IV146" s="1331"/>
      <c r="IW146" s="1331"/>
      <c r="IX146" s="1331"/>
      <c r="IY146" s="1331"/>
      <c r="IZ146" s="1331"/>
      <c r="JA146" s="1331"/>
      <c r="JB146" s="1331"/>
      <c r="JC146" s="1331"/>
      <c r="JD146" s="1331"/>
      <c r="JE146" s="1331"/>
      <c r="JF146" s="1331"/>
      <c r="JG146" s="1331"/>
      <c r="JH146" s="1331"/>
      <c r="JI146" s="1331"/>
      <c r="JJ146" s="1331"/>
      <c r="JK146" s="1331"/>
      <c r="JL146" s="1331"/>
      <c r="JM146" s="1331"/>
      <c r="JN146" s="1331"/>
      <c r="JO146" s="1331"/>
      <c r="JP146" s="1331"/>
      <c r="JQ146" s="1331"/>
      <c r="JR146" s="1331"/>
      <c r="JS146" s="1331"/>
      <c r="JT146" s="1331"/>
      <c r="JU146" s="1331"/>
      <c r="JV146" s="1331"/>
      <c r="JW146" s="1331"/>
      <c r="JX146" s="1331"/>
      <c r="JY146" s="1331"/>
      <c r="JZ146" s="1331"/>
      <c r="KA146" s="1331"/>
      <c r="KB146" s="1331"/>
      <c r="KC146" s="1331"/>
      <c r="KD146" s="1331"/>
      <c r="KE146" s="1331"/>
      <c r="KF146" s="1331"/>
      <c r="KG146" s="1331"/>
      <c r="KH146" s="1331"/>
      <c r="KI146" s="1331"/>
      <c r="KJ146" s="1331"/>
      <c r="KK146" s="1331"/>
      <c r="KL146" s="1331"/>
      <c r="KM146" s="1331"/>
      <c r="KN146" s="1331"/>
      <c r="KO146" s="1331"/>
      <c r="KP146" s="1331"/>
      <c r="KQ146" s="1331"/>
      <c r="KR146" s="1331"/>
      <c r="KS146" s="1331"/>
      <c r="KT146" s="1331"/>
      <c r="KU146" s="1331"/>
      <c r="KV146" s="1331"/>
      <c r="KW146" s="1331"/>
      <c r="KX146" s="1331"/>
      <c r="KY146" s="1331"/>
      <c r="KZ146" s="1331"/>
      <c r="LA146" s="1331"/>
      <c r="LB146" s="1331"/>
      <c r="LC146" s="1331"/>
      <c r="LD146" s="1331"/>
      <c r="LE146" s="1331"/>
      <c r="LF146" s="1331"/>
      <c r="LG146" s="1331"/>
      <c r="LH146" s="1331"/>
      <c r="LI146" s="1331"/>
      <c r="LJ146" s="1331"/>
      <c r="LK146" s="1331"/>
      <c r="LL146" s="1331"/>
      <c r="LM146" s="1331"/>
      <c r="LN146" s="1331"/>
      <c r="LO146" s="1331"/>
      <c r="LP146" s="1331"/>
      <c r="LQ146" s="1331"/>
      <c r="LR146" s="1331"/>
      <c r="LS146" s="1331"/>
      <c r="LT146" s="1331"/>
      <c r="LU146" s="1331"/>
      <c r="LV146" s="1331"/>
      <c r="LW146" s="1331"/>
      <c r="LX146" s="1331"/>
      <c r="LY146" s="1331"/>
      <c r="LZ146" s="1331"/>
      <c r="MA146" s="1331"/>
      <c r="MB146" s="1331"/>
      <c r="MC146" s="1331"/>
      <c r="MD146" s="1331"/>
      <c r="ME146" s="1331"/>
      <c r="MF146" s="1331"/>
      <c r="MG146" s="1331"/>
      <c r="MH146" s="1331"/>
      <c r="MI146" s="1331"/>
    </row>
    <row r="147" spans="1:347" ht="14.45" customHeight="1" thickBot="1">
      <c r="A147" s="2576"/>
      <c r="B147" s="1536"/>
      <c r="C147" s="1534"/>
      <c r="D147" s="2548"/>
      <c r="E147" s="2549"/>
      <c r="F147" s="2549"/>
      <c r="G147" s="1331"/>
      <c r="H147" s="1331"/>
      <c r="I147" s="1331"/>
      <c r="J147" s="1331"/>
      <c r="K147" s="1331"/>
      <c r="L147" s="1331"/>
      <c r="M147" s="1331"/>
      <c r="N147" s="1331"/>
      <c r="O147" s="1331"/>
      <c r="P147" s="1331"/>
      <c r="Q147" s="1331"/>
      <c r="R147" s="1331"/>
      <c r="S147" s="1331"/>
      <c r="T147" s="1331"/>
      <c r="U147" s="1331"/>
      <c r="V147" s="1331"/>
      <c r="W147" s="1331"/>
      <c r="X147" s="1331"/>
      <c r="Y147" s="1331"/>
      <c r="Z147" s="1331"/>
      <c r="AA147" s="1331"/>
      <c r="AB147" s="1331"/>
      <c r="AC147" s="1331"/>
      <c r="AD147" s="1331"/>
      <c r="AE147" s="1331"/>
      <c r="AF147" s="1331"/>
      <c r="AG147" s="1331"/>
      <c r="AH147" s="1331"/>
      <c r="AI147" s="1331"/>
      <c r="AJ147" s="1331"/>
      <c r="AK147" s="1331"/>
      <c r="AL147" s="1331"/>
      <c r="AM147" s="1331"/>
      <c r="AN147" s="1331"/>
      <c r="AO147" s="1331"/>
      <c r="AP147" s="1331"/>
      <c r="AQ147" s="1331"/>
      <c r="AR147" s="1331"/>
      <c r="AS147" s="1331"/>
      <c r="AT147" s="1331"/>
      <c r="AU147" s="1331"/>
      <c r="AV147" s="1331"/>
      <c r="AW147" s="1331"/>
      <c r="AX147" s="1331"/>
      <c r="AY147" s="1331"/>
      <c r="AZ147" s="1331"/>
      <c r="BA147" s="1331"/>
      <c r="BB147" s="1331"/>
      <c r="BC147" s="1331"/>
      <c r="BD147" s="1331"/>
      <c r="BE147" s="1331"/>
      <c r="BF147" s="1331"/>
      <c r="BG147" s="1331"/>
      <c r="BH147" s="1331"/>
      <c r="BI147" s="1331"/>
      <c r="BJ147" s="1331"/>
      <c r="BK147" s="1331"/>
      <c r="BL147" s="1331"/>
      <c r="BM147" s="1331"/>
      <c r="BN147" s="1331"/>
      <c r="BO147" s="1331"/>
      <c r="BP147" s="1331"/>
      <c r="BQ147" s="1331"/>
      <c r="BR147" s="1331"/>
      <c r="BS147" s="1331"/>
      <c r="BT147" s="1331"/>
      <c r="BU147" s="1331"/>
      <c r="BV147" s="1331"/>
      <c r="BW147" s="1331"/>
      <c r="BX147" s="1331"/>
      <c r="BY147" s="1331"/>
      <c r="BZ147" s="1331"/>
      <c r="CA147" s="1331"/>
      <c r="CB147" s="1331"/>
      <c r="CC147" s="1331"/>
      <c r="CD147" s="1331"/>
      <c r="CE147" s="1331"/>
      <c r="CF147" s="1331"/>
      <c r="CG147" s="1331"/>
      <c r="CH147" s="1331"/>
      <c r="CI147" s="1331"/>
      <c r="CJ147" s="1331"/>
      <c r="CK147" s="1331"/>
      <c r="CL147" s="1331"/>
      <c r="CM147" s="1331"/>
      <c r="CN147" s="1331"/>
      <c r="CO147" s="1331"/>
      <c r="CP147" s="1331"/>
      <c r="CQ147" s="1331"/>
      <c r="CR147" s="1331"/>
      <c r="CS147" s="1331"/>
      <c r="CT147" s="1331"/>
      <c r="CU147" s="1331"/>
      <c r="CV147" s="1331"/>
      <c r="CW147" s="1331"/>
      <c r="CX147" s="1331"/>
      <c r="CY147" s="1331"/>
      <c r="CZ147" s="1331"/>
      <c r="DA147" s="1331"/>
      <c r="DB147" s="1331"/>
      <c r="DC147" s="1331"/>
      <c r="DD147" s="1331"/>
      <c r="DE147" s="1331"/>
      <c r="DF147" s="1331"/>
      <c r="DG147" s="1331"/>
      <c r="DH147" s="1331"/>
      <c r="DI147" s="1331"/>
      <c r="DJ147" s="1331"/>
      <c r="DK147" s="1331"/>
      <c r="DL147" s="1331"/>
      <c r="DM147" s="1331"/>
      <c r="DN147" s="1331"/>
      <c r="DO147" s="1331"/>
      <c r="DP147" s="1331"/>
      <c r="DQ147" s="1331"/>
      <c r="DR147" s="1331"/>
      <c r="DS147" s="1331"/>
      <c r="DT147" s="1331"/>
      <c r="DU147" s="1331"/>
      <c r="DV147" s="1331"/>
      <c r="DW147" s="1331"/>
      <c r="DX147" s="1331"/>
      <c r="DY147" s="1331"/>
      <c r="DZ147" s="1331"/>
      <c r="EA147" s="1331"/>
      <c r="EB147" s="1331"/>
      <c r="EC147" s="1331"/>
      <c r="ED147" s="1331"/>
      <c r="EE147" s="1331"/>
      <c r="EF147" s="1331"/>
      <c r="EG147" s="1331"/>
      <c r="EH147" s="1331"/>
      <c r="EI147" s="1331"/>
      <c r="EJ147" s="1331"/>
      <c r="EK147" s="1331"/>
      <c r="EL147" s="1331"/>
      <c r="EM147" s="1331"/>
      <c r="EN147" s="1331"/>
      <c r="EO147" s="1331"/>
      <c r="EP147" s="1331"/>
      <c r="EQ147" s="1331"/>
      <c r="ER147" s="1331"/>
      <c r="ES147" s="1331"/>
      <c r="ET147" s="1331"/>
      <c r="EU147" s="1331"/>
      <c r="EV147" s="1331"/>
      <c r="EW147" s="1331"/>
      <c r="EX147" s="1331"/>
      <c r="EY147" s="1331"/>
      <c r="EZ147" s="1331"/>
      <c r="FA147" s="1331"/>
      <c r="FB147" s="1331"/>
      <c r="FC147" s="1331"/>
      <c r="FD147" s="1331"/>
      <c r="FE147" s="1331"/>
      <c r="FF147" s="1331"/>
      <c r="FG147" s="1331"/>
      <c r="FH147" s="1331"/>
      <c r="FI147" s="1331"/>
      <c r="FJ147" s="1331"/>
      <c r="FK147" s="1331"/>
      <c r="FL147" s="1331"/>
      <c r="FM147" s="1331"/>
      <c r="FN147" s="1331"/>
      <c r="FO147" s="1331"/>
      <c r="FP147" s="1331"/>
      <c r="FQ147" s="1331"/>
      <c r="FR147" s="1331"/>
      <c r="FS147" s="1331"/>
      <c r="FT147" s="1331"/>
      <c r="FU147" s="1331"/>
      <c r="FV147" s="1331"/>
      <c r="FW147" s="1331"/>
      <c r="FX147" s="1331"/>
      <c r="FY147" s="1331"/>
      <c r="FZ147" s="1331"/>
      <c r="GA147" s="1331"/>
      <c r="GB147" s="1331"/>
      <c r="GC147" s="1331"/>
      <c r="GD147" s="1331"/>
      <c r="GE147" s="1331"/>
      <c r="GF147" s="1331"/>
      <c r="GG147" s="1331"/>
      <c r="GH147" s="1331"/>
      <c r="GI147" s="1331"/>
      <c r="GJ147" s="1331"/>
      <c r="GK147" s="1331"/>
      <c r="GL147" s="1331"/>
      <c r="GM147" s="1331"/>
      <c r="GN147" s="1331"/>
      <c r="GO147" s="1331"/>
      <c r="GP147" s="1331"/>
      <c r="GQ147" s="1331"/>
      <c r="GR147" s="1331"/>
      <c r="GS147" s="1331"/>
      <c r="GT147" s="1331"/>
      <c r="GU147" s="1331"/>
      <c r="GV147" s="1331"/>
      <c r="GW147" s="1331"/>
      <c r="GX147" s="1331"/>
      <c r="GY147" s="1331"/>
      <c r="GZ147" s="1331"/>
      <c r="HA147" s="1331"/>
      <c r="HB147" s="1331"/>
      <c r="HC147" s="1331"/>
      <c r="HD147" s="1331"/>
      <c r="HE147" s="1331"/>
      <c r="HF147" s="1331"/>
      <c r="HG147" s="1331"/>
      <c r="HH147" s="1331"/>
      <c r="HI147" s="1331"/>
      <c r="HJ147" s="1331"/>
      <c r="HK147" s="1331"/>
      <c r="HL147" s="1331"/>
      <c r="HM147" s="1331"/>
      <c r="HN147" s="1331"/>
      <c r="HO147" s="1331"/>
      <c r="HP147" s="1331"/>
      <c r="HQ147" s="1331"/>
      <c r="HR147" s="1331"/>
      <c r="HS147" s="1331"/>
      <c r="HT147" s="1331"/>
      <c r="HU147" s="1331"/>
      <c r="HV147" s="1331"/>
      <c r="HW147" s="1331"/>
      <c r="HX147" s="1331"/>
      <c r="HY147" s="1331"/>
      <c r="HZ147" s="1331"/>
      <c r="IA147" s="1331"/>
      <c r="IB147" s="1331"/>
      <c r="IC147" s="1331"/>
      <c r="ID147" s="1331"/>
      <c r="IE147" s="1331"/>
      <c r="IF147" s="1331"/>
      <c r="IG147" s="1331"/>
      <c r="IH147" s="1331"/>
      <c r="II147" s="1331"/>
      <c r="IJ147" s="1331"/>
      <c r="IK147" s="1331"/>
      <c r="IL147" s="1331"/>
      <c r="IM147" s="1331"/>
      <c r="IN147" s="1331"/>
      <c r="IO147" s="1331"/>
      <c r="IP147" s="1331"/>
      <c r="IQ147" s="1331"/>
      <c r="IR147" s="1331"/>
      <c r="IS147" s="1331"/>
      <c r="IT147" s="1331"/>
      <c r="IU147" s="1331"/>
      <c r="IV147" s="1331"/>
      <c r="IW147" s="1331"/>
      <c r="IX147" s="1331"/>
      <c r="IY147" s="1331"/>
      <c r="IZ147" s="1331"/>
      <c r="JA147" s="1331"/>
      <c r="JB147" s="1331"/>
      <c r="JC147" s="1331"/>
      <c r="JD147" s="1331"/>
      <c r="JE147" s="1331"/>
      <c r="JF147" s="1331"/>
      <c r="JG147" s="1331"/>
      <c r="JH147" s="1331"/>
      <c r="JI147" s="1331"/>
      <c r="JJ147" s="1331"/>
      <c r="JK147" s="1331"/>
      <c r="JL147" s="1331"/>
      <c r="JM147" s="1331"/>
      <c r="JN147" s="1331"/>
      <c r="JO147" s="1331"/>
      <c r="JP147" s="1331"/>
      <c r="JQ147" s="1331"/>
      <c r="JR147" s="1331"/>
      <c r="JS147" s="1331"/>
      <c r="JT147" s="1331"/>
      <c r="JU147" s="1331"/>
      <c r="JV147" s="1331"/>
      <c r="JW147" s="1331"/>
      <c r="JX147" s="1331"/>
      <c r="JY147" s="1331"/>
      <c r="JZ147" s="1331"/>
      <c r="KA147" s="1331"/>
      <c r="KB147" s="1331"/>
      <c r="KC147" s="1331"/>
      <c r="KD147" s="1331"/>
      <c r="KE147" s="1331"/>
      <c r="KF147" s="1331"/>
      <c r="KG147" s="1331"/>
      <c r="KH147" s="1331"/>
      <c r="KI147" s="1331"/>
      <c r="KJ147" s="1331"/>
      <c r="KK147" s="1331"/>
      <c r="KL147" s="1331"/>
      <c r="KM147" s="1331"/>
      <c r="KN147" s="1331"/>
      <c r="KO147" s="1331"/>
      <c r="KP147" s="1331"/>
      <c r="KQ147" s="1331"/>
      <c r="KR147" s="1331"/>
      <c r="KS147" s="1331"/>
      <c r="KT147" s="1331"/>
      <c r="KU147" s="1331"/>
      <c r="KV147" s="1331"/>
      <c r="KW147" s="1331"/>
      <c r="KX147" s="1331"/>
      <c r="KY147" s="1331"/>
      <c r="KZ147" s="1331"/>
      <c r="LA147" s="1331"/>
      <c r="LB147" s="1331"/>
      <c r="LC147" s="1331"/>
      <c r="LD147" s="1331"/>
      <c r="LE147" s="1331"/>
      <c r="LF147" s="1331"/>
      <c r="LG147" s="1331"/>
      <c r="LH147" s="1331"/>
      <c r="LI147" s="1331"/>
      <c r="LJ147" s="1331"/>
      <c r="LK147" s="1331"/>
      <c r="LL147" s="1331"/>
      <c r="LM147" s="1331"/>
      <c r="LN147" s="1331"/>
      <c r="LO147" s="1331"/>
      <c r="LP147" s="1331"/>
      <c r="LQ147" s="1331"/>
      <c r="LR147" s="1331"/>
      <c r="LS147" s="1331"/>
      <c r="LT147" s="1331"/>
      <c r="LU147" s="1331"/>
      <c r="LV147" s="1331"/>
      <c r="LW147" s="1331"/>
      <c r="LX147" s="1331"/>
      <c r="LY147" s="1331"/>
      <c r="LZ147" s="1331"/>
      <c r="MA147" s="1331"/>
      <c r="MB147" s="1331"/>
      <c r="MC147" s="1331"/>
      <c r="MD147" s="1331"/>
      <c r="ME147" s="1331"/>
      <c r="MF147" s="1331"/>
      <c r="MG147" s="1331"/>
      <c r="MH147" s="1331"/>
      <c r="MI147" s="1331"/>
    </row>
    <row r="148" spans="1:347" s="64" customFormat="1" ht="20.100000000000001" customHeight="1" thickBot="1">
      <c r="A148" s="1924">
        <v>2</v>
      </c>
      <c r="B148" s="1506">
        <v>1</v>
      </c>
      <c r="C148" s="1458" t="s">
        <v>14162</v>
      </c>
      <c r="D148" s="2541">
        <v>18196</v>
      </c>
      <c r="E148" s="1700"/>
      <c r="F148" s="1700">
        <v>18196</v>
      </c>
    </row>
    <row r="149" spans="1:347" customFormat="1" ht="14.45" customHeight="1">
      <c r="A149" s="852" t="s">
        <v>3207</v>
      </c>
      <c r="B149" s="1434"/>
      <c r="C149" s="1459"/>
      <c r="D149" s="2542"/>
      <c r="E149" s="1702"/>
      <c r="F149" s="1702"/>
    </row>
    <row r="150" spans="1:347" customFormat="1" ht="14.45" customHeight="1">
      <c r="A150" s="856" t="s">
        <v>4059</v>
      </c>
      <c r="B150" s="1437"/>
      <c r="C150" s="1572" t="s">
        <v>729</v>
      </c>
      <c r="D150" s="1701"/>
      <c r="E150" s="1702"/>
      <c r="F150" s="1702"/>
    </row>
    <row r="151" spans="1:347" customFormat="1" ht="14.45" customHeight="1">
      <c r="A151" s="856" t="s">
        <v>4321</v>
      </c>
      <c r="B151" s="1435"/>
      <c r="C151" s="1441" t="s">
        <v>9492</v>
      </c>
      <c r="D151" s="1706"/>
      <c r="E151" s="1708"/>
      <c r="F151" s="1708"/>
    </row>
    <row r="152" spans="1:347" customFormat="1" ht="14.45" customHeight="1">
      <c r="A152" s="856" t="s">
        <v>3725</v>
      </c>
      <c r="B152" s="1434"/>
      <c r="C152" s="1574"/>
      <c r="D152" s="1701"/>
      <c r="E152" s="1702"/>
      <c r="F152" s="1702"/>
    </row>
    <row r="153" spans="1:347" customFormat="1" ht="14.45" customHeight="1">
      <c r="A153" s="856" t="s">
        <v>3726</v>
      </c>
      <c r="B153" s="1434"/>
      <c r="C153" s="1443" t="s">
        <v>14286</v>
      </c>
      <c r="D153" s="1701"/>
      <c r="E153" s="1702"/>
      <c r="F153" s="1702"/>
    </row>
    <row r="154" spans="1:347" customFormat="1" ht="14.45" customHeight="1">
      <c r="A154" s="865"/>
      <c r="B154" s="1434"/>
      <c r="C154" s="1443" t="s">
        <v>3601</v>
      </c>
      <c r="D154" s="1701"/>
      <c r="E154" s="1702"/>
      <c r="F154" s="1702"/>
    </row>
    <row r="155" spans="1:347" customFormat="1" ht="14.45" customHeight="1">
      <c r="A155" s="864"/>
      <c r="B155" s="1434"/>
      <c r="C155" s="1574"/>
      <c r="D155" s="1701"/>
      <c r="E155" s="1702"/>
      <c r="F155" s="1702"/>
    </row>
    <row r="156" spans="1:347" customFormat="1" ht="14.45" customHeight="1">
      <c r="A156" s="865"/>
      <c r="B156" s="1434"/>
      <c r="C156" s="1443" t="s">
        <v>3602</v>
      </c>
      <c r="D156" s="1706"/>
      <c r="E156" s="1707"/>
      <c r="F156" s="1707"/>
    </row>
    <row r="157" spans="1:347" customFormat="1" ht="14.45" customHeight="1">
      <c r="A157" s="1123"/>
      <c r="B157" s="1567"/>
      <c r="C157" s="1575"/>
      <c r="D157" s="1706"/>
      <c r="E157" s="1708"/>
      <c r="F157" s="1708"/>
    </row>
    <row r="158" spans="1:347" customFormat="1" ht="14.45" customHeight="1">
      <c r="A158" s="865"/>
      <c r="B158" s="1981">
        <v>1</v>
      </c>
      <c r="C158" s="1445" t="s">
        <v>4068</v>
      </c>
      <c r="D158" s="1706"/>
      <c r="E158" s="1708"/>
      <c r="F158" s="1708"/>
    </row>
    <row r="159" spans="1:347" customFormat="1" ht="14.45" customHeight="1">
      <c r="A159" s="1142"/>
      <c r="B159" s="1434"/>
      <c r="C159" s="1445" t="s">
        <v>3603</v>
      </c>
      <c r="D159" s="1706"/>
      <c r="E159" s="1708"/>
      <c r="F159" s="1708"/>
    </row>
    <row r="160" spans="1:347" customFormat="1" ht="25.5">
      <c r="A160" s="1142"/>
      <c r="B160" s="1434"/>
      <c r="C160" s="1581" t="s">
        <v>3492</v>
      </c>
      <c r="D160" s="1706"/>
      <c r="E160" s="1707"/>
      <c r="F160" s="1707"/>
    </row>
    <row r="161" spans="1:6" customFormat="1" ht="14.45" customHeight="1">
      <c r="A161" s="865"/>
      <c r="B161" s="1434"/>
      <c r="C161" s="1575"/>
      <c r="D161" s="1706"/>
      <c r="E161" s="1707"/>
      <c r="F161" s="1707"/>
    </row>
    <row r="162" spans="1:6" customFormat="1" ht="14.45" customHeight="1">
      <c r="A162" s="865"/>
      <c r="B162" s="1981">
        <v>2</v>
      </c>
      <c r="C162" s="1445" t="s">
        <v>10140</v>
      </c>
      <c r="D162" s="1706"/>
      <c r="E162" s="1708"/>
      <c r="F162" s="1708"/>
    </row>
    <row r="163" spans="1:6" customFormat="1" ht="14.45" customHeight="1">
      <c r="A163" s="865"/>
      <c r="B163" s="1434"/>
      <c r="C163" s="1445" t="s">
        <v>3603</v>
      </c>
      <c r="D163" s="1706"/>
      <c r="E163" s="1708"/>
      <c r="F163" s="1708"/>
    </row>
    <row r="164" spans="1:6" customFormat="1" ht="25.5">
      <c r="A164" s="1142"/>
      <c r="B164" s="1434"/>
      <c r="C164" s="1581" t="s">
        <v>4726</v>
      </c>
      <c r="D164" s="1706"/>
      <c r="E164" s="1707"/>
      <c r="F164" s="1707"/>
    </row>
    <row r="165" spans="1:6" customFormat="1" ht="14.45" customHeight="1">
      <c r="A165" s="1169"/>
      <c r="B165" s="1434"/>
      <c r="C165" s="1575"/>
      <c r="D165" s="1706"/>
      <c r="E165" s="1707"/>
      <c r="F165" s="1707"/>
    </row>
    <row r="166" spans="1:6" customFormat="1" ht="25.5">
      <c r="A166" s="865"/>
      <c r="B166" s="1434"/>
      <c r="C166" s="1634" t="s">
        <v>9493</v>
      </c>
      <c r="D166" s="1701"/>
      <c r="E166" s="1703"/>
      <c r="F166" s="1703"/>
    </row>
    <row r="167" spans="1:6" customFormat="1" ht="25.5">
      <c r="A167" s="865"/>
      <c r="B167" s="1434"/>
      <c r="C167" s="1634" t="s">
        <v>9494</v>
      </c>
      <c r="D167" s="1701"/>
      <c r="E167" s="1703"/>
      <c r="F167" s="1703"/>
    </row>
    <row r="168" spans="1:6" customFormat="1" ht="25.5">
      <c r="A168" s="865"/>
      <c r="B168" s="1434"/>
      <c r="C168" s="1634" t="s">
        <v>9495</v>
      </c>
      <c r="D168" s="1701"/>
      <c r="E168" s="1703"/>
      <c r="F168" s="1703"/>
    </row>
    <row r="169" spans="1:6" customFormat="1" ht="14.45" customHeight="1">
      <c r="A169" s="865"/>
      <c r="B169" s="1434"/>
      <c r="C169" s="1555" t="s">
        <v>9496</v>
      </c>
      <c r="D169" s="1701"/>
      <c r="E169" s="1702"/>
      <c r="F169" s="1702"/>
    </row>
    <row r="170" spans="1:6" customFormat="1" ht="14.45" customHeight="1">
      <c r="A170" s="865"/>
      <c r="B170" s="1434"/>
      <c r="C170" s="344"/>
      <c r="D170" s="1701"/>
      <c r="E170" s="1703"/>
      <c r="F170" s="1703"/>
    </row>
    <row r="171" spans="1:6" customFormat="1" ht="25.5">
      <c r="A171" s="865"/>
      <c r="B171" s="1434"/>
      <c r="C171" s="1634" t="s">
        <v>3604</v>
      </c>
      <c r="D171" s="1701"/>
      <c r="E171" s="1702"/>
      <c r="F171" s="1702"/>
    </row>
    <row r="172" spans="1:6" customFormat="1" ht="14.45" customHeight="1">
      <c r="A172" s="1123"/>
      <c r="B172" s="1434"/>
      <c r="C172" s="1556" t="s">
        <v>3605</v>
      </c>
      <c r="D172" s="1701"/>
      <c r="E172" s="1703"/>
      <c r="F172" s="1703"/>
    </row>
    <row r="173" spans="1:6" customFormat="1" ht="14.45" customHeight="1">
      <c r="A173" s="1124"/>
      <c r="B173" s="1434"/>
      <c r="C173" s="1556" t="s">
        <v>3606</v>
      </c>
      <c r="D173" s="1701"/>
      <c r="E173" s="1702"/>
      <c r="F173" s="1702"/>
    </row>
    <row r="174" spans="1:6" customFormat="1" ht="14.45" customHeight="1">
      <c r="A174" s="1124"/>
      <c r="B174" s="1434"/>
      <c r="C174" s="1556" t="s">
        <v>3607</v>
      </c>
      <c r="D174" s="1701"/>
      <c r="E174" s="1703"/>
      <c r="F174" s="1703"/>
    </row>
    <row r="175" spans="1:6" customFormat="1" ht="14.45" customHeight="1">
      <c r="A175" s="1447"/>
      <c r="B175" s="1434"/>
      <c r="C175" s="1556" t="s">
        <v>3608</v>
      </c>
      <c r="D175" s="1701"/>
      <c r="E175" s="1702"/>
      <c r="F175" s="1702"/>
    </row>
    <row r="176" spans="1:6" customFormat="1" ht="14.45" customHeight="1">
      <c r="A176" s="856"/>
      <c r="B176" s="1434"/>
      <c r="C176" s="1556" t="s">
        <v>3609</v>
      </c>
      <c r="D176" s="1701"/>
      <c r="E176" s="1703"/>
      <c r="F176" s="1703"/>
    </row>
    <row r="177" spans="1:6" customFormat="1" ht="25.5">
      <c r="A177" s="856"/>
      <c r="B177" s="1434"/>
      <c r="C177" s="1634" t="s">
        <v>3610</v>
      </c>
      <c r="D177" s="1701"/>
      <c r="E177" s="1702"/>
      <c r="F177" s="1702"/>
    </row>
    <row r="178" spans="1:6" customFormat="1" ht="25.5">
      <c r="A178" s="856"/>
      <c r="B178" s="1434"/>
      <c r="C178" s="2537" t="s">
        <v>3611</v>
      </c>
      <c r="D178" s="1701"/>
      <c r="E178" s="1703"/>
      <c r="F178" s="1703"/>
    </row>
    <row r="179" spans="1:6" customFormat="1" ht="14.45" customHeight="1">
      <c r="A179" s="1569"/>
      <c r="B179" s="1435"/>
      <c r="C179" s="1556" t="s">
        <v>3612</v>
      </c>
      <c r="D179" s="1701"/>
      <c r="E179" s="1702"/>
      <c r="F179" s="1702"/>
    </row>
    <row r="180" spans="1:6" customFormat="1" ht="14.45" customHeight="1">
      <c r="A180" s="1569"/>
      <c r="B180" s="1436"/>
      <c r="C180" s="1556" t="s">
        <v>624</v>
      </c>
      <c r="D180" s="1701"/>
      <c r="E180" s="1702"/>
      <c r="F180" s="1702"/>
    </row>
    <row r="181" spans="1:6" customFormat="1" ht="14.45" customHeight="1">
      <c r="A181" s="1569"/>
      <c r="B181" s="1437"/>
      <c r="C181" s="1556" t="s">
        <v>625</v>
      </c>
      <c r="D181" s="1701"/>
      <c r="E181" s="1702"/>
      <c r="F181" s="1702"/>
    </row>
    <row r="182" spans="1:6" customFormat="1" ht="25.5">
      <c r="A182" s="864"/>
      <c r="B182" s="1437"/>
      <c r="C182" s="2537" t="s">
        <v>3613</v>
      </c>
      <c r="D182" s="1701"/>
      <c r="E182" s="1702"/>
      <c r="F182" s="1702"/>
    </row>
    <row r="183" spans="1:6" customFormat="1" ht="14.45" customHeight="1">
      <c r="A183" s="865"/>
      <c r="B183" s="1436"/>
      <c r="C183" s="1557" t="s">
        <v>3614</v>
      </c>
      <c r="D183" s="1701"/>
      <c r="E183" s="1703"/>
      <c r="F183" s="1703"/>
    </row>
    <row r="184" spans="1:6" customFormat="1" ht="25.5">
      <c r="A184" s="865"/>
      <c r="B184" s="1437"/>
      <c r="C184" s="2538" t="s">
        <v>3615</v>
      </c>
      <c r="D184" s="1701"/>
      <c r="E184" s="1703"/>
      <c r="F184" s="1703"/>
    </row>
    <row r="185" spans="1:6" customFormat="1" ht="14.45" customHeight="1">
      <c r="A185" s="865"/>
      <c r="B185" s="1437"/>
      <c r="C185" s="1578" t="s">
        <v>3616</v>
      </c>
      <c r="D185" s="1701"/>
      <c r="E185" s="1703"/>
      <c r="F185" s="1703"/>
    </row>
    <row r="186" spans="1:6" customFormat="1" ht="25.5">
      <c r="A186" s="865"/>
      <c r="B186" s="1554"/>
      <c r="C186" s="1633" t="s">
        <v>3617</v>
      </c>
      <c r="D186" s="1701"/>
      <c r="E186" s="1702"/>
      <c r="F186" s="1702"/>
    </row>
    <row r="187" spans="1:6" customFormat="1" ht="14.45" customHeight="1">
      <c r="A187" s="865"/>
      <c r="B187" s="1568"/>
      <c r="C187" s="1555" t="s">
        <v>3618</v>
      </c>
      <c r="D187" s="1701"/>
      <c r="E187" s="1703"/>
      <c r="F187" s="1703"/>
    </row>
    <row r="188" spans="1:6" customFormat="1" ht="25.5">
      <c r="A188" s="1446"/>
      <c r="B188" s="1437"/>
      <c r="C188" s="1634" t="s">
        <v>3619</v>
      </c>
      <c r="D188" s="1701"/>
      <c r="E188" s="1702"/>
      <c r="F188" s="1702"/>
    </row>
    <row r="189" spans="1:6" customFormat="1" ht="14.45" customHeight="1">
      <c r="A189" s="856"/>
      <c r="B189" s="1568"/>
      <c r="C189" s="1555" t="s">
        <v>3620</v>
      </c>
      <c r="D189" s="1701"/>
      <c r="E189" s="1703"/>
      <c r="F189" s="1703"/>
    </row>
    <row r="190" spans="1:6" customFormat="1" ht="14.45" customHeight="1">
      <c r="A190" s="856"/>
      <c r="B190" s="1437"/>
      <c r="C190" s="1555" t="s">
        <v>3621</v>
      </c>
      <c r="D190" s="1701"/>
      <c r="E190" s="1702"/>
      <c r="F190" s="1702"/>
    </row>
    <row r="191" spans="1:6" customFormat="1" ht="14.45" customHeight="1">
      <c r="A191" s="856"/>
      <c r="B191" s="1437"/>
      <c r="C191" s="344"/>
      <c r="D191" s="1701"/>
      <c r="E191" s="1702"/>
      <c r="F191" s="1702"/>
    </row>
    <row r="192" spans="1:6" customFormat="1" ht="14.45" customHeight="1">
      <c r="A192" s="856"/>
      <c r="B192" s="1554"/>
      <c r="C192" s="1572" t="s">
        <v>729</v>
      </c>
      <c r="D192" s="1701"/>
      <c r="E192" s="1703"/>
      <c r="F192" s="1703"/>
    </row>
    <row r="193" spans="1:6" customFormat="1" ht="14.45" customHeight="1">
      <c r="A193" s="856"/>
      <c r="B193" s="1554"/>
      <c r="C193" s="1572" t="s">
        <v>729</v>
      </c>
      <c r="D193" s="1701"/>
      <c r="E193" s="1703"/>
      <c r="F193" s="1703"/>
    </row>
    <row r="194" spans="1:6" customFormat="1" ht="14.45" customHeight="1">
      <c r="A194" s="865"/>
      <c r="B194" s="1562"/>
      <c r="C194" s="1571" t="s">
        <v>3535</v>
      </c>
      <c r="D194" s="1706"/>
      <c r="E194" s="1708"/>
      <c r="F194" s="1708"/>
    </row>
    <row r="195" spans="1:6" customFormat="1" ht="25.5">
      <c r="A195" s="1448"/>
      <c r="B195" s="1553">
        <v>1</v>
      </c>
      <c r="C195" s="1444" t="s">
        <v>4725</v>
      </c>
      <c r="D195" s="1706"/>
      <c r="E195" s="1707"/>
      <c r="F195" s="1707"/>
    </row>
    <row r="196" spans="1:6" customFormat="1" ht="25.5">
      <c r="A196" s="856"/>
      <c r="B196" s="1553">
        <v>2</v>
      </c>
      <c r="C196" s="1444" t="s">
        <v>6675</v>
      </c>
      <c r="D196" s="1706"/>
      <c r="E196" s="1707"/>
      <c r="F196" s="1707"/>
    </row>
    <row r="197" spans="1:6" customFormat="1" ht="14.45" customHeight="1">
      <c r="A197" s="1446"/>
      <c r="B197" s="1553">
        <v>1</v>
      </c>
      <c r="C197" s="1442" t="s">
        <v>4989</v>
      </c>
      <c r="D197" s="1706"/>
      <c r="E197" s="1707"/>
      <c r="F197" s="1707"/>
    </row>
    <row r="198" spans="1:6" customFormat="1" ht="14.45" customHeight="1">
      <c r="A198" s="865"/>
      <c r="B198" s="1553">
        <v>2</v>
      </c>
      <c r="C198" s="1572" t="s">
        <v>3076</v>
      </c>
      <c r="D198" s="1706"/>
      <c r="E198" s="1708"/>
      <c r="F198" s="1708"/>
    </row>
    <row r="199" spans="1:6" customFormat="1" ht="14.45" customHeight="1">
      <c r="A199" s="865"/>
      <c r="B199" s="1437"/>
      <c r="C199" s="1572" t="s">
        <v>729</v>
      </c>
      <c r="D199" s="1701"/>
      <c r="E199" s="1702"/>
      <c r="F199" s="1702"/>
    </row>
    <row r="200" spans="1:6" customFormat="1" ht="14.45" customHeight="1">
      <c r="A200" s="865"/>
      <c r="B200" s="1438">
        <v>3</v>
      </c>
      <c r="C200" s="1443" t="s">
        <v>3591</v>
      </c>
      <c r="D200" s="1704"/>
      <c r="E200" s="1705"/>
      <c r="F200" s="1705"/>
    </row>
    <row r="201" spans="1:6" customFormat="1" ht="14.45" customHeight="1">
      <c r="A201" s="856"/>
      <c r="B201" s="1435"/>
      <c r="C201" s="1442" t="s">
        <v>729</v>
      </c>
      <c r="D201" s="2542"/>
      <c r="E201" s="1703"/>
      <c r="F201" s="1703"/>
    </row>
    <row r="202" spans="1:6" customFormat="1" ht="14.45" customHeight="1">
      <c r="A202" s="1446"/>
      <c r="B202" s="1436">
        <v>2</v>
      </c>
      <c r="C202" s="1441" t="s">
        <v>4044</v>
      </c>
      <c r="D202" s="2542"/>
      <c r="E202" s="1702"/>
      <c r="F202" s="1702"/>
    </row>
    <row r="203" spans="1:6" customFormat="1" ht="14.45" customHeight="1">
      <c r="A203" s="856"/>
      <c r="B203" s="1437">
        <v>3</v>
      </c>
      <c r="C203" s="1433" t="s">
        <v>14160</v>
      </c>
      <c r="D203" s="2542"/>
      <c r="E203" s="1703"/>
      <c r="F203" s="1703"/>
    </row>
    <row r="204" spans="1:6" customFormat="1" ht="14.45" customHeight="1">
      <c r="A204" s="1447"/>
      <c r="B204" s="1440">
        <v>1</v>
      </c>
      <c r="C204" s="1445" t="s">
        <v>9497</v>
      </c>
      <c r="D204" s="2545"/>
      <c r="E204" s="1705"/>
      <c r="F204" s="1705"/>
    </row>
    <row r="205" spans="1:6" customFormat="1" ht="14.45" customHeight="1">
      <c r="A205" s="856"/>
      <c r="B205" s="1435"/>
      <c r="C205" s="1442" t="s">
        <v>729</v>
      </c>
      <c r="D205" s="2542"/>
      <c r="E205" s="1703"/>
      <c r="F205" s="1703"/>
    </row>
    <row r="206" spans="1:6" customFormat="1" ht="14.45" customHeight="1">
      <c r="A206" s="856"/>
      <c r="B206" s="1435">
        <v>1</v>
      </c>
      <c r="C206" s="1439" t="s">
        <v>316</v>
      </c>
      <c r="D206" s="2542"/>
      <c r="E206" s="1703"/>
      <c r="F206" s="1703"/>
    </row>
    <row r="207" spans="1:6" customFormat="1" ht="14.45" customHeight="1">
      <c r="A207" s="856"/>
      <c r="B207" s="1435"/>
      <c r="C207" s="1442" t="s">
        <v>729</v>
      </c>
      <c r="D207" s="2542"/>
      <c r="E207" s="1703"/>
      <c r="F207" s="1703"/>
    </row>
    <row r="208" spans="1:6" customFormat="1" ht="14.45" customHeight="1" thickBot="1">
      <c r="A208" s="2409"/>
      <c r="B208" s="1983"/>
      <c r="C208" s="1984"/>
      <c r="D208" s="2548"/>
      <c r="E208" s="2549"/>
      <c r="F208" s="2549"/>
    </row>
    <row r="209" spans="1:6" s="64" customFormat="1" ht="20.100000000000001" customHeight="1" thickBot="1">
      <c r="A209" s="1988">
        <v>3</v>
      </c>
      <c r="B209" s="2535">
        <v>1</v>
      </c>
      <c r="C209" s="1458" t="s">
        <v>14167</v>
      </c>
      <c r="D209" s="2541">
        <v>9833</v>
      </c>
      <c r="E209" s="1700"/>
      <c r="F209" s="1700">
        <v>9833</v>
      </c>
    </row>
    <row r="210" spans="1:6" customFormat="1" ht="14.45" customHeight="1">
      <c r="A210" s="852" t="s">
        <v>3207</v>
      </c>
      <c r="B210" s="1978"/>
      <c r="C210" s="1922"/>
      <c r="D210" s="2542"/>
      <c r="E210" s="1702"/>
      <c r="F210" s="1702"/>
    </row>
    <row r="211" spans="1:6" customFormat="1" ht="14.45" customHeight="1">
      <c r="A211" s="856" t="s">
        <v>4059</v>
      </c>
      <c r="B211" s="1979"/>
      <c r="C211" s="1441" t="s">
        <v>3301</v>
      </c>
      <c r="D211" s="2542"/>
      <c r="E211" s="1702"/>
      <c r="F211" s="1702"/>
    </row>
    <row r="212" spans="1:6" customFormat="1" ht="25.5">
      <c r="A212" s="856" t="s">
        <v>4321</v>
      </c>
      <c r="B212" s="1553">
        <v>1</v>
      </c>
      <c r="C212" s="1444" t="s">
        <v>4725</v>
      </c>
      <c r="D212" s="2542"/>
      <c r="E212" s="1703"/>
      <c r="F212" s="1703"/>
    </row>
    <row r="213" spans="1:6" customFormat="1" ht="14.45" customHeight="1">
      <c r="A213" s="856" t="s">
        <v>3725</v>
      </c>
      <c r="B213" s="1553"/>
      <c r="C213" s="1980" t="s">
        <v>9489</v>
      </c>
      <c r="D213" s="2542"/>
      <c r="E213" s="1703"/>
      <c r="F213" s="1703"/>
    </row>
    <row r="214" spans="1:6" customFormat="1" ht="14.45" customHeight="1">
      <c r="A214" s="856" t="s">
        <v>3726</v>
      </c>
      <c r="B214" s="1563">
        <v>1</v>
      </c>
      <c r="C214" s="1571" t="s">
        <v>6229</v>
      </c>
      <c r="D214" s="2543"/>
      <c r="E214" s="1703"/>
      <c r="F214" s="1703"/>
    </row>
    <row r="215" spans="1:6" customFormat="1" ht="14.45" customHeight="1">
      <c r="A215" s="865"/>
      <c r="B215" s="1440">
        <v>1</v>
      </c>
      <c r="C215" s="1697" t="s">
        <v>3536</v>
      </c>
      <c r="D215" s="2544"/>
      <c r="E215" s="1705"/>
      <c r="F215" s="1705"/>
    </row>
    <row r="216" spans="1:6" customFormat="1" ht="14.45" customHeight="1">
      <c r="A216" s="1142"/>
      <c r="B216" s="1437">
        <v>1</v>
      </c>
      <c r="C216" s="1572" t="s">
        <v>2332</v>
      </c>
      <c r="D216" s="2543"/>
      <c r="E216" s="1702"/>
      <c r="F216" s="1702"/>
    </row>
    <row r="217" spans="1:6" customFormat="1" ht="25.5">
      <c r="A217" s="1142"/>
      <c r="B217" s="1437">
        <v>1</v>
      </c>
      <c r="C217" s="2536" t="s">
        <v>7097</v>
      </c>
      <c r="D217" s="2543"/>
      <c r="E217" s="1702"/>
      <c r="F217" s="1702"/>
    </row>
    <row r="218" spans="1:6" customFormat="1" ht="14.45" customHeight="1">
      <c r="A218" s="865"/>
      <c r="B218" s="1437">
        <v>1</v>
      </c>
      <c r="C218" s="1572" t="s">
        <v>14158</v>
      </c>
      <c r="D218" s="2543"/>
      <c r="E218" s="1702"/>
      <c r="F218" s="1702"/>
    </row>
    <row r="219" spans="1:6" customFormat="1" ht="14.45" customHeight="1">
      <c r="A219" s="865"/>
      <c r="B219" s="1437">
        <v>1</v>
      </c>
      <c r="C219" s="1572" t="s">
        <v>14159</v>
      </c>
      <c r="D219" s="2543"/>
      <c r="E219" s="1702"/>
      <c r="F219" s="1702"/>
    </row>
    <row r="220" spans="1:6" customFormat="1" ht="14.45" customHeight="1">
      <c r="A220" s="865"/>
      <c r="B220" s="1437">
        <v>1</v>
      </c>
      <c r="C220" s="1572" t="s">
        <v>1878</v>
      </c>
      <c r="D220" s="2543"/>
      <c r="E220" s="1702"/>
      <c r="F220" s="1702"/>
    </row>
    <row r="221" spans="1:6" customFormat="1" ht="14.45" customHeight="1">
      <c r="A221" s="856"/>
      <c r="B221" s="1437">
        <v>1</v>
      </c>
      <c r="C221" s="1572" t="s">
        <v>11253</v>
      </c>
      <c r="D221" s="2543"/>
      <c r="E221" s="1702"/>
      <c r="F221" s="1702"/>
    </row>
    <row r="222" spans="1:6" customFormat="1" ht="14.45" customHeight="1">
      <c r="A222" s="856"/>
      <c r="B222" s="1437">
        <v>2</v>
      </c>
      <c r="C222" s="1572" t="s">
        <v>8453</v>
      </c>
      <c r="D222" s="2543"/>
      <c r="E222" s="1702"/>
      <c r="F222" s="1702"/>
    </row>
    <row r="223" spans="1:6" customFormat="1" ht="14.45" customHeight="1">
      <c r="A223" s="1447"/>
      <c r="B223" s="1440">
        <v>1</v>
      </c>
      <c r="C223" s="1697" t="s">
        <v>3537</v>
      </c>
      <c r="D223" s="2544"/>
      <c r="E223" s="1705"/>
      <c r="F223" s="1705"/>
    </row>
    <row r="224" spans="1:6" customFormat="1" ht="14.45" customHeight="1">
      <c r="A224" s="856"/>
      <c r="B224" s="1553"/>
      <c r="C224" s="1980" t="s">
        <v>9489</v>
      </c>
      <c r="D224" s="2542"/>
      <c r="E224" s="1703"/>
      <c r="F224" s="1703"/>
    </row>
    <row r="225" spans="1:6" customFormat="1" ht="14.45" customHeight="1">
      <c r="A225" s="1123"/>
      <c r="B225" s="1553"/>
      <c r="C225" s="1571" t="s">
        <v>3535</v>
      </c>
      <c r="D225" s="2542"/>
      <c r="E225" s="1703"/>
      <c r="F225" s="1703"/>
    </row>
    <row r="226" spans="1:6" customFormat="1" ht="25.5">
      <c r="A226" s="863"/>
      <c r="B226" s="1553">
        <v>1</v>
      </c>
      <c r="C226" s="1444" t="s">
        <v>6675</v>
      </c>
      <c r="D226" s="2542"/>
      <c r="E226" s="1703"/>
      <c r="F226" s="1703"/>
    </row>
    <row r="227" spans="1:6" customFormat="1" ht="25.5">
      <c r="A227" s="863"/>
      <c r="B227" s="1553">
        <v>2</v>
      </c>
      <c r="C227" s="1444" t="s">
        <v>6673</v>
      </c>
      <c r="D227" s="2542"/>
      <c r="E227" s="1703"/>
      <c r="F227" s="1703"/>
    </row>
    <row r="228" spans="1:6" customFormat="1" ht="14.45" customHeight="1">
      <c r="A228" s="1124"/>
      <c r="B228" s="1553">
        <v>2</v>
      </c>
      <c r="C228" s="1442" t="s">
        <v>4509</v>
      </c>
      <c r="D228" s="2542"/>
      <c r="E228" s="1703"/>
      <c r="F228" s="1703"/>
    </row>
    <row r="229" spans="1:6" customFormat="1" ht="14.45" customHeight="1">
      <c r="A229" s="1124"/>
      <c r="B229" s="1553">
        <v>6</v>
      </c>
      <c r="C229" s="1442" t="s">
        <v>4989</v>
      </c>
      <c r="D229" s="2542"/>
      <c r="E229" s="1703"/>
      <c r="F229" s="1703"/>
    </row>
    <row r="230" spans="1:6" customFormat="1" ht="14.45" customHeight="1">
      <c r="A230" s="865"/>
      <c r="B230" s="1553">
        <v>2</v>
      </c>
      <c r="C230" s="1439" t="s">
        <v>9490</v>
      </c>
      <c r="D230" s="2542"/>
      <c r="E230" s="1703"/>
      <c r="F230" s="1703"/>
    </row>
    <row r="231" spans="1:6" customFormat="1" ht="14.45" customHeight="1">
      <c r="A231" s="863"/>
      <c r="B231" s="1435"/>
      <c r="C231" s="1442" t="s">
        <v>729</v>
      </c>
      <c r="D231" s="1701"/>
      <c r="E231" s="1703"/>
      <c r="F231" s="1703"/>
    </row>
    <row r="232" spans="1:6" customFormat="1" ht="14.45" customHeight="1">
      <c r="A232" s="856"/>
      <c r="B232" s="1438">
        <v>1</v>
      </c>
      <c r="C232" s="1443" t="s">
        <v>5370</v>
      </c>
      <c r="D232" s="1704"/>
      <c r="E232" s="1705"/>
      <c r="F232" s="1705"/>
    </row>
    <row r="233" spans="1:6" customFormat="1" ht="14.45" customHeight="1">
      <c r="A233" s="863"/>
      <c r="B233" s="1435"/>
      <c r="C233" s="1442" t="s">
        <v>729</v>
      </c>
      <c r="D233" s="1701"/>
      <c r="E233" s="1703"/>
      <c r="F233" s="1703"/>
    </row>
    <row r="234" spans="1:6" customFormat="1" ht="14.45" customHeight="1">
      <c r="A234" s="865"/>
      <c r="B234" s="1438">
        <v>3</v>
      </c>
      <c r="C234" s="1443" t="s">
        <v>3591</v>
      </c>
      <c r="D234" s="1704"/>
      <c r="E234" s="1705"/>
      <c r="F234" s="1705"/>
    </row>
    <row r="235" spans="1:6" customFormat="1" ht="14.45" customHeight="1">
      <c r="A235" s="863"/>
      <c r="B235" s="1435"/>
      <c r="C235" s="1442" t="s">
        <v>729</v>
      </c>
      <c r="D235" s="1701"/>
      <c r="E235" s="1703"/>
      <c r="F235" s="1703"/>
    </row>
    <row r="236" spans="1:6" customFormat="1" ht="14.45" customHeight="1">
      <c r="A236" s="856"/>
      <c r="B236" s="1436">
        <v>1</v>
      </c>
      <c r="C236" s="1441" t="s">
        <v>9491</v>
      </c>
      <c r="D236" s="1701"/>
      <c r="E236" s="1702"/>
      <c r="F236" s="1702"/>
    </row>
    <row r="237" spans="1:6" customFormat="1" ht="14.45" customHeight="1">
      <c r="A237" s="856"/>
      <c r="B237" s="1435">
        <v>1</v>
      </c>
      <c r="C237" s="1433" t="s">
        <v>8319</v>
      </c>
      <c r="D237" s="1701"/>
      <c r="E237" s="1703"/>
      <c r="F237" s="1703"/>
    </row>
    <row r="238" spans="1:6" customFormat="1" ht="14.45" customHeight="1">
      <c r="A238" s="1889"/>
      <c r="B238" s="1435">
        <v>3</v>
      </c>
      <c r="C238" s="1433" t="s">
        <v>431</v>
      </c>
      <c r="D238" s="1701"/>
      <c r="E238" s="1703"/>
      <c r="F238" s="1703"/>
    </row>
    <row r="239" spans="1:6" customFormat="1" ht="14.45" customHeight="1">
      <c r="A239" s="1447"/>
      <c r="B239" s="1438">
        <v>1</v>
      </c>
      <c r="C239" s="1445" t="s">
        <v>3302</v>
      </c>
      <c r="D239" s="1704"/>
      <c r="E239" s="1705"/>
      <c r="F239" s="1705"/>
    </row>
    <row r="240" spans="1:6" customFormat="1" ht="14.45" customHeight="1">
      <c r="A240" s="1447"/>
      <c r="B240" s="1438">
        <v>1</v>
      </c>
      <c r="C240" s="1445" t="s">
        <v>3303</v>
      </c>
      <c r="D240" s="1704"/>
      <c r="E240" s="1705"/>
      <c r="F240" s="1705"/>
    </row>
    <row r="241" spans="1:6" customFormat="1" ht="14.45" customHeight="1">
      <c r="A241" s="856"/>
      <c r="B241" s="1553"/>
      <c r="C241" s="1439" t="s">
        <v>729</v>
      </c>
      <c r="D241" s="2542"/>
      <c r="E241" s="1703"/>
      <c r="F241" s="1703"/>
    </row>
    <row r="242" spans="1:6" customFormat="1" ht="14.45" customHeight="1">
      <c r="A242" s="1889"/>
      <c r="B242" s="1434"/>
      <c r="C242" s="1570"/>
      <c r="D242" s="1706"/>
      <c r="E242" s="1707"/>
      <c r="F242" s="1707"/>
    </row>
    <row r="243" spans="1:6" customFormat="1" ht="14.45" customHeight="1">
      <c r="A243" s="856"/>
      <c r="B243" s="1435"/>
      <c r="C243" s="1442" t="s">
        <v>729</v>
      </c>
      <c r="D243" s="1701"/>
      <c r="E243" s="1703"/>
      <c r="F243" s="1703"/>
    </row>
    <row r="244" spans="1:6" customFormat="1" ht="14.45" customHeight="1">
      <c r="A244" s="1446"/>
      <c r="B244" s="1436">
        <v>1</v>
      </c>
      <c r="C244" s="1441" t="s">
        <v>4044</v>
      </c>
      <c r="D244" s="2542"/>
      <c r="E244" s="1702"/>
      <c r="F244" s="1702"/>
    </row>
    <row r="245" spans="1:6" customFormat="1" ht="14.45" customHeight="1">
      <c r="A245" s="856"/>
      <c r="B245" s="1437">
        <v>3</v>
      </c>
      <c r="C245" s="1433" t="s">
        <v>14160</v>
      </c>
      <c r="D245" s="2542"/>
      <c r="E245" s="1703"/>
      <c r="F245" s="1703"/>
    </row>
    <row r="246" spans="1:6" customFormat="1" ht="14.45" customHeight="1">
      <c r="A246" s="1447"/>
      <c r="B246" s="1440">
        <v>1</v>
      </c>
      <c r="C246" s="1445" t="s">
        <v>9497</v>
      </c>
      <c r="D246" s="2545"/>
      <c r="E246" s="1705"/>
      <c r="F246" s="1705"/>
    </row>
    <row r="247" spans="1:6" customFormat="1" ht="14.45" customHeight="1">
      <c r="A247" s="856"/>
      <c r="B247" s="1553"/>
      <c r="C247" s="1439" t="s">
        <v>729</v>
      </c>
      <c r="D247" s="2542"/>
      <c r="E247" s="1703"/>
      <c r="F247" s="1703"/>
    </row>
    <row r="248" spans="1:6" customFormat="1" ht="14.45" customHeight="1">
      <c r="A248" s="856"/>
      <c r="B248" s="1553">
        <v>1</v>
      </c>
      <c r="C248" s="1439" t="s">
        <v>9498</v>
      </c>
      <c r="D248" s="2546"/>
      <c r="E248" s="1703"/>
      <c r="F248" s="1703"/>
    </row>
    <row r="249" spans="1:6" customFormat="1" ht="14.45" customHeight="1">
      <c r="A249" s="856"/>
      <c r="B249" s="1553"/>
      <c r="C249" s="1439" t="s">
        <v>729</v>
      </c>
      <c r="D249" s="2542"/>
      <c r="E249" s="1703"/>
      <c r="F249" s="1703"/>
    </row>
    <row r="250" spans="1:6" customFormat="1" ht="14.45" customHeight="1" thickBot="1">
      <c r="A250" s="871"/>
      <c r="B250" s="1565"/>
      <c r="C250" s="1573"/>
      <c r="D250" s="2547"/>
      <c r="E250" s="1711"/>
      <c r="F250" s="1711"/>
    </row>
    <row r="251" spans="1:6" s="64" customFormat="1" ht="20.100000000000001" customHeight="1" thickBot="1">
      <c r="A251" s="1924">
        <v>4</v>
      </c>
      <c r="B251" s="1506">
        <v>1</v>
      </c>
      <c r="C251" s="1458" t="s">
        <v>14169</v>
      </c>
      <c r="D251" s="2541">
        <v>17356</v>
      </c>
      <c r="E251" s="1700"/>
      <c r="F251" s="1700">
        <v>17356</v>
      </c>
    </row>
    <row r="252" spans="1:6" customFormat="1" ht="14.45" customHeight="1">
      <c r="A252" s="852" t="s">
        <v>3207</v>
      </c>
      <c r="B252" s="1434"/>
      <c r="C252" s="1459"/>
      <c r="D252" s="2542"/>
      <c r="E252" s="1702"/>
      <c r="F252" s="1702"/>
    </row>
    <row r="253" spans="1:6" customFormat="1" ht="14.45" customHeight="1">
      <c r="A253" s="856" t="s">
        <v>4059</v>
      </c>
      <c r="B253" s="1435"/>
      <c r="C253" s="1441" t="s">
        <v>9492</v>
      </c>
      <c r="D253" s="1706"/>
      <c r="E253" s="1708"/>
      <c r="F253" s="1708"/>
    </row>
    <row r="254" spans="1:6" customFormat="1" ht="14.45" customHeight="1">
      <c r="A254" s="856" t="s">
        <v>4321</v>
      </c>
      <c r="B254" s="1434"/>
      <c r="C254" s="1574"/>
      <c r="D254" s="1701"/>
      <c r="E254" s="1702"/>
      <c r="F254" s="1702"/>
    </row>
    <row r="255" spans="1:6" customFormat="1" ht="14.45" customHeight="1">
      <c r="A255" s="856" t="s">
        <v>3725</v>
      </c>
      <c r="B255" s="1434"/>
      <c r="C255" s="1443" t="s">
        <v>14286</v>
      </c>
      <c r="D255" s="1701"/>
      <c r="E255" s="1702"/>
      <c r="F255" s="1702"/>
    </row>
    <row r="256" spans="1:6" customFormat="1" ht="14.45" customHeight="1">
      <c r="A256" s="856" t="s">
        <v>3726</v>
      </c>
      <c r="B256" s="1434"/>
      <c r="C256" s="1443" t="s">
        <v>3601</v>
      </c>
      <c r="D256" s="1701"/>
      <c r="E256" s="1702"/>
      <c r="F256" s="1702"/>
    </row>
    <row r="257" spans="1:6" customFormat="1" ht="14.45" customHeight="1">
      <c r="A257" s="865"/>
      <c r="B257" s="1434"/>
      <c r="C257" s="1574"/>
      <c r="D257" s="1701"/>
      <c r="E257" s="1702"/>
      <c r="F257" s="1702"/>
    </row>
    <row r="258" spans="1:6" customFormat="1" ht="14.45" customHeight="1">
      <c r="A258" s="864"/>
      <c r="B258" s="1434"/>
      <c r="C258" s="1443" t="s">
        <v>3602</v>
      </c>
      <c r="D258" s="1706"/>
      <c r="E258" s="1707"/>
      <c r="F258" s="1707"/>
    </row>
    <row r="259" spans="1:6" customFormat="1" ht="14.45" customHeight="1">
      <c r="A259" s="865"/>
      <c r="B259" s="1567"/>
      <c r="C259" s="1575"/>
      <c r="D259" s="1706"/>
      <c r="E259" s="1708"/>
      <c r="F259" s="1708"/>
    </row>
    <row r="260" spans="1:6" customFormat="1" ht="14.45" customHeight="1">
      <c r="A260" s="1123"/>
      <c r="B260" s="1981">
        <v>1</v>
      </c>
      <c r="C260" s="1445" t="s">
        <v>4068</v>
      </c>
      <c r="D260" s="1706"/>
      <c r="E260" s="1708"/>
      <c r="F260" s="1708"/>
    </row>
    <row r="261" spans="1:6" customFormat="1" ht="14.45" customHeight="1">
      <c r="A261" s="865"/>
      <c r="B261" s="1434"/>
      <c r="C261" s="1445" t="s">
        <v>3603</v>
      </c>
      <c r="D261" s="1706"/>
      <c r="E261" s="1708"/>
      <c r="F261" s="1708"/>
    </row>
    <row r="262" spans="1:6" customFormat="1" ht="25.5">
      <c r="A262" s="1142"/>
      <c r="B262" s="1434"/>
      <c r="C262" s="1581" t="s">
        <v>3492</v>
      </c>
      <c r="D262" s="1706"/>
      <c r="E262" s="1707"/>
      <c r="F262" s="1707"/>
    </row>
    <row r="263" spans="1:6" customFormat="1" ht="14.45" customHeight="1">
      <c r="A263" s="1142"/>
      <c r="B263" s="1434"/>
      <c r="C263" s="1575"/>
      <c r="D263" s="1706"/>
      <c r="E263" s="1707"/>
      <c r="F263" s="1707"/>
    </row>
    <row r="264" spans="1:6" customFormat="1" ht="14.45" customHeight="1">
      <c r="A264" s="865"/>
      <c r="B264" s="1981">
        <v>2</v>
      </c>
      <c r="C264" s="1445" t="s">
        <v>10140</v>
      </c>
      <c r="D264" s="1706"/>
      <c r="E264" s="1708"/>
      <c r="F264" s="1708"/>
    </row>
    <row r="265" spans="1:6" customFormat="1" ht="14.45" customHeight="1">
      <c r="A265" s="865"/>
      <c r="B265" s="1434"/>
      <c r="C265" s="1445" t="s">
        <v>3603</v>
      </c>
      <c r="D265" s="1706"/>
      <c r="E265" s="1708"/>
      <c r="F265" s="1708"/>
    </row>
    <row r="266" spans="1:6" customFormat="1" ht="25.5">
      <c r="A266" s="865"/>
      <c r="B266" s="1434"/>
      <c r="C266" s="1581" t="s">
        <v>13959</v>
      </c>
      <c r="D266" s="1706"/>
      <c r="E266" s="1707"/>
      <c r="F266" s="1707"/>
    </row>
    <row r="267" spans="1:6" customFormat="1" ht="14.45" customHeight="1">
      <c r="A267" s="856"/>
      <c r="B267" s="1434"/>
      <c r="C267" s="1575"/>
      <c r="D267" s="1706"/>
      <c r="E267" s="1707"/>
      <c r="F267" s="1707"/>
    </row>
    <row r="268" spans="1:6" customFormat="1" ht="25.5">
      <c r="A268" s="865"/>
      <c r="B268" s="1434"/>
      <c r="C268" s="1634" t="s">
        <v>9493</v>
      </c>
      <c r="D268" s="1701"/>
      <c r="E268" s="1703"/>
      <c r="F268" s="1703"/>
    </row>
    <row r="269" spans="1:6" customFormat="1" ht="25.5">
      <c r="A269" s="865"/>
      <c r="B269" s="1434"/>
      <c r="C269" s="1634" t="s">
        <v>9494</v>
      </c>
      <c r="D269" s="1701"/>
      <c r="E269" s="1703"/>
      <c r="F269" s="1703"/>
    </row>
    <row r="270" spans="1:6" customFormat="1" ht="25.5">
      <c r="A270" s="865"/>
      <c r="B270" s="1434"/>
      <c r="C270" s="1634" t="s">
        <v>9495</v>
      </c>
      <c r="D270" s="1701"/>
      <c r="E270" s="1703"/>
      <c r="F270" s="1703"/>
    </row>
    <row r="271" spans="1:6" customFormat="1" ht="14.45" customHeight="1">
      <c r="A271" s="865"/>
      <c r="B271" s="1434"/>
      <c r="C271" s="1555" t="s">
        <v>9496</v>
      </c>
      <c r="D271" s="1701"/>
      <c r="E271" s="1702"/>
      <c r="F271" s="1702"/>
    </row>
    <row r="272" spans="1:6" customFormat="1" ht="14.45" customHeight="1">
      <c r="A272" s="865"/>
      <c r="B272" s="1434"/>
      <c r="C272" s="344"/>
      <c r="D272" s="1701"/>
      <c r="E272" s="1703"/>
      <c r="F272" s="1703"/>
    </row>
    <row r="273" spans="1:6" customFormat="1" ht="25.5">
      <c r="A273" s="865"/>
      <c r="B273" s="1434"/>
      <c r="C273" s="1634" t="s">
        <v>3604</v>
      </c>
      <c r="D273" s="1701"/>
      <c r="E273" s="1702"/>
      <c r="F273" s="1702"/>
    </row>
    <row r="274" spans="1:6" customFormat="1" ht="14.45" customHeight="1">
      <c r="A274" s="1123"/>
      <c r="B274" s="1434"/>
      <c r="C274" s="1556" t="s">
        <v>3605</v>
      </c>
      <c r="D274" s="1701"/>
      <c r="E274" s="1703"/>
      <c r="F274" s="1703"/>
    </row>
    <row r="275" spans="1:6" customFormat="1" ht="14.45" customHeight="1">
      <c r="A275" s="1124"/>
      <c r="B275" s="1434"/>
      <c r="C275" s="1556" t="s">
        <v>3606</v>
      </c>
      <c r="D275" s="1701"/>
      <c r="E275" s="1702"/>
      <c r="F275" s="1702"/>
    </row>
    <row r="276" spans="1:6" customFormat="1" ht="14.45" customHeight="1">
      <c r="A276" s="1124"/>
      <c r="B276" s="1434"/>
      <c r="C276" s="1556" t="s">
        <v>3607</v>
      </c>
      <c r="D276" s="1701"/>
      <c r="E276" s="1703"/>
      <c r="F276" s="1703"/>
    </row>
    <row r="277" spans="1:6" customFormat="1" ht="14.45" customHeight="1">
      <c r="A277" s="1447"/>
      <c r="B277" s="1434"/>
      <c r="C277" s="1556" t="s">
        <v>3608</v>
      </c>
      <c r="D277" s="1701"/>
      <c r="E277" s="1702"/>
      <c r="F277" s="1702"/>
    </row>
    <row r="278" spans="1:6" customFormat="1" ht="14.45" customHeight="1">
      <c r="A278" s="856"/>
      <c r="B278" s="1434"/>
      <c r="C278" s="1556" t="s">
        <v>3609</v>
      </c>
      <c r="D278" s="1701"/>
      <c r="E278" s="1703"/>
      <c r="F278" s="1703"/>
    </row>
    <row r="279" spans="1:6" customFormat="1" ht="25.5">
      <c r="A279" s="856"/>
      <c r="B279" s="1434"/>
      <c r="C279" s="1634" t="s">
        <v>3610</v>
      </c>
      <c r="D279" s="1701"/>
      <c r="E279" s="1702"/>
      <c r="F279" s="1702"/>
    </row>
    <row r="280" spans="1:6" customFormat="1" ht="25.5">
      <c r="A280" s="856"/>
      <c r="B280" s="1434"/>
      <c r="C280" s="2537" t="s">
        <v>3611</v>
      </c>
      <c r="D280" s="1701"/>
      <c r="E280" s="1703"/>
      <c r="F280" s="1703"/>
    </row>
    <row r="281" spans="1:6" customFormat="1" ht="14.45" customHeight="1">
      <c r="A281" s="1569"/>
      <c r="B281" s="1435"/>
      <c r="C281" s="1556" t="s">
        <v>3612</v>
      </c>
      <c r="D281" s="1701"/>
      <c r="E281" s="1702"/>
      <c r="F281" s="1702"/>
    </row>
    <row r="282" spans="1:6" customFormat="1" ht="14.45" customHeight="1">
      <c r="A282" s="1569"/>
      <c r="B282" s="1436"/>
      <c r="C282" s="1556" t="s">
        <v>624</v>
      </c>
      <c r="D282" s="1701"/>
      <c r="E282" s="1702"/>
      <c r="F282" s="1702"/>
    </row>
    <row r="283" spans="1:6" customFormat="1" ht="14.45" customHeight="1">
      <c r="A283" s="1569"/>
      <c r="B283" s="1437"/>
      <c r="C283" s="1556" t="s">
        <v>625</v>
      </c>
      <c r="D283" s="1701"/>
      <c r="E283" s="1702"/>
      <c r="F283" s="1702"/>
    </row>
    <row r="284" spans="1:6" customFormat="1" ht="25.5">
      <c r="A284" s="864"/>
      <c r="B284" s="1437"/>
      <c r="C284" s="2537" t="s">
        <v>3613</v>
      </c>
      <c r="D284" s="1701"/>
      <c r="E284" s="1702"/>
      <c r="F284" s="1702"/>
    </row>
    <row r="285" spans="1:6" customFormat="1" ht="14.45" customHeight="1">
      <c r="A285" s="865"/>
      <c r="B285" s="1436"/>
      <c r="C285" s="1557" t="s">
        <v>3614</v>
      </c>
      <c r="D285" s="1701"/>
      <c r="E285" s="1703"/>
      <c r="F285" s="1703"/>
    </row>
    <row r="286" spans="1:6" customFormat="1" ht="25.5">
      <c r="A286" s="865"/>
      <c r="B286" s="1437"/>
      <c r="C286" s="2538" t="s">
        <v>3615</v>
      </c>
      <c r="D286" s="1701"/>
      <c r="E286" s="1703"/>
      <c r="F286" s="1703"/>
    </row>
    <row r="287" spans="1:6" customFormat="1" ht="14.45" customHeight="1">
      <c r="A287" s="865"/>
      <c r="B287" s="1437"/>
      <c r="C287" s="1578" t="s">
        <v>3616</v>
      </c>
      <c r="D287" s="1701"/>
      <c r="E287" s="1703"/>
      <c r="F287" s="1703"/>
    </row>
    <row r="288" spans="1:6" customFormat="1" ht="25.5">
      <c r="A288" s="865"/>
      <c r="B288" s="1554"/>
      <c r="C288" s="1633" t="s">
        <v>3617</v>
      </c>
      <c r="D288" s="1701"/>
      <c r="E288" s="1702"/>
      <c r="F288" s="1702"/>
    </row>
    <row r="289" spans="1:6" customFormat="1" ht="14.45" customHeight="1">
      <c r="A289" s="865"/>
      <c r="B289" s="1568"/>
      <c r="C289" s="1555" t="s">
        <v>3618</v>
      </c>
      <c r="D289" s="1701"/>
      <c r="E289" s="1703"/>
      <c r="F289" s="1703"/>
    </row>
    <row r="290" spans="1:6" customFormat="1" ht="25.5">
      <c r="A290" s="1446"/>
      <c r="B290" s="1437"/>
      <c r="C290" s="1634" t="s">
        <v>3619</v>
      </c>
      <c r="D290" s="1701"/>
      <c r="E290" s="1702"/>
      <c r="F290" s="1702"/>
    </row>
    <row r="291" spans="1:6" customFormat="1" ht="14.45" customHeight="1">
      <c r="A291" s="856"/>
      <c r="B291" s="1568"/>
      <c r="C291" s="1555" t="s">
        <v>3620</v>
      </c>
      <c r="D291" s="1701"/>
      <c r="E291" s="1703"/>
      <c r="F291" s="1703"/>
    </row>
    <row r="292" spans="1:6" customFormat="1" ht="14.45" customHeight="1">
      <c r="A292" s="856"/>
      <c r="B292" s="1437"/>
      <c r="C292" s="1555" t="s">
        <v>3621</v>
      </c>
      <c r="D292" s="1701"/>
      <c r="E292" s="1702"/>
      <c r="F292" s="1702"/>
    </row>
    <row r="293" spans="1:6" customFormat="1" ht="14.45" customHeight="1">
      <c r="A293" s="856"/>
      <c r="B293" s="1437"/>
      <c r="C293" s="344"/>
      <c r="D293" s="1701"/>
      <c r="E293" s="1702"/>
      <c r="F293" s="1702"/>
    </row>
    <row r="294" spans="1:6" customFormat="1" ht="14.45" customHeight="1">
      <c r="A294" s="856"/>
      <c r="B294" s="1554"/>
      <c r="C294" s="1572" t="s">
        <v>729</v>
      </c>
      <c r="D294" s="1701"/>
      <c r="E294" s="1703"/>
      <c r="F294" s="1703"/>
    </row>
    <row r="295" spans="1:6" customFormat="1" ht="14.45" customHeight="1">
      <c r="A295" s="865"/>
      <c r="B295" s="1437"/>
      <c r="C295" s="1572" t="s">
        <v>729</v>
      </c>
      <c r="D295" s="1701"/>
      <c r="E295" s="1702"/>
      <c r="F295" s="1702"/>
    </row>
    <row r="296" spans="1:6" customFormat="1" ht="14.45" customHeight="1">
      <c r="A296" s="865"/>
      <c r="B296" s="1562"/>
      <c r="C296" s="1571" t="s">
        <v>3535</v>
      </c>
      <c r="D296" s="1706"/>
      <c r="E296" s="1708"/>
      <c r="F296" s="1708"/>
    </row>
    <row r="297" spans="1:6" customFormat="1" ht="25.5">
      <c r="A297" s="1448"/>
      <c r="B297" s="1553">
        <v>1</v>
      </c>
      <c r="C297" s="1444" t="s">
        <v>11827</v>
      </c>
      <c r="D297" s="1706"/>
      <c r="E297" s="1707"/>
      <c r="F297" s="1707"/>
    </row>
    <row r="298" spans="1:6" customFormat="1" ht="14.45" customHeight="1">
      <c r="A298" s="1446"/>
      <c r="B298" s="1553">
        <v>1</v>
      </c>
      <c r="C298" s="1442" t="s">
        <v>11199</v>
      </c>
      <c r="D298" s="1706"/>
      <c r="E298" s="1707"/>
      <c r="F298" s="1707"/>
    </row>
    <row r="299" spans="1:6" customFormat="1" ht="14.45" customHeight="1">
      <c r="A299" s="865"/>
      <c r="B299" s="1437"/>
      <c r="C299" s="1572" t="s">
        <v>729</v>
      </c>
      <c r="D299" s="1701"/>
      <c r="E299" s="1702"/>
      <c r="F299" s="1702"/>
    </row>
    <row r="300" spans="1:6" customFormat="1" ht="14.45" customHeight="1">
      <c r="A300" s="865"/>
      <c r="B300" s="1438">
        <v>3</v>
      </c>
      <c r="C300" s="1443" t="s">
        <v>3591</v>
      </c>
      <c r="D300" s="1704"/>
      <c r="E300" s="1705"/>
      <c r="F300" s="1705"/>
    </row>
    <row r="301" spans="1:6" customFormat="1" ht="14.45" customHeight="1">
      <c r="A301" s="856"/>
      <c r="B301" s="1435"/>
      <c r="C301" s="1442" t="s">
        <v>729</v>
      </c>
      <c r="D301" s="2542"/>
      <c r="E301" s="1703"/>
      <c r="F301" s="1703"/>
    </row>
    <row r="302" spans="1:6" customFormat="1" ht="14.45" customHeight="1">
      <c r="A302" s="1446"/>
      <c r="B302" s="1436">
        <v>2</v>
      </c>
      <c r="C302" s="1441" t="s">
        <v>4044</v>
      </c>
      <c r="D302" s="2542"/>
      <c r="E302" s="1702"/>
      <c r="F302" s="1702"/>
    </row>
    <row r="303" spans="1:6" customFormat="1" ht="14.45" customHeight="1">
      <c r="A303" s="856"/>
      <c r="B303" s="1437">
        <v>3</v>
      </c>
      <c r="C303" s="1433" t="s">
        <v>14160</v>
      </c>
      <c r="D303" s="2542"/>
      <c r="E303" s="1703"/>
      <c r="F303" s="1703"/>
    </row>
    <row r="304" spans="1:6" customFormat="1" ht="14.45" customHeight="1">
      <c r="A304" s="1447"/>
      <c r="B304" s="1440">
        <v>1</v>
      </c>
      <c r="C304" s="1445" t="s">
        <v>9497</v>
      </c>
      <c r="D304" s="2545"/>
      <c r="E304" s="1705"/>
      <c r="F304" s="1705"/>
    </row>
    <row r="305" spans="1:6" customFormat="1" ht="14.45" customHeight="1">
      <c r="A305" s="856"/>
      <c r="B305" s="1435"/>
      <c r="C305" s="1442" t="s">
        <v>729</v>
      </c>
      <c r="D305" s="2542"/>
      <c r="E305" s="1703"/>
      <c r="F305" s="1703"/>
    </row>
    <row r="306" spans="1:6" customFormat="1" ht="14.45" customHeight="1">
      <c r="A306" s="856"/>
      <c r="B306" s="1435">
        <v>1</v>
      </c>
      <c r="C306" s="1439" t="s">
        <v>316</v>
      </c>
      <c r="D306" s="2542"/>
      <c r="E306" s="1703"/>
      <c r="F306" s="1703"/>
    </row>
    <row r="307" spans="1:6" customFormat="1" ht="14.45" customHeight="1">
      <c r="A307" s="856"/>
      <c r="B307" s="1435"/>
      <c r="C307" s="1442" t="s">
        <v>729</v>
      </c>
      <c r="D307" s="2542"/>
      <c r="E307" s="1703"/>
      <c r="F307" s="1703"/>
    </row>
    <row r="308" spans="1:6" customFormat="1" ht="14.45" customHeight="1" thickBot="1">
      <c r="A308" s="2409"/>
      <c r="B308" s="1983"/>
      <c r="C308" s="1984"/>
      <c r="D308" s="2548"/>
      <c r="E308" s="2549"/>
      <c r="F308" s="2549"/>
    </row>
    <row r="309" spans="1:6" s="64" customFormat="1" ht="20.100000000000001" customHeight="1" thickBot="1">
      <c r="A309" s="1923">
        <v>11</v>
      </c>
      <c r="B309" s="1580">
        <v>1</v>
      </c>
      <c r="C309" s="1458" t="s">
        <v>14178</v>
      </c>
      <c r="D309" s="1699">
        <v>448</v>
      </c>
      <c r="E309" s="1700"/>
      <c r="F309" s="1700">
        <v>448</v>
      </c>
    </row>
    <row r="310" spans="1:6" customFormat="1" ht="14.45" customHeight="1">
      <c r="A310" s="852" t="s">
        <v>9502</v>
      </c>
      <c r="B310" s="1559"/>
      <c r="C310" s="1570"/>
      <c r="D310" s="1706"/>
      <c r="E310" s="1707"/>
      <c r="F310" s="1707"/>
    </row>
    <row r="311" spans="1:6" customFormat="1" ht="14.45" customHeight="1">
      <c r="A311" s="856" t="s">
        <v>9503</v>
      </c>
      <c r="B311" s="1553"/>
      <c r="C311" s="1441" t="s">
        <v>3301</v>
      </c>
      <c r="D311" s="1706"/>
      <c r="E311" s="1708"/>
      <c r="F311" s="1708"/>
    </row>
    <row r="312" spans="1:6" customFormat="1" ht="14.45" customHeight="1">
      <c r="A312" s="856" t="s">
        <v>4321</v>
      </c>
      <c r="B312" s="1553">
        <v>1</v>
      </c>
      <c r="C312" s="1442" t="s">
        <v>4356</v>
      </c>
      <c r="D312" s="1706"/>
      <c r="E312" s="1708"/>
      <c r="F312" s="1708"/>
    </row>
    <row r="313" spans="1:6" customFormat="1" ht="14.45" customHeight="1">
      <c r="A313" s="856"/>
      <c r="B313" s="1435"/>
      <c r="C313" s="1442" t="s">
        <v>729</v>
      </c>
      <c r="D313" s="1701"/>
      <c r="E313" s="1703"/>
      <c r="F313" s="1703"/>
    </row>
    <row r="314" spans="1:6" customFormat="1" ht="14.45" customHeight="1">
      <c r="A314" s="856"/>
      <c r="B314" s="1562"/>
      <c r="C314" s="1571" t="s">
        <v>3535</v>
      </c>
      <c r="D314" s="1706"/>
      <c r="E314" s="1708"/>
      <c r="F314" s="1708"/>
    </row>
    <row r="315" spans="1:6" customFormat="1" ht="14.45" customHeight="1">
      <c r="A315" s="856" t="s">
        <v>3725</v>
      </c>
      <c r="B315" s="1553">
        <v>2</v>
      </c>
      <c r="C315" s="1442" t="s">
        <v>4354</v>
      </c>
      <c r="D315" s="1706"/>
      <c r="E315" s="1707"/>
      <c r="F315" s="1707"/>
    </row>
    <row r="316" spans="1:6" customFormat="1" ht="14.45" customHeight="1">
      <c r="A316" s="856" t="s">
        <v>3726</v>
      </c>
      <c r="B316" s="1553">
        <v>2</v>
      </c>
      <c r="C316" s="1442" t="s">
        <v>4347</v>
      </c>
      <c r="D316" s="1706"/>
      <c r="E316" s="1707"/>
      <c r="F316" s="1707"/>
    </row>
    <row r="317" spans="1:6" customFormat="1" ht="14.45" customHeight="1">
      <c r="A317" s="856"/>
      <c r="B317" s="1553">
        <v>2</v>
      </c>
      <c r="C317" s="1572" t="s">
        <v>3070</v>
      </c>
      <c r="D317" s="1706"/>
      <c r="E317" s="1708"/>
      <c r="F317" s="1708"/>
    </row>
    <row r="318" spans="1:6" customFormat="1" ht="14.45" customHeight="1">
      <c r="A318" s="1873"/>
      <c r="B318" s="1435"/>
      <c r="C318" s="1442" t="s">
        <v>729</v>
      </c>
      <c r="D318" s="1701"/>
      <c r="E318" s="1703"/>
      <c r="F318" s="1703"/>
    </row>
    <row r="319" spans="1:6" customFormat="1" ht="14.45" customHeight="1">
      <c r="A319" s="1446"/>
      <c r="B319" s="1435">
        <v>1</v>
      </c>
      <c r="C319" s="1439" t="s">
        <v>316</v>
      </c>
      <c r="D319" s="1709"/>
      <c r="E319" s="1710"/>
      <c r="F319" s="1710"/>
    </row>
    <row r="320" spans="1:6" customFormat="1" ht="14.45" customHeight="1">
      <c r="A320" s="864"/>
      <c r="B320" s="1435"/>
      <c r="C320" s="1442" t="s">
        <v>729</v>
      </c>
      <c r="D320" s="1701"/>
      <c r="E320" s="1703"/>
      <c r="F320" s="1703"/>
    </row>
    <row r="321" spans="1:6" customFormat="1" ht="14.45" customHeight="1" thickBot="1">
      <c r="A321" s="1106"/>
      <c r="B321" s="1986"/>
      <c r="C321" s="1984"/>
      <c r="D321" s="2559"/>
      <c r="E321" s="2549"/>
      <c r="F321" s="2549"/>
    </row>
    <row r="322" spans="1:6" s="64" customFormat="1" ht="20.100000000000001" customHeight="1" thickBot="1">
      <c r="A322" s="1923">
        <v>12</v>
      </c>
      <c r="B322" s="1580">
        <v>1</v>
      </c>
      <c r="C322" s="1458" t="s">
        <v>14180</v>
      </c>
      <c r="D322" s="1699">
        <v>1287</v>
      </c>
      <c r="E322" s="1700"/>
      <c r="F322" s="1700">
        <v>1287</v>
      </c>
    </row>
    <row r="323" spans="1:6" customFormat="1" ht="14.45" customHeight="1">
      <c r="A323" s="852" t="s">
        <v>3207</v>
      </c>
      <c r="B323" s="1559"/>
      <c r="C323" s="1570"/>
      <c r="D323" s="1706"/>
      <c r="E323" s="1707"/>
      <c r="F323" s="1707"/>
    </row>
    <row r="324" spans="1:6" customFormat="1" ht="14.45" customHeight="1">
      <c r="A324" s="856" t="s">
        <v>4059</v>
      </c>
      <c r="B324" s="1553"/>
      <c r="C324" s="1441" t="s">
        <v>3301</v>
      </c>
      <c r="D324" s="1706"/>
      <c r="E324" s="1708"/>
      <c r="F324" s="1708"/>
    </row>
    <row r="325" spans="1:6" customFormat="1" ht="14.45" customHeight="1">
      <c r="A325" s="856" t="s">
        <v>4321</v>
      </c>
      <c r="B325" s="1553">
        <v>1</v>
      </c>
      <c r="C325" s="1442" t="s">
        <v>4356</v>
      </c>
      <c r="D325" s="1706"/>
      <c r="E325" s="1708"/>
      <c r="F325" s="1708"/>
    </row>
    <row r="326" spans="1:6" customFormat="1" ht="14.45" customHeight="1">
      <c r="A326" s="856"/>
      <c r="B326" s="1435"/>
      <c r="C326" s="1442" t="s">
        <v>729</v>
      </c>
      <c r="D326" s="1701"/>
      <c r="E326" s="1703"/>
      <c r="F326" s="1703"/>
    </row>
    <row r="327" spans="1:6" customFormat="1" ht="14.45" customHeight="1">
      <c r="A327" s="856"/>
      <c r="B327" s="1562"/>
      <c r="C327" s="1571" t="s">
        <v>3535</v>
      </c>
      <c r="D327" s="1706"/>
      <c r="E327" s="1708"/>
      <c r="F327" s="1708"/>
    </row>
    <row r="328" spans="1:6" customFormat="1" ht="14.45" customHeight="1">
      <c r="A328" s="856" t="s">
        <v>3725</v>
      </c>
      <c r="B328" s="1553">
        <v>3</v>
      </c>
      <c r="C328" s="1442" t="s">
        <v>4347</v>
      </c>
      <c r="D328" s="1706"/>
      <c r="E328" s="1707"/>
      <c r="F328" s="1707"/>
    </row>
    <row r="329" spans="1:6" customFormat="1" ht="14.45" customHeight="1">
      <c r="A329" s="856" t="s">
        <v>3726</v>
      </c>
      <c r="B329" s="1553">
        <v>3</v>
      </c>
      <c r="C329" s="1442" t="s">
        <v>2029</v>
      </c>
      <c r="D329" s="1706"/>
      <c r="E329" s="1707"/>
      <c r="F329" s="1707"/>
    </row>
    <row r="330" spans="1:6" customFormat="1" ht="14.45" customHeight="1">
      <c r="A330" s="856"/>
      <c r="B330" s="1553">
        <v>2</v>
      </c>
      <c r="C330" s="1572" t="s">
        <v>3070</v>
      </c>
      <c r="D330" s="1706"/>
      <c r="E330" s="1708"/>
      <c r="F330" s="1708"/>
    </row>
    <row r="331" spans="1:6" customFormat="1" ht="14.45" customHeight="1">
      <c r="A331" s="1873"/>
      <c r="B331" s="1435"/>
      <c r="C331" s="1442" t="s">
        <v>729</v>
      </c>
      <c r="D331" s="1701"/>
      <c r="E331" s="1703"/>
      <c r="F331" s="1703"/>
    </row>
    <row r="332" spans="1:6" customFormat="1" ht="14.45" customHeight="1">
      <c r="A332" s="1446"/>
      <c r="B332" s="1562"/>
      <c r="C332" s="1571" t="s">
        <v>3206</v>
      </c>
      <c r="D332" s="1706"/>
      <c r="E332" s="1708"/>
      <c r="F332" s="1708"/>
    </row>
    <row r="333" spans="1:6" customFormat="1" ht="14.45" customHeight="1">
      <c r="A333" s="864"/>
      <c r="B333" s="1553">
        <v>1</v>
      </c>
      <c r="C333" s="1442" t="s">
        <v>1861</v>
      </c>
      <c r="D333" s="1706"/>
      <c r="E333" s="1707"/>
      <c r="F333" s="1707"/>
    </row>
    <row r="334" spans="1:6" customFormat="1" ht="14.45" customHeight="1">
      <c r="A334" s="865"/>
      <c r="B334" s="1553">
        <v>1</v>
      </c>
      <c r="C334" s="1442" t="s">
        <v>1163</v>
      </c>
      <c r="D334" s="1706"/>
      <c r="E334" s="1707"/>
      <c r="F334" s="1707"/>
    </row>
    <row r="335" spans="1:6" customFormat="1" ht="14.45" customHeight="1">
      <c r="A335" s="865"/>
      <c r="B335" s="1553">
        <v>1</v>
      </c>
      <c r="C335" s="1442" t="s">
        <v>11253</v>
      </c>
      <c r="D335" s="1706"/>
      <c r="E335" s="1707"/>
      <c r="F335" s="1707"/>
    </row>
    <row r="336" spans="1:6" customFormat="1" ht="14.45" customHeight="1">
      <c r="A336" s="864"/>
      <c r="B336" s="1553">
        <v>1</v>
      </c>
      <c r="C336" s="1442" t="s">
        <v>1878</v>
      </c>
      <c r="D336" s="1706"/>
      <c r="E336" s="1707"/>
      <c r="F336" s="1707"/>
    </row>
    <row r="337" spans="1:6" customFormat="1" ht="14.45" customHeight="1">
      <c r="A337" s="856"/>
      <c r="B337" s="1435"/>
      <c r="C337" s="1442" t="s">
        <v>729</v>
      </c>
      <c r="D337" s="1701"/>
      <c r="E337" s="1703"/>
      <c r="F337" s="1703"/>
    </row>
    <row r="338" spans="1:6" customFormat="1" ht="14.45" customHeight="1">
      <c r="A338" s="865"/>
      <c r="B338" s="1435">
        <v>1</v>
      </c>
      <c r="C338" s="1439" t="s">
        <v>316</v>
      </c>
      <c r="D338" s="1709"/>
      <c r="E338" s="1710"/>
      <c r="F338" s="1710"/>
    </row>
    <row r="339" spans="1:6" customFormat="1" ht="14.45" customHeight="1">
      <c r="A339" s="856"/>
      <c r="B339" s="1435"/>
      <c r="C339" s="1442" t="s">
        <v>729</v>
      </c>
      <c r="D339" s="1701"/>
      <c r="E339" s="1703"/>
      <c r="F339" s="1703"/>
    </row>
    <row r="340" spans="1:6" customFormat="1" ht="14.45" customHeight="1" thickBot="1">
      <c r="A340" s="1106"/>
      <c r="B340" s="1986"/>
      <c r="C340" s="1984"/>
      <c r="D340" s="2559"/>
      <c r="E340" s="2549"/>
      <c r="F340" s="2549"/>
    </row>
    <row r="341" spans="1:6" s="64" customFormat="1" ht="20.100000000000001" customHeight="1" thickBot="1">
      <c r="A341" s="1923">
        <v>13</v>
      </c>
      <c r="B341" s="1580">
        <v>1</v>
      </c>
      <c r="C341" s="1458" t="s">
        <v>14182</v>
      </c>
      <c r="D341" s="1699">
        <v>1079</v>
      </c>
      <c r="E341" s="1700"/>
      <c r="F341" s="1700">
        <v>1079</v>
      </c>
    </row>
    <row r="342" spans="1:6" customFormat="1" ht="14.45" customHeight="1">
      <c r="A342" s="852" t="s">
        <v>3207</v>
      </c>
      <c r="B342" s="1559"/>
      <c r="C342" s="1570"/>
      <c r="D342" s="1706"/>
      <c r="E342" s="1707"/>
      <c r="F342" s="1707"/>
    </row>
    <row r="343" spans="1:6" customFormat="1" ht="14.45" customHeight="1">
      <c r="A343" s="856" t="s">
        <v>4059</v>
      </c>
      <c r="B343" s="1553"/>
      <c r="C343" s="1441" t="s">
        <v>3301</v>
      </c>
      <c r="D343" s="1706"/>
      <c r="E343" s="1708"/>
      <c r="F343" s="1708"/>
    </row>
    <row r="344" spans="1:6" customFormat="1" ht="14.45" customHeight="1">
      <c r="A344" s="856" t="s">
        <v>4321</v>
      </c>
      <c r="B344" s="1553">
        <v>1</v>
      </c>
      <c r="C344" s="1442" t="s">
        <v>4356</v>
      </c>
      <c r="D344" s="1706"/>
      <c r="E344" s="1708"/>
      <c r="F344" s="1708"/>
    </row>
    <row r="345" spans="1:6" customFormat="1" ht="14.45" customHeight="1">
      <c r="A345" s="856"/>
      <c r="B345" s="1435"/>
      <c r="C345" s="1442" t="s">
        <v>729</v>
      </c>
      <c r="D345" s="1701"/>
      <c r="E345" s="1703"/>
      <c r="F345" s="1703"/>
    </row>
    <row r="346" spans="1:6" customFormat="1" ht="14.45" customHeight="1">
      <c r="A346" s="856"/>
      <c r="B346" s="1562"/>
      <c r="C346" s="1571" t="s">
        <v>3535</v>
      </c>
      <c r="D346" s="1706"/>
      <c r="E346" s="1708"/>
      <c r="F346" s="1708"/>
    </row>
    <row r="347" spans="1:6" customFormat="1" ht="14.45" customHeight="1">
      <c r="A347" s="856" t="s">
        <v>3725</v>
      </c>
      <c r="B347" s="1553">
        <v>1</v>
      </c>
      <c r="C347" s="1442" t="s">
        <v>4347</v>
      </c>
      <c r="D347" s="1706"/>
      <c r="E347" s="1707"/>
      <c r="F347" s="1707"/>
    </row>
    <row r="348" spans="1:6" customFormat="1" ht="14.45" customHeight="1">
      <c r="A348" s="856" t="s">
        <v>3726</v>
      </c>
      <c r="B348" s="1553">
        <v>1</v>
      </c>
      <c r="C348" s="1442" t="s">
        <v>2029</v>
      </c>
      <c r="D348" s="1706"/>
      <c r="E348" s="1707"/>
      <c r="F348" s="1707"/>
    </row>
    <row r="349" spans="1:6" customFormat="1" ht="14.45" customHeight="1">
      <c r="A349" s="856"/>
      <c r="B349" s="1553">
        <v>2</v>
      </c>
      <c r="C349" s="1572" t="s">
        <v>3070</v>
      </c>
      <c r="D349" s="1706"/>
      <c r="E349" s="1708"/>
      <c r="F349" s="1708"/>
    </row>
    <row r="350" spans="1:6" customFormat="1" ht="14.45" customHeight="1">
      <c r="A350" s="1873"/>
      <c r="B350" s="1435"/>
      <c r="C350" s="1442" t="s">
        <v>729</v>
      </c>
      <c r="D350" s="1701"/>
      <c r="E350" s="1703"/>
      <c r="F350" s="1703"/>
    </row>
    <row r="351" spans="1:6" customFormat="1" ht="14.45" customHeight="1">
      <c r="A351" s="1446"/>
      <c r="B351" s="1562"/>
      <c r="C351" s="1571" t="s">
        <v>3206</v>
      </c>
      <c r="D351" s="1706"/>
      <c r="E351" s="1708"/>
      <c r="F351" s="1708"/>
    </row>
    <row r="352" spans="1:6" customFormat="1" ht="14.45" customHeight="1">
      <c r="A352" s="864"/>
      <c r="B352" s="1553">
        <v>1</v>
      </c>
      <c r="C352" s="1442" t="s">
        <v>1861</v>
      </c>
      <c r="D352" s="1706"/>
      <c r="E352" s="1707"/>
      <c r="F352" s="1707"/>
    </row>
    <row r="353" spans="1:6" customFormat="1" ht="14.45" customHeight="1">
      <c r="A353" s="865"/>
      <c r="B353" s="1553">
        <v>1</v>
      </c>
      <c r="C353" s="1442" t="s">
        <v>1163</v>
      </c>
      <c r="D353" s="1706"/>
      <c r="E353" s="1707"/>
      <c r="F353" s="1707"/>
    </row>
    <row r="354" spans="1:6" customFormat="1" ht="14.45" customHeight="1">
      <c r="A354" s="865"/>
      <c r="B354" s="1553">
        <v>1</v>
      </c>
      <c r="C354" s="1442" t="s">
        <v>11253</v>
      </c>
      <c r="D354" s="1706"/>
      <c r="E354" s="1707"/>
      <c r="F354" s="1707"/>
    </row>
    <row r="355" spans="1:6" customFormat="1" ht="14.45" customHeight="1">
      <c r="A355" s="864"/>
      <c r="B355" s="1553">
        <v>1</v>
      </c>
      <c r="C355" s="1442" t="s">
        <v>1878</v>
      </c>
      <c r="D355" s="1706"/>
      <c r="E355" s="1707"/>
      <c r="F355" s="1707"/>
    </row>
    <row r="356" spans="1:6" customFormat="1" ht="14.45" customHeight="1">
      <c r="A356" s="856"/>
      <c r="B356" s="1435"/>
      <c r="C356" s="1442" t="s">
        <v>729</v>
      </c>
      <c r="D356" s="1701"/>
      <c r="E356" s="1703"/>
      <c r="F356" s="1703"/>
    </row>
    <row r="357" spans="1:6" customFormat="1" ht="14.45" customHeight="1">
      <c r="A357" s="865"/>
      <c r="B357" s="1435">
        <v>1</v>
      </c>
      <c r="C357" s="1439" t="s">
        <v>316</v>
      </c>
      <c r="D357" s="1709"/>
      <c r="E357" s="1710"/>
      <c r="F357" s="1710"/>
    </row>
    <row r="358" spans="1:6" customFormat="1" ht="14.45" customHeight="1">
      <c r="A358" s="856"/>
      <c r="B358" s="1435"/>
      <c r="C358" s="1442" t="s">
        <v>729</v>
      </c>
      <c r="D358" s="1701"/>
      <c r="E358" s="1703"/>
      <c r="F358" s="1703"/>
    </row>
    <row r="359" spans="1:6" customFormat="1" ht="14.45" customHeight="1" thickBot="1">
      <c r="A359" s="1106"/>
      <c r="B359" s="1986"/>
      <c r="C359" s="1984"/>
      <c r="D359" s="2559"/>
      <c r="E359" s="2549"/>
      <c r="F359" s="2549"/>
    </row>
    <row r="360" spans="1:6" s="64" customFormat="1" ht="20.100000000000001" customHeight="1" thickBot="1">
      <c r="A360" s="1923">
        <v>14</v>
      </c>
      <c r="B360" s="1580">
        <v>1</v>
      </c>
      <c r="C360" s="1458" t="s">
        <v>14184</v>
      </c>
      <c r="D360" s="1699">
        <v>1098</v>
      </c>
      <c r="E360" s="1700"/>
      <c r="F360" s="1700">
        <v>1098</v>
      </c>
    </row>
    <row r="361" spans="1:6" customFormat="1" ht="14.45" customHeight="1">
      <c r="A361" s="852" t="s">
        <v>3207</v>
      </c>
      <c r="B361" s="1559"/>
      <c r="C361" s="1570"/>
      <c r="D361" s="1706"/>
      <c r="E361" s="1707"/>
      <c r="F361" s="1707"/>
    </row>
    <row r="362" spans="1:6" customFormat="1" ht="14.45" customHeight="1">
      <c r="A362" s="856" t="s">
        <v>4059</v>
      </c>
      <c r="B362" s="1553"/>
      <c r="C362" s="1441" t="s">
        <v>3301</v>
      </c>
      <c r="D362" s="1706"/>
      <c r="E362" s="1708"/>
      <c r="F362" s="1708"/>
    </row>
    <row r="363" spans="1:6" customFormat="1" ht="14.45" customHeight="1">
      <c r="A363" s="856" t="s">
        <v>4321</v>
      </c>
      <c r="B363" s="1553">
        <v>1</v>
      </c>
      <c r="C363" s="1442" t="s">
        <v>4356</v>
      </c>
      <c r="D363" s="1706"/>
      <c r="E363" s="1708"/>
      <c r="F363" s="1708"/>
    </row>
    <row r="364" spans="1:6" customFormat="1" ht="14.45" customHeight="1">
      <c r="A364" s="856"/>
      <c r="B364" s="1435"/>
      <c r="C364" s="1442" t="s">
        <v>729</v>
      </c>
      <c r="D364" s="1701"/>
      <c r="E364" s="1703"/>
      <c r="F364" s="1703"/>
    </row>
    <row r="365" spans="1:6" customFormat="1" ht="14.45" customHeight="1">
      <c r="A365" s="856"/>
      <c r="B365" s="1562"/>
      <c r="C365" s="1571" t="s">
        <v>3535</v>
      </c>
      <c r="D365" s="1706"/>
      <c r="E365" s="1708"/>
      <c r="F365" s="1708"/>
    </row>
    <row r="366" spans="1:6" customFormat="1" ht="14.45" customHeight="1">
      <c r="A366" s="856" t="s">
        <v>3725</v>
      </c>
      <c r="B366" s="1553">
        <v>2</v>
      </c>
      <c r="C366" s="1442" t="s">
        <v>4347</v>
      </c>
      <c r="D366" s="1706"/>
      <c r="E366" s="1707"/>
      <c r="F366" s="1707"/>
    </row>
    <row r="367" spans="1:6" customFormat="1" ht="14.45" customHeight="1">
      <c r="A367" s="856" t="s">
        <v>3726</v>
      </c>
      <c r="B367" s="1553">
        <v>1</v>
      </c>
      <c r="C367" s="1442" t="s">
        <v>2029</v>
      </c>
      <c r="D367" s="1706"/>
      <c r="E367" s="1707"/>
      <c r="F367" s="1707"/>
    </row>
    <row r="368" spans="1:6" customFormat="1" ht="14.45" customHeight="1">
      <c r="A368" s="856"/>
      <c r="B368" s="1553">
        <v>2</v>
      </c>
      <c r="C368" s="1572" t="s">
        <v>3070</v>
      </c>
      <c r="D368" s="1706"/>
      <c r="E368" s="1708"/>
      <c r="F368" s="1708"/>
    </row>
    <row r="369" spans="1:6" customFormat="1" ht="14.45" customHeight="1">
      <c r="A369" s="1873"/>
      <c r="B369" s="1435"/>
      <c r="C369" s="1442" t="s">
        <v>729</v>
      </c>
      <c r="D369" s="1701"/>
      <c r="E369" s="1703"/>
      <c r="F369" s="1703"/>
    </row>
    <row r="370" spans="1:6" customFormat="1" ht="14.45" customHeight="1">
      <c r="A370" s="1446"/>
      <c r="B370" s="1562"/>
      <c r="C370" s="1571" t="s">
        <v>3206</v>
      </c>
      <c r="D370" s="1706"/>
      <c r="E370" s="1708"/>
      <c r="F370" s="1708"/>
    </row>
    <row r="371" spans="1:6" customFormat="1" ht="14.45" customHeight="1">
      <c r="A371" s="864"/>
      <c r="B371" s="1553">
        <v>1</v>
      </c>
      <c r="C371" s="1442" t="s">
        <v>1861</v>
      </c>
      <c r="D371" s="1706"/>
      <c r="E371" s="1707"/>
      <c r="F371" s="1707"/>
    </row>
    <row r="372" spans="1:6" customFormat="1" ht="14.45" customHeight="1">
      <c r="A372" s="865"/>
      <c r="B372" s="1553">
        <v>1</v>
      </c>
      <c r="C372" s="1442" t="s">
        <v>1163</v>
      </c>
      <c r="D372" s="1706"/>
      <c r="E372" s="1707"/>
      <c r="F372" s="1707"/>
    </row>
    <row r="373" spans="1:6" customFormat="1" ht="14.45" customHeight="1">
      <c r="A373" s="865"/>
      <c r="B373" s="1553">
        <v>1</v>
      </c>
      <c r="C373" s="1442" t="s">
        <v>11253</v>
      </c>
      <c r="D373" s="1706"/>
      <c r="E373" s="1707"/>
      <c r="F373" s="1707"/>
    </row>
    <row r="374" spans="1:6" customFormat="1" ht="14.45" customHeight="1">
      <c r="A374" s="864"/>
      <c r="B374" s="1553">
        <v>1</v>
      </c>
      <c r="C374" s="1442" t="s">
        <v>1878</v>
      </c>
      <c r="D374" s="1706"/>
      <c r="E374" s="1707"/>
      <c r="F374" s="1707"/>
    </row>
    <row r="375" spans="1:6" customFormat="1" ht="14.45" customHeight="1">
      <c r="A375" s="856"/>
      <c r="B375" s="1435"/>
      <c r="C375" s="1442" t="s">
        <v>729</v>
      </c>
      <c r="D375" s="1701"/>
      <c r="E375" s="1703"/>
      <c r="F375" s="1703"/>
    </row>
    <row r="376" spans="1:6" customFormat="1" ht="14.45" customHeight="1">
      <c r="A376" s="865"/>
      <c r="B376" s="1435">
        <v>1</v>
      </c>
      <c r="C376" s="1439" t="s">
        <v>316</v>
      </c>
      <c r="D376" s="1709"/>
      <c r="E376" s="1710"/>
      <c r="F376" s="1710"/>
    </row>
    <row r="377" spans="1:6" customFormat="1" ht="14.45" customHeight="1">
      <c r="A377" s="856"/>
      <c r="B377" s="1435"/>
      <c r="C377" s="1442" t="s">
        <v>729</v>
      </c>
      <c r="D377" s="1701"/>
      <c r="E377" s="1703"/>
      <c r="F377" s="1703"/>
    </row>
    <row r="378" spans="1:6" customFormat="1" ht="14.45" customHeight="1" thickBot="1">
      <c r="A378" s="1106"/>
      <c r="B378" s="1986"/>
      <c r="C378" s="1984"/>
      <c r="D378" s="2559"/>
      <c r="E378" s="2549"/>
      <c r="F378" s="2549"/>
    </row>
    <row r="379" spans="1:6" s="64" customFormat="1" ht="20.100000000000001" customHeight="1" thickBot="1">
      <c r="A379" s="1923">
        <v>15</v>
      </c>
      <c r="B379" s="1580">
        <v>1</v>
      </c>
      <c r="C379" s="1458" t="s">
        <v>14185</v>
      </c>
      <c r="D379" s="1699">
        <v>697</v>
      </c>
      <c r="E379" s="1700"/>
      <c r="F379" s="1700">
        <v>697</v>
      </c>
    </row>
    <row r="380" spans="1:6" customFormat="1" ht="14.45" customHeight="1">
      <c r="A380" s="852" t="s">
        <v>9502</v>
      </c>
      <c r="B380" s="1559"/>
      <c r="C380" s="1570"/>
      <c r="D380" s="1706"/>
      <c r="E380" s="1707"/>
      <c r="F380" s="1707"/>
    </row>
    <row r="381" spans="1:6" customFormat="1" ht="14.45" customHeight="1">
      <c r="A381" s="856" t="s">
        <v>9503</v>
      </c>
      <c r="B381" s="1553"/>
      <c r="C381" s="1441" t="s">
        <v>3301</v>
      </c>
      <c r="D381" s="1706"/>
      <c r="E381" s="1708"/>
      <c r="F381" s="1708"/>
    </row>
    <row r="382" spans="1:6" customFormat="1" ht="14.45" customHeight="1">
      <c r="A382" s="856" t="s">
        <v>4321</v>
      </c>
      <c r="B382" s="1553">
        <v>1</v>
      </c>
      <c r="C382" s="1442" t="s">
        <v>4356</v>
      </c>
      <c r="D382" s="1706"/>
      <c r="E382" s="1708"/>
      <c r="F382" s="1708"/>
    </row>
    <row r="383" spans="1:6" customFormat="1" ht="14.45" customHeight="1">
      <c r="A383" s="856"/>
      <c r="B383" s="1435"/>
      <c r="C383" s="1442" t="s">
        <v>729</v>
      </c>
      <c r="D383" s="1701"/>
      <c r="E383" s="1703"/>
      <c r="F383" s="1703"/>
    </row>
    <row r="384" spans="1:6" customFormat="1" ht="14.45" customHeight="1">
      <c r="A384" s="856"/>
      <c r="B384" s="1562"/>
      <c r="C384" s="1571" t="s">
        <v>3535</v>
      </c>
      <c r="D384" s="1706"/>
      <c r="E384" s="1708"/>
      <c r="F384" s="1708"/>
    </row>
    <row r="385" spans="1:6" customFormat="1" ht="14.45" customHeight="1">
      <c r="A385" s="856" t="s">
        <v>3725</v>
      </c>
      <c r="B385" s="1553">
        <v>4</v>
      </c>
      <c r="C385" s="1442" t="s">
        <v>4347</v>
      </c>
      <c r="D385" s="1706"/>
      <c r="E385" s="1707"/>
      <c r="F385" s="1707"/>
    </row>
    <row r="386" spans="1:6" customFormat="1" ht="14.45" customHeight="1">
      <c r="A386" s="856" t="s">
        <v>3726</v>
      </c>
      <c r="B386" s="1553">
        <v>4</v>
      </c>
      <c r="C386" s="1442" t="s">
        <v>2029</v>
      </c>
      <c r="D386" s="1706"/>
      <c r="E386" s="1707"/>
      <c r="F386" s="1707"/>
    </row>
    <row r="387" spans="1:6" customFormat="1" ht="14.45" customHeight="1">
      <c r="A387" s="856"/>
      <c r="B387" s="1553">
        <v>2</v>
      </c>
      <c r="C387" s="1572" t="s">
        <v>3070</v>
      </c>
      <c r="D387" s="1706"/>
      <c r="E387" s="1708"/>
      <c r="F387" s="1708"/>
    </row>
    <row r="388" spans="1:6" customFormat="1" ht="14.45" customHeight="1">
      <c r="A388" s="1873"/>
      <c r="B388" s="1435"/>
      <c r="C388" s="1442" t="s">
        <v>729</v>
      </c>
      <c r="D388" s="1701"/>
      <c r="E388" s="1703"/>
      <c r="F388" s="1703"/>
    </row>
    <row r="389" spans="1:6" customFormat="1" ht="14.45" customHeight="1">
      <c r="A389" s="865"/>
      <c r="B389" s="1435">
        <v>1</v>
      </c>
      <c r="C389" s="1439" t="s">
        <v>316</v>
      </c>
      <c r="D389" s="1709"/>
      <c r="E389" s="1710"/>
      <c r="F389" s="1710"/>
    </row>
    <row r="390" spans="1:6" customFormat="1" ht="14.45" customHeight="1">
      <c r="A390" s="856"/>
      <c r="B390" s="1435"/>
      <c r="C390" s="1442" t="s">
        <v>729</v>
      </c>
      <c r="D390" s="1701"/>
      <c r="E390" s="1703"/>
      <c r="F390" s="1703"/>
    </row>
    <row r="391" spans="1:6" customFormat="1" ht="14.45" customHeight="1" thickBot="1">
      <c r="A391" s="1106"/>
      <c r="B391" s="1986"/>
      <c r="C391" s="1984"/>
      <c r="D391" s="2559"/>
      <c r="E391" s="2549"/>
      <c r="F391" s="2549"/>
    </row>
    <row r="392" spans="1:6" s="64" customFormat="1" ht="20.100000000000001" customHeight="1" thickBot="1">
      <c r="A392" s="1923">
        <v>16</v>
      </c>
      <c r="B392" s="1580">
        <v>1</v>
      </c>
      <c r="C392" s="1458" t="s">
        <v>14187</v>
      </c>
      <c r="D392" s="1699">
        <v>1699</v>
      </c>
      <c r="E392" s="1700"/>
      <c r="F392" s="1700">
        <v>1699</v>
      </c>
    </row>
    <row r="393" spans="1:6" customFormat="1" ht="14.45" customHeight="1">
      <c r="A393" s="852" t="s">
        <v>3207</v>
      </c>
      <c r="B393" s="1559"/>
      <c r="C393" s="1570"/>
      <c r="D393" s="1706"/>
      <c r="E393" s="1707"/>
      <c r="F393" s="1707"/>
    </row>
    <row r="394" spans="1:6" customFormat="1" ht="14.45" customHeight="1">
      <c r="A394" s="856" t="s">
        <v>9504</v>
      </c>
      <c r="B394" s="1553"/>
      <c r="C394" s="1441" t="s">
        <v>3301</v>
      </c>
      <c r="D394" s="1706"/>
      <c r="E394" s="1708"/>
      <c r="F394" s="1708"/>
    </row>
    <row r="395" spans="1:6" customFormat="1" ht="25.5">
      <c r="A395" s="856" t="s">
        <v>4321</v>
      </c>
      <c r="B395" s="1553">
        <v>1</v>
      </c>
      <c r="C395" s="1444" t="s">
        <v>6675</v>
      </c>
      <c r="D395" s="1706"/>
      <c r="E395" s="1708"/>
      <c r="F395" s="1708"/>
    </row>
    <row r="396" spans="1:6" customFormat="1" ht="14.45" customHeight="1">
      <c r="A396" s="856"/>
      <c r="B396" s="1435"/>
      <c r="C396" s="1442" t="s">
        <v>729</v>
      </c>
      <c r="D396" s="1701"/>
      <c r="E396" s="1703"/>
      <c r="F396" s="1703"/>
    </row>
    <row r="397" spans="1:6" customFormat="1" ht="14.45" customHeight="1">
      <c r="A397" s="856" t="s">
        <v>3725</v>
      </c>
      <c r="B397" s="1562"/>
      <c r="C397" s="1571" t="s">
        <v>3535</v>
      </c>
      <c r="D397" s="1706"/>
      <c r="E397" s="1708"/>
      <c r="F397" s="1708"/>
    </row>
    <row r="398" spans="1:6" customFormat="1" ht="25.5">
      <c r="A398" s="856" t="s">
        <v>3726</v>
      </c>
      <c r="B398" s="1553">
        <v>1</v>
      </c>
      <c r="C398" s="1444" t="s">
        <v>6674</v>
      </c>
      <c r="D398" s="1706"/>
      <c r="E398" s="1707"/>
      <c r="F398" s="1707"/>
    </row>
    <row r="399" spans="1:6" customFormat="1" ht="14.45" customHeight="1">
      <c r="A399" s="856"/>
      <c r="B399" s="1553">
        <v>1</v>
      </c>
      <c r="C399" s="1442" t="s">
        <v>4359</v>
      </c>
      <c r="D399" s="1706"/>
      <c r="E399" s="1707"/>
      <c r="F399" s="1707"/>
    </row>
    <row r="400" spans="1:6" customFormat="1" ht="14.45" customHeight="1">
      <c r="A400" s="856"/>
      <c r="B400" s="1553">
        <v>1</v>
      </c>
      <c r="C400" s="1442" t="s">
        <v>4354</v>
      </c>
      <c r="D400" s="1706"/>
      <c r="E400" s="1707"/>
      <c r="F400" s="1707"/>
    </row>
    <row r="401" spans="1:6" customFormat="1" ht="14.45" customHeight="1">
      <c r="A401" s="856"/>
      <c r="B401" s="1553">
        <v>1</v>
      </c>
      <c r="C401" s="1442" t="s">
        <v>4350</v>
      </c>
      <c r="D401" s="1706"/>
      <c r="E401" s="1707"/>
      <c r="F401" s="1707"/>
    </row>
    <row r="402" spans="1:6" customFormat="1" ht="14.45" customHeight="1">
      <c r="A402" s="856"/>
      <c r="B402" s="1553">
        <v>2</v>
      </c>
      <c r="C402" s="1572" t="s">
        <v>3076</v>
      </c>
      <c r="D402" s="1706"/>
      <c r="E402" s="1708"/>
      <c r="F402" s="1708"/>
    </row>
    <row r="403" spans="1:6" customFormat="1" ht="14.45" customHeight="1">
      <c r="A403" s="856"/>
      <c r="B403" s="1435"/>
      <c r="C403" s="1442" t="s">
        <v>729</v>
      </c>
      <c r="D403" s="1701"/>
      <c r="E403" s="1703"/>
      <c r="F403" s="1703"/>
    </row>
    <row r="404" spans="1:6" customFormat="1" ht="14.45" customHeight="1">
      <c r="A404" s="865"/>
      <c r="B404" s="1435">
        <v>1</v>
      </c>
      <c r="C404" s="1439" t="s">
        <v>316</v>
      </c>
      <c r="D404" s="1709"/>
      <c r="E404" s="1710"/>
      <c r="F404" s="1710"/>
    </row>
    <row r="405" spans="1:6" customFormat="1" ht="14.45" customHeight="1">
      <c r="A405" s="856"/>
      <c r="B405" s="1435"/>
      <c r="C405" s="1442" t="s">
        <v>729</v>
      </c>
      <c r="D405" s="1701"/>
      <c r="E405" s="1703"/>
      <c r="F405" s="1703"/>
    </row>
    <row r="406" spans="1:6" customFormat="1" ht="14.45" customHeight="1" thickBot="1">
      <c r="A406" s="2331"/>
      <c r="B406" s="1986"/>
      <c r="C406" s="1984"/>
      <c r="D406" s="2559"/>
      <c r="E406" s="2549"/>
      <c r="F406" s="2549"/>
    </row>
    <row r="407" spans="1:6" s="64" customFormat="1" ht="20.100000000000001" customHeight="1" thickBot="1">
      <c r="A407" s="1923">
        <v>17</v>
      </c>
      <c r="B407" s="1580">
        <v>1</v>
      </c>
      <c r="C407" s="1458" t="s">
        <v>14189</v>
      </c>
      <c r="D407" s="1699">
        <v>2420</v>
      </c>
      <c r="E407" s="1700"/>
      <c r="F407" s="1700">
        <v>2420</v>
      </c>
    </row>
    <row r="408" spans="1:6" customFormat="1" ht="14.45" customHeight="1">
      <c r="A408" s="852" t="s">
        <v>3207</v>
      </c>
      <c r="B408" s="1559"/>
      <c r="C408" s="1570"/>
      <c r="D408" s="1706"/>
      <c r="E408" s="1707"/>
      <c r="F408" s="1707"/>
    </row>
    <row r="409" spans="1:6" customFormat="1" ht="14.45" customHeight="1">
      <c r="A409" s="856" t="s">
        <v>4059</v>
      </c>
      <c r="B409" s="1553"/>
      <c r="C409" s="1441" t="s">
        <v>3301</v>
      </c>
      <c r="D409" s="1706"/>
      <c r="E409" s="1708"/>
      <c r="F409" s="1708"/>
    </row>
    <row r="410" spans="1:6" customFormat="1" ht="14.45" customHeight="1">
      <c r="A410" s="856" t="s">
        <v>4321</v>
      </c>
      <c r="B410" s="1553">
        <v>1</v>
      </c>
      <c r="C410" s="1442" t="s">
        <v>4356</v>
      </c>
      <c r="D410" s="1706"/>
      <c r="E410" s="1708"/>
      <c r="F410" s="1708"/>
    </row>
    <row r="411" spans="1:6" customFormat="1" ht="14.45" customHeight="1">
      <c r="A411" s="856"/>
      <c r="B411" s="1435"/>
      <c r="C411" s="1442" t="s">
        <v>729</v>
      </c>
      <c r="D411" s="1701"/>
      <c r="E411" s="1703"/>
      <c r="F411" s="1703"/>
    </row>
    <row r="412" spans="1:6" customFormat="1" ht="14.45" customHeight="1">
      <c r="A412" s="856"/>
      <c r="B412" s="1562"/>
      <c r="C412" s="1571" t="s">
        <v>3535</v>
      </c>
      <c r="D412" s="1706"/>
      <c r="E412" s="1708"/>
      <c r="F412" s="1708"/>
    </row>
    <row r="413" spans="1:6" customFormat="1" ht="14.45" customHeight="1">
      <c r="A413" s="856" t="s">
        <v>3725</v>
      </c>
      <c r="B413" s="1553">
        <v>3</v>
      </c>
      <c r="C413" s="1442" t="s">
        <v>4349</v>
      </c>
      <c r="D413" s="1706"/>
      <c r="E413" s="1707"/>
      <c r="F413" s="1707"/>
    </row>
    <row r="414" spans="1:6" customFormat="1" ht="14.45" customHeight="1">
      <c r="A414" s="856" t="s">
        <v>3726</v>
      </c>
      <c r="B414" s="1553">
        <v>6</v>
      </c>
      <c r="C414" s="1442" t="s">
        <v>4347</v>
      </c>
      <c r="D414" s="1706"/>
      <c r="E414" s="1707"/>
      <c r="F414" s="1707"/>
    </row>
    <row r="415" spans="1:6" customFormat="1" ht="14.45" customHeight="1">
      <c r="A415" s="856"/>
      <c r="B415" s="1553">
        <v>3</v>
      </c>
      <c r="C415" s="1442" t="s">
        <v>2030</v>
      </c>
      <c r="D415" s="1706"/>
      <c r="E415" s="1707"/>
      <c r="F415" s="1707"/>
    </row>
    <row r="416" spans="1:6" customFormat="1" ht="14.45" customHeight="1">
      <c r="A416" s="856"/>
      <c r="B416" s="1553">
        <v>6</v>
      </c>
      <c r="C416" s="1442" t="s">
        <v>2029</v>
      </c>
      <c r="D416" s="1706"/>
      <c r="E416" s="1707"/>
      <c r="F416" s="1707"/>
    </row>
    <row r="417" spans="1:6" customFormat="1" ht="14.45" customHeight="1">
      <c r="A417" s="1873"/>
      <c r="B417" s="1553">
        <v>1</v>
      </c>
      <c r="C417" s="1572" t="s">
        <v>3070</v>
      </c>
      <c r="D417" s="1706"/>
      <c r="E417" s="1708"/>
      <c r="F417" s="1708"/>
    </row>
    <row r="418" spans="1:6" customFormat="1" ht="14.45" customHeight="1">
      <c r="A418" s="856"/>
      <c r="B418" s="1435"/>
      <c r="C418" s="1442" t="s">
        <v>729</v>
      </c>
      <c r="D418" s="1701"/>
      <c r="E418" s="1703"/>
      <c r="F418" s="1703"/>
    </row>
    <row r="419" spans="1:6" customFormat="1" ht="14.45" customHeight="1">
      <c r="A419" s="1446"/>
      <c r="B419" s="1562"/>
      <c r="C419" s="1571" t="s">
        <v>3206</v>
      </c>
      <c r="D419" s="1706"/>
      <c r="E419" s="1708"/>
      <c r="F419" s="1708"/>
    </row>
    <row r="420" spans="1:6" customFormat="1" ht="14.45" customHeight="1">
      <c r="A420" s="864"/>
      <c r="B420" s="1553">
        <v>2</v>
      </c>
      <c r="C420" s="1442" t="s">
        <v>1861</v>
      </c>
      <c r="D420" s="1706"/>
      <c r="E420" s="1707"/>
      <c r="F420" s="1707"/>
    </row>
    <row r="421" spans="1:6" customFormat="1" ht="14.45" customHeight="1">
      <c r="A421" s="865"/>
      <c r="B421" s="1553">
        <v>1</v>
      </c>
      <c r="C421" s="1442" t="s">
        <v>1165</v>
      </c>
      <c r="D421" s="1706"/>
      <c r="E421" s="1707"/>
      <c r="F421" s="1707"/>
    </row>
    <row r="422" spans="1:6" customFormat="1" ht="14.45" customHeight="1">
      <c r="A422" s="865"/>
      <c r="B422" s="1553">
        <v>1</v>
      </c>
      <c r="C422" s="1442" t="s">
        <v>1163</v>
      </c>
      <c r="D422" s="1706"/>
      <c r="E422" s="1707"/>
      <c r="F422" s="1707"/>
    </row>
    <row r="423" spans="1:6" customFormat="1" ht="14.45" customHeight="1">
      <c r="A423" s="865"/>
      <c r="B423" s="1553">
        <v>2</v>
      </c>
      <c r="C423" s="1442" t="s">
        <v>11253</v>
      </c>
      <c r="D423" s="1706"/>
      <c r="E423" s="1707"/>
      <c r="F423" s="1707"/>
    </row>
    <row r="424" spans="1:6" customFormat="1" ht="14.45" customHeight="1">
      <c r="A424" s="864"/>
      <c r="B424" s="1553">
        <v>2</v>
      </c>
      <c r="C424" s="1442" t="s">
        <v>1878</v>
      </c>
      <c r="D424" s="1706"/>
      <c r="E424" s="1707"/>
      <c r="F424" s="1707"/>
    </row>
    <row r="425" spans="1:6" customFormat="1" ht="14.45" customHeight="1">
      <c r="A425" s="856"/>
      <c r="B425" s="1435"/>
      <c r="C425" s="1442" t="s">
        <v>729</v>
      </c>
      <c r="D425" s="1701"/>
      <c r="E425" s="1703"/>
      <c r="F425" s="1703"/>
    </row>
    <row r="426" spans="1:6" customFormat="1" ht="14.45" customHeight="1">
      <c r="A426" s="865"/>
      <c r="B426" s="1435">
        <v>1</v>
      </c>
      <c r="C426" s="1439" t="s">
        <v>316</v>
      </c>
      <c r="D426" s="1709"/>
      <c r="E426" s="1710"/>
      <c r="F426" s="1710"/>
    </row>
    <row r="427" spans="1:6" customFormat="1" ht="14.45" customHeight="1">
      <c r="A427" s="856"/>
      <c r="B427" s="1435"/>
      <c r="C427" s="1442" t="s">
        <v>729</v>
      </c>
      <c r="D427" s="1701"/>
      <c r="E427" s="1703"/>
      <c r="F427" s="1703"/>
    </row>
    <row r="428" spans="1:6" customFormat="1" ht="14.45" customHeight="1" thickBot="1">
      <c r="A428" s="1106"/>
      <c r="B428" s="1986"/>
      <c r="C428" s="1984"/>
      <c r="D428" s="2559"/>
      <c r="E428" s="2549"/>
      <c r="F428" s="2549"/>
    </row>
    <row r="429" spans="1:6" s="64" customFormat="1" ht="20.100000000000001" customHeight="1" thickBot="1">
      <c r="A429" s="1923">
        <v>18</v>
      </c>
      <c r="B429" s="1580">
        <v>1</v>
      </c>
      <c r="C429" s="1458" t="s">
        <v>14191</v>
      </c>
      <c r="D429" s="1699">
        <v>1870</v>
      </c>
      <c r="E429" s="1700"/>
      <c r="F429" s="1700">
        <v>1870</v>
      </c>
    </row>
    <row r="430" spans="1:6" customFormat="1" ht="14.45" customHeight="1">
      <c r="A430" s="852" t="s">
        <v>3207</v>
      </c>
      <c r="B430" s="1559"/>
      <c r="C430" s="1570"/>
      <c r="D430" s="1706"/>
      <c r="E430" s="1707"/>
      <c r="F430" s="1707"/>
    </row>
    <row r="431" spans="1:6" customFormat="1" ht="14.45" customHeight="1">
      <c r="A431" s="856" t="s">
        <v>4059</v>
      </c>
      <c r="B431" s="1553"/>
      <c r="C431" s="1441" t="s">
        <v>3301</v>
      </c>
      <c r="D431" s="1706"/>
      <c r="E431" s="1708"/>
      <c r="F431" s="1708"/>
    </row>
    <row r="432" spans="1:6" customFormat="1" ht="14.45" customHeight="1">
      <c r="A432" s="856" t="s">
        <v>4321</v>
      </c>
      <c r="B432" s="1553">
        <v>1</v>
      </c>
      <c r="C432" s="1442" t="s">
        <v>4356</v>
      </c>
      <c r="D432" s="1706"/>
      <c r="E432" s="1708"/>
      <c r="F432" s="1708"/>
    </row>
    <row r="433" spans="1:6" customFormat="1" ht="14.45" customHeight="1">
      <c r="A433" s="856"/>
      <c r="B433" s="1435"/>
      <c r="C433" s="1442" t="s">
        <v>729</v>
      </c>
      <c r="D433" s="1701"/>
      <c r="E433" s="1703"/>
      <c r="F433" s="1703"/>
    </row>
    <row r="434" spans="1:6" customFormat="1" ht="14.45" customHeight="1">
      <c r="A434" s="856"/>
      <c r="B434" s="1562"/>
      <c r="C434" s="1571" t="s">
        <v>3535</v>
      </c>
      <c r="D434" s="1706"/>
      <c r="E434" s="1708"/>
      <c r="F434" s="1708"/>
    </row>
    <row r="435" spans="1:6" customFormat="1" ht="14.45" customHeight="1">
      <c r="A435" s="856" t="s">
        <v>3725</v>
      </c>
      <c r="B435" s="1553">
        <v>4</v>
      </c>
      <c r="C435" s="1442" t="s">
        <v>4347</v>
      </c>
      <c r="D435" s="1706"/>
      <c r="E435" s="1707"/>
      <c r="F435" s="1707"/>
    </row>
    <row r="436" spans="1:6" customFormat="1" ht="14.45" customHeight="1">
      <c r="A436" s="856" t="s">
        <v>3726</v>
      </c>
      <c r="B436" s="1553">
        <v>4</v>
      </c>
      <c r="C436" s="1442" t="s">
        <v>2029</v>
      </c>
      <c r="D436" s="1706"/>
      <c r="E436" s="1707"/>
      <c r="F436" s="1707"/>
    </row>
    <row r="437" spans="1:6" customFormat="1" ht="14.45" customHeight="1">
      <c r="A437" s="856"/>
      <c r="B437" s="1553">
        <v>1</v>
      </c>
      <c r="C437" s="1572" t="s">
        <v>3070</v>
      </c>
      <c r="D437" s="1706"/>
      <c r="E437" s="1708"/>
      <c r="F437" s="1708"/>
    </row>
    <row r="438" spans="1:6" customFormat="1" ht="14.45" customHeight="1">
      <c r="A438" s="1873"/>
      <c r="B438" s="1435"/>
      <c r="C438" s="1442" t="s">
        <v>729</v>
      </c>
      <c r="D438" s="1701"/>
      <c r="E438" s="1703"/>
      <c r="F438" s="1703"/>
    </row>
    <row r="439" spans="1:6" customFormat="1" ht="14.45" customHeight="1">
      <c r="A439" s="1873"/>
      <c r="B439" s="1562"/>
      <c r="C439" s="1571" t="s">
        <v>3206</v>
      </c>
      <c r="D439" s="1706"/>
      <c r="E439" s="1708"/>
      <c r="F439" s="1708"/>
    </row>
    <row r="440" spans="1:6" customFormat="1" ht="14.45" customHeight="1">
      <c r="A440" s="856"/>
      <c r="B440" s="1553">
        <v>2</v>
      </c>
      <c r="C440" s="1442" t="s">
        <v>1861</v>
      </c>
      <c r="D440" s="1706"/>
      <c r="E440" s="1707"/>
      <c r="F440" s="1707"/>
    </row>
    <row r="441" spans="1:6" customFormat="1" ht="14.45" customHeight="1">
      <c r="A441" s="1446"/>
      <c r="B441" s="1553">
        <v>1</v>
      </c>
      <c r="C441" s="1442" t="s">
        <v>1165</v>
      </c>
      <c r="D441" s="1706"/>
      <c r="E441" s="1707"/>
      <c r="F441" s="1707"/>
    </row>
    <row r="442" spans="1:6" customFormat="1" ht="14.45" customHeight="1">
      <c r="A442" s="865"/>
      <c r="B442" s="1553">
        <v>1</v>
      </c>
      <c r="C442" s="1442" t="s">
        <v>1163</v>
      </c>
      <c r="D442" s="1706"/>
      <c r="E442" s="1707"/>
      <c r="F442" s="1707"/>
    </row>
    <row r="443" spans="1:6" customFormat="1" ht="14.45" customHeight="1">
      <c r="A443" s="865"/>
      <c r="B443" s="1553">
        <v>2</v>
      </c>
      <c r="C443" s="1442" t="s">
        <v>11253</v>
      </c>
      <c r="D443" s="1706"/>
      <c r="E443" s="1707"/>
      <c r="F443" s="1707"/>
    </row>
    <row r="444" spans="1:6" customFormat="1" ht="14.45" customHeight="1">
      <c r="A444" s="864"/>
      <c r="B444" s="1553">
        <v>2</v>
      </c>
      <c r="C444" s="1442" t="s">
        <v>1878</v>
      </c>
      <c r="D444" s="1706"/>
      <c r="E444" s="1707"/>
      <c r="F444" s="1707"/>
    </row>
    <row r="445" spans="1:6" customFormat="1" ht="14.45" customHeight="1">
      <c r="A445" s="856"/>
      <c r="B445" s="1435"/>
      <c r="C445" s="1442" t="s">
        <v>729</v>
      </c>
      <c r="D445" s="1701"/>
      <c r="E445" s="1703"/>
      <c r="F445" s="1703"/>
    </row>
    <row r="446" spans="1:6" customFormat="1" ht="14.45" customHeight="1">
      <c r="A446" s="865"/>
      <c r="B446" s="1435">
        <v>1</v>
      </c>
      <c r="C446" s="1439" t="s">
        <v>316</v>
      </c>
      <c r="D446" s="1709"/>
      <c r="E446" s="1710"/>
      <c r="F446" s="1710"/>
    </row>
    <row r="447" spans="1:6" customFormat="1" ht="14.45" customHeight="1">
      <c r="A447" s="856"/>
      <c r="B447" s="1435"/>
      <c r="C447" s="1442" t="s">
        <v>729</v>
      </c>
      <c r="D447" s="1701"/>
      <c r="E447" s="1703"/>
      <c r="F447" s="1703"/>
    </row>
    <row r="448" spans="1:6" customFormat="1" ht="14.45" customHeight="1" thickBot="1">
      <c r="A448" s="1106"/>
      <c r="B448" s="1986"/>
      <c r="C448" s="1984"/>
      <c r="D448" s="2559"/>
      <c r="E448" s="2549"/>
      <c r="F448" s="2549"/>
    </row>
    <row r="449" spans="1:6" s="64" customFormat="1" ht="20.100000000000001" customHeight="1" thickBot="1">
      <c r="A449" s="1923">
        <v>19</v>
      </c>
      <c r="B449" s="1580">
        <v>1</v>
      </c>
      <c r="C449" s="1458" t="s">
        <v>14193</v>
      </c>
      <c r="D449" s="1699">
        <v>1210</v>
      </c>
      <c r="E449" s="1700"/>
      <c r="F449" s="1700">
        <v>1210</v>
      </c>
    </row>
    <row r="450" spans="1:6" customFormat="1" ht="14.45" customHeight="1">
      <c r="A450" s="852" t="s">
        <v>3207</v>
      </c>
      <c r="B450" s="1559"/>
      <c r="C450" s="1570"/>
      <c r="D450" s="1706"/>
      <c r="E450" s="1707"/>
      <c r="F450" s="1707"/>
    </row>
    <row r="451" spans="1:6" customFormat="1" ht="14.45" customHeight="1">
      <c r="A451" s="856" t="s">
        <v>4059</v>
      </c>
      <c r="B451" s="1553"/>
      <c r="C451" s="1441" t="s">
        <v>3301</v>
      </c>
      <c r="D451" s="1706"/>
      <c r="E451" s="1708"/>
      <c r="F451" s="1708"/>
    </row>
    <row r="452" spans="1:6" customFormat="1" ht="14.45" customHeight="1">
      <c r="A452" s="856" t="s">
        <v>4321</v>
      </c>
      <c r="B452" s="1553">
        <v>1</v>
      </c>
      <c r="C452" s="1442" t="s">
        <v>4356</v>
      </c>
      <c r="D452" s="1706"/>
      <c r="E452" s="1708"/>
      <c r="F452" s="1708"/>
    </row>
    <row r="453" spans="1:6" customFormat="1" ht="14.45" customHeight="1">
      <c r="A453" s="856"/>
      <c r="B453" s="1435"/>
      <c r="C453" s="1442" t="s">
        <v>729</v>
      </c>
      <c r="D453" s="1701"/>
      <c r="E453" s="1703"/>
      <c r="F453" s="1703"/>
    </row>
    <row r="454" spans="1:6" customFormat="1" ht="14.45" customHeight="1">
      <c r="A454" s="856"/>
      <c r="B454" s="1562"/>
      <c r="C454" s="1571" t="s">
        <v>3535</v>
      </c>
      <c r="D454" s="1706"/>
      <c r="E454" s="1708"/>
      <c r="F454" s="1708"/>
    </row>
    <row r="455" spans="1:6" customFormat="1" ht="14.45" customHeight="1">
      <c r="A455" s="856" t="s">
        <v>3725</v>
      </c>
      <c r="B455" s="1553">
        <v>3</v>
      </c>
      <c r="C455" s="1442" t="s">
        <v>4347</v>
      </c>
      <c r="D455" s="1706"/>
      <c r="E455" s="1707"/>
      <c r="F455" s="1707"/>
    </row>
    <row r="456" spans="1:6" customFormat="1" ht="14.45" customHeight="1">
      <c r="A456" s="856" t="s">
        <v>3726</v>
      </c>
      <c r="B456" s="1553">
        <v>3</v>
      </c>
      <c r="C456" s="1442" t="s">
        <v>2029</v>
      </c>
      <c r="D456" s="1706"/>
      <c r="E456" s="1707"/>
      <c r="F456" s="1707"/>
    </row>
    <row r="457" spans="1:6" customFormat="1" ht="14.45" customHeight="1">
      <c r="A457" s="856"/>
      <c r="B457" s="1553">
        <v>1</v>
      </c>
      <c r="C457" s="1572" t="s">
        <v>3070</v>
      </c>
      <c r="D457" s="1706"/>
      <c r="E457" s="1708"/>
      <c r="F457" s="1708"/>
    </row>
    <row r="458" spans="1:6" customFormat="1" ht="14.45" customHeight="1">
      <c r="A458" s="1873"/>
      <c r="B458" s="1435"/>
      <c r="C458" s="1442" t="s">
        <v>729</v>
      </c>
      <c r="D458" s="1701"/>
      <c r="E458" s="1703"/>
      <c r="F458" s="1703"/>
    </row>
    <row r="459" spans="1:6" customFormat="1" ht="14.45" customHeight="1">
      <c r="A459" s="1873"/>
      <c r="B459" s="1562"/>
      <c r="C459" s="1571" t="s">
        <v>3206</v>
      </c>
      <c r="D459" s="1706"/>
      <c r="E459" s="1708"/>
      <c r="F459" s="1708"/>
    </row>
    <row r="460" spans="1:6" customFormat="1" ht="14.45" customHeight="1">
      <c r="A460" s="856"/>
      <c r="B460" s="1553">
        <v>1</v>
      </c>
      <c r="C460" s="1442" t="s">
        <v>1861</v>
      </c>
      <c r="D460" s="1706"/>
      <c r="E460" s="1707"/>
      <c r="F460" s="1707"/>
    </row>
    <row r="461" spans="1:6" customFormat="1" ht="14.45" customHeight="1">
      <c r="A461" s="865"/>
      <c r="B461" s="1553">
        <v>1</v>
      </c>
      <c r="C461" s="1442" t="s">
        <v>1163</v>
      </c>
      <c r="D461" s="1706"/>
      <c r="E461" s="1707"/>
      <c r="F461" s="1707"/>
    </row>
    <row r="462" spans="1:6" customFormat="1" ht="14.45" customHeight="1">
      <c r="A462" s="865"/>
      <c r="B462" s="1553">
        <v>1</v>
      </c>
      <c r="C462" s="1442" t="s">
        <v>11253</v>
      </c>
      <c r="D462" s="1706"/>
      <c r="E462" s="1707"/>
      <c r="F462" s="1707"/>
    </row>
    <row r="463" spans="1:6" customFormat="1" ht="14.45" customHeight="1">
      <c r="A463" s="864"/>
      <c r="B463" s="1553">
        <v>1</v>
      </c>
      <c r="C463" s="1442" t="s">
        <v>1878</v>
      </c>
      <c r="D463" s="1706"/>
      <c r="E463" s="1707"/>
      <c r="F463" s="1707"/>
    </row>
    <row r="464" spans="1:6" customFormat="1" ht="14.45" customHeight="1">
      <c r="A464" s="856"/>
      <c r="B464" s="1435"/>
      <c r="C464" s="1442" t="s">
        <v>729</v>
      </c>
      <c r="D464" s="1701"/>
      <c r="E464" s="1703"/>
      <c r="F464" s="1703"/>
    </row>
    <row r="465" spans="1:6" customFormat="1" ht="14.45" customHeight="1">
      <c r="A465" s="865"/>
      <c r="B465" s="1435">
        <v>1</v>
      </c>
      <c r="C465" s="1439" t="s">
        <v>316</v>
      </c>
      <c r="D465" s="1709"/>
      <c r="E465" s="1710"/>
      <c r="F465" s="1710"/>
    </row>
    <row r="466" spans="1:6" customFormat="1" ht="14.45" customHeight="1">
      <c r="A466" s="856"/>
      <c r="B466" s="1435"/>
      <c r="C466" s="1442" t="s">
        <v>729</v>
      </c>
      <c r="D466" s="1701"/>
      <c r="E466" s="1703"/>
      <c r="F466" s="1703"/>
    </row>
    <row r="467" spans="1:6" customFormat="1" ht="14.45" customHeight="1" thickBot="1">
      <c r="A467" s="1106"/>
      <c r="B467" s="1986"/>
      <c r="C467" s="1984"/>
      <c r="D467" s="2559"/>
      <c r="E467" s="2549"/>
      <c r="F467" s="2549"/>
    </row>
    <row r="468" spans="1:6" s="64" customFormat="1" ht="20.100000000000001" customHeight="1" thickBot="1">
      <c r="A468" s="1923">
        <v>20</v>
      </c>
      <c r="B468" s="1580">
        <v>1</v>
      </c>
      <c r="C468" s="1458" t="s">
        <v>14195</v>
      </c>
      <c r="D468" s="1699">
        <v>1613</v>
      </c>
      <c r="E468" s="1700"/>
      <c r="F468" s="1700">
        <v>1613</v>
      </c>
    </row>
    <row r="469" spans="1:6" customFormat="1" ht="14.45" customHeight="1">
      <c r="A469" s="852" t="s">
        <v>3207</v>
      </c>
      <c r="B469" s="1559"/>
      <c r="C469" s="1570"/>
      <c r="D469" s="1706"/>
      <c r="E469" s="1707"/>
      <c r="F469" s="1707"/>
    </row>
    <row r="470" spans="1:6" customFormat="1" ht="14.45" customHeight="1">
      <c r="A470" s="856" t="s">
        <v>4059</v>
      </c>
      <c r="B470" s="1553"/>
      <c r="C470" s="1441" t="s">
        <v>3301</v>
      </c>
      <c r="D470" s="1706"/>
      <c r="E470" s="1708"/>
      <c r="F470" s="1708"/>
    </row>
    <row r="471" spans="1:6" customFormat="1" ht="14.45" customHeight="1">
      <c r="A471" s="856" t="s">
        <v>4321</v>
      </c>
      <c r="B471" s="1553">
        <v>1</v>
      </c>
      <c r="C471" s="1442" t="s">
        <v>4356</v>
      </c>
      <c r="D471" s="1706"/>
      <c r="E471" s="1708"/>
      <c r="F471" s="1708"/>
    </row>
    <row r="472" spans="1:6" customFormat="1" ht="14.45" customHeight="1">
      <c r="A472" s="856"/>
      <c r="B472" s="1435"/>
      <c r="C472" s="1442" t="s">
        <v>729</v>
      </c>
      <c r="D472" s="1701"/>
      <c r="E472" s="1703"/>
      <c r="F472" s="1703"/>
    </row>
    <row r="473" spans="1:6" customFormat="1" ht="14.45" customHeight="1">
      <c r="A473" s="856"/>
      <c r="B473" s="1562"/>
      <c r="C473" s="1571" t="s">
        <v>3535</v>
      </c>
      <c r="D473" s="1706"/>
      <c r="E473" s="1708"/>
      <c r="F473" s="1708"/>
    </row>
    <row r="474" spans="1:6" customFormat="1" ht="14.45" customHeight="1">
      <c r="A474" s="856" t="s">
        <v>3725</v>
      </c>
      <c r="B474" s="1553">
        <v>6</v>
      </c>
      <c r="C474" s="1442" t="s">
        <v>4347</v>
      </c>
      <c r="D474" s="1706"/>
      <c r="E474" s="1707"/>
      <c r="F474" s="1707"/>
    </row>
    <row r="475" spans="1:6" customFormat="1" ht="14.45" customHeight="1">
      <c r="A475" s="856" t="s">
        <v>3726</v>
      </c>
      <c r="B475" s="1553">
        <v>6</v>
      </c>
      <c r="C475" s="1442" t="s">
        <v>2029</v>
      </c>
      <c r="D475" s="1706"/>
      <c r="E475" s="1707"/>
      <c r="F475" s="1707"/>
    </row>
    <row r="476" spans="1:6" customFormat="1" ht="14.45" customHeight="1">
      <c r="A476" s="856"/>
      <c r="B476" s="1553">
        <v>1</v>
      </c>
      <c r="C476" s="1572" t="s">
        <v>3070</v>
      </c>
      <c r="D476" s="1706"/>
      <c r="E476" s="1708"/>
      <c r="F476" s="1708"/>
    </row>
    <row r="477" spans="1:6" customFormat="1" ht="14.45" customHeight="1">
      <c r="A477" s="1873"/>
      <c r="B477" s="1435"/>
      <c r="C477" s="1442" t="s">
        <v>729</v>
      </c>
      <c r="D477" s="1701"/>
      <c r="E477" s="1703"/>
      <c r="F477" s="1703"/>
    </row>
    <row r="478" spans="1:6" customFormat="1" ht="14.45" customHeight="1">
      <c r="A478" s="1873"/>
      <c r="B478" s="1562"/>
      <c r="C478" s="1571" t="s">
        <v>3206</v>
      </c>
      <c r="D478" s="1706"/>
      <c r="E478" s="1708"/>
      <c r="F478" s="1708"/>
    </row>
    <row r="479" spans="1:6" customFormat="1" ht="14.45" customHeight="1">
      <c r="A479" s="856"/>
      <c r="B479" s="1553">
        <v>1</v>
      </c>
      <c r="C479" s="1442" t="s">
        <v>1861</v>
      </c>
      <c r="D479" s="1706"/>
      <c r="E479" s="1707"/>
      <c r="F479" s="1707"/>
    </row>
    <row r="480" spans="1:6" customFormat="1" ht="14.45" customHeight="1">
      <c r="A480" s="865"/>
      <c r="B480" s="1553">
        <v>2</v>
      </c>
      <c r="C480" s="1442" t="s">
        <v>1163</v>
      </c>
      <c r="D480" s="1706"/>
      <c r="E480" s="1707"/>
      <c r="F480" s="1707"/>
    </row>
    <row r="481" spans="1:6" customFormat="1" ht="14.45" customHeight="1">
      <c r="A481" s="865"/>
      <c r="B481" s="1553">
        <v>1</v>
      </c>
      <c r="C481" s="1442" t="s">
        <v>11253</v>
      </c>
      <c r="D481" s="1706"/>
      <c r="E481" s="1707"/>
      <c r="F481" s="1707"/>
    </row>
    <row r="482" spans="1:6" customFormat="1" ht="14.45" customHeight="1">
      <c r="A482" s="864"/>
      <c r="B482" s="1553">
        <v>1</v>
      </c>
      <c r="C482" s="1442" t="s">
        <v>1878</v>
      </c>
      <c r="D482" s="1706"/>
      <c r="E482" s="1707"/>
      <c r="F482" s="1707"/>
    </row>
    <row r="483" spans="1:6" customFormat="1" ht="14.45" customHeight="1">
      <c r="A483" s="856"/>
      <c r="B483" s="1435"/>
      <c r="C483" s="1442" t="s">
        <v>729</v>
      </c>
      <c r="D483" s="1701"/>
      <c r="E483" s="1703"/>
      <c r="F483" s="1703"/>
    </row>
    <row r="484" spans="1:6" customFormat="1" ht="14.45" customHeight="1">
      <c r="A484" s="865"/>
      <c r="B484" s="1435">
        <v>1</v>
      </c>
      <c r="C484" s="1439" t="s">
        <v>316</v>
      </c>
      <c r="D484" s="1709"/>
      <c r="E484" s="1710"/>
      <c r="F484" s="1710"/>
    </row>
    <row r="485" spans="1:6" customFormat="1" ht="14.45" customHeight="1">
      <c r="A485" s="856"/>
      <c r="B485" s="1435"/>
      <c r="C485" s="1442" t="s">
        <v>729</v>
      </c>
      <c r="D485" s="1701"/>
      <c r="E485" s="1703"/>
      <c r="F485" s="1703"/>
    </row>
    <row r="486" spans="1:6" customFormat="1" ht="14.45" customHeight="1" thickBot="1">
      <c r="A486" s="2331"/>
      <c r="B486" s="1986"/>
      <c r="C486" s="1984"/>
      <c r="D486" s="2559"/>
      <c r="E486" s="2549"/>
      <c r="F486" s="2549"/>
    </row>
    <row r="487" spans="1:6" s="64" customFormat="1" ht="20.100000000000001" customHeight="1" thickBot="1">
      <c r="A487" s="1923">
        <v>21</v>
      </c>
      <c r="B487" s="1580">
        <v>1</v>
      </c>
      <c r="C487" s="1458" t="s">
        <v>14196</v>
      </c>
      <c r="D487" s="1699">
        <v>742</v>
      </c>
      <c r="E487" s="1700"/>
      <c r="F487" s="1700">
        <v>742</v>
      </c>
    </row>
    <row r="488" spans="1:6" customFormat="1" ht="14.45" customHeight="1">
      <c r="A488" s="852" t="s">
        <v>9502</v>
      </c>
      <c r="B488" s="1559"/>
      <c r="C488" s="1570"/>
      <c r="D488" s="1706"/>
      <c r="E488" s="1707"/>
      <c r="F488" s="1707"/>
    </row>
    <row r="489" spans="1:6" customFormat="1" ht="14.45" customHeight="1">
      <c r="A489" s="856" t="s">
        <v>9503</v>
      </c>
      <c r="B489" s="1553"/>
      <c r="C489" s="1441" t="s">
        <v>3301</v>
      </c>
      <c r="D489" s="1706"/>
      <c r="E489" s="1708"/>
      <c r="F489" s="1708"/>
    </row>
    <row r="490" spans="1:6" customFormat="1" ht="14.45" customHeight="1">
      <c r="A490" s="856" t="s">
        <v>4321</v>
      </c>
      <c r="B490" s="1553">
        <v>1</v>
      </c>
      <c r="C490" s="1442" t="s">
        <v>4356</v>
      </c>
      <c r="D490" s="1706"/>
      <c r="E490" s="1708"/>
      <c r="F490" s="1708"/>
    </row>
    <row r="491" spans="1:6" customFormat="1" ht="14.45" customHeight="1">
      <c r="A491" s="856"/>
      <c r="B491" s="1435"/>
      <c r="C491" s="1442" t="s">
        <v>729</v>
      </c>
      <c r="D491" s="1701"/>
      <c r="E491" s="1703"/>
      <c r="F491" s="1703"/>
    </row>
    <row r="492" spans="1:6" customFormat="1" ht="14.45" customHeight="1">
      <c r="A492" s="856"/>
      <c r="B492" s="1562"/>
      <c r="C492" s="1571" t="s">
        <v>3535</v>
      </c>
      <c r="D492" s="1706"/>
      <c r="E492" s="1708"/>
      <c r="F492" s="1708"/>
    </row>
    <row r="493" spans="1:6" customFormat="1" ht="14.45" customHeight="1">
      <c r="A493" s="856" t="s">
        <v>3725</v>
      </c>
      <c r="B493" s="1553">
        <v>5</v>
      </c>
      <c r="C493" s="1442" t="s">
        <v>4347</v>
      </c>
      <c r="D493" s="1706"/>
      <c r="E493" s="1707"/>
      <c r="F493" s="1707"/>
    </row>
    <row r="494" spans="1:6" customFormat="1" ht="14.45" customHeight="1">
      <c r="A494" s="856" t="s">
        <v>3726</v>
      </c>
      <c r="B494" s="1553">
        <v>5</v>
      </c>
      <c r="C494" s="1442" t="s">
        <v>2029</v>
      </c>
      <c r="D494" s="1706"/>
      <c r="E494" s="1707"/>
      <c r="F494" s="1707"/>
    </row>
    <row r="495" spans="1:6" customFormat="1" ht="14.45" customHeight="1">
      <c r="A495" s="856"/>
      <c r="B495" s="1553">
        <v>1</v>
      </c>
      <c r="C495" s="1572" t="s">
        <v>3070</v>
      </c>
      <c r="D495" s="1706"/>
      <c r="E495" s="1708"/>
      <c r="F495" s="1708"/>
    </row>
    <row r="496" spans="1:6" customFormat="1" ht="14.45" customHeight="1">
      <c r="A496" s="1873"/>
      <c r="B496" s="1435"/>
      <c r="C496" s="1442" t="s">
        <v>729</v>
      </c>
      <c r="D496" s="1701"/>
      <c r="E496" s="1703"/>
      <c r="F496" s="1703"/>
    </row>
    <row r="497" spans="1:6" customFormat="1" ht="14.45" customHeight="1">
      <c r="A497" s="865"/>
      <c r="B497" s="1435">
        <v>1</v>
      </c>
      <c r="C497" s="1439" t="s">
        <v>316</v>
      </c>
      <c r="D497" s="1709"/>
      <c r="E497" s="1710"/>
      <c r="F497" s="1710"/>
    </row>
    <row r="498" spans="1:6" customFormat="1" ht="14.45" customHeight="1">
      <c r="A498" s="856"/>
      <c r="B498" s="1435"/>
      <c r="C498" s="1442" t="s">
        <v>729</v>
      </c>
      <c r="D498" s="1701"/>
      <c r="E498" s="1703"/>
      <c r="F498" s="1703"/>
    </row>
    <row r="499" spans="1:6" customFormat="1" ht="14.45" customHeight="1" thickBot="1">
      <c r="A499" s="2331"/>
      <c r="B499" s="1986"/>
      <c r="C499" s="1984"/>
      <c r="D499" s="2559"/>
      <c r="E499" s="2549"/>
      <c r="F499" s="2549"/>
    </row>
    <row r="500" spans="1:6" s="64" customFormat="1" ht="20.100000000000001" customHeight="1" thickBot="1">
      <c r="A500" s="1923">
        <v>22</v>
      </c>
      <c r="B500" s="1580">
        <v>1</v>
      </c>
      <c r="C500" s="1458" t="s">
        <v>14197</v>
      </c>
      <c r="D500" s="1699">
        <v>2816</v>
      </c>
      <c r="E500" s="1700"/>
      <c r="F500" s="1700">
        <v>2816</v>
      </c>
    </row>
    <row r="501" spans="1:6" customFormat="1" ht="14.45" customHeight="1">
      <c r="A501" s="852" t="s">
        <v>3207</v>
      </c>
      <c r="B501" s="1559"/>
      <c r="C501" s="1570"/>
      <c r="D501" s="1706"/>
      <c r="E501" s="1707"/>
      <c r="F501" s="1707"/>
    </row>
    <row r="502" spans="1:6" customFormat="1" ht="14.45" customHeight="1">
      <c r="A502" s="856" t="s">
        <v>4059</v>
      </c>
      <c r="B502" s="1553"/>
      <c r="C502" s="1441" t="s">
        <v>3301</v>
      </c>
      <c r="D502" s="1706"/>
      <c r="E502" s="1708"/>
      <c r="F502" s="1708"/>
    </row>
    <row r="503" spans="1:6" customFormat="1" ht="14.45" customHeight="1">
      <c r="A503" s="856" t="s">
        <v>4321</v>
      </c>
      <c r="B503" s="1553">
        <v>1</v>
      </c>
      <c r="C503" s="1442" t="s">
        <v>4357</v>
      </c>
      <c r="D503" s="1706"/>
      <c r="E503" s="1708"/>
      <c r="F503" s="1708"/>
    </row>
    <row r="504" spans="1:6" customFormat="1" ht="14.45" customHeight="1">
      <c r="A504" s="856"/>
      <c r="B504" s="1435"/>
      <c r="C504" s="1442" t="s">
        <v>729</v>
      </c>
      <c r="D504" s="1701"/>
      <c r="E504" s="1703"/>
      <c r="F504" s="1703"/>
    </row>
    <row r="505" spans="1:6" customFormat="1" ht="14.45" customHeight="1">
      <c r="A505" s="856"/>
      <c r="B505" s="1562"/>
      <c r="C505" s="1571" t="s">
        <v>3535</v>
      </c>
      <c r="D505" s="1706"/>
      <c r="E505" s="1708"/>
      <c r="F505" s="1708"/>
    </row>
    <row r="506" spans="1:6" customFormat="1" ht="14.45" customHeight="1">
      <c r="A506" s="856" t="s">
        <v>3725</v>
      </c>
      <c r="B506" s="1553">
        <v>1</v>
      </c>
      <c r="C506" s="1442" t="s">
        <v>4354</v>
      </c>
      <c r="D506" s="1706"/>
      <c r="E506" s="1707"/>
      <c r="F506" s="1707"/>
    </row>
    <row r="507" spans="1:6" customFormat="1" ht="14.45" customHeight="1">
      <c r="A507" s="856" t="s">
        <v>3726</v>
      </c>
      <c r="B507" s="1553">
        <v>12</v>
      </c>
      <c r="C507" s="1442" t="s">
        <v>4347</v>
      </c>
      <c r="D507" s="1706"/>
      <c r="E507" s="1707"/>
      <c r="F507" s="1707"/>
    </row>
    <row r="508" spans="1:6" customFormat="1" ht="14.45" customHeight="1">
      <c r="A508" s="856"/>
      <c r="B508" s="1553">
        <v>1</v>
      </c>
      <c r="C508" s="1442" t="s">
        <v>2034</v>
      </c>
      <c r="D508" s="1706"/>
      <c r="E508" s="1707"/>
      <c r="F508" s="1707"/>
    </row>
    <row r="509" spans="1:6" customFormat="1" ht="14.45" customHeight="1">
      <c r="A509" s="856"/>
      <c r="B509" s="1553">
        <v>12</v>
      </c>
      <c r="C509" s="1442" t="s">
        <v>2029</v>
      </c>
      <c r="D509" s="1706"/>
      <c r="E509" s="1707"/>
      <c r="F509" s="1707"/>
    </row>
    <row r="510" spans="1:6" customFormat="1" ht="14.45" customHeight="1">
      <c r="A510" s="1873"/>
      <c r="B510" s="1553">
        <v>2</v>
      </c>
      <c r="C510" s="1572" t="s">
        <v>3070</v>
      </c>
      <c r="D510" s="1706"/>
      <c r="E510" s="1708"/>
      <c r="F510" s="1708"/>
    </row>
    <row r="511" spans="1:6" customFormat="1" ht="14.45" customHeight="1">
      <c r="A511" s="856"/>
      <c r="B511" s="1435"/>
      <c r="C511" s="1442" t="s">
        <v>729</v>
      </c>
      <c r="D511" s="1701"/>
      <c r="E511" s="1703"/>
      <c r="F511" s="1703"/>
    </row>
    <row r="512" spans="1:6" customFormat="1" ht="14.45" customHeight="1">
      <c r="A512" s="1446"/>
      <c r="B512" s="1562"/>
      <c r="C512" s="1571" t="s">
        <v>3206</v>
      </c>
      <c r="D512" s="1706"/>
      <c r="E512" s="1708"/>
      <c r="F512" s="1708"/>
    </row>
    <row r="513" spans="1:6" customFormat="1" ht="14.45" customHeight="1">
      <c r="A513" s="864"/>
      <c r="B513" s="1553">
        <v>2</v>
      </c>
      <c r="C513" s="1442" t="s">
        <v>1861</v>
      </c>
      <c r="D513" s="1706"/>
      <c r="E513" s="1707"/>
      <c r="F513" s="1707"/>
    </row>
    <row r="514" spans="1:6" customFormat="1" ht="14.45" customHeight="1">
      <c r="A514" s="865"/>
      <c r="B514" s="1553">
        <v>2</v>
      </c>
      <c r="C514" s="1442" t="s">
        <v>1163</v>
      </c>
      <c r="D514" s="1706"/>
      <c r="E514" s="1707"/>
      <c r="F514" s="1707"/>
    </row>
    <row r="515" spans="1:6" customFormat="1" ht="14.45" customHeight="1">
      <c r="A515" s="865"/>
      <c r="B515" s="1553">
        <v>2</v>
      </c>
      <c r="C515" s="1442" t="s">
        <v>11253</v>
      </c>
      <c r="D515" s="1706"/>
      <c r="E515" s="1707"/>
      <c r="F515" s="1707"/>
    </row>
    <row r="516" spans="1:6" customFormat="1" ht="14.45" customHeight="1">
      <c r="A516" s="864"/>
      <c r="B516" s="1553">
        <v>2</v>
      </c>
      <c r="C516" s="1442" t="s">
        <v>1878</v>
      </c>
      <c r="D516" s="1706"/>
      <c r="E516" s="1707"/>
      <c r="F516" s="1707"/>
    </row>
    <row r="517" spans="1:6" customFormat="1" ht="14.45" customHeight="1">
      <c r="A517" s="856"/>
      <c r="B517" s="1435"/>
      <c r="C517" s="1442" t="s">
        <v>729</v>
      </c>
      <c r="D517" s="1701"/>
      <c r="E517" s="1703"/>
      <c r="F517" s="1703"/>
    </row>
    <row r="518" spans="1:6" customFormat="1" ht="14.45" customHeight="1">
      <c r="A518" s="865"/>
      <c r="B518" s="1435">
        <v>1</v>
      </c>
      <c r="C518" s="1439" t="s">
        <v>316</v>
      </c>
      <c r="D518" s="1709"/>
      <c r="E518" s="1710"/>
      <c r="F518" s="1710"/>
    </row>
    <row r="519" spans="1:6" customFormat="1" ht="14.45" customHeight="1">
      <c r="A519" s="856"/>
      <c r="B519" s="1435"/>
      <c r="C519" s="1442" t="s">
        <v>729</v>
      </c>
      <c r="D519" s="1701"/>
      <c r="E519" s="1703"/>
      <c r="F519" s="1703"/>
    </row>
    <row r="520" spans="1:6" customFormat="1" ht="14.45" customHeight="1" thickBot="1">
      <c r="A520" s="2331"/>
      <c r="B520" s="1986"/>
      <c r="C520" s="1984"/>
      <c r="D520" s="2559"/>
      <c r="E520" s="2549"/>
      <c r="F520" s="2549"/>
    </row>
    <row r="521" spans="1:6" s="64" customFormat="1" ht="20.100000000000001" customHeight="1" thickBot="1">
      <c r="A521" s="1923">
        <v>23</v>
      </c>
      <c r="B521" s="1580">
        <v>1</v>
      </c>
      <c r="C521" s="1458" t="s">
        <v>14199</v>
      </c>
      <c r="D521" s="1699">
        <v>2082</v>
      </c>
      <c r="E521" s="1700"/>
      <c r="F521" s="1700">
        <v>2082</v>
      </c>
    </row>
    <row r="522" spans="1:6" customFormat="1" ht="14.45" customHeight="1">
      <c r="A522" s="852" t="s">
        <v>3207</v>
      </c>
      <c r="B522" s="1559"/>
      <c r="C522" s="1570"/>
      <c r="D522" s="1706"/>
      <c r="E522" s="1707"/>
      <c r="F522" s="1707"/>
    </row>
    <row r="523" spans="1:6" customFormat="1" ht="14.45" customHeight="1">
      <c r="A523" s="856" t="s">
        <v>4059</v>
      </c>
      <c r="B523" s="1553"/>
      <c r="C523" s="1441" t="s">
        <v>3301</v>
      </c>
      <c r="D523" s="1706"/>
      <c r="E523" s="1708"/>
      <c r="F523" s="1708"/>
    </row>
    <row r="524" spans="1:6" customFormat="1" ht="14.45" customHeight="1">
      <c r="A524" s="856" t="s">
        <v>4321</v>
      </c>
      <c r="B524" s="1553">
        <v>1</v>
      </c>
      <c r="C524" s="1442" t="s">
        <v>4356</v>
      </c>
      <c r="D524" s="1706"/>
      <c r="E524" s="1708"/>
      <c r="F524" s="1708"/>
    </row>
    <row r="525" spans="1:6" customFormat="1" ht="14.45" customHeight="1">
      <c r="A525" s="856"/>
      <c r="B525" s="1435"/>
      <c r="C525" s="1442" t="s">
        <v>729</v>
      </c>
      <c r="D525" s="1701"/>
      <c r="E525" s="1703"/>
      <c r="F525" s="1703"/>
    </row>
    <row r="526" spans="1:6" customFormat="1" ht="14.45" customHeight="1">
      <c r="A526" s="856"/>
      <c r="B526" s="1562"/>
      <c r="C526" s="1571" t="s">
        <v>3535</v>
      </c>
      <c r="D526" s="1706"/>
      <c r="E526" s="1708"/>
      <c r="F526" s="1708"/>
    </row>
    <row r="527" spans="1:6" customFormat="1" ht="14.45" customHeight="1">
      <c r="A527" s="856" t="s">
        <v>3725</v>
      </c>
      <c r="B527" s="1553">
        <v>7</v>
      </c>
      <c r="C527" s="1442" t="s">
        <v>4347</v>
      </c>
      <c r="D527" s="1706"/>
      <c r="E527" s="1707"/>
      <c r="F527" s="1707"/>
    </row>
    <row r="528" spans="1:6" customFormat="1" ht="14.45" customHeight="1">
      <c r="A528" s="856" t="s">
        <v>3726</v>
      </c>
      <c r="B528" s="1553">
        <v>7</v>
      </c>
      <c r="C528" s="1442" t="s">
        <v>2029</v>
      </c>
      <c r="D528" s="1706"/>
      <c r="E528" s="1707"/>
      <c r="F528" s="1707"/>
    </row>
    <row r="529" spans="1:6" customFormat="1" ht="14.45" customHeight="1">
      <c r="A529" s="856"/>
      <c r="B529" s="1553">
        <v>2</v>
      </c>
      <c r="C529" s="1572" t="s">
        <v>3070</v>
      </c>
      <c r="D529" s="1706"/>
      <c r="E529" s="1708"/>
      <c r="F529" s="1708"/>
    </row>
    <row r="530" spans="1:6" customFormat="1" ht="14.45" customHeight="1">
      <c r="A530" s="1873"/>
      <c r="B530" s="1435"/>
      <c r="C530" s="1442" t="s">
        <v>729</v>
      </c>
      <c r="D530" s="1701"/>
      <c r="E530" s="1703"/>
      <c r="F530" s="1703"/>
    </row>
    <row r="531" spans="1:6" customFormat="1" ht="14.45" customHeight="1">
      <c r="A531" s="1873"/>
      <c r="B531" s="1562"/>
      <c r="C531" s="1571" t="s">
        <v>3206</v>
      </c>
      <c r="D531" s="1706"/>
      <c r="E531" s="1708"/>
      <c r="F531" s="1708"/>
    </row>
    <row r="532" spans="1:6" customFormat="1" ht="14.45" customHeight="1">
      <c r="A532" s="856"/>
      <c r="B532" s="1553">
        <v>2</v>
      </c>
      <c r="C532" s="1442" t="s">
        <v>1861</v>
      </c>
      <c r="D532" s="1706"/>
      <c r="E532" s="1707"/>
      <c r="F532" s="1707"/>
    </row>
    <row r="533" spans="1:6" customFormat="1" ht="14.45" customHeight="1">
      <c r="A533" s="865"/>
      <c r="B533" s="1553">
        <v>2</v>
      </c>
      <c r="C533" s="1442" t="s">
        <v>1163</v>
      </c>
      <c r="D533" s="1706"/>
      <c r="E533" s="1707"/>
      <c r="F533" s="1707"/>
    </row>
    <row r="534" spans="1:6" customFormat="1" ht="14.45" customHeight="1">
      <c r="A534" s="865"/>
      <c r="B534" s="1553">
        <v>2</v>
      </c>
      <c r="C534" s="1442" t="s">
        <v>11253</v>
      </c>
      <c r="D534" s="1706"/>
      <c r="E534" s="1707"/>
      <c r="F534" s="1707"/>
    </row>
    <row r="535" spans="1:6" customFormat="1" ht="14.45" customHeight="1">
      <c r="A535" s="864"/>
      <c r="B535" s="1553">
        <v>2</v>
      </c>
      <c r="C535" s="1442" t="s">
        <v>1878</v>
      </c>
      <c r="D535" s="1706"/>
      <c r="E535" s="1707"/>
      <c r="F535" s="1707"/>
    </row>
    <row r="536" spans="1:6" customFormat="1" ht="14.45" customHeight="1">
      <c r="A536" s="856"/>
      <c r="B536" s="1435"/>
      <c r="C536" s="1442" t="s">
        <v>729</v>
      </c>
      <c r="D536" s="1701"/>
      <c r="E536" s="1703"/>
      <c r="F536" s="1703"/>
    </row>
    <row r="537" spans="1:6" customFormat="1" ht="14.45" customHeight="1">
      <c r="A537" s="865"/>
      <c r="B537" s="1435">
        <v>1</v>
      </c>
      <c r="C537" s="1439" t="s">
        <v>316</v>
      </c>
      <c r="D537" s="1709"/>
      <c r="E537" s="1710"/>
      <c r="F537" s="1710"/>
    </row>
    <row r="538" spans="1:6" customFormat="1" ht="14.45" customHeight="1">
      <c r="A538" s="856"/>
      <c r="B538" s="1435"/>
      <c r="C538" s="1442" t="s">
        <v>729</v>
      </c>
      <c r="D538" s="1701"/>
      <c r="E538" s="1703"/>
      <c r="F538" s="1703"/>
    </row>
    <row r="539" spans="1:6" customFormat="1" ht="14.45" customHeight="1" thickBot="1">
      <c r="A539" s="2331"/>
      <c r="B539" s="1986"/>
      <c r="C539" s="1984"/>
      <c r="D539" s="2559"/>
      <c r="E539" s="2549"/>
      <c r="F539" s="2549"/>
    </row>
    <row r="540" spans="1:6" s="64" customFormat="1" ht="20.100000000000001" customHeight="1" thickBot="1">
      <c r="A540" s="1923">
        <v>24</v>
      </c>
      <c r="B540" s="1580">
        <v>1</v>
      </c>
      <c r="C540" s="1458" t="s">
        <v>14201</v>
      </c>
      <c r="D540" s="1699">
        <v>2084</v>
      </c>
      <c r="E540" s="1700"/>
      <c r="F540" s="1700">
        <v>2084</v>
      </c>
    </row>
    <row r="541" spans="1:6" customFormat="1" ht="14.45" customHeight="1">
      <c r="A541" s="852" t="s">
        <v>3207</v>
      </c>
      <c r="B541" s="1559"/>
      <c r="C541" s="1570"/>
      <c r="D541" s="1706"/>
      <c r="E541" s="1707"/>
      <c r="F541" s="1707"/>
    </row>
    <row r="542" spans="1:6" customFormat="1" ht="14.45" customHeight="1">
      <c r="A542" s="856" t="s">
        <v>4059</v>
      </c>
      <c r="B542" s="1553"/>
      <c r="C542" s="1441" t="s">
        <v>3301</v>
      </c>
      <c r="D542" s="1706"/>
      <c r="E542" s="1708"/>
      <c r="F542" s="1708"/>
    </row>
    <row r="543" spans="1:6" customFormat="1" ht="14.45" customHeight="1">
      <c r="A543" s="856" t="s">
        <v>4321</v>
      </c>
      <c r="B543" s="1553">
        <v>1</v>
      </c>
      <c r="C543" s="1442" t="s">
        <v>4357</v>
      </c>
      <c r="D543" s="1706"/>
      <c r="E543" s="1708"/>
      <c r="F543" s="1708"/>
    </row>
    <row r="544" spans="1:6" customFormat="1" ht="14.45" customHeight="1">
      <c r="A544" s="856"/>
      <c r="B544" s="1435"/>
      <c r="C544" s="1442" t="s">
        <v>729</v>
      </c>
      <c r="D544" s="1701"/>
      <c r="E544" s="1703"/>
      <c r="F544" s="1703"/>
    </row>
    <row r="545" spans="1:6" customFormat="1" ht="14.45" customHeight="1">
      <c r="A545" s="856"/>
      <c r="B545" s="1562"/>
      <c r="C545" s="1571" t="s">
        <v>3535</v>
      </c>
      <c r="D545" s="1706"/>
      <c r="E545" s="1708"/>
      <c r="F545" s="1708"/>
    </row>
    <row r="546" spans="1:6" customFormat="1" ht="14.45" customHeight="1">
      <c r="A546" s="856" t="s">
        <v>3725</v>
      </c>
      <c r="B546" s="1553">
        <v>7</v>
      </c>
      <c r="C546" s="1442" t="s">
        <v>4347</v>
      </c>
      <c r="D546" s="1706"/>
      <c r="E546" s="1707"/>
      <c r="F546" s="1707"/>
    </row>
    <row r="547" spans="1:6" customFormat="1" ht="14.45" customHeight="1">
      <c r="A547" s="856" t="s">
        <v>3726</v>
      </c>
      <c r="B547" s="1553">
        <v>7</v>
      </c>
      <c r="C547" s="1442" t="s">
        <v>2029</v>
      </c>
      <c r="D547" s="1706"/>
      <c r="E547" s="1707"/>
      <c r="F547" s="1707"/>
    </row>
    <row r="548" spans="1:6" customFormat="1" ht="14.45" customHeight="1">
      <c r="A548" s="856"/>
      <c r="B548" s="1553">
        <v>2</v>
      </c>
      <c r="C548" s="1572" t="s">
        <v>3070</v>
      </c>
      <c r="D548" s="1706"/>
      <c r="E548" s="1708"/>
      <c r="F548" s="1708"/>
    </row>
    <row r="549" spans="1:6" customFormat="1" ht="14.45" customHeight="1">
      <c r="A549" s="1873"/>
      <c r="B549" s="1435"/>
      <c r="C549" s="1442" t="s">
        <v>729</v>
      </c>
      <c r="D549" s="1701"/>
      <c r="E549" s="1703"/>
      <c r="F549" s="1703"/>
    </row>
    <row r="550" spans="1:6" customFormat="1" ht="14.45" customHeight="1">
      <c r="A550" s="1873"/>
      <c r="B550" s="1562"/>
      <c r="C550" s="1571" t="s">
        <v>3206</v>
      </c>
      <c r="D550" s="1706"/>
      <c r="E550" s="1708"/>
      <c r="F550" s="1708"/>
    </row>
    <row r="551" spans="1:6" customFormat="1" ht="14.45" customHeight="1">
      <c r="A551" s="856"/>
      <c r="B551" s="1553">
        <v>2</v>
      </c>
      <c r="C551" s="1442" t="s">
        <v>1861</v>
      </c>
      <c r="D551" s="1706"/>
      <c r="E551" s="1707"/>
      <c r="F551" s="1707"/>
    </row>
    <row r="552" spans="1:6" customFormat="1" ht="14.45" customHeight="1">
      <c r="A552" s="865"/>
      <c r="B552" s="1553">
        <v>2</v>
      </c>
      <c r="C552" s="1442" t="s">
        <v>1163</v>
      </c>
      <c r="D552" s="1706"/>
      <c r="E552" s="1707"/>
      <c r="F552" s="1707"/>
    </row>
    <row r="553" spans="1:6" customFormat="1" ht="14.45" customHeight="1">
      <c r="A553" s="865"/>
      <c r="B553" s="1553">
        <v>2</v>
      </c>
      <c r="C553" s="1442" t="s">
        <v>11253</v>
      </c>
      <c r="D553" s="1706"/>
      <c r="E553" s="1707"/>
      <c r="F553" s="1707"/>
    </row>
    <row r="554" spans="1:6" customFormat="1" ht="14.45" customHeight="1">
      <c r="A554" s="864"/>
      <c r="B554" s="1553">
        <v>2</v>
      </c>
      <c r="C554" s="1442" t="s">
        <v>1878</v>
      </c>
      <c r="D554" s="1706"/>
      <c r="E554" s="1707"/>
      <c r="F554" s="1707"/>
    </row>
    <row r="555" spans="1:6" customFormat="1" ht="14.45" customHeight="1">
      <c r="A555" s="856"/>
      <c r="B555" s="1435"/>
      <c r="C555" s="1442" t="s">
        <v>729</v>
      </c>
      <c r="D555" s="1701"/>
      <c r="E555" s="1703"/>
      <c r="F555" s="1703"/>
    </row>
    <row r="556" spans="1:6" customFormat="1" ht="14.45" customHeight="1">
      <c r="A556" s="865"/>
      <c r="B556" s="1435">
        <v>1</v>
      </c>
      <c r="C556" s="1439" t="s">
        <v>316</v>
      </c>
      <c r="D556" s="1709"/>
      <c r="E556" s="1710"/>
      <c r="F556" s="1710"/>
    </row>
    <row r="557" spans="1:6" customFormat="1" ht="14.45" customHeight="1">
      <c r="A557" s="856"/>
      <c r="B557" s="1435"/>
      <c r="C557" s="1442" t="s">
        <v>729</v>
      </c>
      <c r="D557" s="1701"/>
      <c r="E557" s="1703"/>
      <c r="F557" s="1703"/>
    </row>
    <row r="558" spans="1:6" customFormat="1" ht="14.45" customHeight="1" thickBot="1">
      <c r="A558" s="2331"/>
      <c r="B558" s="1986"/>
      <c r="C558" s="1984"/>
      <c r="D558" s="2559"/>
      <c r="E558" s="2549"/>
      <c r="F558" s="2549"/>
    </row>
    <row r="559" spans="1:6" s="64" customFormat="1" ht="20.100000000000001" customHeight="1" thickBot="1">
      <c r="A559" s="1923">
        <v>25</v>
      </c>
      <c r="B559" s="1580">
        <v>1</v>
      </c>
      <c r="C559" s="1458" t="s">
        <v>14202</v>
      </c>
      <c r="D559" s="1699">
        <v>1715</v>
      </c>
      <c r="E559" s="1700"/>
      <c r="F559" s="1700">
        <v>1715</v>
      </c>
    </row>
    <row r="560" spans="1:6" customFormat="1" ht="14.45" customHeight="1">
      <c r="A560" s="852" t="s">
        <v>3207</v>
      </c>
      <c r="B560" s="1559"/>
      <c r="C560" s="1570"/>
      <c r="D560" s="1706"/>
      <c r="E560" s="1707"/>
      <c r="F560" s="1707"/>
    </row>
    <row r="561" spans="1:6" customFormat="1" ht="14.45" customHeight="1">
      <c r="A561" s="856" t="s">
        <v>4059</v>
      </c>
      <c r="B561" s="1553"/>
      <c r="C561" s="1441" t="s">
        <v>3301</v>
      </c>
      <c r="D561" s="1706"/>
      <c r="E561" s="1708"/>
      <c r="F561" s="1708"/>
    </row>
    <row r="562" spans="1:6" customFormat="1" ht="25.5">
      <c r="A562" s="856" t="s">
        <v>4321</v>
      </c>
      <c r="B562" s="1553">
        <v>1</v>
      </c>
      <c r="C562" s="1444" t="s">
        <v>6675</v>
      </c>
      <c r="D562" s="1706"/>
      <c r="E562" s="1708"/>
      <c r="F562" s="1708"/>
    </row>
    <row r="563" spans="1:6" customFormat="1" ht="14.45" customHeight="1">
      <c r="A563" s="856"/>
      <c r="B563" s="1435"/>
      <c r="C563" s="1442" t="s">
        <v>729</v>
      </c>
      <c r="D563" s="1701"/>
      <c r="E563" s="1703"/>
      <c r="F563" s="1703"/>
    </row>
    <row r="564" spans="1:6" customFormat="1" ht="14.45" customHeight="1">
      <c r="A564" s="856" t="s">
        <v>3725</v>
      </c>
      <c r="B564" s="1562"/>
      <c r="C564" s="1571" t="s">
        <v>3535</v>
      </c>
      <c r="D564" s="1706"/>
      <c r="E564" s="1708"/>
      <c r="F564" s="1708"/>
    </row>
    <row r="565" spans="1:6" customFormat="1" ht="25.5">
      <c r="A565" s="856" t="s">
        <v>3726</v>
      </c>
      <c r="B565" s="1553">
        <v>1</v>
      </c>
      <c r="C565" s="1444" t="s">
        <v>6674</v>
      </c>
      <c r="D565" s="1706"/>
      <c r="E565" s="1708"/>
      <c r="F565" s="1708"/>
    </row>
    <row r="566" spans="1:6" customFormat="1" ht="14.45" customHeight="1">
      <c r="A566" s="856"/>
      <c r="B566" s="1553">
        <v>1</v>
      </c>
      <c r="C566" s="1442" t="s">
        <v>4357</v>
      </c>
      <c r="D566" s="1706"/>
      <c r="E566" s="1708"/>
      <c r="F566" s="1708"/>
    </row>
    <row r="567" spans="1:6" customFormat="1" ht="14.45" customHeight="1">
      <c r="A567" s="856"/>
      <c r="B567" s="1553">
        <v>2</v>
      </c>
      <c r="C567" s="1442" t="s">
        <v>4347</v>
      </c>
      <c r="D567" s="1706"/>
      <c r="E567" s="1707"/>
      <c r="F567" s="1707"/>
    </row>
    <row r="568" spans="1:6" customFormat="1" ht="14.45" customHeight="1">
      <c r="A568" s="1873"/>
      <c r="B568" s="1553">
        <v>2</v>
      </c>
      <c r="C568" s="1442" t="s">
        <v>2029</v>
      </c>
      <c r="D568" s="1706"/>
      <c r="E568" s="1707"/>
      <c r="F568" s="1707"/>
    </row>
    <row r="569" spans="1:6" customFormat="1" ht="14.45" customHeight="1">
      <c r="A569" s="856"/>
      <c r="B569" s="1553">
        <v>2</v>
      </c>
      <c r="C569" s="1572" t="s">
        <v>3076</v>
      </c>
      <c r="D569" s="1706"/>
      <c r="E569" s="1708"/>
      <c r="F569" s="1708"/>
    </row>
    <row r="570" spans="1:6" customFormat="1" ht="14.45" customHeight="1">
      <c r="A570" s="856"/>
      <c r="B570" s="1435"/>
      <c r="C570" s="1442" t="s">
        <v>729</v>
      </c>
      <c r="D570" s="1701"/>
      <c r="E570" s="1703"/>
      <c r="F570" s="1703"/>
    </row>
    <row r="571" spans="1:6" customFormat="1" ht="14.45" customHeight="1">
      <c r="A571" s="865"/>
      <c r="B571" s="1435">
        <v>1</v>
      </c>
      <c r="C571" s="1439" t="s">
        <v>316</v>
      </c>
      <c r="D571" s="1709"/>
      <c r="E571" s="1710"/>
      <c r="F571" s="1710"/>
    </row>
    <row r="572" spans="1:6" customFormat="1" ht="14.45" customHeight="1">
      <c r="A572" s="856"/>
      <c r="B572" s="1435"/>
      <c r="C572" s="1442" t="s">
        <v>729</v>
      </c>
      <c r="D572" s="1701"/>
      <c r="E572" s="1703"/>
      <c r="F572" s="1703"/>
    </row>
    <row r="573" spans="1:6" customFormat="1" ht="14.45" customHeight="1" thickBot="1">
      <c r="A573" s="2331"/>
      <c r="B573" s="1986"/>
      <c r="C573" s="1984"/>
      <c r="D573" s="2559"/>
      <c r="E573" s="2549"/>
      <c r="F573" s="2549"/>
    </row>
    <row r="574" spans="1:6" s="64" customFormat="1" ht="20.100000000000001" customHeight="1" thickBot="1">
      <c r="A574" s="1923">
        <v>26</v>
      </c>
      <c r="B574" s="1580">
        <v>1</v>
      </c>
      <c r="C574" s="1458" t="s">
        <v>14205</v>
      </c>
      <c r="D574" s="1699">
        <v>593</v>
      </c>
      <c r="E574" s="1700"/>
      <c r="F574" s="1700">
        <v>593</v>
      </c>
    </row>
    <row r="575" spans="1:6" customFormat="1" ht="14.45" customHeight="1">
      <c r="A575" s="852" t="s">
        <v>3207</v>
      </c>
      <c r="B575" s="1559"/>
      <c r="C575" s="1570"/>
      <c r="D575" s="1706"/>
      <c r="E575" s="1707"/>
      <c r="F575" s="1707"/>
    </row>
    <row r="576" spans="1:6" customFormat="1" ht="14.45" customHeight="1">
      <c r="A576" s="856" t="s">
        <v>4059</v>
      </c>
      <c r="B576" s="1553"/>
      <c r="C576" s="1441" t="s">
        <v>3301</v>
      </c>
      <c r="D576" s="1706"/>
      <c r="E576" s="1708"/>
      <c r="F576" s="1708"/>
    </row>
    <row r="577" spans="1:6" customFormat="1" ht="14.45" customHeight="1">
      <c r="A577" s="856" t="s">
        <v>4321</v>
      </c>
      <c r="B577" s="1553">
        <v>1</v>
      </c>
      <c r="C577" s="1442" t="s">
        <v>4356</v>
      </c>
      <c r="D577" s="1706"/>
      <c r="E577" s="1708"/>
      <c r="F577" s="1708"/>
    </row>
    <row r="578" spans="1:6" customFormat="1" ht="14.45" customHeight="1">
      <c r="A578" s="856"/>
      <c r="B578" s="1435"/>
      <c r="C578" s="1442" t="s">
        <v>729</v>
      </c>
      <c r="D578" s="1701"/>
      <c r="E578" s="1703"/>
      <c r="F578" s="1703"/>
    </row>
    <row r="579" spans="1:6" customFormat="1" ht="14.45" customHeight="1">
      <c r="A579" s="856"/>
      <c r="B579" s="1562"/>
      <c r="C579" s="1571" t="s">
        <v>3535</v>
      </c>
      <c r="D579" s="1706"/>
      <c r="E579" s="1708"/>
      <c r="F579" s="1708"/>
    </row>
    <row r="580" spans="1:6" customFormat="1" ht="14.45" customHeight="1">
      <c r="A580" s="856" t="s">
        <v>3725</v>
      </c>
      <c r="B580" s="1553">
        <v>6</v>
      </c>
      <c r="C580" s="1442" t="s">
        <v>4347</v>
      </c>
      <c r="D580" s="1706"/>
      <c r="E580" s="1707"/>
      <c r="F580" s="1707"/>
    </row>
    <row r="581" spans="1:6" customFormat="1" ht="14.45" customHeight="1">
      <c r="A581" s="856" t="s">
        <v>3726</v>
      </c>
      <c r="B581" s="1553">
        <v>2</v>
      </c>
      <c r="C581" s="1572" t="s">
        <v>3068</v>
      </c>
      <c r="D581" s="1706"/>
      <c r="E581" s="1708"/>
      <c r="F581" s="1708"/>
    </row>
    <row r="582" spans="1:6" customFormat="1" ht="14.45" customHeight="1">
      <c r="A582" s="856"/>
      <c r="B582" s="1435"/>
      <c r="C582" s="1442" t="s">
        <v>729</v>
      </c>
      <c r="D582" s="1701"/>
      <c r="E582" s="1703"/>
      <c r="F582" s="1703"/>
    </row>
    <row r="583" spans="1:6" customFormat="1" ht="14.45" customHeight="1">
      <c r="A583" s="1873"/>
      <c r="B583" s="1435">
        <v>1</v>
      </c>
      <c r="C583" s="1439" t="s">
        <v>316</v>
      </c>
      <c r="D583" s="1709"/>
      <c r="E583" s="1710"/>
      <c r="F583" s="1710"/>
    </row>
    <row r="584" spans="1:6" customFormat="1" ht="14.45" customHeight="1">
      <c r="A584" s="856"/>
      <c r="B584" s="1435"/>
      <c r="C584" s="1442" t="s">
        <v>729</v>
      </c>
      <c r="D584" s="1701"/>
      <c r="E584" s="1703"/>
      <c r="F584" s="1703"/>
    </row>
    <row r="585" spans="1:6" customFormat="1" ht="14.45" customHeight="1" thickBot="1">
      <c r="A585" s="2331"/>
      <c r="B585" s="1986"/>
      <c r="C585" s="1984"/>
      <c r="D585" s="2559"/>
      <c r="E585" s="2549"/>
      <c r="F585" s="2549"/>
    </row>
    <row r="586" spans="1:6" s="64" customFormat="1" ht="20.100000000000001" customHeight="1" thickBot="1">
      <c r="A586" s="1923">
        <v>27</v>
      </c>
      <c r="B586" s="1580">
        <v>1</v>
      </c>
      <c r="C586" s="1458" t="s">
        <v>14207</v>
      </c>
      <c r="D586" s="1699">
        <v>1511</v>
      </c>
      <c r="E586" s="1700"/>
      <c r="F586" s="1700">
        <v>1511</v>
      </c>
    </row>
    <row r="587" spans="1:6" customFormat="1" ht="14.45" customHeight="1">
      <c r="A587" s="852" t="s">
        <v>3207</v>
      </c>
      <c r="B587" s="1559"/>
      <c r="C587" s="1570"/>
      <c r="D587" s="1706"/>
      <c r="E587" s="1707"/>
      <c r="F587" s="1707"/>
    </row>
    <row r="588" spans="1:6" customFormat="1" ht="14.45" customHeight="1">
      <c r="A588" s="856" t="s">
        <v>9504</v>
      </c>
      <c r="B588" s="1553"/>
      <c r="C588" s="1441" t="s">
        <v>3301</v>
      </c>
      <c r="D588" s="1706"/>
      <c r="E588" s="1708"/>
      <c r="F588" s="1708"/>
    </row>
    <row r="589" spans="1:6" customFormat="1" ht="14.45" customHeight="1">
      <c r="A589" s="856" t="s">
        <v>4321</v>
      </c>
      <c r="B589" s="1553">
        <v>1</v>
      </c>
      <c r="C589" s="1442" t="s">
        <v>4514</v>
      </c>
      <c r="D589" s="1706"/>
      <c r="E589" s="1708"/>
      <c r="F589" s="1708"/>
    </row>
    <row r="590" spans="1:6" customFormat="1" ht="14.45" customHeight="1">
      <c r="A590" s="856"/>
      <c r="B590" s="1435"/>
      <c r="C590" s="1442" t="s">
        <v>729</v>
      </c>
      <c r="D590" s="1701"/>
      <c r="E590" s="1703"/>
      <c r="F590" s="1703"/>
    </row>
    <row r="591" spans="1:6" customFormat="1" ht="14.45" customHeight="1">
      <c r="A591" s="856"/>
      <c r="B591" s="1562"/>
      <c r="C591" s="1571" t="s">
        <v>3535</v>
      </c>
      <c r="D591" s="1706"/>
      <c r="E591" s="1708"/>
      <c r="F591" s="1708"/>
    </row>
    <row r="592" spans="1:6" customFormat="1" ht="14.45" customHeight="1">
      <c r="A592" s="856"/>
      <c r="B592" s="1553">
        <v>1</v>
      </c>
      <c r="C592" s="1442" t="s">
        <v>4512</v>
      </c>
      <c r="D592" s="1706"/>
      <c r="E592" s="1708"/>
      <c r="F592" s="1708"/>
    </row>
    <row r="593" spans="1:6" customFormat="1" ht="14.45" customHeight="1">
      <c r="A593" s="856" t="s">
        <v>3725</v>
      </c>
      <c r="B593" s="1553">
        <v>3</v>
      </c>
      <c r="C593" s="1442" t="s">
        <v>4347</v>
      </c>
      <c r="D593" s="1706"/>
      <c r="E593" s="1707"/>
      <c r="F593" s="1707"/>
    </row>
    <row r="594" spans="1:6" customFormat="1" ht="14.45" customHeight="1">
      <c r="A594" s="856" t="s">
        <v>3726</v>
      </c>
      <c r="B594" s="1553">
        <v>3</v>
      </c>
      <c r="C594" s="1442" t="s">
        <v>2029</v>
      </c>
      <c r="D594" s="1706"/>
      <c r="E594" s="1707"/>
      <c r="F594" s="1707"/>
    </row>
    <row r="595" spans="1:6" customFormat="1" ht="14.45" customHeight="1">
      <c r="A595" s="856"/>
      <c r="B595" s="1553">
        <v>2</v>
      </c>
      <c r="C595" s="1572" t="s">
        <v>3070</v>
      </c>
      <c r="D595" s="1706"/>
      <c r="E595" s="1708"/>
      <c r="F595" s="1708"/>
    </row>
    <row r="596" spans="1:6" customFormat="1" ht="14.45" customHeight="1">
      <c r="A596" s="856" t="s">
        <v>14209</v>
      </c>
      <c r="B596" s="1435"/>
      <c r="C596" s="1442" t="s">
        <v>729</v>
      </c>
      <c r="D596" s="1701"/>
      <c r="E596" s="1703"/>
      <c r="F596" s="1703"/>
    </row>
    <row r="597" spans="1:6" customFormat="1" ht="14.45" customHeight="1">
      <c r="A597" s="1446"/>
      <c r="B597" s="1435"/>
      <c r="C597" s="1442" t="s">
        <v>729</v>
      </c>
      <c r="D597" s="1701"/>
      <c r="E597" s="1703"/>
      <c r="F597" s="1703"/>
    </row>
    <row r="598" spans="1:6" customFormat="1" ht="14.45" customHeight="1">
      <c r="A598" s="864"/>
      <c r="B598" s="1435">
        <v>1</v>
      </c>
      <c r="C598" s="1439" t="s">
        <v>316</v>
      </c>
      <c r="D598" s="1709"/>
      <c r="E598" s="1710"/>
      <c r="F598" s="1710"/>
    </row>
    <row r="599" spans="1:6" customFormat="1" ht="14.45" customHeight="1">
      <c r="A599" s="856"/>
      <c r="B599" s="1435"/>
      <c r="C599" s="1442" t="s">
        <v>729</v>
      </c>
      <c r="D599" s="1701"/>
      <c r="E599" s="1703"/>
      <c r="F599" s="1703"/>
    </row>
    <row r="600" spans="1:6" customFormat="1" ht="14.45" customHeight="1" thickBot="1">
      <c r="A600" s="2331"/>
      <c r="B600" s="1986"/>
      <c r="C600" s="1984"/>
      <c r="D600" s="2559"/>
      <c r="E600" s="2549"/>
      <c r="F600" s="2549"/>
    </row>
    <row r="601" spans="1:6" s="64" customFormat="1" ht="20.100000000000001" customHeight="1" thickBot="1">
      <c r="A601" s="1923">
        <v>28</v>
      </c>
      <c r="B601" s="1580">
        <v>1</v>
      </c>
      <c r="C601" s="1458" t="s">
        <v>14214</v>
      </c>
      <c r="D601" s="1699">
        <v>1498</v>
      </c>
      <c r="E601" s="1700"/>
      <c r="F601" s="1700">
        <v>1498</v>
      </c>
    </row>
    <row r="602" spans="1:6" customFormat="1" ht="14.45" customHeight="1">
      <c r="A602" s="852" t="s">
        <v>3207</v>
      </c>
      <c r="B602" s="1559"/>
      <c r="C602" s="1570"/>
      <c r="D602" s="1706"/>
      <c r="E602" s="1707"/>
      <c r="F602" s="1707"/>
    </row>
    <row r="603" spans="1:6" customFormat="1" ht="14.45" customHeight="1">
      <c r="A603" s="856" t="s">
        <v>9504</v>
      </c>
      <c r="B603" s="1553"/>
      <c r="C603" s="1441" t="s">
        <v>3301</v>
      </c>
      <c r="D603" s="1706"/>
      <c r="E603" s="1708"/>
      <c r="F603" s="1708"/>
    </row>
    <row r="604" spans="1:6" customFormat="1" ht="14.45" customHeight="1">
      <c r="A604" s="856" t="s">
        <v>4321</v>
      </c>
      <c r="B604" s="1553">
        <v>1</v>
      </c>
      <c r="C604" s="1442" t="s">
        <v>4514</v>
      </c>
      <c r="D604" s="1706"/>
      <c r="E604" s="1708"/>
      <c r="F604" s="1708"/>
    </row>
    <row r="605" spans="1:6" customFormat="1" ht="14.45" customHeight="1">
      <c r="A605" s="856"/>
      <c r="B605" s="1435"/>
      <c r="C605" s="1442" t="s">
        <v>729</v>
      </c>
      <c r="D605" s="1701"/>
      <c r="E605" s="1703"/>
      <c r="F605" s="1703"/>
    </row>
    <row r="606" spans="1:6" customFormat="1" ht="14.45" customHeight="1">
      <c r="A606" s="856"/>
      <c r="B606" s="1562"/>
      <c r="C606" s="1571" t="s">
        <v>3535</v>
      </c>
      <c r="D606" s="1706"/>
      <c r="E606" s="1708"/>
      <c r="F606" s="1708"/>
    </row>
    <row r="607" spans="1:6" customFormat="1" ht="14.45" customHeight="1">
      <c r="A607" s="856"/>
      <c r="B607" s="1553">
        <v>1</v>
      </c>
      <c r="C607" s="1442" t="s">
        <v>4512</v>
      </c>
      <c r="D607" s="1706"/>
      <c r="E607" s="1708"/>
      <c r="F607" s="1708"/>
    </row>
    <row r="608" spans="1:6" customFormat="1" ht="14.45" customHeight="1">
      <c r="A608" s="856" t="s">
        <v>3725</v>
      </c>
      <c r="B608" s="1553">
        <v>3</v>
      </c>
      <c r="C608" s="1442" t="s">
        <v>4347</v>
      </c>
      <c r="D608" s="1706"/>
      <c r="E608" s="1707"/>
      <c r="F608" s="1707"/>
    </row>
    <row r="609" spans="1:6" customFormat="1" ht="14.45" customHeight="1">
      <c r="A609" s="856" t="s">
        <v>3726</v>
      </c>
      <c r="B609" s="1553">
        <v>3</v>
      </c>
      <c r="C609" s="1442" t="s">
        <v>2029</v>
      </c>
      <c r="D609" s="1706"/>
      <c r="E609" s="1707"/>
      <c r="F609" s="1707"/>
    </row>
    <row r="610" spans="1:6" customFormat="1" ht="14.45" customHeight="1">
      <c r="A610" s="856"/>
      <c r="B610" s="1553">
        <v>2</v>
      </c>
      <c r="C610" s="1572" t="s">
        <v>3070</v>
      </c>
      <c r="D610" s="1706"/>
      <c r="E610" s="1708"/>
      <c r="F610" s="1708"/>
    </row>
    <row r="611" spans="1:6" customFormat="1" ht="14.45" customHeight="1">
      <c r="A611" s="856" t="s">
        <v>14209</v>
      </c>
      <c r="B611" s="1435"/>
      <c r="C611" s="1442" t="s">
        <v>729</v>
      </c>
      <c r="D611" s="1701"/>
      <c r="E611" s="1703"/>
      <c r="F611" s="1703"/>
    </row>
    <row r="612" spans="1:6" customFormat="1" ht="14.45" customHeight="1">
      <c r="A612" s="856" t="s">
        <v>14210</v>
      </c>
      <c r="B612" s="1435">
        <v>1</v>
      </c>
      <c r="C612" s="1439" t="s">
        <v>316</v>
      </c>
      <c r="D612" s="1709"/>
      <c r="E612" s="1710"/>
      <c r="F612" s="1710"/>
    </row>
    <row r="613" spans="1:6" customFormat="1" ht="14.45" customHeight="1">
      <c r="A613" s="1446"/>
      <c r="B613" s="1435"/>
      <c r="C613" s="1442" t="s">
        <v>729</v>
      </c>
      <c r="D613" s="1701"/>
      <c r="E613" s="1703"/>
      <c r="F613" s="1703"/>
    </row>
    <row r="614" spans="1:6" customFormat="1" ht="14.45" customHeight="1" thickBot="1">
      <c r="A614" s="2331"/>
      <c r="B614" s="1986"/>
      <c r="C614" s="1984"/>
      <c r="D614" s="2559"/>
      <c r="E614" s="2549"/>
      <c r="F614" s="2549"/>
    </row>
    <row r="615" spans="1:6" s="64" customFormat="1" ht="20.100000000000001" customHeight="1" thickBot="1">
      <c r="A615" s="1923">
        <v>29</v>
      </c>
      <c r="B615" s="1580">
        <v>1</v>
      </c>
      <c r="C615" s="1458" t="s">
        <v>14215</v>
      </c>
      <c r="D615" s="1699">
        <v>1491</v>
      </c>
      <c r="E615" s="1700"/>
      <c r="F615" s="1700">
        <v>1491</v>
      </c>
    </row>
    <row r="616" spans="1:6" customFormat="1" ht="14.45" customHeight="1">
      <c r="A616" s="852" t="s">
        <v>3207</v>
      </c>
      <c r="B616" s="1559"/>
      <c r="C616" s="1570"/>
      <c r="D616" s="1706"/>
      <c r="E616" s="1707"/>
      <c r="F616" s="1707"/>
    </row>
    <row r="617" spans="1:6" customFormat="1" ht="14.45" customHeight="1">
      <c r="A617" s="856" t="s">
        <v>4059</v>
      </c>
      <c r="B617" s="1553"/>
      <c r="C617" s="1441" t="s">
        <v>3301</v>
      </c>
      <c r="D617" s="1706"/>
      <c r="E617" s="1708"/>
      <c r="F617" s="1708"/>
    </row>
    <row r="618" spans="1:6" customFormat="1" ht="25.5">
      <c r="A618" s="856" t="s">
        <v>4321</v>
      </c>
      <c r="B618" s="1553">
        <v>1</v>
      </c>
      <c r="C618" s="1444" t="s">
        <v>6675</v>
      </c>
      <c r="D618" s="1706"/>
      <c r="E618" s="1708"/>
      <c r="F618" s="1708"/>
    </row>
    <row r="619" spans="1:6" customFormat="1" ht="14.45" customHeight="1">
      <c r="A619" s="856"/>
      <c r="B619" s="1435"/>
      <c r="C619" s="1442" t="s">
        <v>729</v>
      </c>
      <c r="D619" s="1701"/>
      <c r="E619" s="1703"/>
      <c r="F619" s="1703"/>
    </row>
    <row r="620" spans="1:6" customFormat="1" ht="14.45" customHeight="1">
      <c r="A620" s="856" t="s">
        <v>3725</v>
      </c>
      <c r="B620" s="1562"/>
      <c r="C620" s="1571" t="s">
        <v>3535</v>
      </c>
      <c r="D620" s="1706"/>
      <c r="E620" s="1708"/>
      <c r="F620" s="1708"/>
    </row>
    <row r="621" spans="1:6" customFormat="1" ht="14.45" customHeight="1">
      <c r="A621" s="856" t="s">
        <v>3726</v>
      </c>
      <c r="B621" s="1553">
        <v>1</v>
      </c>
      <c r="C621" s="1442" t="s">
        <v>4512</v>
      </c>
      <c r="D621" s="1706"/>
      <c r="E621" s="1708"/>
      <c r="F621" s="1708"/>
    </row>
    <row r="622" spans="1:6" customFormat="1" ht="14.45" customHeight="1">
      <c r="A622" s="856"/>
      <c r="B622" s="1553">
        <v>7</v>
      </c>
      <c r="C622" s="1442" t="s">
        <v>4347</v>
      </c>
      <c r="D622" s="1706"/>
      <c r="E622" s="1707"/>
      <c r="F622" s="1707"/>
    </row>
    <row r="623" spans="1:6" customFormat="1" ht="14.45" customHeight="1">
      <c r="A623" s="856"/>
      <c r="B623" s="1553">
        <v>2</v>
      </c>
      <c r="C623" s="1572" t="s">
        <v>3068</v>
      </c>
      <c r="D623" s="1706"/>
      <c r="E623" s="1708"/>
      <c r="F623" s="1708"/>
    </row>
    <row r="624" spans="1:6" customFormat="1" ht="14.45" customHeight="1">
      <c r="A624" s="856"/>
      <c r="B624" s="1435"/>
      <c r="C624" s="1442" t="s">
        <v>729</v>
      </c>
      <c r="D624" s="1701"/>
      <c r="E624" s="1703"/>
      <c r="F624" s="1703"/>
    </row>
    <row r="625" spans="1:6" customFormat="1" ht="14.45" customHeight="1">
      <c r="A625" s="865"/>
      <c r="B625" s="1435">
        <v>1</v>
      </c>
      <c r="C625" s="1439" t="s">
        <v>316</v>
      </c>
      <c r="D625" s="1709"/>
      <c r="E625" s="1710"/>
      <c r="F625" s="1710"/>
    </row>
    <row r="626" spans="1:6" customFormat="1" ht="14.45" customHeight="1">
      <c r="A626" s="856"/>
      <c r="B626" s="1435"/>
      <c r="C626" s="1442" t="s">
        <v>729</v>
      </c>
      <c r="D626" s="1701"/>
      <c r="E626" s="1703"/>
      <c r="F626" s="1703"/>
    </row>
    <row r="627" spans="1:6" customFormat="1" ht="14.45" customHeight="1" thickBot="1">
      <c r="A627" s="2331"/>
      <c r="B627" s="1986"/>
      <c r="C627" s="1984"/>
      <c r="D627" s="2559"/>
      <c r="E627" s="2549"/>
      <c r="F627" s="2549"/>
    </row>
    <row r="628" spans="1:6" s="64" customFormat="1" ht="20.100000000000001" customHeight="1" thickBot="1">
      <c r="A628" s="1923">
        <v>30</v>
      </c>
      <c r="B628" s="1580">
        <v>1</v>
      </c>
      <c r="C628" s="1458" t="s">
        <v>14218</v>
      </c>
      <c r="D628" s="1699">
        <v>380</v>
      </c>
      <c r="E628" s="1700"/>
      <c r="F628" s="1700">
        <v>380</v>
      </c>
    </row>
    <row r="629" spans="1:6" customFormat="1" ht="14.45" customHeight="1">
      <c r="A629" s="852" t="s">
        <v>9502</v>
      </c>
      <c r="B629" s="1559"/>
      <c r="C629" s="1570"/>
      <c r="D629" s="1706"/>
      <c r="E629" s="1707"/>
      <c r="F629" s="1707"/>
    </row>
    <row r="630" spans="1:6" customFormat="1" ht="14.45" customHeight="1">
      <c r="A630" s="856" t="s">
        <v>9503</v>
      </c>
      <c r="B630" s="1553"/>
      <c r="C630" s="1441" t="s">
        <v>3301</v>
      </c>
      <c r="D630" s="1706"/>
      <c r="E630" s="1708"/>
      <c r="F630" s="1708"/>
    </row>
    <row r="631" spans="1:6" customFormat="1" ht="14.45" customHeight="1">
      <c r="A631" s="856" t="s">
        <v>4321</v>
      </c>
      <c r="B631" s="1553">
        <v>1</v>
      </c>
      <c r="C631" s="1442" t="s">
        <v>4349</v>
      </c>
      <c r="D631" s="1706"/>
      <c r="E631" s="1708"/>
      <c r="F631" s="1708"/>
    </row>
    <row r="632" spans="1:6" customFormat="1" ht="14.45" customHeight="1">
      <c r="A632" s="856"/>
      <c r="B632" s="1435"/>
      <c r="C632" s="1442" t="s">
        <v>729</v>
      </c>
      <c r="D632" s="1701"/>
      <c r="E632" s="1703"/>
      <c r="F632" s="1703"/>
    </row>
    <row r="633" spans="1:6" customFormat="1" ht="14.45" customHeight="1">
      <c r="A633" s="856" t="s">
        <v>3725</v>
      </c>
      <c r="B633" s="1562"/>
      <c r="C633" s="1571" t="s">
        <v>3535</v>
      </c>
      <c r="D633" s="1706"/>
      <c r="E633" s="1708"/>
      <c r="F633" s="1708"/>
    </row>
    <row r="634" spans="1:6" customFormat="1" ht="14.45" customHeight="1">
      <c r="A634" s="856" t="s">
        <v>3726</v>
      </c>
      <c r="B634" s="1553">
        <v>2</v>
      </c>
      <c r="C634" s="1442" t="s">
        <v>4347</v>
      </c>
      <c r="D634" s="1706"/>
      <c r="E634" s="1708"/>
      <c r="F634" s="1708"/>
    </row>
    <row r="635" spans="1:6" customFormat="1" ht="14.45" customHeight="1">
      <c r="A635" s="856"/>
      <c r="B635" s="1553">
        <v>2</v>
      </c>
      <c r="C635" s="1442" t="s">
        <v>2029</v>
      </c>
      <c r="D635" s="1706"/>
      <c r="E635" s="1707"/>
      <c r="F635" s="1707"/>
    </row>
    <row r="636" spans="1:6" customFormat="1" ht="14.45" customHeight="1">
      <c r="A636" s="856"/>
      <c r="B636" s="1553">
        <v>1</v>
      </c>
      <c r="C636" s="1572" t="s">
        <v>3070</v>
      </c>
      <c r="D636" s="1706"/>
      <c r="E636" s="1708"/>
      <c r="F636" s="1708"/>
    </row>
    <row r="637" spans="1:6" customFormat="1" ht="14.45" customHeight="1">
      <c r="A637" s="856"/>
      <c r="B637" s="1435"/>
      <c r="C637" s="1442" t="s">
        <v>729</v>
      </c>
      <c r="D637" s="1701"/>
      <c r="E637" s="1703"/>
      <c r="F637" s="1703"/>
    </row>
    <row r="638" spans="1:6" customFormat="1" ht="14.45" customHeight="1">
      <c r="A638" s="865"/>
      <c r="B638" s="1435">
        <v>1</v>
      </c>
      <c r="C638" s="1439" t="s">
        <v>316</v>
      </c>
      <c r="D638" s="1709"/>
      <c r="E638" s="1710"/>
      <c r="F638" s="1710"/>
    </row>
    <row r="639" spans="1:6" customFormat="1" ht="14.45" customHeight="1">
      <c r="A639" s="856"/>
      <c r="B639" s="1435"/>
      <c r="C639" s="1442" t="s">
        <v>729</v>
      </c>
      <c r="D639" s="1701"/>
      <c r="E639" s="1703"/>
      <c r="F639" s="1703"/>
    </row>
    <row r="640" spans="1:6" customFormat="1" ht="14.45" customHeight="1" thickBot="1">
      <c r="A640" s="2331"/>
      <c r="B640" s="1986"/>
      <c r="C640" s="1984"/>
      <c r="D640" s="2559"/>
      <c r="E640" s="2549"/>
      <c r="F640" s="2549"/>
    </row>
    <row r="641" spans="1:1211" ht="21.95" customHeight="1">
      <c r="A641" s="1295"/>
      <c r="B641" s="1296"/>
      <c r="C641" s="1297"/>
      <c r="D641" s="1298"/>
      <c r="E641" s="1298" t="s">
        <v>4099</v>
      </c>
      <c r="F641" s="2410">
        <f>SUM(F11:F640)</f>
        <v>138742</v>
      </c>
    </row>
    <row r="642" spans="1:1211" ht="21.95" customHeight="1" thickBot="1">
      <c r="A642" s="1331"/>
      <c r="B642" s="1331"/>
      <c r="C642" s="1331"/>
      <c r="D642" s="1368" t="s">
        <v>4101</v>
      </c>
      <c r="E642" s="1370">
        <v>0.18</v>
      </c>
      <c r="F642" s="2411">
        <f>+F641*E642</f>
        <v>24973.559999999998</v>
      </c>
    </row>
    <row r="643" spans="1:1211" ht="18" customHeight="1">
      <c r="A643" s="2759" t="s">
        <v>4100</v>
      </c>
      <c r="B643" s="2760"/>
      <c r="C643" s="2761"/>
      <c r="D643" s="2765" t="s">
        <v>14297</v>
      </c>
      <c r="E643" s="2766"/>
      <c r="F643" s="2756">
        <f>+F641+F642</f>
        <v>163715.56</v>
      </c>
    </row>
    <row r="644" spans="1:1211" ht="13.5" customHeight="1" thickBot="1">
      <c r="A644" s="2762"/>
      <c r="B644" s="2763"/>
      <c r="C644" s="2764"/>
      <c r="D644" s="2767"/>
      <c r="E644" s="2768"/>
      <c r="F644" s="2757"/>
    </row>
    <row r="645" spans="1:1211" ht="12" customHeight="1">
      <c r="A645" s="1313"/>
      <c r="B645" s="1497"/>
      <c r="C645" s="193"/>
      <c r="D645" s="1315"/>
      <c r="E645" s="1315"/>
      <c r="F645" s="1712"/>
    </row>
    <row r="646" spans="1:1211" ht="14.1" customHeight="1">
      <c r="A646" s="1091"/>
      <c r="B646" s="761"/>
      <c r="C646" s="762"/>
      <c r="D646" s="1315"/>
      <c r="E646" s="1315"/>
      <c r="F646" s="1712"/>
    </row>
    <row r="647" spans="1:1211" ht="14.1" customHeight="1">
      <c r="A647" s="1091"/>
      <c r="B647" s="761"/>
      <c r="C647" s="762"/>
      <c r="D647" s="1315"/>
      <c r="E647" s="1315"/>
      <c r="F647" s="1315"/>
    </row>
    <row r="648" spans="1:1211" ht="14.1" customHeight="1">
      <c r="A648" s="1091"/>
      <c r="B648" s="761"/>
      <c r="C648" s="762"/>
      <c r="D648" s="1315"/>
      <c r="E648" s="1315"/>
      <c r="F648" s="1315"/>
    </row>
    <row r="649" spans="1:1211" ht="14.1" customHeight="1">
      <c r="A649" s="1091"/>
      <c r="B649" s="761"/>
      <c r="C649" s="762"/>
      <c r="D649" s="1315"/>
      <c r="E649" s="1315"/>
      <c r="F649" s="1315"/>
    </row>
    <row r="650" spans="1:1211" s="171" customFormat="1">
      <c r="A650" s="434" t="s">
        <v>742</v>
      </c>
      <c r="B650" s="434"/>
      <c r="C650" s="193"/>
      <c r="D650" s="126"/>
      <c r="E650" s="876"/>
      <c r="F650" s="879"/>
      <c r="G650" s="877"/>
      <c r="H650" s="877"/>
      <c r="I650" s="877"/>
      <c r="J650" s="875"/>
      <c r="K650" s="1094"/>
      <c r="L650" s="412"/>
      <c r="M650" s="1094"/>
      <c r="N650" s="890" t="str">
        <f t="shared" ref="N650:N658" si="0">IF(O650&lt;&gt;"",K650*L650*M650,"")</f>
        <v/>
      </c>
      <c r="O650" s="344" t="str">
        <f t="shared" ref="O650:O658" si="1">IF(D650&lt;&gt;"",IF(VLOOKUP(D650,base_datos,7,FALSE)&lt;&gt;"",VLOOKUP(D650,base_datos,7,FALSE),""),"")</f>
        <v/>
      </c>
      <c r="P650" s="344" t="str">
        <f t="shared" ref="P650:P658" si="2">IF(O650&lt;&gt;"",VLOOKUP(D650,base_datos,6,FALSE),"")</f>
        <v/>
      </c>
      <c r="Q650" s="195" t="str">
        <f t="shared" ref="Q650:Q658" si="3">IF(O650&lt;&gt;"",D650,"")</f>
        <v/>
      </c>
      <c r="R650" s="195"/>
      <c r="S650" s="126"/>
      <c r="T650" s="126"/>
      <c r="U650" s="126"/>
      <c r="V650" s="126"/>
      <c r="W650" s="126"/>
      <c r="X650" s="126"/>
      <c r="Y650" s="126"/>
      <c r="Z650" s="126"/>
      <c r="AA650" s="126"/>
      <c r="AB650" s="126"/>
      <c r="AC650" s="126"/>
      <c r="AD650" s="126"/>
      <c r="AE650" s="126"/>
      <c r="AF650" s="126"/>
      <c r="AG650" s="126"/>
      <c r="AH650" s="126"/>
      <c r="AI650" s="126"/>
      <c r="AJ650" s="126"/>
      <c r="AK650" s="126"/>
      <c r="AL650" s="126"/>
      <c r="AM650" s="126"/>
      <c r="AN650" s="126"/>
      <c r="AO650" s="126"/>
      <c r="AP650" s="126"/>
      <c r="AQ650" s="126"/>
      <c r="AR650" s="126"/>
      <c r="AS650" s="126"/>
      <c r="AT650" s="126"/>
      <c r="AU650" s="126"/>
      <c r="AV650" s="126"/>
      <c r="AW650" s="126"/>
      <c r="AX650" s="126"/>
      <c r="AY650" s="126"/>
      <c r="AZ650" s="126"/>
      <c r="BA650" s="126"/>
      <c r="BB650" s="126"/>
      <c r="BC650" s="126"/>
      <c r="BD650" s="126"/>
      <c r="BE650" s="126"/>
      <c r="BF650" s="126"/>
      <c r="BG650" s="126"/>
      <c r="BH650" s="126"/>
      <c r="BI650" s="126"/>
      <c r="BJ650" s="126"/>
      <c r="BK650" s="126"/>
      <c r="BL650" s="126"/>
      <c r="BM650" s="126"/>
      <c r="BN650" s="126"/>
      <c r="BO650" s="126"/>
      <c r="BP650" s="126"/>
      <c r="BQ650" s="126"/>
      <c r="BR650" s="126"/>
      <c r="BS650" s="126"/>
      <c r="BT650" s="126"/>
      <c r="BU650" s="126"/>
      <c r="BV650" s="126"/>
      <c r="BW650" s="126"/>
      <c r="BX650" s="126"/>
      <c r="BY650" s="126"/>
      <c r="BZ650" s="126"/>
      <c r="CA650" s="126"/>
      <c r="CB650" s="126"/>
      <c r="CC650" s="126"/>
      <c r="CD650" s="126"/>
      <c r="CE650" s="126"/>
      <c r="CF650" s="126"/>
      <c r="CG650" s="126"/>
      <c r="CH650" s="126"/>
      <c r="CI650" s="126"/>
      <c r="CJ650" s="126"/>
      <c r="CK650" s="126"/>
      <c r="CL650" s="126"/>
      <c r="CM650" s="126"/>
      <c r="CN650" s="126"/>
      <c r="CO650" s="126"/>
      <c r="CP650" s="126"/>
      <c r="CQ650" s="126"/>
      <c r="CR650" s="126"/>
      <c r="CS650" s="126"/>
      <c r="CT650" s="126"/>
      <c r="CU650" s="126"/>
      <c r="CV650" s="126"/>
      <c r="CW650" s="126"/>
      <c r="CX650" s="126"/>
      <c r="CY650" s="126"/>
      <c r="CZ650" s="126"/>
      <c r="DA650" s="126"/>
      <c r="DB650" s="126"/>
      <c r="DC650" s="126"/>
      <c r="DD650" s="126"/>
      <c r="DE650" s="126"/>
      <c r="DF650" s="126"/>
      <c r="DG650" s="126"/>
      <c r="DH650" s="126"/>
      <c r="DI650" s="126"/>
      <c r="DJ650" s="126"/>
      <c r="DK650" s="126"/>
      <c r="DL650" s="126"/>
      <c r="DM650" s="126"/>
      <c r="DN650" s="126"/>
      <c r="DO650" s="126"/>
      <c r="DP650" s="126"/>
      <c r="DQ650" s="126"/>
      <c r="DR650" s="126"/>
      <c r="DS650" s="126"/>
      <c r="DT650" s="126"/>
      <c r="DU650" s="126"/>
      <c r="DV650" s="126"/>
      <c r="DW650" s="126"/>
      <c r="DX650" s="126"/>
      <c r="DY650" s="126"/>
      <c r="DZ650" s="126"/>
      <c r="EA650" s="126"/>
      <c r="EB650" s="126"/>
      <c r="EC650" s="126"/>
      <c r="ED650" s="126"/>
      <c r="EE650" s="126"/>
      <c r="EF650" s="126"/>
      <c r="EG650" s="126"/>
      <c r="EH650" s="126"/>
      <c r="EI650" s="126"/>
      <c r="EJ650" s="126"/>
      <c r="EK650" s="126"/>
      <c r="EL650" s="126"/>
      <c r="EM650" s="126"/>
      <c r="EN650" s="126"/>
      <c r="EO650" s="126"/>
      <c r="EP650" s="126"/>
      <c r="EQ650" s="126"/>
      <c r="ER650" s="126"/>
      <c r="ES650" s="126"/>
      <c r="ET650" s="126"/>
      <c r="EU650" s="126"/>
      <c r="EV650" s="126"/>
      <c r="EW650" s="126"/>
      <c r="EX650" s="126"/>
      <c r="EY650" s="126"/>
      <c r="EZ650" s="126"/>
      <c r="FA650" s="126"/>
      <c r="FB650" s="126"/>
      <c r="FC650" s="126"/>
      <c r="FD650" s="126"/>
      <c r="FE650" s="126"/>
      <c r="FF650" s="126"/>
      <c r="FG650" s="126"/>
      <c r="FH650" s="126"/>
      <c r="FI650" s="126"/>
      <c r="FJ650" s="126"/>
      <c r="FK650" s="126"/>
      <c r="FL650" s="126"/>
      <c r="FM650" s="126"/>
      <c r="FN650" s="126"/>
      <c r="FO650" s="126"/>
      <c r="FP650" s="126"/>
      <c r="FQ650" s="126"/>
      <c r="FR650" s="126"/>
      <c r="FS650" s="126"/>
      <c r="FT650" s="126"/>
      <c r="FU650" s="126"/>
      <c r="FV650" s="126"/>
      <c r="FW650" s="126"/>
      <c r="FX650" s="126"/>
      <c r="FY650" s="126"/>
      <c r="FZ650" s="126"/>
      <c r="GA650" s="126"/>
      <c r="GB650" s="126"/>
      <c r="GC650" s="126"/>
      <c r="GD650" s="126"/>
      <c r="GE650" s="126"/>
      <c r="GF650" s="126"/>
      <c r="GG650" s="126"/>
      <c r="GH650" s="126"/>
      <c r="GI650" s="126"/>
      <c r="GJ650" s="126"/>
      <c r="GK650" s="126"/>
      <c r="GL650" s="126"/>
      <c r="GM650" s="126"/>
      <c r="GN650" s="126"/>
      <c r="GO650" s="126"/>
      <c r="GP650" s="126"/>
      <c r="GQ650" s="126"/>
      <c r="GR650" s="126"/>
      <c r="GS650" s="126"/>
      <c r="GT650" s="126"/>
      <c r="GU650" s="126"/>
      <c r="GV650" s="126"/>
      <c r="GW650" s="126"/>
      <c r="GX650" s="126"/>
      <c r="GY650" s="126"/>
      <c r="GZ650" s="126"/>
      <c r="HA650" s="126"/>
      <c r="HB650" s="126"/>
      <c r="HC650" s="126"/>
      <c r="HD650" s="126"/>
      <c r="HE650" s="126"/>
      <c r="HF650" s="126"/>
      <c r="HG650" s="126"/>
      <c r="HH650" s="126"/>
      <c r="HI650" s="126"/>
      <c r="HJ650" s="126"/>
      <c r="HK650" s="126"/>
      <c r="HL650" s="126"/>
      <c r="HM650" s="126"/>
      <c r="HN650" s="126"/>
      <c r="HO650" s="126"/>
      <c r="HP650" s="126"/>
      <c r="HQ650" s="126"/>
      <c r="HR650" s="126"/>
      <c r="HS650" s="126"/>
      <c r="HT650" s="126"/>
      <c r="HU650" s="126"/>
      <c r="HV650" s="126"/>
      <c r="HW650" s="126"/>
      <c r="HX650" s="126"/>
      <c r="HY650" s="126"/>
      <c r="HZ650" s="126"/>
      <c r="IA650" s="126"/>
      <c r="IB650" s="126"/>
      <c r="IC650" s="126"/>
      <c r="ID650" s="126"/>
      <c r="IE650" s="126"/>
      <c r="IF650" s="126"/>
      <c r="IG650" s="126"/>
      <c r="IH650" s="126"/>
      <c r="II650" s="126"/>
      <c r="IJ650" s="126"/>
      <c r="IK650" s="126"/>
      <c r="IL650" s="126"/>
      <c r="IM650" s="126"/>
      <c r="IN650" s="126"/>
      <c r="IO650" s="126"/>
      <c r="IP650" s="126"/>
      <c r="IQ650" s="126"/>
      <c r="IR650" s="126"/>
      <c r="IS650" s="126"/>
      <c r="IT650" s="126"/>
      <c r="IU650" s="126"/>
      <c r="IV650" s="126"/>
      <c r="IW650" s="126"/>
      <c r="IX650" s="126"/>
      <c r="IY650" s="126"/>
      <c r="IZ650" s="126"/>
      <c r="JA650" s="126"/>
      <c r="JB650" s="126"/>
      <c r="JC650" s="126"/>
      <c r="JD650" s="126"/>
      <c r="JE650" s="126"/>
      <c r="JF650" s="126"/>
      <c r="JG650" s="126"/>
      <c r="JH650" s="126"/>
      <c r="JI650" s="126"/>
      <c r="JJ650" s="126"/>
      <c r="JK650" s="126"/>
      <c r="JL650" s="126"/>
      <c r="JM650" s="126"/>
      <c r="JN650" s="126"/>
      <c r="JO650" s="126"/>
      <c r="JP650" s="126"/>
      <c r="JQ650" s="126"/>
      <c r="JR650" s="126"/>
      <c r="JS650" s="126"/>
      <c r="JT650" s="126"/>
      <c r="JU650" s="126"/>
      <c r="JV650" s="126"/>
      <c r="JW650" s="126"/>
      <c r="JX650" s="126"/>
      <c r="JY650" s="126"/>
      <c r="JZ650" s="126"/>
      <c r="KA650" s="126"/>
      <c r="KB650" s="126"/>
      <c r="KC650" s="126"/>
      <c r="KD650" s="126"/>
      <c r="KE650" s="126"/>
      <c r="KF650" s="126"/>
      <c r="KG650" s="126"/>
      <c r="KH650" s="126"/>
      <c r="KI650" s="126"/>
      <c r="KJ650" s="126"/>
      <c r="KK650" s="126"/>
      <c r="KL650" s="126"/>
      <c r="KM650" s="126"/>
      <c r="KN650" s="126"/>
      <c r="KO650" s="126"/>
      <c r="KP650" s="126"/>
      <c r="KQ650" s="126"/>
      <c r="KR650" s="126"/>
      <c r="KS650" s="126"/>
      <c r="KT650" s="126"/>
      <c r="KU650" s="126"/>
      <c r="KV650" s="126"/>
      <c r="KW650" s="126"/>
      <c r="KX650" s="126"/>
      <c r="KY650" s="126"/>
      <c r="KZ650" s="126"/>
      <c r="LA650" s="126"/>
      <c r="LB650" s="126"/>
      <c r="LC650" s="126"/>
      <c r="LD650" s="126"/>
      <c r="LE650" s="126"/>
      <c r="LF650" s="126"/>
      <c r="LG650" s="126"/>
      <c r="LH650" s="126"/>
      <c r="LI650" s="126"/>
      <c r="LJ650" s="126"/>
      <c r="LK650" s="126"/>
      <c r="LL650" s="126"/>
      <c r="LM650" s="126"/>
      <c r="LN650" s="126"/>
      <c r="LO650" s="126"/>
      <c r="LP650" s="126"/>
      <c r="LQ650" s="126"/>
      <c r="LR650" s="126"/>
      <c r="LS650" s="126"/>
      <c r="LT650" s="126"/>
      <c r="LU650" s="126"/>
      <c r="LV650" s="126"/>
      <c r="LW650" s="126"/>
      <c r="LX650" s="126"/>
      <c r="LY650" s="126"/>
      <c r="LZ650" s="126"/>
      <c r="MA650" s="126"/>
      <c r="MB650" s="126"/>
      <c r="MC650" s="126"/>
      <c r="MD650" s="126"/>
      <c r="ME650" s="126"/>
      <c r="MF650" s="126"/>
      <c r="MG650" s="126"/>
      <c r="MH650" s="126"/>
      <c r="MI650" s="126"/>
      <c r="MJ650" s="126"/>
      <c r="MK650" s="126"/>
      <c r="ML650" s="126"/>
      <c r="MM650" s="126"/>
      <c r="MN650" s="126"/>
      <c r="MO650" s="126"/>
      <c r="MP650" s="126"/>
      <c r="MQ650" s="126"/>
      <c r="MR650" s="126"/>
      <c r="MS650" s="126"/>
      <c r="MT650" s="126"/>
      <c r="MU650" s="126"/>
      <c r="MV650" s="126"/>
      <c r="MW650" s="126"/>
      <c r="MX650" s="126"/>
      <c r="MY650" s="126"/>
      <c r="MZ650" s="126"/>
      <c r="NA650" s="126"/>
      <c r="NB650" s="126"/>
      <c r="NC650" s="126"/>
      <c r="ND650" s="126"/>
      <c r="NE650" s="126"/>
      <c r="NF650" s="126"/>
      <c r="NG650" s="126"/>
      <c r="NH650" s="126"/>
      <c r="NI650" s="126"/>
      <c r="NJ650" s="126"/>
      <c r="NK650" s="126"/>
      <c r="NL650" s="126"/>
      <c r="NM650" s="126"/>
      <c r="NN650" s="126"/>
      <c r="NO650" s="126"/>
      <c r="NP650" s="126"/>
      <c r="NQ650" s="126"/>
      <c r="NR650" s="126"/>
      <c r="NS650" s="126"/>
      <c r="NT650" s="126"/>
      <c r="NU650" s="126"/>
      <c r="NV650" s="126"/>
      <c r="NW650" s="126"/>
      <c r="NX650" s="126"/>
      <c r="NY650" s="126"/>
      <c r="NZ650" s="126"/>
      <c r="OA650" s="126"/>
      <c r="OB650" s="126"/>
      <c r="OC650" s="126"/>
      <c r="OD650" s="126"/>
      <c r="OE650" s="126"/>
      <c r="OF650" s="126"/>
      <c r="OG650" s="126"/>
      <c r="OH650" s="126"/>
      <c r="OI650" s="126"/>
      <c r="OJ650" s="126"/>
      <c r="OK650" s="126"/>
      <c r="OL650" s="126"/>
      <c r="OM650" s="126"/>
      <c r="ON650" s="126"/>
      <c r="OO650" s="126"/>
      <c r="OP650" s="126"/>
      <c r="OQ650" s="126"/>
      <c r="OR650" s="126"/>
      <c r="OS650" s="126"/>
      <c r="OT650" s="126"/>
      <c r="OU650" s="126"/>
      <c r="OV650" s="126"/>
      <c r="OW650" s="126"/>
      <c r="OX650" s="126"/>
      <c r="OY650" s="126"/>
      <c r="OZ650" s="126"/>
      <c r="PA650" s="126"/>
      <c r="PB650" s="126"/>
      <c r="PC650" s="126"/>
      <c r="PD650" s="126"/>
      <c r="PE650" s="126"/>
      <c r="PF650" s="126"/>
      <c r="PG650" s="126"/>
      <c r="PH650" s="126"/>
      <c r="PI650" s="126"/>
      <c r="PJ650" s="126"/>
      <c r="PK650" s="126"/>
      <c r="PL650" s="126"/>
      <c r="PM650" s="126"/>
      <c r="PN650" s="126"/>
      <c r="PO650" s="126"/>
      <c r="PP650" s="126"/>
      <c r="PQ650" s="126"/>
      <c r="PR650" s="126"/>
      <c r="PS650" s="126"/>
      <c r="PT650" s="126"/>
      <c r="PU650" s="126"/>
      <c r="PV650" s="126"/>
      <c r="PW650" s="126"/>
      <c r="PX650" s="126"/>
      <c r="PY650" s="126"/>
      <c r="PZ650" s="126"/>
      <c r="QA650" s="126"/>
      <c r="QB650" s="126"/>
      <c r="QC650" s="126"/>
      <c r="QD650" s="126"/>
      <c r="QE650" s="126"/>
      <c r="QF650" s="126"/>
      <c r="QG650" s="126"/>
      <c r="QH650" s="126"/>
      <c r="QI650" s="126"/>
      <c r="QJ650" s="126"/>
      <c r="QK650" s="126"/>
      <c r="QL650" s="126"/>
      <c r="QM650" s="126"/>
      <c r="QN650" s="126"/>
      <c r="QO650" s="126"/>
      <c r="QP650" s="126"/>
      <c r="QQ650" s="126"/>
      <c r="QR650" s="126"/>
      <c r="QS650" s="126"/>
      <c r="QT650" s="126"/>
      <c r="QU650" s="126"/>
      <c r="QV650" s="126"/>
      <c r="QW650" s="126"/>
      <c r="QX650" s="126"/>
      <c r="QY650" s="126"/>
      <c r="QZ650" s="126"/>
      <c r="RA650" s="126"/>
      <c r="RB650" s="126"/>
      <c r="RC650" s="126"/>
      <c r="RD650" s="126"/>
      <c r="RE650" s="126"/>
      <c r="RF650" s="126"/>
      <c r="RG650" s="126"/>
      <c r="RH650" s="126"/>
      <c r="RI650" s="126"/>
      <c r="RJ650" s="126"/>
      <c r="RK650" s="126"/>
      <c r="RL650" s="126"/>
      <c r="RM650" s="126"/>
      <c r="RN650" s="126"/>
      <c r="RO650" s="126"/>
      <c r="RP650" s="126"/>
      <c r="RQ650" s="126"/>
      <c r="RR650" s="126"/>
      <c r="RS650" s="126"/>
      <c r="RT650" s="126"/>
      <c r="RU650" s="126"/>
      <c r="RV650" s="126"/>
      <c r="RW650" s="126"/>
      <c r="RX650" s="126"/>
      <c r="RY650" s="126"/>
      <c r="RZ650" s="126"/>
      <c r="SA650" s="126"/>
      <c r="SB650" s="126"/>
      <c r="SC650" s="126"/>
      <c r="SD650" s="126"/>
      <c r="SE650" s="126"/>
      <c r="SF650" s="126"/>
      <c r="SG650" s="126"/>
      <c r="SH650" s="126"/>
      <c r="SI650" s="126"/>
      <c r="SJ650" s="126"/>
      <c r="SK650" s="126"/>
      <c r="SL650" s="126"/>
      <c r="SM650" s="126"/>
      <c r="SN650" s="126"/>
      <c r="SO650" s="126"/>
      <c r="SP650" s="126"/>
      <c r="SQ650" s="126"/>
      <c r="SR650" s="126"/>
      <c r="SS650" s="126"/>
      <c r="ST650" s="126"/>
      <c r="SU650" s="126"/>
      <c r="SV650" s="126"/>
      <c r="SW650" s="126"/>
      <c r="SX650" s="126"/>
      <c r="SY650" s="126"/>
      <c r="SZ650" s="126"/>
      <c r="TA650" s="126"/>
      <c r="TB650" s="126"/>
      <c r="TC650" s="126"/>
      <c r="TD650" s="126"/>
      <c r="TE650" s="126"/>
      <c r="TF650" s="126"/>
      <c r="TG650" s="126"/>
      <c r="TH650" s="126"/>
      <c r="TI650" s="126"/>
      <c r="TJ650" s="126"/>
      <c r="TK650" s="126"/>
      <c r="TL650" s="126"/>
      <c r="TM650" s="126"/>
      <c r="TN650" s="126"/>
      <c r="TO650" s="126"/>
      <c r="TP650" s="126"/>
      <c r="TQ650" s="126"/>
      <c r="TR650" s="126"/>
      <c r="TS650" s="126"/>
      <c r="TT650" s="126"/>
      <c r="TU650" s="126"/>
      <c r="TV650" s="126"/>
      <c r="TW650" s="126"/>
      <c r="TX650" s="126"/>
      <c r="TY650" s="126"/>
      <c r="TZ650" s="126"/>
      <c r="UA650" s="126"/>
      <c r="UB650" s="126"/>
      <c r="UC650" s="126"/>
      <c r="UD650" s="126"/>
      <c r="UE650" s="126"/>
      <c r="UF650" s="126"/>
      <c r="UG650" s="126"/>
      <c r="UH650" s="126"/>
      <c r="UI650" s="126"/>
      <c r="UJ650" s="126"/>
      <c r="UK650" s="126"/>
      <c r="UL650" s="126"/>
      <c r="UM650" s="126"/>
      <c r="UN650" s="126"/>
      <c r="UO650" s="126"/>
      <c r="UP650" s="126"/>
      <c r="UQ650" s="126"/>
      <c r="UR650" s="126"/>
      <c r="US650" s="126"/>
      <c r="UT650" s="126"/>
      <c r="UU650" s="126"/>
      <c r="UV650" s="126"/>
      <c r="UW650" s="126"/>
      <c r="UX650" s="126"/>
      <c r="UY650" s="126"/>
      <c r="UZ650" s="126"/>
      <c r="VA650" s="126"/>
      <c r="VB650" s="126"/>
      <c r="VC650" s="126"/>
      <c r="VD650" s="126"/>
      <c r="VE650" s="126"/>
      <c r="VF650" s="126"/>
      <c r="VG650" s="126"/>
      <c r="VH650" s="126"/>
      <c r="VI650" s="126"/>
      <c r="VJ650" s="126"/>
      <c r="VK650" s="126"/>
      <c r="VL650" s="126"/>
      <c r="VM650" s="126"/>
      <c r="VN650" s="126"/>
      <c r="VO650" s="126"/>
      <c r="VP650" s="126"/>
      <c r="VQ650" s="126"/>
      <c r="VR650" s="126"/>
      <c r="VS650" s="126"/>
      <c r="VT650" s="126"/>
      <c r="VU650" s="126"/>
      <c r="VV650" s="126"/>
      <c r="VW650" s="126"/>
      <c r="VX650" s="126"/>
      <c r="VY650" s="126"/>
      <c r="VZ650" s="126"/>
      <c r="WA650" s="126"/>
      <c r="WB650" s="126"/>
      <c r="WC650" s="126"/>
      <c r="WD650" s="126"/>
      <c r="WE650" s="126"/>
      <c r="WF650" s="126"/>
      <c r="WG650" s="126"/>
      <c r="WH650" s="126"/>
      <c r="WI650" s="126"/>
      <c r="WJ650" s="126"/>
      <c r="WK650" s="126"/>
      <c r="WL650" s="126"/>
      <c r="WM650" s="126"/>
      <c r="WN650" s="126"/>
      <c r="WO650" s="126"/>
      <c r="WP650" s="126"/>
      <c r="WQ650" s="126"/>
      <c r="WR650" s="126"/>
      <c r="WS650" s="126"/>
      <c r="WT650" s="126"/>
      <c r="WU650" s="126"/>
      <c r="WV650" s="126"/>
      <c r="WW650" s="126"/>
      <c r="WX650" s="126"/>
      <c r="WY650" s="126"/>
      <c r="WZ650" s="126"/>
      <c r="XA650" s="126"/>
      <c r="XB650" s="126"/>
      <c r="XC650" s="126"/>
      <c r="XD650" s="126"/>
      <c r="XE650" s="126"/>
      <c r="XF650" s="126"/>
      <c r="XG650" s="126"/>
      <c r="XH650" s="126"/>
      <c r="XI650" s="126"/>
      <c r="XJ650" s="126"/>
      <c r="XK650" s="126"/>
      <c r="XL650" s="126"/>
      <c r="XM650" s="126"/>
      <c r="XN650" s="126"/>
      <c r="XO650" s="126"/>
      <c r="XP650" s="126"/>
      <c r="XQ650" s="126"/>
      <c r="XR650" s="126"/>
      <c r="XS650" s="126"/>
      <c r="XT650" s="126"/>
      <c r="XU650" s="126"/>
      <c r="XV650" s="126"/>
      <c r="XW650" s="126"/>
      <c r="XX650" s="126"/>
      <c r="XY650" s="126"/>
      <c r="XZ650" s="126"/>
      <c r="YA650" s="126"/>
      <c r="YB650" s="126"/>
      <c r="YC650" s="126"/>
      <c r="YD650" s="126"/>
      <c r="YE650" s="126"/>
      <c r="YF650" s="126"/>
      <c r="YG650" s="126"/>
      <c r="YH650" s="126"/>
      <c r="YI650" s="126"/>
      <c r="YJ650" s="126"/>
      <c r="YK650" s="126"/>
      <c r="YL650" s="126"/>
      <c r="YM650" s="126"/>
      <c r="YN650" s="126"/>
      <c r="YO650" s="126"/>
      <c r="YP650" s="126"/>
      <c r="YQ650" s="126"/>
      <c r="YR650" s="126"/>
      <c r="YS650" s="126"/>
      <c r="YT650" s="126"/>
      <c r="YU650" s="126"/>
      <c r="YV650" s="126"/>
      <c r="YW650" s="126"/>
      <c r="YX650" s="126"/>
      <c r="YY650" s="126"/>
      <c r="YZ650" s="126"/>
      <c r="ZA650" s="126"/>
      <c r="ZB650" s="126"/>
      <c r="ZC650" s="126"/>
      <c r="ZD650" s="126"/>
      <c r="ZE650" s="126"/>
      <c r="ZF650" s="126"/>
      <c r="ZG650" s="126"/>
      <c r="ZH650" s="126"/>
      <c r="ZI650" s="126"/>
      <c r="ZJ650" s="126"/>
      <c r="ZK650" s="126"/>
      <c r="ZL650" s="126"/>
      <c r="ZM650" s="126"/>
      <c r="ZN650" s="126"/>
      <c r="ZO650" s="126"/>
      <c r="ZP650" s="126"/>
      <c r="ZQ650" s="126"/>
      <c r="ZR650" s="126"/>
      <c r="ZS650" s="126"/>
      <c r="ZT650" s="126"/>
      <c r="ZU650" s="126"/>
      <c r="ZV650" s="126"/>
      <c r="ZW650" s="126"/>
      <c r="ZX650" s="126"/>
      <c r="ZY650" s="126"/>
      <c r="ZZ650" s="126"/>
      <c r="AAA650" s="126"/>
      <c r="AAB650" s="126"/>
      <c r="AAC650" s="126"/>
      <c r="AAD650" s="126"/>
      <c r="AAE650" s="126"/>
      <c r="AAF650" s="126"/>
      <c r="AAG650" s="126"/>
      <c r="AAH650" s="126"/>
      <c r="AAI650" s="126"/>
      <c r="AAJ650" s="126"/>
      <c r="AAK650" s="126"/>
      <c r="AAL650" s="126"/>
      <c r="AAM650" s="126"/>
      <c r="AAN650" s="126"/>
      <c r="AAO650" s="126"/>
      <c r="AAP650" s="126"/>
      <c r="AAQ650" s="126"/>
      <c r="AAR650" s="126"/>
      <c r="AAS650" s="126"/>
      <c r="AAT650" s="126"/>
      <c r="AAU650" s="126"/>
      <c r="AAV650" s="126"/>
      <c r="AAW650" s="126"/>
      <c r="AAX650" s="126"/>
      <c r="AAY650" s="126"/>
      <c r="AAZ650" s="126"/>
      <c r="ABA650" s="126"/>
      <c r="ABB650" s="126"/>
      <c r="ABC650" s="126"/>
      <c r="ABD650" s="126"/>
      <c r="ABE650" s="126"/>
      <c r="ABF650" s="126"/>
      <c r="ABG650" s="126"/>
      <c r="ABH650" s="126"/>
      <c r="ABI650" s="126"/>
      <c r="ABJ650" s="126"/>
      <c r="ABK650" s="126"/>
      <c r="ABL650" s="126"/>
      <c r="ABM650" s="126"/>
      <c r="ABN650" s="126"/>
      <c r="ABO650" s="126"/>
      <c r="ABP650" s="126"/>
      <c r="ABQ650" s="126"/>
      <c r="ABR650" s="126"/>
      <c r="ABS650" s="126"/>
      <c r="ABT650" s="126"/>
      <c r="ABU650" s="126"/>
      <c r="ABV650" s="126"/>
      <c r="ABW650" s="126"/>
      <c r="ABX650" s="126"/>
      <c r="ABY650" s="126"/>
      <c r="ABZ650" s="126"/>
      <c r="ACA650" s="126"/>
      <c r="ACB650" s="126"/>
      <c r="ACC650" s="126"/>
      <c r="ACD650" s="126"/>
      <c r="ACE650" s="126"/>
      <c r="ACF650" s="126"/>
      <c r="ACG650" s="126"/>
      <c r="ACH650" s="126"/>
      <c r="ACI650" s="126"/>
      <c r="ACJ650" s="126"/>
      <c r="ACK650" s="126"/>
      <c r="ACL650" s="126"/>
      <c r="ACM650" s="126"/>
      <c r="ACN650" s="126"/>
      <c r="ACO650" s="126"/>
      <c r="ACP650" s="126"/>
      <c r="ACQ650" s="126"/>
      <c r="ACR650" s="126"/>
      <c r="ACS650" s="126"/>
      <c r="ACT650" s="126"/>
      <c r="ACU650" s="126"/>
      <c r="ACV650" s="126"/>
      <c r="ACW650" s="126"/>
      <c r="ACX650" s="126"/>
      <c r="ACY650" s="126"/>
      <c r="ACZ650" s="126"/>
      <c r="ADA650" s="126"/>
      <c r="ADB650" s="126"/>
      <c r="ADC650" s="126"/>
      <c r="ADD650" s="126"/>
      <c r="ADE650" s="126"/>
      <c r="ADF650" s="126"/>
      <c r="ADG650" s="126"/>
      <c r="ADH650" s="126"/>
      <c r="ADI650" s="126"/>
      <c r="ADJ650" s="126"/>
      <c r="ADK650" s="126"/>
      <c r="ADL650" s="126"/>
      <c r="ADM650" s="126"/>
      <c r="ADN650" s="126"/>
      <c r="ADO650" s="126"/>
      <c r="ADP650" s="126"/>
      <c r="ADQ650" s="126"/>
      <c r="ADR650" s="126"/>
      <c r="ADS650" s="126"/>
      <c r="ADT650" s="126"/>
      <c r="ADU650" s="126"/>
      <c r="ADV650" s="126"/>
      <c r="ADW650" s="126"/>
      <c r="ADX650" s="126"/>
      <c r="ADY650" s="126"/>
      <c r="ADZ650" s="126"/>
      <c r="AEA650" s="126"/>
      <c r="AEB650" s="126"/>
      <c r="AEC650" s="126"/>
      <c r="AED650" s="126"/>
      <c r="AEE650" s="126"/>
      <c r="AEF650" s="126"/>
      <c r="AEG650" s="126"/>
      <c r="AEH650" s="126"/>
      <c r="AEI650" s="126"/>
      <c r="AEJ650" s="126"/>
      <c r="AEK650" s="126"/>
      <c r="AEL650" s="126"/>
      <c r="AEM650" s="126"/>
      <c r="AEN650" s="126"/>
      <c r="AEO650" s="126"/>
      <c r="AEP650" s="126"/>
      <c r="AEQ650" s="126"/>
      <c r="AER650" s="126"/>
      <c r="AES650" s="126"/>
      <c r="AET650" s="126"/>
      <c r="AEU650" s="126"/>
      <c r="AEV650" s="126"/>
      <c r="AEW650" s="126"/>
      <c r="AEX650" s="126"/>
      <c r="AEY650" s="126"/>
      <c r="AEZ650" s="126"/>
      <c r="AFA650" s="126"/>
      <c r="AFB650" s="126"/>
      <c r="AFC650" s="126"/>
      <c r="AFD650" s="126"/>
      <c r="AFE650" s="126"/>
      <c r="AFF650" s="126"/>
      <c r="AFG650" s="126"/>
      <c r="AFH650" s="126"/>
      <c r="AFI650" s="126"/>
      <c r="AFJ650" s="126"/>
      <c r="AFK650" s="126"/>
      <c r="AFL650" s="126"/>
      <c r="AFM650" s="126"/>
      <c r="AFN650" s="126"/>
      <c r="AFO650" s="126"/>
      <c r="AFP650" s="126"/>
      <c r="AFQ650" s="126"/>
      <c r="AFR650" s="126"/>
      <c r="AFS650" s="126"/>
      <c r="AFT650" s="126"/>
      <c r="AFU650" s="126"/>
      <c r="AFV650" s="126"/>
      <c r="AFW650" s="126"/>
      <c r="AFX650" s="126"/>
      <c r="AFY650" s="126"/>
      <c r="AFZ650" s="126"/>
      <c r="AGA650" s="126"/>
      <c r="AGB650" s="126"/>
      <c r="AGC650" s="126"/>
      <c r="AGD650" s="126"/>
      <c r="AGE650" s="126"/>
      <c r="AGF650" s="126"/>
      <c r="AGG650" s="126"/>
      <c r="AGH650" s="126"/>
      <c r="AGI650" s="126"/>
      <c r="AGJ650" s="126"/>
      <c r="AGK650" s="126"/>
      <c r="AGL650" s="126"/>
      <c r="AGM650" s="126"/>
      <c r="AGN650" s="126"/>
      <c r="AGO650" s="126"/>
      <c r="AGP650" s="126"/>
      <c r="AGQ650" s="126"/>
      <c r="AGR650" s="126"/>
      <c r="AGS650" s="126"/>
      <c r="AGT650" s="126"/>
      <c r="AGU650" s="126"/>
      <c r="AGV650" s="126"/>
      <c r="AGW650" s="126"/>
      <c r="AGX650" s="126"/>
      <c r="AGY650" s="126"/>
      <c r="AGZ650" s="126"/>
      <c r="AHA650" s="126"/>
      <c r="AHB650" s="126"/>
      <c r="AHC650" s="126"/>
      <c r="AHD650" s="126"/>
      <c r="AHE650" s="126"/>
      <c r="AHF650" s="126"/>
      <c r="AHG650" s="126"/>
      <c r="AHH650" s="126"/>
      <c r="AHI650" s="126"/>
      <c r="AHJ650" s="126"/>
      <c r="AHK650" s="126"/>
      <c r="AHL650" s="126"/>
      <c r="AHM650" s="126"/>
      <c r="AHN650" s="126"/>
      <c r="AHO650" s="126"/>
      <c r="AHP650" s="126"/>
      <c r="AHQ650" s="126"/>
      <c r="AHR650" s="126"/>
      <c r="AHS650" s="126"/>
      <c r="AHT650" s="126"/>
      <c r="AHU650" s="126"/>
      <c r="AHV650" s="126"/>
      <c r="AHW650" s="126"/>
      <c r="AHX650" s="126"/>
      <c r="AHY650" s="126"/>
      <c r="AHZ650" s="126"/>
      <c r="AIA650" s="126"/>
      <c r="AIB650" s="126"/>
      <c r="AIC650" s="126"/>
      <c r="AID650" s="126"/>
      <c r="AIE650" s="126"/>
      <c r="AIF650" s="126"/>
      <c r="AIG650" s="126"/>
      <c r="AIH650" s="126"/>
      <c r="AII650" s="126"/>
      <c r="AIJ650" s="126"/>
      <c r="AIK650" s="126"/>
      <c r="AIL650" s="126"/>
      <c r="AIM650" s="126"/>
      <c r="AIN650" s="126"/>
      <c r="AIO650" s="126"/>
      <c r="AIP650" s="126"/>
      <c r="AIQ650" s="126"/>
      <c r="AIR650" s="126"/>
      <c r="AIS650" s="126"/>
      <c r="AIT650" s="126"/>
      <c r="AIU650" s="126"/>
      <c r="AIV650" s="126"/>
      <c r="AIW650" s="126"/>
      <c r="AIX650" s="126"/>
      <c r="AIY650" s="126"/>
      <c r="AIZ650" s="126"/>
      <c r="AJA650" s="126"/>
      <c r="AJB650" s="126"/>
      <c r="AJC650" s="126"/>
      <c r="AJD650" s="126"/>
      <c r="AJE650" s="126"/>
      <c r="AJF650" s="126"/>
      <c r="AJG650" s="126"/>
      <c r="AJH650" s="126"/>
      <c r="AJI650" s="126"/>
      <c r="AJJ650" s="126"/>
      <c r="AJK650" s="126"/>
      <c r="AJL650" s="126"/>
      <c r="AJM650" s="126"/>
      <c r="AJN650" s="126"/>
      <c r="AJO650" s="126"/>
      <c r="AJP650" s="126"/>
      <c r="AJQ650" s="126"/>
      <c r="AJR650" s="126"/>
      <c r="AJS650" s="126"/>
      <c r="AJT650" s="126"/>
      <c r="AJU650" s="126"/>
      <c r="AJV650" s="126"/>
      <c r="AJW650" s="126"/>
      <c r="AJX650" s="126"/>
      <c r="AJY650" s="126"/>
      <c r="AJZ650" s="126"/>
      <c r="AKA650" s="126"/>
      <c r="AKB650" s="126"/>
      <c r="AKC650" s="126"/>
      <c r="AKD650" s="126"/>
      <c r="AKE650" s="126"/>
      <c r="AKF650" s="126"/>
      <c r="AKG650" s="126"/>
      <c r="AKH650" s="126"/>
      <c r="AKI650" s="126"/>
      <c r="AKJ650" s="126"/>
      <c r="AKK650" s="126"/>
      <c r="AKL650" s="126"/>
      <c r="AKM650" s="126"/>
      <c r="AKN650" s="126"/>
      <c r="AKO650" s="126"/>
      <c r="AKP650" s="126"/>
      <c r="AKQ650" s="126"/>
      <c r="AKR650" s="126"/>
      <c r="AKS650" s="126"/>
      <c r="AKT650" s="126"/>
      <c r="AKU650" s="126"/>
      <c r="AKV650" s="126"/>
      <c r="AKW650" s="126"/>
      <c r="AKX650" s="126"/>
      <c r="AKY650" s="126"/>
      <c r="AKZ650" s="126"/>
      <c r="ALA650" s="126"/>
      <c r="ALB650" s="126"/>
      <c r="ALC650" s="126"/>
      <c r="ALD650" s="126"/>
      <c r="ALE650" s="126"/>
      <c r="ALF650" s="126"/>
      <c r="ALG650" s="126"/>
      <c r="ALH650" s="126"/>
      <c r="ALI650" s="126"/>
      <c r="ALJ650" s="126"/>
      <c r="ALK650" s="126"/>
      <c r="ALL650" s="126"/>
      <c r="ALM650" s="126"/>
      <c r="ALN650" s="126"/>
      <c r="ALO650" s="126"/>
      <c r="ALP650" s="126"/>
      <c r="ALQ650" s="126"/>
      <c r="ALR650" s="126"/>
      <c r="ALS650" s="126"/>
      <c r="ALT650" s="126"/>
      <c r="ALU650" s="126"/>
      <c r="ALV650" s="126"/>
      <c r="ALW650" s="126"/>
      <c r="ALX650" s="126"/>
      <c r="ALY650" s="126"/>
      <c r="ALZ650" s="126"/>
      <c r="AMA650" s="126"/>
      <c r="AMB650" s="126"/>
      <c r="AMC650" s="126"/>
      <c r="AMD650" s="126"/>
      <c r="AME650" s="126"/>
      <c r="AMF650" s="126"/>
      <c r="AMG650" s="126"/>
      <c r="AMH650" s="126"/>
      <c r="AMI650" s="126"/>
      <c r="AMJ650" s="126"/>
      <c r="AMK650" s="126"/>
      <c r="AML650" s="126"/>
      <c r="AMM650" s="126"/>
      <c r="AMN650" s="126"/>
      <c r="AMO650" s="126"/>
      <c r="AMP650" s="126"/>
      <c r="AMQ650" s="126"/>
      <c r="AMR650" s="126"/>
      <c r="AMS650" s="126"/>
      <c r="AMT650" s="126"/>
      <c r="AMU650" s="126"/>
      <c r="AMV650" s="126"/>
      <c r="AMW650" s="126"/>
      <c r="AMX650" s="126"/>
      <c r="AMY650" s="126"/>
      <c r="AMZ650" s="126"/>
      <c r="ANA650" s="126"/>
      <c r="ANB650" s="126"/>
      <c r="ANC650" s="126"/>
      <c r="AND650" s="126"/>
      <c r="ANE650" s="126"/>
      <c r="ANF650" s="126"/>
      <c r="ANG650" s="126"/>
      <c r="ANH650" s="126"/>
      <c r="ANI650" s="126"/>
      <c r="ANJ650" s="126"/>
      <c r="ANK650" s="126"/>
      <c r="ANL650" s="126"/>
      <c r="ANM650" s="126"/>
      <c r="ANN650" s="126"/>
      <c r="ANO650" s="126"/>
      <c r="ANP650" s="126"/>
      <c r="ANQ650" s="126"/>
      <c r="ANR650" s="126"/>
      <c r="ANS650" s="126"/>
      <c r="ANT650" s="126"/>
      <c r="ANU650" s="126"/>
      <c r="ANV650" s="126"/>
      <c r="ANW650" s="126"/>
      <c r="ANX650" s="126"/>
      <c r="ANY650" s="126"/>
      <c r="ANZ650" s="126"/>
      <c r="AOA650" s="126"/>
      <c r="AOB650" s="126"/>
      <c r="AOC650" s="126"/>
      <c r="AOD650" s="126"/>
      <c r="AOE650" s="126"/>
      <c r="AOF650" s="126"/>
      <c r="AOG650" s="126"/>
      <c r="AOH650" s="126"/>
      <c r="AOI650" s="126"/>
      <c r="AOJ650" s="126"/>
      <c r="AOK650" s="126"/>
      <c r="AOL650" s="126"/>
      <c r="AOM650" s="126"/>
      <c r="AON650" s="126"/>
      <c r="AOO650" s="126"/>
      <c r="AOP650" s="126"/>
      <c r="AOQ650" s="126"/>
      <c r="AOR650" s="126"/>
      <c r="AOS650" s="126"/>
      <c r="AOT650" s="126"/>
      <c r="AOU650" s="126"/>
      <c r="AOV650" s="126"/>
      <c r="AOW650" s="126"/>
      <c r="AOX650" s="126"/>
      <c r="AOY650" s="126"/>
      <c r="AOZ650" s="126"/>
      <c r="APA650" s="126"/>
      <c r="APB650" s="126"/>
      <c r="APC650" s="126"/>
      <c r="APD650" s="126"/>
      <c r="APE650" s="126"/>
      <c r="APF650" s="126"/>
      <c r="APG650" s="126"/>
      <c r="APH650" s="126"/>
      <c r="API650" s="126"/>
      <c r="APJ650" s="126"/>
      <c r="APK650" s="126"/>
      <c r="APL650" s="126"/>
      <c r="APM650" s="126"/>
      <c r="APN650" s="126"/>
      <c r="APO650" s="126"/>
      <c r="APP650" s="126"/>
      <c r="APQ650" s="126"/>
      <c r="APR650" s="126"/>
      <c r="APS650" s="126"/>
      <c r="APT650" s="126"/>
      <c r="APU650" s="126"/>
      <c r="APV650" s="126"/>
      <c r="APW650" s="126"/>
      <c r="APX650" s="126"/>
      <c r="APY650" s="126"/>
      <c r="APZ650" s="126"/>
      <c r="AQA650" s="126"/>
      <c r="AQB650" s="126"/>
      <c r="AQC650" s="126"/>
      <c r="AQD650" s="126"/>
      <c r="AQE650" s="126"/>
      <c r="AQF650" s="126"/>
      <c r="AQG650" s="126"/>
      <c r="AQH650" s="126"/>
      <c r="AQI650" s="126"/>
      <c r="AQJ650" s="126"/>
      <c r="AQK650" s="126"/>
      <c r="AQL650" s="126"/>
      <c r="AQM650" s="126"/>
      <c r="AQN650" s="126"/>
      <c r="AQO650" s="126"/>
      <c r="AQP650" s="126"/>
      <c r="AQQ650" s="126"/>
      <c r="AQR650" s="126"/>
      <c r="AQS650" s="126"/>
      <c r="AQT650" s="126"/>
      <c r="AQU650" s="126"/>
      <c r="AQV650" s="126"/>
      <c r="AQW650" s="126"/>
      <c r="AQX650" s="126"/>
      <c r="AQY650" s="126"/>
      <c r="AQZ650" s="126"/>
      <c r="ARA650" s="126"/>
      <c r="ARB650" s="126"/>
      <c r="ARC650" s="126"/>
      <c r="ARD650" s="126"/>
      <c r="ARE650" s="126"/>
      <c r="ARF650" s="126"/>
      <c r="ARG650" s="126"/>
      <c r="ARH650" s="126"/>
      <c r="ARI650" s="126"/>
      <c r="ARJ650" s="126"/>
      <c r="ARK650" s="126"/>
      <c r="ARL650" s="126"/>
      <c r="ARM650" s="126"/>
      <c r="ARN650" s="126"/>
      <c r="ARO650" s="126"/>
      <c r="ARP650" s="126"/>
      <c r="ARQ650" s="126"/>
      <c r="ARR650" s="126"/>
      <c r="ARS650" s="126"/>
      <c r="ART650" s="126"/>
      <c r="ARU650" s="126"/>
      <c r="ARV650" s="126"/>
      <c r="ARW650" s="126"/>
      <c r="ARX650" s="126"/>
      <c r="ARY650" s="126"/>
      <c r="ARZ650" s="126"/>
      <c r="ASA650" s="126"/>
      <c r="ASB650" s="126"/>
      <c r="ASC650" s="126"/>
      <c r="ASD650" s="126"/>
      <c r="ASE650" s="126"/>
      <c r="ASF650" s="126"/>
      <c r="ASG650" s="126"/>
      <c r="ASH650" s="126"/>
      <c r="ASI650" s="126"/>
      <c r="ASJ650" s="126"/>
      <c r="ASK650" s="126"/>
      <c r="ASL650" s="126"/>
      <c r="ASM650" s="126"/>
      <c r="ASN650" s="126"/>
      <c r="ASO650" s="126"/>
      <c r="ASP650" s="126"/>
      <c r="ASQ650" s="126"/>
      <c r="ASR650" s="126"/>
      <c r="ASS650" s="126"/>
      <c r="AST650" s="126"/>
      <c r="ASU650" s="126"/>
      <c r="ASV650" s="126"/>
      <c r="ASW650" s="126"/>
      <c r="ASX650" s="126"/>
      <c r="ASY650" s="126"/>
      <c r="ASZ650" s="126"/>
      <c r="ATA650" s="126"/>
      <c r="ATB650" s="126"/>
      <c r="ATC650" s="126"/>
      <c r="ATD650" s="126"/>
      <c r="ATE650" s="126"/>
      <c r="ATF650" s="126"/>
      <c r="ATG650" s="126"/>
      <c r="ATH650" s="126"/>
      <c r="ATI650" s="126"/>
      <c r="ATJ650" s="126"/>
      <c r="ATK650" s="126"/>
      <c r="ATL650" s="126"/>
      <c r="ATM650" s="126"/>
      <c r="ATN650" s="126"/>
      <c r="ATO650" s="126"/>
    </row>
    <row r="651" spans="1:1211" s="22" customFormat="1">
      <c r="A651" s="760"/>
      <c r="B651" s="1925"/>
      <c r="C651" s="1143"/>
      <c r="D651" s="1926"/>
      <c r="E651" s="1927"/>
      <c r="F651" s="1928"/>
      <c r="G651" s="1928"/>
      <c r="H651" s="1928"/>
      <c r="I651" s="1928"/>
      <c r="J651" s="1928"/>
      <c r="K651" s="884"/>
      <c r="L651" s="1929"/>
      <c r="M651" s="884"/>
      <c r="N651" s="1808" t="str">
        <f t="shared" si="0"/>
        <v/>
      </c>
      <c r="O651" s="1930" t="str">
        <f t="shared" si="1"/>
        <v/>
      </c>
      <c r="P651" s="1930" t="str">
        <f t="shared" si="2"/>
        <v/>
      </c>
      <c r="Q651" s="21" t="str">
        <f t="shared" si="3"/>
        <v/>
      </c>
      <c r="R651" s="21"/>
    </row>
    <row r="652" spans="1:1211" s="22" customFormat="1">
      <c r="A652" s="760"/>
      <c r="B652" s="1931" t="s">
        <v>1591</v>
      </c>
      <c r="C652" s="1143" t="s">
        <v>4132</v>
      </c>
      <c r="D652" s="1926"/>
      <c r="E652" s="1927"/>
      <c r="F652" s="1928"/>
      <c r="G652" s="1928"/>
      <c r="H652" s="1928"/>
      <c r="I652" s="1928"/>
      <c r="J652" s="1928"/>
      <c r="K652" s="884"/>
      <c r="L652" s="1929"/>
      <c r="M652" s="884"/>
      <c r="N652" s="1808" t="str">
        <f t="shared" si="0"/>
        <v/>
      </c>
      <c r="O652" s="1930" t="str">
        <f t="shared" si="1"/>
        <v/>
      </c>
      <c r="P652" s="1930" t="str">
        <f t="shared" si="2"/>
        <v/>
      </c>
      <c r="Q652" s="21" t="str">
        <f t="shared" si="3"/>
        <v/>
      </c>
      <c r="R652" s="21"/>
    </row>
    <row r="653" spans="1:1211" s="22" customFormat="1">
      <c r="A653" s="760"/>
      <c r="B653" s="1925"/>
      <c r="C653" s="1143" t="s">
        <v>4133</v>
      </c>
      <c r="D653" s="1926"/>
      <c r="E653" s="1927"/>
      <c r="F653" s="1928"/>
      <c r="G653" s="1928"/>
      <c r="H653" s="1928"/>
      <c r="I653" s="1928"/>
      <c r="J653" s="1928"/>
      <c r="K653" s="884"/>
      <c r="L653" s="1929"/>
      <c r="M653" s="884"/>
      <c r="N653" s="1808" t="str">
        <f t="shared" si="0"/>
        <v/>
      </c>
      <c r="O653" s="1930" t="str">
        <f t="shared" si="1"/>
        <v/>
      </c>
      <c r="P653" s="1930" t="str">
        <f t="shared" si="2"/>
        <v/>
      </c>
      <c r="Q653" s="21" t="str">
        <f t="shared" si="3"/>
        <v/>
      </c>
      <c r="R653" s="21"/>
    </row>
    <row r="654" spans="1:1211" s="22" customFormat="1">
      <c r="A654" s="760"/>
      <c r="B654" s="1925"/>
      <c r="C654" s="1143"/>
      <c r="D654" s="1926"/>
      <c r="E654" s="1927"/>
      <c r="F654" s="1928"/>
      <c r="G654" s="1928"/>
      <c r="H654" s="1928"/>
      <c r="I654" s="1928"/>
      <c r="J654" s="1928"/>
      <c r="K654" s="884"/>
      <c r="L654" s="1929"/>
      <c r="M654" s="884"/>
      <c r="N654" s="1808" t="str">
        <f t="shared" si="0"/>
        <v/>
      </c>
      <c r="O654" s="1930" t="str">
        <f t="shared" si="1"/>
        <v/>
      </c>
      <c r="P654" s="1930" t="str">
        <f t="shared" si="2"/>
        <v/>
      </c>
      <c r="Q654" s="21" t="str">
        <f t="shared" si="3"/>
        <v/>
      </c>
      <c r="R654" s="21"/>
    </row>
    <row r="655" spans="1:1211" s="22" customFormat="1">
      <c r="A655" s="760"/>
      <c r="B655" s="1931" t="s">
        <v>2809</v>
      </c>
      <c r="C655" s="1143" t="s">
        <v>9505</v>
      </c>
      <c r="D655" s="1926"/>
      <c r="E655" s="1927"/>
      <c r="F655" s="1928"/>
      <c r="G655" s="1928"/>
      <c r="H655" s="1928"/>
      <c r="I655" s="1928"/>
      <c r="J655" s="1928"/>
      <c r="K655" s="884"/>
      <c r="L655" s="1929"/>
      <c r="M655" s="884"/>
      <c r="N655" s="1808" t="str">
        <f t="shared" si="0"/>
        <v/>
      </c>
      <c r="O655" s="1930" t="str">
        <f t="shared" si="1"/>
        <v/>
      </c>
      <c r="P655" s="1930" t="str">
        <f t="shared" si="2"/>
        <v/>
      </c>
      <c r="Q655" s="21" t="str">
        <f t="shared" si="3"/>
        <v/>
      </c>
      <c r="R655" s="21"/>
    </row>
    <row r="656" spans="1:1211" s="22" customFormat="1">
      <c r="A656" s="760"/>
      <c r="B656" s="1925"/>
      <c r="C656" s="1143" t="s">
        <v>9506</v>
      </c>
      <c r="D656" s="1926"/>
      <c r="E656" s="1927"/>
      <c r="F656" s="1928"/>
      <c r="G656" s="1928"/>
      <c r="H656" s="1928"/>
      <c r="I656" s="1928"/>
      <c r="J656" s="1928"/>
      <c r="K656" s="884"/>
      <c r="L656" s="1929"/>
      <c r="M656" s="884"/>
      <c r="N656" s="1808" t="str">
        <f t="shared" si="0"/>
        <v/>
      </c>
      <c r="O656" s="1930" t="str">
        <f t="shared" si="1"/>
        <v/>
      </c>
      <c r="P656" s="1930" t="str">
        <f t="shared" si="2"/>
        <v/>
      </c>
      <c r="Q656" s="21" t="str">
        <f t="shared" si="3"/>
        <v/>
      </c>
      <c r="R656" s="21"/>
    </row>
    <row r="657" spans="1:18" s="22" customFormat="1">
      <c r="A657" s="760"/>
      <c r="B657" s="1925"/>
      <c r="C657" s="1143" t="s">
        <v>9507</v>
      </c>
      <c r="D657" s="1926"/>
      <c r="E657" s="1927"/>
      <c r="F657" s="1928"/>
      <c r="G657" s="1928"/>
      <c r="H657" s="1928"/>
      <c r="I657" s="1928"/>
      <c r="J657" s="1928"/>
      <c r="K657" s="884"/>
      <c r="L657" s="1929"/>
      <c r="M657" s="884"/>
      <c r="N657" s="1808" t="str">
        <f t="shared" si="0"/>
        <v/>
      </c>
      <c r="O657" s="1930" t="str">
        <f t="shared" si="1"/>
        <v/>
      </c>
      <c r="P657" s="1930" t="str">
        <f t="shared" si="2"/>
        <v/>
      </c>
      <c r="Q657" s="21" t="str">
        <f t="shared" si="3"/>
        <v/>
      </c>
      <c r="R657" s="21"/>
    </row>
    <row r="658" spans="1:18" s="22" customFormat="1">
      <c r="A658" s="760"/>
      <c r="B658" s="1925"/>
      <c r="C658" s="1143"/>
      <c r="D658" s="1926"/>
      <c r="E658" s="1927"/>
      <c r="F658" s="1928"/>
      <c r="G658" s="1928"/>
      <c r="H658" s="1928"/>
      <c r="I658" s="1928"/>
      <c r="J658" s="1928"/>
      <c r="K658" s="884"/>
      <c r="L658" s="1929"/>
      <c r="M658" s="884"/>
      <c r="N658" s="1808" t="str">
        <f t="shared" si="0"/>
        <v/>
      </c>
      <c r="O658" s="1930" t="str">
        <f t="shared" si="1"/>
        <v/>
      </c>
      <c r="P658" s="1930" t="str">
        <f t="shared" si="2"/>
        <v/>
      </c>
      <c r="Q658" s="21" t="str">
        <f t="shared" si="3"/>
        <v/>
      </c>
      <c r="R658" s="21"/>
    </row>
    <row r="659" spans="1:18" s="22" customFormat="1">
      <c r="A659" s="760"/>
      <c r="B659" s="1931" t="s">
        <v>1832</v>
      </c>
      <c r="C659" s="1143" t="s">
        <v>14221</v>
      </c>
      <c r="D659" s="1926"/>
      <c r="E659" s="1927"/>
      <c r="F659" s="1928"/>
      <c r="G659" s="1928"/>
      <c r="H659" s="1928"/>
      <c r="I659" s="1928"/>
      <c r="J659" s="1928"/>
      <c r="K659" s="884"/>
      <c r="L659" s="1929"/>
      <c r="M659" s="884"/>
      <c r="N659" s="1808"/>
      <c r="O659" s="1930"/>
      <c r="P659" s="1930"/>
      <c r="Q659" s="21"/>
      <c r="R659" s="21"/>
    </row>
    <row r="660" spans="1:18" s="22" customFormat="1">
      <c r="A660" s="760"/>
      <c r="B660" s="1925"/>
      <c r="C660" s="1143" t="s">
        <v>9508</v>
      </c>
      <c r="D660" s="1926"/>
      <c r="E660" s="1927"/>
      <c r="F660" s="1928"/>
      <c r="G660" s="1928"/>
      <c r="H660" s="1928"/>
      <c r="I660" s="1928"/>
      <c r="J660" s="1928"/>
      <c r="K660" s="884"/>
      <c r="L660" s="1929"/>
      <c r="M660" s="884"/>
      <c r="N660" s="1808"/>
      <c r="O660" s="1930"/>
      <c r="P660" s="1930"/>
      <c r="Q660" s="21"/>
      <c r="R660" s="21"/>
    </row>
    <row r="661" spans="1:18" s="22" customFormat="1">
      <c r="A661" s="760"/>
      <c r="B661" s="1925"/>
      <c r="C661" s="1143"/>
      <c r="D661" s="1926"/>
      <c r="E661" s="1927"/>
      <c r="F661" s="1928"/>
      <c r="G661" s="1928"/>
      <c r="H661" s="1928"/>
      <c r="I661" s="1928"/>
      <c r="J661" s="1928"/>
      <c r="K661" s="884"/>
      <c r="L661" s="1929"/>
      <c r="M661" s="884"/>
      <c r="N661" s="1808"/>
      <c r="O661" s="1930"/>
      <c r="P661" s="1930"/>
      <c r="Q661" s="21"/>
      <c r="R661" s="21"/>
    </row>
    <row r="662" spans="1:18" s="22" customFormat="1">
      <c r="A662" s="760"/>
      <c r="B662" s="1931" t="s">
        <v>1833</v>
      </c>
      <c r="C662" s="1143" t="s">
        <v>9509</v>
      </c>
      <c r="D662" s="1926"/>
      <c r="E662" s="1927"/>
      <c r="F662" s="1928"/>
      <c r="G662" s="1928"/>
      <c r="H662" s="1928"/>
      <c r="I662" s="1928"/>
      <c r="J662" s="1928"/>
      <c r="K662" s="884"/>
      <c r="L662" s="1929"/>
      <c r="M662" s="884"/>
      <c r="N662" s="1808"/>
      <c r="O662" s="1930"/>
      <c r="P662" s="1930"/>
      <c r="Q662" s="21"/>
      <c r="R662" s="21"/>
    </row>
    <row r="663" spans="1:18" s="22" customFormat="1">
      <c r="A663" s="760"/>
      <c r="B663" s="1925"/>
      <c r="C663" s="1143" t="s">
        <v>9510</v>
      </c>
      <c r="D663" s="1926"/>
      <c r="E663" s="1927"/>
      <c r="F663" s="1928"/>
      <c r="G663" s="1928"/>
      <c r="H663" s="1928"/>
      <c r="I663" s="1928"/>
      <c r="J663" s="1928"/>
      <c r="K663" s="884"/>
      <c r="L663" s="1929"/>
      <c r="M663" s="884"/>
      <c r="N663" s="1808"/>
      <c r="O663" s="1930"/>
      <c r="P663" s="1930"/>
      <c r="Q663" s="21"/>
      <c r="R663" s="21"/>
    </row>
    <row r="664" spans="1:18" s="22" customFormat="1">
      <c r="A664" s="760"/>
      <c r="B664" s="1925"/>
      <c r="C664" s="1143" t="s">
        <v>9511</v>
      </c>
      <c r="D664" s="1926"/>
      <c r="E664" s="1927"/>
      <c r="F664" s="1928"/>
      <c r="G664" s="1928"/>
      <c r="H664" s="1928"/>
      <c r="I664" s="1928"/>
      <c r="J664" s="1928"/>
      <c r="K664" s="884"/>
      <c r="L664" s="1929"/>
      <c r="M664" s="884"/>
      <c r="N664" s="1808"/>
      <c r="O664" s="1930"/>
      <c r="P664" s="1930"/>
      <c r="Q664" s="21"/>
      <c r="R664" s="21"/>
    </row>
    <row r="665" spans="1:18" s="22" customFormat="1">
      <c r="A665" s="760"/>
      <c r="B665" s="1925"/>
      <c r="C665" s="1143" t="s">
        <v>9512</v>
      </c>
      <c r="D665" s="1926"/>
      <c r="E665" s="1927"/>
      <c r="F665" s="1928"/>
      <c r="G665" s="1928"/>
      <c r="H665" s="1928"/>
      <c r="I665" s="1928"/>
      <c r="J665" s="1928"/>
      <c r="K665" s="884"/>
      <c r="L665" s="1929"/>
      <c r="M665" s="884"/>
      <c r="N665" s="1808"/>
      <c r="O665" s="1930"/>
      <c r="P665" s="1930"/>
      <c r="Q665" s="21"/>
      <c r="R665" s="21"/>
    </row>
    <row r="666" spans="1:18" s="22" customFormat="1">
      <c r="A666" s="884"/>
      <c r="B666" s="884"/>
      <c r="C666" s="1932"/>
      <c r="E666" s="1933"/>
      <c r="F666" s="1217"/>
      <c r="G666" s="1934"/>
      <c r="H666" s="1934"/>
      <c r="I666" s="1934"/>
      <c r="J666" s="1935"/>
      <c r="K666" s="884"/>
      <c r="L666" s="1929"/>
      <c r="M666" s="884"/>
      <c r="N666" s="1936"/>
      <c r="O666" s="1932"/>
      <c r="Q666" s="1937"/>
    </row>
    <row r="667" spans="1:18" s="22" customFormat="1">
      <c r="A667" s="884"/>
      <c r="B667" s="1931" t="s">
        <v>3296</v>
      </c>
      <c r="C667" s="1143" t="s">
        <v>14222</v>
      </c>
      <c r="E667" s="1933"/>
      <c r="F667" s="1217"/>
      <c r="G667" s="1934"/>
      <c r="H667" s="1934"/>
      <c r="I667" s="1934"/>
      <c r="J667" s="1935"/>
      <c r="K667" s="884"/>
      <c r="L667" s="1929"/>
      <c r="M667" s="884"/>
      <c r="N667" s="1936"/>
      <c r="O667" s="1932"/>
      <c r="Q667" s="1937"/>
    </row>
    <row r="668" spans="1:18" s="22" customFormat="1">
      <c r="A668" s="884"/>
      <c r="B668" s="884"/>
      <c r="C668" s="1143" t="s">
        <v>14223</v>
      </c>
      <c r="E668" s="1933"/>
      <c r="F668" s="1217"/>
      <c r="G668" s="1934"/>
      <c r="H668" s="1934"/>
      <c r="I668" s="1934"/>
      <c r="J668" s="1935"/>
      <c r="K668" s="884"/>
      <c r="L668" s="1929"/>
      <c r="M668" s="884"/>
      <c r="N668" s="1936"/>
      <c r="O668" s="1932"/>
      <c r="Q668" s="1937"/>
    </row>
    <row r="669" spans="1:18" s="22" customFormat="1">
      <c r="A669" s="884"/>
      <c r="B669" s="884"/>
      <c r="C669" s="1932"/>
      <c r="E669" s="1933"/>
      <c r="F669" s="1217"/>
      <c r="G669" s="1934"/>
      <c r="H669" s="1934"/>
      <c r="I669" s="1934"/>
      <c r="J669" s="1935"/>
      <c r="K669" s="884"/>
      <c r="L669" s="1929"/>
      <c r="M669" s="884"/>
      <c r="N669" s="1936"/>
      <c r="O669" s="1932"/>
      <c r="Q669" s="1937"/>
    </row>
    <row r="670" spans="1:18" s="22" customFormat="1">
      <c r="A670" s="884"/>
      <c r="B670" s="1931" t="s">
        <v>3297</v>
      </c>
      <c r="C670" s="1143" t="s">
        <v>14224</v>
      </c>
      <c r="E670" s="1933"/>
      <c r="F670" s="1217"/>
      <c r="G670" s="1934"/>
      <c r="H670" s="1934"/>
      <c r="I670" s="1934"/>
      <c r="J670" s="1935"/>
      <c r="K670" s="884"/>
      <c r="L670" s="1929"/>
      <c r="M670" s="884"/>
      <c r="N670" s="1936"/>
      <c r="O670" s="1932"/>
      <c r="Q670" s="1937"/>
    </row>
    <row r="671" spans="1:18" s="22" customFormat="1">
      <c r="A671" s="884"/>
      <c r="B671" s="884"/>
      <c r="C671" s="1143"/>
      <c r="E671" s="1933"/>
      <c r="F671" s="1217"/>
      <c r="G671" s="1934"/>
      <c r="H671" s="1934"/>
      <c r="I671" s="1934"/>
      <c r="J671" s="1935"/>
      <c r="K671" s="884"/>
      <c r="L671" s="1929"/>
      <c r="M671" s="884"/>
      <c r="N671" s="1936"/>
      <c r="O671" s="1932"/>
      <c r="Q671" s="1937"/>
    </row>
    <row r="672" spans="1:18" s="22" customFormat="1">
      <c r="A672" s="884"/>
      <c r="B672" s="1931" t="s">
        <v>3314</v>
      </c>
      <c r="C672" s="1317" t="s">
        <v>14225</v>
      </c>
      <c r="E672" s="1933"/>
      <c r="F672" s="1217"/>
      <c r="G672" s="1934"/>
      <c r="H672" s="1934"/>
      <c r="I672" s="1934"/>
      <c r="J672" s="1935"/>
      <c r="K672" s="884"/>
      <c r="L672" s="1929"/>
      <c r="M672" s="884"/>
      <c r="N672" s="1936"/>
      <c r="O672" s="1932"/>
      <c r="Q672" s="1937"/>
    </row>
    <row r="673" spans="1:1211" s="171" customFormat="1">
      <c r="A673" s="884"/>
      <c r="B673" s="885"/>
      <c r="C673" s="1317" t="s">
        <v>14226</v>
      </c>
      <c r="E673" s="886"/>
      <c r="F673" s="1217"/>
      <c r="G673" s="882"/>
      <c r="H673" s="882"/>
      <c r="I673" s="882"/>
      <c r="J673" s="887"/>
      <c r="K673" s="1094"/>
      <c r="L673" s="412"/>
      <c r="M673" s="1094"/>
      <c r="N673" s="411"/>
      <c r="O673" s="652"/>
      <c r="P673" s="126"/>
      <c r="Q673" s="1481"/>
      <c r="R673" s="126"/>
      <c r="S673" s="126"/>
      <c r="T673" s="126"/>
      <c r="U673" s="126"/>
      <c r="V673" s="126"/>
      <c r="W673" s="126"/>
      <c r="X673" s="126"/>
      <c r="Y673" s="126"/>
      <c r="Z673" s="126"/>
      <c r="AA673" s="126"/>
      <c r="AB673" s="126"/>
      <c r="AC673" s="126"/>
      <c r="AD673" s="126"/>
      <c r="AE673" s="126"/>
      <c r="AF673" s="126"/>
      <c r="AG673" s="126"/>
      <c r="AH673" s="126"/>
      <c r="AI673" s="126"/>
      <c r="AJ673" s="126"/>
      <c r="AK673" s="126"/>
      <c r="AL673" s="126"/>
      <c r="AM673" s="126"/>
      <c r="AN673" s="126"/>
      <c r="AO673" s="126"/>
      <c r="AP673" s="126"/>
      <c r="AQ673" s="126"/>
      <c r="AR673" s="126"/>
      <c r="AS673" s="126"/>
      <c r="AT673" s="126"/>
      <c r="AU673" s="126"/>
      <c r="AV673" s="126"/>
      <c r="AW673" s="126"/>
      <c r="AX673" s="126"/>
      <c r="AY673" s="126"/>
      <c r="AZ673" s="126"/>
      <c r="BA673" s="126"/>
      <c r="BB673" s="126"/>
      <c r="BC673" s="126"/>
      <c r="BD673" s="126"/>
      <c r="BE673" s="126"/>
      <c r="BF673" s="126"/>
      <c r="BG673" s="126"/>
      <c r="BH673" s="126"/>
      <c r="BI673" s="126"/>
      <c r="BJ673" s="126"/>
      <c r="BK673" s="126"/>
      <c r="BL673" s="126"/>
      <c r="BM673" s="126"/>
      <c r="BN673" s="126"/>
      <c r="BO673" s="126"/>
      <c r="BP673" s="126"/>
      <c r="BQ673" s="126"/>
      <c r="BR673" s="126"/>
      <c r="BS673" s="126"/>
      <c r="BT673" s="126"/>
      <c r="BU673" s="126"/>
      <c r="BV673" s="126"/>
      <c r="BW673" s="126"/>
      <c r="BX673" s="126"/>
      <c r="BY673" s="126"/>
      <c r="BZ673" s="126"/>
      <c r="CA673" s="126"/>
      <c r="CB673" s="126"/>
      <c r="CC673" s="126"/>
      <c r="CD673" s="126"/>
      <c r="CE673" s="126"/>
      <c r="CF673" s="126"/>
      <c r="CG673" s="126"/>
      <c r="CH673" s="126"/>
      <c r="CI673" s="126"/>
      <c r="CJ673" s="126"/>
      <c r="CK673" s="126"/>
      <c r="CL673" s="126"/>
      <c r="CM673" s="126"/>
      <c r="CN673" s="126"/>
      <c r="CO673" s="126"/>
      <c r="CP673" s="126"/>
      <c r="CQ673" s="126"/>
      <c r="CR673" s="126"/>
      <c r="CS673" s="126"/>
      <c r="CT673" s="126"/>
      <c r="CU673" s="126"/>
      <c r="CV673" s="126"/>
      <c r="CW673" s="126"/>
      <c r="CX673" s="126"/>
      <c r="CY673" s="126"/>
      <c r="CZ673" s="126"/>
      <c r="DA673" s="126"/>
      <c r="DB673" s="126"/>
      <c r="DC673" s="126"/>
      <c r="DD673" s="126"/>
      <c r="DE673" s="126"/>
      <c r="DF673" s="126"/>
      <c r="DG673" s="126"/>
      <c r="DH673" s="126"/>
      <c r="DI673" s="126"/>
      <c r="DJ673" s="126"/>
      <c r="DK673" s="126"/>
      <c r="DL673" s="126"/>
      <c r="DM673" s="126"/>
      <c r="DN673" s="126"/>
      <c r="DO673" s="126"/>
      <c r="DP673" s="126"/>
      <c r="DQ673" s="126"/>
      <c r="DR673" s="126"/>
      <c r="DS673" s="126"/>
      <c r="DT673" s="126"/>
      <c r="DU673" s="126"/>
      <c r="DV673" s="126"/>
      <c r="DW673" s="126"/>
      <c r="DX673" s="126"/>
      <c r="DY673" s="126"/>
      <c r="DZ673" s="126"/>
      <c r="EA673" s="126"/>
      <c r="EB673" s="126"/>
      <c r="EC673" s="126"/>
      <c r="ED673" s="126"/>
      <c r="EE673" s="126"/>
      <c r="EF673" s="126"/>
      <c r="EG673" s="126"/>
      <c r="EH673" s="126"/>
      <c r="EI673" s="126"/>
      <c r="EJ673" s="126"/>
      <c r="EK673" s="126"/>
      <c r="EL673" s="126"/>
      <c r="EM673" s="126"/>
      <c r="EN673" s="126"/>
      <c r="EO673" s="126"/>
      <c r="EP673" s="126"/>
      <c r="EQ673" s="126"/>
      <c r="ER673" s="126"/>
      <c r="ES673" s="126"/>
      <c r="ET673" s="126"/>
      <c r="EU673" s="126"/>
      <c r="EV673" s="126"/>
      <c r="EW673" s="126"/>
      <c r="EX673" s="126"/>
      <c r="EY673" s="126"/>
      <c r="EZ673" s="126"/>
      <c r="FA673" s="126"/>
      <c r="FB673" s="126"/>
      <c r="FC673" s="126"/>
      <c r="FD673" s="126"/>
      <c r="FE673" s="126"/>
      <c r="FF673" s="126"/>
      <c r="FG673" s="126"/>
      <c r="FH673" s="126"/>
      <c r="FI673" s="126"/>
      <c r="FJ673" s="126"/>
      <c r="FK673" s="126"/>
      <c r="FL673" s="126"/>
      <c r="FM673" s="126"/>
      <c r="FN673" s="126"/>
      <c r="FO673" s="126"/>
      <c r="FP673" s="126"/>
      <c r="FQ673" s="126"/>
      <c r="FR673" s="126"/>
      <c r="FS673" s="126"/>
      <c r="FT673" s="126"/>
      <c r="FU673" s="126"/>
      <c r="FV673" s="126"/>
      <c r="FW673" s="126"/>
      <c r="FX673" s="126"/>
      <c r="FY673" s="126"/>
      <c r="FZ673" s="126"/>
      <c r="GA673" s="126"/>
      <c r="GB673" s="126"/>
      <c r="GC673" s="126"/>
      <c r="GD673" s="126"/>
      <c r="GE673" s="126"/>
      <c r="GF673" s="126"/>
      <c r="GG673" s="126"/>
      <c r="GH673" s="126"/>
      <c r="GI673" s="126"/>
      <c r="GJ673" s="126"/>
      <c r="GK673" s="126"/>
      <c r="GL673" s="126"/>
      <c r="GM673" s="126"/>
      <c r="GN673" s="126"/>
      <c r="GO673" s="126"/>
      <c r="GP673" s="126"/>
      <c r="GQ673" s="126"/>
      <c r="GR673" s="126"/>
      <c r="GS673" s="126"/>
      <c r="GT673" s="126"/>
      <c r="GU673" s="126"/>
      <c r="GV673" s="126"/>
      <c r="GW673" s="126"/>
      <c r="GX673" s="126"/>
      <c r="GY673" s="126"/>
      <c r="GZ673" s="126"/>
      <c r="HA673" s="126"/>
      <c r="HB673" s="126"/>
      <c r="HC673" s="126"/>
      <c r="HD673" s="126"/>
      <c r="HE673" s="126"/>
      <c r="HF673" s="126"/>
      <c r="HG673" s="126"/>
      <c r="HH673" s="126"/>
      <c r="HI673" s="126"/>
      <c r="HJ673" s="126"/>
      <c r="HK673" s="126"/>
      <c r="HL673" s="126"/>
      <c r="HM673" s="126"/>
      <c r="HN673" s="126"/>
      <c r="HO673" s="126"/>
      <c r="HP673" s="126"/>
      <c r="HQ673" s="126"/>
      <c r="HR673" s="126"/>
      <c r="HS673" s="126"/>
      <c r="HT673" s="126"/>
      <c r="HU673" s="126"/>
      <c r="HV673" s="126"/>
      <c r="HW673" s="126"/>
      <c r="HX673" s="126"/>
      <c r="HY673" s="126"/>
      <c r="HZ673" s="126"/>
      <c r="IA673" s="126"/>
      <c r="IB673" s="126"/>
      <c r="IC673" s="126"/>
      <c r="ID673" s="126"/>
      <c r="IE673" s="126"/>
      <c r="IF673" s="126"/>
      <c r="IG673" s="126"/>
      <c r="IH673" s="126"/>
      <c r="II673" s="126"/>
      <c r="IJ673" s="126"/>
      <c r="IK673" s="126"/>
      <c r="IL673" s="126"/>
      <c r="IM673" s="126"/>
      <c r="IN673" s="126"/>
      <c r="IO673" s="126"/>
      <c r="IP673" s="126"/>
      <c r="IQ673" s="126"/>
      <c r="IR673" s="126"/>
      <c r="IS673" s="126"/>
      <c r="IT673" s="126"/>
      <c r="IU673" s="126"/>
      <c r="IV673" s="126"/>
      <c r="IW673" s="126"/>
      <c r="IX673" s="126"/>
      <c r="IY673" s="126"/>
      <c r="IZ673" s="126"/>
      <c r="JA673" s="126"/>
      <c r="JB673" s="126"/>
      <c r="JC673" s="126"/>
      <c r="JD673" s="126"/>
      <c r="JE673" s="126"/>
      <c r="JF673" s="126"/>
      <c r="JG673" s="126"/>
      <c r="JH673" s="126"/>
      <c r="JI673" s="126"/>
      <c r="JJ673" s="126"/>
      <c r="JK673" s="126"/>
      <c r="JL673" s="126"/>
      <c r="JM673" s="126"/>
      <c r="JN673" s="126"/>
      <c r="JO673" s="126"/>
      <c r="JP673" s="126"/>
      <c r="JQ673" s="126"/>
      <c r="JR673" s="126"/>
      <c r="JS673" s="126"/>
      <c r="JT673" s="126"/>
      <c r="JU673" s="126"/>
      <c r="JV673" s="126"/>
      <c r="JW673" s="126"/>
      <c r="JX673" s="126"/>
      <c r="JY673" s="126"/>
      <c r="JZ673" s="126"/>
      <c r="KA673" s="126"/>
      <c r="KB673" s="126"/>
      <c r="KC673" s="126"/>
      <c r="KD673" s="126"/>
      <c r="KE673" s="126"/>
      <c r="KF673" s="126"/>
      <c r="KG673" s="126"/>
      <c r="KH673" s="126"/>
      <c r="KI673" s="126"/>
      <c r="KJ673" s="126"/>
      <c r="KK673" s="126"/>
      <c r="KL673" s="126"/>
      <c r="KM673" s="126"/>
      <c r="KN673" s="126"/>
      <c r="KO673" s="126"/>
      <c r="KP673" s="126"/>
      <c r="KQ673" s="126"/>
      <c r="KR673" s="126"/>
      <c r="KS673" s="126"/>
      <c r="KT673" s="126"/>
      <c r="KU673" s="126"/>
      <c r="KV673" s="126"/>
      <c r="KW673" s="126"/>
      <c r="KX673" s="126"/>
      <c r="KY673" s="126"/>
      <c r="KZ673" s="126"/>
      <c r="LA673" s="126"/>
      <c r="LB673" s="126"/>
      <c r="LC673" s="126"/>
      <c r="LD673" s="126"/>
      <c r="LE673" s="126"/>
      <c r="LF673" s="126"/>
      <c r="LG673" s="126"/>
      <c r="LH673" s="126"/>
      <c r="LI673" s="126"/>
      <c r="LJ673" s="126"/>
      <c r="LK673" s="126"/>
      <c r="LL673" s="126"/>
      <c r="LM673" s="126"/>
      <c r="LN673" s="126"/>
      <c r="LO673" s="126"/>
      <c r="LP673" s="126"/>
      <c r="LQ673" s="126"/>
      <c r="LR673" s="126"/>
      <c r="LS673" s="126"/>
      <c r="LT673" s="126"/>
      <c r="LU673" s="126"/>
      <c r="LV673" s="126"/>
      <c r="LW673" s="126"/>
      <c r="LX673" s="126"/>
      <c r="LY673" s="126"/>
      <c r="LZ673" s="126"/>
      <c r="MA673" s="126"/>
      <c r="MB673" s="126"/>
      <c r="MC673" s="126"/>
      <c r="MD673" s="126"/>
      <c r="ME673" s="126"/>
      <c r="MF673" s="126"/>
      <c r="MG673" s="126"/>
      <c r="MH673" s="126"/>
      <c r="MI673" s="126"/>
      <c r="MJ673" s="126"/>
      <c r="MK673" s="126"/>
      <c r="ML673" s="126"/>
      <c r="MM673" s="126"/>
      <c r="MN673" s="126"/>
      <c r="MO673" s="126"/>
      <c r="MP673" s="126"/>
      <c r="MQ673" s="126"/>
      <c r="MR673" s="126"/>
      <c r="MS673" s="126"/>
      <c r="MT673" s="126"/>
      <c r="MU673" s="126"/>
      <c r="MV673" s="126"/>
      <c r="MW673" s="126"/>
      <c r="MX673" s="126"/>
      <c r="MY673" s="126"/>
      <c r="MZ673" s="126"/>
      <c r="NA673" s="126"/>
      <c r="NB673" s="126"/>
      <c r="NC673" s="126"/>
      <c r="ND673" s="126"/>
      <c r="NE673" s="126"/>
      <c r="NF673" s="126"/>
      <c r="NG673" s="126"/>
      <c r="NH673" s="126"/>
      <c r="NI673" s="126"/>
      <c r="NJ673" s="126"/>
      <c r="NK673" s="126"/>
      <c r="NL673" s="126"/>
      <c r="NM673" s="126"/>
      <c r="NN673" s="126"/>
      <c r="NO673" s="126"/>
      <c r="NP673" s="126"/>
      <c r="NQ673" s="126"/>
      <c r="NR673" s="126"/>
      <c r="NS673" s="126"/>
      <c r="NT673" s="126"/>
      <c r="NU673" s="126"/>
      <c r="NV673" s="126"/>
      <c r="NW673" s="126"/>
      <c r="NX673" s="126"/>
      <c r="NY673" s="126"/>
      <c r="NZ673" s="126"/>
      <c r="OA673" s="126"/>
      <c r="OB673" s="126"/>
      <c r="OC673" s="126"/>
      <c r="OD673" s="126"/>
      <c r="OE673" s="126"/>
      <c r="OF673" s="126"/>
      <c r="OG673" s="126"/>
      <c r="OH673" s="126"/>
      <c r="OI673" s="126"/>
      <c r="OJ673" s="126"/>
      <c r="OK673" s="126"/>
      <c r="OL673" s="126"/>
      <c r="OM673" s="126"/>
      <c r="ON673" s="126"/>
      <c r="OO673" s="126"/>
      <c r="OP673" s="126"/>
      <c r="OQ673" s="126"/>
      <c r="OR673" s="126"/>
      <c r="OS673" s="126"/>
      <c r="OT673" s="126"/>
      <c r="OU673" s="126"/>
      <c r="OV673" s="126"/>
      <c r="OW673" s="126"/>
      <c r="OX673" s="126"/>
      <c r="OY673" s="126"/>
      <c r="OZ673" s="126"/>
      <c r="PA673" s="126"/>
      <c r="PB673" s="126"/>
      <c r="PC673" s="126"/>
      <c r="PD673" s="126"/>
      <c r="PE673" s="126"/>
      <c r="PF673" s="126"/>
      <c r="PG673" s="126"/>
      <c r="PH673" s="126"/>
      <c r="PI673" s="126"/>
      <c r="PJ673" s="126"/>
      <c r="PK673" s="126"/>
      <c r="PL673" s="126"/>
      <c r="PM673" s="126"/>
      <c r="PN673" s="126"/>
      <c r="PO673" s="126"/>
      <c r="PP673" s="126"/>
      <c r="PQ673" s="126"/>
      <c r="PR673" s="126"/>
      <c r="PS673" s="126"/>
      <c r="PT673" s="126"/>
      <c r="PU673" s="126"/>
      <c r="PV673" s="126"/>
      <c r="PW673" s="126"/>
      <c r="PX673" s="126"/>
      <c r="PY673" s="126"/>
      <c r="PZ673" s="126"/>
      <c r="QA673" s="126"/>
      <c r="QB673" s="126"/>
      <c r="QC673" s="126"/>
      <c r="QD673" s="126"/>
      <c r="QE673" s="126"/>
      <c r="QF673" s="126"/>
      <c r="QG673" s="126"/>
      <c r="QH673" s="126"/>
      <c r="QI673" s="126"/>
      <c r="QJ673" s="126"/>
      <c r="QK673" s="126"/>
      <c r="QL673" s="126"/>
      <c r="QM673" s="126"/>
      <c r="QN673" s="126"/>
      <c r="QO673" s="126"/>
      <c r="QP673" s="126"/>
      <c r="QQ673" s="126"/>
      <c r="QR673" s="126"/>
      <c r="QS673" s="126"/>
      <c r="QT673" s="126"/>
      <c r="QU673" s="126"/>
      <c r="QV673" s="126"/>
      <c r="QW673" s="126"/>
      <c r="QX673" s="126"/>
      <c r="QY673" s="126"/>
      <c r="QZ673" s="126"/>
      <c r="RA673" s="126"/>
      <c r="RB673" s="126"/>
      <c r="RC673" s="126"/>
      <c r="RD673" s="126"/>
      <c r="RE673" s="126"/>
      <c r="RF673" s="126"/>
      <c r="RG673" s="126"/>
      <c r="RH673" s="126"/>
      <c r="RI673" s="126"/>
      <c r="RJ673" s="126"/>
      <c r="RK673" s="126"/>
      <c r="RL673" s="126"/>
      <c r="RM673" s="126"/>
      <c r="RN673" s="126"/>
      <c r="RO673" s="126"/>
      <c r="RP673" s="126"/>
      <c r="RQ673" s="126"/>
      <c r="RR673" s="126"/>
      <c r="RS673" s="126"/>
      <c r="RT673" s="126"/>
      <c r="RU673" s="126"/>
      <c r="RV673" s="126"/>
      <c r="RW673" s="126"/>
      <c r="RX673" s="126"/>
      <c r="RY673" s="126"/>
      <c r="RZ673" s="126"/>
      <c r="SA673" s="126"/>
      <c r="SB673" s="126"/>
      <c r="SC673" s="126"/>
      <c r="SD673" s="126"/>
      <c r="SE673" s="126"/>
      <c r="SF673" s="126"/>
      <c r="SG673" s="126"/>
      <c r="SH673" s="126"/>
      <c r="SI673" s="126"/>
      <c r="SJ673" s="126"/>
      <c r="SK673" s="126"/>
      <c r="SL673" s="126"/>
      <c r="SM673" s="126"/>
      <c r="SN673" s="126"/>
      <c r="SO673" s="126"/>
      <c r="SP673" s="126"/>
      <c r="SQ673" s="126"/>
      <c r="SR673" s="126"/>
      <c r="SS673" s="126"/>
      <c r="ST673" s="126"/>
      <c r="SU673" s="126"/>
      <c r="SV673" s="126"/>
      <c r="SW673" s="126"/>
      <c r="SX673" s="126"/>
      <c r="SY673" s="126"/>
      <c r="SZ673" s="126"/>
      <c r="TA673" s="126"/>
      <c r="TB673" s="126"/>
      <c r="TC673" s="126"/>
      <c r="TD673" s="126"/>
      <c r="TE673" s="126"/>
      <c r="TF673" s="126"/>
      <c r="TG673" s="126"/>
      <c r="TH673" s="126"/>
      <c r="TI673" s="126"/>
      <c r="TJ673" s="126"/>
      <c r="TK673" s="126"/>
      <c r="TL673" s="126"/>
      <c r="TM673" s="126"/>
      <c r="TN673" s="126"/>
      <c r="TO673" s="126"/>
      <c r="TP673" s="126"/>
      <c r="TQ673" s="126"/>
      <c r="TR673" s="126"/>
      <c r="TS673" s="126"/>
      <c r="TT673" s="126"/>
      <c r="TU673" s="126"/>
      <c r="TV673" s="126"/>
      <c r="TW673" s="126"/>
      <c r="TX673" s="126"/>
      <c r="TY673" s="126"/>
      <c r="TZ673" s="126"/>
      <c r="UA673" s="126"/>
      <c r="UB673" s="126"/>
      <c r="UC673" s="126"/>
      <c r="UD673" s="126"/>
      <c r="UE673" s="126"/>
      <c r="UF673" s="126"/>
      <c r="UG673" s="126"/>
      <c r="UH673" s="126"/>
      <c r="UI673" s="126"/>
      <c r="UJ673" s="126"/>
      <c r="UK673" s="126"/>
      <c r="UL673" s="126"/>
      <c r="UM673" s="126"/>
      <c r="UN673" s="126"/>
      <c r="UO673" s="126"/>
      <c r="UP673" s="126"/>
      <c r="UQ673" s="126"/>
      <c r="UR673" s="126"/>
      <c r="US673" s="126"/>
      <c r="UT673" s="126"/>
      <c r="UU673" s="126"/>
      <c r="UV673" s="126"/>
      <c r="UW673" s="126"/>
      <c r="UX673" s="126"/>
      <c r="UY673" s="126"/>
      <c r="UZ673" s="126"/>
      <c r="VA673" s="126"/>
      <c r="VB673" s="126"/>
      <c r="VC673" s="126"/>
      <c r="VD673" s="126"/>
      <c r="VE673" s="126"/>
      <c r="VF673" s="126"/>
      <c r="VG673" s="126"/>
      <c r="VH673" s="126"/>
      <c r="VI673" s="126"/>
      <c r="VJ673" s="126"/>
      <c r="VK673" s="126"/>
      <c r="VL673" s="126"/>
      <c r="VM673" s="126"/>
      <c r="VN673" s="126"/>
      <c r="VO673" s="126"/>
      <c r="VP673" s="126"/>
      <c r="VQ673" s="126"/>
      <c r="VR673" s="126"/>
      <c r="VS673" s="126"/>
      <c r="VT673" s="126"/>
      <c r="VU673" s="126"/>
      <c r="VV673" s="126"/>
      <c r="VW673" s="126"/>
      <c r="VX673" s="126"/>
      <c r="VY673" s="126"/>
      <c r="VZ673" s="126"/>
      <c r="WA673" s="126"/>
      <c r="WB673" s="126"/>
      <c r="WC673" s="126"/>
      <c r="WD673" s="126"/>
      <c r="WE673" s="126"/>
      <c r="WF673" s="126"/>
      <c r="WG673" s="126"/>
      <c r="WH673" s="126"/>
      <c r="WI673" s="126"/>
      <c r="WJ673" s="126"/>
      <c r="WK673" s="126"/>
      <c r="WL673" s="126"/>
      <c r="WM673" s="126"/>
      <c r="WN673" s="126"/>
      <c r="WO673" s="126"/>
      <c r="WP673" s="126"/>
      <c r="WQ673" s="126"/>
      <c r="WR673" s="126"/>
      <c r="WS673" s="126"/>
      <c r="WT673" s="126"/>
      <c r="WU673" s="126"/>
      <c r="WV673" s="126"/>
      <c r="WW673" s="126"/>
      <c r="WX673" s="126"/>
      <c r="WY673" s="126"/>
      <c r="WZ673" s="126"/>
      <c r="XA673" s="126"/>
      <c r="XB673" s="126"/>
      <c r="XC673" s="126"/>
      <c r="XD673" s="126"/>
      <c r="XE673" s="126"/>
      <c r="XF673" s="126"/>
      <c r="XG673" s="126"/>
      <c r="XH673" s="126"/>
      <c r="XI673" s="126"/>
      <c r="XJ673" s="126"/>
      <c r="XK673" s="126"/>
      <c r="XL673" s="126"/>
      <c r="XM673" s="126"/>
      <c r="XN673" s="126"/>
      <c r="XO673" s="126"/>
      <c r="XP673" s="126"/>
      <c r="XQ673" s="126"/>
      <c r="XR673" s="126"/>
      <c r="XS673" s="126"/>
      <c r="XT673" s="126"/>
      <c r="XU673" s="126"/>
      <c r="XV673" s="126"/>
      <c r="XW673" s="126"/>
      <c r="XX673" s="126"/>
      <c r="XY673" s="126"/>
      <c r="XZ673" s="126"/>
      <c r="YA673" s="126"/>
      <c r="YB673" s="126"/>
      <c r="YC673" s="126"/>
      <c r="YD673" s="126"/>
      <c r="YE673" s="126"/>
      <c r="YF673" s="126"/>
      <c r="YG673" s="126"/>
      <c r="YH673" s="126"/>
      <c r="YI673" s="126"/>
      <c r="YJ673" s="126"/>
      <c r="YK673" s="126"/>
      <c r="YL673" s="126"/>
      <c r="YM673" s="126"/>
      <c r="YN673" s="126"/>
      <c r="YO673" s="126"/>
      <c r="YP673" s="126"/>
      <c r="YQ673" s="126"/>
      <c r="YR673" s="126"/>
      <c r="YS673" s="126"/>
      <c r="YT673" s="126"/>
      <c r="YU673" s="126"/>
      <c r="YV673" s="126"/>
      <c r="YW673" s="126"/>
      <c r="YX673" s="126"/>
      <c r="YY673" s="126"/>
      <c r="YZ673" s="126"/>
      <c r="ZA673" s="126"/>
      <c r="ZB673" s="126"/>
      <c r="ZC673" s="126"/>
      <c r="ZD673" s="126"/>
      <c r="ZE673" s="126"/>
      <c r="ZF673" s="126"/>
      <c r="ZG673" s="126"/>
      <c r="ZH673" s="126"/>
      <c r="ZI673" s="126"/>
      <c r="ZJ673" s="126"/>
      <c r="ZK673" s="126"/>
      <c r="ZL673" s="126"/>
      <c r="ZM673" s="126"/>
      <c r="ZN673" s="126"/>
      <c r="ZO673" s="126"/>
      <c r="ZP673" s="126"/>
      <c r="ZQ673" s="126"/>
      <c r="ZR673" s="126"/>
      <c r="ZS673" s="126"/>
      <c r="ZT673" s="126"/>
      <c r="ZU673" s="126"/>
      <c r="ZV673" s="126"/>
      <c r="ZW673" s="126"/>
      <c r="ZX673" s="126"/>
      <c r="ZY673" s="126"/>
      <c r="ZZ673" s="126"/>
      <c r="AAA673" s="126"/>
      <c r="AAB673" s="126"/>
      <c r="AAC673" s="126"/>
      <c r="AAD673" s="126"/>
      <c r="AAE673" s="126"/>
      <c r="AAF673" s="126"/>
      <c r="AAG673" s="126"/>
      <c r="AAH673" s="126"/>
      <c r="AAI673" s="126"/>
      <c r="AAJ673" s="126"/>
      <c r="AAK673" s="126"/>
      <c r="AAL673" s="126"/>
      <c r="AAM673" s="126"/>
      <c r="AAN673" s="126"/>
      <c r="AAO673" s="126"/>
      <c r="AAP673" s="126"/>
      <c r="AAQ673" s="126"/>
      <c r="AAR673" s="126"/>
      <c r="AAS673" s="126"/>
      <c r="AAT673" s="126"/>
      <c r="AAU673" s="126"/>
      <c r="AAV673" s="126"/>
      <c r="AAW673" s="126"/>
      <c r="AAX673" s="126"/>
      <c r="AAY673" s="126"/>
      <c r="AAZ673" s="126"/>
      <c r="ABA673" s="126"/>
      <c r="ABB673" s="126"/>
      <c r="ABC673" s="126"/>
      <c r="ABD673" s="126"/>
      <c r="ABE673" s="126"/>
      <c r="ABF673" s="126"/>
      <c r="ABG673" s="126"/>
      <c r="ABH673" s="126"/>
      <c r="ABI673" s="126"/>
      <c r="ABJ673" s="126"/>
      <c r="ABK673" s="126"/>
      <c r="ABL673" s="126"/>
      <c r="ABM673" s="126"/>
      <c r="ABN673" s="126"/>
      <c r="ABO673" s="126"/>
      <c r="ABP673" s="126"/>
      <c r="ABQ673" s="126"/>
      <c r="ABR673" s="126"/>
      <c r="ABS673" s="126"/>
      <c r="ABT673" s="126"/>
      <c r="ABU673" s="126"/>
      <c r="ABV673" s="126"/>
      <c r="ABW673" s="126"/>
      <c r="ABX673" s="126"/>
      <c r="ABY673" s="126"/>
      <c r="ABZ673" s="126"/>
      <c r="ACA673" s="126"/>
      <c r="ACB673" s="126"/>
      <c r="ACC673" s="126"/>
      <c r="ACD673" s="126"/>
      <c r="ACE673" s="126"/>
      <c r="ACF673" s="126"/>
      <c r="ACG673" s="126"/>
      <c r="ACH673" s="126"/>
      <c r="ACI673" s="126"/>
      <c r="ACJ673" s="126"/>
      <c r="ACK673" s="126"/>
      <c r="ACL673" s="126"/>
      <c r="ACM673" s="126"/>
      <c r="ACN673" s="126"/>
      <c r="ACO673" s="126"/>
      <c r="ACP673" s="126"/>
      <c r="ACQ673" s="126"/>
      <c r="ACR673" s="126"/>
      <c r="ACS673" s="126"/>
      <c r="ACT673" s="126"/>
      <c r="ACU673" s="126"/>
      <c r="ACV673" s="126"/>
      <c r="ACW673" s="126"/>
      <c r="ACX673" s="126"/>
      <c r="ACY673" s="126"/>
      <c r="ACZ673" s="126"/>
      <c r="ADA673" s="126"/>
      <c r="ADB673" s="126"/>
      <c r="ADC673" s="126"/>
      <c r="ADD673" s="126"/>
      <c r="ADE673" s="126"/>
      <c r="ADF673" s="126"/>
      <c r="ADG673" s="126"/>
      <c r="ADH673" s="126"/>
      <c r="ADI673" s="126"/>
      <c r="ADJ673" s="126"/>
      <c r="ADK673" s="126"/>
      <c r="ADL673" s="126"/>
      <c r="ADM673" s="126"/>
      <c r="ADN673" s="126"/>
      <c r="ADO673" s="126"/>
      <c r="ADP673" s="126"/>
      <c r="ADQ673" s="126"/>
      <c r="ADR673" s="126"/>
      <c r="ADS673" s="126"/>
      <c r="ADT673" s="126"/>
      <c r="ADU673" s="126"/>
      <c r="ADV673" s="126"/>
      <c r="ADW673" s="126"/>
      <c r="ADX673" s="126"/>
      <c r="ADY673" s="126"/>
      <c r="ADZ673" s="126"/>
      <c r="AEA673" s="126"/>
      <c r="AEB673" s="126"/>
      <c r="AEC673" s="126"/>
      <c r="AED673" s="126"/>
      <c r="AEE673" s="126"/>
      <c r="AEF673" s="126"/>
      <c r="AEG673" s="126"/>
      <c r="AEH673" s="126"/>
      <c r="AEI673" s="126"/>
      <c r="AEJ673" s="126"/>
      <c r="AEK673" s="126"/>
      <c r="AEL673" s="126"/>
      <c r="AEM673" s="126"/>
      <c r="AEN673" s="126"/>
      <c r="AEO673" s="126"/>
      <c r="AEP673" s="126"/>
      <c r="AEQ673" s="126"/>
      <c r="AER673" s="126"/>
      <c r="AES673" s="126"/>
      <c r="AET673" s="126"/>
      <c r="AEU673" s="126"/>
      <c r="AEV673" s="126"/>
      <c r="AEW673" s="126"/>
      <c r="AEX673" s="126"/>
      <c r="AEY673" s="126"/>
      <c r="AEZ673" s="126"/>
      <c r="AFA673" s="126"/>
      <c r="AFB673" s="126"/>
      <c r="AFC673" s="126"/>
      <c r="AFD673" s="126"/>
      <c r="AFE673" s="126"/>
      <c r="AFF673" s="126"/>
      <c r="AFG673" s="126"/>
      <c r="AFH673" s="126"/>
      <c r="AFI673" s="126"/>
      <c r="AFJ673" s="126"/>
      <c r="AFK673" s="126"/>
      <c r="AFL673" s="126"/>
      <c r="AFM673" s="126"/>
      <c r="AFN673" s="126"/>
      <c r="AFO673" s="126"/>
      <c r="AFP673" s="126"/>
      <c r="AFQ673" s="126"/>
      <c r="AFR673" s="126"/>
      <c r="AFS673" s="126"/>
      <c r="AFT673" s="126"/>
      <c r="AFU673" s="126"/>
      <c r="AFV673" s="126"/>
      <c r="AFW673" s="126"/>
      <c r="AFX673" s="126"/>
      <c r="AFY673" s="126"/>
      <c r="AFZ673" s="126"/>
      <c r="AGA673" s="126"/>
      <c r="AGB673" s="126"/>
      <c r="AGC673" s="126"/>
      <c r="AGD673" s="126"/>
      <c r="AGE673" s="126"/>
      <c r="AGF673" s="126"/>
      <c r="AGG673" s="126"/>
      <c r="AGH673" s="126"/>
      <c r="AGI673" s="126"/>
      <c r="AGJ673" s="126"/>
      <c r="AGK673" s="126"/>
      <c r="AGL673" s="126"/>
      <c r="AGM673" s="126"/>
      <c r="AGN673" s="126"/>
      <c r="AGO673" s="126"/>
      <c r="AGP673" s="126"/>
      <c r="AGQ673" s="126"/>
      <c r="AGR673" s="126"/>
      <c r="AGS673" s="126"/>
      <c r="AGT673" s="126"/>
      <c r="AGU673" s="126"/>
      <c r="AGV673" s="126"/>
      <c r="AGW673" s="126"/>
      <c r="AGX673" s="126"/>
      <c r="AGY673" s="126"/>
      <c r="AGZ673" s="126"/>
      <c r="AHA673" s="126"/>
      <c r="AHB673" s="126"/>
      <c r="AHC673" s="126"/>
      <c r="AHD673" s="126"/>
      <c r="AHE673" s="126"/>
      <c r="AHF673" s="126"/>
      <c r="AHG673" s="126"/>
      <c r="AHH673" s="126"/>
      <c r="AHI673" s="126"/>
      <c r="AHJ673" s="126"/>
      <c r="AHK673" s="126"/>
      <c r="AHL673" s="126"/>
      <c r="AHM673" s="126"/>
      <c r="AHN673" s="126"/>
      <c r="AHO673" s="126"/>
      <c r="AHP673" s="126"/>
      <c r="AHQ673" s="126"/>
      <c r="AHR673" s="126"/>
      <c r="AHS673" s="126"/>
      <c r="AHT673" s="126"/>
      <c r="AHU673" s="126"/>
      <c r="AHV673" s="126"/>
      <c r="AHW673" s="126"/>
      <c r="AHX673" s="126"/>
      <c r="AHY673" s="126"/>
      <c r="AHZ673" s="126"/>
      <c r="AIA673" s="126"/>
      <c r="AIB673" s="126"/>
      <c r="AIC673" s="126"/>
      <c r="AID673" s="126"/>
      <c r="AIE673" s="126"/>
      <c r="AIF673" s="126"/>
      <c r="AIG673" s="126"/>
      <c r="AIH673" s="126"/>
      <c r="AII673" s="126"/>
      <c r="AIJ673" s="126"/>
      <c r="AIK673" s="126"/>
      <c r="AIL673" s="126"/>
      <c r="AIM673" s="126"/>
      <c r="AIN673" s="126"/>
      <c r="AIO673" s="126"/>
      <c r="AIP673" s="126"/>
      <c r="AIQ673" s="126"/>
      <c r="AIR673" s="126"/>
      <c r="AIS673" s="126"/>
      <c r="AIT673" s="126"/>
      <c r="AIU673" s="126"/>
      <c r="AIV673" s="126"/>
      <c r="AIW673" s="126"/>
      <c r="AIX673" s="126"/>
      <c r="AIY673" s="126"/>
      <c r="AIZ673" s="126"/>
      <c r="AJA673" s="126"/>
      <c r="AJB673" s="126"/>
      <c r="AJC673" s="126"/>
      <c r="AJD673" s="126"/>
      <c r="AJE673" s="126"/>
      <c r="AJF673" s="126"/>
      <c r="AJG673" s="126"/>
      <c r="AJH673" s="126"/>
      <c r="AJI673" s="126"/>
      <c r="AJJ673" s="126"/>
      <c r="AJK673" s="126"/>
      <c r="AJL673" s="126"/>
      <c r="AJM673" s="126"/>
      <c r="AJN673" s="126"/>
      <c r="AJO673" s="126"/>
      <c r="AJP673" s="126"/>
      <c r="AJQ673" s="126"/>
      <c r="AJR673" s="126"/>
      <c r="AJS673" s="126"/>
      <c r="AJT673" s="126"/>
      <c r="AJU673" s="126"/>
      <c r="AJV673" s="126"/>
      <c r="AJW673" s="126"/>
      <c r="AJX673" s="126"/>
      <c r="AJY673" s="126"/>
      <c r="AJZ673" s="126"/>
      <c r="AKA673" s="126"/>
      <c r="AKB673" s="126"/>
      <c r="AKC673" s="126"/>
      <c r="AKD673" s="126"/>
      <c r="AKE673" s="126"/>
      <c r="AKF673" s="126"/>
      <c r="AKG673" s="126"/>
      <c r="AKH673" s="126"/>
      <c r="AKI673" s="126"/>
      <c r="AKJ673" s="126"/>
      <c r="AKK673" s="126"/>
      <c r="AKL673" s="126"/>
      <c r="AKM673" s="126"/>
      <c r="AKN673" s="126"/>
      <c r="AKO673" s="126"/>
      <c r="AKP673" s="126"/>
      <c r="AKQ673" s="126"/>
      <c r="AKR673" s="126"/>
      <c r="AKS673" s="126"/>
      <c r="AKT673" s="126"/>
      <c r="AKU673" s="126"/>
      <c r="AKV673" s="126"/>
      <c r="AKW673" s="126"/>
      <c r="AKX673" s="126"/>
      <c r="AKY673" s="126"/>
      <c r="AKZ673" s="126"/>
      <c r="ALA673" s="126"/>
      <c r="ALB673" s="126"/>
      <c r="ALC673" s="126"/>
      <c r="ALD673" s="126"/>
      <c r="ALE673" s="126"/>
      <c r="ALF673" s="126"/>
      <c r="ALG673" s="126"/>
      <c r="ALH673" s="126"/>
      <c r="ALI673" s="126"/>
      <c r="ALJ673" s="126"/>
      <c r="ALK673" s="126"/>
      <c r="ALL673" s="126"/>
      <c r="ALM673" s="126"/>
      <c r="ALN673" s="126"/>
      <c r="ALO673" s="126"/>
      <c r="ALP673" s="126"/>
      <c r="ALQ673" s="126"/>
      <c r="ALR673" s="126"/>
      <c r="ALS673" s="126"/>
      <c r="ALT673" s="126"/>
      <c r="ALU673" s="126"/>
      <c r="ALV673" s="126"/>
      <c r="ALW673" s="126"/>
      <c r="ALX673" s="126"/>
      <c r="ALY673" s="126"/>
      <c r="ALZ673" s="126"/>
      <c r="AMA673" s="126"/>
      <c r="AMB673" s="126"/>
      <c r="AMC673" s="126"/>
      <c r="AMD673" s="126"/>
      <c r="AME673" s="126"/>
      <c r="AMF673" s="126"/>
      <c r="AMG673" s="126"/>
      <c r="AMH673" s="126"/>
      <c r="AMI673" s="126"/>
      <c r="AMJ673" s="126"/>
      <c r="AMK673" s="126"/>
      <c r="AML673" s="126"/>
      <c r="AMM673" s="126"/>
      <c r="AMN673" s="126"/>
      <c r="AMO673" s="126"/>
      <c r="AMP673" s="126"/>
      <c r="AMQ673" s="126"/>
      <c r="AMR673" s="126"/>
      <c r="AMS673" s="126"/>
      <c r="AMT673" s="126"/>
      <c r="AMU673" s="126"/>
      <c r="AMV673" s="126"/>
      <c r="AMW673" s="126"/>
      <c r="AMX673" s="126"/>
      <c r="AMY673" s="126"/>
      <c r="AMZ673" s="126"/>
      <c r="ANA673" s="126"/>
      <c r="ANB673" s="126"/>
      <c r="ANC673" s="126"/>
      <c r="AND673" s="126"/>
      <c r="ANE673" s="126"/>
      <c r="ANF673" s="126"/>
      <c r="ANG673" s="126"/>
      <c r="ANH673" s="126"/>
      <c r="ANI673" s="126"/>
      <c r="ANJ673" s="126"/>
      <c r="ANK673" s="126"/>
      <c r="ANL673" s="126"/>
      <c r="ANM673" s="126"/>
      <c r="ANN673" s="126"/>
      <c r="ANO673" s="126"/>
      <c r="ANP673" s="126"/>
      <c r="ANQ673" s="126"/>
      <c r="ANR673" s="126"/>
      <c r="ANS673" s="126"/>
      <c r="ANT673" s="126"/>
      <c r="ANU673" s="126"/>
      <c r="ANV673" s="126"/>
      <c r="ANW673" s="126"/>
      <c r="ANX673" s="126"/>
      <c r="ANY673" s="126"/>
      <c r="ANZ673" s="126"/>
      <c r="AOA673" s="126"/>
      <c r="AOB673" s="126"/>
      <c r="AOC673" s="126"/>
      <c r="AOD673" s="126"/>
      <c r="AOE673" s="126"/>
      <c r="AOF673" s="126"/>
      <c r="AOG673" s="126"/>
      <c r="AOH673" s="126"/>
      <c r="AOI673" s="126"/>
      <c r="AOJ673" s="126"/>
      <c r="AOK673" s="126"/>
      <c r="AOL673" s="126"/>
      <c r="AOM673" s="126"/>
      <c r="AON673" s="126"/>
      <c r="AOO673" s="126"/>
      <c r="AOP673" s="126"/>
      <c r="AOQ673" s="126"/>
      <c r="AOR673" s="126"/>
      <c r="AOS673" s="126"/>
      <c r="AOT673" s="126"/>
      <c r="AOU673" s="126"/>
      <c r="AOV673" s="126"/>
      <c r="AOW673" s="126"/>
      <c r="AOX673" s="126"/>
      <c r="AOY673" s="126"/>
      <c r="AOZ673" s="126"/>
      <c r="APA673" s="126"/>
      <c r="APB673" s="126"/>
      <c r="APC673" s="126"/>
      <c r="APD673" s="126"/>
      <c r="APE673" s="126"/>
      <c r="APF673" s="126"/>
      <c r="APG673" s="126"/>
      <c r="APH673" s="126"/>
      <c r="API673" s="126"/>
      <c r="APJ673" s="126"/>
      <c r="APK673" s="126"/>
      <c r="APL673" s="126"/>
      <c r="APM673" s="126"/>
      <c r="APN673" s="126"/>
      <c r="APO673" s="126"/>
      <c r="APP673" s="126"/>
      <c r="APQ673" s="126"/>
      <c r="APR673" s="126"/>
      <c r="APS673" s="126"/>
      <c r="APT673" s="126"/>
      <c r="APU673" s="126"/>
      <c r="APV673" s="126"/>
      <c r="APW673" s="126"/>
      <c r="APX673" s="126"/>
      <c r="APY673" s="126"/>
      <c r="APZ673" s="126"/>
      <c r="AQA673" s="126"/>
      <c r="AQB673" s="126"/>
      <c r="AQC673" s="126"/>
      <c r="AQD673" s="126"/>
      <c r="AQE673" s="126"/>
      <c r="AQF673" s="126"/>
      <c r="AQG673" s="126"/>
      <c r="AQH673" s="126"/>
      <c r="AQI673" s="126"/>
      <c r="AQJ673" s="126"/>
      <c r="AQK673" s="126"/>
      <c r="AQL673" s="126"/>
      <c r="AQM673" s="126"/>
      <c r="AQN673" s="126"/>
      <c r="AQO673" s="126"/>
      <c r="AQP673" s="126"/>
      <c r="AQQ673" s="126"/>
      <c r="AQR673" s="126"/>
      <c r="AQS673" s="126"/>
      <c r="AQT673" s="126"/>
      <c r="AQU673" s="126"/>
      <c r="AQV673" s="126"/>
      <c r="AQW673" s="126"/>
      <c r="AQX673" s="126"/>
      <c r="AQY673" s="126"/>
      <c r="AQZ673" s="126"/>
      <c r="ARA673" s="126"/>
      <c r="ARB673" s="126"/>
      <c r="ARC673" s="126"/>
      <c r="ARD673" s="126"/>
      <c r="ARE673" s="126"/>
      <c r="ARF673" s="126"/>
      <c r="ARG673" s="126"/>
      <c r="ARH673" s="126"/>
      <c r="ARI673" s="126"/>
      <c r="ARJ673" s="126"/>
      <c r="ARK673" s="126"/>
      <c r="ARL673" s="126"/>
      <c r="ARM673" s="126"/>
      <c r="ARN673" s="126"/>
      <c r="ARO673" s="126"/>
      <c r="ARP673" s="126"/>
      <c r="ARQ673" s="126"/>
      <c r="ARR673" s="126"/>
      <c r="ARS673" s="126"/>
      <c r="ART673" s="126"/>
      <c r="ARU673" s="126"/>
      <c r="ARV673" s="126"/>
      <c r="ARW673" s="126"/>
      <c r="ARX673" s="126"/>
      <c r="ARY673" s="126"/>
      <c r="ARZ673" s="126"/>
      <c r="ASA673" s="126"/>
      <c r="ASB673" s="126"/>
      <c r="ASC673" s="126"/>
      <c r="ASD673" s="126"/>
      <c r="ASE673" s="126"/>
      <c r="ASF673" s="126"/>
      <c r="ASG673" s="126"/>
      <c r="ASH673" s="126"/>
      <c r="ASI673" s="126"/>
      <c r="ASJ673" s="126"/>
      <c r="ASK673" s="126"/>
      <c r="ASL673" s="126"/>
      <c r="ASM673" s="126"/>
      <c r="ASN673" s="126"/>
      <c r="ASO673" s="126"/>
      <c r="ASP673" s="126"/>
      <c r="ASQ673" s="126"/>
      <c r="ASR673" s="126"/>
      <c r="ASS673" s="126"/>
      <c r="AST673" s="126"/>
      <c r="ASU673" s="126"/>
      <c r="ASV673" s="126"/>
      <c r="ASW673" s="126"/>
      <c r="ASX673" s="126"/>
      <c r="ASY673" s="126"/>
      <c r="ASZ673" s="126"/>
      <c r="ATA673" s="126"/>
      <c r="ATB673" s="126"/>
      <c r="ATC673" s="126"/>
      <c r="ATD673" s="126"/>
      <c r="ATE673" s="126"/>
      <c r="ATF673" s="126"/>
      <c r="ATG673" s="126"/>
      <c r="ATH673" s="126"/>
      <c r="ATI673" s="126"/>
      <c r="ATJ673" s="126"/>
      <c r="ATK673" s="126"/>
      <c r="ATL673" s="126"/>
      <c r="ATM673" s="126"/>
      <c r="ATN673" s="126"/>
      <c r="ATO673" s="126"/>
    </row>
    <row r="674" spans="1:1211" s="171" customFormat="1">
      <c r="A674" s="884"/>
      <c r="B674" s="885"/>
      <c r="C674"/>
      <c r="E674" s="886"/>
      <c r="F674" s="1217"/>
      <c r="G674" s="882"/>
      <c r="H674" s="882"/>
      <c r="I674" s="882"/>
      <c r="J674" s="887"/>
      <c r="K674" s="1094"/>
      <c r="L674" s="412"/>
      <c r="M674" s="1094"/>
      <c r="N674" s="411"/>
      <c r="O674" s="652"/>
      <c r="P674" s="126"/>
      <c r="Q674" s="1481"/>
      <c r="R674" s="126"/>
      <c r="S674" s="126"/>
      <c r="T674" s="126"/>
      <c r="U674" s="126"/>
      <c r="V674" s="126"/>
      <c r="W674" s="126"/>
      <c r="X674" s="126"/>
      <c r="Y674" s="126"/>
      <c r="Z674" s="126"/>
      <c r="AA674" s="126"/>
      <c r="AB674" s="126"/>
      <c r="AC674" s="126"/>
      <c r="AD674" s="126"/>
      <c r="AE674" s="126"/>
      <c r="AF674" s="126"/>
      <c r="AG674" s="126"/>
      <c r="AH674" s="126"/>
      <c r="AI674" s="126"/>
      <c r="AJ674" s="126"/>
      <c r="AK674" s="126"/>
      <c r="AL674" s="126"/>
      <c r="AM674" s="126"/>
      <c r="AN674" s="126"/>
      <c r="AO674" s="126"/>
      <c r="AP674" s="126"/>
      <c r="AQ674" s="126"/>
      <c r="AR674" s="126"/>
      <c r="AS674" s="126"/>
      <c r="AT674" s="126"/>
      <c r="AU674" s="126"/>
      <c r="AV674" s="126"/>
      <c r="AW674" s="126"/>
      <c r="AX674" s="126"/>
      <c r="AY674" s="126"/>
      <c r="AZ674" s="126"/>
      <c r="BA674" s="126"/>
      <c r="BB674" s="126"/>
      <c r="BC674" s="126"/>
      <c r="BD674" s="126"/>
      <c r="BE674" s="126"/>
      <c r="BF674" s="126"/>
      <c r="BG674" s="126"/>
      <c r="BH674" s="126"/>
      <c r="BI674" s="126"/>
      <c r="BJ674" s="126"/>
      <c r="BK674" s="126"/>
      <c r="BL674" s="126"/>
      <c r="BM674" s="126"/>
      <c r="BN674" s="126"/>
      <c r="BO674" s="126"/>
      <c r="BP674" s="126"/>
      <c r="BQ674" s="126"/>
      <c r="BR674" s="126"/>
      <c r="BS674" s="126"/>
      <c r="BT674" s="126"/>
      <c r="BU674" s="126"/>
      <c r="BV674" s="126"/>
      <c r="BW674" s="126"/>
      <c r="BX674" s="126"/>
      <c r="BY674" s="126"/>
      <c r="BZ674" s="126"/>
      <c r="CA674" s="126"/>
      <c r="CB674" s="126"/>
      <c r="CC674" s="126"/>
      <c r="CD674" s="126"/>
      <c r="CE674" s="126"/>
      <c r="CF674" s="126"/>
      <c r="CG674" s="126"/>
      <c r="CH674" s="126"/>
      <c r="CI674" s="126"/>
      <c r="CJ674" s="126"/>
      <c r="CK674" s="126"/>
      <c r="CL674" s="126"/>
      <c r="CM674" s="126"/>
      <c r="CN674" s="126"/>
      <c r="CO674" s="126"/>
      <c r="CP674" s="126"/>
      <c r="CQ674" s="126"/>
      <c r="CR674" s="126"/>
      <c r="CS674" s="126"/>
      <c r="CT674" s="126"/>
      <c r="CU674" s="126"/>
      <c r="CV674" s="126"/>
      <c r="CW674" s="126"/>
      <c r="CX674" s="126"/>
      <c r="CY674" s="126"/>
      <c r="CZ674" s="126"/>
      <c r="DA674" s="126"/>
      <c r="DB674" s="126"/>
      <c r="DC674" s="126"/>
      <c r="DD674" s="126"/>
      <c r="DE674" s="126"/>
      <c r="DF674" s="126"/>
      <c r="DG674" s="126"/>
      <c r="DH674" s="126"/>
      <c r="DI674" s="126"/>
      <c r="DJ674" s="126"/>
      <c r="DK674" s="126"/>
      <c r="DL674" s="126"/>
      <c r="DM674" s="126"/>
      <c r="DN674" s="126"/>
      <c r="DO674" s="126"/>
      <c r="DP674" s="126"/>
      <c r="DQ674" s="126"/>
      <c r="DR674" s="126"/>
      <c r="DS674" s="126"/>
      <c r="DT674" s="126"/>
      <c r="DU674" s="126"/>
      <c r="DV674" s="126"/>
      <c r="DW674" s="126"/>
      <c r="DX674" s="126"/>
      <c r="DY674" s="126"/>
      <c r="DZ674" s="126"/>
      <c r="EA674" s="126"/>
      <c r="EB674" s="126"/>
      <c r="EC674" s="126"/>
      <c r="ED674" s="126"/>
      <c r="EE674" s="126"/>
      <c r="EF674" s="126"/>
      <c r="EG674" s="126"/>
      <c r="EH674" s="126"/>
      <c r="EI674" s="126"/>
      <c r="EJ674" s="126"/>
      <c r="EK674" s="126"/>
      <c r="EL674" s="126"/>
      <c r="EM674" s="126"/>
      <c r="EN674" s="126"/>
      <c r="EO674" s="126"/>
      <c r="EP674" s="126"/>
      <c r="EQ674" s="126"/>
      <c r="ER674" s="126"/>
      <c r="ES674" s="126"/>
      <c r="ET674" s="126"/>
      <c r="EU674" s="126"/>
      <c r="EV674" s="126"/>
      <c r="EW674" s="126"/>
      <c r="EX674" s="126"/>
      <c r="EY674" s="126"/>
      <c r="EZ674" s="126"/>
      <c r="FA674" s="126"/>
      <c r="FB674" s="126"/>
      <c r="FC674" s="126"/>
      <c r="FD674" s="126"/>
      <c r="FE674" s="126"/>
      <c r="FF674" s="126"/>
      <c r="FG674" s="126"/>
      <c r="FH674" s="126"/>
      <c r="FI674" s="126"/>
      <c r="FJ674" s="126"/>
      <c r="FK674" s="126"/>
      <c r="FL674" s="126"/>
      <c r="FM674" s="126"/>
      <c r="FN674" s="126"/>
      <c r="FO674" s="126"/>
      <c r="FP674" s="126"/>
      <c r="FQ674" s="126"/>
      <c r="FR674" s="126"/>
      <c r="FS674" s="126"/>
      <c r="FT674" s="126"/>
      <c r="FU674" s="126"/>
      <c r="FV674" s="126"/>
      <c r="FW674" s="126"/>
      <c r="FX674" s="126"/>
      <c r="FY674" s="126"/>
      <c r="FZ674" s="126"/>
      <c r="GA674" s="126"/>
      <c r="GB674" s="126"/>
      <c r="GC674" s="126"/>
      <c r="GD674" s="126"/>
      <c r="GE674" s="126"/>
      <c r="GF674" s="126"/>
      <c r="GG674" s="126"/>
      <c r="GH674" s="126"/>
      <c r="GI674" s="126"/>
      <c r="GJ674" s="126"/>
      <c r="GK674" s="126"/>
      <c r="GL674" s="126"/>
      <c r="GM674" s="126"/>
      <c r="GN674" s="126"/>
      <c r="GO674" s="126"/>
      <c r="GP674" s="126"/>
      <c r="GQ674" s="126"/>
      <c r="GR674" s="126"/>
      <c r="GS674" s="126"/>
      <c r="GT674" s="126"/>
      <c r="GU674" s="126"/>
      <c r="GV674" s="126"/>
      <c r="GW674" s="126"/>
      <c r="GX674" s="126"/>
      <c r="GY674" s="126"/>
      <c r="GZ674" s="126"/>
      <c r="HA674" s="126"/>
      <c r="HB674" s="126"/>
      <c r="HC674" s="126"/>
      <c r="HD674" s="126"/>
      <c r="HE674" s="126"/>
      <c r="HF674" s="126"/>
      <c r="HG674" s="126"/>
      <c r="HH674" s="126"/>
      <c r="HI674" s="126"/>
      <c r="HJ674" s="126"/>
      <c r="HK674" s="126"/>
      <c r="HL674" s="126"/>
      <c r="HM674" s="126"/>
      <c r="HN674" s="126"/>
      <c r="HO674" s="126"/>
      <c r="HP674" s="126"/>
      <c r="HQ674" s="126"/>
      <c r="HR674" s="126"/>
      <c r="HS674" s="126"/>
      <c r="HT674" s="126"/>
      <c r="HU674" s="126"/>
      <c r="HV674" s="126"/>
      <c r="HW674" s="126"/>
      <c r="HX674" s="126"/>
      <c r="HY674" s="126"/>
      <c r="HZ674" s="126"/>
      <c r="IA674" s="126"/>
      <c r="IB674" s="126"/>
      <c r="IC674" s="126"/>
      <c r="ID674" s="126"/>
      <c r="IE674" s="126"/>
      <c r="IF674" s="126"/>
      <c r="IG674" s="126"/>
      <c r="IH674" s="126"/>
      <c r="II674" s="126"/>
      <c r="IJ674" s="126"/>
      <c r="IK674" s="126"/>
      <c r="IL674" s="126"/>
      <c r="IM674" s="126"/>
      <c r="IN674" s="126"/>
      <c r="IO674" s="126"/>
      <c r="IP674" s="126"/>
      <c r="IQ674" s="126"/>
      <c r="IR674" s="126"/>
      <c r="IS674" s="126"/>
      <c r="IT674" s="126"/>
      <c r="IU674" s="126"/>
      <c r="IV674" s="126"/>
      <c r="IW674" s="126"/>
      <c r="IX674" s="126"/>
      <c r="IY674" s="126"/>
      <c r="IZ674" s="126"/>
      <c r="JA674" s="126"/>
      <c r="JB674" s="126"/>
      <c r="JC674" s="126"/>
      <c r="JD674" s="126"/>
      <c r="JE674" s="126"/>
      <c r="JF674" s="126"/>
      <c r="JG674" s="126"/>
      <c r="JH674" s="126"/>
      <c r="JI674" s="126"/>
      <c r="JJ674" s="126"/>
      <c r="JK674" s="126"/>
      <c r="JL674" s="126"/>
      <c r="JM674" s="126"/>
      <c r="JN674" s="126"/>
      <c r="JO674" s="126"/>
      <c r="JP674" s="126"/>
      <c r="JQ674" s="126"/>
      <c r="JR674" s="126"/>
      <c r="JS674" s="126"/>
      <c r="JT674" s="126"/>
      <c r="JU674" s="126"/>
      <c r="JV674" s="126"/>
      <c r="JW674" s="126"/>
      <c r="JX674" s="126"/>
      <c r="JY674" s="126"/>
      <c r="JZ674" s="126"/>
      <c r="KA674" s="126"/>
      <c r="KB674" s="126"/>
      <c r="KC674" s="126"/>
      <c r="KD674" s="126"/>
      <c r="KE674" s="126"/>
      <c r="KF674" s="126"/>
      <c r="KG674" s="126"/>
      <c r="KH674" s="126"/>
      <c r="KI674" s="126"/>
      <c r="KJ674" s="126"/>
      <c r="KK674" s="126"/>
      <c r="KL674" s="126"/>
      <c r="KM674" s="126"/>
      <c r="KN674" s="126"/>
      <c r="KO674" s="126"/>
      <c r="KP674" s="126"/>
      <c r="KQ674" s="126"/>
      <c r="KR674" s="126"/>
      <c r="KS674" s="126"/>
      <c r="KT674" s="126"/>
      <c r="KU674" s="126"/>
      <c r="KV674" s="126"/>
      <c r="KW674" s="126"/>
      <c r="KX674" s="126"/>
      <c r="KY674" s="126"/>
      <c r="KZ674" s="126"/>
      <c r="LA674" s="126"/>
      <c r="LB674" s="126"/>
      <c r="LC674" s="126"/>
      <c r="LD674" s="126"/>
      <c r="LE674" s="126"/>
      <c r="LF674" s="126"/>
      <c r="LG674" s="126"/>
      <c r="LH674" s="126"/>
      <c r="LI674" s="126"/>
      <c r="LJ674" s="126"/>
      <c r="LK674" s="126"/>
      <c r="LL674" s="126"/>
      <c r="LM674" s="126"/>
      <c r="LN674" s="126"/>
      <c r="LO674" s="126"/>
      <c r="LP674" s="126"/>
      <c r="LQ674" s="126"/>
      <c r="LR674" s="126"/>
      <c r="LS674" s="126"/>
      <c r="LT674" s="126"/>
      <c r="LU674" s="126"/>
      <c r="LV674" s="126"/>
      <c r="LW674" s="126"/>
      <c r="LX674" s="126"/>
      <c r="LY674" s="126"/>
      <c r="LZ674" s="126"/>
      <c r="MA674" s="126"/>
      <c r="MB674" s="126"/>
      <c r="MC674" s="126"/>
      <c r="MD674" s="126"/>
      <c r="ME674" s="126"/>
      <c r="MF674" s="126"/>
      <c r="MG674" s="126"/>
      <c r="MH674" s="126"/>
      <c r="MI674" s="126"/>
      <c r="MJ674" s="126"/>
      <c r="MK674" s="126"/>
      <c r="ML674" s="126"/>
      <c r="MM674" s="126"/>
      <c r="MN674" s="126"/>
      <c r="MO674" s="126"/>
      <c r="MP674" s="126"/>
      <c r="MQ674" s="126"/>
      <c r="MR674" s="126"/>
      <c r="MS674" s="126"/>
      <c r="MT674" s="126"/>
      <c r="MU674" s="126"/>
      <c r="MV674" s="126"/>
      <c r="MW674" s="126"/>
      <c r="MX674" s="126"/>
      <c r="MY674" s="126"/>
      <c r="MZ674" s="126"/>
      <c r="NA674" s="126"/>
      <c r="NB674" s="126"/>
      <c r="NC674" s="126"/>
      <c r="ND674" s="126"/>
      <c r="NE674" s="126"/>
      <c r="NF674" s="126"/>
      <c r="NG674" s="126"/>
      <c r="NH674" s="126"/>
      <c r="NI674" s="126"/>
      <c r="NJ674" s="126"/>
      <c r="NK674" s="126"/>
      <c r="NL674" s="126"/>
      <c r="NM674" s="126"/>
      <c r="NN674" s="126"/>
      <c r="NO674" s="126"/>
      <c r="NP674" s="126"/>
      <c r="NQ674" s="126"/>
      <c r="NR674" s="126"/>
      <c r="NS674" s="126"/>
      <c r="NT674" s="126"/>
      <c r="NU674" s="126"/>
      <c r="NV674" s="126"/>
      <c r="NW674" s="126"/>
      <c r="NX674" s="126"/>
      <c r="NY674" s="126"/>
      <c r="NZ674" s="126"/>
      <c r="OA674" s="126"/>
      <c r="OB674" s="126"/>
      <c r="OC674" s="126"/>
      <c r="OD674" s="126"/>
      <c r="OE674" s="126"/>
      <c r="OF674" s="126"/>
      <c r="OG674" s="126"/>
      <c r="OH674" s="126"/>
      <c r="OI674" s="126"/>
      <c r="OJ674" s="126"/>
      <c r="OK674" s="126"/>
      <c r="OL674" s="126"/>
      <c r="OM674" s="126"/>
      <c r="ON674" s="126"/>
      <c r="OO674" s="126"/>
      <c r="OP674" s="126"/>
      <c r="OQ674" s="126"/>
      <c r="OR674" s="126"/>
      <c r="OS674" s="126"/>
      <c r="OT674" s="126"/>
      <c r="OU674" s="126"/>
      <c r="OV674" s="126"/>
      <c r="OW674" s="126"/>
      <c r="OX674" s="126"/>
      <c r="OY674" s="126"/>
      <c r="OZ674" s="126"/>
      <c r="PA674" s="126"/>
      <c r="PB674" s="126"/>
      <c r="PC674" s="126"/>
      <c r="PD674" s="126"/>
      <c r="PE674" s="126"/>
      <c r="PF674" s="126"/>
      <c r="PG674" s="126"/>
      <c r="PH674" s="126"/>
      <c r="PI674" s="126"/>
      <c r="PJ674" s="126"/>
      <c r="PK674" s="126"/>
      <c r="PL674" s="126"/>
      <c r="PM674" s="126"/>
      <c r="PN674" s="126"/>
      <c r="PO674" s="126"/>
      <c r="PP674" s="126"/>
      <c r="PQ674" s="126"/>
      <c r="PR674" s="126"/>
      <c r="PS674" s="126"/>
      <c r="PT674" s="126"/>
      <c r="PU674" s="126"/>
      <c r="PV674" s="126"/>
      <c r="PW674" s="126"/>
      <c r="PX674" s="126"/>
      <c r="PY674" s="126"/>
      <c r="PZ674" s="126"/>
      <c r="QA674" s="126"/>
      <c r="QB674" s="126"/>
      <c r="QC674" s="126"/>
      <c r="QD674" s="126"/>
      <c r="QE674" s="126"/>
      <c r="QF674" s="126"/>
      <c r="QG674" s="126"/>
      <c r="QH674" s="126"/>
      <c r="QI674" s="126"/>
      <c r="QJ674" s="126"/>
      <c r="QK674" s="126"/>
      <c r="QL674" s="126"/>
      <c r="QM674" s="126"/>
      <c r="QN674" s="126"/>
      <c r="QO674" s="126"/>
      <c r="QP674" s="126"/>
      <c r="QQ674" s="126"/>
      <c r="QR674" s="126"/>
      <c r="QS674" s="126"/>
      <c r="QT674" s="126"/>
      <c r="QU674" s="126"/>
      <c r="QV674" s="126"/>
      <c r="QW674" s="126"/>
      <c r="QX674" s="126"/>
      <c r="QY674" s="126"/>
      <c r="QZ674" s="126"/>
      <c r="RA674" s="126"/>
      <c r="RB674" s="126"/>
      <c r="RC674" s="126"/>
      <c r="RD674" s="126"/>
      <c r="RE674" s="126"/>
      <c r="RF674" s="126"/>
      <c r="RG674" s="126"/>
      <c r="RH674" s="126"/>
      <c r="RI674" s="126"/>
      <c r="RJ674" s="126"/>
      <c r="RK674" s="126"/>
      <c r="RL674" s="126"/>
      <c r="RM674" s="126"/>
      <c r="RN674" s="126"/>
      <c r="RO674" s="126"/>
      <c r="RP674" s="126"/>
      <c r="RQ674" s="126"/>
      <c r="RR674" s="126"/>
      <c r="RS674" s="126"/>
      <c r="RT674" s="126"/>
      <c r="RU674" s="126"/>
      <c r="RV674" s="126"/>
      <c r="RW674" s="126"/>
      <c r="RX674" s="126"/>
      <c r="RY674" s="126"/>
      <c r="RZ674" s="126"/>
      <c r="SA674" s="126"/>
      <c r="SB674" s="126"/>
      <c r="SC674" s="126"/>
      <c r="SD674" s="126"/>
      <c r="SE674" s="126"/>
      <c r="SF674" s="126"/>
      <c r="SG674" s="126"/>
      <c r="SH674" s="126"/>
      <c r="SI674" s="126"/>
      <c r="SJ674" s="126"/>
      <c r="SK674" s="126"/>
      <c r="SL674" s="126"/>
      <c r="SM674" s="126"/>
      <c r="SN674" s="126"/>
      <c r="SO674" s="126"/>
      <c r="SP674" s="126"/>
      <c r="SQ674" s="126"/>
      <c r="SR674" s="126"/>
      <c r="SS674" s="126"/>
      <c r="ST674" s="126"/>
      <c r="SU674" s="126"/>
      <c r="SV674" s="126"/>
      <c r="SW674" s="126"/>
      <c r="SX674" s="126"/>
      <c r="SY674" s="126"/>
      <c r="SZ674" s="126"/>
      <c r="TA674" s="126"/>
      <c r="TB674" s="126"/>
      <c r="TC674" s="126"/>
      <c r="TD674" s="126"/>
      <c r="TE674" s="126"/>
      <c r="TF674" s="126"/>
      <c r="TG674" s="126"/>
      <c r="TH674" s="126"/>
      <c r="TI674" s="126"/>
      <c r="TJ674" s="126"/>
      <c r="TK674" s="126"/>
      <c r="TL674" s="126"/>
      <c r="TM674" s="126"/>
      <c r="TN674" s="126"/>
      <c r="TO674" s="126"/>
      <c r="TP674" s="126"/>
      <c r="TQ674" s="126"/>
      <c r="TR674" s="126"/>
      <c r="TS674" s="126"/>
      <c r="TT674" s="126"/>
      <c r="TU674" s="126"/>
      <c r="TV674" s="126"/>
      <c r="TW674" s="126"/>
      <c r="TX674" s="126"/>
      <c r="TY674" s="126"/>
      <c r="TZ674" s="126"/>
      <c r="UA674" s="126"/>
      <c r="UB674" s="126"/>
      <c r="UC674" s="126"/>
      <c r="UD674" s="126"/>
      <c r="UE674" s="126"/>
      <c r="UF674" s="126"/>
      <c r="UG674" s="126"/>
      <c r="UH674" s="126"/>
      <c r="UI674" s="126"/>
      <c r="UJ674" s="126"/>
      <c r="UK674" s="126"/>
      <c r="UL674" s="126"/>
      <c r="UM674" s="126"/>
      <c r="UN674" s="126"/>
      <c r="UO674" s="126"/>
      <c r="UP674" s="126"/>
      <c r="UQ674" s="126"/>
      <c r="UR674" s="126"/>
      <c r="US674" s="126"/>
      <c r="UT674" s="126"/>
      <c r="UU674" s="126"/>
      <c r="UV674" s="126"/>
      <c r="UW674" s="126"/>
      <c r="UX674" s="126"/>
      <c r="UY674" s="126"/>
      <c r="UZ674" s="126"/>
      <c r="VA674" s="126"/>
      <c r="VB674" s="126"/>
      <c r="VC674" s="126"/>
      <c r="VD674" s="126"/>
      <c r="VE674" s="126"/>
      <c r="VF674" s="126"/>
      <c r="VG674" s="126"/>
      <c r="VH674" s="126"/>
      <c r="VI674" s="126"/>
      <c r="VJ674" s="126"/>
      <c r="VK674" s="126"/>
      <c r="VL674" s="126"/>
      <c r="VM674" s="126"/>
      <c r="VN674" s="126"/>
      <c r="VO674" s="126"/>
      <c r="VP674" s="126"/>
      <c r="VQ674" s="126"/>
      <c r="VR674" s="126"/>
      <c r="VS674" s="126"/>
      <c r="VT674" s="126"/>
      <c r="VU674" s="126"/>
      <c r="VV674" s="126"/>
      <c r="VW674" s="126"/>
      <c r="VX674" s="126"/>
      <c r="VY674" s="126"/>
      <c r="VZ674" s="126"/>
      <c r="WA674" s="126"/>
      <c r="WB674" s="126"/>
      <c r="WC674" s="126"/>
      <c r="WD674" s="126"/>
      <c r="WE674" s="126"/>
      <c r="WF674" s="126"/>
      <c r="WG674" s="126"/>
      <c r="WH674" s="126"/>
      <c r="WI674" s="126"/>
      <c r="WJ674" s="126"/>
      <c r="WK674" s="126"/>
      <c r="WL674" s="126"/>
      <c r="WM674" s="126"/>
      <c r="WN674" s="126"/>
      <c r="WO674" s="126"/>
      <c r="WP674" s="126"/>
      <c r="WQ674" s="126"/>
      <c r="WR674" s="126"/>
      <c r="WS674" s="126"/>
      <c r="WT674" s="126"/>
      <c r="WU674" s="126"/>
      <c r="WV674" s="126"/>
      <c r="WW674" s="126"/>
      <c r="WX674" s="126"/>
      <c r="WY674" s="126"/>
      <c r="WZ674" s="126"/>
      <c r="XA674" s="126"/>
      <c r="XB674" s="126"/>
      <c r="XC674" s="126"/>
      <c r="XD674" s="126"/>
      <c r="XE674" s="126"/>
      <c r="XF674" s="126"/>
      <c r="XG674" s="126"/>
      <c r="XH674" s="126"/>
      <c r="XI674" s="126"/>
      <c r="XJ674" s="126"/>
      <c r="XK674" s="126"/>
      <c r="XL674" s="126"/>
      <c r="XM674" s="126"/>
      <c r="XN674" s="126"/>
      <c r="XO674" s="126"/>
      <c r="XP674" s="126"/>
      <c r="XQ674" s="126"/>
      <c r="XR674" s="126"/>
      <c r="XS674" s="126"/>
      <c r="XT674" s="126"/>
      <c r="XU674" s="126"/>
      <c r="XV674" s="126"/>
      <c r="XW674" s="126"/>
      <c r="XX674" s="126"/>
      <c r="XY674" s="126"/>
      <c r="XZ674" s="126"/>
      <c r="YA674" s="126"/>
      <c r="YB674" s="126"/>
      <c r="YC674" s="126"/>
      <c r="YD674" s="126"/>
      <c r="YE674" s="126"/>
      <c r="YF674" s="126"/>
      <c r="YG674" s="126"/>
      <c r="YH674" s="126"/>
      <c r="YI674" s="126"/>
      <c r="YJ674" s="126"/>
      <c r="YK674" s="126"/>
      <c r="YL674" s="126"/>
      <c r="YM674" s="126"/>
      <c r="YN674" s="126"/>
      <c r="YO674" s="126"/>
      <c r="YP674" s="126"/>
      <c r="YQ674" s="126"/>
      <c r="YR674" s="126"/>
      <c r="YS674" s="126"/>
      <c r="YT674" s="126"/>
      <c r="YU674" s="126"/>
      <c r="YV674" s="126"/>
      <c r="YW674" s="126"/>
      <c r="YX674" s="126"/>
      <c r="YY674" s="126"/>
      <c r="YZ674" s="126"/>
      <c r="ZA674" s="126"/>
      <c r="ZB674" s="126"/>
      <c r="ZC674" s="126"/>
      <c r="ZD674" s="126"/>
      <c r="ZE674" s="126"/>
      <c r="ZF674" s="126"/>
      <c r="ZG674" s="126"/>
      <c r="ZH674" s="126"/>
      <c r="ZI674" s="126"/>
      <c r="ZJ674" s="126"/>
      <c r="ZK674" s="126"/>
      <c r="ZL674" s="126"/>
      <c r="ZM674" s="126"/>
      <c r="ZN674" s="126"/>
      <c r="ZO674" s="126"/>
      <c r="ZP674" s="126"/>
      <c r="ZQ674" s="126"/>
      <c r="ZR674" s="126"/>
      <c r="ZS674" s="126"/>
      <c r="ZT674" s="126"/>
      <c r="ZU674" s="126"/>
      <c r="ZV674" s="126"/>
      <c r="ZW674" s="126"/>
      <c r="ZX674" s="126"/>
      <c r="ZY674" s="126"/>
      <c r="ZZ674" s="126"/>
      <c r="AAA674" s="126"/>
      <c r="AAB674" s="126"/>
      <c r="AAC674" s="126"/>
      <c r="AAD674" s="126"/>
      <c r="AAE674" s="126"/>
      <c r="AAF674" s="126"/>
      <c r="AAG674" s="126"/>
      <c r="AAH674" s="126"/>
      <c r="AAI674" s="126"/>
      <c r="AAJ674" s="126"/>
      <c r="AAK674" s="126"/>
      <c r="AAL674" s="126"/>
      <c r="AAM674" s="126"/>
      <c r="AAN674" s="126"/>
      <c r="AAO674" s="126"/>
      <c r="AAP674" s="126"/>
      <c r="AAQ674" s="126"/>
      <c r="AAR674" s="126"/>
      <c r="AAS674" s="126"/>
      <c r="AAT674" s="126"/>
      <c r="AAU674" s="126"/>
      <c r="AAV674" s="126"/>
      <c r="AAW674" s="126"/>
      <c r="AAX674" s="126"/>
      <c r="AAY674" s="126"/>
      <c r="AAZ674" s="126"/>
      <c r="ABA674" s="126"/>
      <c r="ABB674" s="126"/>
      <c r="ABC674" s="126"/>
      <c r="ABD674" s="126"/>
      <c r="ABE674" s="126"/>
      <c r="ABF674" s="126"/>
      <c r="ABG674" s="126"/>
      <c r="ABH674" s="126"/>
      <c r="ABI674" s="126"/>
      <c r="ABJ674" s="126"/>
      <c r="ABK674" s="126"/>
      <c r="ABL674" s="126"/>
      <c r="ABM674" s="126"/>
      <c r="ABN674" s="126"/>
      <c r="ABO674" s="126"/>
      <c r="ABP674" s="126"/>
      <c r="ABQ674" s="126"/>
      <c r="ABR674" s="126"/>
      <c r="ABS674" s="126"/>
      <c r="ABT674" s="126"/>
      <c r="ABU674" s="126"/>
      <c r="ABV674" s="126"/>
      <c r="ABW674" s="126"/>
      <c r="ABX674" s="126"/>
      <c r="ABY674" s="126"/>
      <c r="ABZ674" s="126"/>
      <c r="ACA674" s="126"/>
      <c r="ACB674" s="126"/>
      <c r="ACC674" s="126"/>
      <c r="ACD674" s="126"/>
      <c r="ACE674" s="126"/>
      <c r="ACF674" s="126"/>
      <c r="ACG674" s="126"/>
      <c r="ACH674" s="126"/>
      <c r="ACI674" s="126"/>
      <c r="ACJ674" s="126"/>
      <c r="ACK674" s="126"/>
      <c r="ACL674" s="126"/>
      <c r="ACM674" s="126"/>
      <c r="ACN674" s="126"/>
      <c r="ACO674" s="126"/>
      <c r="ACP674" s="126"/>
      <c r="ACQ674" s="126"/>
      <c r="ACR674" s="126"/>
      <c r="ACS674" s="126"/>
      <c r="ACT674" s="126"/>
      <c r="ACU674" s="126"/>
      <c r="ACV674" s="126"/>
      <c r="ACW674" s="126"/>
      <c r="ACX674" s="126"/>
      <c r="ACY674" s="126"/>
      <c r="ACZ674" s="126"/>
      <c r="ADA674" s="126"/>
      <c r="ADB674" s="126"/>
      <c r="ADC674" s="126"/>
      <c r="ADD674" s="126"/>
      <c r="ADE674" s="126"/>
      <c r="ADF674" s="126"/>
      <c r="ADG674" s="126"/>
      <c r="ADH674" s="126"/>
      <c r="ADI674" s="126"/>
      <c r="ADJ674" s="126"/>
      <c r="ADK674" s="126"/>
      <c r="ADL674" s="126"/>
      <c r="ADM674" s="126"/>
      <c r="ADN674" s="126"/>
      <c r="ADO674" s="126"/>
      <c r="ADP674" s="126"/>
      <c r="ADQ674" s="126"/>
      <c r="ADR674" s="126"/>
      <c r="ADS674" s="126"/>
      <c r="ADT674" s="126"/>
      <c r="ADU674" s="126"/>
      <c r="ADV674" s="126"/>
      <c r="ADW674" s="126"/>
      <c r="ADX674" s="126"/>
      <c r="ADY674" s="126"/>
      <c r="ADZ674" s="126"/>
      <c r="AEA674" s="126"/>
      <c r="AEB674" s="126"/>
      <c r="AEC674" s="126"/>
      <c r="AED674" s="126"/>
      <c r="AEE674" s="126"/>
      <c r="AEF674" s="126"/>
      <c r="AEG674" s="126"/>
      <c r="AEH674" s="126"/>
      <c r="AEI674" s="126"/>
      <c r="AEJ674" s="126"/>
      <c r="AEK674" s="126"/>
      <c r="AEL674" s="126"/>
      <c r="AEM674" s="126"/>
      <c r="AEN674" s="126"/>
      <c r="AEO674" s="126"/>
      <c r="AEP674" s="126"/>
      <c r="AEQ674" s="126"/>
      <c r="AER674" s="126"/>
      <c r="AES674" s="126"/>
      <c r="AET674" s="126"/>
      <c r="AEU674" s="126"/>
      <c r="AEV674" s="126"/>
      <c r="AEW674" s="126"/>
      <c r="AEX674" s="126"/>
      <c r="AEY674" s="126"/>
      <c r="AEZ674" s="126"/>
      <c r="AFA674" s="126"/>
      <c r="AFB674" s="126"/>
      <c r="AFC674" s="126"/>
      <c r="AFD674" s="126"/>
      <c r="AFE674" s="126"/>
      <c r="AFF674" s="126"/>
      <c r="AFG674" s="126"/>
      <c r="AFH674" s="126"/>
      <c r="AFI674" s="126"/>
      <c r="AFJ674" s="126"/>
      <c r="AFK674" s="126"/>
      <c r="AFL674" s="126"/>
      <c r="AFM674" s="126"/>
      <c r="AFN674" s="126"/>
      <c r="AFO674" s="126"/>
      <c r="AFP674" s="126"/>
      <c r="AFQ674" s="126"/>
      <c r="AFR674" s="126"/>
      <c r="AFS674" s="126"/>
      <c r="AFT674" s="126"/>
      <c r="AFU674" s="126"/>
      <c r="AFV674" s="126"/>
      <c r="AFW674" s="126"/>
      <c r="AFX674" s="126"/>
      <c r="AFY674" s="126"/>
      <c r="AFZ674" s="126"/>
      <c r="AGA674" s="126"/>
      <c r="AGB674" s="126"/>
      <c r="AGC674" s="126"/>
      <c r="AGD674" s="126"/>
      <c r="AGE674" s="126"/>
      <c r="AGF674" s="126"/>
      <c r="AGG674" s="126"/>
      <c r="AGH674" s="126"/>
      <c r="AGI674" s="126"/>
      <c r="AGJ674" s="126"/>
      <c r="AGK674" s="126"/>
      <c r="AGL674" s="126"/>
      <c r="AGM674" s="126"/>
      <c r="AGN674" s="126"/>
      <c r="AGO674" s="126"/>
      <c r="AGP674" s="126"/>
      <c r="AGQ674" s="126"/>
      <c r="AGR674" s="126"/>
      <c r="AGS674" s="126"/>
      <c r="AGT674" s="126"/>
      <c r="AGU674" s="126"/>
      <c r="AGV674" s="126"/>
      <c r="AGW674" s="126"/>
      <c r="AGX674" s="126"/>
      <c r="AGY674" s="126"/>
      <c r="AGZ674" s="126"/>
      <c r="AHA674" s="126"/>
      <c r="AHB674" s="126"/>
      <c r="AHC674" s="126"/>
      <c r="AHD674" s="126"/>
      <c r="AHE674" s="126"/>
      <c r="AHF674" s="126"/>
      <c r="AHG674" s="126"/>
      <c r="AHH674" s="126"/>
      <c r="AHI674" s="126"/>
      <c r="AHJ674" s="126"/>
      <c r="AHK674" s="126"/>
      <c r="AHL674" s="126"/>
      <c r="AHM674" s="126"/>
      <c r="AHN674" s="126"/>
      <c r="AHO674" s="126"/>
      <c r="AHP674" s="126"/>
      <c r="AHQ674" s="126"/>
      <c r="AHR674" s="126"/>
      <c r="AHS674" s="126"/>
      <c r="AHT674" s="126"/>
      <c r="AHU674" s="126"/>
      <c r="AHV674" s="126"/>
      <c r="AHW674" s="126"/>
      <c r="AHX674" s="126"/>
      <c r="AHY674" s="126"/>
      <c r="AHZ674" s="126"/>
      <c r="AIA674" s="126"/>
      <c r="AIB674" s="126"/>
      <c r="AIC674" s="126"/>
      <c r="AID674" s="126"/>
      <c r="AIE674" s="126"/>
      <c r="AIF674" s="126"/>
      <c r="AIG674" s="126"/>
      <c r="AIH674" s="126"/>
      <c r="AII674" s="126"/>
      <c r="AIJ674" s="126"/>
      <c r="AIK674" s="126"/>
      <c r="AIL674" s="126"/>
      <c r="AIM674" s="126"/>
      <c r="AIN674" s="126"/>
      <c r="AIO674" s="126"/>
      <c r="AIP674" s="126"/>
      <c r="AIQ674" s="126"/>
      <c r="AIR674" s="126"/>
      <c r="AIS674" s="126"/>
      <c r="AIT674" s="126"/>
      <c r="AIU674" s="126"/>
      <c r="AIV674" s="126"/>
      <c r="AIW674" s="126"/>
      <c r="AIX674" s="126"/>
      <c r="AIY674" s="126"/>
      <c r="AIZ674" s="126"/>
      <c r="AJA674" s="126"/>
      <c r="AJB674" s="126"/>
      <c r="AJC674" s="126"/>
      <c r="AJD674" s="126"/>
      <c r="AJE674" s="126"/>
      <c r="AJF674" s="126"/>
      <c r="AJG674" s="126"/>
      <c r="AJH674" s="126"/>
      <c r="AJI674" s="126"/>
      <c r="AJJ674" s="126"/>
      <c r="AJK674" s="126"/>
      <c r="AJL674" s="126"/>
      <c r="AJM674" s="126"/>
      <c r="AJN674" s="126"/>
      <c r="AJO674" s="126"/>
      <c r="AJP674" s="126"/>
      <c r="AJQ674" s="126"/>
      <c r="AJR674" s="126"/>
      <c r="AJS674" s="126"/>
      <c r="AJT674" s="126"/>
      <c r="AJU674" s="126"/>
      <c r="AJV674" s="126"/>
      <c r="AJW674" s="126"/>
      <c r="AJX674" s="126"/>
      <c r="AJY674" s="126"/>
      <c r="AJZ674" s="126"/>
      <c r="AKA674" s="126"/>
      <c r="AKB674" s="126"/>
      <c r="AKC674" s="126"/>
      <c r="AKD674" s="126"/>
      <c r="AKE674" s="126"/>
      <c r="AKF674" s="126"/>
      <c r="AKG674" s="126"/>
      <c r="AKH674" s="126"/>
      <c r="AKI674" s="126"/>
      <c r="AKJ674" s="126"/>
      <c r="AKK674" s="126"/>
      <c r="AKL674" s="126"/>
      <c r="AKM674" s="126"/>
      <c r="AKN674" s="126"/>
      <c r="AKO674" s="126"/>
      <c r="AKP674" s="126"/>
      <c r="AKQ674" s="126"/>
      <c r="AKR674" s="126"/>
      <c r="AKS674" s="126"/>
      <c r="AKT674" s="126"/>
      <c r="AKU674" s="126"/>
      <c r="AKV674" s="126"/>
      <c r="AKW674" s="126"/>
      <c r="AKX674" s="126"/>
      <c r="AKY674" s="126"/>
      <c r="AKZ674" s="126"/>
      <c r="ALA674" s="126"/>
      <c r="ALB674" s="126"/>
      <c r="ALC674" s="126"/>
      <c r="ALD674" s="126"/>
      <c r="ALE674" s="126"/>
      <c r="ALF674" s="126"/>
      <c r="ALG674" s="126"/>
      <c r="ALH674" s="126"/>
      <c r="ALI674" s="126"/>
      <c r="ALJ674" s="126"/>
      <c r="ALK674" s="126"/>
      <c r="ALL674" s="126"/>
      <c r="ALM674" s="126"/>
      <c r="ALN674" s="126"/>
      <c r="ALO674" s="126"/>
      <c r="ALP674" s="126"/>
      <c r="ALQ674" s="126"/>
      <c r="ALR674" s="126"/>
      <c r="ALS674" s="126"/>
      <c r="ALT674" s="126"/>
      <c r="ALU674" s="126"/>
      <c r="ALV674" s="126"/>
      <c r="ALW674" s="126"/>
      <c r="ALX674" s="126"/>
      <c r="ALY674" s="126"/>
      <c r="ALZ674" s="126"/>
      <c r="AMA674" s="126"/>
      <c r="AMB674" s="126"/>
      <c r="AMC674" s="126"/>
      <c r="AMD674" s="126"/>
      <c r="AME674" s="126"/>
      <c r="AMF674" s="126"/>
      <c r="AMG674" s="126"/>
      <c r="AMH674" s="126"/>
      <c r="AMI674" s="126"/>
      <c r="AMJ674" s="126"/>
      <c r="AMK674" s="126"/>
      <c r="AML674" s="126"/>
      <c r="AMM674" s="126"/>
      <c r="AMN674" s="126"/>
      <c r="AMO674" s="126"/>
      <c r="AMP674" s="126"/>
      <c r="AMQ674" s="126"/>
      <c r="AMR674" s="126"/>
      <c r="AMS674" s="126"/>
      <c r="AMT674" s="126"/>
      <c r="AMU674" s="126"/>
      <c r="AMV674" s="126"/>
      <c r="AMW674" s="126"/>
      <c r="AMX674" s="126"/>
      <c r="AMY674" s="126"/>
      <c r="AMZ674" s="126"/>
      <c r="ANA674" s="126"/>
      <c r="ANB674" s="126"/>
      <c r="ANC674" s="126"/>
      <c r="AND674" s="126"/>
      <c r="ANE674" s="126"/>
      <c r="ANF674" s="126"/>
      <c r="ANG674" s="126"/>
      <c r="ANH674" s="126"/>
      <c r="ANI674" s="126"/>
      <c r="ANJ674" s="126"/>
      <c r="ANK674" s="126"/>
      <c r="ANL674" s="126"/>
      <c r="ANM674" s="126"/>
      <c r="ANN674" s="126"/>
      <c r="ANO674" s="126"/>
      <c r="ANP674" s="126"/>
      <c r="ANQ674" s="126"/>
      <c r="ANR674" s="126"/>
      <c r="ANS674" s="126"/>
      <c r="ANT674" s="126"/>
      <c r="ANU674" s="126"/>
      <c r="ANV674" s="126"/>
      <c r="ANW674" s="126"/>
      <c r="ANX674" s="126"/>
      <c r="ANY674" s="126"/>
      <c r="ANZ674" s="126"/>
      <c r="AOA674" s="126"/>
      <c r="AOB674" s="126"/>
      <c r="AOC674" s="126"/>
      <c r="AOD674" s="126"/>
      <c r="AOE674" s="126"/>
      <c r="AOF674" s="126"/>
      <c r="AOG674" s="126"/>
      <c r="AOH674" s="126"/>
      <c r="AOI674" s="126"/>
      <c r="AOJ674" s="126"/>
      <c r="AOK674" s="126"/>
      <c r="AOL674" s="126"/>
      <c r="AOM674" s="126"/>
      <c r="AON674" s="126"/>
      <c r="AOO674" s="126"/>
      <c r="AOP674" s="126"/>
      <c r="AOQ674" s="126"/>
      <c r="AOR674" s="126"/>
      <c r="AOS674" s="126"/>
      <c r="AOT674" s="126"/>
      <c r="AOU674" s="126"/>
      <c r="AOV674" s="126"/>
      <c r="AOW674" s="126"/>
      <c r="AOX674" s="126"/>
      <c r="AOY674" s="126"/>
      <c r="AOZ674" s="126"/>
      <c r="APA674" s="126"/>
      <c r="APB674" s="126"/>
      <c r="APC674" s="126"/>
      <c r="APD674" s="126"/>
      <c r="APE674" s="126"/>
      <c r="APF674" s="126"/>
      <c r="APG674" s="126"/>
      <c r="APH674" s="126"/>
      <c r="API674" s="126"/>
      <c r="APJ674" s="126"/>
      <c r="APK674" s="126"/>
      <c r="APL674" s="126"/>
      <c r="APM674" s="126"/>
      <c r="APN674" s="126"/>
      <c r="APO674" s="126"/>
      <c r="APP674" s="126"/>
      <c r="APQ674" s="126"/>
      <c r="APR674" s="126"/>
      <c r="APS674" s="126"/>
      <c r="APT674" s="126"/>
      <c r="APU674" s="126"/>
      <c r="APV674" s="126"/>
      <c r="APW674" s="126"/>
      <c r="APX674" s="126"/>
      <c r="APY674" s="126"/>
      <c r="APZ674" s="126"/>
      <c r="AQA674" s="126"/>
      <c r="AQB674" s="126"/>
      <c r="AQC674" s="126"/>
      <c r="AQD674" s="126"/>
      <c r="AQE674" s="126"/>
      <c r="AQF674" s="126"/>
      <c r="AQG674" s="126"/>
      <c r="AQH674" s="126"/>
      <c r="AQI674" s="126"/>
      <c r="AQJ674" s="126"/>
      <c r="AQK674" s="126"/>
      <c r="AQL674" s="126"/>
      <c r="AQM674" s="126"/>
      <c r="AQN674" s="126"/>
      <c r="AQO674" s="126"/>
      <c r="AQP674" s="126"/>
      <c r="AQQ674" s="126"/>
      <c r="AQR674" s="126"/>
      <c r="AQS674" s="126"/>
      <c r="AQT674" s="126"/>
      <c r="AQU674" s="126"/>
      <c r="AQV674" s="126"/>
      <c r="AQW674" s="126"/>
      <c r="AQX674" s="126"/>
      <c r="AQY674" s="126"/>
      <c r="AQZ674" s="126"/>
      <c r="ARA674" s="126"/>
      <c r="ARB674" s="126"/>
      <c r="ARC674" s="126"/>
      <c r="ARD674" s="126"/>
      <c r="ARE674" s="126"/>
      <c r="ARF674" s="126"/>
      <c r="ARG674" s="126"/>
      <c r="ARH674" s="126"/>
      <c r="ARI674" s="126"/>
      <c r="ARJ674" s="126"/>
      <c r="ARK674" s="126"/>
      <c r="ARL674" s="126"/>
      <c r="ARM674" s="126"/>
      <c r="ARN674" s="126"/>
      <c r="ARO674" s="126"/>
      <c r="ARP674" s="126"/>
      <c r="ARQ674" s="126"/>
      <c r="ARR674" s="126"/>
      <c r="ARS674" s="126"/>
      <c r="ART674" s="126"/>
      <c r="ARU674" s="126"/>
      <c r="ARV674" s="126"/>
      <c r="ARW674" s="126"/>
      <c r="ARX674" s="126"/>
      <c r="ARY674" s="126"/>
      <c r="ARZ674" s="126"/>
      <c r="ASA674" s="126"/>
      <c r="ASB674" s="126"/>
      <c r="ASC674" s="126"/>
      <c r="ASD674" s="126"/>
      <c r="ASE674" s="126"/>
      <c r="ASF674" s="126"/>
      <c r="ASG674" s="126"/>
      <c r="ASH674" s="126"/>
      <c r="ASI674" s="126"/>
      <c r="ASJ674" s="126"/>
      <c r="ASK674" s="126"/>
      <c r="ASL674" s="126"/>
      <c r="ASM674" s="126"/>
      <c r="ASN674" s="126"/>
      <c r="ASO674" s="126"/>
      <c r="ASP674" s="126"/>
      <c r="ASQ674" s="126"/>
      <c r="ASR674" s="126"/>
      <c r="ASS674" s="126"/>
      <c r="AST674" s="126"/>
      <c r="ASU674" s="126"/>
      <c r="ASV674" s="126"/>
      <c r="ASW674" s="126"/>
      <c r="ASX674" s="126"/>
      <c r="ASY674" s="126"/>
      <c r="ASZ674" s="126"/>
      <c r="ATA674" s="126"/>
      <c r="ATB674" s="126"/>
      <c r="ATC674" s="126"/>
      <c r="ATD674" s="126"/>
      <c r="ATE674" s="126"/>
      <c r="ATF674" s="126"/>
      <c r="ATG674" s="126"/>
      <c r="ATH674" s="126"/>
      <c r="ATI674" s="126"/>
      <c r="ATJ674" s="126"/>
      <c r="ATK674" s="126"/>
      <c r="ATL674" s="126"/>
      <c r="ATM674" s="126"/>
      <c r="ATN674" s="126"/>
      <c r="ATO674" s="126"/>
    </row>
    <row r="675" spans="1:1211" s="171" customFormat="1">
      <c r="A675" s="884"/>
      <c r="B675" s="1931" t="s">
        <v>3298</v>
      </c>
      <c r="C675" s="1143" t="s">
        <v>14227</v>
      </c>
      <c r="E675" s="886"/>
      <c r="F675" s="1217"/>
      <c r="G675" s="882"/>
      <c r="H675" s="882"/>
      <c r="I675" s="882"/>
      <c r="J675" s="887"/>
      <c r="K675" s="1094"/>
      <c r="L675" s="412"/>
      <c r="M675" s="1094"/>
      <c r="N675" s="411"/>
      <c r="O675" s="652"/>
      <c r="P675" s="126"/>
      <c r="Q675" s="1481"/>
      <c r="R675" s="126"/>
      <c r="S675" s="126"/>
      <c r="T675" s="126"/>
      <c r="U675" s="126"/>
      <c r="V675" s="126"/>
      <c r="W675" s="126"/>
      <c r="X675" s="126"/>
      <c r="Y675" s="126"/>
      <c r="Z675" s="126"/>
      <c r="AA675" s="126"/>
      <c r="AB675" s="126"/>
      <c r="AC675" s="126"/>
      <c r="AD675" s="126"/>
      <c r="AE675" s="126"/>
      <c r="AF675" s="126"/>
      <c r="AG675" s="126"/>
      <c r="AH675" s="126"/>
      <c r="AI675" s="126"/>
      <c r="AJ675" s="126"/>
      <c r="AK675" s="126"/>
      <c r="AL675" s="126"/>
      <c r="AM675" s="126"/>
      <c r="AN675" s="126"/>
      <c r="AO675" s="126"/>
      <c r="AP675" s="126"/>
      <c r="AQ675" s="126"/>
      <c r="AR675" s="126"/>
      <c r="AS675" s="126"/>
      <c r="AT675" s="126"/>
      <c r="AU675" s="126"/>
      <c r="AV675" s="126"/>
      <c r="AW675" s="126"/>
      <c r="AX675" s="126"/>
      <c r="AY675" s="126"/>
      <c r="AZ675" s="126"/>
      <c r="BA675" s="126"/>
      <c r="BB675" s="126"/>
      <c r="BC675" s="126"/>
      <c r="BD675" s="126"/>
      <c r="BE675" s="126"/>
      <c r="BF675" s="126"/>
      <c r="BG675" s="126"/>
      <c r="BH675" s="126"/>
      <c r="BI675" s="126"/>
      <c r="BJ675" s="126"/>
      <c r="BK675" s="126"/>
      <c r="BL675" s="126"/>
      <c r="BM675" s="126"/>
      <c r="BN675" s="126"/>
      <c r="BO675" s="126"/>
      <c r="BP675" s="126"/>
      <c r="BQ675" s="126"/>
      <c r="BR675" s="126"/>
      <c r="BS675" s="126"/>
      <c r="BT675" s="126"/>
      <c r="BU675" s="126"/>
      <c r="BV675" s="126"/>
      <c r="BW675" s="126"/>
      <c r="BX675" s="126"/>
      <c r="BY675" s="126"/>
      <c r="BZ675" s="126"/>
      <c r="CA675" s="126"/>
      <c r="CB675" s="126"/>
      <c r="CC675" s="126"/>
      <c r="CD675" s="126"/>
      <c r="CE675" s="126"/>
      <c r="CF675" s="126"/>
      <c r="CG675" s="126"/>
      <c r="CH675" s="126"/>
      <c r="CI675" s="126"/>
      <c r="CJ675" s="126"/>
      <c r="CK675" s="126"/>
      <c r="CL675" s="126"/>
      <c r="CM675" s="126"/>
      <c r="CN675" s="126"/>
      <c r="CO675" s="126"/>
      <c r="CP675" s="126"/>
      <c r="CQ675" s="126"/>
      <c r="CR675" s="126"/>
      <c r="CS675" s="126"/>
      <c r="CT675" s="126"/>
      <c r="CU675" s="126"/>
      <c r="CV675" s="126"/>
      <c r="CW675" s="126"/>
      <c r="CX675" s="126"/>
      <c r="CY675" s="126"/>
      <c r="CZ675" s="126"/>
      <c r="DA675" s="126"/>
      <c r="DB675" s="126"/>
      <c r="DC675" s="126"/>
      <c r="DD675" s="126"/>
      <c r="DE675" s="126"/>
      <c r="DF675" s="126"/>
      <c r="DG675" s="126"/>
      <c r="DH675" s="126"/>
      <c r="DI675" s="126"/>
      <c r="DJ675" s="126"/>
      <c r="DK675" s="126"/>
      <c r="DL675" s="126"/>
      <c r="DM675" s="126"/>
      <c r="DN675" s="126"/>
      <c r="DO675" s="126"/>
      <c r="DP675" s="126"/>
      <c r="DQ675" s="126"/>
      <c r="DR675" s="126"/>
      <c r="DS675" s="126"/>
      <c r="DT675" s="126"/>
      <c r="DU675" s="126"/>
      <c r="DV675" s="126"/>
      <c r="DW675" s="126"/>
      <c r="DX675" s="126"/>
      <c r="DY675" s="126"/>
      <c r="DZ675" s="126"/>
      <c r="EA675" s="126"/>
      <c r="EB675" s="126"/>
      <c r="EC675" s="126"/>
      <c r="ED675" s="126"/>
      <c r="EE675" s="126"/>
      <c r="EF675" s="126"/>
      <c r="EG675" s="126"/>
      <c r="EH675" s="126"/>
      <c r="EI675" s="126"/>
      <c r="EJ675" s="126"/>
      <c r="EK675" s="126"/>
      <c r="EL675" s="126"/>
      <c r="EM675" s="126"/>
      <c r="EN675" s="126"/>
      <c r="EO675" s="126"/>
      <c r="EP675" s="126"/>
      <c r="EQ675" s="126"/>
      <c r="ER675" s="126"/>
      <c r="ES675" s="126"/>
      <c r="ET675" s="126"/>
      <c r="EU675" s="126"/>
      <c r="EV675" s="126"/>
      <c r="EW675" s="126"/>
      <c r="EX675" s="126"/>
      <c r="EY675" s="126"/>
      <c r="EZ675" s="126"/>
      <c r="FA675" s="126"/>
      <c r="FB675" s="126"/>
      <c r="FC675" s="126"/>
      <c r="FD675" s="126"/>
      <c r="FE675" s="126"/>
      <c r="FF675" s="126"/>
      <c r="FG675" s="126"/>
      <c r="FH675" s="126"/>
      <c r="FI675" s="126"/>
      <c r="FJ675" s="126"/>
      <c r="FK675" s="126"/>
      <c r="FL675" s="126"/>
      <c r="FM675" s="126"/>
      <c r="FN675" s="126"/>
      <c r="FO675" s="126"/>
      <c r="FP675" s="126"/>
      <c r="FQ675" s="126"/>
      <c r="FR675" s="126"/>
      <c r="FS675" s="126"/>
      <c r="FT675" s="126"/>
      <c r="FU675" s="126"/>
      <c r="FV675" s="126"/>
      <c r="FW675" s="126"/>
      <c r="FX675" s="126"/>
      <c r="FY675" s="126"/>
      <c r="FZ675" s="126"/>
      <c r="GA675" s="126"/>
      <c r="GB675" s="126"/>
      <c r="GC675" s="126"/>
      <c r="GD675" s="126"/>
      <c r="GE675" s="126"/>
      <c r="GF675" s="126"/>
      <c r="GG675" s="126"/>
      <c r="GH675" s="126"/>
      <c r="GI675" s="126"/>
      <c r="GJ675" s="126"/>
      <c r="GK675" s="126"/>
      <c r="GL675" s="126"/>
      <c r="GM675" s="126"/>
      <c r="GN675" s="126"/>
      <c r="GO675" s="126"/>
      <c r="GP675" s="126"/>
      <c r="GQ675" s="126"/>
      <c r="GR675" s="126"/>
      <c r="GS675" s="126"/>
      <c r="GT675" s="126"/>
      <c r="GU675" s="126"/>
      <c r="GV675" s="126"/>
      <c r="GW675" s="126"/>
      <c r="GX675" s="126"/>
      <c r="GY675" s="126"/>
      <c r="GZ675" s="126"/>
      <c r="HA675" s="126"/>
      <c r="HB675" s="126"/>
      <c r="HC675" s="126"/>
      <c r="HD675" s="126"/>
      <c r="HE675" s="126"/>
      <c r="HF675" s="126"/>
      <c r="HG675" s="126"/>
      <c r="HH675" s="126"/>
      <c r="HI675" s="126"/>
      <c r="HJ675" s="126"/>
      <c r="HK675" s="126"/>
      <c r="HL675" s="126"/>
      <c r="HM675" s="126"/>
      <c r="HN675" s="126"/>
      <c r="HO675" s="126"/>
      <c r="HP675" s="126"/>
      <c r="HQ675" s="126"/>
      <c r="HR675" s="126"/>
      <c r="HS675" s="126"/>
      <c r="HT675" s="126"/>
      <c r="HU675" s="126"/>
      <c r="HV675" s="126"/>
      <c r="HW675" s="126"/>
      <c r="HX675" s="126"/>
      <c r="HY675" s="126"/>
      <c r="HZ675" s="126"/>
      <c r="IA675" s="126"/>
      <c r="IB675" s="126"/>
      <c r="IC675" s="126"/>
      <c r="ID675" s="126"/>
      <c r="IE675" s="126"/>
      <c r="IF675" s="126"/>
      <c r="IG675" s="126"/>
      <c r="IH675" s="126"/>
      <c r="II675" s="126"/>
      <c r="IJ675" s="126"/>
      <c r="IK675" s="126"/>
      <c r="IL675" s="126"/>
      <c r="IM675" s="126"/>
      <c r="IN675" s="126"/>
      <c r="IO675" s="126"/>
      <c r="IP675" s="126"/>
      <c r="IQ675" s="126"/>
      <c r="IR675" s="126"/>
      <c r="IS675" s="126"/>
      <c r="IT675" s="126"/>
      <c r="IU675" s="126"/>
      <c r="IV675" s="126"/>
      <c r="IW675" s="126"/>
      <c r="IX675" s="126"/>
      <c r="IY675" s="126"/>
      <c r="IZ675" s="126"/>
      <c r="JA675" s="126"/>
      <c r="JB675" s="126"/>
      <c r="JC675" s="126"/>
      <c r="JD675" s="126"/>
      <c r="JE675" s="126"/>
      <c r="JF675" s="126"/>
      <c r="JG675" s="126"/>
      <c r="JH675" s="126"/>
      <c r="JI675" s="126"/>
      <c r="JJ675" s="126"/>
      <c r="JK675" s="126"/>
      <c r="JL675" s="126"/>
      <c r="JM675" s="126"/>
      <c r="JN675" s="126"/>
      <c r="JO675" s="126"/>
      <c r="JP675" s="126"/>
      <c r="JQ675" s="126"/>
      <c r="JR675" s="126"/>
      <c r="JS675" s="126"/>
      <c r="JT675" s="126"/>
      <c r="JU675" s="126"/>
      <c r="JV675" s="126"/>
      <c r="JW675" s="126"/>
      <c r="JX675" s="126"/>
      <c r="JY675" s="126"/>
      <c r="JZ675" s="126"/>
      <c r="KA675" s="126"/>
      <c r="KB675" s="126"/>
      <c r="KC675" s="126"/>
      <c r="KD675" s="126"/>
      <c r="KE675" s="126"/>
      <c r="KF675" s="126"/>
      <c r="KG675" s="126"/>
      <c r="KH675" s="126"/>
      <c r="KI675" s="126"/>
      <c r="KJ675" s="126"/>
      <c r="KK675" s="126"/>
      <c r="KL675" s="126"/>
      <c r="KM675" s="126"/>
      <c r="KN675" s="126"/>
      <c r="KO675" s="126"/>
      <c r="KP675" s="126"/>
      <c r="KQ675" s="126"/>
      <c r="KR675" s="126"/>
      <c r="KS675" s="126"/>
      <c r="KT675" s="126"/>
      <c r="KU675" s="126"/>
      <c r="KV675" s="126"/>
      <c r="KW675" s="126"/>
      <c r="KX675" s="126"/>
      <c r="KY675" s="126"/>
      <c r="KZ675" s="126"/>
      <c r="LA675" s="126"/>
      <c r="LB675" s="126"/>
      <c r="LC675" s="126"/>
      <c r="LD675" s="126"/>
      <c r="LE675" s="126"/>
      <c r="LF675" s="126"/>
      <c r="LG675" s="126"/>
      <c r="LH675" s="126"/>
      <c r="LI675" s="126"/>
      <c r="LJ675" s="126"/>
      <c r="LK675" s="126"/>
      <c r="LL675" s="126"/>
      <c r="LM675" s="126"/>
      <c r="LN675" s="126"/>
      <c r="LO675" s="126"/>
      <c r="LP675" s="126"/>
      <c r="LQ675" s="126"/>
      <c r="LR675" s="126"/>
      <c r="LS675" s="126"/>
      <c r="LT675" s="126"/>
      <c r="LU675" s="126"/>
      <c r="LV675" s="126"/>
      <c r="LW675" s="126"/>
      <c r="LX675" s="126"/>
      <c r="LY675" s="126"/>
      <c r="LZ675" s="126"/>
      <c r="MA675" s="126"/>
      <c r="MB675" s="126"/>
      <c r="MC675" s="126"/>
      <c r="MD675" s="126"/>
      <c r="ME675" s="126"/>
      <c r="MF675" s="126"/>
      <c r="MG675" s="126"/>
      <c r="MH675" s="126"/>
      <c r="MI675" s="126"/>
      <c r="MJ675" s="126"/>
      <c r="MK675" s="126"/>
      <c r="ML675" s="126"/>
      <c r="MM675" s="126"/>
      <c r="MN675" s="126"/>
      <c r="MO675" s="126"/>
      <c r="MP675" s="126"/>
      <c r="MQ675" s="126"/>
      <c r="MR675" s="126"/>
      <c r="MS675" s="126"/>
      <c r="MT675" s="126"/>
      <c r="MU675" s="126"/>
      <c r="MV675" s="126"/>
      <c r="MW675" s="126"/>
      <c r="MX675" s="126"/>
      <c r="MY675" s="126"/>
      <c r="MZ675" s="126"/>
      <c r="NA675" s="126"/>
      <c r="NB675" s="126"/>
      <c r="NC675" s="126"/>
      <c r="ND675" s="126"/>
      <c r="NE675" s="126"/>
      <c r="NF675" s="126"/>
      <c r="NG675" s="126"/>
      <c r="NH675" s="126"/>
      <c r="NI675" s="126"/>
      <c r="NJ675" s="126"/>
      <c r="NK675" s="126"/>
      <c r="NL675" s="126"/>
      <c r="NM675" s="126"/>
      <c r="NN675" s="126"/>
      <c r="NO675" s="126"/>
      <c r="NP675" s="126"/>
      <c r="NQ675" s="126"/>
      <c r="NR675" s="126"/>
      <c r="NS675" s="126"/>
      <c r="NT675" s="126"/>
      <c r="NU675" s="126"/>
      <c r="NV675" s="126"/>
      <c r="NW675" s="126"/>
      <c r="NX675" s="126"/>
      <c r="NY675" s="126"/>
      <c r="NZ675" s="126"/>
      <c r="OA675" s="126"/>
      <c r="OB675" s="126"/>
      <c r="OC675" s="126"/>
      <c r="OD675" s="126"/>
      <c r="OE675" s="126"/>
      <c r="OF675" s="126"/>
      <c r="OG675" s="126"/>
      <c r="OH675" s="126"/>
      <c r="OI675" s="126"/>
      <c r="OJ675" s="126"/>
      <c r="OK675" s="126"/>
      <c r="OL675" s="126"/>
      <c r="OM675" s="126"/>
      <c r="ON675" s="126"/>
      <c r="OO675" s="126"/>
      <c r="OP675" s="126"/>
      <c r="OQ675" s="126"/>
      <c r="OR675" s="126"/>
      <c r="OS675" s="126"/>
      <c r="OT675" s="126"/>
      <c r="OU675" s="126"/>
      <c r="OV675" s="126"/>
      <c r="OW675" s="126"/>
      <c r="OX675" s="126"/>
      <c r="OY675" s="126"/>
      <c r="OZ675" s="126"/>
      <c r="PA675" s="126"/>
      <c r="PB675" s="126"/>
      <c r="PC675" s="126"/>
      <c r="PD675" s="126"/>
      <c r="PE675" s="126"/>
      <c r="PF675" s="126"/>
      <c r="PG675" s="126"/>
      <c r="PH675" s="126"/>
      <c r="PI675" s="126"/>
      <c r="PJ675" s="126"/>
      <c r="PK675" s="126"/>
      <c r="PL675" s="126"/>
      <c r="PM675" s="126"/>
      <c r="PN675" s="126"/>
      <c r="PO675" s="126"/>
      <c r="PP675" s="126"/>
      <c r="PQ675" s="126"/>
      <c r="PR675" s="126"/>
      <c r="PS675" s="126"/>
      <c r="PT675" s="126"/>
      <c r="PU675" s="126"/>
      <c r="PV675" s="126"/>
      <c r="PW675" s="126"/>
      <c r="PX675" s="126"/>
      <c r="PY675" s="126"/>
      <c r="PZ675" s="126"/>
      <c r="QA675" s="126"/>
      <c r="QB675" s="126"/>
      <c r="QC675" s="126"/>
      <c r="QD675" s="126"/>
      <c r="QE675" s="126"/>
      <c r="QF675" s="126"/>
      <c r="QG675" s="126"/>
      <c r="QH675" s="126"/>
      <c r="QI675" s="126"/>
      <c r="QJ675" s="126"/>
      <c r="QK675" s="126"/>
      <c r="QL675" s="126"/>
      <c r="QM675" s="126"/>
      <c r="QN675" s="126"/>
      <c r="QO675" s="126"/>
      <c r="QP675" s="126"/>
      <c r="QQ675" s="126"/>
      <c r="QR675" s="126"/>
      <c r="QS675" s="126"/>
      <c r="QT675" s="126"/>
      <c r="QU675" s="126"/>
      <c r="QV675" s="126"/>
      <c r="QW675" s="126"/>
      <c r="QX675" s="126"/>
      <c r="QY675" s="126"/>
      <c r="QZ675" s="126"/>
      <c r="RA675" s="126"/>
      <c r="RB675" s="126"/>
      <c r="RC675" s="126"/>
      <c r="RD675" s="126"/>
      <c r="RE675" s="126"/>
      <c r="RF675" s="126"/>
      <c r="RG675" s="126"/>
      <c r="RH675" s="126"/>
      <c r="RI675" s="126"/>
      <c r="RJ675" s="126"/>
      <c r="RK675" s="126"/>
      <c r="RL675" s="126"/>
      <c r="RM675" s="126"/>
      <c r="RN675" s="126"/>
      <c r="RO675" s="126"/>
      <c r="RP675" s="126"/>
      <c r="RQ675" s="126"/>
      <c r="RR675" s="126"/>
      <c r="RS675" s="126"/>
      <c r="RT675" s="126"/>
      <c r="RU675" s="126"/>
      <c r="RV675" s="126"/>
      <c r="RW675" s="126"/>
      <c r="RX675" s="126"/>
      <c r="RY675" s="126"/>
      <c r="RZ675" s="126"/>
      <c r="SA675" s="126"/>
      <c r="SB675" s="126"/>
      <c r="SC675" s="126"/>
      <c r="SD675" s="126"/>
      <c r="SE675" s="126"/>
      <c r="SF675" s="126"/>
      <c r="SG675" s="126"/>
      <c r="SH675" s="126"/>
      <c r="SI675" s="126"/>
      <c r="SJ675" s="126"/>
      <c r="SK675" s="126"/>
      <c r="SL675" s="126"/>
      <c r="SM675" s="126"/>
      <c r="SN675" s="126"/>
      <c r="SO675" s="126"/>
      <c r="SP675" s="126"/>
      <c r="SQ675" s="126"/>
      <c r="SR675" s="126"/>
      <c r="SS675" s="126"/>
      <c r="ST675" s="126"/>
      <c r="SU675" s="126"/>
      <c r="SV675" s="126"/>
      <c r="SW675" s="126"/>
      <c r="SX675" s="126"/>
      <c r="SY675" s="126"/>
      <c r="SZ675" s="126"/>
      <c r="TA675" s="126"/>
      <c r="TB675" s="126"/>
      <c r="TC675" s="126"/>
      <c r="TD675" s="126"/>
      <c r="TE675" s="126"/>
      <c r="TF675" s="126"/>
      <c r="TG675" s="126"/>
      <c r="TH675" s="126"/>
      <c r="TI675" s="126"/>
      <c r="TJ675" s="126"/>
      <c r="TK675" s="126"/>
      <c r="TL675" s="126"/>
      <c r="TM675" s="126"/>
      <c r="TN675" s="126"/>
      <c r="TO675" s="126"/>
      <c r="TP675" s="126"/>
      <c r="TQ675" s="126"/>
      <c r="TR675" s="126"/>
      <c r="TS675" s="126"/>
      <c r="TT675" s="126"/>
      <c r="TU675" s="126"/>
      <c r="TV675" s="126"/>
      <c r="TW675" s="126"/>
      <c r="TX675" s="126"/>
      <c r="TY675" s="126"/>
      <c r="TZ675" s="126"/>
      <c r="UA675" s="126"/>
      <c r="UB675" s="126"/>
      <c r="UC675" s="126"/>
      <c r="UD675" s="126"/>
      <c r="UE675" s="126"/>
      <c r="UF675" s="126"/>
      <c r="UG675" s="126"/>
      <c r="UH675" s="126"/>
      <c r="UI675" s="126"/>
      <c r="UJ675" s="126"/>
      <c r="UK675" s="126"/>
      <c r="UL675" s="126"/>
      <c r="UM675" s="126"/>
      <c r="UN675" s="126"/>
      <c r="UO675" s="126"/>
      <c r="UP675" s="126"/>
      <c r="UQ675" s="126"/>
      <c r="UR675" s="126"/>
      <c r="US675" s="126"/>
      <c r="UT675" s="126"/>
      <c r="UU675" s="126"/>
      <c r="UV675" s="126"/>
      <c r="UW675" s="126"/>
      <c r="UX675" s="126"/>
      <c r="UY675" s="126"/>
      <c r="UZ675" s="126"/>
      <c r="VA675" s="126"/>
      <c r="VB675" s="126"/>
      <c r="VC675" s="126"/>
      <c r="VD675" s="126"/>
      <c r="VE675" s="126"/>
      <c r="VF675" s="126"/>
      <c r="VG675" s="126"/>
      <c r="VH675" s="126"/>
      <c r="VI675" s="126"/>
      <c r="VJ675" s="126"/>
      <c r="VK675" s="126"/>
      <c r="VL675" s="126"/>
      <c r="VM675" s="126"/>
      <c r="VN675" s="126"/>
      <c r="VO675" s="126"/>
      <c r="VP675" s="126"/>
      <c r="VQ675" s="126"/>
      <c r="VR675" s="126"/>
      <c r="VS675" s="126"/>
      <c r="VT675" s="126"/>
      <c r="VU675" s="126"/>
      <c r="VV675" s="126"/>
      <c r="VW675" s="126"/>
      <c r="VX675" s="126"/>
      <c r="VY675" s="126"/>
      <c r="VZ675" s="126"/>
      <c r="WA675" s="126"/>
      <c r="WB675" s="126"/>
      <c r="WC675" s="126"/>
      <c r="WD675" s="126"/>
      <c r="WE675" s="126"/>
      <c r="WF675" s="126"/>
      <c r="WG675" s="126"/>
      <c r="WH675" s="126"/>
      <c r="WI675" s="126"/>
      <c r="WJ675" s="126"/>
      <c r="WK675" s="126"/>
      <c r="WL675" s="126"/>
      <c r="WM675" s="126"/>
      <c r="WN675" s="126"/>
      <c r="WO675" s="126"/>
      <c r="WP675" s="126"/>
      <c r="WQ675" s="126"/>
      <c r="WR675" s="126"/>
      <c r="WS675" s="126"/>
      <c r="WT675" s="126"/>
      <c r="WU675" s="126"/>
      <c r="WV675" s="126"/>
      <c r="WW675" s="126"/>
      <c r="WX675" s="126"/>
      <c r="WY675" s="126"/>
      <c r="WZ675" s="126"/>
      <c r="XA675" s="126"/>
      <c r="XB675" s="126"/>
      <c r="XC675" s="126"/>
      <c r="XD675" s="126"/>
      <c r="XE675" s="126"/>
      <c r="XF675" s="126"/>
      <c r="XG675" s="126"/>
      <c r="XH675" s="126"/>
      <c r="XI675" s="126"/>
      <c r="XJ675" s="126"/>
      <c r="XK675" s="126"/>
      <c r="XL675" s="126"/>
      <c r="XM675" s="126"/>
      <c r="XN675" s="126"/>
      <c r="XO675" s="126"/>
      <c r="XP675" s="126"/>
      <c r="XQ675" s="126"/>
      <c r="XR675" s="126"/>
      <c r="XS675" s="126"/>
      <c r="XT675" s="126"/>
      <c r="XU675" s="126"/>
      <c r="XV675" s="126"/>
      <c r="XW675" s="126"/>
      <c r="XX675" s="126"/>
      <c r="XY675" s="126"/>
      <c r="XZ675" s="126"/>
      <c r="YA675" s="126"/>
      <c r="YB675" s="126"/>
      <c r="YC675" s="126"/>
      <c r="YD675" s="126"/>
      <c r="YE675" s="126"/>
      <c r="YF675" s="126"/>
      <c r="YG675" s="126"/>
      <c r="YH675" s="126"/>
      <c r="YI675" s="126"/>
      <c r="YJ675" s="126"/>
      <c r="YK675" s="126"/>
      <c r="YL675" s="126"/>
      <c r="YM675" s="126"/>
      <c r="YN675" s="126"/>
      <c r="YO675" s="126"/>
      <c r="YP675" s="126"/>
      <c r="YQ675" s="126"/>
      <c r="YR675" s="126"/>
      <c r="YS675" s="126"/>
      <c r="YT675" s="126"/>
      <c r="YU675" s="126"/>
      <c r="YV675" s="126"/>
      <c r="YW675" s="126"/>
      <c r="YX675" s="126"/>
      <c r="YY675" s="126"/>
      <c r="YZ675" s="126"/>
      <c r="ZA675" s="126"/>
      <c r="ZB675" s="126"/>
      <c r="ZC675" s="126"/>
      <c r="ZD675" s="126"/>
      <c r="ZE675" s="126"/>
      <c r="ZF675" s="126"/>
      <c r="ZG675" s="126"/>
      <c r="ZH675" s="126"/>
      <c r="ZI675" s="126"/>
      <c r="ZJ675" s="126"/>
      <c r="ZK675" s="126"/>
      <c r="ZL675" s="126"/>
      <c r="ZM675" s="126"/>
      <c r="ZN675" s="126"/>
      <c r="ZO675" s="126"/>
      <c r="ZP675" s="126"/>
      <c r="ZQ675" s="126"/>
      <c r="ZR675" s="126"/>
      <c r="ZS675" s="126"/>
      <c r="ZT675" s="126"/>
      <c r="ZU675" s="126"/>
      <c r="ZV675" s="126"/>
      <c r="ZW675" s="126"/>
      <c r="ZX675" s="126"/>
      <c r="ZY675" s="126"/>
      <c r="ZZ675" s="126"/>
      <c r="AAA675" s="126"/>
      <c r="AAB675" s="126"/>
      <c r="AAC675" s="126"/>
      <c r="AAD675" s="126"/>
      <c r="AAE675" s="126"/>
      <c r="AAF675" s="126"/>
      <c r="AAG675" s="126"/>
      <c r="AAH675" s="126"/>
      <c r="AAI675" s="126"/>
      <c r="AAJ675" s="126"/>
      <c r="AAK675" s="126"/>
      <c r="AAL675" s="126"/>
      <c r="AAM675" s="126"/>
      <c r="AAN675" s="126"/>
      <c r="AAO675" s="126"/>
      <c r="AAP675" s="126"/>
      <c r="AAQ675" s="126"/>
      <c r="AAR675" s="126"/>
      <c r="AAS675" s="126"/>
      <c r="AAT675" s="126"/>
      <c r="AAU675" s="126"/>
      <c r="AAV675" s="126"/>
      <c r="AAW675" s="126"/>
      <c r="AAX675" s="126"/>
      <c r="AAY675" s="126"/>
      <c r="AAZ675" s="126"/>
      <c r="ABA675" s="126"/>
      <c r="ABB675" s="126"/>
      <c r="ABC675" s="126"/>
      <c r="ABD675" s="126"/>
      <c r="ABE675" s="126"/>
      <c r="ABF675" s="126"/>
      <c r="ABG675" s="126"/>
      <c r="ABH675" s="126"/>
      <c r="ABI675" s="126"/>
      <c r="ABJ675" s="126"/>
      <c r="ABK675" s="126"/>
      <c r="ABL675" s="126"/>
      <c r="ABM675" s="126"/>
      <c r="ABN675" s="126"/>
      <c r="ABO675" s="126"/>
      <c r="ABP675" s="126"/>
      <c r="ABQ675" s="126"/>
      <c r="ABR675" s="126"/>
      <c r="ABS675" s="126"/>
      <c r="ABT675" s="126"/>
      <c r="ABU675" s="126"/>
      <c r="ABV675" s="126"/>
      <c r="ABW675" s="126"/>
      <c r="ABX675" s="126"/>
      <c r="ABY675" s="126"/>
      <c r="ABZ675" s="126"/>
      <c r="ACA675" s="126"/>
      <c r="ACB675" s="126"/>
      <c r="ACC675" s="126"/>
      <c r="ACD675" s="126"/>
      <c r="ACE675" s="126"/>
      <c r="ACF675" s="126"/>
      <c r="ACG675" s="126"/>
      <c r="ACH675" s="126"/>
      <c r="ACI675" s="126"/>
      <c r="ACJ675" s="126"/>
      <c r="ACK675" s="126"/>
      <c r="ACL675" s="126"/>
      <c r="ACM675" s="126"/>
      <c r="ACN675" s="126"/>
      <c r="ACO675" s="126"/>
      <c r="ACP675" s="126"/>
      <c r="ACQ675" s="126"/>
      <c r="ACR675" s="126"/>
      <c r="ACS675" s="126"/>
      <c r="ACT675" s="126"/>
      <c r="ACU675" s="126"/>
      <c r="ACV675" s="126"/>
      <c r="ACW675" s="126"/>
      <c r="ACX675" s="126"/>
      <c r="ACY675" s="126"/>
      <c r="ACZ675" s="126"/>
      <c r="ADA675" s="126"/>
      <c r="ADB675" s="126"/>
      <c r="ADC675" s="126"/>
      <c r="ADD675" s="126"/>
      <c r="ADE675" s="126"/>
      <c r="ADF675" s="126"/>
      <c r="ADG675" s="126"/>
      <c r="ADH675" s="126"/>
      <c r="ADI675" s="126"/>
      <c r="ADJ675" s="126"/>
      <c r="ADK675" s="126"/>
      <c r="ADL675" s="126"/>
      <c r="ADM675" s="126"/>
      <c r="ADN675" s="126"/>
      <c r="ADO675" s="126"/>
      <c r="ADP675" s="126"/>
      <c r="ADQ675" s="126"/>
      <c r="ADR675" s="126"/>
      <c r="ADS675" s="126"/>
      <c r="ADT675" s="126"/>
      <c r="ADU675" s="126"/>
      <c r="ADV675" s="126"/>
      <c r="ADW675" s="126"/>
      <c r="ADX675" s="126"/>
      <c r="ADY675" s="126"/>
      <c r="ADZ675" s="126"/>
      <c r="AEA675" s="126"/>
      <c r="AEB675" s="126"/>
      <c r="AEC675" s="126"/>
      <c r="AED675" s="126"/>
      <c r="AEE675" s="126"/>
      <c r="AEF675" s="126"/>
      <c r="AEG675" s="126"/>
      <c r="AEH675" s="126"/>
      <c r="AEI675" s="126"/>
      <c r="AEJ675" s="126"/>
      <c r="AEK675" s="126"/>
      <c r="AEL675" s="126"/>
      <c r="AEM675" s="126"/>
      <c r="AEN675" s="126"/>
      <c r="AEO675" s="126"/>
      <c r="AEP675" s="126"/>
      <c r="AEQ675" s="126"/>
      <c r="AER675" s="126"/>
      <c r="AES675" s="126"/>
      <c r="AET675" s="126"/>
      <c r="AEU675" s="126"/>
      <c r="AEV675" s="126"/>
      <c r="AEW675" s="126"/>
      <c r="AEX675" s="126"/>
      <c r="AEY675" s="126"/>
      <c r="AEZ675" s="126"/>
      <c r="AFA675" s="126"/>
      <c r="AFB675" s="126"/>
      <c r="AFC675" s="126"/>
      <c r="AFD675" s="126"/>
      <c r="AFE675" s="126"/>
      <c r="AFF675" s="126"/>
      <c r="AFG675" s="126"/>
      <c r="AFH675" s="126"/>
      <c r="AFI675" s="126"/>
      <c r="AFJ675" s="126"/>
      <c r="AFK675" s="126"/>
      <c r="AFL675" s="126"/>
      <c r="AFM675" s="126"/>
      <c r="AFN675" s="126"/>
      <c r="AFO675" s="126"/>
      <c r="AFP675" s="126"/>
      <c r="AFQ675" s="126"/>
      <c r="AFR675" s="126"/>
      <c r="AFS675" s="126"/>
      <c r="AFT675" s="126"/>
      <c r="AFU675" s="126"/>
      <c r="AFV675" s="126"/>
      <c r="AFW675" s="126"/>
      <c r="AFX675" s="126"/>
      <c r="AFY675" s="126"/>
      <c r="AFZ675" s="126"/>
      <c r="AGA675" s="126"/>
      <c r="AGB675" s="126"/>
      <c r="AGC675" s="126"/>
      <c r="AGD675" s="126"/>
      <c r="AGE675" s="126"/>
      <c r="AGF675" s="126"/>
      <c r="AGG675" s="126"/>
      <c r="AGH675" s="126"/>
      <c r="AGI675" s="126"/>
      <c r="AGJ675" s="126"/>
      <c r="AGK675" s="126"/>
      <c r="AGL675" s="126"/>
      <c r="AGM675" s="126"/>
      <c r="AGN675" s="126"/>
      <c r="AGO675" s="126"/>
      <c r="AGP675" s="126"/>
      <c r="AGQ675" s="126"/>
      <c r="AGR675" s="126"/>
      <c r="AGS675" s="126"/>
      <c r="AGT675" s="126"/>
      <c r="AGU675" s="126"/>
      <c r="AGV675" s="126"/>
      <c r="AGW675" s="126"/>
      <c r="AGX675" s="126"/>
      <c r="AGY675" s="126"/>
      <c r="AGZ675" s="126"/>
      <c r="AHA675" s="126"/>
      <c r="AHB675" s="126"/>
      <c r="AHC675" s="126"/>
      <c r="AHD675" s="126"/>
      <c r="AHE675" s="126"/>
      <c r="AHF675" s="126"/>
      <c r="AHG675" s="126"/>
      <c r="AHH675" s="126"/>
      <c r="AHI675" s="126"/>
      <c r="AHJ675" s="126"/>
      <c r="AHK675" s="126"/>
      <c r="AHL675" s="126"/>
      <c r="AHM675" s="126"/>
      <c r="AHN675" s="126"/>
      <c r="AHO675" s="126"/>
      <c r="AHP675" s="126"/>
      <c r="AHQ675" s="126"/>
      <c r="AHR675" s="126"/>
      <c r="AHS675" s="126"/>
      <c r="AHT675" s="126"/>
      <c r="AHU675" s="126"/>
      <c r="AHV675" s="126"/>
      <c r="AHW675" s="126"/>
      <c r="AHX675" s="126"/>
      <c r="AHY675" s="126"/>
      <c r="AHZ675" s="126"/>
      <c r="AIA675" s="126"/>
      <c r="AIB675" s="126"/>
      <c r="AIC675" s="126"/>
      <c r="AID675" s="126"/>
      <c r="AIE675" s="126"/>
      <c r="AIF675" s="126"/>
      <c r="AIG675" s="126"/>
      <c r="AIH675" s="126"/>
      <c r="AII675" s="126"/>
      <c r="AIJ675" s="126"/>
      <c r="AIK675" s="126"/>
      <c r="AIL675" s="126"/>
      <c r="AIM675" s="126"/>
      <c r="AIN675" s="126"/>
      <c r="AIO675" s="126"/>
      <c r="AIP675" s="126"/>
      <c r="AIQ675" s="126"/>
      <c r="AIR675" s="126"/>
      <c r="AIS675" s="126"/>
      <c r="AIT675" s="126"/>
      <c r="AIU675" s="126"/>
      <c r="AIV675" s="126"/>
      <c r="AIW675" s="126"/>
      <c r="AIX675" s="126"/>
      <c r="AIY675" s="126"/>
      <c r="AIZ675" s="126"/>
      <c r="AJA675" s="126"/>
      <c r="AJB675" s="126"/>
      <c r="AJC675" s="126"/>
      <c r="AJD675" s="126"/>
      <c r="AJE675" s="126"/>
      <c r="AJF675" s="126"/>
      <c r="AJG675" s="126"/>
      <c r="AJH675" s="126"/>
      <c r="AJI675" s="126"/>
      <c r="AJJ675" s="126"/>
      <c r="AJK675" s="126"/>
      <c r="AJL675" s="126"/>
      <c r="AJM675" s="126"/>
      <c r="AJN675" s="126"/>
      <c r="AJO675" s="126"/>
      <c r="AJP675" s="126"/>
      <c r="AJQ675" s="126"/>
      <c r="AJR675" s="126"/>
      <c r="AJS675" s="126"/>
      <c r="AJT675" s="126"/>
      <c r="AJU675" s="126"/>
      <c r="AJV675" s="126"/>
      <c r="AJW675" s="126"/>
      <c r="AJX675" s="126"/>
      <c r="AJY675" s="126"/>
      <c r="AJZ675" s="126"/>
      <c r="AKA675" s="126"/>
      <c r="AKB675" s="126"/>
      <c r="AKC675" s="126"/>
      <c r="AKD675" s="126"/>
      <c r="AKE675" s="126"/>
      <c r="AKF675" s="126"/>
      <c r="AKG675" s="126"/>
      <c r="AKH675" s="126"/>
      <c r="AKI675" s="126"/>
      <c r="AKJ675" s="126"/>
      <c r="AKK675" s="126"/>
      <c r="AKL675" s="126"/>
      <c r="AKM675" s="126"/>
      <c r="AKN675" s="126"/>
      <c r="AKO675" s="126"/>
      <c r="AKP675" s="126"/>
      <c r="AKQ675" s="126"/>
      <c r="AKR675" s="126"/>
      <c r="AKS675" s="126"/>
      <c r="AKT675" s="126"/>
      <c r="AKU675" s="126"/>
      <c r="AKV675" s="126"/>
      <c r="AKW675" s="126"/>
      <c r="AKX675" s="126"/>
      <c r="AKY675" s="126"/>
      <c r="AKZ675" s="126"/>
      <c r="ALA675" s="126"/>
      <c r="ALB675" s="126"/>
      <c r="ALC675" s="126"/>
      <c r="ALD675" s="126"/>
      <c r="ALE675" s="126"/>
      <c r="ALF675" s="126"/>
      <c r="ALG675" s="126"/>
      <c r="ALH675" s="126"/>
      <c r="ALI675" s="126"/>
      <c r="ALJ675" s="126"/>
      <c r="ALK675" s="126"/>
      <c r="ALL675" s="126"/>
      <c r="ALM675" s="126"/>
      <c r="ALN675" s="126"/>
      <c r="ALO675" s="126"/>
      <c r="ALP675" s="126"/>
      <c r="ALQ675" s="126"/>
      <c r="ALR675" s="126"/>
      <c r="ALS675" s="126"/>
      <c r="ALT675" s="126"/>
      <c r="ALU675" s="126"/>
      <c r="ALV675" s="126"/>
      <c r="ALW675" s="126"/>
      <c r="ALX675" s="126"/>
      <c r="ALY675" s="126"/>
      <c r="ALZ675" s="126"/>
      <c r="AMA675" s="126"/>
      <c r="AMB675" s="126"/>
      <c r="AMC675" s="126"/>
      <c r="AMD675" s="126"/>
      <c r="AME675" s="126"/>
      <c r="AMF675" s="126"/>
      <c r="AMG675" s="126"/>
      <c r="AMH675" s="126"/>
      <c r="AMI675" s="126"/>
      <c r="AMJ675" s="126"/>
      <c r="AMK675" s="126"/>
      <c r="AML675" s="126"/>
      <c r="AMM675" s="126"/>
      <c r="AMN675" s="126"/>
      <c r="AMO675" s="126"/>
      <c r="AMP675" s="126"/>
      <c r="AMQ675" s="126"/>
      <c r="AMR675" s="126"/>
      <c r="AMS675" s="126"/>
      <c r="AMT675" s="126"/>
      <c r="AMU675" s="126"/>
      <c r="AMV675" s="126"/>
      <c r="AMW675" s="126"/>
      <c r="AMX675" s="126"/>
      <c r="AMY675" s="126"/>
      <c r="AMZ675" s="126"/>
      <c r="ANA675" s="126"/>
      <c r="ANB675" s="126"/>
      <c r="ANC675" s="126"/>
      <c r="AND675" s="126"/>
      <c r="ANE675" s="126"/>
      <c r="ANF675" s="126"/>
      <c r="ANG675" s="126"/>
      <c r="ANH675" s="126"/>
      <c r="ANI675" s="126"/>
      <c r="ANJ675" s="126"/>
      <c r="ANK675" s="126"/>
      <c r="ANL675" s="126"/>
      <c r="ANM675" s="126"/>
      <c r="ANN675" s="126"/>
      <c r="ANO675" s="126"/>
      <c r="ANP675" s="126"/>
      <c r="ANQ675" s="126"/>
      <c r="ANR675" s="126"/>
      <c r="ANS675" s="126"/>
      <c r="ANT675" s="126"/>
      <c r="ANU675" s="126"/>
      <c r="ANV675" s="126"/>
      <c r="ANW675" s="126"/>
      <c r="ANX675" s="126"/>
      <c r="ANY675" s="126"/>
      <c r="ANZ675" s="126"/>
      <c r="AOA675" s="126"/>
      <c r="AOB675" s="126"/>
      <c r="AOC675" s="126"/>
      <c r="AOD675" s="126"/>
      <c r="AOE675" s="126"/>
      <c r="AOF675" s="126"/>
      <c r="AOG675" s="126"/>
      <c r="AOH675" s="126"/>
      <c r="AOI675" s="126"/>
      <c r="AOJ675" s="126"/>
      <c r="AOK675" s="126"/>
      <c r="AOL675" s="126"/>
      <c r="AOM675" s="126"/>
      <c r="AON675" s="126"/>
      <c r="AOO675" s="126"/>
      <c r="AOP675" s="126"/>
      <c r="AOQ675" s="126"/>
      <c r="AOR675" s="126"/>
      <c r="AOS675" s="126"/>
      <c r="AOT675" s="126"/>
      <c r="AOU675" s="126"/>
      <c r="AOV675" s="126"/>
      <c r="AOW675" s="126"/>
      <c r="AOX675" s="126"/>
      <c r="AOY675" s="126"/>
      <c r="AOZ675" s="126"/>
      <c r="APA675" s="126"/>
      <c r="APB675" s="126"/>
      <c r="APC675" s="126"/>
      <c r="APD675" s="126"/>
      <c r="APE675" s="126"/>
      <c r="APF675" s="126"/>
      <c r="APG675" s="126"/>
      <c r="APH675" s="126"/>
      <c r="API675" s="126"/>
      <c r="APJ675" s="126"/>
      <c r="APK675" s="126"/>
      <c r="APL675" s="126"/>
      <c r="APM675" s="126"/>
      <c r="APN675" s="126"/>
      <c r="APO675" s="126"/>
      <c r="APP675" s="126"/>
      <c r="APQ675" s="126"/>
      <c r="APR675" s="126"/>
      <c r="APS675" s="126"/>
      <c r="APT675" s="126"/>
      <c r="APU675" s="126"/>
      <c r="APV675" s="126"/>
      <c r="APW675" s="126"/>
      <c r="APX675" s="126"/>
      <c r="APY675" s="126"/>
      <c r="APZ675" s="126"/>
      <c r="AQA675" s="126"/>
      <c r="AQB675" s="126"/>
      <c r="AQC675" s="126"/>
      <c r="AQD675" s="126"/>
      <c r="AQE675" s="126"/>
      <c r="AQF675" s="126"/>
      <c r="AQG675" s="126"/>
      <c r="AQH675" s="126"/>
      <c r="AQI675" s="126"/>
      <c r="AQJ675" s="126"/>
      <c r="AQK675" s="126"/>
      <c r="AQL675" s="126"/>
      <c r="AQM675" s="126"/>
      <c r="AQN675" s="126"/>
      <c r="AQO675" s="126"/>
      <c r="AQP675" s="126"/>
      <c r="AQQ675" s="126"/>
      <c r="AQR675" s="126"/>
      <c r="AQS675" s="126"/>
      <c r="AQT675" s="126"/>
      <c r="AQU675" s="126"/>
      <c r="AQV675" s="126"/>
      <c r="AQW675" s="126"/>
      <c r="AQX675" s="126"/>
      <c r="AQY675" s="126"/>
      <c r="AQZ675" s="126"/>
      <c r="ARA675" s="126"/>
      <c r="ARB675" s="126"/>
      <c r="ARC675" s="126"/>
      <c r="ARD675" s="126"/>
      <c r="ARE675" s="126"/>
      <c r="ARF675" s="126"/>
      <c r="ARG675" s="126"/>
      <c r="ARH675" s="126"/>
      <c r="ARI675" s="126"/>
      <c r="ARJ675" s="126"/>
      <c r="ARK675" s="126"/>
      <c r="ARL675" s="126"/>
      <c r="ARM675" s="126"/>
      <c r="ARN675" s="126"/>
      <c r="ARO675" s="126"/>
      <c r="ARP675" s="126"/>
      <c r="ARQ675" s="126"/>
      <c r="ARR675" s="126"/>
      <c r="ARS675" s="126"/>
      <c r="ART675" s="126"/>
      <c r="ARU675" s="126"/>
      <c r="ARV675" s="126"/>
      <c r="ARW675" s="126"/>
      <c r="ARX675" s="126"/>
      <c r="ARY675" s="126"/>
      <c r="ARZ675" s="126"/>
      <c r="ASA675" s="126"/>
      <c r="ASB675" s="126"/>
      <c r="ASC675" s="126"/>
      <c r="ASD675" s="126"/>
      <c r="ASE675" s="126"/>
      <c r="ASF675" s="126"/>
      <c r="ASG675" s="126"/>
      <c r="ASH675" s="126"/>
      <c r="ASI675" s="126"/>
      <c r="ASJ675" s="126"/>
      <c r="ASK675" s="126"/>
      <c r="ASL675" s="126"/>
      <c r="ASM675" s="126"/>
      <c r="ASN675" s="126"/>
      <c r="ASO675" s="126"/>
      <c r="ASP675" s="126"/>
      <c r="ASQ675" s="126"/>
      <c r="ASR675" s="126"/>
      <c r="ASS675" s="126"/>
      <c r="AST675" s="126"/>
      <c r="ASU675" s="126"/>
      <c r="ASV675" s="126"/>
      <c r="ASW675" s="126"/>
      <c r="ASX675" s="126"/>
      <c r="ASY675" s="126"/>
      <c r="ASZ675" s="126"/>
      <c r="ATA675" s="126"/>
      <c r="ATB675" s="126"/>
      <c r="ATC675" s="126"/>
      <c r="ATD675" s="126"/>
      <c r="ATE675" s="126"/>
      <c r="ATF675" s="126"/>
      <c r="ATG675" s="126"/>
      <c r="ATH675" s="126"/>
      <c r="ATI675" s="126"/>
      <c r="ATJ675" s="126"/>
      <c r="ATK675" s="126"/>
      <c r="ATL675" s="126"/>
      <c r="ATM675" s="126"/>
      <c r="ATN675" s="126"/>
      <c r="ATO675" s="126"/>
    </row>
    <row r="676" spans="1:1211" s="171" customFormat="1">
      <c r="A676" s="884"/>
      <c r="B676" s="885"/>
      <c r="C676" s="1143"/>
      <c r="E676" s="886"/>
      <c r="F676" s="1217"/>
      <c r="G676" s="882"/>
      <c r="H676" s="882"/>
      <c r="I676" s="882"/>
      <c r="J676" s="887"/>
      <c r="K676" s="1094"/>
      <c r="L676" s="412"/>
      <c r="M676" s="1094"/>
      <c r="N676" s="411"/>
      <c r="O676" s="652"/>
      <c r="P676" s="126"/>
      <c r="Q676" s="1481"/>
      <c r="R676" s="126"/>
      <c r="S676" s="126"/>
      <c r="T676" s="126"/>
      <c r="U676" s="126"/>
      <c r="V676" s="126"/>
      <c r="W676" s="126"/>
      <c r="X676" s="126"/>
      <c r="Y676" s="126"/>
      <c r="Z676" s="126"/>
      <c r="AA676" s="126"/>
      <c r="AB676" s="126"/>
      <c r="AC676" s="126"/>
      <c r="AD676" s="126"/>
      <c r="AE676" s="126"/>
      <c r="AF676" s="126"/>
      <c r="AG676" s="126"/>
      <c r="AH676" s="126"/>
      <c r="AI676" s="126"/>
      <c r="AJ676" s="126"/>
      <c r="AK676" s="126"/>
      <c r="AL676" s="126"/>
      <c r="AM676" s="126"/>
      <c r="AN676" s="126"/>
      <c r="AO676" s="126"/>
      <c r="AP676" s="126"/>
      <c r="AQ676" s="126"/>
      <c r="AR676" s="126"/>
      <c r="AS676" s="126"/>
      <c r="AT676" s="126"/>
      <c r="AU676" s="126"/>
      <c r="AV676" s="126"/>
      <c r="AW676" s="126"/>
      <c r="AX676" s="126"/>
      <c r="AY676" s="126"/>
      <c r="AZ676" s="126"/>
      <c r="BA676" s="126"/>
      <c r="BB676" s="126"/>
      <c r="BC676" s="126"/>
      <c r="BD676" s="126"/>
      <c r="BE676" s="126"/>
      <c r="BF676" s="126"/>
      <c r="BG676" s="126"/>
      <c r="BH676" s="126"/>
      <c r="BI676" s="126"/>
      <c r="BJ676" s="126"/>
      <c r="BK676" s="126"/>
      <c r="BL676" s="126"/>
      <c r="BM676" s="126"/>
      <c r="BN676" s="126"/>
      <c r="BO676" s="126"/>
      <c r="BP676" s="126"/>
      <c r="BQ676" s="126"/>
      <c r="BR676" s="126"/>
      <c r="BS676" s="126"/>
      <c r="BT676" s="126"/>
      <c r="BU676" s="126"/>
      <c r="BV676" s="126"/>
      <c r="BW676" s="126"/>
      <c r="BX676" s="126"/>
      <c r="BY676" s="126"/>
      <c r="BZ676" s="126"/>
      <c r="CA676" s="126"/>
      <c r="CB676" s="126"/>
      <c r="CC676" s="126"/>
      <c r="CD676" s="126"/>
      <c r="CE676" s="126"/>
      <c r="CF676" s="126"/>
      <c r="CG676" s="126"/>
      <c r="CH676" s="126"/>
      <c r="CI676" s="126"/>
      <c r="CJ676" s="126"/>
      <c r="CK676" s="126"/>
      <c r="CL676" s="126"/>
      <c r="CM676" s="126"/>
      <c r="CN676" s="126"/>
      <c r="CO676" s="126"/>
      <c r="CP676" s="126"/>
      <c r="CQ676" s="126"/>
      <c r="CR676" s="126"/>
      <c r="CS676" s="126"/>
      <c r="CT676" s="126"/>
      <c r="CU676" s="126"/>
      <c r="CV676" s="126"/>
      <c r="CW676" s="126"/>
      <c r="CX676" s="126"/>
      <c r="CY676" s="126"/>
      <c r="CZ676" s="126"/>
      <c r="DA676" s="126"/>
      <c r="DB676" s="126"/>
      <c r="DC676" s="126"/>
      <c r="DD676" s="126"/>
      <c r="DE676" s="126"/>
      <c r="DF676" s="126"/>
      <c r="DG676" s="126"/>
      <c r="DH676" s="126"/>
      <c r="DI676" s="126"/>
      <c r="DJ676" s="126"/>
      <c r="DK676" s="126"/>
      <c r="DL676" s="126"/>
      <c r="DM676" s="126"/>
      <c r="DN676" s="126"/>
      <c r="DO676" s="126"/>
      <c r="DP676" s="126"/>
      <c r="DQ676" s="126"/>
      <c r="DR676" s="126"/>
      <c r="DS676" s="126"/>
      <c r="DT676" s="126"/>
      <c r="DU676" s="126"/>
      <c r="DV676" s="126"/>
      <c r="DW676" s="126"/>
      <c r="DX676" s="126"/>
      <c r="DY676" s="126"/>
      <c r="DZ676" s="126"/>
      <c r="EA676" s="126"/>
      <c r="EB676" s="126"/>
      <c r="EC676" s="126"/>
      <c r="ED676" s="126"/>
      <c r="EE676" s="126"/>
      <c r="EF676" s="126"/>
      <c r="EG676" s="126"/>
      <c r="EH676" s="126"/>
      <c r="EI676" s="126"/>
      <c r="EJ676" s="126"/>
      <c r="EK676" s="126"/>
      <c r="EL676" s="126"/>
      <c r="EM676" s="126"/>
      <c r="EN676" s="126"/>
      <c r="EO676" s="126"/>
      <c r="EP676" s="126"/>
      <c r="EQ676" s="126"/>
      <c r="ER676" s="126"/>
      <c r="ES676" s="126"/>
      <c r="ET676" s="126"/>
      <c r="EU676" s="126"/>
      <c r="EV676" s="126"/>
      <c r="EW676" s="126"/>
      <c r="EX676" s="126"/>
      <c r="EY676" s="126"/>
      <c r="EZ676" s="126"/>
      <c r="FA676" s="126"/>
      <c r="FB676" s="126"/>
      <c r="FC676" s="126"/>
      <c r="FD676" s="126"/>
      <c r="FE676" s="126"/>
      <c r="FF676" s="126"/>
      <c r="FG676" s="126"/>
      <c r="FH676" s="126"/>
      <c r="FI676" s="126"/>
      <c r="FJ676" s="126"/>
      <c r="FK676" s="126"/>
      <c r="FL676" s="126"/>
      <c r="FM676" s="126"/>
      <c r="FN676" s="126"/>
      <c r="FO676" s="126"/>
      <c r="FP676" s="126"/>
      <c r="FQ676" s="126"/>
      <c r="FR676" s="126"/>
      <c r="FS676" s="126"/>
      <c r="FT676" s="126"/>
      <c r="FU676" s="126"/>
      <c r="FV676" s="126"/>
      <c r="FW676" s="126"/>
      <c r="FX676" s="126"/>
      <c r="FY676" s="126"/>
      <c r="FZ676" s="126"/>
      <c r="GA676" s="126"/>
      <c r="GB676" s="126"/>
      <c r="GC676" s="126"/>
      <c r="GD676" s="126"/>
      <c r="GE676" s="126"/>
      <c r="GF676" s="126"/>
      <c r="GG676" s="126"/>
      <c r="GH676" s="126"/>
      <c r="GI676" s="126"/>
      <c r="GJ676" s="126"/>
      <c r="GK676" s="126"/>
      <c r="GL676" s="126"/>
      <c r="GM676" s="126"/>
      <c r="GN676" s="126"/>
      <c r="GO676" s="126"/>
      <c r="GP676" s="126"/>
      <c r="GQ676" s="126"/>
      <c r="GR676" s="126"/>
      <c r="GS676" s="126"/>
      <c r="GT676" s="126"/>
      <c r="GU676" s="126"/>
      <c r="GV676" s="126"/>
      <c r="GW676" s="126"/>
      <c r="GX676" s="126"/>
      <c r="GY676" s="126"/>
      <c r="GZ676" s="126"/>
      <c r="HA676" s="126"/>
      <c r="HB676" s="126"/>
      <c r="HC676" s="126"/>
      <c r="HD676" s="126"/>
      <c r="HE676" s="126"/>
      <c r="HF676" s="126"/>
      <c r="HG676" s="126"/>
      <c r="HH676" s="126"/>
      <c r="HI676" s="126"/>
      <c r="HJ676" s="126"/>
      <c r="HK676" s="126"/>
      <c r="HL676" s="126"/>
      <c r="HM676" s="126"/>
      <c r="HN676" s="126"/>
      <c r="HO676" s="126"/>
      <c r="HP676" s="126"/>
      <c r="HQ676" s="126"/>
      <c r="HR676" s="126"/>
      <c r="HS676" s="126"/>
      <c r="HT676" s="126"/>
      <c r="HU676" s="126"/>
      <c r="HV676" s="126"/>
      <c r="HW676" s="126"/>
      <c r="HX676" s="126"/>
      <c r="HY676" s="126"/>
      <c r="HZ676" s="126"/>
      <c r="IA676" s="126"/>
      <c r="IB676" s="126"/>
      <c r="IC676" s="126"/>
      <c r="ID676" s="126"/>
      <c r="IE676" s="126"/>
      <c r="IF676" s="126"/>
      <c r="IG676" s="126"/>
      <c r="IH676" s="126"/>
      <c r="II676" s="126"/>
      <c r="IJ676" s="126"/>
      <c r="IK676" s="126"/>
      <c r="IL676" s="126"/>
      <c r="IM676" s="126"/>
      <c r="IN676" s="126"/>
      <c r="IO676" s="126"/>
      <c r="IP676" s="126"/>
      <c r="IQ676" s="126"/>
      <c r="IR676" s="126"/>
      <c r="IS676" s="126"/>
      <c r="IT676" s="126"/>
      <c r="IU676" s="126"/>
      <c r="IV676" s="126"/>
      <c r="IW676" s="126"/>
      <c r="IX676" s="126"/>
      <c r="IY676" s="126"/>
      <c r="IZ676" s="126"/>
      <c r="JA676" s="126"/>
      <c r="JB676" s="126"/>
      <c r="JC676" s="126"/>
      <c r="JD676" s="126"/>
      <c r="JE676" s="126"/>
      <c r="JF676" s="126"/>
      <c r="JG676" s="126"/>
      <c r="JH676" s="126"/>
      <c r="JI676" s="126"/>
      <c r="JJ676" s="126"/>
      <c r="JK676" s="126"/>
      <c r="JL676" s="126"/>
      <c r="JM676" s="126"/>
      <c r="JN676" s="126"/>
      <c r="JO676" s="126"/>
      <c r="JP676" s="126"/>
      <c r="JQ676" s="126"/>
      <c r="JR676" s="126"/>
      <c r="JS676" s="126"/>
      <c r="JT676" s="126"/>
      <c r="JU676" s="126"/>
      <c r="JV676" s="126"/>
      <c r="JW676" s="126"/>
      <c r="JX676" s="126"/>
      <c r="JY676" s="126"/>
      <c r="JZ676" s="126"/>
      <c r="KA676" s="126"/>
      <c r="KB676" s="126"/>
      <c r="KC676" s="126"/>
      <c r="KD676" s="126"/>
      <c r="KE676" s="126"/>
      <c r="KF676" s="126"/>
      <c r="KG676" s="126"/>
      <c r="KH676" s="126"/>
      <c r="KI676" s="126"/>
      <c r="KJ676" s="126"/>
      <c r="KK676" s="126"/>
      <c r="KL676" s="126"/>
      <c r="KM676" s="126"/>
      <c r="KN676" s="126"/>
      <c r="KO676" s="126"/>
      <c r="KP676" s="126"/>
      <c r="KQ676" s="126"/>
      <c r="KR676" s="126"/>
      <c r="KS676" s="126"/>
      <c r="KT676" s="126"/>
      <c r="KU676" s="126"/>
      <c r="KV676" s="126"/>
      <c r="KW676" s="126"/>
      <c r="KX676" s="126"/>
      <c r="KY676" s="126"/>
      <c r="KZ676" s="126"/>
      <c r="LA676" s="126"/>
      <c r="LB676" s="126"/>
      <c r="LC676" s="126"/>
      <c r="LD676" s="126"/>
      <c r="LE676" s="126"/>
      <c r="LF676" s="126"/>
      <c r="LG676" s="126"/>
      <c r="LH676" s="126"/>
      <c r="LI676" s="126"/>
      <c r="LJ676" s="126"/>
      <c r="LK676" s="126"/>
      <c r="LL676" s="126"/>
      <c r="LM676" s="126"/>
      <c r="LN676" s="126"/>
      <c r="LO676" s="126"/>
      <c r="LP676" s="126"/>
      <c r="LQ676" s="126"/>
      <c r="LR676" s="126"/>
      <c r="LS676" s="126"/>
      <c r="LT676" s="126"/>
      <c r="LU676" s="126"/>
      <c r="LV676" s="126"/>
      <c r="LW676" s="126"/>
      <c r="LX676" s="126"/>
      <c r="LY676" s="126"/>
      <c r="LZ676" s="126"/>
      <c r="MA676" s="126"/>
      <c r="MB676" s="126"/>
      <c r="MC676" s="126"/>
      <c r="MD676" s="126"/>
      <c r="ME676" s="126"/>
      <c r="MF676" s="126"/>
      <c r="MG676" s="126"/>
      <c r="MH676" s="126"/>
      <c r="MI676" s="126"/>
      <c r="MJ676" s="126"/>
      <c r="MK676" s="126"/>
      <c r="ML676" s="126"/>
      <c r="MM676" s="126"/>
      <c r="MN676" s="126"/>
      <c r="MO676" s="126"/>
      <c r="MP676" s="126"/>
      <c r="MQ676" s="126"/>
      <c r="MR676" s="126"/>
      <c r="MS676" s="126"/>
      <c r="MT676" s="126"/>
      <c r="MU676" s="126"/>
      <c r="MV676" s="126"/>
      <c r="MW676" s="126"/>
      <c r="MX676" s="126"/>
      <c r="MY676" s="126"/>
      <c r="MZ676" s="126"/>
      <c r="NA676" s="126"/>
      <c r="NB676" s="126"/>
      <c r="NC676" s="126"/>
      <c r="ND676" s="126"/>
      <c r="NE676" s="126"/>
      <c r="NF676" s="126"/>
      <c r="NG676" s="126"/>
      <c r="NH676" s="126"/>
      <c r="NI676" s="126"/>
      <c r="NJ676" s="126"/>
      <c r="NK676" s="126"/>
      <c r="NL676" s="126"/>
      <c r="NM676" s="126"/>
      <c r="NN676" s="126"/>
      <c r="NO676" s="126"/>
      <c r="NP676" s="126"/>
      <c r="NQ676" s="126"/>
      <c r="NR676" s="126"/>
      <c r="NS676" s="126"/>
      <c r="NT676" s="126"/>
      <c r="NU676" s="126"/>
      <c r="NV676" s="126"/>
      <c r="NW676" s="126"/>
      <c r="NX676" s="126"/>
      <c r="NY676" s="126"/>
      <c r="NZ676" s="126"/>
      <c r="OA676" s="126"/>
      <c r="OB676" s="126"/>
      <c r="OC676" s="126"/>
      <c r="OD676" s="126"/>
      <c r="OE676" s="126"/>
      <c r="OF676" s="126"/>
      <c r="OG676" s="126"/>
      <c r="OH676" s="126"/>
      <c r="OI676" s="126"/>
      <c r="OJ676" s="126"/>
      <c r="OK676" s="126"/>
      <c r="OL676" s="126"/>
      <c r="OM676" s="126"/>
      <c r="ON676" s="126"/>
      <c r="OO676" s="126"/>
      <c r="OP676" s="126"/>
      <c r="OQ676" s="126"/>
      <c r="OR676" s="126"/>
      <c r="OS676" s="126"/>
      <c r="OT676" s="126"/>
      <c r="OU676" s="126"/>
      <c r="OV676" s="126"/>
      <c r="OW676" s="126"/>
      <c r="OX676" s="126"/>
      <c r="OY676" s="126"/>
      <c r="OZ676" s="126"/>
      <c r="PA676" s="126"/>
      <c r="PB676" s="126"/>
      <c r="PC676" s="126"/>
      <c r="PD676" s="126"/>
      <c r="PE676" s="126"/>
      <c r="PF676" s="126"/>
      <c r="PG676" s="126"/>
      <c r="PH676" s="126"/>
      <c r="PI676" s="126"/>
      <c r="PJ676" s="126"/>
      <c r="PK676" s="126"/>
      <c r="PL676" s="126"/>
      <c r="PM676" s="126"/>
      <c r="PN676" s="126"/>
      <c r="PO676" s="126"/>
      <c r="PP676" s="126"/>
      <c r="PQ676" s="126"/>
      <c r="PR676" s="126"/>
      <c r="PS676" s="126"/>
      <c r="PT676" s="126"/>
      <c r="PU676" s="126"/>
      <c r="PV676" s="126"/>
      <c r="PW676" s="126"/>
      <c r="PX676" s="126"/>
      <c r="PY676" s="126"/>
      <c r="PZ676" s="126"/>
      <c r="QA676" s="126"/>
      <c r="QB676" s="126"/>
      <c r="QC676" s="126"/>
      <c r="QD676" s="126"/>
      <c r="QE676" s="126"/>
      <c r="QF676" s="126"/>
      <c r="QG676" s="126"/>
      <c r="QH676" s="126"/>
      <c r="QI676" s="126"/>
      <c r="QJ676" s="126"/>
      <c r="QK676" s="126"/>
      <c r="QL676" s="126"/>
      <c r="QM676" s="126"/>
      <c r="QN676" s="126"/>
      <c r="QO676" s="126"/>
      <c r="QP676" s="126"/>
      <c r="QQ676" s="126"/>
      <c r="QR676" s="126"/>
      <c r="QS676" s="126"/>
      <c r="QT676" s="126"/>
      <c r="QU676" s="126"/>
      <c r="QV676" s="126"/>
      <c r="QW676" s="126"/>
      <c r="QX676" s="126"/>
      <c r="QY676" s="126"/>
      <c r="QZ676" s="126"/>
      <c r="RA676" s="126"/>
      <c r="RB676" s="126"/>
      <c r="RC676" s="126"/>
      <c r="RD676" s="126"/>
      <c r="RE676" s="126"/>
      <c r="RF676" s="126"/>
      <c r="RG676" s="126"/>
      <c r="RH676" s="126"/>
      <c r="RI676" s="126"/>
      <c r="RJ676" s="126"/>
      <c r="RK676" s="126"/>
      <c r="RL676" s="126"/>
      <c r="RM676" s="126"/>
      <c r="RN676" s="126"/>
      <c r="RO676" s="126"/>
      <c r="RP676" s="126"/>
      <c r="RQ676" s="126"/>
      <c r="RR676" s="126"/>
      <c r="RS676" s="126"/>
      <c r="RT676" s="126"/>
      <c r="RU676" s="126"/>
      <c r="RV676" s="126"/>
      <c r="RW676" s="126"/>
      <c r="RX676" s="126"/>
      <c r="RY676" s="126"/>
      <c r="RZ676" s="126"/>
      <c r="SA676" s="126"/>
      <c r="SB676" s="126"/>
      <c r="SC676" s="126"/>
      <c r="SD676" s="126"/>
      <c r="SE676" s="126"/>
      <c r="SF676" s="126"/>
      <c r="SG676" s="126"/>
      <c r="SH676" s="126"/>
      <c r="SI676" s="126"/>
      <c r="SJ676" s="126"/>
      <c r="SK676" s="126"/>
      <c r="SL676" s="126"/>
      <c r="SM676" s="126"/>
      <c r="SN676" s="126"/>
      <c r="SO676" s="126"/>
      <c r="SP676" s="126"/>
      <c r="SQ676" s="126"/>
      <c r="SR676" s="126"/>
      <c r="SS676" s="126"/>
      <c r="ST676" s="126"/>
      <c r="SU676" s="126"/>
      <c r="SV676" s="126"/>
      <c r="SW676" s="126"/>
      <c r="SX676" s="126"/>
      <c r="SY676" s="126"/>
      <c r="SZ676" s="126"/>
      <c r="TA676" s="126"/>
      <c r="TB676" s="126"/>
      <c r="TC676" s="126"/>
      <c r="TD676" s="126"/>
      <c r="TE676" s="126"/>
      <c r="TF676" s="126"/>
      <c r="TG676" s="126"/>
      <c r="TH676" s="126"/>
      <c r="TI676" s="126"/>
      <c r="TJ676" s="126"/>
      <c r="TK676" s="126"/>
      <c r="TL676" s="126"/>
      <c r="TM676" s="126"/>
      <c r="TN676" s="126"/>
      <c r="TO676" s="126"/>
      <c r="TP676" s="126"/>
      <c r="TQ676" s="126"/>
      <c r="TR676" s="126"/>
      <c r="TS676" s="126"/>
      <c r="TT676" s="126"/>
      <c r="TU676" s="126"/>
      <c r="TV676" s="126"/>
      <c r="TW676" s="126"/>
      <c r="TX676" s="126"/>
      <c r="TY676" s="126"/>
      <c r="TZ676" s="126"/>
      <c r="UA676" s="126"/>
      <c r="UB676" s="126"/>
      <c r="UC676" s="126"/>
      <c r="UD676" s="126"/>
      <c r="UE676" s="126"/>
      <c r="UF676" s="126"/>
      <c r="UG676" s="126"/>
      <c r="UH676" s="126"/>
      <c r="UI676" s="126"/>
      <c r="UJ676" s="126"/>
      <c r="UK676" s="126"/>
      <c r="UL676" s="126"/>
      <c r="UM676" s="126"/>
      <c r="UN676" s="126"/>
      <c r="UO676" s="126"/>
      <c r="UP676" s="126"/>
      <c r="UQ676" s="126"/>
      <c r="UR676" s="126"/>
      <c r="US676" s="126"/>
      <c r="UT676" s="126"/>
      <c r="UU676" s="126"/>
      <c r="UV676" s="126"/>
      <c r="UW676" s="126"/>
      <c r="UX676" s="126"/>
      <c r="UY676" s="126"/>
      <c r="UZ676" s="126"/>
      <c r="VA676" s="126"/>
      <c r="VB676" s="126"/>
      <c r="VC676" s="126"/>
      <c r="VD676" s="126"/>
      <c r="VE676" s="126"/>
      <c r="VF676" s="126"/>
      <c r="VG676" s="126"/>
      <c r="VH676" s="126"/>
      <c r="VI676" s="126"/>
      <c r="VJ676" s="126"/>
      <c r="VK676" s="126"/>
      <c r="VL676" s="126"/>
      <c r="VM676" s="126"/>
      <c r="VN676" s="126"/>
      <c r="VO676" s="126"/>
      <c r="VP676" s="126"/>
      <c r="VQ676" s="126"/>
      <c r="VR676" s="126"/>
      <c r="VS676" s="126"/>
      <c r="VT676" s="126"/>
      <c r="VU676" s="126"/>
      <c r="VV676" s="126"/>
      <c r="VW676" s="126"/>
      <c r="VX676" s="126"/>
      <c r="VY676" s="126"/>
      <c r="VZ676" s="126"/>
      <c r="WA676" s="126"/>
      <c r="WB676" s="126"/>
      <c r="WC676" s="126"/>
      <c r="WD676" s="126"/>
      <c r="WE676" s="126"/>
      <c r="WF676" s="126"/>
      <c r="WG676" s="126"/>
      <c r="WH676" s="126"/>
      <c r="WI676" s="126"/>
      <c r="WJ676" s="126"/>
      <c r="WK676" s="126"/>
      <c r="WL676" s="126"/>
      <c r="WM676" s="126"/>
      <c r="WN676" s="126"/>
      <c r="WO676" s="126"/>
      <c r="WP676" s="126"/>
      <c r="WQ676" s="126"/>
      <c r="WR676" s="126"/>
      <c r="WS676" s="126"/>
      <c r="WT676" s="126"/>
      <c r="WU676" s="126"/>
      <c r="WV676" s="126"/>
      <c r="WW676" s="126"/>
      <c r="WX676" s="126"/>
      <c r="WY676" s="126"/>
      <c r="WZ676" s="126"/>
      <c r="XA676" s="126"/>
      <c r="XB676" s="126"/>
      <c r="XC676" s="126"/>
      <c r="XD676" s="126"/>
      <c r="XE676" s="126"/>
      <c r="XF676" s="126"/>
      <c r="XG676" s="126"/>
      <c r="XH676" s="126"/>
      <c r="XI676" s="126"/>
      <c r="XJ676" s="126"/>
      <c r="XK676" s="126"/>
      <c r="XL676" s="126"/>
      <c r="XM676" s="126"/>
      <c r="XN676" s="126"/>
      <c r="XO676" s="126"/>
      <c r="XP676" s="126"/>
      <c r="XQ676" s="126"/>
      <c r="XR676" s="126"/>
      <c r="XS676" s="126"/>
      <c r="XT676" s="126"/>
      <c r="XU676" s="126"/>
      <c r="XV676" s="126"/>
      <c r="XW676" s="126"/>
      <c r="XX676" s="126"/>
      <c r="XY676" s="126"/>
      <c r="XZ676" s="126"/>
      <c r="YA676" s="126"/>
      <c r="YB676" s="126"/>
      <c r="YC676" s="126"/>
      <c r="YD676" s="126"/>
      <c r="YE676" s="126"/>
      <c r="YF676" s="126"/>
      <c r="YG676" s="126"/>
      <c r="YH676" s="126"/>
      <c r="YI676" s="126"/>
      <c r="YJ676" s="126"/>
      <c r="YK676" s="126"/>
      <c r="YL676" s="126"/>
      <c r="YM676" s="126"/>
      <c r="YN676" s="126"/>
      <c r="YO676" s="126"/>
      <c r="YP676" s="126"/>
      <c r="YQ676" s="126"/>
      <c r="YR676" s="126"/>
      <c r="YS676" s="126"/>
      <c r="YT676" s="126"/>
      <c r="YU676" s="126"/>
      <c r="YV676" s="126"/>
      <c r="YW676" s="126"/>
      <c r="YX676" s="126"/>
      <c r="YY676" s="126"/>
      <c r="YZ676" s="126"/>
      <c r="ZA676" s="126"/>
      <c r="ZB676" s="126"/>
      <c r="ZC676" s="126"/>
      <c r="ZD676" s="126"/>
      <c r="ZE676" s="126"/>
      <c r="ZF676" s="126"/>
      <c r="ZG676" s="126"/>
      <c r="ZH676" s="126"/>
      <c r="ZI676" s="126"/>
      <c r="ZJ676" s="126"/>
      <c r="ZK676" s="126"/>
      <c r="ZL676" s="126"/>
      <c r="ZM676" s="126"/>
      <c r="ZN676" s="126"/>
      <c r="ZO676" s="126"/>
      <c r="ZP676" s="126"/>
      <c r="ZQ676" s="126"/>
      <c r="ZR676" s="126"/>
      <c r="ZS676" s="126"/>
      <c r="ZT676" s="126"/>
      <c r="ZU676" s="126"/>
      <c r="ZV676" s="126"/>
      <c r="ZW676" s="126"/>
      <c r="ZX676" s="126"/>
      <c r="ZY676" s="126"/>
      <c r="ZZ676" s="126"/>
      <c r="AAA676" s="126"/>
      <c r="AAB676" s="126"/>
      <c r="AAC676" s="126"/>
      <c r="AAD676" s="126"/>
      <c r="AAE676" s="126"/>
      <c r="AAF676" s="126"/>
      <c r="AAG676" s="126"/>
      <c r="AAH676" s="126"/>
      <c r="AAI676" s="126"/>
      <c r="AAJ676" s="126"/>
      <c r="AAK676" s="126"/>
      <c r="AAL676" s="126"/>
      <c r="AAM676" s="126"/>
      <c r="AAN676" s="126"/>
      <c r="AAO676" s="126"/>
      <c r="AAP676" s="126"/>
      <c r="AAQ676" s="126"/>
      <c r="AAR676" s="126"/>
      <c r="AAS676" s="126"/>
      <c r="AAT676" s="126"/>
      <c r="AAU676" s="126"/>
      <c r="AAV676" s="126"/>
      <c r="AAW676" s="126"/>
      <c r="AAX676" s="126"/>
      <c r="AAY676" s="126"/>
      <c r="AAZ676" s="126"/>
      <c r="ABA676" s="126"/>
      <c r="ABB676" s="126"/>
      <c r="ABC676" s="126"/>
      <c r="ABD676" s="126"/>
      <c r="ABE676" s="126"/>
      <c r="ABF676" s="126"/>
      <c r="ABG676" s="126"/>
      <c r="ABH676" s="126"/>
      <c r="ABI676" s="126"/>
      <c r="ABJ676" s="126"/>
      <c r="ABK676" s="126"/>
      <c r="ABL676" s="126"/>
      <c r="ABM676" s="126"/>
      <c r="ABN676" s="126"/>
      <c r="ABO676" s="126"/>
      <c r="ABP676" s="126"/>
      <c r="ABQ676" s="126"/>
      <c r="ABR676" s="126"/>
      <c r="ABS676" s="126"/>
      <c r="ABT676" s="126"/>
      <c r="ABU676" s="126"/>
      <c r="ABV676" s="126"/>
      <c r="ABW676" s="126"/>
      <c r="ABX676" s="126"/>
      <c r="ABY676" s="126"/>
      <c r="ABZ676" s="126"/>
      <c r="ACA676" s="126"/>
      <c r="ACB676" s="126"/>
      <c r="ACC676" s="126"/>
      <c r="ACD676" s="126"/>
      <c r="ACE676" s="126"/>
      <c r="ACF676" s="126"/>
      <c r="ACG676" s="126"/>
      <c r="ACH676" s="126"/>
      <c r="ACI676" s="126"/>
      <c r="ACJ676" s="126"/>
      <c r="ACK676" s="126"/>
      <c r="ACL676" s="126"/>
      <c r="ACM676" s="126"/>
      <c r="ACN676" s="126"/>
      <c r="ACO676" s="126"/>
      <c r="ACP676" s="126"/>
      <c r="ACQ676" s="126"/>
      <c r="ACR676" s="126"/>
      <c r="ACS676" s="126"/>
      <c r="ACT676" s="126"/>
      <c r="ACU676" s="126"/>
      <c r="ACV676" s="126"/>
      <c r="ACW676" s="126"/>
      <c r="ACX676" s="126"/>
      <c r="ACY676" s="126"/>
      <c r="ACZ676" s="126"/>
      <c r="ADA676" s="126"/>
      <c r="ADB676" s="126"/>
      <c r="ADC676" s="126"/>
      <c r="ADD676" s="126"/>
      <c r="ADE676" s="126"/>
      <c r="ADF676" s="126"/>
      <c r="ADG676" s="126"/>
      <c r="ADH676" s="126"/>
      <c r="ADI676" s="126"/>
      <c r="ADJ676" s="126"/>
      <c r="ADK676" s="126"/>
      <c r="ADL676" s="126"/>
      <c r="ADM676" s="126"/>
      <c r="ADN676" s="126"/>
      <c r="ADO676" s="126"/>
      <c r="ADP676" s="126"/>
      <c r="ADQ676" s="126"/>
      <c r="ADR676" s="126"/>
      <c r="ADS676" s="126"/>
      <c r="ADT676" s="126"/>
      <c r="ADU676" s="126"/>
      <c r="ADV676" s="126"/>
      <c r="ADW676" s="126"/>
      <c r="ADX676" s="126"/>
      <c r="ADY676" s="126"/>
      <c r="ADZ676" s="126"/>
      <c r="AEA676" s="126"/>
      <c r="AEB676" s="126"/>
      <c r="AEC676" s="126"/>
      <c r="AED676" s="126"/>
      <c r="AEE676" s="126"/>
      <c r="AEF676" s="126"/>
      <c r="AEG676" s="126"/>
      <c r="AEH676" s="126"/>
      <c r="AEI676" s="126"/>
      <c r="AEJ676" s="126"/>
      <c r="AEK676" s="126"/>
      <c r="AEL676" s="126"/>
      <c r="AEM676" s="126"/>
      <c r="AEN676" s="126"/>
      <c r="AEO676" s="126"/>
      <c r="AEP676" s="126"/>
      <c r="AEQ676" s="126"/>
      <c r="AER676" s="126"/>
      <c r="AES676" s="126"/>
      <c r="AET676" s="126"/>
      <c r="AEU676" s="126"/>
      <c r="AEV676" s="126"/>
      <c r="AEW676" s="126"/>
      <c r="AEX676" s="126"/>
      <c r="AEY676" s="126"/>
      <c r="AEZ676" s="126"/>
      <c r="AFA676" s="126"/>
      <c r="AFB676" s="126"/>
      <c r="AFC676" s="126"/>
      <c r="AFD676" s="126"/>
      <c r="AFE676" s="126"/>
      <c r="AFF676" s="126"/>
      <c r="AFG676" s="126"/>
      <c r="AFH676" s="126"/>
      <c r="AFI676" s="126"/>
      <c r="AFJ676" s="126"/>
      <c r="AFK676" s="126"/>
      <c r="AFL676" s="126"/>
      <c r="AFM676" s="126"/>
      <c r="AFN676" s="126"/>
      <c r="AFO676" s="126"/>
      <c r="AFP676" s="126"/>
      <c r="AFQ676" s="126"/>
      <c r="AFR676" s="126"/>
      <c r="AFS676" s="126"/>
      <c r="AFT676" s="126"/>
      <c r="AFU676" s="126"/>
      <c r="AFV676" s="126"/>
      <c r="AFW676" s="126"/>
      <c r="AFX676" s="126"/>
      <c r="AFY676" s="126"/>
      <c r="AFZ676" s="126"/>
      <c r="AGA676" s="126"/>
      <c r="AGB676" s="126"/>
      <c r="AGC676" s="126"/>
      <c r="AGD676" s="126"/>
      <c r="AGE676" s="126"/>
      <c r="AGF676" s="126"/>
      <c r="AGG676" s="126"/>
      <c r="AGH676" s="126"/>
      <c r="AGI676" s="126"/>
      <c r="AGJ676" s="126"/>
      <c r="AGK676" s="126"/>
      <c r="AGL676" s="126"/>
      <c r="AGM676" s="126"/>
      <c r="AGN676" s="126"/>
      <c r="AGO676" s="126"/>
      <c r="AGP676" s="126"/>
      <c r="AGQ676" s="126"/>
      <c r="AGR676" s="126"/>
      <c r="AGS676" s="126"/>
      <c r="AGT676" s="126"/>
      <c r="AGU676" s="126"/>
      <c r="AGV676" s="126"/>
      <c r="AGW676" s="126"/>
      <c r="AGX676" s="126"/>
      <c r="AGY676" s="126"/>
      <c r="AGZ676" s="126"/>
      <c r="AHA676" s="126"/>
      <c r="AHB676" s="126"/>
      <c r="AHC676" s="126"/>
      <c r="AHD676" s="126"/>
      <c r="AHE676" s="126"/>
      <c r="AHF676" s="126"/>
      <c r="AHG676" s="126"/>
      <c r="AHH676" s="126"/>
      <c r="AHI676" s="126"/>
      <c r="AHJ676" s="126"/>
      <c r="AHK676" s="126"/>
      <c r="AHL676" s="126"/>
      <c r="AHM676" s="126"/>
      <c r="AHN676" s="126"/>
      <c r="AHO676" s="126"/>
      <c r="AHP676" s="126"/>
      <c r="AHQ676" s="126"/>
      <c r="AHR676" s="126"/>
      <c r="AHS676" s="126"/>
      <c r="AHT676" s="126"/>
      <c r="AHU676" s="126"/>
      <c r="AHV676" s="126"/>
      <c r="AHW676" s="126"/>
      <c r="AHX676" s="126"/>
      <c r="AHY676" s="126"/>
      <c r="AHZ676" s="126"/>
      <c r="AIA676" s="126"/>
      <c r="AIB676" s="126"/>
      <c r="AIC676" s="126"/>
      <c r="AID676" s="126"/>
      <c r="AIE676" s="126"/>
      <c r="AIF676" s="126"/>
      <c r="AIG676" s="126"/>
      <c r="AIH676" s="126"/>
      <c r="AII676" s="126"/>
      <c r="AIJ676" s="126"/>
      <c r="AIK676" s="126"/>
      <c r="AIL676" s="126"/>
      <c r="AIM676" s="126"/>
      <c r="AIN676" s="126"/>
      <c r="AIO676" s="126"/>
      <c r="AIP676" s="126"/>
      <c r="AIQ676" s="126"/>
      <c r="AIR676" s="126"/>
      <c r="AIS676" s="126"/>
      <c r="AIT676" s="126"/>
      <c r="AIU676" s="126"/>
      <c r="AIV676" s="126"/>
      <c r="AIW676" s="126"/>
      <c r="AIX676" s="126"/>
      <c r="AIY676" s="126"/>
      <c r="AIZ676" s="126"/>
      <c r="AJA676" s="126"/>
      <c r="AJB676" s="126"/>
      <c r="AJC676" s="126"/>
      <c r="AJD676" s="126"/>
      <c r="AJE676" s="126"/>
      <c r="AJF676" s="126"/>
      <c r="AJG676" s="126"/>
      <c r="AJH676" s="126"/>
      <c r="AJI676" s="126"/>
      <c r="AJJ676" s="126"/>
      <c r="AJK676" s="126"/>
      <c r="AJL676" s="126"/>
      <c r="AJM676" s="126"/>
      <c r="AJN676" s="126"/>
      <c r="AJO676" s="126"/>
      <c r="AJP676" s="126"/>
      <c r="AJQ676" s="126"/>
      <c r="AJR676" s="126"/>
      <c r="AJS676" s="126"/>
      <c r="AJT676" s="126"/>
      <c r="AJU676" s="126"/>
      <c r="AJV676" s="126"/>
      <c r="AJW676" s="126"/>
      <c r="AJX676" s="126"/>
      <c r="AJY676" s="126"/>
      <c r="AJZ676" s="126"/>
      <c r="AKA676" s="126"/>
      <c r="AKB676" s="126"/>
      <c r="AKC676" s="126"/>
      <c r="AKD676" s="126"/>
      <c r="AKE676" s="126"/>
      <c r="AKF676" s="126"/>
      <c r="AKG676" s="126"/>
      <c r="AKH676" s="126"/>
      <c r="AKI676" s="126"/>
      <c r="AKJ676" s="126"/>
      <c r="AKK676" s="126"/>
      <c r="AKL676" s="126"/>
      <c r="AKM676" s="126"/>
      <c r="AKN676" s="126"/>
      <c r="AKO676" s="126"/>
      <c r="AKP676" s="126"/>
      <c r="AKQ676" s="126"/>
      <c r="AKR676" s="126"/>
      <c r="AKS676" s="126"/>
      <c r="AKT676" s="126"/>
      <c r="AKU676" s="126"/>
      <c r="AKV676" s="126"/>
      <c r="AKW676" s="126"/>
      <c r="AKX676" s="126"/>
      <c r="AKY676" s="126"/>
      <c r="AKZ676" s="126"/>
      <c r="ALA676" s="126"/>
      <c r="ALB676" s="126"/>
      <c r="ALC676" s="126"/>
      <c r="ALD676" s="126"/>
      <c r="ALE676" s="126"/>
      <c r="ALF676" s="126"/>
      <c r="ALG676" s="126"/>
      <c r="ALH676" s="126"/>
      <c r="ALI676" s="126"/>
      <c r="ALJ676" s="126"/>
      <c r="ALK676" s="126"/>
      <c r="ALL676" s="126"/>
      <c r="ALM676" s="126"/>
      <c r="ALN676" s="126"/>
      <c r="ALO676" s="126"/>
      <c r="ALP676" s="126"/>
      <c r="ALQ676" s="126"/>
      <c r="ALR676" s="126"/>
      <c r="ALS676" s="126"/>
      <c r="ALT676" s="126"/>
      <c r="ALU676" s="126"/>
      <c r="ALV676" s="126"/>
      <c r="ALW676" s="126"/>
      <c r="ALX676" s="126"/>
      <c r="ALY676" s="126"/>
      <c r="ALZ676" s="126"/>
      <c r="AMA676" s="126"/>
      <c r="AMB676" s="126"/>
      <c r="AMC676" s="126"/>
      <c r="AMD676" s="126"/>
      <c r="AME676" s="126"/>
      <c r="AMF676" s="126"/>
      <c r="AMG676" s="126"/>
      <c r="AMH676" s="126"/>
      <c r="AMI676" s="126"/>
      <c r="AMJ676" s="126"/>
      <c r="AMK676" s="126"/>
      <c r="AML676" s="126"/>
      <c r="AMM676" s="126"/>
      <c r="AMN676" s="126"/>
      <c r="AMO676" s="126"/>
      <c r="AMP676" s="126"/>
      <c r="AMQ676" s="126"/>
      <c r="AMR676" s="126"/>
      <c r="AMS676" s="126"/>
      <c r="AMT676" s="126"/>
      <c r="AMU676" s="126"/>
      <c r="AMV676" s="126"/>
      <c r="AMW676" s="126"/>
      <c r="AMX676" s="126"/>
      <c r="AMY676" s="126"/>
      <c r="AMZ676" s="126"/>
      <c r="ANA676" s="126"/>
      <c r="ANB676" s="126"/>
      <c r="ANC676" s="126"/>
      <c r="AND676" s="126"/>
      <c r="ANE676" s="126"/>
      <c r="ANF676" s="126"/>
      <c r="ANG676" s="126"/>
      <c r="ANH676" s="126"/>
      <c r="ANI676" s="126"/>
      <c r="ANJ676" s="126"/>
      <c r="ANK676" s="126"/>
      <c r="ANL676" s="126"/>
      <c r="ANM676" s="126"/>
      <c r="ANN676" s="126"/>
      <c r="ANO676" s="126"/>
      <c r="ANP676" s="126"/>
      <c r="ANQ676" s="126"/>
      <c r="ANR676" s="126"/>
      <c r="ANS676" s="126"/>
      <c r="ANT676" s="126"/>
      <c r="ANU676" s="126"/>
      <c r="ANV676" s="126"/>
      <c r="ANW676" s="126"/>
      <c r="ANX676" s="126"/>
      <c r="ANY676" s="126"/>
      <c r="ANZ676" s="126"/>
      <c r="AOA676" s="126"/>
      <c r="AOB676" s="126"/>
      <c r="AOC676" s="126"/>
      <c r="AOD676" s="126"/>
      <c r="AOE676" s="126"/>
      <c r="AOF676" s="126"/>
      <c r="AOG676" s="126"/>
      <c r="AOH676" s="126"/>
      <c r="AOI676" s="126"/>
      <c r="AOJ676" s="126"/>
      <c r="AOK676" s="126"/>
      <c r="AOL676" s="126"/>
      <c r="AOM676" s="126"/>
      <c r="AON676" s="126"/>
      <c r="AOO676" s="126"/>
      <c r="AOP676" s="126"/>
      <c r="AOQ676" s="126"/>
      <c r="AOR676" s="126"/>
      <c r="AOS676" s="126"/>
      <c r="AOT676" s="126"/>
      <c r="AOU676" s="126"/>
      <c r="AOV676" s="126"/>
      <c r="AOW676" s="126"/>
      <c r="AOX676" s="126"/>
      <c r="AOY676" s="126"/>
      <c r="AOZ676" s="126"/>
      <c r="APA676" s="126"/>
      <c r="APB676" s="126"/>
      <c r="APC676" s="126"/>
      <c r="APD676" s="126"/>
      <c r="APE676" s="126"/>
      <c r="APF676" s="126"/>
      <c r="APG676" s="126"/>
      <c r="APH676" s="126"/>
      <c r="API676" s="126"/>
      <c r="APJ676" s="126"/>
      <c r="APK676" s="126"/>
      <c r="APL676" s="126"/>
      <c r="APM676" s="126"/>
      <c r="APN676" s="126"/>
      <c r="APO676" s="126"/>
      <c r="APP676" s="126"/>
      <c r="APQ676" s="126"/>
      <c r="APR676" s="126"/>
      <c r="APS676" s="126"/>
      <c r="APT676" s="126"/>
      <c r="APU676" s="126"/>
      <c r="APV676" s="126"/>
      <c r="APW676" s="126"/>
      <c r="APX676" s="126"/>
      <c r="APY676" s="126"/>
      <c r="APZ676" s="126"/>
      <c r="AQA676" s="126"/>
      <c r="AQB676" s="126"/>
      <c r="AQC676" s="126"/>
      <c r="AQD676" s="126"/>
      <c r="AQE676" s="126"/>
      <c r="AQF676" s="126"/>
      <c r="AQG676" s="126"/>
      <c r="AQH676" s="126"/>
      <c r="AQI676" s="126"/>
      <c r="AQJ676" s="126"/>
      <c r="AQK676" s="126"/>
      <c r="AQL676" s="126"/>
      <c r="AQM676" s="126"/>
      <c r="AQN676" s="126"/>
      <c r="AQO676" s="126"/>
      <c r="AQP676" s="126"/>
      <c r="AQQ676" s="126"/>
      <c r="AQR676" s="126"/>
      <c r="AQS676" s="126"/>
      <c r="AQT676" s="126"/>
      <c r="AQU676" s="126"/>
      <c r="AQV676" s="126"/>
      <c r="AQW676" s="126"/>
      <c r="AQX676" s="126"/>
      <c r="AQY676" s="126"/>
      <c r="AQZ676" s="126"/>
      <c r="ARA676" s="126"/>
      <c r="ARB676" s="126"/>
      <c r="ARC676" s="126"/>
      <c r="ARD676" s="126"/>
      <c r="ARE676" s="126"/>
      <c r="ARF676" s="126"/>
      <c r="ARG676" s="126"/>
      <c r="ARH676" s="126"/>
      <c r="ARI676" s="126"/>
      <c r="ARJ676" s="126"/>
      <c r="ARK676" s="126"/>
      <c r="ARL676" s="126"/>
      <c r="ARM676" s="126"/>
      <c r="ARN676" s="126"/>
      <c r="ARO676" s="126"/>
      <c r="ARP676" s="126"/>
      <c r="ARQ676" s="126"/>
      <c r="ARR676" s="126"/>
      <c r="ARS676" s="126"/>
      <c r="ART676" s="126"/>
      <c r="ARU676" s="126"/>
      <c r="ARV676" s="126"/>
      <c r="ARW676" s="126"/>
      <c r="ARX676" s="126"/>
      <c r="ARY676" s="126"/>
      <c r="ARZ676" s="126"/>
      <c r="ASA676" s="126"/>
      <c r="ASB676" s="126"/>
      <c r="ASC676" s="126"/>
      <c r="ASD676" s="126"/>
      <c r="ASE676" s="126"/>
      <c r="ASF676" s="126"/>
      <c r="ASG676" s="126"/>
      <c r="ASH676" s="126"/>
      <c r="ASI676" s="126"/>
      <c r="ASJ676" s="126"/>
      <c r="ASK676" s="126"/>
      <c r="ASL676" s="126"/>
      <c r="ASM676" s="126"/>
      <c r="ASN676" s="126"/>
      <c r="ASO676" s="126"/>
      <c r="ASP676" s="126"/>
      <c r="ASQ676" s="126"/>
      <c r="ASR676" s="126"/>
      <c r="ASS676" s="126"/>
      <c r="AST676" s="126"/>
      <c r="ASU676" s="126"/>
      <c r="ASV676" s="126"/>
      <c r="ASW676" s="126"/>
      <c r="ASX676" s="126"/>
      <c r="ASY676" s="126"/>
      <c r="ASZ676" s="126"/>
      <c r="ATA676" s="126"/>
      <c r="ATB676" s="126"/>
      <c r="ATC676" s="126"/>
      <c r="ATD676" s="126"/>
      <c r="ATE676" s="126"/>
      <c r="ATF676" s="126"/>
      <c r="ATG676" s="126"/>
      <c r="ATH676" s="126"/>
      <c r="ATI676" s="126"/>
      <c r="ATJ676" s="126"/>
      <c r="ATK676" s="126"/>
      <c r="ATL676" s="126"/>
      <c r="ATM676" s="126"/>
      <c r="ATN676" s="126"/>
      <c r="ATO676" s="126"/>
    </row>
    <row r="677" spans="1:1211" s="171" customFormat="1">
      <c r="A677" s="884"/>
      <c r="B677" s="1931" t="s">
        <v>3960</v>
      </c>
      <c r="C677" s="1143" t="s">
        <v>14228</v>
      </c>
      <c r="E677" s="886"/>
      <c r="F677" s="1217"/>
      <c r="G677" s="882"/>
      <c r="H677" s="882"/>
      <c r="I677" s="882"/>
      <c r="J677" s="887"/>
      <c r="K677" s="1094"/>
      <c r="L677" s="412"/>
      <c r="M677" s="1094"/>
      <c r="N677" s="411"/>
      <c r="O677" s="652"/>
      <c r="P677" s="126"/>
      <c r="Q677" s="1481"/>
      <c r="R677" s="126"/>
      <c r="S677" s="126"/>
      <c r="T677" s="126"/>
      <c r="U677" s="126"/>
      <c r="V677" s="126"/>
      <c r="W677" s="126"/>
      <c r="X677" s="126"/>
      <c r="Y677" s="126"/>
      <c r="Z677" s="126"/>
      <c r="AA677" s="126"/>
      <c r="AB677" s="126"/>
      <c r="AC677" s="126"/>
      <c r="AD677" s="126"/>
      <c r="AE677" s="126"/>
      <c r="AF677" s="126"/>
      <c r="AG677" s="126"/>
      <c r="AH677" s="126"/>
      <c r="AI677" s="126"/>
      <c r="AJ677" s="126"/>
      <c r="AK677" s="126"/>
      <c r="AL677" s="126"/>
      <c r="AM677" s="126"/>
      <c r="AN677" s="126"/>
      <c r="AO677" s="126"/>
      <c r="AP677" s="126"/>
      <c r="AQ677" s="126"/>
      <c r="AR677" s="126"/>
      <c r="AS677" s="126"/>
      <c r="AT677" s="126"/>
      <c r="AU677" s="126"/>
      <c r="AV677" s="126"/>
      <c r="AW677" s="126"/>
      <c r="AX677" s="126"/>
      <c r="AY677" s="126"/>
      <c r="AZ677" s="126"/>
      <c r="BA677" s="126"/>
      <c r="BB677" s="126"/>
      <c r="BC677" s="126"/>
      <c r="BD677" s="126"/>
      <c r="BE677" s="126"/>
      <c r="BF677" s="126"/>
      <c r="BG677" s="126"/>
      <c r="BH677" s="126"/>
      <c r="BI677" s="126"/>
      <c r="BJ677" s="126"/>
      <c r="BK677" s="126"/>
      <c r="BL677" s="126"/>
      <c r="BM677" s="126"/>
      <c r="BN677" s="126"/>
      <c r="BO677" s="126"/>
      <c r="BP677" s="126"/>
      <c r="BQ677" s="126"/>
      <c r="BR677" s="126"/>
      <c r="BS677" s="126"/>
      <c r="BT677" s="126"/>
      <c r="BU677" s="126"/>
      <c r="BV677" s="126"/>
      <c r="BW677" s="126"/>
      <c r="BX677" s="126"/>
      <c r="BY677" s="126"/>
      <c r="BZ677" s="126"/>
      <c r="CA677" s="126"/>
      <c r="CB677" s="126"/>
      <c r="CC677" s="126"/>
      <c r="CD677" s="126"/>
      <c r="CE677" s="126"/>
      <c r="CF677" s="126"/>
      <c r="CG677" s="126"/>
      <c r="CH677" s="126"/>
      <c r="CI677" s="126"/>
      <c r="CJ677" s="126"/>
      <c r="CK677" s="126"/>
      <c r="CL677" s="126"/>
      <c r="CM677" s="126"/>
      <c r="CN677" s="126"/>
      <c r="CO677" s="126"/>
      <c r="CP677" s="126"/>
      <c r="CQ677" s="126"/>
      <c r="CR677" s="126"/>
      <c r="CS677" s="126"/>
      <c r="CT677" s="126"/>
      <c r="CU677" s="126"/>
      <c r="CV677" s="126"/>
      <c r="CW677" s="126"/>
      <c r="CX677" s="126"/>
      <c r="CY677" s="126"/>
      <c r="CZ677" s="126"/>
      <c r="DA677" s="126"/>
      <c r="DB677" s="126"/>
      <c r="DC677" s="126"/>
      <c r="DD677" s="126"/>
      <c r="DE677" s="126"/>
      <c r="DF677" s="126"/>
      <c r="DG677" s="126"/>
      <c r="DH677" s="126"/>
      <c r="DI677" s="126"/>
      <c r="DJ677" s="126"/>
      <c r="DK677" s="126"/>
      <c r="DL677" s="126"/>
      <c r="DM677" s="126"/>
      <c r="DN677" s="126"/>
      <c r="DO677" s="126"/>
      <c r="DP677" s="126"/>
      <c r="DQ677" s="126"/>
      <c r="DR677" s="126"/>
      <c r="DS677" s="126"/>
      <c r="DT677" s="126"/>
      <c r="DU677" s="126"/>
      <c r="DV677" s="126"/>
      <c r="DW677" s="126"/>
      <c r="DX677" s="126"/>
      <c r="DY677" s="126"/>
      <c r="DZ677" s="126"/>
      <c r="EA677" s="126"/>
      <c r="EB677" s="126"/>
      <c r="EC677" s="126"/>
      <c r="ED677" s="126"/>
      <c r="EE677" s="126"/>
      <c r="EF677" s="126"/>
      <c r="EG677" s="126"/>
      <c r="EH677" s="126"/>
      <c r="EI677" s="126"/>
      <c r="EJ677" s="126"/>
      <c r="EK677" s="126"/>
      <c r="EL677" s="126"/>
      <c r="EM677" s="126"/>
      <c r="EN677" s="126"/>
      <c r="EO677" s="126"/>
      <c r="EP677" s="126"/>
      <c r="EQ677" s="126"/>
      <c r="ER677" s="126"/>
      <c r="ES677" s="126"/>
      <c r="ET677" s="126"/>
      <c r="EU677" s="126"/>
      <c r="EV677" s="126"/>
      <c r="EW677" s="126"/>
      <c r="EX677" s="126"/>
      <c r="EY677" s="126"/>
      <c r="EZ677" s="126"/>
      <c r="FA677" s="126"/>
      <c r="FB677" s="126"/>
      <c r="FC677" s="126"/>
      <c r="FD677" s="126"/>
      <c r="FE677" s="126"/>
      <c r="FF677" s="126"/>
      <c r="FG677" s="126"/>
      <c r="FH677" s="126"/>
      <c r="FI677" s="126"/>
      <c r="FJ677" s="126"/>
      <c r="FK677" s="126"/>
      <c r="FL677" s="126"/>
      <c r="FM677" s="126"/>
      <c r="FN677" s="126"/>
      <c r="FO677" s="126"/>
      <c r="FP677" s="126"/>
      <c r="FQ677" s="126"/>
      <c r="FR677" s="126"/>
      <c r="FS677" s="126"/>
      <c r="FT677" s="126"/>
      <c r="FU677" s="126"/>
      <c r="FV677" s="126"/>
      <c r="FW677" s="126"/>
      <c r="FX677" s="126"/>
      <c r="FY677" s="126"/>
      <c r="FZ677" s="126"/>
      <c r="GA677" s="126"/>
      <c r="GB677" s="126"/>
      <c r="GC677" s="126"/>
      <c r="GD677" s="126"/>
      <c r="GE677" s="126"/>
      <c r="GF677" s="126"/>
      <c r="GG677" s="126"/>
      <c r="GH677" s="126"/>
      <c r="GI677" s="126"/>
      <c r="GJ677" s="126"/>
      <c r="GK677" s="126"/>
      <c r="GL677" s="126"/>
      <c r="GM677" s="126"/>
      <c r="GN677" s="126"/>
      <c r="GO677" s="126"/>
      <c r="GP677" s="126"/>
      <c r="GQ677" s="126"/>
      <c r="GR677" s="126"/>
      <c r="GS677" s="126"/>
      <c r="GT677" s="126"/>
      <c r="GU677" s="126"/>
      <c r="GV677" s="126"/>
      <c r="GW677" s="126"/>
      <c r="GX677" s="126"/>
      <c r="GY677" s="126"/>
      <c r="GZ677" s="126"/>
      <c r="HA677" s="126"/>
      <c r="HB677" s="126"/>
      <c r="HC677" s="126"/>
      <c r="HD677" s="126"/>
      <c r="HE677" s="126"/>
      <c r="HF677" s="126"/>
      <c r="HG677" s="126"/>
      <c r="HH677" s="126"/>
      <c r="HI677" s="126"/>
      <c r="HJ677" s="126"/>
      <c r="HK677" s="126"/>
      <c r="HL677" s="126"/>
      <c r="HM677" s="126"/>
      <c r="HN677" s="126"/>
      <c r="HO677" s="126"/>
      <c r="HP677" s="126"/>
      <c r="HQ677" s="126"/>
      <c r="HR677" s="126"/>
      <c r="HS677" s="126"/>
      <c r="HT677" s="126"/>
      <c r="HU677" s="126"/>
      <c r="HV677" s="126"/>
      <c r="HW677" s="126"/>
      <c r="HX677" s="126"/>
      <c r="HY677" s="126"/>
      <c r="HZ677" s="126"/>
      <c r="IA677" s="126"/>
      <c r="IB677" s="126"/>
      <c r="IC677" s="126"/>
      <c r="ID677" s="126"/>
      <c r="IE677" s="126"/>
      <c r="IF677" s="126"/>
      <c r="IG677" s="126"/>
      <c r="IH677" s="126"/>
      <c r="II677" s="126"/>
      <c r="IJ677" s="126"/>
      <c r="IK677" s="126"/>
      <c r="IL677" s="126"/>
      <c r="IM677" s="126"/>
      <c r="IN677" s="126"/>
      <c r="IO677" s="126"/>
      <c r="IP677" s="126"/>
      <c r="IQ677" s="126"/>
      <c r="IR677" s="126"/>
      <c r="IS677" s="126"/>
      <c r="IT677" s="126"/>
      <c r="IU677" s="126"/>
      <c r="IV677" s="126"/>
      <c r="IW677" s="126"/>
      <c r="IX677" s="126"/>
      <c r="IY677" s="126"/>
      <c r="IZ677" s="126"/>
      <c r="JA677" s="126"/>
      <c r="JB677" s="126"/>
      <c r="JC677" s="126"/>
      <c r="JD677" s="126"/>
      <c r="JE677" s="126"/>
      <c r="JF677" s="126"/>
      <c r="JG677" s="126"/>
      <c r="JH677" s="126"/>
      <c r="JI677" s="126"/>
      <c r="JJ677" s="126"/>
      <c r="JK677" s="126"/>
      <c r="JL677" s="126"/>
      <c r="JM677" s="126"/>
      <c r="JN677" s="126"/>
      <c r="JO677" s="126"/>
      <c r="JP677" s="126"/>
      <c r="JQ677" s="126"/>
      <c r="JR677" s="126"/>
      <c r="JS677" s="126"/>
      <c r="JT677" s="126"/>
      <c r="JU677" s="126"/>
      <c r="JV677" s="126"/>
      <c r="JW677" s="126"/>
      <c r="JX677" s="126"/>
      <c r="JY677" s="126"/>
      <c r="JZ677" s="126"/>
      <c r="KA677" s="126"/>
      <c r="KB677" s="126"/>
      <c r="KC677" s="126"/>
      <c r="KD677" s="126"/>
      <c r="KE677" s="126"/>
      <c r="KF677" s="126"/>
      <c r="KG677" s="126"/>
      <c r="KH677" s="126"/>
      <c r="KI677" s="126"/>
      <c r="KJ677" s="126"/>
      <c r="KK677" s="126"/>
      <c r="KL677" s="126"/>
      <c r="KM677" s="126"/>
      <c r="KN677" s="126"/>
      <c r="KO677" s="126"/>
      <c r="KP677" s="126"/>
      <c r="KQ677" s="126"/>
      <c r="KR677" s="126"/>
      <c r="KS677" s="126"/>
      <c r="KT677" s="126"/>
      <c r="KU677" s="126"/>
      <c r="KV677" s="126"/>
      <c r="KW677" s="126"/>
      <c r="KX677" s="126"/>
      <c r="KY677" s="126"/>
      <c r="KZ677" s="126"/>
      <c r="LA677" s="126"/>
      <c r="LB677" s="126"/>
      <c r="LC677" s="126"/>
      <c r="LD677" s="126"/>
      <c r="LE677" s="126"/>
      <c r="LF677" s="126"/>
      <c r="LG677" s="126"/>
      <c r="LH677" s="126"/>
      <c r="LI677" s="126"/>
      <c r="LJ677" s="126"/>
      <c r="LK677" s="126"/>
      <c r="LL677" s="126"/>
      <c r="LM677" s="126"/>
      <c r="LN677" s="126"/>
      <c r="LO677" s="126"/>
      <c r="LP677" s="126"/>
      <c r="LQ677" s="126"/>
      <c r="LR677" s="126"/>
      <c r="LS677" s="126"/>
      <c r="LT677" s="126"/>
      <c r="LU677" s="126"/>
      <c r="LV677" s="126"/>
      <c r="LW677" s="126"/>
      <c r="LX677" s="126"/>
      <c r="LY677" s="126"/>
      <c r="LZ677" s="126"/>
      <c r="MA677" s="126"/>
      <c r="MB677" s="126"/>
      <c r="MC677" s="126"/>
      <c r="MD677" s="126"/>
      <c r="ME677" s="126"/>
      <c r="MF677" s="126"/>
      <c r="MG677" s="126"/>
      <c r="MH677" s="126"/>
      <c r="MI677" s="126"/>
      <c r="MJ677" s="126"/>
      <c r="MK677" s="126"/>
      <c r="ML677" s="126"/>
      <c r="MM677" s="126"/>
      <c r="MN677" s="126"/>
      <c r="MO677" s="126"/>
      <c r="MP677" s="126"/>
      <c r="MQ677" s="126"/>
      <c r="MR677" s="126"/>
      <c r="MS677" s="126"/>
      <c r="MT677" s="126"/>
      <c r="MU677" s="126"/>
      <c r="MV677" s="126"/>
      <c r="MW677" s="126"/>
      <c r="MX677" s="126"/>
      <c r="MY677" s="126"/>
      <c r="MZ677" s="126"/>
      <c r="NA677" s="126"/>
      <c r="NB677" s="126"/>
      <c r="NC677" s="126"/>
      <c r="ND677" s="126"/>
      <c r="NE677" s="126"/>
      <c r="NF677" s="126"/>
      <c r="NG677" s="126"/>
      <c r="NH677" s="126"/>
      <c r="NI677" s="126"/>
      <c r="NJ677" s="126"/>
      <c r="NK677" s="126"/>
      <c r="NL677" s="126"/>
      <c r="NM677" s="126"/>
      <c r="NN677" s="126"/>
      <c r="NO677" s="126"/>
      <c r="NP677" s="126"/>
      <c r="NQ677" s="126"/>
      <c r="NR677" s="126"/>
      <c r="NS677" s="126"/>
      <c r="NT677" s="126"/>
      <c r="NU677" s="126"/>
      <c r="NV677" s="126"/>
      <c r="NW677" s="126"/>
      <c r="NX677" s="126"/>
      <c r="NY677" s="126"/>
      <c r="NZ677" s="126"/>
      <c r="OA677" s="126"/>
      <c r="OB677" s="126"/>
      <c r="OC677" s="126"/>
      <c r="OD677" s="126"/>
      <c r="OE677" s="126"/>
      <c r="OF677" s="126"/>
      <c r="OG677" s="126"/>
      <c r="OH677" s="126"/>
      <c r="OI677" s="126"/>
      <c r="OJ677" s="126"/>
      <c r="OK677" s="126"/>
      <c r="OL677" s="126"/>
      <c r="OM677" s="126"/>
      <c r="ON677" s="126"/>
      <c r="OO677" s="126"/>
      <c r="OP677" s="126"/>
      <c r="OQ677" s="126"/>
      <c r="OR677" s="126"/>
      <c r="OS677" s="126"/>
      <c r="OT677" s="126"/>
      <c r="OU677" s="126"/>
      <c r="OV677" s="126"/>
      <c r="OW677" s="126"/>
      <c r="OX677" s="126"/>
      <c r="OY677" s="126"/>
      <c r="OZ677" s="126"/>
      <c r="PA677" s="126"/>
      <c r="PB677" s="126"/>
      <c r="PC677" s="126"/>
      <c r="PD677" s="126"/>
      <c r="PE677" s="126"/>
      <c r="PF677" s="126"/>
      <c r="PG677" s="126"/>
      <c r="PH677" s="126"/>
      <c r="PI677" s="126"/>
      <c r="PJ677" s="126"/>
      <c r="PK677" s="126"/>
      <c r="PL677" s="126"/>
      <c r="PM677" s="126"/>
      <c r="PN677" s="126"/>
      <c r="PO677" s="126"/>
      <c r="PP677" s="126"/>
      <c r="PQ677" s="126"/>
      <c r="PR677" s="126"/>
      <c r="PS677" s="126"/>
      <c r="PT677" s="126"/>
      <c r="PU677" s="126"/>
      <c r="PV677" s="126"/>
      <c r="PW677" s="126"/>
      <c r="PX677" s="126"/>
      <c r="PY677" s="126"/>
      <c r="PZ677" s="126"/>
      <c r="QA677" s="126"/>
      <c r="QB677" s="126"/>
      <c r="QC677" s="126"/>
      <c r="QD677" s="126"/>
      <c r="QE677" s="126"/>
      <c r="QF677" s="126"/>
      <c r="QG677" s="126"/>
      <c r="QH677" s="126"/>
      <c r="QI677" s="126"/>
      <c r="QJ677" s="126"/>
      <c r="QK677" s="126"/>
      <c r="QL677" s="126"/>
      <c r="QM677" s="126"/>
      <c r="QN677" s="126"/>
      <c r="QO677" s="126"/>
      <c r="QP677" s="126"/>
      <c r="QQ677" s="126"/>
      <c r="QR677" s="126"/>
      <c r="QS677" s="126"/>
      <c r="QT677" s="126"/>
      <c r="QU677" s="126"/>
      <c r="QV677" s="126"/>
      <c r="QW677" s="126"/>
      <c r="QX677" s="126"/>
      <c r="QY677" s="126"/>
      <c r="QZ677" s="126"/>
      <c r="RA677" s="126"/>
      <c r="RB677" s="126"/>
      <c r="RC677" s="126"/>
      <c r="RD677" s="126"/>
      <c r="RE677" s="126"/>
      <c r="RF677" s="126"/>
      <c r="RG677" s="126"/>
      <c r="RH677" s="126"/>
      <c r="RI677" s="126"/>
      <c r="RJ677" s="126"/>
      <c r="RK677" s="126"/>
      <c r="RL677" s="126"/>
      <c r="RM677" s="126"/>
      <c r="RN677" s="126"/>
      <c r="RO677" s="126"/>
      <c r="RP677" s="126"/>
      <c r="RQ677" s="126"/>
      <c r="RR677" s="126"/>
      <c r="RS677" s="126"/>
      <c r="RT677" s="126"/>
      <c r="RU677" s="126"/>
      <c r="RV677" s="126"/>
      <c r="RW677" s="126"/>
      <c r="RX677" s="126"/>
      <c r="RY677" s="126"/>
      <c r="RZ677" s="126"/>
      <c r="SA677" s="126"/>
      <c r="SB677" s="126"/>
      <c r="SC677" s="126"/>
      <c r="SD677" s="126"/>
      <c r="SE677" s="126"/>
      <c r="SF677" s="126"/>
      <c r="SG677" s="126"/>
      <c r="SH677" s="126"/>
      <c r="SI677" s="126"/>
      <c r="SJ677" s="126"/>
      <c r="SK677" s="126"/>
      <c r="SL677" s="126"/>
      <c r="SM677" s="126"/>
      <c r="SN677" s="126"/>
      <c r="SO677" s="126"/>
      <c r="SP677" s="126"/>
      <c r="SQ677" s="126"/>
      <c r="SR677" s="126"/>
      <c r="SS677" s="126"/>
      <c r="ST677" s="126"/>
      <c r="SU677" s="126"/>
      <c r="SV677" s="126"/>
      <c r="SW677" s="126"/>
      <c r="SX677" s="126"/>
      <c r="SY677" s="126"/>
      <c r="SZ677" s="126"/>
      <c r="TA677" s="126"/>
      <c r="TB677" s="126"/>
      <c r="TC677" s="126"/>
      <c r="TD677" s="126"/>
      <c r="TE677" s="126"/>
      <c r="TF677" s="126"/>
      <c r="TG677" s="126"/>
      <c r="TH677" s="126"/>
      <c r="TI677" s="126"/>
      <c r="TJ677" s="126"/>
      <c r="TK677" s="126"/>
      <c r="TL677" s="126"/>
      <c r="TM677" s="126"/>
      <c r="TN677" s="126"/>
      <c r="TO677" s="126"/>
      <c r="TP677" s="126"/>
      <c r="TQ677" s="126"/>
      <c r="TR677" s="126"/>
      <c r="TS677" s="126"/>
      <c r="TT677" s="126"/>
      <c r="TU677" s="126"/>
      <c r="TV677" s="126"/>
      <c r="TW677" s="126"/>
      <c r="TX677" s="126"/>
      <c r="TY677" s="126"/>
      <c r="TZ677" s="126"/>
      <c r="UA677" s="126"/>
      <c r="UB677" s="126"/>
      <c r="UC677" s="126"/>
      <c r="UD677" s="126"/>
      <c r="UE677" s="126"/>
      <c r="UF677" s="126"/>
      <c r="UG677" s="126"/>
      <c r="UH677" s="126"/>
      <c r="UI677" s="126"/>
      <c r="UJ677" s="126"/>
      <c r="UK677" s="126"/>
      <c r="UL677" s="126"/>
      <c r="UM677" s="126"/>
      <c r="UN677" s="126"/>
      <c r="UO677" s="126"/>
      <c r="UP677" s="126"/>
      <c r="UQ677" s="126"/>
      <c r="UR677" s="126"/>
      <c r="US677" s="126"/>
      <c r="UT677" s="126"/>
      <c r="UU677" s="126"/>
      <c r="UV677" s="126"/>
      <c r="UW677" s="126"/>
      <c r="UX677" s="126"/>
      <c r="UY677" s="126"/>
      <c r="UZ677" s="126"/>
      <c r="VA677" s="126"/>
      <c r="VB677" s="126"/>
      <c r="VC677" s="126"/>
      <c r="VD677" s="126"/>
      <c r="VE677" s="126"/>
      <c r="VF677" s="126"/>
      <c r="VG677" s="126"/>
      <c r="VH677" s="126"/>
      <c r="VI677" s="126"/>
      <c r="VJ677" s="126"/>
      <c r="VK677" s="126"/>
      <c r="VL677" s="126"/>
      <c r="VM677" s="126"/>
      <c r="VN677" s="126"/>
      <c r="VO677" s="126"/>
      <c r="VP677" s="126"/>
      <c r="VQ677" s="126"/>
      <c r="VR677" s="126"/>
      <c r="VS677" s="126"/>
      <c r="VT677" s="126"/>
      <c r="VU677" s="126"/>
      <c r="VV677" s="126"/>
      <c r="VW677" s="126"/>
      <c r="VX677" s="126"/>
      <c r="VY677" s="126"/>
      <c r="VZ677" s="126"/>
      <c r="WA677" s="126"/>
      <c r="WB677" s="126"/>
      <c r="WC677" s="126"/>
      <c r="WD677" s="126"/>
      <c r="WE677" s="126"/>
      <c r="WF677" s="126"/>
      <c r="WG677" s="126"/>
      <c r="WH677" s="126"/>
      <c r="WI677" s="126"/>
      <c r="WJ677" s="126"/>
      <c r="WK677" s="126"/>
      <c r="WL677" s="126"/>
      <c r="WM677" s="126"/>
      <c r="WN677" s="126"/>
      <c r="WO677" s="126"/>
      <c r="WP677" s="126"/>
      <c r="WQ677" s="126"/>
      <c r="WR677" s="126"/>
      <c r="WS677" s="126"/>
      <c r="WT677" s="126"/>
      <c r="WU677" s="126"/>
      <c r="WV677" s="126"/>
      <c r="WW677" s="126"/>
      <c r="WX677" s="126"/>
      <c r="WY677" s="126"/>
      <c r="WZ677" s="126"/>
      <c r="XA677" s="126"/>
      <c r="XB677" s="126"/>
      <c r="XC677" s="126"/>
      <c r="XD677" s="126"/>
      <c r="XE677" s="126"/>
      <c r="XF677" s="126"/>
      <c r="XG677" s="126"/>
      <c r="XH677" s="126"/>
      <c r="XI677" s="126"/>
      <c r="XJ677" s="126"/>
      <c r="XK677" s="126"/>
      <c r="XL677" s="126"/>
      <c r="XM677" s="126"/>
      <c r="XN677" s="126"/>
      <c r="XO677" s="126"/>
      <c r="XP677" s="126"/>
      <c r="XQ677" s="126"/>
      <c r="XR677" s="126"/>
      <c r="XS677" s="126"/>
      <c r="XT677" s="126"/>
      <c r="XU677" s="126"/>
      <c r="XV677" s="126"/>
      <c r="XW677" s="126"/>
      <c r="XX677" s="126"/>
      <c r="XY677" s="126"/>
      <c r="XZ677" s="126"/>
      <c r="YA677" s="126"/>
      <c r="YB677" s="126"/>
      <c r="YC677" s="126"/>
      <c r="YD677" s="126"/>
      <c r="YE677" s="126"/>
      <c r="YF677" s="126"/>
      <c r="YG677" s="126"/>
      <c r="YH677" s="126"/>
      <c r="YI677" s="126"/>
      <c r="YJ677" s="126"/>
      <c r="YK677" s="126"/>
      <c r="YL677" s="126"/>
      <c r="YM677" s="126"/>
      <c r="YN677" s="126"/>
      <c r="YO677" s="126"/>
      <c r="YP677" s="126"/>
      <c r="YQ677" s="126"/>
      <c r="YR677" s="126"/>
      <c r="YS677" s="126"/>
      <c r="YT677" s="126"/>
      <c r="YU677" s="126"/>
      <c r="YV677" s="126"/>
      <c r="YW677" s="126"/>
      <c r="YX677" s="126"/>
      <c r="YY677" s="126"/>
      <c r="YZ677" s="126"/>
      <c r="ZA677" s="126"/>
      <c r="ZB677" s="126"/>
      <c r="ZC677" s="126"/>
      <c r="ZD677" s="126"/>
      <c r="ZE677" s="126"/>
      <c r="ZF677" s="126"/>
      <c r="ZG677" s="126"/>
      <c r="ZH677" s="126"/>
      <c r="ZI677" s="126"/>
      <c r="ZJ677" s="126"/>
      <c r="ZK677" s="126"/>
      <c r="ZL677" s="126"/>
      <c r="ZM677" s="126"/>
      <c r="ZN677" s="126"/>
      <c r="ZO677" s="126"/>
      <c r="ZP677" s="126"/>
      <c r="ZQ677" s="126"/>
      <c r="ZR677" s="126"/>
      <c r="ZS677" s="126"/>
      <c r="ZT677" s="126"/>
      <c r="ZU677" s="126"/>
      <c r="ZV677" s="126"/>
      <c r="ZW677" s="126"/>
      <c r="ZX677" s="126"/>
      <c r="ZY677" s="126"/>
      <c r="ZZ677" s="126"/>
      <c r="AAA677" s="126"/>
      <c r="AAB677" s="126"/>
      <c r="AAC677" s="126"/>
      <c r="AAD677" s="126"/>
      <c r="AAE677" s="126"/>
      <c r="AAF677" s="126"/>
      <c r="AAG677" s="126"/>
      <c r="AAH677" s="126"/>
      <c r="AAI677" s="126"/>
      <c r="AAJ677" s="126"/>
      <c r="AAK677" s="126"/>
      <c r="AAL677" s="126"/>
      <c r="AAM677" s="126"/>
      <c r="AAN677" s="126"/>
      <c r="AAO677" s="126"/>
      <c r="AAP677" s="126"/>
      <c r="AAQ677" s="126"/>
      <c r="AAR677" s="126"/>
      <c r="AAS677" s="126"/>
      <c r="AAT677" s="126"/>
      <c r="AAU677" s="126"/>
      <c r="AAV677" s="126"/>
      <c r="AAW677" s="126"/>
      <c r="AAX677" s="126"/>
      <c r="AAY677" s="126"/>
      <c r="AAZ677" s="126"/>
      <c r="ABA677" s="126"/>
      <c r="ABB677" s="126"/>
      <c r="ABC677" s="126"/>
      <c r="ABD677" s="126"/>
      <c r="ABE677" s="126"/>
      <c r="ABF677" s="126"/>
      <c r="ABG677" s="126"/>
      <c r="ABH677" s="126"/>
      <c r="ABI677" s="126"/>
      <c r="ABJ677" s="126"/>
      <c r="ABK677" s="126"/>
      <c r="ABL677" s="126"/>
      <c r="ABM677" s="126"/>
      <c r="ABN677" s="126"/>
      <c r="ABO677" s="126"/>
      <c r="ABP677" s="126"/>
      <c r="ABQ677" s="126"/>
      <c r="ABR677" s="126"/>
      <c r="ABS677" s="126"/>
      <c r="ABT677" s="126"/>
      <c r="ABU677" s="126"/>
      <c r="ABV677" s="126"/>
      <c r="ABW677" s="126"/>
      <c r="ABX677" s="126"/>
      <c r="ABY677" s="126"/>
      <c r="ABZ677" s="126"/>
      <c r="ACA677" s="126"/>
      <c r="ACB677" s="126"/>
      <c r="ACC677" s="126"/>
      <c r="ACD677" s="126"/>
      <c r="ACE677" s="126"/>
      <c r="ACF677" s="126"/>
      <c r="ACG677" s="126"/>
      <c r="ACH677" s="126"/>
      <c r="ACI677" s="126"/>
      <c r="ACJ677" s="126"/>
      <c r="ACK677" s="126"/>
      <c r="ACL677" s="126"/>
      <c r="ACM677" s="126"/>
      <c r="ACN677" s="126"/>
      <c r="ACO677" s="126"/>
      <c r="ACP677" s="126"/>
      <c r="ACQ677" s="126"/>
      <c r="ACR677" s="126"/>
      <c r="ACS677" s="126"/>
      <c r="ACT677" s="126"/>
      <c r="ACU677" s="126"/>
      <c r="ACV677" s="126"/>
      <c r="ACW677" s="126"/>
      <c r="ACX677" s="126"/>
      <c r="ACY677" s="126"/>
      <c r="ACZ677" s="126"/>
      <c r="ADA677" s="126"/>
      <c r="ADB677" s="126"/>
      <c r="ADC677" s="126"/>
      <c r="ADD677" s="126"/>
      <c r="ADE677" s="126"/>
      <c r="ADF677" s="126"/>
      <c r="ADG677" s="126"/>
      <c r="ADH677" s="126"/>
      <c r="ADI677" s="126"/>
      <c r="ADJ677" s="126"/>
      <c r="ADK677" s="126"/>
      <c r="ADL677" s="126"/>
      <c r="ADM677" s="126"/>
      <c r="ADN677" s="126"/>
      <c r="ADO677" s="126"/>
      <c r="ADP677" s="126"/>
      <c r="ADQ677" s="126"/>
      <c r="ADR677" s="126"/>
      <c r="ADS677" s="126"/>
      <c r="ADT677" s="126"/>
      <c r="ADU677" s="126"/>
      <c r="ADV677" s="126"/>
      <c r="ADW677" s="126"/>
      <c r="ADX677" s="126"/>
      <c r="ADY677" s="126"/>
      <c r="ADZ677" s="126"/>
      <c r="AEA677" s="126"/>
      <c r="AEB677" s="126"/>
      <c r="AEC677" s="126"/>
      <c r="AED677" s="126"/>
      <c r="AEE677" s="126"/>
      <c r="AEF677" s="126"/>
      <c r="AEG677" s="126"/>
      <c r="AEH677" s="126"/>
      <c r="AEI677" s="126"/>
      <c r="AEJ677" s="126"/>
      <c r="AEK677" s="126"/>
      <c r="AEL677" s="126"/>
      <c r="AEM677" s="126"/>
      <c r="AEN677" s="126"/>
      <c r="AEO677" s="126"/>
      <c r="AEP677" s="126"/>
      <c r="AEQ677" s="126"/>
      <c r="AER677" s="126"/>
      <c r="AES677" s="126"/>
      <c r="AET677" s="126"/>
      <c r="AEU677" s="126"/>
      <c r="AEV677" s="126"/>
      <c r="AEW677" s="126"/>
      <c r="AEX677" s="126"/>
      <c r="AEY677" s="126"/>
      <c r="AEZ677" s="126"/>
      <c r="AFA677" s="126"/>
      <c r="AFB677" s="126"/>
      <c r="AFC677" s="126"/>
      <c r="AFD677" s="126"/>
      <c r="AFE677" s="126"/>
      <c r="AFF677" s="126"/>
      <c r="AFG677" s="126"/>
      <c r="AFH677" s="126"/>
      <c r="AFI677" s="126"/>
      <c r="AFJ677" s="126"/>
      <c r="AFK677" s="126"/>
      <c r="AFL677" s="126"/>
      <c r="AFM677" s="126"/>
      <c r="AFN677" s="126"/>
      <c r="AFO677" s="126"/>
      <c r="AFP677" s="126"/>
      <c r="AFQ677" s="126"/>
      <c r="AFR677" s="126"/>
      <c r="AFS677" s="126"/>
      <c r="AFT677" s="126"/>
      <c r="AFU677" s="126"/>
      <c r="AFV677" s="126"/>
      <c r="AFW677" s="126"/>
      <c r="AFX677" s="126"/>
      <c r="AFY677" s="126"/>
      <c r="AFZ677" s="126"/>
      <c r="AGA677" s="126"/>
      <c r="AGB677" s="126"/>
      <c r="AGC677" s="126"/>
      <c r="AGD677" s="126"/>
      <c r="AGE677" s="126"/>
      <c r="AGF677" s="126"/>
      <c r="AGG677" s="126"/>
      <c r="AGH677" s="126"/>
      <c r="AGI677" s="126"/>
      <c r="AGJ677" s="126"/>
      <c r="AGK677" s="126"/>
      <c r="AGL677" s="126"/>
      <c r="AGM677" s="126"/>
      <c r="AGN677" s="126"/>
      <c r="AGO677" s="126"/>
      <c r="AGP677" s="126"/>
      <c r="AGQ677" s="126"/>
      <c r="AGR677" s="126"/>
      <c r="AGS677" s="126"/>
      <c r="AGT677" s="126"/>
      <c r="AGU677" s="126"/>
      <c r="AGV677" s="126"/>
      <c r="AGW677" s="126"/>
      <c r="AGX677" s="126"/>
      <c r="AGY677" s="126"/>
      <c r="AGZ677" s="126"/>
      <c r="AHA677" s="126"/>
      <c r="AHB677" s="126"/>
      <c r="AHC677" s="126"/>
      <c r="AHD677" s="126"/>
      <c r="AHE677" s="126"/>
      <c r="AHF677" s="126"/>
      <c r="AHG677" s="126"/>
      <c r="AHH677" s="126"/>
      <c r="AHI677" s="126"/>
      <c r="AHJ677" s="126"/>
      <c r="AHK677" s="126"/>
      <c r="AHL677" s="126"/>
      <c r="AHM677" s="126"/>
      <c r="AHN677" s="126"/>
      <c r="AHO677" s="126"/>
      <c r="AHP677" s="126"/>
      <c r="AHQ677" s="126"/>
      <c r="AHR677" s="126"/>
      <c r="AHS677" s="126"/>
      <c r="AHT677" s="126"/>
      <c r="AHU677" s="126"/>
      <c r="AHV677" s="126"/>
      <c r="AHW677" s="126"/>
      <c r="AHX677" s="126"/>
      <c r="AHY677" s="126"/>
      <c r="AHZ677" s="126"/>
      <c r="AIA677" s="126"/>
      <c r="AIB677" s="126"/>
      <c r="AIC677" s="126"/>
      <c r="AID677" s="126"/>
      <c r="AIE677" s="126"/>
      <c r="AIF677" s="126"/>
      <c r="AIG677" s="126"/>
      <c r="AIH677" s="126"/>
      <c r="AII677" s="126"/>
      <c r="AIJ677" s="126"/>
      <c r="AIK677" s="126"/>
      <c r="AIL677" s="126"/>
      <c r="AIM677" s="126"/>
      <c r="AIN677" s="126"/>
      <c r="AIO677" s="126"/>
      <c r="AIP677" s="126"/>
      <c r="AIQ677" s="126"/>
      <c r="AIR677" s="126"/>
      <c r="AIS677" s="126"/>
      <c r="AIT677" s="126"/>
      <c r="AIU677" s="126"/>
      <c r="AIV677" s="126"/>
      <c r="AIW677" s="126"/>
      <c r="AIX677" s="126"/>
      <c r="AIY677" s="126"/>
      <c r="AIZ677" s="126"/>
      <c r="AJA677" s="126"/>
      <c r="AJB677" s="126"/>
      <c r="AJC677" s="126"/>
      <c r="AJD677" s="126"/>
      <c r="AJE677" s="126"/>
      <c r="AJF677" s="126"/>
      <c r="AJG677" s="126"/>
      <c r="AJH677" s="126"/>
      <c r="AJI677" s="126"/>
      <c r="AJJ677" s="126"/>
      <c r="AJK677" s="126"/>
      <c r="AJL677" s="126"/>
      <c r="AJM677" s="126"/>
      <c r="AJN677" s="126"/>
      <c r="AJO677" s="126"/>
      <c r="AJP677" s="126"/>
      <c r="AJQ677" s="126"/>
      <c r="AJR677" s="126"/>
      <c r="AJS677" s="126"/>
      <c r="AJT677" s="126"/>
      <c r="AJU677" s="126"/>
      <c r="AJV677" s="126"/>
      <c r="AJW677" s="126"/>
      <c r="AJX677" s="126"/>
      <c r="AJY677" s="126"/>
      <c r="AJZ677" s="126"/>
      <c r="AKA677" s="126"/>
      <c r="AKB677" s="126"/>
      <c r="AKC677" s="126"/>
      <c r="AKD677" s="126"/>
      <c r="AKE677" s="126"/>
      <c r="AKF677" s="126"/>
      <c r="AKG677" s="126"/>
      <c r="AKH677" s="126"/>
      <c r="AKI677" s="126"/>
      <c r="AKJ677" s="126"/>
      <c r="AKK677" s="126"/>
      <c r="AKL677" s="126"/>
      <c r="AKM677" s="126"/>
      <c r="AKN677" s="126"/>
      <c r="AKO677" s="126"/>
      <c r="AKP677" s="126"/>
      <c r="AKQ677" s="126"/>
      <c r="AKR677" s="126"/>
      <c r="AKS677" s="126"/>
      <c r="AKT677" s="126"/>
      <c r="AKU677" s="126"/>
      <c r="AKV677" s="126"/>
      <c r="AKW677" s="126"/>
      <c r="AKX677" s="126"/>
      <c r="AKY677" s="126"/>
      <c r="AKZ677" s="126"/>
      <c r="ALA677" s="126"/>
      <c r="ALB677" s="126"/>
      <c r="ALC677" s="126"/>
      <c r="ALD677" s="126"/>
      <c r="ALE677" s="126"/>
      <c r="ALF677" s="126"/>
      <c r="ALG677" s="126"/>
      <c r="ALH677" s="126"/>
      <c r="ALI677" s="126"/>
      <c r="ALJ677" s="126"/>
      <c r="ALK677" s="126"/>
      <c r="ALL677" s="126"/>
      <c r="ALM677" s="126"/>
      <c r="ALN677" s="126"/>
      <c r="ALO677" s="126"/>
      <c r="ALP677" s="126"/>
      <c r="ALQ677" s="126"/>
      <c r="ALR677" s="126"/>
      <c r="ALS677" s="126"/>
      <c r="ALT677" s="126"/>
      <c r="ALU677" s="126"/>
      <c r="ALV677" s="126"/>
      <c r="ALW677" s="126"/>
      <c r="ALX677" s="126"/>
      <c r="ALY677" s="126"/>
      <c r="ALZ677" s="126"/>
      <c r="AMA677" s="126"/>
      <c r="AMB677" s="126"/>
      <c r="AMC677" s="126"/>
      <c r="AMD677" s="126"/>
      <c r="AME677" s="126"/>
      <c r="AMF677" s="126"/>
      <c r="AMG677" s="126"/>
      <c r="AMH677" s="126"/>
      <c r="AMI677" s="126"/>
      <c r="AMJ677" s="126"/>
      <c r="AMK677" s="126"/>
      <c r="AML677" s="126"/>
      <c r="AMM677" s="126"/>
      <c r="AMN677" s="126"/>
      <c r="AMO677" s="126"/>
      <c r="AMP677" s="126"/>
      <c r="AMQ677" s="126"/>
      <c r="AMR677" s="126"/>
      <c r="AMS677" s="126"/>
      <c r="AMT677" s="126"/>
      <c r="AMU677" s="126"/>
      <c r="AMV677" s="126"/>
      <c r="AMW677" s="126"/>
      <c r="AMX677" s="126"/>
      <c r="AMY677" s="126"/>
      <c r="AMZ677" s="126"/>
      <c r="ANA677" s="126"/>
      <c r="ANB677" s="126"/>
      <c r="ANC677" s="126"/>
      <c r="AND677" s="126"/>
      <c r="ANE677" s="126"/>
      <c r="ANF677" s="126"/>
      <c r="ANG677" s="126"/>
      <c r="ANH677" s="126"/>
      <c r="ANI677" s="126"/>
      <c r="ANJ677" s="126"/>
      <c r="ANK677" s="126"/>
      <c r="ANL677" s="126"/>
      <c r="ANM677" s="126"/>
      <c r="ANN677" s="126"/>
      <c r="ANO677" s="126"/>
      <c r="ANP677" s="126"/>
      <c r="ANQ677" s="126"/>
      <c r="ANR677" s="126"/>
      <c r="ANS677" s="126"/>
      <c r="ANT677" s="126"/>
      <c r="ANU677" s="126"/>
      <c r="ANV677" s="126"/>
      <c r="ANW677" s="126"/>
      <c r="ANX677" s="126"/>
      <c r="ANY677" s="126"/>
      <c r="ANZ677" s="126"/>
      <c r="AOA677" s="126"/>
      <c r="AOB677" s="126"/>
      <c r="AOC677" s="126"/>
      <c r="AOD677" s="126"/>
      <c r="AOE677" s="126"/>
      <c r="AOF677" s="126"/>
      <c r="AOG677" s="126"/>
      <c r="AOH677" s="126"/>
      <c r="AOI677" s="126"/>
      <c r="AOJ677" s="126"/>
      <c r="AOK677" s="126"/>
      <c r="AOL677" s="126"/>
      <c r="AOM677" s="126"/>
      <c r="AON677" s="126"/>
      <c r="AOO677" s="126"/>
      <c r="AOP677" s="126"/>
      <c r="AOQ677" s="126"/>
      <c r="AOR677" s="126"/>
      <c r="AOS677" s="126"/>
      <c r="AOT677" s="126"/>
      <c r="AOU677" s="126"/>
      <c r="AOV677" s="126"/>
      <c r="AOW677" s="126"/>
      <c r="AOX677" s="126"/>
      <c r="AOY677" s="126"/>
      <c r="AOZ677" s="126"/>
      <c r="APA677" s="126"/>
      <c r="APB677" s="126"/>
      <c r="APC677" s="126"/>
      <c r="APD677" s="126"/>
      <c r="APE677" s="126"/>
      <c r="APF677" s="126"/>
      <c r="APG677" s="126"/>
      <c r="APH677" s="126"/>
      <c r="API677" s="126"/>
      <c r="APJ677" s="126"/>
      <c r="APK677" s="126"/>
      <c r="APL677" s="126"/>
      <c r="APM677" s="126"/>
      <c r="APN677" s="126"/>
      <c r="APO677" s="126"/>
      <c r="APP677" s="126"/>
      <c r="APQ677" s="126"/>
      <c r="APR677" s="126"/>
      <c r="APS677" s="126"/>
      <c r="APT677" s="126"/>
      <c r="APU677" s="126"/>
      <c r="APV677" s="126"/>
      <c r="APW677" s="126"/>
      <c r="APX677" s="126"/>
      <c r="APY677" s="126"/>
      <c r="APZ677" s="126"/>
      <c r="AQA677" s="126"/>
      <c r="AQB677" s="126"/>
      <c r="AQC677" s="126"/>
      <c r="AQD677" s="126"/>
      <c r="AQE677" s="126"/>
      <c r="AQF677" s="126"/>
      <c r="AQG677" s="126"/>
      <c r="AQH677" s="126"/>
      <c r="AQI677" s="126"/>
      <c r="AQJ677" s="126"/>
      <c r="AQK677" s="126"/>
      <c r="AQL677" s="126"/>
      <c r="AQM677" s="126"/>
      <c r="AQN677" s="126"/>
      <c r="AQO677" s="126"/>
      <c r="AQP677" s="126"/>
      <c r="AQQ677" s="126"/>
      <c r="AQR677" s="126"/>
      <c r="AQS677" s="126"/>
      <c r="AQT677" s="126"/>
      <c r="AQU677" s="126"/>
      <c r="AQV677" s="126"/>
      <c r="AQW677" s="126"/>
      <c r="AQX677" s="126"/>
      <c r="AQY677" s="126"/>
      <c r="AQZ677" s="126"/>
      <c r="ARA677" s="126"/>
      <c r="ARB677" s="126"/>
      <c r="ARC677" s="126"/>
      <c r="ARD677" s="126"/>
      <c r="ARE677" s="126"/>
      <c r="ARF677" s="126"/>
      <c r="ARG677" s="126"/>
      <c r="ARH677" s="126"/>
      <c r="ARI677" s="126"/>
      <c r="ARJ677" s="126"/>
      <c r="ARK677" s="126"/>
      <c r="ARL677" s="126"/>
      <c r="ARM677" s="126"/>
      <c r="ARN677" s="126"/>
      <c r="ARO677" s="126"/>
      <c r="ARP677" s="126"/>
      <c r="ARQ677" s="126"/>
      <c r="ARR677" s="126"/>
      <c r="ARS677" s="126"/>
      <c r="ART677" s="126"/>
      <c r="ARU677" s="126"/>
      <c r="ARV677" s="126"/>
      <c r="ARW677" s="126"/>
      <c r="ARX677" s="126"/>
      <c r="ARY677" s="126"/>
      <c r="ARZ677" s="126"/>
      <c r="ASA677" s="126"/>
      <c r="ASB677" s="126"/>
      <c r="ASC677" s="126"/>
      <c r="ASD677" s="126"/>
      <c r="ASE677" s="126"/>
      <c r="ASF677" s="126"/>
      <c r="ASG677" s="126"/>
      <c r="ASH677" s="126"/>
      <c r="ASI677" s="126"/>
      <c r="ASJ677" s="126"/>
      <c r="ASK677" s="126"/>
      <c r="ASL677" s="126"/>
      <c r="ASM677" s="126"/>
      <c r="ASN677" s="126"/>
      <c r="ASO677" s="126"/>
      <c r="ASP677" s="126"/>
      <c r="ASQ677" s="126"/>
      <c r="ASR677" s="126"/>
      <c r="ASS677" s="126"/>
      <c r="AST677" s="126"/>
      <c r="ASU677" s="126"/>
      <c r="ASV677" s="126"/>
      <c r="ASW677" s="126"/>
      <c r="ASX677" s="126"/>
      <c r="ASY677" s="126"/>
      <c r="ASZ677" s="126"/>
      <c r="ATA677" s="126"/>
      <c r="ATB677" s="126"/>
      <c r="ATC677" s="126"/>
      <c r="ATD677" s="126"/>
      <c r="ATE677" s="126"/>
      <c r="ATF677" s="126"/>
      <c r="ATG677" s="126"/>
      <c r="ATH677" s="126"/>
      <c r="ATI677" s="126"/>
      <c r="ATJ677" s="126"/>
      <c r="ATK677" s="126"/>
      <c r="ATL677" s="126"/>
      <c r="ATM677" s="126"/>
      <c r="ATN677" s="126"/>
      <c r="ATO677" s="126"/>
    </row>
    <row r="678" spans="1:1211" s="171" customFormat="1">
      <c r="A678" s="884"/>
      <c r="B678" s="885"/>
      <c r="C678" s="1143" t="s">
        <v>14229</v>
      </c>
      <c r="E678" s="886"/>
      <c r="F678" s="1217"/>
      <c r="G678" s="882"/>
      <c r="H678" s="882"/>
      <c r="I678" s="882"/>
      <c r="J678" s="887"/>
      <c r="K678" s="1094"/>
      <c r="L678" s="412"/>
      <c r="M678" s="1094"/>
      <c r="N678" s="411"/>
      <c r="O678" s="652"/>
      <c r="P678" s="126"/>
      <c r="Q678" s="1481"/>
      <c r="R678" s="126"/>
      <c r="S678" s="126"/>
      <c r="T678" s="126"/>
      <c r="U678" s="126"/>
      <c r="V678" s="126"/>
      <c r="W678" s="126"/>
      <c r="X678" s="126"/>
      <c r="Y678" s="126"/>
      <c r="Z678" s="126"/>
      <c r="AA678" s="126"/>
      <c r="AB678" s="126"/>
      <c r="AC678" s="126"/>
      <c r="AD678" s="126"/>
      <c r="AE678" s="126"/>
      <c r="AF678" s="126"/>
      <c r="AG678" s="126"/>
      <c r="AH678" s="126"/>
      <c r="AI678" s="126"/>
      <c r="AJ678" s="126"/>
      <c r="AK678" s="126"/>
      <c r="AL678" s="126"/>
      <c r="AM678" s="126"/>
      <c r="AN678" s="126"/>
      <c r="AO678" s="126"/>
      <c r="AP678" s="126"/>
      <c r="AQ678" s="126"/>
      <c r="AR678" s="126"/>
      <c r="AS678" s="126"/>
      <c r="AT678" s="126"/>
      <c r="AU678" s="126"/>
      <c r="AV678" s="126"/>
      <c r="AW678" s="126"/>
      <c r="AX678" s="126"/>
      <c r="AY678" s="126"/>
      <c r="AZ678" s="126"/>
      <c r="BA678" s="126"/>
      <c r="BB678" s="126"/>
      <c r="BC678" s="126"/>
      <c r="BD678" s="126"/>
      <c r="BE678" s="126"/>
      <c r="BF678" s="126"/>
      <c r="BG678" s="126"/>
      <c r="BH678" s="126"/>
      <c r="BI678" s="126"/>
      <c r="BJ678" s="126"/>
      <c r="BK678" s="126"/>
      <c r="BL678" s="126"/>
      <c r="BM678" s="126"/>
      <c r="BN678" s="126"/>
      <c r="BO678" s="126"/>
      <c r="BP678" s="126"/>
      <c r="BQ678" s="126"/>
      <c r="BR678" s="126"/>
      <c r="BS678" s="126"/>
      <c r="BT678" s="126"/>
      <c r="BU678" s="126"/>
      <c r="BV678" s="126"/>
      <c r="BW678" s="126"/>
      <c r="BX678" s="126"/>
      <c r="BY678" s="126"/>
      <c r="BZ678" s="126"/>
      <c r="CA678" s="126"/>
      <c r="CB678" s="126"/>
      <c r="CC678" s="126"/>
      <c r="CD678" s="126"/>
      <c r="CE678" s="126"/>
      <c r="CF678" s="126"/>
      <c r="CG678" s="126"/>
      <c r="CH678" s="126"/>
      <c r="CI678" s="126"/>
      <c r="CJ678" s="126"/>
      <c r="CK678" s="126"/>
      <c r="CL678" s="126"/>
      <c r="CM678" s="126"/>
      <c r="CN678" s="126"/>
      <c r="CO678" s="126"/>
      <c r="CP678" s="126"/>
      <c r="CQ678" s="126"/>
      <c r="CR678" s="126"/>
      <c r="CS678" s="126"/>
      <c r="CT678" s="126"/>
      <c r="CU678" s="126"/>
      <c r="CV678" s="126"/>
      <c r="CW678" s="126"/>
      <c r="CX678" s="126"/>
      <c r="CY678" s="126"/>
      <c r="CZ678" s="126"/>
      <c r="DA678" s="126"/>
      <c r="DB678" s="126"/>
      <c r="DC678" s="126"/>
      <c r="DD678" s="126"/>
      <c r="DE678" s="126"/>
      <c r="DF678" s="126"/>
      <c r="DG678" s="126"/>
      <c r="DH678" s="126"/>
      <c r="DI678" s="126"/>
      <c r="DJ678" s="126"/>
      <c r="DK678" s="126"/>
      <c r="DL678" s="126"/>
      <c r="DM678" s="126"/>
      <c r="DN678" s="126"/>
      <c r="DO678" s="126"/>
      <c r="DP678" s="126"/>
      <c r="DQ678" s="126"/>
      <c r="DR678" s="126"/>
      <c r="DS678" s="126"/>
      <c r="DT678" s="126"/>
      <c r="DU678" s="126"/>
      <c r="DV678" s="126"/>
      <c r="DW678" s="126"/>
      <c r="DX678" s="126"/>
      <c r="DY678" s="126"/>
      <c r="DZ678" s="126"/>
      <c r="EA678" s="126"/>
      <c r="EB678" s="126"/>
      <c r="EC678" s="126"/>
      <c r="ED678" s="126"/>
      <c r="EE678" s="126"/>
      <c r="EF678" s="126"/>
      <c r="EG678" s="126"/>
      <c r="EH678" s="126"/>
      <c r="EI678" s="126"/>
      <c r="EJ678" s="126"/>
      <c r="EK678" s="126"/>
      <c r="EL678" s="126"/>
      <c r="EM678" s="126"/>
      <c r="EN678" s="126"/>
      <c r="EO678" s="126"/>
      <c r="EP678" s="126"/>
      <c r="EQ678" s="126"/>
      <c r="ER678" s="126"/>
      <c r="ES678" s="126"/>
      <c r="ET678" s="126"/>
      <c r="EU678" s="126"/>
      <c r="EV678" s="126"/>
      <c r="EW678" s="126"/>
      <c r="EX678" s="126"/>
      <c r="EY678" s="126"/>
      <c r="EZ678" s="126"/>
      <c r="FA678" s="126"/>
      <c r="FB678" s="126"/>
      <c r="FC678" s="126"/>
      <c r="FD678" s="126"/>
      <c r="FE678" s="126"/>
      <c r="FF678" s="126"/>
      <c r="FG678" s="126"/>
      <c r="FH678" s="126"/>
      <c r="FI678" s="126"/>
      <c r="FJ678" s="126"/>
      <c r="FK678" s="126"/>
      <c r="FL678" s="126"/>
      <c r="FM678" s="126"/>
      <c r="FN678" s="126"/>
      <c r="FO678" s="126"/>
      <c r="FP678" s="126"/>
      <c r="FQ678" s="126"/>
      <c r="FR678" s="126"/>
      <c r="FS678" s="126"/>
      <c r="FT678" s="126"/>
      <c r="FU678" s="126"/>
      <c r="FV678" s="126"/>
      <c r="FW678" s="126"/>
      <c r="FX678" s="126"/>
      <c r="FY678" s="126"/>
      <c r="FZ678" s="126"/>
      <c r="GA678" s="126"/>
      <c r="GB678" s="126"/>
      <c r="GC678" s="126"/>
      <c r="GD678" s="126"/>
      <c r="GE678" s="126"/>
      <c r="GF678" s="126"/>
      <c r="GG678" s="126"/>
      <c r="GH678" s="126"/>
      <c r="GI678" s="126"/>
      <c r="GJ678" s="126"/>
      <c r="GK678" s="126"/>
      <c r="GL678" s="126"/>
      <c r="GM678" s="126"/>
      <c r="GN678" s="126"/>
      <c r="GO678" s="126"/>
      <c r="GP678" s="126"/>
      <c r="GQ678" s="126"/>
      <c r="GR678" s="126"/>
      <c r="GS678" s="126"/>
      <c r="GT678" s="126"/>
      <c r="GU678" s="126"/>
      <c r="GV678" s="126"/>
      <c r="GW678" s="126"/>
      <c r="GX678" s="126"/>
      <c r="GY678" s="126"/>
      <c r="GZ678" s="126"/>
      <c r="HA678" s="126"/>
      <c r="HB678" s="126"/>
      <c r="HC678" s="126"/>
      <c r="HD678" s="126"/>
      <c r="HE678" s="126"/>
      <c r="HF678" s="126"/>
      <c r="HG678" s="126"/>
      <c r="HH678" s="126"/>
      <c r="HI678" s="126"/>
      <c r="HJ678" s="126"/>
      <c r="HK678" s="126"/>
      <c r="HL678" s="126"/>
      <c r="HM678" s="126"/>
      <c r="HN678" s="126"/>
      <c r="HO678" s="126"/>
      <c r="HP678" s="126"/>
      <c r="HQ678" s="126"/>
      <c r="HR678" s="126"/>
      <c r="HS678" s="126"/>
      <c r="HT678" s="126"/>
      <c r="HU678" s="126"/>
      <c r="HV678" s="126"/>
      <c r="HW678" s="126"/>
      <c r="HX678" s="126"/>
      <c r="HY678" s="126"/>
      <c r="HZ678" s="126"/>
      <c r="IA678" s="126"/>
      <c r="IB678" s="126"/>
      <c r="IC678" s="126"/>
      <c r="ID678" s="126"/>
      <c r="IE678" s="126"/>
      <c r="IF678" s="126"/>
      <c r="IG678" s="126"/>
      <c r="IH678" s="126"/>
      <c r="II678" s="126"/>
      <c r="IJ678" s="126"/>
      <c r="IK678" s="126"/>
      <c r="IL678" s="126"/>
      <c r="IM678" s="126"/>
      <c r="IN678" s="126"/>
      <c r="IO678" s="126"/>
      <c r="IP678" s="126"/>
      <c r="IQ678" s="126"/>
      <c r="IR678" s="126"/>
      <c r="IS678" s="126"/>
      <c r="IT678" s="126"/>
      <c r="IU678" s="126"/>
      <c r="IV678" s="126"/>
      <c r="IW678" s="126"/>
      <c r="IX678" s="126"/>
      <c r="IY678" s="126"/>
      <c r="IZ678" s="126"/>
      <c r="JA678" s="126"/>
      <c r="JB678" s="126"/>
      <c r="JC678" s="126"/>
      <c r="JD678" s="126"/>
      <c r="JE678" s="126"/>
      <c r="JF678" s="126"/>
      <c r="JG678" s="126"/>
      <c r="JH678" s="126"/>
      <c r="JI678" s="126"/>
      <c r="JJ678" s="126"/>
      <c r="JK678" s="126"/>
      <c r="JL678" s="126"/>
      <c r="JM678" s="126"/>
      <c r="JN678" s="126"/>
      <c r="JO678" s="126"/>
      <c r="JP678" s="126"/>
      <c r="JQ678" s="126"/>
      <c r="JR678" s="126"/>
      <c r="JS678" s="126"/>
      <c r="JT678" s="126"/>
      <c r="JU678" s="126"/>
      <c r="JV678" s="126"/>
      <c r="JW678" s="126"/>
      <c r="JX678" s="126"/>
      <c r="JY678" s="126"/>
      <c r="JZ678" s="126"/>
      <c r="KA678" s="126"/>
      <c r="KB678" s="126"/>
      <c r="KC678" s="126"/>
      <c r="KD678" s="126"/>
      <c r="KE678" s="126"/>
      <c r="KF678" s="126"/>
      <c r="KG678" s="126"/>
      <c r="KH678" s="126"/>
      <c r="KI678" s="126"/>
      <c r="KJ678" s="126"/>
      <c r="KK678" s="126"/>
      <c r="KL678" s="126"/>
      <c r="KM678" s="126"/>
      <c r="KN678" s="126"/>
      <c r="KO678" s="126"/>
      <c r="KP678" s="126"/>
      <c r="KQ678" s="126"/>
      <c r="KR678" s="126"/>
      <c r="KS678" s="126"/>
      <c r="KT678" s="126"/>
      <c r="KU678" s="126"/>
      <c r="KV678" s="126"/>
      <c r="KW678" s="126"/>
      <c r="KX678" s="126"/>
      <c r="KY678" s="126"/>
      <c r="KZ678" s="126"/>
      <c r="LA678" s="126"/>
      <c r="LB678" s="126"/>
      <c r="LC678" s="126"/>
      <c r="LD678" s="126"/>
      <c r="LE678" s="126"/>
      <c r="LF678" s="126"/>
      <c r="LG678" s="126"/>
      <c r="LH678" s="126"/>
      <c r="LI678" s="126"/>
      <c r="LJ678" s="126"/>
      <c r="LK678" s="126"/>
      <c r="LL678" s="126"/>
      <c r="LM678" s="126"/>
      <c r="LN678" s="126"/>
      <c r="LO678" s="126"/>
      <c r="LP678" s="126"/>
      <c r="LQ678" s="126"/>
      <c r="LR678" s="126"/>
      <c r="LS678" s="126"/>
      <c r="LT678" s="126"/>
      <c r="LU678" s="126"/>
      <c r="LV678" s="126"/>
      <c r="LW678" s="126"/>
      <c r="LX678" s="126"/>
      <c r="LY678" s="126"/>
      <c r="LZ678" s="126"/>
      <c r="MA678" s="126"/>
      <c r="MB678" s="126"/>
      <c r="MC678" s="126"/>
      <c r="MD678" s="126"/>
      <c r="ME678" s="126"/>
      <c r="MF678" s="126"/>
      <c r="MG678" s="126"/>
      <c r="MH678" s="126"/>
      <c r="MI678" s="126"/>
      <c r="MJ678" s="126"/>
      <c r="MK678" s="126"/>
      <c r="ML678" s="126"/>
      <c r="MM678" s="126"/>
      <c r="MN678" s="126"/>
      <c r="MO678" s="126"/>
      <c r="MP678" s="126"/>
      <c r="MQ678" s="126"/>
      <c r="MR678" s="126"/>
      <c r="MS678" s="126"/>
      <c r="MT678" s="126"/>
      <c r="MU678" s="126"/>
      <c r="MV678" s="126"/>
      <c r="MW678" s="126"/>
      <c r="MX678" s="126"/>
      <c r="MY678" s="126"/>
      <c r="MZ678" s="126"/>
      <c r="NA678" s="126"/>
      <c r="NB678" s="126"/>
      <c r="NC678" s="126"/>
      <c r="ND678" s="126"/>
      <c r="NE678" s="126"/>
      <c r="NF678" s="126"/>
      <c r="NG678" s="126"/>
      <c r="NH678" s="126"/>
      <c r="NI678" s="126"/>
      <c r="NJ678" s="126"/>
      <c r="NK678" s="126"/>
      <c r="NL678" s="126"/>
      <c r="NM678" s="126"/>
      <c r="NN678" s="126"/>
      <c r="NO678" s="126"/>
      <c r="NP678" s="126"/>
      <c r="NQ678" s="126"/>
      <c r="NR678" s="126"/>
      <c r="NS678" s="126"/>
      <c r="NT678" s="126"/>
      <c r="NU678" s="126"/>
      <c r="NV678" s="126"/>
      <c r="NW678" s="126"/>
      <c r="NX678" s="126"/>
      <c r="NY678" s="126"/>
      <c r="NZ678" s="126"/>
      <c r="OA678" s="126"/>
      <c r="OB678" s="126"/>
      <c r="OC678" s="126"/>
      <c r="OD678" s="126"/>
      <c r="OE678" s="126"/>
      <c r="OF678" s="126"/>
      <c r="OG678" s="126"/>
      <c r="OH678" s="126"/>
      <c r="OI678" s="126"/>
      <c r="OJ678" s="126"/>
      <c r="OK678" s="126"/>
      <c r="OL678" s="126"/>
      <c r="OM678" s="126"/>
      <c r="ON678" s="126"/>
      <c r="OO678" s="126"/>
      <c r="OP678" s="126"/>
      <c r="OQ678" s="126"/>
      <c r="OR678" s="126"/>
      <c r="OS678" s="126"/>
      <c r="OT678" s="126"/>
      <c r="OU678" s="126"/>
      <c r="OV678" s="126"/>
      <c r="OW678" s="126"/>
      <c r="OX678" s="126"/>
      <c r="OY678" s="126"/>
      <c r="OZ678" s="126"/>
      <c r="PA678" s="126"/>
      <c r="PB678" s="126"/>
      <c r="PC678" s="126"/>
      <c r="PD678" s="126"/>
      <c r="PE678" s="126"/>
      <c r="PF678" s="126"/>
      <c r="PG678" s="126"/>
      <c r="PH678" s="126"/>
      <c r="PI678" s="126"/>
      <c r="PJ678" s="126"/>
      <c r="PK678" s="126"/>
      <c r="PL678" s="126"/>
      <c r="PM678" s="126"/>
      <c r="PN678" s="126"/>
      <c r="PO678" s="126"/>
      <c r="PP678" s="126"/>
      <c r="PQ678" s="126"/>
      <c r="PR678" s="126"/>
      <c r="PS678" s="126"/>
      <c r="PT678" s="126"/>
      <c r="PU678" s="126"/>
      <c r="PV678" s="126"/>
      <c r="PW678" s="126"/>
      <c r="PX678" s="126"/>
      <c r="PY678" s="126"/>
      <c r="PZ678" s="126"/>
      <c r="QA678" s="126"/>
      <c r="QB678" s="126"/>
      <c r="QC678" s="126"/>
      <c r="QD678" s="126"/>
      <c r="QE678" s="126"/>
      <c r="QF678" s="126"/>
      <c r="QG678" s="126"/>
      <c r="QH678" s="126"/>
      <c r="QI678" s="126"/>
      <c r="QJ678" s="126"/>
      <c r="QK678" s="126"/>
      <c r="QL678" s="126"/>
      <c r="QM678" s="126"/>
      <c r="QN678" s="126"/>
      <c r="QO678" s="126"/>
      <c r="QP678" s="126"/>
      <c r="QQ678" s="126"/>
      <c r="QR678" s="126"/>
      <c r="QS678" s="126"/>
      <c r="QT678" s="126"/>
      <c r="QU678" s="126"/>
      <c r="QV678" s="126"/>
      <c r="QW678" s="126"/>
      <c r="QX678" s="126"/>
      <c r="QY678" s="126"/>
      <c r="QZ678" s="126"/>
      <c r="RA678" s="126"/>
      <c r="RB678" s="126"/>
      <c r="RC678" s="126"/>
      <c r="RD678" s="126"/>
      <c r="RE678" s="126"/>
      <c r="RF678" s="126"/>
      <c r="RG678" s="126"/>
      <c r="RH678" s="126"/>
      <c r="RI678" s="126"/>
      <c r="RJ678" s="126"/>
      <c r="RK678" s="126"/>
      <c r="RL678" s="126"/>
      <c r="RM678" s="126"/>
      <c r="RN678" s="126"/>
      <c r="RO678" s="126"/>
      <c r="RP678" s="126"/>
      <c r="RQ678" s="126"/>
      <c r="RR678" s="126"/>
      <c r="RS678" s="126"/>
      <c r="RT678" s="126"/>
      <c r="RU678" s="126"/>
      <c r="RV678" s="126"/>
      <c r="RW678" s="126"/>
      <c r="RX678" s="126"/>
      <c r="RY678" s="126"/>
      <c r="RZ678" s="126"/>
      <c r="SA678" s="126"/>
      <c r="SB678" s="126"/>
      <c r="SC678" s="126"/>
      <c r="SD678" s="126"/>
      <c r="SE678" s="126"/>
      <c r="SF678" s="126"/>
      <c r="SG678" s="126"/>
      <c r="SH678" s="126"/>
      <c r="SI678" s="126"/>
      <c r="SJ678" s="126"/>
      <c r="SK678" s="126"/>
      <c r="SL678" s="126"/>
      <c r="SM678" s="126"/>
      <c r="SN678" s="126"/>
      <c r="SO678" s="126"/>
      <c r="SP678" s="126"/>
      <c r="SQ678" s="126"/>
      <c r="SR678" s="126"/>
      <c r="SS678" s="126"/>
      <c r="ST678" s="126"/>
      <c r="SU678" s="126"/>
      <c r="SV678" s="126"/>
      <c r="SW678" s="126"/>
      <c r="SX678" s="126"/>
      <c r="SY678" s="126"/>
      <c r="SZ678" s="126"/>
      <c r="TA678" s="126"/>
      <c r="TB678" s="126"/>
      <c r="TC678" s="126"/>
      <c r="TD678" s="126"/>
      <c r="TE678" s="126"/>
      <c r="TF678" s="126"/>
      <c r="TG678" s="126"/>
      <c r="TH678" s="126"/>
      <c r="TI678" s="126"/>
      <c r="TJ678" s="126"/>
      <c r="TK678" s="126"/>
      <c r="TL678" s="126"/>
      <c r="TM678" s="126"/>
      <c r="TN678" s="126"/>
      <c r="TO678" s="126"/>
      <c r="TP678" s="126"/>
      <c r="TQ678" s="126"/>
      <c r="TR678" s="126"/>
      <c r="TS678" s="126"/>
      <c r="TT678" s="126"/>
      <c r="TU678" s="126"/>
      <c r="TV678" s="126"/>
      <c r="TW678" s="126"/>
      <c r="TX678" s="126"/>
      <c r="TY678" s="126"/>
      <c r="TZ678" s="126"/>
      <c r="UA678" s="126"/>
      <c r="UB678" s="126"/>
      <c r="UC678" s="126"/>
      <c r="UD678" s="126"/>
      <c r="UE678" s="126"/>
      <c r="UF678" s="126"/>
      <c r="UG678" s="126"/>
      <c r="UH678" s="126"/>
      <c r="UI678" s="126"/>
      <c r="UJ678" s="126"/>
      <c r="UK678" s="126"/>
      <c r="UL678" s="126"/>
      <c r="UM678" s="126"/>
      <c r="UN678" s="126"/>
      <c r="UO678" s="126"/>
      <c r="UP678" s="126"/>
      <c r="UQ678" s="126"/>
      <c r="UR678" s="126"/>
      <c r="US678" s="126"/>
      <c r="UT678" s="126"/>
      <c r="UU678" s="126"/>
      <c r="UV678" s="126"/>
      <c r="UW678" s="126"/>
      <c r="UX678" s="126"/>
      <c r="UY678" s="126"/>
      <c r="UZ678" s="126"/>
      <c r="VA678" s="126"/>
      <c r="VB678" s="126"/>
      <c r="VC678" s="126"/>
      <c r="VD678" s="126"/>
      <c r="VE678" s="126"/>
      <c r="VF678" s="126"/>
      <c r="VG678" s="126"/>
      <c r="VH678" s="126"/>
      <c r="VI678" s="126"/>
      <c r="VJ678" s="126"/>
      <c r="VK678" s="126"/>
      <c r="VL678" s="126"/>
      <c r="VM678" s="126"/>
      <c r="VN678" s="126"/>
      <c r="VO678" s="126"/>
      <c r="VP678" s="126"/>
      <c r="VQ678" s="126"/>
      <c r="VR678" s="126"/>
      <c r="VS678" s="126"/>
      <c r="VT678" s="126"/>
      <c r="VU678" s="126"/>
      <c r="VV678" s="126"/>
      <c r="VW678" s="126"/>
      <c r="VX678" s="126"/>
      <c r="VY678" s="126"/>
      <c r="VZ678" s="126"/>
      <c r="WA678" s="126"/>
      <c r="WB678" s="126"/>
      <c r="WC678" s="126"/>
      <c r="WD678" s="126"/>
      <c r="WE678" s="126"/>
      <c r="WF678" s="126"/>
      <c r="WG678" s="126"/>
      <c r="WH678" s="126"/>
      <c r="WI678" s="126"/>
      <c r="WJ678" s="126"/>
      <c r="WK678" s="126"/>
      <c r="WL678" s="126"/>
      <c r="WM678" s="126"/>
      <c r="WN678" s="126"/>
      <c r="WO678" s="126"/>
      <c r="WP678" s="126"/>
      <c r="WQ678" s="126"/>
      <c r="WR678" s="126"/>
      <c r="WS678" s="126"/>
      <c r="WT678" s="126"/>
      <c r="WU678" s="126"/>
      <c r="WV678" s="126"/>
      <c r="WW678" s="126"/>
      <c r="WX678" s="126"/>
      <c r="WY678" s="126"/>
      <c r="WZ678" s="126"/>
      <c r="XA678" s="126"/>
      <c r="XB678" s="126"/>
      <c r="XC678" s="126"/>
      <c r="XD678" s="126"/>
      <c r="XE678" s="126"/>
      <c r="XF678" s="126"/>
      <c r="XG678" s="126"/>
      <c r="XH678" s="126"/>
      <c r="XI678" s="126"/>
      <c r="XJ678" s="126"/>
      <c r="XK678" s="126"/>
      <c r="XL678" s="126"/>
      <c r="XM678" s="126"/>
      <c r="XN678" s="126"/>
      <c r="XO678" s="126"/>
      <c r="XP678" s="126"/>
      <c r="XQ678" s="126"/>
      <c r="XR678" s="126"/>
      <c r="XS678" s="126"/>
      <c r="XT678" s="126"/>
      <c r="XU678" s="126"/>
      <c r="XV678" s="126"/>
      <c r="XW678" s="126"/>
      <c r="XX678" s="126"/>
      <c r="XY678" s="126"/>
      <c r="XZ678" s="126"/>
      <c r="YA678" s="126"/>
      <c r="YB678" s="126"/>
      <c r="YC678" s="126"/>
      <c r="YD678" s="126"/>
      <c r="YE678" s="126"/>
      <c r="YF678" s="126"/>
      <c r="YG678" s="126"/>
      <c r="YH678" s="126"/>
      <c r="YI678" s="126"/>
      <c r="YJ678" s="126"/>
      <c r="YK678" s="126"/>
      <c r="YL678" s="126"/>
      <c r="YM678" s="126"/>
      <c r="YN678" s="126"/>
      <c r="YO678" s="126"/>
      <c r="YP678" s="126"/>
      <c r="YQ678" s="126"/>
      <c r="YR678" s="126"/>
      <c r="YS678" s="126"/>
      <c r="YT678" s="126"/>
      <c r="YU678" s="126"/>
      <c r="YV678" s="126"/>
      <c r="YW678" s="126"/>
      <c r="YX678" s="126"/>
      <c r="YY678" s="126"/>
      <c r="YZ678" s="126"/>
      <c r="ZA678" s="126"/>
      <c r="ZB678" s="126"/>
      <c r="ZC678" s="126"/>
      <c r="ZD678" s="126"/>
      <c r="ZE678" s="126"/>
      <c r="ZF678" s="126"/>
      <c r="ZG678" s="126"/>
      <c r="ZH678" s="126"/>
      <c r="ZI678" s="126"/>
      <c r="ZJ678" s="126"/>
      <c r="ZK678" s="126"/>
      <c r="ZL678" s="126"/>
      <c r="ZM678" s="126"/>
      <c r="ZN678" s="126"/>
      <c r="ZO678" s="126"/>
      <c r="ZP678" s="126"/>
      <c r="ZQ678" s="126"/>
      <c r="ZR678" s="126"/>
      <c r="ZS678" s="126"/>
      <c r="ZT678" s="126"/>
      <c r="ZU678" s="126"/>
      <c r="ZV678" s="126"/>
      <c r="ZW678" s="126"/>
      <c r="ZX678" s="126"/>
      <c r="ZY678" s="126"/>
      <c r="ZZ678" s="126"/>
      <c r="AAA678" s="126"/>
      <c r="AAB678" s="126"/>
      <c r="AAC678" s="126"/>
      <c r="AAD678" s="126"/>
      <c r="AAE678" s="126"/>
      <c r="AAF678" s="126"/>
      <c r="AAG678" s="126"/>
      <c r="AAH678" s="126"/>
      <c r="AAI678" s="126"/>
      <c r="AAJ678" s="126"/>
      <c r="AAK678" s="126"/>
      <c r="AAL678" s="126"/>
      <c r="AAM678" s="126"/>
      <c r="AAN678" s="126"/>
      <c r="AAO678" s="126"/>
      <c r="AAP678" s="126"/>
      <c r="AAQ678" s="126"/>
      <c r="AAR678" s="126"/>
      <c r="AAS678" s="126"/>
      <c r="AAT678" s="126"/>
      <c r="AAU678" s="126"/>
      <c r="AAV678" s="126"/>
      <c r="AAW678" s="126"/>
      <c r="AAX678" s="126"/>
      <c r="AAY678" s="126"/>
      <c r="AAZ678" s="126"/>
      <c r="ABA678" s="126"/>
      <c r="ABB678" s="126"/>
      <c r="ABC678" s="126"/>
      <c r="ABD678" s="126"/>
      <c r="ABE678" s="126"/>
      <c r="ABF678" s="126"/>
      <c r="ABG678" s="126"/>
      <c r="ABH678" s="126"/>
      <c r="ABI678" s="126"/>
      <c r="ABJ678" s="126"/>
      <c r="ABK678" s="126"/>
      <c r="ABL678" s="126"/>
      <c r="ABM678" s="126"/>
      <c r="ABN678" s="126"/>
      <c r="ABO678" s="126"/>
      <c r="ABP678" s="126"/>
      <c r="ABQ678" s="126"/>
      <c r="ABR678" s="126"/>
      <c r="ABS678" s="126"/>
      <c r="ABT678" s="126"/>
      <c r="ABU678" s="126"/>
      <c r="ABV678" s="126"/>
      <c r="ABW678" s="126"/>
      <c r="ABX678" s="126"/>
      <c r="ABY678" s="126"/>
      <c r="ABZ678" s="126"/>
      <c r="ACA678" s="126"/>
      <c r="ACB678" s="126"/>
      <c r="ACC678" s="126"/>
      <c r="ACD678" s="126"/>
      <c r="ACE678" s="126"/>
      <c r="ACF678" s="126"/>
      <c r="ACG678" s="126"/>
      <c r="ACH678" s="126"/>
      <c r="ACI678" s="126"/>
      <c r="ACJ678" s="126"/>
      <c r="ACK678" s="126"/>
      <c r="ACL678" s="126"/>
      <c r="ACM678" s="126"/>
      <c r="ACN678" s="126"/>
      <c r="ACO678" s="126"/>
      <c r="ACP678" s="126"/>
      <c r="ACQ678" s="126"/>
      <c r="ACR678" s="126"/>
      <c r="ACS678" s="126"/>
      <c r="ACT678" s="126"/>
      <c r="ACU678" s="126"/>
      <c r="ACV678" s="126"/>
      <c r="ACW678" s="126"/>
      <c r="ACX678" s="126"/>
      <c r="ACY678" s="126"/>
      <c r="ACZ678" s="126"/>
      <c r="ADA678" s="126"/>
      <c r="ADB678" s="126"/>
      <c r="ADC678" s="126"/>
      <c r="ADD678" s="126"/>
      <c r="ADE678" s="126"/>
      <c r="ADF678" s="126"/>
      <c r="ADG678" s="126"/>
      <c r="ADH678" s="126"/>
      <c r="ADI678" s="126"/>
      <c r="ADJ678" s="126"/>
      <c r="ADK678" s="126"/>
      <c r="ADL678" s="126"/>
      <c r="ADM678" s="126"/>
      <c r="ADN678" s="126"/>
      <c r="ADO678" s="126"/>
      <c r="ADP678" s="126"/>
      <c r="ADQ678" s="126"/>
      <c r="ADR678" s="126"/>
      <c r="ADS678" s="126"/>
      <c r="ADT678" s="126"/>
      <c r="ADU678" s="126"/>
      <c r="ADV678" s="126"/>
      <c r="ADW678" s="126"/>
      <c r="ADX678" s="126"/>
      <c r="ADY678" s="126"/>
      <c r="ADZ678" s="126"/>
      <c r="AEA678" s="126"/>
      <c r="AEB678" s="126"/>
      <c r="AEC678" s="126"/>
      <c r="AED678" s="126"/>
      <c r="AEE678" s="126"/>
      <c r="AEF678" s="126"/>
      <c r="AEG678" s="126"/>
      <c r="AEH678" s="126"/>
      <c r="AEI678" s="126"/>
      <c r="AEJ678" s="126"/>
      <c r="AEK678" s="126"/>
      <c r="AEL678" s="126"/>
      <c r="AEM678" s="126"/>
      <c r="AEN678" s="126"/>
      <c r="AEO678" s="126"/>
      <c r="AEP678" s="126"/>
      <c r="AEQ678" s="126"/>
      <c r="AER678" s="126"/>
      <c r="AES678" s="126"/>
      <c r="AET678" s="126"/>
      <c r="AEU678" s="126"/>
      <c r="AEV678" s="126"/>
      <c r="AEW678" s="126"/>
      <c r="AEX678" s="126"/>
      <c r="AEY678" s="126"/>
      <c r="AEZ678" s="126"/>
      <c r="AFA678" s="126"/>
      <c r="AFB678" s="126"/>
      <c r="AFC678" s="126"/>
      <c r="AFD678" s="126"/>
      <c r="AFE678" s="126"/>
      <c r="AFF678" s="126"/>
      <c r="AFG678" s="126"/>
      <c r="AFH678" s="126"/>
      <c r="AFI678" s="126"/>
      <c r="AFJ678" s="126"/>
      <c r="AFK678" s="126"/>
      <c r="AFL678" s="126"/>
      <c r="AFM678" s="126"/>
      <c r="AFN678" s="126"/>
      <c r="AFO678" s="126"/>
      <c r="AFP678" s="126"/>
      <c r="AFQ678" s="126"/>
      <c r="AFR678" s="126"/>
      <c r="AFS678" s="126"/>
      <c r="AFT678" s="126"/>
      <c r="AFU678" s="126"/>
      <c r="AFV678" s="126"/>
      <c r="AFW678" s="126"/>
      <c r="AFX678" s="126"/>
      <c r="AFY678" s="126"/>
      <c r="AFZ678" s="126"/>
      <c r="AGA678" s="126"/>
      <c r="AGB678" s="126"/>
      <c r="AGC678" s="126"/>
      <c r="AGD678" s="126"/>
      <c r="AGE678" s="126"/>
      <c r="AGF678" s="126"/>
      <c r="AGG678" s="126"/>
      <c r="AGH678" s="126"/>
      <c r="AGI678" s="126"/>
      <c r="AGJ678" s="126"/>
      <c r="AGK678" s="126"/>
      <c r="AGL678" s="126"/>
      <c r="AGM678" s="126"/>
      <c r="AGN678" s="126"/>
      <c r="AGO678" s="126"/>
      <c r="AGP678" s="126"/>
      <c r="AGQ678" s="126"/>
      <c r="AGR678" s="126"/>
      <c r="AGS678" s="126"/>
      <c r="AGT678" s="126"/>
      <c r="AGU678" s="126"/>
      <c r="AGV678" s="126"/>
      <c r="AGW678" s="126"/>
      <c r="AGX678" s="126"/>
      <c r="AGY678" s="126"/>
      <c r="AGZ678" s="126"/>
      <c r="AHA678" s="126"/>
      <c r="AHB678" s="126"/>
      <c r="AHC678" s="126"/>
      <c r="AHD678" s="126"/>
      <c r="AHE678" s="126"/>
      <c r="AHF678" s="126"/>
      <c r="AHG678" s="126"/>
      <c r="AHH678" s="126"/>
      <c r="AHI678" s="126"/>
      <c r="AHJ678" s="126"/>
      <c r="AHK678" s="126"/>
      <c r="AHL678" s="126"/>
      <c r="AHM678" s="126"/>
      <c r="AHN678" s="126"/>
      <c r="AHO678" s="126"/>
      <c r="AHP678" s="126"/>
      <c r="AHQ678" s="126"/>
      <c r="AHR678" s="126"/>
      <c r="AHS678" s="126"/>
      <c r="AHT678" s="126"/>
      <c r="AHU678" s="126"/>
      <c r="AHV678" s="126"/>
      <c r="AHW678" s="126"/>
      <c r="AHX678" s="126"/>
      <c r="AHY678" s="126"/>
      <c r="AHZ678" s="126"/>
      <c r="AIA678" s="126"/>
      <c r="AIB678" s="126"/>
      <c r="AIC678" s="126"/>
      <c r="AID678" s="126"/>
      <c r="AIE678" s="126"/>
      <c r="AIF678" s="126"/>
      <c r="AIG678" s="126"/>
      <c r="AIH678" s="126"/>
      <c r="AII678" s="126"/>
      <c r="AIJ678" s="126"/>
      <c r="AIK678" s="126"/>
      <c r="AIL678" s="126"/>
      <c r="AIM678" s="126"/>
      <c r="AIN678" s="126"/>
      <c r="AIO678" s="126"/>
      <c r="AIP678" s="126"/>
      <c r="AIQ678" s="126"/>
      <c r="AIR678" s="126"/>
      <c r="AIS678" s="126"/>
      <c r="AIT678" s="126"/>
      <c r="AIU678" s="126"/>
      <c r="AIV678" s="126"/>
      <c r="AIW678" s="126"/>
      <c r="AIX678" s="126"/>
      <c r="AIY678" s="126"/>
      <c r="AIZ678" s="126"/>
      <c r="AJA678" s="126"/>
      <c r="AJB678" s="126"/>
      <c r="AJC678" s="126"/>
      <c r="AJD678" s="126"/>
      <c r="AJE678" s="126"/>
      <c r="AJF678" s="126"/>
      <c r="AJG678" s="126"/>
      <c r="AJH678" s="126"/>
      <c r="AJI678" s="126"/>
      <c r="AJJ678" s="126"/>
      <c r="AJK678" s="126"/>
      <c r="AJL678" s="126"/>
      <c r="AJM678" s="126"/>
      <c r="AJN678" s="126"/>
      <c r="AJO678" s="126"/>
      <c r="AJP678" s="126"/>
      <c r="AJQ678" s="126"/>
      <c r="AJR678" s="126"/>
      <c r="AJS678" s="126"/>
      <c r="AJT678" s="126"/>
      <c r="AJU678" s="126"/>
      <c r="AJV678" s="126"/>
      <c r="AJW678" s="126"/>
      <c r="AJX678" s="126"/>
      <c r="AJY678" s="126"/>
      <c r="AJZ678" s="126"/>
      <c r="AKA678" s="126"/>
      <c r="AKB678" s="126"/>
      <c r="AKC678" s="126"/>
      <c r="AKD678" s="126"/>
      <c r="AKE678" s="126"/>
      <c r="AKF678" s="126"/>
      <c r="AKG678" s="126"/>
      <c r="AKH678" s="126"/>
      <c r="AKI678" s="126"/>
      <c r="AKJ678" s="126"/>
      <c r="AKK678" s="126"/>
      <c r="AKL678" s="126"/>
      <c r="AKM678" s="126"/>
      <c r="AKN678" s="126"/>
      <c r="AKO678" s="126"/>
      <c r="AKP678" s="126"/>
      <c r="AKQ678" s="126"/>
      <c r="AKR678" s="126"/>
      <c r="AKS678" s="126"/>
      <c r="AKT678" s="126"/>
      <c r="AKU678" s="126"/>
      <c r="AKV678" s="126"/>
      <c r="AKW678" s="126"/>
      <c r="AKX678" s="126"/>
      <c r="AKY678" s="126"/>
      <c r="AKZ678" s="126"/>
      <c r="ALA678" s="126"/>
      <c r="ALB678" s="126"/>
      <c r="ALC678" s="126"/>
      <c r="ALD678" s="126"/>
      <c r="ALE678" s="126"/>
      <c r="ALF678" s="126"/>
      <c r="ALG678" s="126"/>
      <c r="ALH678" s="126"/>
      <c r="ALI678" s="126"/>
      <c r="ALJ678" s="126"/>
      <c r="ALK678" s="126"/>
      <c r="ALL678" s="126"/>
      <c r="ALM678" s="126"/>
      <c r="ALN678" s="126"/>
      <c r="ALO678" s="126"/>
      <c r="ALP678" s="126"/>
      <c r="ALQ678" s="126"/>
      <c r="ALR678" s="126"/>
      <c r="ALS678" s="126"/>
      <c r="ALT678" s="126"/>
      <c r="ALU678" s="126"/>
      <c r="ALV678" s="126"/>
      <c r="ALW678" s="126"/>
      <c r="ALX678" s="126"/>
      <c r="ALY678" s="126"/>
      <c r="ALZ678" s="126"/>
      <c r="AMA678" s="126"/>
      <c r="AMB678" s="126"/>
      <c r="AMC678" s="126"/>
      <c r="AMD678" s="126"/>
      <c r="AME678" s="126"/>
      <c r="AMF678" s="126"/>
      <c r="AMG678" s="126"/>
      <c r="AMH678" s="126"/>
      <c r="AMI678" s="126"/>
      <c r="AMJ678" s="126"/>
      <c r="AMK678" s="126"/>
      <c r="AML678" s="126"/>
      <c r="AMM678" s="126"/>
      <c r="AMN678" s="126"/>
      <c r="AMO678" s="126"/>
      <c r="AMP678" s="126"/>
      <c r="AMQ678" s="126"/>
      <c r="AMR678" s="126"/>
      <c r="AMS678" s="126"/>
      <c r="AMT678" s="126"/>
      <c r="AMU678" s="126"/>
      <c r="AMV678" s="126"/>
      <c r="AMW678" s="126"/>
      <c r="AMX678" s="126"/>
      <c r="AMY678" s="126"/>
      <c r="AMZ678" s="126"/>
      <c r="ANA678" s="126"/>
      <c r="ANB678" s="126"/>
      <c r="ANC678" s="126"/>
      <c r="AND678" s="126"/>
      <c r="ANE678" s="126"/>
      <c r="ANF678" s="126"/>
      <c r="ANG678" s="126"/>
      <c r="ANH678" s="126"/>
      <c r="ANI678" s="126"/>
      <c r="ANJ678" s="126"/>
      <c r="ANK678" s="126"/>
      <c r="ANL678" s="126"/>
      <c r="ANM678" s="126"/>
      <c r="ANN678" s="126"/>
      <c r="ANO678" s="126"/>
      <c r="ANP678" s="126"/>
      <c r="ANQ678" s="126"/>
      <c r="ANR678" s="126"/>
      <c r="ANS678" s="126"/>
      <c r="ANT678" s="126"/>
      <c r="ANU678" s="126"/>
      <c r="ANV678" s="126"/>
      <c r="ANW678" s="126"/>
      <c r="ANX678" s="126"/>
      <c r="ANY678" s="126"/>
      <c r="ANZ678" s="126"/>
      <c r="AOA678" s="126"/>
      <c r="AOB678" s="126"/>
      <c r="AOC678" s="126"/>
      <c r="AOD678" s="126"/>
      <c r="AOE678" s="126"/>
      <c r="AOF678" s="126"/>
      <c r="AOG678" s="126"/>
      <c r="AOH678" s="126"/>
      <c r="AOI678" s="126"/>
      <c r="AOJ678" s="126"/>
      <c r="AOK678" s="126"/>
      <c r="AOL678" s="126"/>
      <c r="AOM678" s="126"/>
      <c r="AON678" s="126"/>
      <c r="AOO678" s="126"/>
      <c r="AOP678" s="126"/>
      <c r="AOQ678" s="126"/>
      <c r="AOR678" s="126"/>
      <c r="AOS678" s="126"/>
      <c r="AOT678" s="126"/>
      <c r="AOU678" s="126"/>
      <c r="AOV678" s="126"/>
      <c r="AOW678" s="126"/>
      <c r="AOX678" s="126"/>
      <c r="AOY678" s="126"/>
      <c r="AOZ678" s="126"/>
      <c r="APA678" s="126"/>
      <c r="APB678" s="126"/>
      <c r="APC678" s="126"/>
      <c r="APD678" s="126"/>
      <c r="APE678" s="126"/>
      <c r="APF678" s="126"/>
      <c r="APG678" s="126"/>
      <c r="APH678" s="126"/>
      <c r="API678" s="126"/>
      <c r="APJ678" s="126"/>
      <c r="APK678" s="126"/>
      <c r="APL678" s="126"/>
      <c r="APM678" s="126"/>
      <c r="APN678" s="126"/>
      <c r="APO678" s="126"/>
      <c r="APP678" s="126"/>
      <c r="APQ678" s="126"/>
      <c r="APR678" s="126"/>
      <c r="APS678" s="126"/>
      <c r="APT678" s="126"/>
      <c r="APU678" s="126"/>
      <c r="APV678" s="126"/>
      <c r="APW678" s="126"/>
      <c r="APX678" s="126"/>
      <c r="APY678" s="126"/>
      <c r="APZ678" s="126"/>
      <c r="AQA678" s="126"/>
      <c r="AQB678" s="126"/>
      <c r="AQC678" s="126"/>
      <c r="AQD678" s="126"/>
      <c r="AQE678" s="126"/>
      <c r="AQF678" s="126"/>
      <c r="AQG678" s="126"/>
      <c r="AQH678" s="126"/>
      <c r="AQI678" s="126"/>
      <c r="AQJ678" s="126"/>
      <c r="AQK678" s="126"/>
      <c r="AQL678" s="126"/>
      <c r="AQM678" s="126"/>
      <c r="AQN678" s="126"/>
      <c r="AQO678" s="126"/>
      <c r="AQP678" s="126"/>
      <c r="AQQ678" s="126"/>
      <c r="AQR678" s="126"/>
      <c r="AQS678" s="126"/>
      <c r="AQT678" s="126"/>
      <c r="AQU678" s="126"/>
      <c r="AQV678" s="126"/>
      <c r="AQW678" s="126"/>
      <c r="AQX678" s="126"/>
      <c r="AQY678" s="126"/>
      <c r="AQZ678" s="126"/>
      <c r="ARA678" s="126"/>
      <c r="ARB678" s="126"/>
      <c r="ARC678" s="126"/>
      <c r="ARD678" s="126"/>
      <c r="ARE678" s="126"/>
      <c r="ARF678" s="126"/>
      <c r="ARG678" s="126"/>
      <c r="ARH678" s="126"/>
      <c r="ARI678" s="126"/>
      <c r="ARJ678" s="126"/>
      <c r="ARK678" s="126"/>
      <c r="ARL678" s="126"/>
      <c r="ARM678" s="126"/>
      <c r="ARN678" s="126"/>
      <c r="ARO678" s="126"/>
      <c r="ARP678" s="126"/>
      <c r="ARQ678" s="126"/>
      <c r="ARR678" s="126"/>
      <c r="ARS678" s="126"/>
      <c r="ART678" s="126"/>
      <c r="ARU678" s="126"/>
      <c r="ARV678" s="126"/>
      <c r="ARW678" s="126"/>
      <c r="ARX678" s="126"/>
      <c r="ARY678" s="126"/>
      <c r="ARZ678" s="126"/>
      <c r="ASA678" s="126"/>
      <c r="ASB678" s="126"/>
      <c r="ASC678" s="126"/>
      <c r="ASD678" s="126"/>
      <c r="ASE678" s="126"/>
      <c r="ASF678" s="126"/>
      <c r="ASG678" s="126"/>
      <c r="ASH678" s="126"/>
      <c r="ASI678" s="126"/>
      <c r="ASJ678" s="126"/>
      <c r="ASK678" s="126"/>
      <c r="ASL678" s="126"/>
      <c r="ASM678" s="126"/>
      <c r="ASN678" s="126"/>
      <c r="ASO678" s="126"/>
      <c r="ASP678" s="126"/>
      <c r="ASQ678" s="126"/>
      <c r="ASR678" s="126"/>
      <c r="ASS678" s="126"/>
      <c r="AST678" s="126"/>
      <c r="ASU678" s="126"/>
      <c r="ASV678" s="126"/>
      <c r="ASW678" s="126"/>
      <c r="ASX678" s="126"/>
      <c r="ASY678" s="126"/>
      <c r="ASZ678" s="126"/>
      <c r="ATA678" s="126"/>
      <c r="ATB678" s="126"/>
      <c r="ATC678" s="126"/>
      <c r="ATD678" s="126"/>
      <c r="ATE678" s="126"/>
      <c r="ATF678" s="126"/>
      <c r="ATG678" s="126"/>
      <c r="ATH678" s="126"/>
      <c r="ATI678" s="126"/>
      <c r="ATJ678" s="126"/>
      <c r="ATK678" s="126"/>
      <c r="ATL678" s="126"/>
      <c r="ATM678" s="126"/>
      <c r="ATN678" s="126"/>
      <c r="ATO678" s="126"/>
    </row>
    <row r="679" spans="1:1211" ht="14.1" customHeight="1">
      <c r="A679" s="434"/>
      <c r="B679" s="1505"/>
      <c r="C679" s="193"/>
      <c r="D679" s="1315"/>
      <c r="E679" s="1315"/>
      <c r="F679" s="1315"/>
    </row>
    <row r="680" spans="1:1211" ht="14.1" customHeight="1">
      <c r="A680" s="434"/>
      <c r="B680" s="1505"/>
      <c r="C680" s="193"/>
      <c r="D680" s="1315"/>
      <c r="E680" s="1315"/>
      <c r="F680" s="1315"/>
    </row>
    <row r="681" spans="1:1211" ht="14.1" customHeight="1">
      <c r="A681" s="434"/>
      <c r="B681" s="1505"/>
      <c r="C681" s="193"/>
      <c r="D681" s="1315"/>
      <c r="E681" s="1315"/>
      <c r="F681" s="1315"/>
    </row>
    <row r="682" spans="1:1211" ht="14.1" customHeight="1">
      <c r="A682" s="434"/>
      <c r="B682" s="1505"/>
      <c r="C682" s="193"/>
      <c r="D682" s="1315"/>
      <c r="E682" s="1315"/>
      <c r="F682" s="1315"/>
    </row>
    <row r="683" spans="1:1211" customFormat="1" ht="14.1" customHeight="1"/>
    <row r="684" spans="1:1211" ht="14.1" customHeight="1">
      <c r="A684" s="1715" t="s">
        <v>6253</v>
      </c>
      <c r="B684" s="1716"/>
      <c r="C684" s="1716"/>
      <c r="D684" s="1717"/>
      <c r="E684" s="1717"/>
    </row>
    <row r="685" spans="1:1211" ht="14.1" customHeight="1">
      <c r="A685" s="1716"/>
      <c r="B685" s="1716"/>
      <c r="C685" s="1716"/>
      <c r="D685" s="1717"/>
      <c r="E685" s="1717"/>
    </row>
    <row r="686" spans="1:1211" ht="14.1" customHeight="1">
      <c r="A686" s="1716" t="s">
        <v>4173</v>
      </c>
      <c r="B686" s="1716" t="s">
        <v>4335</v>
      </c>
      <c r="C686" s="1716"/>
      <c r="D686" s="1717"/>
      <c r="E686" s="1717"/>
    </row>
    <row r="687" spans="1:1211" ht="14.1" customHeight="1">
      <c r="A687" s="1716"/>
      <c r="B687" s="1716"/>
      <c r="C687" s="1716"/>
      <c r="D687" s="1717"/>
      <c r="E687" s="1717"/>
    </row>
    <row r="688" spans="1:1211" ht="14.1" customHeight="1">
      <c r="A688" s="1716" t="s">
        <v>4174</v>
      </c>
      <c r="B688" s="2758" t="s">
        <v>14299</v>
      </c>
      <c r="C688" s="2758"/>
      <c r="D688" s="2758"/>
      <c r="E688" s="2758"/>
    </row>
    <row r="689" spans="1:6" ht="14.1" customHeight="1">
      <c r="A689" s="1716" t="s">
        <v>4175</v>
      </c>
      <c r="B689" s="2758"/>
      <c r="C689" s="2758"/>
      <c r="D689" s="2758"/>
      <c r="E689" s="2758"/>
    </row>
    <row r="690" spans="1:6" ht="14.1" customHeight="1">
      <c r="A690" s="1716"/>
      <c r="B690" s="1716"/>
      <c r="C690" s="1716"/>
      <c r="D690" s="1717"/>
      <c r="E690" s="1717"/>
    </row>
    <row r="691" spans="1:6" ht="14.1" customHeight="1">
      <c r="A691" s="1716" t="s">
        <v>4176</v>
      </c>
      <c r="B691" s="2758" t="s">
        <v>14298</v>
      </c>
      <c r="C691" s="2758"/>
      <c r="D691" s="2758"/>
      <c r="E691" s="2758"/>
      <c r="F691" s="1492"/>
    </row>
    <row r="692" spans="1:6" ht="14.1" customHeight="1">
      <c r="A692" s="1716"/>
      <c r="B692" s="2758"/>
      <c r="C692" s="2758"/>
      <c r="D692" s="2758"/>
      <c r="E692" s="2758"/>
      <c r="F692" s="1492"/>
    </row>
    <row r="693" spans="1:6" ht="14.1" customHeight="1">
      <c r="A693" s="1716"/>
      <c r="B693" s="1716"/>
      <c r="C693" s="1716"/>
      <c r="D693" s="1717"/>
      <c r="E693" s="1717"/>
    </row>
    <row r="694" spans="1:6" ht="14.1" customHeight="1">
      <c r="A694" s="1716" t="s">
        <v>4319</v>
      </c>
      <c r="B694" s="1716" t="s">
        <v>4320</v>
      </c>
      <c r="C694" s="1716"/>
      <c r="D694" s="1717"/>
      <c r="E694" s="1717"/>
    </row>
    <row r="695" spans="1:6" ht="14.1" customHeight="1">
      <c r="A695" s="1716"/>
      <c r="B695" s="1716"/>
      <c r="C695" s="1716"/>
      <c r="D695" s="1717"/>
      <c r="E695" s="1717"/>
    </row>
    <row r="696" spans="1:6" ht="14.1" customHeight="1">
      <c r="A696" s="1716" t="s">
        <v>4177</v>
      </c>
      <c r="B696" s="1716" t="s">
        <v>6254</v>
      </c>
      <c r="C696" s="1716"/>
      <c r="D696" s="1717"/>
      <c r="E696" s="1717"/>
    </row>
    <row r="697" spans="1:6" ht="14.1" customHeight="1">
      <c r="A697" s="1716"/>
      <c r="B697" s="1716" t="s">
        <v>6255</v>
      </c>
      <c r="C697" s="1716"/>
      <c r="D697" s="1717"/>
      <c r="E697" s="1717"/>
    </row>
    <row r="698" spans="1:6" ht="14.1" customHeight="1">
      <c r="A698" s="1716"/>
      <c r="B698" s="1716" t="s">
        <v>6257</v>
      </c>
      <c r="C698" s="1716"/>
      <c r="D698" s="1717"/>
      <c r="E698" s="1717"/>
    </row>
    <row r="699" spans="1:6" ht="14.1" customHeight="1">
      <c r="A699" s="1716"/>
      <c r="B699" s="1716" t="s">
        <v>6256</v>
      </c>
      <c r="C699" s="1716"/>
      <c r="D699" s="1717"/>
      <c r="E699" s="1717"/>
    </row>
    <row r="700" spans="1:6" ht="14.1" customHeight="1">
      <c r="A700" s="1716"/>
      <c r="B700" s="1716" t="s">
        <v>6258</v>
      </c>
      <c r="C700" s="1716"/>
      <c r="D700" s="1717"/>
      <c r="E700" s="1717"/>
    </row>
    <row r="701" spans="1:6" ht="14.1" customHeight="1">
      <c r="A701" s="1716"/>
      <c r="B701" s="1716" t="s">
        <v>6259</v>
      </c>
      <c r="C701" s="1716"/>
      <c r="D701" s="1717"/>
      <c r="E701" s="1717"/>
    </row>
    <row r="702" spans="1:6" ht="14.1" customHeight="1">
      <c r="A702" s="1716"/>
      <c r="B702" s="1716"/>
      <c r="C702" s="1716"/>
      <c r="D702" s="1717"/>
      <c r="E702" s="1717"/>
    </row>
    <row r="703" spans="1:6" ht="14.1" customHeight="1">
      <c r="A703" s="1716" t="s">
        <v>4331</v>
      </c>
      <c r="B703" s="1716" t="s">
        <v>4332</v>
      </c>
      <c r="C703" s="1716"/>
      <c r="D703" s="1717"/>
      <c r="E703" s="1717"/>
    </row>
    <row r="704" spans="1:6" ht="14.1" customHeight="1">
      <c r="A704" s="1716"/>
      <c r="B704" s="1716"/>
      <c r="C704" s="1716"/>
      <c r="D704" s="1717"/>
      <c r="E704" s="1717"/>
    </row>
    <row r="705" spans="1:6" ht="14.1" customHeight="1">
      <c r="A705" s="1718" t="s">
        <v>3339</v>
      </c>
      <c r="B705" s="1716"/>
      <c r="C705" s="1716"/>
      <c r="D705" s="1717"/>
      <c r="E705" s="1717"/>
    </row>
    <row r="706" spans="1:6" ht="14.1" customHeight="1">
      <c r="A706" s="1719" t="s">
        <v>14289</v>
      </c>
      <c r="B706" s="1719"/>
      <c r="C706" s="1719"/>
      <c r="D706" s="1717"/>
      <c r="E706" s="1717"/>
    </row>
    <row r="707" spans="1:6" ht="14.1" customHeight="1">
      <c r="A707" s="1718" t="s">
        <v>14288</v>
      </c>
      <c r="B707" s="1716"/>
      <c r="C707" s="1716"/>
      <c r="D707" s="1717"/>
      <c r="E707" s="1717"/>
    </row>
    <row r="708" spans="1:6" ht="14.1" customHeight="1">
      <c r="A708" s="1499"/>
      <c r="B708" s="1499"/>
      <c r="C708" s="1499"/>
      <c r="D708" s="1500"/>
      <c r="E708" s="1500"/>
    </row>
    <row r="709" spans="1:6" ht="14.1" customHeight="1">
      <c r="A709" s="1499"/>
      <c r="B709" s="1499"/>
      <c r="C709" s="1499"/>
      <c r="D709" s="1500"/>
      <c r="E709" s="1500"/>
    </row>
    <row r="711" spans="1:6" ht="15">
      <c r="A711" s="1330"/>
    </row>
    <row r="715" spans="1:6">
      <c r="A715" s="1331"/>
    </row>
    <row r="716" spans="1:6">
      <c r="A716" s="1331"/>
      <c r="C716" s="1331"/>
    </row>
    <row r="717" spans="1:6">
      <c r="A717" s="1331"/>
      <c r="C717" s="1331"/>
    </row>
    <row r="719" spans="1:6">
      <c r="B719" s="2754"/>
      <c r="C719" s="2755"/>
      <c r="D719" s="2755"/>
      <c r="E719" s="2755"/>
      <c r="F719" s="2755"/>
    </row>
    <row r="720" spans="1:6">
      <c r="B720" s="2755"/>
      <c r="C720" s="2755"/>
      <c r="D720" s="2755"/>
      <c r="E720" s="2755"/>
      <c r="F720" s="2755"/>
    </row>
    <row r="722" spans="1:1">
      <c r="A722" s="1331"/>
    </row>
    <row r="732" spans="1:1" ht="15">
      <c r="A732" s="1330"/>
    </row>
    <row r="736" spans="1:1">
      <c r="A736" s="1331"/>
    </row>
    <row r="737" spans="1:6">
      <c r="A737" s="1331"/>
      <c r="C737" s="1331"/>
    </row>
    <row r="738" spans="1:6">
      <c r="A738" s="1331"/>
      <c r="C738" s="1331"/>
    </row>
    <row r="740" spans="1:6">
      <c r="B740" s="2754"/>
      <c r="C740" s="2755"/>
      <c r="D740" s="2755"/>
      <c r="E740" s="2755"/>
      <c r="F740" s="2755"/>
    </row>
    <row r="741" spans="1:6">
      <c r="B741" s="2755"/>
      <c r="C741" s="2755"/>
      <c r="D741" s="2755"/>
      <c r="E741" s="2755"/>
      <c r="F741" s="2755"/>
    </row>
    <row r="743" spans="1:6">
      <c r="A743" s="1331"/>
    </row>
    <row r="753" spans="1:6" ht="15">
      <c r="A753" s="1330"/>
    </row>
    <row r="757" spans="1:6">
      <c r="A757" s="1331"/>
    </row>
    <row r="758" spans="1:6">
      <c r="A758" s="1331"/>
      <c r="C758" s="1331"/>
    </row>
    <row r="759" spans="1:6">
      <c r="A759" s="1331"/>
      <c r="C759" s="1331"/>
    </row>
    <row r="761" spans="1:6">
      <c r="B761" s="2754"/>
      <c r="C761" s="2755"/>
      <c r="D761" s="2755"/>
      <c r="E761" s="2755"/>
      <c r="F761" s="2755"/>
    </row>
    <row r="762" spans="1:6">
      <c r="B762" s="2755"/>
      <c r="C762" s="2755"/>
      <c r="D762" s="2755"/>
      <c r="E762" s="2755"/>
      <c r="F762" s="2755"/>
    </row>
    <row r="764" spans="1:6">
      <c r="A764" s="1331"/>
    </row>
  </sheetData>
  <mergeCells count="14">
    <mergeCell ref="B719:F720"/>
    <mergeCell ref="B740:F741"/>
    <mergeCell ref="B761:F762"/>
    <mergeCell ref="F643:F644"/>
    <mergeCell ref="B688:E689"/>
    <mergeCell ref="B691:E692"/>
    <mergeCell ref="A643:C644"/>
    <mergeCell ref="D643:E644"/>
    <mergeCell ref="A1:B2"/>
    <mergeCell ref="D2:F2"/>
    <mergeCell ref="D3:F4"/>
    <mergeCell ref="D1:F1"/>
    <mergeCell ref="D16:E16"/>
    <mergeCell ref="D6:F6"/>
  </mergeCells>
  <printOptions horizontalCentered="1"/>
  <pageMargins left="0.70866141732283472" right="0.70866141732283472" top="0.74803149606299213" bottom="0.74803149606299213" header="0.31496062992125984" footer="0.31496062992125984"/>
  <pageSetup paperSize="9" scale="60" firstPageNumber="0" fitToHeight="0" pageOrder="overThenDown" orientation="portrait" horizontalDpi="300" verticalDpi="300"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1">
    <pageSetUpPr fitToPage="1"/>
  </sheetPr>
  <dimension ref="A1:MI996"/>
  <sheetViews>
    <sheetView topLeftCell="A334" zoomScale="85" zoomScaleNormal="85" workbookViewId="0">
      <selection activeCell="C343" sqref="C343"/>
    </sheetView>
  </sheetViews>
  <sheetFormatPr baseColWidth="10" defaultRowHeight="12.75"/>
  <cols>
    <col min="1" max="1" width="21" style="1218" customWidth="1"/>
    <col min="2" max="2" width="5.42578125" style="1218" customWidth="1"/>
    <col min="3" max="3" width="82.7109375" style="1218" customWidth="1"/>
    <col min="4" max="4" width="13.28515625" style="1312" customWidth="1"/>
    <col min="5" max="5" width="4.42578125" style="1312" customWidth="1"/>
    <col min="6" max="6" width="19.28515625" style="1312" customWidth="1"/>
    <col min="7" max="248" width="11.42578125" style="1218"/>
    <col min="249" max="16384" width="11.42578125" style="1331"/>
  </cols>
  <sheetData>
    <row r="1" spans="1:248" ht="24.75" customHeight="1">
      <c r="A1" s="2735"/>
      <c r="B1" s="2736"/>
      <c r="C1" s="1373" t="s">
        <v>4004</v>
      </c>
      <c r="D1" s="2748" t="s">
        <v>4184</v>
      </c>
      <c r="E1" s="2749"/>
      <c r="F1" s="2750"/>
    </row>
    <row r="2" spans="1:248" ht="24.75" customHeight="1">
      <c r="A2" s="2737"/>
      <c r="B2" s="2738"/>
      <c r="C2" s="1374" t="s">
        <v>4005</v>
      </c>
      <c r="D2" s="2739" t="s">
        <v>4006</v>
      </c>
      <c r="E2" s="2740"/>
      <c r="F2" s="2741"/>
    </row>
    <row r="3" spans="1:248" ht="21.75" customHeight="1">
      <c r="A3" s="1219" t="s">
        <v>4007</v>
      </c>
      <c r="B3" s="1372"/>
      <c r="C3" s="1220"/>
      <c r="D3" s="2742" t="s">
        <v>4008</v>
      </c>
      <c r="E3" s="2743"/>
      <c r="F3" s="2744"/>
    </row>
    <row r="4" spans="1:248" ht="21.75" customHeight="1">
      <c r="A4" s="1219"/>
      <c r="C4" s="1221"/>
      <c r="D4" s="2745"/>
      <c r="E4" s="2746"/>
      <c r="F4" s="2747"/>
    </row>
    <row r="5" spans="1:248" ht="12" customHeight="1">
      <c r="A5" s="1221"/>
      <c r="B5" s="1221"/>
      <c r="C5" s="1221"/>
      <c r="D5" s="1222"/>
      <c r="E5" s="1222"/>
      <c r="F5" s="1222"/>
    </row>
    <row r="6" spans="1:248" ht="12" customHeight="1">
      <c r="A6" s="1221"/>
      <c r="B6" s="1221"/>
      <c r="C6" s="1221"/>
      <c r="D6" s="1222"/>
      <c r="E6" s="1222"/>
      <c r="F6" s="1222"/>
    </row>
    <row r="7" spans="1:248" ht="12" customHeight="1">
      <c r="A7" s="1221"/>
      <c r="B7" s="1221"/>
      <c r="C7" s="1221"/>
      <c r="D7" s="1222"/>
      <c r="E7" s="1222"/>
      <c r="F7" s="1222"/>
    </row>
    <row r="8" spans="1:248" ht="14.25">
      <c r="A8" s="1223" t="s">
        <v>4009</v>
      </c>
      <c r="B8" s="1223"/>
      <c r="C8" s="1224"/>
      <c r="D8" s="1225" t="s">
        <v>4183</v>
      </c>
      <c r="E8" s="1225"/>
      <c r="F8" s="1226"/>
    </row>
    <row r="9" spans="1:248" ht="18.75">
      <c r="A9" s="1227" t="s">
        <v>4010</v>
      </c>
      <c r="B9" s="1228"/>
      <c r="C9" s="1221"/>
      <c r="D9" s="1221"/>
      <c r="E9" s="1221"/>
      <c r="F9" s="1222"/>
    </row>
    <row r="10" spans="1:248" ht="18.75">
      <c r="A10" s="1228" t="s">
        <v>4011</v>
      </c>
      <c r="B10" s="1228" t="s">
        <v>4012</v>
      </c>
      <c r="C10" s="1229"/>
      <c r="D10" s="1371" t="s">
        <v>4013</v>
      </c>
      <c r="E10" s="1222"/>
      <c r="F10" s="1222"/>
    </row>
    <row r="11" spans="1:248" ht="18.75">
      <c r="A11" s="1228" t="s">
        <v>4014</v>
      </c>
      <c r="B11" s="1425" t="s">
        <v>4015</v>
      </c>
      <c r="C11" s="1424"/>
      <c r="D11" s="1230"/>
      <c r="E11" s="1222"/>
      <c r="F11" s="1222"/>
    </row>
    <row r="12" spans="1:248" ht="12" customHeight="1">
      <c r="A12" s="1228" t="s">
        <v>4016</v>
      </c>
      <c r="B12" s="1228"/>
      <c r="C12" s="1221"/>
      <c r="D12" s="1222"/>
      <c r="E12" s="1222"/>
      <c r="F12" s="1222"/>
    </row>
    <row r="13" spans="1:248" ht="14.25">
      <c r="A13" s="1221"/>
      <c r="B13" s="1221"/>
      <c r="C13" s="1221" t="s">
        <v>4017</v>
      </c>
      <c r="D13" s="1222"/>
      <c r="E13" s="1222"/>
      <c r="F13" s="1222"/>
    </row>
    <row r="14" spans="1:248" ht="14.25">
      <c r="A14" s="1221"/>
      <c r="B14" s="1221"/>
      <c r="C14" s="1221"/>
      <c r="D14" s="1222"/>
      <c r="E14" s="1222"/>
      <c r="F14" s="1222"/>
    </row>
    <row r="15" spans="1:248" ht="15" thickBot="1">
      <c r="A15" s="1221"/>
      <c r="B15" s="1221"/>
      <c r="C15" s="1221"/>
      <c r="D15" s="1222"/>
      <c r="E15" s="1222"/>
      <c r="F15" s="1222"/>
    </row>
    <row r="16" spans="1:248" s="1431" customFormat="1" ht="23.25" customHeight="1" thickBot="1">
      <c r="A16" s="1427" t="s">
        <v>317</v>
      </c>
      <c r="B16" s="1428" t="s">
        <v>41</v>
      </c>
      <c r="C16" s="1432" t="s">
        <v>47</v>
      </c>
      <c r="D16" s="2751" t="s">
        <v>4018</v>
      </c>
      <c r="E16" s="2752"/>
      <c r="F16" s="1429" t="s">
        <v>4019</v>
      </c>
      <c r="G16" s="1430"/>
      <c r="H16" s="1430"/>
      <c r="I16" s="1430"/>
      <c r="J16" s="1430"/>
      <c r="K16" s="1430"/>
      <c r="L16" s="1430"/>
      <c r="M16" s="1430"/>
      <c r="N16" s="1430"/>
      <c r="O16" s="1430"/>
      <c r="P16" s="1430"/>
      <c r="Q16" s="1430"/>
      <c r="R16" s="1430"/>
      <c r="S16" s="1430"/>
      <c r="T16" s="1430"/>
      <c r="U16" s="1430"/>
      <c r="V16" s="1430"/>
      <c r="W16" s="1430"/>
      <c r="X16" s="1430"/>
      <c r="Y16" s="1430"/>
      <c r="Z16" s="1430"/>
      <c r="AA16" s="1430"/>
      <c r="AB16" s="1430"/>
      <c r="AC16" s="1430"/>
      <c r="AD16" s="1430"/>
      <c r="AE16" s="1430"/>
      <c r="AF16" s="1430"/>
      <c r="AG16" s="1430"/>
      <c r="AH16" s="1430"/>
      <c r="AI16" s="1430"/>
      <c r="AJ16" s="1430"/>
      <c r="AK16" s="1430"/>
      <c r="AL16" s="1430"/>
      <c r="AM16" s="1430"/>
      <c r="AN16" s="1430"/>
      <c r="AO16" s="1430"/>
      <c r="AP16" s="1430"/>
      <c r="AQ16" s="1430"/>
      <c r="AR16" s="1430"/>
      <c r="AS16" s="1430"/>
      <c r="AT16" s="1430"/>
      <c r="AU16" s="1430"/>
      <c r="AV16" s="1430"/>
      <c r="AW16" s="1430"/>
      <c r="AX16" s="1430"/>
      <c r="AY16" s="1430"/>
      <c r="AZ16" s="1430"/>
      <c r="BA16" s="1430"/>
      <c r="BB16" s="1430"/>
      <c r="BC16" s="1430"/>
      <c r="BD16" s="1430"/>
      <c r="BE16" s="1430"/>
      <c r="BF16" s="1430"/>
      <c r="BG16" s="1430"/>
      <c r="BH16" s="1430"/>
      <c r="BI16" s="1430"/>
      <c r="BJ16" s="1430"/>
      <c r="BK16" s="1430"/>
      <c r="BL16" s="1430"/>
      <c r="BM16" s="1430"/>
      <c r="BN16" s="1430"/>
      <c r="BO16" s="1430"/>
      <c r="BP16" s="1430"/>
      <c r="BQ16" s="1430"/>
      <c r="BR16" s="1430"/>
      <c r="BS16" s="1430"/>
      <c r="BT16" s="1430"/>
      <c r="BU16" s="1430"/>
      <c r="BV16" s="1430"/>
      <c r="BW16" s="1430"/>
      <c r="BX16" s="1430"/>
      <c r="BY16" s="1430"/>
      <c r="BZ16" s="1430"/>
      <c r="CA16" s="1430"/>
      <c r="CB16" s="1430"/>
      <c r="CC16" s="1430"/>
      <c r="CD16" s="1430"/>
      <c r="CE16" s="1430"/>
      <c r="CF16" s="1430"/>
      <c r="CG16" s="1430"/>
      <c r="CH16" s="1430"/>
      <c r="CI16" s="1430"/>
      <c r="CJ16" s="1430"/>
      <c r="CK16" s="1430"/>
      <c r="CL16" s="1430"/>
      <c r="CM16" s="1430"/>
      <c r="CN16" s="1430"/>
      <c r="CO16" s="1430"/>
      <c r="CP16" s="1430"/>
      <c r="CQ16" s="1430"/>
      <c r="CR16" s="1430"/>
      <c r="CS16" s="1430"/>
      <c r="CT16" s="1430"/>
      <c r="CU16" s="1430"/>
      <c r="CV16" s="1430"/>
      <c r="CW16" s="1430"/>
      <c r="CX16" s="1430"/>
      <c r="CY16" s="1430"/>
      <c r="CZ16" s="1430"/>
      <c r="DA16" s="1430"/>
      <c r="DB16" s="1430"/>
      <c r="DC16" s="1430"/>
      <c r="DD16" s="1430"/>
      <c r="DE16" s="1430"/>
      <c r="DF16" s="1430"/>
      <c r="DG16" s="1430"/>
      <c r="DH16" s="1430"/>
      <c r="DI16" s="1430"/>
      <c r="DJ16" s="1430"/>
      <c r="DK16" s="1430"/>
      <c r="DL16" s="1430"/>
      <c r="DM16" s="1430"/>
      <c r="DN16" s="1430"/>
      <c r="DO16" s="1430"/>
      <c r="DP16" s="1430"/>
      <c r="DQ16" s="1430"/>
      <c r="DR16" s="1430"/>
      <c r="DS16" s="1430"/>
      <c r="DT16" s="1430"/>
      <c r="DU16" s="1430"/>
      <c r="DV16" s="1430"/>
      <c r="DW16" s="1430"/>
      <c r="DX16" s="1430"/>
      <c r="DY16" s="1430"/>
      <c r="DZ16" s="1430"/>
      <c r="EA16" s="1430"/>
      <c r="EB16" s="1430"/>
      <c r="EC16" s="1430"/>
      <c r="ED16" s="1430"/>
      <c r="EE16" s="1430"/>
      <c r="EF16" s="1430"/>
      <c r="EG16" s="1430"/>
      <c r="EH16" s="1430"/>
      <c r="EI16" s="1430"/>
      <c r="EJ16" s="1430"/>
      <c r="EK16" s="1430"/>
      <c r="EL16" s="1430"/>
      <c r="EM16" s="1430"/>
      <c r="EN16" s="1430"/>
      <c r="EO16" s="1430"/>
      <c r="EP16" s="1430"/>
      <c r="EQ16" s="1430"/>
      <c r="ER16" s="1430"/>
      <c r="ES16" s="1430"/>
      <c r="ET16" s="1430"/>
      <c r="EU16" s="1430"/>
      <c r="EV16" s="1430"/>
      <c r="EW16" s="1430"/>
      <c r="EX16" s="1430"/>
      <c r="EY16" s="1430"/>
      <c r="EZ16" s="1430"/>
      <c r="FA16" s="1430"/>
      <c r="FB16" s="1430"/>
      <c r="FC16" s="1430"/>
      <c r="FD16" s="1430"/>
      <c r="FE16" s="1430"/>
      <c r="FF16" s="1430"/>
      <c r="FG16" s="1430"/>
      <c r="FH16" s="1430"/>
      <c r="FI16" s="1430"/>
      <c r="FJ16" s="1430"/>
      <c r="FK16" s="1430"/>
      <c r="FL16" s="1430"/>
      <c r="FM16" s="1430"/>
      <c r="FN16" s="1430"/>
      <c r="FO16" s="1430"/>
      <c r="FP16" s="1430"/>
      <c r="FQ16" s="1430"/>
      <c r="FR16" s="1430"/>
      <c r="FS16" s="1430"/>
      <c r="FT16" s="1430"/>
      <c r="FU16" s="1430"/>
      <c r="FV16" s="1430"/>
      <c r="FW16" s="1430"/>
      <c r="FX16" s="1430"/>
      <c r="FY16" s="1430"/>
      <c r="FZ16" s="1430"/>
      <c r="GA16" s="1430"/>
      <c r="GB16" s="1430"/>
      <c r="GC16" s="1430"/>
      <c r="GD16" s="1430"/>
      <c r="GE16" s="1430"/>
      <c r="GF16" s="1430"/>
      <c r="GG16" s="1430"/>
      <c r="GH16" s="1430"/>
      <c r="GI16" s="1430"/>
      <c r="GJ16" s="1430"/>
      <c r="GK16" s="1430"/>
      <c r="GL16" s="1430"/>
      <c r="GM16" s="1430"/>
      <c r="GN16" s="1430"/>
      <c r="GO16" s="1430"/>
      <c r="GP16" s="1430"/>
      <c r="GQ16" s="1430"/>
      <c r="GR16" s="1430"/>
      <c r="GS16" s="1430"/>
      <c r="GT16" s="1430"/>
      <c r="GU16" s="1430"/>
      <c r="GV16" s="1430"/>
      <c r="GW16" s="1430"/>
      <c r="GX16" s="1430"/>
      <c r="GY16" s="1430"/>
      <c r="GZ16" s="1430"/>
      <c r="HA16" s="1430"/>
      <c r="HB16" s="1430"/>
      <c r="HC16" s="1430"/>
      <c r="HD16" s="1430"/>
      <c r="HE16" s="1430"/>
      <c r="HF16" s="1430"/>
      <c r="HG16" s="1430"/>
      <c r="HH16" s="1430"/>
      <c r="HI16" s="1430"/>
      <c r="HJ16" s="1430"/>
      <c r="HK16" s="1430"/>
      <c r="HL16" s="1430"/>
      <c r="HM16" s="1430"/>
      <c r="HN16" s="1430"/>
      <c r="HO16" s="1430"/>
      <c r="HP16" s="1430"/>
      <c r="HQ16" s="1430"/>
      <c r="HR16" s="1430"/>
      <c r="HS16" s="1430"/>
      <c r="HT16" s="1430"/>
      <c r="HU16" s="1430"/>
      <c r="HV16" s="1430"/>
      <c r="HW16" s="1430"/>
      <c r="HX16" s="1430"/>
      <c r="HY16" s="1430"/>
      <c r="HZ16" s="1430"/>
      <c r="IA16" s="1430"/>
      <c r="IB16" s="1430"/>
      <c r="IC16" s="1430"/>
      <c r="ID16" s="1430"/>
      <c r="IE16" s="1430"/>
      <c r="IF16" s="1430"/>
      <c r="IG16" s="1430"/>
      <c r="IH16" s="1430"/>
      <c r="II16" s="1430"/>
      <c r="IJ16" s="1430"/>
      <c r="IK16" s="1430"/>
      <c r="IL16" s="1430"/>
      <c r="IM16" s="1430"/>
      <c r="IN16" s="1430"/>
    </row>
    <row r="17" spans="1:347" ht="30" customHeight="1">
      <c r="A17" s="1507"/>
      <c r="B17" s="1530"/>
      <c r="C17" s="1528" t="s">
        <v>4955</v>
      </c>
      <c r="D17" s="1394"/>
      <c r="E17" s="1395"/>
      <c r="F17" s="1396"/>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row>
    <row r="18" spans="1:347" s="1641" customFormat="1" ht="95.1" customHeight="1">
      <c r="A18" s="1635"/>
      <c r="B18" s="1636"/>
      <c r="C18" s="1533" t="s">
        <v>4953</v>
      </c>
      <c r="D18" s="1637"/>
      <c r="E18" s="1638"/>
      <c r="F18" s="1639"/>
      <c r="G18" s="1640"/>
      <c r="H18" s="1463"/>
      <c r="I18" s="1463"/>
      <c r="J18" s="1463"/>
      <c r="K18" s="1463"/>
      <c r="L18" s="1463"/>
      <c r="M18" s="1463"/>
      <c r="N18" s="1463"/>
      <c r="O18" s="1463"/>
      <c r="P18" s="1463"/>
      <c r="Q18" s="1463"/>
      <c r="R18" s="1463"/>
      <c r="S18" s="1463"/>
      <c r="T18" s="1463"/>
      <c r="U18" s="1463"/>
      <c r="V18" s="1463"/>
      <c r="W18" s="1463"/>
      <c r="X18" s="1463"/>
      <c r="Y18" s="1463"/>
      <c r="Z18" s="1463"/>
      <c r="AA18" s="1463"/>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c r="BJ18" s="1463"/>
      <c r="BK18" s="1463"/>
      <c r="BL18" s="1463"/>
      <c r="BM18" s="1463"/>
      <c r="BN18" s="1463"/>
      <c r="BO18" s="1463"/>
      <c r="BP18" s="1463"/>
      <c r="BQ18" s="1463"/>
      <c r="BR18" s="1463"/>
      <c r="BS18" s="1463"/>
      <c r="BT18" s="1463"/>
      <c r="BU18" s="1463"/>
      <c r="BV18" s="1463"/>
      <c r="BW18" s="1463"/>
      <c r="BX18" s="1463"/>
      <c r="BY18" s="1463"/>
      <c r="BZ18" s="1463"/>
      <c r="CA18" s="1463"/>
      <c r="CB18" s="1463"/>
      <c r="CC18" s="1463"/>
      <c r="CD18" s="1463"/>
      <c r="CE18" s="1463"/>
      <c r="CF18" s="1463"/>
      <c r="CG18" s="1463"/>
      <c r="CH18" s="1463"/>
      <c r="CI18" s="1463"/>
      <c r="CJ18" s="1463"/>
      <c r="CK18" s="1463"/>
      <c r="CL18" s="1463"/>
      <c r="CM18" s="1463"/>
      <c r="CN18" s="1463"/>
      <c r="CO18" s="1463"/>
      <c r="CP18" s="1463"/>
      <c r="CQ18" s="1463"/>
      <c r="CR18" s="1463"/>
      <c r="CS18" s="1463"/>
      <c r="CT18" s="1463"/>
      <c r="CU18" s="1463"/>
      <c r="CV18" s="1463"/>
      <c r="CW18" s="1463"/>
      <c r="CX18" s="1463"/>
      <c r="CY18" s="1463"/>
      <c r="CZ18" s="1463"/>
      <c r="DA18" s="1463"/>
      <c r="DB18" s="1463"/>
      <c r="DC18" s="1463"/>
      <c r="DD18" s="1463"/>
      <c r="DE18" s="1463"/>
      <c r="DF18" s="1463"/>
      <c r="DG18" s="1463"/>
      <c r="DH18" s="1463"/>
      <c r="DI18" s="1463"/>
      <c r="DJ18" s="1463"/>
      <c r="DK18" s="1463"/>
      <c r="DL18" s="1463"/>
      <c r="DM18" s="1463"/>
      <c r="DN18" s="1463"/>
      <c r="DO18" s="1463"/>
      <c r="DP18" s="1463"/>
      <c r="DQ18" s="1463"/>
      <c r="DR18" s="1463"/>
      <c r="DS18" s="1463"/>
      <c r="DT18" s="1463"/>
      <c r="DU18" s="1463"/>
      <c r="DV18" s="1463"/>
      <c r="DW18" s="1463"/>
      <c r="DX18" s="1463"/>
      <c r="DY18" s="1463"/>
      <c r="DZ18" s="1463"/>
      <c r="EA18" s="1463"/>
      <c r="EB18" s="1463"/>
      <c r="EC18" s="1463"/>
      <c r="ED18" s="1463"/>
      <c r="EE18" s="1463"/>
      <c r="EF18" s="1463"/>
      <c r="EG18" s="1463"/>
      <c r="EH18" s="1463"/>
      <c r="EI18" s="1463"/>
      <c r="EJ18" s="1463"/>
      <c r="EK18" s="1463"/>
      <c r="EL18" s="1463"/>
      <c r="EM18" s="1463"/>
      <c r="EN18" s="1463"/>
      <c r="EO18" s="1463"/>
      <c r="EP18" s="1463"/>
      <c r="EQ18" s="1463"/>
      <c r="ER18" s="1463"/>
      <c r="ES18" s="1463"/>
      <c r="ET18" s="1463"/>
      <c r="EU18" s="1463"/>
      <c r="EV18" s="1463"/>
      <c r="EW18" s="1463"/>
      <c r="EX18" s="1463"/>
      <c r="EY18" s="1463"/>
      <c r="EZ18" s="1463"/>
      <c r="FA18" s="1463"/>
      <c r="FB18" s="1463"/>
      <c r="FC18" s="1463"/>
      <c r="FD18" s="1463"/>
      <c r="FE18" s="1463"/>
      <c r="FF18" s="1463"/>
      <c r="FG18" s="1463"/>
      <c r="FH18" s="1463"/>
      <c r="FI18" s="1463"/>
      <c r="FJ18" s="1463"/>
      <c r="FK18" s="1463"/>
      <c r="FL18" s="1463"/>
      <c r="FM18" s="1463"/>
      <c r="FN18" s="1463"/>
      <c r="FO18" s="1463"/>
      <c r="FP18" s="1463"/>
      <c r="FQ18" s="1463"/>
      <c r="FR18" s="1463"/>
      <c r="FS18" s="1463"/>
      <c r="FT18" s="1463"/>
      <c r="FU18" s="1463"/>
      <c r="FV18" s="1463"/>
      <c r="FW18" s="1463"/>
      <c r="FX18" s="1463"/>
      <c r="FY18" s="1463"/>
      <c r="FZ18" s="1463"/>
      <c r="GA18" s="1463"/>
      <c r="GB18" s="1463"/>
      <c r="GC18" s="1463"/>
      <c r="GD18" s="1463"/>
      <c r="GE18" s="1463"/>
      <c r="GF18" s="1463"/>
      <c r="GG18" s="1463"/>
      <c r="GH18" s="1463"/>
      <c r="GI18" s="1463"/>
      <c r="GJ18" s="1463"/>
      <c r="GK18" s="1463"/>
      <c r="GL18" s="1463"/>
      <c r="GM18" s="1463"/>
      <c r="GN18" s="1463"/>
      <c r="GO18" s="1463"/>
      <c r="GP18" s="1463"/>
      <c r="GQ18" s="1463"/>
      <c r="GR18" s="1463"/>
      <c r="GS18" s="1463"/>
      <c r="GT18" s="1463"/>
      <c r="GU18" s="1463"/>
      <c r="GV18" s="1463"/>
      <c r="GW18" s="1463"/>
      <c r="GX18" s="1463"/>
      <c r="GY18" s="1463"/>
      <c r="GZ18" s="1463"/>
      <c r="HA18" s="1463"/>
      <c r="HB18" s="1463"/>
      <c r="HC18" s="1463"/>
      <c r="HD18" s="1463"/>
      <c r="HE18" s="1463"/>
      <c r="HF18" s="1463"/>
      <c r="HG18" s="1463"/>
      <c r="HH18" s="1463"/>
      <c r="HI18" s="1463"/>
      <c r="HJ18" s="1463"/>
      <c r="HK18" s="1463"/>
      <c r="HL18" s="1463"/>
      <c r="HM18" s="1463"/>
      <c r="HN18" s="1463"/>
      <c r="HO18" s="1463"/>
      <c r="HP18" s="1463"/>
      <c r="HQ18" s="1463"/>
      <c r="HR18" s="1463"/>
      <c r="HS18" s="1463"/>
      <c r="HT18" s="1463"/>
      <c r="HU18" s="1463"/>
      <c r="HV18" s="1463"/>
      <c r="HW18" s="1463"/>
      <c r="HX18" s="1463"/>
      <c r="HY18" s="1463"/>
      <c r="HZ18" s="1463"/>
      <c r="IA18" s="1463"/>
      <c r="IB18" s="1463"/>
      <c r="IC18" s="1463"/>
      <c r="ID18" s="1463"/>
      <c r="IE18" s="1463"/>
      <c r="IF18" s="1463"/>
      <c r="IG18" s="1463"/>
      <c r="IH18" s="1463"/>
      <c r="II18" s="1463"/>
      <c r="IJ18" s="1463"/>
      <c r="IK18" s="1463"/>
      <c r="IL18" s="1463"/>
      <c r="IM18" s="1463"/>
      <c r="IN18" s="1463"/>
      <c r="IO18" s="1463"/>
      <c r="IP18" s="1463"/>
      <c r="IQ18" s="1463"/>
      <c r="IR18" s="1463"/>
      <c r="IS18" s="1463"/>
      <c r="IT18" s="1463"/>
      <c r="IU18" s="1463"/>
      <c r="IV18" s="1463"/>
      <c r="IW18" s="1463"/>
      <c r="IX18" s="1463"/>
      <c r="IY18" s="1463"/>
      <c r="IZ18" s="1463"/>
      <c r="JA18" s="1463"/>
      <c r="JB18" s="1463"/>
      <c r="JC18" s="1463"/>
      <c r="JD18" s="1463"/>
      <c r="JE18" s="1463"/>
      <c r="JF18" s="1463"/>
      <c r="JG18" s="1463"/>
      <c r="JH18" s="1463"/>
      <c r="JI18" s="1463"/>
      <c r="JJ18" s="1463"/>
      <c r="JK18" s="1463"/>
      <c r="JL18" s="1463"/>
      <c r="JM18" s="1463"/>
      <c r="JN18" s="1463"/>
      <c r="JO18" s="1463"/>
      <c r="JP18" s="1463"/>
      <c r="JQ18" s="1463"/>
      <c r="JR18" s="1463"/>
      <c r="JS18" s="1463"/>
      <c r="JT18" s="1463"/>
      <c r="JU18" s="1463"/>
      <c r="JV18" s="1463"/>
      <c r="JW18" s="1463"/>
      <c r="JX18" s="1463"/>
      <c r="JY18" s="1463"/>
      <c r="JZ18" s="1463"/>
      <c r="KA18" s="1463"/>
      <c r="KB18" s="1463"/>
      <c r="KC18" s="1463"/>
      <c r="KD18" s="1463"/>
      <c r="KE18" s="1463"/>
      <c r="KF18" s="1463"/>
      <c r="KG18" s="1463"/>
      <c r="KH18" s="1463"/>
      <c r="KI18" s="1463"/>
      <c r="KJ18" s="1463"/>
      <c r="KK18" s="1463"/>
      <c r="KL18" s="1463"/>
      <c r="KM18" s="1463"/>
      <c r="KN18" s="1463"/>
      <c r="KO18" s="1463"/>
      <c r="KP18" s="1463"/>
      <c r="KQ18" s="1463"/>
      <c r="KR18" s="1463"/>
      <c r="KS18" s="1463"/>
      <c r="KT18" s="1463"/>
      <c r="KU18" s="1463"/>
      <c r="KV18" s="1463"/>
      <c r="KW18" s="1463"/>
      <c r="KX18" s="1463"/>
      <c r="KY18" s="1463"/>
      <c r="KZ18" s="1463"/>
      <c r="LA18" s="1463"/>
      <c r="LB18" s="1463"/>
      <c r="LC18" s="1463"/>
      <c r="LD18" s="1463"/>
      <c r="LE18" s="1463"/>
      <c r="LF18" s="1463"/>
      <c r="LG18" s="1463"/>
      <c r="LH18" s="1463"/>
      <c r="LI18" s="1463"/>
      <c r="LJ18" s="1463"/>
      <c r="LK18" s="1463"/>
      <c r="LL18" s="1463"/>
      <c r="LM18" s="1463"/>
      <c r="LN18" s="1463"/>
      <c r="LO18" s="1463"/>
      <c r="LP18" s="1463"/>
      <c r="LQ18" s="1463"/>
      <c r="LR18" s="1463"/>
      <c r="LS18" s="1463"/>
      <c r="LT18" s="1463"/>
      <c r="LU18" s="1463"/>
      <c r="LV18" s="1463"/>
      <c r="LW18" s="1463"/>
      <c r="LX18" s="1463"/>
      <c r="LY18" s="1463"/>
      <c r="LZ18" s="1463"/>
      <c r="MA18" s="1463"/>
      <c r="MB18" s="1463"/>
      <c r="MC18" s="1463"/>
      <c r="MD18" s="1463"/>
      <c r="ME18" s="1463"/>
      <c r="MF18" s="1463"/>
      <c r="MG18" s="1463"/>
      <c r="MH18" s="1463"/>
      <c r="MI18" s="1463"/>
    </row>
    <row r="19" spans="1:347" ht="50.1" customHeight="1">
      <c r="A19" s="1507"/>
      <c r="B19" s="1531"/>
      <c r="C19" s="1533" t="s">
        <v>4334</v>
      </c>
      <c r="D19" s="1394"/>
      <c r="E19" s="1395"/>
      <c r="F19" s="1396"/>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row>
    <row r="20" spans="1:347" ht="35.1" customHeight="1">
      <c r="A20" s="1507"/>
      <c r="B20" s="1531"/>
      <c r="C20" s="1533" t="s">
        <v>4954</v>
      </c>
      <c r="D20" s="1394"/>
      <c r="E20" s="1395"/>
      <c r="F20" s="1396"/>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row>
    <row r="21" spans="1:347" ht="21" customHeight="1" thickBot="1">
      <c r="A21" s="1507"/>
      <c r="B21" s="1532"/>
      <c r="C21" s="1529"/>
      <c r="D21" s="1508"/>
      <c r="E21" s="1509"/>
      <c r="F21" s="1510"/>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row>
    <row r="22" spans="1:347" ht="15" customHeight="1">
      <c r="A22" s="1231"/>
      <c r="B22" s="1232"/>
      <c r="C22" s="1365"/>
      <c r="D22" s="1394"/>
      <c r="E22" s="1395"/>
      <c r="F22" s="1396"/>
    </row>
    <row r="23" spans="1:347" ht="15" customHeight="1">
      <c r="A23" s="1233">
        <v>1</v>
      </c>
      <c r="B23" s="1234">
        <v>1</v>
      </c>
      <c r="C23" s="1333" t="s">
        <v>4020</v>
      </c>
      <c r="D23" s="1376">
        <v>59895</v>
      </c>
      <c r="E23" s="1375"/>
      <c r="F23" s="1389">
        <f>+B23*D23</f>
        <v>59895</v>
      </c>
    </row>
    <row r="24" spans="1:347" ht="15" customHeight="1">
      <c r="A24" s="1236" t="s">
        <v>3310</v>
      </c>
      <c r="B24" s="1237"/>
      <c r="C24" s="1333"/>
      <c r="D24" s="1406"/>
      <c r="E24" s="1397"/>
      <c r="F24" s="1385"/>
    </row>
    <row r="25" spans="1:347" ht="15" customHeight="1">
      <c r="A25" s="1236" t="s">
        <v>4021</v>
      </c>
      <c r="B25" s="1237"/>
      <c r="C25" s="1333" t="s">
        <v>3301</v>
      </c>
      <c r="D25" s="1406"/>
      <c r="E25" s="1397"/>
      <c r="F25" s="1385"/>
    </row>
    <row r="26" spans="1:347" ht="30.75" customHeight="1">
      <c r="A26" s="1236"/>
      <c r="B26" s="1239">
        <v>1</v>
      </c>
      <c r="C26" s="1363" t="s">
        <v>2714</v>
      </c>
      <c r="D26" s="1406"/>
      <c r="E26" s="1397"/>
      <c r="F26" s="1385"/>
    </row>
    <row r="27" spans="1:347" ht="15" customHeight="1">
      <c r="A27" s="1240"/>
      <c r="B27" s="1241">
        <v>10</v>
      </c>
      <c r="C27" s="1333" t="s">
        <v>4022</v>
      </c>
      <c r="D27" s="1406"/>
      <c r="E27" s="1397"/>
      <c r="F27" s="1385"/>
    </row>
    <row r="28" spans="1:347" ht="26.25" customHeight="1">
      <c r="A28" s="1242" t="s">
        <v>4023</v>
      </c>
      <c r="B28" s="1243">
        <v>1</v>
      </c>
      <c r="C28" s="1408" t="s">
        <v>1511</v>
      </c>
      <c r="D28" s="1406"/>
      <c r="E28" s="1397"/>
      <c r="F28" s="1385"/>
    </row>
    <row r="29" spans="1:347" ht="27" customHeight="1">
      <c r="A29" s="1244"/>
      <c r="B29" s="1243">
        <v>1</v>
      </c>
      <c r="C29" s="1408" t="s">
        <v>1982</v>
      </c>
      <c r="D29" s="1406"/>
      <c r="E29" s="1397"/>
      <c r="F29" s="1385"/>
    </row>
    <row r="30" spans="1:347" ht="28.5" customHeight="1">
      <c r="A30" s="1245"/>
      <c r="B30" s="1243">
        <v>1</v>
      </c>
      <c r="C30" s="1408" t="s">
        <v>1984</v>
      </c>
      <c r="D30" s="1406"/>
      <c r="E30" s="1397"/>
      <c r="F30" s="1385"/>
    </row>
    <row r="31" spans="1:347" ht="28.5" customHeight="1">
      <c r="A31" s="1246" t="s">
        <v>3338</v>
      </c>
      <c r="B31" s="1243">
        <v>1</v>
      </c>
      <c r="C31" s="1408" t="s">
        <v>3553</v>
      </c>
      <c r="D31" s="1406"/>
      <c r="E31" s="1397"/>
      <c r="F31" s="1385"/>
    </row>
    <row r="32" spans="1:347" ht="15" customHeight="1">
      <c r="A32" s="1247" t="s">
        <v>3470</v>
      </c>
      <c r="B32" s="1239"/>
      <c r="C32" s="1342"/>
      <c r="D32" s="1406"/>
      <c r="E32" s="1397"/>
      <c r="F32" s="1385"/>
    </row>
    <row r="33" spans="1:6" ht="15" customHeight="1">
      <c r="A33" s="1247" t="s">
        <v>3471</v>
      </c>
      <c r="B33" s="1239"/>
      <c r="C33" s="1341" t="s">
        <v>729</v>
      </c>
      <c r="D33" s="1406"/>
      <c r="E33" s="1397"/>
      <c r="F33" s="1385"/>
    </row>
    <row r="34" spans="1:6" ht="15" customHeight="1">
      <c r="A34" s="1247"/>
      <c r="B34" s="1248"/>
      <c r="C34" s="1333" t="s">
        <v>3206</v>
      </c>
      <c r="D34" s="1406"/>
      <c r="E34" s="1397"/>
      <c r="F34" s="1385"/>
    </row>
    <row r="35" spans="1:6" ht="31.5" customHeight="1">
      <c r="A35" s="1247"/>
      <c r="B35" s="1239">
        <v>1</v>
      </c>
      <c r="C35" s="1363" t="s">
        <v>1985</v>
      </c>
      <c r="D35" s="1406"/>
      <c r="E35" s="1397"/>
      <c r="F35" s="1385"/>
    </row>
    <row r="36" spans="1:6" ht="15" customHeight="1">
      <c r="A36" s="1246" t="s">
        <v>4003</v>
      </c>
      <c r="B36" s="1249">
        <v>10</v>
      </c>
      <c r="C36" s="1338" t="s">
        <v>3547</v>
      </c>
      <c r="D36" s="1406"/>
      <c r="E36" s="1397"/>
      <c r="F36" s="1385"/>
    </row>
    <row r="37" spans="1:6" ht="15" customHeight="1">
      <c r="A37" s="1250"/>
      <c r="B37" s="1249">
        <v>10</v>
      </c>
      <c r="C37" s="1338" t="s">
        <v>3510</v>
      </c>
      <c r="D37" s="1406"/>
      <c r="E37" s="1397"/>
      <c r="F37" s="1385"/>
    </row>
    <row r="38" spans="1:6" ht="15" customHeight="1">
      <c r="A38" s="1240"/>
      <c r="B38" s="1239"/>
      <c r="C38" s="1341" t="s">
        <v>729</v>
      </c>
      <c r="D38" s="1406"/>
      <c r="E38" s="1397"/>
      <c r="F38" s="1385"/>
    </row>
    <row r="39" spans="1:6" ht="15" customHeight="1">
      <c r="A39" s="1251"/>
      <c r="B39" s="1248"/>
      <c r="C39" s="1333" t="s">
        <v>3511</v>
      </c>
      <c r="D39" s="1406"/>
      <c r="E39" s="1397"/>
      <c r="F39" s="1385"/>
    </row>
    <row r="40" spans="1:6" ht="15" customHeight="1">
      <c r="A40" s="1244"/>
      <c r="B40" s="1239">
        <v>2</v>
      </c>
      <c r="C40" s="1341" t="s">
        <v>439</v>
      </c>
      <c r="D40" s="1406"/>
      <c r="E40" s="1397"/>
      <c r="F40" s="1385"/>
    </row>
    <row r="41" spans="1:6" ht="15" customHeight="1">
      <c r="A41" s="1252"/>
      <c r="B41" s="1249">
        <v>1</v>
      </c>
      <c r="C41" s="1364" t="s">
        <v>3302</v>
      </c>
      <c r="D41" s="1406"/>
      <c r="E41" s="1397"/>
      <c r="F41" s="1385"/>
    </row>
    <row r="42" spans="1:6" ht="15" customHeight="1">
      <c r="A42" s="1252"/>
      <c r="B42" s="1249">
        <v>1</v>
      </c>
      <c r="C42" s="1364" t="s">
        <v>3303</v>
      </c>
      <c r="D42" s="1406"/>
      <c r="E42" s="1397"/>
      <c r="F42" s="1385"/>
    </row>
    <row r="43" spans="1:6" ht="15" customHeight="1">
      <c r="A43" s="1240"/>
      <c r="B43" s="1239"/>
      <c r="C43" s="1341" t="s">
        <v>729</v>
      </c>
      <c r="D43" s="1406"/>
      <c r="E43" s="1397"/>
      <c r="F43" s="1385"/>
    </row>
    <row r="44" spans="1:6" ht="15" customHeight="1">
      <c r="A44" s="1244"/>
      <c r="B44" s="1253"/>
      <c r="C44" s="1356" t="s">
        <v>4024</v>
      </c>
      <c r="D44" s="1406"/>
      <c r="E44" s="1397"/>
      <c r="F44" s="1385"/>
    </row>
    <row r="45" spans="1:6" ht="15" customHeight="1">
      <c r="A45" s="1242"/>
      <c r="B45" s="1254">
        <v>1</v>
      </c>
      <c r="C45" s="1335" t="s">
        <v>3536</v>
      </c>
      <c r="D45" s="1406"/>
      <c r="E45" s="1397"/>
      <c r="F45" s="1385"/>
    </row>
    <row r="46" spans="1:6" ht="15" customHeight="1">
      <c r="A46" s="1236"/>
      <c r="B46" s="1243">
        <v>1</v>
      </c>
      <c r="C46" s="1357" t="s">
        <v>2331</v>
      </c>
      <c r="D46" s="1406"/>
      <c r="E46" s="1397"/>
      <c r="F46" s="1385"/>
    </row>
    <row r="47" spans="1:6" ht="15" customHeight="1">
      <c r="A47" s="1236"/>
      <c r="B47" s="1243">
        <v>1</v>
      </c>
      <c r="C47" s="1357" t="s">
        <v>1885</v>
      </c>
      <c r="D47" s="1406"/>
      <c r="E47" s="1397"/>
      <c r="F47" s="1385"/>
    </row>
    <row r="48" spans="1:6" ht="27.75" customHeight="1">
      <c r="A48" s="1236"/>
      <c r="B48" s="1243">
        <v>1</v>
      </c>
      <c r="C48" s="1408" t="s">
        <v>2337</v>
      </c>
      <c r="D48" s="1406"/>
      <c r="E48" s="1397"/>
      <c r="F48" s="1385"/>
    </row>
    <row r="49" spans="1:6" ht="15" customHeight="1">
      <c r="A49" s="1252"/>
      <c r="B49" s="1254">
        <v>1</v>
      </c>
      <c r="C49" s="1335" t="s">
        <v>3537</v>
      </c>
      <c r="D49" s="1406"/>
      <c r="E49" s="1397"/>
      <c r="F49" s="1385"/>
    </row>
    <row r="50" spans="1:6" ht="15" customHeight="1">
      <c r="A50" s="1255"/>
      <c r="B50" s="1239"/>
      <c r="C50" s="1341" t="s">
        <v>729</v>
      </c>
      <c r="D50" s="1406"/>
      <c r="E50" s="1397"/>
      <c r="F50" s="1385"/>
    </row>
    <row r="51" spans="1:6" ht="15" customHeight="1">
      <c r="A51" s="1251"/>
      <c r="B51" s="1241">
        <v>1</v>
      </c>
      <c r="C51" s="1333" t="s">
        <v>3515</v>
      </c>
      <c r="D51" s="1406"/>
      <c r="E51" s="1397"/>
      <c r="F51" s="1385"/>
    </row>
    <row r="52" spans="1:6" ht="15" customHeight="1">
      <c r="A52" s="1252"/>
      <c r="B52" s="1254">
        <v>1</v>
      </c>
      <c r="C52" s="1335" t="s">
        <v>3516</v>
      </c>
      <c r="D52" s="1406"/>
      <c r="E52" s="1397"/>
      <c r="F52" s="1385"/>
    </row>
    <row r="53" spans="1:6" ht="15" customHeight="1">
      <c r="A53" s="1252"/>
      <c r="B53" s="1254">
        <v>1</v>
      </c>
      <c r="C53" s="1335" t="s">
        <v>3517</v>
      </c>
      <c r="D53" s="1406"/>
      <c r="E53" s="1397"/>
      <c r="F53" s="1385"/>
    </row>
    <row r="54" spans="1:6" ht="15" customHeight="1">
      <c r="A54" s="1252"/>
      <c r="B54" s="1254">
        <v>1</v>
      </c>
      <c r="C54" s="1335" t="s">
        <v>3518</v>
      </c>
      <c r="D54" s="1406"/>
      <c r="E54" s="1397"/>
      <c r="F54" s="1385"/>
    </row>
    <row r="55" spans="1:6" ht="15" customHeight="1">
      <c r="A55" s="1252"/>
      <c r="B55" s="1254">
        <v>1</v>
      </c>
      <c r="C55" s="1335" t="s">
        <v>3519</v>
      </c>
      <c r="D55" s="1394"/>
      <c r="E55" s="1395"/>
      <c r="F55" s="1396"/>
    </row>
    <row r="56" spans="1:6" ht="15" customHeight="1">
      <c r="A56" s="1252"/>
      <c r="B56" s="1254">
        <v>1</v>
      </c>
      <c r="C56" s="1335" t="s">
        <v>3520</v>
      </c>
      <c r="D56" s="1394"/>
      <c r="E56" s="1395"/>
      <c r="F56" s="1396"/>
    </row>
    <row r="57" spans="1:6" ht="15" customHeight="1">
      <c r="A57" s="1240"/>
      <c r="B57" s="1239"/>
      <c r="C57" s="1341" t="s">
        <v>729</v>
      </c>
      <c r="D57" s="1406"/>
      <c r="E57" s="1384"/>
      <c r="F57" s="1385"/>
    </row>
    <row r="58" spans="1:6" ht="15" customHeight="1">
      <c r="A58" s="1240"/>
      <c r="B58" s="1239">
        <v>1</v>
      </c>
      <c r="C58" s="1341" t="s">
        <v>3051</v>
      </c>
      <c r="D58" s="1406"/>
      <c r="E58" s="1384"/>
      <c r="F58" s="1385"/>
    </row>
    <row r="59" spans="1:6" ht="15" customHeight="1">
      <c r="A59" s="1240"/>
      <c r="B59" s="1239">
        <v>1</v>
      </c>
      <c r="C59" s="1341" t="s">
        <v>316</v>
      </c>
      <c r="D59" s="1406"/>
      <c r="E59" s="1384"/>
      <c r="F59" s="1385"/>
    </row>
    <row r="60" spans="1:6" ht="15" customHeight="1" thickBot="1">
      <c r="A60" s="1256"/>
      <c r="B60" s="1257">
        <v>1</v>
      </c>
      <c r="C60" s="1359" t="s">
        <v>4025</v>
      </c>
      <c r="D60" s="1386"/>
      <c r="E60" s="1387"/>
      <c r="F60" s="1388"/>
    </row>
    <row r="61" spans="1:6" ht="15" customHeight="1">
      <c r="A61" s="1259"/>
      <c r="B61" s="1239"/>
      <c r="C61" s="1355"/>
      <c r="D61" s="1406"/>
      <c r="E61" s="1384"/>
      <c r="F61" s="1385"/>
    </row>
    <row r="62" spans="1:6" ht="15" customHeight="1">
      <c r="A62" s="1260">
        <v>2</v>
      </c>
      <c r="B62" s="1234">
        <v>1</v>
      </c>
      <c r="C62" s="1334" t="s">
        <v>4026</v>
      </c>
      <c r="D62" s="1376">
        <v>56553</v>
      </c>
      <c r="E62" s="1375"/>
      <c r="F62" s="1389">
        <f>+B62*D62</f>
        <v>56553</v>
      </c>
    </row>
    <row r="63" spans="1:6" ht="15" customHeight="1">
      <c r="A63" s="1236" t="s">
        <v>3310</v>
      </c>
      <c r="B63" s="1237"/>
      <c r="C63" s="1334"/>
      <c r="D63" s="1406"/>
      <c r="E63" s="1384"/>
      <c r="F63" s="1385"/>
    </row>
    <row r="64" spans="1:6" ht="15" customHeight="1">
      <c r="A64" s="1236" t="s">
        <v>4021</v>
      </c>
      <c r="B64" s="1239"/>
      <c r="C64" s="1333" t="s">
        <v>2605</v>
      </c>
      <c r="D64" s="1406"/>
      <c r="E64" s="1384"/>
      <c r="F64" s="1385"/>
    </row>
    <row r="65" spans="1:6" ht="15" customHeight="1">
      <c r="A65" s="1240"/>
      <c r="B65" s="1237"/>
      <c r="C65" s="1338"/>
      <c r="D65" s="1406"/>
      <c r="E65" s="1384"/>
      <c r="F65" s="1385"/>
    </row>
    <row r="66" spans="1:6" ht="15" customHeight="1">
      <c r="A66" s="1242"/>
      <c r="B66" s="1237"/>
      <c r="C66" s="1338" t="s">
        <v>4027</v>
      </c>
      <c r="D66" s="1406"/>
      <c r="E66" s="1384"/>
      <c r="F66" s="1385"/>
    </row>
    <row r="67" spans="1:6" ht="15" customHeight="1">
      <c r="A67" s="1242" t="s">
        <v>4023</v>
      </c>
      <c r="B67" s="1237"/>
      <c r="C67" s="1338" t="s">
        <v>3601</v>
      </c>
      <c r="D67" s="1406"/>
      <c r="E67" s="1384"/>
      <c r="F67" s="1385"/>
    </row>
    <row r="68" spans="1:6" ht="15" customHeight="1">
      <c r="A68" s="1242"/>
      <c r="B68" s="1237"/>
      <c r="C68" s="1338"/>
      <c r="D68" s="1406"/>
      <c r="E68" s="1384"/>
      <c r="F68" s="1385"/>
    </row>
    <row r="69" spans="1:6" ht="15" customHeight="1">
      <c r="A69" s="1244"/>
      <c r="B69" s="1237"/>
      <c r="C69" s="1338" t="s">
        <v>3602</v>
      </c>
      <c r="D69" s="1406"/>
      <c r="E69" s="1384"/>
      <c r="F69" s="1385"/>
    </row>
    <row r="70" spans="1:6" ht="15" customHeight="1">
      <c r="A70" s="1247"/>
      <c r="B70" s="1261"/>
      <c r="C70" s="1335"/>
      <c r="D70" s="1406"/>
      <c r="E70" s="1384"/>
      <c r="F70" s="1385"/>
    </row>
    <row r="71" spans="1:6" ht="15" customHeight="1">
      <c r="A71" s="1247"/>
      <c r="B71" s="1262">
        <v>2</v>
      </c>
      <c r="C71" s="1335" t="s">
        <v>4028</v>
      </c>
      <c r="D71" s="2780"/>
      <c r="E71" s="2781"/>
      <c r="F71" s="1385"/>
    </row>
    <row r="72" spans="1:6" ht="15" customHeight="1">
      <c r="A72" s="1247"/>
      <c r="B72" s="1237"/>
      <c r="C72" s="1335" t="s">
        <v>3603</v>
      </c>
      <c r="D72" s="1406"/>
      <c r="E72" s="1384"/>
      <c r="F72" s="1385"/>
    </row>
    <row r="73" spans="1:6" ht="24.75" customHeight="1">
      <c r="A73" s="1246" t="s">
        <v>4003</v>
      </c>
      <c r="B73" s="1237"/>
      <c r="C73" s="1361" t="s">
        <v>2362</v>
      </c>
      <c r="D73" s="1406"/>
      <c r="E73" s="1384"/>
      <c r="F73" s="1385"/>
    </row>
    <row r="74" spans="1:6" ht="15" customHeight="1">
      <c r="A74" s="1246"/>
      <c r="B74" s="1237"/>
      <c r="C74" s="1335" t="s">
        <v>3623</v>
      </c>
      <c r="D74" s="1406"/>
      <c r="E74" s="1384"/>
      <c r="F74" s="1385"/>
    </row>
    <row r="75" spans="1:6" ht="15" customHeight="1">
      <c r="A75" s="1246"/>
      <c r="B75" s="1237"/>
      <c r="C75" s="1335"/>
      <c r="D75" s="1406"/>
      <c r="E75" s="1384"/>
      <c r="F75" s="1385"/>
    </row>
    <row r="76" spans="1:6" ht="15" customHeight="1">
      <c r="A76" s="1246"/>
      <c r="B76" s="1237"/>
      <c r="C76" s="1338" t="s">
        <v>4029</v>
      </c>
      <c r="D76" s="1406"/>
      <c r="E76" s="1384"/>
      <c r="F76" s="1385"/>
    </row>
    <row r="77" spans="1:6" ht="15" customHeight="1">
      <c r="A77" s="1250"/>
      <c r="B77" s="1237"/>
      <c r="C77" s="1338" t="s">
        <v>4030</v>
      </c>
      <c r="D77" s="1406"/>
      <c r="E77" s="1384"/>
      <c r="F77" s="1385"/>
    </row>
    <row r="78" spans="1:6" ht="15" customHeight="1">
      <c r="A78" s="1250"/>
      <c r="B78" s="1237"/>
      <c r="C78" s="1338" t="s">
        <v>4031</v>
      </c>
      <c r="D78" s="1406"/>
      <c r="E78" s="1384"/>
      <c r="F78" s="1385"/>
    </row>
    <row r="79" spans="1:6" ht="15" customHeight="1">
      <c r="A79" s="1250"/>
      <c r="B79" s="1237"/>
      <c r="C79" s="1338" t="s">
        <v>4032</v>
      </c>
      <c r="D79" s="1406"/>
      <c r="E79" s="1384"/>
      <c r="F79" s="1385"/>
    </row>
    <row r="80" spans="1:6" ht="15" customHeight="1">
      <c r="A80" s="1250"/>
      <c r="B80" s="1237"/>
      <c r="C80" s="1338" t="s">
        <v>4033</v>
      </c>
      <c r="D80" s="1406"/>
      <c r="E80" s="1384"/>
      <c r="F80" s="1385"/>
    </row>
    <row r="81" spans="1:6" ht="29.25" customHeight="1">
      <c r="A81" s="1250"/>
      <c r="B81" s="1237"/>
      <c r="C81" s="1362" t="s">
        <v>3604</v>
      </c>
      <c r="D81" s="1406"/>
      <c r="E81" s="1384"/>
      <c r="F81" s="1385"/>
    </row>
    <row r="82" spans="1:6" ht="15" customHeight="1">
      <c r="A82" s="1263"/>
      <c r="B82" s="1237"/>
      <c r="C82" s="1339" t="s">
        <v>3605</v>
      </c>
      <c r="D82" s="1406"/>
      <c r="E82" s="1384"/>
      <c r="F82" s="1385"/>
    </row>
    <row r="83" spans="1:6" ht="15" customHeight="1">
      <c r="A83" s="1264"/>
      <c r="B83" s="1237"/>
      <c r="C83" s="1339" t="s">
        <v>3606</v>
      </c>
      <c r="D83" s="1406"/>
      <c r="E83" s="1384"/>
      <c r="F83" s="1385"/>
    </row>
    <row r="84" spans="1:6" ht="15" customHeight="1">
      <c r="A84" s="1264"/>
      <c r="B84" s="1237"/>
      <c r="C84" s="1339" t="s">
        <v>3607</v>
      </c>
      <c r="D84" s="1406"/>
      <c r="E84" s="1384"/>
      <c r="F84" s="1385"/>
    </row>
    <row r="85" spans="1:6" ht="15" customHeight="1">
      <c r="A85" s="1252"/>
      <c r="B85" s="1237"/>
      <c r="C85" s="1339" t="s">
        <v>3608</v>
      </c>
      <c r="D85" s="1406"/>
      <c r="E85" s="1384"/>
      <c r="F85" s="1385"/>
    </row>
    <row r="86" spans="1:6" ht="15" customHeight="1">
      <c r="A86" s="1240"/>
      <c r="B86" s="1237"/>
      <c r="C86" s="1339" t="s">
        <v>3609</v>
      </c>
      <c r="D86" s="1406"/>
      <c r="E86" s="1384"/>
      <c r="F86" s="1385"/>
    </row>
    <row r="87" spans="1:6" ht="26.25" customHeight="1">
      <c r="A87" s="1240"/>
      <c r="B87" s="1237"/>
      <c r="C87" s="1362" t="s">
        <v>3610</v>
      </c>
      <c r="D87" s="1406"/>
      <c r="E87" s="1384"/>
      <c r="F87" s="1385"/>
    </row>
    <row r="88" spans="1:6" ht="15" customHeight="1">
      <c r="A88" s="1240"/>
      <c r="B88" s="1237"/>
      <c r="C88" s="1339" t="s">
        <v>4034</v>
      </c>
      <c r="D88" s="1406"/>
      <c r="E88" s="1384"/>
      <c r="F88" s="1385"/>
    </row>
    <row r="89" spans="1:6" ht="15" customHeight="1">
      <c r="A89" s="1265"/>
      <c r="B89" s="1239"/>
      <c r="C89" s="1339" t="s">
        <v>4035</v>
      </c>
      <c r="D89" s="1406"/>
      <c r="E89" s="1384"/>
      <c r="F89" s="1385"/>
    </row>
    <row r="90" spans="1:6" ht="15" customHeight="1">
      <c r="A90" s="1265"/>
      <c r="B90" s="1241"/>
      <c r="C90" s="1339" t="s">
        <v>624</v>
      </c>
      <c r="D90" s="1406"/>
      <c r="E90" s="1384"/>
      <c r="F90" s="1385"/>
    </row>
    <row r="91" spans="1:6" ht="15" customHeight="1">
      <c r="A91" s="1265"/>
      <c r="B91" s="1243"/>
      <c r="C91" s="1339" t="s">
        <v>625</v>
      </c>
      <c r="D91" s="1406"/>
      <c r="E91" s="1384"/>
      <c r="F91" s="1385"/>
    </row>
    <row r="92" spans="1:6" ht="15" customHeight="1">
      <c r="A92" s="1250"/>
      <c r="B92" s="1243"/>
      <c r="C92" s="1339" t="s">
        <v>4036</v>
      </c>
      <c r="D92" s="1406"/>
      <c r="E92" s="1384"/>
      <c r="F92" s="1385"/>
    </row>
    <row r="93" spans="1:6" ht="15" customHeight="1">
      <c r="A93" s="1244"/>
      <c r="B93" s="1241"/>
      <c r="C93" s="1336" t="s">
        <v>4037</v>
      </c>
      <c r="D93" s="1406"/>
      <c r="E93" s="1384"/>
      <c r="F93" s="1385"/>
    </row>
    <row r="94" spans="1:6" ht="15" customHeight="1">
      <c r="A94" s="1244"/>
      <c r="B94" s="1243"/>
      <c r="C94" s="1339" t="s">
        <v>628</v>
      </c>
      <c r="D94" s="1406"/>
      <c r="E94" s="1384"/>
      <c r="F94" s="1385"/>
    </row>
    <row r="95" spans="1:6" ht="15" customHeight="1">
      <c r="A95" s="1244"/>
      <c r="B95" s="1243"/>
      <c r="C95" s="1336" t="s">
        <v>4038</v>
      </c>
      <c r="D95" s="2780"/>
      <c r="E95" s="2781"/>
      <c r="F95" s="1385"/>
    </row>
    <row r="96" spans="1:6" ht="15" customHeight="1">
      <c r="A96" s="1244"/>
      <c r="B96" s="1266"/>
      <c r="C96" s="1338" t="s">
        <v>4039</v>
      </c>
      <c r="D96" s="1406"/>
      <c r="E96" s="1384"/>
      <c r="F96" s="1385"/>
    </row>
    <row r="97" spans="1:6" ht="15" customHeight="1">
      <c r="A97" s="1244"/>
      <c r="B97" s="1267"/>
      <c r="C97" s="1338" t="s">
        <v>4040</v>
      </c>
      <c r="D97" s="1406"/>
      <c r="E97" s="1384"/>
      <c r="F97" s="1385"/>
    </row>
    <row r="98" spans="1:6" ht="15" customHeight="1">
      <c r="A98" s="1251"/>
      <c r="B98" s="1243"/>
      <c r="C98" s="1338" t="s">
        <v>4041</v>
      </c>
      <c r="D98" s="1406"/>
      <c r="E98" s="1384"/>
      <c r="F98" s="1385"/>
    </row>
    <row r="99" spans="1:6" ht="15" customHeight="1">
      <c r="A99" s="1240"/>
      <c r="B99" s="1267"/>
      <c r="C99" s="1338" t="s">
        <v>4042</v>
      </c>
      <c r="D99" s="1406"/>
      <c r="E99" s="1384"/>
      <c r="F99" s="1385"/>
    </row>
    <row r="100" spans="1:6" ht="15" customHeight="1">
      <c r="A100" s="1240"/>
      <c r="B100" s="1243"/>
      <c r="C100" s="1338" t="s">
        <v>3621</v>
      </c>
      <c r="D100" s="1406"/>
      <c r="E100" s="1384"/>
      <c r="F100" s="1385"/>
    </row>
    <row r="101" spans="1:6" ht="15" customHeight="1">
      <c r="A101" s="1244"/>
      <c r="B101" s="1243"/>
      <c r="C101" s="1355" t="s">
        <v>729</v>
      </c>
      <c r="D101" s="1406"/>
      <c r="E101" s="1384"/>
      <c r="F101" s="1385"/>
    </row>
    <row r="102" spans="1:6" ht="15" customHeight="1">
      <c r="A102" s="1255"/>
      <c r="B102" s="1248"/>
      <c r="C102" s="1343" t="s">
        <v>3206</v>
      </c>
      <c r="D102" s="1406"/>
      <c r="E102" s="1384"/>
      <c r="F102" s="1385"/>
    </row>
    <row r="103" spans="1:6" ht="15" customHeight="1">
      <c r="A103" s="1246"/>
      <c r="B103" s="1249">
        <v>1</v>
      </c>
      <c r="C103" s="1338" t="s">
        <v>4043</v>
      </c>
      <c r="D103" s="1406"/>
      <c r="E103" s="1384"/>
      <c r="F103" s="1385"/>
    </row>
    <row r="104" spans="1:6" ht="15" customHeight="1">
      <c r="A104" s="1240"/>
      <c r="B104" s="1239"/>
      <c r="C104" s="1341" t="s">
        <v>729</v>
      </c>
      <c r="D104" s="1406"/>
      <c r="E104" s="1384"/>
      <c r="F104" s="1385"/>
    </row>
    <row r="105" spans="1:6" ht="15" customHeight="1">
      <c r="A105" s="1240"/>
      <c r="B105" s="1241">
        <v>2</v>
      </c>
      <c r="C105" s="1333" t="s">
        <v>4044</v>
      </c>
      <c r="D105" s="1406"/>
      <c r="E105" s="1384"/>
      <c r="F105" s="1385"/>
    </row>
    <row r="106" spans="1:6" ht="15" customHeight="1">
      <c r="A106" s="1240"/>
      <c r="B106" s="1243">
        <v>3</v>
      </c>
      <c r="C106" s="1357" t="s">
        <v>3638</v>
      </c>
      <c r="D106" s="1406"/>
      <c r="E106" s="1384"/>
      <c r="F106" s="1385"/>
    </row>
    <row r="107" spans="1:6" ht="15" customHeight="1">
      <c r="A107" s="1240"/>
      <c r="B107" s="1254">
        <v>1</v>
      </c>
      <c r="C107" s="1335" t="s">
        <v>3525</v>
      </c>
      <c r="D107" s="1406"/>
      <c r="E107" s="1384"/>
      <c r="F107" s="1385"/>
    </row>
    <row r="108" spans="1:6" ht="15" customHeight="1">
      <c r="A108" s="1240"/>
      <c r="B108" s="1243"/>
      <c r="C108" s="1341" t="s">
        <v>729</v>
      </c>
      <c r="D108" s="1406"/>
      <c r="E108" s="1384"/>
      <c r="F108" s="1385"/>
    </row>
    <row r="109" spans="1:6" ht="15" customHeight="1">
      <c r="A109" s="1251"/>
      <c r="B109" s="1241">
        <v>1</v>
      </c>
      <c r="C109" s="1333" t="s">
        <v>3515</v>
      </c>
      <c r="D109" s="1406"/>
      <c r="E109" s="1384"/>
      <c r="F109" s="1385"/>
    </row>
    <row r="110" spans="1:6" ht="15" customHeight="1">
      <c r="A110" s="1252"/>
      <c r="B110" s="1254">
        <v>1</v>
      </c>
      <c r="C110" s="1335" t="s">
        <v>3516</v>
      </c>
      <c r="D110" s="1406"/>
      <c r="E110" s="1384"/>
      <c r="F110" s="1385"/>
    </row>
    <row r="111" spans="1:6" ht="15" customHeight="1">
      <c r="A111" s="1252"/>
      <c r="B111" s="1254">
        <v>1</v>
      </c>
      <c r="C111" s="1335" t="s">
        <v>3517</v>
      </c>
      <c r="D111" s="1406"/>
      <c r="E111" s="1384"/>
      <c r="F111" s="1385"/>
    </row>
    <row r="112" spans="1:6" ht="15" customHeight="1">
      <c r="A112" s="1252"/>
      <c r="B112" s="1254">
        <v>1</v>
      </c>
      <c r="C112" s="1335" t="s">
        <v>3518</v>
      </c>
      <c r="D112" s="1406"/>
      <c r="E112" s="1384"/>
      <c r="F112" s="1385"/>
    </row>
    <row r="113" spans="1:6" ht="15" customHeight="1">
      <c r="A113" s="1252"/>
      <c r="B113" s="1254">
        <v>1</v>
      </c>
      <c r="C113" s="1335" t="s">
        <v>3519</v>
      </c>
      <c r="D113" s="1406"/>
      <c r="E113" s="1384"/>
      <c r="F113" s="1385"/>
    </row>
    <row r="114" spans="1:6" ht="15" customHeight="1">
      <c r="A114" s="1252"/>
      <c r="B114" s="1254">
        <v>1</v>
      </c>
      <c r="C114" s="1335" t="s">
        <v>3520</v>
      </c>
      <c r="D114" s="1406"/>
      <c r="E114" s="1384"/>
      <c r="F114" s="1385"/>
    </row>
    <row r="115" spans="1:6" ht="15" customHeight="1">
      <c r="A115" s="1240"/>
      <c r="B115" s="1239"/>
      <c r="C115" s="1341" t="s">
        <v>729</v>
      </c>
      <c r="D115" s="1406"/>
      <c r="E115" s="1384"/>
      <c r="F115" s="1385"/>
    </row>
    <row r="116" spans="1:6" ht="15" customHeight="1">
      <c r="A116" s="1246"/>
      <c r="B116" s="1239">
        <v>1</v>
      </c>
      <c r="C116" s="1340" t="s">
        <v>316</v>
      </c>
      <c r="D116" s="1406"/>
      <c r="E116" s="1384"/>
      <c r="F116" s="1385"/>
    </row>
    <row r="117" spans="1:6" ht="15" customHeight="1">
      <c r="A117" s="1246"/>
      <c r="B117" s="1239">
        <v>1</v>
      </c>
      <c r="C117" s="1340" t="s">
        <v>3051</v>
      </c>
      <c r="D117" s="1406"/>
      <c r="E117" s="1384"/>
      <c r="F117" s="1385"/>
    </row>
    <row r="118" spans="1:6" ht="15" customHeight="1" thickBot="1">
      <c r="A118" s="1268"/>
      <c r="B118" s="1257">
        <v>1</v>
      </c>
      <c r="C118" s="1359" t="s">
        <v>4045</v>
      </c>
      <c r="D118" s="1386"/>
      <c r="E118" s="1387"/>
      <c r="F118" s="1388"/>
    </row>
    <row r="119" spans="1:6" ht="15" customHeight="1">
      <c r="A119" s="1269"/>
      <c r="B119" s="1270"/>
      <c r="C119" s="1341"/>
      <c r="D119" s="1406"/>
      <c r="E119" s="1384"/>
      <c r="F119" s="1385"/>
    </row>
    <row r="120" spans="1:6" ht="15" customHeight="1">
      <c r="A120" s="1260">
        <v>3</v>
      </c>
      <c r="B120" s="1234">
        <v>1</v>
      </c>
      <c r="C120" s="1334" t="s">
        <v>4046</v>
      </c>
      <c r="D120" s="1376">
        <v>39648</v>
      </c>
      <c r="E120" s="1375"/>
      <c r="F120" s="1389">
        <f>+B120*D120</f>
        <v>39648</v>
      </c>
    </row>
    <row r="121" spans="1:6" ht="15" customHeight="1">
      <c r="A121" s="1236" t="s">
        <v>3310</v>
      </c>
      <c r="B121" s="1237"/>
      <c r="C121" s="1334"/>
      <c r="D121" s="1406"/>
      <c r="E121" s="1384"/>
      <c r="F121" s="1385"/>
    </row>
    <row r="122" spans="1:6" ht="15" customHeight="1">
      <c r="A122" s="1236" t="s">
        <v>4021</v>
      </c>
      <c r="B122" s="1239"/>
      <c r="C122" s="1333" t="s">
        <v>3301</v>
      </c>
      <c r="D122" s="1406"/>
      <c r="E122" s="1384"/>
      <c r="F122" s="1385"/>
    </row>
    <row r="123" spans="1:6" ht="15" customHeight="1">
      <c r="A123" s="1236"/>
      <c r="B123" s="1239"/>
      <c r="C123" s="1340" t="s">
        <v>4047</v>
      </c>
      <c r="D123" s="1406"/>
      <c r="E123" s="1384"/>
      <c r="F123" s="1385"/>
    </row>
    <row r="124" spans="1:6" ht="15" customHeight="1">
      <c r="A124" s="1240"/>
      <c r="B124" s="1248"/>
      <c r="C124" s="1343" t="s">
        <v>4048</v>
      </c>
      <c r="D124" s="1406"/>
      <c r="E124" s="1384"/>
      <c r="F124" s="1385"/>
    </row>
    <row r="125" spans="1:6" ht="15" customHeight="1">
      <c r="A125" s="1242" t="s">
        <v>4023</v>
      </c>
      <c r="B125" s="1239">
        <v>1</v>
      </c>
      <c r="C125" s="2779" t="s">
        <v>2362</v>
      </c>
      <c r="D125" s="1406"/>
      <c r="E125" s="1384"/>
      <c r="F125" s="1385"/>
    </row>
    <row r="126" spans="1:6" ht="15" customHeight="1">
      <c r="A126" s="1242"/>
      <c r="B126" s="1239"/>
      <c r="C126" s="2779"/>
      <c r="D126" s="1406"/>
      <c r="E126" s="1384"/>
      <c r="F126" s="1385"/>
    </row>
    <row r="127" spans="1:6" ht="15" customHeight="1">
      <c r="A127" s="1244"/>
      <c r="B127" s="1239"/>
      <c r="C127" s="1341" t="s">
        <v>729</v>
      </c>
      <c r="D127" s="1406"/>
      <c r="E127" s="1384"/>
      <c r="F127" s="1385"/>
    </row>
    <row r="128" spans="1:6" ht="15" customHeight="1">
      <c r="A128" s="1245"/>
      <c r="B128" s="1248"/>
      <c r="C128" s="1343" t="s">
        <v>3206</v>
      </c>
      <c r="D128" s="1406"/>
      <c r="E128" s="1384"/>
      <c r="F128" s="1385"/>
    </row>
    <row r="129" spans="1:6" ht="15" customHeight="1">
      <c r="A129" s="1246" t="s">
        <v>3338</v>
      </c>
      <c r="B129" s="1249">
        <v>1</v>
      </c>
      <c r="C129" s="1338" t="s">
        <v>3738</v>
      </c>
      <c r="D129" s="1406"/>
      <c r="E129" s="1384"/>
      <c r="F129" s="1385"/>
    </row>
    <row r="130" spans="1:6" ht="15" customHeight="1">
      <c r="A130" s="1247" t="s">
        <v>3470</v>
      </c>
      <c r="B130" s="1239"/>
      <c r="C130" s="1355"/>
      <c r="D130" s="1406"/>
      <c r="E130" s="1384"/>
      <c r="F130" s="1385"/>
    </row>
    <row r="131" spans="1:6" ht="15" customHeight="1">
      <c r="A131" s="1247" t="s">
        <v>3471</v>
      </c>
      <c r="B131" s="1239"/>
      <c r="C131" s="1341" t="s">
        <v>729</v>
      </c>
      <c r="D131" s="1406"/>
      <c r="E131" s="1384"/>
      <c r="F131" s="1385"/>
    </row>
    <row r="132" spans="1:6" ht="15" customHeight="1">
      <c r="A132" s="1247"/>
      <c r="B132" s="1253">
        <v>1</v>
      </c>
      <c r="C132" s="1356" t="s">
        <v>4049</v>
      </c>
      <c r="D132" s="1406"/>
      <c r="E132" s="1384"/>
      <c r="F132" s="1385"/>
    </row>
    <row r="133" spans="1:6" ht="15" customHeight="1">
      <c r="A133" s="1247"/>
      <c r="B133" s="1254">
        <v>1</v>
      </c>
      <c r="C133" s="1335" t="s">
        <v>3536</v>
      </c>
      <c r="D133" s="1406"/>
      <c r="E133" s="1384"/>
      <c r="F133" s="1385"/>
    </row>
    <row r="134" spans="1:6" ht="15" customHeight="1">
      <c r="A134" s="1236"/>
      <c r="B134" s="1243">
        <v>1</v>
      </c>
      <c r="C134" s="1357" t="s">
        <v>1243</v>
      </c>
      <c r="D134" s="1406"/>
      <c r="E134" s="1384"/>
      <c r="F134" s="1385"/>
    </row>
    <row r="135" spans="1:6" ht="15" customHeight="1">
      <c r="A135" s="1236"/>
      <c r="B135" s="1243">
        <v>1</v>
      </c>
      <c r="C135" s="1357" t="s">
        <v>1244</v>
      </c>
      <c r="D135" s="1406"/>
      <c r="E135" s="1384"/>
      <c r="F135" s="1385"/>
    </row>
    <row r="136" spans="1:6" ht="15" customHeight="1">
      <c r="A136" s="1236"/>
      <c r="B136" s="1243">
        <v>1</v>
      </c>
      <c r="C136" s="1357" t="s">
        <v>1246</v>
      </c>
      <c r="D136" s="1406"/>
      <c r="E136" s="1384"/>
      <c r="F136" s="1385"/>
    </row>
    <row r="137" spans="1:6" ht="15" customHeight="1">
      <c r="A137" s="1236"/>
      <c r="B137" s="1243">
        <v>1</v>
      </c>
      <c r="C137" s="1357" t="s">
        <v>2892</v>
      </c>
      <c r="D137" s="1406"/>
      <c r="E137" s="1384"/>
      <c r="F137" s="1385"/>
    </row>
    <row r="138" spans="1:6" ht="15" customHeight="1">
      <c r="A138" s="1236"/>
      <c r="B138" s="1243">
        <v>2</v>
      </c>
      <c r="C138" s="1357" t="s">
        <v>1885</v>
      </c>
      <c r="D138" s="1406"/>
      <c r="E138" s="1384"/>
      <c r="F138" s="1385"/>
    </row>
    <row r="139" spans="1:6" ht="15" customHeight="1">
      <c r="A139" s="1252"/>
      <c r="B139" s="1254">
        <v>1</v>
      </c>
      <c r="C139" s="1335" t="s">
        <v>3537</v>
      </c>
      <c r="D139" s="1406"/>
      <c r="E139" s="1384"/>
      <c r="F139" s="1385"/>
    </row>
    <row r="140" spans="1:6" ht="15" customHeight="1">
      <c r="A140" s="1255"/>
      <c r="B140" s="1239"/>
      <c r="C140" s="1341" t="s">
        <v>729</v>
      </c>
      <c r="D140" s="1406"/>
      <c r="E140" s="1384"/>
      <c r="F140" s="1385"/>
    </row>
    <row r="141" spans="1:6" ht="15" customHeight="1">
      <c r="A141" s="1251"/>
      <c r="B141" s="1241">
        <v>1</v>
      </c>
      <c r="C141" s="1334" t="s">
        <v>4050</v>
      </c>
      <c r="D141" s="1406"/>
      <c r="E141" s="1384"/>
      <c r="F141" s="1385"/>
    </row>
    <row r="142" spans="1:6" ht="26.25">
      <c r="A142" s="1252"/>
      <c r="B142" s="1254">
        <v>1</v>
      </c>
      <c r="C142" s="1358" t="s">
        <v>2658</v>
      </c>
      <c r="D142" s="1406"/>
      <c r="E142" s="1384"/>
      <c r="F142" s="1385"/>
    </row>
    <row r="143" spans="1:6" ht="15" customHeight="1">
      <c r="A143" s="1252"/>
      <c r="B143" s="1254">
        <v>3</v>
      </c>
      <c r="C143" s="1335" t="s">
        <v>422</v>
      </c>
      <c r="D143" s="1406"/>
      <c r="E143" s="1384"/>
      <c r="F143" s="1385"/>
    </row>
    <row r="144" spans="1:6" ht="15" customHeight="1">
      <c r="A144" s="1252"/>
      <c r="B144" s="1254">
        <v>1</v>
      </c>
      <c r="C144" s="1335" t="s">
        <v>3302</v>
      </c>
      <c r="D144" s="1406"/>
      <c r="E144" s="1384"/>
      <c r="F144" s="1385"/>
    </row>
    <row r="145" spans="1:6" ht="15" customHeight="1">
      <c r="A145" s="1252"/>
      <c r="B145" s="1254">
        <v>1</v>
      </c>
      <c r="C145" s="1335" t="s">
        <v>3303</v>
      </c>
      <c r="D145" s="1406"/>
      <c r="E145" s="1384"/>
      <c r="F145" s="1385"/>
    </row>
    <row r="146" spans="1:6" ht="15" customHeight="1">
      <c r="A146" s="1240"/>
      <c r="B146" s="1239"/>
      <c r="C146" s="1341" t="s">
        <v>729</v>
      </c>
      <c r="D146" s="1406"/>
      <c r="E146" s="1384"/>
      <c r="F146" s="1385"/>
    </row>
    <row r="147" spans="1:6" ht="15" customHeight="1">
      <c r="A147" s="1251"/>
      <c r="B147" s="1241">
        <v>1</v>
      </c>
      <c r="C147" s="1333" t="s">
        <v>3515</v>
      </c>
      <c r="D147" s="1406"/>
      <c r="E147" s="1384"/>
      <c r="F147" s="1385"/>
    </row>
    <row r="148" spans="1:6" ht="15" customHeight="1">
      <c r="A148" s="1252"/>
      <c r="B148" s="1254">
        <v>1</v>
      </c>
      <c r="C148" s="1335" t="s">
        <v>3516</v>
      </c>
      <c r="D148" s="1406"/>
      <c r="E148" s="1384"/>
      <c r="F148" s="1385"/>
    </row>
    <row r="149" spans="1:6" ht="15" customHeight="1">
      <c r="A149" s="1252"/>
      <c r="B149" s="1254">
        <v>1</v>
      </c>
      <c r="C149" s="1335" t="s">
        <v>3517</v>
      </c>
      <c r="D149" s="1406"/>
      <c r="E149" s="1384"/>
      <c r="F149" s="1385"/>
    </row>
    <row r="150" spans="1:6" ht="15" customHeight="1">
      <c r="A150" s="1252"/>
      <c r="B150" s="1254">
        <v>1</v>
      </c>
      <c r="C150" s="1335" t="s">
        <v>3518</v>
      </c>
      <c r="D150" s="1406"/>
      <c r="E150" s="1384"/>
      <c r="F150" s="1385"/>
    </row>
    <row r="151" spans="1:6" ht="15" customHeight="1">
      <c r="A151" s="1252"/>
      <c r="B151" s="1254">
        <v>1</v>
      </c>
      <c r="C151" s="1335" t="s">
        <v>3519</v>
      </c>
      <c r="D151" s="1406"/>
      <c r="E151" s="1384"/>
      <c r="F151" s="1385"/>
    </row>
    <row r="152" spans="1:6" ht="15" customHeight="1">
      <c r="A152" s="1252"/>
      <c r="B152" s="1254">
        <v>1</v>
      </c>
      <c r="C152" s="1335" t="s">
        <v>3520</v>
      </c>
      <c r="D152" s="1406"/>
      <c r="E152" s="1384"/>
      <c r="F152" s="1385"/>
    </row>
    <row r="153" spans="1:6" ht="15" customHeight="1">
      <c r="A153" s="1240"/>
      <c r="B153" s="1239"/>
      <c r="C153" s="1341" t="s">
        <v>729</v>
      </c>
      <c r="D153" s="1406"/>
      <c r="E153" s="1384"/>
      <c r="F153" s="1385"/>
    </row>
    <row r="154" spans="1:6" ht="15" customHeight="1">
      <c r="A154" s="1246"/>
      <c r="B154" s="1239">
        <v>1</v>
      </c>
      <c r="C154" s="1340" t="s">
        <v>316</v>
      </c>
      <c r="D154" s="1406"/>
      <c r="E154" s="1384"/>
      <c r="F154" s="1385"/>
    </row>
    <row r="155" spans="1:6" ht="15" customHeight="1">
      <c r="A155" s="1246"/>
      <c r="B155" s="1239">
        <v>1</v>
      </c>
      <c r="C155" s="1340" t="s">
        <v>3051</v>
      </c>
      <c r="D155" s="1406"/>
      <c r="E155" s="1384"/>
      <c r="F155" s="1385"/>
    </row>
    <row r="156" spans="1:6" ht="15" customHeight="1" thickBot="1">
      <c r="A156" s="1268"/>
      <c r="B156" s="1257">
        <v>1</v>
      </c>
      <c r="C156" s="1359" t="s">
        <v>4051</v>
      </c>
      <c r="D156" s="1386"/>
      <c r="E156" s="1387"/>
      <c r="F156" s="1388"/>
    </row>
    <row r="157" spans="1:6" ht="15" customHeight="1">
      <c r="A157" s="1271"/>
      <c r="B157" s="1239"/>
      <c r="C157" s="1337"/>
      <c r="D157" s="1406"/>
      <c r="E157" s="1384"/>
      <c r="F157" s="1385"/>
    </row>
    <row r="158" spans="1:6" ht="15" customHeight="1">
      <c r="A158" s="1260">
        <v>4</v>
      </c>
      <c r="B158" s="1234">
        <v>1</v>
      </c>
      <c r="C158" s="1334" t="s">
        <v>4052</v>
      </c>
      <c r="D158" s="1376">
        <v>45027</v>
      </c>
      <c r="E158" s="1375"/>
      <c r="F158" s="1389">
        <f>+B158*D158</f>
        <v>45027</v>
      </c>
    </row>
    <row r="159" spans="1:6" ht="15" customHeight="1">
      <c r="A159" s="1236" t="s">
        <v>3310</v>
      </c>
      <c r="B159" s="1237"/>
      <c r="C159" s="1334"/>
      <c r="D159" s="1406"/>
      <c r="E159" s="1384"/>
      <c r="F159" s="1385"/>
    </row>
    <row r="160" spans="1:6" ht="15" customHeight="1">
      <c r="A160" s="1236" t="s">
        <v>3559</v>
      </c>
      <c r="B160" s="1239"/>
      <c r="C160" s="1333" t="s">
        <v>3301</v>
      </c>
      <c r="D160" s="1406"/>
      <c r="E160" s="1384"/>
      <c r="F160" s="1385"/>
    </row>
    <row r="161" spans="1:6" ht="15" customHeight="1">
      <c r="A161" s="1236"/>
      <c r="B161" s="1239">
        <v>1</v>
      </c>
      <c r="C161" s="2779" t="s">
        <v>3037</v>
      </c>
      <c r="D161" s="1406"/>
      <c r="E161" s="1384"/>
      <c r="F161" s="1385"/>
    </row>
    <row r="162" spans="1:6" ht="15" customHeight="1">
      <c r="A162" s="1236"/>
      <c r="B162" s="1239"/>
      <c r="C162" s="2779"/>
      <c r="D162" s="1406"/>
      <c r="E162" s="1384"/>
      <c r="F162" s="1385"/>
    </row>
    <row r="163" spans="1:6" ht="15" customHeight="1">
      <c r="A163" s="1240"/>
      <c r="B163" s="1248"/>
      <c r="C163" s="1343" t="s">
        <v>3535</v>
      </c>
      <c r="D163" s="1406"/>
      <c r="E163" s="1384"/>
      <c r="F163" s="1385"/>
    </row>
    <row r="164" spans="1:6" ht="15" customHeight="1">
      <c r="A164" s="1242" t="s">
        <v>4023</v>
      </c>
      <c r="B164" s="1239">
        <v>1</v>
      </c>
      <c r="C164" s="2779" t="s">
        <v>3214</v>
      </c>
      <c r="D164" s="1406"/>
      <c r="E164" s="1384"/>
      <c r="F164" s="1385"/>
    </row>
    <row r="165" spans="1:6" ht="15" customHeight="1">
      <c r="A165" s="1242"/>
      <c r="B165" s="1239"/>
      <c r="C165" s="2779"/>
      <c r="D165" s="1406"/>
      <c r="E165" s="1384"/>
      <c r="F165" s="1385"/>
    </row>
    <row r="166" spans="1:6" ht="15" customHeight="1">
      <c r="A166" s="1244"/>
      <c r="B166" s="1239">
        <v>1</v>
      </c>
      <c r="C166" s="2779" t="s">
        <v>3214</v>
      </c>
      <c r="D166" s="1406"/>
      <c r="E166" s="1384"/>
      <c r="F166" s="1385"/>
    </row>
    <row r="167" spans="1:6" ht="15" customHeight="1">
      <c r="A167" s="1244"/>
      <c r="B167" s="1239"/>
      <c r="C167" s="2779"/>
      <c r="D167" s="1406"/>
      <c r="E167" s="1384"/>
      <c r="F167" s="1385"/>
    </row>
    <row r="168" spans="1:6" ht="15" customHeight="1">
      <c r="A168" s="1245"/>
      <c r="B168" s="1239">
        <v>1</v>
      </c>
      <c r="C168" s="2779" t="s">
        <v>3901</v>
      </c>
      <c r="D168" s="1406"/>
      <c r="E168" s="1384"/>
      <c r="F168" s="1385"/>
    </row>
    <row r="169" spans="1:6" ht="15" customHeight="1">
      <c r="A169" s="1245"/>
      <c r="B169" s="1239"/>
      <c r="C169" s="2779"/>
      <c r="D169" s="1406"/>
      <c r="E169" s="1384"/>
      <c r="F169" s="1385"/>
    </row>
    <row r="170" spans="1:6" ht="15" customHeight="1">
      <c r="A170" s="1246" t="s">
        <v>3338</v>
      </c>
      <c r="B170" s="1239">
        <v>1</v>
      </c>
      <c r="C170" s="2779" t="s">
        <v>3902</v>
      </c>
      <c r="D170" s="1406"/>
      <c r="E170" s="1384"/>
      <c r="F170" s="1385"/>
    </row>
    <row r="171" spans="1:6" ht="15" customHeight="1">
      <c r="A171" s="1246"/>
      <c r="B171" s="1239"/>
      <c r="C171" s="2779"/>
      <c r="D171" s="1406"/>
      <c r="E171" s="1384"/>
      <c r="F171" s="1385"/>
    </row>
    <row r="172" spans="1:6" ht="15" customHeight="1">
      <c r="A172" s="1247" t="s">
        <v>3470</v>
      </c>
      <c r="B172" s="1248"/>
      <c r="C172" s="1343" t="s">
        <v>2797</v>
      </c>
      <c r="D172" s="1406"/>
      <c r="E172" s="1384"/>
      <c r="F172" s="1385"/>
    </row>
    <row r="173" spans="1:6" ht="15" customHeight="1">
      <c r="A173" s="1247" t="s">
        <v>3471</v>
      </c>
      <c r="B173" s="1239">
        <v>1</v>
      </c>
      <c r="C173" s="2779" t="s">
        <v>3240</v>
      </c>
      <c r="D173" s="1406"/>
      <c r="E173" s="1384"/>
      <c r="F173" s="1385"/>
    </row>
    <row r="174" spans="1:6" ht="15" customHeight="1">
      <c r="A174" s="1247"/>
      <c r="B174" s="1239"/>
      <c r="C174" s="2779"/>
      <c r="D174" s="1406"/>
      <c r="E174" s="1384"/>
      <c r="F174" s="1385"/>
    </row>
    <row r="175" spans="1:6" ht="15" customHeight="1">
      <c r="A175" s="1247"/>
      <c r="B175" s="1239">
        <v>1</v>
      </c>
      <c r="C175" s="2779" t="s">
        <v>3894</v>
      </c>
      <c r="D175" s="1406"/>
      <c r="E175" s="1384"/>
      <c r="F175" s="1385"/>
    </row>
    <row r="176" spans="1:6" ht="15" customHeight="1">
      <c r="A176" s="1247"/>
      <c r="B176" s="1239"/>
      <c r="C176" s="2779"/>
      <c r="D176" s="1406"/>
      <c r="E176" s="1384"/>
      <c r="F176" s="1385"/>
    </row>
    <row r="177" spans="1:6" ht="15" customHeight="1">
      <c r="A177" s="1247"/>
      <c r="B177" s="1239">
        <v>1</v>
      </c>
      <c r="C177" s="2779" t="s">
        <v>3884</v>
      </c>
      <c r="D177" s="1406"/>
      <c r="E177" s="1384"/>
      <c r="F177" s="1385"/>
    </row>
    <row r="178" spans="1:6" ht="15" customHeight="1">
      <c r="A178" s="1247"/>
      <c r="B178" s="1239"/>
      <c r="C178" s="2779"/>
      <c r="D178" s="1406"/>
      <c r="E178" s="1384"/>
      <c r="F178" s="1385"/>
    </row>
    <row r="179" spans="1:6" ht="15" customHeight="1">
      <c r="A179" s="1246" t="s">
        <v>4003</v>
      </c>
      <c r="B179" s="1239">
        <v>2</v>
      </c>
      <c r="C179" s="1337" t="s">
        <v>3078</v>
      </c>
      <c r="D179" s="1406"/>
      <c r="E179" s="1384"/>
      <c r="F179" s="1385"/>
    </row>
    <row r="180" spans="1:6" ht="15" customHeight="1">
      <c r="A180" s="1246"/>
      <c r="B180" s="1248"/>
      <c r="C180" s="1343" t="s">
        <v>3206</v>
      </c>
      <c r="D180" s="1406"/>
      <c r="E180" s="1384"/>
      <c r="F180" s="1385"/>
    </row>
    <row r="181" spans="1:6" ht="15" customHeight="1">
      <c r="A181" s="1246"/>
      <c r="B181" s="1249">
        <v>1</v>
      </c>
      <c r="C181" s="1338" t="s">
        <v>4043</v>
      </c>
      <c r="D181" s="1406"/>
      <c r="E181" s="1384"/>
      <c r="F181" s="1385"/>
    </row>
    <row r="182" spans="1:6" ht="15" customHeight="1">
      <c r="A182" s="1255"/>
      <c r="B182" s="1239"/>
      <c r="C182" s="1341" t="s">
        <v>729</v>
      </c>
      <c r="D182" s="1406"/>
      <c r="E182" s="1384"/>
      <c r="F182" s="1385"/>
    </row>
    <row r="183" spans="1:6" ht="15" customHeight="1">
      <c r="A183" s="1247"/>
      <c r="B183" s="1253">
        <v>1</v>
      </c>
      <c r="C183" s="1356" t="s">
        <v>4053</v>
      </c>
      <c r="D183" s="1406"/>
      <c r="E183" s="1384"/>
      <c r="F183" s="1385"/>
    </row>
    <row r="184" spans="1:6" ht="15" customHeight="1">
      <c r="A184" s="1247"/>
      <c r="B184" s="1254">
        <v>1</v>
      </c>
      <c r="C184" s="1335" t="s">
        <v>3536</v>
      </c>
      <c r="D184" s="1406"/>
      <c r="E184" s="1384"/>
      <c r="F184" s="1385"/>
    </row>
    <row r="185" spans="1:6" ht="15" customHeight="1">
      <c r="A185" s="1236"/>
      <c r="B185" s="1243">
        <v>1</v>
      </c>
      <c r="C185" s="1357" t="s">
        <v>2334</v>
      </c>
      <c r="D185" s="1406"/>
      <c r="E185" s="1384"/>
      <c r="F185" s="1385"/>
    </row>
    <row r="186" spans="1:6" ht="15" customHeight="1">
      <c r="A186" s="1236"/>
      <c r="B186" s="1243">
        <v>1</v>
      </c>
      <c r="C186" s="1357" t="s">
        <v>2335</v>
      </c>
      <c r="D186" s="1406"/>
      <c r="E186" s="1384"/>
      <c r="F186" s="1385"/>
    </row>
    <row r="187" spans="1:6" ht="15" customHeight="1">
      <c r="A187" s="1236"/>
      <c r="B187" s="1243">
        <v>1</v>
      </c>
      <c r="C187" s="1357" t="s">
        <v>2336</v>
      </c>
      <c r="D187" s="1406"/>
      <c r="E187" s="1384"/>
      <c r="F187" s="1385"/>
    </row>
    <row r="188" spans="1:6" ht="15" customHeight="1">
      <c r="A188" s="1236"/>
      <c r="B188" s="1243">
        <v>1</v>
      </c>
      <c r="C188" s="2778" t="s">
        <v>2339</v>
      </c>
      <c r="D188" s="1406"/>
      <c r="E188" s="1384"/>
      <c r="F188" s="1385"/>
    </row>
    <row r="189" spans="1:6" ht="15" customHeight="1">
      <c r="A189" s="1236"/>
      <c r="B189" s="1243"/>
      <c r="C189" s="2778"/>
      <c r="D189" s="1406"/>
      <c r="E189" s="1384"/>
      <c r="F189" s="1385"/>
    </row>
    <row r="190" spans="1:6" ht="15" customHeight="1">
      <c r="A190" s="1236"/>
      <c r="B190" s="1243">
        <v>2</v>
      </c>
      <c r="C190" s="1357" t="s">
        <v>1885</v>
      </c>
      <c r="D190" s="1406"/>
      <c r="E190" s="1384"/>
      <c r="F190" s="1385"/>
    </row>
    <row r="191" spans="1:6" ht="15" customHeight="1">
      <c r="A191" s="1252"/>
      <c r="B191" s="1254">
        <v>1</v>
      </c>
      <c r="C191" s="1335" t="s">
        <v>3537</v>
      </c>
      <c r="D191" s="1406"/>
      <c r="E191" s="1384"/>
      <c r="F191" s="1385"/>
    </row>
    <row r="192" spans="1:6" ht="15" customHeight="1">
      <c r="A192" s="1255"/>
      <c r="B192" s="1239"/>
      <c r="C192" s="1341" t="s">
        <v>729</v>
      </c>
      <c r="D192" s="1406"/>
      <c r="E192" s="1384"/>
      <c r="F192" s="1385"/>
    </row>
    <row r="193" spans="1:6" ht="15" customHeight="1">
      <c r="A193" s="1264"/>
      <c r="B193" s="1253">
        <v>4</v>
      </c>
      <c r="C193" s="1333" t="s">
        <v>3628</v>
      </c>
      <c r="D193" s="1406"/>
      <c r="E193" s="1384"/>
      <c r="F193" s="1385"/>
    </row>
    <row r="194" spans="1:6" ht="26.25">
      <c r="A194" s="1244"/>
      <c r="B194" s="1243">
        <v>1</v>
      </c>
      <c r="C194" s="1363" t="s">
        <v>2337</v>
      </c>
      <c r="D194" s="1406"/>
      <c r="E194" s="1384"/>
      <c r="F194" s="1385"/>
    </row>
    <row r="195" spans="1:6" ht="15" customHeight="1">
      <c r="A195" s="1244"/>
      <c r="B195" s="1243"/>
      <c r="C195" s="1366"/>
      <c r="D195" s="1406"/>
      <c r="E195" s="1384"/>
      <c r="F195" s="1385"/>
    </row>
    <row r="196" spans="1:6" ht="15" customHeight="1">
      <c r="A196" s="1252"/>
      <c r="B196" s="1254">
        <v>1</v>
      </c>
      <c r="C196" s="1335" t="s">
        <v>3629</v>
      </c>
      <c r="D196" s="1406"/>
      <c r="E196" s="1384"/>
      <c r="F196" s="1385"/>
    </row>
    <row r="197" spans="1:6" ht="15" customHeight="1">
      <c r="A197" s="1240"/>
      <c r="B197" s="1239"/>
      <c r="C197" s="1341" t="s">
        <v>729</v>
      </c>
      <c r="D197" s="1406"/>
      <c r="E197" s="1384"/>
      <c r="F197" s="1385"/>
    </row>
    <row r="198" spans="1:6" ht="15" customHeight="1">
      <c r="A198" s="1264"/>
      <c r="B198" s="1253">
        <v>3</v>
      </c>
      <c r="C198" s="1333" t="s">
        <v>3627</v>
      </c>
      <c r="D198" s="1406"/>
      <c r="E198" s="1384"/>
      <c r="F198" s="1385"/>
    </row>
    <row r="199" spans="1:6" ht="15" customHeight="1">
      <c r="A199" s="1244"/>
      <c r="B199" s="1243">
        <v>2</v>
      </c>
      <c r="C199" s="2778" t="s">
        <v>3389</v>
      </c>
      <c r="D199" s="1406"/>
      <c r="E199" s="1384"/>
      <c r="F199" s="1385"/>
    </row>
    <row r="200" spans="1:6" ht="15" customHeight="1">
      <c r="A200" s="1244"/>
      <c r="B200" s="1243"/>
      <c r="C200" s="2778"/>
      <c r="D200" s="1406"/>
      <c r="E200" s="1384"/>
      <c r="F200" s="1385"/>
    </row>
    <row r="201" spans="1:6" ht="15" customHeight="1">
      <c r="A201" s="1252"/>
      <c r="B201" s="1254">
        <v>1</v>
      </c>
      <c r="C201" s="1335" t="s">
        <v>3629</v>
      </c>
      <c r="D201" s="1406"/>
      <c r="E201" s="1384"/>
      <c r="F201" s="1385"/>
    </row>
    <row r="202" spans="1:6" ht="15" customHeight="1">
      <c r="A202" s="1240"/>
      <c r="B202" s="1239"/>
      <c r="C202" s="1341" t="s">
        <v>729</v>
      </c>
      <c r="D202" s="1406"/>
      <c r="E202" s="1384"/>
      <c r="F202" s="1385"/>
    </row>
    <row r="203" spans="1:6" ht="15" customHeight="1">
      <c r="A203" s="1264"/>
      <c r="B203" s="1241">
        <v>1</v>
      </c>
      <c r="C203" s="1333" t="s">
        <v>4054</v>
      </c>
      <c r="D203" s="1406"/>
      <c r="E203" s="1384"/>
      <c r="F203" s="1385"/>
    </row>
    <row r="204" spans="1:6" ht="15" customHeight="1">
      <c r="A204" s="1244"/>
      <c r="B204" s="1243">
        <v>1</v>
      </c>
      <c r="C204" s="2778" t="s">
        <v>2658</v>
      </c>
      <c r="D204" s="1406"/>
      <c r="E204" s="1384"/>
      <c r="F204" s="1385"/>
    </row>
    <row r="205" spans="1:6" ht="15" customHeight="1">
      <c r="A205" s="1244"/>
      <c r="B205" s="1243"/>
      <c r="C205" s="2778"/>
      <c r="D205" s="1406"/>
      <c r="E205" s="1384"/>
      <c r="F205" s="1385"/>
    </row>
    <row r="206" spans="1:6" ht="15" customHeight="1">
      <c r="A206" s="1255"/>
      <c r="B206" s="1243">
        <v>3</v>
      </c>
      <c r="C206" s="1357" t="s">
        <v>423</v>
      </c>
      <c r="D206" s="1406"/>
      <c r="E206" s="1384"/>
      <c r="F206" s="1385"/>
    </row>
    <row r="207" spans="1:6" ht="15" customHeight="1">
      <c r="A207" s="1252"/>
      <c r="B207" s="1254">
        <v>1</v>
      </c>
      <c r="C207" s="1335" t="s">
        <v>3302</v>
      </c>
      <c r="D207" s="1406"/>
      <c r="E207" s="1384"/>
      <c r="F207" s="1385"/>
    </row>
    <row r="208" spans="1:6" ht="15" customHeight="1">
      <c r="A208" s="1252"/>
      <c r="B208" s="1254">
        <v>1</v>
      </c>
      <c r="C208" s="1335" t="s">
        <v>3303</v>
      </c>
      <c r="D208" s="1406"/>
      <c r="E208" s="1384"/>
      <c r="F208" s="1385"/>
    </row>
    <row r="209" spans="1:6" ht="15" customHeight="1">
      <c r="A209" s="1240"/>
      <c r="B209" s="1239"/>
      <c r="C209" s="1341" t="s">
        <v>729</v>
      </c>
      <c r="D209" s="1406"/>
      <c r="E209" s="1384"/>
      <c r="F209" s="1385"/>
    </row>
    <row r="210" spans="1:6" ht="15" customHeight="1">
      <c r="A210" s="1251"/>
      <c r="B210" s="1241">
        <v>2</v>
      </c>
      <c r="C210" s="1333" t="s">
        <v>3515</v>
      </c>
      <c r="D210" s="1406"/>
      <c r="E210" s="1384"/>
      <c r="F210" s="1385"/>
    </row>
    <row r="211" spans="1:6" ht="15" customHeight="1">
      <c r="A211" s="1252"/>
      <c r="B211" s="1254">
        <v>1</v>
      </c>
      <c r="C211" s="1335" t="s">
        <v>3516</v>
      </c>
      <c r="D211" s="1406"/>
      <c r="E211" s="1384"/>
      <c r="F211" s="1385"/>
    </row>
    <row r="212" spans="1:6" ht="15" customHeight="1">
      <c r="A212" s="1252"/>
      <c r="B212" s="1254">
        <v>1</v>
      </c>
      <c r="C212" s="1335" t="s">
        <v>3517</v>
      </c>
      <c r="D212" s="1406"/>
      <c r="E212" s="1384"/>
      <c r="F212" s="1385"/>
    </row>
    <row r="213" spans="1:6" ht="15" customHeight="1">
      <c r="A213" s="1252"/>
      <c r="B213" s="1254">
        <v>1</v>
      </c>
      <c r="C213" s="1335" t="s">
        <v>3518</v>
      </c>
      <c r="D213" s="1406"/>
      <c r="E213" s="1384"/>
      <c r="F213" s="1385"/>
    </row>
    <row r="214" spans="1:6" ht="15" customHeight="1">
      <c r="A214" s="1252"/>
      <c r="B214" s="1254">
        <v>1</v>
      </c>
      <c r="C214" s="1335" t="s">
        <v>3519</v>
      </c>
      <c r="D214" s="1406"/>
      <c r="E214" s="1384"/>
      <c r="F214" s="1385"/>
    </row>
    <row r="215" spans="1:6" ht="15" customHeight="1">
      <c r="A215" s="1252"/>
      <c r="B215" s="1254">
        <v>1</v>
      </c>
      <c r="C215" s="1335" t="s">
        <v>3520</v>
      </c>
      <c r="D215" s="1406"/>
      <c r="E215" s="1384"/>
      <c r="F215" s="1385"/>
    </row>
    <row r="216" spans="1:6" ht="15" customHeight="1">
      <c r="A216" s="1240"/>
      <c r="B216" s="1239"/>
      <c r="C216" s="1341" t="s">
        <v>729</v>
      </c>
      <c r="D216" s="1406"/>
      <c r="E216" s="1384"/>
      <c r="F216" s="1385"/>
    </row>
    <row r="217" spans="1:6" ht="15" customHeight="1">
      <c r="A217" s="1246"/>
      <c r="B217" s="1239">
        <v>1</v>
      </c>
      <c r="C217" s="1340" t="s">
        <v>316</v>
      </c>
      <c r="D217" s="1406"/>
      <c r="E217" s="1384"/>
      <c r="F217" s="1385"/>
    </row>
    <row r="218" spans="1:6" ht="15" customHeight="1">
      <c r="A218" s="1246"/>
      <c r="B218" s="1239">
        <v>1</v>
      </c>
      <c r="C218" s="1340" t="s">
        <v>3051</v>
      </c>
      <c r="D218" s="1406"/>
      <c r="E218" s="1384"/>
      <c r="F218" s="1385"/>
    </row>
    <row r="219" spans="1:6" ht="15" customHeight="1" thickBot="1">
      <c r="A219" s="1268"/>
      <c r="B219" s="1257">
        <v>1</v>
      </c>
      <c r="C219" s="1359" t="s">
        <v>4055</v>
      </c>
      <c r="D219" s="1386"/>
      <c r="E219" s="1387"/>
      <c r="F219" s="1388"/>
    </row>
    <row r="220" spans="1:6" ht="15" customHeight="1">
      <c r="A220" s="1271"/>
      <c r="B220" s="1239"/>
      <c r="C220" s="1337"/>
      <c r="D220" s="1406"/>
      <c r="E220" s="1384"/>
      <c r="F220" s="1385"/>
    </row>
    <row r="221" spans="1:6" ht="15" customHeight="1">
      <c r="A221" s="1260">
        <v>5</v>
      </c>
      <c r="B221" s="1234">
        <v>1</v>
      </c>
      <c r="C221" s="1334" t="s">
        <v>4056</v>
      </c>
      <c r="D221" s="1376">
        <v>46866</v>
      </c>
      <c r="E221" s="1375"/>
      <c r="F221" s="1389">
        <f>+B221*D221</f>
        <v>46866</v>
      </c>
    </row>
    <row r="222" spans="1:6" ht="15" customHeight="1">
      <c r="A222" s="1236" t="s">
        <v>3310</v>
      </c>
      <c r="B222" s="1237"/>
      <c r="C222" s="1334"/>
      <c r="D222" s="1406"/>
      <c r="E222" s="1384"/>
      <c r="F222" s="1385"/>
    </row>
    <row r="223" spans="1:6" ht="15" customHeight="1">
      <c r="A223" s="1236" t="s">
        <v>3559</v>
      </c>
      <c r="B223" s="1239"/>
      <c r="C223" s="1333" t="s">
        <v>3301</v>
      </c>
      <c r="D223" s="1406"/>
      <c r="E223" s="1384"/>
      <c r="F223" s="1385"/>
    </row>
    <row r="224" spans="1:6" ht="15" customHeight="1">
      <c r="A224" s="1236"/>
      <c r="B224" s="1239">
        <v>1</v>
      </c>
      <c r="C224" s="2779" t="s">
        <v>3037</v>
      </c>
      <c r="D224" s="1406"/>
      <c r="E224" s="1384"/>
      <c r="F224" s="1385"/>
    </row>
    <row r="225" spans="1:6" ht="15" customHeight="1">
      <c r="A225" s="1236"/>
      <c r="B225" s="1239"/>
      <c r="C225" s="2779"/>
      <c r="D225" s="1406"/>
      <c r="E225" s="1384"/>
      <c r="F225" s="1385"/>
    </row>
    <row r="226" spans="1:6" ht="15" customHeight="1">
      <c r="A226" s="1240"/>
      <c r="B226" s="1248"/>
      <c r="C226" s="1343" t="s">
        <v>3535</v>
      </c>
      <c r="D226" s="1406"/>
      <c r="E226" s="1384"/>
      <c r="F226" s="1385"/>
    </row>
    <row r="227" spans="1:6" ht="15" customHeight="1">
      <c r="A227" s="1242" t="s">
        <v>4023</v>
      </c>
      <c r="B227" s="1239">
        <v>2</v>
      </c>
      <c r="C227" s="2779" t="s">
        <v>3901</v>
      </c>
      <c r="D227" s="1406"/>
      <c r="E227" s="1384"/>
      <c r="F227" s="1385"/>
    </row>
    <row r="228" spans="1:6" ht="15" customHeight="1">
      <c r="A228" s="1242"/>
      <c r="B228" s="1239"/>
      <c r="C228" s="2779"/>
      <c r="D228" s="1406"/>
      <c r="E228" s="1384"/>
      <c r="F228" s="1385"/>
    </row>
    <row r="229" spans="1:6" ht="15" customHeight="1">
      <c r="A229" s="1244"/>
      <c r="B229" s="1239">
        <v>1</v>
      </c>
      <c r="C229" s="2779" t="s">
        <v>1489</v>
      </c>
      <c r="D229" s="1406"/>
      <c r="E229" s="1384"/>
      <c r="F229" s="1385"/>
    </row>
    <row r="230" spans="1:6" ht="15" customHeight="1">
      <c r="A230" s="1244"/>
      <c r="B230" s="1239"/>
      <c r="C230" s="2779"/>
      <c r="D230" s="1406"/>
      <c r="E230" s="1384"/>
      <c r="F230" s="1385"/>
    </row>
    <row r="231" spans="1:6" ht="15" customHeight="1">
      <c r="A231" s="1245"/>
      <c r="B231" s="1239">
        <v>2</v>
      </c>
      <c r="C231" s="2779" t="s">
        <v>3902</v>
      </c>
      <c r="D231" s="1406"/>
      <c r="E231" s="1384"/>
      <c r="F231" s="1385"/>
    </row>
    <row r="232" spans="1:6" ht="15" customHeight="1">
      <c r="A232" s="1245"/>
      <c r="B232" s="1239"/>
      <c r="C232" s="2779"/>
      <c r="D232" s="1406"/>
      <c r="E232" s="1384"/>
      <c r="F232" s="1385"/>
    </row>
    <row r="233" spans="1:6" ht="15" customHeight="1">
      <c r="A233" s="1246" t="s">
        <v>3338</v>
      </c>
      <c r="B233" s="1248"/>
      <c r="C233" s="1343" t="s">
        <v>2797</v>
      </c>
      <c r="D233" s="1406"/>
      <c r="E233" s="1384"/>
      <c r="F233" s="1385"/>
    </row>
    <row r="234" spans="1:6" ht="31.5" customHeight="1">
      <c r="A234" s="1247" t="s">
        <v>3470</v>
      </c>
      <c r="B234" s="1239">
        <v>1</v>
      </c>
      <c r="C234" s="1407" t="s">
        <v>1513</v>
      </c>
      <c r="D234" s="1406"/>
      <c r="E234" s="1384"/>
      <c r="F234" s="1385"/>
    </row>
    <row r="235" spans="1:6" ht="32.25" customHeight="1">
      <c r="A235" s="1247" t="s">
        <v>3471</v>
      </c>
      <c r="B235" s="1239">
        <v>1</v>
      </c>
      <c r="C235" s="1407" t="s">
        <v>3885</v>
      </c>
      <c r="D235" s="1406"/>
      <c r="E235" s="1384"/>
      <c r="F235" s="1385"/>
    </row>
    <row r="236" spans="1:6" ht="31.5" customHeight="1">
      <c r="A236" s="1247"/>
      <c r="B236" s="1239">
        <v>1</v>
      </c>
      <c r="C236" s="1407" t="s">
        <v>3239</v>
      </c>
      <c r="D236" s="1406"/>
      <c r="E236" s="1384"/>
      <c r="F236" s="1385"/>
    </row>
    <row r="237" spans="1:6" ht="30" customHeight="1">
      <c r="A237" s="1247"/>
      <c r="B237" s="1239">
        <v>1</v>
      </c>
      <c r="C237" s="1407" t="s">
        <v>1512</v>
      </c>
      <c r="D237" s="1406"/>
      <c r="E237" s="1384"/>
      <c r="F237" s="1385"/>
    </row>
    <row r="238" spans="1:6" ht="31.5" customHeight="1">
      <c r="A238" s="1246" t="s">
        <v>4003</v>
      </c>
      <c r="B238" s="1239">
        <v>1</v>
      </c>
      <c r="C238" s="1407" t="s">
        <v>1511</v>
      </c>
      <c r="D238" s="1406"/>
      <c r="E238" s="1384"/>
      <c r="F238" s="1385"/>
    </row>
    <row r="239" spans="1:6" ht="31.5" customHeight="1">
      <c r="A239" s="1246"/>
      <c r="B239" s="1239">
        <v>2</v>
      </c>
      <c r="C239" s="1407" t="s">
        <v>3002</v>
      </c>
      <c r="D239" s="1406"/>
      <c r="E239" s="1384"/>
      <c r="F239" s="1385"/>
    </row>
    <row r="240" spans="1:6" ht="15" customHeight="1">
      <c r="A240" s="1246"/>
      <c r="B240" s="1239">
        <v>2</v>
      </c>
      <c r="C240" s="1337" t="s">
        <v>3078</v>
      </c>
      <c r="D240" s="1406"/>
      <c r="E240" s="1384"/>
      <c r="F240" s="1385"/>
    </row>
    <row r="241" spans="1:6" ht="15" customHeight="1">
      <c r="A241" s="1250"/>
      <c r="B241" s="1248"/>
      <c r="C241" s="1343" t="s">
        <v>3206</v>
      </c>
      <c r="D241" s="1406"/>
      <c r="E241" s="1384"/>
      <c r="F241" s="1385"/>
    </row>
    <row r="242" spans="1:6" ht="15" customHeight="1">
      <c r="A242" s="1246"/>
      <c r="B242" s="1249">
        <v>1</v>
      </c>
      <c r="C242" s="1338" t="s">
        <v>4043</v>
      </c>
      <c r="D242" s="1406"/>
      <c r="E242" s="1384"/>
      <c r="F242" s="1385"/>
    </row>
    <row r="243" spans="1:6" ht="15" customHeight="1">
      <c r="A243" s="1255"/>
      <c r="B243" s="1239"/>
      <c r="C243" s="1341" t="s">
        <v>729</v>
      </c>
      <c r="D243" s="1406"/>
      <c r="E243" s="1384"/>
      <c r="F243" s="1385"/>
    </row>
    <row r="244" spans="1:6" ht="15" customHeight="1">
      <c r="A244" s="1247"/>
      <c r="B244" s="1253">
        <v>1</v>
      </c>
      <c r="C244" s="1356" t="s">
        <v>4053</v>
      </c>
      <c r="D244" s="1406"/>
      <c r="E244" s="1384"/>
      <c r="F244" s="1385"/>
    </row>
    <row r="245" spans="1:6" ht="15" customHeight="1">
      <c r="A245" s="1247"/>
      <c r="B245" s="1254">
        <v>1</v>
      </c>
      <c r="C245" s="1335" t="s">
        <v>3536</v>
      </c>
      <c r="D245" s="1406"/>
      <c r="E245" s="1384"/>
      <c r="F245" s="1385"/>
    </row>
    <row r="246" spans="1:6" ht="15" customHeight="1">
      <c r="A246" s="1236"/>
      <c r="B246" s="1243">
        <v>1</v>
      </c>
      <c r="C246" s="1357" t="s">
        <v>2334</v>
      </c>
      <c r="D246" s="1406"/>
      <c r="E246" s="1384"/>
      <c r="F246" s="1385"/>
    </row>
    <row r="247" spans="1:6" ht="15" customHeight="1">
      <c r="A247" s="1236"/>
      <c r="B247" s="1243">
        <v>1</v>
      </c>
      <c r="C247" s="1357" t="s">
        <v>2335</v>
      </c>
      <c r="D247" s="1406"/>
      <c r="E247" s="1384"/>
      <c r="F247" s="1385"/>
    </row>
    <row r="248" spans="1:6" ht="15" customHeight="1">
      <c r="A248" s="1236"/>
      <c r="B248" s="1243">
        <v>1</v>
      </c>
      <c r="C248" s="1357" t="s">
        <v>2336</v>
      </c>
      <c r="D248" s="1406"/>
      <c r="E248" s="1384"/>
      <c r="F248" s="1385"/>
    </row>
    <row r="249" spans="1:6" ht="15" customHeight="1">
      <c r="A249" s="1236"/>
      <c r="B249" s="1243">
        <v>1</v>
      </c>
      <c r="C249" s="2778" t="s">
        <v>2339</v>
      </c>
      <c r="D249" s="1406"/>
      <c r="E249" s="1384"/>
      <c r="F249" s="1385"/>
    </row>
    <row r="250" spans="1:6" ht="15" customHeight="1">
      <c r="A250" s="1236"/>
      <c r="B250" s="1243"/>
      <c r="C250" s="2778"/>
      <c r="D250" s="1406"/>
      <c r="E250" s="1384"/>
      <c r="F250" s="1385"/>
    </row>
    <row r="251" spans="1:6" ht="15" customHeight="1">
      <c r="A251" s="1236"/>
      <c r="B251" s="1243">
        <v>2</v>
      </c>
      <c r="C251" s="1357" t="s">
        <v>1885</v>
      </c>
      <c r="D251" s="1406"/>
      <c r="E251" s="1384"/>
      <c r="F251" s="1385"/>
    </row>
    <row r="252" spans="1:6" ht="15" customHeight="1">
      <c r="A252" s="1252"/>
      <c r="B252" s="1254">
        <v>1</v>
      </c>
      <c r="C252" s="1335" t="s">
        <v>3537</v>
      </c>
      <c r="D252" s="1406"/>
      <c r="E252" s="1384"/>
      <c r="F252" s="1385"/>
    </row>
    <row r="253" spans="1:6" ht="15" customHeight="1">
      <c r="A253" s="1255"/>
      <c r="B253" s="1239"/>
      <c r="C253" s="1341" t="s">
        <v>729</v>
      </c>
      <c r="D253" s="1406"/>
      <c r="E253" s="1384"/>
      <c r="F253" s="1385"/>
    </row>
    <row r="254" spans="1:6" ht="15" customHeight="1">
      <c r="A254" s="1264"/>
      <c r="B254" s="1253">
        <v>5</v>
      </c>
      <c r="C254" s="1333" t="s">
        <v>3628</v>
      </c>
      <c r="D254" s="1406"/>
      <c r="E254" s="1384"/>
      <c r="F254" s="1385"/>
    </row>
    <row r="255" spans="1:6" ht="15" customHeight="1">
      <c r="A255" s="1244"/>
      <c r="B255" s="1243">
        <v>1</v>
      </c>
      <c r="C255" s="2778" t="s">
        <v>2337</v>
      </c>
      <c r="D255" s="1406"/>
      <c r="E255" s="1384"/>
      <c r="F255" s="1385"/>
    </row>
    <row r="256" spans="1:6" ht="15" customHeight="1">
      <c r="A256" s="1244"/>
      <c r="B256" s="1243"/>
      <c r="C256" s="2778"/>
      <c r="D256" s="1406"/>
      <c r="E256" s="1384"/>
      <c r="F256" s="1385"/>
    </row>
    <row r="257" spans="1:6" ht="15" customHeight="1">
      <c r="A257" s="1252"/>
      <c r="B257" s="1254">
        <v>1</v>
      </c>
      <c r="C257" s="1335" t="s">
        <v>3629</v>
      </c>
      <c r="D257" s="1406"/>
      <c r="E257" s="1384"/>
      <c r="F257" s="1385"/>
    </row>
    <row r="258" spans="1:6" ht="15" customHeight="1">
      <c r="A258" s="1240"/>
      <c r="B258" s="1239"/>
      <c r="C258" s="1341" t="s">
        <v>729</v>
      </c>
      <c r="D258" s="1406"/>
      <c r="E258" s="1384"/>
      <c r="F258" s="1385"/>
    </row>
    <row r="259" spans="1:6" ht="15" customHeight="1">
      <c r="A259" s="1264"/>
      <c r="B259" s="1253">
        <v>5</v>
      </c>
      <c r="C259" s="1333" t="s">
        <v>3627</v>
      </c>
      <c r="D259" s="1406"/>
      <c r="E259" s="1384"/>
      <c r="F259" s="1385"/>
    </row>
    <row r="260" spans="1:6" ht="15" customHeight="1">
      <c r="A260" s="1244"/>
      <c r="B260" s="1243">
        <v>2</v>
      </c>
      <c r="C260" s="2778" t="s">
        <v>3389</v>
      </c>
      <c r="D260" s="1406"/>
      <c r="E260" s="1384"/>
      <c r="F260" s="1385"/>
    </row>
    <row r="261" spans="1:6" ht="15" customHeight="1">
      <c r="A261" s="1244"/>
      <c r="B261" s="1243"/>
      <c r="C261" s="2778"/>
      <c r="D261" s="1406"/>
      <c r="E261" s="1384"/>
      <c r="F261" s="1385"/>
    </row>
    <row r="262" spans="1:6" ht="15" customHeight="1">
      <c r="A262" s="1252"/>
      <c r="B262" s="1254">
        <v>1</v>
      </c>
      <c r="C262" s="1335" t="s">
        <v>3629</v>
      </c>
      <c r="D262" s="1406"/>
      <c r="E262" s="1384"/>
      <c r="F262" s="1385"/>
    </row>
    <row r="263" spans="1:6" ht="15" customHeight="1">
      <c r="A263" s="1240"/>
      <c r="B263" s="1239"/>
      <c r="C263" s="1341" t="s">
        <v>729</v>
      </c>
      <c r="D263" s="1406"/>
      <c r="E263" s="1384"/>
      <c r="F263" s="1385"/>
    </row>
    <row r="264" spans="1:6" ht="15" customHeight="1">
      <c r="A264" s="1264"/>
      <c r="B264" s="1241">
        <v>1</v>
      </c>
      <c r="C264" s="1333" t="s">
        <v>4054</v>
      </c>
      <c r="D264" s="1406"/>
      <c r="E264" s="1384"/>
      <c r="F264" s="1385"/>
    </row>
    <row r="265" spans="1:6" ht="15" customHeight="1">
      <c r="A265" s="1244"/>
      <c r="B265" s="1243">
        <v>1</v>
      </c>
      <c r="C265" s="2778" t="s">
        <v>2658</v>
      </c>
      <c r="D265" s="1406"/>
      <c r="E265" s="1384"/>
      <c r="F265" s="1385"/>
    </row>
    <row r="266" spans="1:6" ht="15" customHeight="1">
      <c r="A266" s="1244"/>
      <c r="B266" s="1243"/>
      <c r="C266" s="2778"/>
      <c r="D266" s="1406"/>
      <c r="E266" s="1384"/>
      <c r="F266" s="1385"/>
    </row>
    <row r="267" spans="1:6" ht="15" customHeight="1">
      <c r="A267" s="1255"/>
      <c r="B267" s="1243">
        <v>3</v>
      </c>
      <c r="C267" s="1357" t="s">
        <v>423</v>
      </c>
      <c r="D267" s="1406"/>
      <c r="E267" s="1384"/>
      <c r="F267" s="1385"/>
    </row>
    <row r="268" spans="1:6" ht="15" customHeight="1">
      <c r="A268" s="1252"/>
      <c r="B268" s="1254">
        <v>1</v>
      </c>
      <c r="C268" s="1335" t="s">
        <v>3302</v>
      </c>
      <c r="D268" s="1406"/>
      <c r="E268" s="1384"/>
      <c r="F268" s="1385"/>
    </row>
    <row r="269" spans="1:6" ht="15" customHeight="1">
      <c r="A269" s="1252"/>
      <c r="B269" s="1254">
        <v>1</v>
      </c>
      <c r="C269" s="1335" t="s">
        <v>3303</v>
      </c>
      <c r="D269" s="1406"/>
      <c r="E269" s="1384"/>
      <c r="F269" s="1385"/>
    </row>
    <row r="270" spans="1:6" ht="15" customHeight="1">
      <c r="A270" s="1240"/>
      <c r="B270" s="1239"/>
      <c r="C270" s="1341" t="s">
        <v>729</v>
      </c>
      <c r="D270" s="1406"/>
      <c r="E270" s="1384"/>
      <c r="F270" s="1385"/>
    </row>
    <row r="271" spans="1:6" ht="15" customHeight="1">
      <c r="A271" s="1251"/>
      <c r="B271" s="1241">
        <v>2</v>
      </c>
      <c r="C271" s="1333" t="s">
        <v>3515</v>
      </c>
      <c r="D271" s="1406"/>
      <c r="E271" s="1384"/>
      <c r="F271" s="1385"/>
    </row>
    <row r="272" spans="1:6" ht="15" customHeight="1">
      <c r="A272" s="1252"/>
      <c r="B272" s="1254">
        <v>1</v>
      </c>
      <c r="C272" s="1335" t="s">
        <v>3516</v>
      </c>
      <c r="D272" s="1406"/>
      <c r="E272" s="1384"/>
      <c r="F272" s="1385"/>
    </row>
    <row r="273" spans="1:6" ht="15" customHeight="1">
      <c r="A273" s="1252"/>
      <c r="B273" s="1254">
        <v>1</v>
      </c>
      <c r="C273" s="1335" t="s">
        <v>3517</v>
      </c>
      <c r="D273" s="1406"/>
      <c r="E273" s="1384"/>
      <c r="F273" s="1385"/>
    </row>
    <row r="274" spans="1:6" ht="15" customHeight="1">
      <c r="A274" s="1252"/>
      <c r="B274" s="1254">
        <v>1</v>
      </c>
      <c r="C274" s="1335" t="s">
        <v>3518</v>
      </c>
      <c r="D274" s="1406"/>
      <c r="E274" s="1384"/>
      <c r="F274" s="1385"/>
    </row>
    <row r="275" spans="1:6" ht="15" customHeight="1">
      <c r="A275" s="1252"/>
      <c r="B275" s="1254">
        <v>1</v>
      </c>
      <c r="C275" s="1335" t="s">
        <v>3519</v>
      </c>
      <c r="D275" s="1406"/>
      <c r="E275" s="1384"/>
      <c r="F275" s="1385"/>
    </row>
    <row r="276" spans="1:6" ht="15" customHeight="1">
      <c r="A276" s="1252"/>
      <c r="B276" s="1254">
        <v>1</v>
      </c>
      <c r="C276" s="1335" t="s">
        <v>3520</v>
      </c>
      <c r="D276" s="1406"/>
      <c r="E276" s="1384"/>
      <c r="F276" s="1385"/>
    </row>
    <row r="277" spans="1:6" ht="15" customHeight="1">
      <c r="A277" s="1240"/>
      <c r="B277" s="1239"/>
      <c r="C277" s="1341" t="s">
        <v>729</v>
      </c>
      <c r="D277" s="1406"/>
      <c r="E277" s="1384"/>
      <c r="F277" s="1385"/>
    </row>
    <row r="278" spans="1:6" ht="15" customHeight="1">
      <c r="A278" s="1246"/>
      <c r="B278" s="1239">
        <v>1</v>
      </c>
      <c r="C278" s="1340" t="s">
        <v>316</v>
      </c>
      <c r="D278" s="1406"/>
      <c r="E278" s="1384"/>
      <c r="F278" s="1385"/>
    </row>
    <row r="279" spans="1:6" ht="15" customHeight="1" thickBot="1">
      <c r="A279" s="1272"/>
      <c r="B279" s="1273">
        <v>1</v>
      </c>
      <c r="C279" s="1345" t="s">
        <v>3051</v>
      </c>
      <c r="D279" s="1386"/>
      <c r="E279" s="1387"/>
      <c r="F279" s="1388"/>
    </row>
    <row r="280" spans="1:6" ht="15" customHeight="1">
      <c r="A280" s="1246"/>
      <c r="B280" s="1239"/>
      <c r="C280" s="1340"/>
      <c r="D280" s="1406"/>
      <c r="E280" s="1384"/>
      <c r="F280" s="1385"/>
    </row>
    <row r="281" spans="1:6" ht="15" customHeight="1">
      <c r="A281" s="1274">
        <v>132</v>
      </c>
      <c r="B281" s="1234">
        <v>1</v>
      </c>
      <c r="C281" s="1334" t="s">
        <v>4061</v>
      </c>
      <c r="D281" s="1376">
        <v>60314</v>
      </c>
      <c r="E281" s="1375"/>
      <c r="F281" s="1389">
        <f>+B281*D281</f>
        <v>60314</v>
      </c>
    </row>
    <row r="282" spans="1:6" ht="15" customHeight="1">
      <c r="A282" s="1275" t="s">
        <v>3310</v>
      </c>
      <c r="B282" s="1237"/>
      <c r="C282" s="1334" t="s">
        <v>2805</v>
      </c>
      <c r="D282" s="1406"/>
      <c r="E282" s="1384"/>
      <c r="F282" s="1385"/>
    </row>
    <row r="283" spans="1:6" ht="26.25" customHeight="1">
      <c r="A283" s="1275" t="s">
        <v>4059</v>
      </c>
      <c r="B283" s="1239">
        <v>1</v>
      </c>
      <c r="C283" s="1407" t="s">
        <v>1510</v>
      </c>
      <c r="D283" s="1406"/>
      <c r="E283" s="1384"/>
      <c r="F283" s="1385"/>
    </row>
    <row r="284" spans="1:6" ht="15" customHeight="1">
      <c r="A284" s="1275" t="s">
        <v>3724</v>
      </c>
      <c r="B284" s="1239"/>
      <c r="C284" s="1341" t="s">
        <v>729</v>
      </c>
      <c r="D284" s="1406"/>
      <c r="E284" s="1384"/>
      <c r="F284" s="1385"/>
    </row>
    <row r="285" spans="1:6" ht="15" customHeight="1">
      <c r="A285" s="1244"/>
      <c r="B285" s="1241">
        <v>1</v>
      </c>
      <c r="C285" s="1333" t="s">
        <v>3789</v>
      </c>
      <c r="D285" s="1406"/>
      <c r="E285" s="1384"/>
      <c r="F285" s="1385"/>
    </row>
    <row r="286" spans="1:6" ht="29.25" customHeight="1">
      <c r="A286" s="1276" t="s">
        <v>3725</v>
      </c>
      <c r="B286" s="1243">
        <v>2</v>
      </c>
      <c r="C286" s="1408" t="s">
        <v>1510</v>
      </c>
      <c r="D286" s="1406"/>
      <c r="E286" s="1384"/>
      <c r="F286" s="1385"/>
    </row>
    <row r="287" spans="1:6" ht="15" customHeight="1">
      <c r="A287" s="1276" t="s">
        <v>3726</v>
      </c>
      <c r="B287" s="1254">
        <v>1</v>
      </c>
      <c r="C287" s="1357" t="s">
        <v>3790</v>
      </c>
      <c r="D287" s="1406"/>
      <c r="E287" s="1384"/>
      <c r="F287" s="1385"/>
    </row>
    <row r="288" spans="1:6" ht="15" customHeight="1">
      <c r="A288" s="1276"/>
      <c r="B288" s="1239"/>
      <c r="C288" s="1341" t="s">
        <v>729</v>
      </c>
      <c r="D288" s="1406"/>
      <c r="E288" s="1384"/>
      <c r="F288" s="1385"/>
    </row>
    <row r="289" spans="1:6" ht="33.75" customHeight="1">
      <c r="A289" s="1276" t="s">
        <v>3338</v>
      </c>
      <c r="B289" s="1239">
        <v>2</v>
      </c>
      <c r="C289" s="1407" t="s">
        <v>1510</v>
      </c>
      <c r="D289" s="1406"/>
      <c r="E289" s="1384"/>
      <c r="F289" s="1385"/>
    </row>
    <row r="290" spans="1:6" ht="15" customHeight="1">
      <c r="A290" s="1276" t="s">
        <v>3727</v>
      </c>
      <c r="B290" s="1239"/>
      <c r="C290" s="1341" t="s">
        <v>729</v>
      </c>
      <c r="D290" s="1406"/>
      <c r="E290" s="1384"/>
      <c r="F290" s="1385"/>
    </row>
    <row r="291" spans="1:6" ht="15" customHeight="1">
      <c r="A291" s="1276" t="s">
        <v>3728</v>
      </c>
      <c r="B291" s="1239">
        <v>4</v>
      </c>
      <c r="C291" s="1340" t="s">
        <v>3881</v>
      </c>
      <c r="D291" s="1406"/>
      <c r="E291" s="1384"/>
      <c r="F291" s="1385"/>
    </row>
    <row r="292" spans="1:6" ht="15" customHeight="1">
      <c r="A292" s="1246"/>
      <c r="B292" s="1239"/>
      <c r="C292" s="1341" t="s">
        <v>729</v>
      </c>
      <c r="D292" s="1406"/>
      <c r="E292" s="1384"/>
      <c r="F292" s="1385"/>
    </row>
    <row r="293" spans="1:6" ht="54" customHeight="1">
      <c r="A293" s="1240"/>
      <c r="B293" s="1239">
        <v>4</v>
      </c>
      <c r="C293" s="1407" t="s">
        <v>4062</v>
      </c>
      <c r="D293" s="1406"/>
      <c r="E293" s="1384"/>
      <c r="F293" s="1385"/>
    </row>
    <row r="294" spans="1:6" ht="15" customHeight="1">
      <c r="A294" s="1246"/>
      <c r="B294" s="1239">
        <v>4</v>
      </c>
      <c r="C294" s="1340" t="s">
        <v>3912</v>
      </c>
      <c r="D294" s="1406"/>
      <c r="E294" s="1384"/>
      <c r="F294" s="1385"/>
    </row>
    <row r="295" spans="1:6" ht="25.5" customHeight="1">
      <c r="A295" s="1246"/>
      <c r="B295" s="1239">
        <v>4</v>
      </c>
      <c r="C295" s="1407" t="s">
        <v>3914</v>
      </c>
      <c r="D295" s="1406"/>
      <c r="E295" s="1384"/>
      <c r="F295" s="1385"/>
    </row>
    <row r="296" spans="1:6" ht="28.5" customHeight="1">
      <c r="A296" s="1246"/>
      <c r="B296" s="1239">
        <v>4</v>
      </c>
      <c r="C296" s="1407" t="s">
        <v>3918</v>
      </c>
      <c r="D296" s="1406"/>
      <c r="E296" s="1384"/>
      <c r="F296" s="1385"/>
    </row>
    <row r="297" spans="1:6" ht="15" customHeight="1">
      <c r="A297" s="1246"/>
      <c r="B297" s="1239">
        <v>4</v>
      </c>
      <c r="C297" s="1340" t="s">
        <v>3920</v>
      </c>
      <c r="D297" s="1406"/>
      <c r="E297" s="1384"/>
      <c r="F297" s="1385"/>
    </row>
    <row r="298" spans="1:6" ht="15" customHeight="1">
      <c r="A298" s="1246"/>
      <c r="B298" s="1239"/>
      <c r="C298" s="1341" t="s">
        <v>729</v>
      </c>
      <c r="D298" s="1406"/>
      <c r="E298" s="1384"/>
      <c r="F298" s="1385"/>
    </row>
    <row r="299" spans="1:6" ht="15" customHeight="1">
      <c r="A299" s="1240"/>
      <c r="B299" s="1248"/>
      <c r="C299" s="1343" t="s">
        <v>3794</v>
      </c>
      <c r="D299" s="1406"/>
      <c r="E299" s="1384"/>
      <c r="F299" s="1385"/>
    </row>
    <row r="300" spans="1:6" ht="15" customHeight="1">
      <c r="A300" s="1240"/>
      <c r="B300" s="1248"/>
      <c r="C300" s="1343" t="s">
        <v>3795</v>
      </c>
      <c r="D300" s="1406"/>
      <c r="E300" s="1384"/>
      <c r="F300" s="1385"/>
    </row>
    <row r="301" spans="1:6" ht="15" customHeight="1">
      <c r="A301" s="1240"/>
      <c r="B301" s="1239">
        <v>7</v>
      </c>
      <c r="C301" s="1340" t="s">
        <v>983</v>
      </c>
      <c r="D301" s="1406"/>
      <c r="E301" s="1384"/>
      <c r="F301" s="1385"/>
    </row>
    <row r="302" spans="1:6" ht="15" customHeight="1">
      <c r="A302" s="1264"/>
      <c r="B302" s="1248"/>
      <c r="C302" s="1343" t="s">
        <v>3796</v>
      </c>
      <c r="D302" s="1406"/>
      <c r="E302" s="1384"/>
      <c r="F302" s="1385"/>
    </row>
    <row r="303" spans="1:6" ht="15" customHeight="1">
      <c r="A303" s="1277"/>
      <c r="B303" s="1239">
        <v>7</v>
      </c>
      <c r="C303" s="1340" t="s">
        <v>983</v>
      </c>
      <c r="D303" s="1406"/>
      <c r="E303" s="1384"/>
      <c r="F303" s="1385"/>
    </row>
    <row r="304" spans="1:6" ht="15" customHeight="1">
      <c r="A304" s="1236"/>
      <c r="B304" s="1248"/>
      <c r="C304" s="1343" t="s">
        <v>3797</v>
      </c>
      <c r="D304" s="1406"/>
      <c r="E304" s="1384"/>
      <c r="F304" s="1385"/>
    </row>
    <row r="305" spans="1:6" ht="15" customHeight="1">
      <c r="A305" s="1240"/>
      <c r="B305" s="1239">
        <v>7</v>
      </c>
      <c r="C305" s="1340" t="s">
        <v>983</v>
      </c>
      <c r="D305" s="1406"/>
      <c r="E305" s="1384"/>
      <c r="F305" s="1385"/>
    </row>
    <row r="306" spans="1:6" ht="15" customHeight="1">
      <c r="A306" s="1236"/>
      <c r="B306" s="1248"/>
      <c r="C306" s="1343" t="s">
        <v>3798</v>
      </c>
      <c r="D306" s="1406"/>
      <c r="E306" s="1384"/>
      <c r="F306" s="1385"/>
    </row>
    <row r="307" spans="1:6" ht="15" customHeight="1">
      <c r="A307" s="1240"/>
      <c r="B307" s="1239">
        <v>7</v>
      </c>
      <c r="C307" s="1340" t="s">
        <v>983</v>
      </c>
      <c r="D307" s="1406"/>
      <c r="E307" s="1384"/>
      <c r="F307" s="1385"/>
    </row>
    <row r="308" spans="1:6" ht="15" customHeight="1">
      <c r="A308" s="1246"/>
      <c r="B308" s="1239"/>
      <c r="C308" s="1341" t="s">
        <v>729</v>
      </c>
      <c r="D308" s="1406"/>
      <c r="E308" s="1384"/>
      <c r="F308" s="1385"/>
    </row>
    <row r="309" spans="1:6" ht="15" customHeight="1">
      <c r="A309" s="1251"/>
      <c r="B309" s="1241">
        <v>2</v>
      </c>
      <c r="C309" s="1333" t="s">
        <v>3515</v>
      </c>
      <c r="D309" s="1406"/>
      <c r="E309" s="1384"/>
      <c r="F309" s="1385"/>
    </row>
    <row r="310" spans="1:6" ht="15" customHeight="1">
      <c r="A310" s="1252"/>
      <c r="B310" s="1254">
        <v>1</v>
      </c>
      <c r="C310" s="1335" t="s">
        <v>3516</v>
      </c>
      <c r="D310" s="1406"/>
      <c r="E310" s="1384"/>
      <c r="F310" s="1385"/>
    </row>
    <row r="311" spans="1:6" ht="15" customHeight="1">
      <c r="A311" s="1252"/>
      <c r="B311" s="1254">
        <v>1</v>
      </c>
      <c r="C311" s="1335" t="s">
        <v>3517</v>
      </c>
      <c r="D311" s="1406"/>
      <c r="E311" s="1384"/>
      <c r="F311" s="1385"/>
    </row>
    <row r="312" spans="1:6" ht="15" customHeight="1">
      <c r="A312" s="1252"/>
      <c r="B312" s="1254">
        <v>1</v>
      </c>
      <c r="C312" s="1335" t="s">
        <v>3518</v>
      </c>
      <c r="D312" s="1406"/>
      <c r="E312" s="1384"/>
      <c r="F312" s="1385"/>
    </row>
    <row r="313" spans="1:6" ht="15" customHeight="1">
      <c r="A313" s="1252"/>
      <c r="B313" s="1254">
        <v>1</v>
      </c>
      <c r="C313" s="1335" t="s">
        <v>3519</v>
      </c>
      <c r="D313" s="1406"/>
      <c r="E313" s="1384"/>
      <c r="F313" s="1385"/>
    </row>
    <row r="314" spans="1:6" ht="15" customHeight="1">
      <c r="A314" s="1252"/>
      <c r="B314" s="1254">
        <v>1</v>
      </c>
      <c r="C314" s="1335" t="s">
        <v>3520</v>
      </c>
      <c r="D314" s="1406"/>
      <c r="E314" s="1384"/>
      <c r="F314" s="1385"/>
    </row>
    <row r="315" spans="1:6" ht="15" customHeight="1">
      <c r="A315" s="1240"/>
      <c r="B315" s="1239"/>
      <c r="C315" s="1341" t="s">
        <v>729</v>
      </c>
      <c r="D315" s="1406"/>
      <c r="E315" s="1384"/>
      <c r="F315" s="1385"/>
    </row>
    <row r="316" spans="1:6" ht="15" customHeight="1">
      <c r="A316" s="1246"/>
      <c r="B316" s="1239">
        <v>1</v>
      </c>
      <c r="C316" s="1344" t="s">
        <v>3051</v>
      </c>
      <c r="D316" s="1406"/>
      <c r="E316" s="1384"/>
      <c r="F316" s="1385"/>
    </row>
    <row r="317" spans="1:6" ht="15" customHeight="1" thickBot="1">
      <c r="A317" s="1272"/>
      <c r="B317" s="1273">
        <v>1</v>
      </c>
      <c r="C317" s="1345" t="s">
        <v>316</v>
      </c>
      <c r="D317" s="1386"/>
      <c r="E317" s="1387"/>
      <c r="F317" s="1388"/>
    </row>
    <row r="318" spans="1:6" ht="15" customHeight="1">
      <c r="A318" s="1246"/>
      <c r="B318" s="1239"/>
      <c r="C318" s="1340"/>
      <c r="D318" s="1406"/>
      <c r="E318" s="1384"/>
      <c r="F318" s="1385"/>
    </row>
    <row r="319" spans="1:6" ht="15" customHeight="1">
      <c r="A319" s="1274">
        <v>133</v>
      </c>
      <c r="B319" s="1234">
        <v>1</v>
      </c>
      <c r="C319" s="1334" t="s">
        <v>4063</v>
      </c>
      <c r="D319" s="1376">
        <v>20109</v>
      </c>
      <c r="E319" s="1375"/>
      <c r="F319" s="1389">
        <f>+B319*D319</f>
        <v>20109</v>
      </c>
    </row>
    <row r="320" spans="1:6" ht="15" customHeight="1">
      <c r="A320" s="1275" t="s">
        <v>3310</v>
      </c>
      <c r="B320" s="1237"/>
      <c r="C320" s="1334" t="s">
        <v>2805</v>
      </c>
      <c r="D320" s="1406"/>
      <c r="E320" s="1384"/>
      <c r="F320" s="1385"/>
    </row>
    <row r="321" spans="1:6" ht="31.5" customHeight="1">
      <c r="A321" s="1275" t="s">
        <v>4059</v>
      </c>
      <c r="B321" s="1239">
        <v>1</v>
      </c>
      <c r="C321" s="1407" t="s">
        <v>1489</v>
      </c>
      <c r="D321" s="1406"/>
      <c r="E321" s="1384"/>
      <c r="F321" s="1385"/>
    </row>
    <row r="322" spans="1:6" ht="15" customHeight="1">
      <c r="A322" s="1275" t="s">
        <v>3724</v>
      </c>
      <c r="B322" s="1239"/>
      <c r="C322" s="1341" t="s">
        <v>729</v>
      </c>
      <c r="D322" s="1406"/>
      <c r="E322" s="1384"/>
      <c r="F322" s="1385"/>
    </row>
    <row r="323" spans="1:6" ht="15" customHeight="1">
      <c r="A323" s="1244"/>
      <c r="B323" s="1241">
        <v>2</v>
      </c>
      <c r="C323" s="1333" t="s">
        <v>4064</v>
      </c>
      <c r="D323" s="1406"/>
      <c r="E323" s="1384"/>
      <c r="F323" s="1385"/>
    </row>
    <row r="324" spans="1:6" ht="29.25" customHeight="1">
      <c r="A324" s="1276" t="s">
        <v>3725</v>
      </c>
      <c r="B324" s="1243">
        <v>2</v>
      </c>
      <c r="C324" s="1408" t="s">
        <v>3901</v>
      </c>
      <c r="D324" s="1406"/>
      <c r="E324" s="1384"/>
      <c r="F324" s="1385"/>
    </row>
    <row r="325" spans="1:6" ht="15" customHeight="1">
      <c r="A325" s="1276" t="s">
        <v>3726</v>
      </c>
      <c r="B325" s="1254">
        <v>1</v>
      </c>
      <c r="C325" s="1357" t="s">
        <v>3790</v>
      </c>
      <c r="D325" s="1406"/>
      <c r="E325" s="1384"/>
      <c r="F325" s="1385"/>
    </row>
    <row r="326" spans="1:6" ht="15" customHeight="1">
      <c r="A326" s="1276"/>
      <c r="B326" s="1239"/>
      <c r="C326" s="1341" t="s">
        <v>729</v>
      </c>
      <c r="D326" s="1406"/>
      <c r="E326" s="1384"/>
      <c r="F326" s="1385"/>
    </row>
    <row r="327" spans="1:6" ht="15" customHeight="1">
      <c r="A327" s="1276" t="s">
        <v>3338</v>
      </c>
      <c r="B327" s="1248"/>
      <c r="C327" s="1343" t="s">
        <v>2797</v>
      </c>
      <c r="D327" s="1406"/>
      <c r="E327" s="1384"/>
      <c r="F327" s="1385"/>
    </row>
    <row r="328" spans="1:6" ht="25.5" customHeight="1">
      <c r="A328" s="1276" t="s">
        <v>3727</v>
      </c>
      <c r="B328" s="1239">
        <v>7</v>
      </c>
      <c r="C328" s="1407" t="s">
        <v>2957</v>
      </c>
      <c r="D328" s="1406"/>
      <c r="E328" s="1384"/>
      <c r="F328" s="1385"/>
    </row>
    <row r="329" spans="1:6" ht="15" customHeight="1">
      <c r="A329" s="1276" t="s">
        <v>3728</v>
      </c>
      <c r="B329" s="1239">
        <v>1</v>
      </c>
      <c r="C329" s="1340" t="s">
        <v>3881</v>
      </c>
      <c r="D329" s="1406"/>
      <c r="E329" s="1384"/>
      <c r="F329" s="1385"/>
    </row>
    <row r="330" spans="1:6" ht="15" customHeight="1">
      <c r="A330" s="1277"/>
      <c r="B330" s="1239">
        <v>1</v>
      </c>
      <c r="C330" s="1340" t="s">
        <v>4065</v>
      </c>
      <c r="D330" s="1406"/>
      <c r="E330" s="1384"/>
      <c r="F330" s="1385"/>
    </row>
    <row r="331" spans="1:6" ht="15" customHeight="1">
      <c r="A331" s="1246"/>
      <c r="B331" s="1239"/>
      <c r="C331" s="1341" t="s">
        <v>729</v>
      </c>
      <c r="D331" s="1406"/>
      <c r="E331" s="1384"/>
      <c r="F331" s="1385"/>
    </row>
    <row r="332" spans="1:6" ht="15" customHeight="1">
      <c r="A332" s="1251"/>
      <c r="B332" s="1241">
        <v>1</v>
      </c>
      <c r="C332" s="1333" t="s">
        <v>3515</v>
      </c>
      <c r="D332" s="1406"/>
      <c r="E332" s="1384"/>
      <c r="F332" s="1385"/>
    </row>
    <row r="333" spans="1:6" ht="15" customHeight="1">
      <c r="A333" s="1252"/>
      <c r="B333" s="1254">
        <v>1</v>
      </c>
      <c r="C333" s="1335" t="s">
        <v>3516</v>
      </c>
      <c r="D333" s="1406"/>
      <c r="E333" s="1384"/>
      <c r="F333" s="1385"/>
    </row>
    <row r="334" spans="1:6" ht="15" customHeight="1">
      <c r="A334" s="1252"/>
      <c r="B334" s="1254">
        <v>1</v>
      </c>
      <c r="C334" s="1335" t="s">
        <v>3517</v>
      </c>
      <c r="D334" s="1406"/>
      <c r="E334" s="1384"/>
      <c r="F334" s="1385"/>
    </row>
    <row r="335" spans="1:6" ht="15" customHeight="1">
      <c r="A335" s="1252"/>
      <c r="B335" s="1254">
        <v>1</v>
      </c>
      <c r="C335" s="1335" t="s">
        <v>3518</v>
      </c>
      <c r="D335" s="1406"/>
      <c r="E335" s="1384"/>
      <c r="F335" s="1385"/>
    </row>
    <row r="336" spans="1:6" ht="15" customHeight="1">
      <c r="A336" s="1252"/>
      <c r="B336" s="1254">
        <v>1</v>
      </c>
      <c r="C336" s="1335" t="s">
        <v>3519</v>
      </c>
      <c r="D336" s="1406"/>
      <c r="E336" s="1384"/>
      <c r="F336" s="1385"/>
    </row>
    <row r="337" spans="1:248" ht="15" customHeight="1">
      <c r="A337" s="1252"/>
      <c r="B337" s="1254">
        <v>1</v>
      </c>
      <c r="C337" s="1335" t="s">
        <v>3520</v>
      </c>
      <c r="D337" s="1406"/>
      <c r="E337" s="1384"/>
      <c r="F337" s="1385"/>
    </row>
    <row r="338" spans="1:248" ht="15" customHeight="1">
      <c r="A338" s="1240"/>
      <c r="B338" s="1239"/>
      <c r="C338" s="1341" t="s">
        <v>729</v>
      </c>
      <c r="D338" s="1406"/>
      <c r="E338" s="1384"/>
      <c r="F338" s="1385"/>
    </row>
    <row r="339" spans="1:248" ht="15" customHeight="1">
      <c r="A339" s="1246"/>
      <c r="B339" s="1239">
        <v>1</v>
      </c>
      <c r="C339" s="1344" t="s">
        <v>3051</v>
      </c>
      <c r="D339" s="1406"/>
      <c r="E339" s="1384"/>
      <c r="F339" s="1385"/>
    </row>
    <row r="340" spans="1:248" ht="15" customHeight="1" thickBot="1">
      <c r="A340" s="1272"/>
      <c r="B340" s="1273">
        <v>1</v>
      </c>
      <c r="C340" s="1345" t="s">
        <v>316</v>
      </c>
      <c r="D340" s="1386"/>
      <c r="E340" s="1387"/>
      <c r="F340" s="1388"/>
    </row>
    <row r="341" spans="1:248" s="1431" customFormat="1" ht="30" customHeight="1">
      <c r="A341" s="1524"/>
      <c r="B341" s="1535"/>
      <c r="C341" s="1539" t="s">
        <v>4956</v>
      </c>
      <c r="D341" s="1525"/>
      <c r="E341" s="1526"/>
      <c r="F341" s="1527"/>
      <c r="G341" s="1430"/>
      <c r="H341" s="1430"/>
      <c r="I341" s="1430"/>
      <c r="J341" s="1430"/>
      <c r="K341" s="1430"/>
      <c r="L341" s="1430"/>
      <c r="M341" s="1430"/>
      <c r="N341" s="1430"/>
      <c r="O341" s="1430"/>
      <c r="P341" s="1430"/>
      <c r="Q341" s="1430"/>
      <c r="R341" s="1430"/>
      <c r="S341" s="1430"/>
      <c r="T341" s="1430"/>
      <c r="U341" s="1430"/>
      <c r="V341" s="1430"/>
      <c r="W341" s="1430"/>
      <c r="X341" s="1430"/>
      <c r="Y341" s="1430"/>
      <c r="Z341" s="1430"/>
      <c r="AA341" s="1430"/>
      <c r="AB341" s="1430"/>
      <c r="AC341" s="1430"/>
      <c r="AD341" s="1430"/>
      <c r="AE341" s="1430"/>
      <c r="AF341" s="1430"/>
      <c r="AG341" s="1430"/>
      <c r="AH341" s="1430"/>
      <c r="AI341" s="1430"/>
      <c r="AJ341" s="1430"/>
      <c r="AK341" s="1430"/>
      <c r="AL341" s="1430"/>
      <c r="AM341" s="1430"/>
      <c r="AN341" s="1430"/>
      <c r="AO341" s="1430"/>
      <c r="AP341" s="1430"/>
      <c r="AQ341" s="1430"/>
      <c r="AR341" s="1430"/>
      <c r="AS341" s="1430"/>
      <c r="AT341" s="1430"/>
      <c r="AU341" s="1430"/>
      <c r="AV341" s="1430"/>
      <c r="AW341" s="1430"/>
      <c r="AX341" s="1430"/>
      <c r="AY341" s="1430"/>
      <c r="AZ341" s="1430"/>
      <c r="BA341" s="1430"/>
      <c r="BB341" s="1430"/>
      <c r="BC341" s="1430"/>
      <c r="BD341" s="1430"/>
      <c r="BE341" s="1430"/>
      <c r="BF341" s="1430"/>
      <c r="BG341" s="1430"/>
      <c r="BH341" s="1430"/>
      <c r="BI341" s="1430"/>
      <c r="BJ341" s="1430"/>
      <c r="BK341" s="1430"/>
      <c r="BL341" s="1430"/>
      <c r="BM341" s="1430"/>
      <c r="BN341" s="1430"/>
      <c r="BO341" s="1430"/>
      <c r="BP341" s="1430"/>
      <c r="BQ341" s="1430"/>
      <c r="BR341" s="1430"/>
      <c r="BS341" s="1430"/>
      <c r="BT341" s="1430"/>
      <c r="BU341" s="1430"/>
      <c r="BV341" s="1430"/>
      <c r="BW341" s="1430"/>
      <c r="BX341" s="1430"/>
      <c r="BY341" s="1430"/>
      <c r="BZ341" s="1430"/>
      <c r="CA341" s="1430"/>
      <c r="CB341" s="1430"/>
      <c r="CC341" s="1430"/>
      <c r="CD341" s="1430"/>
      <c r="CE341" s="1430"/>
      <c r="CF341" s="1430"/>
      <c r="CG341" s="1430"/>
      <c r="CH341" s="1430"/>
      <c r="CI341" s="1430"/>
      <c r="CJ341" s="1430"/>
      <c r="CK341" s="1430"/>
      <c r="CL341" s="1430"/>
      <c r="CM341" s="1430"/>
      <c r="CN341" s="1430"/>
      <c r="CO341" s="1430"/>
      <c r="CP341" s="1430"/>
      <c r="CQ341" s="1430"/>
      <c r="CR341" s="1430"/>
      <c r="CS341" s="1430"/>
      <c r="CT341" s="1430"/>
      <c r="CU341" s="1430"/>
      <c r="CV341" s="1430"/>
      <c r="CW341" s="1430"/>
      <c r="CX341" s="1430"/>
      <c r="CY341" s="1430"/>
      <c r="CZ341" s="1430"/>
      <c r="DA341" s="1430"/>
      <c r="DB341" s="1430"/>
      <c r="DC341" s="1430"/>
      <c r="DD341" s="1430"/>
      <c r="DE341" s="1430"/>
      <c r="DF341" s="1430"/>
      <c r="DG341" s="1430"/>
      <c r="DH341" s="1430"/>
      <c r="DI341" s="1430"/>
      <c r="DJ341" s="1430"/>
      <c r="DK341" s="1430"/>
      <c r="DL341" s="1430"/>
      <c r="DM341" s="1430"/>
      <c r="DN341" s="1430"/>
      <c r="DO341" s="1430"/>
      <c r="DP341" s="1430"/>
      <c r="DQ341" s="1430"/>
      <c r="DR341" s="1430"/>
      <c r="DS341" s="1430"/>
      <c r="DT341" s="1430"/>
      <c r="DU341" s="1430"/>
      <c r="DV341" s="1430"/>
      <c r="DW341" s="1430"/>
      <c r="DX341" s="1430"/>
      <c r="DY341" s="1430"/>
      <c r="DZ341" s="1430"/>
      <c r="EA341" s="1430"/>
      <c r="EB341" s="1430"/>
      <c r="EC341" s="1430"/>
      <c r="ED341" s="1430"/>
      <c r="EE341" s="1430"/>
      <c r="EF341" s="1430"/>
      <c r="EG341" s="1430"/>
      <c r="EH341" s="1430"/>
      <c r="EI341" s="1430"/>
      <c r="EJ341" s="1430"/>
      <c r="EK341" s="1430"/>
      <c r="EL341" s="1430"/>
      <c r="EM341" s="1430"/>
      <c r="EN341" s="1430"/>
      <c r="EO341" s="1430"/>
      <c r="EP341" s="1430"/>
      <c r="EQ341" s="1430"/>
      <c r="ER341" s="1430"/>
      <c r="ES341" s="1430"/>
      <c r="ET341" s="1430"/>
      <c r="EU341" s="1430"/>
      <c r="EV341" s="1430"/>
      <c r="EW341" s="1430"/>
      <c r="EX341" s="1430"/>
      <c r="EY341" s="1430"/>
      <c r="EZ341" s="1430"/>
      <c r="FA341" s="1430"/>
      <c r="FB341" s="1430"/>
      <c r="FC341" s="1430"/>
      <c r="FD341" s="1430"/>
      <c r="FE341" s="1430"/>
      <c r="FF341" s="1430"/>
      <c r="FG341" s="1430"/>
      <c r="FH341" s="1430"/>
      <c r="FI341" s="1430"/>
      <c r="FJ341" s="1430"/>
      <c r="FK341" s="1430"/>
      <c r="FL341" s="1430"/>
      <c r="FM341" s="1430"/>
      <c r="FN341" s="1430"/>
      <c r="FO341" s="1430"/>
      <c r="FP341" s="1430"/>
      <c r="FQ341" s="1430"/>
      <c r="FR341" s="1430"/>
      <c r="FS341" s="1430"/>
      <c r="FT341" s="1430"/>
      <c r="FU341" s="1430"/>
      <c r="FV341" s="1430"/>
      <c r="FW341" s="1430"/>
      <c r="FX341" s="1430"/>
      <c r="FY341" s="1430"/>
      <c r="FZ341" s="1430"/>
      <c r="GA341" s="1430"/>
      <c r="GB341" s="1430"/>
      <c r="GC341" s="1430"/>
      <c r="GD341" s="1430"/>
      <c r="GE341" s="1430"/>
      <c r="GF341" s="1430"/>
      <c r="GG341" s="1430"/>
      <c r="GH341" s="1430"/>
      <c r="GI341" s="1430"/>
      <c r="GJ341" s="1430"/>
      <c r="GK341" s="1430"/>
      <c r="GL341" s="1430"/>
      <c r="GM341" s="1430"/>
      <c r="GN341" s="1430"/>
      <c r="GO341" s="1430"/>
      <c r="GP341" s="1430"/>
      <c r="GQ341" s="1430"/>
      <c r="GR341" s="1430"/>
      <c r="GS341" s="1430"/>
      <c r="GT341" s="1430"/>
      <c r="GU341" s="1430"/>
      <c r="GV341" s="1430"/>
      <c r="GW341" s="1430"/>
      <c r="GX341" s="1430"/>
      <c r="GY341" s="1430"/>
      <c r="GZ341" s="1430"/>
      <c r="HA341" s="1430"/>
      <c r="HB341" s="1430"/>
      <c r="HC341" s="1430"/>
      <c r="HD341" s="1430"/>
      <c r="HE341" s="1430"/>
      <c r="HF341" s="1430"/>
      <c r="HG341" s="1430"/>
      <c r="HH341" s="1430"/>
      <c r="HI341" s="1430"/>
      <c r="HJ341" s="1430"/>
      <c r="HK341" s="1430"/>
      <c r="HL341" s="1430"/>
      <c r="HM341" s="1430"/>
      <c r="HN341" s="1430"/>
      <c r="HO341" s="1430"/>
      <c r="HP341" s="1430"/>
      <c r="HQ341" s="1430"/>
      <c r="HR341" s="1430"/>
      <c r="HS341" s="1430"/>
      <c r="HT341" s="1430"/>
      <c r="HU341" s="1430"/>
      <c r="HV341" s="1430"/>
      <c r="HW341" s="1430"/>
      <c r="HX341" s="1430"/>
      <c r="HY341" s="1430"/>
      <c r="HZ341" s="1430"/>
      <c r="IA341" s="1430"/>
      <c r="IB341" s="1430"/>
      <c r="IC341" s="1430"/>
      <c r="ID341" s="1430"/>
      <c r="IE341" s="1430"/>
      <c r="IF341" s="1430"/>
      <c r="IG341" s="1430"/>
      <c r="IH341" s="1430"/>
      <c r="II341" s="1430"/>
      <c r="IJ341" s="1430"/>
      <c r="IK341" s="1430"/>
      <c r="IL341" s="1430"/>
      <c r="IM341" s="1430"/>
      <c r="IN341" s="1430"/>
    </row>
    <row r="342" spans="1:248" s="1431" customFormat="1" ht="69.95" customHeight="1">
      <c r="A342" s="1524"/>
      <c r="B342" s="1537"/>
      <c r="C342" s="1540" t="s">
        <v>4958</v>
      </c>
      <c r="D342" s="1525"/>
      <c r="E342" s="1538"/>
      <c r="F342" s="1527"/>
      <c r="G342" s="1430"/>
      <c r="H342" s="1430"/>
      <c r="I342" s="1430"/>
      <c r="J342" s="1430"/>
      <c r="K342" s="1430"/>
      <c r="L342" s="1430"/>
      <c r="M342" s="1430"/>
      <c r="N342" s="1430"/>
      <c r="O342" s="1430"/>
      <c r="P342" s="1430"/>
      <c r="Q342" s="1430"/>
      <c r="R342" s="1430"/>
      <c r="S342" s="1430"/>
      <c r="T342" s="1430"/>
      <c r="U342" s="1430"/>
      <c r="V342" s="1430"/>
      <c r="W342" s="1430"/>
      <c r="X342" s="1430"/>
      <c r="Y342" s="1430"/>
      <c r="Z342" s="1430"/>
      <c r="AA342" s="1430"/>
      <c r="AB342" s="1430"/>
      <c r="AC342" s="1430"/>
      <c r="AD342" s="1430"/>
      <c r="AE342" s="1430"/>
      <c r="AF342" s="1430"/>
      <c r="AG342" s="1430"/>
      <c r="AH342" s="1430"/>
      <c r="AI342" s="1430"/>
      <c r="AJ342" s="1430"/>
      <c r="AK342" s="1430"/>
      <c r="AL342" s="1430"/>
      <c r="AM342" s="1430"/>
      <c r="AN342" s="1430"/>
      <c r="AO342" s="1430"/>
      <c r="AP342" s="1430"/>
      <c r="AQ342" s="1430"/>
      <c r="AR342" s="1430"/>
      <c r="AS342" s="1430"/>
      <c r="AT342" s="1430"/>
      <c r="AU342" s="1430"/>
      <c r="AV342" s="1430"/>
      <c r="AW342" s="1430"/>
      <c r="AX342" s="1430"/>
      <c r="AY342" s="1430"/>
      <c r="AZ342" s="1430"/>
      <c r="BA342" s="1430"/>
      <c r="BB342" s="1430"/>
      <c r="BC342" s="1430"/>
      <c r="BD342" s="1430"/>
      <c r="BE342" s="1430"/>
      <c r="BF342" s="1430"/>
      <c r="BG342" s="1430"/>
      <c r="BH342" s="1430"/>
      <c r="BI342" s="1430"/>
      <c r="BJ342" s="1430"/>
      <c r="BK342" s="1430"/>
      <c r="BL342" s="1430"/>
      <c r="BM342" s="1430"/>
      <c r="BN342" s="1430"/>
      <c r="BO342" s="1430"/>
      <c r="BP342" s="1430"/>
      <c r="BQ342" s="1430"/>
      <c r="BR342" s="1430"/>
      <c r="BS342" s="1430"/>
      <c r="BT342" s="1430"/>
      <c r="BU342" s="1430"/>
      <c r="BV342" s="1430"/>
      <c r="BW342" s="1430"/>
      <c r="BX342" s="1430"/>
      <c r="BY342" s="1430"/>
      <c r="BZ342" s="1430"/>
      <c r="CA342" s="1430"/>
      <c r="CB342" s="1430"/>
      <c r="CC342" s="1430"/>
      <c r="CD342" s="1430"/>
      <c r="CE342" s="1430"/>
      <c r="CF342" s="1430"/>
      <c r="CG342" s="1430"/>
      <c r="CH342" s="1430"/>
      <c r="CI342" s="1430"/>
      <c r="CJ342" s="1430"/>
      <c r="CK342" s="1430"/>
      <c r="CL342" s="1430"/>
      <c r="CM342" s="1430"/>
      <c r="CN342" s="1430"/>
      <c r="CO342" s="1430"/>
      <c r="CP342" s="1430"/>
      <c r="CQ342" s="1430"/>
      <c r="CR342" s="1430"/>
      <c r="CS342" s="1430"/>
      <c r="CT342" s="1430"/>
      <c r="CU342" s="1430"/>
      <c r="CV342" s="1430"/>
      <c r="CW342" s="1430"/>
      <c r="CX342" s="1430"/>
      <c r="CY342" s="1430"/>
      <c r="CZ342" s="1430"/>
      <c r="DA342" s="1430"/>
      <c r="DB342" s="1430"/>
      <c r="DC342" s="1430"/>
      <c r="DD342" s="1430"/>
      <c r="DE342" s="1430"/>
      <c r="DF342" s="1430"/>
      <c r="DG342" s="1430"/>
      <c r="DH342" s="1430"/>
      <c r="DI342" s="1430"/>
      <c r="DJ342" s="1430"/>
      <c r="DK342" s="1430"/>
      <c r="DL342" s="1430"/>
      <c r="DM342" s="1430"/>
      <c r="DN342" s="1430"/>
      <c r="DO342" s="1430"/>
      <c r="DP342" s="1430"/>
      <c r="DQ342" s="1430"/>
      <c r="DR342" s="1430"/>
      <c r="DS342" s="1430"/>
      <c r="DT342" s="1430"/>
      <c r="DU342" s="1430"/>
      <c r="DV342" s="1430"/>
      <c r="DW342" s="1430"/>
      <c r="DX342" s="1430"/>
      <c r="DY342" s="1430"/>
      <c r="DZ342" s="1430"/>
      <c r="EA342" s="1430"/>
      <c r="EB342" s="1430"/>
      <c r="EC342" s="1430"/>
      <c r="ED342" s="1430"/>
      <c r="EE342" s="1430"/>
      <c r="EF342" s="1430"/>
      <c r="EG342" s="1430"/>
      <c r="EH342" s="1430"/>
      <c r="EI342" s="1430"/>
      <c r="EJ342" s="1430"/>
      <c r="EK342" s="1430"/>
      <c r="EL342" s="1430"/>
      <c r="EM342" s="1430"/>
      <c r="EN342" s="1430"/>
      <c r="EO342" s="1430"/>
      <c r="EP342" s="1430"/>
      <c r="EQ342" s="1430"/>
      <c r="ER342" s="1430"/>
      <c r="ES342" s="1430"/>
      <c r="ET342" s="1430"/>
      <c r="EU342" s="1430"/>
      <c r="EV342" s="1430"/>
      <c r="EW342" s="1430"/>
      <c r="EX342" s="1430"/>
      <c r="EY342" s="1430"/>
      <c r="EZ342" s="1430"/>
      <c r="FA342" s="1430"/>
      <c r="FB342" s="1430"/>
      <c r="FC342" s="1430"/>
      <c r="FD342" s="1430"/>
      <c r="FE342" s="1430"/>
      <c r="FF342" s="1430"/>
      <c r="FG342" s="1430"/>
      <c r="FH342" s="1430"/>
      <c r="FI342" s="1430"/>
      <c r="FJ342" s="1430"/>
      <c r="FK342" s="1430"/>
      <c r="FL342" s="1430"/>
      <c r="FM342" s="1430"/>
      <c r="FN342" s="1430"/>
      <c r="FO342" s="1430"/>
      <c r="FP342" s="1430"/>
      <c r="FQ342" s="1430"/>
      <c r="FR342" s="1430"/>
      <c r="FS342" s="1430"/>
      <c r="FT342" s="1430"/>
      <c r="FU342" s="1430"/>
      <c r="FV342" s="1430"/>
      <c r="FW342" s="1430"/>
      <c r="FX342" s="1430"/>
      <c r="FY342" s="1430"/>
      <c r="FZ342" s="1430"/>
      <c r="GA342" s="1430"/>
      <c r="GB342" s="1430"/>
      <c r="GC342" s="1430"/>
      <c r="GD342" s="1430"/>
      <c r="GE342" s="1430"/>
      <c r="GF342" s="1430"/>
      <c r="GG342" s="1430"/>
      <c r="GH342" s="1430"/>
      <c r="GI342" s="1430"/>
      <c r="GJ342" s="1430"/>
      <c r="GK342" s="1430"/>
      <c r="GL342" s="1430"/>
      <c r="GM342" s="1430"/>
      <c r="GN342" s="1430"/>
      <c r="GO342" s="1430"/>
      <c r="GP342" s="1430"/>
      <c r="GQ342" s="1430"/>
      <c r="GR342" s="1430"/>
      <c r="GS342" s="1430"/>
      <c r="GT342" s="1430"/>
      <c r="GU342" s="1430"/>
      <c r="GV342" s="1430"/>
      <c r="GW342" s="1430"/>
      <c r="GX342" s="1430"/>
      <c r="GY342" s="1430"/>
      <c r="GZ342" s="1430"/>
      <c r="HA342" s="1430"/>
      <c r="HB342" s="1430"/>
      <c r="HC342" s="1430"/>
      <c r="HD342" s="1430"/>
      <c r="HE342" s="1430"/>
      <c r="HF342" s="1430"/>
      <c r="HG342" s="1430"/>
      <c r="HH342" s="1430"/>
      <c r="HI342" s="1430"/>
      <c r="HJ342" s="1430"/>
      <c r="HK342" s="1430"/>
      <c r="HL342" s="1430"/>
      <c r="HM342" s="1430"/>
      <c r="HN342" s="1430"/>
      <c r="HO342" s="1430"/>
      <c r="HP342" s="1430"/>
      <c r="HQ342" s="1430"/>
      <c r="HR342" s="1430"/>
      <c r="HS342" s="1430"/>
      <c r="HT342" s="1430"/>
      <c r="HU342" s="1430"/>
      <c r="HV342" s="1430"/>
      <c r="HW342" s="1430"/>
      <c r="HX342" s="1430"/>
      <c r="HY342" s="1430"/>
      <c r="HZ342" s="1430"/>
      <c r="IA342" s="1430"/>
      <c r="IB342" s="1430"/>
      <c r="IC342" s="1430"/>
      <c r="ID342" s="1430"/>
      <c r="IE342" s="1430"/>
      <c r="IF342" s="1430"/>
      <c r="IG342" s="1430"/>
      <c r="IH342" s="1430"/>
      <c r="II342" s="1430"/>
      <c r="IJ342" s="1430"/>
      <c r="IK342" s="1430"/>
      <c r="IL342" s="1430"/>
      <c r="IM342" s="1430"/>
      <c r="IN342" s="1430"/>
    </row>
    <row r="343" spans="1:248" s="1431" customFormat="1" ht="35.1" customHeight="1">
      <c r="A343" s="1524"/>
      <c r="B343" s="1537"/>
      <c r="C343" s="1533" t="s">
        <v>4322</v>
      </c>
      <c r="D343" s="1525"/>
      <c r="E343" s="1538"/>
      <c r="F343" s="1527"/>
      <c r="G343" s="1430"/>
      <c r="H343" s="1430"/>
      <c r="I343" s="1430"/>
      <c r="J343" s="1430"/>
      <c r="K343" s="1430"/>
      <c r="L343" s="1430"/>
      <c r="M343" s="1430"/>
      <c r="N343" s="1430"/>
      <c r="O343" s="1430"/>
      <c r="P343" s="1430"/>
      <c r="Q343" s="1430"/>
      <c r="R343" s="1430"/>
      <c r="S343" s="1430"/>
      <c r="T343" s="1430"/>
      <c r="U343" s="1430"/>
      <c r="V343" s="1430"/>
      <c r="W343" s="1430"/>
      <c r="X343" s="1430"/>
      <c r="Y343" s="1430"/>
      <c r="Z343" s="1430"/>
      <c r="AA343" s="1430"/>
      <c r="AB343" s="1430"/>
      <c r="AC343" s="1430"/>
      <c r="AD343" s="1430"/>
      <c r="AE343" s="1430"/>
      <c r="AF343" s="1430"/>
      <c r="AG343" s="1430"/>
      <c r="AH343" s="1430"/>
      <c r="AI343" s="1430"/>
      <c r="AJ343" s="1430"/>
      <c r="AK343" s="1430"/>
      <c r="AL343" s="1430"/>
      <c r="AM343" s="1430"/>
      <c r="AN343" s="1430"/>
      <c r="AO343" s="1430"/>
      <c r="AP343" s="1430"/>
      <c r="AQ343" s="1430"/>
      <c r="AR343" s="1430"/>
      <c r="AS343" s="1430"/>
      <c r="AT343" s="1430"/>
      <c r="AU343" s="1430"/>
      <c r="AV343" s="1430"/>
      <c r="AW343" s="1430"/>
      <c r="AX343" s="1430"/>
      <c r="AY343" s="1430"/>
      <c r="AZ343" s="1430"/>
      <c r="BA343" s="1430"/>
      <c r="BB343" s="1430"/>
      <c r="BC343" s="1430"/>
      <c r="BD343" s="1430"/>
      <c r="BE343" s="1430"/>
      <c r="BF343" s="1430"/>
      <c r="BG343" s="1430"/>
      <c r="BH343" s="1430"/>
      <c r="BI343" s="1430"/>
      <c r="BJ343" s="1430"/>
      <c r="BK343" s="1430"/>
      <c r="BL343" s="1430"/>
      <c r="BM343" s="1430"/>
      <c r="BN343" s="1430"/>
      <c r="BO343" s="1430"/>
      <c r="BP343" s="1430"/>
      <c r="BQ343" s="1430"/>
      <c r="BR343" s="1430"/>
      <c r="BS343" s="1430"/>
      <c r="BT343" s="1430"/>
      <c r="BU343" s="1430"/>
      <c r="BV343" s="1430"/>
      <c r="BW343" s="1430"/>
      <c r="BX343" s="1430"/>
      <c r="BY343" s="1430"/>
      <c r="BZ343" s="1430"/>
      <c r="CA343" s="1430"/>
      <c r="CB343" s="1430"/>
      <c r="CC343" s="1430"/>
      <c r="CD343" s="1430"/>
      <c r="CE343" s="1430"/>
      <c r="CF343" s="1430"/>
      <c r="CG343" s="1430"/>
      <c r="CH343" s="1430"/>
      <c r="CI343" s="1430"/>
      <c r="CJ343" s="1430"/>
      <c r="CK343" s="1430"/>
      <c r="CL343" s="1430"/>
      <c r="CM343" s="1430"/>
      <c r="CN343" s="1430"/>
      <c r="CO343" s="1430"/>
      <c r="CP343" s="1430"/>
      <c r="CQ343" s="1430"/>
      <c r="CR343" s="1430"/>
      <c r="CS343" s="1430"/>
      <c r="CT343" s="1430"/>
      <c r="CU343" s="1430"/>
      <c r="CV343" s="1430"/>
      <c r="CW343" s="1430"/>
      <c r="CX343" s="1430"/>
      <c r="CY343" s="1430"/>
      <c r="CZ343" s="1430"/>
      <c r="DA343" s="1430"/>
      <c r="DB343" s="1430"/>
      <c r="DC343" s="1430"/>
      <c r="DD343" s="1430"/>
      <c r="DE343" s="1430"/>
      <c r="DF343" s="1430"/>
      <c r="DG343" s="1430"/>
      <c r="DH343" s="1430"/>
      <c r="DI343" s="1430"/>
      <c r="DJ343" s="1430"/>
      <c r="DK343" s="1430"/>
      <c r="DL343" s="1430"/>
      <c r="DM343" s="1430"/>
      <c r="DN343" s="1430"/>
      <c r="DO343" s="1430"/>
      <c r="DP343" s="1430"/>
      <c r="DQ343" s="1430"/>
      <c r="DR343" s="1430"/>
      <c r="DS343" s="1430"/>
      <c r="DT343" s="1430"/>
      <c r="DU343" s="1430"/>
      <c r="DV343" s="1430"/>
      <c r="DW343" s="1430"/>
      <c r="DX343" s="1430"/>
      <c r="DY343" s="1430"/>
      <c r="DZ343" s="1430"/>
      <c r="EA343" s="1430"/>
      <c r="EB343" s="1430"/>
      <c r="EC343" s="1430"/>
      <c r="ED343" s="1430"/>
      <c r="EE343" s="1430"/>
      <c r="EF343" s="1430"/>
      <c r="EG343" s="1430"/>
      <c r="EH343" s="1430"/>
      <c r="EI343" s="1430"/>
      <c r="EJ343" s="1430"/>
      <c r="EK343" s="1430"/>
      <c r="EL343" s="1430"/>
      <c r="EM343" s="1430"/>
      <c r="EN343" s="1430"/>
      <c r="EO343" s="1430"/>
      <c r="EP343" s="1430"/>
      <c r="EQ343" s="1430"/>
      <c r="ER343" s="1430"/>
      <c r="ES343" s="1430"/>
      <c r="ET343" s="1430"/>
      <c r="EU343" s="1430"/>
      <c r="EV343" s="1430"/>
      <c r="EW343" s="1430"/>
      <c r="EX343" s="1430"/>
      <c r="EY343" s="1430"/>
      <c r="EZ343" s="1430"/>
      <c r="FA343" s="1430"/>
      <c r="FB343" s="1430"/>
      <c r="FC343" s="1430"/>
      <c r="FD343" s="1430"/>
      <c r="FE343" s="1430"/>
      <c r="FF343" s="1430"/>
      <c r="FG343" s="1430"/>
      <c r="FH343" s="1430"/>
      <c r="FI343" s="1430"/>
      <c r="FJ343" s="1430"/>
      <c r="FK343" s="1430"/>
      <c r="FL343" s="1430"/>
      <c r="FM343" s="1430"/>
      <c r="FN343" s="1430"/>
      <c r="FO343" s="1430"/>
      <c r="FP343" s="1430"/>
      <c r="FQ343" s="1430"/>
      <c r="FR343" s="1430"/>
      <c r="FS343" s="1430"/>
      <c r="FT343" s="1430"/>
      <c r="FU343" s="1430"/>
      <c r="FV343" s="1430"/>
      <c r="FW343" s="1430"/>
      <c r="FX343" s="1430"/>
      <c r="FY343" s="1430"/>
      <c r="FZ343" s="1430"/>
      <c r="GA343" s="1430"/>
      <c r="GB343" s="1430"/>
      <c r="GC343" s="1430"/>
      <c r="GD343" s="1430"/>
      <c r="GE343" s="1430"/>
      <c r="GF343" s="1430"/>
      <c r="GG343" s="1430"/>
      <c r="GH343" s="1430"/>
      <c r="GI343" s="1430"/>
      <c r="GJ343" s="1430"/>
      <c r="GK343" s="1430"/>
      <c r="GL343" s="1430"/>
      <c r="GM343" s="1430"/>
      <c r="GN343" s="1430"/>
      <c r="GO343" s="1430"/>
      <c r="GP343" s="1430"/>
      <c r="GQ343" s="1430"/>
      <c r="GR343" s="1430"/>
      <c r="GS343" s="1430"/>
      <c r="GT343" s="1430"/>
      <c r="GU343" s="1430"/>
      <c r="GV343" s="1430"/>
      <c r="GW343" s="1430"/>
      <c r="GX343" s="1430"/>
      <c r="GY343" s="1430"/>
      <c r="GZ343" s="1430"/>
      <c r="HA343" s="1430"/>
      <c r="HB343" s="1430"/>
      <c r="HC343" s="1430"/>
      <c r="HD343" s="1430"/>
      <c r="HE343" s="1430"/>
      <c r="HF343" s="1430"/>
      <c r="HG343" s="1430"/>
      <c r="HH343" s="1430"/>
      <c r="HI343" s="1430"/>
      <c r="HJ343" s="1430"/>
      <c r="HK343" s="1430"/>
      <c r="HL343" s="1430"/>
      <c r="HM343" s="1430"/>
      <c r="HN343" s="1430"/>
      <c r="HO343" s="1430"/>
      <c r="HP343" s="1430"/>
      <c r="HQ343" s="1430"/>
      <c r="HR343" s="1430"/>
      <c r="HS343" s="1430"/>
      <c r="HT343" s="1430"/>
      <c r="HU343" s="1430"/>
      <c r="HV343" s="1430"/>
      <c r="HW343" s="1430"/>
      <c r="HX343" s="1430"/>
      <c r="HY343" s="1430"/>
      <c r="HZ343" s="1430"/>
      <c r="IA343" s="1430"/>
      <c r="IB343" s="1430"/>
      <c r="IC343" s="1430"/>
      <c r="ID343" s="1430"/>
      <c r="IE343" s="1430"/>
      <c r="IF343" s="1430"/>
      <c r="IG343" s="1430"/>
      <c r="IH343" s="1430"/>
      <c r="II343" s="1430"/>
      <c r="IJ343" s="1430"/>
      <c r="IK343" s="1430"/>
      <c r="IL343" s="1430"/>
      <c r="IM343" s="1430"/>
      <c r="IN343" s="1430"/>
    </row>
    <row r="344" spans="1:248" ht="21" customHeight="1" thickBot="1">
      <c r="A344" s="1390"/>
      <c r="B344" s="1536"/>
      <c r="C344" s="1534"/>
      <c r="D344" s="1391"/>
      <c r="E344" s="1392"/>
      <c r="F344" s="1393"/>
    </row>
    <row r="345" spans="1:248" ht="15" customHeight="1">
      <c r="A345" s="1278"/>
      <c r="B345" s="1279"/>
      <c r="C345" s="1360"/>
      <c r="D345" s="1288"/>
      <c r="E345" s="1280"/>
      <c r="F345" s="1281"/>
    </row>
    <row r="346" spans="1:248" ht="15" customHeight="1">
      <c r="A346" s="1282">
        <v>11</v>
      </c>
      <c r="B346" s="1234">
        <v>1</v>
      </c>
      <c r="C346" s="1334" t="s">
        <v>4066</v>
      </c>
      <c r="D346" s="1376">
        <v>4930</v>
      </c>
      <c r="E346" s="1375"/>
      <c r="F346" s="1235">
        <f>+B346*D346</f>
        <v>4930</v>
      </c>
    </row>
    <row r="347" spans="1:248" ht="15" customHeight="1">
      <c r="A347" s="1236" t="s">
        <v>3207</v>
      </c>
      <c r="B347" s="1237"/>
      <c r="C347" s="1334"/>
      <c r="D347" s="1288"/>
      <c r="E347" s="1280"/>
      <c r="F347" s="1281"/>
    </row>
    <row r="348" spans="1:248" ht="15" customHeight="1">
      <c r="A348" s="1236" t="s">
        <v>3559</v>
      </c>
      <c r="B348" s="1237"/>
      <c r="C348" s="1333" t="s">
        <v>2605</v>
      </c>
      <c r="D348" s="1288"/>
      <c r="E348" s="1280"/>
      <c r="F348" s="1281"/>
    </row>
    <row r="349" spans="1:248" ht="15" customHeight="1">
      <c r="A349" s="1236"/>
      <c r="B349" s="1237"/>
      <c r="C349" s="1338"/>
      <c r="D349" s="1288"/>
      <c r="E349" s="1280"/>
      <c r="F349" s="1281"/>
    </row>
    <row r="350" spans="1:248" ht="15" customHeight="1">
      <c r="A350" s="1240"/>
      <c r="B350" s="1237"/>
      <c r="C350" s="1338" t="s">
        <v>4067</v>
      </c>
      <c r="D350" s="1288"/>
      <c r="E350" s="1280"/>
      <c r="F350" s="1281"/>
    </row>
    <row r="351" spans="1:248" ht="15" customHeight="1">
      <c r="A351" s="1242" t="s">
        <v>4023</v>
      </c>
      <c r="B351" s="1237"/>
      <c r="C351" s="1338" t="s">
        <v>3601</v>
      </c>
      <c r="D351" s="1288"/>
      <c r="E351" s="1280"/>
      <c r="F351" s="1281"/>
    </row>
    <row r="352" spans="1:248" ht="15" customHeight="1">
      <c r="A352" s="1244"/>
      <c r="B352" s="1237"/>
      <c r="C352" s="1338"/>
      <c r="D352" s="1288"/>
      <c r="E352" s="1280"/>
      <c r="F352" s="1281"/>
    </row>
    <row r="353" spans="1:6" ht="15" customHeight="1">
      <c r="A353" s="1245"/>
      <c r="B353" s="1237"/>
      <c r="C353" s="1338" t="s">
        <v>3602</v>
      </c>
      <c r="D353" s="1288"/>
      <c r="E353" s="1280"/>
      <c r="F353" s="1281"/>
    </row>
    <row r="354" spans="1:6" ht="15" customHeight="1">
      <c r="A354" s="1246" t="s">
        <v>3338</v>
      </c>
      <c r="B354" s="1261"/>
      <c r="C354" s="1335"/>
      <c r="D354" s="1288"/>
      <c r="E354" s="1280"/>
      <c r="F354" s="1281"/>
    </row>
    <row r="355" spans="1:6" ht="15" customHeight="1">
      <c r="A355" s="1247" t="s">
        <v>3470</v>
      </c>
      <c r="B355" s="1262">
        <v>1</v>
      </c>
      <c r="C355" s="1335" t="s">
        <v>4068</v>
      </c>
      <c r="D355" s="1288"/>
      <c r="E355" s="1280"/>
      <c r="F355" s="1281"/>
    </row>
    <row r="356" spans="1:6" ht="15" customHeight="1">
      <c r="A356" s="1247" t="s">
        <v>3471</v>
      </c>
      <c r="B356" s="1237"/>
      <c r="C356" s="1335" t="s">
        <v>3603</v>
      </c>
      <c r="D356" s="1288"/>
      <c r="E356" s="1280"/>
      <c r="F356" s="1281"/>
    </row>
    <row r="357" spans="1:6" ht="30.75" customHeight="1">
      <c r="A357" s="1247"/>
      <c r="B357" s="1237"/>
      <c r="C357" s="1361" t="s">
        <v>3488</v>
      </c>
      <c r="D357" s="1288"/>
      <c r="E357" s="1280"/>
      <c r="F357" s="1281"/>
    </row>
    <row r="358" spans="1:6" ht="15" customHeight="1">
      <c r="A358" s="1247"/>
      <c r="B358" s="1237"/>
      <c r="C358" s="1335"/>
      <c r="D358" s="1288"/>
      <c r="E358" s="1280"/>
      <c r="F358" s="1281"/>
    </row>
    <row r="359" spans="1:6" ht="15" customHeight="1">
      <c r="A359" s="1246" t="s">
        <v>4003</v>
      </c>
      <c r="B359" s="1262">
        <v>2</v>
      </c>
      <c r="C359" s="1335" t="s">
        <v>4069</v>
      </c>
      <c r="D359" s="1288"/>
      <c r="E359" s="1280"/>
      <c r="F359" s="1281"/>
    </row>
    <row r="360" spans="1:6" ht="15" customHeight="1">
      <c r="A360" s="1246"/>
      <c r="B360" s="1237"/>
      <c r="C360" s="1335" t="s">
        <v>3603</v>
      </c>
      <c r="D360" s="1288"/>
      <c r="E360" s="1280"/>
      <c r="F360" s="1281"/>
    </row>
    <row r="361" spans="1:6" ht="31.5" customHeight="1">
      <c r="A361" s="1250"/>
      <c r="B361" s="1237"/>
      <c r="C361" s="1361" t="s">
        <v>1512</v>
      </c>
      <c r="D361" s="1288"/>
      <c r="E361" s="1280"/>
      <c r="F361" s="1281"/>
    </row>
    <row r="362" spans="1:6" ht="15" customHeight="1">
      <c r="A362" s="1246"/>
      <c r="B362" s="1237"/>
      <c r="C362" s="1335"/>
      <c r="D362" s="1288"/>
      <c r="E362" s="1280"/>
      <c r="F362" s="1281"/>
    </row>
    <row r="363" spans="1:6" ht="15" customHeight="1">
      <c r="A363" s="1255"/>
      <c r="B363" s="1237"/>
      <c r="C363" s="1338" t="s">
        <v>4057</v>
      </c>
      <c r="D363" s="1288"/>
      <c r="E363" s="1280"/>
      <c r="F363" s="1281"/>
    </row>
    <row r="364" spans="1:6" ht="15" customHeight="1">
      <c r="A364" s="1247"/>
      <c r="B364" s="1237"/>
      <c r="C364" s="1338" t="s">
        <v>4058</v>
      </c>
      <c r="D364" s="1288"/>
      <c r="E364" s="1280"/>
      <c r="F364" s="1281"/>
    </row>
    <row r="365" spans="1:6" ht="15" customHeight="1">
      <c r="A365" s="1246"/>
      <c r="B365" s="1237"/>
      <c r="C365" s="1338" t="s">
        <v>4070</v>
      </c>
      <c r="D365" s="2771"/>
      <c r="E365" s="2772"/>
      <c r="F365" s="1238"/>
    </row>
    <row r="366" spans="1:6" ht="15" customHeight="1">
      <c r="A366" s="1246"/>
      <c r="B366" s="1237"/>
      <c r="C366" s="1338" t="s">
        <v>4071</v>
      </c>
      <c r="D366" s="1288"/>
      <c r="E366" s="1280"/>
      <c r="F366" s="1281"/>
    </row>
    <row r="367" spans="1:6" ht="15" customHeight="1">
      <c r="A367" s="1246"/>
      <c r="B367" s="1237"/>
      <c r="C367" s="1338"/>
      <c r="D367" s="2771"/>
      <c r="E367" s="2772"/>
      <c r="F367" s="1238"/>
    </row>
    <row r="368" spans="1:6" ht="29.25" customHeight="1">
      <c r="A368" s="1246"/>
      <c r="B368" s="1237"/>
      <c r="C368" s="1362" t="s">
        <v>3604</v>
      </c>
      <c r="D368" s="1288"/>
      <c r="E368" s="1280"/>
      <c r="F368" s="1281"/>
    </row>
    <row r="369" spans="1:6" ht="15" customHeight="1">
      <c r="A369" s="1263"/>
      <c r="B369" s="1237"/>
      <c r="C369" s="1339" t="s">
        <v>3605</v>
      </c>
      <c r="D369" s="1288"/>
      <c r="E369" s="1280"/>
      <c r="F369" s="1281"/>
    </row>
    <row r="370" spans="1:6" ht="15" customHeight="1">
      <c r="A370" s="1264"/>
      <c r="B370" s="1237"/>
      <c r="C370" s="1339" t="s">
        <v>3606</v>
      </c>
      <c r="D370" s="1288"/>
      <c r="E370" s="1280"/>
      <c r="F370" s="1281"/>
    </row>
    <row r="371" spans="1:6" ht="15" customHeight="1">
      <c r="A371" s="1264"/>
      <c r="B371" s="1237"/>
      <c r="C371" s="1339" t="s">
        <v>3607</v>
      </c>
      <c r="D371" s="1288"/>
      <c r="E371" s="1280"/>
      <c r="F371" s="1281"/>
    </row>
    <row r="372" spans="1:6" ht="15" customHeight="1">
      <c r="A372" s="1252"/>
      <c r="B372" s="1237"/>
      <c r="C372" s="1339" t="s">
        <v>3608</v>
      </c>
      <c r="D372" s="1288"/>
      <c r="E372" s="1280"/>
      <c r="F372" s="1281"/>
    </row>
    <row r="373" spans="1:6" ht="15" customHeight="1">
      <c r="A373" s="1240"/>
      <c r="B373" s="1237"/>
      <c r="C373" s="1339" t="s">
        <v>3609</v>
      </c>
      <c r="D373" s="1288"/>
      <c r="E373" s="1280"/>
      <c r="F373" s="1281"/>
    </row>
    <row r="374" spans="1:6" ht="31.5" customHeight="1">
      <c r="A374" s="1240"/>
      <c r="B374" s="1237"/>
      <c r="C374" s="1362" t="s">
        <v>3610</v>
      </c>
      <c r="D374" s="1288"/>
      <c r="E374" s="1280"/>
      <c r="F374" s="1281"/>
    </row>
    <row r="375" spans="1:6" ht="15" customHeight="1">
      <c r="A375" s="1240"/>
      <c r="B375" s="1237"/>
      <c r="C375" s="1339" t="s">
        <v>3611</v>
      </c>
      <c r="D375" s="1288"/>
      <c r="E375" s="1280"/>
      <c r="F375" s="1281"/>
    </row>
    <row r="376" spans="1:6" ht="15" customHeight="1">
      <c r="A376" s="1265"/>
      <c r="B376" s="1239"/>
      <c r="C376" s="1339" t="s">
        <v>3612</v>
      </c>
      <c r="D376" s="1288"/>
      <c r="E376" s="1280"/>
      <c r="F376" s="1281"/>
    </row>
    <row r="377" spans="1:6" ht="15" customHeight="1">
      <c r="A377" s="1265"/>
      <c r="B377" s="1241"/>
      <c r="C377" s="1339" t="s">
        <v>624</v>
      </c>
      <c r="D377" s="1288"/>
      <c r="E377" s="1280"/>
      <c r="F377" s="1281"/>
    </row>
    <row r="378" spans="1:6" ht="15" customHeight="1">
      <c r="A378" s="1265"/>
      <c r="B378" s="1243"/>
      <c r="C378" s="1339" t="s">
        <v>625</v>
      </c>
      <c r="D378" s="2771"/>
      <c r="E378" s="2772"/>
      <c r="F378" s="1238"/>
    </row>
    <row r="379" spans="1:6" ht="15" customHeight="1">
      <c r="A379" s="1250"/>
      <c r="B379" s="1243"/>
      <c r="C379" s="1339" t="s">
        <v>3613</v>
      </c>
      <c r="D379" s="1288"/>
      <c r="E379" s="1280"/>
      <c r="F379" s="1281"/>
    </row>
    <row r="380" spans="1:6" ht="15" customHeight="1">
      <c r="A380" s="1244"/>
      <c r="B380" s="1241"/>
      <c r="C380" s="1336" t="s">
        <v>3614</v>
      </c>
      <c r="D380" s="2771"/>
      <c r="E380" s="2772"/>
      <c r="F380" s="1238"/>
    </row>
    <row r="381" spans="1:6" ht="15" customHeight="1">
      <c r="A381" s="1244"/>
      <c r="B381" s="1243"/>
      <c r="C381" s="1339" t="s">
        <v>3615</v>
      </c>
      <c r="D381" s="2771"/>
      <c r="E381" s="2772"/>
      <c r="F381" s="1238"/>
    </row>
    <row r="382" spans="1:6" ht="15" customHeight="1">
      <c r="A382" s="1244"/>
      <c r="B382" s="1243"/>
      <c r="C382" s="1336" t="s">
        <v>3616</v>
      </c>
      <c r="D382" s="1288"/>
      <c r="E382" s="1280"/>
      <c r="F382" s="1281"/>
    </row>
    <row r="383" spans="1:6" ht="15" customHeight="1">
      <c r="A383" s="1244"/>
      <c r="B383" s="1266"/>
      <c r="C383" s="1338" t="s">
        <v>3617</v>
      </c>
      <c r="D383" s="1288"/>
      <c r="E383" s="1280"/>
      <c r="F383" s="1281"/>
    </row>
    <row r="384" spans="1:6" ht="15" customHeight="1">
      <c r="A384" s="1244"/>
      <c r="B384" s="1267"/>
      <c r="C384" s="1338" t="s">
        <v>3618</v>
      </c>
      <c r="D384" s="1288"/>
      <c r="E384" s="1280"/>
      <c r="F384" s="1281"/>
    </row>
    <row r="385" spans="1:6" ht="15" customHeight="1">
      <c r="A385" s="1251"/>
      <c r="B385" s="1243"/>
      <c r="C385" s="1338" t="s">
        <v>3619</v>
      </c>
      <c r="D385" s="1288"/>
      <c r="E385" s="1280"/>
      <c r="F385" s="1281"/>
    </row>
    <row r="386" spans="1:6" ht="15" customHeight="1">
      <c r="A386" s="1240"/>
      <c r="B386" s="1267"/>
      <c r="C386" s="1338" t="s">
        <v>3620</v>
      </c>
      <c r="D386" s="1288"/>
      <c r="E386" s="1280"/>
      <c r="F386" s="1281"/>
    </row>
    <row r="387" spans="1:6" ht="15" customHeight="1">
      <c r="A387" s="1240"/>
      <c r="B387" s="1243"/>
      <c r="C387" s="1338" t="s">
        <v>3621</v>
      </c>
      <c r="D387" s="1288"/>
      <c r="E387" s="1280"/>
      <c r="F387" s="1281"/>
    </row>
    <row r="388" spans="1:6" ht="15" customHeight="1">
      <c r="A388" s="1240"/>
      <c r="B388" s="1243"/>
      <c r="C388" s="1338"/>
      <c r="D388" s="1288"/>
      <c r="E388" s="1280"/>
      <c r="F388" s="1281"/>
    </row>
    <row r="389" spans="1:6" ht="15" customHeight="1">
      <c r="A389" s="1240"/>
      <c r="B389" s="1239"/>
      <c r="C389" s="1341" t="s">
        <v>729</v>
      </c>
      <c r="D389" s="1288"/>
      <c r="E389" s="1280"/>
      <c r="F389" s="1281"/>
    </row>
    <row r="390" spans="1:6" ht="15" customHeight="1">
      <c r="A390" s="1246"/>
      <c r="B390" s="1239">
        <v>1</v>
      </c>
      <c r="C390" s="1340" t="s">
        <v>316</v>
      </c>
      <c r="D390" s="2771"/>
      <c r="E390" s="2772"/>
      <c r="F390" s="1238"/>
    </row>
    <row r="391" spans="1:6" ht="15" customHeight="1" thickBot="1">
      <c r="A391" s="1272"/>
      <c r="B391" s="1273">
        <v>1</v>
      </c>
      <c r="C391" s="1345" t="s">
        <v>3051</v>
      </c>
      <c r="D391" s="1369"/>
      <c r="E391" s="1283"/>
      <c r="F391" s="1284"/>
    </row>
    <row r="392" spans="1:6" ht="15" customHeight="1">
      <c r="A392" s="1246"/>
      <c r="B392" s="1239"/>
      <c r="C392" s="1355"/>
      <c r="D392" s="1288"/>
      <c r="E392" s="1280"/>
      <c r="F392" s="1281"/>
    </row>
    <row r="393" spans="1:6" ht="15" customHeight="1">
      <c r="A393" s="1282">
        <v>12</v>
      </c>
      <c r="B393" s="1234">
        <v>1</v>
      </c>
      <c r="C393" s="1334" t="s">
        <v>4072</v>
      </c>
      <c r="D393" s="1376">
        <v>8532</v>
      </c>
      <c r="E393" s="1375"/>
      <c r="F393" s="1235">
        <f>+B393*D393</f>
        <v>8532</v>
      </c>
    </row>
    <row r="394" spans="1:6" ht="15" customHeight="1">
      <c r="A394" s="1236" t="s">
        <v>3207</v>
      </c>
      <c r="B394" s="1237"/>
      <c r="C394" s="1334" t="s">
        <v>2805</v>
      </c>
      <c r="D394" s="1288"/>
      <c r="E394" s="1280"/>
      <c r="F394" s="1281"/>
    </row>
    <row r="395" spans="1:6" ht="26.25" customHeight="1">
      <c r="A395" s="1236" t="s">
        <v>4059</v>
      </c>
      <c r="B395" s="1239">
        <v>1</v>
      </c>
      <c r="C395" s="1407" t="s">
        <v>1513</v>
      </c>
      <c r="D395" s="1288"/>
      <c r="E395" s="1280"/>
      <c r="F395" s="1281"/>
    </row>
    <row r="396" spans="1:6" ht="15" customHeight="1">
      <c r="A396" s="1236" t="s">
        <v>3724</v>
      </c>
      <c r="B396" s="1239"/>
      <c r="C396" s="1341" t="s">
        <v>729</v>
      </c>
      <c r="D396" s="1288"/>
      <c r="E396" s="1280"/>
      <c r="F396" s="1281"/>
    </row>
    <row r="397" spans="1:6" ht="15" customHeight="1">
      <c r="A397" s="1240"/>
      <c r="B397" s="1241">
        <v>2</v>
      </c>
      <c r="C397" s="1333" t="s">
        <v>4064</v>
      </c>
      <c r="D397" s="1288"/>
      <c r="E397" s="1280"/>
      <c r="F397" s="1281"/>
    </row>
    <row r="398" spans="1:6" ht="28.5" customHeight="1">
      <c r="A398" s="1240" t="s">
        <v>3725</v>
      </c>
      <c r="B398" s="1243">
        <v>2</v>
      </c>
      <c r="C398" s="1408" t="s">
        <v>3904</v>
      </c>
      <c r="D398" s="1288"/>
      <c r="E398" s="1280"/>
      <c r="F398" s="1281"/>
    </row>
    <row r="399" spans="1:6" ht="15" customHeight="1">
      <c r="A399" s="1240" t="s">
        <v>3726</v>
      </c>
      <c r="B399" s="1254">
        <v>1</v>
      </c>
      <c r="C399" s="1357" t="s">
        <v>3790</v>
      </c>
      <c r="D399" s="1288"/>
      <c r="E399" s="1280"/>
      <c r="F399" s="1281"/>
    </row>
    <row r="400" spans="1:6" ht="15" customHeight="1">
      <c r="A400" s="1240"/>
      <c r="B400" s="1239"/>
      <c r="C400" s="1341" t="s">
        <v>729</v>
      </c>
      <c r="D400" s="1288"/>
      <c r="E400" s="1280"/>
      <c r="F400" s="1281"/>
    </row>
    <row r="401" spans="1:6" ht="15" customHeight="1">
      <c r="A401" s="1263" t="s">
        <v>3338</v>
      </c>
      <c r="B401" s="1248"/>
      <c r="C401" s="1343" t="s">
        <v>2797</v>
      </c>
      <c r="D401" s="1288"/>
      <c r="E401" s="1280"/>
      <c r="F401" s="1281"/>
    </row>
    <row r="402" spans="1:6" ht="30" customHeight="1">
      <c r="A402" s="1264" t="s">
        <v>3727</v>
      </c>
      <c r="B402" s="1239">
        <v>2</v>
      </c>
      <c r="C402" s="1407" t="s">
        <v>2218</v>
      </c>
      <c r="D402" s="1288"/>
      <c r="E402" s="1280"/>
      <c r="F402" s="1281"/>
    </row>
    <row r="403" spans="1:6" ht="24.75" customHeight="1">
      <c r="A403" s="1277" t="s">
        <v>3728</v>
      </c>
      <c r="B403" s="1239">
        <v>2</v>
      </c>
      <c r="C403" s="1407" t="s">
        <v>2215</v>
      </c>
      <c r="D403" s="1288"/>
      <c r="E403" s="1280"/>
      <c r="F403" s="1281"/>
    </row>
    <row r="404" spans="1:6" ht="25.5" customHeight="1">
      <c r="A404" s="1240"/>
      <c r="B404" s="1239">
        <v>8</v>
      </c>
      <c r="C404" s="1407" t="s">
        <v>2212</v>
      </c>
      <c r="D404" s="1288"/>
      <c r="E404" s="1280"/>
      <c r="F404" s="1281"/>
    </row>
    <row r="405" spans="1:6" ht="15" customHeight="1">
      <c r="A405" s="1240"/>
      <c r="B405" s="1239">
        <v>2</v>
      </c>
      <c r="C405" s="1340" t="s">
        <v>4060</v>
      </c>
      <c r="D405" s="1288"/>
      <c r="E405" s="1280"/>
      <c r="F405" s="1281"/>
    </row>
    <row r="406" spans="1:6" ht="15" customHeight="1">
      <c r="A406" s="1240"/>
      <c r="B406" s="1239"/>
      <c r="C406" s="1341" t="s">
        <v>729</v>
      </c>
      <c r="D406" s="1288"/>
      <c r="E406" s="1280"/>
      <c r="F406" s="1281"/>
    </row>
    <row r="407" spans="1:6" ht="15" customHeight="1">
      <c r="A407" s="1244"/>
      <c r="B407" s="1239">
        <v>1</v>
      </c>
      <c r="C407" s="1344" t="s">
        <v>3051</v>
      </c>
      <c r="D407" s="1288"/>
      <c r="E407" s="1280"/>
      <c r="F407" s="1281"/>
    </row>
    <row r="408" spans="1:6" ht="15" customHeight="1">
      <c r="A408" s="1244"/>
      <c r="B408" s="1239">
        <v>1</v>
      </c>
      <c r="C408" s="1344" t="s">
        <v>3053</v>
      </c>
      <c r="D408" s="1288"/>
      <c r="E408" s="1280"/>
      <c r="F408" s="1281"/>
    </row>
    <row r="409" spans="1:6" ht="15" customHeight="1" thickBot="1">
      <c r="A409" s="1285"/>
      <c r="B409" s="1273">
        <v>1</v>
      </c>
      <c r="C409" s="1345" t="s">
        <v>316</v>
      </c>
      <c r="D409" s="1369"/>
      <c r="E409" s="1283"/>
      <c r="F409" s="1284"/>
    </row>
    <row r="410" spans="1:6" ht="15" customHeight="1">
      <c r="A410" s="1271"/>
      <c r="B410" s="1239"/>
      <c r="C410" s="1337"/>
      <c r="D410" s="1288"/>
      <c r="E410" s="1280"/>
      <c r="F410" s="1281"/>
    </row>
    <row r="411" spans="1:6" ht="15" customHeight="1">
      <c r="A411" s="1282">
        <v>19</v>
      </c>
      <c r="B411" s="1234">
        <v>1</v>
      </c>
      <c r="C411" s="1334" t="s">
        <v>4074</v>
      </c>
      <c r="D411" s="1376">
        <v>3029</v>
      </c>
      <c r="E411" s="1375"/>
      <c r="F411" s="1235">
        <f>+B411*D411</f>
        <v>3029</v>
      </c>
    </row>
    <row r="412" spans="1:6" ht="15" customHeight="1">
      <c r="A412" s="1236" t="s">
        <v>3207</v>
      </c>
      <c r="B412" s="1237"/>
      <c r="C412" s="1334" t="s">
        <v>2805</v>
      </c>
      <c r="D412" s="1288"/>
      <c r="E412" s="1280"/>
      <c r="F412" s="1281"/>
    </row>
    <row r="413" spans="1:6" ht="28.5" customHeight="1">
      <c r="A413" s="1236" t="s">
        <v>4059</v>
      </c>
      <c r="B413" s="1239">
        <v>1</v>
      </c>
      <c r="C413" s="1407" t="s">
        <v>2212</v>
      </c>
      <c r="D413" s="1288"/>
      <c r="E413" s="1280"/>
      <c r="F413" s="1281"/>
    </row>
    <row r="414" spans="1:6" ht="15" customHeight="1">
      <c r="A414" s="1236" t="s">
        <v>3724</v>
      </c>
      <c r="B414" s="1239"/>
      <c r="C414" s="1341" t="s">
        <v>729</v>
      </c>
      <c r="D414" s="1288"/>
      <c r="E414" s="1280"/>
      <c r="F414" s="1281"/>
    </row>
    <row r="415" spans="1:6" ht="15" customHeight="1">
      <c r="A415" s="1240"/>
      <c r="B415" s="1248"/>
      <c r="C415" s="1343" t="s">
        <v>2797</v>
      </c>
      <c r="D415" s="1288"/>
      <c r="E415" s="1280"/>
      <c r="F415" s="1281"/>
    </row>
    <row r="416" spans="1:6" ht="15" customHeight="1">
      <c r="A416" s="1240" t="s">
        <v>3725</v>
      </c>
      <c r="B416" s="1239">
        <v>12</v>
      </c>
      <c r="C416" s="1340" t="s">
        <v>983</v>
      </c>
      <c r="D416" s="1288"/>
      <c r="E416" s="1280"/>
      <c r="F416" s="1281"/>
    </row>
    <row r="417" spans="1:6" ht="15" customHeight="1">
      <c r="A417" s="1240" t="s">
        <v>3726</v>
      </c>
      <c r="B417" s="1239">
        <v>12</v>
      </c>
      <c r="C417" s="1340" t="s">
        <v>2066</v>
      </c>
      <c r="D417" s="1288"/>
      <c r="E417" s="1280"/>
      <c r="F417" s="1281"/>
    </row>
    <row r="418" spans="1:6" ht="15" customHeight="1">
      <c r="A418" s="1240"/>
      <c r="B418" s="1239">
        <v>2</v>
      </c>
      <c r="C418" s="1340" t="s">
        <v>4073</v>
      </c>
      <c r="D418" s="1288"/>
      <c r="E418" s="1280"/>
      <c r="F418" s="1281"/>
    </row>
    <row r="419" spans="1:6" ht="15" customHeight="1">
      <c r="A419" s="1263" t="s">
        <v>3338</v>
      </c>
      <c r="B419" s="1239"/>
      <c r="C419" s="1342"/>
      <c r="D419" s="1288"/>
      <c r="E419" s="1280"/>
      <c r="F419" s="1281"/>
    </row>
    <row r="420" spans="1:6" ht="15" customHeight="1">
      <c r="A420" s="1264" t="s">
        <v>3727</v>
      </c>
      <c r="B420" s="1239"/>
      <c r="C420" s="1341" t="s">
        <v>729</v>
      </c>
      <c r="D420" s="1288"/>
      <c r="E420" s="1280"/>
      <c r="F420" s="1281"/>
    </row>
    <row r="421" spans="1:6" ht="15" customHeight="1">
      <c r="A421" s="1277" t="s">
        <v>3728</v>
      </c>
      <c r="B421" s="1239">
        <v>1</v>
      </c>
      <c r="C421" s="1344" t="s">
        <v>3051</v>
      </c>
      <c r="D421" s="1288"/>
      <c r="E421" s="1280"/>
      <c r="F421" s="1281"/>
    </row>
    <row r="422" spans="1:6" ht="15" customHeight="1">
      <c r="A422" s="1240"/>
      <c r="B422" s="1239">
        <v>1</v>
      </c>
      <c r="C422" s="1344" t="s">
        <v>3053</v>
      </c>
      <c r="D422" s="1288"/>
      <c r="E422" s="1280"/>
      <c r="F422" s="1281"/>
    </row>
    <row r="423" spans="1:6" ht="15" customHeight="1" thickBot="1">
      <c r="A423" s="1286"/>
      <c r="B423" s="1273">
        <v>1</v>
      </c>
      <c r="C423" s="1345" t="s">
        <v>316</v>
      </c>
      <c r="D423" s="1369"/>
      <c r="E423" s="1283"/>
      <c r="F423" s="1284"/>
    </row>
    <row r="424" spans="1:6" ht="15" customHeight="1">
      <c r="A424" s="1271"/>
      <c r="B424" s="1239"/>
      <c r="C424" s="1337"/>
      <c r="D424" s="1288"/>
      <c r="E424" s="1280"/>
      <c r="F424" s="1281"/>
    </row>
    <row r="425" spans="1:6" ht="15" customHeight="1">
      <c r="A425" s="1282">
        <v>20</v>
      </c>
      <c r="B425" s="1234">
        <v>1</v>
      </c>
      <c r="C425" s="1334" t="s">
        <v>4075</v>
      </c>
      <c r="D425" s="1376">
        <v>1948</v>
      </c>
      <c r="E425" s="1375"/>
      <c r="F425" s="1235">
        <f>+B425*D425</f>
        <v>1948</v>
      </c>
    </row>
    <row r="426" spans="1:6" ht="15" customHeight="1">
      <c r="A426" s="1236" t="s">
        <v>3207</v>
      </c>
      <c r="B426" s="1237"/>
      <c r="C426" s="1334" t="s">
        <v>2805</v>
      </c>
      <c r="D426" s="1288"/>
      <c r="E426" s="1280"/>
      <c r="F426" s="1281"/>
    </row>
    <row r="427" spans="1:6" ht="32.25" customHeight="1">
      <c r="A427" s="1236" t="s">
        <v>4059</v>
      </c>
      <c r="B427" s="1239">
        <v>1</v>
      </c>
      <c r="C427" s="1407" t="s">
        <v>2212</v>
      </c>
      <c r="D427" s="1288"/>
      <c r="E427" s="1280"/>
      <c r="F427" s="1281"/>
    </row>
    <row r="428" spans="1:6" ht="15" customHeight="1">
      <c r="A428" s="1236" t="s">
        <v>3724</v>
      </c>
      <c r="B428" s="1239"/>
      <c r="C428" s="1341" t="s">
        <v>729</v>
      </c>
      <c r="D428" s="1288"/>
      <c r="E428" s="1280"/>
      <c r="F428" s="1281"/>
    </row>
    <row r="429" spans="1:6" ht="15" customHeight="1">
      <c r="A429" s="1240"/>
      <c r="B429" s="1248"/>
      <c r="C429" s="1343" t="s">
        <v>2797</v>
      </c>
      <c r="D429" s="1288"/>
      <c r="E429" s="1280"/>
      <c r="F429" s="1281"/>
    </row>
    <row r="430" spans="1:6" ht="15" customHeight="1">
      <c r="A430" s="1240" t="s">
        <v>3725</v>
      </c>
      <c r="B430" s="1239">
        <v>6</v>
      </c>
      <c r="C430" s="1340" t="s">
        <v>983</v>
      </c>
      <c r="D430" s="1288"/>
      <c r="E430" s="1280"/>
      <c r="F430" s="1281"/>
    </row>
    <row r="431" spans="1:6" ht="15" customHeight="1">
      <c r="A431" s="1240" t="s">
        <v>3726</v>
      </c>
      <c r="B431" s="1239">
        <v>6</v>
      </c>
      <c r="C431" s="1340" t="s">
        <v>2066</v>
      </c>
      <c r="D431" s="1288"/>
      <c r="E431" s="1280"/>
      <c r="F431" s="1281"/>
    </row>
    <row r="432" spans="1:6" ht="15" customHeight="1">
      <c r="A432" s="1240"/>
      <c r="B432" s="1239">
        <v>2</v>
      </c>
      <c r="C432" s="1340" t="s">
        <v>4073</v>
      </c>
      <c r="D432" s="1288"/>
      <c r="E432" s="1280"/>
      <c r="F432" s="1281"/>
    </row>
    <row r="433" spans="1:6" ht="15" customHeight="1">
      <c r="A433" s="1263" t="s">
        <v>3338</v>
      </c>
      <c r="B433" s="1239"/>
      <c r="C433" s="1342"/>
      <c r="D433" s="1288"/>
      <c r="E433" s="1280"/>
      <c r="F433" s="1281"/>
    </row>
    <row r="434" spans="1:6" ht="15" customHeight="1">
      <c r="A434" s="1264" t="s">
        <v>3727</v>
      </c>
      <c r="B434" s="1239"/>
      <c r="C434" s="1341" t="s">
        <v>729</v>
      </c>
      <c r="D434" s="1288"/>
      <c r="E434" s="1280"/>
      <c r="F434" s="1281"/>
    </row>
    <row r="435" spans="1:6" ht="15" customHeight="1">
      <c r="A435" s="1277" t="s">
        <v>3728</v>
      </c>
      <c r="B435" s="1239">
        <v>1</v>
      </c>
      <c r="C435" s="1344" t="s">
        <v>3051</v>
      </c>
      <c r="D435" s="1288"/>
      <c r="E435" s="1280"/>
      <c r="F435" s="1281"/>
    </row>
    <row r="436" spans="1:6" ht="15" customHeight="1">
      <c r="A436" s="1240"/>
      <c r="B436" s="1239">
        <v>1</v>
      </c>
      <c r="C436" s="1344" t="s">
        <v>3053</v>
      </c>
      <c r="D436" s="1288"/>
      <c r="E436" s="1280"/>
      <c r="F436" s="1281"/>
    </row>
    <row r="437" spans="1:6" ht="15" customHeight="1" thickBot="1">
      <c r="A437" s="1286"/>
      <c r="B437" s="1273">
        <v>1</v>
      </c>
      <c r="C437" s="1345" t="s">
        <v>316</v>
      </c>
      <c r="D437" s="1369"/>
      <c r="E437" s="1283"/>
      <c r="F437" s="1284"/>
    </row>
    <row r="438" spans="1:6" ht="15" customHeight="1">
      <c r="A438" s="1271"/>
      <c r="B438" s="1239"/>
      <c r="C438" s="1337"/>
      <c r="D438" s="1288"/>
      <c r="E438" s="1280"/>
      <c r="F438" s="1281"/>
    </row>
    <row r="439" spans="1:6" ht="15" customHeight="1">
      <c r="A439" s="1282">
        <v>22</v>
      </c>
      <c r="B439" s="1234">
        <v>1</v>
      </c>
      <c r="C439" s="1334" t="s">
        <v>4076</v>
      </c>
      <c r="D439" s="1376">
        <v>2433</v>
      </c>
      <c r="E439" s="1375"/>
      <c r="F439" s="1235">
        <f>+B439*D439</f>
        <v>2433</v>
      </c>
    </row>
    <row r="440" spans="1:6" ht="15" customHeight="1">
      <c r="A440" s="1236" t="s">
        <v>3207</v>
      </c>
      <c r="B440" s="1237"/>
      <c r="C440" s="1334" t="s">
        <v>2805</v>
      </c>
      <c r="D440" s="1288"/>
      <c r="E440" s="1280"/>
      <c r="F440" s="1281"/>
    </row>
    <row r="441" spans="1:6" ht="28.5" customHeight="1">
      <c r="A441" s="1236" t="s">
        <v>4059</v>
      </c>
      <c r="B441" s="1239">
        <v>1</v>
      </c>
      <c r="C441" s="1407" t="s">
        <v>2212</v>
      </c>
      <c r="D441" s="1288"/>
      <c r="E441" s="1280"/>
      <c r="F441" s="1281"/>
    </row>
    <row r="442" spans="1:6" ht="15" customHeight="1">
      <c r="A442" s="1236" t="s">
        <v>3724</v>
      </c>
      <c r="B442" s="1239"/>
      <c r="C442" s="1341" t="s">
        <v>729</v>
      </c>
      <c r="D442" s="1288"/>
      <c r="E442" s="1280"/>
      <c r="F442" s="1281"/>
    </row>
    <row r="443" spans="1:6" ht="15" customHeight="1">
      <c r="A443" s="1240"/>
      <c r="B443" s="1248"/>
      <c r="C443" s="1343" t="s">
        <v>2797</v>
      </c>
      <c r="D443" s="1288"/>
      <c r="E443" s="1280"/>
      <c r="F443" s="1281"/>
    </row>
    <row r="444" spans="1:6" ht="15" customHeight="1">
      <c r="A444" s="1240" t="s">
        <v>3725</v>
      </c>
      <c r="B444" s="1239">
        <v>9</v>
      </c>
      <c r="C444" s="1340" t="s">
        <v>983</v>
      </c>
      <c r="D444" s="1288"/>
      <c r="E444" s="1280"/>
      <c r="F444" s="1281"/>
    </row>
    <row r="445" spans="1:6" ht="15" customHeight="1">
      <c r="A445" s="1240" t="s">
        <v>3726</v>
      </c>
      <c r="B445" s="1239">
        <v>9</v>
      </c>
      <c r="C445" s="1340" t="s">
        <v>2066</v>
      </c>
      <c r="D445" s="1288"/>
      <c r="E445" s="1280"/>
      <c r="F445" s="1281"/>
    </row>
    <row r="446" spans="1:6" ht="15" customHeight="1">
      <c r="A446" s="1240"/>
      <c r="B446" s="1239">
        <v>3</v>
      </c>
      <c r="C446" s="1340" t="s">
        <v>4073</v>
      </c>
      <c r="D446" s="1288"/>
      <c r="E446" s="1280"/>
      <c r="F446" s="1281"/>
    </row>
    <row r="447" spans="1:6" ht="15" customHeight="1">
      <c r="A447" s="1263" t="s">
        <v>3338</v>
      </c>
      <c r="B447" s="1239"/>
      <c r="C447" s="1342"/>
      <c r="D447" s="1288"/>
      <c r="E447" s="1280"/>
      <c r="F447" s="1281"/>
    </row>
    <row r="448" spans="1:6" ht="15" customHeight="1">
      <c r="A448" s="1264" t="s">
        <v>3727</v>
      </c>
      <c r="B448" s="1239"/>
      <c r="C448" s="1341" t="s">
        <v>729</v>
      </c>
      <c r="D448" s="1288"/>
      <c r="E448" s="1280"/>
      <c r="F448" s="1281"/>
    </row>
    <row r="449" spans="1:6" ht="15" customHeight="1">
      <c r="A449" s="1277" t="s">
        <v>3728</v>
      </c>
      <c r="B449" s="1239">
        <v>1</v>
      </c>
      <c r="C449" s="1344" t="s">
        <v>3051</v>
      </c>
      <c r="D449" s="1288"/>
      <c r="E449" s="1280"/>
      <c r="F449" s="1281"/>
    </row>
    <row r="450" spans="1:6" ht="15" customHeight="1">
      <c r="A450" s="1240"/>
      <c r="B450" s="1239">
        <v>1</v>
      </c>
      <c r="C450" s="1344" t="s">
        <v>3053</v>
      </c>
      <c r="D450" s="1288"/>
      <c r="E450" s="1280"/>
      <c r="F450" s="1281"/>
    </row>
    <row r="451" spans="1:6" ht="15" customHeight="1" thickBot="1">
      <c r="A451" s="1286"/>
      <c r="B451" s="1273">
        <v>1</v>
      </c>
      <c r="C451" s="1345" t="s">
        <v>316</v>
      </c>
      <c r="D451" s="1369"/>
      <c r="E451" s="1283"/>
      <c r="F451" s="1284"/>
    </row>
    <row r="452" spans="1:6" ht="15" customHeight="1">
      <c r="A452" s="1271"/>
      <c r="B452" s="1239"/>
      <c r="C452" s="1337"/>
      <c r="D452" s="1288"/>
      <c r="E452" s="1280"/>
      <c r="F452" s="1281"/>
    </row>
    <row r="453" spans="1:6" ht="15" customHeight="1">
      <c r="A453" s="1282">
        <v>29</v>
      </c>
      <c r="B453" s="1234">
        <v>1</v>
      </c>
      <c r="C453" s="1334" t="s">
        <v>4077</v>
      </c>
      <c r="D453" s="1376">
        <v>1751</v>
      </c>
      <c r="E453" s="1375"/>
      <c r="F453" s="1235">
        <f>+B453*D453</f>
        <v>1751</v>
      </c>
    </row>
    <row r="454" spans="1:6" ht="15" customHeight="1">
      <c r="A454" s="1236" t="s">
        <v>3207</v>
      </c>
      <c r="B454" s="1237"/>
      <c r="C454" s="1334" t="s">
        <v>2805</v>
      </c>
      <c r="D454" s="1380"/>
      <c r="E454" s="1381"/>
      <c r="F454" s="1281"/>
    </row>
    <row r="455" spans="1:6" ht="27" customHeight="1">
      <c r="A455" s="1236" t="s">
        <v>4059</v>
      </c>
      <c r="B455" s="1239">
        <v>1</v>
      </c>
      <c r="C455" s="1407" t="s">
        <v>2212</v>
      </c>
      <c r="D455" s="1382"/>
      <c r="E455" s="1383"/>
      <c r="F455" s="1281"/>
    </row>
    <row r="456" spans="1:6" ht="15" customHeight="1">
      <c r="A456" s="1236" t="s">
        <v>3724</v>
      </c>
      <c r="B456" s="1239"/>
      <c r="C456" s="1341" t="s">
        <v>729</v>
      </c>
      <c r="D456" s="1382"/>
      <c r="E456" s="1383"/>
      <c r="F456" s="1281"/>
    </row>
    <row r="457" spans="1:6" ht="15" customHeight="1">
      <c r="A457" s="1240"/>
      <c r="B457" s="1248"/>
      <c r="C457" s="1343" t="s">
        <v>2797</v>
      </c>
      <c r="D457" s="1288"/>
      <c r="E457" s="1280"/>
      <c r="F457" s="1281"/>
    </row>
    <row r="458" spans="1:6" ht="15" customHeight="1">
      <c r="A458" s="1240" t="s">
        <v>3725</v>
      </c>
      <c r="B458" s="1239">
        <v>6</v>
      </c>
      <c r="C458" s="1340" t="s">
        <v>983</v>
      </c>
      <c r="D458" s="1288"/>
      <c r="E458" s="1280"/>
      <c r="F458" s="1281"/>
    </row>
    <row r="459" spans="1:6" ht="15" customHeight="1">
      <c r="A459" s="1240" t="s">
        <v>3726</v>
      </c>
      <c r="B459" s="1239">
        <v>6</v>
      </c>
      <c r="C459" s="1340" t="s">
        <v>2029</v>
      </c>
      <c r="D459" s="1288"/>
      <c r="E459" s="1280"/>
      <c r="F459" s="1281"/>
    </row>
    <row r="460" spans="1:6" ht="15" customHeight="1">
      <c r="A460" s="1240"/>
      <c r="B460" s="1239">
        <v>2</v>
      </c>
      <c r="C460" s="1340" t="s">
        <v>4073</v>
      </c>
      <c r="D460" s="1288"/>
      <c r="E460" s="1280"/>
      <c r="F460" s="1281"/>
    </row>
    <row r="461" spans="1:6" ht="15" customHeight="1">
      <c r="A461" s="1263" t="s">
        <v>3338</v>
      </c>
      <c r="B461" s="1239"/>
      <c r="C461" s="1342"/>
      <c r="D461" s="2771"/>
      <c r="E461" s="2772"/>
      <c r="F461" s="1238"/>
    </row>
    <row r="462" spans="1:6" ht="15" customHeight="1">
      <c r="A462" s="1264" t="s">
        <v>3727</v>
      </c>
      <c r="B462" s="1239"/>
      <c r="C462" s="1341" t="s">
        <v>729</v>
      </c>
      <c r="D462" s="1288"/>
      <c r="E462" s="1280"/>
      <c r="F462" s="1281"/>
    </row>
    <row r="463" spans="1:6" ht="15" customHeight="1">
      <c r="A463" s="1277" t="s">
        <v>3728</v>
      </c>
      <c r="B463" s="1239">
        <v>1</v>
      </c>
      <c r="C463" s="1340" t="s">
        <v>1453</v>
      </c>
      <c r="D463" s="1288"/>
      <c r="E463" s="1280"/>
      <c r="F463" s="1281"/>
    </row>
    <row r="464" spans="1:6" ht="15" customHeight="1">
      <c r="A464" s="1240"/>
      <c r="B464" s="1239">
        <v>1</v>
      </c>
      <c r="C464" s="1340" t="s">
        <v>1163</v>
      </c>
      <c r="D464" s="1288"/>
      <c r="E464" s="1280"/>
      <c r="F464" s="1281"/>
    </row>
    <row r="465" spans="1:6" ht="15" customHeight="1">
      <c r="A465" s="1287"/>
      <c r="B465" s="1239"/>
      <c r="C465" s="1341" t="s">
        <v>729</v>
      </c>
      <c r="D465" s="1288"/>
      <c r="E465" s="1280"/>
      <c r="F465" s="1281"/>
    </row>
    <row r="466" spans="1:6" ht="15" customHeight="1">
      <c r="A466" s="1246"/>
      <c r="B466" s="1239">
        <v>1</v>
      </c>
      <c r="C466" s="1344" t="s">
        <v>3051</v>
      </c>
      <c r="D466" s="1288"/>
      <c r="E466" s="1280"/>
      <c r="F466" s="1281"/>
    </row>
    <row r="467" spans="1:6" ht="15" customHeight="1" thickBot="1">
      <c r="A467" s="1272"/>
      <c r="B467" s="1273">
        <v>1</v>
      </c>
      <c r="C467" s="1345" t="s">
        <v>316</v>
      </c>
      <c r="D467" s="1369"/>
      <c r="E467" s="1283"/>
      <c r="F467" s="1284"/>
    </row>
    <row r="468" spans="1:6" ht="15" customHeight="1">
      <c r="A468" s="1271"/>
      <c r="B468" s="1239"/>
      <c r="C468" s="1337"/>
      <c r="D468" s="1288"/>
      <c r="E468" s="1280"/>
      <c r="F468" s="1281"/>
    </row>
    <row r="469" spans="1:6" ht="15" customHeight="1">
      <c r="A469" s="1282">
        <v>30</v>
      </c>
      <c r="B469" s="1234">
        <v>1</v>
      </c>
      <c r="C469" s="1334" t="s">
        <v>4078</v>
      </c>
      <c r="D469" s="1376">
        <v>1136</v>
      </c>
      <c r="E469" s="1375"/>
      <c r="F469" s="1235">
        <f>+B469*D469</f>
        <v>1136</v>
      </c>
    </row>
    <row r="470" spans="1:6" ht="15" customHeight="1">
      <c r="A470" s="1236" t="s">
        <v>3207</v>
      </c>
      <c r="B470" s="1237"/>
      <c r="C470" s="1334" t="s">
        <v>2805</v>
      </c>
      <c r="D470" s="1288"/>
      <c r="E470" s="1280"/>
      <c r="F470" s="1281"/>
    </row>
    <row r="471" spans="1:6" ht="25.5" customHeight="1">
      <c r="A471" s="1236" t="s">
        <v>4059</v>
      </c>
      <c r="B471" s="1239">
        <v>1</v>
      </c>
      <c r="C471" s="1407" t="s">
        <v>2212</v>
      </c>
      <c r="D471" s="1288"/>
      <c r="E471" s="1280"/>
      <c r="F471" s="1281"/>
    </row>
    <row r="472" spans="1:6" ht="15" customHeight="1">
      <c r="A472" s="1236" t="s">
        <v>3724</v>
      </c>
      <c r="B472" s="1239"/>
      <c r="C472" s="1341" t="s">
        <v>729</v>
      </c>
      <c r="D472" s="1288"/>
      <c r="E472" s="1280"/>
      <c r="F472" s="1281"/>
    </row>
    <row r="473" spans="1:6" ht="15" customHeight="1">
      <c r="A473" s="1240"/>
      <c r="B473" s="1248"/>
      <c r="C473" s="1343" t="s">
        <v>2797</v>
      </c>
      <c r="D473" s="1288"/>
      <c r="E473" s="1280"/>
      <c r="F473" s="1281"/>
    </row>
    <row r="474" spans="1:6" ht="15" customHeight="1">
      <c r="A474" s="1240" t="s">
        <v>3725</v>
      </c>
      <c r="B474" s="1239">
        <v>3</v>
      </c>
      <c r="C474" s="1340" t="s">
        <v>983</v>
      </c>
      <c r="D474" s="2771"/>
      <c r="E474" s="2772"/>
      <c r="F474" s="1238"/>
    </row>
    <row r="475" spans="1:6" ht="15" customHeight="1">
      <c r="A475" s="1240" t="s">
        <v>3726</v>
      </c>
      <c r="B475" s="1239">
        <v>3</v>
      </c>
      <c r="C475" s="1340" t="s">
        <v>2029</v>
      </c>
      <c r="D475" s="1288"/>
      <c r="E475" s="1280"/>
      <c r="F475" s="1281"/>
    </row>
    <row r="476" spans="1:6" ht="15" customHeight="1">
      <c r="A476" s="1240"/>
      <c r="B476" s="1239">
        <v>3</v>
      </c>
      <c r="C476" s="1340" t="s">
        <v>4073</v>
      </c>
      <c r="D476" s="1288"/>
      <c r="E476" s="1280"/>
      <c r="F476" s="1281"/>
    </row>
    <row r="477" spans="1:6" ht="15" customHeight="1">
      <c r="A477" s="1263" t="s">
        <v>3338</v>
      </c>
      <c r="B477" s="1239"/>
      <c r="C477" s="1342"/>
      <c r="D477" s="1288"/>
      <c r="E477" s="1280"/>
      <c r="F477" s="1281"/>
    </row>
    <row r="478" spans="1:6" ht="15" customHeight="1">
      <c r="A478" s="1264" t="s">
        <v>3727</v>
      </c>
      <c r="B478" s="1239"/>
      <c r="C478" s="1341" t="s">
        <v>729</v>
      </c>
      <c r="D478" s="1288"/>
      <c r="E478" s="1280"/>
      <c r="F478" s="1281"/>
    </row>
    <row r="479" spans="1:6" ht="15" customHeight="1">
      <c r="A479" s="1277" t="s">
        <v>3728</v>
      </c>
      <c r="B479" s="1239">
        <v>1</v>
      </c>
      <c r="C479" s="1344" t="s">
        <v>3051</v>
      </c>
      <c r="D479" s="1288"/>
      <c r="E479" s="1280"/>
      <c r="F479" s="1281"/>
    </row>
    <row r="480" spans="1:6" ht="15" customHeight="1" thickBot="1">
      <c r="A480" s="1286"/>
      <c r="B480" s="1273">
        <v>1</v>
      </c>
      <c r="C480" s="1345" t="s">
        <v>316</v>
      </c>
      <c r="D480" s="1369"/>
      <c r="E480" s="1283"/>
      <c r="F480" s="1284"/>
    </row>
    <row r="481" spans="1:6" ht="15" customHeight="1">
      <c r="A481" s="1271"/>
      <c r="B481" s="1239"/>
      <c r="C481" s="1337"/>
      <c r="D481" s="1288"/>
      <c r="E481" s="1280"/>
      <c r="F481" s="1281"/>
    </row>
    <row r="482" spans="1:6" ht="15" customHeight="1">
      <c r="A482" s="1282">
        <v>31</v>
      </c>
      <c r="B482" s="1234">
        <v>1</v>
      </c>
      <c r="C482" s="1334" t="s">
        <v>4079</v>
      </c>
      <c r="D482" s="1376">
        <v>1136</v>
      </c>
      <c r="E482" s="1375"/>
      <c r="F482" s="1235">
        <f>+B482*D482</f>
        <v>1136</v>
      </c>
    </row>
    <row r="483" spans="1:6" ht="15" customHeight="1">
      <c r="A483" s="1236" t="s">
        <v>3207</v>
      </c>
      <c r="B483" s="1237"/>
      <c r="C483" s="1334" t="s">
        <v>2805</v>
      </c>
      <c r="D483" s="1288"/>
      <c r="E483" s="1280"/>
      <c r="F483" s="1281"/>
    </row>
    <row r="484" spans="1:6" ht="29.25" customHeight="1">
      <c r="A484" s="1236" t="s">
        <v>4059</v>
      </c>
      <c r="B484" s="1239">
        <v>1</v>
      </c>
      <c r="C484" s="1407" t="s">
        <v>2212</v>
      </c>
      <c r="D484" s="1288"/>
      <c r="E484" s="1280"/>
      <c r="F484" s="1281"/>
    </row>
    <row r="485" spans="1:6" ht="15" customHeight="1">
      <c r="A485" s="1236" t="s">
        <v>3724</v>
      </c>
      <c r="B485" s="1239"/>
      <c r="C485" s="1341" t="s">
        <v>729</v>
      </c>
      <c r="D485" s="1288"/>
      <c r="E485" s="1280"/>
      <c r="F485" s="1281"/>
    </row>
    <row r="486" spans="1:6" ht="15" customHeight="1">
      <c r="A486" s="1240"/>
      <c r="B486" s="1248"/>
      <c r="C486" s="1343" t="s">
        <v>2797</v>
      </c>
      <c r="D486" s="1288"/>
      <c r="E486" s="1280"/>
      <c r="F486" s="1281"/>
    </row>
    <row r="487" spans="1:6" ht="15" customHeight="1">
      <c r="A487" s="1240" t="s">
        <v>3725</v>
      </c>
      <c r="B487" s="1239">
        <v>3</v>
      </c>
      <c r="C487" s="1340" t="s">
        <v>983</v>
      </c>
      <c r="D487" s="1288"/>
      <c r="E487" s="1280"/>
      <c r="F487" s="1281"/>
    </row>
    <row r="488" spans="1:6" ht="15" customHeight="1">
      <c r="A488" s="1240" t="s">
        <v>3726</v>
      </c>
      <c r="B488" s="1239">
        <v>3</v>
      </c>
      <c r="C488" s="1340" t="s">
        <v>2029</v>
      </c>
      <c r="D488" s="1288"/>
      <c r="E488" s="1280"/>
      <c r="F488" s="1281"/>
    </row>
    <row r="489" spans="1:6" ht="15" customHeight="1">
      <c r="A489" s="1240"/>
      <c r="B489" s="1239">
        <v>3</v>
      </c>
      <c r="C489" s="1340" t="s">
        <v>4073</v>
      </c>
      <c r="D489" s="1288"/>
      <c r="E489" s="1280"/>
      <c r="F489" s="1281"/>
    </row>
    <row r="490" spans="1:6" ht="15" customHeight="1">
      <c r="A490" s="1263" t="s">
        <v>3338</v>
      </c>
      <c r="B490" s="1239"/>
      <c r="C490" s="1342"/>
      <c r="D490" s="1288"/>
      <c r="E490" s="1280"/>
      <c r="F490" s="1281"/>
    </row>
    <row r="491" spans="1:6" ht="15" customHeight="1">
      <c r="A491" s="1264" t="s">
        <v>3727</v>
      </c>
      <c r="B491" s="1239"/>
      <c r="C491" s="1341" t="s">
        <v>729</v>
      </c>
      <c r="D491" s="1288"/>
      <c r="E491" s="1280"/>
      <c r="F491" s="1281"/>
    </row>
    <row r="492" spans="1:6" ht="15" customHeight="1">
      <c r="A492" s="1277" t="s">
        <v>3728</v>
      </c>
      <c r="B492" s="1239">
        <v>1</v>
      </c>
      <c r="C492" s="1344" t="s">
        <v>3051</v>
      </c>
      <c r="D492" s="1288"/>
      <c r="E492" s="1280"/>
      <c r="F492" s="1281"/>
    </row>
    <row r="493" spans="1:6" ht="15" customHeight="1" thickBot="1">
      <c r="A493" s="1286"/>
      <c r="B493" s="1273">
        <v>1</v>
      </c>
      <c r="C493" s="1345" t="s">
        <v>316</v>
      </c>
      <c r="D493" s="2776"/>
      <c r="E493" s="2777"/>
      <c r="F493" s="1258"/>
    </row>
    <row r="494" spans="1:6" ht="15" customHeight="1">
      <c r="A494" s="1271"/>
      <c r="B494" s="1239"/>
      <c r="C494" s="1337"/>
      <c r="D494" s="1288"/>
      <c r="E494" s="1280"/>
      <c r="F494" s="1281"/>
    </row>
    <row r="495" spans="1:6" ht="15" customHeight="1">
      <c r="A495" s="1282">
        <v>32</v>
      </c>
      <c r="B495" s="1234">
        <v>1</v>
      </c>
      <c r="C495" s="1334" t="s">
        <v>4080</v>
      </c>
      <c r="D495" s="1376">
        <v>1136</v>
      </c>
      <c r="E495" s="1375"/>
      <c r="F495" s="1235">
        <f>+B495*D495</f>
        <v>1136</v>
      </c>
    </row>
    <row r="496" spans="1:6" ht="15" customHeight="1">
      <c r="A496" s="1236" t="s">
        <v>3207</v>
      </c>
      <c r="B496" s="1237"/>
      <c r="C496" s="1334" t="s">
        <v>2805</v>
      </c>
      <c r="D496" s="1288"/>
      <c r="E496" s="1280"/>
      <c r="F496" s="1281"/>
    </row>
    <row r="497" spans="1:6" ht="24.75" customHeight="1">
      <c r="A497" s="1236" t="s">
        <v>4059</v>
      </c>
      <c r="B497" s="1239">
        <v>1</v>
      </c>
      <c r="C497" s="1407" t="s">
        <v>2212</v>
      </c>
      <c r="D497" s="1288"/>
      <c r="E497" s="1280"/>
      <c r="F497" s="1281"/>
    </row>
    <row r="498" spans="1:6" ht="15" customHeight="1">
      <c r="A498" s="1236" t="s">
        <v>3724</v>
      </c>
      <c r="B498" s="1239"/>
      <c r="C498" s="1341" t="s">
        <v>729</v>
      </c>
      <c r="D498" s="1288"/>
      <c r="E498" s="1280"/>
      <c r="F498" s="1281"/>
    </row>
    <row r="499" spans="1:6" ht="15" customHeight="1">
      <c r="A499" s="1240"/>
      <c r="B499" s="1248"/>
      <c r="C499" s="1343" t="s">
        <v>2797</v>
      </c>
      <c r="D499" s="1288"/>
      <c r="E499" s="1280"/>
      <c r="F499" s="1281"/>
    </row>
    <row r="500" spans="1:6" ht="15" customHeight="1">
      <c r="A500" s="1240" t="s">
        <v>3725</v>
      </c>
      <c r="B500" s="1239">
        <v>3</v>
      </c>
      <c r="C500" s="1340" t="s">
        <v>983</v>
      </c>
      <c r="D500" s="1288"/>
      <c r="E500" s="1280"/>
      <c r="F500" s="1281"/>
    </row>
    <row r="501" spans="1:6" ht="15" customHeight="1">
      <c r="A501" s="1240" t="s">
        <v>3726</v>
      </c>
      <c r="B501" s="1239">
        <v>3</v>
      </c>
      <c r="C501" s="1340" t="s">
        <v>2029</v>
      </c>
      <c r="D501" s="1288"/>
      <c r="E501" s="1280"/>
      <c r="F501" s="1281"/>
    </row>
    <row r="502" spans="1:6" ht="15" customHeight="1">
      <c r="A502" s="1240"/>
      <c r="B502" s="1239">
        <v>3</v>
      </c>
      <c r="C502" s="1340" t="s">
        <v>4073</v>
      </c>
      <c r="D502" s="1288"/>
      <c r="E502" s="1280"/>
      <c r="F502" s="1281"/>
    </row>
    <row r="503" spans="1:6" ht="15" customHeight="1">
      <c r="A503" s="1263" t="s">
        <v>3338</v>
      </c>
      <c r="B503" s="1239"/>
      <c r="C503" s="1342"/>
      <c r="D503" s="1288"/>
      <c r="E503" s="1280"/>
      <c r="F503" s="1281"/>
    </row>
    <row r="504" spans="1:6" ht="15" customHeight="1">
      <c r="A504" s="1264" t="s">
        <v>3727</v>
      </c>
      <c r="B504" s="1239"/>
      <c r="C504" s="1341" t="s">
        <v>729</v>
      </c>
      <c r="D504" s="1288"/>
      <c r="E504" s="1280"/>
      <c r="F504" s="1281"/>
    </row>
    <row r="505" spans="1:6" ht="15" customHeight="1">
      <c r="A505" s="1277" t="s">
        <v>3728</v>
      </c>
      <c r="B505" s="1239">
        <v>1</v>
      </c>
      <c r="C505" s="1344" t="s">
        <v>3051</v>
      </c>
      <c r="D505" s="1288"/>
      <c r="E505" s="1280"/>
      <c r="F505" s="1281"/>
    </row>
    <row r="506" spans="1:6" ht="15" customHeight="1" thickBot="1">
      <c r="A506" s="1286"/>
      <c r="B506" s="1273">
        <v>1</v>
      </c>
      <c r="C506" s="1345" t="s">
        <v>316</v>
      </c>
      <c r="D506" s="1369"/>
      <c r="E506" s="1283"/>
      <c r="F506" s="1284"/>
    </row>
    <row r="507" spans="1:6" ht="15" customHeight="1">
      <c r="A507" s="1240"/>
      <c r="B507" s="1270"/>
      <c r="C507" s="1341"/>
      <c r="D507" s="2769"/>
      <c r="E507" s="2770"/>
      <c r="F507" s="1238"/>
    </row>
    <row r="508" spans="1:6" ht="15" customHeight="1">
      <c r="A508" s="1282">
        <v>35</v>
      </c>
      <c r="B508" s="1234">
        <v>1</v>
      </c>
      <c r="C508" s="1334" t="s">
        <v>4082</v>
      </c>
      <c r="D508" s="1376">
        <v>6882</v>
      </c>
      <c r="E508" s="1375"/>
      <c r="F508" s="1235">
        <f>+B508*D508</f>
        <v>6882</v>
      </c>
    </row>
    <row r="509" spans="1:6" ht="15" customHeight="1">
      <c r="A509" s="1236" t="s">
        <v>3207</v>
      </c>
      <c r="B509" s="1237"/>
      <c r="C509" s="1334" t="s">
        <v>2805</v>
      </c>
      <c r="D509" s="2771"/>
      <c r="E509" s="2772"/>
      <c r="F509" s="1238"/>
    </row>
    <row r="510" spans="1:6" ht="26.25" customHeight="1">
      <c r="A510" s="1236" t="s">
        <v>4059</v>
      </c>
      <c r="B510" s="1239">
        <v>1</v>
      </c>
      <c r="C510" s="1407" t="s">
        <v>3901</v>
      </c>
      <c r="D510" s="1288"/>
      <c r="E510" s="1280"/>
      <c r="F510" s="1281"/>
    </row>
    <row r="511" spans="1:6" ht="15" customHeight="1">
      <c r="A511" s="1236" t="s">
        <v>3724</v>
      </c>
      <c r="B511" s="1239"/>
      <c r="C511" s="1341" t="s">
        <v>729</v>
      </c>
      <c r="D511" s="1288"/>
      <c r="E511" s="1280"/>
      <c r="F511" s="1281"/>
    </row>
    <row r="512" spans="1:6" ht="15" customHeight="1">
      <c r="A512" s="1240"/>
      <c r="B512" s="1248"/>
      <c r="C512" s="1343" t="s">
        <v>2797</v>
      </c>
      <c r="D512" s="1288"/>
      <c r="E512" s="1280"/>
      <c r="F512" s="1281"/>
    </row>
    <row r="513" spans="1:6" ht="27" customHeight="1">
      <c r="A513" s="1240" t="s">
        <v>3725</v>
      </c>
      <c r="B513" s="1239">
        <v>1</v>
      </c>
      <c r="C513" s="1407" t="s">
        <v>3903</v>
      </c>
      <c r="D513" s="2771"/>
      <c r="E513" s="2772"/>
      <c r="F513" s="1238"/>
    </row>
    <row r="514" spans="1:6" ht="27" customHeight="1">
      <c r="A514" s="1240" t="s">
        <v>3726</v>
      </c>
      <c r="B514" s="1239">
        <v>2</v>
      </c>
      <c r="C514" s="1407" t="s">
        <v>2218</v>
      </c>
      <c r="D514" s="1288"/>
      <c r="E514" s="1280"/>
      <c r="F514" s="1281"/>
    </row>
    <row r="515" spans="1:6" ht="26.25" customHeight="1">
      <c r="A515" s="1240"/>
      <c r="B515" s="1239">
        <v>1</v>
      </c>
      <c r="C515" s="1407" t="s">
        <v>3883</v>
      </c>
      <c r="D515" s="1288"/>
      <c r="E515" s="1280"/>
      <c r="F515" s="1281"/>
    </row>
    <row r="516" spans="1:6" ht="28.5" customHeight="1">
      <c r="A516" s="1263" t="s">
        <v>3338</v>
      </c>
      <c r="B516" s="1239">
        <v>1</v>
      </c>
      <c r="C516" s="1407" t="s">
        <v>1509</v>
      </c>
      <c r="D516" s="1288"/>
      <c r="E516" s="1280"/>
      <c r="F516" s="1281"/>
    </row>
    <row r="517" spans="1:6" ht="23.25" customHeight="1">
      <c r="A517" s="1264" t="s">
        <v>3727</v>
      </c>
      <c r="B517" s="1239">
        <v>4</v>
      </c>
      <c r="C517" s="1407" t="s">
        <v>2212</v>
      </c>
      <c r="D517" s="1288"/>
      <c r="E517" s="1280"/>
      <c r="F517" s="1281"/>
    </row>
    <row r="518" spans="1:6" ht="15" customHeight="1">
      <c r="A518" s="1277" t="s">
        <v>3728</v>
      </c>
      <c r="B518" s="1239">
        <v>1</v>
      </c>
      <c r="C518" s="1340" t="s">
        <v>4060</v>
      </c>
      <c r="D518" s="1288"/>
      <c r="E518" s="1280"/>
      <c r="F518" s="1281"/>
    </row>
    <row r="519" spans="1:6" ht="15" customHeight="1">
      <c r="A519" s="1255"/>
      <c r="B519" s="1239"/>
      <c r="C519" s="1341" t="s">
        <v>729</v>
      </c>
      <c r="D519" s="1288"/>
      <c r="E519" s="1280"/>
      <c r="F519" s="1281"/>
    </row>
    <row r="520" spans="1:6" ht="28.5" customHeight="1">
      <c r="A520" s="1240"/>
      <c r="B520" s="1239">
        <v>1</v>
      </c>
      <c r="C520" s="1407" t="s">
        <v>2113</v>
      </c>
      <c r="D520" s="1288"/>
      <c r="E520" s="1280"/>
      <c r="F520" s="1281"/>
    </row>
    <row r="521" spans="1:6" ht="30" customHeight="1">
      <c r="A521" s="1240"/>
      <c r="B521" s="1239">
        <v>1</v>
      </c>
      <c r="C521" s="1407" t="s">
        <v>1506</v>
      </c>
      <c r="D521" s="1288"/>
      <c r="E521" s="1280"/>
      <c r="F521" s="1281"/>
    </row>
    <row r="522" spans="1:6" ht="15" customHeight="1">
      <c r="A522" s="1277"/>
      <c r="B522" s="1239"/>
      <c r="C522" s="1341" t="s">
        <v>729</v>
      </c>
      <c r="D522" s="2771"/>
      <c r="E522" s="2772"/>
      <c r="F522" s="1238"/>
    </row>
    <row r="523" spans="1:6" ht="15" customHeight="1">
      <c r="A523" s="1287"/>
      <c r="B523" s="1239">
        <v>1</v>
      </c>
      <c r="C523" s="1344" t="s">
        <v>3051</v>
      </c>
      <c r="D523" s="1288"/>
      <c r="E523" s="1280"/>
      <c r="F523" s="1281"/>
    </row>
    <row r="524" spans="1:6" ht="15" customHeight="1" thickBot="1">
      <c r="A524" s="1272"/>
      <c r="B524" s="1273">
        <v>1</v>
      </c>
      <c r="C524" s="1345" t="s">
        <v>316</v>
      </c>
      <c r="D524" s="2776"/>
      <c r="E524" s="2777"/>
      <c r="F524" s="1258"/>
    </row>
    <row r="525" spans="1:6" ht="15" customHeight="1">
      <c r="A525" s="1271"/>
      <c r="B525" s="1239"/>
      <c r="C525" s="1337"/>
      <c r="D525" s="1288"/>
      <c r="E525" s="1280"/>
      <c r="F525" s="1281"/>
    </row>
    <row r="526" spans="1:6" ht="15" customHeight="1">
      <c r="A526" s="1282">
        <v>36</v>
      </c>
      <c r="B526" s="1234">
        <v>1</v>
      </c>
      <c r="C526" s="1334" t="s">
        <v>4083</v>
      </c>
      <c r="D526" s="1376">
        <v>3163</v>
      </c>
      <c r="E526" s="1375"/>
      <c r="F526" s="1235">
        <f>+B526*D526</f>
        <v>3163</v>
      </c>
    </row>
    <row r="527" spans="1:6" ht="15" customHeight="1">
      <c r="A527" s="1236" t="s">
        <v>3207</v>
      </c>
      <c r="B527" s="1237"/>
      <c r="C527" s="1334" t="s">
        <v>2805</v>
      </c>
      <c r="D527" s="1288"/>
      <c r="E527" s="1280"/>
      <c r="F527" s="1281"/>
    </row>
    <row r="528" spans="1:6" ht="29.25" customHeight="1">
      <c r="A528" s="1236" t="s">
        <v>4059</v>
      </c>
      <c r="B528" s="1239">
        <v>1</v>
      </c>
      <c r="C528" s="1407" t="s">
        <v>2212</v>
      </c>
      <c r="D528" s="1288"/>
      <c r="E528" s="1280"/>
      <c r="F528" s="1281"/>
    </row>
    <row r="529" spans="1:6" ht="15" customHeight="1">
      <c r="A529" s="1236" t="s">
        <v>3724</v>
      </c>
      <c r="B529" s="1239"/>
      <c r="C529" s="1341" t="s">
        <v>729</v>
      </c>
      <c r="D529" s="1288"/>
      <c r="E529" s="1280"/>
      <c r="F529" s="1281"/>
    </row>
    <row r="530" spans="1:6" ht="15" customHeight="1">
      <c r="A530" s="1240"/>
      <c r="B530" s="1248"/>
      <c r="C530" s="1343" t="s">
        <v>2797</v>
      </c>
      <c r="D530" s="1288"/>
      <c r="E530" s="1280"/>
      <c r="F530" s="1281"/>
    </row>
    <row r="531" spans="1:6" ht="15" customHeight="1">
      <c r="A531" s="1240" t="s">
        <v>3725</v>
      </c>
      <c r="B531" s="1239">
        <v>15</v>
      </c>
      <c r="C531" s="1340" t="s">
        <v>983</v>
      </c>
      <c r="D531" s="1288"/>
      <c r="E531" s="1280"/>
      <c r="F531" s="1281"/>
    </row>
    <row r="532" spans="1:6" ht="15" customHeight="1">
      <c r="A532" s="1240" t="s">
        <v>3726</v>
      </c>
      <c r="B532" s="1239">
        <v>15</v>
      </c>
      <c r="C532" s="1340" t="s">
        <v>2029</v>
      </c>
      <c r="D532" s="1288"/>
      <c r="E532" s="1280"/>
      <c r="F532" s="1281"/>
    </row>
    <row r="533" spans="1:6" ht="15" customHeight="1">
      <c r="A533" s="1240"/>
      <c r="B533" s="1239">
        <v>3</v>
      </c>
      <c r="C533" s="1340" t="s">
        <v>4073</v>
      </c>
      <c r="D533" s="1288"/>
      <c r="E533" s="1280"/>
      <c r="F533" s="1281"/>
    </row>
    <row r="534" spans="1:6" ht="15" customHeight="1">
      <c r="A534" s="1263" t="s">
        <v>3338</v>
      </c>
      <c r="B534" s="1239"/>
      <c r="C534" s="1342"/>
      <c r="D534" s="1288"/>
      <c r="E534" s="1280"/>
      <c r="F534" s="1281"/>
    </row>
    <row r="535" spans="1:6" ht="15" customHeight="1">
      <c r="A535" s="1264" t="s">
        <v>3727</v>
      </c>
      <c r="B535" s="1239"/>
      <c r="C535" s="1341" t="s">
        <v>729</v>
      </c>
      <c r="D535" s="1288"/>
      <c r="E535" s="1280"/>
      <c r="F535" s="1281"/>
    </row>
    <row r="536" spans="1:6" ht="15" customHeight="1">
      <c r="A536" s="1277" t="s">
        <v>3728</v>
      </c>
      <c r="B536" s="1239">
        <v>3</v>
      </c>
      <c r="C536" s="1340" t="s">
        <v>1453</v>
      </c>
      <c r="D536" s="1288"/>
      <c r="E536" s="1280"/>
      <c r="F536" s="1281"/>
    </row>
    <row r="537" spans="1:6" ht="15" customHeight="1">
      <c r="A537" s="1240"/>
      <c r="B537" s="1239">
        <v>3</v>
      </c>
      <c r="C537" s="1340" t="s">
        <v>1163</v>
      </c>
      <c r="D537" s="1288"/>
      <c r="E537" s="1280"/>
      <c r="F537" s="1281"/>
    </row>
    <row r="538" spans="1:6" ht="15" customHeight="1">
      <c r="A538" s="1287"/>
      <c r="B538" s="1239"/>
      <c r="C538" s="1341" t="s">
        <v>729</v>
      </c>
      <c r="D538" s="1288"/>
      <c r="E538" s="1280"/>
      <c r="F538" s="1281"/>
    </row>
    <row r="539" spans="1:6" ht="15" customHeight="1">
      <c r="A539" s="1277"/>
      <c r="B539" s="1239">
        <v>1</v>
      </c>
      <c r="C539" s="1344" t="s">
        <v>3051</v>
      </c>
      <c r="D539" s="1288"/>
      <c r="E539" s="1280"/>
      <c r="F539" s="1281"/>
    </row>
    <row r="540" spans="1:6" ht="15" customHeight="1" thickBot="1">
      <c r="A540" s="1286"/>
      <c r="B540" s="1273">
        <v>1</v>
      </c>
      <c r="C540" s="1345" t="s">
        <v>316</v>
      </c>
      <c r="D540" s="1369"/>
      <c r="E540" s="1283"/>
      <c r="F540" s="1284"/>
    </row>
    <row r="541" spans="1:6" ht="15" customHeight="1">
      <c r="A541" s="1271"/>
      <c r="B541" s="1239"/>
      <c r="C541" s="1337"/>
      <c r="D541" s="1288"/>
      <c r="E541" s="1280"/>
      <c r="F541" s="1281"/>
    </row>
    <row r="542" spans="1:6" ht="15" customHeight="1">
      <c r="A542" s="1282">
        <v>37</v>
      </c>
      <c r="B542" s="1234">
        <v>1</v>
      </c>
      <c r="C542" s="1334" t="s">
        <v>4084</v>
      </c>
      <c r="D542" s="1376">
        <v>4886</v>
      </c>
      <c r="E542" s="1375"/>
      <c r="F542" s="1235">
        <f>+B542*D542</f>
        <v>4886</v>
      </c>
    </row>
    <row r="543" spans="1:6" ht="15" customHeight="1">
      <c r="A543" s="1236" t="s">
        <v>3207</v>
      </c>
      <c r="B543" s="1237"/>
      <c r="C543" s="1334" t="s">
        <v>2805</v>
      </c>
      <c r="D543" s="1288"/>
      <c r="E543" s="1280"/>
      <c r="F543" s="1281"/>
    </row>
    <row r="544" spans="1:6" ht="28.5" customHeight="1">
      <c r="A544" s="1236" t="s">
        <v>4059</v>
      </c>
      <c r="B544" s="1239">
        <v>1</v>
      </c>
      <c r="C544" s="1407" t="s">
        <v>1509</v>
      </c>
      <c r="D544" s="1288"/>
      <c r="E544" s="1280"/>
      <c r="F544" s="1281"/>
    </row>
    <row r="545" spans="1:6" ht="15" customHeight="1">
      <c r="A545" s="1236" t="s">
        <v>3724</v>
      </c>
      <c r="B545" s="1239"/>
      <c r="C545" s="1341" t="s">
        <v>729</v>
      </c>
      <c r="D545" s="1288"/>
      <c r="E545" s="1280"/>
      <c r="F545" s="1281"/>
    </row>
    <row r="546" spans="1:6" ht="15" customHeight="1">
      <c r="A546" s="1240"/>
      <c r="B546" s="1248"/>
      <c r="C546" s="1343" t="s">
        <v>2797</v>
      </c>
      <c r="D546" s="1288"/>
      <c r="E546" s="1280"/>
      <c r="F546" s="1281"/>
    </row>
    <row r="547" spans="1:6" ht="15" customHeight="1">
      <c r="A547" s="1240" t="s">
        <v>3725</v>
      </c>
      <c r="B547" s="1239">
        <v>31</v>
      </c>
      <c r="C547" s="1340" t="s">
        <v>983</v>
      </c>
      <c r="D547" s="1288"/>
      <c r="E547" s="1280"/>
      <c r="F547" s="1281"/>
    </row>
    <row r="548" spans="1:6" ht="15" customHeight="1">
      <c r="A548" s="1240" t="s">
        <v>3726</v>
      </c>
      <c r="B548" s="1239">
        <v>30</v>
      </c>
      <c r="C548" s="1340" t="s">
        <v>2029</v>
      </c>
      <c r="D548" s="1288"/>
      <c r="E548" s="1280"/>
      <c r="F548" s="1281"/>
    </row>
    <row r="549" spans="1:6" ht="15" customHeight="1">
      <c r="A549" s="1240"/>
      <c r="B549" s="1239">
        <v>3</v>
      </c>
      <c r="C549" s="1340" t="s">
        <v>4073</v>
      </c>
      <c r="D549" s="1288"/>
      <c r="E549" s="1280"/>
      <c r="F549" s="1281"/>
    </row>
    <row r="550" spans="1:6" ht="15" customHeight="1">
      <c r="A550" s="1263" t="s">
        <v>3338</v>
      </c>
      <c r="B550" s="1239"/>
      <c r="C550" s="1342"/>
      <c r="D550" s="1288"/>
      <c r="E550" s="1280"/>
      <c r="F550" s="1281"/>
    </row>
    <row r="551" spans="1:6" ht="15" customHeight="1">
      <c r="A551" s="1264" t="s">
        <v>3727</v>
      </c>
      <c r="B551" s="1239"/>
      <c r="C551" s="1341" t="s">
        <v>729</v>
      </c>
      <c r="D551" s="1288"/>
      <c r="E551" s="1280"/>
      <c r="F551" s="1281"/>
    </row>
    <row r="552" spans="1:6" ht="15" customHeight="1">
      <c r="A552" s="1277" t="s">
        <v>3728</v>
      </c>
      <c r="B552" s="1239">
        <v>3</v>
      </c>
      <c r="C552" s="1340" t="s">
        <v>1453</v>
      </c>
      <c r="D552" s="1288"/>
      <c r="E552" s="1280"/>
      <c r="F552" s="1281"/>
    </row>
    <row r="553" spans="1:6" ht="15" customHeight="1">
      <c r="A553" s="1240"/>
      <c r="B553" s="1239">
        <v>3</v>
      </c>
      <c r="C553" s="1340" t="s">
        <v>1163</v>
      </c>
      <c r="D553" s="1288"/>
      <c r="E553" s="1280"/>
      <c r="F553" s="1281"/>
    </row>
    <row r="554" spans="1:6" ht="15" customHeight="1">
      <c r="A554" s="1287"/>
      <c r="B554" s="1239"/>
      <c r="C554" s="1341" t="s">
        <v>729</v>
      </c>
      <c r="D554" s="1288"/>
      <c r="E554" s="1280"/>
      <c r="F554" s="1281"/>
    </row>
    <row r="555" spans="1:6" ht="15" customHeight="1">
      <c r="A555" s="1277"/>
      <c r="B555" s="1239">
        <v>1</v>
      </c>
      <c r="C555" s="1344" t="s">
        <v>3051</v>
      </c>
      <c r="D555" s="1288"/>
      <c r="E555" s="1280"/>
      <c r="F555" s="1281"/>
    </row>
    <row r="556" spans="1:6" ht="15" customHeight="1" thickBot="1">
      <c r="A556" s="1286"/>
      <c r="B556" s="1273">
        <v>1</v>
      </c>
      <c r="C556" s="1345" t="s">
        <v>316</v>
      </c>
      <c r="D556" s="1369"/>
      <c r="E556" s="1283"/>
      <c r="F556" s="1284"/>
    </row>
    <row r="557" spans="1:6" ht="15" customHeight="1">
      <c r="A557" s="1271"/>
      <c r="B557" s="1239"/>
      <c r="C557" s="1337"/>
      <c r="D557" s="2769"/>
      <c r="E557" s="2770"/>
      <c r="F557" s="1238"/>
    </row>
    <row r="558" spans="1:6" ht="15" customHeight="1">
      <c r="A558" s="1282">
        <v>38</v>
      </c>
      <c r="B558" s="1234">
        <v>1</v>
      </c>
      <c r="C558" s="1334" t="s">
        <v>4085</v>
      </c>
      <c r="D558" s="1376">
        <v>4468</v>
      </c>
      <c r="E558" s="1375"/>
      <c r="F558" s="1235">
        <f>+B558*D558</f>
        <v>4468</v>
      </c>
    </row>
    <row r="559" spans="1:6" ht="15" customHeight="1">
      <c r="A559" s="1236" t="s">
        <v>3207</v>
      </c>
      <c r="B559" s="1237"/>
      <c r="C559" s="1334" t="s">
        <v>2805</v>
      </c>
      <c r="D559" s="2771"/>
      <c r="E559" s="2772"/>
      <c r="F559" s="1238"/>
    </row>
    <row r="560" spans="1:6" ht="26.25" customHeight="1">
      <c r="A560" s="1236" t="s">
        <v>4059</v>
      </c>
      <c r="B560" s="1239">
        <v>1</v>
      </c>
      <c r="C560" s="1407" t="s">
        <v>3903</v>
      </c>
      <c r="D560" s="1288"/>
      <c r="E560" s="1280"/>
      <c r="F560" s="1281"/>
    </row>
    <row r="561" spans="1:6" ht="15" customHeight="1">
      <c r="A561" s="1236" t="s">
        <v>3724</v>
      </c>
      <c r="B561" s="1239"/>
      <c r="C561" s="1341" t="s">
        <v>729</v>
      </c>
      <c r="D561" s="1288"/>
      <c r="E561" s="1280"/>
      <c r="F561" s="1281"/>
    </row>
    <row r="562" spans="1:6" ht="15" customHeight="1">
      <c r="A562" s="1240"/>
      <c r="B562" s="1248"/>
      <c r="C562" s="1343" t="s">
        <v>2797</v>
      </c>
      <c r="D562" s="1288"/>
      <c r="E562" s="1280"/>
      <c r="F562" s="1281"/>
    </row>
    <row r="563" spans="1:6" ht="15" customHeight="1">
      <c r="A563" s="1240" t="s">
        <v>3725</v>
      </c>
      <c r="B563" s="1239">
        <v>4</v>
      </c>
      <c r="C563" s="1340" t="s">
        <v>1012</v>
      </c>
      <c r="D563" s="1288"/>
      <c r="E563" s="1280"/>
      <c r="F563" s="1281"/>
    </row>
    <row r="564" spans="1:6" ht="15" customHeight="1">
      <c r="A564" s="1240" t="s">
        <v>3726</v>
      </c>
      <c r="B564" s="1239">
        <v>5</v>
      </c>
      <c r="C564" s="1340" t="s">
        <v>984</v>
      </c>
      <c r="D564" s="1288"/>
      <c r="E564" s="1280"/>
      <c r="F564" s="1281"/>
    </row>
    <row r="565" spans="1:6" ht="15" customHeight="1">
      <c r="A565" s="1240"/>
      <c r="B565" s="1239">
        <v>20</v>
      </c>
      <c r="C565" s="1340" t="s">
        <v>983</v>
      </c>
      <c r="D565" s="1288"/>
      <c r="E565" s="1280"/>
      <c r="F565" s="1281"/>
    </row>
    <row r="566" spans="1:6" ht="15" customHeight="1">
      <c r="A566" s="1263" t="s">
        <v>3338</v>
      </c>
      <c r="B566" s="1239">
        <v>1</v>
      </c>
      <c r="C566" s="1340" t="s">
        <v>2030</v>
      </c>
      <c r="D566" s="1288"/>
      <c r="E566" s="1280"/>
      <c r="F566" s="1281"/>
    </row>
    <row r="567" spans="1:6" ht="15" customHeight="1">
      <c r="A567" s="1264" t="s">
        <v>3727</v>
      </c>
      <c r="B567" s="1239">
        <v>20</v>
      </c>
      <c r="C567" s="1340" t="s">
        <v>2029</v>
      </c>
      <c r="D567" s="1288"/>
      <c r="E567" s="1280"/>
      <c r="F567" s="1281"/>
    </row>
    <row r="568" spans="1:6" ht="15" customHeight="1">
      <c r="A568" s="1277" t="s">
        <v>3728</v>
      </c>
      <c r="B568" s="1239">
        <v>3</v>
      </c>
      <c r="C568" s="1340" t="s">
        <v>4073</v>
      </c>
      <c r="D568" s="1288"/>
      <c r="E568" s="1280"/>
      <c r="F568" s="1281"/>
    </row>
    <row r="569" spans="1:6" ht="15" customHeight="1">
      <c r="A569" s="1264"/>
      <c r="B569" s="1239"/>
      <c r="C569" s="1341" t="s">
        <v>729</v>
      </c>
      <c r="D569" s="1288"/>
      <c r="E569" s="1280"/>
      <c r="F569" s="1281"/>
    </row>
    <row r="570" spans="1:6" ht="15" customHeight="1">
      <c r="A570" s="1277"/>
      <c r="B570" s="1239">
        <v>2</v>
      </c>
      <c r="C570" s="1340" t="s">
        <v>1453</v>
      </c>
      <c r="D570" s="1288"/>
      <c r="E570" s="1280"/>
      <c r="F570" s="1281"/>
    </row>
    <row r="571" spans="1:6" ht="15" customHeight="1">
      <c r="A571" s="1240"/>
      <c r="B571" s="1239">
        <v>2</v>
      </c>
      <c r="C571" s="1340" t="s">
        <v>1163</v>
      </c>
      <c r="D571" s="2771"/>
      <c r="E571" s="2772"/>
      <c r="F571" s="1238"/>
    </row>
    <row r="572" spans="1:6" ht="15" customHeight="1">
      <c r="A572" s="1287"/>
      <c r="B572" s="1239"/>
      <c r="C572" s="1341" t="s">
        <v>729</v>
      </c>
      <c r="D572" s="1288"/>
      <c r="E572" s="1280"/>
      <c r="F572" s="1281"/>
    </row>
    <row r="573" spans="1:6" ht="15" customHeight="1">
      <c r="A573" s="1277"/>
      <c r="B573" s="1239">
        <v>1</v>
      </c>
      <c r="C573" s="1344" t="s">
        <v>3051</v>
      </c>
      <c r="D573" s="1288"/>
      <c r="E573" s="1280"/>
      <c r="F573" s="1281"/>
    </row>
    <row r="574" spans="1:6" ht="15" customHeight="1" thickBot="1">
      <c r="A574" s="1286"/>
      <c r="B574" s="1273">
        <v>1</v>
      </c>
      <c r="C574" s="1345" t="s">
        <v>316</v>
      </c>
      <c r="D574" s="1369"/>
      <c r="E574" s="1283"/>
      <c r="F574" s="1284"/>
    </row>
    <row r="575" spans="1:6" ht="15" customHeight="1">
      <c r="A575" s="1271"/>
      <c r="B575" s="1239"/>
      <c r="C575" s="1337"/>
      <c r="D575" s="2769"/>
      <c r="E575" s="2770"/>
      <c r="F575" s="1238"/>
    </row>
    <row r="576" spans="1:6" ht="15" customHeight="1">
      <c r="A576" s="1282">
        <v>39</v>
      </c>
      <c r="B576" s="1234">
        <v>1</v>
      </c>
      <c r="C576" s="1334" t="s">
        <v>4086</v>
      </c>
      <c r="D576" s="1376">
        <v>4812</v>
      </c>
      <c r="E576" s="1375"/>
      <c r="F576" s="1235">
        <f>+B576*D576</f>
        <v>4812</v>
      </c>
    </row>
    <row r="577" spans="1:6" ht="15" customHeight="1">
      <c r="A577" s="1236" t="s">
        <v>3207</v>
      </c>
      <c r="B577" s="1237"/>
      <c r="C577" s="1334" t="s">
        <v>2805</v>
      </c>
      <c r="D577" s="2771"/>
      <c r="E577" s="2772"/>
      <c r="F577" s="1238"/>
    </row>
    <row r="578" spans="1:6" ht="27" customHeight="1">
      <c r="A578" s="1236" t="s">
        <v>4059</v>
      </c>
      <c r="B578" s="1239">
        <v>1</v>
      </c>
      <c r="C578" s="1407" t="s">
        <v>2212</v>
      </c>
      <c r="D578" s="1288"/>
      <c r="E578" s="1280"/>
      <c r="F578" s="1281"/>
    </row>
    <row r="579" spans="1:6" ht="15" customHeight="1">
      <c r="A579" s="1236" t="s">
        <v>3724</v>
      </c>
      <c r="B579" s="1239"/>
      <c r="C579" s="1341" t="s">
        <v>729</v>
      </c>
      <c r="D579" s="1288"/>
      <c r="E579" s="1280"/>
      <c r="F579" s="1281"/>
    </row>
    <row r="580" spans="1:6" ht="15" customHeight="1">
      <c r="A580" s="1240"/>
      <c r="B580" s="1248"/>
      <c r="C580" s="1343" t="s">
        <v>2797</v>
      </c>
      <c r="D580" s="1288"/>
      <c r="E580" s="1280"/>
      <c r="F580" s="1281"/>
    </row>
    <row r="581" spans="1:6" ht="15" customHeight="1">
      <c r="A581" s="1240" t="s">
        <v>3725</v>
      </c>
      <c r="B581" s="1239">
        <v>23</v>
      </c>
      <c r="C581" s="1340" t="s">
        <v>983</v>
      </c>
      <c r="D581" s="1288"/>
      <c r="E581" s="1280"/>
      <c r="F581" s="1281"/>
    </row>
    <row r="582" spans="1:6" ht="15" customHeight="1">
      <c r="A582" s="1240" t="s">
        <v>3726</v>
      </c>
      <c r="B582" s="1239">
        <v>22</v>
      </c>
      <c r="C582" s="1340" t="s">
        <v>2029</v>
      </c>
      <c r="D582" s="1288"/>
      <c r="E582" s="1280"/>
      <c r="F582" s="1281"/>
    </row>
    <row r="583" spans="1:6" ht="15" customHeight="1">
      <c r="A583" s="1240"/>
      <c r="B583" s="1239">
        <v>3</v>
      </c>
      <c r="C583" s="1340" t="s">
        <v>4073</v>
      </c>
      <c r="D583" s="2771"/>
      <c r="E583" s="2772"/>
      <c r="F583" s="1238"/>
    </row>
    <row r="584" spans="1:6" ht="15" customHeight="1">
      <c r="A584" s="1263" t="s">
        <v>3338</v>
      </c>
      <c r="B584" s="1239"/>
      <c r="C584" s="1342"/>
      <c r="D584" s="1288"/>
      <c r="E584" s="1280"/>
      <c r="F584" s="1281"/>
    </row>
    <row r="585" spans="1:6" ht="15" customHeight="1">
      <c r="A585" s="1264" t="s">
        <v>3727</v>
      </c>
      <c r="B585" s="1239"/>
      <c r="C585" s="1341" t="s">
        <v>729</v>
      </c>
      <c r="D585" s="1288"/>
      <c r="E585" s="1280"/>
      <c r="F585" s="1281"/>
    </row>
    <row r="586" spans="1:6" ht="15" customHeight="1">
      <c r="A586" s="1277" t="s">
        <v>3728</v>
      </c>
      <c r="B586" s="1239">
        <v>6</v>
      </c>
      <c r="C586" s="1340" t="s">
        <v>1453</v>
      </c>
      <c r="D586" s="1288"/>
      <c r="E586" s="1280"/>
      <c r="F586" s="1281"/>
    </row>
    <row r="587" spans="1:6" ht="15" customHeight="1">
      <c r="A587" s="1240"/>
      <c r="B587" s="1239">
        <v>6</v>
      </c>
      <c r="C587" s="1340" t="s">
        <v>1163</v>
      </c>
      <c r="D587" s="1288"/>
      <c r="E587" s="1280"/>
      <c r="F587" s="1281"/>
    </row>
    <row r="588" spans="1:6" ht="15" customHeight="1">
      <c r="A588" s="1287"/>
      <c r="B588" s="1239"/>
      <c r="C588" s="1341" t="s">
        <v>729</v>
      </c>
      <c r="D588" s="1288"/>
      <c r="E588" s="1280"/>
      <c r="F588" s="1281"/>
    </row>
    <row r="589" spans="1:6" ht="15" customHeight="1">
      <c r="A589" s="1277"/>
      <c r="B589" s="1239">
        <v>1</v>
      </c>
      <c r="C589" s="1344" t="s">
        <v>3051</v>
      </c>
      <c r="D589" s="1288"/>
      <c r="E589" s="1280"/>
      <c r="F589" s="1281"/>
    </row>
    <row r="590" spans="1:6" ht="15" customHeight="1" thickBot="1">
      <c r="A590" s="1286"/>
      <c r="B590" s="1273">
        <v>1</v>
      </c>
      <c r="C590" s="1345" t="s">
        <v>316</v>
      </c>
      <c r="D590" s="1369"/>
      <c r="E590" s="1283"/>
      <c r="F590" s="1284"/>
    </row>
    <row r="591" spans="1:6" ht="15" customHeight="1">
      <c r="A591" s="1240"/>
      <c r="B591" s="1270"/>
      <c r="C591" s="1341"/>
      <c r="D591" s="1288"/>
      <c r="E591" s="1280"/>
      <c r="F591" s="1281"/>
    </row>
    <row r="592" spans="1:6" ht="15" customHeight="1">
      <c r="A592" s="1282">
        <v>40</v>
      </c>
      <c r="B592" s="1234">
        <v>1</v>
      </c>
      <c r="C592" s="1334" t="s">
        <v>4087</v>
      </c>
      <c r="D592" s="1376">
        <v>3188</v>
      </c>
      <c r="E592" s="1375"/>
      <c r="F592" s="1235">
        <f>+B592*D592</f>
        <v>3188</v>
      </c>
    </row>
    <row r="593" spans="1:6" ht="15" customHeight="1">
      <c r="A593" s="1236" t="s">
        <v>3207</v>
      </c>
      <c r="B593" s="1237"/>
      <c r="C593" s="1334" t="s">
        <v>2805</v>
      </c>
      <c r="D593" s="1288"/>
      <c r="E593" s="1280"/>
      <c r="F593" s="1281"/>
    </row>
    <row r="594" spans="1:6" ht="27" customHeight="1">
      <c r="A594" s="1236" t="s">
        <v>4059</v>
      </c>
      <c r="B594" s="1239">
        <v>1</v>
      </c>
      <c r="C594" s="1407" t="s">
        <v>2212</v>
      </c>
      <c r="D594" s="2771"/>
      <c r="E594" s="2772"/>
      <c r="F594" s="1238"/>
    </row>
    <row r="595" spans="1:6" ht="15" customHeight="1">
      <c r="A595" s="1236" t="s">
        <v>3724</v>
      </c>
      <c r="B595" s="1239"/>
      <c r="C595" s="1341" t="s">
        <v>729</v>
      </c>
      <c r="D595" s="1288"/>
      <c r="E595" s="1280"/>
      <c r="F595" s="1281"/>
    </row>
    <row r="596" spans="1:6" ht="15" customHeight="1">
      <c r="A596" s="1240"/>
      <c r="B596" s="1248"/>
      <c r="C596" s="1343" t="s">
        <v>2797</v>
      </c>
      <c r="D596" s="1288"/>
      <c r="E596" s="1280"/>
      <c r="F596" s="1281"/>
    </row>
    <row r="597" spans="1:6" ht="15" customHeight="1">
      <c r="A597" s="1240" t="s">
        <v>3725</v>
      </c>
      <c r="B597" s="1239">
        <v>16</v>
      </c>
      <c r="C597" s="1340" t="s">
        <v>983</v>
      </c>
      <c r="D597" s="1288"/>
      <c r="E597" s="1280"/>
      <c r="F597" s="1281"/>
    </row>
    <row r="598" spans="1:6" ht="15" customHeight="1">
      <c r="A598" s="1240" t="s">
        <v>3726</v>
      </c>
      <c r="B598" s="1239">
        <v>15</v>
      </c>
      <c r="C598" s="1340" t="s">
        <v>2029</v>
      </c>
      <c r="D598" s="1288"/>
      <c r="E598" s="1280"/>
      <c r="F598" s="1281"/>
    </row>
    <row r="599" spans="1:6" ht="15" customHeight="1">
      <c r="A599" s="1240"/>
      <c r="B599" s="1239">
        <v>2</v>
      </c>
      <c r="C599" s="1340" t="s">
        <v>4073</v>
      </c>
      <c r="D599" s="2771"/>
      <c r="E599" s="2772"/>
      <c r="F599" s="1238"/>
    </row>
    <row r="600" spans="1:6" ht="15" customHeight="1">
      <c r="A600" s="1263" t="s">
        <v>3338</v>
      </c>
      <c r="B600" s="1239"/>
      <c r="C600" s="1342"/>
      <c r="D600" s="1288"/>
      <c r="E600" s="1280"/>
      <c r="F600" s="1281"/>
    </row>
    <row r="601" spans="1:6" ht="15" customHeight="1">
      <c r="A601" s="1264" t="s">
        <v>3727</v>
      </c>
      <c r="B601" s="1239"/>
      <c r="C601" s="1341" t="s">
        <v>729</v>
      </c>
      <c r="D601" s="1288"/>
      <c r="E601" s="1280"/>
      <c r="F601" s="1281"/>
    </row>
    <row r="602" spans="1:6" ht="15" customHeight="1">
      <c r="A602" s="1277" t="s">
        <v>3728</v>
      </c>
      <c r="B602" s="1239">
        <v>3</v>
      </c>
      <c r="C602" s="1340" t="s">
        <v>1453</v>
      </c>
      <c r="D602" s="1288"/>
      <c r="E602" s="1280"/>
      <c r="F602" s="1281"/>
    </row>
    <row r="603" spans="1:6" ht="15" customHeight="1">
      <c r="A603" s="1240"/>
      <c r="B603" s="1239">
        <v>3</v>
      </c>
      <c r="C603" s="1340" t="s">
        <v>1163</v>
      </c>
      <c r="D603" s="1288"/>
      <c r="E603" s="1280"/>
      <c r="F603" s="1281"/>
    </row>
    <row r="604" spans="1:6" ht="15" customHeight="1">
      <c r="A604" s="1287"/>
      <c r="B604" s="1239"/>
      <c r="C604" s="1341" t="s">
        <v>729</v>
      </c>
      <c r="D604" s="1288"/>
      <c r="E604" s="1280"/>
      <c r="F604" s="1281"/>
    </row>
    <row r="605" spans="1:6" ht="15" customHeight="1">
      <c r="A605" s="1277"/>
      <c r="B605" s="1239">
        <v>1</v>
      </c>
      <c r="C605" s="1344" t="s">
        <v>3051</v>
      </c>
      <c r="D605" s="1288"/>
      <c r="E605" s="1280"/>
      <c r="F605" s="1281"/>
    </row>
    <row r="606" spans="1:6" ht="15" customHeight="1" thickBot="1">
      <c r="A606" s="1286"/>
      <c r="B606" s="1273">
        <v>1</v>
      </c>
      <c r="C606" s="1345" t="s">
        <v>316</v>
      </c>
      <c r="D606" s="1369"/>
      <c r="E606" s="1283"/>
      <c r="F606" s="1284"/>
    </row>
    <row r="607" spans="1:6" ht="15" customHeight="1">
      <c r="A607" s="1271"/>
      <c r="B607" s="1239"/>
      <c r="C607" s="1337"/>
      <c r="D607" s="2769"/>
      <c r="E607" s="2770"/>
      <c r="F607" s="1238"/>
    </row>
    <row r="608" spans="1:6" ht="15" customHeight="1">
      <c r="A608" s="1282">
        <v>41</v>
      </c>
      <c r="B608" s="1234">
        <v>1</v>
      </c>
      <c r="C608" s="1334" t="s">
        <v>4088</v>
      </c>
      <c r="D608" s="1376">
        <v>3976</v>
      </c>
      <c r="E608" s="1375"/>
      <c r="F608" s="1235">
        <f>+B608*D608</f>
        <v>3976</v>
      </c>
    </row>
    <row r="609" spans="1:6" ht="15" customHeight="1">
      <c r="A609" s="1236" t="s">
        <v>3207</v>
      </c>
      <c r="B609" s="1237"/>
      <c r="C609" s="1334" t="s">
        <v>2805</v>
      </c>
      <c r="D609" s="1288"/>
      <c r="E609" s="1280"/>
      <c r="F609" s="1281"/>
    </row>
    <row r="610" spans="1:6" ht="35.25" customHeight="1">
      <c r="A610" s="1236" t="s">
        <v>4059</v>
      </c>
      <c r="B610" s="1239">
        <v>1</v>
      </c>
      <c r="C610" s="1407" t="s">
        <v>2212</v>
      </c>
      <c r="D610" s="1288"/>
      <c r="E610" s="1280"/>
      <c r="F610" s="1281"/>
    </row>
    <row r="611" spans="1:6" ht="15" customHeight="1">
      <c r="A611" s="1236" t="s">
        <v>3724</v>
      </c>
      <c r="B611" s="1239"/>
      <c r="C611" s="1341" t="s">
        <v>729</v>
      </c>
      <c r="D611" s="2771"/>
      <c r="E611" s="2772"/>
      <c r="F611" s="1238"/>
    </row>
    <row r="612" spans="1:6" ht="15" customHeight="1">
      <c r="A612" s="1240"/>
      <c r="B612" s="1248"/>
      <c r="C612" s="1343" t="s">
        <v>2797</v>
      </c>
      <c r="D612" s="1288"/>
      <c r="E612" s="1280"/>
      <c r="F612" s="1281"/>
    </row>
    <row r="613" spans="1:6" ht="15" customHeight="1">
      <c r="A613" s="1240" t="s">
        <v>3725</v>
      </c>
      <c r="B613" s="1239">
        <v>24</v>
      </c>
      <c r="C613" s="1340" t="s">
        <v>983</v>
      </c>
      <c r="D613" s="1288"/>
      <c r="E613" s="1280"/>
      <c r="F613" s="1281"/>
    </row>
    <row r="614" spans="1:6" ht="15" customHeight="1">
      <c r="A614" s="1240" t="s">
        <v>3726</v>
      </c>
      <c r="B614" s="1239">
        <v>24</v>
      </c>
      <c r="C614" s="1340" t="s">
        <v>2029</v>
      </c>
      <c r="D614" s="1288"/>
      <c r="E614" s="1280"/>
      <c r="F614" s="1281"/>
    </row>
    <row r="615" spans="1:6" ht="15" customHeight="1">
      <c r="A615" s="1240"/>
      <c r="B615" s="1239">
        <v>2</v>
      </c>
      <c r="C615" s="1340" t="s">
        <v>4073</v>
      </c>
      <c r="D615" s="1288"/>
      <c r="E615" s="1280"/>
      <c r="F615" s="1281"/>
    </row>
    <row r="616" spans="1:6" ht="15" customHeight="1">
      <c r="A616" s="1263" t="s">
        <v>3338</v>
      </c>
      <c r="B616" s="1239"/>
      <c r="C616" s="1342"/>
      <c r="D616" s="1288"/>
      <c r="E616" s="1280"/>
      <c r="F616" s="1281"/>
    </row>
    <row r="617" spans="1:6" ht="15" customHeight="1">
      <c r="A617" s="1264" t="s">
        <v>3727</v>
      </c>
      <c r="B617" s="1239"/>
      <c r="C617" s="1341" t="s">
        <v>729</v>
      </c>
      <c r="D617" s="1288"/>
      <c r="E617" s="1280"/>
      <c r="F617" s="1281"/>
    </row>
    <row r="618" spans="1:6" ht="15" customHeight="1">
      <c r="A618" s="1277" t="s">
        <v>3728</v>
      </c>
      <c r="B618" s="1239">
        <v>2</v>
      </c>
      <c r="C618" s="1340" t="s">
        <v>1453</v>
      </c>
      <c r="D618" s="1288"/>
      <c r="E618" s="1280"/>
      <c r="F618" s="1281"/>
    </row>
    <row r="619" spans="1:6" ht="15" customHeight="1">
      <c r="A619" s="1240"/>
      <c r="B619" s="1239">
        <v>2</v>
      </c>
      <c r="C619" s="1340" t="s">
        <v>1163</v>
      </c>
      <c r="D619" s="1288"/>
      <c r="E619" s="1280"/>
      <c r="F619" s="1281"/>
    </row>
    <row r="620" spans="1:6" ht="15" customHeight="1">
      <c r="A620" s="1287"/>
      <c r="B620" s="1239"/>
      <c r="C620" s="1341" t="s">
        <v>729</v>
      </c>
      <c r="D620" s="1288"/>
      <c r="E620" s="1280"/>
      <c r="F620" s="1281"/>
    </row>
    <row r="621" spans="1:6" ht="15" customHeight="1">
      <c r="A621" s="1277"/>
      <c r="B621" s="1239">
        <v>1</v>
      </c>
      <c r="C621" s="1344" t="s">
        <v>3051</v>
      </c>
      <c r="D621" s="1288"/>
      <c r="E621" s="1280"/>
      <c r="F621" s="1281"/>
    </row>
    <row r="622" spans="1:6" ht="15" customHeight="1" thickBot="1">
      <c r="A622" s="1286"/>
      <c r="B622" s="1273">
        <v>1</v>
      </c>
      <c r="C622" s="1345" t="s">
        <v>316</v>
      </c>
      <c r="D622" s="1369"/>
      <c r="E622" s="1283"/>
      <c r="F622" s="1284"/>
    </row>
    <row r="623" spans="1:6" ht="15" customHeight="1">
      <c r="A623" s="1271"/>
      <c r="B623" s="1239"/>
      <c r="C623" s="1337"/>
      <c r="D623" s="1378"/>
      <c r="E623" s="1379"/>
      <c r="F623" s="1281"/>
    </row>
    <row r="624" spans="1:6" ht="15" customHeight="1">
      <c r="A624" s="1282">
        <v>123</v>
      </c>
      <c r="B624" s="1234">
        <v>1</v>
      </c>
      <c r="C624" s="1334" t="s">
        <v>4089</v>
      </c>
      <c r="D624" s="1376">
        <v>1411</v>
      </c>
      <c r="E624" s="1375"/>
      <c r="F624" s="1235">
        <f>+B624*D624</f>
        <v>1411</v>
      </c>
    </row>
    <row r="625" spans="1:6" ht="15" customHeight="1">
      <c r="A625" s="1236" t="s">
        <v>3207</v>
      </c>
      <c r="B625" s="1237"/>
      <c r="C625" s="1334" t="s">
        <v>2805</v>
      </c>
      <c r="D625" s="1288"/>
      <c r="E625" s="1280"/>
      <c r="F625" s="1281"/>
    </row>
    <row r="626" spans="1:6" ht="25.5" customHeight="1">
      <c r="A626" s="1236" t="s">
        <v>4059</v>
      </c>
      <c r="B626" s="1239">
        <v>1</v>
      </c>
      <c r="C626" s="1407" t="s">
        <v>2209</v>
      </c>
      <c r="D626" s="1288"/>
      <c r="E626" s="1280"/>
      <c r="F626" s="1281"/>
    </row>
    <row r="627" spans="1:6" ht="15" customHeight="1">
      <c r="A627" s="1236" t="s">
        <v>3724</v>
      </c>
      <c r="B627" s="1239"/>
      <c r="C627" s="1341" t="s">
        <v>729</v>
      </c>
      <c r="D627" s="1288"/>
      <c r="E627" s="1280"/>
      <c r="F627" s="1281"/>
    </row>
    <row r="628" spans="1:6" ht="15" customHeight="1">
      <c r="A628" s="1240"/>
      <c r="B628" s="1248"/>
      <c r="C628" s="1343" t="s">
        <v>2797</v>
      </c>
      <c r="D628" s="1288"/>
      <c r="E628" s="1280"/>
      <c r="F628" s="1281"/>
    </row>
    <row r="629" spans="1:6" ht="23.25" customHeight="1">
      <c r="A629" s="1240" t="s">
        <v>3725</v>
      </c>
      <c r="B629" s="1239">
        <v>1</v>
      </c>
      <c r="C629" s="1407" t="s">
        <v>1507</v>
      </c>
      <c r="D629" s="1288"/>
      <c r="E629" s="1280"/>
      <c r="F629" s="1281"/>
    </row>
    <row r="630" spans="1:6" ht="15" customHeight="1">
      <c r="A630" s="1240" t="s">
        <v>3726</v>
      </c>
      <c r="B630" s="1239">
        <v>3</v>
      </c>
      <c r="C630" s="1340" t="s">
        <v>983</v>
      </c>
      <c r="D630" s="1288"/>
      <c r="E630" s="1280"/>
      <c r="F630" s="1281"/>
    </row>
    <row r="631" spans="1:6" ht="15" customHeight="1">
      <c r="A631" s="1240"/>
      <c r="B631" s="1239">
        <v>3</v>
      </c>
      <c r="C631" s="1340" t="s">
        <v>2029</v>
      </c>
      <c r="D631" s="1288"/>
      <c r="E631" s="1280"/>
      <c r="F631" s="1281"/>
    </row>
    <row r="632" spans="1:6" ht="15" customHeight="1">
      <c r="A632" s="1263"/>
      <c r="B632" s="1239">
        <v>1</v>
      </c>
      <c r="C632" s="1340" t="s">
        <v>4073</v>
      </c>
      <c r="D632" s="1288"/>
      <c r="E632" s="1280"/>
      <c r="F632" s="1281"/>
    </row>
    <row r="633" spans="1:6" ht="15" customHeight="1">
      <c r="A633" s="1277"/>
      <c r="B633" s="1239"/>
      <c r="C633" s="1341" t="s">
        <v>729</v>
      </c>
      <c r="D633" s="1288"/>
      <c r="E633" s="1280"/>
      <c r="F633" s="1281"/>
    </row>
    <row r="634" spans="1:6" ht="15" customHeight="1">
      <c r="A634" s="1246"/>
      <c r="B634" s="1239">
        <v>1</v>
      </c>
      <c r="C634" s="1344" t="s">
        <v>3051</v>
      </c>
      <c r="D634" s="1288"/>
      <c r="E634" s="1280"/>
      <c r="F634" s="1281"/>
    </row>
    <row r="635" spans="1:6" ht="15" customHeight="1" thickBot="1">
      <c r="A635" s="1272"/>
      <c r="B635" s="1273">
        <v>1</v>
      </c>
      <c r="C635" s="1345" t="s">
        <v>316</v>
      </c>
      <c r="D635" s="1369"/>
      <c r="E635" s="1283"/>
      <c r="F635" s="1284"/>
    </row>
    <row r="636" spans="1:6" ht="15" customHeight="1">
      <c r="A636" s="1271"/>
      <c r="B636" s="1239"/>
      <c r="C636" s="1337"/>
      <c r="D636" s="1288"/>
      <c r="E636" s="1280"/>
      <c r="F636" s="1281"/>
    </row>
    <row r="637" spans="1:6" ht="15" customHeight="1">
      <c r="A637" s="1282">
        <v>124</v>
      </c>
      <c r="B637" s="1234">
        <v>1</v>
      </c>
      <c r="C637" s="1334" t="s">
        <v>4090</v>
      </c>
      <c r="D637" s="1376">
        <v>1916</v>
      </c>
      <c r="E637" s="1375"/>
      <c r="F637" s="1235">
        <f>+B637*D637</f>
        <v>1916</v>
      </c>
    </row>
    <row r="638" spans="1:6" ht="15" customHeight="1">
      <c r="A638" s="1236" t="s">
        <v>3207</v>
      </c>
      <c r="B638" s="1237"/>
      <c r="C638" s="1334" t="s">
        <v>2805</v>
      </c>
      <c r="D638" s="1288"/>
      <c r="E638" s="1280"/>
      <c r="F638" s="1281"/>
    </row>
    <row r="639" spans="1:6" ht="29.25" customHeight="1">
      <c r="A639" s="1236" t="s">
        <v>4059</v>
      </c>
      <c r="B639" s="1239">
        <v>1</v>
      </c>
      <c r="C639" s="1407" t="s">
        <v>2956</v>
      </c>
      <c r="D639" s="1288"/>
      <c r="E639" s="1280"/>
      <c r="F639" s="1281"/>
    </row>
    <row r="640" spans="1:6" ht="15" customHeight="1">
      <c r="A640" s="1236" t="s">
        <v>3724</v>
      </c>
      <c r="B640" s="1239"/>
      <c r="C640" s="1341" t="s">
        <v>729</v>
      </c>
      <c r="D640" s="1288"/>
      <c r="E640" s="1280"/>
      <c r="F640" s="1281"/>
    </row>
    <row r="641" spans="1:6" ht="15" customHeight="1">
      <c r="A641" s="1240"/>
      <c r="B641" s="1248"/>
      <c r="C641" s="1343" t="s">
        <v>2797</v>
      </c>
      <c r="D641" s="1288"/>
      <c r="E641" s="1280"/>
      <c r="F641" s="1281"/>
    </row>
    <row r="642" spans="1:6" ht="15" customHeight="1">
      <c r="A642" s="1240" t="s">
        <v>3725</v>
      </c>
      <c r="B642" s="1239">
        <v>6</v>
      </c>
      <c r="C642" s="1340" t="s">
        <v>1018</v>
      </c>
      <c r="D642" s="1288"/>
      <c r="E642" s="1280"/>
      <c r="F642" s="1281"/>
    </row>
    <row r="643" spans="1:6" ht="15" customHeight="1">
      <c r="A643" s="1240" t="s">
        <v>3726</v>
      </c>
      <c r="B643" s="1239">
        <v>2</v>
      </c>
      <c r="C643" s="1340" t="s">
        <v>983</v>
      </c>
      <c r="D643" s="1288"/>
      <c r="E643" s="1280"/>
      <c r="F643" s="1281"/>
    </row>
    <row r="644" spans="1:6" ht="15" customHeight="1">
      <c r="A644" s="1240"/>
      <c r="B644" s="1239">
        <v>2</v>
      </c>
      <c r="C644" s="1340" t="s">
        <v>4081</v>
      </c>
      <c r="D644" s="1288"/>
      <c r="E644" s="1280"/>
      <c r="F644" s="1281"/>
    </row>
    <row r="645" spans="1:6" ht="15" customHeight="1">
      <c r="A645" s="1263" t="s">
        <v>3338</v>
      </c>
      <c r="B645" s="1239"/>
      <c r="C645" s="1342"/>
      <c r="D645" s="1288"/>
      <c r="E645" s="1280"/>
      <c r="F645" s="1281"/>
    </row>
    <row r="646" spans="1:6" ht="15" customHeight="1">
      <c r="A646" s="1264" t="s">
        <v>3727</v>
      </c>
      <c r="B646" s="1239"/>
      <c r="C646" s="1341" t="s">
        <v>729</v>
      </c>
      <c r="D646" s="1288"/>
      <c r="E646" s="1280"/>
      <c r="F646" s="1281"/>
    </row>
    <row r="647" spans="1:6" ht="15" customHeight="1">
      <c r="A647" s="1277" t="s">
        <v>3728</v>
      </c>
      <c r="B647" s="1239">
        <v>1</v>
      </c>
      <c r="C647" s="1344" t="s">
        <v>3051</v>
      </c>
      <c r="D647" s="1288"/>
      <c r="E647" s="1280"/>
      <c r="F647" s="1281"/>
    </row>
    <row r="648" spans="1:6" ht="15" customHeight="1" thickBot="1">
      <c r="A648" s="1272"/>
      <c r="B648" s="1273">
        <v>1</v>
      </c>
      <c r="C648" s="1345" t="s">
        <v>316</v>
      </c>
      <c r="D648" s="1369"/>
      <c r="E648" s="1283"/>
      <c r="F648" s="1284"/>
    </row>
    <row r="649" spans="1:6" ht="15" customHeight="1">
      <c r="A649" s="1271"/>
      <c r="B649" s="1239"/>
      <c r="C649" s="1337"/>
      <c r="D649" s="1288"/>
      <c r="E649" s="1280"/>
      <c r="F649" s="1281"/>
    </row>
    <row r="650" spans="1:6" ht="15" customHeight="1">
      <c r="A650" s="1282">
        <v>125</v>
      </c>
      <c r="B650" s="1234">
        <v>1</v>
      </c>
      <c r="C650" s="1334" t="s">
        <v>4091</v>
      </c>
      <c r="D650" s="1376">
        <v>2392</v>
      </c>
      <c r="E650" s="1375"/>
      <c r="F650" s="1235">
        <f>+B650*D650</f>
        <v>2392</v>
      </c>
    </row>
    <row r="651" spans="1:6" ht="15" customHeight="1">
      <c r="A651" s="1236" t="s">
        <v>3207</v>
      </c>
      <c r="B651" s="1237"/>
      <c r="C651" s="1334" t="s">
        <v>2805</v>
      </c>
      <c r="D651" s="1288"/>
      <c r="E651" s="1280"/>
      <c r="F651" s="1281"/>
    </row>
    <row r="652" spans="1:6" ht="30" customHeight="1">
      <c r="A652" s="1236" t="s">
        <v>4059</v>
      </c>
      <c r="B652" s="1239">
        <v>1</v>
      </c>
      <c r="C652" s="1407" t="s">
        <v>2956</v>
      </c>
      <c r="D652" s="1288"/>
      <c r="E652" s="1280"/>
      <c r="F652" s="1281"/>
    </row>
    <row r="653" spans="1:6" ht="15" customHeight="1">
      <c r="A653" s="1236" t="s">
        <v>3724</v>
      </c>
      <c r="B653" s="1239"/>
      <c r="C653" s="1341" t="s">
        <v>729</v>
      </c>
      <c r="D653" s="1288"/>
      <c r="E653" s="1280"/>
      <c r="F653" s="1281"/>
    </row>
    <row r="654" spans="1:6" ht="15" customHeight="1">
      <c r="A654" s="1240"/>
      <c r="B654" s="1248"/>
      <c r="C654" s="1343" t="s">
        <v>2797</v>
      </c>
      <c r="D654" s="1288"/>
      <c r="E654" s="1280"/>
      <c r="F654" s="1281"/>
    </row>
    <row r="655" spans="1:6" ht="15" customHeight="1">
      <c r="A655" s="1240" t="s">
        <v>3725</v>
      </c>
      <c r="B655" s="1239">
        <v>12</v>
      </c>
      <c r="C655" s="1340" t="s">
        <v>1018</v>
      </c>
      <c r="D655" s="1288"/>
      <c r="E655" s="1280"/>
      <c r="F655" s="1281"/>
    </row>
    <row r="656" spans="1:6" ht="15" customHeight="1">
      <c r="A656" s="1240" t="s">
        <v>3726</v>
      </c>
      <c r="B656" s="1239">
        <v>2</v>
      </c>
      <c r="C656" s="1340" t="s">
        <v>983</v>
      </c>
      <c r="D656" s="1288"/>
      <c r="E656" s="1280"/>
      <c r="F656" s="1281"/>
    </row>
    <row r="657" spans="1:6" ht="15" customHeight="1">
      <c r="A657" s="1240"/>
      <c r="B657" s="1239">
        <v>2</v>
      </c>
      <c r="C657" s="1340" t="s">
        <v>4081</v>
      </c>
      <c r="D657" s="1288"/>
      <c r="E657" s="1280"/>
      <c r="F657" s="1281"/>
    </row>
    <row r="658" spans="1:6" ht="15" customHeight="1">
      <c r="A658" s="1263" t="s">
        <v>3338</v>
      </c>
      <c r="B658" s="1239"/>
      <c r="C658" s="1342"/>
      <c r="D658" s="1288"/>
      <c r="E658" s="1280"/>
      <c r="F658" s="1281"/>
    </row>
    <row r="659" spans="1:6" ht="15" customHeight="1">
      <c r="A659" s="1264" t="s">
        <v>3727</v>
      </c>
      <c r="B659" s="1239"/>
      <c r="C659" s="1341" t="s">
        <v>729</v>
      </c>
      <c r="D659" s="1288"/>
      <c r="E659" s="1280"/>
      <c r="F659" s="1281"/>
    </row>
    <row r="660" spans="1:6" ht="15" customHeight="1">
      <c r="A660" s="1277" t="s">
        <v>3728</v>
      </c>
      <c r="B660" s="1239">
        <v>1</v>
      </c>
      <c r="C660" s="1344" t="s">
        <v>3051</v>
      </c>
      <c r="D660" s="1288"/>
      <c r="E660" s="1280"/>
      <c r="F660" s="1281"/>
    </row>
    <row r="661" spans="1:6" ht="15" customHeight="1" thickBot="1">
      <c r="A661" s="1272"/>
      <c r="B661" s="1273">
        <v>1</v>
      </c>
      <c r="C661" s="1345" t="s">
        <v>316</v>
      </c>
      <c r="D661" s="1369"/>
      <c r="E661" s="1283"/>
      <c r="F661" s="1284"/>
    </row>
    <row r="662" spans="1:6" ht="15" customHeight="1">
      <c r="A662" s="1271"/>
      <c r="B662" s="1239"/>
      <c r="C662" s="1337"/>
      <c r="D662" s="1288"/>
      <c r="E662" s="1280"/>
      <c r="F662" s="1281"/>
    </row>
    <row r="663" spans="1:6" ht="15" customHeight="1">
      <c r="A663" s="1282">
        <v>126</v>
      </c>
      <c r="B663" s="1234">
        <v>1</v>
      </c>
      <c r="C663" s="1334" t="s">
        <v>4092</v>
      </c>
      <c r="D663" s="1376">
        <v>1871</v>
      </c>
      <c r="E663" s="1375"/>
      <c r="F663" s="1235">
        <f>+B663*D663</f>
        <v>1871</v>
      </c>
    </row>
    <row r="664" spans="1:6" ht="15" customHeight="1">
      <c r="A664" s="1236" t="s">
        <v>3207</v>
      </c>
      <c r="B664" s="1237"/>
      <c r="C664" s="1334" t="s">
        <v>2805</v>
      </c>
      <c r="D664" s="1288"/>
      <c r="E664" s="1280"/>
      <c r="F664" s="1281"/>
    </row>
    <row r="665" spans="1:6" ht="27" customHeight="1">
      <c r="A665" s="1236" t="s">
        <v>4059</v>
      </c>
      <c r="B665" s="1239">
        <v>1</v>
      </c>
      <c r="C665" s="1407" t="s">
        <v>1488</v>
      </c>
      <c r="D665" s="1288"/>
      <c r="E665" s="1280"/>
      <c r="F665" s="1281"/>
    </row>
    <row r="666" spans="1:6" ht="15" customHeight="1">
      <c r="A666" s="1236" t="s">
        <v>3724</v>
      </c>
      <c r="B666" s="1239"/>
      <c r="C666" s="1341" t="s">
        <v>729</v>
      </c>
      <c r="D666" s="1288"/>
      <c r="E666" s="1280"/>
      <c r="F666" s="1281"/>
    </row>
    <row r="667" spans="1:6" ht="15" customHeight="1">
      <c r="A667" s="1240"/>
      <c r="B667" s="1248"/>
      <c r="C667" s="1343" t="s">
        <v>2797</v>
      </c>
      <c r="D667" s="1288"/>
      <c r="E667" s="1280"/>
      <c r="F667" s="1281"/>
    </row>
    <row r="668" spans="1:6" ht="15" customHeight="1">
      <c r="A668" s="1240" t="s">
        <v>3725</v>
      </c>
      <c r="B668" s="1239">
        <v>1</v>
      </c>
      <c r="C668" s="1340" t="s">
        <v>1020</v>
      </c>
      <c r="D668" s="1288"/>
      <c r="E668" s="1280"/>
      <c r="F668" s="1281"/>
    </row>
    <row r="669" spans="1:6" ht="15" customHeight="1">
      <c r="A669" s="1240" t="s">
        <v>3726</v>
      </c>
      <c r="B669" s="1239">
        <v>1</v>
      </c>
      <c r="C669" s="1340" t="s">
        <v>1019</v>
      </c>
      <c r="D669" s="1288"/>
      <c r="E669" s="1280"/>
      <c r="F669" s="1281"/>
    </row>
    <row r="670" spans="1:6" ht="15" customHeight="1">
      <c r="A670" s="1240"/>
      <c r="B670" s="1239">
        <v>3</v>
      </c>
      <c r="C670" s="1340" t="s">
        <v>1018</v>
      </c>
      <c r="D670" s="1288"/>
      <c r="E670" s="1280"/>
      <c r="F670" s="1281"/>
    </row>
    <row r="671" spans="1:6" ht="15" customHeight="1">
      <c r="A671" s="1263" t="s">
        <v>3338</v>
      </c>
      <c r="B671" s="1239">
        <v>2</v>
      </c>
      <c r="C671" s="1340" t="s">
        <v>983</v>
      </c>
      <c r="D671" s="1288"/>
      <c r="E671" s="1280"/>
      <c r="F671" s="1281"/>
    </row>
    <row r="672" spans="1:6" ht="15" customHeight="1">
      <c r="A672" s="1264" t="s">
        <v>3727</v>
      </c>
      <c r="B672" s="1239">
        <v>2</v>
      </c>
      <c r="C672" s="1340" t="s">
        <v>4081</v>
      </c>
      <c r="D672" s="1288"/>
      <c r="E672" s="1280"/>
      <c r="F672" s="1281"/>
    </row>
    <row r="673" spans="1:6" ht="15" customHeight="1">
      <c r="A673" s="1277" t="s">
        <v>3728</v>
      </c>
      <c r="B673" s="1239"/>
      <c r="C673" s="1342"/>
      <c r="D673" s="1288"/>
      <c r="E673" s="1280"/>
      <c r="F673" s="1281"/>
    </row>
    <row r="674" spans="1:6" ht="15" customHeight="1">
      <c r="A674" s="1264"/>
      <c r="B674" s="1239"/>
      <c r="C674" s="1341" t="s">
        <v>729</v>
      </c>
      <c r="D674" s="1288"/>
      <c r="E674" s="1280"/>
      <c r="F674" s="1281"/>
    </row>
    <row r="675" spans="1:6" ht="15" customHeight="1">
      <c r="A675" s="1277"/>
      <c r="B675" s="1239">
        <v>1</v>
      </c>
      <c r="C675" s="1344" t="s">
        <v>3051</v>
      </c>
      <c r="D675" s="1288"/>
      <c r="E675" s="1280"/>
      <c r="F675" s="1281"/>
    </row>
    <row r="676" spans="1:6" ht="15" customHeight="1" thickBot="1">
      <c r="A676" s="1272"/>
      <c r="B676" s="1273">
        <v>1</v>
      </c>
      <c r="C676" s="1345" t="s">
        <v>316</v>
      </c>
      <c r="D676" s="1369"/>
      <c r="E676" s="1283"/>
      <c r="F676" s="1284"/>
    </row>
    <row r="677" spans="1:6" ht="15" customHeight="1">
      <c r="A677" s="1271"/>
      <c r="B677" s="1239"/>
      <c r="C677" s="1337"/>
      <c r="D677" s="1288"/>
      <c r="E677" s="1280"/>
      <c r="F677" s="1281"/>
    </row>
    <row r="678" spans="1:6" ht="15" customHeight="1">
      <c r="A678" s="1282">
        <v>127</v>
      </c>
      <c r="B678" s="1234">
        <v>1</v>
      </c>
      <c r="C678" s="1334" t="s">
        <v>4093</v>
      </c>
      <c r="D678" s="1376">
        <v>2138</v>
      </c>
      <c r="E678" s="1367"/>
      <c r="F678" s="1235">
        <f>+B678*D678</f>
        <v>2138</v>
      </c>
    </row>
    <row r="679" spans="1:6" ht="15" customHeight="1">
      <c r="A679" s="1236" t="s">
        <v>3207</v>
      </c>
      <c r="B679" s="1237"/>
      <c r="C679" s="1334" t="s">
        <v>2805</v>
      </c>
      <c r="D679" s="1288"/>
      <c r="E679" s="1280"/>
      <c r="F679" s="1281"/>
    </row>
    <row r="680" spans="1:6" ht="27.75" customHeight="1">
      <c r="A680" s="1236" t="s">
        <v>4059</v>
      </c>
      <c r="B680" s="1239">
        <v>1</v>
      </c>
      <c r="C680" s="1407" t="s">
        <v>3239</v>
      </c>
      <c r="D680" s="1288"/>
      <c r="E680" s="1280"/>
      <c r="F680" s="1281"/>
    </row>
    <row r="681" spans="1:6" ht="15" customHeight="1">
      <c r="A681" s="1236" t="s">
        <v>3724</v>
      </c>
      <c r="B681" s="1239"/>
      <c r="C681" s="1341" t="s">
        <v>729</v>
      </c>
      <c r="D681" s="1288"/>
      <c r="E681" s="1280"/>
      <c r="F681" s="1281"/>
    </row>
    <row r="682" spans="1:6" ht="15" customHeight="1">
      <c r="A682" s="1240"/>
      <c r="B682" s="1248"/>
      <c r="C682" s="1343" t="s">
        <v>2797</v>
      </c>
      <c r="D682" s="1288"/>
      <c r="E682" s="1280"/>
      <c r="F682" s="1281"/>
    </row>
    <row r="683" spans="1:6" ht="27.75" customHeight="1">
      <c r="A683" s="1240" t="s">
        <v>3725</v>
      </c>
      <c r="B683" s="1239">
        <v>1</v>
      </c>
      <c r="C683" s="1407" t="s">
        <v>2209</v>
      </c>
      <c r="D683" s="1288"/>
      <c r="E683" s="1280"/>
      <c r="F683" s="1281"/>
    </row>
    <row r="684" spans="1:6" ht="15" customHeight="1">
      <c r="A684" s="1240" t="s">
        <v>3726</v>
      </c>
      <c r="B684" s="1239">
        <v>2</v>
      </c>
      <c r="C684" s="1340" t="s">
        <v>983</v>
      </c>
      <c r="D684" s="1288"/>
      <c r="E684" s="1280"/>
      <c r="F684" s="1281"/>
    </row>
    <row r="685" spans="1:6" ht="15" customHeight="1">
      <c r="A685" s="1240"/>
      <c r="B685" s="1239">
        <v>1</v>
      </c>
      <c r="C685" s="1340" t="s">
        <v>2029</v>
      </c>
      <c r="D685" s="1288"/>
      <c r="E685" s="1280"/>
      <c r="F685" s="1281"/>
    </row>
    <row r="686" spans="1:6" ht="15" customHeight="1">
      <c r="A686" s="1263" t="s">
        <v>3338</v>
      </c>
      <c r="B686" s="1239">
        <v>2</v>
      </c>
      <c r="C686" s="1340" t="s">
        <v>4073</v>
      </c>
      <c r="D686" s="1288"/>
      <c r="E686" s="1280"/>
      <c r="F686" s="1281"/>
    </row>
    <row r="687" spans="1:6" ht="15" customHeight="1">
      <c r="A687" s="1264" t="s">
        <v>3727</v>
      </c>
      <c r="B687" s="1239"/>
      <c r="C687" s="1342"/>
      <c r="D687" s="1288"/>
      <c r="E687" s="1280"/>
      <c r="F687" s="1281"/>
    </row>
    <row r="688" spans="1:6" ht="15" customHeight="1">
      <c r="A688" s="1277" t="s">
        <v>3728</v>
      </c>
      <c r="B688" s="1239"/>
      <c r="C688" s="1341" t="s">
        <v>729</v>
      </c>
      <c r="D688" s="1288"/>
      <c r="E688" s="1280"/>
      <c r="F688" s="1281"/>
    </row>
    <row r="689" spans="1:6" ht="15" customHeight="1">
      <c r="A689" s="1246"/>
      <c r="B689" s="1239">
        <v>1</v>
      </c>
      <c r="C689" s="1344" t="s">
        <v>3051</v>
      </c>
      <c r="D689" s="1288"/>
      <c r="E689" s="1280"/>
      <c r="F689" s="1281"/>
    </row>
    <row r="690" spans="1:6" ht="15" customHeight="1" thickBot="1">
      <c r="A690" s="1272"/>
      <c r="B690" s="1273">
        <v>1</v>
      </c>
      <c r="C690" s="1345" t="s">
        <v>316</v>
      </c>
      <c r="D690" s="1369"/>
      <c r="E690" s="1283"/>
      <c r="F690" s="1284"/>
    </row>
    <row r="691" spans="1:6" ht="15" customHeight="1">
      <c r="A691" s="1271"/>
      <c r="B691" s="1239"/>
      <c r="C691" s="1337"/>
      <c r="D691" s="1288"/>
      <c r="E691" s="1280"/>
      <c r="F691" s="1281"/>
    </row>
    <row r="692" spans="1:6" ht="15" customHeight="1">
      <c r="A692" s="1282">
        <v>128</v>
      </c>
      <c r="B692" s="1234">
        <v>1</v>
      </c>
      <c r="C692" s="1334" t="s">
        <v>4094</v>
      </c>
      <c r="D692" s="1376">
        <v>2696</v>
      </c>
      <c r="E692" s="1375"/>
      <c r="F692" s="1235">
        <f>+B692*D692</f>
        <v>2696</v>
      </c>
    </row>
    <row r="693" spans="1:6" ht="15" customHeight="1">
      <c r="A693" s="1236" t="s">
        <v>3207</v>
      </c>
      <c r="B693" s="1237"/>
      <c r="C693" s="1334" t="s">
        <v>2805</v>
      </c>
      <c r="D693" s="1288"/>
      <c r="E693" s="1280"/>
      <c r="F693" s="1281"/>
    </row>
    <row r="694" spans="1:6" ht="29.25" customHeight="1">
      <c r="A694" s="1236" t="s">
        <v>4059</v>
      </c>
      <c r="B694" s="1239">
        <v>1</v>
      </c>
      <c r="C694" s="1407" t="s">
        <v>3239</v>
      </c>
      <c r="D694" s="1288"/>
      <c r="E694" s="1280"/>
      <c r="F694" s="1281"/>
    </row>
    <row r="695" spans="1:6" ht="15" customHeight="1">
      <c r="A695" s="1236" t="s">
        <v>3724</v>
      </c>
      <c r="B695" s="1239"/>
      <c r="C695" s="1341" t="s">
        <v>729</v>
      </c>
      <c r="D695" s="1288"/>
      <c r="E695" s="1280"/>
      <c r="F695" s="1281"/>
    </row>
    <row r="696" spans="1:6" ht="15" customHeight="1">
      <c r="A696" s="1240"/>
      <c r="B696" s="1248"/>
      <c r="C696" s="1343" t="s">
        <v>2797</v>
      </c>
      <c r="D696" s="1288"/>
      <c r="E696" s="1280"/>
      <c r="F696" s="1281"/>
    </row>
    <row r="697" spans="1:6" ht="36" customHeight="1">
      <c r="A697" s="1240" t="s">
        <v>3725</v>
      </c>
      <c r="B697" s="1239">
        <v>1</v>
      </c>
      <c r="C697" s="1407" t="s">
        <v>2215</v>
      </c>
      <c r="D697" s="1288"/>
      <c r="E697" s="1280"/>
      <c r="F697" s="1281"/>
    </row>
    <row r="698" spans="1:6" ht="27" customHeight="1">
      <c r="A698" s="1240" t="s">
        <v>3726</v>
      </c>
      <c r="B698" s="1239">
        <v>1</v>
      </c>
      <c r="C698" s="1407" t="s">
        <v>2209</v>
      </c>
      <c r="D698" s="1288"/>
      <c r="E698" s="1280"/>
      <c r="F698" s="1281"/>
    </row>
    <row r="699" spans="1:6" ht="15" customHeight="1">
      <c r="A699" s="1240"/>
      <c r="B699" s="1239">
        <v>4</v>
      </c>
      <c r="C699" s="1340" t="s">
        <v>983</v>
      </c>
      <c r="D699" s="1288"/>
      <c r="E699" s="1280"/>
      <c r="F699" s="1281"/>
    </row>
    <row r="700" spans="1:6" ht="15" customHeight="1">
      <c r="A700" s="1263" t="s">
        <v>3338</v>
      </c>
      <c r="B700" s="1239">
        <v>3</v>
      </c>
      <c r="C700" s="1340" t="s">
        <v>2029</v>
      </c>
      <c r="D700" s="1288"/>
      <c r="E700" s="1280"/>
      <c r="F700" s="1281"/>
    </row>
    <row r="701" spans="1:6" ht="15" customHeight="1">
      <c r="A701" s="1264" t="s">
        <v>3727</v>
      </c>
      <c r="B701" s="1239">
        <v>2</v>
      </c>
      <c r="C701" s="1340" t="s">
        <v>4073</v>
      </c>
      <c r="D701" s="1288"/>
      <c r="E701" s="1280"/>
      <c r="F701" s="1281"/>
    </row>
    <row r="702" spans="1:6" ht="15" customHeight="1">
      <c r="A702" s="1277" t="s">
        <v>3728</v>
      </c>
      <c r="B702" s="1239"/>
      <c r="C702" s="1342"/>
      <c r="D702" s="1288"/>
      <c r="E702" s="1280"/>
      <c r="F702" s="1281"/>
    </row>
    <row r="703" spans="1:6" ht="15" customHeight="1">
      <c r="A703" s="1246"/>
      <c r="B703" s="1239"/>
      <c r="C703" s="1341" t="s">
        <v>729</v>
      </c>
      <c r="D703" s="1288"/>
      <c r="E703" s="1280"/>
      <c r="F703" s="1281"/>
    </row>
    <row r="704" spans="1:6" ht="15" customHeight="1">
      <c r="A704" s="1246"/>
      <c r="B704" s="1239">
        <v>1</v>
      </c>
      <c r="C704" s="1344" t="s">
        <v>3051</v>
      </c>
      <c r="D704" s="1288"/>
      <c r="E704" s="1280"/>
      <c r="F704" s="1281"/>
    </row>
    <row r="705" spans="1:6" ht="15" customHeight="1" thickBot="1">
      <c r="A705" s="1272"/>
      <c r="B705" s="1273">
        <v>1</v>
      </c>
      <c r="C705" s="1345" t="s">
        <v>316</v>
      </c>
      <c r="D705" s="1369"/>
      <c r="E705" s="1283"/>
      <c r="F705" s="1284"/>
    </row>
    <row r="706" spans="1:6" ht="15" customHeight="1">
      <c r="A706" s="1271"/>
      <c r="B706" s="1239"/>
      <c r="C706" s="1337"/>
      <c r="D706" s="1288"/>
      <c r="E706" s="1280"/>
      <c r="F706" s="1281"/>
    </row>
    <row r="707" spans="1:6" ht="15" customHeight="1">
      <c r="A707" s="1282">
        <v>129</v>
      </c>
      <c r="B707" s="1234">
        <v>1</v>
      </c>
      <c r="C707" s="1334" t="s">
        <v>4095</v>
      </c>
      <c r="D707" s="1376">
        <v>1411</v>
      </c>
      <c r="E707" s="1375"/>
      <c r="F707" s="1235">
        <f>+B707*D707</f>
        <v>1411</v>
      </c>
    </row>
    <row r="708" spans="1:6" ht="15" customHeight="1">
      <c r="A708" s="1236" t="s">
        <v>3207</v>
      </c>
      <c r="B708" s="1237"/>
      <c r="C708" s="1334" t="s">
        <v>2805</v>
      </c>
      <c r="D708" s="1288"/>
      <c r="E708" s="1280"/>
      <c r="F708" s="1281"/>
    </row>
    <row r="709" spans="1:6" ht="26.25" customHeight="1">
      <c r="A709" s="1236" t="s">
        <v>4059</v>
      </c>
      <c r="B709" s="1239">
        <v>1</v>
      </c>
      <c r="C709" s="1407" t="s">
        <v>2209</v>
      </c>
      <c r="D709" s="1288"/>
      <c r="E709" s="1280"/>
      <c r="F709" s="1281"/>
    </row>
    <row r="710" spans="1:6" ht="15" customHeight="1">
      <c r="A710" s="1236" t="s">
        <v>3724</v>
      </c>
      <c r="B710" s="1239"/>
      <c r="C710" s="1341" t="s">
        <v>729</v>
      </c>
      <c r="D710" s="1288"/>
      <c r="E710" s="1280"/>
      <c r="F710" s="1281"/>
    </row>
    <row r="711" spans="1:6" ht="15" customHeight="1">
      <c r="A711" s="1240"/>
      <c r="B711" s="1248"/>
      <c r="C711" s="1343" t="s">
        <v>2797</v>
      </c>
      <c r="D711" s="1288"/>
      <c r="E711" s="1280"/>
      <c r="F711" s="1281"/>
    </row>
    <row r="712" spans="1:6" ht="27.75" customHeight="1">
      <c r="A712" s="1240" t="s">
        <v>3725</v>
      </c>
      <c r="B712" s="1239">
        <v>1</v>
      </c>
      <c r="C712" s="1407" t="s">
        <v>1507</v>
      </c>
      <c r="D712" s="1288"/>
      <c r="E712" s="1280"/>
      <c r="F712" s="1281"/>
    </row>
    <row r="713" spans="1:6" ht="15" customHeight="1">
      <c r="A713" s="1240" t="s">
        <v>3726</v>
      </c>
      <c r="B713" s="1239">
        <v>3</v>
      </c>
      <c r="C713" s="1340" t="s">
        <v>983</v>
      </c>
      <c r="D713" s="1288"/>
      <c r="E713" s="1280"/>
      <c r="F713" s="1281"/>
    </row>
    <row r="714" spans="1:6" ht="15" customHeight="1">
      <c r="A714" s="1240"/>
      <c r="B714" s="1239">
        <v>3</v>
      </c>
      <c r="C714" s="1340" t="s">
        <v>2029</v>
      </c>
      <c r="D714" s="1288"/>
      <c r="E714" s="1280"/>
      <c r="F714" s="1281"/>
    </row>
    <row r="715" spans="1:6" ht="15" customHeight="1">
      <c r="A715" s="1263"/>
      <c r="B715" s="1239">
        <v>1</v>
      </c>
      <c r="C715" s="1340" t="s">
        <v>4073</v>
      </c>
      <c r="D715" s="1288"/>
      <c r="E715" s="1280"/>
      <c r="F715" s="1281"/>
    </row>
    <row r="716" spans="1:6" ht="15" customHeight="1">
      <c r="A716" s="1277"/>
      <c r="B716" s="1239"/>
      <c r="C716" s="1341" t="s">
        <v>729</v>
      </c>
      <c r="D716" s="1288"/>
      <c r="E716" s="1280"/>
      <c r="F716" s="1281"/>
    </row>
    <row r="717" spans="1:6" ht="15" customHeight="1">
      <c r="A717" s="1246"/>
      <c r="B717" s="1239">
        <v>1</v>
      </c>
      <c r="C717" s="1344" t="s">
        <v>3051</v>
      </c>
      <c r="D717" s="1288"/>
      <c r="E717" s="1280"/>
      <c r="F717" s="1281"/>
    </row>
    <row r="718" spans="1:6" ht="15" customHeight="1" thickBot="1">
      <c r="A718" s="1272"/>
      <c r="B718" s="1273">
        <v>1</v>
      </c>
      <c r="C718" s="1345" t="s">
        <v>316</v>
      </c>
      <c r="D718" s="1369"/>
      <c r="E718" s="1283"/>
      <c r="F718" s="1284"/>
    </row>
    <row r="719" spans="1:6" ht="15" customHeight="1">
      <c r="A719" s="1271"/>
      <c r="B719" s="1239"/>
      <c r="C719" s="1337"/>
      <c r="D719" s="1288"/>
      <c r="E719" s="1280"/>
      <c r="F719" s="1281"/>
    </row>
    <row r="720" spans="1:6" ht="15" customHeight="1">
      <c r="A720" s="1282">
        <v>130</v>
      </c>
      <c r="B720" s="1234">
        <v>1</v>
      </c>
      <c r="C720" s="1334" t="s">
        <v>4096</v>
      </c>
      <c r="D720" s="1376">
        <v>1411</v>
      </c>
      <c r="E720" s="1375"/>
      <c r="F720" s="1235">
        <f>+B720*D720</f>
        <v>1411</v>
      </c>
    </row>
    <row r="721" spans="1:6" ht="15" customHeight="1">
      <c r="A721" s="1236" t="s">
        <v>3207</v>
      </c>
      <c r="B721" s="1237"/>
      <c r="C721" s="1334" t="s">
        <v>2805</v>
      </c>
      <c r="D721" s="1288"/>
      <c r="E721" s="1280"/>
      <c r="F721" s="1281"/>
    </row>
    <row r="722" spans="1:6" ht="24.75" customHeight="1">
      <c r="A722" s="1236" t="s">
        <v>4059</v>
      </c>
      <c r="B722" s="1239">
        <v>1</v>
      </c>
      <c r="C722" s="1407" t="s">
        <v>2215</v>
      </c>
      <c r="D722" s="1288"/>
      <c r="E722" s="1280"/>
      <c r="F722" s="1281"/>
    </row>
    <row r="723" spans="1:6" ht="15" customHeight="1">
      <c r="A723" s="1236" t="s">
        <v>3724</v>
      </c>
      <c r="B723" s="1239"/>
      <c r="C723" s="1341" t="s">
        <v>729</v>
      </c>
      <c r="D723" s="1288"/>
      <c r="E723" s="1280"/>
      <c r="F723" s="1281"/>
    </row>
    <row r="724" spans="1:6" ht="15" customHeight="1">
      <c r="A724" s="1240"/>
      <c r="B724" s="1248"/>
      <c r="C724" s="1343" t="s">
        <v>2797</v>
      </c>
      <c r="D724" s="1288"/>
      <c r="E724" s="1280"/>
      <c r="F724" s="1281"/>
    </row>
    <row r="725" spans="1:6" ht="27" customHeight="1">
      <c r="A725" s="1240" t="s">
        <v>3725</v>
      </c>
      <c r="B725" s="1239">
        <v>1</v>
      </c>
      <c r="C725" s="1407" t="s">
        <v>1508</v>
      </c>
      <c r="D725" s="1288"/>
      <c r="E725" s="1280"/>
      <c r="F725" s="1281"/>
    </row>
    <row r="726" spans="1:6" ht="15" customHeight="1">
      <c r="A726" s="1240" t="s">
        <v>3726</v>
      </c>
      <c r="B726" s="1239">
        <v>3</v>
      </c>
      <c r="C726" s="1340" t="s">
        <v>983</v>
      </c>
      <c r="D726" s="1288"/>
      <c r="E726" s="1280"/>
      <c r="F726" s="1281"/>
    </row>
    <row r="727" spans="1:6" ht="15" customHeight="1">
      <c r="A727" s="1240"/>
      <c r="B727" s="1239">
        <v>3</v>
      </c>
      <c r="C727" s="1340" t="s">
        <v>2029</v>
      </c>
      <c r="D727" s="1288"/>
      <c r="E727" s="1280"/>
      <c r="F727" s="1281"/>
    </row>
    <row r="728" spans="1:6" ht="15" customHeight="1">
      <c r="A728" s="1263"/>
      <c r="B728" s="1239">
        <v>1</v>
      </c>
      <c r="C728" s="1340" t="s">
        <v>4073</v>
      </c>
      <c r="D728" s="1288"/>
      <c r="E728" s="1280"/>
      <c r="F728" s="1281"/>
    </row>
    <row r="729" spans="1:6" ht="15" customHeight="1">
      <c r="A729" s="1277"/>
      <c r="B729" s="1239"/>
      <c r="C729" s="1341" t="s">
        <v>729</v>
      </c>
      <c r="D729" s="1288"/>
      <c r="E729" s="1280"/>
      <c r="F729" s="1281"/>
    </row>
    <row r="730" spans="1:6" ht="15" customHeight="1">
      <c r="A730" s="1246"/>
      <c r="B730" s="1239">
        <v>1</v>
      </c>
      <c r="C730" s="1344" t="s">
        <v>3051</v>
      </c>
      <c r="D730" s="1288"/>
      <c r="E730" s="1280"/>
      <c r="F730" s="1281"/>
    </row>
    <row r="731" spans="1:6" ht="15" customHeight="1" thickBot="1">
      <c r="A731" s="1272"/>
      <c r="B731" s="1273">
        <v>1</v>
      </c>
      <c r="C731" s="1345" t="s">
        <v>316</v>
      </c>
      <c r="D731" s="1369"/>
      <c r="E731" s="1283"/>
      <c r="F731" s="1284"/>
    </row>
    <row r="732" spans="1:6" ht="15" customHeight="1">
      <c r="A732" s="1271"/>
      <c r="B732" s="1239"/>
      <c r="C732" s="1337"/>
      <c r="D732" s="1288"/>
      <c r="E732" s="1280"/>
      <c r="F732" s="1281"/>
    </row>
    <row r="733" spans="1:6" ht="15" customHeight="1">
      <c r="A733" s="1282">
        <v>131</v>
      </c>
      <c r="B733" s="1234">
        <v>1</v>
      </c>
      <c r="C733" s="1334" t="s">
        <v>4097</v>
      </c>
      <c r="D733" s="1376">
        <v>2177</v>
      </c>
      <c r="E733" s="1375"/>
      <c r="F733" s="1235">
        <f>+B733*D733</f>
        <v>2177</v>
      </c>
    </row>
    <row r="734" spans="1:6" ht="15" customHeight="1">
      <c r="A734" s="1236" t="s">
        <v>3207</v>
      </c>
      <c r="B734" s="1237"/>
      <c r="C734" s="1334" t="s">
        <v>2805</v>
      </c>
      <c r="D734" s="1288"/>
      <c r="E734" s="1280"/>
      <c r="F734" s="1281"/>
    </row>
    <row r="735" spans="1:6" ht="27" customHeight="1">
      <c r="A735" s="1236" t="s">
        <v>4059</v>
      </c>
      <c r="B735" s="1239">
        <v>1</v>
      </c>
      <c r="C735" s="1407" t="s">
        <v>3882</v>
      </c>
      <c r="D735" s="1288"/>
      <c r="E735" s="1280"/>
      <c r="F735" s="1281"/>
    </row>
    <row r="736" spans="1:6" ht="15" customHeight="1">
      <c r="A736" s="1236" t="s">
        <v>3724</v>
      </c>
      <c r="B736" s="1239"/>
      <c r="C736" s="1341" t="s">
        <v>729</v>
      </c>
      <c r="D736" s="1288"/>
      <c r="E736" s="1280"/>
      <c r="F736" s="1281"/>
    </row>
    <row r="737" spans="1:6" ht="15" customHeight="1">
      <c r="A737" s="1240"/>
      <c r="B737" s="1248"/>
      <c r="C737" s="1343" t="s">
        <v>2797</v>
      </c>
      <c r="D737" s="1288"/>
      <c r="E737" s="1280"/>
      <c r="F737" s="1281"/>
    </row>
    <row r="738" spans="1:6" ht="27.75" customHeight="1">
      <c r="A738" s="1240" t="s">
        <v>3725</v>
      </c>
      <c r="B738" s="1239">
        <v>3</v>
      </c>
      <c r="C738" s="1407" t="s">
        <v>2206</v>
      </c>
      <c r="D738" s="1288"/>
      <c r="E738" s="1280"/>
      <c r="F738" s="1281"/>
    </row>
    <row r="739" spans="1:6" ht="15" customHeight="1">
      <c r="A739" s="1240" t="s">
        <v>3726</v>
      </c>
      <c r="B739" s="1239">
        <v>1</v>
      </c>
      <c r="C739" s="1340" t="s">
        <v>4098</v>
      </c>
      <c r="D739" s="1288"/>
      <c r="E739" s="1280"/>
      <c r="F739" s="1281"/>
    </row>
    <row r="740" spans="1:6" ht="15" customHeight="1">
      <c r="A740" s="1240"/>
      <c r="B740" s="1239"/>
      <c r="C740" s="1342"/>
      <c r="D740" s="1288"/>
      <c r="E740" s="1280"/>
      <c r="F740" s="1281"/>
    </row>
    <row r="741" spans="1:6" ht="15" customHeight="1">
      <c r="A741" s="1263" t="s">
        <v>3338</v>
      </c>
      <c r="B741" s="1239"/>
      <c r="C741" s="1341" t="s">
        <v>729</v>
      </c>
      <c r="D741" s="1288"/>
      <c r="E741" s="1280"/>
      <c r="F741" s="1281"/>
    </row>
    <row r="742" spans="1:6" ht="15" customHeight="1">
      <c r="A742" s="1264" t="s">
        <v>3727</v>
      </c>
      <c r="B742" s="1239">
        <v>1</v>
      </c>
      <c r="C742" s="1344" t="s">
        <v>3051</v>
      </c>
      <c r="D742" s="1288"/>
      <c r="E742" s="1280"/>
      <c r="F742" s="1281"/>
    </row>
    <row r="743" spans="1:6" ht="15" customHeight="1" thickBot="1">
      <c r="A743" s="1290" t="s">
        <v>3728</v>
      </c>
      <c r="B743" s="1273">
        <v>1</v>
      </c>
      <c r="C743" s="1345" t="s">
        <v>316</v>
      </c>
      <c r="D743" s="1369"/>
      <c r="E743" s="1283"/>
      <c r="F743" s="1284"/>
    </row>
    <row r="744" spans="1:6" ht="15" customHeight="1">
      <c r="A744" s="1289"/>
      <c r="B744" s="1270"/>
      <c r="C744" s="1346"/>
      <c r="D744" s="1288"/>
      <c r="E744" s="1280"/>
      <c r="F744" s="1281"/>
    </row>
    <row r="745" spans="1:6" ht="15" customHeight="1">
      <c r="A745" s="1260">
        <v>141</v>
      </c>
      <c r="B745" s="1234">
        <v>1</v>
      </c>
      <c r="C745" s="1334" t="s">
        <v>3369</v>
      </c>
      <c r="D745" s="1377">
        <v>6241</v>
      </c>
      <c r="E745" s="1375"/>
      <c r="F745" s="1235">
        <f>+B745*D745</f>
        <v>6241</v>
      </c>
    </row>
    <row r="746" spans="1:6" ht="15" customHeight="1">
      <c r="A746" s="1236" t="s">
        <v>3368</v>
      </c>
      <c r="B746" s="1291"/>
      <c r="C746" s="1334"/>
      <c r="D746" s="1288"/>
      <c r="E746" s="1280"/>
      <c r="F746" s="1281"/>
    </row>
    <row r="747" spans="1:6" ht="15" customHeight="1">
      <c r="A747" s="1236"/>
      <c r="B747" s="1292"/>
      <c r="C747" s="1347" t="s">
        <v>3529</v>
      </c>
      <c r="D747" s="1288"/>
      <c r="E747" s="1280"/>
      <c r="F747" s="1281"/>
    </row>
    <row r="748" spans="1:6" ht="15" customHeight="1">
      <c r="A748" s="1236"/>
      <c r="B748" s="1292"/>
      <c r="C748" s="1347" t="s">
        <v>3367</v>
      </c>
      <c r="D748" s="1288"/>
      <c r="E748" s="1280"/>
      <c r="F748" s="1281"/>
    </row>
    <row r="749" spans="1:6" ht="15" customHeight="1">
      <c r="A749" s="1236"/>
      <c r="B749" s="1292"/>
      <c r="C749" s="1347" t="s">
        <v>3422</v>
      </c>
      <c r="D749" s="1288"/>
      <c r="E749" s="1280"/>
      <c r="F749" s="1281"/>
    </row>
    <row r="750" spans="1:6" ht="15" customHeight="1">
      <c r="A750" s="1236"/>
      <c r="B750" s="1292"/>
      <c r="C750" s="1347" t="s">
        <v>3423</v>
      </c>
      <c r="D750" s="1288"/>
      <c r="E750" s="1280"/>
      <c r="F750" s="1281"/>
    </row>
    <row r="751" spans="1:6" ht="15" customHeight="1">
      <c r="A751" s="1236"/>
      <c r="B751" s="1292"/>
      <c r="C751" s="1347"/>
      <c r="D751" s="1288"/>
      <c r="E751" s="1280"/>
      <c r="F751" s="1281"/>
    </row>
    <row r="752" spans="1:6" ht="15" customHeight="1">
      <c r="A752" s="1236"/>
      <c r="B752" s="1292"/>
      <c r="C752" s="1348" t="s">
        <v>3363</v>
      </c>
      <c r="D752" s="1288"/>
      <c r="E752" s="1280"/>
      <c r="F752" s="1281"/>
    </row>
    <row r="753" spans="1:6" ht="15" customHeight="1">
      <c r="A753" s="1242"/>
      <c r="B753" s="1292" t="s">
        <v>3362</v>
      </c>
      <c r="C753" s="1349" t="s">
        <v>3352</v>
      </c>
      <c r="D753" s="1288"/>
      <c r="E753" s="1280"/>
      <c r="F753" s="1281"/>
    </row>
    <row r="754" spans="1:6" ht="15" customHeight="1">
      <c r="A754" s="1293"/>
      <c r="B754" s="1294" t="s">
        <v>3343</v>
      </c>
      <c r="C754" s="1350" t="s">
        <v>3341</v>
      </c>
      <c r="D754" s="1288"/>
      <c r="E754" s="1280"/>
      <c r="F754" s="1281"/>
    </row>
    <row r="755" spans="1:6" ht="15" customHeight="1">
      <c r="A755" s="1242"/>
      <c r="B755" s="1294" t="s">
        <v>3344</v>
      </c>
      <c r="C755" s="1351" t="s">
        <v>3342</v>
      </c>
      <c r="D755" s="1288"/>
      <c r="E755" s="1280"/>
      <c r="F755" s="1281"/>
    </row>
    <row r="756" spans="1:6" ht="15" customHeight="1">
      <c r="A756" s="1242"/>
      <c r="B756" s="1294" t="s">
        <v>3347</v>
      </c>
      <c r="C756" s="1351" t="s">
        <v>3348</v>
      </c>
      <c r="D756" s="1288"/>
      <c r="E756" s="1280"/>
      <c r="F756" s="1281"/>
    </row>
    <row r="757" spans="1:6" ht="15" customHeight="1">
      <c r="A757" s="1242"/>
      <c r="B757" s="1294" t="s">
        <v>3349</v>
      </c>
      <c r="C757" s="1350" t="s">
        <v>3361</v>
      </c>
      <c r="D757" s="1288"/>
      <c r="E757" s="1280"/>
      <c r="F757" s="1281"/>
    </row>
    <row r="758" spans="1:6" ht="15" customHeight="1">
      <c r="A758" s="1242"/>
      <c r="B758" s="1294" t="s">
        <v>3350</v>
      </c>
      <c r="C758" s="1350" t="s">
        <v>3355</v>
      </c>
      <c r="D758" s="1288"/>
      <c r="E758" s="1280"/>
      <c r="F758" s="1281"/>
    </row>
    <row r="759" spans="1:6" ht="15" customHeight="1">
      <c r="A759" s="1236"/>
      <c r="B759" s="1292"/>
      <c r="C759" s="1347"/>
      <c r="D759" s="1288"/>
      <c r="E759" s="1280"/>
      <c r="F759" s="1281"/>
    </row>
    <row r="760" spans="1:6" ht="15" customHeight="1">
      <c r="A760" s="1236"/>
      <c r="B760" s="1292"/>
      <c r="C760" s="1348" t="s">
        <v>3356</v>
      </c>
      <c r="D760" s="1288"/>
      <c r="E760" s="1280"/>
      <c r="F760" s="1281"/>
    </row>
    <row r="761" spans="1:6" ht="15" customHeight="1">
      <c r="A761" s="1242"/>
      <c r="B761" s="1292" t="s">
        <v>3351</v>
      </c>
      <c r="C761" s="1349" t="s">
        <v>3406</v>
      </c>
      <c r="D761" s="1288"/>
      <c r="E761" s="1280"/>
      <c r="F761" s="1281"/>
    </row>
    <row r="762" spans="1:6" ht="15" customHeight="1">
      <c r="A762" s="1242"/>
      <c r="B762" s="1292"/>
      <c r="C762" s="1349" t="s">
        <v>3407</v>
      </c>
      <c r="D762" s="1288"/>
      <c r="E762" s="1280"/>
      <c r="F762" s="1281"/>
    </row>
    <row r="763" spans="1:6" ht="15" customHeight="1">
      <c r="A763" s="1242"/>
      <c r="B763" s="1292" t="s">
        <v>3351</v>
      </c>
      <c r="C763" s="1349" t="s">
        <v>3353</v>
      </c>
      <c r="D763" s="1288"/>
      <c r="E763" s="1280"/>
      <c r="F763" s="1281"/>
    </row>
    <row r="764" spans="1:6" ht="15" customHeight="1">
      <c r="A764" s="1293"/>
      <c r="B764" s="1292" t="s">
        <v>3351</v>
      </c>
      <c r="C764" s="1347" t="s">
        <v>3358</v>
      </c>
      <c r="D764" s="1288"/>
      <c r="E764" s="1280"/>
      <c r="F764" s="1281"/>
    </row>
    <row r="765" spans="1:6" ht="15" customHeight="1">
      <c r="A765" s="1242"/>
      <c r="B765" s="1292"/>
      <c r="C765" s="1347"/>
      <c r="D765" s="1288"/>
      <c r="E765" s="1280"/>
      <c r="F765" s="1281"/>
    </row>
    <row r="766" spans="1:6" ht="15" customHeight="1">
      <c r="A766" s="1236"/>
      <c r="B766" s="1292"/>
      <c r="C766" s="1348" t="s">
        <v>3354</v>
      </c>
      <c r="D766" s="1288"/>
      <c r="E766" s="1280"/>
      <c r="F766" s="1281"/>
    </row>
    <row r="767" spans="1:6" ht="15" customHeight="1">
      <c r="A767" s="1242"/>
      <c r="B767" s="1292" t="s">
        <v>3351</v>
      </c>
      <c r="C767" s="1349" t="s">
        <v>3424</v>
      </c>
      <c r="D767" s="1288"/>
      <c r="E767" s="1280"/>
      <c r="F767" s="1281"/>
    </row>
    <row r="768" spans="1:6" ht="15" customHeight="1">
      <c r="A768" s="1242"/>
      <c r="B768" s="1292"/>
      <c r="C768" s="1347" t="s">
        <v>3425</v>
      </c>
      <c r="D768" s="1288"/>
      <c r="E768" s="1280"/>
      <c r="F768" s="1281"/>
    </row>
    <row r="769" spans="1:6" ht="15" customHeight="1">
      <c r="A769" s="1242"/>
      <c r="B769" s="1292"/>
      <c r="C769" s="1347"/>
      <c r="D769" s="1288"/>
      <c r="E769" s="1280"/>
      <c r="F769" s="1281"/>
    </row>
    <row r="770" spans="1:6" ht="15" customHeight="1">
      <c r="A770" s="1242"/>
      <c r="B770" s="1292"/>
      <c r="C770" s="1347"/>
      <c r="D770" s="1288"/>
      <c r="E770" s="1280"/>
      <c r="F770" s="1281"/>
    </row>
    <row r="771" spans="1:6" ht="15" customHeight="1">
      <c r="A771" s="1242"/>
      <c r="B771" s="1292"/>
      <c r="C771" s="1352" t="s">
        <v>3339</v>
      </c>
      <c r="D771" s="1288"/>
      <c r="E771" s="1280"/>
      <c r="F771" s="1281"/>
    </row>
    <row r="772" spans="1:6" ht="15" customHeight="1">
      <c r="A772" s="1246"/>
      <c r="B772" s="1255"/>
      <c r="C772" s="1347"/>
      <c r="D772" s="1288"/>
      <c r="E772" s="1280"/>
      <c r="F772" s="1281"/>
    </row>
    <row r="773" spans="1:6" ht="15" customHeight="1">
      <c r="A773" s="1246"/>
      <c r="B773" s="1255" t="s">
        <v>3338</v>
      </c>
      <c r="C773" s="1347" t="s">
        <v>3346</v>
      </c>
      <c r="D773" s="1288"/>
      <c r="E773" s="1280"/>
      <c r="F773" s="1281"/>
    </row>
    <row r="774" spans="1:6" ht="15" customHeight="1">
      <c r="A774" s="1246"/>
      <c r="B774" s="1255"/>
      <c r="C774" s="1347" t="s">
        <v>3357</v>
      </c>
      <c r="D774" s="1288"/>
      <c r="E774" s="1280"/>
      <c r="F774" s="1281"/>
    </row>
    <row r="775" spans="1:6" ht="15" customHeight="1">
      <c r="A775" s="1246"/>
      <c r="B775" s="1255"/>
      <c r="C775" s="1347" t="s">
        <v>3366</v>
      </c>
      <c r="D775" s="1288"/>
      <c r="E775" s="1280"/>
      <c r="F775" s="1281"/>
    </row>
    <row r="776" spans="1:6" ht="15" customHeight="1">
      <c r="A776" s="1246"/>
      <c r="B776" s="1255"/>
      <c r="C776" s="1347"/>
      <c r="D776" s="1288"/>
      <c r="E776" s="1280"/>
      <c r="F776" s="1281"/>
    </row>
    <row r="777" spans="1:6" ht="24" customHeight="1">
      <c r="A777" s="1246"/>
      <c r="B777" s="1255" t="s">
        <v>3338</v>
      </c>
      <c r="C777" s="1353" t="s">
        <v>3340</v>
      </c>
      <c r="D777" s="1288"/>
      <c r="E777" s="1280"/>
      <c r="F777" s="1281"/>
    </row>
    <row r="778" spans="1:6" ht="15" customHeight="1">
      <c r="A778" s="1246"/>
      <c r="B778" s="1255"/>
      <c r="C778" s="1347"/>
      <c r="D778" s="1288"/>
      <c r="E778" s="1280"/>
      <c r="F778" s="1281"/>
    </row>
    <row r="779" spans="1:6" ht="15" customHeight="1">
      <c r="A779" s="1246"/>
      <c r="B779" s="1255" t="s">
        <v>3338</v>
      </c>
      <c r="C779" s="1347" t="s">
        <v>3404</v>
      </c>
      <c r="D779" s="1288"/>
      <c r="E779" s="1280"/>
      <c r="F779" s="1281"/>
    </row>
    <row r="780" spans="1:6" ht="15" customHeight="1">
      <c r="A780" s="1246"/>
      <c r="B780" s="1255"/>
      <c r="C780" s="1347" t="s">
        <v>3381</v>
      </c>
      <c r="D780" s="1288"/>
      <c r="E780" s="1280"/>
      <c r="F780" s="1281"/>
    </row>
    <row r="781" spans="1:6" ht="15" customHeight="1">
      <c r="A781" s="1246"/>
      <c r="B781" s="1255"/>
      <c r="C781" s="1347" t="s">
        <v>3365</v>
      </c>
      <c r="D781" s="1288"/>
      <c r="E781" s="1280"/>
      <c r="F781" s="1281"/>
    </row>
    <row r="782" spans="1:6" ht="15" customHeight="1">
      <c r="A782" s="1246"/>
      <c r="B782" s="1255"/>
      <c r="C782" s="1347"/>
      <c r="D782" s="1288"/>
      <c r="E782" s="1280"/>
      <c r="F782" s="1281"/>
    </row>
    <row r="783" spans="1:6" ht="15" customHeight="1">
      <c r="A783" s="1246"/>
      <c r="B783" s="1255"/>
      <c r="C783" s="1347" t="s">
        <v>3409</v>
      </c>
      <c r="D783" s="1288"/>
      <c r="E783" s="1280"/>
      <c r="F783" s="1281"/>
    </row>
    <row r="784" spans="1:6" ht="15" customHeight="1">
      <c r="A784" s="1246"/>
      <c r="B784" s="1255"/>
      <c r="C784" s="1347" t="s">
        <v>3405</v>
      </c>
      <c r="D784" s="1288"/>
      <c r="E784" s="1280"/>
      <c r="F784" s="1281"/>
    </row>
    <row r="785" spans="1:6" ht="15" customHeight="1">
      <c r="A785" s="1246"/>
      <c r="B785" s="1255"/>
      <c r="C785" s="1347" t="s">
        <v>3570</v>
      </c>
      <c r="D785" s="1288"/>
      <c r="E785" s="1280"/>
      <c r="F785" s="1281"/>
    </row>
    <row r="786" spans="1:6" ht="15" customHeight="1">
      <c r="A786" s="1246"/>
      <c r="B786" s="1255"/>
      <c r="C786" s="1347"/>
      <c r="D786" s="1288"/>
      <c r="E786" s="1280"/>
      <c r="F786" s="1281"/>
    </row>
    <row r="787" spans="1:6" ht="15" customHeight="1">
      <c r="A787" s="1246"/>
      <c r="B787" s="1255" t="s">
        <v>3338</v>
      </c>
      <c r="C787" s="1347" t="s">
        <v>3364</v>
      </c>
      <c r="D787" s="1288"/>
      <c r="E787" s="1280"/>
      <c r="F787" s="1281"/>
    </row>
    <row r="788" spans="1:6" ht="15" customHeight="1">
      <c r="A788" s="1246"/>
      <c r="B788" s="1255"/>
      <c r="C788" s="1347" t="s">
        <v>3534</v>
      </c>
      <c r="D788" s="1288"/>
      <c r="E788" s="1280"/>
      <c r="F788" s="1281"/>
    </row>
    <row r="789" spans="1:6" ht="15" customHeight="1">
      <c r="A789" s="1246"/>
      <c r="B789" s="1255"/>
      <c r="C789" s="1347"/>
      <c r="D789" s="1288"/>
      <c r="E789" s="1280"/>
      <c r="F789" s="1281"/>
    </row>
    <row r="790" spans="1:6" ht="15" customHeight="1">
      <c r="A790" s="1246"/>
      <c r="B790" s="1255" t="s">
        <v>3338</v>
      </c>
      <c r="C790" s="1347" t="s">
        <v>3359</v>
      </c>
      <c r="D790" s="1288"/>
      <c r="E790" s="1280"/>
      <c r="F790" s="1281"/>
    </row>
    <row r="791" spans="1:6" ht="15" customHeight="1">
      <c r="A791" s="1246"/>
      <c r="B791" s="1255"/>
      <c r="C791" s="1347" t="s">
        <v>3360</v>
      </c>
      <c r="D791" s="1288"/>
      <c r="E791" s="1280"/>
      <c r="F791" s="1281"/>
    </row>
    <row r="792" spans="1:6" ht="15" customHeight="1">
      <c r="A792" s="1246"/>
      <c r="B792" s="1255"/>
      <c r="C792" s="1347"/>
      <c r="D792" s="1288"/>
      <c r="E792" s="1280"/>
      <c r="F792" s="1281"/>
    </row>
    <row r="793" spans="1:6" ht="15" customHeight="1" thickBot="1">
      <c r="A793" s="1272"/>
      <c r="B793" s="1285" t="s">
        <v>3338</v>
      </c>
      <c r="C793" s="1354" t="s">
        <v>3345</v>
      </c>
      <c r="D793" s="1369"/>
      <c r="E793" s="1283"/>
      <c r="F793" s="1284"/>
    </row>
    <row r="794" spans="1:6" ht="20.100000000000001" customHeight="1">
      <c r="A794" s="1295"/>
      <c r="B794" s="1296"/>
      <c r="C794" s="1297"/>
      <c r="D794" s="1298"/>
      <c r="E794" s="1298" t="s">
        <v>4099</v>
      </c>
      <c r="F794" s="1409">
        <f>SUM(F11:F793)</f>
        <v>409482</v>
      </c>
    </row>
    <row r="795" spans="1:6" ht="20.100000000000001" customHeight="1" thickBot="1">
      <c r="A795" s="1299"/>
      <c r="B795" s="1300"/>
      <c r="C795" s="1426" t="s">
        <v>4100</v>
      </c>
      <c r="D795" s="1368" t="s">
        <v>4101</v>
      </c>
      <c r="E795" s="1370">
        <v>0.18</v>
      </c>
      <c r="F795" s="1410">
        <f>+F794*E795</f>
        <v>73706.759999999995</v>
      </c>
    </row>
    <row r="796" spans="1:6" ht="20.100000000000001" customHeight="1">
      <c r="A796" s="1302"/>
      <c r="B796" s="1303"/>
      <c r="C796" s="1304"/>
      <c r="D796" s="1305"/>
      <c r="E796" s="1305"/>
      <c r="F796" s="2773">
        <f>+F794+F795</f>
        <v>483188.76</v>
      </c>
    </row>
    <row r="797" spans="1:6" ht="20.100000000000001" customHeight="1" thickBot="1">
      <c r="A797" s="1306"/>
      <c r="B797" s="1307"/>
      <c r="C797" s="1308"/>
      <c r="D797" s="1301"/>
      <c r="E797" s="1301"/>
      <c r="F797" s="2774"/>
    </row>
    <row r="798" spans="1:6" ht="14.1" customHeight="1">
      <c r="A798" s="1309"/>
      <c r="B798" s="1310"/>
      <c r="C798" s="1311"/>
    </row>
    <row r="799" spans="1:6" s="1218" customFormat="1" ht="14.1" customHeight="1">
      <c r="A799" s="760"/>
      <c r="B799" s="761"/>
      <c r="C799" s="762"/>
      <c r="D799" s="1312"/>
      <c r="E799" s="1312"/>
      <c r="F799" s="1312"/>
    </row>
    <row r="800" spans="1:6" s="1218" customFormat="1" ht="14.1" customHeight="1">
      <c r="A800" s="760"/>
      <c r="B800" s="761"/>
      <c r="C800" s="762"/>
      <c r="D800" s="1312"/>
      <c r="E800" s="1312"/>
      <c r="F800" s="1312"/>
    </row>
    <row r="801" spans="1:6" s="1218" customFormat="1" ht="14.1" customHeight="1">
      <c r="A801" s="760"/>
      <c r="B801" s="761"/>
      <c r="C801" s="762"/>
      <c r="D801" s="1312"/>
      <c r="E801" s="1312"/>
      <c r="F801" s="1312"/>
    </row>
    <row r="802" spans="1:6" s="1218" customFormat="1" ht="14.1" customHeight="1">
      <c r="A802" s="434" t="s">
        <v>742</v>
      </c>
      <c r="B802" s="434"/>
      <c r="C802" s="193"/>
      <c r="D802" s="1312"/>
      <c r="E802" s="1312"/>
      <c r="F802" s="1312"/>
    </row>
    <row r="803" spans="1:6" s="1218" customFormat="1" ht="14.1" customHeight="1">
      <c r="A803" s="760"/>
      <c r="B803" s="761"/>
      <c r="C803" s="762"/>
      <c r="D803" s="1312"/>
      <c r="E803" s="1312"/>
      <c r="F803" s="1312"/>
    </row>
    <row r="804" spans="1:6" s="1218" customFormat="1" ht="14.1" customHeight="1">
      <c r="A804" s="1313"/>
      <c r="B804" s="1160" t="s">
        <v>1591</v>
      </c>
      <c r="C804" s="193" t="s">
        <v>4102</v>
      </c>
      <c r="D804" s="1314"/>
      <c r="E804" s="1315"/>
      <c r="F804" s="1315"/>
    </row>
    <row r="805" spans="1:6" s="1218" customFormat="1" ht="14.1" customHeight="1">
      <c r="A805" s="1313"/>
      <c r="B805" s="909"/>
      <c r="C805" s="193" t="s">
        <v>4103</v>
      </c>
      <c r="D805" s="1314"/>
      <c r="E805" s="1315"/>
      <c r="F805" s="1315"/>
    </row>
    <row r="806" spans="1:6" s="1218" customFormat="1" ht="14.1" customHeight="1">
      <c r="A806" s="1313"/>
      <c r="B806" s="1160"/>
      <c r="C806" s="193" t="s">
        <v>4104</v>
      </c>
      <c r="D806" s="1314"/>
      <c r="E806" s="1315"/>
      <c r="F806" s="1315"/>
    </row>
    <row r="807" spans="1:6" s="1218" customFormat="1" ht="14.1" customHeight="1">
      <c r="A807" s="760"/>
      <c r="B807" s="1183"/>
      <c r="C807" s="1184"/>
      <c r="D807" s="762"/>
      <c r="E807" s="1315"/>
      <c r="F807" s="1315"/>
    </row>
    <row r="808" spans="1:6" s="1218" customFormat="1" ht="14.1" customHeight="1">
      <c r="A808" s="1313"/>
      <c r="B808" s="1160" t="s">
        <v>2809</v>
      </c>
      <c r="C808" s="193" t="s">
        <v>4105</v>
      </c>
      <c r="D808" s="193"/>
      <c r="E808" s="1315"/>
      <c r="F808" s="1315"/>
    </row>
    <row r="809" spans="1:6" s="1218" customFormat="1" ht="14.1" customHeight="1">
      <c r="A809" s="760"/>
      <c r="B809" s="909"/>
      <c r="C809" s="193" t="s">
        <v>4106</v>
      </c>
      <c r="D809" s="193"/>
      <c r="E809" s="1315"/>
      <c r="F809" s="1315"/>
    </row>
    <row r="810" spans="1:6" s="1218" customFormat="1" ht="14.1" customHeight="1">
      <c r="A810" s="1313"/>
      <c r="B810" s="1316"/>
      <c r="C810" s="1317"/>
      <c r="D810" s="762"/>
      <c r="E810" s="1312"/>
      <c r="F810" s="1312"/>
    </row>
    <row r="811" spans="1:6" s="1218" customFormat="1" ht="14.1" customHeight="1">
      <c r="A811" s="1313"/>
      <c r="B811" s="1160" t="s">
        <v>1832</v>
      </c>
      <c r="C811" s="193" t="s">
        <v>4107</v>
      </c>
      <c r="D811" s="1314"/>
      <c r="E811" s="1312"/>
      <c r="F811" s="1312"/>
    </row>
    <row r="812" spans="1:6" s="1218" customFormat="1" ht="14.1" customHeight="1">
      <c r="A812" s="760"/>
      <c r="B812" s="909"/>
      <c r="C812" s="193" t="s">
        <v>4108</v>
      </c>
      <c r="D812" s="1314"/>
      <c r="E812" s="1312"/>
      <c r="F812" s="1312"/>
    </row>
    <row r="813" spans="1:6" s="1218" customFormat="1" ht="14.1" customHeight="1">
      <c r="A813" s="1313"/>
      <c r="B813" s="1160"/>
      <c r="C813" s="193"/>
      <c r="D813" s="1314"/>
      <c r="E813" s="1312"/>
      <c r="F813" s="1312"/>
    </row>
    <row r="814" spans="1:6" s="1218" customFormat="1" ht="14.1" customHeight="1">
      <c r="A814" s="1091"/>
      <c r="B814" s="1160" t="s">
        <v>1833</v>
      </c>
      <c r="C814" s="193" t="s">
        <v>4109</v>
      </c>
      <c r="D814" s="1314"/>
      <c r="E814" s="1312"/>
      <c r="F814" s="1312"/>
    </row>
    <row r="815" spans="1:6" s="1218" customFormat="1" ht="14.1" customHeight="1">
      <c r="A815" s="760"/>
      <c r="B815" s="909"/>
      <c r="C815" s="193" t="s">
        <v>4110</v>
      </c>
      <c r="D815" s="1314"/>
      <c r="E815" s="1312"/>
      <c r="F815" s="1312"/>
    </row>
    <row r="816" spans="1:6" s="1218" customFormat="1" ht="14.1" customHeight="1">
      <c r="A816" s="1313"/>
      <c r="B816" s="761"/>
      <c r="C816" s="762" t="s">
        <v>4111</v>
      </c>
      <c r="D816" s="762"/>
      <c r="E816" s="1312"/>
      <c r="F816" s="1312"/>
    </row>
    <row r="817" spans="1:248" s="1218" customFormat="1" ht="14.1" customHeight="1">
      <c r="A817" s="1091"/>
      <c r="B817" s="1160"/>
      <c r="C817" s="193"/>
      <c r="D817" s="1314"/>
      <c r="E817" s="1312"/>
      <c r="F817" s="1312"/>
    </row>
    <row r="818" spans="1:248" s="1218" customFormat="1" ht="14.1" customHeight="1">
      <c r="A818" s="1318"/>
      <c r="B818" s="1160" t="s">
        <v>3296</v>
      </c>
      <c r="C818" s="193" t="s">
        <v>4112</v>
      </c>
      <c r="D818" s="1314"/>
      <c r="E818" s="1312"/>
      <c r="F818" s="1312"/>
    </row>
    <row r="819" spans="1:248" s="1218" customFormat="1" ht="14.1" customHeight="1">
      <c r="A819" s="1318"/>
      <c r="B819" s="909"/>
      <c r="C819" s="193" t="s">
        <v>4113</v>
      </c>
      <c r="D819" s="1314"/>
      <c r="E819" s="1312"/>
      <c r="F819" s="1312"/>
    </row>
    <row r="820" spans="1:248" s="1218" customFormat="1" ht="14.1" customHeight="1">
      <c r="A820" s="1318"/>
      <c r="B820" s="761"/>
      <c r="C820" s="762" t="s">
        <v>4114</v>
      </c>
      <c r="D820" s="762"/>
      <c r="E820" s="1312"/>
      <c r="F820" s="1312"/>
    </row>
    <row r="821" spans="1:248" s="1312" customFormat="1" ht="14.1" customHeight="1">
      <c r="A821" s="1318"/>
      <c r="B821" s="1160"/>
      <c r="C821" s="193"/>
      <c r="D821" s="1314"/>
      <c r="G821" s="1218"/>
      <c r="H821" s="1218"/>
      <c r="I821" s="1218"/>
      <c r="J821" s="1218"/>
      <c r="K821" s="1218"/>
      <c r="L821" s="1218"/>
      <c r="M821" s="1218"/>
      <c r="N821" s="1218"/>
      <c r="O821" s="1218"/>
      <c r="P821" s="1218"/>
      <c r="Q821" s="1218"/>
      <c r="R821" s="1218"/>
      <c r="S821" s="1218"/>
      <c r="T821" s="1218"/>
      <c r="U821" s="1218"/>
      <c r="V821" s="1218"/>
      <c r="W821" s="1218"/>
      <c r="X821" s="1218"/>
      <c r="Y821" s="1218"/>
      <c r="Z821" s="1218"/>
      <c r="AA821" s="1218"/>
      <c r="AB821" s="1218"/>
      <c r="AC821" s="1218"/>
      <c r="AD821" s="1218"/>
      <c r="AE821" s="1218"/>
      <c r="AF821" s="1218"/>
      <c r="AG821" s="1218"/>
      <c r="AH821" s="1218"/>
      <c r="AI821" s="1218"/>
      <c r="AJ821" s="1218"/>
      <c r="AK821" s="1218"/>
      <c r="AL821" s="1218"/>
      <c r="AM821" s="1218"/>
      <c r="AN821" s="1218"/>
      <c r="AO821" s="1218"/>
      <c r="AP821" s="1218"/>
      <c r="AQ821" s="1218"/>
      <c r="AR821" s="1218"/>
      <c r="AS821" s="1218"/>
      <c r="AT821" s="1218"/>
      <c r="AU821" s="1218"/>
      <c r="AV821" s="1218"/>
      <c r="AW821" s="1218"/>
      <c r="AX821" s="1218"/>
      <c r="AY821" s="1218"/>
      <c r="AZ821" s="1218"/>
      <c r="BA821" s="1218"/>
      <c r="BB821" s="1218"/>
      <c r="BC821" s="1218"/>
      <c r="BD821" s="1218"/>
      <c r="BE821" s="1218"/>
      <c r="BF821" s="1218"/>
      <c r="BG821" s="1218"/>
      <c r="BH821" s="1218"/>
      <c r="BI821" s="1218"/>
      <c r="BJ821" s="1218"/>
      <c r="BK821" s="1218"/>
      <c r="BL821" s="1218"/>
      <c r="BM821" s="1218"/>
      <c r="BN821" s="1218"/>
      <c r="BO821" s="1218"/>
      <c r="BP821" s="1218"/>
      <c r="BQ821" s="1218"/>
      <c r="BR821" s="1218"/>
      <c r="BS821" s="1218"/>
      <c r="BT821" s="1218"/>
      <c r="BU821" s="1218"/>
      <c r="BV821" s="1218"/>
      <c r="BW821" s="1218"/>
      <c r="BX821" s="1218"/>
      <c r="BY821" s="1218"/>
      <c r="BZ821" s="1218"/>
      <c r="CA821" s="1218"/>
      <c r="CB821" s="1218"/>
      <c r="CC821" s="1218"/>
      <c r="CD821" s="1218"/>
      <c r="CE821" s="1218"/>
      <c r="CF821" s="1218"/>
      <c r="CG821" s="1218"/>
      <c r="CH821" s="1218"/>
      <c r="CI821" s="1218"/>
      <c r="CJ821" s="1218"/>
      <c r="CK821" s="1218"/>
      <c r="CL821" s="1218"/>
      <c r="CM821" s="1218"/>
      <c r="CN821" s="1218"/>
      <c r="CO821" s="1218"/>
      <c r="CP821" s="1218"/>
      <c r="CQ821" s="1218"/>
      <c r="CR821" s="1218"/>
      <c r="CS821" s="1218"/>
      <c r="CT821" s="1218"/>
      <c r="CU821" s="1218"/>
      <c r="CV821" s="1218"/>
      <c r="CW821" s="1218"/>
      <c r="CX821" s="1218"/>
      <c r="CY821" s="1218"/>
      <c r="CZ821" s="1218"/>
      <c r="DA821" s="1218"/>
      <c r="DB821" s="1218"/>
      <c r="DC821" s="1218"/>
      <c r="DD821" s="1218"/>
      <c r="DE821" s="1218"/>
      <c r="DF821" s="1218"/>
      <c r="DG821" s="1218"/>
      <c r="DH821" s="1218"/>
      <c r="DI821" s="1218"/>
      <c r="DJ821" s="1218"/>
      <c r="DK821" s="1218"/>
      <c r="DL821" s="1218"/>
      <c r="DM821" s="1218"/>
      <c r="DN821" s="1218"/>
      <c r="DO821" s="1218"/>
      <c r="DP821" s="1218"/>
      <c r="DQ821" s="1218"/>
      <c r="DR821" s="1218"/>
      <c r="DS821" s="1218"/>
      <c r="DT821" s="1218"/>
      <c r="DU821" s="1218"/>
      <c r="DV821" s="1218"/>
      <c r="DW821" s="1218"/>
      <c r="DX821" s="1218"/>
      <c r="DY821" s="1218"/>
      <c r="DZ821" s="1218"/>
      <c r="EA821" s="1218"/>
      <c r="EB821" s="1218"/>
      <c r="EC821" s="1218"/>
      <c r="ED821" s="1218"/>
      <c r="EE821" s="1218"/>
      <c r="EF821" s="1218"/>
      <c r="EG821" s="1218"/>
      <c r="EH821" s="1218"/>
      <c r="EI821" s="1218"/>
      <c r="EJ821" s="1218"/>
      <c r="EK821" s="1218"/>
      <c r="EL821" s="1218"/>
      <c r="EM821" s="1218"/>
      <c r="EN821" s="1218"/>
      <c r="EO821" s="1218"/>
      <c r="EP821" s="1218"/>
      <c r="EQ821" s="1218"/>
      <c r="ER821" s="1218"/>
      <c r="ES821" s="1218"/>
      <c r="ET821" s="1218"/>
      <c r="EU821" s="1218"/>
      <c r="EV821" s="1218"/>
      <c r="EW821" s="1218"/>
      <c r="EX821" s="1218"/>
      <c r="EY821" s="1218"/>
      <c r="EZ821" s="1218"/>
      <c r="FA821" s="1218"/>
      <c r="FB821" s="1218"/>
      <c r="FC821" s="1218"/>
      <c r="FD821" s="1218"/>
      <c r="FE821" s="1218"/>
      <c r="FF821" s="1218"/>
      <c r="FG821" s="1218"/>
      <c r="FH821" s="1218"/>
      <c r="FI821" s="1218"/>
      <c r="FJ821" s="1218"/>
      <c r="FK821" s="1218"/>
      <c r="FL821" s="1218"/>
      <c r="FM821" s="1218"/>
      <c r="FN821" s="1218"/>
      <c r="FO821" s="1218"/>
      <c r="FP821" s="1218"/>
      <c r="FQ821" s="1218"/>
      <c r="FR821" s="1218"/>
      <c r="FS821" s="1218"/>
      <c r="FT821" s="1218"/>
      <c r="FU821" s="1218"/>
      <c r="FV821" s="1218"/>
      <c r="FW821" s="1218"/>
      <c r="FX821" s="1218"/>
      <c r="FY821" s="1218"/>
      <c r="FZ821" s="1218"/>
      <c r="GA821" s="1218"/>
      <c r="GB821" s="1218"/>
      <c r="GC821" s="1218"/>
      <c r="GD821" s="1218"/>
      <c r="GE821" s="1218"/>
      <c r="GF821" s="1218"/>
      <c r="GG821" s="1218"/>
      <c r="GH821" s="1218"/>
      <c r="GI821" s="1218"/>
      <c r="GJ821" s="1218"/>
      <c r="GK821" s="1218"/>
      <c r="GL821" s="1218"/>
      <c r="GM821" s="1218"/>
      <c r="GN821" s="1218"/>
      <c r="GO821" s="1218"/>
      <c r="GP821" s="1218"/>
      <c r="GQ821" s="1218"/>
      <c r="GR821" s="1218"/>
      <c r="GS821" s="1218"/>
      <c r="GT821" s="1218"/>
      <c r="GU821" s="1218"/>
      <c r="GV821" s="1218"/>
      <c r="GW821" s="1218"/>
      <c r="GX821" s="1218"/>
      <c r="GY821" s="1218"/>
      <c r="GZ821" s="1218"/>
      <c r="HA821" s="1218"/>
      <c r="HB821" s="1218"/>
      <c r="HC821" s="1218"/>
      <c r="HD821" s="1218"/>
      <c r="HE821" s="1218"/>
      <c r="HF821" s="1218"/>
      <c r="HG821" s="1218"/>
      <c r="HH821" s="1218"/>
      <c r="HI821" s="1218"/>
      <c r="HJ821" s="1218"/>
      <c r="HK821" s="1218"/>
      <c r="HL821" s="1218"/>
      <c r="HM821" s="1218"/>
      <c r="HN821" s="1218"/>
      <c r="HO821" s="1218"/>
      <c r="HP821" s="1218"/>
      <c r="HQ821" s="1218"/>
      <c r="HR821" s="1218"/>
      <c r="HS821" s="1218"/>
      <c r="HT821" s="1218"/>
      <c r="HU821" s="1218"/>
      <c r="HV821" s="1218"/>
      <c r="HW821" s="1218"/>
      <c r="HX821" s="1218"/>
      <c r="HY821" s="1218"/>
      <c r="HZ821" s="1218"/>
      <c r="IA821" s="1218"/>
      <c r="IB821" s="1218"/>
      <c r="IC821" s="1218"/>
      <c r="ID821" s="1218"/>
      <c r="IE821" s="1218"/>
      <c r="IF821" s="1218"/>
      <c r="IG821" s="1218"/>
      <c r="IH821" s="1218"/>
      <c r="II821" s="1218"/>
      <c r="IJ821" s="1218"/>
      <c r="IK821" s="1218"/>
      <c r="IL821" s="1218"/>
      <c r="IM821" s="1218"/>
      <c r="IN821" s="1218"/>
    </row>
    <row r="822" spans="1:248" s="1312" customFormat="1" ht="14.1" customHeight="1">
      <c r="A822" s="1318"/>
      <c r="B822" s="1160" t="s">
        <v>3297</v>
      </c>
      <c r="C822" s="193" t="s">
        <v>4115</v>
      </c>
      <c r="D822" s="1314"/>
      <c r="G822" s="1218"/>
      <c r="H822" s="1218"/>
      <c r="I822" s="1218"/>
      <c r="J822" s="1218"/>
      <c r="K822" s="1218"/>
      <c r="L822" s="1218"/>
      <c r="M822" s="1218"/>
      <c r="N822" s="1218"/>
      <c r="O822" s="1218"/>
      <c r="P822" s="1218"/>
      <c r="Q822" s="1218"/>
      <c r="R822" s="1218"/>
      <c r="S822" s="1218"/>
      <c r="T822" s="1218"/>
      <c r="U822" s="1218"/>
      <c r="V822" s="1218"/>
      <c r="W822" s="1218"/>
      <c r="X822" s="1218"/>
      <c r="Y822" s="1218"/>
      <c r="Z822" s="1218"/>
      <c r="AA822" s="1218"/>
      <c r="AB822" s="1218"/>
      <c r="AC822" s="1218"/>
      <c r="AD822" s="1218"/>
      <c r="AE822" s="1218"/>
      <c r="AF822" s="1218"/>
      <c r="AG822" s="1218"/>
      <c r="AH822" s="1218"/>
      <c r="AI822" s="1218"/>
      <c r="AJ822" s="1218"/>
      <c r="AK822" s="1218"/>
      <c r="AL822" s="1218"/>
      <c r="AM822" s="1218"/>
      <c r="AN822" s="1218"/>
      <c r="AO822" s="1218"/>
      <c r="AP822" s="1218"/>
      <c r="AQ822" s="1218"/>
      <c r="AR822" s="1218"/>
      <c r="AS822" s="1218"/>
      <c r="AT822" s="1218"/>
      <c r="AU822" s="1218"/>
      <c r="AV822" s="1218"/>
      <c r="AW822" s="1218"/>
      <c r="AX822" s="1218"/>
      <c r="AY822" s="1218"/>
      <c r="AZ822" s="1218"/>
      <c r="BA822" s="1218"/>
      <c r="BB822" s="1218"/>
      <c r="BC822" s="1218"/>
      <c r="BD822" s="1218"/>
      <c r="BE822" s="1218"/>
      <c r="BF822" s="1218"/>
      <c r="BG822" s="1218"/>
      <c r="BH822" s="1218"/>
      <c r="BI822" s="1218"/>
      <c r="BJ822" s="1218"/>
      <c r="BK822" s="1218"/>
      <c r="BL822" s="1218"/>
      <c r="BM822" s="1218"/>
      <c r="BN822" s="1218"/>
      <c r="BO822" s="1218"/>
      <c r="BP822" s="1218"/>
      <c r="BQ822" s="1218"/>
      <c r="BR822" s="1218"/>
      <c r="BS822" s="1218"/>
      <c r="BT822" s="1218"/>
      <c r="BU822" s="1218"/>
      <c r="BV822" s="1218"/>
      <c r="BW822" s="1218"/>
      <c r="BX822" s="1218"/>
      <c r="BY822" s="1218"/>
      <c r="BZ822" s="1218"/>
      <c r="CA822" s="1218"/>
      <c r="CB822" s="1218"/>
      <c r="CC822" s="1218"/>
      <c r="CD822" s="1218"/>
      <c r="CE822" s="1218"/>
      <c r="CF822" s="1218"/>
      <c r="CG822" s="1218"/>
      <c r="CH822" s="1218"/>
      <c r="CI822" s="1218"/>
      <c r="CJ822" s="1218"/>
      <c r="CK822" s="1218"/>
      <c r="CL822" s="1218"/>
      <c r="CM822" s="1218"/>
      <c r="CN822" s="1218"/>
      <c r="CO822" s="1218"/>
      <c r="CP822" s="1218"/>
      <c r="CQ822" s="1218"/>
      <c r="CR822" s="1218"/>
      <c r="CS822" s="1218"/>
      <c r="CT822" s="1218"/>
      <c r="CU822" s="1218"/>
      <c r="CV822" s="1218"/>
      <c r="CW822" s="1218"/>
      <c r="CX822" s="1218"/>
      <c r="CY822" s="1218"/>
      <c r="CZ822" s="1218"/>
      <c r="DA822" s="1218"/>
      <c r="DB822" s="1218"/>
      <c r="DC822" s="1218"/>
      <c r="DD822" s="1218"/>
      <c r="DE822" s="1218"/>
      <c r="DF822" s="1218"/>
      <c r="DG822" s="1218"/>
      <c r="DH822" s="1218"/>
      <c r="DI822" s="1218"/>
      <c r="DJ822" s="1218"/>
      <c r="DK822" s="1218"/>
      <c r="DL822" s="1218"/>
      <c r="DM822" s="1218"/>
      <c r="DN822" s="1218"/>
      <c r="DO822" s="1218"/>
      <c r="DP822" s="1218"/>
      <c r="DQ822" s="1218"/>
      <c r="DR822" s="1218"/>
      <c r="DS822" s="1218"/>
      <c r="DT822" s="1218"/>
      <c r="DU822" s="1218"/>
      <c r="DV822" s="1218"/>
      <c r="DW822" s="1218"/>
      <c r="DX822" s="1218"/>
      <c r="DY822" s="1218"/>
      <c r="DZ822" s="1218"/>
      <c r="EA822" s="1218"/>
      <c r="EB822" s="1218"/>
      <c r="EC822" s="1218"/>
      <c r="ED822" s="1218"/>
      <c r="EE822" s="1218"/>
      <c r="EF822" s="1218"/>
      <c r="EG822" s="1218"/>
      <c r="EH822" s="1218"/>
      <c r="EI822" s="1218"/>
      <c r="EJ822" s="1218"/>
      <c r="EK822" s="1218"/>
      <c r="EL822" s="1218"/>
      <c r="EM822" s="1218"/>
      <c r="EN822" s="1218"/>
      <c r="EO822" s="1218"/>
      <c r="EP822" s="1218"/>
      <c r="EQ822" s="1218"/>
      <c r="ER822" s="1218"/>
      <c r="ES822" s="1218"/>
      <c r="ET822" s="1218"/>
      <c r="EU822" s="1218"/>
      <c r="EV822" s="1218"/>
      <c r="EW822" s="1218"/>
      <c r="EX822" s="1218"/>
      <c r="EY822" s="1218"/>
      <c r="EZ822" s="1218"/>
      <c r="FA822" s="1218"/>
      <c r="FB822" s="1218"/>
      <c r="FC822" s="1218"/>
      <c r="FD822" s="1218"/>
      <c r="FE822" s="1218"/>
      <c r="FF822" s="1218"/>
      <c r="FG822" s="1218"/>
      <c r="FH822" s="1218"/>
      <c r="FI822" s="1218"/>
      <c r="FJ822" s="1218"/>
      <c r="FK822" s="1218"/>
      <c r="FL822" s="1218"/>
      <c r="FM822" s="1218"/>
      <c r="FN822" s="1218"/>
      <c r="FO822" s="1218"/>
      <c r="FP822" s="1218"/>
      <c r="FQ822" s="1218"/>
      <c r="FR822" s="1218"/>
      <c r="FS822" s="1218"/>
      <c r="FT822" s="1218"/>
      <c r="FU822" s="1218"/>
      <c r="FV822" s="1218"/>
      <c r="FW822" s="1218"/>
      <c r="FX822" s="1218"/>
      <c r="FY822" s="1218"/>
      <c r="FZ822" s="1218"/>
      <c r="GA822" s="1218"/>
      <c r="GB822" s="1218"/>
      <c r="GC822" s="1218"/>
      <c r="GD822" s="1218"/>
      <c r="GE822" s="1218"/>
      <c r="GF822" s="1218"/>
      <c r="GG822" s="1218"/>
      <c r="GH822" s="1218"/>
      <c r="GI822" s="1218"/>
      <c r="GJ822" s="1218"/>
      <c r="GK822" s="1218"/>
      <c r="GL822" s="1218"/>
      <c r="GM822" s="1218"/>
      <c r="GN822" s="1218"/>
      <c r="GO822" s="1218"/>
      <c r="GP822" s="1218"/>
      <c r="GQ822" s="1218"/>
      <c r="GR822" s="1218"/>
      <c r="GS822" s="1218"/>
      <c r="GT822" s="1218"/>
      <c r="GU822" s="1218"/>
      <c r="GV822" s="1218"/>
      <c r="GW822" s="1218"/>
      <c r="GX822" s="1218"/>
      <c r="GY822" s="1218"/>
      <c r="GZ822" s="1218"/>
      <c r="HA822" s="1218"/>
      <c r="HB822" s="1218"/>
      <c r="HC822" s="1218"/>
      <c r="HD822" s="1218"/>
      <c r="HE822" s="1218"/>
      <c r="HF822" s="1218"/>
      <c r="HG822" s="1218"/>
      <c r="HH822" s="1218"/>
      <c r="HI822" s="1218"/>
      <c r="HJ822" s="1218"/>
      <c r="HK822" s="1218"/>
      <c r="HL822" s="1218"/>
      <c r="HM822" s="1218"/>
      <c r="HN822" s="1218"/>
      <c r="HO822" s="1218"/>
      <c r="HP822" s="1218"/>
      <c r="HQ822" s="1218"/>
      <c r="HR822" s="1218"/>
      <c r="HS822" s="1218"/>
      <c r="HT822" s="1218"/>
      <c r="HU822" s="1218"/>
      <c r="HV822" s="1218"/>
      <c r="HW822" s="1218"/>
      <c r="HX822" s="1218"/>
      <c r="HY822" s="1218"/>
      <c r="HZ822" s="1218"/>
      <c r="IA822" s="1218"/>
      <c r="IB822" s="1218"/>
      <c r="IC822" s="1218"/>
      <c r="ID822" s="1218"/>
      <c r="IE822" s="1218"/>
      <c r="IF822" s="1218"/>
      <c r="IG822" s="1218"/>
      <c r="IH822" s="1218"/>
      <c r="II822" s="1218"/>
      <c r="IJ822" s="1218"/>
      <c r="IK822" s="1218"/>
      <c r="IL822" s="1218"/>
      <c r="IM822" s="1218"/>
      <c r="IN822" s="1218"/>
    </row>
    <row r="823" spans="1:248" s="1312" customFormat="1" ht="14.1" customHeight="1">
      <c r="A823" s="1318"/>
      <c r="B823" s="909"/>
      <c r="C823" s="193" t="s">
        <v>4116</v>
      </c>
      <c r="D823" s="1314"/>
      <c r="G823" s="1218"/>
      <c r="H823" s="1218"/>
      <c r="I823" s="1218"/>
      <c r="J823" s="1218"/>
      <c r="K823" s="1218"/>
      <c r="L823" s="1218"/>
      <c r="M823" s="1218"/>
      <c r="N823" s="1218"/>
      <c r="O823" s="1218"/>
      <c r="P823" s="1218"/>
      <c r="Q823" s="1218"/>
      <c r="R823" s="1218"/>
      <c r="S823" s="1218"/>
      <c r="T823" s="1218"/>
      <c r="U823" s="1218"/>
      <c r="V823" s="1218"/>
      <c r="W823" s="1218"/>
      <c r="X823" s="1218"/>
      <c r="Y823" s="1218"/>
      <c r="Z823" s="1218"/>
      <c r="AA823" s="1218"/>
      <c r="AB823" s="1218"/>
      <c r="AC823" s="1218"/>
      <c r="AD823" s="1218"/>
      <c r="AE823" s="1218"/>
      <c r="AF823" s="1218"/>
      <c r="AG823" s="1218"/>
      <c r="AH823" s="1218"/>
      <c r="AI823" s="1218"/>
      <c r="AJ823" s="1218"/>
      <c r="AK823" s="1218"/>
      <c r="AL823" s="1218"/>
      <c r="AM823" s="1218"/>
      <c r="AN823" s="1218"/>
      <c r="AO823" s="1218"/>
      <c r="AP823" s="1218"/>
      <c r="AQ823" s="1218"/>
      <c r="AR823" s="1218"/>
      <c r="AS823" s="1218"/>
      <c r="AT823" s="1218"/>
      <c r="AU823" s="1218"/>
      <c r="AV823" s="1218"/>
      <c r="AW823" s="1218"/>
      <c r="AX823" s="1218"/>
      <c r="AY823" s="1218"/>
      <c r="AZ823" s="1218"/>
      <c r="BA823" s="1218"/>
      <c r="BB823" s="1218"/>
      <c r="BC823" s="1218"/>
      <c r="BD823" s="1218"/>
      <c r="BE823" s="1218"/>
      <c r="BF823" s="1218"/>
      <c r="BG823" s="1218"/>
      <c r="BH823" s="1218"/>
      <c r="BI823" s="1218"/>
      <c r="BJ823" s="1218"/>
      <c r="BK823" s="1218"/>
      <c r="BL823" s="1218"/>
      <c r="BM823" s="1218"/>
      <c r="BN823" s="1218"/>
      <c r="BO823" s="1218"/>
      <c r="BP823" s="1218"/>
      <c r="BQ823" s="1218"/>
      <c r="BR823" s="1218"/>
      <c r="BS823" s="1218"/>
      <c r="BT823" s="1218"/>
      <c r="BU823" s="1218"/>
      <c r="BV823" s="1218"/>
      <c r="BW823" s="1218"/>
      <c r="BX823" s="1218"/>
      <c r="BY823" s="1218"/>
      <c r="BZ823" s="1218"/>
      <c r="CA823" s="1218"/>
      <c r="CB823" s="1218"/>
      <c r="CC823" s="1218"/>
      <c r="CD823" s="1218"/>
      <c r="CE823" s="1218"/>
      <c r="CF823" s="1218"/>
      <c r="CG823" s="1218"/>
      <c r="CH823" s="1218"/>
      <c r="CI823" s="1218"/>
      <c r="CJ823" s="1218"/>
      <c r="CK823" s="1218"/>
      <c r="CL823" s="1218"/>
      <c r="CM823" s="1218"/>
      <c r="CN823" s="1218"/>
      <c r="CO823" s="1218"/>
      <c r="CP823" s="1218"/>
      <c r="CQ823" s="1218"/>
      <c r="CR823" s="1218"/>
      <c r="CS823" s="1218"/>
      <c r="CT823" s="1218"/>
      <c r="CU823" s="1218"/>
      <c r="CV823" s="1218"/>
      <c r="CW823" s="1218"/>
      <c r="CX823" s="1218"/>
      <c r="CY823" s="1218"/>
      <c r="CZ823" s="1218"/>
      <c r="DA823" s="1218"/>
      <c r="DB823" s="1218"/>
      <c r="DC823" s="1218"/>
      <c r="DD823" s="1218"/>
      <c r="DE823" s="1218"/>
      <c r="DF823" s="1218"/>
      <c r="DG823" s="1218"/>
      <c r="DH823" s="1218"/>
      <c r="DI823" s="1218"/>
      <c r="DJ823" s="1218"/>
      <c r="DK823" s="1218"/>
      <c r="DL823" s="1218"/>
      <c r="DM823" s="1218"/>
      <c r="DN823" s="1218"/>
      <c r="DO823" s="1218"/>
      <c r="DP823" s="1218"/>
      <c r="DQ823" s="1218"/>
      <c r="DR823" s="1218"/>
      <c r="DS823" s="1218"/>
      <c r="DT823" s="1218"/>
      <c r="DU823" s="1218"/>
      <c r="DV823" s="1218"/>
      <c r="DW823" s="1218"/>
      <c r="DX823" s="1218"/>
      <c r="DY823" s="1218"/>
      <c r="DZ823" s="1218"/>
      <c r="EA823" s="1218"/>
      <c r="EB823" s="1218"/>
      <c r="EC823" s="1218"/>
      <c r="ED823" s="1218"/>
      <c r="EE823" s="1218"/>
      <c r="EF823" s="1218"/>
      <c r="EG823" s="1218"/>
      <c r="EH823" s="1218"/>
      <c r="EI823" s="1218"/>
      <c r="EJ823" s="1218"/>
      <c r="EK823" s="1218"/>
      <c r="EL823" s="1218"/>
      <c r="EM823" s="1218"/>
      <c r="EN823" s="1218"/>
      <c r="EO823" s="1218"/>
      <c r="EP823" s="1218"/>
      <c r="EQ823" s="1218"/>
      <c r="ER823" s="1218"/>
      <c r="ES823" s="1218"/>
      <c r="ET823" s="1218"/>
      <c r="EU823" s="1218"/>
      <c r="EV823" s="1218"/>
      <c r="EW823" s="1218"/>
      <c r="EX823" s="1218"/>
      <c r="EY823" s="1218"/>
      <c r="EZ823" s="1218"/>
      <c r="FA823" s="1218"/>
      <c r="FB823" s="1218"/>
      <c r="FC823" s="1218"/>
      <c r="FD823" s="1218"/>
      <c r="FE823" s="1218"/>
      <c r="FF823" s="1218"/>
      <c r="FG823" s="1218"/>
      <c r="FH823" s="1218"/>
      <c r="FI823" s="1218"/>
      <c r="FJ823" s="1218"/>
      <c r="FK823" s="1218"/>
      <c r="FL823" s="1218"/>
      <c r="FM823" s="1218"/>
      <c r="FN823" s="1218"/>
      <c r="FO823" s="1218"/>
      <c r="FP823" s="1218"/>
      <c r="FQ823" s="1218"/>
      <c r="FR823" s="1218"/>
      <c r="FS823" s="1218"/>
      <c r="FT823" s="1218"/>
      <c r="FU823" s="1218"/>
      <c r="FV823" s="1218"/>
      <c r="FW823" s="1218"/>
      <c r="FX823" s="1218"/>
      <c r="FY823" s="1218"/>
      <c r="FZ823" s="1218"/>
      <c r="GA823" s="1218"/>
      <c r="GB823" s="1218"/>
      <c r="GC823" s="1218"/>
      <c r="GD823" s="1218"/>
      <c r="GE823" s="1218"/>
      <c r="GF823" s="1218"/>
      <c r="GG823" s="1218"/>
      <c r="GH823" s="1218"/>
      <c r="GI823" s="1218"/>
      <c r="GJ823" s="1218"/>
      <c r="GK823" s="1218"/>
      <c r="GL823" s="1218"/>
      <c r="GM823" s="1218"/>
      <c r="GN823" s="1218"/>
      <c r="GO823" s="1218"/>
      <c r="GP823" s="1218"/>
      <c r="GQ823" s="1218"/>
      <c r="GR823" s="1218"/>
      <c r="GS823" s="1218"/>
      <c r="GT823" s="1218"/>
      <c r="GU823" s="1218"/>
      <c r="GV823" s="1218"/>
      <c r="GW823" s="1218"/>
      <c r="GX823" s="1218"/>
      <c r="GY823" s="1218"/>
      <c r="GZ823" s="1218"/>
      <c r="HA823" s="1218"/>
      <c r="HB823" s="1218"/>
      <c r="HC823" s="1218"/>
      <c r="HD823" s="1218"/>
      <c r="HE823" s="1218"/>
      <c r="HF823" s="1218"/>
      <c r="HG823" s="1218"/>
      <c r="HH823" s="1218"/>
      <c r="HI823" s="1218"/>
      <c r="HJ823" s="1218"/>
      <c r="HK823" s="1218"/>
      <c r="HL823" s="1218"/>
      <c r="HM823" s="1218"/>
      <c r="HN823" s="1218"/>
      <c r="HO823" s="1218"/>
      <c r="HP823" s="1218"/>
      <c r="HQ823" s="1218"/>
      <c r="HR823" s="1218"/>
      <c r="HS823" s="1218"/>
      <c r="HT823" s="1218"/>
      <c r="HU823" s="1218"/>
      <c r="HV823" s="1218"/>
      <c r="HW823" s="1218"/>
      <c r="HX823" s="1218"/>
      <c r="HY823" s="1218"/>
      <c r="HZ823" s="1218"/>
      <c r="IA823" s="1218"/>
      <c r="IB823" s="1218"/>
      <c r="IC823" s="1218"/>
      <c r="ID823" s="1218"/>
      <c r="IE823" s="1218"/>
      <c r="IF823" s="1218"/>
      <c r="IG823" s="1218"/>
      <c r="IH823" s="1218"/>
      <c r="II823" s="1218"/>
      <c r="IJ823" s="1218"/>
      <c r="IK823" s="1218"/>
      <c r="IL823" s="1218"/>
      <c r="IM823" s="1218"/>
      <c r="IN823" s="1218"/>
    </row>
    <row r="824" spans="1:248" s="1312" customFormat="1" ht="14.1" customHeight="1">
      <c r="A824" s="1318"/>
      <c r="B824" s="761"/>
      <c r="C824" s="762" t="s">
        <v>4117</v>
      </c>
      <c r="D824" s="762"/>
      <c r="G824" s="1218"/>
      <c r="H824" s="1218"/>
      <c r="I824" s="1218"/>
      <c r="J824" s="1218"/>
      <c r="K824" s="1218"/>
      <c r="L824" s="1218"/>
      <c r="M824" s="1218"/>
      <c r="N824" s="1218"/>
      <c r="O824" s="1218"/>
      <c r="P824" s="1218"/>
      <c r="Q824" s="1218"/>
      <c r="R824" s="1218"/>
      <c r="S824" s="1218"/>
      <c r="T824" s="1218"/>
      <c r="U824" s="1218"/>
      <c r="V824" s="1218"/>
      <c r="W824" s="1218"/>
      <c r="X824" s="1218"/>
      <c r="Y824" s="1218"/>
      <c r="Z824" s="1218"/>
      <c r="AA824" s="1218"/>
      <c r="AB824" s="1218"/>
      <c r="AC824" s="1218"/>
      <c r="AD824" s="1218"/>
      <c r="AE824" s="1218"/>
      <c r="AF824" s="1218"/>
      <c r="AG824" s="1218"/>
      <c r="AH824" s="1218"/>
      <c r="AI824" s="1218"/>
      <c r="AJ824" s="1218"/>
      <c r="AK824" s="1218"/>
      <c r="AL824" s="1218"/>
      <c r="AM824" s="1218"/>
      <c r="AN824" s="1218"/>
      <c r="AO824" s="1218"/>
      <c r="AP824" s="1218"/>
      <c r="AQ824" s="1218"/>
      <c r="AR824" s="1218"/>
      <c r="AS824" s="1218"/>
      <c r="AT824" s="1218"/>
      <c r="AU824" s="1218"/>
      <c r="AV824" s="1218"/>
      <c r="AW824" s="1218"/>
      <c r="AX824" s="1218"/>
      <c r="AY824" s="1218"/>
      <c r="AZ824" s="1218"/>
      <c r="BA824" s="1218"/>
      <c r="BB824" s="1218"/>
      <c r="BC824" s="1218"/>
      <c r="BD824" s="1218"/>
      <c r="BE824" s="1218"/>
      <c r="BF824" s="1218"/>
      <c r="BG824" s="1218"/>
      <c r="BH824" s="1218"/>
      <c r="BI824" s="1218"/>
      <c r="BJ824" s="1218"/>
      <c r="BK824" s="1218"/>
      <c r="BL824" s="1218"/>
      <c r="BM824" s="1218"/>
      <c r="BN824" s="1218"/>
      <c r="BO824" s="1218"/>
      <c r="BP824" s="1218"/>
      <c r="BQ824" s="1218"/>
      <c r="BR824" s="1218"/>
      <c r="BS824" s="1218"/>
      <c r="BT824" s="1218"/>
      <c r="BU824" s="1218"/>
      <c r="BV824" s="1218"/>
      <c r="BW824" s="1218"/>
      <c r="BX824" s="1218"/>
      <c r="BY824" s="1218"/>
      <c r="BZ824" s="1218"/>
      <c r="CA824" s="1218"/>
      <c r="CB824" s="1218"/>
      <c r="CC824" s="1218"/>
      <c r="CD824" s="1218"/>
      <c r="CE824" s="1218"/>
      <c r="CF824" s="1218"/>
      <c r="CG824" s="1218"/>
      <c r="CH824" s="1218"/>
      <c r="CI824" s="1218"/>
      <c r="CJ824" s="1218"/>
      <c r="CK824" s="1218"/>
      <c r="CL824" s="1218"/>
      <c r="CM824" s="1218"/>
      <c r="CN824" s="1218"/>
      <c r="CO824" s="1218"/>
      <c r="CP824" s="1218"/>
      <c r="CQ824" s="1218"/>
      <c r="CR824" s="1218"/>
      <c r="CS824" s="1218"/>
      <c r="CT824" s="1218"/>
      <c r="CU824" s="1218"/>
      <c r="CV824" s="1218"/>
      <c r="CW824" s="1218"/>
      <c r="CX824" s="1218"/>
      <c r="CY824" s="1218"/>
      <c r="CZ824" s="1218"/>
      <c r="DA824" s="1218"/>
      <c r="DB824" s="1218"/>
      <c r="DC824" s="1218"/>
      <c r="DD824" s="1218"/>
      <c r="DE824" s="1218"/>
      <c r="DF824" s="1218"/>
      <c r="DG824" s="1218"/>
      <c r="DH824" s="1218"/>
      <c r="DI824" s="1218"/>
      <c r="DJ824" s="1218"/>
      <c r="DK824" s="1218"/>
      <c r="DL824" s="1218"/>
      <c r="DM824" s="1218"/>
      <c r="DN824" s="1218"/>
      <c r="DO824" s="1218"/>
      <c r="DP824" s="1218"/>
      <c r="DQ824" s="1218"/>
      <c r="DR824" s="1218"/>
      <c r="DS824" s="1218"/>
      <c r="DT824" s="1218"/>
      <c r="DU824" s="1218"/>
      <c r="DV824" s="1218"/>
      <c r="DW824" s="1218"/>
      <c r="DX824" s="1218"/>
      <c r="DY824" s="1218"/>
      <c r="DZ824" s="1218"/>
      <c r="EA824" s="1218"/>
      <c r="EB824" s="1218"/>
      <c r="EC824" s="1218"/>
      <c r="ED824" s="1218"/>
      <c r="EE824" s="1218"/>
      <c r="EF824" s="1218"/>
      <c r="EG824" s="1218"/>
      <c r="EH824" s="1218"/>
      <c r="EI824" s="1218"/>
      <c r="EJ824" s="1218"/>
      <c r="EK824" s="1218"/>
      <c r="EL824" s="1218"/>
      <c r="EM824" s="1218"/>
      <c r="EN824" s="1218"/>
      <c r="EO824" s="1218"/>
      <c r="EP824" s="1218"/>
      <c r="EQ824" s="1218"/>
      <c r="ER824" s="1218"/>
      <c r="ES824" s="1218"/>
      <c r="ET824" s="1218"/>
      <c r="EU824" s="1218"/>
      <c r="EV824" s="1218"/>
      <c r="EW824" s="1218"/>
      <c r="EX824" s="1218"/>
      <c r="EY824" s="1218"/>
      <c r="EZ824" s="1218"/>
      <c r="FA824" s="1218"/>
      <c r="FB824" s="1218"/>
      <c r="FC824" s="1218"/>
      <c r="FD824" s="1218"/>
      <c r="FE824" s="1218"/>
      <c r="FF824" s="1218"/>
      <c r="FG824" s="1218"/>
      <c r="FH824" s="1218"/>
      <c r="FI824" s="1218"/>
      <c r="FJ824" s="1218"/>
      <c r="FK824" s="1218"/>
      <c r="FL824" s="1218"/>
      <c r="FM824" s="1218"/>
      <c r="FN824" s="1218"/>
      <c r="FO824" s="1218"/>
      <c r="FP824" s="1218"/>
      <c r="FQ824" s="1218"/>
      <c r="FR824" s="1218"/>
      <c r="FS824" s="1218"/>
      <c r="FT824" s="1218"/>
      <c r="FU824" s="1218"/>
      <c r="FV824" s="1218"/>
      <c r="FW824" s="1218"/>
      <c r="FX824" s="1218"/>
      <c r="FY824" s="1218"/>
      <c r="FZ824" s="1218"/>
      <c r="GA824" s="1218"/>
      <c r="GB824" s="1218"/>
      <c r="GC824" s="1218"/>
      <c r="GD824" s="1218"/>
      <c r="GE824" s="1218"/>
      <c r="GF824" s="1218"/>
      <c r="GG824" s="1218"/>
      <c r="GH824" s="1218"/>
      <c r="GI824" s="1218"/>
      <c r="GJ824" s="1218"/>
      <c r="GK824" s="1218"/>
      <c r="GL824" s="1218"/>
      <c r="GM824" s="1218"/>
      <c r="GN824" s="1218"/>
      <c r="GO824" s="1218"/>
      <c r="GP824" s="1218"/>
      <c r="GQ824" s="1218"/>
      <c r="GR824" s="1218"/>
      <c r="GS824" s="1218"/>
      <c r="GT824" s="1218"/>
      <c r="GU824" s="1218"/>
      <c r="GV824" s="1218"/>
      <c r="GW824" s="1218"/>
      <c r="GX824" s="1218"/>
      <c r="GY824" s="1218"/>
      <c r="GZ824" s="1218"/>
      <c r="HA824" s="1218"/>
      <c r="HB824" s="1218"/>
      <c r="HC824" s="1218"/>
      <c r="HD824" s="1218"/>
      <c r="HE824" s="1218"/>
      <c r="HF824" s="1218"/>
      <c r="HG824" s="1218"/>
      <c r="HH824" s="1218"/>
      <c r="HI824" s="1218"/>
      <c r="HJ824" s="1218"/>
      <c r="HK824" s="1218"/>
      <c r="HL824" s="1218"/>
      <c r="HM824" s="1218"/>
      <c r="HN824" s="1218"/>
      <c r="HO824" s="1218"/>
      <c r="HP824" s="1218"/>
      <c r="HQ824" s="1218"/>
      <c r="HR824" s="1218"/>
      <c r="HS824" s="1218"/>
      <c r="HT824" s="1218"/>
      <c r="HU824" s="1218"/>
      <c r="HV824" s="1218"/>
      <c r="HW824" s="1218"/>
      <c r="HX824" s="1218"/>
      <c r="HY824" s="1218"/>
      <c r="HZ824" s="1218"/>
      <c r="IA824" s="1218"/>
      <c r="IB824" s="1218"/>
      <c r="IC824" s="1218"/>
      <c r="ID824" s="1218"/>
      <c r="IE824" s="1218"/>
      <c r="IF824" s="1218"/>
      <c r="IG824" s="1218"/>
      <c r="IH824" s="1218"/>
      <c r="II824" s="1218"/>
      <c r="IJ824" s="1218"/>
      <c r="IK824" s="1218"/>
      <c r="IL824" s="1218"/>
      <c r="IM824" s="1218"/>
      <c r="IN824" s="1218"/>
    </row>
    <row r="825" spans="1:248" s="1312" customFormat="1" ht="14.1" customHeight="1">
      <c r="A825" s="1318"/>
      <c r="B825" s="1160"/>
      <c r="C825" s="193"/>
      <c r="D825" s="1314"/>
      <c r="G825" s="1218"/>
      <c r="H825" s="1218"/>
      <c r="I825" s="1218"/>
      <c r="J825" s="1218"/>
      <c r="K825" s="1218"/>
      <c r="L825" s="1218"/>
      <c r="M825" s="1218"/>
      <c r="N825" s="1218"/>
      <c r="O825" s="1218"/>
      <c r="P825" s="1218"/>
      <c r="Q825" s="1218"/>
      <c r="R825" s="1218"/>
      <c r="S825" s="1218"/>
      <c r="T825" s="1218"/>
      <c r="U825" s="1218"/>
      <c r="V825" s="1218"/>
      <c r="W825" s="1218"/>
      <c r="X825" s="1218"/>
      <c r="Y825" s="1218"/>
      <c r="Z825" s="1218"/>
      <c r="AA825" s="1218"/>
      <c r="AB825" s="1218"/>
      <c r="AC825" s="1218"/>
      <c r="AD825" s="1218"/>
      <c r="AE825" s="1218"/>
      <c r="AF825" s="1218"/>
      <c r="AG825" s="1218"/>
      <c r="AH825" s="1218"/>
      <c r="AI825" s="1218"/>
      <c r="AJ825" s="1218"/>
      <c r="AK825" s="1218"/>
      <c r="AL825" s="1218"/>
      <c r="AM825" s="1218"/>
      <c r="AN825" s="1218"/>
      <c r="AO825" s="1218"/>
      <c r="AP825" s="1218"/>
      <c r="AQ825" s="1218"/>
      <c r="AR825" s="1218"/>
      <c r="AS825" s="1218"/>
      <c r="AT825" s="1218"/>
      <c r="AU825" s="1218"/>
      <c r="AV825" s="1218"/>
      <c r="AW825" s="1218"/>
      <c r="AX825" s="1218"/>
      <c r="AY825" s="1218"/>
      <c r="AZ825" s="1218"/>
      <c r="BA825" s="1218"/>
      <c r="BB825" s="1218"/>
      <c r="BC825" s="1218"/>
      <c r="BD825" s="1218"/>
      <c r="BE825" s="1218"/>
      <c r="BF825" s="1218"/>
      <c r="BG825" s="1218"/>
      <c r="BH825" s="1218"/>
      <c r="BI825" s="1218"/>
      <c r="BJ825" s="1218"/>
      <c r="BK825" s="1218"/>
      <c r="BL825" s="1218"/>
      <c r="BM825" s="1218"/>
      <c r="BN825" s="1218"/>
      <c r="BO825" s="1218"/>
      <c r="BP825" s="1218"/>
      <c r="BQ825" s="1218"/>
      <c r="BR825" s="1218"/>
      <c r="BS825" s="1218"/>
      <c r="BT825" s="1218"/>
      <c r="BU825" s="1218"/>
      <c r="BV825" s="1218"/>
      <c r="BW825" s="1218"/>
      <c r="BX825" s="1218"/>
      <c r="BY825" s="1218"/>
      <c r="BZ825" s="1218"/>
      <c r="CA825" s="1218"/>
      <c r="CB825" s="1218"/>
      <c r="CC825" s="1218"/>
      <c r="CD825" s="1218"/>
      <c r="CE825" s="1218"/>
      <c r="CF825" s="1218"/>
      <c r="CG825" s="1218"/>
      <c r="CH825" s="1218"/>
      <c r="CI825" s="1218"/>
      <c r="CJ825" s="1218"/>
      <c r="CK825" s="1218"/>
      <c r="CL825" s="1218"/>
      <c r="CM825" s="1218"/>
      <c r="CN825" s="1218"/>
      <c r="CO825" s="1218"/>
      <c r="CP825" s="1218"/>
      <c r="CQ825" s="1218"/>
      <c r="CR825" s="1218"/>
      <c r="CS825" s="1218"/>
      <c r="CT825" s="1218"/>
      <c r="CU825" s="1218"/>
      <c r="CV825" s="1218"/>
      <c r="CW825" s="1218"/>
      <c r="CX825" s="1218"/>
      <c r="CY825" s="1218"/>
      <c r="CZ825" s="1218"/>
      <c r="DA825" s="1218"/>
      <c r="DB825" s="1218"/>
      <c r="DC825" s="1218"/>
      <c r="DD825" s="1218"/>
      <c r="DE825" s="1218"/>
      <c r="DF825" s="1218"/>
      <c r="DG825" s="1218"/>
      <c r="DH825" s="1218"/>
      <c r="DI825" s="1218"/>
      <c r="DJ825" s="1218"/>
      <c r="DK825" s="1218"/>
      <c r="DL825" s="1218"/>
      <c r="DM825" s="1218"/>
      <c r="DN825" s="1218"/>
      <c r="DO825" s="1218"/>
      <c r="DP825" s="1218"/>
      <c r="DQ825" s="1218"/>
      <c r="DR825" s="1218"/>
      <c r="DS825" s="1218"/>
      <c r="DT825" s="1218"/>
      <c r="DU825" s="1218"/>
      <c r="DV825" s="1218"/>
      <c r="DW825" s="1218"/>
      <c r="DX825" s="1218"/>
      <c r="DY825" s="1218"/>
      <c r="DZ825" s="1218"/>
      <c r="EA825" s="1218"/>
      <c r="EB825" s="1218"/>
      <c r="EC825" s="1218"/>
      <c r="ED825" s="1218"/>
      <c r="EE825" s="1218"/>
      <c r="EF825" s="1218"/>
      <c r="EG825" s="1218"/>
      <c r="EH825" s="1218"/>
      <c r="EI825" s="1218"/>
      <c r="EJ825" s="1218"/>
      <c r="EK825" s="1218"/>
      <c r="EL825" s="1218"/>
      <c r="EM825" s="1218"/>
      <c r="EN825" s="1218"/>
      <c r="EO825" s="1218"/>
      <c r="EP825" s="1218"/>
      <c r="EQ825" s="1218"/>
      <c r="ER825" s="1218"/>
      <c r="ES825" s="1218"/>
      <c r="ET825" s="1218"/>
      <c r="EU825" s="1218"/>
      <c r="EV825" s="1218"/>
      <c r="EW825" s="1218"/>
      <c r="EX825" s="1218"/>
      <c r="EY825" s="1218"/>
      <c r="EZ825" s="1218"/>
      <c r="FA825" s="1218"/>
      <c r="FB825" s="1218"/>
      <c r="FC825" s="1218"/>
      <c r="FD825" s="1218"/>
      <c r="FE825" s="1218"/>
      <c r="FF825" s="1218"/>
      <c r="FG825" s="1218"/>
      <c r="FH825" s="1218"/>
      <c r="FI825" s="1218"/>
      <c r="FJ825" s="1218"/>
      <c r="FK825" s="1218"/>
      <c r="FL825" s="1218"/>
      <c r="FM825" s="1218"/>
      <c r="FN825" s="1218"/>
      <c r="FO825" s="1218"/>
      <c r="FP825" s="1218"/>
      <c r="FQ825" s="1218"/>
      <c r="FR825" s="1218"/>
      <c r="FS825" s="1218"/>
      <c r="FT825" s="1218"/>
      <c r="FU825" s="1218"/>
      <c r="FV825" s="1218"/>
      <c r="FW825" s="1218"/>
      <c r="FX825" s="1218"/>
      <c r="FY825" s="1218"/>
      <c r="FZ825" s="1218"/>
      <c r="GA825" s="1218"/>
      <c r="GB825" s="1218"/>
      <c r="GC825" s="1218"/>
      <c r="GD825" s="1218"/>
      <c r="GE825" s="1218"/>
      <c r="GF825" s="1218"/>
      <c r="GG825" s="1218"/>
      <c r="GH825" s="1218"/>
      <c r="GI825" s="1218"/>
      <c r="GJ825" s="1218"/>
      <c r="GK825" s="1218"/>
      <c r="GL825" s="1218"/>
      <c r="GM825" s="1218"/>
      <c r="GN825" s="1218"/>
      <c r="GO825" s="1218"/>
      <c r="GP825" s="1218"/>
      <c r="GQ825" s="1218"/>
      <c r="GR825" s="1218"/>
      <c r="GS825" s="1218"/>
      <c r="GT825" s="1218"/>
      <c r="GU825" s="1218"/>
      <c r="GV825" s="1218"/>
      <c r="GW825" s="1218"/>
      <c r="GX825" s="1218"/>
      <c r="GY825" s="1218"/>
      <c r="GZ825" s="1218"/>
      <c r="HA825" s="1218"/>
      <c r="HB825" s="1218"/>
      <c r="HC825" s="1218"/>
      <c r="HD825" s="1218"/>
      <c r="HE825" s="1218"/>
      <c r="HF825" s="1218"/>
      <c r="HG825" s="1218"/>
      <c r="HH825" s="1218"/>
      <c r="HI825" s="1218"/>
      <c r="HJ825" s="1218"/>
      <c r="HK825" s="1218"/>
      <c r="HL825" s="1218"/>
      <c r="HM825" s="1218"/>
      <c r="HN825" s="1218"/>
      <c r="HO825" s="1218"/>
      <c r="HP825" s="1218"/>
      <c r="HQ825" s="1218"/>
      <c r="HR825" s="1218"/>
      <c r="HS825" s="1218"/>
      <c r="HT825" s="1218"/>
      <c r="HU825" s="1218"/>
      <c r="HV825" s="1218"/>
      <c r="HW825" s="1218"/>
      <c r="HX825" s="1218"/>
      <c r="HY825" s="1218"/>
      <c r="HZ825" s="1218"/>
      <c r="IA825" s="1218"/>
      <c r="IB825" s="1218"/>
      <c r="IC825" s="1218"/>
      <c r="ID825" s="1218"/>
      <c r="IE825" s="1218"/>
      <c r="IF825" s="1218"/>
      <c r="IG825" s="1218"/>
      <c r="IH825" s="1218"/>
      <c r="II825" s="1218"/>
      <c r="IJ825" s="1218"/>
      <c r="IK825" s="1218"/>
      <c r="IL825" s="1218"/>
      <c r="IM825" s="1218"/>
      <c r="IN825" s="1218"/>
    </row>
    <row r="826" spans="1:248" s="1312" customFormat="1" ht="14.1" customHeight="1">
      <c r="A826" s="1318"/>
      <c r="B826" s="1160" t="s">
        <v>3314</v>
      </c>
      <c r="C826" s="193" t="s">
        <v>4118</v>
      </c>
      <c r="D826" s="1314"/>
      <c r="G826" s="1218"/>
      <c r="H826" s="1218"/>
      <c r="I826" s="1218"/>
      <c r="J826" s="1218"/>
      <c r="K826" s="1218"/>
      <c r="L826" s="1218"/>
      <c r="M826" s="1218"/>
      <c r="N826" s="1218"/>
      <c r="O826" s="1218"/>
      <c r="P826" s="1218"/>
      <c r="Q826" s="1218"/>
      <c r="R826" s="1218"/>
      <c r="S826" s="1218"/>
      <c r="T826" s="1218"/>
      <c r="U826" s="1218"/>
      <c r="V826" s="1218"/>
      <c r="W826" s="1218"/>
      <c r="X826" s="1218"/>
      <c r="Y826" s="1218"/>
      <c r="Z826" s="1218"/>
      <c r="AA826" s="1218"/>
      <c r="AB826" s="1218"/>
      <c r="AC826" s="1218"/>
      <c r="AD826" s="1218"/>
      <c r="AE826" s="1218"/>
      <c r="AF826" s="1218"/>
      <c r="AG826" s="1218"/>
      <c r="AH826" s="1218"/>
      <c r="AI826" s="1218"/>
      <c r="AJ826" s="1218"/>
      <c r="AK826" s="1218"/>
      <c r="AL826" s="1218"/>
      <c r="AM826" s="1218"/>
      <c r="AN826" s="1218"/>
      <c r="AO826" s="1218"/>
      <c r="AP826" s="1218"/>
      <c r="AQ826" s="1218"/>
      <c r="AR826" s="1218"/>
      <c r="AS826" s="1218"/>
      <c r="AT826" s="1218"/>
      <c r="AU826" s="1218"/>
      <c r="AV826" s="1218"/>
      <c r="AW826" s="1218"/>
      <c r="AX826" s="1218"/>
      <c r="AY826" s="1218"/>
      <c r="AZ826" s="1218"/>
      <c r="BA826" s="1218"/>
      <c r="BB826" s="1218"/>
      <c r="BC826" s="1218"/>
      <c r="BD826" s="1218"/>
      <c r="BE826" s="1218"/>
      <c r="BF826" s="1218"/>
      <c r="BG826" s="1218"/>
      <c r="BH826" s="1218"/>
      <c r="BI826" s="1218"/>
      <c r="BJ826" s="1218"/>
      <c r="BK826" s="1218"/>
      <c r="BL826" s="1218"/>
      <c r="BM826" s="1218"/>
      <c r="BN826" s="1218"/>
      <c r="BO826" s="1218"/>
      <c r="BP826" s="1218"/>
      <c r="BQ826" s="1218"/>
      <c r="BR826" s="1218"/>
      <c r="BS826" s="1218"/>
      <c r="BT826" s="1218"/>
      <c r="BU826" s="1218"/>
      <c r="BV826" s="1218"/>
      <c r="BW826" s="1218"/>
      <c r="BX826" s="1218"/>
      <c r="BY826" s="1218"/>
      <c r="BZ826" s="1218"/>
      <c r="CA826" s="1218"/>
      <c r="CB826" s="1218"/>
      <c r="CC826" s="1218"/>
      <c r="CD826" s="1218"/>
      <c r="CE826" s="1218"/>
      <c r="CF826" s="1218"/>
      <c r="CG826" s="1218"/>
      <c r="CH826" s="1218"/>
      <c r="CI826" s="1218"/>
      <c r="CJ826" s="1218"/>
      <c r="CK826" s="1218"/>
      <c r="CL826" s="1218"/>
      <c r="CM826" s="1218"/>
      <c r="CN826" s="1218"/>
      <c r="CO826" s="1218"/>
      <c r="CP826" s="1218"/>
      <c r="CQ826" s="1218"/>
      <c r="CR826" s="1218"/>
      <c r="CS826" s="1218"/>
      <c r="CT826" s="1218"/>
      <c r="CU826" s="1218"/>
      <c r="CV826" s="1218"/>
      <c r="CW826" s="1218"/>
      <c r="CX826" s="1218"/>
      <c r="CY826" s="1218"/>
      <c r="CZ826" s="1218"/>
      <c r="DA826" s="1218"/>
      <c r="DB826" s="1218"/>
      <c r="DC826" s="1218"/>
      <c r="DD826" s="1218"/>
      <c r="DE826" s="1218"/>
      <c r="DF826" s="1218"/>
      <c r="DG826" s="1218"/>
      <c r="DH826" s="1218"/>
      <c r="DI826" s="1218"/>
      <c r="DJ826" s="1218"/>
      <c r="DK826" s="1218"/>
      <c r="DL826" s="1218"/>
      <c r="DM826" s="1218"/>
      <c r="DN826" s="1218"/>
      <c r="DO826" s="1218"/>
      <c r="DP826" s="1218"/>
      <c r="DQ826" s="1218"/>
      <c r="DR826" s="1218"/>
      <c r="DS826" s="1218"/>
      <c r="DT826" s="1218"/>
      <c r="DU826" s="1218"/>
      <c r="DV826" s="1218"/>
      <c r="DW826" s="1218"/>
      <c r="DX826" s="1218"/>
      <c r="DY826" s="1218"/>
      <c r="DZ826" s="1218"/>
      <c r="EA826" s="1218"/>
      <c r="EB826" s="1218"/>
      <c r="EC826" s="1218"/>
      <c r="ED826" s="1218"/>
      <c r="EE826" s="1218"/>
      <c r="EF826" s="1218"/>
      <c r="EG826" s="1218"/>
      <c r="EH826" s="1218"/>
      <c r="EI826" s="1218"/>
      <c r="EJ826" s="1218"/>
      <c r="EK826" s="1218"/>
      <c r="EL826" s="1218"/>
      <c r="EM826" s="1218"/>
      <c r="EN826" s="1218"/>
      <c r="EO826" s="1218"/>
      <c r="EP826" s="1218"/>
      <c r="EQ826" s="1218"/>
      <c r="ER826" s="1218"/>
      <c r="ES826" s="1218"/>
      <c r="ET826" s="1218"/>
      <c r="EU826" s="1218"/>
      <c r="EV826" s="1218"/>
      <c r="EW826" s="1218"/>
      <c r="EX826" s="1218"/>
      <c r="EY826" s="1218"/>
      <c r="EZ826" s="1218"/>
      <c r="FA826" s="1218"/>
      <c r="FB826" s="1218"/>
      <c r="FC826" s="1218"/>
      <c r="FD826" s="1218"/>
      <c r="FE826" s="1218"/>
      <c r="FF826" s="1218"/>
      <c r="FG826" s="1218"/>
      <c r="FH826" s="1218"/>
      <c r="FI826" s="1218"/>
      <c r="FJ826" s="1218"/>
      <c r="FK826" s="1218"/>
      <c r="FL826" s="1218"/>
      <c r="FM826" s="1218"/>
      <c r="FN826" s="1218"/>
      <c r="FO826" s="1218"/>
      <c r="FP826" s="1218"/>
      <c r="FQ826" s="1218"/>
      <c r="FR826" s="1218"/>
      <c r="FS826" s="1218"/>
      <c r="FT826" s="1218"/>
      <c r="FU826" s="1218"/>
      <c r="FV826" s="1218"/>
      <c r="FW826" s="1218"/>
      <c r="FX826" s="1218"/>
      <c r="FY826" s="1218"/>
      <c r="FZ826" s="1218"/>
      <c r="GA826" s="1218"/>
      <c r="GB826" s="1218"/>
      <c r="GC826" s="1218"/>
      <c r="GD826" s="1218"/>
      <c r="GE826" s="1218"/>
      <c r="GF826" s="1218"/>
      <c r="GG826" s="1218"/>
      <c r="GH826" s="1218"/>
      <c r="GI826" s="1218"/>
      <c r="GJ826" s="1218"/>
      <c r="GK826" s="1218"/>
      <c r="GL826" s="1218"/>
      <c r="GM826" s="1218"/>
      <c r="GN826" s="1218"/>
      <c r="GO826" s="1218"/>
      <c r="GP826" s="1218"/>
      <c r="GQ826" s="1218"/>
      <c r="GR826" s="1218"/>
      <c r="GS826" s="1218"/>
      <c r="GT826" s="1218"/>
      <c r="GU826" s="1218"/>
      <c r="GV826" s="1218"/>
      <c r="GW826" s="1218"/>
      <c r="GX826" s="1218"/>
      <c r="GY826" s="1218"/>
      <c r="GZ826" s="1218"/>
      <c r="HA826" s="1218"/>
      <c r="HB826" s="1218"/>
      <c r="HC826" s="1218"/>
      <c r="HD826" s="1218"/>
      <c r="HE826" s="1218"/>
      <c r="HF826" s="1218"/>
      <c r="HG826" s="1218"/>
      <c r="HH826" s="1218"/>
      <c r="HI826" s="1218"/>
      <c r="HJ826" s="1218"/>
      <c r="HK826" s="1218"/>
      <c r="HL826" s="1218"/>
      <c r="HM826" s="1218"/>
      <c r="HN826" s="1218"/>
      <c r="HO826" s="1218"/>
      <c r="HP826" s="1218"/>
      <c r="HQ826" s="1218"/>
      <c r="HR826" s="1218"/>
      <c r="HS826" s="1218"/>
      <c r="HT826" s="1218"/>
      <c r="HU826" s="1218"/>
      <c r="HV826" s="1218"/>
      <c r="HW826" s="1218"/>
      <c r="HX826" s="1218"/>
      <c r="HY826" s="1218"/>
      <c r="HZ826" s="1218"/>
      <c r="IA826" s="1218"/>
      <c r="IB826" s="1218"/>
      <c r="IC826" s="1218"/>
      <c r="ID826" s="1218"/>
      <c r="IE826" s="1218"/>
      <c r="IF826" s="1218"/>
      <c r="IG826" s="1218"/>
      <c r="IH826" s="1218"/>
      <c r="II826" s="1218"/>
      <c r="IJ826" s="1218"/>
      <c r="IK826" s="1218"/>
      <c r="IL826" s="1218"/>
      <c r="IM826" s="1218"/>
      <c r="IN826" s="1218"/>
    </row>
    <row r="827" spans="1:248" s="1312" customFormat="1" ht="14.1" customHeight="1">
      <c r="A827" s="1318"/>
      <c r="B827" s="909"/>
      <c r="C827" s="193" t="s">
        <v>4119</v>
      </c>
      <c r="D827" s="1314"/>
      <c r="G827" s="1218"/>
      <c r="H827" s="1218"/>
      <c r="I827" s="1218"/>
      <c r="J827" s="1218"/>
      <c r="K827" s="1218"/>
      <c r="L827" s="1218"/>
      <c r="M827" s="1218"/>
      <c r="N827" s="1218"/>
      <c r="O827" s="1218"/>
      <c r="P827" s="1218"/>
      <c r="Q827" s="1218"/>
      <c r="R827" s="1218"/>
      <c r="S827" s="1218"/>
      <c r="T827" s="1218"/>
      <c r="U827" s="1218"/>
      <c r="V827" s="1218"/>
      <c r="W827" s="1218"/>
      <c r="X827" s="1218"/>
      <c r="Y827" s="1218"/>
      <c r="Z827" s="1218"/>
      <c r="AA827" s="1218"/>
      <c r="AB827" s="1218"/>
      <c r="AC827" s="1218"/>
      <c r="AD827" s="1218"/>
      <c r="AE827" s="1218"/>
      <c r="AF827" s="1218"/>
      <c r="AG827" s="1218"/>
      <c r="AH827" s="1218"/>
      <c r="AI827" s="1218"/>
      <c r="AJ827" s="1218"/>
      <c r="AK827" s="1218"/>
      <c r="AL827" s="1218"/>
      <c r="AM827" s="1218"/>
      <c r="AN827" s="1218"/>
      <c r="AO827" s="1218"/>
      <c r="AP827" s="1218"/>
      <c r="AQ827" s="1218"/>
      <c r="AR827" s="1218"/>
      <c r="AS827" s="1218"/>
      <c r="AT827" s="1218"/>
      <c r="AU827" s="1218"/>
      <c r="AV827" s="1218"/>
      <c r="AW827" s="1218"/>
      <c r="AX827" s="1218"/>
      <c r="AY827" s="1218"/>
      <c r="AZ827" s="1218"/>
      <c r="BA827" s="1218"/>
      <c r="BB827" s="1218"/>
      <c r="BC827" s="1218"/>
      <c r="BD827" s="1218"/>
      <c r="BE827" s="1218"/>
      <c r="BF827" s="1218"/>
      <c r="BG827" s="1218"/>
      <c r="BH827" s="1218"/>
      <c r="BI827" s="1218"/>
      <c r="BJ827" s="1218"/>
      <c r="BK827" s="1218"/>
      <c r="BL827" s="1218"/>
      <c r="BM827" s="1218"/>
      <c r="BN827" s="1218"/>
      <c r="BO827" s="1218"/>
      <c r="BP827" s="1218"/>
      <c r="BQ827" s="1218"/>
      <c r="BR827" s="1218"/>
      <c r="BS827" s="1218"/>
      <c r="BT827" s="1218"/>
      <c r="BU827" s="1218"/>
      <c r="BV827" s="1218"/>
      <c r="BW827" s="1218"/>
      <c r="BX827" s="1218"/>
      <c r="BY827" s="1218"/>
      <c r="BZ827" s="1218"/>
      <c r="CA827" s="1218"/>
      <c r="CB827" s="1218"/>
      <c r="CC827" s="1218"/>
      <c r="CD827" s="1218"/>
      <c r="CE827" s="1218"/>
      <c r="CF827" s="1218"/>
      <c r="CG827" s="1218"/>
      <c r="CH827" s="1218"/>
      <c r="CI827" s="1218"/>
      <c r="CJ827" s="1218"/>
      <c r="CK827" s="1218"/>
      <c r="CL827" s="1218"/>
      <c r="CM827" s="1218"/>
      <c r="CN827" s="1218"/>
      <c r="CO827" s="1218"/>
      <c r="CP827" s="1218"/>
      <c r="CQ827" s="1218"/>
      <c r="CR827" s="1218"/>
      <c r="CS827" s="1218"/>
      <c r="CT827" s="1218"/>
      <c r="CU827" s="1218"/>
      <c r="CV827" s="1218"/>
      <c r="CW827" s="1218"/>
      <c r="CX827" s="1218"/>
      <c r="CY827" s="1218"/>
      <c r="CZ827" s="1218"/>
      <c r="DA827" s="1218"/>
      <c r="DB827" s="1218"/>
      <c r="DC827" s="1218"/>
      <c r="DD827" s="1218"/>
      <c r="DE827" s="1218"/>
      <c r="DF827" s="1218"/>
      <c r="DG827" s="1218"/>
      <c r="DH827" s="1218"/>
      <c r="DI827" s="1218"/>
      <c r="DJ827" s="1218"/>
      <c r="DK827" s="1218"/>
      <c r="DL827" s="1218"/>
      <c r="DM827" s="1218"/>
      <c r="DN827" s="1218"/>
      <c r="DO827" s="1218"/>
      <c r="DP827" s="1218"/>
      <c r="DQ827" s="1218"/>
      <c r="DR827" s="1218"/>
      <c r="DS827" s="1218"/>
      <c r="DT827" s="1218"/>
      <c r="DU827" s="1218"/>
      <c r="DV827" s="1218"/>
      <c r="DW827" s="1218"/>
      <c r="DX827" s="1218"/>
      <c r="DY827" s="1218"/>
      <c r="DZ827" s="1218"/>
      <c r="EA827" s="1218"/>
      <c r="EB827" s="1218"/>
      <c r="EC827" s="1218"/>
      <c r="ED827" s="1218"/>
      <c r="EE827" s="1218"/>
      <c r="EF827" s="1218"/>
      <c r="EG827" s="1218"/>
      <c r="EH827" s="1218"/>
      <c r="EI827" s="1218"/>
      <c r="EJ827" s="1218"/>
      <c r="EK827" s="1218"/>
      <c r="EL827" s="1218"/>
      <c r="EM827" s="1218"/>
      <c r="EN827" s="1218"/>
      <c r="EO827" s="1218"/>
      <c r="EP827" s="1218"/>
      <c r="EQ827" s="1218"/>
      <c r="ER827" s="1218"/>
      <c r="ES827" s="1218"/>
      <c r="ET827" s="1218"/>
      <c r="EU827" s="1218"/>
      <c r="EV827" s="1218"/>
      <c r="EW827" s="1218"/>
      <c r="EX827" s="1218"/>
      <c r="EY827" s="1218"/>
      <c r="EZ827" s="1218"/>
      <c r="FA827" s="1218"/>
      <c r="FB827" s="1218"/>
      <c r="FC827" s="1218"/>
      <c r="FD827" s="1218"/>
      <c r="FE827" s="1218"/>
      <c r="FF827" s="1218"/>
      <c r="FG827" s="1218"/>
      <c r="FH827" s="1218"/>
      <c r="FI827" s="1218"/>
      <c r="FJ827" s="1218"/>
      <c r="FK827" s="1218"/>
      <c r="FL827" s="1218"/>
      <c r="FM827" s="1218"/>
      <c r="FN827" s="1218"/>
      <c r="FO827" s="1218"/>
      <c r="FP827" s="1218"/>
      <c r="FQ827" s="1218"/>
      <c r="FR827" s="1218"/>
      <c r="FS827" s="1218"/>
      <c r="FT827" s="1218"/>
      <c r="FU827" s="1218"/>
      <c r="FV827" s="1218"/>
      <c r="FW827" s="1218"/>
      <c r="FX827" s="1218"/>
      <c r="FY827" s="1218"/>
      <c r="FZ827" s="1218"/>
      <c r="GA827" s="1218"/>
      <c r="GB827" s="1218"/>
      <c r="GC827" s="1218"/>
      <c r="GD827" s="1218"/>
      <c r="GE827" s="1218"/>
      <c r="GF827" s="1218"/>
      <c r="GG827" s="1218"/>
      <c r="GH827" s="1218"/>
      <c r="GI827" s="1218"/>
      <c r="GJ827" s="1218"/>
      <c r="GK827" s="1218"/>
      <c r="GL827" s="1218"/>
      <c r="GM827" s="1218"/>
      <c r="GN827" s="1218"/>
      <c r="GO827" s="1218"/>
      <c r="GP827" s="1218"/>
      <c r="GQ827" s="1218"/>
      <c r="GR827" s="1218"/>
      <c r="GS827" s="1218"/>
      <c r="GT827" s="1218"/>
      <c r="GU827" s="1218"/>
      <c r="GV827" s="1218"/>
      <c r="GW827" s="1218"/>
      <c r="GX827" s="1218"/>
      <c r="GY827" s="1218"/>
      <c r="GZ827" s="1218"/>
      <c r="HA827" s="1218"/>
      <c r="HB827" s="1218"/>
      <c r="HC827" s="1218"/>
      <c r="HD827" s="1218"/>
      <c r="HE827" s="1218"/>
      <c r="HF827" s="1218"/>
      <c r="HG827" s="1218"/>
      <c r="HH827" s="1218"/>
      <c r="HI827" s="1218"/>
      <c r="HJ827" s="1218"/>
      <c r="HK827" s="1218"/>
      <c r="HL827" s="1218"/>
      <c r="HM827" s="1218"/>
      <c r="HN827" s="1218"/>
      <c r="HO827" s="1218"/>
      <c r="HP827" s="1218"/>
      <c r="HQ827" s="1218"/>
      <c r="HR827" s="1218"/>
      <c r="HS827" s="1218"/>
      <c r="HT827" s="1218"/>
      <c r="HU827" s="1218"/>
      <c r="HV827" s="1218"/>
      <c r="HW827" s="1218"/>
      <c r="HX827" s="1218"/>
      <c r="HY827" s="1218"/>
      <c r="HZ827" s="1218"/>
      <c r="IA827" s="1218"/>
      <c r="IB827" s="1218"/>
      <c r="IC827" s="1218"/>
      <c r="ID827" s="1218"/>
      <c r="IE827" s="1218"/>
      <c r="IF827" s="1218"/>
      <c r="IG827" s="1218"/>
      <c r="IH827" s="1218"/>
      <c r="II827" s="1218"/>
      <c r="IJ827" s="1218"/>
      <c r="IK827" s="1218"/>
      <c r="IL827" s="1218"/>
      <c r="IM827" s="1218"/>
      <c r="IN827" s="1218"/>
    </row>
    <row r="828" spans="1:248" s="1312" customFormat="1" ht="14.1" customHeight="1">
      <c r="A828" s="1318"/>
      <c r="B828" s="761"/>
      <c r="C828" s="762" t="s">
        <v>4120</v>
      </c>
      <c r="D828" s="762"/>
      <c r="G828" s="1218"/>
      <c r="H828" s="1218"/>
      <c r="I828" s="1218"/>
      <c r="J828" s="1218"/>
      <c r="K828" s="1218"/>
      <c r="L828" s="1218"/>
      <c r="M828" s="1218"/>
      <c r="N828" s="1218"/>
      <c r="O828" s="1218"/>
      <c r="P828" s="1218"/>
      <c r="Q828" s="1218"/>
      <c r="R828" s="1218"/>
      <c r="S828" s="1218"/>
      <c r="T828" s="1218"/>
      <c r="U828" s="1218"/>
      <c r="V828" s="1218"/>
      <c r="W828" s="1218"/>
      <c r="X828" s="1218"/>
      <c r="Y828" s="1218"/>
      <c r="Z828" s="1218"/>
      <c r="AA828" s="1218"/>
      <c r="AB828" s="1218"/>
      <c r="AC828" s="1218"/>
      <c r="AD828" s="1218"/>
      <c r="AE828" s="1218"/>
      <c r="AF828" s="1218"/>
      <c r="AG828" s="1218"/>
      <c r="AH828" s="1218"/>
      <c r="AI828" s="1218"/>
      <c r="AJ828" s="1218"/>
      <c r="AK828" s="1218"/>
      <c r="AL828" s="1218"/>
      <c r="AM828" s="1218"/>
      <c r="AN828" s="1218"/>
      <c r="AO828" s="1218"/>
      <c r="AP828" s="1218"/>
      <c r="AQ828" s="1218"/>
      <c r="AR828" s="1218"/>
      <c r="AS828" s="1218"/>
      <c r="AT828" s="1218"/>
      <c r="AU828" s="1218"/>
      <c r="AV828" s="1218"/>
      <c r="AW828" s="1218"/>
      <c r="AX828" s="1218"/>
      <c r="AY828" s="1218"/>
      <c r="AZ828" s="1218"/>
      <c r="BA828" s="1218"/>
      <c r="BB828" s="1218"/>
      <c r="BC828" s="1218"/>
      <c r="BD828" s="1218"/>
      <c r="BE828" s="1218"/>
      <c r="BF828" s="1218"/>
      <c r="BG828" s="1218"/>
      <c r="BH828" s="1218"/>
      <c r="BI828" s="1218"/>
      <c r="BJ828" s="1218"/>
      <c r="BK828" s="1218"/>
      <c r="BL828" s="1218"/>
      <c r="BM828" s="1218"/>
      <c r="BN828" s="1218"/>
      <c r="BO828" s="1218"/>
      <c r="BP828" s="1218"/>
      <c r="BQ828" s="1218"/>
      <c r="BR828" s="1218"/>
      <c r="BS828" s="1218"/>
      <c r="BT828" s="1218"/>
      <c r="BU828" s="1218"/>
      <c r="BV828" s="1218"/>
      <c r="BW828" s="1218"/>
      <c r="BX828" s="1218"/>
      <c r="BY828" s="1218"/>
      <c r="BZ828" s="1218"/>
      <c r="CA828" s="1218"/>
      <c r="CB828" s="1218"/>
      <c r="CC828" s="1218"/>
      <c r="CD828" s="1218"/>
      <c r="CE828" s="1218"/>
      <c r="CF828" s="1218"/>
      <c r="CG828" s="1218"/>
      <c r="CH828" s="1218"/>
      <c r="CI828" s="1218"/>
      <c r="CJ828" s="1218"/>
      <c r="CK828" s="1218"/>
      <c r="CL828" s="1218"/>
      <c r="CM828" s="1218"/>
      <c r="CN828" s="1218"/>
      <c r="CO828" s="1218"/>
      <c r="CP828" s="1218"/>
      <c r="CQ828" s="1218"/>
      <c r="CR828" s="1218"/>
      <c r="CS828" s="1218"/>
      <c r="CT828" s="1218"/>
      <c r="CU828" s="1218"/>
      <c r="CV828" s="1218"/>
      <c r="CW828" s="1218"/>
      <c r="CX828" s="1218"/>
      <c r="CY828" s="1218"/>
      <c r="CZ828" s="1218"/>
      <c r="DA828" s="1218"/>
      <c r="DB828" s="1218"/>
      <c r="DC828" s="1218"/>
      <c r="DD828" s="1218"/>
      <c r="DE828" s="1218"/>
      <c r="DF828" s="1218"/>
      <c r="DG828" s="1218"/>
      <c r="DH828" s="1218"/>
      <c r="DI828" s="1218"/>
      <c r="DJ828" s="1218"/>
      <c r="DK828" s="1218"/>
      <c r="DL828" s="1218"/>
      <c r="DM828" s="1218"/>
      <c r="DN828" s="1218"/>
      <c r="DO828" s="1218"/>
      <c r="DP828" s="1218"/>
      <c r="DQ828" s="1218"/>
      <c r="DR828" s="1218"/>
      <c r="DS828" s="1218"/>
      <c r="DT828" s="1218"/>
      <c r="DU828" s="1218"/>
      <c r="DV828" s="1218"/>
      <c r="DW828" s="1218"/>
      <c r="DX828" s="1218"/>
      <c r="DY828" s="1218"/>
      <c r="DZ828" s="1218"/>
      <c r="EA828" s="1218"/>
      <c r="EB828" s="1218"/>
      <c r="EC828" s="1218"/>
      <c r="ED828" s="1218"/>
      <c r="EE828" s="1218"/>
      <c r="EF828" s="1218"/>
      <c r="EG828" s="1218"/>
      <c r="EH828" s="1218"/>
      <c r="EI828" s="1218"/>
      <c r="EJ828" s="1218"/>
      <c r="EK828" s="1218"/>
      <c r="EL828" s="1218"/>
      <c r="EM828" s="1218"/>
      <c r="EN828" s="1218"/>
      <c r="EO828" s="1218"/>
      <c r="EP828" s="1218"/>
      <c r="EQ828" s="1218"/>
      <c r="ER828" s="1218"/>
      <c r="ES828" s="1218"/>
      <c r="ET828" s="1218"/>
      <c r="EU828" s="1218"/>
      <c r="EV828" s="1218"/>
      <c r="EW828" s="1218"/>
      <c r="EX828" s="1218"/>
      <c r="EY828" s="1218"/>
      <c r="EZ828" s="1218"/>
      <c r="FA828" s="1218"/>
      <c r="FB828" s="1218"/>
      <c r="FC828" s="1218"/>
      <c r="FD828" s="1218"/>
      <c r="FE828" s="1218"/>
      <c r="FF828" s="1218"/>
      <c r="FG828" s="1218"/>
      <c r="FH828" s="1218"/>
      <c r="FI828" s="1218"/>
      <c r="FJ828" s="1218"/>
      <c r="FK828" s="1218"/>
      <c r="FL828" s="1218"/>
      <c r="FM828" s="1218"/>
      <c r="FN828" s="1218"/>
      <c r="FO828" s="1218"/>
      <c r="FP828" s="1218"/>
      <c r="FQ828" s="1218"/>
      <c r="FR828" s="1218"/>
      <c r="FS828" s="1218"/>
      <c r="FT828" s="1218"/>
      <c r="FU828" s="1218"/>
      <c r="FV828" s="1218"/>
      <c r="FW828" s="1218"/>
      <c r="FX828" s="1218"/>
      <c r="FY828" s="1218"/>
      <c r="FZ828" s="1218"/>
      <c r="GA828" s="1218"/>
      <c r="GB828" s="1218"/>
      <c r="GC828" s="1218"/>
      <c r="GD828" s="1218"/>
      <c r="GE828" s="1218"/>
      <c r="GF828" s="1218"/>
      <c r="GG828" s="1218"/>
      <c r="GH828" s="1218"/>
      <c r="GI828" s="1218"/>
      <c r="GJ828" s="1218"/>
      <c r="GK828" s="1218"/>
      <c r="GL828" s="1218"/>
      <c r="GM828" s="1218"/>
      <c r="GN828" s="1218"/>
      <c r="GO828" s="1218"/>
      <c r="GP828" s="1218"/>
      <c r="GQ828" s="1218"/>
      <c r="GR828" s="1218"/>
      <c r="GS828" s="1218"/>
      <c r="GT828" s="1218"/>
      <c r="GU828" s="1218"/>
      <c r="GV828" s="1218"/>
      <c r="GW828" s="1218"/>
      <c r="GX828" s="1218"/>
      <c r="GY828" s="1218"/>
      <c r="GZ828" s="1218"/>
      <c r="HA828" s="1218"/>
      <c r="HB828" s="1218"/>
      <c r="HC828" s="1218"/>
      <c r="HD828" s="1218"/>
      <c r="HE828" s="1218"/>
      <c r="HF828" s="1218"/>
      <c r="HG828" s="1218"/>
      <c r="HH828" s="1218"/>
      <c r="HI828" s="1218"/>
      <c r="HJ828" s="1218"/>
      <c r="HK828" s="1218"/>
      <c r="HL828" s="1218"/>
      <c r="HM828" s="1218"/>
      <c r="HN828" s="1218"/>
      <c r="HO828" s="1218"/>
      <c r="HP828" s="1218"/>
      <c r="HQ828" s="1218"/>
      <c r="HR828" s="1218"/>
      <c r="HS828" s="1218"/>
      <c r="HT828" s="1218"/>
      <c r="HU828" s="1218"/>
      <c r="HV828" s="1218"/>
      <c r="HW828" s="1218"/>
      <c r="HX828" s="1218"/>
      <c r="HY828" s="1218"/>
      <c r="HZ828" s="1218"/>
      <c r="IA828" s="1218"/>
      <c r="IB828" s="1218"/>
      <c r="IC828" s="1218"/>
      <c r="ID828" s="1218"/>
      <c r="IE828" s="1218"/>
      <c r="IF828" s="1218"/>
      <c r="IG828" s="1218"/>
      <c r="IH828" s="1218"/>
      <c r="II828" s="1218"/>
      <c r="IJ828" s="1218"/>
      <c r="IK828" s="1218"/>
      <c r="IL828" s="1218"/>
      <c r="IM828" s="1218"/>
      <c r="IN828" s="1218"/>
    </row>
    <row r="829" spans="1:248" s="1312" customFormat="1" ht="14.1" customHeight="1">
      <c r="A829" s="1318"/>
      <c r="B829" s="1160"/>
      <c r="C829" s="193"/>
      <c r="D829" s="1314"/>
      <c r="G829" s="1218"/>
      <c r="H829" s="1218"/>
      <c r="I829" s="1218"/>
      <c r="J829" s="1218"/>
      <c r="K829" s="1218"/>
      <c r="L829" s="1218"/>
      <c r="M829" s="1218"/>
      <c r="N829" s="1218"/>
      <c r="O829" s="1218"/>
      <c r="P829" s="1218"/>
      <c r="Q829" s="1218"/>
      <c r="R829" s="1218"/>
      <c r="S829" s="1218"/>
      <c r="T829" s="1218"/>
      <c r="U829" s="1218"/>
      <c r="V829" s="1218"/>
      <c r="W829" s="1218"/>
      <c r="X829" s="1218"/>
      <c r="Y829" s="1218"/>
      <c r="Z829" s="1218"/>
      <c r="AA829" s="1218"/>
      <c r="AB829" s="1218"/>
      <c r="AC829" s="1218"/>
      <c r="AD829" s="1218"/>
      <c r="AE829" s="1218"/>
      <c r="AF829" s="1218"/>
      <c r="AG829" s="1218"/>
      <c r="AH829" s="1218"/>
      <c r="AI829" s="1218"/>
      <c r="AJ829" s="1218"/>
      <c r="AK829" s="1218"/>
      <c r="AL829" s="1218"/>
      <c r="AM829" s="1218"/>
      <c r="AN829" s="1218"/>
      <c r="AO829" s="1218"/>
      <c r="AP829" s="1218"/>
      <c r="AQ829" s="1218"/>
      <c r="AR829" s="1218"/>
      <c r="AS829" s="1218"/>
      <c r="AT829" s="1218"/>
      <c r="AU829" s="1218"/>
      <c r="AV829" s="1218"/>
      <c r="AW829" s="1218"/>
      <c r="AX829" s="1218"/>
      <c r="AY829" s="1218"/>
      <c r="AZ829" s="1218"/>
      <c r="BA829" s="1218"/>
      <c r="BB829" s="1218"/>
      <c r="BC829" s="1218"/>
      <c r="BD829" s="1218"/>
      <c r="BE829" s="1218"/>
      <c r="BF829" s="1218"/>
      <c r="BG829" s="1218"/>
      <c r="BH829" s="1218"/>
      <c r="BI829" s="1218"/>
      <c r="BJ829" s="1218"/>
      <c r="BK829" s="1218"/>
      <c r="BL829" s="1218"/>
      <c r="BM829" s="1218"/>
      <c r="BN829" s="1218"/>
      <c r="BO829" s="1218"/>
      <c r="BP829" s="1218"/>
      <c r="BQ829" s="1218"/>
      <c r="BR829" s="1218"/>
      <c r="BS829" s="1218"/>
      <c r="BT829" s="1218"/>
      <c r="BU829" s="1218"/>
      <c r="BV829" s="1218"/>
      <c r="BW829" s="1218"/>
      <c r="BX829" s="1218"/>
      <c r="BY829" s="1218"/>
      <c r="BZ829" s="1218"/>
      <c r="CA829" s="1218"/>
      <c r="CB829" s="1218"/>
      <c r="CC829" s="1218"/>
      <c r="CD829" s="1218"/>
      <c r="CE829" s="1218"/>
      <c r="CF829" s="1218"/>
      <c r="CG829" s="1218"/>
      <c r="CH829" s="1218"/>
      <c r="CI829" s="1218"/>
      <c r="CJ829" s="1218"/>
      <c r="CK829" s="1218"/>
      <c r="CL829" s="1218"/>
      <c r="CM829" s="1218"/>
      <c r="CN829" s="1218"/>
      <c r="CO829" s="1218"/>
      <c r="CP829" s="1218"/>
      <c r="CQ829" s="1218"/>
      <c r="CR829" s="1218"/>
      <c r="CS829" s="1218"/>
      <c r="CT829" s="1218"/>
      <c r="CU829" s="1218"/>
      <c r="CV829" s="1218"/>
      <c r="CW829" s="1218"/>
      <c r="CX829" s="1218"/>
      <c r="CY829" s="1218"/>
      <c r="CZ829" s="1218"/>
      <c r="DA829" s="1218"/>
      <c r="DB829" s="1218"/>
      <c r="DC829" s="1218"/>
      <c r="DD829" s="1218"/>
      <c r="DE829" s="1218"/>
      <c r="DF829" s="1218"/>
      <c r="DG829" s="1218"/>
      <c r="DH829" s="1218"/>
      <c r="DI829" s="1218"/>
      <c r="DJ829" s="1218"/>
      <c r="DK829" s="1218"/>
      <c r="DL829" s="1218"/>
      <c r="DM829" s="1218"/>
      <c r="DN829" s="1218"/>
      <c r="DO829" s="1218"/>
      <c r="DP829" s="1218"/>
      <c r="DQ829" s="1218"/>
      <c r="DR829" s="1218"/>
      <c r="DS829" s="1218"/>
      <c r="DT829" s="1218"/>
      <c r="DU829" s="1218"/>
      <c r="DV829" s="1218"/>
      <c r="DW829" s="1218"/>
      <c r="DX829" s="1218"/>
      <c r="DY829" s="1218"/>
      <c r="DZ829" s="1218"/>
      <c r="EA829" s="1218"/>
      <c r="EB829" s="1218"/>
      <c r="EC829" s="1218"/>
      <c r="ED829" s="1218"/>
      <c r="EE829" s="1218"/>
      <c r="EF829" s="1218"/>
      <c r="EG829" s="1218"/>
      <c r="EH829" s="1218"/>
      <c r="EI829" s="1218"/>
      <c r="EJ829" s="1218"/>
      <c r="EK829" s="1218"/>
      <c r="EL829" s="1218"/>
      <c r="EM829" s="1218"/>
      <c r="EN829" s="1218"/>
      <c r="EO829" s="1218"/>
      <c r="EP829" s="1218"/>
      <c r="EQ829" s="1218"/>
      <c r="ER829" s="1218"/>
      <c r="ES829" s="1218"/>
      <c r="ET829" s="1218"/>
      <c r="EU829" s="1218"/>
      <c r="EV829" s="1218"/>
      <c r="EW829" s="1218"/>
      <c r="EX829" s="1218"/>
      <c r="EY829" s="1218"/>
      <c r="EZ829" s="1218"/>
      <c r="FA829" s="1218"/>
      <c r="FB829" s="1218"/>
      <c r="FC829" s="1218"/>
      <c r="FD829" s="1218"/>
      <c r="FE829" s="1218"/>
      <c r="FF829" s="1218"/>
      <c r="FG829" s="1218"/>
      <c r="FH829" s="1218"/>
      <c r="FI829" s="1218"/>
      <c r="FJ829" s="1218"/>
      <c r="FK829" s="1218"/>
      <c r="FL829" s="1218"/>
      <c r="FM829" s="1218"/>
      <c r="FN829" s="1218"/>
      <c r="FO829" s="1218"/>
      <c r="FP829" s="1218"/>
      <c r="FQ829" s="1218"/>
      <c r="FR829" s="1218"/>
      <c r="FS829" s="1218"/>
      <c r="FT829" s="1218"/>
      <c r="FU829" s="1218"/>
      <c r="FV829" s="1218"/>
      <c r="FW829" s="1218"/>
      <c r="FX829" s="1218"/>
      <c r="FY829" s="1218"/>
      <c r="FZ829" s="1218"/>
      <c r="GA829" s="1218"/>
      <c r="GB829" s="1218"/>
      <c r="GC829" s="1218"/>
      <c r="GD829" s="1218"/>
      <c r="GE829" s="1218"/>
      <c r="GF829" s="1218"/>
      <c r="GG829" s="1218"/>
      <c r="GH829" s="1218"/>
      <c r="GI829" s="1218"/>
      <c r="GJ829" s="1218"/>
      <c r="GK829" s="1218"/>
      <c r="GL829" s="1218"/>
      <c r="GM829" s="1218"/>
      <c r="GN829" s="1218"/>
      <c r="GO829" s="1218"/>
      <c r="GP829" s="1218"/>
      <c r="GQ829" s="1218"/>
      <c r="GR829" s="1218"/>
      <c r="GS829" s="1218"/>
      <c r="GT829" s="1218"/>
      <c r="GU829" s="1218"/>
      <c r="GV829" s="1218"/>
      <c r="GW829" s="1218"/>
      <c r="GX829" s="1218"/>
      <c r="GY829" s="1218"/>
      <c r="GZ829" s="1218"/>
      <c r="HA829" s="1218"/>
      <c r="HB829" s="1218"/>
      <c r="HC829" s="1218"/>
      <c r="HD829" s="1218"/>
      <c r="HE829" s="1218"/>
      <c r="HF829" s="1218"/>
      <c r="HG829" s="1218"/>
      <c r="HH829" s="1218"/>
      <c r="HI829" s="1218"/>
      <c r="HJ829" s="1218"/>
      <c r="HK829" s="1218"/>
      <c r="HL829" s="1218"/>
      <c r="HM829" s="1218"/>
      <c r="HN829" s="1218"/>
      <c r="HO829" s="1218"/>
      <c r="HP829" s="1218"/>
      <c r="HQ829" s="1218"/>
      <c r="HR829" s="1218"/>
      <c r="HS829" s="1218"/>
      <c r="HT829" s="1218"/>
      <c r="HU829" s="1218"/>
      <c r="HV829" s="1218"/>
      <c r="HW829" s="1218"/>
      <c r="HX829" s="1218"/>
      <c r="HY829" s="1218"/>
      <c r="HZ829" s="1218"/>
      <c r="IA829" s="1218"/>
      <c r="IB829" s="1218"/>
      <c r="IC829" s="1218"/>
      <c r="ID829" s="1218"/>
      <c r="IE829" s="1218"/>
      <c r="IF829" s="1218"/>
      <c r="IG829" s="1218"/>
      <c r="IH829" s="1218"/>
      <c r="II829" s="1218"/>
      <c r="IJ829" s="1218"/>
      <c r="IK829" s="1218"/>
      <c r="IL829" s="1218"/>
      <c r="IM829" s="1218"/>
      <c r="IN829" s="1218"/>
    </row>
    <row r="830" spans="1:248" s="1312" customFormat="1" ht="14.1" customHeight="1">
      <c r="A830" s="1318"/>
      <c r="B830" s="1160" t="s">
        <v>3298</v>
      </c>
      <c r="C830" s="193" t="s">
        <v>4121</v>
      </c>
      <c r="D830" s="1314"/>
      <c r="G830" s="1218"/>
      <c r="H830" s="1218"/>
      <c r="I830" s="1218"/>
      <c r="J830" s="1218"/>
      <c r="K830" s="1218"/>
      <c r="L830" s="1218"/>
      <c r="M830" s="1218"/>
      <c r="N830" s="1218"/>
      <c r="O830" s="1218"/>
      <c r="P830" s="1218"/>
      <c r="Q830" s="1218"/>
      <c r="R830" s="1218"/>
      <c r="S830" s="1218"/>
      <c r="T830" s="1218"/>
      <c r="U830" s="1218"/>
      <c r="V830" s="1218"/>
      <c r="W830" s="1218"/>
      <c r="X830" s="1218"/>
      <c r="Y830" s="1218"/>
      <c r="Z830" s="1218"/>
      <c r="AA830" s="1218"/>
      <c r="AB830" s="1218"/>
      <c r="AC830" s="1218"/>
      <c r="AD830" s="1218"/>
      <c r="AE830" s="1218"/>
      <c r="AF830" s="1218"/>
      <c r="AG830" s="1218"/>
      <c r="AH830" s="1218"/>
      <c r="AI830" s="1218"/>
      <c r="AJ830" s="1218"/>
      <c r="AK830" s="1218"/>
      <c r="AL830" s="1218"/>
      <c r="AM830" s="1218"/>
      <c r="AN830" s="1218"/>
      <c r="AO830" s="1218"/>
      <c r="AP830" s="1218"/>
      <c r="AQ830" s="1218"/>
      <c r="AR830" s="1218"/>
      <c r="AS830" s="1218"/>
      <c r="AT830" s="1218"/>
      <c r="AU830" s="1218"/>
      <c r="AV830" s="1218"/>
      <c r="AW830" s="1218"/>
      <c r="AX830" s="1218"/>
      <c r="AY830" s="1218"/>
      <c r="AZ830" s="1218"/>
      <c r="BA830" s="1218"/>
      <c r="BB830" s="1218"/>
      <c r="BC830" s="1218"/>
      <c r="BD830" s="1218"/>
      <c r="BE830" s="1218"/>
      <c r="BF830" s="1218"/>
      <c r="BG830" s="1218"/>
      <c r="BH830" s="1218"/>
      <c r="BI830" s="1218"/>
      <c r="BJ830" s="1218"/>
      <c r="BK830" s="1218"/>
      <c r="BL830" s="1218"/>
      <c r="BM830" s="1218"/>
      <c r="BN830" s="1218"/>
      <c r="BO830" s="1218"/>
      <c r="BP830" s="1218"/>
      <c r="BQ830" s="1218"/>
      <c r="BR830" s="1218"/>
      <c r="BS830" s="1218"/>
      <c r="BT830" s="1218"/>
      <c r="BU830" s="1218"/>
      <c r="BV830" s="1218"/>
      <c r="BW830" s="1218"/>
      <c r="BX830" s="1218"/>
      <c r="BY830" s="1218"/>
      <c r="BZ830" s="1218"/>
      <c r="CA830" s="1218"/>
      <c r="CB830" s="1218"/>
      <c r="CC830" s="1218"/>
      <c r="CD830" s="1218"/>
      <c r="CE830" s="1218"/>
      <c r="CF830" s="1218"/>
      <c r="CG830" s="1218"/>
      <c r="CH830" s="1218"/>
      <c r="CI830" s="1218"/>
      <c r="CJ830" s="1218"/>
      <c r="CK830" s="1218"/>
      <c r="CL830" s="1218"/>
      <c r="CM830" s="1218"/>
      <c r="CN830" s="1218"/>
      <c r="CO830" s="1218"/>
      <c r="CP830" s="1218"/>
      <c r="CQ830" s="1218"/>
      <c r="CR830" s="1218"/>
      <c r="CS830" s="1218"/>
      <c r="CT830" s="1218"/>
      <c r="CU830" s="1218"/>
      <c r="CV830" s="1218"/>
      <c r="CW830" s="1218"/>
      <c r="CX830" s="1218"/>
      <c r="CY830" s="1218"/>
      <c r="CZ830" s="1218"/>
      <c r="DA830" s="1218"/>
      <c r="DB830" s="1218"/>
      <c r="DC830" s="1218"/>
      <c r="DD830" s="1218"/>
      <c r="DE830" s="1218"/>
      <c r="DF830" s="1218"/>
      <c r="DG830" s="1218"/>
      <c r="DH830" s="1218"/>
      <c r="DI830" s="1218"/>
      <c r="DJ830" s="1218"/>
      <c r="DK830" s="1218"/>
      <c r="DL830" s="1218"/>
      <c r="DM830" s="1218"/>
      <c r="DN830" s="1218"/>
      <c r="DO830" s="1218"/>
      <c r="DP830" s="1218"/>
      <c r="DQ830" s="1218"/>
      <c r="DR830" s="1218"/>
      <c r="DS830" s="1218"/>
      <c r="DT830" s="1218"/>
      <c r="DU830" s="1218"/>
      <c r="DV830" s="1218"/>
      <c r="DW830" s="1218"/>
      <c r="DX830" s="1218"/>
      <c r="DY830" s="1218"/>
      <c r="DZ830" s="1218"/>
      <c r="EA830" s="1218"/>
      <c r="EB830" s="1218"/>
      <c r="EC830" s="1218"/>
      <c r="ED830" s="1218"/>
      <c r="EE830" s="1218"/>
      <c r="EF830" s="1218"/>
      <c r="EG830" s="1218"/>
      <c r="EH830" s="1218"/>
      <c r="EI830" s="1218"/>
      <c r="EJ830" s="1218"/>
      <c r="EK830" s="1218"/>
      <c r="EL830" s="1218"/>
      <c r="EM830" s="1218"/>
      <c r="EN830" s="1218"/>
      <c r="EO830" s="1218"/>
      <c r="EP830" s="1218"/>
      <c r="EQ830" s="1218"/>
      <c r="ER830" s="1218"/>
      <c r="ES830" s="1218"/>
      <c r="ET830" s="1218"/>
      <c r="EU830" s="1218"/>
      <c r="EV830" s="1218"/>
      <c r="EW830" s="1218"/>
      <c r="EX830" s="1218"/>
      <c r="EY830" s="1218"/>
      <c r="EZ830" s="1218"/>
      <c r="FA830" s="1218"/>
      <c r="FB830" s="1218"/>
      <c r="FC830" s="1218"/>
      <c r="FD830" s="1218"/>
      <c r="FE830" s="1218"/>
      <c r="FF830" s="1218"/>
      <c r="FG830" s="1218"/>
      <c r="FH830" s="1218"/>
      <c r="FI830" s="1218"/>
      <c r="FJ830" s="1218"/>
      <c r="FK830" s="1218"/>
      <c r="FL830" s="1218"/>
      <c r="FM830" s="1218"/>
      <c r="FN830" s="1218"/>
      <c r="FO830" s="1218"/>
      <c r="FP830" s="1218"/>
      <c r="FQ830" s="1218"/>
      <c r="FR830" s="1218"/>
      <c r="FS830" s="1218"/>
      <c r="FT830" s="1218"/>
      <c r="FU830" s="1218"/>
      <c r="FV830" s="1218"/>
      <c r="FW830" s="1218"/>
      <c r="FX830" s="1218"/>
      <c r="FY830" s="1218"/>
      <c r="FZ830" s="1218"/>
      <c r="GA830" s="1218"/>
      <c r="GB830" s="1218"/>
      <c r="GC830" s="1218"/>
      <c r="GD830" s="1218"/>
      <c r="GE830" s="1218"/>
      <c r="GF830" s="1218"/>
      <c r="GG830" s="1218"/>
      <c r="GH830" s="1218"/>
      <c r="GI830" s="1218"/>
      <c r="GJ830" s="1218"/>
      <c r="GK830" s="1218"/>
      <c r="GL830" s="1218"/>
      <c r="GM830" s="1218"/>
      <c r="GN830" s="1218"/>
      <c r="GO830" s="1218"/>
      <c r="GP830" s="1218"/>
      <c r="GQ830" s="1218"/>
      <c r="GR830" s="1218"/>
      <c r="GS830" s="1218"/>
      <c r="GT830" s="1218"/>
      <c r="GU830" s="1218"/>
      <c r="GV830" s="1218"/>
      <c r="GW830" s="1218"/>
      <c r="GX830" s="1218"/>
      <c r="GY830" s="1218"/>
      <c r="GZ830" s="1218"/>
      <c r="HA830" s="1218"/>
      <c r="HB830" s="1218"/>
      <c r="HC830" s="1218"/>
      <c r="HD830" s="1218"/>
      <c r="HE830" s="1218"/>
      <c r="HF830" s="1218"/>
      <c r="HG830" s="1218"/>
      <c r="HH830" s="1218"/>
      <c r="HI830" s="1218"/>
      <c r="HJ830" s="1218"/>
      <c r="HK830" s="1218"/>
      <c r="HL830" s="1218"/>
      <c r="HM830" s="1218"/>
      <c r="HN830" s="1218"/>
      <c r="HO830" s="1218"/>
      <c r="HP830" s="1218"/>
      <c r="HQ830" s="1218"/>
      <c r="HR830" s="1218"/>
      <c r="HS830" s="1218"/>
      <c r="HT830" s="1218"/>
      <c r="HU830" s="1218"/>
      <c r="HV830" s="1218"/>
      <c r="HW830" s="1218"/>
      <c r="HX830" s="1218"/>
      <c r="HY830" s="1218"/>
      <c r="HZ830" s="1218"/>
      <c r="IA830" s="1218"/>
      <c r="IB830" s="1218"/>
      <c r="IC830" s="1218"/>
      <c r="ID830" s="1218"/>
      <c r="IE830" s="1218"/>
      <c r="IF830" s="1218"/>
      <c r="IG830" s="1218"/>
      <c r="IH830" s="1218"/>
      <c r="II830" s="1218"/>
      <c r="IJ830" s="1218"/>
      <c r="IK830" s="1218"/>
      <c r="IL830" s="1218"/>
      <c r="IM830" s="1218"/>
      <c r="IN830" s="1218"/>
    </row>
    <row r="831" spans="1:248" s="1312" customFormat="1" ht="14.1" customHeight="1">
      <c r="A831" s="1318"/>
      <c r="B831" s="909"/>
      <c r="C831" s="193"/>
      <c r="D831" s="1314"/>
      <c r="G831" s="1218"/>
      <c r="H831" s="1218"/>
      <c r="I831" s="1218"/>
      <c r="J831" s="1218"/>
      <c r="K831" s="1218"/>
      <c r="L831" s="1218"/>
      <c r="M831" s="1218"/>
      <c r="N831" s="1218"/>
      <c r="O831" s="1218"/>
      <c r="P831" s="1218"/>
      <c r="Q831" s="1218"/>
      <c r="R831" s="1218"/>
      <c r="S831" s="1218"/>
      <c r="T831" s="1218"/>
      <c r="U831" s="1218"/>
      <c r="V831" s="1218"/>
      <c r="W831" s="1218"/>
      <c r="X831" s="1218"/>
      <c r="Y831" s="1218"/>
      <c r="Z831" s="1218"/>
      <c r="AA831" s="1218"/>
      <c r="AB831" s="1218"/>
      <c r="AC831" s="1218"/>
      <c r="AD831" s="1218"/>
      <c r="AE831" s="1218"/>
      <c r="AF831" s="1218"/>
      <c r="AG831" s="1218"/>
      <c r="AH831" s="1218"/>
      <c r="AI831" s="1218"/>
      <c r="AJ831" s="1218"/>
      <c r="AK831" s="1218"/>
      <c r="AL831" s="1218"/>
      <c r="AM831" s="1218"/>
      <c r="AN831" s="1218"/>
      <c r="AO831" s="1218"/>
      <c r="AP831" s="1218"/>
      <c r="AQ831" s="1218"/>
      <c r="AR831" s="1218"/>
      <c r="AS831" s="1218"/>
      <c r="AT831" s="1218"/>
      <c r="AU831" s="1218"/>
      <c r="AV831" s="1218"/>
      <c r="AW831" s="1218"/>
      <c r="AX831" s="1218"/>
      <c r="AY831" s="1218"/>
      <c r="AZ831" s="1218"/>
      <c r="BA831" s="1218"/>
      <c r="BB831" s="1218"/>
      <c r="BC831" s="1218"/>
      <c r="BD831" s="1218"/>
      <c r="BE831" s="1218"/>
      <c r="BF831" s="1218"/>
      <c r="BG831" s="1218"/>
      <c r="BH831" s="1218"/>
      <c r="BI831" s="1218"/>
      <c r="BJ831" s="1218"/>
      <c r="BK831" s="1218"/>
      <c r="BL831" s="1218"/>
      <c r="BM831" s="1218"/>
      <c r="BN831" s="1218"/>
      <c r="BO831" s="1218"/>
      <c r="BP831" s="1218"/>
      <c r="BQ831" s="1218"/>
      <c r="BR831" s="1218"/>
      <c r="BS831" s="1218"/>
      <c r="BT831" s="1218"/>
      <c r="BU831" s="1218"/>
      <c r="BV831" s="1218"/>
      <c r="BW831" s="1218"/>
      <c r="BX831" s="1218"/>
      <c r="BY831" s="1218"/>
      <c r="BZ831" s="1218"/>
      <c r="CA831" s="1218"/>
      <c r="CB831" s="1218"/>
      <c r="CC831" s="1218"/>
      <c r="CD831" s="1218"/>
      <c r="CE831" s="1218"/>
      <c r="CF831" s="1218"/>
      <c r="CG831" s="1218"/>
      <c r="CH831" s="1218"/>
      <c r="CI831" s="1218"/>
      <c r="CJ831" s="1218"/>
      <c r="CK831" s="1218"/>
      <c r="CL831" s="1218"/>
      <c r="CM831" s="1218"/>
      <c r="CN831" s="1218"/>
      <c r="CO831" s="1218"/>
      <c r="CP831" s="1218"/>
      <c r="CQ831" s="1218"/>
      <c r="CR831" s="1218"/>
      <c r="CS831" s="1218"/>
      <c r="CT831" s="1218"/>
      <c r="CU831" s="1218"/>
      <c r="CV831" s="1218"/>
      <c r="CW831" s="1218"/>
      <c r="CX831" s="1218"/>
      <c r="CY831" s="1218"/>
      <c r="CZ831" s="1218"/>
      <c r="DA831" s="1218"/>
      <c r="DB831" s="1218"/>
      <c r="DC831" s="1218"/>
      <c r="DD831" s="1218"/>
      <c r="DE831" s="1218"/>
      <c r="DF831" s="1218"/>
      <c r="DG831" s="1218"/>
      <c r="DH831" s="1218"/>
      <c r="DI831" s="1218"/>
      <c r="DJ831" s="1218"/>
      <c r="DK831" s="1218"/>
      <c r="DL831" s="1218"/>
      <c r="DM831" s="1218"/>
      <c r="DN831" s="1218"/>
      <c r="DO831" s="1218"/>
      <c r="DP831" s="1218"/>
      <c r="DQ831" s="1218"/>
      <c r="DR831" s="1218"/>
      <c r="DS831" s="1218"/>
      <c r="DT831" s="1218"/>
      <c r="DU831" s="1218"/>
      <c r="DV831" s="1218"/>
      <c r="DW831" s="1218"/>
      <c r="DX831" s="1218"/>
      <c r="DY831" s="1218"/>
      <c r="DZ831" s="1218"/>
      <c r="EA831" s="1218"/>
      <c r="EB831" s="1218"/>
      <c r="EC831" s="1218"/>
      <c r="ED831" s="1218"/>
      <c r="EE831" s="1218"/>
      <c r="EF831" s="1218"/>
      <c r="EG831" s="1218"/>
      <c r="EH831" s="1218"/>
      <c r="EI831" s="1218"/>
      <c r="EJ831" s="1218"/>
      <c r="EK831" s="1218"/>
      <c r="EL831" s="1218"/>
      <c r="EM831" s="1218"/>
      <c r="EN831" s="1218"/>
      <c r="EO831" s="1218"/>
      <c r="EP831" s="1218"/>
      <c r="EQ831" s="1218"/>
      <c r="ER831" s="1218"/>
      <c r="ES831" s="1218"/>
      <c r="ET831" s="1218"/>
      <c r="EU831" s="1218"/>
      <c r="EV831" s="1218"/>
      <c r="EW831" s="1218"/>
      <c r="EX831" s="1218"/>
      <c r="EY831" s="1218"/>
      <c r="EZ831" s="1218"/>
      <c r="FA831" s="1218"/>
      <c r="FB831" s="1218"/>
      <c r="FC831" s="1218"/>
      <c r="FD831" s="1218"/>
      <c r="FE831" s="1218"/>
      <c r="FF831" s="1218"/>
      <c r="FG831" s="1218"/>
      <c r="FH831" s="1218"/>
      <c r="FI831" s="1218"/>
      <c r="FJ831" s="1218"/>
      <c r="FK831" s="1218"/>
      <c r="FL831" s="1218"/>
      <c r="FM831" s="1218"/>
      <c r="FN831" s="1218"/>
      <c r="FO831" s="1218"/>
      <c r="FP831" s="1218"/>
      <c r="FQ831" s="1218"/>
      <c r="FR831" s="1218"/>
      <c r="FS831" s="1218"/>
      <c r="FT831" s="1218"/>
      <c r="FU831" s="1218"/>
      <c r="FV831" s="1218"/>
      <c r="FW831" s="1218"/>
      <c r="FX831" s="1218"/>
      <c r="FY831" s="1218"/>
      <c r="FZ831" s="1218"/>
      <c r="GA831" s="1218"/>
      <c r="GB831" s="1218"/>
      <c r="GC831" s="1218"/>
      <c r="GD831" s="1218"/>
      <c r="GE831" s="1218"/>
      <c r="GF831" s="1218"/>
      <c r="GG831" s="1218"/>
      <c r="GH831" s="1218"/>
      <c r="GI831" s="1218"/>
      <c r="GJ831" s="1218"/>
      <c r="GK831" s="1218"/>
      <c r="GL831" s="1218"/>
      <c r="GM831" s="1218"/>
      <c r="GN831" s="1218"/>
      <c r="GO831" s="1218"/>
      <c r="GP831" s="1218"/>
      <c r="GQ831" s="1218"/>
      <c r="GR831" s="1218"/>
      <c r="GS831" s="1218"/>
      <c r="GT831" s="1218"/>
      <c r="GU831" s="1218"/>
      <c r="GV831" s="1218"/>
      <c r="GW831" s="1218"/>
      <c r="GX831" s="1218"/>
      <c r="GY831" s="1218"/>
      <c r="GZ831" s="1218"/>
      <c r="HA831" s="1218"/>
      <c r="HB831" s="1218"/>
      <c r="HC831" s="1218"/>
      <c r="HD831" s="1218"/>
      <c r="HE831" s="1218"/>
      <c r="HF831" s="1218"/>
      <c r="HG831" s="1218"/>
      <c r="HH831" s="1218"/>
      <c r="HI831" s="1218"/>
      <c r="HJ831" s="1218"/>
      <c r="HK831" s="1218"/>
      <c r="HL831" s="1218"/>
      <c r="HM831" s="1218"/>
      <c r="HN831" s="1218"/>
      <c r="HO831" s="1218"/>
      <c r="HP831" s="1218"/>
      <c r="HQ831" s="1218"/>
      <c r="HR831" s="1218"/>
      <c r="HS831" s="1218"/>
      <c r="HT831" s="1218"/>
      <c r="HU831" s="1218"/>
      <c r="HV831" s="1218"/>
      <c r="HW831" s="1218"/>
      <c r="HX831" s="1218"/>
      <c r="HY831" s="1218"/>
      <c r="HZ831" s="1218"/>
      <c r="IA831" s="1218"/>
      <c r="IB831" s="1218"/>
      <c r="IC831" s="1218"/>
      <c r="ID831" s="1218"/>
      <c r="IE831" s="1218"/>
      <c r="IF831" s="1218"/>
      <c r="IG831" s="1218"/>
      <c r="IH831" s="1218"/>
      <c r="II831" s="1218"/>
      <c r="IJ831" s="1218"/>
      <c r="IK831" s="1218"/>
      <c r="IL831" s="1218"/>
      <c r="IM831" s="1218"/>
      <c r="IN831" s="1218"/>
    </row>
    <row r="832" spans="1:248" s="1312" customFormat="1" ht="14.1" customHeight="1">
      <c r="A832" s="1318"/>
      <c r="B832" s="1160" t="s">
        <v>3960</v>
      </c>
      <c r="C832" s="193" t="s">
        <v>4122</v>
      </c>
      <c r="D832" s="1314"/>
      <c r="G832" s="1218"/>
      <c r="H832" s="1218"/>
      <c r="I832" s="1218"/>
      <c r="J832" s="1218"/>
      <c r="K832" s="1218"/>
      <c r="L832" s="1218"/>
      <c r="M832" s="1218"/>
      <c r="N832" s="1218"/>
      <c r="O832" s="1218"/>
      <c r="P832" s="1218"/>
      <c r="Q832" s="1218"/>
      <c r="R832" s="1218"/>
      <c r="S832" s="1218"/>
      <c r="T832" s="1218"/>
      <c r="U832" s="1218"/>
      <c r="V832" s="1218"/>
      <c r="W832" s="1218"/>
      <c r="X832" s="1218"/>
      <c r="Y832" s="1218"/>
      <c r="Z832" s="1218"/>
      <c r="AA832" s="1218"/>
      <c r="AB832" s="1218"/>
      <c r="AC832" s="1218"/>
      <c r="AD832" s="1218"/>
      <c r="AE832" s="1218"/>
      <c r="AF832" s="1218"/>
      <c r="AG832" s="1218"/>
      <c r="AH832" s="1218"/>
      <c r="AI832" s="1218"/>
      <c r="AJ832" s="1218"/>
      <c r="AK832" s="1218"/>
      <c r="AL832" s="1218"/>
      <c r="AM832" s="1218"/>
      <c r="AN832" s="1218"/>
      <c r="AO832" s="1218"/>
      <c r="AP832" s="1218"/>
      <c r="AQ832" s="1218"/>
      <c r="AR832" s="1218"/>
      <c r="AS832" s="1218"/>
      <c r="AT832" s="1218"/>
      <c r="AU832" s="1218"/>
      <c r="AV832" s="1218"/>
      <c r="AW832" s="1218"/>
      <c r="AX832" s="1218"/>
      <c r="AY832" s="1218"/>
      <c r="AZ832" s="1218"/>
      <c r="BA832" s="1218"/>
      <c r="BB832" s="1218"/>
      <c r="BC832" s="1218"/>
      <c r="BD832" s="1218"/>
      <c r="BE832" s="1218"/>
      <c r="BF832" s="1218"/>
      <c r="BG832" s="1218"/>
      <c r="BH832" s="1218"/>
      <c r="BI832" s="1218"/>
      <c r="BJ832" s="1218"/>
      <c r="BK832" s="1218"/>
      <c r="BL832" s="1218"/>
      <c r="BM832" s="1218"/>
      <c r="BN832" s="1218"/>
      <c r="BO832" s="1218"/>
      <c r="BP832" s="1218"/>
      <c r="BQ832" s="1218"/>
      <c r="BR832" s="1218"/>
      <c r="BS832" s="1218"/>
      <c r="BT832" s="1218"/>
      <c r="BU832" s="1218"/>
      <c r="BV832" s="1218"/>
      <c r="BW832" s="1218"/>
      <c r="BX832" s="1218"/>
      <c r="BY832" s="1218"/>
      <c r="BZ832" s="1218"/>
      <c r="CA832" s="1218"/>
      <c r="CB832" s="1218"/>
      <c r="CC832" s="1218"/>
      <c r="CD832" s="1218"/>
      <c r="CE832" s="1218"/>
      <c r="CF832" s="1218"/>
      <c r="CG832" s="1218"/>
      <c r="CH832" s="1218"/>
      <c r="CI832" s="1218"/>
      <c r="CJ832" s="1218"/>
      <c r="CK832" s="1218"/>
      <c r="CL832" s="1218"/>
      <c r="CM832" s="1218"/>
      <c r="CN832" s="1218"/>
      <c r="CO832" s="1218"/>
      <c r="CP832" s="1218"/>
      <c r="CQ832" s="1218"/>
      <c r="CR832" s="1218"/>
      <c r="CS832" s="1218"/>
      <c r="CT832" s="1218"/>
      <c r="CU832" s="1218"/>
      <c r="CV832" s="1218"/>
      <c r="CW832" s="1218"/>
      <c r="CX832" s="1218"/>
      <c r="CY832" s="1218"/>
      <c r="CZ832" s="1218"/>
      <c r="DA832" s="1218"/>
      <c r="DB832" s="1218"/>
      <c r="DC832" s="1218"/>
      <c r="DD832" s="1218"/>
      <c r="DE832" s="1218"/>
      <c r="DF832" s="1218"/>
      <c r="DG832" s="1218"/>
      <c r="DH832" s="1218"/>
      <c r="DI832" s="1218"/>
      <c r="DJ832" s="1218"/>
      <c r="DK832" s="1218"/>
      <c r="DL832" s="1218"/>
      <c r="DM832" s="1218"/>
      <c r="DN832" s="1218"/>
      <c r="DO832" s="1218"/>
      <c r="DP832" s="1218"/>
      <c r="DQ832" s="1218"/>
      <c r="DR832" s="1218"/>
      <c r="DS832" s="1218"/>
      <c r="DT832" s="1218"/>
      <c r="DU832" s="1218"/>
      <c r="DV832" s="1218"/>
      <c r="DW832" s="1218"/>
      <c r="DX832" s="1218"/>
      <c r="DY832" s="1218"/>
      <c r="DZ832" s="1218"/>
      <c r="EA832" s="1218"/>
      <c r="EB832" s="1218"/>
      <c r="EC832" s="1218"/>
      <c r="ED832" s="1218"/>
      <c r="EE832" s="1218"/>
      <c r="EF832" s="1218"/>
      <c r="EG832" s="1218"/>
      <c r="EH832" s="1218"/>
      <c r="EI832" s="1218"/>
      <c r="EJ832" s="1218"/>
      <c r="EK832" s="1218"/>
      <c r="EL832" s="1218"/>
      <c r="EM832" s="1218"/>
      <c r="EN832" s="1218"/>
      <c r="EO832" s="1218"/>
      <c r="EP832" s="1218"/>
      <c r="EQ832" s="1218"/>
      <c r="ER832" s="1218"/>
      <c r="ES832" s="1218"/>
      <c r="ET832" s="1218"/>
      <c r="EU832" s="1218"/>
      <c r="EV832" s="1218"/>
      <c r="EW832" s="1218"/>
      <c r="EX832" s="1218"/>
      <c r="EY832" s="1218"/>
      <c r="EZ832" s="1218"/>
      <c r="FA832" s="1218"/>
      <c r="FB832" s="1218"/>
      <c r="FC832" s="1218"/>
      <c r="FD832" s="1218"/>
      <c r="FE832" s="1218"/>
      <c r="FF832" s="1218"/>
      <c r="FG832" s="1218"/>
      <c r="FH832" s="1218"/>
      <c r="FI832" s="1218"/>
      <c r="FJ832" s="1218"/>
      <c r="FK832" s="1218"/>
      <c r="FL832" s="1218"/>
      <c r="FM832" s="1218"/>
      <c r="FN832" s="1218"/>
      <c r="FO832" s="1218"/>
      <c r="FP832" s="1218"/>
      <c r="FQ832" s="1218"/>
      <c r="FR832" s="1218"/>
      <c r="FS832" s="1218"/>
      <c r="FT832" s="1218"/>
      <c r="FU832" s="1218"/>
      <c r="FV832" s="1218"/>
      <c r="FW832" s="1218"/>
      <c r="FX832" s="1218"/>
      <c r="FY832" s="1218"/>
      <c r="FZ832" s="1218"/>
      <c r="GA832" s="1218"/>
      <c r="GB832" s="1218"/>
      <c r="GC832" s="1218"/>
      <c r="GD832" s="1218"/>
      <c r="GE832" s="1218"/>
      <c r="GF832" s="1218"/>
      <c r="GG832" s="1218"/>
      <c r="GH832" s="1218"/>
      <c r="GI832" s="1218"/>
      <c r="GJ832" s="1218"/>
      <c r="GK832" s="1218"/>
      <c r="GL832" s="1218"/>
      <c r="GM832" s="1218"/>
      <c r="GN832" s="1218"/>
      <c r="GO832" s="1218"/>
      <c r="GP832" s="1218"/>
      <c r="GQ832" s="1218"/>
      <c r="GR832" s="1218"/>
      <c r="GS832" s="1218"/>
      <c r="GT832" s="1218"/>
      <c r="GU832" s="1218"/>
      <c r="GV832" s="1218"/>
      <c r="GW832" s="1218"/>
      <c r="GX832" s="1218"/>
      <c r="GY832" s="1218"/>
      <c r="GZ832" s="1218"/>
      <c r="HA832" s="1218"/>
      <c r="HB832" s="1218"/>
      <c r="HC832" s="1218"/>
      <c r="HD832" s="1218"/>
      <c r="HE832" s="1218"/>
      <c r="HF832" s="1218"/>
      <c r="HG832" s="1218"/>
      <c r="HH832" s="1218"/>
      <c r="HI832" s="1218"/>
      <c r="HJ832" s="1218"/>
      <c r="HK832" s="1218"/>
      <c r="HL832" s="1218"/>
      <c r="HM832" s="1218"/>
      <c r="HN832" s="1218"/>
      <c r="HO832" s="1218"/>
      <c r="HP832" s="1218"/>
      <c r="HQ832" s="1218"/>
      <c r="HR832" s="1218"/>
      <c r="HS832" s="1218"/>
      <c r="HT832" s="1218"/>
      <c r="HU832" s="1218"/>
      <c r="HV832" s="1218"/>
      <c r="HW832" s="1218"/>
      <c r="HX832" s="1218"/>
      <c r="HY832" s="1218"/>
      <c r="HZ832" s="1218"/>
      <c r="IA832" s="1218"/>
      <c r="IB832" s="1218"/>
      <c r="IC832" s="1218"/>
      <c r="ID832" s="1218"/>
      <c r="IE832" s="1218"/>
      <c r="IF832" s="1218"/>
      <c r="IG832" s="1218"/>
      <c r="IH832" s="1218"/>
      <c r="II832" s="1218"/>
      <c r="IJ832" s="1218"/>
      <c r="IK832" s="1218"/>
      <c r="IL832" s="1218"/>
      <c r="IM832" s="1218"/>
      <c r="IN832" s="1218"/>
    </row>
    <row r="833" spans="1:248" s="1312" customFormat="1" ht="14.1" customHeight="1">
      <c r="A833" s="1318"/>
      <c r="B833" s="909"/>
      <c r="C833" s="193" t="s">
        <v>4123</v>
      </c>
      <c r="D833" s="1314"/>
      <c r="G833" s="1218"/>
      <c r="H833" s="1218"/>
      <c r="I833" s="1218"/>
      <c r="J833" s="1218"/>
      <c r="K833" s="1218"/>
      <c r="L833" s="1218"/>
      <c r="M833" s="1218"/>
      <c r="N833" s="1218"/>
      <c r="O833" s="1218"/>
      <c r="P833" s="1218"/>
      <c r="Q833" s="1218"/>
      <c r="R833" s="1218"/>
      <c r="S833" s="1218"/>
      <c r="T833" s="1218"/>
      <c r="U833" s="1218"/>
      <c r="V833" s="1218"/>
      <c r="W833" s="1218"/>
      <c r="X833" s="1218"/>
      <c r="Y833" s="1218"/>
      <c r="Z833" s="1218"/>
      <c r="AA833" s="1218"/>
      <c r="AB833" s="1218"/>
      <c r="AC833" s="1218"/>
      <c r="AD833" s="1218"/>
      <c r="AE833" s="1218"/>
      <c r="AF833" s="1218"/>
      <c r="AG833" s="1218"/>
      <c r="AH833" s="1218"/>
      <c r="AI833" s="1218"/>
      <c r="AJ833" s="1218"/>
      <c r="AK833" s="1218"/>
      <c r="AL833" s="1218"/>
      <c r="AM833" s="1218"/>
      <c r="AN833" s="1218"/>
      <c r="AO833" s="1218"/>
      <c r="AP833" s="1218"/>
      <c r="AQ833" s="1218"/>
      <c r="AR833" s="1218"/>
      <c r="AS833" s="1218"/>
      <c r="AT833" s="1218"/>
      <c r="AU833" s="1218"/>
      <c r="AV833" s="1218"/>
      <c r="AW833" s="1218"/>
      <c r="AX833" s="1218"/>
      <c r="AY833" s="1218"/>
      <c r="AZ833" s="1218"/>
      <c r="BA833" s="1218"/>
      <c r="BB833" s="1218"/>
      <c r="BC833" s="1218"/>
      <c r="BD833" s="1218"/>
      <c r="BE833" s="1218"/>
      <c r="BF833" s="1218"/>
      <c r="BG833" s="1218"/>
      <c r="BH833" s="1218"/>
      <c r="BI833" s="1218"/>
      <c r="BJ833" s="1218"/>
      <c r="BK833" s="1218"/>
      <c r="BL833" s="1218"/>
      <c r="BM833" s="1218"/>
      <c r="BN833" s="1218"/>
      <c r="BO833" s="1218"/>
      <c r="BP833" s="1218"/>
      <c r="BQ833" s="1218"/>
      <c r="BR833" s="1218"/>
      <c r="BS833" s="1218"/>
      <c r="BT833" s="1218"/>
      <c r="BU833" s="1218"/>
      <c r="BV833" s="1218"/>
      <c r="BW833" s="1218"/>
      <c r="BX833" s="1218"/>
      <c r="BY833" s="1218"/>
      <c r="BZ833" s="1218"/>
      <c r="CA833" s="1218"/>
      <c r="CB833" s="1218"/>
      <c r="CC833" s="1218"/>
      <c r="CD833" s="1218"/>
      <c r="CE833" s="1218"/>
      <c r="CF833" s="1218"/>
      <c r="CG833" s="1218"/>
      <c r="CH833" s="1218"/>
      <c r="CI833" s="1218"/>
      <c r="CJ833" s="1218"/>
      <c r="CK833" s="1218"/>
      <c r="CL833" s="1218"/>
      <c r="CM833" s="1218"/>
      <c r="CN833" s="1218"/>
      <c r="CO833" s="1218"/>
      <c r="CP833" s="1218"/>
      <c r="CQ833" s="1218"/>
      <c r="CR833" s="1218"/>
      <c r="CS833" s="1218"/>
      <c r="CT833" s="1218"/>
      <c r="CU833" s="1218"/>
      <c r="CV833" s="1218"/>
      <c r="CW833" s="1218"/>
      <c r="CX833" s="1218"/>
      <c r="CY833" s="1218"/>
      <c r="CZ833" s="1218"/>
      <c r="DA833" s="1218"/>
      <c r="DB833" s="1218"/>
      <c r="DC833" s="1218"/>
      <c r="DD833" s="1218"/>
      <c r="DE833" s="1218"/>
      <c r="DF833" s="1218"/>
      <c r="DG833" s="1218"/>
      <c r="DH833" s="1218"/>
      <c r="DI833" s="1218"/>
      <c r="DJ833" s="1218"/>
      <c r="DK833" s="1218"/>
      <c r="DL833" s="1218"/>
      <c r="DM833" s="1218"/>
      <c r="DN833" s="1218"/>
      <c r="DO833" s="1218"/>
      <c r="DP833" s="1218"/>
      <c r="DQ833" s="1218"/>
      <c r="DR833" s="1218"/>
      <c r="DS833" s="1218"/>
      <c r="DT833" s="1218"/>
      <c r="DU833" s="1218"/>
      <c r="DV833" s="1218"/>
      <c r="DW833" s="1218"/>
      <c r="DX833" s="1218"/>
      <c r="DY833" s="1218"/>
      <c r="DZ833" s="1218"/>
      <c r="EA833" s="1218"/>
      <c r="EB833" s="1218"/>
      <c r="EC833" s="1218"/>
      <c r="ED833" s="1218"/>
      <c r="EE833" s="1218"/>
      <c r="EF833" s="1218"/>
      <c r="EG833" s="1218"/>
      <c r="EH833" s="1218"/>
      <c r="EI833" s="1218"/>
      <c r="EJ833" s="1218"/>
      <c r="EK833" s="1218"/>
      <c r="EL833" s="1218"/>
      <c r="EM833" s="1218"/>
      <c r="EN833" s="1218"/>
      <c r="EO833" s="1218"/>
      <c r="EP833" s="1218"/>
      <c r="EQ833" s="1218"/>
      <c r="ER833" s="1218"/>
      <c r="ES833" s="1218"/>
      <c r="ET833" s="1218"/>
      <c r="EU833" s="1218"/>
      <c r="EV833" s="1218"/>
      <c r="EW833" s="1218"/>
      <c r="EX833" s="1218"/>
      <c r="EY833" s="1218"/>
      <c r="EZ833" s="1218"/>
      <c r="FA833" s="1218"/>
      <c r="FB833" s="1218"/>
      <c r="FC833" s="1218"/>
      <c r="FD833" s="1218"/>
      <c r="FE833" s="1218"/>
      <c r="FF833" s="1218"/>
      <c r="FG833" s="1218"/>
      <c r="FH833" s="1218"/>
      <c r="FI833" s="1218"/>
      <c r="FJ833" s="1218"/>
      <c r="FK833" s="1218"/>
      <c r="FL833" s="1218"/>
      <c r="FM833" s="1218"/>
      <c r="FN833" s="1218"/>
      <c r="FO833" s="1218"/>
      <c r="FP833" s="1218"/>
      <c r="FQ833" s="1218"/>
      <c r="FR833" s="1218"/>
      <c r="FS833" s="1218"/>
      <c r="FT833" s="1218"/>
      <c r="FU833" s="1218"/>
      <c r="FV833" s="1218"/>
      <c r="FW833" s="1218"/>
      <c r="FX833" s="1218"/>
      <c r="FY833" s="1218"/>
      <c r="FZ833" s="1218"/>
      <c r="GA833" s="1218"/>
      <c r="GB833" s="1218"/>
      <c r="GC833" s="1218"/>
      <c r="GD833" s="1218"/>
      <c r="GE833" s="1218"/>
      <c r="GF833" s="1218"/>
      <c r="GG833" s="1218"/>
      <c r="GH833" s="1218"/>
      <c r="GI833" s="1218"/>
      <c r="GJ833" s="1218"/>
      <c r="GK833" s="1218"/>
      <c r="GL833" s="1218"/>
      <c r="GM833" s="1218"/>
      <c r="GN833" s="1218"/>
      <c r="GO833" s="1218"/>
      <c r="GP833" s="1218"/>
      <c r="GQ833" s="1218"/>
      <c r="GR833" s="1218"/>
      <c r="GS833" s="1218"/>
      <c r="GT833" s="1218"/>
      <c r="GU833" s="1218"/>
      <c r="GV833" s="1218"/>
      <c r="GW833" s="1218"/>
      <c r="GX833" s="1218"/>
      <c r="GY833" s="1218"/>
      <c r="GZ833" s="1218"/>
      <c r="HA833" s="1218"/>
      <c r="HB833" s="1218"/>
      <c r="HC833" s="1218"/>
      <c r="HD833" s="1218"/>
      <c r="HE833" s="1218"/>
      <c r="HF833" s="1218"/>
      <c r="HG833" s="1218"/>
      <c r="HH833" s="1218"/>
      <c r="HI833" s="1218"/>
      <c r="HJ833" s="1218"/>
      <c r="HK833" s="1218"/>
      <c r="HL833" s="1218"/>
      <c r="HM833" s="1218"/>
      <c r="HN833" s="1218"/>
      <c r="HO833" s="1218"/>
      <c r="HP833" s="1218"/>
      <c r="HQ833" s="1218"/>
      <c r="HR833" s="1218"/>
      <c r="HS833" s="1218"/>
      <c r="HT833" s="1218"/>
      <c r="HU833" s="1218"/>
      <c r="HV833" s="1218"/>
      <c r="HW833" s="1218"/>
      <c r="HX833" s="1218"/>
      <c r="HY833" s="1218"/>
      <c r="HZ833" s="1218"/>
      <c r="IA833" s="1218"/>
      <c r="IB833" s="1218"/>
      <c r="IC833" s="1218"/>
      <c r="ID833" s="1218"/>
      <c r="IE833" s="1218"/>
      <c r="IF833" s="1218"/>
      <c r="IG833" s="1218"/>
      <c r="IH833" s="1218"/>
      <c r="II833" s="1218"/>
      <c r="IJ833" s="1218"/>
      <c r="IK833" s="1218"/>
      <c r="IL833" s="1218"/>
      <c r="IM833" s="1218"/>
      <c r="IN833" s="1218"/>
    </row>
    <row r="834" spans="1:248" s="1312" customFormat="1" ht="14.1" customHeight="1">
      <c r="A834" s="1318"/>
      <c r="B834" s="1160"/>
      <c r="C834" s="193" t="s">
        <v>4124</v>
      </c>
      <c r="D834" s="1314"/>
      <c r="G834" s="1218"/>
      <c r="H834" s="1218"/>
      <c r="I834" s="1218"/>
      <c r="J834" s="1218"/>
      <c r="K834" s="1218"/>
      <c r="L834" s="1218"/>
      <c r="M834" s="1218"/>
      <c r="N834" s="1218"/>
      <c r="O834" s="1218"/>
      <c r="P834" s="1218"/>
      <c r="Q834" s="1218"/>
      <c r="R834" s="1218"/>
      <c r="S834" s="1218"/>
      <c r="T834" s="1218"/>
      <c r="U834" s="1218"/>
      <c r="V834" s="1218"/>
      <c r="W834" s="1218"/>
      <c r="X834" s="1218"/>
      <c r="Y834" s="1218"/>
      <c r="Z834" s="1218"/>
      <c r="AA834" s="1218"/>
      <c r="AB834" s="1218"/>
      <c r="AC834" s="1218"/>
      <c r="AD834" s="1218"/>
      <c r="AE834" s="1218"/>
      <c r="AF834" s="1218"/>
      <c r="AG834" s="1218"/>
      <c r="AH834" s="1218"/>
      <c r="AI834" s="1218"/>
      <c r="AJ834" s="1218"/>
      <c r="AK834" s="1218"/>
      <c r="AL834" s="1218"/>
      <c r="AM834" s="1218"/>
      <c r="AN834" s="1218"/>
      <c r="AO834" s="1218"/>
      <c r="AP834" s="1218"/>
      <c r="AQ834" s="1218"/>
      <c r="AR834" s="1218"/>
      <c r="AS834" s="1218"/>
      <c r="AT834" s="1218"/>
      <c r="AU834" s="1218"/>
      <c r="AV834" s="1218"/>
      <c r="AW834" s="1218"/>
      <c r="AX834" s="1218"/>
      <c r="AY834" s="1218"/>
      <c r="AZ834" s="1218"/>
      <c r="BA834" s="1218"/>
      <c r="BB834" s="1218"/>
      <c r="BC834" s="1218"/>
      <c r="BD834" s="1218"/>
      <c r="BE834" s="1218"/>
      <c r="BF834" s="1218"/>
      <c r="BG834" s="1218"/>
      <c r="BH834" s="1218"/>
      <c r="BI834" s="1218"/>
      <c r="BJ834" s="1218"/>
      <c r="BK834" s="1218"/>
      <c r="BL834" s="1218"/>
      <c r="BM834" s="1218"/>
      <c r="BN834" s="1218"/>
      <c r="BO834" s="1218"/>
      <c r="BP834" s="1218"/>
      <c r="BQ834" s="1218"/>
      <c r="BR834" s="1218"/>
      <c r="BS834" s="1218"/>
      <c r="BT834" s="1218"/>
      <c r="BU834" s="1218"/>
      <c r="BV834" s="1218"/>
      <c r="BW834" s="1218"/>
      <c r="BX834" s="1218"/>
      <c r="BY834" s="1218"/>
      <c r="BZ834" s="1218"/>
      <c r="CA834" s="1218"/>
      <c r="CB834" s="1218"/>
      <c r="CC834" s="1218"/>
      <c r="CD834" s="1218"/>
      <c r="CE834" s="1218"/>
      <c r="CF834" s="1218"/>
      <c r="CG834" s="1218"/>
      <c r="CH834" s="1218"/>
      <c r="CI834" s="1218"/>
      <c r="CJ834" s="1218"/>
      <c r="CK834" s="1218"/>
      <c r="CL834" s="1218"/>
      <c r="CM834" s="1218"/>
      <c r="CN834" s="1218"/>
      <c r="CO834" s="1218"/>
      <c r="CP834" s="1218"/>
      <c r="CQ834" s="1218"/>
      <c r="CR834" s="1218"/>
      <c r="CS834" s="1218"/>
      <c r="CT834" s="1218"/>
      <c r="CU834" s="1218"/>
      <c r="CV834" s="1218"/>
      <c r="CW834" s="1218"/>
      <c r="CX834" s="1218"/>
      <c r="CY834" s="1218"/>
      <c r="CZ834" s="1218"/>
      <c r="DA834" s="1218"/>
      <c r="DB834" s="1218"/>
      <c r="DC834" s="1218"/>
      <c r="DD834" s="1218"/>
      <c r="DE834" s="1218"/>
      <c r="DF834" s="1218"/>
      <c r="DG834" s="1218"/>
      <c r="DH834" s="1218"/>
      <c r="DI834" s="1218"/>
      <c r="DJ834" s="1218"/>
      <c r="DK834" s="1218"/>
      <c r="DL834" s="1218"/>
      <c r="DM834" s="1218"/>
      <c r="DN834" s="1218"/>
      <c r="DO834" s="1218"/>
      <c r="DP834" s="1218"/>
      <c r="DQ834" s="1218"/>
      <c r="DR834" s="1218"/>
      <c r="DS834" s="1218"/>
      <c r="DT834" s="1218"/>
      <c r="DU834" s="1218"/>
      <c r="DV834" s="1218"/>
      <c r="DW834" s="1218"/>
      <c r="DX834" s="1218"/>
      <c r="DY834" s="1218"/>
      <c r="DZ834" s="1218"/>
      <c r="EA834" s="1218"/>
      <c r="EB834" s="1218"/>
      <c r="EC834" s="1218"/>
      <c r="ED834" s="1218"/>
      <c r="EE834" s="1218"/>
      <c r="EF834" s="1218"/>
      <c r="EG834" s="1218"/>
      <c r="EH834" s="1218"/>
      <c r="EI834" s="1218"/>
      <c r="EJ834" s="1218"/>
      <c r="EK834" s="1218"/>
      <c r="EL834" s="1218"/>
      <c r="EM834" s="1218"/>
      <c r="EN834" s="1218"/>
      <c r="EO834" s="1218"/>
      <c r="EP834" s="1218"/>
      <c r="EQ834" s="1218"/>
      <c r="ER834" s="1218"/>
      <c r="ES834" s="1218"/>
      <c r="ET834" s="1218"/>
      <c r="EU834" s="1218"/>
      <c r="EV834" s="1218"/>
      <c r="EW834" s="1218"/>
      <c r="EX834" s="1218"/>
      <c r="EY834" s="1218"/>
      <c r="EZ834" s="1218"/>
      <c r="FA834" s="1218"/>
      <c r="FB834" s="1218"/>
      <c r="FC834" s="1218"/>
      <c r="FD834" s="1218"/>
      <c r="FE834" s="1218"/>
      <c r="FF834" s="1218"/>
      <c r="FG834" s="1218"/>
      <c r="FH834" s="1218"/>
      <c r="FI834" s="1218"/>
      <c r="FJ834" s="1218"/>
      <c r="FK834" s="1218"/>
      <c r="FL834" s="1218"/>
      <c r="FM834" s="1218"/>
      <c r="FN834" s="1218"/>
      <c r="FO834" s="1218"/>
      <c r="FP834" s="1218"/>
      <c r="FQ834" s="1218"/>
      <c r="FR834" s="1218"/>
      <c r="FS834" s="1218"/>
      <c r="FT834" s="1218"/>
      <c r="FU834" s="1218"/>
      <c r="FV834" s="1218"/>
      <c r="FW834" s="1218"/>
      <c r="FX834" s="1218"/>
      <c r="FY834" s="1218"/>
      <c r="FZ834" s="1218"/>
      <c r="GA834" s="1218"/>
      <c r="GB834" s="1218"/>
      <c r="GC834" s="1218"/>
      <c r="GD834" s="1218"/>
      <c r="GE834" s="1218"/>
      <c r="GF834" s="1218"/>
      <c r="GG834" s="1218"/>
      <c r="GH834" s="1218"/>
      <c r="GI834" s="1218"/>
      <c r="GJ834" s="1218"/>
      <c r="GK834" s="1218"/>
      <c r="GL834" s="1218"/>
      <c r="GM834" s="1218"/>
      <c r="GN834" s="1218"/>
      <c r="GO834" s="1218"/>
      <c r="GP834" s="1218"/>
      <c r="GQ834" s="1218"/>
      <c r="GR834" s="1218"/>
      <c r="GS834" s="1218"/>
      <c r="GT834" s="1218"/>
      <c r="GU834" s="1218"/>
      <c r="GV834" s="1218"/>
      <c r="GW834" s="1218"/>
      <c r="GX834" s="1218"/>
      <c r="GY834" s="1218"/>
      <c r="GZ834" s="1218"/>
      <c r="HA834" s="1218"/>
      <c r="HB834" s="1218"/>
      <c r="HC834" s="1218"/>
      <c r="HD834" s="1218"/>
      <c r="HE834" s="1218"/>
      <c r="HF834" s="1218"/>
      <c r="HG834" s="1218"/>
      <c r="HH834" s="1218"/>
      <c r="HI834" s="1218"/>
      <c r="HJ834" s="1218"/>
      <c r="HK834" s="1218"/>
      <c r="HL834" s="1218"/>
      <c r="HM834" s="1218"/>
      <c r="HN834" s="1218"/>
      <c r="HO834" s="1218"/>
      <c r="HP834" s="1218"/>
      <c r="HQ834" s="1218"/>
      <c r="HR834" s="1218"/>
      <c r="HS834" s="1218"/>
      <c r="HT834" s="1218"/>
      <c r="HU834" s="1218"/>
      <c r="HV834" s="1218"/>
      <c r="HW834" s="1218"/>
      <c r="HX834" s="1218"/>
      <c r="HY834" s="1218"/>
      <c r="HZ834" s="1218"/>
      <c r="IA834" s="1218"/>
      <c r="IB834" s="1218"/>
      <c r="IC834" s="1218"/>
      <c r="ID834" s="1218"/>
      <c r="IE834" s="1218"/>
      <c r="IF834" s="1218"/>
      <c r="IG834" s="1218"/>
      <c r="IH834" s="1218"/>
      <c r="II834" s="1218"/>
      <c r="IJ834" s="1218"/>
      <c r="IK834" s="1218"/>
      <c r="IL834" s="1218"/>
      <c r="IM834" s="1218"/>
      <c r="IN834" s="1218"/>
    </row>
    <row r="835" spans="1:248" s="1312" customFormat="1" ht="14.1" customHeight="1">
      <c r="A835" s="1318"/>
      <c r="B835" s="1160"/>
      <c r="C835" s="193" t="s">
        <v>4125</v>
      </c>
      <c r="D835" s="1314"/>
      <c r="G835" s="1218"/>
      <c r="H835" s="1218"/>
      <c r="I835" s="1218"/>
      <c r="J835" s="1218"/>
      <c r="K835" s="1218"/>
      <c r="L835" s="1218"/>
      <c r="M835" s="1218"/>
      <c r="N835" s="1218"/>
      <c r="O835" s="1218"/>
      <c r="P835" s="1218"/>
      <c r="Q835" s="1218"/>
      <c r="R835" s="1218"/>
      <c r="S835" s="1218"/>
      <c r="T835" s="1218"/>
      <c r="U835" s="1218"/>
      <c r="V835" s="1218"/>
      <c r="W835" s="1218"/>
      <c r="X835" s="1218"/>
      <c r="Y835" s="1218"/>
      <c r="Z835" s="1218"/>
      <c r="AA835" s="1218"/>
      <c r="AB835" s="1218"/>
      <c r="AC835" s="1218"/>
      <c r="AD835" s="1218"/>
      <c r="AE835" s="1218"/>
      <c r="AF835" s="1218"/>
      <c r="AG835" s="1218"/>
      <c r="AH835" s="1218"/>
      <c r="AI835" s="1218"/>
      <c r="AJ835" s="1218"/>
      <c r="AK835" s="1218"/>
      <c r="AL835" s="1218"/>
      <c r="AM835" s="1218"/>
      <c r="AN835" s="1218"/>
      <c r="AO835" s="1218"/>
      <c r="AP835" s="1218"/>
      <c r="AQ835" s="1218"/>
      <c r="AR835" s="1218"/>
      <c r="AS835" s="1218"/>
      <c r="AT835" s="1218"/>
      <c r="AU835" s="1218"/>
      <c r="AV835" s="1218"/>
      <c r="AW835" s="1218"/>
      <c r="AX835" s="1218"/>
      <c r="AY835" s="1218"/>
      <c r="AZ835" s="1218"/>
      <c r="BA835" s="1218"/>
      <c r="BB835" s="1218"/>
      <c r="BC835" s="1218"/>
      <c r="BD835" s="1218"/>
      <c r="BE835" s="1218"/>
      <c r="BF835" s="1218"/>
      <c r="BG835" s="1218"/>
      <c r="BH835" s="1218"/>
      <c r="BI835" s="1218"/>
      <c r="BJ835" s="1218"/>
      <c r="BK835" s="1218"/>
      <c r="BL835" s="1218"/>
      <c r="BM835" s="1218"/>
      <c r="BN835" s="1218"/>
      <c r="BO835" s="1218"/>
      <c r="BP835" s="1218"/>
      <c r="BQ835" s="1218"/>
      <c r="BR835" s="1218"/>
      <c r="BS835" s="1218"/>
      <c r="BT835" s="1218"/>
      <c r="BU835" s="1218"/>
      <c r="BV835" s="1218"/>
      <c r="BW835" s="1218"/>
      <c r="BX835" s="1218"/>
      <c r="BY835" s="1218"/>
      <c r="BZ835" s="1218"/>
      <c r="CA835" s="1218"/>
      <c r="CB835" s="1218"/>
      <c r="CC835" s="1218"/>
      <c r="CD835" s="1218"/>
      <c r="CE835" s="1218"/>
      <c r="CF835" s="1218"/>
      <c r="CG835" s="1218"/>
      <c r="CH835" s="1218"/>
      <c r="CI835" s="1218"/>
      <c r="CJ835" s="1218"/>
      <c r="CK835" s="1218"/>
      <c r="CL835" s="1218"/>
      <c r="CM835" s="1218"/>
      <c r="CN835" s="1218"/>
      <c r="CO835" s="1218"/>
      <c r="CP835" s="1218"/>
      <c r="CQ835" s="1218"/>
      <c r="CR835" s="1218"/>
      <c r="CS835" s="1218"/>
      <c r="CT835" s="1218"/>
      <c r="CU835" s="1218"/>
      <c r="CV835" s="1218"/>
      <c r="CW835" s="1218"/>
      <c r="CX835" s="1218"/>
      <c r="CY835" s="1218"/>
      <c r="CZ835" s="1218"/>
      <c r="DA835" s="1218"/>
      <c r="DB835" s="1218"/>
      <c r="DC835" s="1218"/>
      <c r="DD835" s="1218"/>
      <c r="DE835" s="1218"/>
      <c r="DF835" s="1218"/>
      <c r="DG835" s="1218"/>
      <c r="DH835" s="1218"/>
      <c r="DI835" s="1218"/>
      <c r="DJ835" s="1218"/>
      <c r="DK835" s="1218"/>
      <c r="DL835" s="1218"/>
      <c r="DM835" s="1218"/>
      <c r="DN835" s="1218"/>
      <c r="DO835" s="1218"/>
      <c r="DP835" s="1218"/>
      <c r="DQ835" s="1218"/>
      <c r="DR835" s="1218"/>
      <c r="DS835" s="1218"/>
      <c r="DT835" s="1218"/>
      <c r="DU835" s="1218"/>
      <c r="DV835" s="1218"/>
      <c r="DW835" s="1218"/>
      <c r="DX835" s="1218"/>
      <c r="DY835" s="1218"/>
      <c r="DZ835" s="1218"/>
      <c r="EA835" s="1218"/>
      <c r="EB835" s="1218"/>
      <c r="EC835" s="1218"/>
      <c r="ED835" s="1218"/>
      <c r="EE835" s="1218"/>
      <c r="EF835" s="1218"/>
      <c r="EG835" s="1218"/>
      <c r="EH835" s="1218"/>
      <c r="EI835" s="1218"/>
      <c r="EJ835" s="1218"/>
      <c r="EK835" s="1218"/>
      <c r="EL835" s="1218"/>
      <c r="EM835" s="1218"/>
      <c r="EN835" s="1218"/>
      <c r="EO835" s="1218"/>
      <c r="EP835" s="1218"/>
      <c r="EQ835" s="1218"/>
      <c r="ER835" s="1218"/>
      <c r="ES835" s="1218"/>
      <c r="ET835" s="1218"/>
      <c r="EU835" s="1218"/>
      <c r="EV835" s="1218"/>
      <c r="EW835" s="1218"/>
      <c r="EX835" s="1218"/>
      <c r="EY835" s="1218"/>
      <c r="EZ835" s="1218"/>
      <c r="FA835" s="1218"/>
      <c r="FB835" s="1218"/>
      <c r="FC835" s="1218"/>
      <c r="FD835" s="1218"/>
      <c r="FE835" s="1218"/>
      <c r="FF835" s="1218"/>
      <c r="FG835" s="1218"/>
      <c r="FH835" s="1218"/>
      <c r="FI835" s="1218"/>
      <c r="FJ835" s="1218"/>
      <c r="FK835" s="1218"/>
      <c r="FL835" s="1218"/>
      <c r="FM835" s="1218"/>
      <c r="FN835" s="1218"/>
      <c r="FO835" s="1218"/>
      <c r="FP835" s="1218"/>
      <c r="FQ835" s="1218"/>
      <c r="FR835" s="1218"/>
      <c r="FS835" s="1218"/>
      <c r="FT835" s="1218"/>
      <c r="FU835" s="1218"/>
      <c r="FV835" s="1218"/>
      <c r="FW835" s="1218"/>
      <c r="FX835" s="1218"/>
      <c r="FY835" s="1218"/>
      <c r="FZ835" s="1218"/>
      <c r="GA835" s="1218"/>
      <c r="GB835" s="1218"/>
      <c r="GC835" s="1218"/>
      <c r="GD835" s="1218"/>
      <c r="GE835" s="1218"/>
      <c r="GF835" s="1218"/>
      <c r="GG835" s="1218"/>
      <c r="GH835" s="1218"/>
      <c r="GI835" s="1218"/>
      <c r="GJ835" s="1218"/>
      <c r="GK835" s="1218"/>
      <c r="GL835" s="1218"/>
      <c r="GM835" s="1218"/>
      <c r="GN835" s="1218"/>
      <c r="GO835" s="1218"/>
      <c r="GP835" s="1218"/>
      <c r="GQ835" s="1218"/>
      <c r="GR835" s="1218"/>
      <c r="GS835" s="1218"/>
      <c r="GT835" s="1218"/>
      <c r="GU835" s="1218"/>
      <c r="GV835" s="1218"/>
      <c r="GW835" s="1218"/>
      <c r="GX835" s="1218"/>
      <c r="GY835" s="1218"/>
      <c r="GZ835" s="1218"/>
      <c r="HA835" s="1218"/>
      <c r="HB835" s="1218"/>
      <c r="HC835" s="1218"/>
      <c r="HD835" s="1218"/>
      <c r="HE835" s="1218"/>
      <c r="HF835" s="1218"/>
      <c r="HG835" s="1218"/>
      <c r="HH835" s="1218"/>
      <c r="HI835" s="1218"/>
      <c r="HJ835" s="1218"/>
      <c r="HK835" s="1218"/>
      <c r="HL835" s="1218"/>
      <c r="HM835" s="1218"/>
      <c r="HN835" s="1218"/>
      <c r="HO835" s="1218"/>
      <c r="HP835" s="1218"/>
      <c r="HQ835" s="1218"/>
      <c r="HR835" s="1218"/>
      <c r="HS835" s="1218"/>
      <c r="HT835" s="1218"/>
      <c r="HU835" s="1218"/>
      <c r="HV835" s="1218"/>
      <c r="HW835" s="1218"/>
      <c r="HX835" s="1218"/>
      <c r="HY835" s="1218"/>
      <c r="HZ835" s="1218"/>
      <c r="IA835" s="1218"/>
      <c r="IB835" s="1218"/>
      <c r="IC835" s="1218"/>
      <c r="ID835" s="1218"/>
      <c r="IE835" s="1218"/>
      <c r="IF835" s="1218"/>
      <c r="IG835" s="1218"/>
      <c r="IH835" s="1218"/>
      <c r="II835" s="1218"/>
      <c r="IJ835" s="1218"/>
      <c r="IK835" s="1218"/>
      <c r="IL835" s="1218"/>
      <c r="IM835" s="1218"/>
      <c r="IN835" s="1218"/>
    </row>
    <row r="836" spans="1:248" s="1312" customFormat="1" ht="14.1" customHeight="1">
      <c r="A836" s="1318"/>
      <c r="B836" s="1160"/>
      <c r="C836" s="193" t="s">
        <v>4126</v>
      </c>
      <c r="D836" s="1314"/>
      <c r="G836" s="1218"/>
      <c r="H836" s="1218"/>
      <c r="I836" s="1218"/>
      <c r="J836" s="1218"/>
      <c r="K836" s="1218"/>
      <c r="L836" s="1218"/>
      <c r="M836" s="1218"/>
      <c r="N836" s="1218"/>
      <c r="O836" s="1218"/>
      <c r="P836" s="1218"/>
      <c r="Q836" s="1218"/>
      <c r="R836" s="1218"/>
      <c r="S836" s="1218"/>
      <c r="T836" s="1218"/>
      <c r="U836" s="1218"/>
      <c r="V836" s="1218"/>
      <c r="W836" s="1218"/>
      <c r="X836" s="1218"/>
      <c r="Y836" s="1218"/>
      <c r="Z836" s="1218"/>
      <c r="AA836" s="1218"/>
      <c r="AB836" s="1218"/>
      <c r="AC836" s="1218"/>
      <c r="AD836" s="1218"/>
      <c r="AE836" s="1218"/>
      <c r="AF836" s="1218"/>
      <c r="AG836" s="1218"/>
      <c r="AH836" s="1218"/>
      <c r="AI836" s="1218"/>
      <c r="AJ836" s="1218"/>
      <c r="AK836" s="1218"/>
      <c r="AL836" s="1218"/>
      <c r="AM836" s="1218"/>
      <c r="AN836" s="1218"/>
      <c r="AO836" s="1218"/>
      <c r="AP836" s="1218"/>
      <c r="AQ836" s="1218"/>
      <c r="AR836" s="1218"/>
      <c r="AS836" s="1218"/>
      <c r="AT836" s="1218"/>
      <c r="AU836" s="1218"/>
      <c r="AV836" s="1218"/>
      <c r="AW836" s="1218"/>
      <c r="AX836" s="1218"/>
      <c r="AY836" s="1218"/>
      <c r="AZ836" s="1218"/>
      <c r="BA836" s="1218"/>
      <c r="BB836" s="1218"/>
      <c r="BC836" s="1218"/>
      <c r="BD836" s="1218"/>
      <c r="BE836" s="1218"/>
      <c r="BF836" s="1218"/>
      <c r="BG836" s="1218"/>
      <c r="BH836" s="1218"/>
      <c r="BI836" s="1218"/>
      <c r="BJ836" s="1218"/>
      <c r="BK836" s="1218"/>
      <c r="BL836" s="1218"/>
      <c r="BM836" s="1218"/>
      <c r="BN836" s="1218"/>
      <c r="BO836" s="1218"/>
      <c r="BP836" s="1218"/>
      <c r="BQ836" s="1218"/>
      <c r="BR836" s="1218"/>
      <c r="BS836" s="1218"/>
      <c r="BT836" s="1218"/>
      <c r="BU836" s="1218"/>
      <c r="BV836" s="1218"/>
      <c r="BW836" s="1218"/>
      <c r="BX836" s="1218"/>
      <c r="BY836" s="1218"/>
      <c r="BZ836" s="1218"/>
      <c r="CA836" s="1218"/>
      <c r="CB836" s="1218"/>
      <c r="CC836" s="1218"/>
      <c r="CD836" s="1218"/>
      <c r="CE836" s="1218"/>
      <c r="CF836" s="1218"/>
      <c r="CG836" s="1218"/>
      <c r="CH836" s="1218"/>
      <c r="CI836" s="1218"/>
      <c r="CJ836" s="1218"/>
      <c r="CK836" s="1218"/>
      <c r="CL836" s="1218"/>
      <c r="CM836" s="1218"/>
      <c r="CN836" s="1218"/>
      <c r="CO836" s="1218"/>
      <c r="CP836" s="1218"/>
      <c r="CQ836" s="1218"/>
      <c r="CR836" s="1218"/>
      <c r="CS836" s="1218"/>
      <c r="CT836" s="1218"/>
      <c r="CU836" s="1218"/>
      <c r="CV836" s="1218"/>
      <c r="CW836" s="1218"/>
      <c r="CX836" s="1218"/>
      <c r="CY836" s="1218"/>
      <c r="CZ836" s="1218"/>
      <c r="DA836" s="1218"/>
      <c r="DB836" s="1218"/>
      <c r="DC836" s="1218"/>
      <c r="DD836" s="1218"/>
      <c r="DE836" s="1218"/>
      <c r="DF836" s="1218"/>
      <c r="DG836" s="1218"/>
      <c r="DH836" s="1218"/>
      <c r="DI836" s="1218"/>
      <c r="DJ836" s="1218"/>
      <c r="DK836" s="1218"/>
      <c r="DL836" s="1218"/>
      <c r="DM836" s="1218"/>
      <c r="DN836" s="1218"/>
      <c r="DO836" s="1218"/>
      <c r="DP836" s="1218"/>
      <c r="DQ836" s="1218"/>
      <c r="DR836" s="1218"/>
      <c r="DS836" s="1218"/>
      <c r="DT836" s="1218"/>
      <c r="DU836" s="1218"/>
      <c r="DV836" s="1218"/>
      <c r="DW836" s="1218"/>
      <c r="DX836" s="1218"/>
      <c r="DY836" s="1218"/>
      <c r="DZ836" s="1218"/>
      <c r="EA836" s="1218"/>
      <c r="EB836" s="1218"/>
      <c r="EC836" s="1218"/>
      <c r="ED836" s="1218"/>
      <c r="EE836" s="1218"/>
      <c r="EF836" s="1218"/>
      <c r="EG836" s="1218"/>
      <c r="EH836" s="1218"/>
      <c r="EI836" s="1218"/>
      <c r="EJ836" s="1218"/>
      <c r="EK836" s="1218"/>
      <c r="EL836" s="1218"/>
      <c r="EM836" s="1218"/>
      <c r="EN836" s="1218"/>
      <c r="EO836" s="1218"/>
      <c r="EP836" s="1218"/>
      <c r="EQ836" s="1218"/>
      <c r="ER836" s="1218"/>
      <c r="ES836" s="1218"/>
      <c r="ET836" s="1218"/>
      <c r="EU836" s="1218"/>
      <c r="EV836" s="1218"/>
      <c r="EW836" s="1218"/>
      <c r="EX836" s="1218"/>
      <c r="EY836" s="1218"/>
      <c r="EZ836" s="1218"/>
      <c r="FA836" s="1218"/>
      <c r="FB836" s="1218"/>
      <c r="FC836" s="1218"/>
      <c r="FD836" s="1218"/>
      <c r="FE836" s="1218"/>
      <c r="FF836" s="1218"/>
      <c r="FG836" s="1218"/>
      <c r="FH836" s="1218"/>
      <c r="FI836" s="1218"/>
      <c r="FJ836" s="1218"/>
      <c r="FK836" s="1218"/>
      <c r="FL836" s="1218"/>
      <c r="FM836" s="1218"/>
      <c r="FN836" s="1218"/>
      <c r="FO836" s="1218"/>
      <c r="FP836" s="1218"/>
      <c r="FQ836" s="1218"/>
      <c r="FR836" s="1218"/>
      <c r="FS836" s="1218"/>
      <c r="FT836" s="1218"/>
      <c r="FU836" s="1218"/>
      <c r="FV836" s="1218"/>
      <c r="FW836" s="1218"/>
      <c r="FX836" s="1218"/>
      <c r="FY836" s="1218"/>
      <c r="FZ836" s="1218"/>
      <c r="GA836" s="1218"/>
      <c r="GB836" s="1218"/>
      <c r="GC836" s="1218"/>
      <c r="GD836" s="1218"/>
      <c r="GE836" s="1218"/>
      <c r="GF836" s="1218"/>
      <c r="GG836" s="1218"/>
      <c r="GH836" s="1218"/>
      <c r="GI836" s="1218"/>
      <c r="GJ836" s="1218"/>
      <c r="GK836" s="1218"/>
      <c r="GL836" s="1218"/>
      <c r="GM836" s="1218"/>
      <c r="GN836" s="1218"/>
      <c r="GO836" s="1218"/>
      <c r="GP836" s="1218"/>
      <c r="GQ836" s="1218"/>
      <c r="GR836" s="1218"/>
      <c r="GS836" s="1218"/>
      <c r="GT836" s="1218"/>
      <c r="GU836" s="1218"/>
      <c r="GV836" s="1218"/>
      <c r="GW836" s="1218"/>
      <c r="GX836" s="1218"/>
      <c r="GY836" s="1218"/>
      <c r="GZ836" s="1218"/>
      <c r="HA836" s="1218"/>
      <c r="HB836" s="1218"/>
      <c r="HC836" s="1218"/>
      <c r="HD836" s="1218"/>
      <c r="HE836" s="1218"/>
      <c r="HF836" s="1218"/>
      <c r="HG836" s="1218"/>
      <c r="HH836" s="1218"/>
      <c r="HI836" s="1218"/>
      <c r="HJ836" s="1218"/>
      <c r="HK836" s="1218"/>
      <c r="HL836" s="1218"/>
      <c r="HM836" s="1218"/>
      <c r="HN836" s="1218"/>
      <c r="HO836" s="1218"/>
      <c r="HP836" s="1218"/>
      <c r="HQ836" s="1218"/>
      <c r="HR836" s="1218"/>
      <c r="HS836" s="1218"/>
      <c r="HT836" s="1218"/>
      <c r="HU836" s="1218"/>
      <c r="HV836" s="1218"/>
      <c r="HW836" s="1218"/>
      <c r="HX836" s="1218"/>
      <c r="HY836" s="1218"/>
      <c r="HZ836" s="1218"/>
      <c r="IA836" s="1218"/>
      <c r="IB836" s="1218"/>
      <c r="IC836" s="1218"/>
      <c r="ID836" s="1218"/>
      <c r="IE836" s="1218"/>
      <c r="IF836" s="1218"/>
      <c r="IG836" s="1218"/>
      <c r="IH836" s="1218"/>
      <c r="II836" s="1218"/>
      <c r="IJ836" s="1218"/>
      <c r="IK836" s="1218"/>
      <c r="IL836" s="1218"/>
      <c r="IM836" s="1218"/>
      <c r="IN836" s="1218"/>
    </row>
    <row r="837" spans="1:248" s="1312" customFormat="1" ht="14.1" customHeight="1">
      <c r="A837" s="1318"/>
      <c r="B837" s="761"/>
      <c r="C837" s="762"/>
      <c r="D837" s="762"/>
      <c r="G837" s="1218"/>
      <c r="H837" s="1218"/>
      <c r="I837" s="1218"/>
      <c r="J837" s="1218"/>
      <c r="K837" s="1218"/>
      <c r="L837" s="1218"/>
      <c r="M837" s="1218"/>
      <c r="N837" s="1218"/>
      <c r="O837" s="1218"/>
      <c r="P837" s="1218"/>
      <c r="Q837" s="1218"/>
      <c r="R837" s="1218"/>
      <c r="S837" s="1218"/>
      <c r="T837" s="1218"/>
      <c r="U837" s="1218"/>
      <c r="V837" s="1218"/>
      <c r="W837" s="1218"/>
      <c r="X837" s="1218"/>
      <c r="Y837" s="1218"/>
      <c r="Z837" s="1218"/>
      <c r="AA837" s="1218"/>
      <c r="AB837" s="1218"/>
      <c r="AC837" s="1218"/>
      <c r="AD837" s="1218"/>
      <c r="AE837" s="1218"/>
      <c r="AF837" s="1218"/>
      <c r="AG837" s="1218"/>
      <c r="AH837" s="1218"/>
      <c r="AI837" s="1218"/>
      <c r="AJ837" s="1218"/>
      <c r="AK837" s="1218"/>
      <c r="AL837" s="1218"/>
      <c r="AM837" s="1218"/>
      <c r="AN837" s="1218"/>
      <c r="AO837" s="1218"/>
      <c r="AP837" s="1218"/>
      <c r="AQ837" s="1218"/>
      <c r="AR837" s="1218"/>
      <c r="AS837" s="1218"/>
      <c r="AT837" s="1218"/>
      <c r="AU837" s="1218"/>
      <c r="AV837" s="1218"/>
      <c r="AW837" s="1218"/>
      <c r="AX837" s="1218"/>
      <c r="AY837" s="1218"/>
      <c r="AZ837" s="1218"/>
      <c r="BA837" s="1218"/>
      <c r="BB837" s="1218"/>
      <c r="BC837" s="1218"/>
      <c r="BD837" s="1218"/>
      <c r="BE837" s="1218"/>
      <c r="BF837" s="1218"/>
      <c r="BG837" s="1218"/>
      <c r="BH837" s="1218"/>
      <c r="BI837" s="1218"/>
      <c r="BJ837" s="1218"/>
      <c r="BK837" s="1218"/>
      <c r="BL837" s="1218"/>
      <c r="BM837" s="1218"/>
      <c r="BN837" s="1218"/>
      <c r="BO837" s="1218"/>
      <c r="BP837" s="1218"/>
      <c r="BQ837" s="1218"/>
      <c r="BR837" s="1218"/>
      <c r="BS837" s="1218"/>
      <c r="BT837" s="1218"/>
      <c r="BU837" s="1218"/>
      <c r="BV837" s="1218"/>
      <c r="BW837" s="1218"/>
      <c r="BX837" s="1218"/>
      <c r="BY837" s="1218"/>
      <c r="BZ837" s="1218"/>
      <c r="CA837" s="1218"/>
      <c r="CB837" s="1218"/>
      <c r="CC837" s="1218"/>
      <c r="CD837" s="1218"/>
      <c r="CE837" s="1218"/>
      <c r="CF837" s="1218"/>
      <c r="CG837" s="1218"/>
      <c r="CH837" s="1218"/>
      <c r="CI837" s="1218"/>
      <c r="CJ837" s="1218"/>
      <c r="CK837" s="1218"/>
      <c r="CL837" s="1218"/>
      <c r="CM837" s="1218"/>
      <c r="CN837" s="1218"/>
      <c r="CO837" s="1218"/>
      <c r="CP837" s="1218"/>
      <c r="CQ837" s="1218"/>
      <c r="CR837" s="1218"/>
      <c r="CS837" s="1218"/>
      <c r="CT837" s="1218"/>
      <c r="CU837" s="1218"/>
      <c r="CV837" s="1218"/>
      <c r="CW837" s="1218"/>
      <c r="CX837" s="1218"/>
      <c r="CY837" s="1218"/>
      <c r="CZ837" s="1218"/>
      <c r="DA837" s="1218"/>
      <c r="DB837" s="1218"/>
      <c r="DC837" s="1218"/>
      <c r="DD837" s="1218"/>
      <c r="DE837" s="1218"/>
      <c r="DF837" s="1218"/>
      <c r="DG837" s="1218"/>
      <c r="DH837" s="1218"/>
      <c r="DI837" s="1218"/>
      <c r="DJ837" s="1218"/>
      <c r="DK837" s="1218"/>
      <c r="DL837" s="1218"/>
      <c r="DM837" s="1218"/>
      <c r="DN837" s="1218"/>
      <c r="DO837" s="1218"/>
      <c r="DP837" s="1218"/>
      <c r="DQ837" s="1218"/>
      <c r="DR837" s="1218"/>
      <c r="DS837" s="1218"/>
      <c r="DT837" s="1218"/>
      <c r="DU837" s="1218"/>
      <c r="DV837" s="1218"/>
      <c r="DW837" s="1218"/>
      <c r="DX837" s="1218"/>
      <c r="DY837" s="1218"/>
      <c r="DZ837" s="1218"/>
      <c r="EA837" s="1218"/>
      <c r="EB837" s="1218"/>
      <c r="EC837" s="1218"/>
      <c r="ED837" s="1218"/>
      <c r="EE837" s="1218"/>
      <c r="EF837" s="1218"/>
      <c r="EG837" s="1218"/>
      <c r="EH837" s="1218"/>
      <c r="EI837" s="1218"/>
      <c r="EJ837" s="1218"/>
      <c r="EK837" s="1218"/>
      <c r="EL837" s="1218"/>
      <c r="EM837" s="1218"/>
      <c r="EN837" s="1218"/>
      <c r="EO837" s="1218"/>
      <c r="EP837" s="1218"/>
      <c r="EQ837" s="1218"/>
      <c r="ER837" s="1218"/>
      <c r="ES837" s="1218"/>
      <c r="ET837" s="1218"/>
      <c r="EU837" s="1218"/>
      <c r="EV837" s="1218"/>
      <c r="EW837" s="1218"/>
      <c r="EX837" s="1218"/>
      <c r="EY837" s="1218"/>
      <c r="EZ837" s="1218"/>
      <c r="FA837" s="1218"/>
      <c r="FB837" s="1218"/>
      <c r="FC837" s="1218"/>
      <c r="FD837" s="1218"/>
      <c r="FE837" s="1218"/>
      <c r="FF837" s="1218"/>
      <c r="FG837" s="1218"/>
      <c r="FH837" s="1218"/>
      <c r="FI837" s="1218"/>
      <c r="FJ837" s="1218"/>
      <c r="FK837" s="1218"/>
      <c r="FL837" s="1218"/>
      <c r="FM837" s="1218"/>
      <c r="FN837" s="1218"/>
      <c r="FO837" s="1218"/>
      <c r="FP837" s="1218"/>
      <c r="FQ837" s="1218"/>
      <c r="FR837" s="1218"/>
      <c r="FS837" s="1218"/>
      <c r="FT837" s="1218"/>
      <c r="FU837" s="1218"/>
      <c r="FV837" s="1218"/>
      <c r="FW837" s="1218"/>
      <c r="FX837" s="1218"/>
      <c r="FY837" s="1218"/>
      <c r="FZ837" s="1218"/>
      <c r="GA837" s="1218"/>
      <c r="GB837" s="1218"/>
      <c r="GC837" s="1218"/>
      <c r="GD837" s="1218"/>
      <c r="GE837" s="1218"/>
      <c r="GF837" s="1218"/>
      <c r="GG837" s="1218"/>
      <c r="GH837" s="1218"/>
      <c r="GI837" s="1218"/>
      <c r="GJ837" s="1218"/>
      <c r="GK837" s="1218"/>
      <c r="GL837" s="1218"/>
      <c r="GM837" s="1218"/>
      <c r="GN837" s="1218"/>
      <c r="GO837" s="1218"/>
      <c r="GP837" s="1218"/>
      <c r="GQ837" s="1218"/>
      <c r="GR837" s="1218"/>
      <c r="GS837" s="1218"/>
      <c r="GT837" s="1218"/>
      <c r="GU837" s="1218"/>
      <c r="GV837" s="1218"/>
      <c r="GW837" s="1218"/>
      <c r="GX837" s="1218"/>
      <c r="GY837" s="1218"/>
      <c r="GZ837" s="1218"/>
      <c r="HA837" s="1218"/>
      <c r="HB837" s="1218"/>
      <c r="HC837" s="1218"/>
      <c r="HD837" s="1218"/>
      <c r="HE837" s="1218"/>
      <c r="HF837" s="1218"/>
      <c r="HG837" s="1218"/>
      <c r="HH837" s="1218"/>
      <c r="HI837" s="1218"/>
      <c r="HJ837" s="1218"/>
      <c r="HK837" s="1218"/>
      <c r="HL837" s="1218"/>
      <c r="HM837" s="1218"/>
      <c r="HN837" s="1218"/>
      <c r="HO837" s="1218"/>
      <c r="HP837" s="1218"/>
      <c r="HQ837" s="1218"/>
      <c r="HR837" s="1218"/>
      <c r="HS837" s="1218"/>
      <c r="HT837" s="1218"/>
      <c r="HU837" s="1218"/>
      <c r="HV837" s="1218"/>
      <c r="HW837" s="1218"/>
      <c r="HX837" s="1218"/>
      <c r="HY837" s="1218"/>
      <c r="HZ837" s="1218"/>
      <c r="IA837" s="1218"/>
      <c r="IB837" s="1218"/>
      <c r="IC837" s="1218"/>
      <c r="ID837" s="1218"/>
      <c r="IE837" s="1218"/>
      <c r="IF837" s="1218"/>
      <c r="IG837" s="1218"/>
      <c r="IH837" s="1218"/>
      <c r="II837" s="1218"/>
      <c r="IJ837" s="1218"/>
      <c r="IK837" s="1218"/>
      <c r="IL837" s="1218"/>
      <c r="IM837" s="1218"/>
      <c r="IN837" s="1218"/>
    </row>
    <row r="838" spans="1:248" s="1312" customFormat="1" ht="14.1" customHeight="1">
      <c r="A838" s="1318"/>
      <c r="B838" s="1160" t="s">
        <v>3959</v>
      </c>
      <c r="C838" s="193" t="s">
        <v>4127</v>
      </c>
      <c r="D838" s="1314"/>
      <c r="G838" s="1218"/>
      <c r="H838" s="1218"/>
      <c r="I838" s="1218"/>
      <c r="J838" s="1218"/>
      <c r="K838" s="1218"/>
      <c r="L838" s="1218"/>
      <c r="M838" s="1218"/>
      <c r="N838" s="1218"/>
      <c r="O838" s="1218"/>
      <c r="P838" s="1218"/>
      <c r="Q838" s="1218"/>
      <c r="R838" s="1218"/>
      <c r="S838" s="1218"/>
      <c r="T838" s="1218"/>
      <c r="U838" s="1218"/>
      <c r="V838" s="1218"/>
      <c r="W838" s="1218"/>
      <c r="X838" s="1218"/>
      <c r="Y838" s="1218"/>
      <c r="Z838" s="1218"/>
      <c r="AA838" s="1218"/>
      <c r="AB838" s="1218"/>
      <c r="AC838" s="1218"/>
      <c r="AD838" s="1218"/>
      <c r="AE838" s="1218"/>
      <c r="AF838" s="1218"/>
      <c r="AG838" s="1218"/>
      <c r="AH838" s="1218"/>
      <c r="AI838" s="1218"/>
      <c r="AJ838" s="1218"/>
      <c r="AK838" s="1218"/>
      <c r="AL838" s="1218"/>
      <c r="AM838" s="1218"/>
      <c r="AN838" s="1218"/>
      <c r="AO838" s="1218"/>
      <c r="AP838" s="1218"/>
      <c r="AQ838" s="1218"/>
      <c r="AR838" s="1218"/>
      <c r="AS838" s="1218"/>
      <c r="AT838" s="1218"/>
      <c r="AU838" s="1218"/>
      <c r="AV838" s="1218"/>
      <c r="AW838" s="1218"/>
      <c r="AX838" s="1218"/>
      <c r="AY838" s="1218"/>
      <c r="AZ838" s="1218"/>
      <c r="BA838" s="1218"/>
      <c r="BB838" s="1218"/>
      <c r="BC838" s="1218"/>
      <c r="BD838" s="1218"/>
      <c r="BE838" s="1218"/>
      <c r="BF838" s="1218"/>
      <c r="BG838" s="1218"/>
      <c r="BH838" s="1218"/>
      <c r="BI838" s="1218"/>
      <c r="BJ838" s="1218"/>
      <c r="BK838" s="1218"/>
      <c r="BL838" s="1218"/>
      <c r="BM838" s="1218"/>
      <c r="BN838" s="1218"/>
      <c r="BO838" s="1218"/>
      <c r="BP838" s="1218"/>
      <c r="BQ838" s="1218"/>
      <c r="BR838" s="1218"/>
      <c r="BS838" s="1218"/>
      <c r="BT838" s="1218"/>
      <c r="BU838" s="1218"/>
      <c r="BV838" s="1218"/>
      <c r="BW838" s="1218"/>
      <c r="BX838" s="1218"/>
      <c r="BY838" s="1218"/>
      <c r="BZ838" s="1218"/>
      <c r="CA838" s="1218"/>
      <c r="CB838" s="1218"/>
      <c r="CC838" s="1218"/>
      <c r="CD838" s="1218"/>
      <c r="CE838" s="1218"/>
      <c r="CF838" s="1218"/>
      <c r="CG838" s="1218"/>
      <c r="CH838" s="1218"/>
      <c r="CI838" s="1218"/>
      <c r="CJ838" s="1218"/>
      <c r="CK838" s="1218"/>
      <c r="CL838" s="1218"/>
      <c r="CM838" s="1218"/>
      <c r="CN838" s="1218"/>
      <c r="CO838" s="1218"/>
      <c r="CP838" s="1218"/>
      <c r="CQ838" s="1218"/>
      <c r="CR838" s="1218"/>
      <c r="CS838" s="1218"/>
      <c r="CT838" s="1218"/>
      <c r="CU838" s="1218"/>
      <c r="CV838" s="1218"/>
      <c r="CW838" s="1218"/>
      <c r="CX838" s="1218"/>
      <c r="CY838" s="1218"/>
      <c r="CZ838" s="1218"/>
      <c r="DA838" s="1218"/>
      <c r="DB838" s="1218"/>
      <c r="DC838" s="1218"/>
      <c r="DD838" s="1218"/>
      <c r="DE838" s="1218"/>
      <c r="DF838" s="1218"/>
      <c r="DG838" s="1218"/>
      <c r="DH838" s="1218"/>
      <c r="DI838" s="1218"/>
      <c r="DJ838" s="1218"/>
      <c r="DK838" s="1218"/>
      <c r="DL838" s="1218"/>
      <c r="DM838" s="1218"/>
      <c r="DN838" s="1218"/>
      <c r="DO838" s="1218"/>
      <c r="DP838" s="1218"/>
      <c r="DQ838" s="1218"/>
      <c r="DR838" s="1218"/>
      <c r="DS838" s="1218"/>
      <c r="DT838" s="1218"/>
      <c r="DU838" s="1218"/>
      <c r="DV838" s="1218"/>
      <c r="DW838" s="1218"/>
      <c r="DX838" s="1218"/>
      <c r="DY838" s="1218"/>
      <c r="DZ838" s="1218"/>
      <c r="EA838" s="1218"/>
      <c r="EB838" s="1218"/>
      <c r="EC838" s="1218"/>
      <c r="ED838" s="1218"/>
      <c r="EE838" s="1218"/>
      <c r="EF838" s="1218"/>
      <c r="EG838" s="1218"/>
      <c r="EH838" s="1218"/>
      <c r="EI838" s="1218"/>
      <c r="EJ838" s="1218"/>
      <c r="EK838" s="1218"/>
      <c r="EL838" s="1218"/>
      <c r="EM838" s="1218"/>
      <c r="EN838" s="1218"/>
      <c r="EO838" s="1218"/>
      <c r="EP838" s="1218"/>
      <c r="EQ838" s="1218"/>
      <c r="ER838" s="1218"/>
      <c r="ES838" s="1218"/>
      <c r="ET838" s="1218"/>
      <c r="EU838" s="1218"/>
      <c r="EV838" s="1218"/>
      <c r="EW838" s="1218"/>
      <c r="EX838" s="1218"/>
      <c r="EY838" s="1218"/>
      <c r="EZ838" s="1218"/>
      <c r="FA838" s="1218"/>
      <c r="FB838" s="1218"/>
      <c r="FC838" s="1218"/>
      <c r="FD838" s="1218"/>
      <c r="FE838" s="1218"/>
      <c r="FF838" s="1218"/>
      <c r="FG838" s="1218"/>
      <c r="FH838" s="1218"/>
      <c r="FI838" s="1218"/>
      <c r="FJ838" s="1218"/>
      <c r="FK838" s="1218"/>
      <c r="FL838" s="1218"/>
      <c r="FM838" s="1218"/>
      <c r="FN838" s="1218"/>
      <c r="FO838" s="1218"/>
      <c r="FP838" s="1218"/>
      <c r="FQ838" s="1218"/>
      <c r="FR838" s="1218"/>
      <c r="FS838" s="1218"/>
      <c r="FT838" s="1218"/>
      <c r="FU838" s="1218"/>
      <c r="FV838" s="1218"/>
      <c r="FW838" s="1218"/>
      <c r="FX838" s="1218"/>
      <c r="FY838" s="1218"/>
      <c r="FZ838" s="1218"/>
      <c r="GA838" s="1218"/>
      <c r="GB838" s="1218"/>
      <c r="GC838" s="1218"/>
      <c r="GD838" s="1218"/>
      <c r="GE838" s="1218"/>
      <c r="GF838" s="1218"/>
      <c r="GG838" s="1218"/>
      <c r="GH838" s="1218"/>
      <c r="GI838" s="1218"/>
      <c r="GJ838" s="1218"/>
      <c r="GK838" s="1218"/>
      <c r="GL838" s="1218"/>
      <c r="GM838" s="1218"/>
      <c r="GN838" s="1218"/>
      <c r="GO838" s="1218"/>
      <c r="GP838" s="1218"/>
      <c r="GQ838" s="1218"/>
      <c r="GR838" s="1218"/>
      <c r="GS838" s="1218"/>
      <c r="GT838" s="1218"/>
      <c r="GU838" s="1218"/>
      <c r="GV838" s="1218"/>
      <c r="GW838" s="1218"/>
      <c r="GX838" s="1218"/>
      <c r="GY838" s="1218"/>
      <c r="GZ838" s="1218"/>
      <c r="HA838" s="1218"/>
      <c r="HB838" s="1218"/>
      <c r="HC838" s="1218"/>
      <c r="HD838" s="1218"/>
      <c r="HE838" s="1218"/>
      <c r="HF838" s="1218"/>
      <c r="HG838" s="1218"/>
      <c r="HH838" s="1218"/>
      <c r="HI838" s="1218"/>
      <c r="HJ838" s="1218"/>
      <c r="HK838" s="1218"/>
      <c r="HL838" s="1218"/>
      <c r="HM838" s="1218"/>
      <c r="HN838" s="1218"/>
      <c r="HO838" s="1218"/>
      <c r="HP838" s="1218"/>
      <c r="HQ838" s="1218"/>
      <c r="HR838" s="1218"/>
      <c r="HS838" s="1218"/>
      <c r="HT838" s="1218"/>
      <c r="HU838" s="1218"/>
      <c r="HV838" s="1218"/>
      <c r="HW838" s="1218"/>
      <c r="HX838" s="1218"/>
      <c r="HY838" s="1218"/>
      <c r="HZ838" s="1218"/>
      <c r="IA838" s="1218"/>
      <c r="IB838" s="1218"/>
      <c r="IC838" s="1218"/>
      <c r="ID838" s="1218"/>
      <c r="IE838" s="1218"/>
      <c r="IF838" s="1218"/>
      <c r="IG838" s="1218"/>
      <c r="IH838" s="1218"/>
      <c r="II838" s="1218"/>
      <c r="IJ838" s="1218"/>
      <c r="IK838" s="1218"/>
      <c r="IL838" s="1218"/>
      <c r="IM838" s="1218"/>
      <c r="IN838" s="1218"/>
    </row>
    <row r="839" spans="1:248" s="1312" customFormat="1" ht="14.1" customHeight="1">
      <c r="A839" s="1318"/>
      <c r="B839" s="909"/>
      <c r="C839" s="193" t="s">
        <v>4128</v>
      </c>
      <c r="D839" s="1314"/>
      <c r="G839" s="1218"/>
      <c r="H839" s="1218"/>
      <c r="I839" s="1218"/>
      <c r="J839" s="1218"/>
      <c r="K839" s="1218"/>
      <c r="L839" s="1218"/>
      <c r="M839" s="1218"/>
      <c r="N839" s="1218"/>
      <c r="O839" s="1218"/>
      <c r="P839" s="1218"/>
      <c r="Q839" s="1218"/>
      <c r="R839" s="1218"/>
      <c r="S839" s="1218"/>
      <c r="T839" s="1218"/>
      <c r="U839" s="1218"/>
      <c r="V839" s="1218"/>
      <c r="W839" s="1218"/>
      <c r="X839" s="1218"/>
      <c r="Y839" s="1218"/>
      <c r="Z839" s="1218"/>
      <c r="AA839" s="1218"/>
      <c r="AB839" s="1218"/>
      <c r="AC839" s="1218"/>
      <c r="AD839" s="1218"/>
      <c r="AE839" s="1218"/>
      <c r="AF839" s="1218"/>
      <c r="AG839" s="1218"/>
      <c r="AH839" s="1218"/>
      <c r="AI839" s="1218"/>
      <c r="AJ839" s="1218"/>
      <c r="AK839" s="1218"/>
      <c r="AL839" s="1218"/>
      <c r="AM839" s="1218"/>
      <c r="AN839" s="1218"/>
      <c r="AO839" s="1218"/>
      <c r="AP839" s="1218"/>
      <c r="AQ839" s="1218"/>
      <c r="AR839" s="1218"/>
      <c r="AS839" s="1218"/>
      <c r="AT839" s="1218"/>
      <c r="AU839" s="1218"/>
      <c r="AV839" s="1218"/>
      <c r="AW839" s="1218"/>
      <c r="AX839" s="1218"/>
      <c r="AY839" s="1218"/>
      <c r="AZ839" s="1218"/>
      <c r="BA839" s="1218"/>
      <c r="BB839" s="1218"/>
      <c r="BC839" s="1218"/>
      <c r="BD839" s="1218"/>
      <c r="BE839" s="1218"/>
      <c r="BF839" s="1218"/>
      <c r="BG839" s="1218"/>
      <c r="BH839" s="1218"/>
      <c r="BI839" s="1218"/>
      <c r="BJ839" s="1218"/>
      <c r="BK839" s="1218"/>
      <c r="BL839" s="1218"/>
      <c r="BM839" s="1218"/>
      <c r="BN839" s="1218"/>
      <c r="BO839" s="1218"/>
      <c r="BP839" s="1218"/>
      <c r="BQ839" s="1218"/>
      <c r="BR839" s="1218"/>
      <c r="BS839" s="1218"/>
      <c r="BT839" s="1218"/>
      <c r="BU839" s="1218"/>
      <c r="BV839" s="1218"/>
      <c r="BW839" s="1218"/>
      <c r="BX839" s="1218"/>
      <c r="BY839" s="1218"/>
      <c r="BZ839" s="1218"/>
      <c r="CA839" s="1218"/>
      <c r="CB839" s="1218"/>
      <c r="CC839" s="1218"/>
      <c r="CD839" s="1218"/>
      <c r="CE839" s="1218"/>
      <c r="CF839" s="1218"/>
      <c r="CG839" s="1218"/>
      <c r="CH839" s="1218"/>
      <c r="CI839" s="1218"/>
      <c r="CJ839" s="1218"/>
      <c r="CK839" s="1218"/>
      <c r="CL839" s="1218"/>
      <c r="CM839" s="1218"/>
      <c r="CN839" s="1218"/>
      <c r="CO839" s="1218"/>
      <c r="CP839" s="1218"/>
      <c r="CQ839" s="1218"/>
      <c r="CR839" s="1218"/>
      <c r="CS839" s="1218"/>
      <c r="CT839" s="1218"/>
      <c r="CU839" s="1218"/>
      <c r="CV839" s="1218"/>
      <c r="CW839" s="1218"/>
      <c r="CX839" s="1218"/>
      <c r="CY839" s="1218"/>
      <c r="CZ839" s="1218"/>
      <c r="DA839" s="1218"/>
      <c r="DB839" s="1218"/>
      <c r="DC839" s="1218"/>
      <c r="DD839" s="1218"/>
      <c r="DE839" s="1218"/>
      <c r="DF839" s="1218"/>
      <c r="DG839" s="1218"/>
      <c r="DH839" s="1218"/>
      <c r="DI839" s="1218"/>
      <c r="DJ839" s="1218"/>
      <c r="DK839" s="1218"/>
      <c r="DL839" s="1218"/>
      <c r="DM839" s="1218"/>
      <c r="DN839" s="1218"/>
      <c r="DO839" s="1218"/>
      <c r="DP839" s="1218"/>
      <c r="DQ839" s="1218"/>
      <c r="DR839" s="1218"/>
      <c r="DS839" s="1218"/>
      <c r="DT839" s="1218"/>
      <c r="DU839" s="1218"/>
      <c r="DV839" s="1218"/>
      <c r="DW839" s="1218"/>
      <c r="DX839" s="1218"/>
      <c r="DY839" s="1218"/>
      <c r="DZ839" s="1218"/>
      <c r="EA839" s="1218"/>
      <c r="EB839" s="1218"/>
      <c r="EC839" s="1218"/>
      <c r="ED839" s="1218"/>
      <c r="EE839" s="1218"/>
      <c r="EF839" s="1218"/>
      <c r="EG839" s="1218"/>
      <c r="EH839" s="1218"/>
      <c r="EI839" s="1218"/>
      <c r="EJ839" s="1218"/>
      <c r="EK839" s="1218"/>
      <c r="EL839" s="1218"/>
      <c r="EM839" s="1218"/>
      <c r="EN839" s="1218"/>
      <c r="EO839" s="1218"/>
      <c r="EP839" s="1218"/>
      <c r="EQ839" s="1218"/>
      <c r="ER839" s="1218"/>
      <c r="ES839" s="1218"/>
      <c r="ET839" s="1218"/>
      <c r="EU839" s="1218"/>
      <c r="EV839" s="1218"/>
      <c r="EW839" s="1218"/>
      <c r="EX839" s="1218"/>
      <c r="EY839" s="1218"/>
      <c r="EZ839" s="1218"/>
      <c r="FA839" s="1218"/>
      <c r="FB839" s="1218"/>
      <c r="FC839" s="1218"/>
      <c r="FD839" s="1218"/>
      <c r="FE839" s="1218"/>
      <c r="FF839" s="1218"/>
      <c r="FG839" s="1218"/>
      <c r="FH839" s="1218"/>
      <c r="FI839" s="1218"/>
      <c r="FJ839" s="1218"/>
      <c r="FK839" s="1218"/>
      <c r="FL839" s="1218"/>
      <c r="FM839" s="1218"/>
      <c r="FN839" s="1218"/>
      <c r="FO839" s="1218"/>
      <c r="FP839" s="1218"/>
      <c r="FQ839" s="1218"/>
      <c r="FR839" s="1218"/>
      <c r="FS839" s="1218"/>
      <c r="FT839" s="1218"/>
      <c r="FU839" s="1218"/>
      <c r="FV839" s="1218"/>
      <c r="FW839" s="1218"/>
      <c r="FX839" s="1218"/>
      <c r="FY839" s="1218"/>
      <c r="FZ839" s="1218"/>
      <c r="GA839" s="1218"/>
      <c r="GB839" s="1218"/>
      <c r="GC839" s="1218"/>
      <c r="GD839" s="1218"/>
      <c r="GE839" s="1218"/>
      <c r="GF839" s="1218"/>
      <c r="GG839" s="1218"/>
      <c r="GH839" s="1218"/>
      <c r="GI839" s="1218"/>
      <c r="GJ839" s="1218"/>
      <c r="GK839" s="1218"/>
      <c r="GL839" s="1218"/>
      <c r="GM839" s="1218"/>
      <c r="GN839" s="1218"/>
      <c r="GO839" s="1218"/>
      <c r="GP839" s="1218"/>
      <c r="GQ839" s="1218"/>
      <c r="GR839" s="1218"/>
      <c r="GS839" s="1218"/>
      <c r="GT839" s="1218"/>
      <c r="GU839" s="1218"/>
      <c r="GV839" s="1218"/>
      <c r="GW839" s="1218"/>
      <c r="GX839" s="1218"/>
      <c r="GY839" s="1218"/>
      <c r="GZ839" s="1218"/>
      <c r="HA839" s="1218"/>
      <c r="HB839" s="1218"/>
      <c r="HC839" s="1218"/>
      <c r="HD839" s="1218"/>
      <c r="HE839" s="1218"/>
      <c r="HF839" s="1218"/>
      <c r="HG839" s="1218"/>
      <c r="HH839" s="1218"/>
      <c r="HI839" s="1218"/>
      <c r="HJ839" s="1218"/>
      <c r="HK839" s="1218"/>
      <c r="HL839" s="1218"/>
      <c r="HM839" s="1218"/>
      <c r="HN839" s="1218"/>
      <c r="HO839" s="1218"/>
      <c r="HP839" s="1218"/>
      <c r="HQ839" s="1218"/>
      <c r="HR839" s="1218"/>
      <c r="HS839" s="1218"/>
      <c r="HT839" s="1218"/>
      <c r="HU839" s="1218"/>
      <c r="HV839" s="1218"/>
      <c r="HW839" s="1218"/>
      <c r="HX839" s="1218"/>
      <c r="HY839" s="1218"/>
      <c r="HZ839" s="1218"/>
      <c r="IA839" s="1218"/>
      <c r="IB839" s="1218"/>
      <c r="IC839" s="1218"/>
      <c r="ID839" s="1218"/>
      <c r="IE839" s="1218"/>
      <c r="IF839" s="1218"/>
      <c r="IG839" s="1218"/>
      <c r="IH839" s="1218"/>
      <c r="II839" s="1218"/>
      <c r="IJ839" s="1218"/>
      <c r="IK839" s="1218"/>
      <c r="IL839" s="1218"/>
      <c r="IM839" s="1218"/>
      <c r="IN839" s="1218"/>
    </row>
    <row r="840" spans="1:248" s="1312" customFormat="1" ht="14.1" customHeight="1">
      <c r="A840" s="1318"/>
      <c r="B840" s="761"/>
      <c r="C840" s="762"/>
      <c r="D840" s="762"/>
      <c r="G840" s="1218"/>
      <c r="H840" s="1218"/>
      <c r="I840" s="1218"/>
      <c r="J840" s="1218"/>
      <c r="K840" s="1218"/>
      <c r="L840" s="1218"/>
      <c r="M840" s="1218"/>
      <c r="N840" s="1218"/>
      <c r="O840" s="1218"/>
      <c r="P840" s="1218"/>
      <c r="Q840" s="1218"/>
      <c r="R840" s="1218"/>
      <c r="S840" s="1218"/>
      <c r="T840" s="1218"/>
      <c r="U840" s="1218"/>
      <c r="V840" s="1218"/>
      <c r="W840" s="1218"/>
      <c r="X840" s="1218"/>
      <c r="Y840" s="1218"/>
      <c r="Z840" s="1218"/>
      <c r="AA840" s="1218"/>
      <c r="AB840" s="1218"/>
      <c r="AC840" s="1218"/>
      <c r="AD840" s="1218"/>
      <c r="AE840" s="1218"/>
      <c r="AF840" s="1218"/>
      <c r="AG840" s="1218"/>
      <c r="AH840" s="1218"/>
      <c r="AI840" s="1218"/>
      <c r="AJ840" s="1218"/>
      <c r="AK840" s="1218"/>
      <c r="AL840" s="1218"/>
      <c r="AM840" s="1218"/>
      <c r="AN840" s="1218"/>
      <c r="AO840" s="1218"/>
      <c r="AP840" s="1218"/>
      <c r="AQ840" s="1218"/>
      <c r="AR840" s="1218"/>
      <c r="AS840" s="1218"/>
      <c r="AT840" s="1218"/>
      <c r="AU840" s="1218"/>
      <c r="AV840" s="1218"/>
      <c r="AW840" s="1218"/>
      <c r="AX840" s="1218"/>
      <c r="AY840" s="1218"/>
      <c r="AZ840" s="1218"/>
      <c r="BA840" s="1218"/>
      <c r="BB840" s="1218"/>
      <c r="BC840" s="1218"/>
      <c r="BD840" s="1218"/>
      <c r="BE840" s="1218"/>
      <c r="BF840" s="1218"/>
      <c r="BG840" s="1218"/>
      <c r="BH840" s="1218"/>
      <c r="BI840" s="1218"/>
      <c r="BJ840" s="1218"/>
      <c r="BK840" s="1218"/>
      <c r="BL840" s="1218"/>
      <c r="BM840" s="1218"/>
      <c r="BN840" s="1218"/>
      <c r="BO840" s="1218"/>
      <c r="BP840" s="1218"/>
      <c r="BQ840" s="1218"/>
      <c r="BR840" s="1218"/>
      <c r="BS840" s="1218"/>
      <c r="BT840" s="1218"/>
      <c r="BU840" s="1218"/>
      <c r="BV840" s="1218"/>
      <c r="BW840" s="1218"/>
      <c r="BX840" s="1218"/>
      <c r="BY840" s="1218"/>
      <c r="BZ840" s="1218"/>
      <c r="CA840" s="1218"/>
      <c r="CB840" s="1218"/>
      <c r="CC840" s="1218"/>
      <c r="CD840" s="1218"/>
      <c r="CE840" s="1218"/>
      <c r="CF840" s="1218"/>
      <c r="CG840" s="1218"/>
      <c r="CH840" s="1218"/>
      <c r="CI840" s="1218"/>
      <c r="CJ840" s="1218"/>
      <c r="CK840" s="1218"/>
      <c r="CL840" s="1218"/>
      <c r="CM840" s="1218"/>
      <c r="CN840" s="1218"/>
      <c r="CO840" s="1218"/>
      <c r="CP840" s="1218"/>
      <c r="CQ840" s="1218"/>
      <c r="CR840" s="1218"/>
      <c r="CS840" s="1218"/>
      <c r="CT840" s="1218"/>
      <c r="CU840" s="1218"/>
      <c r="CV840" s="1218"/>
      <c r="CW840" s="1218"/>
      <c r="CX840" s="1218"/>
      <c r="CY840" s="1218"/>
      <c r="CZ840" s="1218"/>
      <c r="DA840" s="1218"/>
      <c r="DB840" s="1218"/>
      <c r="DC840" s="1218"/>
      <c r="DD840" s="1218"/>
      <c r="DE840" s="1218"/>
      <c r="DF840" s="1218"/>
      <c r="DG840" s="1218"/>
      <c r="DH840" s="1218"/>
      <c r="DI840" s="1218"/>
      <c r="DJ840" s="1218"/>
      <c r="DK840" s="1218"/>
      <c r="DL840" s="1218"/>
      <c r="DM840" s="1218"/>
      <c r="DN840" s="1218"/>
      <c r="DO840" s="1218"/>
      <c r="DP840" s="1218"/>
      <c r="DQ840" s="1218"/>
      <c r="DR840" s="1218"/>
      <c r="DS840" s="1218"/>
      <c r="DT840" s="1218"/>
      <c r="DU840" s="1218"/>
      <c r="DV840" s="1218"/>
      <c r="DW840" s="1218"/>
      <c r="DX840" s="1218"/>
      <c r="DY840" s="1218"/>
      <c r="DZ840" s="1218"/>
      <c r="EA840" s="1218"/>
      <c r="EB840" s="1218"/>
      <c r="EC840" s="1218"/>
      <c r="ED840" s="1218"/>
      <c r="EE840" s="1218"/>
      <c r="EF840" s="1218"/>
      <c r="EG840" s="1218"/>
      <c r="EH840" s="1218"/>
      <c r="EI840" s="1218"/>
      <c r="EJ840" s="1218"/>
      <c r="EK840" s="1218"/>
      <c r="EL840" s="1218"/>
      <c r="EM840" s="1218"/>
      <c r="EN840" s="1218"/>
      <c r="EO840" s="1218"/>
      <c r="EP840" s="1218"/>
      <c r="EQ840" s="1218"/>
      <c r="ER840" s="1218"/>
      <c r="ES840" s="1218"/>
      <c r="ET840" s="1218"/>
      <c r="EU840" s="1218"/>
      <c r="EV840" s="1218"/>
      <c r="EW840" s="1218"/>
      <c r="EX840" s="1218"/>
      <c r="EY840" s="1218"/>
      <c r="EZ840" s="1218"/>
      <c r="FA840" s="1218"/>
      <c r="FB840" s="1218"/>
      <c r="FC840" s="1218"/>
      <c r="FD840" s="1218"/>
      <c r="FE840" s="1218"/>
      <c r="FF840" s="1218"/>
      <c r="FG840" s="1218"/>
      <c r="FH840" s="1218"/>
      <c r="FI840" s="1218"/>
      <c r="FJ840" s="1218"/>
      <c r="FK840" s="1218"/>
      <c r="FL840" s="1218"/>
      <c r="FM840" s="1218"/>
      <c r="FN840" s="1218"/>
      <c r="FO840" s="1218"/>
      <c r="FP840" s="1218"/>
      <c r="FQ840" s="1218"/>
      <c r="FR840" s="1218"/>
      <c r="FS840" s="1218"/>
      <c r="FT840" s="1218"/>
      <c r="FU840" s="1218"/>
      <c r="FV840" s="1218"/>
      <c r="FW840" s="1218"/>
      <c r="FX840" s="1218"/>
      <c r="FY840" s="1218"/>
      <c r="FZ840" s="1218"/>
      <c r="GA840" s="1218"/>
      <c r="GB840" s="1218"/>
      <c r="GC840" s="1218"/>
      <c r="GD840" s="1218"/>
      <c r="GE840" s="1218"/>
      <c r="GF840" s="1218"/>
      <c r="GG840" s="1218"/>
      <c r="GH840" s="1218"/>
      <c r="GI840" s="1218"/>
      <c r="GJ840" s="1218"/>
      <c r="GK840" s="1218"/>
      <c r="GL840" s="1218"/>
      <c r="GM840" s="1218"/>
      <c r="GN840" s="1218"/>
      <c r="GO840" s="1218"/>
      <c r="GP840" s="1218"/>
      <c r="GQ840" s="1218"/>
      <c r="GR840" s="1218"/>
      <c r="GS840" s="1218"/>
      <c r="GT840" s="1218"/>
      <c r="GU840" s="1218"/>
      <c r="GV840" s="1218"/>
      <c r="GW840" s="1218"/>
      <c r="GX840" s="1218"/>
      <c r="GY840" s="1218"/>
      <c r="GZ840" s="1218"/>
      <c r="HA840" s="1218"/>
      <c r="HB840" s="1218"/>
      <c r="HC840" s="1218"/>
      <c r="HD840" s="1218"/>
      <c r="HE840" s="1218"/>
      <c r="HF840" s="1218"/>
      <c r="HG840" s="1218"/>
      <c r="HH840" s="1218"/>
      <c r="HI840" s="1218"/>
      <c r="HJ840" s="1218"/>
      <c r="HK840" s="1218"/>
      <c r="HL840" s="1218"/>
      <c r="HM840" s="1218"/>
      <c r="HN840" s="1218"/>
      <c r="HO840" s="1218"/>
      <c r="HP840" s="1218"/>
      <c r="HQ840" s="1218"/>
      <c r="HR840" s="1218"/>
      <c r="HS840" s="1218"/>
      <c r="HT840" s="1218"/>
      <c r="HU840" s="1218"/>
      <c r="HV840" s="1218"/>
      <c r="HW840" s="1218"/>
      <c r="HX840" s="1218"/>
      <c r="HY840" s="1218"/>
      <c r="HZ840" s="1218"/>
      <c r="IA840" s="1218"/>
      <c r="IB840" s="1218"/>
      <c r="IC840" s="1218"/>
      <c r="ID840" s="1218"/>
      <c r="IE840" s="1218"/>
      <c r="IF840" s="1218"/>
      <c r="IG840" s="1218"/>
      <c r="IH840" s="1218"/>
      <c r="II840" s="1218"/>
      <c r="IJ840" s="1218"/>
      <c r="IK840" s="1218"/>
      <c r="IL840" s="1218"/>
      <c r="IM840" s="1218"/>
      <c r="IN840" s="1218"/>
    </row>
    <row r="841" spans="1:248" s="1312" customFormat="1" ht="14.1" customHeight="1">
      <c r="A841" s="1318"/>
      <c r="B841" s="1160" t="s">
        <v>4129</v>
      </c>
      <c r="C841" s="193" t="s">
        <v>4130</v>
      </c>
      <c r="D841" s="1314"/>
      <c r="G841" s="1218"/>
      <c r="H841" s="1218"/>
      <c r="I841" s="1218"/>
      <c r="J841" s="1218"/>
      <c r="K841" s="1218"/>
      <c r="L841" s="1218"/>
      <c r="M841" s="1218"/>
      <c r="N841" s="1218"/>
      <c r="O841" s="1218"/>
      <c r="P841" s="1218"/>
      <c r="Q841" s="1218"/>
      <c r="R841" s="1218"/>
      <c r="S841" s="1218"/>
      <c r="T841" s="1218"/>
      <c r="U841" s="1218"/>
      <c r="V841" s="1218"/>
      <c r="W841" s="1218"/>
      <c r="X841" s="1218"/>
      <c r="Y841" s="1218"/>
      <c r="Z841" s="1218"/>
      <c r="AA841" s="1218"/>
      <c r="AB841" s="1218"/>
      <c r="AC841" s="1218"/>
      <c r="AD841" s="1218"/>
      <c r="AE841" s="1218"/>
      <c r="AF841" s="1218"/>
      <c r="AG841" s="1218"/>
      <c r="AH841" s="1218"/>
      <c r="AI841" s="1218"/>
      <c r="AJ841" s="1218"/>
      <c r="AK841" s="1218"/>
      <c r="AL841" s="1218"/>
      <c r="AM841" s="1218"/>
      <c r="AN841" s="1218"/>
      <c r="AO841" s="1218"/>
      <c r="AP841" s="1218"/>
      <c r="AQ841" s="1218"/>
      <c r="AR841" s="1218"/>
      <c r="AS841" s="1218"/>
      <c r="AT841" s="1218"/>
      <c r="AU841" s="1218"/>
      <c r="AV841" s="1218"/>
      <c r="AW841" s="1218"/>
      <c r="AX841" s="1218"/>
      <c r="AY841" s="1218"/>
      <c r="AZ841" s="1218"/>
      <c r="BA841" s="1218"/>
      <c r="BB841" s="1218"/>
      <c r="BC841" s="1218"/>
      <c r="BD841" s="1218"/>
      <c r="BE841" s="1218"/>
      <c r="BF841" s="1218"/>
      <c r="BG841" s="1218"/>
      <c r="BH841" s="1218"/>
      <c r="BI841" s="1218"/>
      <c r="BJ841" s="1218"/>
      <c r="BK841" s="1218"/>
      <c r="BL841" s="1218"/>
      <c r="BM841" s="1218"/>
      <c r="BN841" s="1218"/>
      <c r="BO841" s="1218"/>
      <c r="BP841" s="1218"/>
      <c r="BQ841" s="1218"/>
      <c r="BR841" s="1218"/>
      <c r="BS841" s="1218"/>
      <c r="BT841" s="1218"/>
      <c r="BU841" s="1218"/>
      <c r="BV841" s="1218"/>
      <c r="BW841" s="1218"/>
      <c r="BX841" s="1218"/>
      <c r="BY841" s="1218"/>
      <c r="BZ841" s="1218"/>
      <c r="CA841" s="1218"/>
      <c r="CB841" s="1218"/>
      <c r="CC841" s="1218"/>
      <c r="CD841" s="1218"/>
      <c r="CE841" s="1218"/>
      <c r="CF841" s="1218"/>
      <c r="CG841" s="1218"/>
      <c r="CH841" s="1218"/>
      <c r="CI841" s="1218"/>
      <c r="CJ841" s="1218"/>
      <c r="CK841" s="1218"/>
      <c r="CL841" s="1218"/>
      <c r="CM841" s="1218"/>
      <c r="CN841" s="1218"/>
      <c r="CO841" s="1218"/>
      <c r="CP841" s="1218"/>
      <c r="CQ841" s="1218"/>
      <c r="CR841" s="1218"/>
      <c r="CS841" s="1218"/>
      <c r="CT841" s="1218"/>
      <c r="CU841" s="1218"/>
      <c r="CV841" s="1218"/>
      <c r="CW841" s="1218"/>
      <c r="CX841" s="1218"/>
      <c r="CY841" s="1218"/>
      <c r="CZ841" s="1218"/>
      <c r="DA841" s="1218"/>
      <c r="DB841" s="1218"/>
      <c r="DC841" s="1218"/>
      <c r="DD841" s="1218"/>
      <c r="DE841" s="1218"/>
      <c r="DF841" s="1218"/>
      <c r="DG841" s="1218"/>
      <c r="DH841" s="1218"/>
      <c r="DI841" s="1218"/>
      <c r="DJ841" s="1218"/>
      <c r="DK841" s="1218"/>
      <c r="DL841" s="1218"/>
      <c r="DM841" s="1218"/>
      <c r="DN841" s="1218"/>
      <c r="DO841" s="1218"/>
      <c r="DP841" s="1218"/>
      <c r="DQ841" s="1218"/>
      <c r="DR841" s="1218"/>
      <c r="DS841" s="1218"/>
      <c r="DT841" s="1218"/>
      <c r="DU841" s="1218"/>
      <c r="DV841" s="1218"/>
      <c r="DW841" s="1218"/>
      <c r="DX841" s="1218"/>
      <c r="DY841" s="1218"/>
      <c r="DZ841" s="1218"/>
      <c r="EA841" s="1218"/>
      <c r="EB841" s="1218"/>
      <c r="EC841" s="1218"/>
      <c r="ED841" s="1218"/>
      <c r="EE841" s="1218"/>
      <c r="EF841" s="1218"/>
      <c r="EG841" s="1218"/>
      <c r="EH841" s="1218"/>
      <c r="EI841" s="1218"/>
      <c r="EJ841" s="1218"/>
      <c r="EK841" s="1218"/>
      <c r="EL841" s="1218"/>
      <c r="EM841" s="1218"/>
      <c r="EN841" s="1218"/>
      <c r="EO841" s="1218"/>
      <c r="EP841" s="1218"/>
      <c r="EQ841" s="1218"/>
      <c r="ER841" s="1218"/>
      <c r="ES841" s="1218"/>
      <c r="ET841" s="1218"/>
      <c r="EU841" s="1218"/>
      <c r="EV841" s="1218"/>
      <c r="EW841" s="1218"/>
      <c r="EX841" s="1218"/>
      <c r="EY841" s="1218"/>
      <c r="EZ841" s="1218"/>
      <c r="FA841" s="1218"/>
      <c r="FB841" s="1218"/>
      <c r="FC841" s="1218"/>
      <c r="FD841" s="1218"/>
      <c r="FE841" s="1218"/>
      <c r="FF841" s="1218"/>
      <c r="FG841" s="1218"/>
      <c r="FH841" s="1218"/>
      <c r="FI841" s="1218"/>
      <c r="FJ841" s="1218"/>
      <c r="FK841" s="1218"/>
      <c r="FL841" s="1218"/>
      <c r="FM841" s="1218"/>
      <c r="FN841" s="1218"/>
      <c r="FO841" s="1218"/>
      <c r="FP841" s="1218"/>
      <c r="FQ841" s="1218"/>
      <c r="FR841" s="1218"/>
      <c r="FS841" s="1218"/>
      <c r="FT841" s="1218"/>
      <c r="FU841" s="1218"/>
      <c r="FV841" s="1218"/>
      <c r="FW841" s="1218"/>
      <c r="FX841" s="1218"/>
      <c r="FY841" s="1218"/>
      <c r="FZ841" s="1218"/>
      <c r="GA841" s="1218"/>
      <c r="GB841" s="1218"/>
      <c r="GC841" s="1218"/>
      <c r="GD841" s="1218"/>
      <c r="GE841" s="1218"/>
      <c r="GF841" s="1218"/>
      <c r="GG841" s="1218"/>
      <c r="GH841" s="1218"/>
      <c r="GI841" s="1218"/>
      <c r="GJ841" s="1218"/>
      <c r="GK841" s="1218"/>
      <c r="GL841" s="1218"/>
      <c r="GM841" s="1218"/>
      <c r="GN841" s="1218"/>
      <c r="GO841" s="1218"/>
      <c r="GP841" s="1218"/>
      <c r="GQ841" s="1218"/>
      <c r="GR841" s="1218"/>
      <c r="GS841" s="1218"/>
      <c r="GT841" s="1218"/>
      <c r="GU841" s="1218"/>
      <c r="GV841" s="1218"/>
      <c r="GW841" s="1218"/>
      <c r="GX841" s="1218"/>
      <c r="GY841" s="1218"/>
      <c r="GZ841" s="1218"/>
      <c r="HA841" s="1218"/>
      <c r="HB841" s="1218"/>
      <c r="HC841" s="1218"/>
      <c r="HD841" s="1218"/>
      <c r="HE841" s="1218"/>
      <c r="HF841" s="1218"/>
      <c r="HG841" s="1218"/>
      <c r="HH841" s="1218"/>
      <c r="HI841" s="1218"/>
      <c r="HJ841" s="1218"/>
      <c r="HK841" s="1218"/>
      <c r="HL841" s="1218"/>
      <c r="HM841" s="1218"/>
      <c r="HN841" s="1218"/>
      <c r="HO841" s="1218"/>
      <c r="HP841" s="1218"/>
      <c r="HQ841" s="1218"/>
      <c r="HR841" s="1218"/>
      <c r="HS841" s="1218"/>
      <c r="HT841" s="1218"/>
      <c r="HU841" s="1218"/>
      <c r="HV841" s="1218"/>
      <c r="HW841" s="1218"/>
      <c r="HX841" s="1218"/>
      <c r="HY841" s="1218"/>
      <c r="HZ841" s="1218"/>
      <c r="IA841" s="1218"/>
      <c r="IB841" s="1218"/>
      <c r="IC841" s="1218"/>
      <c r="ID841" s="1218"/>
      <c r="IE841" s="1218"/>
      <c r="IF841" s="1218"/>
      <c r="IG841" s="1218"/>
      <c r="IH841" s="1218"/>
      <c r="II841" s="1218"/>
      <c r="IJ841" s="1218"/>
      <c r="IK841" s="1218"/>
      <c r="IL841" s="1218"/>
      <c r="IM841" s="1218"/>
      <c r="IN841" s="1218"/>
    </row>
    <row r="842" spans="1:248" s="1312" customFormat="1" ht="14.1" customHeight="1">
      <c r="A842" s="1318"/>
      <c r="B842" s="909"/>
      <c r="C842" s="193" t="s">
        <v>4131</v>
      </c>
      <c r="D842" s="1314"/>
      <c r="G842" s="1218"/>
      <c r="H842" s="1218"/>
      <c r="I842" s="1218"/>
      <c r="J842" s="1218"/>
      <c r="K842" s="1218"/>
      <c r="L842" s="1218"/>
      <c r="M842" s="1218"/>
      <c r="N842" s="1218"/>
      <c r="O842" s="1218"/>
      <c r="P842" s="1218"/>
      <c r="Q842" s="1218"/>
      <c r="R842" s="1218"/>
      <c r="S842" s="1218"/>
      <c r="T842" s="1218"/>
      <c r="U842" s="1218"/>
      <c r="V842" s="1218"/>
      <c r="W842" s="1218"/>
      <c r="X842" s="1218"/>
      <c r="Y842" s="1218"/>
      <c r="Z842" s="1218"/>
      <c r="AA842" s="1218"/>
      <c r="AB842" s="1218"/>
      <c r="AC842" s="1218"/>
      <c r="AD842" s="1218"/>
      <c r="AE842" s="1218"/>
      <c r="AF842" s="1218"/>
      <c r="AG842" s="1218"/>
      <c r="AH842" s="1218"/>
      <c r="AI842" s="1218"/>
      <c r="AJ842" s="1218"/>
      <c r="AK842" s="1218"/>
      <c r="AL842" s="1218"/>
      <c r="AM842" s="1218"/>
      <c r="AN842" s="1218"/>
      <c r="AO842" s="1218"/>
      <c r="AP842" s="1218"/>
      <c r="AQ842" s="1218"/>
      <c r="AR842" s="1218"/>
      <c r="AS842" s="1218"/>
      <c r="AT842" s="1218"/>
      <c r="AU842" s="1218"/>
      <c r="AV842" s="1218"/>
      <c r="AW842" s="1218"/>
      <c r="AX842" s="1218"/>
      <c r="AY842" s="1218"/>
      <c r="AZ842" s="1218"/>
      <c r="BA842" s="1218"/>
      <c r="BB842" s="1218"/>
      <c r="BC842" s="1218"/>
      <c r="BD842" s="1218"/>
      <c r="BE842" s="1218"/>
      <c r="BF842" s="1218"/>
      <c r="BG842" s="1218"/>
      <c r="BH842" s="1218"/>
      <c r="BI842" s="1218"/>
      <c r="BJ842" s="1218"/>
      <c r="BK842" s="1218"/>
      <c r="BL842" s="1218"/>
      <c r="BM842" s="1218"/>
      <c r="BN842" s="1218"/>
      <c r="BO842" s="1218"/>
      <c r="BP842" s="1218"/>
      <c r="BQ842" s="1218"/>
      <c r="BR842" s="1218"/>
      <c r="BS842" s="1218"/>
      <c r="BT842" s="1218"/>
      <c r="BU842" s="1218"/>
      <c r="BV842" s="1218"/>
      <c r="BW842" s="1218"/>
      <c r="BX842" s="1218"/>
      <c r="BY842" s="1218"/>
      <c r="BZ842" s="1218"/>
      <c r="CA842" s="1218"/>
      <c r="CB842" s="1218"/>
      <c r="CC842" s="1218"/>
      <c r="CD842" s="1218"/>
      <c r="CE842" s="1218"/>
      <c r="CF842" s="1218"/>
      <c r="CG842" s="1218"/>
      <c r="CH842" s="1218"/>
      <c r="CI842" s="1218"/>
      <c r="CJ842" s="1218"/>
      <c r="CK842" s="1218"/>
      <c r="CL842" s="1218"/>
      <c r="CM842" s="1218"/>
      <c r="CN842" s="1218"/>
      <c r="CO842" s="1218"/>
      <c r="CP842" s="1218"/>
      <c r="CQ842" s="1218"/>
      <c r="CR842" s="1218"/>
      <c r="CS842" s="1218"/>
      <c r="CT842" s="1218"/>
      <c r="CU842" s="1218"/>
      <c r="CV842" s="1218"/>
      <c r="CW842" s="1218"/>
      <c r="CX842" s="1218"/>
      <c r="CY842" s="1218"/>
      <c r="CZ842" s="1218"/>
      <c r="DA842" s="1218"/>
      <c r="DB842" s="1218"/>
      <c r="DC842" s="1218"/>
      <c r="DD842" s="1218"/>
      <c r="DE842" s="1218"/>
      <c r="DF842" s="1218"/>
      <c r="DG842" s="1218"/>
      <c r="DH842" s="1218"/>
      <c r="DI842" s="1218"/>
      <c r="DJ842" s="1218"/>
      <c r="DK842" s="1218"/>
      <c r="DL842" s="1218"/>
      <c r="DM842" s="1218"/>
      <c r="DN842" s="1218"/>
      <c r="DO842" s="1218"/>
      <c r="DP842" s="1218"/>
      <c r="DQ842" s="1218"/>
      <c r="DR842" s="1218"/>
      <c r="DS842" s="1218"/>
      <c r="DT842" s="1218"/>
      <c r="DU842" s="1218"/>
      <c r="DV842" s="1218"/>
      <c r="DW842" s="1218"/>
      <c r="DX842" s="1218"/>
      <c r="DY842" s="1218"/>
      <c r="DZ842" s="1218"/>
      <c r="EA842" s="1218"/>
      <c r="EB842" s="1218"/>
      <c r="EC842" s="1218"/>
      <c r="ED842" s="1218"/>
      <c r="EE842" s="1218"/>
      <c r="EF842" s="1218"/>
      <c r="EG842" s="1218"/>
      <c r="EH842" s="1218"/>
      <c r="EI842" s="1218"/>
      <c r="EJ842" s="1218"/>
      <c r="EK842" s="1218"/>
      <c r="EL842" s="1218"/>
      <c r="EM842" s="1218"/>
      <c r="EN842" s="1218"/>
      <c r="EO842" s="1218"/>
      <c r="EP842" s="1218"/>
      <c r="EQ842" s="1218"/>
      <c r="ER842" s="1218"/>
      <c r="ES842" s="1218"/>
      <c r="ET842" s="1218"/>
      <c r="EU842" s="1218"/>
      <c r="EV842" s="1218"/>
      <c r="EW842" s="1218"/>
      <c r="EX842" s="1218"/>
      <c r="EY842" s="1218"/>
      <c r="EZ842" s="1218"/>
      <c r="FA842" s="1218"/>
      <c r="FB842" s="1218"/>
      <c r="FC842" s="1218"/>
      <c r="FD842" s="1218"/>
      <c r="FE842" s="1218"/>
      <c r="FF842" s="1218"/>
      <c r="FG842" s="1218"/>
      <c r="FH842" s="1218"/>
      <c r="FI842" s="1218"/>
      <c r="FJ842" s="1218"/>
      <c r="FK842" s="1218"/>
      <c r="FL842" s="1218"/>
      <c r="FM842" s="1218"/>
      <c r="FN842" s="1218"/>
      <c r="FO842" s="1218"/>
      <c r="FP842" s="1218"/>
      <c r="FQ842" s="1218"/>
      <c r="FR842" s="1218"/>
      <c r="FS842" s="1218"/>
      <c r="FT842" s="1218"/>
      <c r="FU842" s="1218"/>
      <c r="FV842" s="1218"/>
      <c r="FW842" s="1218"/>
      <c r="FX842" s="1218"/>
      <c r="FY842" s="1218"/>
      <c r="FZ842" s="1218"/>
      <c r="GA842" s="1218"/>
      <c r="GB842" s="1218"/>
      <c r="GC842" s="1218"/>
      <c r="GD842" s="1218"/>
      <c r="GE842" s="1218"/>
      <c r="GF842" s="1218"/>
      <c r="GG842" s="1218"/>
      <c r="GH842" s="1218"/>
      <c r="GI842" s="1218"/>
      <c r="GJ842" s="1218"/>
      <c r="GK842" s="1218"/>
      <c r="GL842" s="1218"/>
      <c r="GM842" s="1218"/>
      <c r="GN842" s="1218"/>
      <c r="GO842" s="1218"/>
      <c r="GP842" s="1218"/>
      <c r="GQ842" s="1218"/>
      <c r="GR842" s="1218"/>
      <c r="GS842" s="1218"/>
      <c r="GT842" s="1218"/>
      <c r="GU842" s="1218"/>
      <c r="GV842" s="1218"/>
      <c r="GW842" s="1218"/>
      <c r="GX842" s="1218"/>
      <c r="GY842" s="1218"/>
      <c r="GZ842" s="1218"/>
      <c r="HA842" s="1218"/>
      <c r="HB842" s="1218"/>
      <c r="HC842" s="1218"/>
      <c r="HD842" s="1218"/>
      <c r="HE842" s="1218"/>
      <c r="HF842" s="1218"/>
      <c r="HG842" s="1218"/>
      <c r="HH842" s="1218"/>
      <c r="HI842" s="1218"/>
      <c r="HJ842" s="1218"/>
      <c r="HK842" s="1218"/>
      <c r="HL842" s="1218"/>
      <c r="HM842" s="1218"/>
      <c r="HN842" s="1218"/>
      <c r="HO842" s="1218"/>
      <c r="HP842" s="1218"/>
      <c r="HQ842" s="1218"/>
      <c r="HR842" s="1218"/>
      <c r="HS842" s="1218"/>
      <c r="HT842" s="1218"/>
      <c r="HU842" s="1218"/>
      <c r="HV842" s="1218"/>
      <c r="HW842" s="1218"/>
      <c r="HX842" s="1218"/>
      <c r="HY842" s="1218"/>
      <c r="HZ842" s="1218"/>
      <c r="IA842" s="1218"/>
      <c r="IB842" s="1218"/>
      <c r="IC842" s="1218"/>
      <c r="ID842" s="1218"/>
      <c r="IE842" s="1218"/>
      <c r="IF842" s="1218"/>
      <c r="IG842" s="1218"/>
      <c r="IH842" s="1218"/>
      <c r="II842" s="1218"/>
      <c r="IJ842" s="1218"/>
      <c r="IK842" s="1218"/>
      <c r="IL842" s="1218"/>
      <c r="IM842" s="1218"/>
      <c r="IN842" s="1218"/>
    </row>
    <row r="843" spans="1:248" s="1312" customFormat="1" ht="14.1" customHeight="1">
      <c r="A843" s="1318"/>
      <c r="B843" s="761"/>
      <c r="C843" s="762"/>
      <c r="D843" s="762"/>
      <c r="G843" s="1218"/>
      <c r="H843" s="1218"/>
      <c r="I843" s="1218"/>
      <c r="J843" s="1218"/>
      <c r="K843" s="1218"/>
      <c r="L843" s="1218"/>
      <c r="M843" s="1218"/>
      <c r="N843" s="1218"/>
      <c r="O843" s="1218"/>
      <c r="P843" s="1218"/>
      <c r="Q843" s="1218"/>
      <c r="R843" s="1218"/>
      <c r="S843" s="1218"/>
      <c r="T843" s="1218"/>
      <c r="U843" s="1218"/>
      <c r="V843" s="1218"/>
      <c r="W843" s="1218"/>
      <c r="X843" s="1218"/>
      <c r="Y843" s="1218"/>
      <c r="Z843" s="1218"/>
      <c r="AA843" s="1218"/>
      <c r="AB843" s="1218"/>
      <c r="AC843" s="1218"/>
      <c r="AD843" s="1218"/>
      <c r="AE843" s="1218"/>
      <c r="AF843" s="1218"/>
      <c r="AG843" s="1218"/>
      <c r="AH843" s="1218"/>
      <c r="AI843" s="1218"/>
      <c r="AJ843" s="1218"/>
      <c r="AK843" s="1218"/>
      <c r="AL843" s="1218"/>
      <c r="AM843" s="1218"/>
      <c r="AN843" s="1218"/>
      <c r="AO843" s="1218"/>
      <c r="AP843" s="1218"/>
      <c r="AQ843" s="1218"/>
      <c r="AR843" s="1218"/>
      <c r="AS843" s="1218"/>
      <c r="AT843" s="1218"/>
      <c r="AU843" s="1218"/>
      <c r="AV843" s="1218"/>
      <c r="AW843" s="1218"/>
      <c r="AX843" s="1218"/>
      <c r="AY843" s="1218"/>
      <c r="AZ843" s="1218"/>
      <c r="BA843" s="1218"/>
      <c r="BB843" s="1218"/>
      <c r="BC843" s="1218"/>
      <c r="BD843" s="1218"/>
      <c r="BE843" s="1218"/>
      <c r="BF843" s="1218"/>
      <c r="BG843" s="1218"/>
      <c r="BH843" s="1218"/>
      <c r="BI843" s="1218"/>
      <c r="BJ843" s="1218"/>
      <c r="BK843" s="1218"/>
      <c r="BL843" s="1218"/>
      <c r="BM843" s="1218"/>
      <c r="BN843" s="1218"/>
      <c r="BO843" s="1218"/>
      <c r="BP843" s="1218"/>
      <c r="BQ843" s="1218"/>
      <c r="BR843" s="1218"/>
      <c r="BS843" s="1218"/>
      <c r="BT843" s="1218"/>
      <c r="BU843" s="1218"/>
      <c r="BV843" s="1218"/>
      <c r="BW843" s="1218"/>
      <c r="BX843" s="1218"/>
      <c r="BY843" s="1218"/>
      <c r="BZ843" s="1218"/>
      <c r="CA843" s="1218"/>
      <c r="CB843" s="1218"/>
      <c r="CC843" s="1218"/>
      <c r="CD843" s="1218"/>
      <c r="CE843" s="1218"/>
      <c r="CF843" s="1218"/>
      <c r="CG843" s="1218"/>
      <c r="CH843" s="1218"/>
      <c r="CI843" s="1218"/>
      <c r="CJ843" s="1218"/>
      <c r="CK843" s="1218"/>
      <c r="CL843" s="1218"/>
      <c r="CM843" s="1218"/>
      <c r="CN843" s="1218"/>
      <c r="CO843" s="1218"/>
      <c r="CP843" s="1218"/>
      <c r="CQ843" s="1218"/>
      <c r="CR843" s="1218"/>
      <c r="CS843" s="1218"/>
      <c r="CT843" s="1218"/>
      <c r="CU843" s="1218"/>
      <c r="CV843" s="1218"/>
      <c r="CW843" s="1218"/>
      <c r="CX843" s="1218"/>
      <c r="CY843" s="1218"/>
      <c r="CZ843" s="1218"/>
      <c r="DA843" s="1218"/>
      <c r="DB843" s="1218"/>
      <c r="DC843" s="1218"/>
      <c r="DD843" s="1218"/>
      <c r="DE843" s="1218"/>
      <c r="DF843" s="1218"/>
      <c r="DG843" s="1218"/>
      <c r="DH843" s="1218"/>
      <c r="DI843" s="1218"/>
      <c r="DJ843" s="1218"/>
      <c r="DK843" s="1218"/>
      <c r="DL843" s="1218"/>
      <c r="DM843" s="1218"/>
      <c r="DN843" s="1218"/>
      <c r="DO843" s="1218"/>
      <c r="DP843" s="1218"/>
      <c r="DQ843" s="1218"/>
      <c r="DR843" s="1218"/>
      <c r="DS843" s="1218"/>
      <c r="DT843" s="1218"/>
      <c r="DU843" s="1218"/>
      <c r="DV843" s="1218"/>
      <c r="DW843" s="1218"/>
      <c r="DX843" s="1218"/>
      <c r="DY843" s="1218"/>
      <c r="DZ843" s="1218"/>
      <c r="EA843" s="1218"/>
      <c r="EB843" s="1218"/>
      <c r="EC843" s="1218"/>
      <c r="ED843" s="1218"/>
      <c r="EE843" s="1218"/>
      <c r="EF843" s="1218"/>
      <c r="EG843" s="1218"/>
      <c r="EH843" s="1218"/>
      <c r="EI843" s="1218"/>
      <c r="EJ843" s="1218"/>
      <c r="EK843" s="1218"/>
      <c r="EL843" s="1218"/>
      <c r="EM843" s="1218"/>
      <c r="EN843" s="1218"/>
      <c r="EO843" s="1218"/>
      <c r="EP843" s="1218"/>
      <c r="EQ843" s="1218"/>
      <c r="ER843" s="1218"/>
      <c r="ES843" s="1218"/>
      <c r="ET843" s="1218"/>
      <c r="EU843" s="1218"/>
      <c r="EV843" s="1218"/>
      <c r="EW843" s="1218"/>
      <c r="EX843" s="1218"/>
      <c r="EY843" s="1218"/>
      <c r="EZ843" s="1218"/>
      <c r="FA843" s="1218"/>
      <c r="FB843" s="1218"/>
      <c r="FC843" s="1218"/>
      <c r="FD843" s="1218"/>
      <c r="FE843" s="1218"/>
      <c r="FF843" s="1218"/>
      <c r="FG843" s="1218"/>
      <c r="FH843" s="1218"/>
      <c r="FI843" s="1218"/>
      <c r="FJ843" s="1218"/>
      <c r="FK843" s="1218"/>
      <c r="FL843" s="1218"/>
      <c r="FM843" s="1218"/>
      <c r="FN843" s="1218"/>
      <c r="FO843" s="1218"/>
      <c r="FP843" s="1218"/>
      <c r="FQ843" s="1218"/>
      <c r="FR843" s="1218"/>
      <c r="FS843" s="1218"/>
      <c r="FT843" s="1218"/>
      <c r="FU843" s="1218"/>
      <c r="FV843" s="1218"/>
      <c r="FW843" s="1218"/>
      <c r="FX843" s="1218"/>
      <c r="FY843" s="1218"/>
      <c r="FZ843" s="1218"/>
      <c r="GA843" s="1218"/>
      <c r="GB843" s="1218"/>
      <c r="GC843" s="1218"/>
      <c r="GD843" s="1218"/>
      <c r="GE843" s="1218"/>
      <c r="GF843" s="1218"/>
      <c r="GG843" s="1218"/>
      <c r="GH843" s="1218"/>
      <c r="GI843" s="1218"/>
      <c r="GJ843" s="1218"/>
      <c r="GK843" s="1218"/>
      <c r="GL843" s="1218"/>
      <c r="GM843" s="1218"/>
      <c r="GN843" s="1218"/>
      <c r="GO843" s="1218"/>
      <c r="GP843" s="1218"/>
      <c r="GQ843" s="1218"/>
      <c r="GR843" s="1218"/>
      <c r="GS843" s="1218"/>
      <c r="GT843" s="1218"/>
      <c r="GU843" s="1218"/>
      <c r="GV843" s="1218"/>
      <c r="GW843" s="1218"/>
      <c r="GX843" s="1218"/>
      <c r="GY843" s="1218"/>
      <c r="GZ843" s="1218"/>
      <c r="HA843" s="1218"/>
      <c r="HB843" s="1218"/>
      <c r="HC843" s="1218"/>
      <c r="HD843" s="1218"/>
      <c r="HE843" s="1218"/>
      <c r="HF843" s="1218"/>
      <c r="HG843" s="1218"/>
      <c r="HH843" s="1218"/>
      <c r="HI843" s="1218"/>
      <c r="HJ843" s="1218"/>
      <c r="HK843" s="1218"/>
      <c r="HL843" s="1218"/>
      <c r="HM843" s="1218"/>
      <c r="HN843" s="1218"/>
      <c r="HO843" s="1218"/>
      <c r="HP843" s="1218"/>
      <c r="HQ843" s="1218"/>
      <c r="HR843" s="1218"/>
      <c r="HS843" s="1218"/>
      <c r="HT843" s="1218"/>
      <c r="HU843" s="1218"/>
      <c r="HV843" s="1218"/>
      <c r="HW843" s="1218"/>
      <c r="HX843" s="1218"/>
      <c r="HY843" s="1218"/>
      <c r="HZ843" s="1218"/>
      <c r="IA843" s="1218"/>
      <c r="IB843" s="1218"/>
      <c r="IC843" s="1218"/>
      <c r="ID843" s="1218"/>
      <c r="IE843" s="1218"/>
      <c r="IF843" s="1218"/>
      <c r="IG843" s="1218"/>
      <c r="IH843" s="1218"/>
      <c r="II843" s="1218"/>
      <c r="IJ843" s="1218"/>
      <c r="IK843" s="1218"/>
      <c r="IL843" s="1218"/>
      <c r="IM843" s="1218"/>
      <c r="IN843" s="1218"/>
    </row>
    <row r="844" spans="1:248" s="1312" customFormat="1" ht="14.1" customHeight="1">
      <c r="A844" s="1318"/>
      <c r="B844" s="761"/>
      <c r="C844" s="762"/>
      <c r="D844" s="1319"/>
      <c r="G844" s="1218"/>
      <c r="H844" s="1218"/>
      <c r="I844" s="1218"/>
      <c r="J844" s="1218"/>
      <c r="K844" s="1218"/>
      <c r="L844" s="1218"/>
      <c r="M844" s="1218"/>
      <c r="N844" s="1218"/>
      <c r="O844" s="1218"/>
      <c r="P844" s="1218"/>
      <c r="Q844" s="1218"/>
      <c r="R844" s="1218"/>
      <c r="S844" s="1218"/>
      <c r="T844" s="1218"/>
      <c r="U844" s="1218"/>
      <c r="V844" s="1218"/>
      <c r="W844" s="1218"/>
      <c r="X844" s="1218"/>
      <c r="Y844" s="1218"/>
      <c r="Z844" s="1218"/>
      <c r="AA844" s="1218"/>
      <c r="AB844" s="1218"/>
      <c r="AC844" s="1218"/>
      <c r="AD844" s="1218"/>
      <c r="AE844" s="1218"/>
      <c r="AF844" s="1218"/>
      <c r="AG844" s="1218"/>
      <c r="AH844" s="1218"/>
      <c r="AI844" s="1218"/>
      <c r="AJ844" s="1218"/>
      <c r="AK844" s="1218"/>
      <c r="AL844" s="1218"/>
      <c r="AM844" s="1218"/>
      <c r="AN844" s="1218"/>
      <c r="AO844" s="1218"/>
      <c r="AP844" s="1218"/>
      <c r="AQ844" s="1218"/>
      <c r="AR844" s="1218"/>
      <c r="AS844" s="1218"/>
      <c r="AT844" s="1218"/>
      <c r="AU844" s="1218"/>
      <c r="AV844" s="1218"/>
      <c r="AW844" s="1218"/>
      <c r="AX844" s="1218"/>
      <c r="AY844" s="1218"/>
      <c r="AZ844" s="1218"/>
      <c r="BA844" s="1218"/>
      <c r="BB844" s="1218"/>
      <c r="BC844" s="1218"/>
      <c r="BD844" s="1218"/>
      <c r="BE844" s="1218"/>
      <c r="BF844" s="1218"/>
      <c r="BG844" s="1218"/>
      <c r="BH844" s="1218"/>
      <c r="BI844" s="1218"/>
      <c r="BJ844" s="1218"/>
      <c r="BK844" s="1218"/>
      <c r="BL844" s="1218"/>
      <c r="BM844" s="1218"/>
      <c r="BN844" s="1218"/>
      <c r="BO844" s="1218"/>
      <c r="BP844" s="1218"/>
      <c r="BQ844" s="1218"/>
      <c r="BR844" s="1218"/>
      <c r="BS844" s="1218"/>
      <c r="BT844" s="1218"/>
      <c r="BU844" s="1218"/>
      <c r="BV844" s="1218"/>
      <c r="BW844" s="1218"/>
      <c r="BX844" s="1218"/>
      <c r="BY844" s="1218"/>
      <c r="BZ844" s="1218"/>
      <c r="CA844" s="1218"/>
      <c r="CB844" s="1218"/>
      <c r="CC844" s="1218"/>
      <c r="CD844" s="1218"/>
      <c r="CE844" s="1218"/>
      <c r="CF844" s="1218"/>
      <c r="CG844" s="1218"/>
      <c r="CH844" s="1218"/>
      <c r="CI844" s="1218"/>
      <c r="CJ844" s="1218"/>
      <c r="CK844" s="1218"/>
      <c r="CL844" s="1218"/>
      <c r="CM844" s="1218"/>
      <c r="CN844" s="1218"/>
      <c r="CO844" s="1218"/>
      <c r="CP844" s="1218"/>
      <c r="CQ844" s="1218"/>
      <c r="CR844" s="1218"/>
      <c r="CS844" s="1218"/>
      <c r="CT844" s="1218"/>
      <c r="CU844" s="1218"/>
      <c r="CV844" s="1218"/>
      <c r="CW844" s="1218"/>
      <c r="CX844" s="1218"/>
      <c r="CY844" s="1218"/>
      <c r="CZ844" s="1218"/>
      <c r="DA844" s="1218"/>
      <c r="DB844" s="1218"/>
      <c r="DC844" s="1218"/>
      <c r="DD844" s="1218"/>
      <c r="DE844" s="1218"/>
      <c r="DF844" s="1218"/>
      <c r="DG844" s="1218"/>
      <c r="DH844" s="1218"/>
      <c r="DI844" s="1218"/>
      <c r="DJ844" s="1218"/>
      <c r="DK844" s="1218"/>
      <c r="DL844" s="1218"/>
      <c r="DM844" s="1218"/>
      <c r="DN844" s="1218"/>
      <c r="DO844" s="1218"/>
      <c r="DP844" s="1218"/>
      <c r="DQ844" s="1218"/>
      <c r="DR844" s="1218"/>
      <c r="DS844" s="1218"/>
      <c r="DT844" s="1218"/>
      <c r="DU844" s="1218"/>
      <c r="DV844" s="1218"/>
      <c r="DW844" s="1218"/>
      <c r="DX844" s="1218"/>
      <c r="DY844" s="1218"/>
      <c r="DZ844" s="1218"/>
      <c r="EA844" s="1218"/>
      <c r="EB844" s="1218"/>
      <c r="EC844" s="1218"/>
      <c r="ED844" s="1218"/>
      <c r="EE844" s="1218"/>
      <c r="EF844" s="1218"/>
      <c r="EG844" s="1218"/>
      <c r="EH844" s="1218"/>
      <c r="EI844" s="1218"/>
      <c r="EJ844" s="1218"/>
      <c r="EK844" s="1218"/>
      <c r="EL844" s="1218"/>
      <c r="EM844" s="1218"/>
      <c r="EN844" s="1218"/>
      <c r="EO844" s="1218"/>
      <c r="EP844" s="1218"/>
      <c r="EQ844" s="1218"/>
      <c r="ER844" s="1218"/>
      <c r="ES844" s="1218"/>
      <c r="ET844" s="1218"/>
      <c r="EU844" s="1218"/>
      <c r="EV844" s="1218"/>
      <c r="EW844" s="1218"/>
      <c r="EX844" s="1218"/>
      <c r="EY844" s="1218"/>
      <c r="EZ844" s="1218"/>
      <c r="FA844" s="1218"/>
      <c r="FB844" s="1218"/>
      <c r="FC844" s="1218"/>
      <c r="FD844" s="1218"/>
      <c r="FE844" s="1218"/>
      <c r="FF844" s="1218"/>
      <c r="FG844" s="1218"/>
      <c r="FH844" s="1218"/>
      <c r="FI844" s="1218"/>
      <c r="FJ844" s="1218"/>
      <c r="FK844" s="1218"/>
      <c r="FL844" s="1218"/>
      <c r="FM844" s="1218"/>
      <c r="FN844" s="1218"/>
      <c r="FO844" s="1218"/>
      <c r="FP844" s="1218"/>
      <c r="FQ844" s="1218"/>
      <c r="FR844" s="1218"/>
      <c r="FS844" s="1218"/>
      <c r="FT844" s="1218"/>
      <c r="FU844" s="1218"/>
      <c r="FV844" s="1218"/>
      <c r="FW844" s="1218"/>
      <c r="FX844" s="1218"/>
      <c r="FY844" s="1218"/>
      <c r="FZ844" s="1218"/>
      <c r="GA844" s="1218"/>
      <c r="GB844" s="1218"/>
      <c r="GC844" s="1218"/>
      <c r="GD844" s="1218"/>
      <c r="GE844" s="1218"/>
      <c r="GF844" s="1218"/>
      <c r="GG844" s="1218"/>
      <c r="GH844" s="1218"/>
      <c r="GI844" s="1218"/>
      <c r="GJ844" s="1218"/>
      <c r="GK844" s="1218"/>
      <c r="GL844" s="1218"/>
      <c r="GM844" s="1218"/>
      <c r="GN844" s="1218"/>
      <c r="GO844" s="1218"/>
      <c r="GP844" s="1218"/>
      <c r="GQ844" s="1218"/>
      <c r="GR844" s="1218"/>
      <c r="GS844" s="1218"/>
      <c r="GT844" s="1218"/>
      <c r="GU844" s="1218"/>
      <c r="GV844" s="1218"/>
      <c r="GW844" s="1218"/>
      <c r="GX844" s="1218"/>
      <c r="GY844" s="1218"/>
      <c r="GZ844" s="1218"/>
      <c r="HA844" s="1218"/>
      <c r="HB844" s="1218"/>
      <c r="HC844" s="1218"/>
      <c r="HD844" s="1218"/>
      <c r="HE844" s="1218"/>
      <c r="HF844" s="1218"/>
      <c r="HG844" s="1218"/>
      <c r="HH844" s="1218"/>
      <c r="HI844" s="1218"/>
      <c r="HJ844" s="1218"/>
      <c r="HK844" s="1218"/>
      <c r="HL844" s="1218"/>
      <c r="HM844" s="1218"/>
      <c r="HN844" s="1218"/>
      <c r="HO844" s="1218"/>
      <c r="HP844" s="1218"/>
      <c r="HQ844" s="1218"/>
      <c r="HR844" s="1218"/>
      <c r="HS844" s="1218"/>
      <c r="HT844" s="1218"/>
      <c r="HU844" s="1218"/>
      <c r="HV844" s="1218"/>
      <c r="HW844" s="1218"/>
      <c r="HX844" s="1218"/>
      <c r="HY844" s="1218"/>
      <c r="HZ844" s="1218"/>
      <c r="IA844" s="1218"/>
      <c r="IB844" s="1218"/>
      <c r="IC844" s="1218"/>
      <c r="ID844" s="1218"/>
      <c r="IE844" s="1218"/>
      <c r="IF844" s="1218"/>
      <c r="IG844" s="1218"/>
      <c r="IH844" s="1218"/>
      <c r="II844" s="1218"/>
      <c r="IJ844" s="1218"/>
      <c r="IK844" s="1218"/>
      <c r="IL844" s="1218"/>
      <c r="IM844" s="1218"/>
      <c r="IN844" s="1218"/>
    </row>
    <row r="845" spans="1:248" s="1312" customFormat="1" ht="14.1" customHeight="1">
      <c r="A845" s="1318"/>
      <c r="B845" s="1160" t="s">
        <v>3961</v>
      </c>
      <c r="C845" s="1317" t="s">
        <v>4132</v>
      </c>
      <c r="D845" s="1319"/>
      <c r="G845" s="1218"/>
      <c r="H845" s="1218"/>
      <c r="I845" s="1218"/>
      <c r="J845" s="1218"/>
      <c r="K845" s="1218"/>
      <c r="L845" s="1218"/>
      <c r="M845" s="1218"/>
      <c r="N845" s="1218"/>
      <c r="O845" s="1218"/>
      <c r="P845" s="1218"/>
      <c r="Q845" s="1218"/>
      <c r="R845" s="1218"/>
      <c r="S845" s="1218"/>
      <c r="T845" s="1218"/>
      <c r="U845" s="1218"/>
      <c r="V845" s="1218"/>
      <c r="W845" s="1218"/>
      <c r="X845" s="1218"/>
      <c r="Y845" s="1218"/>
      <c r="Z845" s="1218"/>
      <c r="AA845" s="1218"/>
      <c r="AB845" s="1218"/>
      <c r="AC845" s="1218"/>
      <c r="AD845" s="1218"/>
      <c r="AE845" s="1218"/>
      <c r="AF845" s="1218"/>
      <c r="AG845" s="1218"/>
      <c r="AH845" s="1218"/>
      <c r="AI845" s="1218"/>
      <c r="AJ845" s="1218"/>
      <c r="AK845" s="1218"/>
      <c r="AL845" s="1218"/>
      <c r="AM845" s="1218"/>
      <c r="AN845" s="1218"/>
      <c r="AO845" s="1218"/>
      <c r="AP845" s="1218"/>
      <c r="AQ845" s="1218"/>
      <c r="AR845" s="1218"/>
      <c r="AS845" s="1218"/>
      <c r="AT845" s="1218"/>
      <c r="AU845" s="1218"/>
      <c r="AV845" s="1218"/>
      <c r="AW845" s="1218"/>
      <c r="AX845" s="1218"/>
      <c r="AY845" s="1218"/>
      <c r="AZ845" s="1218"/>
      <c r="BA845" s="1218"/>
      <c r="BB845" s="1218"/>
      <c r="BC845" s="1218"/>
      <c r="BD845" s="1218"/>
      <c r="BE845" s="1218"/>
      <c r="BF845" s="1218"/>
      <c r="BG845" s="1218"/>
      <c r="BH845" s="1218"/>
      <c r="BI845" s="1218"/>
      <c r="BJ845" s="1218"/>
      <c r="BK845" s="1218"/>
      <c r="BL845" s="1218"/>
      <c r="BM845" s="1218"/>
      <c r="BN845" s="1218"/>
      <c r="BO845" s="1218"/>
      <c r="BP845" s="1218"/>
      <c r="BQ845" s="1218"/>
      <c r="BR845" s="1218"/>
      <c r="BS845" s="1218"/>
      <c r="BT845" s="1218"/>
      <c r="BU845" s="1218"/>
      <c r="BV845" s="1218"/>
      <c r="BW845" s="1218"/>
      <c r="BX845" s="1218"/>
      <c r="BY845" s="1218"/>
      <c r="BZ845" s="1218"/>
      <c r="CA845" s="1218"/>
      <c r="CB845" s="1218"/>
      <c r="CC845" s="1218"/>
      <c r="CD845" s="1218"/>
      <c r="CE845" s="1218"/>
      <c r="CF845" s="1218"/>
      <c r="CG845" s="1218"/>
      <c r="CH845" s="1218"/>
      <c r="CI845" s="1218"/>
      <c r="CJ845" s="1218"/>
      <c r="CK845" s="1218"/>
      <c r="CL845" s="1218"/>
      <c r="CM845" s="1218"/>
      <c r="CN845" s="1218"/>
      <c r="CO845" s="1218"/>
      <c r="CP845" s="1218"/>
      <c r="CQ845" s="1218"/>
      <c r="CR845" s="1218"/>
      <c r="CS845" s="1218"/>
      <c r="CT845" s="1218"/>
      <c r="CU845" s="1218"/>
      <c r="CV845" s="1218"/>
      <c r="CW845" s="1218"/>
      <c r="CX845" s="1218"/>
      <c r="CY845" s="1218"/>
      <c r="CZ845" s="1218"/>
      <c r="DA845" s="1218"/>
      <c r="DB845" s="1218"/>
      <c r="DC845" s="1218"/>
      <c r="DD845" s="1218"/>
      <c r="DE845" s="1218"/>
      <c r="DF845" s="1218"/>
      <c r="DG845" s="1218"/>
      <c r="DH845" s="1218"/>
      <c r="DI845" s="1218"/>
      <c r="DJ845" s="1218"/>
      <c r="DK845" s="1218"/>
      <c r="DL845" s="1218"/>
      <c r="DM845" s="1218"/>
      <c r="DN845" s="1218"/>
      <c r="DO845" s="1218"/>
      <c r="DP845" s="1218"/>
      <c r="DQ845" s="1218"/>
      <c r="DR845" s="1218"/>
      <c r="DS845" s="1218"/>
      <c r="DT845" s="1218"/>
      <c r="DU845" s="1218"/>
      <c r="DV845" s="1218"/>
      <c r="DW845" s="1218"/>
      <c r="DX845" s="1218"/>
      <c r="DY845" s="1218"/>
      <c r="DZ845" s="1218"/>
      <c r="EA845" s="1218"/>
      <c r="EB845" s="1218"/>
      <c r="EC845" s="1218"/>
      <c r="ED845" s="1218"/>
      <c r="EE845" s="1218"/>
      <c r="EF845" s="1218"/>
      <c r="EG845" s="1218"/>
      <c r="EH845" s="1218"/>
      <c r="EI845" s="1218"/>
      <c r="EJ845" s="1218"/>
      <c r="EK845" s="1218"/>
      <c r="EL845" s="1218"/>
      <c r="EM845" s="1218"/>
      <c r="EN845" s="1218"/>
      <c r="EO845" s="1218"/>
      <c r="EP845" s="1218"/>
      <c r="EQ845" s="1218"/>
      <c r="ER845" s="1218"/>
      <c r="ES845" s="1218"/>
      <c r="ET845" s="1218"/>
      <c r="EU845" s="1218"/>
      <c r="EV845" s="1218"/>
      <c r="EW845" s="1218"/>
      <c r="EX845" s="1218"/>
      <c r="EY845" s="1218"/>
      <c r="EZ845" s="1218"/>
      <c r="FA845" s="1218"/>
      <c r="FB845" s="1218"/>
      <c r="FC845" s="1218"/>
      <c r="FD845" s="1218"/>
      <c r="FE845" s="1218"/>
      <c r="FF845" s="1218"/>
      <c r="FG845" s="1218"/>
      <c r="FH845" s="1218"/>
      <c r="FI845" s="1218"/>
      <c r="FJ845" s="1218"/>
      <c r="FK845" s="1218"/>
      <c r="FL845" s="1218"/>
      <c r="FM845" s="1218"/>
      <c r="FN845" s="1218"/>
      <c r="FO845" s="1218"/>
      <c r="FP845" s="1218"/>
      <c r="FQ845" s="1218"/>
      <c r="FR845" s="1218"/>
      <c r="FS845" s="1218"/>
      <c r="FT845" s="1218"/>
      <c r="FU845" s="1218"/>
      <c r="FV845" s="1218"/>
      <c r="FW845" s="1218"/>
      <c r="FX845" s="1218"/>
      <c r="FY845" s="1218"/>
      <c r="FZ845" s="1218"/>
      <c r="GA845" s="1218"/>
      <c r="GB845" s="1218"/>
      <c r="GC845" s="1218"/>
      <c r="GD845" s="1218"/>
      <c r="GE845" s="1218"/>
      <c r="GF845" s="1218"/>
      <c r="GG845" s="1218"/>
      <c r="GH845" s="1218"/>
      <c r="GI845" s="1218"/>
      <c r="GJ845" s="1218"/>
      <c r="GK845" s="1218"/>
      <c r="GL845" s="1218"/>
      <c r="GM845" s="1218"/>
      <c r="GN845" s="1218"/>
      <c r="GO845" s="1218"/>
      <c r="GP845" s="1218"/>
      <c r="GQ845" s="1218"/>
      <c r="GR845" s="1218"/>
      <c r="GS845" s="1218"/>
      <c r="GT845" s="1218"/>
      <c r="GU845" s="1218"/>
      <c r="GV845" s="1218"/>
      <c r="GW845" s="1218"/>
      <c r="GX845" s="1218"/>
      <c r="GY845" s="1218"/>
      <c r="GZ845" s="1218"/>
      <c r="HA845" s="1218"/>
      <c r="HB845" s="1218"/>
      <c r="HC845" s="1218"/>
      <c r="HD845" s="1218"/>
      <c r="HE845" s="1218"/>
      <c r="HF845" s="1218"/>
      <c r="HG845" s="1218"/>
      <c r="HH845" s="1218"/>
      <c r="HI845" s="1218"/>
      <c r="HJ845" s="1218"/>
      <c r="HK845" s="1218"/>
      <c r="HL845" s="1218"/>
      <c r="HM845" s="1218"/>
      <c r="HN845" s="1218"/>
      <c r="HO845" s="1218"/>
      <c r="HP845" s="1218"/>
      <c r="HQ845" s="1218"/>
      <c r="HR845" s="1218"/>
      <c r="HS845" s="1218"/>
      <c r="HT845" s="1218"/>
      <c r="HU845" s="1218"/>
      <c r="HV845" s="1218"/>
      <c r="HW845" s="1218"/>
      <c r="HX845" s="1218"/>
      <c r="HY845" s="1218"/>
      <c r="HZ845" s="1218"/>
      <c r="IA845" s="1218"/>
      <c r="IB845" s="1218"/>
      <c r="IC845" s="1218"/>
      <c r="ID845" s="1218"/>
      <c r="IE845" s="1218"/>
      <c r="IF845" s="1218"/>
      <c r="IG845" s="1218"/>
      <c r="IH845" s="1218"/>
      <c r="II845" s="1218"/>
      <c r="IJ845" s="1218"/>
      <c r="IK845" s="1218"/>
      <c r="IL845" s="1218"/>
      <c r="IM845" s="1218"/>
      <c r="IN845" s="1218"/>
    </row>
    <row r="846" spans="1:248" s="1312" customFormat="1" ht="14.1" customHeight="1">
      <c r="A846" s="1318"/>
      <c r="B846" s="1316"/>
      <c r="C846" s="1317" t="s">
        <v>4133</v>
      </c>
      <c r="D846" s="1319"/>
      <c r="G846" s="1218"/>
      <c r="H846" s="1218"/>
      <c r="I846" s="1218"/>
      <c r="J846" s="1218"/>
      <c r="K846" s="1218"/>
      <c r="L846" s="1218"/>
      <c r="M846" s="1218"/>
      <c r="N846" s="1218"/>
      <c r="O846" s="1218"/>
      <c r="P846" s="1218"/>
      <c r="Q846" s="1218"/>
      <c r="R846" s="1218"/>
      <c r="S846" s="1218"/>
      <c r="T846" s="1218"/>
      <c r="U846" s="1218"/>
      <c r="V846" s="1218"/>
      <c r="W846" s="1218"/>
      <c r="X846" s="1218"/>
      <c r="Y846" s="1218"/>
      <c r="Z846" s="1218"/>
      <c r="AA846" s="1218"/>
      <c r="AB846" s="1218"/>
      <c r="AC846" s="1218"/>
      <c r="AD846" s="1218"/>
      <c r="AE846" s="1218"/>
      <c r="AF846" s="1218"/>
      <c r="AG846" s="1218"/>
      <c r="AH846" s="1218"/>
      <c r="AI846" s="1218"/>
      <c r="AJ846" s="1218"/>
      <c r="AK846" s="1218"/>
      <c r="AL846" s="1218"/>
      <c r="AM846" s="1218"/>
      <c r="AN846" s="1218"/>
      <c r="AO846" s="1218"/>
      <c r="AP846" s="1218"/>
      <c r="AQ846" s="1218"/>
      <c r="AR846" s="1218"/>
      <c r="AS846" s="1218"/>
      <c r="AT846" s="1218"/>
      <c r="AU846" s="1218"/>
      <c r="AV846" s="1218"/>
      <c r="AW846" s="1218"/>
      <c r="AX846" s="1218"/>
      <c r="AY846" s="1218"/>
      <c r="AZ846" s="1218"/>
      <c r="BA846" s="1218"/>
      <c r="BB846" s="1218"/>
      <c r="BC846" s="1218"/>
      <c r="BD846" s="1218"/>
      <c r="BE846" s="1218"/>
      <c r="BF846" s="1218"/>
      <c r="BG846" s="1218"/>
      <c r="BH846" s="1218"/>
      <c r="BI846" s="1218"/>
      <c r="BJ846" s="1218"/>
      <c r="BK846" s="1218"/>
      <c r="BL846" s="1218"/>
      <c r="BM846" s="1218"/>
      <c r="BN846" s="1218"/>
      <c r="BO846" s="1218"/>
      <c r="BP846" s="1218"/>
      <c r="BQ846" s="1218"/>
      <c r="BR846" s="1218"/>
      <c r="BS846" s="1218"/>
      <c r="BT846" s="1218"/>
      <c r="BU846" s="1218"/>
      <c r="BV846" s="1218"/>
      <c r="BW846" s="1218"/>
      <c r="BX846" s="1218"/>
      <c r="BY846" s="1218"/>
      <c r="BZ846" s="1218"/>
      <c r="CA846" s="1218"/>
      <c r="CB846" s="1218"/>
      <c r="CC846" s="1218"/>
      <c r="CD846" s="1218"/>
      <c r="CE846" s="1218"/>
      <c r="CF846" s="1218"/>
      <c r="CG846" s="1218"/>
      <c r="CH846" s="1218"/>
      <c r="CI846" s="1218"/>
      <c r="CJ846" s="1218"/>
      <c r="CK846" s="1218"/>
      <c r="CL846" s="1218"/>
      <c r="CM846" s="1218"/>
      <c r="CN846" s="1218"/>
      <c r="CO846" s="1218"/>
      <c r="CP846" s="1218"/>
      <c r="CQ846" s="1218"/>
      <c r="CR846" s="1218"/>
      <c r="CS846" s="1218"/>
      <c r="CT846" s="1218"/>
      <c r="CU846" s="1218"/>
      <c r="CV846" s="1218"/>
      <c r="CW846" s="1218"/>
      <c r="CX846" s="1218"/>
      <c r="CY846" s="1218"/>
      <c r="CZ846" s="1218"/>
      <c r="DA846" s="1218"/>
      <c r="DB846" s="1218"/>
      <c r="DC846" s="1218"/>
      <c r="DD846" s="1218"/>
      <c r="DE846" s="1218"/>
      <c r="DF846" s="1218"/>
      <c r="DG846" s="1218"/>
      <c r="DH846" s="1218"/>
      <c r="DI846" s="1218"/>
      <c r="DJ846" s="1218"/>
      <c r="DK846" s="1218"/>
      <c r="DL846" s="1218"/>
      <c r="DM846" s="1218"/>
      <c r="DN846" s="1218"/>
      <c r="DO846" s="1218"/>
      <c r="DP846" s="1218"/>
      <c r="DQ846" s="1218"/>
      <c r="DR846" s="1218"/>
      <c r="DS846" s="1218"/>
      <c r="DT846" s="1218"/>
      <c r="DU846" s="1218"/>
      <c r="DV846" s="1218"/>
      <c r="DW846" s="1218"/>
      <c r="DX846" s="1218"/>
      <c r="DY846" s="1218"/>
      <c r="DZ846" s="1218"/>
      <c r="EA846" s="1218"/>
      <c r="EB846" s="1218"/>
      <c r="EC846" s="1218"/>
      <c r="ED846" s="1218"/>
      <c r="EE846" s="1218"/>
      <c r="EF846" s="1218"/>
      <c r="EG846" s="1218"/>
      <c r="EH846" s="1218"/>
      <c r="EI846" s="1218"/>
      <c r="EJ846" s="1218"/>
      <c r="EK846" s="1218"/>
      <c r="EL846" s="1218"/>
      <c r="EM846" s="1218"/>
      <c r="EN846" s="1218"/>
      <c r="EO846" s="1218"/>
      <c r="EP846" s="1218"/>
      <c r="EQ846" s="1218"/>
      <c r="ER846" s="1218"/>
      <c r="ES846" s="1218"/>
      <c r="ET846" s="1218"/>
      <c r="EU846" s="1218"/>
      <c r="EV846" s="1218"/>
      <c r="EW846" s="1218"/>
      <c r="EX846" s="1218"/>
      <c r="EY846" s="1218"/>
      <c r="EZ846" s="1218"/>
      <c r="FA846" s="1218"/>
      <c r="FB846" s="1218"/>
      <c r="FC846" s="1218"/>
      <c r="FD846" s="1218"/>
      <c r="FE846" s="1218"/>
      <c r="FF846" s="1218"/>
      <c r="FG846" s="1218"/>
      <c r="FH846" s="1218"/>
      <c r="FI846" s="1218"/>
      <c r="FJ846" s="1218"/>
      <c r="FK846" s="1218"/>
      <c r="FL846" s="1218"/>
      <c r="FM846" s="1218"/>
      <c r="FN846" s="1218"/>
      <c r="FO846" s="1218"/>
      <c r="FP846" s="1218"/>
      <c r="FQ846" s="1218"/>
      <c r="FR846" s="1218"/>
      <c r="FS846" s="1218"/>
      <c r="FT846" s="1218"/>
      <c r="FU846" s="1218"/>
      <c r="FV846" s="1218"/>
      <c r="FW846" s="1218"/>
      <c r="FX846" s="1218"/>
      <c r="FY846" s="1218"/>
      <c r="FZ846" s="1218"/>
      <c r="GA846" s="1218"/>
      <c r="GB846" s="1218"/>
      <c r="GC846" s="1218"/>
      <c r="GD846" s="1218"/>
      <c r="GE846" s="1218"/>
      <c r="GF846" s="1218"/>
      <c r="GG846" s="1218"/>
      <c r="GH846" s="1218"/>
      <c r="GI846" s="1218"/>
      <c r="GJ846" s="1218"/>
      <c r="GK846" s="1218"/>
      <c r="GL846" s="1218"/>
      <c r="GM846" s="1218"/>
      <c r="GN846" s="1218"/>
      <c r="GO846" s="1218"/>
      <c r="GP846" s="1218"/>
      <c r="GQ846" s="1218"/>
      <c r="GR846" s="1218"/>
      <c r="GS846" s="1218"/>
      <c r="GT846" s="1218"/>
      <c r="GU846" s="1218"/>
      <c r="GV846" s="1218"/>
      <c r="GW846" s="1218"/>
      <c r="GX846" s="1218"/>
      <c r="GY846" s="1218"/>
      <c r="GZ846" s="1218"/>
      <c r="HA846" s="1218"/>
      <c r="HB846" s="1218"/>
      <c r="HC846" s="1218"/>
      <c r="HD846" s="1218"/>
      <c r="HE846" s="1218"/>
      <c r="HF846" s="1218"/>
      <c r="HG846" s="1218"/>
      <c r="HH846" s="1218"/>
      <c r="HI846" s="1218"/>
      <c r="HJ846" s="1218"/>
      <c r="HK846" s="1218"/>
      <c r="HL846" s="1218"/>
      <c r="HM846" s="1218"/>
      <c r="HN846" s="1218"/>
      <c r="HO846" s="1218"/>
      <c r="HP846" s="1218"/>
      <c r="HQ846" s="1218"/>
      <c r="HR846" s="1218"/>
      <c r="HS846" s="1218"/>
      <c r="HT846" s="1218"/>
      <c r="HU846" s="1218"/>
      <c r="HV846" s="1218"/>
      <c r="HW846" s="1218"/>
      <c r="HX846" s="1218"/>
      <c r="HY846" s="1218"/>
      <c r="HZ846" s="1218"/>
      <c r="IA846" s="1218"/>
      <c r="IB846" s="1218"/>
      <c r="IC846" s="1218"/>
      <c r="ID846" s="1218"/>
      <c r="IE846" s="1218"/>
      <c r="IF846" s="1218"/>
      <c r="IG846" s="1218"/>
      <c r="IH846" s="1218"/>
      <c r="II846" s="1218"/>
      <c r="IJ846" s="1218"/>
      <c r="IK846" s="1218"/>
      <c r="IL846" s="1218"/>
      <c r="IM846" s="1218"/>
      <c r="IN846" s="1218"/>
    </row>
    <row r="847" spans="1:248" s="1312" customFormat="1" ht="14.1" customHeight="1">
      <c r="A847" s="1318"/>
      <c r="B847" s="1313"/>
      <c r="C847" s="1320"/>
      <c r="D847" s="1314"/>
      <c r="G847" s="1218"/>
      <c r="H847" s="1218"/>
      <c r="I847" s="1218"/>
      <c r="J847" s="1218"/>
      <c r="K847" s="1218"/>
      <c r="L847" s="1218"/>
      <c r="M847" s="1218"/>
      <c r="N847" s="1218"/>
      <c r="O847" s="1218"/>
      <c r="P847" s="1218"/>
      <c r="Q847" s="1218"/>
      <c r="R847" s="1218"/>
      <c r="S847" s="1218"/>
      <c r="T847" s="1218"/>
      <c r="U847" s="1218"/>
      <c r="V847" s="1218"/>
      <c r="W847" s="1218"/>
      <c r="X847" s="1218"/>
      <c r="Y847" s="1218"/>
      <c r="Z847" s="1218"/>
      <c r="AA847" s="1218"/>
      <c r="AB847" s="1218"/>
      <c r="AC847" s="1218"/>
      <c r="AD847" s="1218"/>
      <c r="AE847" s="1218"/>
      <c r="AF847" s="1218"/>
      <c r="AG847" s="1218"/>
      <c r="AH847" s="1218"/>
      <c r="AI847" s="1218"/>
      <c r="AJ847" s="1218"/>
      <c r="AK847" s="1218"/>
      <c r="AL847" s="1218"/>
      <c r="AM847" s="1218"/>
      <c r="AN847" s="1218"/>
      <c r="AO847" s="1218"/>
      <c r="AP847" s="1218"/>
      <c r="AQ847" s="1218"/>
      <c r="AR847" s="1218"/>
      <c r="AS847" s="1218"/>
      <c r="AT847" s="1218"/>
      <c r="AU847" s="1218"/>
      <c r="AV847" s="1218"/>
      <c r="AW847" s="1218"/>
      <c r="AX847" s="1218"/>
      <c r="AY847" s="1218"/>
      <c r="AZ847" s="1218"/>
      <c r="BA847" s="1218"/>
      <c r="BB847" s="1218"/>
      <c r="BC847" s="1218"/>
      <c r="BD847" s="1218"/>
      <c r="BE847" s="1218"/>
      <c r="BF847" s="1218"/>
      <c r="BG847" s="1218"/>
      <c r="BH847" s="1218"/>
      <c r="BI847" s="1218"/>
      <c r="BJ847" s="1218"/>
      <c r="BK847" s="1218"/>
      <c r="BL847" s="1218"/>
      <c r="BM847" s="1218"/>
      <c r="BN847" s="1218"/>
      <c r="BO847" s="1218"/>
      <c r="BP847" s="1218"/>
      <c r="BQ847" s="1218"/>
      <c r="BR847" s="1218"/>
      <c r="BS847" s="1218"/>
      <c r="BT847" s="1218"/>
      <c r="BU847" s="1218"/>
      <c r="BV847" s="1218"/>
      <c r="BW847" s="1218"/>
      <c r="BX847" s="1218"/>
      <c r="BY847" s="1218"/>
      <c r="BZ847" s="1218"/>
      <c r="CA847" s="1218"/>
      <c r="CB847" s="1218"/>
      <c r="CC847" s="1218"/>
      <c r="CD847" s="1218"/>
      <c r="CE847" s="1218"/>
      <c r="CF847" s="1218"/>
      <c r="CG847" s="1218"/>
      <c r="CH847" s="1218"/>
      <c r="CI847" s="1218"/>
      <c r="CJ847" s="1218"/>
      <c r="CK847" s="1218"/>
      <c r="CL847" s="1218"/>
      <c r="CM847" s="1218"/>
      <c r="CN847" s="1218"/>
      <c r="CO847" s="1218"/>
      <c r="CP847" s="1218"/>
      <c r="CQ847" s="1218"/>
      <c r="CR847" s="1218"/>
      <c r="CS847" s="1218"/>
      <c r="CT847" s="1218"/>
      <c r="CU847" s="1218"/>
      <c r="CV847" s="1218"/>
      <c r="CW847" s="1218"/>
      <c r="CX847" s="1218"/>
      <c r="CY847" s="1218"/>
      <c r="CZ847" s="1218"/>
      <c r="DA847" s="1218"/>
      <c r="DB847" s="1218"/>
      <c r="DC847" s="1218"/>
      <c r="DD847" s="1218"/>
      <c r="DE847" s="1218"/>
      <c r="DF847" s="1218"/>
      <c r="DG847" s="1218"/>
      <c r="DH847" s="1218"/>
      <c r="DI847" s="1218"/>
      <c r="DJ847" s="1218"/>
      <c r="DK847" s="1218"/>
      <c r="DL847" s="1218"/>
      <c r="DM847" s="1218"/>
      <c r="DN847" s="1218"/>
      <c r="DO847" s="1218"/>
      <c r="DP847" s="1218"/>
      <c r="DQ847" s="1218"/>
      <c r="DR847" s="1218"/>
      <c r="DS847" s="1218"/>
      <c r="DT847" s="1218"/>
      <c r="DU847" s="1218"/>
      <c r="DV847" s="1218"/>
      <c r="DW847" s="1218"/>
      <c r="DX847" s="1218"/>
      <c r="DY847" s="1218"/>
      <c r="DZ847" s="1218"/>
      <c r="EA847" s="1218"/>
      <c r="EB847" s="1218"/>
      <c r="EC847" s="1218"/>
      <c r="ED847" s="1218"/>
      <c r="EE847" s="1218"/>
      <c r="EF847" s="1218"/>
      <c r="EG847" s="1218"/>
      <c r="EH847" s="1218"/>
      <c r="EI847" s="1218"/>
      <c r="EJ847" s="1218"/>
      <c r="EK847" s="1218"/>
      <c r="EL847" s="1218"/>
      <c r="EM847" s="1218"/>
      <c r="EN847" s="1218"/>
      <c r="EO847" s="1218"/>
      <c r="EP847" s="1218"/>
      <c r="EQ847" s="1218"/>
      <c r="ER847" s="1218"/>
      <c r="ES847" s="1218"/>
      <c r="ET847" s="1218"/>
      <c r="EU847" s="1218"/>
      <c r="EV847" s="1218"/>
      <c r="EW847" s="1218"/>
      <c r="EX847" s="1218"/>
      <c r="EY847" s="1218"/>
      <c r="EZ847" s="1218"/>
      <c r="FA847" s="1218"/>
      <c r="FB847" s="1218"/>
      <c r="FC847" s="1218"/>
      <c r="FD847" s="1218"/>
      <c r="FE847" s="1218"/>
      <c r="FF847" s="1218"/>
      <c r="FG847" s="1218"/>
      <c r="FH847" s="1218"/>
      <c r="FI847" s="1218"/>
      <c r="FJ847" s="1218"/>
      <c r="FK847" s="1218"/>
      <c r="FL847" s="1218"/>
      <c r="FM847" s="1218"/>
      <c r="FN847" s="1218"/>
      <c r="FO847" s="1218"/>
      <c r="FP847" s="1218"/>
      <c r="FQ847" s="1218"/>
      <c r="FR847" s="1218"/>
      <c r="FS847" s="1218"/>
      <c r="FT847" s="1218"/>
      <c r="FU847" s="1218"/>
      <c r="FV847" s="1218"/>
      <c r="FW847" s="1218"/>
      <c r="FX847" s="1218"/>
      <c r="FY847" s="1218"/>
      <c r="FZ847" s="1218"/>
      <c r="GA847" s="1218"/>
      <c r="GB847" s="1218"/>
      <c r="GC847" s="1218"/>
      <c r="GD847" s="1218"/>
      <c r="GE847" s="1218"/>
      <c r="GF847" s="1218"/>
      <c r="GG847" s="1218"/>
      <c r="GH847" s="1218"/>
      <c r="GI847" s="1218"/>
      <c r="GJ847" s="1218"/>
      <c r="GK847" s="1218"/>
      <c r="GL847" s="1218"/>
      <c r="GM847" s="1218"/>
      <c r="GN847" s="1218"/>
      <c r="GO847" s="1218"/>
      <c r="GP847" s="1218"/>
      <c r="GQ847" s="1218"/>
      <c r="GR847" s="1218"/>
      <c r="GS847" s="1218"/>
      <c r="GT847" s="1218"/>
      <c r="GU847" s="1218"/>
      <c r="GV847" s="1218"/>
      <c r="GW847" s="1218"/>
      <c r="GX847" s="1218"/>
      <c r="GY847" s="1218"/>
      <c r="GZ847" s="1218"/>
      <c r="HA847" s="1218"/>
      <c r="HB847" s="1218"/>
      <c r="HC847" s="1218"/>
      <c r="HD847" s="1218"/>
      <c r="HE847" s="1218"/>
      <c r="HF847" s="1218"/>
      <c r="HG847" s="1218"/>
      <c r="HH847" s="1218"/>
      <c r="HI847" s="1218"/>
      <c r="HJ847" s="1218"/>
      <c r="HK847" s="1218"/>
      <c r="HL847" s="1218"/>
      <c r="HM847" s="1218"/>
      <c r="HN847" s="1218"/>
      <c r="HO847" s="1218"/>
      <c r="HP847" s="1218"/>
      <c r="HQ847" s="1218"/>
      <c r="HR847" s="1218"/>
      <c r="HS847" s="1218"/>
      <c r="HT847" s="1218"/>
      <c r="HU847" s="1218"/>
      <c r="HV847" s="1218"/>
      <c r="HW847" s="1218"/>
      <c r="HX847" s="1218"/>
      <c r="HY847" s="1218"/>
      <c r="HZ847" s="1218"/>
      <c r="IA847" s="1218"/>
      <c r="IB847" s="1218"/>
      <c r="IC847" s="1218"/>
      <c r="ID847" s="1218"/>
      <c r="IE847" s="1218"/>
      <c r="IF847" s="1218"/>
      <c r="IG847" s="1218"/>
      <c r="IH847" s="1218"/>
      <c r="II847" s="1218"/>
      <c r="IJ847" s="1218"/>
      <c r="IK847" s="1218"/>
      <c r="IL847" s="1218"/>
      <c r="IM847" s="1218"/>
      <c r="IN847" s="1218"/>
    </row>
    <row r="848" spans="1:248" s="1312" customFormat="1" ht="14.1" customHeight="1">
      <c r="A848" s="1318"/>
      <c r="B848" s="1160" t="s">
        <v>3962</v>
      </c>
      <c r="C848" s="1143" t="s">
        <v>4134</v>
      </c>
      <c r="D848" s="1314"/>
      <c r="G848" s="1218"/>
      <c r="H848" s="1218"/>
      <c r="I848" s="1218"/>
      <c r="J848" s="1218"/>
      <c r="K848" s="1218"/>
      <c r="L848" s="1218"/>
      <c r="M848" s="1218"/>
      <c r="N848" s="1218"/>
      <c r="O848" s="1218"/>
      <c r="P848" s="1218"/>
      <c r="Q848" s="1218"/>
      <c r="R848" s="1218"/>
      <c r="S848" s="1218"/>
      <c r="T848" s="1218"/>
      <c r="U848" s="1218"/>
      <c r="V848" s="1218"/>
      <c r="W848" s="1218"/>
      <c r="X848" s="1218"/>
      <c r="Y848" s="1218"/>
      <c r="Z848" s="1218"/>
      <c r="AA848" s="1218"/>
      <c r="AB848" s="1218"/>
      <c r="AC848" s="1218"/>
      <c r="AD848" s="1218"/>
      <c r="AE848" s="1218"/>
      <c r="AF848" s="1218"/>
      <c r="AG848" s="1218"/>
      <c r="AH848" s="1218"/>
      <c r="AI848" s="1218"/>
      <c r="AJ848" s="1218"/>
      <c r="AK848" s="1218"/>
      <c r="AL848" s="1218"/>
      <c r="AM848" s="1218"/>
      <c r="AN848" s="1218"/>
      <c r="AO848" s="1218"/>
      <c r="AP848" s="1218"/>
      <c r="AQ848" s="1218"/>
      <c r="AR848" s="1218"/>
      <c r="AS848" s="1218"/>
      <c r="AT848" s="1218"/>
      <c r="AU848" s="1218"/>
      <c r="AV848" s="1218"/>
      <c r="AW848" s="1218"/>
      <c r="AX848" s="1218"/>
      <c r="AY848" s="1218"/>
      <c r="AZ848" s="1218"/>
      <c r="BA848" s="1218"/>
      <c r="BB848" s="1218"/>
      <c r="BC848" s="1218"/>
      <c r="BD848" s="1218"/>
      <c r="BE848" s="1218"/>
      <c r="BF848" s="1218"/>
      <c r="BG848" s="1218"/>
      <c r="BH848" s="1218"/>
      <c r="BI848" s="1218"/>
      <c r="BJ848" s="1218"/>
      <c r="BK848" s="1218"/>
      <c r="BL848" s="1218"/>
      <c r="BM848" s="1218"/>
      <c r="BN848" s="1218"/>
      <c r="BO848" s="1218"/>
      <c r="BP848" s="1218"/>
      <c r="BQ848" s="1218"/>
      <c r="BR848" s="1218"/>
      <c r="BS848" s="1218"/>
      <c r="BT848" s="1218"/>
      <c r="BU848" s="1218"/>
      <c r="BV848" s="1218"/>
      <c r="BW848" s="1218"/>
      <c r="BX848" s="1218"/>
      <c r="BY848" s="1218"/>
      <c r="BZ848" s="1218"/>
      <c r="CA848" s="1218"/>
      <c r="CB848" s="1218"/>
      <c r="CC848" s="1218"/>
      <c r="CD848" s="1218"/>
      <c r="CE848" s="1218"/>
      <c r="CF848" s="1218"/>
      <c r="CG848" s="1218"/>
      <c r="CH848" s="1218"/>
      <c r="CI848" s="1218"/>
      <c r="CJ848" s="1218"/>
      <c r="CK848" s="1218"/>
      <c r="CL848" s="1218"/>
      <c r="CM848" s="1218"/>
      <c r="CN848" s="1218"/>
      <c r="CO848" s="1218"/>
      <c r="CP848" s="1218"/>
      <c r="CQ848" s="1218"/>
      <c r="CR848" s="1218"/>
      <c r="CS848" s="1218"/>
      <c r="CT848" s="1218"/>
      <c r="CU848" s="1218"/>
      <c r="CV848" s="1218"/>
      <c r="CW848" s="1218"/>
      <c r="CX848" s="1218"/>
      <c r="CY848" s="1218"/>
      <c r="CZ848" s="1218"/>
      <c r="DA848" s="1218"/>
      <c r="DB848" s="1218"/>
      <c r="DC848" s="1218"/>
      <c r="DD848" s="1218"/>
      <c r="DE848" s="1218"/>
      <c r="DF848" s="1218"/>
      <c r="DG848" s="1218"/>
      <c r="DH848" s="1218"/>
      <c r="DI848" s="1218"/>
      <c r="DJ848" s="1218"/>
      <c r="DK848" s="1218"/>
      <c r="DL848" s="1218"/>
      <c r="DM848" s="1218"/>
      <c r="DN848" s="1218"/>
      <c r="DO848" s="1218"/>
      <c r="DP848" s="1218"/>
      <c r="DQ848" s="1218"/>
      <c r="DR848" s="1218"/>
      <c r="DS848" s="1218"/>
      <c r="DT848" s="1218"/>
      <c r="DU848" s="1218"/>
      <c r="DV848" s="1218"/>
      <c r="DW848" s="1218"/>
      <c r="DX848" s="1218"/>
      <c r="DY848" s="1218"/>
      <c r="DZ848" s="1218"/>
      <c r="EA848" s="1218"/>
      <c r="EB848" s="1218"/>
      <c r="EC848" s="1218"/>
      <c r="ED848" s="1218"/>
      <c r="EE848" s="1218"/>
      <c r="EF848" s="1218"/>
      <c r="EG848" s="1218"/>
      <c r="EH848" s="1218"/>
      <c r="EI848" s="1218"/>
      <c r="EJ848" s="1218"/>
      <c r="EK848" s="1218"/>
      <c r="EL848" s="1218"/>
      <c r="EM848" s="1218"/>
      <c r="EN848" s="1218"/>
      <c r="EO848" s="1218"/>
      <c r="EP848" s="1218"/>
      <c r="EQ848" s="1218"/>
      <c r="ER848" s="1218"/>
      <c r="ES848" s="1218"/>
      <c r="ET848" s="1218"/>
      <c r="EU848" s="1218"/>
      <c r="EV848" s="1218"/>
      <c r="EW848" s="1218"/>
      <c r="EX848" s="1218"/>
      <c r="EY848" s="1218"/>
      <c r="EZ848" s="1218"/>
      <c r="FA848" s="1218"/>
      <c r="FB848" s="1218"/>
      <c r="FC848" s="1218"/>
      <c r="FD848" s="1218"/>
      <c r="FE848" s="1218"/>
      <c r="FF848" s="1218"/>
      <c r="FG848" s="1218"/>
      <c r="FH848" s="1218"/>
      <c r="FI848" s="1218"/>
      <c r="FJ848" s="1218"/>
      <c r="FK848" s="1218"/>
      <c r="FL848" s="1218"/>
      <c r="FM848" s="1218"/>
      <c r="FN848" s="1218"/>
      <c r="FO848" s="1218"/>
      <c r="FP848" s="1218"/>
      <c r="FQ848" s="1218"/>
      <c r="FR848" s="1218"/>
      <c r="FS848" s="1218"/>
      <c r="FT848" s="1218"/>
      <c r="FU848" s="1218"/>
      <c r="FV848" s="1218"/>
      <c r="FW848" s="1218"/>
      <c r="FX848" s="1218"/>
      <c r="FY848" s="1218"/>
      <c r="FZ848" s="1218"/>
      <c r="GA848" s="1218"/>
      <c r="GB848" s="1218"/>
      <c r="GC848" s="1218"/>
      <c r="GD848" s="1218"/>
      <c r="GE848" s="1218"/>
      <c r="GF848" s="1218"/>
      <c r="GG848" s="1218"/>
      <c r="GH848" s="1218"/>
      <c r="GI848" s="1218"/>
      <c r="GJ848" s="1218"/>
      <c r="GK848" s="1218"/>
      <c r="GL848" s="1218"/>
      <c r="GM848" s="1218"/>
      <c r="GN848" s="1218"/>
      <c r="GO848" s="1218"/>
      <c r="GP848" s="1218"/>
      <c r="GQ848" s="1218"/>
      <c r="GR848" s="1218"/>
      <c r="GS848" s="1218"/>
      <c r="GT848" s="1218"/>
      <c r="GU848" s="1218"/>
      <c r="GV848" s="1218"/>
      <c r="GW848" s="1218"/>
      <c r="GX848" s="1218"/>
      <c r="GY848" s="1218"/>
      <c r="GZ848" s="1218"/>
      <c r="HA848" s="1218"/>
      <c r="HB848" s="1218"/>
      <c r="HC848" s="1218"/>
      <c r="HD848" s="1218"/>
      <c r="HE848" s="1218"/>
      <c r="HF848" s="1218"/>
      <c r="HG848" s="1218"/>
      <c r="HH848" s="1218"/>
      <c r="HI848" s="1218"/>
      <c r="HJ848" s="1218"/>
      <c r="HK848" s="1218"/>
      <c r="HL848" s="1218"/>
      <c r="HM848" s="1218"/>
      <c r="HN848" s="1218"/>
      <c r="HO848" s="1218"/>
      <c r="HP848" s="1218"/>
      <c r="HQ848" s="1218"/>
      <c r="HR848" s="1218"/>
      <c r="HS848" s="1218"/>
      <c r="HT848" s="1218"/>
      <c r="HU848" s="1218"/>
      <c r="HV848" s="1218"/>
      <c r="HW848" s="1218"/>
      <c r="HX848" s="1218"/>
      <c r="HY848" s="1218"/>
      <c r="HZ848" s="1218"/>
      <c r="IA848" s="1218"/>
      <c r="IB848" s="1218"/>
      <c r="IC848" s="1218"/>
      <c r="ID848" s="1218"/>
      <c r="IE848" s="1218"/>
      <c r="IF848" s="1218"/>
      <c r="IG848" s="1218"/>
      <c r="IH848" s="1218"/>
      <c r="II848" s="1218"/>
      <c r="IJ848" s="1218"/>
      <c r="IK848" s="1218"/>
      <c r="IL848" s="1218"/>
      <c r="IM848" s="1218"/>
      <c r="IN848" s="1218"/>
    </row>
    <row r="849" spans="1:248" s="1312" customFormat="1" ht="14.1" customHeight="1">
      <c r="A849" s="1318"/>
      <c r="B849" s="1313"/>
      <c r="C849" s="1143" t="s">
        <v>4135</v>
      </c>
      <c r="D849" s="1314"/>
      <c r="G849" s="1218"/>
      <c r="H849" s="1218"/>
      <c r="I849" s="1218"/>
      <c r="J849" s="1218"/>
      <c r="K849" s="1218"/>
      <c r="L849" s="1218"/>
      <c r="M849" s="1218"/>
      <c r="N849" s="1218"/>
      <c r="O849" s="1218"/>
      <c r="P849" s="1218"/>
      <c r="Q849" s="1218"/>
      <c r="R849" s="1218"/>
      <c r="S849" s="1218"/>
      <c r="T849" s="1218"/>
      <c r="U849" s="1218"/>
      <c r="V849" s="1218"/>
      <c r="W849" s="1218"/>
      <c r="X849" s="1218"/>
      <c r="Y849" s="1218"/>
      <c r="Z849" s="1218"/>
      <c r="AA849" s="1218"/>
      <c r="AB849" s="1218"/>
      <c r="AC849" s="1218"/>
      <c r="AD849" s="1218"/>
      <c r="AE849" s="1218"/>
      <c r="AF849" s="1218"/>
      <c r="AG849" s="1218"/>
      <c r="AH849" s="1218"/>
      <c r="AI849" s="1218"/>
      <c r="AJ849" s="1218"/>
      <c r="AK849" s="1218"/>
      <c r="AL849" s="1218"/>
      <c r="AM849" s="1218"/>
      <c r="AN849" s="1218"/>
      <c r="AO849" s="1218"/>
      <c r="AP849" s="1218"/>
      <c r="AQ849" s="1218"/>
      <c r="AR849" s="1218"/>
      <c r="AS849" s="1218"/>
      <c r="AT849" s="1218"/>
      <c r="AU849" s="1218"/>
      <c r="AV849" s="1218"/>
      <c r="AW849" s="1218"/>
      <c r="AX849" s="1218"/>
      <c r="AY849" s="1218"/>
      <c r="AZ849" s="1218"/>
      <c r="BA849" s="1218"/>
      <c r="BB849" s="1218"/>
      <c r="BC849" s="1218"/>
      <c r="BD849" s="1218"/>
      <c r="BE849" s="1218"/>
      <c r="BF849" s="1218"/>
      <c r="BG849" s="1218"/>
      <c r="BH849" s="1218"/>
      <c r="BI849" s="1218"/>
      <c r="BJ849" s="1218"/>
      <c r="BK849" s="1218"/>
      <c r="BL849" s="1218"/>
      <c r="BM849" s="1218"/>
      <c r="BN849" s="1218"/>
      <c r="BO849" s="1218"/>
      <c r="BP849" s="1218"/>
      <c r="BQ849" s="1218"/>
      <c r="BR849" s="1218"/>
      <c r="BS849" s="1218"/>
      <c r="BT849" s="1218"/>
      <c r="BU849" s="1218"/>
      <c r="BV849" s="1218"/>
      <c r="BW849" s="1218"/>
      <c r="BX849" s="1218"/>
      <c r="BY849" s="1218"/>
      <c r="BZ849" s="1218"/>
      <c r="CA849" s="1218"/>
      <c r="CB849" s="1218"/>
      <c r="CC849" s="1218"/>
      <c r="CD849" s="1218"/>
      <c r="CE849" s="1218"/>
      <c r="CF849" s="1218"/>
      <c r="CG849" s="1218"/>
      <c r="CH849" s="1218"/>
      <c r="CI849" s="1218"/>
      <c r="CJ849" s="1218"/>
      <c r="CK849" s="1218"/>
      <c r="CL849" s="1218"/>
      <c r="CM849" s="1218"/>
      <c r="CN849" s="1218"/>
      <c r="CO849" s="1218"/>
      <c r="CP849" s="1218"/>
      <c r="CQ849" s="1218"/>
      <c r="CR849" s="1218"/>
      <c r="CS849" s="1218"/>
      <c r="CT849" s="1218"/>
      <c r="CU849" s="1218"/>
      <c r="CV849" s="1218"/>
      <c r="CW849" s="1218"/>
      <c r="CX849" s="1218"/>
      <c r="CY849" s="1218"/>
      <c r="CZ849" s="1218"/>
      <c r="DA849" s="1218"/>
      <c r="DB849" s="1218"/>
      <c r="DC849" s="1218"/>
      <c r="DD849" s="1218"/>
      <c r="DE849" s="1218"/>
      <c r="DF849" s="1218"/>
      <c r="DG849" s="1218"/>
      <c r="DH849" s="1218"/>
      <c r="DI849" s="1218"/>
      <c r="DJ849" s="1218"/>
      <c r="DK849" s="1218"/>
      <c r="DL849" s="1218"/>
      <c r="DM849" s="1218"/>
      <c r="DN849" s="1218"/>
      <c r="DO849" s="1218"/>
      <c r="DP849" s="1218"/>
      <c r="DQ849" s="1218"/>
      <c r="DR849" s="1218"/>
      <c r="DS849" s="1218"/>
      <c r="DT849" s="1218"/>
      <c r="DU849" s="1218"/>
      <c r="DV849" s="1218"/>
      <c r="DW849" s="1218"/>
      <c r="DX849" s="1218"/>
      <c r="DY849" s="1218"/>
      <c r="DZ849" s="1218"/>
      <c r="EA849" s="1218"/>
      <c r="EB849" s="1218"/>
      <c r="EC849" s="1218"/>
      <c r="ED849" s="1218"/>
      <c r="EE849" s="1218"/>
      <c r="EF849" s="1218"/>
      <c r="EG849" s="1218"/>
      <c r="EH849" s="1218"/>
      <c r="EI849" s="1218"/>
      <c r="EJ849" s="1218"/>
      <c r="EK849" s="1218"/>
      <c r="EL849" s="1218"/>
      <c r="EM849" s="1218"/>
      <c r="EN849" s="1218"/>
      <c r="EO849" s="1218"/>
      <c r="EP849" s="1218"/>
      <c r="EQ849" s="1218"/>
      <c r="ER849" s="1218"/>
      <c r="ES849" s="1218"/>
      <c r="ET849" s="1218"/>
      <c r="EU849" s="1218"/>
      <c r="EV849" s="1218"/>
      <c r="EW849" s="1218"/>
      <c r="EX849" s="1218"/>
      <c r="EY849" s="1218"/>
      <c r="EZ849" s="1218"/>
      <c r="FA849" s="1218"/>
      <c r="FB849" s="1218"/>
      <c r="FC849" s="1218"/>
      <c r="FD849" s="1218"/>
      <c r="FE849" s="1218"/>
      <c r="FF849" s="1218"/>
      <c r="FG849" s="1218"/>
      <c r="FH849" s="1218"/>
      <c r="FI849" s="1218"/>
      <c r="FJ849" s="1218"/>
      <c r="FK849" s="1218"/>
      <c r="FL849" s="1218"/>
      <c r="FM849" s="1218"/>
      <c r="FN849" s="1218"/>
      <c r="FO849" s="1218"/>
      <c r="FP849" s="1218"/>
      <c r="FQ849" s="1218"/>
      <c r="FR849" s="1218"/>
      <c r="FS849" s="1218"/>
      <c r="FT849" s="1218"/>
      <c r="FU849" s="1218"/>
      <c r="FV849" s="1218"/>
      <c r="FW849" s="1218"/>
      <c r="FX849" s="1218"/>
      <c r="FY849" s="1218"/>
      <c r="FZ849" s="1218"/>
      <c r="GA849" s="1218"/>
      <c r="GB849" s="1218"/>
      <c r="GC849" s="1218"/>
      <c r="GD849" s="1218"/>
      <c r="GE849" s="1218"/>
      <c r="GF849" s="1218"/>
      <c r="GG849" s="1218"/>
      <c r="GH849" s="1218"/>
      <c r="GI849" s="1218"/>
      <c r="GJ849" s="1218"/>
      <c r="GK849" s="1218"/>
      <c r="GL849" s="1218"/>
      <c r="GM849" s="1218"/>
      <c r="GN849" s="1218"/>
      <c r="GO849" s="1218"/>
      <c r="GP849" s="1218"/>
      <c r="GQ849" s="1218"/>
      <c r="GR849" s="1218"/>
      <c r="GS849" s="1218"/>
      <c r="GT849" s="1218"/>
      <c r="GU849" s="1218"/>
      <c r="GV849" s="1218"/>
      <c r="GW849" s="1218"/>
      <c r="GX849" s="1218"/>
      <c r="GY849" s="1218"/>
      <c r="GZ849" s="1218"/>
      <c r="HA849" s="1218"/>
      <c r="HB849" s="1218"/>
      <c r="HC849" s="1218"/>
      <c r="HD849" s="1218"/>
      <c r="HE849" s="1218"/>
      <c r="HF849" s="1218"/>
      <c r="HG849" s="1218"/>
      <c r="HH849" s="1218"/>
      <c r="HI849" s="1218"/>
      <c r="HJ849" s="1218"/>
      <c r="HK849" s="1218"/>
      <c r="HL849" s="1218"/>
      <c r="HM849" s="1218"/>
      <c r="HN849" s="1218"/>
      <c r="HO849" s="1218"/>
      <c r="HP849" s="1218"/>
      <c r="HQ849" s="1218"/>
      <c r="HR849" s="1218"/>
      <c r="HS849" s="1218"/>
      <c r="HT849" s="1218"/>
      <c r="HU849" s="1218"/>
      <c r="HV849" s="1218"/>
      <c r="HW849" s="1218"/>
      <c r="HX849" s="1218"/>
      <c r="HY849" s="1218"/>
      <c r="HZ849" s="1218"/>
      <c r="IA849" s="1218"/>
      <c r="IB849" s="1218"/>
      <c r="IC849" s="1218"/>
      <c r="ID849" s="1218"/>
      <c r="IE849" s="1218"/>
      <c r="IF849" s="1218"/>
      <c r="IG849" s="1218"/>
      <c r="IH849" s="1218"/>
      <c r="II849" s="1218"/>
      <c r="IJ849" s="1218"/>
      <c r="IK849" s="1218"/>
      <c r="IL849" s="1218"/>
      <c r="IM849" s="1218"/>
      <c r="IN849" s="1218"/>
    </row>
    <row r="850" spans="1:248" s="1312" customFormat="1" ht="14.1" customHeight="1">
      <c r="A850" s="1318"/>
      <c r="B850" s="1313"/>
      <c r="C850" s="1320"/>
      <c r="D850" s="1314"/>
      <c r="G850" s="1218"/>
      <c r="H850" s="1218"/>
      <c r="I850" s="1218"/>
      <c r="J850" s="1218"/>
      <c r="K850" s="1218"/>
      <c r="L850" s="1218"/>
      <c r="M850" s="1218"/>
      <c r="N850" s="1218"/>
      <c r="O850" s="1218"/>
      <c r="P850" s="1218"/>
      <c r="Q850" s="1218"/>
      <c r="R850" s="1218"/>
      <c r="S850" s="1218"/>
      <c r="T850" s="1218"/>
      <c r="U850" s="1218"/>
      <c r="V850" s="1218"/>
      <c r="W850" s="1218"/>
      <c r="X850" s="1218"/>
      <c r="Y850" s="1218"/>
      <c r="Z850" s="1218"/>
      <c r="AA850" s="1218"/>
      <c r="AB850" s="1218"/>
      <c r="AC850" s="1218"/>
      <c r="AD850" s="1218"/>
      <c r="AE850" s="1218"/>
      <c r="AF850" s="1218"/>
      <c r="AG850" s="1218"/>
      <c r="AH850" s="1218"/>
      <c r="AI850" s="1218"/>
      <c r="AJ850" s="1218"/>
      <c r="AK850" s="1218"/>
      <c r="AL850" s="1218"/>
      <c r="AM850" s="1218"/>
      <c r="AN850" s="1218"/>
      <c r="AO850" s="1218"/>
      <c r="AP850" s="1218"/>
      <c r="AQ850" s="1218"/>
      <c r="AR850" s="1218"/>
      <c r="AS850" s="1218"/>
      <c r="AT850" s="1218"/>
      <c r="AU850" s="1218"/>
      <c r="AV850" s="1218"/>
      <c r="AW850" s="1218"/>
      <c r="AX850" s="1218"/>
      <c r="AY850" s="1218"/>
      <c r="AZ850" s="1218"/>
      <c r="BA850" s="1218"/>
      <c r="BB850" s="1218"/>
      <c r="BC850" s="1218"/>
      <c r="BD850" s="1218"/>
      <c r="BE850" s="1218"/>
      <c r="BF850" s="1218"/>
      <c r="BG850" s="1218"/>
      <c r="BH850" s="1218"/>
      <c r="BI850" s="1218"/>
      <c r="BJ850" s="1218"/>
      <c r="BK850" s="1218"/>
      <c r="BL850" s="1218"/>
      <c r="BM850" s="1218"/>
      <c r="BN850" s="1218"/>
      <c r="BO850" s="1218"/>
      <c r="BP850" s="1218"/>
      <c r="BQ850" s="1218"/>
      <c r="BR850" s="1218"/>
      <c r="BS850" s="1218"/>
      <c r="BT850" s="1218"/>
      <c r="BU850" s="1218"/>
      <c r="BV850" s="1218"/>
      <c r="BW850" s="1218"/>
      <c r="BX850" s="1218"/>
      <c r="BY850" s="1218"/>
      <c r="BZ850" s="1218"/>
      <c r="CA850" s="1218"/>
      <c r="CB850" s="1218"/>
      <c r="CC850" s="1218"/>
      <c r="CD850" s="1218"/>
      <c r="CE850" s="1218"/>
      <c r="CF850" s="1218"/>
      <c r="CG850" s="1218"/>
      <c r="CH850" s="1218"/>
      <c r="CI850" s="1218"/>
      <c r="CJ850" s="1218"/>
      <c r="CK850" s="1218"/>
      <c r="CL850" s="1218"/>
      <c r="CM850" s="1218"/>
      <c r="CN850" s="1218"/>
      <c r="CO850" s="1218"/>
      <c r="CP850" s="1218"/>
      <c r="CQ850" s="1218"/>
      <c r="CR850" s="1218"/>
      <c r="CS850" s="1218"/>
      <c r="CT850" s="1218"/>
      <c r="CU850" s="1218"/>
      <c r="CV850" s="1218"/>
      <c r="CW850" s="1218"/>
      <c r="CX850" s="1218"/>
      <c r="CY850" s="1218"/>
      <c r="CZ850" s="1218"/>
      <c r="DA850" s="1218"/>
      <c r="DB850" s="1218"/>
      <c r="DC850" s="1218"/>
      <c r="DD850" s="1218"/>
      <c r="DE850" s="1218"/>
      <c r="DF850" s="1218"/>
      <c r="DG850" s="1218"/>
      <c r="DH850" s="1218"/>
      <c r="DI850" s="1218"/>
      <c r="DJ850" s="1218"/>
      <c r="DK850" s="1218"/>
      <c r="DL850" s="1218"/>
      <c r="DM850" s="1218"/>
      <c r="DN850" s="1218"/>
      <c r="DO850" s="1218"/>
      <c r="DP850" s="1218"/>
      <c r="DQ850" s="1218"/>
      <c r="DR850" s="1218"/>
      <c r="DS850" s="1218"/>
      <c r="DT850" s="1218"/>
      <c r="DU850" s="1218"/>
      <c r="DV850" s="1218"/>
      <c r="DW850" s="1218"/>
      <c r="DX850" s="1218"/>
      <c r="DY850" s="1218"/>
      <c r="DZ850" s="1218"/>
      <c r="EA850" s="1218"/>
      <c r="EB850" s="1218"/>
      <c r="EC850" s="1218"/>
      <c r="ED850" s="1218"/>
      <c r="EE850" s="1218"/>
      <c r="EF850" s="1218"/>
      <c r="EG850" s="1218"/>
      <c r="EH850" s="1218"/>
      <c r="EI850" s="1218"/>
      <c r="EJ850" s="1218"/>
      <c r="EK850" s="1218"/>
      <c r="EL850" s="1218"/>
      <c r="EM850" s="1218"/>
      <c r="EN850" s="1218"/>
      <c r="EO850" s="1218"/>
      <c r="EP850" s="1218"/>
      <c r="EQ850" s="1218"/>
      <c r="ER850" s="1218"/>
      <c r="ES850" s="1218"/>
      <c r="ET850" s="1218"/>
      <c r="EU850" s="1218"/>
      <c r="EV850" s="1218"/>
      <c r="EW850" s="1218"/>
      <c r="EX850" s="1218"/>
      <c r="EY850" s="1218"/>
      <c r="EZ850" s="1218"/>
      <c r="FA850" s="1218"/>
      <c r="FB850" s="1218"/>
      <c r="FC850" s="1218"/>
      <c r="FD850" s="1218"/>
      <c r="FE850" s="1218"/>
      <c r="FF850" s="1218"/>
      <c r="FG850" s="1218"/>
      <c r="FH850" s="1218"/>
      <c r="FI850" s="1218"/>
      <c r="FJ850" s="1218"/>
      <c r="FK850" s="1218"/>
      <c r="FL850" s="1218"/>
      <c r="FM850" s="1218"/>
      <c r="FN850" s="1218"/>
      <c r="FO850" s="1218"/>
      <c r="FP850" s="1218"/>
      <c r="FQ850" s="1218"/>
      <c r="FR850" s="1218"/>
      <c r="FS850" s="1218"/>
      <c r="FT850" s="1218"/>
      <c r="FU850" s="1218"/>
      <c r="FV850" s="1218"/>
      <c r="FW850" s="1218"/>
      <c r="FX850" s="1218"/>
      <c r="FY850" s="1218"/>
      <c r="FZ850" s="1218"/>
      <c r="GA850" s="1218"/>
      <c r="GB850" s="1218"/>
      <c r="GC850" s="1218"/>
      <c r="GD850" s="1218"/>
      <c r="GE850" s="1218"/>
      <c r="GF850" s="1218"/>
      <c r="GG850" s="1218"/>
      <c r="GH850" s="1218"/>
      <c r="GI850" s="1218"/>
      <c r="GJ850" s="1218"/>
      <c r="GK850" s="1218"/>
      <c r="GL850" s="1218"/>
      <c r="GM850" s="1218"/>
      <c r="GN850" s="1218"/>
      <c r="GO850" s="1218"/>
      <c r="GP850" s="1218"/>
      <c r="GQ850" s="1218"/>
      <c r="GR850" s="1218"/>
      <c r="GS850" s="1218"/>
      <c r="GT850" s="1218"/>
      <c r="GU850" s="1218"/>
      <c r="GV850" s="1218"/>
      <c r="GW850" s="1218"/>
      <c r="GX850" s="1218"/>
      <c r="GY850" s="1218"/>
      <c r="GZ850" s="1218"/>
      <c r="HA850" s="1218"/>
      <c r="HB850" s="1218"/>
      <c r="HC850" s="1218"/>
      <c r="HD850" s="1218"/>
      <c r="HE850" s="1218"/>
      <c r="HF850" s="1218"/>
      <c r="HG850" s="1218"/>
      <c r="HH850" s="1218"/>
      <c r="HI850" s="1218"/>
      <c r="HJ850" s="1218"/>
      <c r="HK850" s="1218"/>
      <c r="HL850" s="1218"/>
      <c r="HM850" s="1218"/>
      <c r="HN850" s="1218"/>
      <c r="HO850" s="1218"/>
      <c r="HP850" s="1218"/>
      <c r="HQ850" s="1218"/>
      <c r="HR850" s="1218"/>
      <c r="HS850" s="1218"/>
      <c r="HT850" s="1218"/>
      <c r="HU850" s="1218"/>
      <c r="HV850" s="1218"/>
      <c r="HW850" s="1218"/>
      <c r="HX850" s="1218"/>
      <c r="HY850" s="1218"/>
      <c r="HZ850" s="1218"/>
      <c r="IA850" s="1218"/>
      <c r="IB850" s="1218"/>
      <c r="IC850" s="1218"/>
      <c r="ID850" s="1218"/>
      <c r="IE850" s="1218"/>
      <c r="IF850" s="1218"/>
      <c r="IG850" s="1218"/>
      <c r="IH850" s="1218"/>
      <c r="II850" s="1218"/>
      <c r="IJ850" s="1218"/>
      <c r="IK850" s="1218"/>
      <c r="IL850" s="1218"/>
      <c r="IM850" s="1218"/>
      <c r="IN850" s="1218"/>
    </row>
    <row r="851" spans="1:248" s="1312" customFormat="1" ht="14.1" customHeight="1">
      <c r="A851" s="1318"/>
      <c r="B851" s="1160" t="s">
        <v>3963</v>
      </c>
      <c r="C851" s="1143" t="s">
        <v>4136</v>
      </c>
      <c r="D851" s="1314"/>
      <c r="G851" s="1218"/>
      <c r="H851" s="1218"/>
      <c r="I851" s="1218"/>
      <c r="J851" s="1218"/>
      <c r="K851" s="1218"/>
      <c r="L851" s="1218"/>
      <c r="M851" s="1218"/>
      <c r="N851" s="1218"/>
      <c r="O851" s="1218"/>
      <c r="P851" s="1218"/>
      <c r="Q851" s="1218"/>
      <c r="R851" s="1218"/>
      <c r="S851" s="1218"/>
      <c r="T851" s="1218"/>
      <c r="U851" s="1218"/>
      <c r="V851" s="1218"/>
      <c r="W851" s="1218"/>
      <c r="X851" s="1218"/>
      <c r="Y851" s="1218"/>
      <c r="Z851" s="1218"/>
      <c r="AA851" s="1218"/>
      <c r="AB851" s="1218"/>
      <c r="AC851" s="1218"/>
      <c r="AD851" s="1218"/>
      <c r="AE851" s="1218"/>
      <c r="AF851" s="1218"/>
      <c r="AG851" s="1218"/>
      <c r="AH851" s="1218"/>
      <c r="AI851" s="1218"/>
      <c r="AJ851" s="1218"/>
      <c r="AK851" s="1218"/>
      <c r="AL851" s="1218"/>
      <c r="AM851" s="1218"/>
      <c r="AN851" s="1218"/>
      <c r="AO851" s="1218"/>
      <c r="AP851" s="1218"/>
      <c r="AQ851" s="1218"/>
      <c r="AR851" s="1218"/>
      <c r="AS851" s="1218"/>
      <c r="AT851" s="1218"/>
      <c r="AU851" s="1218"/>
      <c r="AV851" s="1218"/>
      <c r="AW851" s="1218"/>
      <c r="AX851" s="1218"/>
      <c r="AY851" s="1218"/>
      <c r="AZ851" s="1218"/>
      <c r="BA851" s="1218"/>
      <c r="BB851" s="1218"/>
      <c r="BC851" s="1218"/>
      <c r="BD851" s="1218"/>
      <c r="BE851" s="1218"/>
      <c r="BF851" s="1218"/>
      <c r="BG851" s="1218"/>
      <c r="BH851" s="1218"/>
      <c r="BI851" s="1218"/>
      <c r="BJ851" s="1218"/>
      <c r="BK851" s="1218"/>
      <c r="BL851" s="1218"/>
      <c r="BM851" s="1218"/>
      <c r="BN851" s="1218"/>
      <c r="BO851" s="1218"/>
      <c r="BP851" s="1218"/>
      <c r="BQ851" s="1218"/>
      <c r="BR851" s="1218"/>
      <c r="BS851" s="1218"/>
      <c r="BT851" s="1218"/>
      <c r="BU851" s="1218"/>
      <c r="BV851" s="1218"/>
      <c r="BW851" s="1218"/>
      <c r="BX851" s="1218"/>
      <c r="BY851" s="1218"/>
      <c r="BZ851" s="1218"/>
      <c r="CA851" s="1218"/>
      <c r="CB851" s="1218"/>
      <c r="CC851" s="1218"/>
      <c r="CD851" s="1218"/>
      <c r="CE851" s="1218"/>
      <c r="CF851" s="1218"/>
      <c r="CG851" s="1218"/>
      <c r="CH851" s="1218"/>
      <c r="CI851" s="1218"/>
      <c r="CJ851" s="1218"/>
      <c r="CK851" s="1218"/>
      <c r="CL851" s="1218"/>
      <c r="CM851" s="1218"/>
      <c r="CN851" s="1218"/>
      <c r="CO851" s="1218"/>
      <c r="CP851" s="1218"/>
      <c r="CQ851" s="1218"/>
      <c r="CR851" s="1218"/>
      <c r="CS851" s="1218"/>
      <c r="CT851" s="1218"/>
      <c r="CU851" s="1218"/>
      <c r="CV851" s="1218"/>
      <c r="CW851" s="1218"/>
      <c r="CX851" s="1218"/>
      <c r="CY851" s="1218"/>
      <c r="CZ851" s="1218"/>
      <c r="DA851" s="1218"/>
      <c r="DB851" s="1218"/>
      <c r="DC851" s="1218"/>
      <c r="DD851" s="1218"/>
      <c r="DE851" s="1218"/>
      <c r="DF851" s="1218"/>
      <c r="DG851" s="1218"/>
      <c r="DH851" s="1218"/>
      <c r="DI851" s="1218"/>
      <c r="DJ851" s="1218"/>
      <c r="DK851" s="1218"/>
      <c r="DL851" s="1218"/>
      <c r="DM851" s="1218"/>
      <c r="DN851" s="1218"/>
      <c r="DO851" s="1218"/>
      <c r="DP851" s="1218"/>
      <c r="DQ851" s="1218"/>
      <c r="DR851" s="1218"/>
      <c r="DS851" s="1218"/>
      <c r="DT851" s="1218"/>
      <c r="DU851" s="1218"/>
      <c r="DV851" s="1218"/>
      <c r="DW851" s="1218"/>
      <c r="DX851" s="1218"/>
      <c r="DY851" s="1218"/>
      <c r="DZ851" s="1218"/>
      <c r="EA851" s="1218"/>
      <c r="EB851" s="1218"/>
      <c r="EC851" s="1218"/>
      <c r="ED851" s="1218"/>
      <c r="EE851" s="1218"/>
      <c r="EF851" s="1218"/>
      <c r="EG851" s="1218"/>
      <c r="EH851" s="1218"/>
      <c r="EI851" s="1218"/>
      <c r="EJ851" s="1218"/>
      <c r="EK851" s="1218"/>
      <c r="EL851" s="1218"/>
      <c r="EM851" s="1218"/>
      <c r="EN851" s="1218"/>
      <c r="EO851" s="1218"/>
      <c r="EP851" s="1218"/>
      <c r="EQ851" s="1218"/>
      <c r="ER851" s="1218"/>
      <c r="ES851" s="1218"/>
      <c r="ET851" s="1218"/>
      <c r="EU851" s="1218"/>
      <c r="EV851" s="1218"/>
      <c r="EW851" s="1218"/>
      <c r="EX851" s="1218"/>
      <c r="EY851" s="1218"/>
      <c r="EZ851" s="1218"/>
      <c r="FA851" s="1218"/>
      <c r="FB851" s="1218"/>
      <c r="FC851" s="1218"/>
      <c r="FD851" s="1218"/>
      <c r="FE851" s="1218"/>
      <c r="FF851" s="1218"/>
      <c r="FG851" s="1218"/>
      <c r="FH851" s="1218"/>
      <c r="FI851" s="1218"/>
      <c r="FJ851" s="1218"/>
      <c r="FK851" s="1218"/>
      <c r="FL851" s="1218"/>
      <c r="FM851" s="1218"/>
      <c r="FN851" s="1218"/>
      <c r="FO851" s="1218"/>
      <c r="FP851" s="1218"/>
      <c r="FQ851" s="1218"/>
      <c r="FR851" s="1218"/>
      <c r="FS851" s="1218"/>
      <c r="FT851" s="1218"/>
      <c r="FU851" s="1218"/>
      <c r="FV851" s="1218"/>
      <c r="FW851" s="1218"/>
      <c r="FX851" s="1218"/>
      <c r="FY851" s="1218"/>
      <c r="FZ851" s="1218"/>
      <c r="GA851" s="1218"/>
      <c r="GB851" s="1218"/>
      <c r="GC851" s="1218"/>
      <c r="GD851" s="1218"/>
      <c r="GE851" s="1218"/>
      <c r="GF851" s="1218"/>
      <c r="GG851" s="1218"/>
      <c r="GH851" s="1218"/>
      <c r="GI851" s="1218"/>
      <c r="GJ851" s="1218"/>
      <c r="GK851" s="1218"/>
      <c r="GL851" s="1218"/>
      <c r="GM851" s="1218"/>
      <c r="GN851" s="1218"/>
      <c r="GO851" s="1218"/>
      <c r="GP851" s="1218"/>
      <c r="GQ851" s="1218"/>
      <c r="GR851" s="1218"/>
      <c r="GS851" s="1218"/>
      <c r="GT851" s="1218"/>
      <c r="GU851" s="1218"/>
      <c r="GV851" s="1218"/>
      <c r="GW851" s="1218"/>
      <c r="GX851" s="1218"/>
      <c r="GY851" s="1218"/>
      <c r="GZ851" s="1218"/>
      <c r="HA851" s="1218"/>
      <c r="HB851" s="1218"/>
      <c r="HC851" s="1218"/>
      <c r="HD851" s="1218"/>
      <c r="HE851" s="1218"/>
      <c r="HF851" s="1218"/>
      <c r="HG851" s="1218"/>
      <c r="HH851" s="1218"/>
      <c r="HI851" s="1218"/>
      <c r="HJ851" s="1218"/>
      <c r="HK851" s="1218"/>
      <c r="HL851" s="1218"/>
      <c r="HM851" s="1218"/>
      <c r="HN851" s="1218"/>
      <c r="HO851" s="1218"/>
      <c r="HP851" s="1218"/>
      <c r="HQ851" s="1218"/>
      <c r="HR851" s="1218"/>
      <c r="HS851" s="1218"/>
      <c r="HT851" s="1218"/>
      <c r="HU851" s="1218"/>
      <c r="HV851" s="1218"/>
      <c r="HW851" s="1218"/>
      <c r="HX851" s="1218"/>
      <c r="HY851" s="1218"/>
      <c r="HZ851" s="1218"/>
      <c r="IA851" s="1218"/>
      <c r="IB851" s="1218"/>
      <c r="IC851" s="1218"/>
      <c r="ID851" s="1218"/>
      <c r="IE851" s="1218"/>
      <c r="IF851" s="1218"/>
      <c r="IG851" s="1218"/>
      <c r="IH851" s="1218"/>
      <c r="II851" s="1218"/>
      <c r="IJ851" s="1218"/>
      <c r="IK851" s="1218"/>
      <c r="IL851" s="1218"/>
      <c r="IM851" s="1218"/>
      <c r="IN851" s="1218"/>
    </row>
    <row r="852" spans="1:248" s="1312" customFormat="1" ht="14.1" customHeight="1">
      <c r="A852" s="1318"/>
      <c r="B852" s="1313"/>
      <c r="C852" s="1143"/>
      <c r="D852" s="1314"/>
      <c r="G852" s="1218"/>
      <c r="H852" s="1218"/>
      <c r="I852" s="1218"/>
      <c r="J852" s="1218"/>
      <c r="K852" s="1218"/>
      <c r="L852" s="1218"/>
      <c r="M852" s="1218"/>
      <c r="N852" s="1218"/>
      <c r="O852" s="1218"/>
      <c r="P852" s="1218"/>
      <c r="Q852" s="1218"/>
      <c r="R852" s="1218"/>
      <c r="S852" s="1218"/>
      <c r="T852" s="1218"/>
      <c r="U852" s="1218"/>
      <c r="V852" s="1218"/>
      <c r="W852" s="1218"/>
      <c r="X852" s="1218"/>
      <c r="Y852" s="1218"/>
      <c r="Z852" s="1218"/>
      <c r="AA852" s="1218"/>
      <c r="AB852" s="1218"/>
      <c r="AC852" s="1218"/>
      <c r="AD852" s="1218"/>
      <c r="AE852" s="1218"/>
      <c r="AF852" s="1218"/>
      <c r="AG852" s="1218"/>
      <c r="AH852" s="1218"/>
      <c r="AI852" s="1218"/>
      <c r="AJ852" s="1218"/>
      <c r="AK852" s="1218"/>
      <c r="AL852" s="1218"/>
      <c r="AM852" s="1218"/>
      <c r="AN852" s="1218"/>
      <c r="AO852" s="1218"/>
      <c r="AP852" s="1218"/>
      <c r="AQ852" s="1218"/>
      <c r="AR852" s="1218"/>
      <c r="AS852" s="1218"/>
      <c r="AT852" s="1218"/>
      <c r="AU852" s="1218"/>
      <c r="AV852" s="1218"/>
      <c r="AW852" s="1218"/>
      <c r="AX852" s="1218"/>
      <c r="AY852" s="1218"/>
      <c r="AZ852" s="1218"/>
      <c r="BA852" s="1218"/>
      <c r="BB852" s="1218"/>
      <c r="BC852" s="1218"/>
      <c r="BD852" s="1218"/>
      <c r="BE852" s="1218"/>
      <c r="BF852" s="1218"/>
      <c r="BG852" s="1218"/>
      <c r="BH852" s="1218"/>
      <c r="BI852" s="1218"/>
      <c r="BJ852" s="1218"/>
      <c r="BK852" s="1218"/>
      <c r="BL852" s="1218"/>
      <c r="BM852" s="1218"/>
      <c r="BN852" s="1218"/>
      <c r="BO852" s="1218"/>
      <c r="BP852" s="1218"/>
      <c r="BQ852" s="1218"/>
      <c r="BR852" s="1218"/>
      <c r="BS852" s="1218"/>
      <c r="BT852" s="1218"/>
      <c r="BU852" s="1218"/>
      <c r="BV852" s="1218"/>
      <c r="BW852" s="1218"/>
      <c r="BX852" s="1218"/>
      <c r="BY852" s="1218"/>
      <c r="BZ852" s="1218"/>
      <c r="CA852" s="1218"/>
      <c r="CB852" s="1218"/>
      <c r="CC852" s="1218"/>
      <c r="CD852" s="1218"/>
      <c r="CE852" s="1218"/>
      <c r="CF852" s="1218"/>
      <c r="CG852" s="1218"/>
      <c r="CH852" s="1218"/>
      <c r="CI852" s="1218"/>
      <c r="CJ852" s="1218"/>
      <c r="CK852" s="1218"/>
      <c r="CL852" s="1218"/>
      <c r="CM852" s="1218"/>
      <c r="CN852" s="1218"/>
      <c r="CO852" s="1218"/>
      <c r="CP852" s="1218"/>
      <c r="CQ852" s="1218"/>
      <c r="CR852" s="1218"/>
      <c r="CS852" s="1218"/>
      <c r="CT852" s="1218"/>
      <c r="CU852" s="1218"/>
      <c r="CV852" s="1218"/>
      <c r="CW852" s="1218"/>
      <c r="CX852" s="1218"/>
      <c r="CY852" s="1218"/>
      <c r="CZ852" s="1218"/>
      <c r="DA852" s="1218"/>
      <c r="DB852" s="1218"/>
      <c r="DC852" s="1218"/>
      <c r="DD852" s="1218"/>
      <c r="DE852" s="1218"/>
      <c r="DF852" s="1218"/>
      <c r="DG852" s="1218"/>
      <c r="DH852" s="1218"/>
      <c r="DI852" s="1218"/>
      <c r="DJ852" s="1218"/>
      <c r="DK852" s="1218"/>
      <c r="DL852" s="1218"/>
      <c r="DM852" s="1218"/>
      <c r="DN852" s="1218"/>
      <c r="DO852" s="1218"/>
      <c r="DP852" s="1218"/>
      <c r="DQ852" s="1218"/>
      <c r="DR852" s="1218"/>
      <c r="DS852" s="1218"/>
      <c r="DT852" s="1218"/>
      <c r="DU852" s="1218"/>
      <c r="DV852" s="1218"/>
      <c r="DW852" s="1218"/>
      <c r="DX852" s="1218"/>
      <c r="DY852" s="1218"/>
      <c r="DZ852" s="1218"/>
      <c r="EA852" s="1218"/>
      <c r="EB852" s="1218"/>
      <c r="EC852" s="1218"/>
      <c r="ED852" s="1218"/>
      <c r="EE852" s="1218"/>
      <c r="EF852" s="1218"/>
      <c r="EG852" s="1218"/>
      <c r="EH852" s="1218"/>
      <c r="EI852" s="1218"/>
      <c r="EJ852" s="1218"/>
      <c r="EK852" s="1218"/>
      <c r="EL852" s="1218"/>
      <c r="EM852" s="1218"/>
      <c r="EN852" s="1218"/>
      <c r="EO852" s="1218"/>
      <c r="EP852" s="1218"/>
      <c r="EQ852" s="1218"/>
      <c r="ER852" s="1218"/>
      <c r="ES852" s="1218"/>
      <c r="ET852" s="1218"/>
      <c r="EU852" s="1218"/>
      <c r="EV852" s="1218"/>
      <c r="EW852" s="1218"/>
      <c r="EX852" s="1218"/>
      <c r="EY852" s="1218"/>
      <c r="EZ852" s="1218"/>
      <c r="FA852" s="1218"/>
      <c r="FB852" s="1218"/>
      <c r="FC852" s="1218"/>
      <c r="FD852" s="1218"/>
      <c r="FE852" s="1218"/>
      <c r="FF852" s="1218"/>
      <c r="FG852" s="1218"/>
      <c r="FH852" s="1218"/>
      <c r="FI852" s="1218"/>
      <c r="FJ852" s="1218"/>
      <c r="FK852" s="1218"/>
      <c r="FL852" s="1218"/>
      <c r="FM852" s="1218"/>
      <c r="FN852" s="1218"/>
      <c r="FO852" s="1218"/>
      <c r="FP852" s="1218"/>
      <c r="FQ852" s="1218"/>
      <c r="FR852" s="1218"/>
      <c r="FS852" s="1218"/>
      <c r="FT852" s="1218"/>
      <c r="FU852" s="1218"/>
      <c r="FV852" s="1218"/>
      <c r="FW852" s="1218"/>
      <c r="FX852" s="1218"/>
      <c r="FY852" s="1218"/>
      <c r="FZ852" s="1218"/>
      <c r="GA852" s="1218"/>
      <c r="GB852" s="1218"/>
      <c r="GC852" s="1218"/>
      <c r="GD852" s="1218"/>
      <c r="GE852" s="1218"/>
      <c r="GF852" s="1218"/>
      <c r="GG852" s="1218"/>
      <c r="GH852" s="1218"/>
      <c r="GI852" s="1218"/>
      <c r="GJ852" s="1218"/>
      <c r="GK852" s="1218"/>
      <c r="GL852" s="1218"/>
      <c r="GM852" s="1218"/>
      <c r="GN852" s="1218"/>
      <c r="GO852" s="1218"/>
      <c r="GP852" s="1218"/>
      <c r="GQ852" s="1218"/>
      <c r="GR852" s="1218"/>
      <c r="GS852" s="1218"/>
      <c r="GT852" s="1218"/>
      <c r="GU852" s="1218"/>
      <c r="GV852" s="1218"/>
      <c r="GW852" s="1218"/>
      <c r="GX852" s="1218"/>
      <c r="GY852" s="1218"/>
      <c r="GZ852" s="1218"/>
      <c r="HA852" s="1218"/>
      <c r="HB852" s="1218"/>
      <c r="HC852" s="1218"/>
      <c r="HD852" s="1218"/>
      <c r="HE852" s="1218"/>
      <c r="HF852" s="1218"/>
      <c r="HG852" s="1218"/>
      <c r="HH852" s="1218"/>
      <c r="HI852" s="1218"/>
      <c r="HJ852" s="1218"/>
      <c r="HK852" s="1218"/>
      <c r="HL852" s="1218"/>
      <c r="HM852" s="1218"/>
      <c r="HN852" s="1218"/>
      <c r="HO852" s="1218"/>
      <c r="HP852" s="1218"/>
      <c r="HQ852" s="1218"/>
      <c r="HR852" s="1218"/>
      <c r="HS852" s="1218"/>
      <c r="HT852" s="1218"/>
      <c r="HU852" s="1218"/>
      <c r="HV852" s="1218"/>
      <c r="HW852" s="1218"/>
      <c r="HX852" s="1218"/>
      <c r="HY852" s="1218"/>
      <c r="HZ852" s="1218"/>
      <c r="IA852" s="1218"/>
      <c r="IB852" s="1218"/>
      <c r="IC852" s="1218"/>
      <c r="ID852" s="1218"/>
      <c r="IE852" s="1218"/>
      <c r="IF852" s="1218"/>
      <c r="IG852" s="1218"/>
      <c r="IH852" s="1218"/>
      <c r="II852" s="1218"/>
      <c r="IJ852" s="1218"/>
      <c r="IK852" s="1218"/>
      <c r="IL852" s="1218"/>
      <c r="IM852" s="1218"/>
      <c r="IN852" s="1218"/>
    </row>
    <row r="853" spans="1:248" s="1312" customFormat="1" ht="14.1" customHeight="1">
      <c r="A853" s="1321"/>
      <c r="B853" s="1160" t="s">
        <v>3964</v>
      </c>
      <c r="C853" s="1143" t="s">
        <v>4137</v>
      </c>
      <c r="D853" s="1314"/>
      <c r="G853" s="1218"/>
      <c r="H853" s="1218"/>
      <c r="I853" s="1218"/>
      <c r="J853" s="1218"/>
      <c r="K853" s="1218"/>
      <c r="L853" s="1218"/>
      <c r="M853" s="1218"/>
      <c r="N853" s="1218"/>
      <c r="O853" s="1218"/>
      <c r="P853" s="1218"/>
      <c r="Q853" s="1218"/>
      <c r="R853" s="1218"/>
      <c r="S853" s="1218"/>
      <c r="T853" s="1218"/>
      <c r="U853" s="1218"/>
      <c r="V853" s="1218"/>
      <c r="W853" s="1218"/>
      <c r="X853" s="1218"/>
      <c r="Y853" s="1218"/>
      <c r="Z853" s="1218"/>
      <c r="AA853" s="1218"/>
      <c r="AB853" s="1218"/>
      <c r="AC853" s="1218"/>
      <c r="AD853" s="1218"/>
      <c r="AE853" s="1218"/>
      <c r="AF853" s="1218"/>
      <c r="AG853" s="1218"/>
      <c r="AH853" s="1218"/>
      <c r="AI853" s="1218"/>
      <c r="AJ853" s="1218"/>
      <c r="AK853" s="1218"/>
      <c r="AL853" s="1218"/>
      <c r="AM853" s="1218"/>
      <c r="AN853" s="1218"/>
      <c r="AO853" s="1218"/>
      <c r="AP853" s="1218"/>
      <c r="AQ853" s="1218"/>
      <c r="AR853" s="1218"/>
      <c r="AS853" s="1218"/>
      <c r="AT853" s="1218"/>
      <c r="AU853" s="1218"/>
      <c r="AV853" s="1218"/>
      <c r="AW853" s="1218"/>
      <c r="AX853" s="1218"/>
      <c r="AY853" s="1218"/>
      <c r="AZ853" s="1218"/>
      <c r="BA853" s="1218"/>
      <c r="BB853" s="1218"/>
      <c r="BC853" s="1218"/>
      <c r="BD853" s="1218"/>
      <c r="BE853" s="1218"/>
      <c r="BF853" s="1218"/>
      <c r="BG853" s="1218"/>
      <c r="BH853" s="1218"/>
      <c r="BI853" s="1218"/>
      <c r="BJ853" s="1218"/>
      <c r="BK853" s="1218"/>
      <c r="BL853" s="1218"/>
      <c r="BM853" s="1218"/>
      <c r="BN853" s="1218"/>
      <c r="BO853" s="1218"/>
      <c r="BP853" s="1218"/>
      <c r="BQ853" s="1218"/>
      <c r="BR853" s="1218"/>
      <c r="BS853" s="1218"/>
      <c r="BT853" s="1218"/>
      <c r="BU853" s="1218"/>
      <c r="BV853" s="1218"/>
      <c r="BW853" s="1218"/>
      <c r="BX853" s="1218"/>
      <c r="BY853" s="1218"/>
      <c r="BZ853" s="1218"/>
      <c r="CA853" s="1218"/>
      <c r="CB853" s="1218"/>
      <c r="CC853" s="1218"/>
      <c r="CD853" s="1218"/>
      <c r="CE853" s="1218"/>
      <c r="CF853" s="1218"/>
      <c r="CG853" s="1218"/>
      <c r="CH853" s="1218"/>
      <c r="CI853" s="1218"/>
      <c r="CJ853" s="1218"/>
      <c r="CK853" s="1218"/>
      <c r="CL853" s="1218"/>
      <c r="CM853" s="1218"/>
      <c r="CN853" s="1218"/>
      <c r="CO853" s="1218"/>
      <c r="CP853" s="1218"/>
      <c r="CQ853" s="1218"/>
      <c r="CR853" s="1218"/>
      <c r="CS853" s="1218"/>
      <c r="CT853" s="1218"/>
      <c r="CU853" s="1218"/>
      <c r="CV853" s="1218"/>
      <c r="CW853" s="1218"/>
      <c r="CX853" s="1218"/>
      <c r="CY853" s="1218"/>
      <c r="CZ853" s="1218"/>
      <c r="DA853" s="1218"/>
      <c r="DB853" s="1218"/>
      <c r="DC853" s="1218"/>
      <c r="DD853" s="1218"/>
      <c r="DE853" s="1218"/>
      <c r="DF853" s="1218"/>
      <c r="DG853" s="1218"/>
      <c r="DH853" s="1218"/>
      <c r="DI853" s="1218"/>
      <c r="DJ853" s="1218"/>
      <c r="DK853" s="1218"/>
      <c r="DL853" s="1218"/>
      <c r="DM853" s="1218"/>
      <c r="DN853" s="1218"/>
      <c r="DO853" s="1218"/>
      <c r="DP853" s="1218"/>
      <c r="DQ853" s="1218"/>
      <c r="DR853" s="1218"/>
      <c r="DS853" s="1218"/>
      <c r="DT853" s="1218"/>
      <c r="DU853" s="1218"/>
      <c r="DV853" s="1218"/>
      <c r="DW853" s="1218"/>
      <c r="DX853" s="1218"/>
      <c r="DY853" s="1218"/>
      <c r="DZ853" s="1218"/>
      <c r="EA853" s="1218"/>
      <c r="EB853" s="1218"/>
      <c r="EC853" s="1218"/>
      <c r="ED853" s="1218"/>
      <c r="EE853" s="1218"/>
      <c r="EF853" s="1218"/>
      <c r="EG853" s="1218"/>
      <c r="EH853" s="1218"/>
      <c r="EI853" s="1218"/>
      <c r="EJ853" s="1218"/>
      <c r="EK853" s="1218"/>
      <c r="EL853" s="1218"/>
      <c r="EM853" s="1218"/>
      <c r="EN853" s="1218"/>
      <c r="EO853" s="1218"/>
      <c r="EP853" s="1218"/>
      <c r="EQ853" s="1218"/>
      <c r="ER853" s="1218"/>
      <c r="ES853" s="1218"/>
      <c r="ET853" s="1218"/>
      <c r="EU853" s="1218"/>
      <c r="EV853" s="1218"/>
      <c r="EW853" s="1218"/>
      <c r="EX853" s="1218"/>
      <c r="EY853" s="1218"/>
      <c r="EZ853" s="1218"/>
      <c r="FA853" s="1218"/>
      <c r="FB853" s="1218"/>
      <c r="FC853" s="1218"/>
      <c r="FD853" s="1218"/>
      <c r="FE853" s="1218"/>
      <c r="FF853" s="1218"/>
      <c r="FG853" s="1218"/>
      <c r="FH853" s="1218"/>
      <c r="FI853" s="1218"/>
      <c r="FJ853" s="1218"/>
      <c r="FK853" s="1218"/>
      <c r="FL853" s="1218"/>
      <c r="FM853" s="1218"/>
      <c r="FN853" s="1218"/>
      <c r="FO853" s="1218"/>
      <c r="FP853" s="1218"/>
      <c r="FQ853" s="1218"/>
      <c r="FR853" s="1218"/>
      <c r="FS853" s="1218"/>
      <c r="FT853" s="1218"/>
      <c r="FU853" s="1218"/>
      <c r="FV853" s="1218"/>
      <c r="FW853" s="1218"/>
      <c r="FX853" s="1218"/>
      <c r="FY853" s="1218"/>
      <c r="FZ853" s="1218"/>
      <c r="GA853" s="1218"/>
      <c r="GB853" s="1218"/>
      <c r="GC853" s="1218"/>
      <c r="GD853" s="1218"/>
      <c r="GE853" s="1218"/>
      <c r="GF853" s="1218"/>
      <c r="GG853" s="1218"/>
      <c r="GH853" s="1218"/>
      <c r="GI853" s="1218"/>
      <c r="GJ853" s="1218"/>
      <c r="GK853" s="1218"/>
      <c r="GL853" s="1218"/>
      <c r="GM853" s="1218"/>
      <c r="GN853" s="1218"/>
      <c r="GO853" s="1218"/>
      <c r="GP853" s="1218"/>
      <c r="GQ853" s="1218"/>
      <c r="GR853" s="1218"/>
      <c r="GS853" s="1218"/>
      <c r="GT853" s="1218"/>
      <c r="GU853" s="1218"/>
      <c r="GV853" s="1218"/>
      <c r="GW853" s="1218"/>
      <c r="GX853" s="1218"/>
      <c r="GY853" s="1218"/>
      <c r="GZ853" s="1218"/>
      <c r="HA853" s="1218"/>
      <c r="HB853" s="1218"/>
      <c r="HC853" s="1218"/>
      <c r="HD853" s="1218"/>
      <c r="HE853" s="1218"/>
      <c r="HF853" s="1218"/>
      <c r="HG853" s="1218"/>
      <c r="HH853" s="1218"/>
      <c r="HI853" s="1218"/>
      <c r="HJ853" s="1218"/>
      <c r="HK853" s="1218"/>
      <c r="HL853" s="1218"/>
      <c r="HM853" s="1218"/>
      <c r="HN853" s="1218"/>
      <c r="HO853" s="1218"/>
      <c r="HP853" s="1218"/>
      <c r="HQ853" s="1218"/>
      <c r="HR853" s="1218"/>
      <c r="HS853" s="1218"/>
      <c r="HT853" s="1218"/>
      <c r="HU853" s="1218"/>
      <c r="HV853" s="1218"/>
      <c r="HW853" s="1218"/>
      <c r="HX853" s="1218"/>
      <c r="HY853" s="1218"/>
      <c r="HZ853" s="1218"/>
      <c r="IA853" s="1218"/>
      <c r="IB853" s="1218"/>
      <c r="IC853" s="1218"/>
      <c r="ID853" s="1218"/>
      <c r="IE853" s="1218"/>
      <c r="IF853" s="1218"/>
      <c r="IG853" s="1218"/>
      <c r="IH853" s="1218"/>
      <c r="II853" s="1218"/>
      <c r="IJ853" s="1218"/>
      <c r="IK853" s="1218"/>
      <c r="IL853" s="1218"/>
      <c r="IM853" s="1218"/>
      <c r="IN853" s="1218"/>
    </row>
    <row r="854" spans="1:248" s="1312" customFormat="1" ht="14.1" customHeight="1">
      <c r="A854" s="1318"/>
      <c r="B854" s="1313"/>
      <c r="C854" s="1320"/>
      <c r="D854" s="1314"/>
      <c r="G854" s="1218"/>
      <c r="H854" s="1218"/>
      <c r="I854" s="1218"/>
      <c r="J854" s="1218"/>
      <c r="K854" s="1218"/>
      <c r="L854" s="1218"/>
      <c r="M854" s="1218"/>
      <c r="N854" s="1218"/>
      <c r="O854" s="1218"/>
      <c r="P854" s="1218"/>
      <c r="Q854" s="1218"/>
      <c r="R854" s="1218"/>
      <c r="S854" s="1218"/>
      <c r="T854" s="1218"/>
      <c r="U854" s="1218"/>
      <c r="V854" s="1218"/>
      <c r="W854" s="1218"/>
      <c r="X854" s="1218"/>
      <c r="Y854" s="1218"/>
      <c r="Z854" s="1218"/>
      <c r="AA854" s="1218"/>
      <c r="AB854" s="1218"/>
      <c r="AC854" s="1218"/>
      <c r="AD854" s="1218"/>
      <c r="AE854" s="1218"/>
      <c r="AF854" s="1218"/>
      <c r="AG854" s="1218"/>
      <c r="AH854" s="1218"/>
      <c r="AI854" s="1218"/>
      <c r="AJ854" s="1218"/>
      <c r="AK854" s="1218"/>
      <c r="AL854" s="1218"/>
      <c r="AM854" s="1218"/>
      <c r="AN854" s="1218"/>
      <c r="AO854" s="1218"/>
      <c r="AP854" s="1218"/>
      <c r="AQ854" s="1218"/>
      <c r="AR854" s="1218"/>
      <c r="AS854" s="1218"/>
      <c r="AT854" s="1218"/>
      <c r="AU854" s="1218"/>
      <c r="AV854" s="1218"/>
      <c r="AW854" s="1218"/>
      <c r="AX854" s="1218"/>
      <c r="AY854" s="1218"/>
      <c r="AZ854" s="1218"/>
      <c r="BA854" s="1218"/>
      <c r="BB854" s="1218"/>
      <c r="BC854" s="1218"/>
      <c r="BD854" s="1218"/>
      <c r="BE854" s="1218"/>
      <c r="BF854" s="1218"/>
      <c r="BG854" s="1218"/>
      <c r="BH854" s="1218"/>
      <c r="BI854" s="1218"/>
      <c r="BJ854" s="1218"/>
      <c r="BK854" s="1218"/>
      <c r="BL854" s="1218"/>
      <c r="BM854" s="1218"/>
      <c r="BN854" s="1218"/>
      <c r="BO854" s="1218"/>
      <c r="BP854" s="1218"/>
      <c r="BQ854" s="1218"/>
      <c r="BR854" s="1218"/>
      <c r="BS854" s="1218"/>
      <c r="BT854" s="1218"/>
      <c r="BU854" s="1218"/>
      <c r="BV854" s="1218"/>
      <c r="BW854" s="1218"/>
      <c r="BX854" s="1218"/>
      <c r="BY854" s="1218"/>
      <c r="BZ854" s="1218"/>
      <c r="CA854" s="1218"/>
      <c r="CB854" s="1218"/>
      <c r="CC854" s="1218"/>
      <c r="CD854" s="1218"/>
      <c r="CE854" s="1218"/>
      <c r="CF854" s="1218"/>
      <c r="CG854" s="1218"/>
      <c r="CH854" s="1218"/>
      <c r="CI854" s="1218"/>
      <c r="CJ854" s="1218"/>
      <c r="CK854" s="1218"/>
      <c r="CL854" s="1218"/>
      <c r="CM854" s="1218"/>
      <c r="CN854" s="1218"/>
      <c r="CO854" s="1218"/>
      <c r="CP854" s="1218"/>
      <c r="CQ854" s="1218"/>
      <c r="CR854" s="1218"/>
      <c r="CS854" s="1218"/>
      <c r="CT854" s="1218"/>
      <c r="CU854" s="1218"/>
      <c r="CV854" s="1218"/>
      <c r="CW854" s="1218"/>
      <c r="CX854" s="1218"/>
      <c r="CY854" s="1218"/>
      <c r="CZ854" s="1218"/>
      <c r="DA854" s="1218"/>
      <c r="DB854" s="1218"/>
      <c r="DC854" s="1218"/>
      <c r="DD854" s="1218"/>
      <c r="DE854" s="1218"/>
      <c r="DF854" s="1218"/>
      <c r="DG854" s="1218"/>
      <c r="DH854" s="1218"/>
      <c r="DI854" s="1218"/>
      <c r="DJ854" s="1218"/>
      <c r="DK854" s="1218"/>
      <c r="DL854" s="1218"/>
      <c r="DM854" s="1218"/>
      <c r="DN854" s="1218"/>
      <c r="DO854" s="1218"/>
      <c r="DP854" s="1218"/>
      <c r="DQ854" s="1218"/>
      <c r="DR854" s="1218"/>
      <c r="DS854" s="1218"/>
      <c r="DT854" s="1218"/>
      <c r="DU854" s="1218"/>
      <c r="DV854" s="1218"/>
      <c r="DW854" s="1218"/>
      <c r="DX854" s="1218"/>
      <c r="DY854" s="1218"/>
      <c r="DZ854" s="1218"/>
      <c r="EA854" s="1218"/>
      <c r="EB854" s="1218"/>
      <c r="EC854" s="1218"/>
      <c r="ED854" s="1218"/>
      <c r="EE854" s="1218"/>
      <c r="EF854" s="1218"/>
      <c r="EG854" s="1218"/>
      <c r="EH854" s="1218"/>
      <c r="EI854" s="1218"/>
      <c r="EJ854" s="1218"/>
      <c r="EK854" s="1218"/>
      <c r="EL854" s="1218"/>
      <c r="EM854" s="1218"/>
      <c r="EN854" s="1218"/>
      <c r="EO854" s="1218"/>
      <c r="EP854" s="1218"/>
      <c r="EQ854" s="1218"/>
      <c r="ER854" s="1218"/>
      <c r="ES854" s="1218"/>
      <c r="ET854" s="1218"/>
      <c r="EU854" s="1218"/>
      <c r="EV854" s="1218"/>
      <c r="EW854" s="1218"/>
      <c r="EX854" s="1218"/>
      <c r="EY854" s="1218"/>
      <c r="EZ854" s="1218"/>
      <c r="FA854" s="1218"/>
      <c r="FB854" s="1218"/>
      <c r="FC854" s="1218"/>
      <c r="FD854" s="1218"/>
      <c r="FE854" s="1218"/>
      <c r="FF854" s="1218"/>
      <c r="FG854" s="1218"/>
      <c r="FH854" s="1218"/>
      <c r="FI854" s="1218"/>
      <c r="FJ854" s="1218"/>
      <c r="FK854" s="1218"/>
      <c r="FL854" s="1218"/>
      <c r="FM854" s="1218"/>
      <c r="FN854" s="1218"/>
      <c r="FO854" s="1218"/>
      <c r="FP854" s="1218"/>
      <c r="FQ854" s="1218"/>
      <c r="FR854" s="1218"/>
      <c r="FS854" s="1218"/>
      <c r="FT854" s="1218"/>
      <c r="FU854" s="1218"/>
      <c r="FV854" s="1218"/>
      <c r="FW854" s="1218"/>
      <c r="FX854" s="1218"/>
      <c r="FY854" s="1218"/>
      <c r="FZ854" s="1218"/>
      <c r="GA854" s="1218"/>
      <c r="GB854" s="1218"/>
      <c r="GC854" s="1218"/>
      <c r="GD854" s="1218"/>
      <c r="GE854" s="1218"/>
      <c r="GF854" s="1218"/>
      <c r="GG854" s="1218"/>
      <c r="GH854" s="1218"/>
      <c r="GI854" s="1218"/>
      <c r="GJ854" s="1218"/>
      <c r="GK854" s="1218"/>
      <c r="GL854" s="1218"/>
      <c r="GM854" s="1218"/>
      <c r="GN854" s="1218"/>
      <c r="GO854" s="1218"/>
      <c r="GP854" s="1218"/>
      <c r="GQ854" s="1218"/>
      <c r="GR854" s="1218"/>
      <c r="GS854" s="1218"/>
      <c r="GT854" s="1218"/>
      <c r="GU854" s="1218"/>
      <c r="GV854" s="1218"/>
      <c r="GW854" s="1218"/>
      <c r="GX854" s="1218"/>
      <c r="GY854" s="1218"/>
      <c r="GZ854" s="1218"/>
      <c r="HA854" s="1218"/>
      <c r="HB854" s="1218"/>
      <c r="HC854" s="1218"/>
      <c r="HD854" s="1218"/>
      <c r="HE854" s="1218"/>
      <c r="HF854" s="1218"/>
      <c r="HG854" s="1218"/>
      <c r="HH854" s="1218"/>
      <c r="HI854" s="1218"/>
      <c r="HJ854" s="1218"/>
      <c r="HK854" s="1218"/>
      <c r="HL854" s="1218"/>
      <c r="HM854" s="1218"/>
      <c r="HN854" s="1218"/>
      <c r="HO854" s="1218"/>
      <c r="HP854" s="1218"/>
      <c r="HQ854" s="1218"/>
      <c r="HR854" s="1218"/>
      <c r="HS854" s="1218"/>
      <c r="HT854" s="1218"/>
      <c r="HU854" s="1218"/>
      <c r="HV854" s="1218"/>
      <c r="HW854" s="1218"/>
      <c r="HX854" s="1218"/>
      <c r="HY854" s="1218"/>
      <c r="HZ854" s="1218"/>
      <c r="IA854" s="1218"/>
      <c r="IB854" s="1218"/>
      <c r="IC854" s="1218"/>
      <c r="ID854" s="1218"/>
      <c r="IE854" s="1218"/>
      <c r="IF854" s="1218"/>
      <c r="IG854" s="1218"/>
      <c r="IH854" s="1218"/>
      <c r="II854" s="1218"/>
      <c r="IJ854" s="1218"/>
      <c r="IK854" s="1218"/>
      <c r="IL854" s="1218"/>
      <c r="IM854" s="1218"/>
      <c r="IN854" s="1218"/>
    </row>
    <row r="855" spans="1:248" s="1312" customFormat="1" ht="14.1" customHeight="1">
      <c r="A855" s="1318"/>
      <c r="B855" s="1160" t="s">
        <v>3965</v>
      </c>
      <c r="C855" s="1143" t="s">
        <v>4138</v>
      </c>
      <c r="D855" s="1314"/>
      <c r="G855" s="1218"/>
      <c r="H855" s="1218"/>
      <c r="I855" s="1218"/>
      <c r="J855" s="1218"/>
      <c r="K855" s="1218"/>
      <c r="L855" s="1218"/>
      <c r="M855" s="1218"/>
      <c r="N855" s="1218"/>
      <c r="O855" s="1218"/>
      <c r="P855" s="1218"/>
      <c r="Q855" s="1218"/>
      <c r="R855" s="1218"/>
      <c r="S855" s="1218"/>
      <c r="T855" s="1218"/>
      <c r="U855" s="1218"/>
      <c r="V855" s="1218"/>
      <c r="W855" s="1218"/>
      <c r="X855" s="1218"/>
      <c r="Y855" s="1218"/>
      <c r="Z855" s="1218"/>
      <c r="AA855" s="1218"/>
      <c r="AB855" s="1218"/>
      <c r="AC855" s="1218"/>
      <c r="AD855" s="1218"/>
      <c r="AE855" s="1218"/>
      <c r="AF855" s="1218"/>
      <c r="AG855" s="1218"/>
      <c r="AH855" s="1218"/>
      <c r="AI855" s="1218"/>
      <c r="AJ855" s="1218"/>
      <c r="AK855" s="1218"/>
      <c r="AL855" s="1218"/>
      <c r="AM855" s="1218"/>
      <c r="AN855" s="1218"/>
      <c r="AO855" s="1218"/>
      <c r="AP855" s="1218"/>
      <c r="AQ855" s="1218"/>
      <c r="AR855" s="1218"/>
      <c r="AS855" s="1218"/>
      <c r="AT855" s="1218"/>
      <c r="AU855" s="1218"/>
      <c r="AV855" s="1218"/>
      <c r="AW855" s="1218"/>
      <c r="AX855" s="1218"/>
      <c r="AY855" s="1218"/>
      <c r="AZ855" s="1218"/>
      <c r="BA855" s="1218"/>
      <c r="BB855" s="1218"/>
      <c r="BC855" s="1218"/>
      <c r="BD855" s="1218"/>
      <c r="BE855" s="1218"/>
      <c r="BF855" s="1218"/>
      <c r="BG855" s="1218"/>
      <c r="BH855" s="1218"/>
      <c r="BI855" s="1218"/>
      <c r="BJ855" s="1218"/>
      <c r="BK855" s="1218"/>
      <c r="BL855" s="1218"/>
      <c r="BM855" s="1218"/>
      <c r="BN855" s="1218"/>
      <c r="BO855" s="1218"/>
      <c r="BP855" s="1218"/>
      <c r="BQ855" s="1218"/>
      <c r="BR855" s="1218"/>
      <c r="BS855" s="1218"/>
      <c r="BT855" s="1218"/>
      <c r="BU855" s="1218"/>
      <c r="BV855" s="1218"/>
      <c r="BW855" s="1218"/>
      <c r="BX855" s="1218"/>
      <c r="BY855" s="1218"/>
      <c r="BZ855" s="1218"/>
      <c r="CA855" s="1218"/>
      <c r="CB855" s="1218"/>
      <c r="CC855" s="1218"/>
      <c r="CD855" s="1218"/>
      <c r="CE855" s="1218"/>
      <c r="CF855" s="1218"/>
      <c r="CG855" s="1218"/>
      <c r="CH855" s="1218"/>
      <c r="CI855" s="1218"/>
      <c r="CJ855" s="1218"/>
      <c r="CK855" s="1218"/>
      <c r="CL855" s="1218"/>
      <c r="CM855" s="1218"/>
      <c r="CN855" s="1218"/>
      <c r="CO855" s="1218"/>
      <c r="CP855" s="1218"/>
      <c r="CQ855" s="1218"/>
      <c r="CR855" s="1218"/>
      <c r="CS855" s="1218"/>
      <c r="CT855" s="1218"/>
      <c r="CU855" s="1218"/>
      <c r="CV855" s="1218"/>
      <c r="CW855" s="1218"/>
      <c r="CX855" s="1218"/>
      <c r="CY855" s="1218"/>
      <c r="CZ855" s="1218"/>
      <c r="DA855" s="1218"/>
      <c r="DB855" s="1218"/>
      <c r="DC855" s="1218"/>
      <c r="DD855" s="1218"/>
      <c r="DE855" s="1218"/>
      <c r="DF855" s="1218"/>
      <c r="DG855" s="1218"/>
      <c r="DH855" s="1218"/>
      <c r="DI855" s="1218"/>
      <c r="DJ855" s="1218"/>
      <c r="DK855" s="1218"/>
      <c r="DL855" s="1218"/>
      <c r="DM855" s="1218"/>
      <c r="DN855" s="1218"/>
      <c r="DO855" s="1218"/>
      <c r="DP855" s="1218"/>
      <c r="DQ855" s="1218"/>
      <c r="DR855" s="1218"/>
      <c r="DS855" s="1218"/>
      <c r="DT855" s="1218"/>
      <c r="DU855" s="1218"/>
      <c r="DV855" s="1218"/>
      <c r="DW855" s="1218"/>
      <c r="DX855" s="1218"/>
      <c r="DY855" s="1218"/>
      <c r="DZ855" s="1218"/>
      <c r="EA855" s="1218"/>
      <c r="EB855" s="1218"/>
      <c r="EC855" s="1218"/>
      <c r="ED855" s="1218"/>
      <c r="EE855" s="1218"/>
      <c r="EF855" s="1218"/>
      <c r="EG855" s="1218"/>
      <c r="EH855" s="1218"/>
      <c r="EI855" s="1218"/>
      <c r="EJ855" s="1218"/>
      <c r="EK855" s="1218"/>
      <c r="EL855" s="1218"/>
      <c r="EM855" s="1218"/>
      <c r="EN855" s="1218"/>
      <c r="EO855" s="1218"/>
      <c r="EP855" s="1218"/>
      <c r="EQ855" s="1218"/>
      <c r="ER855" s="1218"/>
      <c r="ES855" s="1218"/>
      <c r="ET855" s="1218"/>
      <c r="EU855" s="1218"/>
      <c r="EV855" s="1218"/>
      <c r="EW855" s="1218"/>
      <c r="EX855" s="1218"/>
      <c r="EY855" s="1218"/>
      <c r="EZ855" s="1218"/>
      <c r="FA855" s="1218"/>
      <c r="FB855" s="1218"/>
      <c r="FC855" s="1218"/>
      <c r="FD855" s="1218"/>
      <c r="FE855" s="1218"/>
      <c r="FF855" s="1218"/>
      <c r="FG855" s="1218"/>
      <c r="FH855" s="1218"/>
      <c r="FI855" s="1218"/>
      <c r="FJ855" s="1218"/>
      <c r="FK855" s="1218"/>
      <c r="FL855" s="1218"/>
      <c r="FM855" s="1218"/>
      <c r="FN855" s="1218"/>
      <c r="FO855" s="1218"/>
      <c r="FP855" s="1218"/>
      <c r="FQ855" s="1218"/>
      <c r="FR855" s="1218"/>
      <c r="FS855" s="1218"/>
      <c r="FT855" s="1218"/>
      <c r="FU855" s="1218"/>
      <c r="FV855" s="1218"/>
      <c r="FW855" s="1218"/>
      <c r="FX855" s="1218"/>
      <c r="FY855" s="1218"/>
      <c r="FZ855" s="1218"/>
      <c r="GA855" s="1218"/>
      <c r="GB855" s="1218"/>
      <c r="GC855" s="1218"/>
      <c r="GD855" s="1218"/>
      <c r="GE855" s="1218"/>
      <c r="GF855" s="1218"/>
      <c r="GG855" s="1218"/>
      <c r="GH855" s="1218"/>
      <c r="GI855" s="1218"/>
      <c r="GJ855" s="1218"/>
      <c r="GK855" s="1218"/>
      <c r="GL855" s="1218"/>
      <c r="GM855" s="1218"/>
      <c r="GN855" s="1218"/>
      <c r="GO855" s="1218"/>
      <c r="GP855" s="1218"/>
      <c r="GQ855" s="1218"/>
      <c r="GR855" s="1218"/>
      <c r="GS855" s="1218"/>
      <c r="GT855" s="1218"/>
      <c r="GU855" s="1218"/>
      <c r="GV855" s="1218"/>
      <c r="GW855" s="1218"/>
      <c r="GX855" s="1218"/>
      <c r="GY855" s="1218"/>
      <c r="GZ855" s="1218"/>
      <c r="HA855" s="1218"/>
      <c r="HB855" s="1218"/>
      <c r="HC855" s="1218"/>
      <c r="HD855" s="1218"/>
      <c r="HE855" s="1218"/>
      <c r="HF855" s="1218"/>
      <c r="HG855" s="1218"/>
      <c r="HH855" s="1218"/>
      <c r="HI855" s="1218"/>
      <c r="HJ855" s="1218"/>
      <c r="HK855" s="1218"/>
      <c r="HL855" s="1218"/>
      <c r="HM855" s="1218"/>
      <c r="HN855" s="1218"/>
      <c r="HO855" s="1218"/>
      <c r="HP855" s="1218"/>
      <c r="HQ855" s="1218"/>
      <c r="HR855" s="1218"/>
      <c r="HS855" s="1218"/>
      <c r="HT855" s="1218"/>
      <c r="HU855" s="1218"/>
      <c r="HV855" s="1218"/>
      <c r="HW855" s="1218"/>
      <c r="HX855" s="1218"/>
      <c r="HY855" s="1218"/>
      <c r="HZ855" s="1218"/>
      <c r="IA855" s="1218"/>
      <c r="IB855" s="1218"/>
      <c r="IC855" s="1218"/>
      <c r="ID855" s="1218"/>
      <c r="IE855" s="1218"/>
      <c r="IF855" s="1218"/>
      <c r="IG855" s="1218"/>
      <c r="IH855" s="1218"/>
      <c r="II855" s="1218"/>
      <c r="IJ855" s="1218"/>
      <c r="IK855" s="1218"/>
      <c r="IL855" s="1218"/>
      <c r="IM855" s="1218"/>
      <c r="IN855" s="1218"/>
    </row>
    <row r="856" spans="1:248" s="1312" customFormat="1" ht="14.1" customHeight="1">
      <c r="A856" s="1321"/>
      <c r="B856" s="1313"/>
      <c r="C856" s="1143" t="s">
        <v>4139</v>
      </c>
      <c r="D856" s="1314"/>
      <c r="G856" s="1218"/>
      <c r="H856" s="1218"/>
      <c r="I856" s="1218"/>
      <c r="J856" s="1218"/>
      <c r="K856" s="1218"/>
      <c r="L856" s="1218"/>
      <c r="M856" s="1218"/>
      <c r="N856" s="1218"/>
      <c r="O856" s="1218"/>
      <c r="P856" s="1218"/>
      <c r="Q856" s="1218"/>
      <c r="R856" s="1218"/>
      <c r="S856" s="1218"/>
      <c r="T856" s="1218"/>
      <c r="U856" s="1218"/>
      <c r="V856" s="1218"/>
      <c r="W856" s="1218"/>
      <c r="X856" s="1218"/>
      <c r="Y856" s="1218"/>
      <c r="Z856" s="1218"/>
      <c r="AA856" s="1218"/>
      <c r="AB856" s="1218"/>
      <c r="AC856" s="1218"/>
      <c r="AD856" s="1218"/>
      <c r="AE856" s="1218"/>
      <c r="AF856" s="1218"/>
      <c r="AG856" s="1218"/>
      <c r="AH856" s="1218"/>
      <c r="AI856" s="1218"/>
      <c r="AJ856" s="1218"/>
      <c r="AK856" s="1218"/>
      <c r="AL856" s="1218"/>
      <c r="AM856" s="1218"/>
      <c r="AN856" s="1218"/>
      <c r="AO856" s="1218"/>
      <c r="AP856" s="1218"/>
      <c r="AQ856" s="1218"/>
      <c r="AR856" s="1218"/>
      <c r="AS856" s="1218"/>
      <c r="AT856" s="1218"/>
      <c r="AU856" s="1218"/>
      <c r="AV856" s="1218"/>
      <c r="AW856" s="1218"/>
      <c r="AX856" s="1218"/>
      <c r="AY856" s="1218"/>
      <c r="AZ856" s="1218"/>
      <c r="BA856" s="1218"/>
      <c r="BB856" s="1218"/>
      <c r="BC856" s="1218"/>
      <c r="BD856" s="1218"/>
      <c r="BE856" s="1218"/>
      <c r="BF856" s="1218"/>
      <c r="BG856" s="1218"/>
      <c r="BH856" s="1218"/>
      <c r="BI856" s="1218"/>
      <c r="BJ856" s="1218"/>
      <c r="BK856" s="1218"/>
      <c r="BL856" s="1218"/>
      <c r="BM856" s="1218"/>
      <c r="BN856" s="1218"/>
      <c r="BO856" s="1218"/>
      <c r="BP856" s="1218"/>
      <c r="BQ856" s="1218"/>
      <c r="BR856" s="1218"/>
      <c r="BS856" s="1218"/>
      <c r="BT856" s="1218"/>
      <c r="BU856" s="1218"/>
      <c r="BV856" s="1218"/>
      <c r="BW856" s="1218"/>
      <c r="BX856" s="1218"/>
      <c r="BY856" s="1218"/>
      <c r="BZ856" s="1218"/>
      <c r="CA856" s="1218"/>
      <c r="CB856" s="1218"/>
      <c r="CC856" s="1218"/>
      <c r="CD856" s="1218"/>
      <c r="CE856" s="1218"/>
      <c r="CF856" s="1218"/>
      <c r="CG856" s="1218"/>
      <c r="CH856" s="1218"/>
      <c r="CI856" s="1218"/>
      <c r="CJ856" s="1218"/>
      <c r="CK856" s="1218"/>
      <c r="CL856" s="1218"/>
      <c r="CM856" s="1218"/>
      <c r="CN856" s="1218"/>
      <c r="CO856" s="1218"/>
      <c r="CP856" s="1218"/>
      <c r="CQ856" s="1218"/>
      <c r="CR856" s="1218"/>
      <c r="CS856" s="1218"/>
      <c r="CT856" s="1218"/>
      <c r="CU856" s="1218"/>
      <c r="CV856" s="1218"/>
      <c r="CW856" s="1218"/>
      <c r="CX856" s="1218"/>
      <c r="CY856" s="1218"/>
      <c r="CZ856" s="1218"/>
      <c r="DA856" s="1218"/>
      <c r="DB856" s="1218"/>
      <c r="DC856" s="1218"/>
      <c r="DD856" s="1218"/>
      <c r="DE856" s="1218"/>
      <c r="DF856" s="1218"/>
      <c r="DG856" s="1218"/>
      <c r="DH856" s="1218"/>
      <c r="DI856" s="1218"/>
      <c r="DJ856" s="1218"/>
      <c r="DK856" s="1218"/>
      <c r="DL856" s="1218"/>
      <c r="DM856" s="1218"/>
      <c r="DN856" s="1218"/>
      <c r="DO856" s="1218"/>
      <c r="DP856" s="1218"/>
      <c r="DQ856" s="1218"/>
      <c r="DR856" s="1218"/>
      <c r="DS856" s="1218"/>
      <c r="DT856" s="1218"/>
      <c r="DU856" s="1218"/>
      <c r="DV856" s="1218"/>
      <c r="DW856" s="1218"/>
      <c r="DX856" s="1218"/>
      <c r="DY856" s="1218"/>
      <c r="DZ856" s="1218"/>
      <c r="EA856" s="1218"/>
      <c r="EB856" s="1218"/>
      <c r="EC856" s="1218"/>
      <c r="ED856" s="1218"/>
      <c r="EE856" s="1218"/>
      <c r="EF856" s="1218"/>
      <c r="EG856" s="1218"/>
      <c r="EH856" s="1218"/>
      <c r="EI856" s="1218"/>
      <c r="EJ856" s="1218"/>
      <c r="EK856" s="1218"/>
      <c r="EL856" s="1218"/>
      <c r="EM856" s="1218"/>
      <c r="EN856" s="1218"/>
      <c r="EO856" s="1218"/>
      <c r="EP856" s="1218"/>
      <c r="EQ856" s="1218"/>
      <c r="ER856" s="1218"/>
      <c r="ES856" s="1218"/>
      <c r="ET856" s="1218"/>
      <c r="EU856" s="1218"/>
      <c r="EV856" s="1218"/>
      <c r="EW856" s="1218"/>
      <c r="EX856" s="1218"/>
      <c r="EY856" s="1218"/>
      <c r="EZ856" s="1218"/>
      <c r="FA856" s="1218"/>
      <c r="FB856" s="1218"/>
      <c r="FC856" s="1218"/>
      <c r="FD856" s="1218"/>
      <c r="FE856" s="1218"/>
      <c r="FF856" s="1218"/>
      <c r="FG856" s="1218"/>
      <c r="FH856" s="1218"/>
      <c r="FI856" s="1218"/>
      <c r="FJ856" s="1218"/>
      <c r="FK856" s="1218"/>
      <c r="FL856" s="1218"/>
      <c r="FM856" s="1218"/>
      <c r="FN856" s="1218"/>
      <c r="FO856" s="1218"/>
      <c r="FP856" s="1218"/>
      <c r="FQ856" s="1218"/>
      <c r="FR856" s="1218"/>
      <c r="FS856" s="1218"/>
      <c r="FT856" s="1218"/>
      <c r="FU856" s="1218"/>
      <c r="FV856" s="1218"/>
      <c r="FW856" s="1218"/>
      <c r="FX856" s="1218"/>
      <c r="FY856" s="1218"/>
      <c r="FZ856" s="1218"/>
      <c r="GA856" s="1218"/>
      <c r="GB856" s="1218"/>
      <c r="GC856" s="1218"/>
      <c r="GD856" s="1218"/>
      <c r="GE856" s="1218"/>
      <c r="GF856" s="1218"/>
      <c r="GG856" s="1218"/>
      <c r="GH856" s="1218"/>
      <c r="GI856" s="1218"/>
      <c r="GJ856" s="1218"/>
      <c r="GK856" s="1218"/>
      <c r="GL856" s="1218"/>
      <c r="GM856" s="1218"/>
      <c r="GN856" s="1218"/>
      <c r="GO856" s="1218"/>
      <c r="GP856" s="1218"/>
      <c r="GQ856" s="1218"/>
      <c r="GR856" s="1218"/>
      <c r="GS856" s="1218"/>
      <c r="GT856" s="1218"/>
      <c r="GU856" s="1218"/>
      <c r="GV856" s="1218"/>
      <c r="GW856" s="1218"/>
      <c r="GX856" s="1218"/>
      <c r="GY856" s="1218"/>
      <c r="GZ856" s="1218"/>
      <c r="HA856" s="1218"/>
      <c r="HB856" s="1218"/>
      <c r="HC856" s="1218"/>
      <c r="HD856" s="1218"/>
      <c r="HE856" s="1218"/>
      <c r="HF856" s="1218"/>
      <c r="HG856" s="1218"/>
      <c r="HH856" s="1218"/>
      <c r="HI856" s="1218"/>
      <c r="HJ856" s="1218"/>
      <c r="HK856" s="1218"/>
      <c r="HL856" s="1218"/>
      <c r="HM856" s="1218"/>
      <c r="HN856" s="1218"/>
      <c r="HO856" s="1218"/>
      <c r="HP856" s="1218"/>
      <c r="HQ856" s="1218"/>
      <c r="HR856" s="1218"/>
      <c r="HS856" s="1218"/>
      <c r="HT856" s="1218"/>
      <c r="HU856" s="1218"/>
      <c r="HV856" s="1218"/>
      <c r="HW856" s="1218"/>
      <c r="HX856" s="1218"/>
      <c r="HY856" s="1218"/>
      <c r="HZ856" s="1218"/>
      <c r="IA856" s="1218"/>
      <c r="IB856" s="1218"/>
      <c r="IC856" s="1218"/>
      <c r="ID856" s="1218"/>
      <c r="IE856" s="1218"/>
      <c r="IF856" s="1218"/>
      <c r="IG856" s="1218"/>
      <c r="IH856" s="1218"/>
      <c r="II856" s="1218"/>
      <c r="IJ856" s="1218"/>
      <c r="IK856" s="1218"/>
      <c r="IL856" s="1218"/>
      <c r="IM856" s="1218"/>
      <c r="IN856" s="1218"/>
    </row>
    <row r="857" spans="1:248" s="1312" customFormat="1" ht="14.1" customHeight="1">
      <c r="A857" s="1321"/>
      <c r="B857" s="1313"/>
      <c r="C857" s="1320"/>
      <c r="D857" s="1322"/>
      <c r="G857" s="1218"/>
      <c r="H857" s="1218"/>
      <c r="I857" s="1218"/>
      <c r="J857" s="1218"/>
      <c r="K857" s="1218"/>
      <c r="L857" s="1218"/>
      <c r="M857" s="1218"/>
      <c r="N857" s="1218"/>
      <c r="O857" s="1218"/>
      <c r="P857" s="1218"/>
      <c r="Q857" s="1218"/>
      <c r="R857" s="1218"/>
      <c r="S857" s="1218"/>
      <c r="T857" s="1218"/>
      <c r="U857" s="1218"/>
      <c r="V857" s="1218"/>
      <c r="W857" s="1218"/>
      <c r="X857" s="1218"/>
      <c r="Y857" s="1218"/>
      <c r="Z857" s="1218"/>
      <c r="AA857" s="1218"/>
      <c r="AB857" s="1218"/>
      <c r="AC857" s="1218"/>
      <c r="AD857" s="1218"/>
      <c r="AE857" s="1218"/>
      <c r="AF857" s="1218"/>
      <c r="AG857" s="1218"/>
      <c r="AH857" s="1218"/>
      <c r="AI857" s="1218"/>
      <c r="AJ857" s="1218"/>
      <c r="AK857" s="1218"/>
      <c r="AL857" s="1218"/>
      <c r="AM857" s="1218"/>
      <c r="AN857" s="1218"/>
      <c r="AO857" s="1218"/>
      <c r="AP857" s="1218"/>
      <c r="AQ857" s="1218"/>
      <c r="AR857" s="1218"/>
      <c r="AS857" s="1218"/>
      <c r="AT857" s="1218"/>
      <c r="AU857" s="1218"/>
      <c r="AV857" s="1218"/>
      <c r="AW857" s="1218"/>
      <c r="AX857" s="1218"/>
      <c r="AY857" s="1218"/>
      <c r="AZ857" s="1218"/>
      <c r="BA857" s="1218"/>
      <c r="BB857" s="1218"/>
      <c r="BC857" s="1218"/>
      <c r="BD857" s="1218"/>
      <c r="BE857" s="1218"/>
      <c r="BF857" s="1218"/>
      <c r="BG857" s="1218"/>
      <c r="BH857" s="1218"/>
      <c r="BI857" s="1218"/>
      <c r="BJ857" s="1218"/>
      <c r="BK857" s="1218"/>
      <c r="BL857" s="1218"/>
      <c r="BM857" s="1218"/>
      <c r="BN857" s="1218"/>
      <c r="BO857" s="1218"/>
      <c r="BP857" s="1218"/>
      <c r="BQ857" s="1218"/>
      <c r="BR857" s="1218"/>
      <c r="BS857" s="1218"/>
      <c r="BT857" s="1218"/>
      <c r="BU857" s="1218"/>
      <c r="BV857" s="1218"/>
      <c r="BW857" s="1218"/>
      <c r="BX857" s="1218"/>
      <c r="BY857" s="1218"/>
      <c r="BZ857" s="1218"/>
      <c r="CA857" s="1218"/>
      <c r="CB857" s="1218"/>
      <c r="CC857" s="1218"/>
      <c r="CD857" s="1218"/>
      <c r="CE857" s="1218"/>
      <c r="CF857" s="1218"/>
      <c r="CG857" s="1218"/>
      <c r="CH857" s="1218"/>
      <c r="CI857" s="1218"/>
      <c r="CJ857" s="1218"/>
      <c r="CK857" s="1218"/>
      <c r="CL857" s="1218"/>
      <c r="CM857" s="1218"/>
      <c r="CN857" s="1218"/>
      <c r="CO857" s="1218"/>
      <c r="CP857" s="1218"/>
      <c r="CQ857" s="1218"/>
      <c r="CR857" s="1218"/>
      <c r="CS857" s="1218"/>
      <c r="CT857" s="1218"/>
      <c r="CU857" s="1218"/>
      <c r="CV857" s="1218"/>
      <c r="CW857" s="1218"/>
      <c r="CX857" s="1218"/>
      <c r="CY857" s="1218"/>
      <c r="CZ857" s="1218"/>
      <c r="DA857" s="1218"/>
      <c r="DB857" s="1218"/>
      <c r="DC857" s="1218"/>
      <c r="DD857" s="1218"/>
      <c r="DE857" s="1218"/>
      <c r="DF857" s="1218"/>
      <c r="DG857" s="1218"/>
      <c r="DH857" s="1218"/>
      <c r="DI857" s="1218"/>
      <c r="DJ857" s="1218"/>
      <c r="DK857" s="1218"/>
      <c r="DL857" s="1218"/>
      <c r="DM857" s="1218"/>
      <c r="DN857" s="1218"/>
      <c r="DO857" s="1218"/>
      <c r="DP857" s="1218"/>
      <c r="DQ857" s="1218"/>
      <c r="DR857" s="1218"/>
      <c r="DS857" s="1218"/>
      <c r="DT857" s="1218"/>
      <c r="DU857" s="1218"/>
      <c r="DV857" s="1218"/>
      <c r="DW857" s="1218"/>
      <c r="DX857" s="1218"/>
      <c r="DY857" s="1218"/>
      <c r="DZ857" s="1218"/>
      <c r="EA857" s="1218"/>
      <c r="EB857" s="1218"/>
      <c r="EC857" s="1218"/>
      <c r="ED857" s="1218"/>
      <c r="EE857" s="1218"/>
      <c r="EF857" s="1218"/>
      <c r="EG857" s="1218"/>
      <c r="EH857" s="1218"/>
      <c r="EI857" s="1218"/>
      <c r="EJ857" s="1218"/>
      <c r="EK857" s="1218"/>
      <c r="EL857" s="1218"/>
      <c r="EM857" s="1218"/>
      <c r="EN857" s="1218"/>
      <c r="EO857" s="1218"/>
      <c r="EP857" s="1218"/>
      <c r="EQ857" s="1218"/>
      <c r="ER857" s="1218"/>
      <c r="ES857" s="1218"/>
      <c r="ET857" s="1218"/>
      <c r="EU857" s="1218"/>
      <c r="EV857" s="1218"/>
      <c r="EW857" s="1218"/>
      <c r="EX857" s="1218"/>
      <c r="EY857" s="1218"/>
      <c r="EZ857" s="1218"/>
      <c r="FA857" s="1218"/>
      <c r="FB857" s="1218"/>
      <c r="FC857" s="1218"/>
      <c r="FD857" s="1218"/>
      <c r="FE857" s="1218"/>
      <c r="FF857" s="1218"/>
      <c r="FG857" s="1218"/>
      <c r="FH857" s="1218"/>
      <c r="FI857" s="1218"/>
      <c r="FJ857" s="1218"/>
      <c r="FK857" s="1218"/>
      <c r="FL857" s="1218"/>
      <c r="FM857" s="1218"/>
      <c r="FN857" s="1218"/>
      <c r="FO857" s="1218"/>
      <c r="FP857" s="1218"/>
      <c r="FQ857" s="1218"/>
      <c r="FR857" s="1218"/>
      <c r="FS857" s="1218"/>
      <c r="FT857" s="1218"/>
      <c r="FU857" s="1218"/>
      <c r="FV857" s="1218"/>
      <c r="FW857" s="1218"/>
      <c r="FX857" s="1218"/>
      <c r="FY857" s="1218"/>
      <c r="FZ857" s="1218"/>
      <c r="GA857" s="1218"/>
      <c r="GB857" s="1218"/>
      <c r="GC857" s="1218"/>
      <c r="GD857" s="1218"/>
      <c r="GE857" s="1218"/>
      <c r="GF857" s="1218"/>
      <c r="GG857" s="1218"/>
      <c r="GH857" s="1218"/>
      <c r="GI857" s="1218"/>
      <c r="GJ857" s="1218"/>
      <c r="GK857" s="1218"/>
      <c r="GL857" s="1218"/>
      <c r="GM857" s="1218"/>
      <c r="GN857" s="1218"/>
      <c r="GO857" s="1218"/>
      <c r="GP857" s="1218"/>
      <c r="GQ857" s="1218"/>
      <c r="GR857" s="1218"/>
      <c r="GS857" s="1218"/>
      <c r="GT857" s="1218"/>
      <c r="GU857" s="1218"/>
      <c r="GV857" s="1218"/>
      <c r="GW857" s="1218"/>
      <c r="GX857" s="1218"/>
      <c r="GY857" s="1218"/>
      <c r="GZ857" s="1218"/>
      <c r="HA857" s="1218"/>
      <c r="HB857" s="1218"/>
      <c r="HC857" s="1218"/>
      <c r="HD857" s="1218"/>
      <c r="HE857" s="1218"/>
      <c r="HF857" s="1218"/>
      <c r="HG857" s="1218"/>
      <c r="HH857" s="1218"/>
      <c r="HI857" s="1218"/>
      <c r="HJ857" s="1218"/>
      <c r="HK857" s="1218"/>
      <c r="HL857" s="1218"/>
      <c r="HM857" s="1218"/>
      <c r="HN857" s="1218"/>
      <c r="HO857" s="1218"/>
      <c r="HP857" s="1218"/>
      <c r="HQ857" s="1218"/>
      <c r="HR857" s="1218"/>
      <c r="HS857" s="1218"/>
      <c r="HT857" s="1218"/>
      <c r="HU857" s="1218"/>
      <c r="HV857" s="1218"/>
      <c r="HW857" s="1218"/>
      <c r="HX857" s="1218"/>
      <c r="HY857" s="1218"/>
      <c r="HZ857" s="1218"/>
      <c r="IA857" s="1218"/>
      <c r="IB857" s="1218"/>
      <c r="IC857" s="1218"/>
      <c r="ID857" s="1218"/>
      <c r="IE857" s="1218"/>
      <c r="IF857" s="1218"/>
      <c r="IG857" s="1218"/>
      <c r="IH857" s="1218"/>
      <c r="II857" s="1218"/>
      <c r="IJ857" s="1218"/>
      <c r="IK857" s="1218"/>
      <c r="IL857" s="1218"/>
      <c r="IM857" s="1218"/>
      <c r="IN857" s="1218"/>
    </row>
    <row r="858" spans="1:248" s="1312" customFormat="1" ht="14.1" customHeight="1">
      <c r="A858" s="434"/>
      <c r="B858" s="1160" t="s">
        <v>3966</v>
      </c>
      <c r="C858" s="1143" t="s">
        <v>4140</v>
      </c>
      <c r="D858" s="1322"/>
      <c r="G858" s="1218"/>
      <c r="H858" s="1218"/>
      <c r="I858" s="1218"/>
      <c r="J858" s="1218"/>
      <c r="K858" s="1218"/>
      <c r="L858" s="1218"/>
      <c r="M858" s="1218"/>
      <c r="N858" s="1218"/>
      <c r="O858" s="1218"/>
      <c r="P858" s="1218"/>
      <c r="Q858" s="1218"/>
      <c r="R858" s="1218"/>
      <c r="S858" s="1218"/>
      <c r="T858" s="1218"/>
      <c r="U858" s="1218"/>
      <c r="V858" s="1218"/>
      <c r="W858" s="1218"/>
      <c r="X858" s="1218"/>
      <c r="Y858" s="1218"/>
      <c r="Z858" s="1218"/>
      <c r="AA858" s="1218"/>
      <c r="AB858" s="1218"/>
      <c r="AC858" s="1218"/>
      <c r="AD858" s="1218"/>
      <c r="AE858" s="1218"/>
      <c r="AF858" s="1218"/>
      <c r="AG858" s="1218"/>
      <c r="AH858" s="1218"/>
      <c r="AI858" s="1218"/>
      <c r="AJ858" s="1218"/>
      <c r="AK858" s="1218"/>
      <c r="AL858" s="1218"/>
      <c r="AM858" s="1218"/>
      <c r="AN858" s="1218"/>
      <c r="AO858" s="1218"/>
      <c r="AP858" s="1218"/>
      <c r="AQ858" s="1218"/>
      <c r="AR858" s="1218"/>
      <c r="AS858" s="1218"/>
      <c r="AT858" s="1218"/>
      <c r="AU858" s="1218"/>
      <c r="AV858" s="1218"/>
      <c r="AW858" s="1218"/>
      <c r="AX858" s="1218"/>
      <c r="AY858" s="1218"/>
      <c r="AZ858" s="1218"/>
      <c r="BA858" s="1218"/>
      <c r="BB858" s="1218"/>
      <c r="BC858" s="1218"/>
      <c r="BD858" s="1218"/>
      <c r="BE858" s="1218"/>
      <c r="BF858" s="1218"/>
      <c r="BG858" s="1218"/>
      <c r="BH858" s="1218"/>
      <c r="BI858" s="1218"/>
      <c r="BJ858" s="1218"/>
      <c r="BK858" s="1218"/>
      <c r="BL858" s="1218"/>
      <c r="BM858" s="1218"/>
      <c r="BN858" s="1218"/>
      <c r="BO858" s="1218"/>
      <c r="BP858" s="1218"/>
      <c r="BQ858" s="1218"/>
      <c r="BR858" s="1218"/>
      <c r="BS858" s="1218"/>
      <c r="BT858" s="1218"/>
      <c r="BU858" s="1218"/>
      <c r="BV858" s="1218"/>
      <c r="BW858" s="1218"/>
      <c r="BX858" s="1218"/>
      <c r="BY858" s="1218"/>
      <c r="BZ858" s="1218"/>
      <c r="CA858" s="1218"/>
      <c r="CB858" s="1218"/>
      <c r="CC858" s="1218"/>
      <c r="CD858" s="1218"/>
      <c r="CE858" s="1218"/>
      <c r="CF858" s="1218"/>
      <c r="CG858" s="1218"/>
      <c r="CH858" s="1218"/>
      <c r="CI858" s="1218"/>
      <c r="CJ858" s="1218"/>
      <c r="CK858" s="1218"/>
      <c r="CL858" s="1218"/>
      <c r="CM858" s="1218"/>
      <c r="CN858" s="1218"/>
      <c r="CO858" s="1218"/>
      <c r="CP858" s="1218"/>
      <c r="CQ858" s="1218"/>
      <c r="CR858" s="1218"/>
      <c r="CS858" s="1218"/>
      <c r="CT858" s="1218"/>
      <c r="CU858" s="1218"/>
      <c r="CV858" s="1218"/>
      <c r="CW858" s="1218"/>
      <c r="CX858" s="1218"/>
      <c r="CY858" s="1218"/>
      <c r="CZ858" s="1218"/>
      <c r="DA858" s="1218"/>
      <c r="DB858" s="1218"/>
      <c r="DC858" s="1218"/>
      <c r="DD858" s="1218"/>
      <c r="DE858" s="1218"/>
      <c r="DF858" s="1218"/>
      <c r="DG858" s="1218"/>
      <c r="DH858" s="1218"/>
      <c r="DI858" s="1218"/>
      <c r="DJ858" s="1218"/>
      <c r="DK858" s="1218"/>
      <c r="DL858" s="1218"/>
      <c r="DM858" s="1218"/>
      <c r="DN858" s="1218"/>
      <c r="DO858" s="1218"/>
      <c r="DP858" s="1218"/>
      <c r="DQ858" s="1218"/>
      <c r="DR858" s="1218"/>
      <c r="DS858" s="1218"/>
      <c r="DT858" s="1218"/>
      <c r="DU858" s="1218"/>
      <c r="DV858" s="1218"/>
      <c r="DW858" s="1218"/>
      <c r="DX858" s="1218"/>
      <c r="DY858" s="1218"/>
      <c r="DZ858" s="1218"/>
      <c r="EA858" s="1218"/>
      <c r="EB858" s="1218"/>
      <c r="EC858" s="1218"/>
      <c r="ED858" s="1218"/>
      <c r="EE858" s="1218"/>
      <c r="EF858" s="1218"/>
      <c r="EG858" s="1218"/>
      <c r="EH858" s="1218"/>
      <c r="EI858" s="1218"/>
      <c r="EJ858" s="1218"/>
      <c r="EK858" s="1218"/>
      <c r="EL858" s="1218"/>
      <c r="EM858" s="1218"/>
      <c r="EN858" s="1218"/>
      <c r="EO858" s="1218"/>
      <c r="EP858" s="1218"/>
      <c r="EQ858" s="1218"/>
      <c r="ER858" s="1218"/>
      <c r="ES858" s="1218"/>
      <c r="ET858" s="1218"/>
      <c r="EU858" s="1218"/>
      <c r="EV858" s="1218"/>
      <c r="EW858" s="1218"/>
      <c r="EX858" s="1218"/>
      <c r="EY858" s="1218"/>
      <c r="EZ858" s="1218"/>
      <c r="FA858" s="1218"/>
      <c r="FB858" s="1218"/>
      <c r="FC858" s="1218"/>
      <c r="FD858" s="1218"/>
      <c r="FE858" s="1218"/>
      <c r="FF858" s="1218"/>
      <c r="FG858" s="1218"/>
      <c r="FH858" s="1218"/>
      <c r="FI858" s="1218"/>
      <c r="FJ858" s="1218"/>
      <c r="FK858" s="1218"/>
      <c r="FL858" s="1218"/>
      <c r="FM858" s="1218"/>
      <c r="FN858" s="1218"/>
      <c r="FO858" s="1218"/>
      <c r="FP858" s="1218"/>
      <c r="FQ858" s="1218"/>
      <c r="FR858" s="1218"/>
      <c r="FS858" s="1218"/>
      <c r="FT858" s="1218"/>
      <c r="FU858" s="1218"/>
      <c r="FV858" s="1218"/>
      <c r="FW858" s="1218"/>
      <c r="FX858" s="1218"/>
      <c r="FY858" s="1218"/>
      <c r="FZ858" s="1218"/>
      <c r="GA858" s="1218"/>
      <c r="GB858" s="1218"/>
      <c r="GC858" s="1218"/>
      <c r="GD858" s="1218"/>
      <c r="GE858" s="1218"/>
      <c r="GF858" s="1218"/>
      <c r="GG858" s="1218"/>
      <c r="GH858" s="1218"/>
      <c r="GI858" s="1218"/>
      <c r="GJ858" s="1218"/>
      <c r="GK858" s="1218"/>
      <c r="GL858" s="1218"/>
      <c r="GM858" s="1218"/>
      <c r="GN858" s="1218"/>
      <c r="GO858" s="1218"/>
      <c r="GP858" s="1218"/>
      <c r="GQ858" s="1218"/>
      <c r="GR858" s="1218"/>
      <c r="GS858" s="1218"/>
      <c r="GT858" s="1218"/>
      <c r="GU858" s="1218"/>
      <c r="GV858" s="1218"/>
      <c r="GW858" s="1218"/>
      <c r="GX858" s="1218"/>
      <c r="GY858" s="1218"/>
      <c r="GZ858" s="1218"/>
      <c r="HA858" s="1218"/>
      <c r="HB858" s="1218"/>
      <c r="HC858" s="1218"/>
      <c r="HD858" s="1218"/>
      <c r="HE858" s="1218"/>
      <c r="HF858" s="1218"/>
      <c r="HG858" s="1218"/>
      <c r="HH858" s="1218"/>
      <c r="HI858" s="1218"/>
      <c r="HJ858" s="1218"/>
      <c r="HK858" s="1218"/>
      <c r="HL858" s="1218"/>
      <c r="HM858" s="1218"/>
      <c r="HN858" s="1218"/>
      <c r="HO858" s="1218"/>
      <c r="HP858" s="1218"/>
      <c r="HQ858" s="1218"/>
      <c r="HR858" s="1218"/>
      <c r="HS858" s="1218"/>
      <c r="HT858" s="1218"/>
      <c r="HU858" s="1218"/>
      <c r="HV858" s="1218"/>
      <c r="HW858" s="1218"/>
      <c r="HX858" s="1218"/>
      <c r="HY858" s="1218"/>
      <c r="HZ858" s="1218"/>
      <c r="IA858" s="1218"/>
      <c r="IB858" s="1218"/>
      <c r="IC858" s="1218"/>
      <c r="ID858" s="1218"/>
      <c r="IE858" s="1218"/>
      <c r="IF858" s="1218"/>
      <c r="IG858" s="1218"/>
      <c r="IH858" s="1218"/>
      <c r="II858" s="1218"/>
      <c r="IJ858" s="1218"/>
      <c r="IK858" s="1218"/>
      <c r="IL858" s="1218"/>
      <c r="IM858" s="1218"/>
      <c r="IN858" s="1218"/>
    </row>
    <row r="859" spans="1:248" s="1312" customFormat="1" ht="14.1" customHeight="1">
      <c r="A859" s="1323"/>
      <c r="B859" s="1324"/>
      <c r="C859" s="1143" t="s">
        <v>4141</v>
      </c>
      <c r="D859" s="1314"/>
      <c r="G859" s="1218"/>
      <c r="H859" s="1218"/>
      <c r="I859" s="1218"/>
      <c r="J859" s="1218"/>
      <c r="K859" s="1218"/>
      <c r="L859" s="1218"/>
      <c r="M859" s="1218"/>
      <c r="N859" s="1218"/>
      <c r="O859" s="1218"/>
      <c r="P859" s="1218"/>
      <c r="Q859" s="1218"/>
      <c r="R859" s="1218"/>
      <c r="S859" s="1218"/>
      <c r="T859" s="1218"/>
      <c r="U859" s="1218"/>
      <c r="V859" s="1218"/>
      <c r="W859" s="1218"/>
      <c r="X859" s="1218"/>
      <c r="Y859" s="1218"/>
      <c r="Z859" s="1218"/>
      <c r="AA859" s="1218"/>
      <c r="AB859" s="1218"/>
      <c r="AC859" s="1218"/>
      <c r="AD859" s="1218"/>
      <c r="AE859" s="1218"/>
      <c r="AF859" s="1218"/>
      <c r="AG859" s="1218"/>
      <c r="AH859" s="1218"/>
      <c r="AI859" s="1218"/>
      <c r="AJ859" s="1218"/>
      <c r="AK859" s="1218"/>
      <c r="AL859" s="1218"/>
      <c r="AM859" s="1218"/>
      <c r="AN859" s="1218"/>
      <c r="AO859" s="1218"/>
      <c r="AP859" s="1218"/>
      <c r="AQ859" s="1218"/>
      <c r="AR859" s="1218"/>
      <c r="AS859" s="1218"/>
      <c r="AT859" s="1218"/>
      <c r="AU859" s="1218"/>
      <c r="AV859" s="1218"/>
      <c r="AW859" s="1218"/>
      <c r="AX859" s="1218"/>
      <c r="AY859" s="1218"/>
      <c r="AZ859" s="1218"/>
      <c r="BA859" s="1218"/>
      <c r="BB859" s="1218"/>
      <c r="BC859" s="1218"/>
      <c r="BD859" s="1218"/>
      <c r="BE859" s="1218"/>
      <c r="BF859" s="1218"/>
      <c r="BG859" s="1218"/>
      <c r="BH859" s="1218"/>
      <c r="BI859" s="1218"/>
      <c r="BJ859" s="1218"/>
      <c r="BK859" s="1218"/>
      <c r="BL859" s="1218"/>
      <c r="BM859" s="1218"/>
      <c r="BN859" s="1218"/>
      <c r="BO859" s="1218"/>
      <c r="BP859" s="1218"/>
      <c r="BQ859" s="1218"/>
      <c r="BR859" s="1218"/>
      <c r="BS859" s="1218"/>
      <c r="BT859" s="1218"/>
      <c r="BU859" s="1218"/>
      <c r="BV859" s="1218"/>
      <c r="BW859" s="1218"/>
      <c r="BX859" s="1218"/>
      <c r="BY859" s="1218"/>
      <c r="BZ859" s="1218"/>
      <c r="CA859" s="1218"/>
      <c r="CB859" s="1218"/>
      <c r="CC859" s="1218"/>
      <c r="CD859" s="1218"/>
      <c r="CE859" s="1218"/>
      <c r="CF859" s="1218"/>
      <c r="CG859" s="1218"/>
      <c r="CH859" s="1218"/>
      <c r="CI859" s="1218"/>
      <c r="CJ859" s="1218"/>
      <c r="CK859" s="1218"/>
      <c r="CL859" s="1218"/>
      <c r="CM859" s="1218"/>
      <c r="CN859" s="1218"/>
      <c r="CO859" s="1218"/>
      <c r="CP859" s="1218"/>
      <c r="CQ859" s="1218"/>
      <c r="CR859" s="1218"/>
      <c r="CS859" s="1218"/>
      <c r="CT859" s="1218"/>
      <c r="CU859" s="1218"/>
      <c r="CV859" s="1218"/>
      <c r="CW859" s="1218"/>
      <c r="CX859" s="1218"/>
      <c r="CY859" s="1218"/>
      <c r="CZ859" s="1218"/>
      <c r="DA859" s="1218"/>
      <c r="DB859" s="1218"/>
      <c r="DC859" s="1218"/>
      <c r="DD859" s="1218"/>
      <c r="DE859" s="1218"/>
      <c r="DF859" s="1218"/>
      <c r="DG859" s="1218"/>
      <c r="DH859" s="1218"/>
      <c r="DI859" s="1218"/>
      <c r="DJ859" s="1218"/>
      <c r="DK859" s="1218"/>
      <c r="DL859" s="1218"/>
      <c r="DM859" s="1218"/>
      <c r="DN859" s="1218"/>
      <c r="DO859" s="1218"/>
      <c r="DP859" s="1218"/>
      <c r="DQ859" s="1218"/>
      <c r="DR859" s="1218"/>
      <c r="DS859" s="1218"/>
      <c r="DT859" s="1218"/>
      <c r="DU859" s="1218"/>
      <c r="DV859" s="1218"/>
      <c r="DW859" s="1218"/>
      <c r="DX859" s="1218"/>
      <c r="DY859" s="1218"/>
      <c r="DZ859" s="1218"/>
      <c r="EA859" s="1218"/>
      <c r="EB859" s="1218"/>
      <c r="EC859" s="1218"/>
      <c r="ED859" s="1218"/>
      <c r="EE859" s="1218"/>
      <c r="EF859" s="1218"/>
      <c r="EG859" s="1218"/>
      <c r="EH859" s="1218"/>
      <c r="EI859" s="1218"/>
      <c r="EJ859" s="1218"/>
      <c r="EK859" s="1218"/>
      <c r="EL859" s="1218"/>
      <c r="EM859" s="1218"/>
      <c r="EN859" s="1218"/>
      <c r="EO859" s="1218"/>
      <c r="EP859" s="1218"/>
      <c r="EQ859" s="1218"/>
      <c r="ER859" s="1218"/>
      <c r="ES859" s="1218"/>
      <c r="ET859" s="1218"/>
      <c r="EU859" s="1218"/>
      <c r="EV859" s="1218"/>
      <c r="EW859" s="1218"/>
      <c r="EX859" s="1218"/>
      <c r="EY859" s="1218"/>
      <c r="EZ859" s="1218"/>
      <c r="FA859" s="1218"/>
      <c r="FB859" s="1218"/>
      <c r="FC859" s="1218"/>
      <c r="FD859" s="1218"/>
      <c r="FE859" s="1218"/>
      <c r="FF859" s="1218"/>
      <c r="FG859" s="1218"/>
      <c r="FH859" s="1218"/>
      <c r="FI859" s="1218"/>
      <c r="FJ859" s="1218"/>
      <c r="FK859" s="1218"/>
      <c r="FL859" s="1218"/>
      <c r="FM859" s="1218"/>
      <c r="FN859" s="1218"/>
      <c r="FO859" s="1218"/>
      <c r="FP859" s="1218"/>
      <c r="FQ859" s="1218"/>
      <c r="FR859" s="1218"/>
      <c r="FS859" s="1218"/>
      <c r="FT859" s="1218"/>
      <c r="FU859" s="1218"/>
      <c r="FV859" s="1218"/>
      <c r="FW859" s="1218"/>
      <c r="FX859" s="1218"/>
      <c r="FY859" s="1218"/>
      <c r="FZ859" s="1218"/>
      <c r="GA859" s="1218"/>
      <c r="GB859" s="1218"/>
      <c r="GC859" s="1218"/>
      <c r="GD859" s="1218"/>
      <c r="GE859" s="1218"/>
      <c r="GF859" s="1218"/>
      <c r="GG859" s="1218"/>
      <c r="GH859" s="1218"/>
      <c r="GI859" s="1218"/>
      <c r="GJ859" s="1218"/>
      <c r="GK859" s="1218"/>
      <c r="GL859" s="1218"/>
      <c r="GM859" s="1218"/>
      <c r="GN859" s="1218"/>
      <c r="GO859" s="1218"/>
      <c r="GP859" s="1218"/>
      <c r="GQ859" s="1218"/>
      <c r="GR859" s="1218"/>
      <c r="GS859" s="1218"/>
      <c r="GT859" s="1218"/>
      <c r="GU859" s="1218"/>
      <c r="GV859" s="1218"/>
      <c r="GW859" s="1218"/>
      <c r="GX859" s="1218"/>
      <c r="GY859" s="1218"/>
      <c r="GZ859" s="1218"/>
      <c r="HA859" s="1218"/>
      <c r="HB859" s="1218"/>
      <c r="HC859" s="1218"/>
      <c r="HD859" s="1218"/>
      <c r="HE859" s="1218"/>
      <c r="HF859" s="1218"/>
      <c r="HG859" s="1218"/>
      <c r="HH859" s="1218"/>
      <c r="HI859" s="1218"/>
      <c r="HJ859" s="1218"/>
      <c r="HK859" s="1218"/>
      <c r="HL859" s="1218"/>
      <c r="HM859" s="1218"/>
      <c r="HN859" s="1218"/>
      <c r="HO859" s="1218"/>
      <c r="HP859" s="1218"/>
      <c r="HQ859" s="1218"/>
      <c r="HR859" s="1218"/>
      <c r="HS859" s="1218"/>
      <c r="HT859" s="1218"/>
      <c r="HU859" s="1218"/>
      <c r="HV859" s="1218"/>
      <c r="HW859" s="1218"/>
      <c r="HX859" s="1218"/>
      <c r="HY859" s="1218"/>
      <c r="HZ859" s="1218"/>
      <c r="IA859" s="1218"/>
      <c r="IB859" s="1218"/>
      <c r="IC859" s="1218"/>
      <c r="ID859" s="1218"/>
      <c r="IE859" s="1218"/>
      <c r="IF859" s="1218"/>
      <c r="IG859" s="1218"/>
      <c r="IH859" s="1218"/>
      <c r="II859" s="1218"/>
      <c r="IJ859" s="1218"/>
      <c r="IK859" s="1218"/>
      <c r="IL859" s="1218"/>
      <c r="IM859" s="1218"/>
      <c r="IN859" s="1218"/>
    </row>
    <row r="860" spans="1:248" s="1312" customFormat="1" ht="14.1" customHeight="1">
      <c r="A860" s="1321"/>
      <c r="B860" s="1324"/>
      <c r="C860" s="1143"/>
      <c r="D860" s="1314"/>
      <c r="G860" s="1218"/>
      <c r="H860" s="1218"/>
      <c r="I860" s="1218"/>
      <c r="J860" s="1218"/>
      <c r="K860" s="1218"/>
      <c r="L860" s="1218"/>
      <c r="M860" s="1218"/>
      <c r="N860" s="1218"/>
      <c r="O860" s="1218"/>
      <c r="P860" s="1218"/>
      <c r="Q860" s="1218"/>
      <c r="R860" s="1218"/>
      <c r="S860" s="1218"/>
      <c r="T860" s="1218"/>
      <c r="U860" s="1218"/>
      <c r="V860" s="1218"/>
      <c r="W860" s="1218"/>
      <c r="X860" s="1218"/>
      <c r="Y860" s="1218"/>
      <c r="Z860" s="1218"/>
      <c r="AA860" s="1218"/>
      <c r="AB860" s="1218"/>
      <c r="AC860" s="1218"/>
      <c r="AD860" s="1218"/>
      <c r="AE860" s="1218"/>
      <c r="AF860" s="1218"/>
      <c r="AG860" s="1218"/>
      <c r="AH860" s="1218"/>
      <c r="AI860" s="1218"/>
      <c r="AJ860" s="1218"/>
      <c r="AK860" s="1218"/>
      <c r="AL860" s="1218"/>
      <c r="AM860" s="1218"/>
      <c r="AN860" s="1218"/>
      <c r="AO860" s="1218"/>
      <c r="AP860" s="1218"/>
      <c r="AQ860" s="1218"/>
      <c r="AR860" s="1218"/>
      <c r="AS860" s="1218"/>
      <c r="AT860" s="1218"/>
      <c r="AU860" s="1218"/>
      <c r="AV860" s="1218"/>
      <c r="AW860" s="1218"/>
      <c r="AX860" s="1218"/>
      <c r="AY860" s="1218"/>
      <c r="AZ860" s="1218"/>
      <c r="BA860" s="1218"/>
      <c r="BB860" s="1218"/>
      <c r="BC860" s="1218"/>
      <c r="BD860" s="1218"/>
      <c r="BE860" s="1218"/>
      <c r="BF860" s="1218"/>
      <c r="BG860" s="1218"/>
      <c r="BH860" s="1218"/>
      <c r="BI860" s="1218"/>
      <c r="BJ860" s="1218"/>
      <c r="BK860" s="1218"/>
      <c r="BL860" s="1218"/>
      <c r="BM860" s="1218"/>
      <c r="BN860" s="1218"/>
      <c r="BO860" s="1218"/>
      <c r="BP860" s="1218"/>
      <c r="BQ860" s="1218"/>
      <c r="BR860" s="1218"/>
      <c r="BS860" s="1218"/>
      <c r="BT860" s="1218"/>
      <c r="BU860" s="1218"/>
      <c r="BV860" s="1218"/>
      <c r="BW860" s="1218"/>
      <c r="BX860" s="1218"/>
      <c r="BY860" s="1218"/>
      <c r="BZ860" s="1218"/>
      <c r="CA860" s="1218"/>
      <c r="CB860" s="1218"/>
      <c r="CC860" s="1218"/>
      <c r="CD860" s="1218"/>
      <c r="CE860" s="1218"/>
      <c r="CF860" s="1218"/>
      <c r="CG860" s="1218"/>
      <c r="CH860" s="1218"/>
      <c r="CI860" s="1218"/>
      <c r="CJ860" s="1218"/>
      <c r="CK860" s="1218"/>
      <c r="CL860" s="1218"/>
      <c r="CM860" s="1218"/>
      <c r="CN860" s="1218"/>
      <c r="CO860" s="1218"/>
      <c r="CP860" s="1218"/>
      <c r="CQ860" s="1218"/>
      <c r="CR860" s="1218"/>
      <c r="CS860" s="1218"/>
      <c r="CT860" s="1218"/>
      <c r="CU860" s="1218"/>
      <c r="CV860" s="1218"/>
      <c r="CW860" s="1218"/>
      <c r="CX860" s="1218"/>
      <c r="CY860" s="1218"/>
      <c r="CZ860" s="1218"/>
      <c r="DA860" s="1218"/>
      <c r="DB860" s="1218"/>
      <c r="DC860" s="1218"/>
      <c r="DD860" s="1218"/>
      <c r="DE860" s="1218"/>
      <c r="DF860" s="1218"/>
      <c r="DG860" s="1218"/>
      <c r="DH860" s="1218"/>
      <c r="DI860" s="1218"/>
      <c r="DJ860" s="1218"/>
      <c r="DK860" s="1218"/>
      <c r="DL860" s="1218"/>
      <c r="DM860" s="1218"/>
      <c r="DN860" s="1218"/>
      <c r="DO860" s="1218"/>
      <c r="DP860" s="1218"/>
      <c r="DQ860" s="1218"/>
      <c r="DR860" s="1218"/>
      <c r="DS860" s="1218"/>
      <c r="DT860" s="1218"/>
      <c r="DU860" s="1218"/>
      <c r="DV860" s="1218"/>
      <c r="DW860" s="1218"/>
      <c r="DX860" s="1218"/>
      <c r="DY860" s="1218"/>
      <c r="DZ860" s="1218"/>
      <c r="EA860" s="1218"/>
      <c r="EB860" s="1218"/>
      <c r="EC860" s="1218"/>
      <c r="ED860" s="1218"/>
      <c r="EE860" s="1218"/>
      <c r="EF860" s="1218"/>
      <c r="EG860" s="1218"/>
      <c r="EH860" s="1218"/>
      <c r="EI860" s="1218"/>
      <c r="EJ860" s="1218"/>
      <c r="EK860" s="1218"/>
      <c r="EL860" s="1218"/>
      <c r="EM860" s="1218"/>
      <c r="EN860" s="1218"/>
      <c r="EO860" s="1218"/>
      <c r="EP860" s="1218"/>
      <c r="EQ860" s="1218"/>
      <c r="ER860" s="1218"/>
      <c r="ES860" s="1218"/>
      <c r="ET860" s="1218"/>
      <c r="EU860" s="1218"/>
      <c r="EV860" s="1218"/>
      <c r="EW860" s="1218"/>
      <c r="EX860" s="1218"/>
      <c r="EY860" s="1218"/>
      <c r="EZ860" s="1218"/>
      <c r="FA860" s="1218"/>
      <c r="FB860" s="1218"/>
      <c r="FC860" s="1218"/>
      <c r="FD860" s="1218"/>
      <c r="FE860" s="1218"/>
      <c r="FF860" s="1218"/>
      <c r="FG860" s="1218"/>
      <c r="FH860" s="1218"/>
      <c r="FI860" s="1218"/>
      <c r="FJ860" s="1218"/>
      <c r="FK860" s="1218"/>
      <c r="FL860" s="1218"/>
      <c r="FM860" s="1218"/>
      <c r="FN860" s="1218"/>
      <c r="FO860" s="1218"/>
      <c r="FP860" s="1218"/>
      <c r="FQ860" s="1218"/>
      <c r="FR860" s="1218"/>
      <c r="FS860" s="1218"/>
      <c r="FT860" s="1218"/>
      <c r="FU860" s="1218"/>
      <c r="FV860" s="1218"/>
      <c r="FW860" s="1218"/>
      <c r="FX860" s="1218"/>
      <c r="FY860" s="1218"/>
      <c r="FZ860" s="1218"/>
      <c r="GA860" s="1218"/>
      <c r="GB860" s="1218"/>
      <c r="GC860" s="1218"/>
      <c r="GD860" s="1218"/>
      <c r="GE860" s="1218"/>
      <c r="GF860" s="1218"/>
      <c r="GG860" s="1218"/>
      <c r="GH860" s="1218"/>
      <c r="GI860" s="1218"/>
      <c r="GJ860" s="1218"/>
      <c r="GK860" s="1218"/>
      <c r="GL860" s="1218"/>
      <c r="GM860" s="1218"/>
      <c r="GN860" s="1218"/>
      <c r="GO860" s="1218"/>
      <c r="GP860" s="1218"/>
      <c r="GQ860" s="1218"/>
      <c r="GR860" s="1218"/>
      <c r="GS860" s="1218"/>
      <c r="GT860" s="1218"/>
      <c r="GU860" s="1218"/>
      <c r="GV860" s="1218"/>
      <c r="GW860" s="1218"/>
      <c r="GX860" s="1218"/>
      <c r="GY860" s="1218"/>
      <c r="GZ860" s="1218"/>
      <c r="HA860" s="1218"/>
      <c r="HB860" s="1218"/>
      <c r="HC860" s="1218"/>
      <c r="HD860" s="1218"/>
      <c r="HE860" s="1218"/>
      <c r="HF860" s="1218"/>
      <c r="HG860" s="1218"/>
      <c r="HH860" s="1218"/>
      <c r="HI860" s="1218"/>
      <c r="HJ860" s="1218"/>
      <c r="HK860" s="1218"/>
      <c r="HL860" s="1218"/>
      <c r="HM860" s="1218"/>
      <c r="HN860" s="1218"/>
      <c r="HO860" s="1218"/>
      <c r="HP860" s="1218"/>
      <c r="HQ860" s="1218"/>
      <c r="HR860" s="1218"/>
      <c r="HS860" s="1218"/>
      <c r="HT860" s="1218"/>
      <c r="HU860" s="1218"/>
      <c r="HV860" s="1218"/>
      <c r="HW860" s="1218"/>
      <c r="HX860" s="1218"/>
      <c r="HY860" s="1218"/>
      <c r="HZ860" s="1218"/>
      <c r="IA860" s="1218"/>
      <c r="IB860" s="1218"/>
      <c r="IC860" s="1218"/>
      <c r="ID860" s="1218"/>
      <c r="IE860" s="1218"/>
      <c r="IF860" s="1218"/>
      <c r="IG860" s="1218"/>
      <c r="IH860" s="1218"/>
      <c r="II860" s="1218"/>
      <c r="IJ860" s="1218"/>
      <c r="IK860" s="1218"/>
      <c r="IL860" s="1218"/>
      <c r="IM860" s="1218"/>
      <c r="IN860" s="1218"/>
    </row>
    <row r="861" spans="1:248" s="1312" customFormat="1" ht="14.1" customHeight="1">
      <c r="A861" s="1321"/>
      <c r="B861" s="1160" t="s">
        <v>3967</v>
      </c>
      <c r="C861" s="1143" t="s">
        <v>4142</v>
      </c>
      <c r="D861" s="1314"/>
      <c r="G861" s="1218"/>
      <c r="H861" s="1218"/>
      <c r="I861" s="1218"/>
      <c r="J861" s="1218"/>
      <c r="K861" s="1218"/>
      <c r="L861" s="1218"/>
      <c r="M861" s="1218"/>
      <c r="N861" s="1218"/>
      <c r="O861" s="1218"/>
      <c r="P861" s="1218"/>
      <c r="Q861" s="1218"/>
      <c r="R861" s="1218"/>
      <c r="S861" s="1218"/>
      <c r="T861" s="1218"/>
      <c r="U861" s="1218"/>
      <c r="V861" s="1218"/>
      <c r="W861" s="1218"/>
      <c r="X861" s="1218"/>
      <c r="Y861" s="1218"/>
      <c r="Z861" s="1218"/>
      <c r="AA861" s="1218"/>
      <c r="AB861" s="1218"/>
      <c r="AC861" s="1218"/>
      <c r="AD861" s="1218"/>
      <c r="AE861" s="1218"/>
      <c r="AF861" s="1218"/>
      <c r="AG861" s="1218"/>
      <c r="AH861" s="1218"/>
      <c r="AI861" s="1218"/>
      <c r="AJ861" s="1218"/>
      <c r="AK861" s="1218"/>
      <c r="AL861" s="1218"/>
      <c r="AM861" s="1218"/>
      <c r="AN861" s="1218"/>
      <c r="AO861" s="1218"/>
      <c r="AP861" s="1218"/>
      <c r="AQ861" s="1218"/>
      <c r="AR861" s="1218"/>
      <c r="AS861" s="1218"/>
      <c r="AT861" s="1218"/>
      <c r="AU861" s="1218"/>
      <c r="AV861" s="1218"/>
      <c r="AW861" s="1218"/>
      <c r="AX861" s="1218"/>
      <c r="AY861" s="1218"/>
      <c r="AZ861" s="1218"/>
      <c r="BA861" s="1218"/>
      <c r="BB861" s="1218"/>
      <c r="BC861" s="1218"/>
      <c r="BD861" s="1218"/>
      <c r="BE861" s="1218"/>
      <c r="BF861" s="1218"/>
      <c r="BG861" s="1218"/>
      <c r="BH861" s="1218"/>
      <c r="BI861" s="1218"/>
      <c r="BJ861" s="1218"/>
      <c r="BK861" s="1218"/>
      <c r="BL861" s="1218"/>
      <c r="BM861" s="1218"/>
      <c r="BN861" s="1218"/>
      <c r="BO861" s="1218"/>
      <c r="BP861" s="1218"/>
      <c r="BQ861" s="1218"/>
      <c r="BR861" s="1218"/>
      <c r="BS861" s="1218"/>
      <c r="BT861" s="1218"/>
      <c r="BU861" s="1218"/>
      <c r="BV861" s="1218"/>
      <c r="BW861" s="1218"/>
      <c r="BX861" s="1218"/>
      <c r="BY861" s="1218"/>
      <c r="BZ861" s="1218"/>
      <c r="CA861" s="1218"/>
      <c r="CB861" s="1218"/>
      <c r="CC861" s="1218"/>
      <c r="CD861" s="1218"/>
      <c r="CE861" s="1218"/>
      <c r="CF861" s="1218"/>
      <c r="CG861" s="1218"/>
      <c r="CH861" s="1218"/>
      <c r="CI861" s="1218"/>
      <c r="CJ861" s="1218"/>
      <c r="CK861" s="1218"/>
      <c r="CL861" s="1218"/>
      <c r="CM861" s="1218"/>
      <c r="CN861" s="1218"/>
      <c r="CO861" s="1218"/>
      <c r="CP861" s="1218"/>
      <c r="CQ861" s="1218"/>
      <c r="CR861" s="1218"/>
      <c r="CS861" s="1218"/>
      <c r="CT861" s="1218"/>
      <c r="CU861" s="1218"/>
      <c r="CV861" s="1218"/>
      <c r="CW861" s="1218"/>
      <c r="CX861" s="1218"/>
      <c r="CY861" s="1218"/>
      <c r="CZ861" s="1218"/>
      <c r="DA861" s="1218"/>
      <c r="DB861" s="1218"/>
      <c r="DC861" s="1218"/>
      <c r="DD861" s="1218"/>
      <c r="DE861" s="1218"/>
      <c r="DF861" s="1218"/>
      <c r="DG861" s="1218"/>
      <c r="DH861" s="1218"/>
      <c r="DI861" s="1218"/>
      <c r="DJ861" s="1218"/>
      <c r="DK861" s="1218"/>
      <c r="DL861" s="1218"/>
      <c r="DM861" s="1218"/>
      <c r="DN861" s="1218"/>
      <c r="DO861" s="1218"/>
      <c r="DP861" s="1218"/>
      <c r="DQ861" s="1218"/>
      <c r="DR861" s="1218"/>
      <c r="DS861" s="1218"/>
      <c r="DT861" s="1218"/>
      <c r="DU861" s="1218"/>
      <c r="DV861" s="1218"/>
      <c r="DW861" s="1218"/>
      <c r="DX861" s="1218"/>
      <c r="DY861" s="1218"/>
      <c r="DZ861" s="1218"/>
      <c r="EA861" s="1218"/>
      <c r="EB861" s="1218"/>
      <c r="EC861" s="1218"/>
      <c r="ED861" s="1218"/>
      <c r="EE861" s="1218"/>
      <c r="EF861" s="1218"/>
      <c r="EG861" s="1218"/>
      <c r="EH861" s="1218"/>
      <c r="EI861" s="1218"/>
      <c r="EJ861" s="1218"/>
      <c r="EK861" s="1218"/>
      <c r="EL861" s="1218"/>
      <c r="EM861" s="1218"/>
      <c r="EN861" s="1218"/>
      <c r="EO861" s="1218"/>
      <c r="EP861" s="1218"/>
      <c r="EQ861" s="1218"/>
      <c r="ER861" s="1218"/>
      <c r="ES861" s="1218"/>
      <c r="ET861" s="1218"/>
      <c r="EU861" s="1218"/>
      <c r="EV861" s="1218"/>
      <c r="EW861" s="1218"/>
      <c r="EX861" s="1218"/>
      <c r="EY861" s="1218"/>
      <c r="EZ861" s="1218"/>
      <c r="FA861" s="1218"/>
      <c r="FB861" s="1218"/>
      <c r="FC861" s="1218"/>
      <c r="FD861" s="1218"/>
      <c r="FE861" s="1218"/>
      <c r="FF861" s="1218"/>
      <c r="FG861" s="1218"/>
      <c r="FH861" s="1218"/>
      <c r="FI861" s="1218"/>
      <c r="FJ861" s="1218"/>
      <c r="FK861" s="1218"/>
      <c r="FL861" s="1218"/>
      <c r="FM861" s="1218"/>
      <c r="FN861" s="1218"/>
      <c r="FO861" s="1218"/>
      <c r="FP861" s="1218"/>
      <c r="FQ861" s="1218"/>
      <c r="FR861" s="1218"/>
      <c r="FS861" s="1218"/>
      <c r="FT861" s="1218"/>
      <c r="FU861" s="1218"/>
      <c r="FV861" s="1218"/>
      <c r="FW861" s="1218"/>
      <c r="FX861" s="1218"/>
      <c r="FY861" s="1218"/>
      <c r="FZ861" s="1218"/>
      <c r="GA861" s="1218"/>
      <c r="GB861" s="1218"/>
      <c r="GC861" s="1218"/>
      <c r="GD861" s="1218"/>
      <c r="GE861" s="1218"/>
      <c r="GF861" s="1218"/>
      <c r="GG861" s="1218"/>
      <c r="GH861" s="1218"/>
      <c r="GI861" s="1218"/>
      <c r="GJ861" s="1218"/>
      <c r="GK861" s="1218"/>
      <c r="GL861" s="1218"/>
      <c r="GM861" s="1218"/>
      <c r="GN861" s="1218"/>
      <c r="GO861" s="1218"/>
      <c r="GP861" s="1218"/>
      <c r="GQ861" s="1218"/>
      <c r="GR861" s="1218"/>
      <c r="GS861" s="1218"/>
      <c r="GT861" s="1218"/>
      <c r="GU861" s="1218"/>
      <c r="GV861" s="1218"/>
      <c r="GW861" s="1218"/>
      <c r="GX861" s="1218"/>
      <c r="GY861" s="1218"/>
      <c r="GZ861" s="1218"/>
      <c r="HA861" s="1218"/>
      <c r="HB861" s="1218"/>
      <c r="HC861" s="1218"/>
      <c r="HD861" s="1218"/>
      <c r="HE861" s="1218"/>
      <c r="HF861" s="1218"/>
      <c r="HG861" s="1218"/>
      <c r="HH861" s="1218"/>
      <c r="HI861" s="1218"/>
      <c r="HJ861" s="1218"/>
      <c r="HK861" s="1218"/>
      <c r="HL861" s="1218"/>
      <c r="HM861" s="1218"/>
      <c r="HN861" s="1218"/>
      <c r="HO861" s="1218"/>
      <c r="HP861" s="1218"/>
      <c r="HQ861" s="1218"/>
      <c r="HR861" s="1218"/>
      <c r="HS861" s="1218"/>
      <c r="HT861" s="1218"/>
      <c r="HU861" s="1218"/>
      <c r="HV861" s="1218"/>
      <c r="HW861" s="1218"/>
      <c r="HX861" s="1218"/>
      <c r="HY861" s="1218"/>
      <c r="HZ861" s="1218"/>
      <c r="IA861" s="1218"/>
      <c r="IB861" s="1218"/>
      <c r="IC861" s="1218"/>
      <c r="ID861" s="1218"/>
      <c r="IE861" s="1218"/>
      <c r="IF861" s="1218"/>
      <c r="IG861" s="1218"/>
      <c r="IH861" s="1218"/>
      <c r="II861" s="1218"/>
      <c r="IJ861" s="1218"/>
      <c r="IK861" s="1218"/>
      <c r="IL861" s="1218"/>
      <c r="IM861" s="1218"/>
      <c r="IN861" s="1218"/>
    </row>
    <row r="862" spans="1:248" s="1312" customFormat="1" ht="14.1" customHeight="1">
      <c r="A862" s="1323"/>
      <c r="B862" s="1324"/>
      <c r="C862" s="1143" t="s">
        <v>4143</v>
      </c>
      <c r="D862" s="1314"/>
      <c r="G862" s="1218"/>
      <c r="H862" s="1218"/>
      <c r="I862" s="1218"/>
      <c r="J862" s="1218"/>
      <c r="K862" s="1218"/>
      <c r="L862" s="1218"/>
      <c r="M862" s="1218"/>
      <c r="N862" s="1218"/>
      <c r="O862" s="1218"/>
      <c r="P862" s="1218"/>
      <c r="Q862" s="1218"/>
      <c r="R862" s="1218"/>
      <c r="S862" s="1218"/>
      <c r="T862" s="1218"/>
      <c r="U862" s="1218"/>
      <c r="V862" s="1218"/>
      <c r="W862" s="1218"/>
      <c r="X862" s="1218"/>
      <c r="Y862" s="1218"/>
      <c r="Z862" s="1218"/>
      <c r="AA862" s="1218"/>
      <c r="AB862" s="1218"/>
      <c r="AC862" s="1218"/>
      <c r="AD862" s="1218"/>
      <c r="AE862" s="1218"/>
      <c r="AF862" s="1218"/>
      <c r="AG862" s="1218"/>
      <c r="AH862" s="1218"/>
      <c r="AI862" s="1218"/>
      <c r="AJ862" s="1218"/>
      <c r="AK862" s="1218"/>
      <c r="AL862" s="1218"/>
      <c r="AM862" s="1218"/>
      <c r="AN862" s="1218"/>
      <c r="AO862" s="1218"/>
      <c r="AP862" s="1218"/>
      <c r="AQ862" s="1218"/>
      <c r="AR862" s="1218"/>
      <c r="AS862" s="1218"/>
      <c r="AT862" s="1218"/>
      <c r="AU862" s="1218"/>
      <c r="AV862" s="1218"/>
      <c r="AW862" s="1218"/>
      <c r="AX862" s="1218"/>
      <c r="AY862" s="1218"/>
      <c r="AZ862" s="1218"/>
      <c r="BA862" s="1218"/>
      <c r="BB862" s="1218"/>
      <c r="BC862" s="1218"/>
      <c r="BD862" s="1218"/>
      <c r="BE862" s="1218"/>
      <c r="BF862" s="1218"/>
      <c r="BG862" s="1218"/>
      <c r="BH862" s="1218"/>
      <c r="BI862" s="1218"/>
      <c r="BJ862" s="1218"/>
      <c r="BK862" s="1218"/>
      <c r="BL862" s="1218"/>
      <c r="BM862" s="1218"/>
      <c r="BN862" s="1218"/>
      <c r="BO862" s="1218"/>
      <c r="BP862" s="1218"/>
      <c r="BQ862" s="1218"/>
      <c r="BR862" s="1218"/>
      <c r="BS862" s="1218"/>
      <c r="BT862" s="1218"/>
      <c r="BU862" s="1218"/>
      <c r="BV862" s="1218"/>
      <c r="BW862" s="1218"/>
      <c r="BX862" s="1218"/>
      <c r="BY862" s="1218"/>
      <c r="BZ862" s="1218"/>
      <c r="CA862" s="1218"/>
      <c r="CB862" s="1218"/>
      <c r="CC862" s="1218"/>
      <c r="CD862" s="1218"/>
      <c r="CE862" s="1218"/>
      <c r="CF862" s="1218"/>
      <c r="CG862" s="1218"/>
      <c r="CH862" s="1218"/>
      <c r="CI862" s="1218"/>
      <c r="CJ862" s="1218"/>
      <c r="CK862" s="1218"/>
      <c r="CL862" s="1218"/>
      <c r="CM862" s="1218"/>
      <c r="CN862" s="1218"/>
      <c r="CO862" s="1218"/>
      <c r="CP862" s="1218"/>
      <c r="CQ862" s="1218"/>
      <c r="CR862" s="1218"/>
      <c r="CS862" s="1218"/>
      <c r="CT862" s="1218"/>
      <c r="CU862" s="1218"/>
      <c r="CV862" s="1218"/>
      <c r="CW862" s="1218"/>
      <c r="CX862" s="1218"/>
      <c r="CY862" s="1218"/>
      <c r="CZ862" s="1218"/>
      <c r="DA862" s="1218"/>
      <c r="DB862" s="1218"/>
      <c r="DC862" s="1218"/>
      <c r="DD862" s="1218"/>
      <c r="DE862" s="1218"/>
      <c r="DF862" s="1218"/>
      <c r="DG862" s="1218"/>
      <c r="DH862" s="1218"/>
      <c r="DI862" s="1218"/>
      <c r="DJ862" s="1218"/>
      <c r="DK862" s="1218"/>
      <c r="DL862" s="1218"/>
      <c r="DM862" s="1218"/>
      <c r="DN862" s="1218"/>
      <c r="DO862" s="1218"/>
      <c r="DP862" s="1218"/>
      <c r="DQ862" s="1218"/>
      <c r="DR862" s="1218"/>
      <c r="DS862" s="1218"/>
      <c r="DT862" s="1218"/>
      <c r="DU862" s="1218"/>
      <c r="DV862" s="1218"/>
      <c r="DW862" s="1218"/>
      <c r="DX862" s="1218"/>
      <c r="DY862" s="1218"/>
      <c r="DZ862" s="1218"/>
      <c r="EA862" s="1218"/>
      <c r="EB862" s="1218"/>
      <c r="EC862" s="1218"/>
      <c r="ED862" s="1218"/>
      <c r="EE862" s="1218"/>
      <c r="EF862" s="1218"/>
      <c r="EG862" s="1218"/>
      <c r="EH862" s="1218"/>
      <c r="EI862" s="1218"/>
      <c r="EJ862" s="1218"/>
      <c r="EK862" s="1218"/>
      <c r="EL862" s="1218"/>
      <c r="EM862" s="1218"/>
      <c r="EN862" s="1218"/>
      <c r="EO862" s="1218"/>
      <c r="EP862" s="1218"/>
      <c r="EQ862" s="1218"/>
      <c r="ER862" s="1218"/>
      <c r="ES862" s="1218"/>
      <c r="ET862" s="1218"/>
      <c r="EU862" s="1218"/>
      <c r="EV862" s="1218"/>
      <c r="EW862" s="1218"/>
      <c r="EX862" s="1218"/>
      <c r="EY862" s="1218"/>
      <c r="EZ862" s="1218"/>
      <c r="FA862" s="1218"/>
      <c r="FB862" s="1218"/>
      <c r="FC862" s="1218"/>
      <c r="FD862" s="1218"/>
      <c r="FE862" s="1218"/>
      <c r="FF862" s="1218"/>
      <c r="FG862" s="1218"/>
      <c r="FH862" s="1218"/>
      <c r="FI862" s="1218"/>
      <c r="FJ862" s="1218"/>
      <c r="FK862" s="1218"/>
      <c r="FL862" s="1218"/>
      <c r="FM862" s="1218"/>
      <c r="FN862" s="1218"/>
      <c r="FO862" s="1218"/>
      <c r="FP862" s="1218"/>
      <c r="FQ862" s="1218"/>
      <c r="FR862" s="1218"/>
      <c r="FS862" s="1218"/>
      <c r="FT862" s="1218"/>
      <c r="FU862" s="1218"/>
      <c r="FV862" s="1218"/>
      <c r="FW862" s="1218"/>
      <c r="FX862" s="1218"/>
      <c r="FY862" s="1218"/>
      <c r="FZ862" s="1218"/>
      <c r="GA862" s="1218"/>
      <c r="GB862" s="1218"/>
      <c r="GC862" s="1218"/>
      <c r="GD862" s="1218"/>
      <c r="GE862" s="1218"/>
      <c r="GF862" s="1218"/>
      <c r="GG862" s="1218"/>
      <c r="GH862" s="1218"/>
      <c r="GI862" s="1218"/>
      <c r="GJ862" s="1218"/>
      <c r="GK862" s="1218"/>
      <c r="GL862" s="1218"/>
      <c r="GM862" s="1218"/>
      <c r="GN862" s="1218"/>
      <c r="GO862" s="1218"/>
      <c r="GP862" s="1218"/>
      <c r="GQ862" s="1218"/>
      <c r="GR862" s="1218"/>
      <c r="GS862" s="1218"/>
      <c r="GT862" s="1218"/>
      <c r="GU862" s="1218"/>
      <c r="GV862" s="1218"/>
      <c r="GW862" s="1218"/>
      <c r="GX862" s="1218"/>
      <c r="GY862" s="1218"/>
      <c r="GZ862" s="1218"/>
      <c r="HA862" s="1218"/>
      <c r="HB862" s="1218"/>
      <c r="HC862" s="1218"/>
      <c r="HD862" s="1218"/>
      <c r="HE862" s="1218"/>
      <c r="HF862" s="1218"/>
      <c r="HG862" s="1218"/>
      <c r="HH862" s="1218"/>
      <c r="HI862" s="1218"/>
      <c r="HJ862" s="1218"/>
      <c r="HK862" s="1218"/>
      <c r="HL862" s="1218"/>
      <c r="HM862" s="1218"/>
      <c r="HN862" s="1218"/>
      <c r="HO862" s="1218"/>
      <c r="HP862" s="1218"/>
      <c r="HQ862" s="1218"/>
      <c r="HR862" s="1218"/>
      <c r="HS862" s="1218"/>
      <c r="HT862" s="1218"/>
      <c r="HU862" s="1218"/>
      <c r="HV862" s="1218"/>
      <c r="HW862" s="1218"/>
      <c r="HX862" s="1218"/>
      <c r="HY862" s="1218"/>
      <c r="HZ862" s="1218"/>
      <c r="IA862" s="1218"/>
      <c r="IB862" s="1218"/>
      <c r="IC862" s="1218"/>
      <c r="ID862" s="1218"/>
      <c r="IE862" s="1218"/>
      <c r="IF862" s="1218"/>
      <c r="IG862" s="1218"/>
      <c r="IH862" s="1218"/>
      <c r="II862" s="1218"/>
      <c r="IJ862" s="1218"/>
      <c r="IK862" s="1218"/>
      <c r="IL862" s="1218"/>
      <c r="IM862" s="1218"/>
      <c r="IN862" s="1218"/>
    </row>
    <row r="863" spans="1:248" s="1312" customFormat="1" ht="14.1" customHeight="1">
      <c r="A863" s="1318"/>
      <c r="B863" s="1313"/>
      <c r="C863" s="1320"/>
      <c r="D863" s="1314"/>
      <c r="G863" s="1218"/>
      <c r="H863" s="1218"/>
      <c r="I863" s="1218"/>
      <c r="J863" s="1218"/>
      <c r="K863" s="1218"/>
      <c r="L863" s="1218"/>
      <c r="M863" s="1218"/>
      <c r="N863" s="1218"/>
      <c r="O863" s="1218"/>
      <c r="P863" s="1218"/>
      <c r="Q863" s="1218"/>
      <c r="R863" s="1218"/>
      <c r="S863" s="1218"/>
      <c r="T863" s="1218"/>
      <c r="U863" s="1218"/>
      <c r="V863" s="1218"/>
      <c r="W863" s="1218"/>
      <c r="X863" s="1218"/>
      <c r="Y863" s="1218"/>
      <c r="Z863" s="1218"/>
      <c r="AA863" s="1218"/>
      <c r="AB863" s="1218"/>
      <c r="AC863" s="1218"/>
      <c r="AD863" s="1218"/>
      <c r="AE863" s="1218"/>
      <c r="AF863" s="1218"/>
      <c r="AG863" s="1218"/>
      <c r="AH863" s="1218"/>
      <c r="AI863" s="1218"/>
      <c r="AJ863" s="1218"/>
      <c r="AK863" s="1218"/>
      <c r="AL863" s="1218"/>
      <c r="AM863" s="1218"/>
      <c r="AN863" s="1218"/>
      <c r="AO863" s="1218"/>
      <c r="AP863" s="1218"/>
      <c r="AQ863" s="1218"/>
      <c r="AR863" s="1218"/>
      <c r="AS863" s="1218"/>
      <c r="AT863" s="1218"/>
      <c r="AU863" s="1218"/>
      <c r="AV863" s="1218"/>
      <c r="AW863" s="1218"/>
      <c r="AX863" s="1218"/>
      <c r="AY863" s="1218"/>
      <c r="AZ863" s="1218"/>
      <c r="BA863" s="1218"/>
      <c r="BB863" s="1218"/>
      <c r="BC863" s="1218"/>
      <c r="BD863" s="1218"/>
      <c r="BE863" s="1218"/>
      <c r="BF863" s="1218"/>
      <c r="BG863" s="1218"/>
      <c r="BH863" s="1218"/>
      <c r="BI863" s="1218"/>
      <c r="BJ863" s="1218"/>
      <c r="BK863" s="1218"/>
      <c r="BL863" s="1218"/>
      <c r="BM863" s="1218"/>
      <c r="BN863" s="1218"/>
      <c r="BO863" s="1218"/>
      <c r="BP863" s="1218"/>
      <c r="BQ863" s="1218"/>
      <c r="BR863" s="1218"/>
      <c r="BS863" s="1218"/>
      <c r="BT863" s="1218"/>
      <c r="BU863" s="1218"/>
      <c r="BV863" s="1218"/>
      <c r="BW863" s="1218"/>
      <c r="BX863" s="1218"/>
      <c r="BY863" s="1218"/>
      <c r="BZ863" s="1218"/>
      <c r="CA863" s="1218"/>
      <c r="CB863" s="1218"/>
      <c r="CC863" s="1218"/>
      <c r="CD863" s="1218"/>
      <c r="CE863" s="1218"/>
      <c r="CF863" s="1218"/>
      <c r="CG863" s="1218"/>
      <c r="CH863" s="1218"/>
      <c r="CI863" s="1218"/>
      <c r="CJ863" s="1218"/>
      <c r="CK863" s="1218"/>
      <c r="CL863" s="1218"/>
      <c r="CM863" s="1218"/>
      <c r="CN863" s="1218"/>
      <c r="CO863" s="1218"/>
      <c r="CP863" s="1218"/>
      <c r="CQ863" s="1218"/>
      <c r="CR863" s="1218"/>
      <c r="CS863" s="1218"/>
      <c r="CT863" s="1218"/>
      <c r="CU863" s="1218"/>
      <c r="CV863" s="1218"/>
      <c r="CW863" s="1218"/>
      <c r="CX863" s="1218"/>
      <c r="CY863" s="1218"/>
      <c r="CZ863" s="1218"/>
      <c r="DA863" s="1218"/>
      <c r="DB863" s="1218"/>
      <c r="DC863" s="1218"/>
      <c r="DD863" s="1218"/>
      <c r="DE863" s="1218"/>
      <c r="DF863" s="1218"/>
      <c r="DG863" s="1218"/>
      <c r="DH863" s="1218"/>
      <c r="DI863" s="1218"/>
      <c r="DJ863" s="1218"/>
      <c r="DK863" s="1218"/>
      <c r="DL863" s="1218"/>
      <c r="DM863" s="1218"/>
      <c r="DN863" s="1218"/>
      <c r="DO863" s="1218"/>
      <c r="DP863" s="1218"/>
      <c r="DQ863" s="1218"/>
      <c r="DR863" s="1218"/>
      <c r="DS863" s="1218"/>
      <c r="DT863" s="1218"/>
      <c r="DU863" s="1218"/>
      <c r="DV863" s="1218"/>
      <c r="DW863" s="1218"/>
      <c r="DX863" s="1218"/>
      <c r="DY863" s="1218"/>
      <c r="DZ863" s="1218"/>
      <c r="EA863" s="1218"/>
      <c r="EB863" s="1218"/>
      <c r="EC863" s="1218"/>
      <c r="ED863" s="1218"/>
      <c r="EE863" s="1218"/>
      <c r="EF863" s="1218"/>
      <c r="EG863" s="1218"/>
      <c r="EH863" s="1218"/>
      <c r="EI863" s="1218"/>
      <c r="EJ863" s="1218"/>
      <c r="EK863" s="1218"/>
      <c r="EL863" s="1218"/>
      <c r="EM863" s="1218"/>
      <c r="EN863" s="1218"/>
      <c r="EO863" s="1218"/>
      <c r="EP863" s="1218"/>
      <c r="EQ863" s="1218"/>
      <c r="ER863" s="1218"/>
      <c r="ES863" s="1218"/>
      <c r="ET863" s="1218"/>
      <c r="EU863" s="1218"/>
      <c r="EV863" s="1218"/>
      <c r="EW863" s="1218"/>
      <c r="EX863" s="1218"/>
      <c r="EY863" s="1218"/>
      <c r="EZ863" s="1218"/>
      <c r="FA863" s="1218"/>
      <c r="FB863" s="1218"/>
      <c r="FC863" s="1218"/>
      <c r="FD863" s="1218"/>
      <c r="FE863" s="1218"/>
      <c r="FF863" s="1218"/>
      <c r="FG863" s="1218"/>
      <c r="FH863" s="1218"/>
      <c r="FI863" s="1218"/>
      <c r="FJ863" s="1218"/>
      <c r="FK863" s="1218"/>
      <c r="FL863" s="1218"/>
      <c r="FM863" s="1218"/>
      <c r="FN863" s="1218"/>
      <c r="FO863" s="1218"/>
      <c r="FP863" s="1218"/>
      <c r="FQ863" s="1218"/>
      <c r="FR863" s="1218"/>
      <c r="FS863" s="1218"/>
      <c r="FT863" s="1218"/>
      <c r="FU863" s="1218"/>
      <c r="FV863" s="1218"/>
      <c r="FW863" s="1218"/>
      <c r="FX863" s="1218"/>
      <c r="FY863" s="1218"/>
      <c r="FZ863" s="1218"/>
      <c r="GA863" s="1218"/>
      <c r="GB863" s="1218"/>
      <c r="GC863" s="1218"/>
      <c r="GD863" s="1218"/>
      <c r="GE863" s="1218"/>
      <c r="GF863" s="1218"/>
      <c r="GG863" s="1218"/>
      <c r="GH863" s="1218"/>
      <c r="GI863" s="1218"/>
      <c r="GJ863" s="1218"/>
      <c r="GK863" s="1218"/>
      <c r="GL863" s="1218"/>
      <c r="GM863" s="1218"/>
      <c r="GN863" s="1218"/>
      <c r="GO863" s="1218"/>
      <c r="GP863" s="1218"/>
      <c r="GQ863" s="1218"/>
      <c r="GR863" s="1218"/>
      <c r="GS863" s="1218"/>
      <c r="GT863" s="1218"/>
      <c r="GU863" s="1218"/>
      <c r="GV863" s="1218"/>
      <c r="GW863" s="1218"/>
      <c r="GX863" s="1218"/>
      <c r="GY863" s="1218"/>
      <c r="GZ863" s="1218"/>
      <c r="HA863" s="1218"/>
      <c r="HB863" s="1218"/>
      <c r="HC863" s="1218"/>
      <c r="HD863" s="1218"/>
      <c r="HE863" s="1218"/>
      <c r="HF863" s="1218"/>
      <c r="HG863" s="1218"/>
      <c r="HH863" s="1218"/>
      <c r="HI863" s="1218"/>
      <c r="HJ863" s="1218"/>
      <c r="HK863" s="1218"/>
      <c r="HL863" s="1218"/>
      <c r="HM863" s="1218"/>
      <c r="HN863" s="1218"/>
      <c r="HO863" s="1218"/>
      <c r="HP863" s="1218"/>
      <c r="HQ863" s="1218"/>
      <c r="HR863" s="1218"/>
      <c r="HS863" s="1218"/>
      <c r="HT863" s="1218"/>
      <c r="HU863" s="1218"/>
      <c r="HV863" s="1218"/>
      <c r="HW863" s="1218"/>
      <c r="HX863" s="1218"/>
      <c r="HY863" s="1218"/>
      <c r="HZ863" s="1218"/>
      <c r="IA863" s="1218"/>
      <c r="IB863" s="1218"/>
      <c r="IC863" s="1218"/>
      <c r="ID863" s="1218"/>
      <c r="IE863" s="1218"/>
      <c r="IF863" s="1218"/>
      <c r="IG863" s="1218"/>
      <c r="IH863" s="1218"/>
      <c r="II863" s="1218"/>
      <c r="IJ863" s="1218"/>
      <c r="IK863" s="1218"/>
      <c r="IL863" s="1218"/>
      <c r="IM863" s="1218"/>
      <c r="IN863" s="1218"/>
    </row>
    <row r="864" spans="1:248" s="1312" customFormat="1" ht="14.1" customHeight="1">
      <c r="A864" s="1318"/>
      <c r="B864" s="1160" t="s">
        <v>3968</v>
      </c>
      <c r="C864" s="193" t="s">
        <v>4144</v>
      </c>
      <c r="D864" s="1314"/>
      <c r="G864" s="1218"/>
      <c r="H864" s="1218"/>
      <c r="I864" s="1218"/>
      <c r="J864" s="1218"/>
      <c r="K864" s="1218"/>
      <c r="L864" s="1218"/>
      <c r="M864" s="1218"/>
      <c r="N864" s="1218"/>
      <c r="O864" s="1218"/>
      <c r="P864" s="1218"/>
      <c r="Q864" s="1218"/>
      <c r="R864" s="1218"/>
      <c r="S864" s="1218"/>
      <c r="T864" s="1218"/>
      <c r="U864" s="1218"/>
      <c r="V864" s="1218"/>
      <c r="W864" s="1218"/>
      <c r="X864" s="1218"/>
      <c r="Y864" s="1218"/>
      <c r="Z864" s="1218"/>
      <c r="AA864" s="1218"/>
      <c r="AB864" s="1218"/>
      <c r="AC864" s="1218"/>
      <c r="AD864" s="1218"/>
      <c r="AE864" s="1218"/>
      <c r="AF864" s="1218"/>
      <c r="AG864" s="1218"/>
      <c r="AH864" s="1218"/>
      <c r="AI864" s="1218"/>
      <c r="AJ864" s="1218"/>
      <c r="AK864" s="1218"/>
      <c r="AL864" s="1218"/>
      <c r="AM864" s="1218"/>
      <c r="AN864" s="1218"/>
      <c r="AO864" s="1218"/>
      <c r="AP864" s="1218"/>
      <c r="AQ864" s="1218"/>
      <c r="AR864" s="1218"/>
      <c r="AS864" s="1218"/>
      <c r="AT864" s="1218"/>
      <c r="AU864" s="1218"/>
      <c r="AV864" s="1218"/>
      <c r="AW864" s="1218"/>
      <c r="AX864" s="1218"/>
      <c r="AY864" s="1218"/>
      <c r="AZ864" s="1218"/>
      <c r="BA864" s="1218"/>
      <c r="BB864" s="1218"/>
      <c r="BC864" s="1218"/>
      <c r="BD864" s="1218"/>
      <c r="BE864" s="1218"/>
      <c r="BF864" s="1218"/>
      <c r="BG864" s="1218"/>
      <c r="BH864" s="1218"/>
      <c r="BI864" s="1218"/>
      <c r="BJ864" s="1218"/>
      <c r="BK864" s="1218"/>
      <c r="BL864" s="1218"/>
      <c r="BM864" s="1218"/>
      <c r="BN864" s="1218"/>
      <c r="BO864" s="1218"/>
      <c r="BP864" s="1218"/>
      <c r="BQ864" s="1218"/>
      <c r="BR864" s="1218"/>
      <c r="BS864" s="1218"/>
      <c r="BT864" s="1218"/>
      <c r="BU864" s="1218"/>
      <c r="BV864" s="1218"/>
      <c r="BW864" s="1218"/>
      <c r="BX864" s="1218"/>
      <c r="BY864" s="1218"/>
      <c r="BZ864" s="1218"/>
      <c r="CA864" s="1218"/>
      <c r="CB864" s="1218"/>
      <c r="CC864" s="1218"/>
      <c r="CD864" s="1218"/>
      <c r="CE864" s="1218"/>
      <c r="CF864" s="1218"/>
      <c r="CG864" s="1218"/>
      <c r="CH864" s="1218"/>
      <c r="CI864" s="1218"/>
      <c r="CJ864" s="1218"/>
      <c r="CK864" s="1218"/>
      <c r="CL864" s="1218"/>
      <c r="CM864" s="1218"/>
      <c r="CN864" s="1218"/>
      <c r="CO864" s="1218"/>
      <c r="CP864" s="1218"/>
      <c r="CQ864" s="1218"/>
      <c r="CR864" s="1218"/>
      <c r="CS864" s="1218"/>
      <c r="CT864" s="1218"/>
      <c r="CU864" s="1218"/>
      <c r="CV864" s="1218"/>
      <c r="CW864" s="1218"/>
      <c r="CX864" s="1218"/>
      <c r="CY864" s="1218"/>
      <c r="CZ864" s="1218"/>
      <c r="DA864" s="1218"/>
      <c r="DB864" s="1218"/>
      <c r="DC864" s="1218"/>
      <c r="DD864" s="1218"/>
      <c r="DE864" s="1218"/>
      <c r="DF864" s="1218"/>
      <c r="DG864" s="1218"/>
      <c r="DH864" s="1218"/>
      <c r="DI864" s="1218"/>
      <c r="DJ864" s="1218"/>
      <c r="DK864" s="1218"/>
      <c r="DL864" s="1218"/>
      <c r="DM864" s="1218"/>
      <c r="DN864" s="1218"/>
      <c r="DO864" s="1218"/>
      <c r="DP864" s="1218"/>
      <c r="DQ864" s="1218"/>
      <c r="DR864" s="1218"/>
      <c r="DS864" s="1218"/>
      <c r="DT864" s="1218"/>
      <c r="DU864" s="1218"/>
      <c r="DV864" s="1218"/>
      <c r="DW864" s="1218"/>
      <c r="DX864" s="1218"/>
      <c r="DY864" s="1218"/>
      <c r="DZ864" s="1218"/>
      <c r="EA864" s="1218"/>
      <c r="EB864" s="1218"/>
      <c r="EC864" s="1218"/>
      <c r="ED864" s="1218"/>
      <c r="EE864" s="1218"/>
      <c r="EF864" s="1218"/>
      <c r="EG864" s="1218"/>
      <c r="EH864" s="1218"/>
      <c r="EI864" s="1218"/>
      <c r="EJ864" s="1218"/>
      <c r="EK864" s="1218"/>
      <c r="EL864" s="1218"/>
      <c r="EM864" s="1218"/>
      <c r="EN864" s="1218"/>
      <c r="EO864" s="1218"/>
      <c r="EP864" s="1218"/>
      <c r="EQ864" s="1218"/>
      <c r="ER864" s="1218"/>
      <c r="ES864" s="1218"/>
      <c r="ET864" s="1218"/>
      <c r="EU864" s="1218"/>
      <c r="EV864" s="1218"/>
      <c r="EW864" s="1218"/>
      <c r="EX864" s="1218"/>
      <c r="EY864" s="1218"/>
      <c r="EZ864" s="1218"/>
      <c r="FA864" s="1218"/>
      <c r="FB864" s="1218"/>
      <c r="FC864" s="1218"/>
      <c r="FD864" s="1218"/>
      <c r="FE864" s="1218"/>
      <c r="FF864" s="1218"/>
      <c r="FG864" s="1218"/>
      <c r="FH864" s="1218"/>
      <c r="FI864" s="1218"/>
      <c r="FJ864" s="1218"/>
      <c r="FK864" s="1218"/>
      <c r="FL864" s="1218"/>
      <c r="FM864" s="1218"/>
      <c r="FN864" s="1218"/>
      <c r="FO864" s="1218"/>
      <c r="FP864" s="1218"/>
      <c r="FQ864" s="1218"/>
      <c r="FR864" s="1218"/>
      <c r="FS864" s="1218"/>
      <c r="FT864" s="1218"/>
      <c r="FU864" s="1218"/>
      <c r="FV864" s="1218"/>
      <c r="FW864" s="1218"/>
      <c r="FX864" s="1218"/>
      <c r="FY864" s="1218"/>
      <c r="FZ864" s="1218"/>
      <c r="GA864" s="1218"/>
      <c r="GB864" s="1218"/>
      <c r="GC864" s="1218"/>
      <c r="GD864" s="1218"/>
      <c r="GE864" s="1218"/>
      <c r="GF864" s="1218"/>
      <c r="GG864" s="1218"/>
      <c r="GH864" s="1218"/>
      <c r="GI864" s="1218"/>
      <c r="GJ864" s="1218"/>
      <c r="GK864" s="1218"/>
      <c r="GL864" s="1218"/>
      <c r="GM864" s="1218"/>
      <c r="GN864" s="1218"/>
      <c r="GO864" s="1218"/>
      <c r="GP864" s="1218"/>
      <c r="GQ864" s="1218"/>
      <c r="GR864" s="1218"/>
      <c r="GS864" s="1218"/>
      <c r="GT864" s="1218"/>
      <c r="GU864" s="1218"/>
      <c r="GV864" s="1218"/>
      <c r="GW864" s="1218"/>
      <c r="GX864" s="1218"/>
      <c r="GY864" s="1218"/>
      <c r="GZ864" s="1218"/>
      <c r="HA864" s="1218"/>
      <c r="HB864" s="1218"/>
      <c r="HC864" s="1218"/>
      <c r="HD864" s="1218"/>
      <c r="HE864" s="1218"/>
      <c r="HF864" s="1218"/>
      <c r="HG864" s="1218"/>
      <c r="HH864" s="1218"/>
      <c r="HI864" s="1218"/>
      <c r="HJ864" s="1218"/>
      <c r="HK864" s="1218"/>
      <c r="HL864" s="1218"/>
      <c r="HM864" s="1218"/>
      <c r="HN864" s="1218"/>
      <c r="HO864" s="1218"/>
      <c r="HP864" s="1218"/>
      <c r="HQ864" s="1218"/>
      <c r="HR864" s="1218"/>
      <c r="HS864" s="1218"/>
      <c r="HT864" s="1218"/>
      <c r="HU864" s="1218"/>
      <c r="HV864" s="1218"/>
      <c r="HW864" s="1218"/>
      <c r="HX864" s="1218"/>
      <c r="HY864" s="1218"/>
      <c r="HZ864" s="1218"/>
      <c r="IA864" s="1218"/>
      <c r="IB864" s="1218"/>
      <c r="IC864" s="1218"/>
      <c r="ID864" s="1218"/>
      <c r="IE864" s="1218"/>
      <c r="IF864" s="1218"/>
      <c r="IG864" s="1218"/>
      <c r="IH864" s="1218"/>
      <c r="II864" s="1218"/>
      <c r="IJ864" s="1218"/>
      <c r="IK864" s="1218"/>
      <c r="IL864" s="1218"/>
      <c r="IM864" s="1218"/>
      <c r="IN864" s="1218"/>
    </row>
    <row r="865" spans="1:248" s="1312" customFormat="1" ht="14.1" customHeight="1">
      <c r="A865" s="1318"/>
      <c r="B865" s="1313"/>
      <c r="C865" s="193" t="s">
        <v>4145</v>
      </c>
      <c r="D865" s="841"/>
      <c r="G865" s="1218"/>
      <c r="H865" s="1218"/>
      <c r="I865" s="1218"/>
      <c r="J865" s="1218"/>
      <c r="K865" s="1218"/>
      <c r="L865" s="1218"/>
      <c r="M865" s="1218"/>
      <c r="N865" s="1218"/>
      <c r="O865" s="1218"/>
      <c r="P865" s="1218"/>
      <c r="Q865" s="1218"/>
      <c r="R865" s="1218"/>
      <c r="S865" s="1218"/>
      <c r="T865" s="1218"/>
      <c r="U865" s="1218"/>
      <c r="V865" s="1218"/>
      <c r="W865" s="1218"/>
      <c r="X865" s="1218"/>
      <c r="Y865" s="1218"/>
      <c r="Z865" s="1218"/>
      <c r="AA865" s="1218"/>
      <c r="AB865" s="1218"/>
      <c r="AC865" s="1218"/>
      <c r="AD865" s="1218"/>
      <c r="AE865" s="1218"/>
      <c r="AF865" s="1218"/>
      <c r="AG865" s="1218"/>
      <c r="AH865" s="1218"/>
      <c r="AI865" s="1218"/>
      <c r="AJ865" s="1218"/>
      <c r="AK865" s="1218"/>
      <c r="AL865" s="1218"/>
      <c r="AM865" s="1218"/>
      <c r="AN865" s="1218"/>
      <c r="AO865" s="1218"/>
      <c r="AP865" s="1218"/>
      <c r="AQ865" s="1218"/>
      <c r="AR865" s="1218"/>
      <c r="AS865" s="1218"/>
      <c r="AT865" s="1218"/>
      <c r="AU865" s="1218"/>
      <c r="AV865" s="1218"/>
      <c r="AW865" s="1218"/>
      <c r="AX865" s="1218"/>
      <c r="AY865" s="1218"/>
      <c r="AZ865" s="1218"/>
      <c r="BA865" s="1218"/>
      <c r="BB865" s="1218"/>
      <c r="BC865" s="1218"/>
      <c r="BD865" s="1218"/>
      <c r="BE865" s="1218"/>
      <c r="BF865" s="1218"/>
      <c r="BG865" s="1218"/>
      <c r="BH865" s="1218"/>
      <c r="BI865" s="1218"/>
      <c r="BJ865" s="1218"/>
      <c r="BK865" s="1218"/>
      <c r="BL865" s="1218"/>
      <c r="BM865" s="1218"/>
      <c r="BN865" s="1218"/>
      <c r="BO865" s="1218"/>
      <c r="BP865" s="1218"/>
      <c r="BQ865" s="1218"/>
      <c r="BR865" s="1218"/>
      <c r="BS865" s="1218"/>
      <c r="BT865" s="1218"/>
      <c r="BU865" s="1218"/>
      <c r="BV865" s="1218"/>
      <c r="BW865" s="1218"/>
      <c r="BX865" s="1218"/>
      <c r="BY865" s="1218"/>
      <c r="BZ865" s="1218"/>
      <c r="CA865" s="1218"/>
      <c r="CB865" s="1218"/>
      <c r="CC865" s="1218"/>
      <c r="CD865" s="1218"/>
      <c r="CE865" s="1218"/>
      <c r="CF865" s="1218"/>
      <c r="CG865" s="1218"/>
      <c r="CH865" s="1218"/>
      <c r="CI865" s="1218"/>
      <c r="CJ865" s="1218"/>
      <c r="CK865" s="1218"/>
      <c r="CL865" s="1218"/>
      <c r="CM865" s="1218"/>
      <c r="CN865" s="1218"/>
      <c r="CO865" s="1218"/>
      <c r="CP865" s="1218"/>
      <c r="CQ865" s="1218"/>
      <c r="CR865" s="1218"/>
      <c r="CS865" s="1218"/>
      <c r="CT865" s="1218"/>
      <c r="CU865" s="1218"/>
      <c r="CV865" s="1218"/>
      <c r="CW865" s="1218"/>
      <c r="CX865" s="1218"/>
      <c r="CY865" s="1218"/>
      <c r="CZ865" s="1218"/>
      <c r="DA865" s="1218"/>
      <c r="DB865" s="1218"/>
      <c r="DC865" s="1218"/>
      <c r="DD865" s="1218"/>
      <c r="DE865" s="1218"/>
      <c r="DF865" s="1218"/>
      <c r="DG865" s="1218"/>
      <c r="DH865" s="1218"/>
      <c r="DI865" s="1218"/>
      <c r="DJ865" s="1218"/>
      <c r="DK865" s="1218"/>
      <c r="DL865" s="1218"/>
      <c r="DM865" s="1218"/>
      <c r="DN865" s="1218"/>
      <c r="DO865" s="1218"/>
      <c r="DP865" s="1218"/>
      <c r="DQ865" s="1218"/>
      <c r="DR865" s="1218"/>
      <c r="DS865" s="1218"/>
      <c r="DT865" s="1218"/>
      <c r="DU865" s="1218"/>
      <c r="DV865" s="1218"/>
      <c r="DW865" s="1218"/>
      <c r="DX865" s="1218"/>
      <c r="DY865" s="1218"/>
      <c r="DZ865" s="1218"/>
      <c r="EA865" s="1218"/>
      <c r="EB865" s="1218"/>
      <c r="EC865" s="1218"/>
      <c r="ED865" s="1218"/>
      <c r="EE865" s="1218"/>
      <c r="EF865" s="1218"/>
      <c r="EG865" s="1218"/>
      <c r="EH865" s="1218"/>
      <c r="EI865" s="1218"/>
      <c r="EJ865" s="1218"/>
      <c r="EK865" s="1218"/>
      <c r="EL865" s="1218"/>
      <c r="EM865" s="1218"/>
      <c r="EN865" s="1218"/>
      <c r="EO865" s="1218"/>
      <c r="EP865" s="1218"/>
      <c r="EQ865" s="1218"/>
      <c r="ER865" s="1218"/>
      <c r="ES865" s="1218"/>
      <c r="ET865" s="1218"/>
      <c r="EU865" s="1218"/>
      <c r="EV865" s="1218"/>
      <c r="EW865" s="1218"/>
      <c r="EX865" s="1218"/>
      <c r="EY865" s="1218"/>
      <c r="EZ865" s="1218"/>
      <c r="FA865" s="1218"/>
      <c r="FB865" s="1218"/>
      <c r="FC865" s="1218"/>
      <c r="FD865" s="1218"/>
      <c r="FE865" s="1218"/>
      <c r="FF865" s="1218"/>
      <c r="FG865" s="1218"/>
      <c r="FH865" s="1218"/>
      <c r="FI865" s="1218"/>
      <c r="FJ865" s="1218"/>
      <c r="FK865" s="1218"/>
      <c r="FL865" s="1218"/>
      <c r="FM865" s="1218"/>
      <c r="FN865" s="1218"/>
      <c r="FO865" s="1218"/>
      <c r="FP865" s="1218"/>
      <c r="FQ865" s="1218"/>
      <c r="FR865" s="1218"/>
      <c r="FS865" s="1218"/>
      <c r="FT865" s="1218"/>
      <c r="FU865" s="1218"/>
      <c r="FV865" s="1218"/>
      <c r="FW865" s="1218"/>
      <c r="FX865" s="1218"/>
      <c r="FY865" s="1218"/>
      <c r="FZ865" s="1218"/>
      <c r="GA865" s="1218"/>
      <c r="GB865" s="1218"/>
      <c r="GC865" s="1218"/>
      <c r="GD865" s="1218"/>
      <c r="GE865" s="1218"/>
      <c r="GF865" s="1218"/>
      <c r="GG865" s="1218"/>
      <c r="GH865" s="1218"/>
      <c r="GI865" s="1218"/>
      <c r="GJ865" s="1218"/>
      <c r="GK865" s="1218"/>
      <c r="GL865" s="1218"/>
      <c r="GM865" s="1218"/>
      <c r="GN865" s="1218"/>
      <c r="GO865" s="1218"/>
      <c r="GP865" s="1218"/>
      <c r="GQ865" s="1218"/>
      <c r="GR865" s="1218"/>
      <c r="GS865" s="1218"/>
      <c r="GT865" s="1218"/>
      <c r="GU865" s="1218"/>
      <c r="GV865" s="1218"/>
      <c r="GW865" s="1218"/>
      <c r="GX865" s="1218"/>
      <c r="GY865" s="1218"/>
      <c r="GZ865" s="1218"/>
      <c r="HA865" s="1218"/>
      <c r="HB865" s="1218"/>
      <c r="HC865" s="1218"/>
      <c r="HD865" s="1218"/>
      <c r="HE865" s="1218"/>
      <c r="HF865" s="1218"/>
      <c r="HG865" s="1218"/>
      <c r="HH865" s="1218"/>
      <c r="HI865" s="1218"/>
      <c r="HJ865" s="1218"/>
      <c r="HK865" s="1218"/>
      <c r="HL865" s="1218"/>
      <c r="HM865" s="1218"/>
      <c r="HN865" s="1218"/>
      <c r="HO865" s="1218"/>
      <c r="HP865" s="1218"/>
      <c r="HQ865" s="1218"/>
      <c r="HR865" s="1218"/>
      <c r="HS865" s="1218"/>
      <c r="HT865" s="1218"/>
      <c r="HU865" s="1218"/>
      <c r="HV865" s="1218"/>
      <c r="HW865" s="1218"/>
      <c r="HX865" s="1218"/>
      <c r="HY865" s="1218"/>
      <c r="HZ865" s="1218"/>
      <c r="IA865" s="1218"/>
      <c r="IB865" s="1218"/>
      <c r="IC865" s="1218"/>
      <c r="ID865" s="1218"/>
      <c r="IE865" s="1218"/>
      <c r="IF865" s="1218"/>
      <c r="IG865" s="1218"/>
      <c r="IH865" s="1218"/>
      <c r="II865" s="1218"/>
      <c r="IJ865" s="1218"/>
      <c r="IK865" s="1218"/>
      <c r="IL865" s="1218"/>
      <c r="IM865" s="1218"/>
      <c r="IN865" s="1218"/>
    </row>
    <row r="866" spans="1:248" s="1312" customFormat="1" ht="14.1" customHeight="1">
      <c r="A866" s="1318"/>
      <c r="B866" s="1313"/>
      <c r="C866" s="1320"/>
      <c r="D866" s="1314"/>
      <c r="G866" s="1218"/>
      <c r="H866" s="1218"/>
      <c r="I866" s="1218"/>
      <c r="J866" s="1218"/>
      <c r="K866" s="1218"/>
      <c r="L866" s="1218"/>
      <c r="M866" s="1218"/>
      <c r="N866" s="1218"/>
      <c r="O866" s="1218"/>
      <c r="P866" s="1218"/>
      <c r="Q866" s="1218"/>
      <c r="R866" s="1218"/>
      <c r="S866" s="1218"/>
      <c r="T866" s="1218"/>
      <c r="U866" s="1218"/>
      <c r="V866" s="1218"/>
      <c r="W866" s="1218"/>
      <c r="X866" s="1218"/>
      <c r="Y866" s="1218"/>
      <c r="Z866" s="1218"/>
      <c r="AA866" s="1218"/>
      <c r="AB866" s="1218"/>
      <c r="AC866" s="1218"/>
      <c r="AD866" s="1218"/>
      <c r="AE866" s="1218"/>
      <c r="AF866" s="1218"/>
      <c r="AG866" s="1218"/>
      <c r="AH866" s="1218"/>
      <c r="AI866" s="1218"/>
      <c r="AJ866" s="1218"/>
      <c r="AK866" s="1218"/>
      <c r="AL866" s="1218"/>
      <c r="AM866" s="1218"/>
      <c r="AN866" s="1218"/>
      <c r="AO866" s="1218"/>
      <c r="AP866" s="1218"/>
      <c r="AQ866" s="1218"/>
      <c r="AR866" s="1218"/>
      <c r="AS866" s="1218"/>
      <c r="AT866" s="1218"/>
      <c r="AU866" s="1218"/>
      <c r="AV866" s="1218"/>
      <c r="AW866" s="1218"/>
      <c r="AX866" s="1218"/>
      <c r="AY866" s="1218"/>
      <c r="AZ866" s="1218"/>
      <c r="BA866" s="1218"/>
      <c r="BB866" s="1218"/>
      <c r="BC866" s="1218"/>
      <c r="BD866" s="1218"/>
      <c r="BE866" s="1218"/>
      <c r="BF866" s="1218"/>
      <c r="BG866" s="1218"/>
      <c r="BH866" s="1218"/>
      <c r="BI866" s="1218"/>
      <c r="BJ866" s="1218"/>
      <c r="BK866" s="1218"/>
      <c r="BL866" s="1218"/>
      <c r="BM866" s="1218"/>
      <c r="BN866" s="1218"/>
      <c r="BO866" s="1218"/>
      <c r="BP866" s="1218"/>
      <c r="BQ866" s="1218"/>
      <c r="BR866" s="1218"/>
      <c r="BS866" s="1218"/>
      <c r="BT866" s="1218"/>
      <c r="BU866" s="1218"/>
      <c r="BV866" s="1218"/>
      <c r="BW866" s="1218"/>
      <c r="BX866" s="1218"/>
      <c r="BY866" s="1218"/>
      <c r="BZ866" s="1218"/>
      <c r="CA866" s="1218"/>
      <c r="CB866" s="1218"/>
      <c r="CC866" s="1218"/>
      <c r="CD866" s="1218"/>
      <c r="CE866" s="1218"/>
      <c r="CF866" s="1218"/>
      <c r="CG866" s="1218"/>
      <c r="CH866" s="1218"/>
      <c r="CI866" s="1218"/>
      <c r="CJ866" s="1218"/>
      <c r="CK866" s="1218"/>
      <c r="CL866" s="1218"/>
      <c r="CM866" s="1218"/>
      <c r="CN866" s="1218"/>
      <c r="CO866" s="1218"/>
      <c r="CP866" s="1218"/>
      <c r="CQ866" s="1218"/>
      <c r="CR866" s="1218"/>
      <c r="CS866" s="1218"/>
      <c r="CT866" s="1218"/>
      <c r="CU866" s="1218"/>
      <c r="CV866" s="1218"/>
      <c r="CW866" s="1218"/>
      <c r="CX866" s="1218"/>
      <c r="CY866" s="1218"/>
      <c r="CZ866" s="1218"/>
      <c r="DA866" s="1218"/>
      <c r="DB866" s="1218"/>
      <c r="DC866" s="1218"/>
      <c r="DD866" s="1218"/>
      <c r="DE866" s="1218"/>
      <c r="DF866" s="1218"/>
      <c r="DG866" s="1218"/>
      <c r="DH866" s="1218"/>
      <c r="DI866" s="1218"/>
      <c r="DJ866" s="1218"/>
      <c r="DK866" s="1218"/>
      <c r="DL866" s="1218"/>
      <c r="DM866" s="1218"/>
      <c r="DN866" s="1218"/>
      <c r="DO866" s="1218"/>
      <c r="DP866" s="1218"/>
      <c r="DQ866" s="1218"/>
      <c r="DR866" s="1218"/>
      <c r="DS866" s="1218"/>
      <c r="DT866" s="1218"/>
      <c r="DU866" s="1218"/>
      <c r="DV866" s="1218"/>
      <c r="DW866" s="1218"/>
      <c r="DX866" s="1218"/>
      <c r="DY866" s="1218"/>
      <c r="DZ866" s="1218"/>
      <c r="EA866" s="1218"/>
      <c r="EB866" s="1218"/>
      <c r="EC866" s="1218"/>
      <c r="ED866" s="1218"/>
      <c r="EE866" s="1218"/>
      <c r="EF866" s="1218"/>
      <c r="EG866" s="1218"/>
      <c r="EH866" s="1218"/>
      <c r="EI866" s="1218"/>
      <c r="EJ866" s="1218"/>
      <c r="EK866" s="1218"/>
      <c r="EL866" s="1218"/>
      <c r="EM866" s="1218"/>
      <c r="EN866" s="1218"/>
      <c r="EO866" s="1218"/>
      <c r="EP866" s="1218"/>
      <c r="EQ866" s="1218"/>
      <c r="ER866" s="1218"/>
      <c r="ES866" s="1218"/>
      <c r="ET866" s="1218"/>
      <c r="EU866" s="1218"/>
      <c r="EV866" s="1218"/>
      <c r="EW866" s="1218"/>
      <c r="EX866" s="1218"/>
      <c r="EY866" s="1218"/>
      <c r="EZ866" s="1218"/>
      <c r="FA866" s="1218"/>
      <c r="FB866" s="1218"/>
      <c r="FC866" s="1218"/>
      <c r="FD866" s="1218"/>
      <c r="FE866" s="1218"/>
      <c r="FF866" s="1218"/>
      <c r="FG866" s="1218"/>
      <c r="FH866" s="1218"/>
      <c r="FI866" s="1218"/>
      <c r="FJ866" s="1218"/>
      <c r="FK866" s="1218"/>
      <c r="FL866" s="1218"/>
      <c r="FM866" s="1218"/>
      <c r="FN866" s="1218"/>
      <c r="FO866" s="1218"/>
      <c r="FP866" s="1218"/>
      <c r="FQ866" s="1218"/>
      <c r="FR866" s="1218"/>
      <c r="FS866" s="1218"/>
      <c r="FT866" s="1218"/>
      <c r="FU866" s="1218"/>
      <c r="FV866" s="1218"/>
      <c r="FW866" s="1218"/>
      <c r="FX866" s="1218"/>
      <c r="FY866" s="1218"/>
      <c r="FZ866" s="1218"/>
      <c r="GA866" s="1218"/>
      <c r="GB866" s="1218"/>
      <c r="GC866" s="1218"/>
      <c r="GD866" s="1218"/>
      <c r="GE866" s="1218"/>
      <c r="GF866" s="1218"/>
      <c r="GG866" s="1218"/>
      <c r="GH866" s="1218"/>
      <c r="GI866" s="1218"/>
      <c r="GJ866" s="1218"/>
      <c r="GK866" s="1218"/>
      <c r="GL866" s="1218"/>
      <c r="GM866" s="1218"/>
      <c r="GN866" s="1218"/>
      <c r="GO866" s="1218"/>
      <c r="GP866" s="1218"/>
      <c r="GQ866" s="1218"/>
      <c r="GR866" s="1218"/>
      <c r="GS866" s="1218"/>
      <c r="GT866" s="1218"/>
      <c r="GU866" s="1218"/>
      <c r="GV866" s="1218"/>
      <c r="GW866" s="1218"/>
      <c r="GX866" s="1218"/>
      <c r="GY866" s="1218"/>
      <c r="GZ866" s="1218"/>
      <c r="HA866" s="1218"/>
      <c r="HB866" s="1218"/>
      <c r="HC866" s="1218"/>
      <c r="HD866" s="1218"/>
      <c r="HE866" s="1218"/>
      <c r="HF866" s="1218"/>
      <c r="HG866" s="1218"/>
      <c r="HH866" s="1218"/>
      <c r="HI866" s="1218"/>
      <c r="HJ866" s="1218"/>
      <c r="HK866" s="1218"/>
      <c r="HL866" s="1218"/>
      <c r="HM866" s="1218"/>
      <c r="HN866" s="1218"/>
      <c r="HO866" s="1218"/>
      <c r="HP866" s="1218"/>
      <c r="HQ866" s="1218"/>
      <c r="HR866" s="1218"/>
      <c r="HS866" s="1218"/>
      <c r="HT866" s="1218"/>
      <c r="HU866" s="1218"/>
      <c r="HV866" s="1218"/>
      <c r="HW866" s="1218"/>
      <c r="HX866" s="1218"/>
      <c r="HY866" s="1218"/>
      <c r="HZ866" s="1218"/>
      <c r="IA866" s="1218"/>
      <c r="IB866" s="1218"/>
      <c r="IC866" s="1218"/>
      <c r="ID866" s="1218"/>
      <c r="IE866" s="1218"/>
      <c r="IF866" s="1218"/>
      <c r="IG866" s="1218"/>
      <c r="IH866" s="1218"/>
      <c r="II866" s="1218"/>
      <c r="IJ866" s="1218"/>
      <c r="IK866" s="1218"/>
      <c r="IL866" s="1218"/>
      <c r="IM866" s="1218"/>
      <c r="IN866" s="1218"/>
    </row>
    <row r="867" spans="1:248" s="1312" customFormat="1" ht="14.1" customHeight="1">
      <c r="A867" s="1318"/>
      <c r="B867" s="1160" t="s">
        <v>3969</v>
      </c>
      <c r="C867" s="1325" t="s">
        <v>4146</v>
      </c>
      <c r="D867" s="1314"/>
      <c r="G867" s="1218"/>
      <c r="H867" s="1218"/>
      <c r="I867" s="1218"/>
      <c r="J867" s="1218"/>
      <c r="K867" s="1218"/>
      <c r="L867" s="1218"/>
      <c r="M867" s="1218"/>
      <c r="N867" s="1218"/>
      <c r="O867" s="1218"/>
      <c r="P867" s="1218"/>
      <c r="Q867" s="1218"/>
      <c r="R867" s="1218"/>
      <c r="S867" s="1218"/>
      <c r="T867" s="1218"/>
      <c r="U867" s="1218"/>
      <c r="V867" s="1218"/>
      <c r="W867" s="1218"/>
      <c r="X867" s="1218"/>
      <c r="Y867" s="1218"/>
      <c r="Z867" s="1218"/>
      <c r="AA867" s="1218"/>
      <c r="AB867" s="1218"/>
      <c r="AC867" s="1218"/>
      <c r="AD867" s="1218"/>
      <c r="AE867" s="1218"/>
      <c r="AF867" s="1218"/>
      <c r="AG867" s="1218"/>
      <c r="AH867" s="1218"/>
      <c r="AI867" s="1218"/>
      <c r="AJ867" s="1218"/>
      <c r="AK867" s="1218"/>
      <c r="AL867" s="1218"/>
      <c r="AM867" s="1218"/>
      <c r="AN867" s="1218"/>
      <c r="AO867" s="1218"/>
      <c r="AP867" s="1218"/>
      <c r="AQ867" s="1218"/>
      <c r="AR867" s="1218"/>
      <c r="AS867" s="1218"/>
      <c r="AT867" s="1218"/>
      <c r="AU867" s="1218"/>
      <c r="AV867" s="1218"/>
      <c r="AW867" s="1218"/>
      <c r="AX867" s="1218"/>
      <c r="AY867" s="1218"/>
      <c r="AZ867" s="1218"/>
      <c r="BA867" s="1218"/>
      <c r="BB867" s="1218"/>
      <c r="BC867" s="1218"/>
      <c r="BD867" s="1218"/>
      <c r="BE867" s="1218"/>
      <c r="BF867" s="1218"/>
      <c r="BG867" s="1218"/>
      <c r="BH867" s="1218"/>
      <c r="BI867" s="1218"/>
      <c r="BJ867" s="1218"/>
      <c r="BK867" s="1218"/>
      <c r="BL867" s="1218"/>
      <c r="BM867" s="1218"/>
      <c r="BN867" s="1218"/>
      <c r="BO867" s="1218"/>
      <c r="BP867" s="1218"/>
      <c r="BQ867" s="1218"/>
      <c r="BR867" s="1218"/>
      <c r="BS867" s="1218"/>
      <c r="BT867" s="1218"/>
      <c r="BU867" s="1218"/>
      <c r="BV867" s="1218"/>
      <c r="BW867" s="1218"/>
      <c r="BX867" s="1218"/>
      <c r="BY867" s="1218"/>
      <c r="BZ867" s="1218"/>
      <c r="CA867" s="1218"/>
      <c r="CB867" s="1218"/>
      <c r="CC867" s="1218"/>
      <c r="CD867" s="1218"/>
      <c r="CE867" s="1218"/>
      <c r="CF867" s="1218"/>
      <c r="CG867" s="1218"/>
      <c r="CH867" s="1218"/>
      <c r="CI867" s="1218"/>
      <c r="CJ867" s="1218"/>
      <c r="CK867" s="1218"/>
      <c r="CL867" s="1218"/>
      <c r="CM867" s="1218"/>
      <c r="CN867" s="1218"/>
      <c r="CO867" s="1218"/>
      <c r="CP867" s="1218"/>
      <c r="CQ867" s="1218"/>
      <c r="CR867" s="1218"/>
      <c r="CS867" s="1218"/>
      <c r="CT867" s="1218"/>
      <c r="CU867" s="1218"/>
      <c r="CV867" s="1218"/>
      <c r="CW867" s="1218"/>
      <c r="CX867" s="1218"/>
      <c r="CY867" s="1218"/>
      <c r="CZ867" s="1218"/>
      <c r="DA867" s="1218"/>
      <c r="DB867" s="1218"/>
      <c r="DC867" s="1218"/>
      <c r="DD867" s="1218"/>
      <c r="DE867" s="1218"/>
      <c r="DF867" s="1218"/>
      <c r="DG867" s="1218"/>
      <c r="DH867" s="1218"/>
      <c r="DI867" s="1218"/>
      <c r="DJ867" s="1218"/>
      <c r="DK867" s="1218"/>
      <c r="DL867" s="1218"/>
      <c r="DM867" s="1218"/>
      <c r="DN867" s="1218"/>
      <c r="DO867" s="1218"/>
      <c r="DP867" s="1218"/>
      <c r="DQ867" s="1218"/>
      <c r="DR867" s="1218"/>
      <c r="DS867" s="1218"/>
      <c r="DT867" s="1218"/>
      <c r="DU867" s="1218"/>
      <c r="DV867" s="1218"/>
      <c r="DW867" s="1218"/>
      <c r="DX867" s="1218"/>
      <c r="DY867" s="1218"/>
      <c r="DZ867" s="1218"/>
      <c r="EA867" s="1218"/>
      <c r="EB867" s="1218"/>
      <c r="EC867" s="1218"/>
      <c r="ED867" s="1218"/>
      <c r="EE867" s="1218"/>
      <c r="EF867" s="1218"/>
      <c r="EG867" s="1218"/>
      <c r="EH867" s="1218"/>
      <c r="EI867" s="1218"/>
      <c r="EJ867" s="1218"/>
      <c r="EK867" s="1218"/>
      <c r="EL867" s="1218"/>
      <c r="EM867" s="1218"/>
      <c r="EN867" s="1218"/>
      <c r="EO867" s="1218"/>
      <c r="EP867" s="1218"/>
      <c r="EQ867" s="1218"/>
      <c r="ER867" s="1218"/>
      <c r="ES867" s="1218"/>
      <c r="ET867" s="1218"/>
      <c r="EU867" s="1218"/>
      <c r="EV867" s="1218"/>
      <c r="EW867" s="1218"/>
      <c r="EX867" s="1218"/>
      <c r="EY867" s="1218"/>
      <c r="EZ867" s="1218"/>
      <c r="FA867" s="1218"/>
      <c r="FB867" s="1218"/>
      <c r="FC867" s="1218"/>
      <c r="FD867" s="1218"/>
      <c r="FE867" s="1218"/>
      <c r="FF867" s="1218"/>
      <c r="FG867" s="1218"/>
      <c r="FH867" s="1218"/>
      <c r="FI867" s="1218"/>
      <c r="FJ867" s="1218"/>
      <c r="FK867" s="1218"/>
      <c r="FL867" s="1218"/>
      <c r="FM867" s="1218"/>
      <c r="FN867" s="1218"/>
      <c r="FO867" s="1218"/>
      <c r="FP867" s="1218"/>
      <c r="FQ867" s="1218"/>
      <c r="FR867" s="1218"/>
      <c r="FS867" s="1218"/>
      <c r="FT867" s="1218"/>
      <c r="FU867" s="1218"/>
      <c r="FV867" s="1218"/>
      <c r="FW867" s="1218"/>
      <c r="FX867" s="1218"/>
      <c r="FY867" s="1218"/>
      <c r="FZ867" s="1218"/>
      <c r="GA867" s="1218"/>
      <c r="GB867" s="1218"/>
      <c r="GC867" s="1218"/>
      <c r="GD867" s="1218"/>
      <c r="GE867" s="1218"/>
      <c r="GF867" s="1218"/>
      <c r="GG867" s="1218"/>
      <c r="GH867" s="1218"/>
      <c r="GI867" s="1218"/>
      <c r="GJ867" s="1218"/>
      <c r="GK867" s="1218"/>
      <c r="GL867" s="1218"/>
      <c r="GM867" s="1218"/>
      <c r="GN867" s="1218"/>
      <c r="GO867" s="1218"/>
      <c r="GP867" s="1218"/>
      <c r="GQ867" s="1218"/>
      <c r="GR867" s="1218"/>
      <c r="GS867" s="1218"/>
      <c r="GT867" s="1218"/>
      <c r="GU867" s="1218"/>
      <c r="GV867" s="1218"/>
      <c r="GW867" s="1218"/>
      <c r="GX867" s="1218"/>
      <c r="GY867" s="1218"/>
      <c r="GZ867" s="1218"/>
      <c r="HA867" s="1218"/>
      <c r="HB867" s="1218"/>
      <c r="HC867" s="1218"/>
      <c r="HD867" s="1218"/>
      <c r="HE867" s="1218"/>
      <c r="HF867" s="1218"/>
      <c r="HG867" s="1218"/>
      <c r="HH867" s="1218"/>
      <c r="HI867" s="1218"/>
      <c r="HJ867" s="1218"/>
      <c r="HK867" s="1218"/>
      <c r="HL867" s="1218"/>
      <c r="HM867" s="1218"/>
      <c r="HN867" s="1218"/>
      <c r="HO867" s="1218"/>
      <c r="HP867" s="1218"/>
      <c r="HQ867" s="1218"/>
      <c r="HR867" s="1218"/>
      <c r="HS867" s="1218"/>
      <c r="HT867" s="1218"/>
      <c r="HU867" s="1218"/>
      <c r="HV867" s="1218"/>
      <c r="HW867" s="1218"/>
      <c r="HX867" s="1218"/>
      <c r="HY867" s="1218"/>
      <c r="HZ867" s="1218"/>
      <c r="IA867" s="1218"/>
      <c r="IB867" s="1218"/>
      <c r="IC867" s="1218"/>
      <c r="ID867" s="1218"/>
      <c r="IE867" s="1218"/>
      <c r="IF867" s="1218"/>
      <c r="IG867" s="1218"/>
      <c r="IH867" s="1218"/>
      <c r="II867" s="1218"/>
      <c r="IJ867" s="1218"/>
      <c r="IK867" s="1218"/>
      <c r="IL867" s="1218"/>
      <c r="IM867" s="1218"/>
      <c r="IN867" s="1218"/>
    </row>
    <row r="868" spans="1:248" s="1312" customFormat="1" ht="14.1" customHeight="1">
      <c r="A868" s="1318"/>
      <c r="B868" s="1324"/>
      <c r="C868" s="1325" t="s">
        <v>4147</v>
      </c>
      <c r="D868" s="1314"/>
      <c r="G868" s="1218"/>
      <c r="H868" s="1218"/>
      <c r="I868" s="1218"/>
      <c r="J868" s="1218"/>
      <c r="K868" s="1218"/>
      <c r="L868" s="1218"/>
      <c r="M868" s="1218"/>
      <c r="N868" s="1218"/>
      <c r="O868" s="1218"/>
      <c r="P868" s="1218"/>
      <c r="Q868" s="1218"/>
      <c r="R868" s="1218"/>
      <c r="S868" s="1218"/>
      <c r="T868" s="1218"/>
      <c r="U868" s="1218"/>
      <c r="V868" s="1218"/>
      <c r="W868" s="1218"/>
      <c r="X868" s="1218"/>
      <c r="Y868" s="1218"/>
      <c r="Z868" s="1218"/>
      <c r="AA868" s="1218"/>
      <c r="AB868" s="1218"/>
      <c r="AC868" s="1218"/>
      <c r="AD868" s="1218"/>
      <c r="AE868" s="1218"/>
      <c r="AF868" s="1218"/>
      <c r="AG868" s="1218"/>
      <c r="AH868" s="1218"/>
      <c r="AI868" s="1218"/>
      <c r="AJ868" s="1218"/>
      <c r="AK868" s="1218"/>
      <c r="AL868" s="1218"/>
      <c r="AM868" s="1218"/>
      <c r="AN868" s="1218"/>
      <c r="AO868" s="1218"/>
      <c r="AP868" s="1218"/>
      <c r="AQ868" s="1218"/>
      <c r="AR868" s="1218"/>
      <c r="AS868" s="1218"/>
      <c r="AT868" s="1218"/>
      <c r="AU868" s="1218"/>
      <c r="AV868" s="1218"/>
      <c r="AW868" s="1218"/>
      <c r="AX868" s="1218"/>
      <c r="AY868" s="1218"/>
      <c r="AZ868" s="1218"/>
      <c r="BA868" s="1218"/>
      <c r="BB868" s="1218"/>
      <c r="BC868" s="1218"/>
      <c r="BD868" s="1218"/>
      <c r="BE868" s="1218"/>
      <c r="BF868" s="1218"/>
      <c r="BG868" s="1218"/>
      <c r="BH868" s="1218"/>
      <c r="BI868" s="1218"/>
      <c r="BJ868" s="1218"/>
      <c r="BK868" s="1218"/>
      <c r="BL868" s="1218"/>
      <c r="BM868" s="1218"/>
      <c r="BN868" s="1218"/>
      <c r="BO868" s="1218"/>
      <c r="BP868" s="1218"/>
      <c r="BQ868" s="1218"/>
      <c r="BR868" s="1218"/>
      <c r="BS868" s="1218"/>
      <c r="BT868" s="1218"/>
      <c r="BU868" s="1218"/>
      <c r="BV868" s="1218"/>
      <c r="BW868" s="1218"/>
      <c r="BX868" s="1218"/>
      <c r="BY868" s="1218"/>
      <c r="BZ868" s="1218"/>
      <c r="CA868" s="1218"/>
      <c r="CB868" s="1218"/>
      <c r="CC868" s="1218"/>
      <c r="CD868" s="1218"/>
      <c r="CE868" s="1218"/>
      <c r="CF868" s="1218"/>
      <c r="CG868" s="1218"/>
      <c r="CH868" s="1218"/>
      <c r="CI868" s="1218"/>
      <c r="CJ868" s="1218"/>
      <c r="CK868" s="1218"/>
      <c r="CL868" s="1218"/>
      <c r="CM868" s="1218"/>
      <c r="CN868" s="1218"/>
      <c r="CO868" s="1218"/>
      <c r="CP868" s="1218"/>
      <c r="CQ868" s="1218"/>
      <c r="CR868" s="1218"/>
      <c r="CS868" s="1218"/>
      <c r="CT868" s="1218"/>
      <c r="CU868" s="1218"/>
      <c r="CV868" s="1218"/>
      <c r="CW868" s="1218"/>
      <c r="CX868" s="1218"/>
      <c r="CY868" s="1218"/>
      <c r="CZ868" s="1218"/>
      <c r="DA868" s="1218"/>
      <c r="DB868" s="1218"/>
      <c r="DC868" s="1218"/>
      <c r="DD868" s="1218"/>
      <c r="DE868" s="1218"/>
      <c r="DF868" s="1218"/>
      <c r="DG868" s="1218"/>
      <c r="DH868" s="1218"/>
      <c r="DI868" s="1218"/>
      <c r="DJ868" s="1218"/>
      <c r="DK868" s="1218"/>
      <c r="DL868" s="1218"/>
      <c r="DM868" s="1218"/>
      <c r="DN868" s="1218"/>
      <c r="DO868" s="1218"/>
      <c r="DP868" s="1218"/>
      <c r="DQ868" s="1218"/>
      <c r="DR868" s="1218"/>
      <c r="DS868" s="1218"/>
      <c r="DT868" s="1218"/>
      <c r="DU868" s="1218"/>
      <c r="DV868" s="1218"/>
      <c r="DW868" s="1218"/>
      <c r="DX868" s="1218"/>
      <c r="DY868" s="1218"/>
      <c r="DZ868" s="1218"/>
      <c r="EA868" s="1218"/>
      <c r="EB868" s="1218"/>
      <c r="EC868" s="1218"/>
      <c r="ED868" s="1218"/>
      <c r="EE868" s="1218"/>
      <c r="EF868" s="1218"/>
      <c r="EG868" s="1218"/>
      <c r="EH868" s="1218"/>
      <c r="EI868" s="1218"/>
      <c r="EJ868" s="1218"/>
      <c r="EK868" s="1218"/>
      <c r="EL868" s="1218"/>
      <c r="EM868" s="1218"/>
      <c r="EN868" s="1218"/>
      <c r="EO868" s="1218"/>
      <c r="EP868" s="1218"/>
      <c r="EQ868" s="1218"/>
      <c r="ER868" s="1218"/>
      <c r="ES868" s="1218"/>
      <c r="ET868" s="1218"/>
      <c r="EU868" s="1218"/>
      <c r="EV868" s="1218"/>
      <c r="EW868" s="1218"/>
      <c r="EX868" s="1218"/>
      <c r="EY868" s="1218"/>
      <c r="EZ868" s="1218"/>
      <c r="FA868" s="1218"/>
      <c r="FB868" s="1218"/>
      <c r="FC868" s="1218"/>
      <c r="FD868" s="1218"/>
      <c r="FE868" s="1218"/>
      <c r="FF868" s="1218"/>
      <c r="FG868" s="1218"/>
      <c r="FH868" s="1218"/>
      <c r="FI868" s="1218"/>
      <c r="FJ868" s="1218"/>
      <c r="FK868" s="1218"/>
      <c r="FL868" s="1218"/>
      <c r="FM868" s="1218"/>
      <c r="FN868" s="1218"/>
      <c r="FO868" s="1218"/>
      <c r="FP868" s="1218"/>
      <c r="FQ868" s="1218"/>
      <c r="FR868" s="1218"/>
      <c r="FS868" s="1218"/>
      <c r="FT868" s="1218"/>
      <c r="FU868" s="1218"/>
      <c r="FV868" s="1218"/>
      <c r="FW868" s="1218"/>
      <c r="FX868" s="1218"/>
      <c r="FY868" s="1218"/>
      <c r="FZ868" s="1218"/>
      <c r="GA868" s="1218"/>
      <c r="GB868" s="1218"/>
      <c r="GC868" s="1218"/>
      <c r="GD868" s="1218"/>
      <c r="GE868" s="1218"/>
      <c r="GF868" s="1218"/>
      <c r="GG868" s="1218"/>
      <c r="GH868" s="1218"/>
      <c r="GI868" s="1218"/>
      <c r="GJ868" s="1218"/>
      <c r="GK868" s="1218"/>
      <c r="GL868" s="1218"/>
      <c r="GM868" s="1218"/>
      <c r="GN868" s="1218"/>
      <c r="GO868" s="1218"/>
      <c r="GP868" s="1218"/>
      <c r="GQ868" s="1218"/>
      <c r="GR868" s="1218"/>
      <c r="GS868" s="1218"/>
      <c r="GT868" s="1218"/>
      <c r="GU868" s="1218"/>
      <c r="GV868" s="1218"/>
      <c r="GW868" s="1218"/>
      <c r="GX868" s="1218"/>
      <c r="GY868" s="1218"/>
      <c r="GZ868" s="1218"/>
      <c r="HA868" s="1218"/>
      <c r="HB868" s="1218"/>
      <c r="HC868" s="1218"/>
      <c r="HD868" s="1218"/>
      <c r="HE868" s="1218"/>
      <c r="HF868" s="1218"/>
      <c r="HG868" s="1218"/>
      <c r="HH868" s="1218"/>
      <c r="HI868" s="1218"/>
      <c r="HJ868" s="1218"/>
      <c r="HK868" s="1218"/>
      <c r="HL868" s="1218"/>
      <c r="HM868" s="1218"/>
      <c r="HN868" s="1218"/>
      <c r="HO868" s="1218"/>
      <c r="HP868" s="1218"/>
      <c r="HQ868" s="1218"/>
      <c r="HR868" s="1218"/>
      <c r="HS868" s="1218"/>
      <c r="HT868" s="1218"/>
      <c r="HU868" s="1218"/>
      <c r="HV868" s="1218"/>
      <c r="HW868" s="1218"/>
      <c r="HX868" s="1218"/>
      <c r="HY868" s="1218"/>
      <c r="HZ868" s="1218"/>
      <c r="IA868" s="1218"/>
      <c r="IB868" s="1218"/>
      <c r="IC868" s="1218"/>
      <c r="ID868" s="1218"/>
      <c r="IE868" s="1218"/>
      <c r="IF868" s="1218"/>
      <c r="IG868" s="1218"/>
      <c r="IH868" s="1218"/>
      <c r="II868" s="1218"/>
      <c r="IJ868" s="1218"/>
      <c r="IK868" s="1218"/>
      <c r="IL868" s="1218"/>
      <c r="IM868" s="1218"/>
      <c r="IN868" s="1218"/>
    </row>
    <row r="869" spans="1:248" s="1312" customFormat="1" ht="14.1" customHeight="1">
      <c r="A869" s="1318"/>
      <c r="B869" s="1313"/>
      <c r="C869" s="1143"/>
      <c r="D869" s="1314"/>
      <c r="G869" s="1218"/>
      <c r="H869" s="1218"/>
      <c r="I869" s="1218"/>
      <c r="J869" s="1218"/>
      <c r="K869" s="1218"/>
      <c r="L869" s="1218"/>
      <c r="M869" s="1218"/>
      <c r="N869" s="1218"/>
      <c r="O869" s="1218"/>
      <c r="P869" s="1218"/>
      <c r="Q869" s="1218"/>
      <c r="R869" s="1218"/>
      <c r="S869" s="1218"/>
      <c r="T869" s="1218"/>
      <c r="U869" s="1218"/>
      <c r="V869" s="1218"/>
      <c r="W869" s="1218"/>
      <c r="X869" s="1218"/>
      <c r="Y869" s="1218"/>
      <c r="Z869" s="1218"/>
      <c r="AA869" s="1218"/>
      <c r="AB869" s="1218"/>
      <c r="AC869" s="1218"/>
      <c r="AD869" s="1218"/>
      <c r="AE869" s="1218"/>
      <c r="AF869" s="1218"/>
      <c r="AG869" s="1218"/>
      <c r="AH869" s="1218"/>
      <c r="AI869" s="1218"/>
      <c r="AJ869" s="1218"/>
      <c r="AK869" s="1218"/>
      <c r="AL869" s="1218"/>
      <c r="AM869" s="1218"/>
      <c r="AN869" s="1218"/>
      <c r="AO869" s="1218"/>
      <c r="AP869" s="1218"/>
      <c r="AQ869" s="1218"/>
      <c r="AR869" s="1218"/>
      <c r="AS869" s="1218"/>
      <c r="AT869" s="1218"/>
      <c r="AU869" s="1218"/>
      <c r="AV869" s="1218"/>
      <c r="AW869" s="1218"/>
      <c r="AX869" s="1218"/>
      <c r="AY869" s="1218"/>
      <c r="AZ869" s="1218"/>
      <c r="BA869" s="1218"/>
      <c r="BB869" s="1218"/>
      <c r="BC869" s="1218"/>
      <c r="BD869" s="1218"/>
      <c r="BE869" s="1218"/>
      <c r="BF869" s="1218"/>
      <c r="BG869" s="1218"/>
      <c r="BH869" s="1218"/>
      <c r="BI869" s="1218"/>
      <c r="BJ869" s="1218"/>
      <c r="BK869" s="1218"/>
      <c r="BL869" s="1218"/>
      <c r="BM869" s="1218"/>
      <c r="BN869" s="1218"/>
      <c r="BO869" s="1218"/>
      <c r="BP869" s="1218"/>
      <c r="BQ869" s="1218"/>
      <c r="BR869" s="1218"/>
      <c r="BS869" s="1218"/>
      <c r="BT869" s="1218"/>
      <c r="BU869" s="1218"/>
      <c r="BV869" s="1218"/>
      <c r="BW869" s="1218"/>
      <c r="BX869" s="1218"/>
      <c r="BY869" s="1218"/>
      <c r="BZ869" s="1218"/>
      <c r="CA869" s="1218"/>
      <c r="CB869" s="1218"/>
      <c r="CC869" s="1218"/>
      <c r="CD869" s="1218"/>
      <c r="CE869" s="1218"/>
      <c r="CF869" s="1218"/>
      <c r="CG869" s="1218"/>
      <c r="CH869" s="1218"/>
      <c r="CI869" s="1218"/>
      <c r="CJ869" s="1218"/>
      <c r="CK869" s="1218"/>
      <c r="CL869" s="1218"/>
      <c r="CM869" s="1218"/>
      <c r="CN869" s="1218"/>
      <c r="CO869" s="1218"/>
      <c r="CP869" s="1218"/>
      <c r="CQ869" s="1218"/>
      <c r="CR869" s="1218"/>
      <c r="CS869" s="1218"/>
      <c r="CT869" s="1218"/>
      <c r="CU869" s="1218"/>
      <c r="CV869" s="1218"/>
      <c r="CW869" s="1218"/>
      <c r="CX869" s="1218"/>
      <c r="CY869" s="1218"/>
      <c r="CZ869" s="1218"/>
      <c r="DA869" s="1218"/>
      <c r="DB869" s="1218"/>
      <c r="DC869" s="1218"/>
      <c r="DD869" s="1218"/>
      <c r="DE869" s="1218"/>
      <c r="DF869" s="1218"/>
      <c r="DG869" s="1218"/>
      <c r="DH869" s="1218"/>
      <c r="DI869" s="1218"/>
      <c r="DJ869" s="1218"/>
      <c r="DK869" s="1218"/>
      <c r="DL869" s="1218"/>
      <c r="DM869" s="1218"/>
      <c r="DN869" s="1218"/>
      <c r="DO869" s="1218"/>
      <c r="DP869" s="1218"/>
      <c r="DQ869" s="1218"/>
      <c r="DR869" s="1218"/>
      <c r="DS869" s="1218"/>
      <c r="DT869" s="1218"/>
      <c r="DU869" s="1218"/>
      <c r="DV869" s="1218"/>
      <c r="DW869" s="1218"/>
      <c r="DX869" s="1218"/>
      <c r="DY869" s="1218"/>
      <c r="DZ869" s="1218"/>
      <c r="EA869" s="1218"/>
      <c r="EB869" s="1218"/>
      <c r="EC869" s="1218"/>
      <c r="ED869" s="1218"/>
      <c r="EE869" s="1218"/>
      <c r="EF869" s="1218"/>
      <c r="EG869" s="1218"/>
      <c r="EH869" s="1218"/>
      <c r="EI869" s="1218"/>
      <c r="EJ869" s="1218"/>
      <c r="EK869" s="1218"/>
      <c r="EL869" s="1218"/>
      <c r="EM869" s="1218"/>
      <c r="EN869" s="1218"/>
      <c r="EO869" s="1218"/>
      <c r="EP869" s="1218"/>
      <c r="EQ869" s="1218"/>
      <c r="ER869" s="1218"/>
      <c r="ES869" s="1218"/>
      <c r="ET869" s="1218"/>
      <c r="EU869" s="1218"/>
      <c r="EV869" s="1218"/>
      <c r="EW869" s="1218"/>
      <c r="EX869" s="1218"/>
      <c r="EY869" s="1218"/>
      <c r="EZ869" s="1218"/>
      <c r="FA869" s="1218"/>
      <c r="FB869" s="1218"/>
      <c r="FC869" s="1218"/>
      <c r="FD869" s="1218"/>
      <c r="FE869" s="1218"/>
      <c r="FF869" s="1218"/>
      <c r="FG869" s="1218"/>
      <c r="FH869" s="1218"/>
      <c r="FI869" s="1218"/>
      <c r="FJ869" s="1218"/>
      <c r="FK869" s="1218"/>
      <c r="FL869" s="1218"/>
      <c r="FM869" s="1218"/>
      <c r="FN869" s="1218"/>
      <c r="FO869" s="1218"/>
      <c r="FP869" s="1218"/>
      <c r="FQ869" s="1218"/>
      <c r="FR869" s="1218"/>
      <c r="FS869" s="1218"/>
      <c r="FT869" s="1218"/>
      <c r="FU869" s="1218"/>
      <c r="FV869" s="1218"/>
      <c r="FW869" s="1218"/>
      <c r="FX869" s="1218"/>
      <c r="FY869" s="1218"/>
      <c r="FZ869" s="1218"/>
      <c r="GA869" s="1218"/>
      <c r="GB869" s="1218"/>
      <c r="GC869" s="1218"/>
      <c r="GD869" s="1218"/>
      <c r="GE869" s="1218"/>
      <c r="GF869" s="1218"/>
      <c r="GG869" s="1218"/>
      <c r="GH869" s="1218"/>
      <c r="GI869" s="1218"/>
      <c r="GJ869" s="1218"/>
      <c r="GK869" s="1218"/>
      <c r="GL869" s="1218"/>
      <c r="GM869" s="1218"/>
      <c r="GN869" s="1218"/>
      <c r="GO869" s="1218"/>
      <c r="GP869" s="1218"/>
      <c r="GQ869" s="1218"/>
      <c r="GR869" s="1218"/>
      <c r="GS869" s="1218"/>
      <c r="GT869" s="1218"/>
      <c r="GU869" s="1218"/>
      <c r="GV869" s="1218"/>
      <c r="GW869" s="1218"/>
      <c r="GX869" s="1218"/>
      <c r="GY869" s="1218"/>
      <c r="GZ869" s="1218"/>
      <c r="HA869" s="1218"/>
      <c r="HB869" s="1218"/>
      <c r="HC869" s="1218"/>
      <c r="HD869" s="1218"/>
      <c r="HE869" s="1218"/>
      <c r="HF869" s="1218"/>
      <c r="HG869" s="1218"/>
      <c r="HH869" s="1218"/>
      <c r="HI869" s="1218"/>
      <c r="HJ869" s="1218"/>
      <c r="HK869" s="1218"/>
      <c r="HL869" s="1218"/>
      <c r="HM869" s="1218"/>
      <c r="HN869" s="1218"/>
      <c r="HO869" s="1218"/>
      <c r="HP869" s="1218"/>
      <c r="HQ869" s="1218"/>
      <c r="HR869" s="1218"/>
      <c r="HS869" s="1218"/>
      <c r="HT869" s="1218"/>
      <c r="HU869" s="1218"/>
      <c r="HV869" s="1218"/>
      <c r="HW869" s="1218"/>
      <c r="HX869" s="1218"/>
      <c r="HY869" s="1218"/>
      <c r="HZ869" s="1218"/>
      <c r="IA869" s="1218"/>
      <c r="IB869" s="1218"/>
      <c r="IC869" s="1218"/>
      <c r="ID869" s="1218"/>
      <c r="IE869" s="1218"/>
      <c r="IF869" s="1218"/>
      <c r="IG869" s="1218"/>
      <c r="IH869" s="1218"/>
      <c r="II869" s="1218"/>
      <c r="IJ869" s="1218"/>
      <c r="IK869" s="1218"/>
      <c r="IL869" s="1218"/>
      <c r="IM869" s="1218"/>
      <c r="IN869" s="1218"/>
    </row>
    <row r="870" spans="1:248" s="1312" customFormat="1" ht="14.1" customHeight="1">
      <c r="A870" s="1318"/>
      <c r="B870" s="1160" t="s">
        <v>3970</v>
      </c>
      <c r="C870" s="1326" t="s">
        <v>4148</v>
      </c>
      <c r="D870" s="1314"/>
      <c r="G870" s="1218"/>
      <c r="H870" s="1218"/>
      <c r="I870" s="1218"/>
      <c r="J870" s="1218"/>
      <c r="K870" s="1218"/>
      <c r="L870" s="1218"/>
      <c r="M870" s="1218"/>
      <c r="N870" s="1218"/>
      <c r="O870" s="1218"/>
      <c r="P870" s="1218"/>
      <c r="Q870" s="1218"/>
      <c r="R870" s="1218"/>
      <c r="S870" s="1218"/>
      <c r="T870" s="1218"/>
      <c r="U870" s="1218"/>
      <c r="V870" s="1218"/>
      <c r="W870" s="1218"/>
      <c r="X870" s="1218"/>
      <c r="Y870" s="1218"/>
      <c r="Z870" s="1218"/>
      <c r="AA870" s="1218"/>
      <c r="AB870" s="1218"/>
      <c r="AC870" s="1218"/>
      <c r="AD870" s="1218"/>
      <c r="AE870" s="1218"/>
      <c r="AF870" s="1218"/>
      <c r="AG870" s="1218"/>
      <c r="AH870" s="1218"/>
      <c r="AI870" s="1218"/>
      <c r="AJ870" s="1218"/>
      <c r="AK870" s="1218"/>
      <c r="AL870" s="1218"/>
      <c r="AM870" s="1218"/>
      <c r="AN870" s="1218"/>
      <c r="AO870" s="1218"/>
      <c r="AP870" s="1218"/>
      <c r="AQ870" s="1218"/>
      <c r="AR870" s="1218"/>
      <c r="AS870" s="1218"/>
      <c r="AT870" s="1218"/>
      <c r="AU870" s="1218"/>
      <c r="AV870" s="1218"/>
      <c r="AW870" s="1218"/>
      <c r="AX870" s="1218"/>
      <c r="AY870" s="1218"/>
      <c r="AZ870" s="1218"/>
      <c r="BA870" s="1218"/>
      <c r="BB870" s="1218"/>
      <c r="BC870" s="1218"/>
      <c r="BD870" s="1218"/>
      <c r="BE870" s="1218"/>
      <c r="BF870" s="1218"/>
      <c r="BG870" s="1218"/>
      <c r="BH870" s="1218"/>
      <c r="BI870" s="1218"/>
      <c r="BJ870" s="1218"/>
      <c r="BK870" s="1218"/>
      <c r="BL870" s="1218"/>
      <c r="BM870" s="1218"/>
      <c r="BN870" s="1218"/>
      <c r="BO870" s="1218"/>
      <c r="BP870" s="1218"/>
      <c r="BQ870" s="1218"/>
      <c r="BR870" s="1218"/>
      <c r="BS870" s="1218"/>
      <c r="BT870" s="1218"/>
      <c r="BU870" s="1218"/>
      <c r="BV870" s="1218"/>
      <c r="BW870" s="1218"/>
      <c r="BX870" s="1218"/>
      <c r="BY870" s="1218"/>
      <c r="BZ870" s="1218"/>
      <c r="CA870" s="1218"/>
      <c r="CB870" s="1218"/>
      <c r="CC870" s="1218"/>
      <c r="CD870" s="1218"/>
      <c r="CE870" s="1218"/>
      <c r="CF870" s="1218"/>
      <c r="CG870" s="1218"/>
      <c r="CH870" s="1218"/>
      <c r="CI870" s="1218"/>
      <c r="CJ870" s="1218"/>
      <c r="CK870" s="1218"/>
      <c r="CL870" s="1218"/>
      <c r="CM870" s="1218"/>
      <c r="CN870" s="1218"/>
      <c r="CO870" s="1218"/>
      <c r="CP870" s="1218"/>
      <c r="CQ870" s="1218"/>
      <c r="CR870" s="1218"/>
      <c r="CS870" s="1218"/>
      <c r="CT870" s="1218"/>
      <c r="CU870" s="1218"/>
      <c r="CV870" s="1218"/>
      <c r="CW870" s="1218"/>
      <c r="CX870" s="1218"/>
      <c r="CY870" s="1218"/>
      <c r="CZ870" s="1218"/>
      <c r="DA870" s="1218"/>
      <c r="DB870" s="1218"/>
      <c r="DC870" s="1218"/>
      <c r="DD870" s="1218"/>
      <c r="DE870" s="1218"/>
      <c r="DF870" s="1218"/>
      <c r="DG870" s="1218"/>
      <c r="DH870" s="1218"/>
      <c r="DI870" s="1218"/>
      <c r="DJ870" s="1218"/>
      <c r="DK870" s="1218"/>
      <c r="DL870" s="1218"/>
      <c r="DM870" s="1218"/>
      <c r="DN870" s="1218"/>
      <c r="DO870" s="1218"/>
      <c r="DP870" s="1218"/>
      <c r="DQ870" s="1218"/>
      <c r="DR870" s="1218"/>
      <c r="DS870" s="1218"/>
      <c r="DT870" s="1218"/>
      <c r="DU870" s="1218"/>
      <c r="DV870" s="1218"/>
      <c r="DW870" s="1218"/>
      <c r="DX870" s="1218"/>
      <c r="DY870" s="1218"/>
      <c r="DZ870" s="1218"/>
      <c r="EA870" s="1218"/>
      <c r="EB870" s="1218"/>
      <c r="EC870" s="1218"/>
      <c r="ED870" s="1218"/>
      <c r="EE870" s="1218"/>
      <c r="EF870" s="1218"/>
      <c r="EG870" s="1218"/>
      <c r="EH870" s="1218"/>
      <c r="EI870" s="1218"/>
      <c r="EJ870" s="1218"/>
      <c r="EK870" s="1218"/>
      <c r="EL870" s="1218"/>
      <c r="EM870" s="1218"/>
      <c r="EN870" s="1218"/>
      <c r="EO870" s="1218"/>
      <c r="EP870" s="1218"/>
      <c r="EQ870" s="1218"/>
      <c r="ER870" s="1218"/>
      <c r="ES870" s="1218"/>
      <c r="ET870" s="1218"/>
      <c r="EU870" s="1218"/>
      <c r="EV870" s="1218"/>
      <c r="EW870" s="1218"/>
      <c r="EX870" s="1218"/>
      <c r="EY870" s="1218"/>
      <c r="EZ870" s="1218"/>
      <c r="FA870" s="1218"/>
      <c r="FB870" s="1218"/>
      <c r="FC870" s="1218"/>
      <c r="FD870" s="1218"/>
      <c r="FE870" s="1218"/>
      <c r="FF870" s="1218"/>
      <c r="FG870" s="1218"/>
      <c r="FH870" s="1218"/>
      <c r="FI870" s="1218"/>
      <c r="FJ870" s="1218"/>
      <c r="FK870" s="1218"/>
      <c r="FL870" s="1218"/>
      <c r="FM870" s="1218"/>
      <c r="FN870" s="1218"/>
      <c r="FO870" s="1218"/>
      <c r="FP870" s="1218"/>
      <c r="FQ870" s="1218"/>
      <c r="FR870" s="1218"/>
      <c r="FS870" s="1218"/>
      <c r="FT870" s="1218"/>
      <c r="FU870" s="1218"/>
      <c r="FV870" s="1218"/>
      <c r="FW870" s="1218"/>
      <c r="FX870" s="1218"/>
      <c r="FY870" s="1218"/>
      <c r="FZ870" s="1218"/>
      <c r="GA870" s="1218"/>
      <c r="GB870" s="1218"/>
      <c r="GC870" s="1218"/>
      <c r="GD870" s="1218"/>
      <c r="GE870" s="1218"/>
      <c r="GF870" s="1218"/>
      <c r="GG870" s="1218"/>
      <c r="GH870" s="1218"/>
      <c r="GI870" s="1218"/>
      <c r="GJ870" s="1218"/>
      <c r="GK870" s="1218"/>
      <c r="GL870" s="1218"/>
      <c r="GM870" s="1218"/>
      <c r="GN870" s="1218"/>
      <c r="GO870" s="1218"/>
      <c r="GP870" s="1218"/>
      <c r="GQ870" s="1218"/>
      <c r="GR870" s="1218"/>
      <c r="GS870" s="1218"/>
      <c r="GT870" s="1218"/>
      <c r="GU870" s="1218"/>
      <c r="GV870" s="1218"/>
      <c r="GW870" s="1218"/>
      <c r="GX870" s="1218"/>
      <c r="GY870" s="1218"/>
      <c r="GZ870" s="1218"/>
      <c r="HA870" s="1218"/>
      <c r="HB870" s="1218"/>
      <c r="HC870" s="1218"/>
      <c r="HD870" s="1218"/>
      <c r="HE870" s="1218"/>
      <c r="HF870" s="1218"/>
      <c r="HG870" s="1218"/>
      <c r="HH870" s="1218"/>
      <c r="HI870" s="1218"/>
      <c r="HJ870" s="1218"/>
      <c r="HK870" s="1218"/>
      <c r="HL870" s="1218"/>
      <c r="HM870" s="1218"/>
      <c r="HN870" s="1218"/>
      <c r="HO870" s="1218"/>
      <c r="HP870" s="1218"/>
      <c r="HQ870" s="1218"/>
      <c r="HR870" s="1218"/>
      <c r="HS870" s="1218"/>
      <c r="HT870" s="1218"/>
      <c r="HU870" s="1218"/>
      <c r="HV870" s="1218"/>
      <c r="HW870" s="1218"/>
      <c r="HX870" s="1218"/>
      <c r="HY870" s="1218"/>
      <c r="HZ870" s="1218"/>
      <c r="IA870" s="1218"/>
      <c r="IB870" s="1218"/>
      <c r="IC870" s="1218"/>
      <c r="ID870" s="1218"/>
      <c r="IE870" s="1218"/>
      <c r="IF870" s="1218"/>
      <c r="IG870" s="1218"/>
      <c r="IH870" s="1218"/>
      <c r="II870" s="1218"/>
      <c r="IJ870" s="1218"/>
      <c r="IK870" s="1218"/>
      <c r="IL870" s="1218"/>
      <c r="IM870" s="1218"/>
      <c r="IN870" s="1218"/>
    </row>
    <row r="871" spans="1:248" s="1312" customFormat="1" ht="14.1" customHeight="1">
      <c r="A871" s="1318"/>
      <c r="B871" s="1313"/>
      <c r="C871" s="1326" t="s">
        <v>4149</v>
      </c>
      <c r="D871" s="1314"/>
      <c r="G871" s="1218"/>
      <c r="H871" s="1218"/>
      <c r="I871" s="1218"/>
      <c r="J871" s="1218"/>
      <c r="K871" s="1218"/>
      <c r="L871" s="1218"/>
      <c r="M871" s="1218"/>
      <c r="N871" s="1218"/>
      <c r="O871" s="1218"/>
      <c r="P871" s="1218"/>
      <c r="Q871" s="1218"/>
      <c r="R871" s="1218"/>
      <c r="S871" s="1218"/>
      <c r="T871" s="1218"/>
      <c r="U871" s="1218"/>
      <c r="V871" s="1218"/>
      <c r="W871" s="1218"/>
      <c r="X871" s="1218"/>
      <c r="Y871" s="1218"/>
      <c r="Z871" s="1218"/>
      <c r="AA871" s="1218"/>
      <c r="AB871" s="1218"/>
      <c r="AC871" s="1218"/>
      <c r="AD871" s="1218"/>
      <c r="AE871" s="1218"/>
      <c r="AF871" s="1218"/>
      <c r="AG871" s="1218"/>
      <c r="AH871" s="1218"/>
      <c r="AI871" s="1218"/>
      <c r="AJ871" s="1218"/>
      <c r="AK871" s="1218"/>
      <c r="AL871" s="1218"/>
      <c r="AM871" s="1218"/>
      <c r="AN871" s="1218"/>
      <c r="AO871" s="1218"/>
      <c r="AP871" s="1218"/>
      <c r="AQ871" s="1218"/>
      <c r="AR871" s="1218"/>
      <c r="AS871" s="1218"/>
      <c r="AT871" s="1218"/>
      <c r="AU871" s="1218"/>
      <c r="AV871" s="1218"/>
      <c r="AW871" s="1218"/>
      <c r="AX871" s="1218"/>
      <c r="AY871" s="1218"/>
      <c r="AZ871" s="1218"/>
      <c r="BA871" s="1218"/>
      <c r="BB871" s="1218"/>
      <c r="BC871" s="1218"/>
      <c r="BD871" s="1218"/>
      <c r="BE871" s="1218"/>
      <c r="BF871" s="1218"/>
      <c r="BG871" s="1218"/>
      <c r="BH871" s="1218"/>
      <c r="BI871" s="1218"/>
      <c r="BJ871" s="1218"/>
      <c r="BK871" s="1218"/>
      <c r="BL871" s="1218"/>
      <c r="BM871" s="1218"/>
      <c r="BN871" s="1218"/>
      <c r="BO871" s="1218"/>
      <c r="BP871" s="1218"/>
      <c r="BQ871" s="1218"/>
      <c r="BR871" s="1218"/>
      <c r="BS871" s="1218"/>
      <c r="BT871" s="1218"/>
      <c r="BU871" s="1218"/>
      <c r="BV871" s="1218"/>
      <c r="BW871" s="1218"/>
      <c r="BX871" s="1218"/>
      <c r="BY871" s="1218"/>
      <c r="BZ871" s="1218"/>
      <c r="CA871" s="1218"/>
      <c r="CB871" s="1218"/>
      <c r="CC871" s="1218"/>
      <c r="CD871" s="1218"/>
      <c r="CE871" s="1218"/>
      <c r="CF871" s="1218"/>
      <c r="CG871" s="1218"/>
      <c r="CH871" s="1218"/>
      <c r="CI871" s="1218"/>
      <c r="CJ871" s="1218"/>
      <c r="CK871" s="1218"/>
      <c r="CL871" s="1218"/>
      <c r="CM871" s="1218"/>
      <c r="CN871" s="1218"/>
      <c r="CO871" s="1218"/>
      <c r="CP871" s="1218"/>
      <c r="CQ871" s="1218"/>
      <c r="CR871" s="1218"/>
      <c r="CS871" s="1218"/>
      <c r="CT871" s="1218"/>
      <c r="CU871" s="1218"/>
      <c r="CV871" s="1218"/>
      <c r="CW871" s="1218"/>
      <c r="CX871" s="1218"/>
      <c r="CY871" s="1218"/>
      <c r="CZ871" s="1218"/>
      <c r="DA871" s="1218"/>
      <c r="DB871" s="1218"/>
      <c r="DC871" s="1218"/>
      <c r="DD871" s="1218"/>
      <c r="DE871" s="1218"/>
      <c r="DF871" s="1218"/>
      <c r="DG871" s="1218"/>
      <c r="DH871" s="1218"/>
      <c r="DI871" s="1218"/>
      <c r="DJ871" s="1218"/>
      <c r="DK871" s="1218"/>
      <c r="DL871" s="1218"/>
      <c r="DM871" s="1218"/>
      <c r="DN871" s="1218"/>
      <c r="DO871" s="1218"/>
      <c r="DP871" s="1218"/>
      <c r="DQ871" s="1218"/>
      <c r="DR871" s="1218"/>
      <c r="DS871" s="1218"/>
      <c r="DT871" s="1218"/>
      <c r="DU871" s="1218"/>
      <c r="DV871" s="1218"/>
      <c r="DW871" s="1218"/>
      <c r="DX871" s="1218"/>
      <c r="DY871" s="1218"/>
      <c r="DZ871" s="1218"/>
      <c r="EA871" s="1218"/>
      <c r="EB871" s="1218"/>
      <c r="EC871" s="1218"/>
      <c r="ED871" s="1218"/>
      <c r="EE871" s="1218"/>
      <c r="EF871" s="1218"/>
      <c r="EG871" s="1218"/>
      <c r="EH871" s="1218"/>
      <c r="EI871" s="1218"/>
      <c r="EJ871" s="1218"/>
      <c r="EK871" s="1218"/>
      <c r="EL871" s="1218"/>
      <c r="EM871" s="1218"/>
      <c r="EN871" s="1218"/>
      <c r="EO871" s="1218"/>
      <c r="EP871" s="1218"/>
      <c r="EQ871" s="1218"/>
      <c r="ER871" s="1218"/>
      <c r="ES871" s="1218"/>
      <c r="ET871" s="1218"/>
      <c r="EU871" s="1218"/>
      <c r="EV871" s="1218"/>
      <c r="EW871" s="1218"/>
      <c r="EX871" s="1218"/>
      <c r="EY871" s="1218"/>
      <c r="EZ871" s="1218"/>
      <c r="FA871" s="1218"/>
      <c r="FB871" s="1218"/>
      <c r="FC871" s="1218"/>
      <c r="FD871" s="1218"/>
      <c r="FE871" s="1218"/>
      <c r="FF871" s="1218"/>
      <c r="FG871" s="1218"/>
      <c r="FH871" s="1218"/>
      <c r="FI871" s="1218"/>
      <c r="FJ871" s="1218"/>
      <c r="FK871" s="1218"/>
      <c r="FL871" s="1218"/>
      <c r="FM871" s="1218"/>
      <c r="FN871" s="1218"/>
      <c r="FO871" s="1218"/>
      <c r="FP871" s="1218"/>
      <c r="FQ871" s="1218"/>
      <c r="FR871" s="1218"/>
      <c r="FS871" s="1218"/>
      <c r="FT871" s="1218"/>
      <c r="FU871" s="1218"/>
      <c r="FV871" s="1218"/>
      <c r="FW871" s="1218"/>
      <c r="FX871" s="1218"/>
      <c r="FY871" s="1218"/>
      <c r="FZ871" s="1218"/>
      <c r="GA871" s="1218"/>
      <c r="GB871" s="1218"/>
      <c r="GC871" s="1218"/>
      <c r="GD871" s="1218"/>
      <c r="GE871" s="1218"/>
      <c r="GF871" s="1218"/>
      <c r="GG871" s="1218"/>
      <c r="GH871" s="1218"/>
      <c r="GI871" s="1218"/>
      <c r="GJ871" s="1218"/>
      <c r="GK871" s="1218"/>
      <c r="GL871" s="1218"/>
      <c r="GM871" s="1218"/>
      <c r="GN871" s="1218"/>
      <c r="GO871" s="1218"/>
      <c r="GP871" s="1218"/>
      <c r="GQ871" s="1218"/>
      <c r="GR871" s="1218"/>
      <c r="GS871" s="1218"/>
      <c r="GT871" s="1218"/>
      <c r="GU871" s="1218"/>
      <c r="GV871" s="1218"/>
      <c r="GW871" s="1218"/>
      <c r="GX871" s="1218"/>
      <c r="GY871" s="1218"/>
      <c r="GZ871" s="1218"/>
      <c r="HA871" s="1218"/>
      <c r="HB871" s="1218"/>
      <c r="HC871" s="1218"/>
      <c r="HD871" s="1218"/>
      <c r="HE871" s="1218"/>
      <c r="HF871" s="1218"/>
      <c r="HG871" s="1218"/>
      <c r="HH871" s="1218"/>
      <c r="HI871" s="1218"/>
      <c r="HJ871" s="1218"/>
      <c r="HK871" s="1218"/>
      <c r="HL871" s="1218"/>
      <c r="HM871" s="1218"/>
      <c r="HN871" s="1218"/>
      <c r="HO871" s="1218"/>
      <c r="HP871" s="1218"/>
      <c r="HQ871" s="1218"/>
      <c r="HR871" s="1218"/>
      <c r="HS871" s="1218"/>
      <c r="HT871" s="1218"/>
      <c r="HU871" s="1218"/>
      <c r="HV871" s="1218"/>
      <c r="HW871" s="1218"/>
      <c r="HX871" s="1218"/>
      <c r="HY871" s="1218"/>
      <c r="HZ871" s="1218"/>
      <c r="IA871" s="1218"/>
      <c r="IB871" s="1218"/>
      <c r="IC871" s="1218"/>
      <c r="ID871" s="1218"/>
      <c r="IE871" s="1218"/>
      <c r="IF871" s="1218"/>
      <c r="IG871" s="1218"/>
      <c r="IH871" s="1218"/>
      <c r="II871" s="1218"/>
      <c r="IJ871" s="1218"/>
      <c r="IK871" s="1218"/>
      <c r="IL871" s="1218"/>
      <c r="IM871" s="1218"/>
      <c r="IN871" s="1218"/>
    </row>
    <row r="872" spans="1:248" s="1312" customFormat="1" ht="14.1" customHeight="1">
      <c r="A872" s="1318"/>
      <c r="B872" s="1313"/>
      <c r="C872" s="1326"/>
      <c r="D872" s="1314"/>
      <c r="G872" s="1218"/>
      <c r="H872" s="1218"/>
      <c r="I872" s="1218"/>
      <c r="J872" s="1218"/>
      <c r="K872" s="1218"/>
      <c r="L872" s="1218"/>
      <c r="M872" s="1218"/>
      <c r="N872" s="1218"/>
      <c r="O872" s="1218"/>
      <c r="P872" s="1218"/>
      <c r="Q872" s="1218"/>
      <c r="R872" s="1218"/>
      <c r="S872" s="1218"/>
      <c r="T872" s="1218"/>
      <c r="U872" s="1218"/>
      <c r="V872" s="1218"/>
      <c r="W872" s="1218"/>
      <c r="X872" s="1218"/>
      <c r="Y872" s="1218"/>
      <c r="Z872" s="1218"/>
      <c r="AA872" s="1218"/>
      <c r="AB872" s="1218"/>
      <c r="AC872" s="1218"/>
      <c r="AD872" s="1218"/>
      <c r="AE872" s="1218"/>
      <c r="AF872" s="1218"/>
      <c r="AG872" s="1218"/>
      <c r="AH872" s="1218"/>
      <c r="AI872" s="1218"/>
      <c r="AJ872" s="1218"/>
      <c r="AK872" s="1218"/>
      <c r="AL872" s="1218"/>
      <c r="AM872" s="1218"/>
      <c r="AN872" s="1218"/>
      <c r="AO872" s="1218"/>
      <c r="AP872" s="1218"/>
      <c r="AQ872" s="1218"/>
      <c r="AR872" s="1218"/>
      <c r="AS872" s="1218"/>
      <c r="AT872" s="1218"/>
      <c r="AU872" s="1218"/>
      <c r="AV872" s="1218"/>
      <c r="AW872" s="1218"/>
      <c r="AX872" s="1218"/>
      <c r="AY872" s="1218"/>
      <c r="AZ872" s="1218"/>
      <c r="BA872" s="1218"/>
      <c r="BB872" s="1218"/>
      <c r="BC872" s="1218"/>
      <c r="BD872" s="1218"/>
      <c r="BE872" s="1218"/>
      <c r="BF872" s="1218"/>
      <c r="BG872" s="1218"/>
      <c r="BH872" s="1218"/>
      <c r="BI872" s="1218"/>
      <c r="BJ872" s="1218"/>
      <c r="BK872" s="1218"/>
      <c r="BL872" s="1218"/>
      <c r="BM872" s="1218"/>
      <c r="BN872" s="1218"/>
      <c r="BO872" s="1218"/>
      <c r="BP872" s="1218"/>
      <c r="BQ872" s="1218"/>
      <c r="BR872" s="1218"/>
      <c r="BS872" s="1218"/>
      <c r="BT872" s="1218"/>
      <c r="BU872" s="1218"/>
      <c r="BV872" s="1218"/>
      <c r="BW872" s="1218"/>
      <c r="BX872" s="1218"/>
      <c r="BY872" s="1218"/>
      <c r="BZ872" s="1218"/>
      <c r="CA872" s="1218"/>
      <c r="CB872" s="1218"/>
      <c r="CC872" s="1218"/>
      <c r="CD872" s="1218"/>
      <c r="CE872" s="1218"/>
      <c r="CF872" s="1218"/>
      <c r="CG872" s="1218"/>
      <c r="CH872" s="1218"/>
      <c r="CI872" s="1218"/>
      <c r="CJ872" s="1218"/>
      <c r="CK872" s="1218"/>
      <c r="CL872" s="1218"/>
      <c r="CM872" s="1218"/>
      <c r="CN872" s="1218"/>
      <c r="CO872" s="1218"/>
      <c r="CP872" s="1218"/>
      <c r="CQ872" s="1218"/>
      <c r="CR872" s="1218"/>
      <c r="CS872" s="1218"/>
      <c r="CT872" s="1218"/>
      <c r="CU872" s="1218"/>
      <c r="CV872" s="1218"/>
      <c r="CW872" s="1218"/>
      <c r="CX872" s="1218"/>
      <c r="CY872" s="1218"/>
      <c r="CZ872" s="1218"/>
      <c r="DA872" s="1218"/>
      <c r="DB872" s="1218"/>
      <c r="DC872" s="1218"/>
      <c r="DD872" s="1218"/>
      <c r="DE872" s="1218"/>
      <c r="DF872" s="1218"/>
      <c r="DG872" s="1218"/>
      <c r="DH872" s="1218"/>
      <c r="DI872" s="1218"/>
      <c r="DJ872" s="1218"/>
      <c r="DK872" s="1218"/>
      <c r="DL872" s="1218"/>
      <c r="DM872" s="1218"/>
      <c r="DN872" s="1218"/>
      <c r="DO872" s="1218"/>
      <c r="DP872" s="1218"/>
      <c r="DQ872" s="1218"/>
      <c r="DR872" s="1218"/>
      <c r="DS872" s="1218"/>
      <c r="DT872" s="1218"/>
      <c r="DU872" s="1218"/>
      <c r="DV872" s="1218"/>
      <c r="DW872" s="1218"/>
      <c r="DX872" s="1218"/>
      <c r="DY872" s="1218"/>
      <c r="DZ872" s="1218"/>
      <c r="EA872" s="1218"/>
      <c r="EB872" s="1218"/>
      <c r="EC872" s="1218"/>
      <c r="ED872" s="1218"/>
      <c r="EE872" s="1218"/>
      <c r="EF872" s="1218"/>
      <c r="EG872" s="1218"/>
      <c r="EH872" s="1218"/>
      <c r="EI872" s="1218"/>
      <c r="EJ872" s="1218"/>
      <c r="EK872" s="1218"/>
      <c r="EL872" s="1218"/>
      <c r="EM872" s="1218"/>
      <c r="EN872" s="1218"/>
      <c r="EO872" s="1218"/>
      <c r="EP872" s="1218"/>
      <c r="EQ872" s="1218"/>
      <c r="ER872" s="1218"/>
      <c r="ES872" s="1218"/>
      <c r="ET872" s="1218"/>
      <c r="EU872" s="1218"/>
      <c r="EV872" s="1218"/>
      <c r="EW872" s="1218"/>
      <c r="EX872" s="1218"/>
      <c r="EY872" s="1218"/>
      <c r="EZ872" s="1218"/>
      <c r="FA872" s="1218"/>
      <c r="FB872" s="1218"/>
      <c r="FC872" s="1218"/>
      <c r="FD872" s="1218"/>
      <c r="FE872" s="1218"/>
      <c r="FF872" s="1218"/>
      <c r="FG872" s="1218"/>
      <c r="FH872" s="1218"/>
      <c r="FI872" s="1218"/>
      <c r="FJ872" s="1218"/>
      <c r="FK872" s="1218"/>
      <c r="FL872" s="1218"/>
      <c r="FM872" s="1218"/>
      <c r="FN872" s="1218"/>
      <c r="FO872" s="1218"/>
      <c r="FP872" s="1218"/>
      <c r="FQ872" s="1218"/>
      <c r="FR872" s="1218"/>
      <c r="FS872" s="1218"/>
      <c r="FT872" s="1218"/>
      <c r="FU872" s="1218"/>
      <c r="FV872" s="1218"/>
      <c r="FW872" s="1218"/>
      <c r="FX872" s="1218"/>
      <c r="FY872" s="1218"/>
      <c r="FZ872" s="1218"/>
      <c r="GA872" s="1218"/>
      <c r="GB872" s="1218"/>
      <c r="GC872" s="1218"/>
      <c r="GD872" s="1218"/>
      <c r="GE872" s="1218"/>
      <c r="GF872" s="1218"/>
      <c r="GG872" s="1218"/>
      <c r="GH872" s="1218"/>
      <c r="GI872" s="1218"/>
      <c r="GJ872" s="1218"/>
      <c r="GK872" s="1218"/>
      <c r="GL872" s="1218"/>
      <c r="GM872" s="1218"/>
      <c r="GN872" s="1218"/>
      <c r="GO872" s="1218"/>
      <c r="GP872" s="1218"/>
      <c r="GQ872" s="1218"/>
      <c r="GR872" s="1218"/>
      <c r="GS872" s="1218"/>
      <c r="GT872" s="1218"/>
      <c r="GU872" s="1218"/>
      <c r="GV872" s="1218"/>
      <c r="GW872" s="1218"/>
      <c r="GX872" s="1218"/>
      <c r="GY872" s="1218"/>
      <c r="GZ872" s="1218"/>
      <c r="HA872" s="1218"/>
      <c r="HB872" s="1218"/>
      <c r="HC872" s="1218"/>
      <c r="HD872" s="1218"/>
      <c r="HE872" s="1218"/>
      <c r="HF872" s="1218"/>
      <c r="HG872" s="1218"/>
      <c r="HH872" s="1218"/>
      <c r="HI872" s="1218"/>
      <c r="HJ872" s="1218"/>
      <c r="HK872" s="1218"/>
      <c r="HL872" s="1218"/>
      <c r="HM872" s="1218"/>
      <c r="HN872" s="1218"/>
      <c r="HO872" s="1218"/>
      <c r="HP872" s="1218"/>
      <c r="HQ872" s="1218"/>
      <c r="HR872" s="1218"/>
      <c r="HS872" s="1218"/>
      <c r="HT872" s="1218"/>
      <c r="HU872" s="1218"/>
      <c r="HV872" s="1218"/>
      <c r="HW872" s="1218"/>
      <c r="HX872" s="1218"/>
      <c r="HY872" s="1218"/>
      <c r="HZ872" s="1218"/>
      <c r="IA872" s="1218"/>
      <c r="IB872" s="1218"/>
      <c r="IC872" s="1218"/>
      <c r="ID872" s="1218"/>
      <c r="IE872" s="1218"/>
      <c r="IF872" s="1218"/>
      <c r="IG872" s="1218"/>
      <c r="IH872" s="1218"/>
      <c r="II872" s="1218"/>
      <c r="IJ872" s="1218"/>
      <c r="IK872" s="1218"/>
      <c r="IL872" s="1218"/>
      <c r="IM872" s="1218"/>
      <c r="IN872" s="1218"/>
    </row>
    <row r="873" spans="1:248" s="1312" customFormat="1" ht="14.1" customHeight="1">
      <c r="A873" s="1318"/>
      <c r="B873" s="1160" t="s">
        <v>3971</v>
      </c>
      <c r="C873" s="1326" t="s">
        <v>4150</v>
      </c>
      <c r="D873" s="1314"/>
      <c r="G873" s="1218"/>
      <c r="H873" s="1218"/>
      <c r="I873" s="1218"/>
      <c r="J873" s="1218"/>
      <c r="K873" s="1218"/>
      <c r="L873" s="1218"/>
      <c r="M873" s="1218"/>
      <c r="N873" s="1218"/>
      <c r="O873" s="1218"/>
      <c r="P873" s="1218"/>
      <c r="Q873" s="1218"/>
      <c r="R873" s="1218"/>
      <c r="S873" s="1218"/>
      <c r="T873" s="1218"/>
      <c r="U873" s="1218"/>
      <c r="V873" s="1218"/>
      <c r="W873" s="1218"/>
      <c r="X873" s="1218"/>
      <c r="Y873" s="1218"/>
      <c r="Z873" s="1218"/>
      <c r="AA873" s="1218"/>
      <c r="AB873" s="1218"/>
      <c r="AC873" s="1218"/>
      <c r="AD873" s="1218"/>
      <c r="AE873" s="1218"/>
      <c r="AF873" s="1218"/>
      <c r="AG873" s="1218"/>
      <c r="AH873" s="1218"/>
      <c r="AI873" s="1218"/>
      <c r="AJ873" s="1218"/>
      <c r="AK873" s="1218"/>
      <c r="AL873" s="1218"/>
      <c r="AM873" s="1218"/>
      <c r="AN873" s="1218"/>
      <c r="AO873" s="1218"/>
      <c r="AP873" s="1218"/>
      <c r="AQ873" s="1218"/>
      <c r="AR873" s="1218"/>
      <c r="AS873" s="1218"/>
      <c r="AT873" s="1218"/>
      <c r="AU873" s="1218"/>
      <c r="AV873" s="1218"/>
      <c r="AW873" s="1218"/>
      <c r="AX873" s="1218"/>
      <c r="AY873" s="1218"/>
      <c r="AZ873" s="1218"/>
      <c r="BA873" s="1218"/>
      <c r="BB873" s="1218"/>
      <c r="BC873" s="1218"/>
      <c r="BD873" s="1218"/>
      <c r="BE873" s="1218"/>
      <c r="BF873" s="1218"/>
      <c r="BG873" s="1218"/>
      <c r="BH873" s="1218"/>
      <c r="BI873" s="1218"/>
      <c r="BJ873" s="1218"/>
      <c r="BK873" s="1218"/>
      <c r="BL873" s="1218"/>
      <c r="BM873" s="1218"/>
      <c r="BN873" s="1218"/>
      <c r="BO873" s="1218"/>
      <c r="BP873" s="1218"/>
      <c r="BQ873" s="1218"/>
      <c r="BR873" s="1218"/>
      <c r="BS873" s="1218"/>
      <c r="BT873" s="1218"/>
      <c r="BU873" s="1218"/>
      <c r="BV873" s="1218"/>
      <c r="BW873" s="1218"/>
      <c r="BX873" s="1218"/>
      <c r="BY873" s="1218"/>
      <c r="BZ873" s="1218"/>
      <c r="CA873" s="1218"/>
      <c r="CB873" s="1218"/>
      <c r="CC873" s="1218"/>
      <c r="CD873" s="1218"/>
      <c r="CE873" s="1218"/>
      <c r="CF873" s="1218"/>
      <c r="CG873" s="1218"/>
      <c r="CH873" s="1218"/>
      <c r="CI873" s="1218"/>
      <c r="CJ873" s="1218"/>
      <c r="CK873" s="1218"/>
      <c r="CL873" s="1218"/>
      <c r="CM873" s="1218"/>
      <c r="CN873" s="1218"/>
      <c r="CO873" s="1218"/>
      <c r="CP873" s="1218"/>
      <c r="CQ873" s="1218"/>
      <c r="CR873" s="1218"/>
      <c r="CS873" s="1218"/>
      <c r="CT873" s="1218"/>
      <c r="CU873" s="1218"/>
      <c r="CV873" s="1218"/>
      <c r="CW873" s="1218"/>
      <c r="CX873" s="1218"/>
      <c r="CY873" s="1218"/>
      <c r="CZ873" s="1218"/>
      <c r="DA873" s="1218"/>
      <c r="DB873" s="1218"/>
      <c r="DC873" s="1218"/>
      <c r="DD873" s="1218"/>
      <c r="DE873" s="1218"/>
      <c r="DF873" s="1218"/>
      <c r="DG873" s="1218"/>
      <c r="DH873" s="1218"/>
      <c r="DI873" s="1218"/>
      <c r="DJ873" s="1218"/>
      <c r="DK873" s="1218"/>
      <c r="DL873" s="1218"/>
      <c r="DM873" s="1218"/>
      <c r="DN873" s="1218"/>
      <c r="DO873" s="1218"/>
      <c r="DP873" s="1218"/>
      <c r="DQ873" s="1218"/>
      <c r="DR873" s="1218"/>
      <c r="DS873" s="1218"/>
      <c r="DT873" s="1218"/>
      <c r="DU873" s="1218"/>
      <c r="DV873" s="1218"/>
      <c r="DW873" s="1218"/>
      <c r="DX873" s="1218"/>
      <c r="DY873" s="1218"/>
      <c r="DZ873" s="1218"/>
      <c r="EA873" s="1218"/>
      <c r="EB873" s="1218"/>
      <c r="EC873" s="1218"/>
      <c r="ED873" s="1218"/>
      <c r="EE873" s="1218"/>
      <c r="EF873" s="1218"/>
      <c r="EG873" s="1218"/>
      <c r="EH873" s="1218"/>
      <c r="EI873" s="1218"/>
      <c r="EJ873" s="1218"/>
      <c r="EK873" s="1218"/>
      <c r="EL873" s="1218"/>
      <c r="EM873" s="1218"/>
      <c r="EN873" s="1218"/>
      <c r="EO873" s="1218"/>
      <c r="EP873" s="1218"/>
      <c r="EQ873" s="1218"/>
      <c r="ER873" s="1218"/>
      <c r="ES873" s="1218"/>
      <c r="ET873" s="1218"/>
      <c r="EU873" s="1218"/>
      <c r="EV873" s="1218"/>
      <c r="EW873" s="1218"/>
      <c r="EX873" s="1218"/>
      <c r="EY873" s="1218"/>
      <c r="EZ873" s="1218"/>
      <c r="FA873" s="1218"/>
      <c r="FB873" s="1218"/>
      <c r="FC873" s="1218"/>
      <c r="FD873" s="1218"/>
      <c r="FE873" s="1218"/>
      <c r="FF873" s="1218"/>
      <c r="FG873" s="1218"/>
      <c r="FH873" s="1218"/>
      <c r="FI873" s="1218"/>
      <c r="FJ873" s="1218"/>
      <c r="FK873" s="1218"/>
      <c r="FL873" s="1218"/>
      <c r="FM873" s="1218"/>
      <c r="FN873" s="1218"/>
      <c r="FO873" s="1218"/>
      <c r="FP873" s="1218"/>
      <c r="FQ873" s="1218"/>
      <c r="FR873" s="1218"/>
      <c r="FS873" s="1218"/>
      <c r="FT873" s="1218"/>
      <c r="FU873" s="1218"/>
      <c r="FV873" s="1218"/>
      <c r="FW873" s="1218"/>
      <c r="FX873" s="1218"/>
      <c r="FY873" s="1218"/>
      <c r="FZ873" s="1218"/>
      <c r="GA873" s="1218"/>
      <c r="GB873" s="1218"/>
      <c r="GC873" s="1218"/>
      <c r="GD873" s="1218"/>
      <c r="GE873" s="1218"/>
      <c r="GF873" s="1218"/>
      <c r="GG873" s="1218"/>
      <c r="GH873" s="1218"/>
      <c r="GI873" s="1218"/>
      <c r="GJ873" s="1218"/>
      <c r="GK873" s="1218"/>
      <c r="GL873" s="1218"/>
      <c r="GM873" s="1218"/>
      <c r="GN873" s="1218"/>
      <c r="GO873" s="1218"/>
      <c r="GP873" s="1218"/>
      <c r="GQ873" s="1218"/>
      <c r="GR873" s="1218"/>
      <c r="GS873" s="1218"/>
      <c r="GT873" s="1218"/>
      <c r="GU873" s="1218"/>
      <c r="GV873" s="1218"/>
      <c r="GW873" s="1218"/>
      <c r="GX873" s="1218"/>
      <c r="GY873" s="1218"/>
      <c r="GZ873" s="1218"/>
      <c r="HA873" s="1218"/>
      <c r="HB873" s="1218"/>
      <c r="HC873" s="1218"/>
      <c r="HD873" s="1218"/>
      <c r="HE873" s="1218"/>
      <c r="HF873" s="1218"/>
      <c r="HG873" s="1218"/>
      <c r="HH873" s="1218"/>
      <c r="HI873" s="1218"/>
      <c r="HJ873" s="1218"/>
      <c r="HK873" s="1218"/>
      <c r="HL873" s="1218"/>
      <c r="HM873" s="1218"/>
      <c r="HN873" s="1218"/>
      <c r="HO873" s="1218"/>
      <c r="HP873" s="1218"/>
      <c r="HQ873" s="1218"/>
      <c r="HR873" s="1218"/>
      <c r="HS873" s="1218"/>
      <c r="HT873" s="1218"/>
      <c r="HU873" s="1218"/>
      <c r="HV873" s="1218"/>
      <c r="HW873" s="1218"/>
      <c r="HX873" s="1218"/>
      <c r="HY873" s="1218"/>
      <c r="HZ873" s="1218"/>
      <c r="IA873" s="1218"/>
      <c r="IB873" s="1218"/>
      <c r="IC873" s="1218"/>
      <c r="ID873" s="1218"/>
      <c r="IE873" s="1218"/>
      <c r="IF873" s="1218"/>
      <c r="IG873" s="1218"/>
      <c r="IH873" s="1218"/>
      <c r="II873" s="1218"/>
      <c r="IJ873" s="1218"/>
      <c r="IK873" s="1218"/>
      <c r="IL873" s="1218"/>
      <c r="IM873" s="1218"/>
      <c r="IN873" s="1218"/>
    </row>
    <row r="874" spans="1:248" s="1312" customFormat="1" ht="14.1" customHeight="1">
      <c r="A874" s="1318"/>
      <c r="B874" s="1313"/>
      <c r="C874" s="1326" t="s">
        <v>4151</v>
      </c>
      <c r="D874" s="1314"/>
      <c r="G874" s="1218"/>
      <c r="H874" s="1218"/>
      <c r="I874" s="1218"/>
      <c r="J874" s="1218"/>
      <c r="K874" s="1218"/>
      <c r="L874" s="1218"/>
      <c r="M874" s="1218"/>
      <c r="N874" s="1218"/>
      <c r="O874" s="1218"/>
      <c r="P874" s="1218"/>
      <c r="Q874" s="1218"/>
      <c r="R874" s="1218"/>
      <c r="S874" s="1218"/>
      <c r="T874" s="1218"/>
      <c r="U874" s="1218"/>
      <c r="V874" s="1218"/>
      <c r="W874" s="1218"/>
      <c r="X874" s="1218"/>
      <c r="Y874" s="1218"/>
      <c r="Z874" s="1218"/>
      <c r="AA874" s="1218"/>
      <c r="AB874" s="1218"/>
      <c r="AC874" s="1218"/>
      <c r="AD874" s="1218"/>
      <c r="AE874" s="1218"/>
      <c r="AF874" s="1218"/>
      <c r="AG874" s="1218"/>
      <c r="AH874" s="1218"/>
      <c r="AI874" s="1218"/>
      <c r="AJ874" s="1218"/>
      <c r="AK874" s="1218"/>
      <c r="AL874" s="1218"/>
      <c r="AM874" s="1218"/>
      <c r="AN874" s="1218"/>
      <c r="AO874" s="1218"/>
      <c r="AP874" s="1218"/>
      <c r="AQ874" s="1218"/>
      <c r="AR874" s="1218"/>
      <c r="AS874" s="1218"/>
      <c r="AT874" s="1218"/>
      <c r="AU874" s="1218"/>
      <c r="AV874" s="1218"/>
      <c r="AW874" s="1218"/>
      <c r="AX874" s="1218"/>
      <c r="AY874" s="1218"/>
      <c r="AZ874" s="1218"/>
      <c r="BA874" s="1218"/>
      <c r="BB874" s="1218"/>
      <c r="BC874" s="1218"/>
      <c r="BD874" s="1218"/>
      <c r="BE874" s="1218"/>
      <c r="BF874" s="1218"/>
      <c r="BG874" s="1218"/>
      <c r="BH874" s="1218"/>
      <c r="BI874" s="1218"/>
      <c r="BJ874" s="1218"/>
      <c r="BK874" s="1218"/>
      <c r="BL874" s="1218"/>
      <c r="BM874" s="1218"/>
      <c r="BN874" s="1218"/>
      <c r="BO874" s="1218"/>
      <c r="BP874" s="1218"/>
      <c r="BQ874" s="1218"/>
      <c r="BR874" s="1218"/>
      <c r="BS874" s="1218"/>
      <c r="BT874" s="1218"/>
      <c r="BU874" s="1218"/>
      <c r="BV874" s="1218"/>
      <c r="BW874" s="1218"/>
      <c r="BX874" s="1218"/>
      <c r="BY874" s="1218"/>
      <c r="BZ874" s="1218"/>
      <c r="CA874" s="1218"/>
      <c r="CB874" s="1218"/>
      <c r="CC874" s="1218"/>
      <c r="CD874" s="1218"/>
      <c r="CE874" s="1218"/>
      <c r="CF874" s="1218"/>
      <c r="CG874" s="1218"/>
      <c r="CH874" s="1218"/>
      <c r="CI874" s="1218"/>
      <c r="CJ874" s="1218"/>
      <c r="CK874" s="1218"/>
      <c r="CL874" s="1218"/>
      <c r="CM874" s="1218"/>
      <c r="CN874" s="1218"/>
      <c r="CO874" s="1218"/>
      <c r="CP874" s="1218"/>
      <c r="CQ874" s="1218"/>
      <c r="CR874" s="1218"/>
      <c r="CS874" s="1218"/>
      <c r="CT874" s="1218"/>
      <c r="CU874" s="1218"/>
      <c r="CV874" s="1218"/>
      <c r="CW874" s="1218"/>
      <c r="CX874" s="1218"/>
      <c r="CY874" s="1218"/>
      <c r="CZ874" s="1218"/>
      <c r="DA874" s="1218"/>
      <c r="DB874" s="1218"/>
      <c r="DC874" s="1218"/>
      <c r="DD874" s="1218"/>
      <c r="DE874" s="1218"/>
      <c r="DF874" s="1218"/>
      <c r="DG874" s="1218"/>
      <c r="DH874" s="1218"/>
      <c r="DI874" s="1218"/>
      <c r="DJ874" s="1218"/>
      <c r="DK874" s="1218"/>
      <c r="DL874" s="1218"/>
      <c r="DM874" s="1218"/>
      <c r="DN874" s="1218"/>
      <c r="DO874" s="1218"/>
      <c r="DP874" s="1218"/>
      <c r="DQ874" s="1218"/>
      <c r="DR874" s="1218"/>
      <c r="DS874" s="1218"/>
      <c r="DT874" s="1218"/>
      <c r="DU874" s="1218"/>
      <c r="DV874" s="1218"/>
      <c r="DW874" s="1218"/>
      <c r="DX874" s="1218"/>
      <c r="DY874" s="1218"/>
      <c r="DZ874" s="1218"/>
      <c r="EA874" s="1218"/>
      <c r="EB874" s="1218"/>
      <c r="EC874" s="1218"/>
      <c r="ED874" s="1218"/>
      <c r="EE874" s="1218"/>
      <c r="EF874" s="1218"/>
      <c r="EG874" s="1218"/>
      <c r="EH874" s="1218"/>
      <c r="EI874" s="1218"/>
      <c r="EJ874" s="1218"/>
      <c r="EK874" s="1218"/>
      <c r="EL874" s="1218"/>
      <c r="EM874" s="1218"/>
      <c r="EN874" s="1218"/>
      <c r="EO874" s="1218"/>
      <c r="EP874" s="1218"/>
      <c r="EQ874" s="1218"/>
      <c r="ER874" s="1218"/>
      <c r="ES874" s="1218"/>
      <c r="ET874" s="1218"/>
      <c r="EU874" s="1218"/>
      <c r="EV874" s="1218"/>
      <c r="EW874" s="1218"/>
      <c r="EX874" s="1218"/>
      <c r="EY874" s="1218"/>
      <c r="EZ874" s="1218"/>
      <c r="FA874" s="1218"/>
      <c r="FB874" s="1218"/>
      <c r="FC874" s="1218"/>
      <c r="FD874" s="1218"/>
      <c r="FE874" s="1218"/>
      <c r="FF874" s="1218"/>
      <c r="FG874" s="1218"/>
      <c r="FH874" s="1218"/>
      <c r="FI874" s="1218"/>
      <c r="FJ874" s="1218"/>
      <c r="FK874" s="1218"/>
      <c r="FL874" s="1218"/>
      <c r="FM874" s="1218"/>
      <c r="FN874" s="1218"/>
      <c r="FO874" s="1218"/>
      <c r="FP874" s="1218"/>
      <c r="FQ874" s="1218"/>
      <c r="FR874" s="1218"/>
      <c r="FS874" s="1218"/>
      <c r="FT874" s="1218"/>
      <c r="FU874" s="1218"/>
      <c r="FV874" s="1218"/>
      <c r="FW874" s="1218"/>
      <c r="FX874" s="1218"/>
      <c r="FY874" s="1218"/>
      <c r="FZ874" s="1218"/>
      <c r="GA874" s="1218"/>
      <c r="GB874" s="1218"/>
      <c r="GC874" s="1218"/>
      <c r="GD874" s="1218"/>
      <c r="GE874" s="1218"/>
      <c r="GF874" s="1218"/>
      <c r="GG874" s="1218"/>
      <c r="GH874" s="1218"/>
      <c r="GI874" s="1218"/>
      <c r="GJ874" s="1218"/>
      <c r="GK874" s="1218"/>
      <c r="GL874" s="1218"/>
      <c r="GM874" s="1218"/>
      <c r="GN874" s="1218"/>
      <c r="GO874" s="1218"/>
      <c r="GP874" s="1218"/>
      <c r="GQ874" s="1218"/>
      <c r="GR874" s="1218"/>
      <c r="GS874" s="1218"/>
      <c r="GT874" s="1218"/>
      <c r="GU874" s="1218"/>
      <c r="GV874" s="1218"/>
      <c r="GW874" s="1218"/>
      <c r="GX874" s="1218"/>
      <c r="GY874" s="1218"/>
      <c r="GZ874" s="1218"/>
      <c r="HA874" s="1218"/>
      <c r="HB874" s="1218"/>
      <c r="HC874" s="1218"/>
      <c r="HD874" s="1218"/>
      <c r="HE874" s="1218"/>
      <c r="HF874" s="1218"/>
      <c r="HG874" s="1218"/>
      <c r="HH874" s="1218"/>
      <c r="HI874" s="1218"/>
      <c r="HJ874" s="1218"/>
      <c r="HK874" s="1218"/>
      <c r="HL874" s="1218"/>
      <c r="HM874" s="1218"/>
      <c r="HN874" s="1218"/>
      <c r="HO874" s="1218"/>
      <c r="HP874" s="1218"/>
      <c r="HQ874" s="1218"/>
      <c r="HR874" s="1218"/>
      <c r="HS874" s="1218"/>
      <c r="HT874" s="1218"/>
      <c r="HU874" s="1218"/>
      <c r="HV874" s="1218"/>
      <c r="HW874" s="1218"/>
      <c r="HX874" s="1218"/>
      <c r="HY874" s="1218"/>
      <c r="HZ874" s="1218"/>
      <c r="IA874" s="1218"/>
      <c r="IB874" s="1218"/>
      <c r="IC874" s="1218"/>
      <c r="ID874" s="1218"/>
      <c r="IE874" s="1218"/>
      <c r="IF874" s="1218"/>
      <c r="IG874" s="1218"/>
      <c r="IH874" s="1218"/>
      <c r="II874" s="1218"/>
      <c r="IJ874" s="1218"/>
      <c r="IK874" s="1218"/>
      <c r="IL874" s="1218"/>
      <c r="IM874" s="1218"/>
      <c r="IN874" s="1218"/>
    </row>
    <row r="875" spans="1:248" s="1312" customFormat="1" ht="14.1" customHeight="1">
      <c r="A875" s="1318"/>
      <c r="B875" s="1313"/>
      <c r="C875" s="1326" t="s">
        <v>4152</v>
      </c>
      <c r="D875" s="1314"/>
      <c r="G875" s="1218"/>
      <c r="H875" s="1218"/>
      <c r="I875" s="1218"/>
      <c r="J875" s="1218"/>
      <c r="K875" s="1218"/>
      <c r="L875" s="1218"/>
      <c r="M875" s="1218"/>
      <c r="N875" s="1218"/>
      <c r="O875" s="1218"/>
      <c r="P875" s="1218"/>
      <c r="Q875" s="1218"/>
      <c r="R875" s="1218"/>
      <c r="S875" s="1218"/>
      <c r="T875" s="1218"/>
      <c r="U875" s="1218"/>
      <c r="V875" s="1218"/>
      <c r="W875" s="1218"/>
      <c r="X875" s="1218"/>
      <c r="Y875" s="1218"/>
      <c r="Z875" s="1218"/>
      <c r="AA875" s="1218"/>
      <c r="AB875" s="1218"/>
      <c r="AC875" s="1218"/>
      <c r="AD875" s="1218"/>
      <c r="AE875" s="1218"/>
      <c r="AF875" s="1218"/>
      <c r="AG875" s="1218"/>
      <c r="AH875" s="1218"/>
      <c r="AI875" s="1218"/>
      <c r="AJ875" s="1218"/>
      <c r="AK875" s="1218"/>
      <c r="AL875" s="1218"/>
      <c r="AM875" s="1218"/>
      <c r="AN875" s="1218"/>
      <c r="AO875" s="1218"/>
      <c r="AP875" s="1218"/>
      <c r="AQ875" s="1218"/>
      <c r="AR875" s="1218"/>
      <c r="AS875" s="1218"/>
      <c r="AT875" s="1218"/>
      <c r="AU875" s="1218"/>
      <c r="AV875" s="1218"/>
      <c r="AW875" s="1218"/>
      <c r="AX875" s="1218"/>
      <c r="AY875" s="1218"/>
      <c r="AZ875" s="1218"/>
      <c r="BA875" s="1218"/>
      <c r="BB875" s="1218"/>
      <c r="BC875" s="1218"/>
      <c r="BD875" s="1218"/>
      <c r="BE875" s="1218"/>
      <c r="BF875" s="1218"/>
      <c r="BG875" s="1218"/>
      <c r="BH875" s="1218"/>
      <c r="BI875" s="1218"/>
      <c r="BJ875" s="1218"/>
      <c r="BK875" s="1218"/>
      <c r="BL875" s="1218"/>
      <c r="BM875" s="1218"/>
      <c r="BN875" s="1218"/>
      <c r="BO875" s="1218"/>
      <c r="BP875" s="1218"/>
      <c r="BQ875" s="1218"/>
      <c r="BR875" s="1218"/>
      <c r="BS875" s="1218"/>
      <c r="BT875" s="1218"/>
      <c r="BU875" s="1218"/>
      <c r="BV875" s="1218"/>
      <c r="BW875" s="1218"/>
      <c r="BX875" s="1218"/>
      <c r="BY875" s="1218"/>
      <c r="BZ875" s="1218"/>
      <c r="CA875" s="1218"/>
      <c r="CB875" s="1218"/>
      <c r="CC875" s="1218"/>
      <c r="CD875" s="1218"/>
      <c r="CE875" s="1218"/>
      <c r="CF875" s="1218"/>
      <c r="CG875" s="1218"/>
      <c r="CH875" s="1218"/>
      <c r="CI875" s="1218"/>
      <c r="CJ875" s="1218"/>
      <c r="CK875" s="1218"/>
      <c r="CL875" s="1218"/>
      <c r="CM875" s="1218"/>
      <c r="CN875" s="1218"/>
      <c r="CO875" s="1218"/>
      <c r="CP875" s="1218"/>
      <c r="CQ875" s="1218"/>
      <c r="CR875" s="1218"/>
      <c r="CS875" s="1218"/>
      <c r="CT875" s="1218"/>
      <c r="CU875" s="1218"/>
      <c r="CV875" s="1218"/>
      <c r="CW875" s="1218"/>
      <c r="CX875" s="1218"/>
      <c r="CY875" s="1218"/>
      <c r="CZ875" s="1218"/>
      <c r="DA875" s="1218"/>
      <c r="DB875" s="1218"/>
      <c r="DC875" s="1218"/>
      <c r="DD875" s="1218"/>
      <c r="DE875" s="1218"/>
      <c r="DF875" s="1218"/>
      <c r="DG875" s="1218"/>
      <c r="DH875" s="1218"/>
      <c r="DI875" s="1218"/>
      <c r="DJ875" s="1218"/>
      <c r="DK875" s="1218"/>
      <c r="DL875" s="1218"/>
      <c r="DM875" s="1218"/>
      <c r="DN875" s="1218"/>
      <c r="DO875" s="1218"/>
      <c r="DP875" s="1218"/>
      <c r="DQ875" s="1218"/>
      <c r="DR875" s="1218"/>
      <c r="DS875" s="1218"/>
      <c r="DT875" s="1218"/>
      <c r="DU875" s="1218"/>
      <c r="DV875" s="1218"/>
      <c r="DW875" s="1218"/>
      <c r="DX875" s="1218"/>
      <c r="DY875" s="1218"/>
      <c r="DZ875" s="1218"/>
      <c r="EA875" s="1218"/>
      <c r="EB875" s="1218"/>
      <c r="EC875" s="1218"/>
      <c r="ED875" s="1218"/>
      <c r="EE875" s="1218"/>
      <c r="EF875" s="1218"/>
      <c r="EG875" s="1218"/>
      <c r="EH875" s="1218"/>
      <c r="EI875" s="1218"/>
      <c r="EJ875" s="1218"/>
      <c r="EK875" s="1218"/>
      <c r="EL875" s="1218"/>
      <c r="EM875" s="1218"/>
      <c r="EN875" s="1218"/>
      <c r="EO875" s="1218"/>
      <c r="EP875" s="1218"/>
      <c r="EQ875" s="1218"/>
      <c r="ER875" s="1218"/>
      <c r="ES875" s="1218"/>
      <c r="ET875" s="1218"/>
      <c r="EU875" s="1218"/>
      <c r="EV875" s="1218"/>
      <c r="EW875" s="1218"/>
      <c r="EX875" s="1218"/>
      <c r="EY875" s="1218"/>
      <c r="EZ875" s="1218"/>
      <c r="FA875" s="1218"/>
      <c r="FB875" s="1218"/>
      <c r="FC875" s="1218"/>
      <c r="FD875" s="1218"/>
      <c r="FE875" s="1218"/>
      <c r="FF875" s="1218"/>
      <c r="FG875" s="1218"/>
      <c r="FH875" s="1218"/>
      <c r="FI875" s="1218"/>
      <c r="FJ875" s="1218"/>
      <c r="FK875" s="1218"/>
      <c r="FL875" s="1218"/>
      <c r="FM875" s="1218"/>
      <c r="FN875" s="1218"/>
      <c r="FO875" s="1218"/>
      <c r="FP875" s="1218"/>
      <c r="FQ875" s="1218"/>
      <c r="FR875" s="1218"/>
      <c r="FS875" s="1218"/>
      <c r="FT875" s="1218"/>
      <c r="FU875" s="1218"/>
      <c r="FV875" s="1218"/>
      <c r="FW875" s="1218"/>
      <c r="FX875" s="1218"/>
      <c r="FY875" s="1218"/>
      <c r="FZ875" s="1218"/>
      <c r="GA875" s="1218"/>
      <c r="GB875" s="1218"/>
      <c r="GC875" s="1218"/>
      <c r="GD875" s="1218"/>
      <c r="GE875" s="1218"/>
      <c r="GF875" s="1218"/>
      <c r="GG875" s="1218"/>
      <c r="GH875" s="1218"/>
      <c r="GI875" s="1218"/>
      <c r="GJ875" s="1218"/>
      <c r="GK875" s="1218"/>
      <c r="GL875" s="1218"/>
      <c r="GM875" s="1218"/>
      <c r="GN875" s="1218"/>
      <c r="GO875" s="1218"/>
      <c r="GP875" s="1218"/>
      <c r="GQ875" s="1218"/>
      <c r="GR875" s="1218"/>
      <c r="GS875" s="1218"/>
      <c r="GT875" s="1218"/>
      <c r="GU875" s="1218"/>
      <c r="GV875" s="1218"/>
      <c r="GW875" s="1218"/>
      <c r="GX875" s="1218"/>
      <c r="GY875" s="1218"/>
      <c r="GZ875" s="1218"/>
      <c r="HA875" s="1218"/>
      <c r="HB875" s="1218"/>
      <c r="HC875" s="1218"/>
      <c r="HD875" s="1218"/>
      <c r="HE875" s="1218"/>
      <c r="HF875" s="1218"/>
      <c r="HG875" s="1218"/>
      <c r="HH875" s="1218"/>
      <c r="HI875" s="1218"/>
      <c r="HJ875" s="1218"/>
      <c r="HK875" s="1218"/>
      <c r="HL875" s="1218"/>
      <c r="HM875" s="1218"/>
      <c r="HN875" s="1218"/>
      <c r="HO875" s="1218"/>
      <c r="HP875" s="1218"/>
      <c r="HQ875" s="1218"/>
      <c r="HR875" s="1218"/>
      <c r="HS875" s="1218"/>
      <c r="HT875" s="1218"/>
      <c r="HU875" s="1218"/>
      <c r="HV875" s="1218"/>
      <c r="HW875" s="1218"/>
      <c r="HX875" s="1218"/>
      <c r="HY875" s="1218"/>
      <c r="HZ875" s="1218"/>
      <c r="IA875" s="1218"/>
      <c r="IB875" s="1218"/>
      <c r="IC875" s="1218"/>
      <c r="ID875" s="1218"/>
      <c r="IE875" s="1218"/>
      <c r="IF875" s="1218"/>
      <c r="IG875" s="1218"/>
      <c r="IH875" s="1218"/>
      <c r="II875" s="1218"/>
      <c r="IJ875" s="1218"/>
      <c r="IK875" s="1218"/>
      <c r="IL875" s="1218"/>
      <c r="IM875" s="1218"/>
      <c r="IN875" s="1218"/>
    </row>
    <row r="876" spans="1:248" s="1312" customFormat="1" ht="14.1" customHeight="1">
      <c r="A876" s="1318"/>
      <c r="B876" s="1313"/>
      <c r="C876" s="1320"/>
      <c r="D876" s="1314"/>
      <c r="G876" s="1218"/>
      <c r="H876" s="1218"/>
      <c r="I876" s="1218"/>
      <c r="J876" s="1218"/>
      <c r="K876" s="1218"/>
      <c r="L876" s="1218"/>
      <c r="M876" s="1218"/>
      <c r="N876" s="1218"/>
      <c r="O876" s="1218"/>
      <c r="P876" s="1218"/>
      <c r="Q876" s="1218"/>
      <c r="R876" s="1218"/>
      <c r="S876" s="1218"/>
      <c r="T876" s="1218"/>
      <c r="U876" s="1218"/>
      <c r="V876" s="1218"/>
      <c r="W876" s="1218"/>
      <c r="X876" s="1218"/>
      <c r="Y876" s="1218"/>
      <c r="Z876" s="1218"/>
      <c r="AA876" s="1218"/>
      <c r="AB876" s="1218"/>
      <c r="AC876" s="1218"/>
      <c r="AD876" s="1218"/>
      <c r="AE876" s="1218"/>
      <c r="AF876" s="1218"/>
      <c r="AG876" s="1218"/>
      <c r="AH876" s="1218"/>
      <c r="AI876" s="1218"/>
      <c r="AJ876" s="1218"/>
      <c r="AK876" s="1218"/>
      <c r="AL876" s="1218"/>
      <c r="AM876" s="1218"/>
      <c r="AN876" s="1218"/>
      <c r="AO876" s="1218"/>
      <c r="AP876" s="1218"/>
      <c r="AQ876" s="1218"/>
      <c r="AR876" s="1218"/>
      <c r="AS876" s="1218"/>
      <c r="AT876" s="1218"/>
      <c r="AU876" s="1218"/>
      <c r="AV876" s="1218"/>
      <c r="AW876" s="1218"/>
      <c r="AX876" s="1218"/>
      <c r="AY876" s="1218"/>
      <c r="AZ876" s="1218"/>
      <c r="BA876" s="1218"/>
      <c r="BB876" s="1218"/>
      <c r="BC876" s="1218"/>
      <c r="BD876" s="1218"/>
      <c r="BE876" s="1218"/>
      <c r="BF876" s="1218"/>
      <c r="BG876" s="1218"/>
      <c r="BH876" s="1218"/>
      <c r="BI876" s="1218"/>
      <c r="BJ876" s="1218"/>
      <c r="BK876" s="1218"/>
      <c r="BL876" s="1218"/>
      <c r="BM876" s="1218"/>
      <c r="BN876" s="1218"/>
      <c r="BO876" s="1218"/>
      <c r="BP876" s="1218"/>
      <c r="BQ876" s="1218"/>
      <c r="BR876" s="1218"/>
      <c r="BS876" s="1218"/>
      <c r="BT876" s="1218"/>
      <c r="BU876" s="1218"/>
      <c r="BV876" s="1218"/>
      <c r="BW876" s="1218"/>
      <c r="BX876" s="1218"/>
      <c r="BY876" s="1218"/>
      <c r="BZ876" s="1218"/>
      <c r="CA876" s="1218"/>
      <c r="CB876" s="1218"/>
      <c r="CC876" s="1218"/>
      <c r="CD876" s="1218"/>
      <c r="CE876" s="1218"/>
      <c r="CF876" s="1218"/>
      <c r="CG876" s="1218"/>
      <c r="CH876" s="1218"/>
      <c r="CI876" s="1218"/>
      <c r="CJ876" s="1218"/>
      <c r="CK876" s="1218"/>
      <c r="CL876" s="1218"/>
      <c r="CM876" s="1218"/>
      <c r="CN876" s="1218"/>
      <c r="CO876" s="1218"/>
      <c r="CP876" s="1218"/>
      <c r="CQ876" s="1218"/>
      <c r="CR876" s="1218"/>
      <c r="CS876" s="1218"/>
      <c r="CT876" s="1218"/>
      <c r="CU876" s="1218"/>
      <c r="CV876" s="1218"/>
      <c r="CW876" s="1218"/>
      <c r="CX876" s="1218"/>
      <c r="CY876" s="1218"/>
      <c r="CZ876" s="1218"/>
      <c r="DA876" s="1218"/>
      <c r="DB876" s="1218"/>
      <c r="DC876" s="1218"/>
      <c r="DD876" s="1218"/>
      <c r="DE876" s="1218"/>
      <c r="DF876" s="1218"/>
      <c r="DG876" s="1218"/>
      <c r="DH876" s="1218"/>
      <c r="DI876" s="1218"/>
      <c r="DJ876" s="1218"/>
      <c r="DK876" s="1218"/>
      <c r="DL876" s="1218"/>
      <c r="DM876" s="1218"/>
      <c r="DN876" s="1218"/>
      <c r="DO876" s="1218"/>
      <c r="DP876" s="1218"/>
      <c r="DQ876" s="1218"/>
      <c r="DR876" s="1218"/>
      <c r="DS876" s="1218"/>
      <c r="DT876" s="1218"/>
      <c r="DU876" s="1218"/>
      <c r="DV876" s="1218"/>
      <c r="DW876" s="1218"/>
      <c r="DX876" s="1218"/>
      <c r="DY876" s="1218"/>
      <c r="DZ876" s="1218"/>
      <c r="EA876" s="1218"/>
      <c r="EB876" s="1218"/>
      <c r="EC876" s="1218"/>
      <c r="ED876" s="1218"/>
      <c r="EE876" s="1218"/>
      <c r="EF876" s="1218"/>
      <c r="EG876" s="1218"/>
      <c r="EH876" s="1218"/>
      <c r="EI876" s="1218"/>
      <c r="EJ876" s="1218"/>
      <c r="EK876" s="1218"/>
      <c r="EL876" s="1218"/>
      <c r="EM876" s="1218"/>
      <c r="EN876" s="1218"/>
      <c r="EO876" s="1218"/>
      <c r="EP876" s="1218"/>
      <c r="EQ876" s="1218"/>
      <c r="ER876" s="1218"/>
      <c r="ES876" s="1218"/>
      <c r="ET876" s="1218"/>
      <c r="EU876" s="1218"/>
      <c r="EV876" s="1218"/>
      <c r="EW876" s="1218"/>
      <c r="EX876" s="1218"/>
      <c r="EY876" s="1218"/>
      <c r="EZ876" s="1218"/>
      <c r="FA876" s="1218"/>
      <c r="FB876" s="1218"/>
      <c r="FC876" s="1218"/>
      <c r="FD876" s="1218"/>
      <c r="FE876" s="1218"/>
      <c r="FF876" s="1218"/>
      <c r="FG876" s="1218"/>
      <c r="FH876" s="1218"/>
      <c r="FI876" s="1218"/>
      <c r="FJ876" s="1218"/>
      <c r="FK876" s="1218"/>
      <c r="FL876" s="1218"/>
      <c r="FM876" s="1218"/>
      <c r="FN876" s="1218"/>
      <c r="FO876" s="1218"/>
      <c r="FP876" s="1218"/>
      <c r="FQ876" s="1218"/>
      <c r="FR876" s="1218"/>
      <c r="FS876" s="1218"/>
      <c r="FT876" s="1218"/>
      <c r="FU876" s="1218"/>
      <c r="FV876" s="1218"/>
      <c r="FW876" s="1218"/>
      <c r="FX876" s="1218"/>
      <c r="FY876" s="1218"/>
      <c r="FZ876" s="1218"/>
      <c r="GA876" s="1218"/>
      <c r="GB876" s="1218"/>
      <c r="GC876" s="1218"/>
      <c r="GD876" s="1218"/>
      <c r="GE876" s="1218"/>
      <c r="GF876" s="1218"/>
      <c r="GG876" s="1218"/>
      <c r="GH876" s="1218"/>
      <c r="GI876" s="1218"/>
      <c r="GJ876" s="1218"/>
      <c r="GK876" s="1218"/>
      <c r="GL876" s="1218"/>
      <c r="GM876" s="1218"/>
      <c r="GN876" s="1218"/>
      <c r="GO876" s="1218"/>
      <c r="GP876" s="1218"/>
      <c r="GQ876" s="1218"/>
      <c r="GR876" s="1218"/>
      <c r="GS876" s="1218"/>
      <c r="GT876" s="1218"/>
      <c r="GU876" s="1218"/>
      <c r="GV876" s="1218"/>
      <c r="GW876" s="1218"/>
      <c r="GX876" s="1218"/>
      <c r="GY876" s="1218"/>
      <c r="GZ876" s="1218"/>
      <c r="HA876" s="1218"/>
      <c r="HB876" s="1218"/>
      <c r="HC876" s="1218"/>
      <c r="HD876" s="1218"/>
      <c r="HE876" s="1218"/>
      <c r="HF876" s="1218"/>
      <c r="HG876" s="1218"/>
      <c r="HH876" s="1218"/>
      <c r="HI876" s="1218"/>
      <c r="HJ876" s="1218"/>
      <c r="HK876" s="1218"/>
      <c r="HL876" s="1218"/>
      <c r="HM876" s="1218"/>
      <c r="HN876" s="1218"/>
      <c r="HO876" s="1218"/>
      <c r="HP876" s="1218"/>
      <c r="HQ876" s="1218"/>
      <c r="HR876" s="1218"/>
      <c r="HS876" s="1218"/>
      <c r="HT876" s="1218"/>
      <c r="HU876" s="1218"/>
      <c r="HV876" s="1218"/>
      <c r="HW876" s="1218"/>
      <c r="HX876" s="1218"/>
      <c r="HY876" s="1218"/>
      <c r="HZ876" s="1218"/>
      <c r="IA876" s="1218"/>
      <c r="IB876" s="1218"/>
      <c r="IC876" s="1218"/>
      <c r="ID876" s="1218"/>
      <c r="IE876" s="1218"/>
      <c r="IF876" s="1218"/>
      <c r="IG876" s="1218"/>
      <c r="IH876" s="1218"/>
      <c r="II876" s="1218"/>
      <c r="IJ876" s="1218"/>
      <c r="IK876" s="1218"/>
      <c r="IL876" s="1218"/>
      <c r="IM876" s="1218"/>
      <c r="IN876" s="1218"/>
    </row>
    <row r="877" spans="1:248" s="1312" customFormat="1" ht="14.1" customHeight="1">
      <c r="A877" s="1318"/>
      <c r="B877" s="1160" t="s">
        <v>3972</v>
      </c>
      <c r="C877" s="1326" t="s">
        <v>4153</v>
      </c>
      <c r="D877" s="1314"/>
      <c r="G877" s="1218"/>
      <c r="H877" s="1218"/>
      <c r="I877" s="1218"/>
      <c r="J877" s="1218"/>
      <c r="K877" s="1218"/>
      <c r="L877" s="1218"/>
      <c r="M877" s="1218"/>
      <c r="N877" s="1218"/>
      <c r="O877" s="1218"/>
      <c r="P877" s="1218"/>
      <c r="Q877" s="1218"/>
      <c r="R877" s="1218"/>
      <c r="S877" s="1218"/>
      <c r="T877" s="1218"/>
      <c r="U877" s="1218"/>
      <c r="V877" s="1218"/>
      <c r="W877" s="1218"/>
      <c r="X877" s="1218"/>
      <c r="Y877" s="1218"/>
      <c r="Z877" s="1218"/>
      <c r="AA877" s="1218"/>
      <c r="AB877" s="1218"/>
      <c r="AC877" s="1218"/>
      <c r="AD877" s="1218"/>
      <c r="AE877" s="1218"/>
      <c r="AF877" s="1218"/>
      <c r="AG877" s="1218"/>
      <c r="AH877" s="1218"/>
      <c r="AI877" s="1218"/>
      <c r="AJ877" s="1218"/>
      <c r="AK877" s="1218"/>
      <c r="AL877" s="1218"/>
      <c r="AM877" s="1218"/>
      <c r="AN877" s="1218"/>
      <c r="AO877" s="1218"/>
      <c r="AP877" s="1218"/>
      <c r="AQ877" s="1218"/>
      <c r="AR877" s="1218"/>
      <c r="AS877" s="1218"/>
      <c r="AT877" s="1218"/>
      <c r="AU877" s="1218"/>
      <c r="AV877" s="1218"/>
      <c r="AW877" s="1218"/>
      <c r="AX877" s="1218"/>
      <c r="AY877" s="1218"/>
      <c r="AZ877" s="1218"/>
      <c r="BA877" s="1218"/>
      <c r="BB877" s="1218"/>
      <c r="BC877" s="1218"/>
      <c r="BD877" s="1218"/>
      <c r="BE877" s="1218"/>
      <c r="BF877" s="1218"/>
      <c r="BG877" s="1218"/>
      <c r="BH877" s="1218"/>
      <c r="BI877" s="1218"/>
      <c r="BJ877" s="1218"/>
      <c r="BK877" s="1218"/>
      <c r="BL877" s="1218"/>
      <c r="BM877" s="1218"/>
      <c r="BN877" s="1218"/>
      <c r="BO877" s="1218"/>
      <c r="BP877" s="1218"/>
      <c r="BQ877" s="1218"/>
      <c r="BR877" s="1218"/>
      <c r="BS877" s="1218"/>
      <c r="BT877" s="1218"/>
      <c r="BU877" s="1218"/>
      <c r="BV877" s="1218"/>
      <c r="BW877" s="1218"/>
      <c r="BX877" s="1218"/>
      <c r="BY877" s="1218"/>
      <c r="BZ877" s="1218"/>
      <c r="CA877" s="1218"/>
      <c r="CB877" s="1218"/>
      <c r="CC877" s="1218"/>
      <c r="CD877" s="1218"/>
      <c r="CE877" s="1218"/>
      <c r="CF877" s="1218"/>
      <c r="CG877" s="1218"/>
      <c r="CH877" s="1218"/>
      <c r="CI877" s="1218"/>
      <c r="CJ877" s="1218"/>
      <c r="CK877" s="1218"/>
      <c r="CL877" s="1218"/>
      <c r="CM877" s="1218"/>
      <c r="CN877" s="1218"/>
      <c r="CO877" s="1218"/>
      <c r="CP877" s="1218"/>
      <c r="CQ877" s="1218"/>
      <c r="CR877" s="1218"/>
      <c r="CS877" s="1218"/>
      <c r="CT877" s="1218"/>
      <c r="CU877" s="1218"/>
      <c r="CV877" s="1218"/>
      <c r="CW877" s="1218"/>
      <c r="CX877" s="1218"/>
      <c r="CY877" s="1218"/>
      <c r="CZ877" s="1218"/>
      <c r="DA877" s="1218"/>
      <c r="DB877" s="1218"/>
      <c r="DC877" s="1218"/>
      <c r="DD877" s="1218"/>
      <c r="DE877" s="1218"/>
      <c r="DF877" s="1218"/>
      <c r="DG877" s="1218"/>
      <c r="DH877" s="1218"/>
      <c r="DI877" s="1218"/>
      <c r="DJ877" s="1218"/>
      <c r="DK877" s="1218"/>
      <c r="DL877" s="1218"/>
      <c r="DM877" s="1218"/>
      <c r="DN877" s="1218"/>
      <c r="DO877" s="1218"/>
      <c r="DP877" s="1218"/>
      <c r="DQ877" s="1218"/>
      <c r="DR877" s="1218"/>
      <c r="DS877" s="1218"/>
      <c r="DT877" s="1218"/>
      <c r="DU877" s="1218"/>
      <c r="DV877" s="1218"/>
      <c r="DW877" s="1218"/>
      <c r="DX877" s="1218"/>
      <c r="DY877" s="1218"/>
      <c r="DZ877" s="1218"/>
      <c r="EA877" s="1218"/>
      <c r="EB877" s="1218"/>
      <c r="EC877" s="1218"/>
      <c r="ED877" s="1218"/>
      <c r="EE877" s="1218"/>
      <c r="EF877" s="1218"/>
      <c r="EG877" s="1218"/>
      <c r="EH877" s="1218"/>
      <c r="EI877" s="1218"/>
      <c r="EJ877" s="1218"/>
      <c r="EK877" s="1218"/>
      <c r="EL877" s="1218"/>
      <c r="EM877" s="1218"/>
      <c r="EN877" s="1218"/>
      <c r="EO877" s="1218"/>
      <c r="EP877" s="1218"/>
      <c r="EQ877" s="1218"/>
      <c r="ER877" s="1218"/>
      <c r="ES877" s="1218"/>
      <c r="ET877" s="1218"/>
      <c r="EU877" s="1218"/>
      <c r="EV877" s="1218"/>
      <c r="EW877" s="1218"/>
      <c r="EX877" s="1218"/>
      <c r="EY877" s="1218"/>
      <c r="EZ877" s="1218"/>
      <c r="FA877" s="1218"/>
      <c r="FB877" s="1218"/>
      <c r="FC877" s="1218"/>
      <c r="FD877" s="1218"/>
      <c r="FE877" s="1218"/>
      <c r="FF877" s="1218"/>
      <c r="FG877" s="1218"/>
      <c r="FH877" s="1218"/>
      <c r="FI877" s="1218"/>
      <c r="FJ877" s="1218"/>
      <c r="FK877" s="1218"/>
      <c r="FL877" s="1218"/>
      <c r="FM877" s="1218"/>
      <c r="FN877" s="1218"/>
      <c r="FO877" s="1218"/>
      <c r="FP877" s="1218"/>
      <c r="FQ877" s="1218"/>
      <c r="FR877" s="1218"/>
      <c r="FS877" s="1218"/>
      <c r="FT877" s="1218"/>
      <c r="FU877" s="1218"/>
      <c r="FV877" s="1218"/>
      <c r="FW877" s="1218"/>
      <c r="FX877" s="1218"/>
      <c r="FY877" s="1218"/>
      <c r="FZ877" s="1218"/>
      <c r="GA877" s="1218"/>
      <c r="GB877" s="1218"/>
      <c r="GC877" s="1218"/>
      <c r="GD877" s="1218"/>
      <c r="GE877" s="1218"/>
      <c r="GF877" s="1218"/>
      <c r="GG877" s="1218"/>
      <c r="GH877" s="1218"/>
      <c r="GI877" s="1218"/>
      <c r="GJ877" s="1218"/>
      <c r="GK877" s="1218"/>
      <c r="GL877" s="1218"/>
      <c r="GM877" s="1218"/>
      <c r="GN877" s="1218"/>
      <c r="GO877" s="1218"/>
      <c r="GP877" s="1218"/>
      <c r="GQ877" s="1218"/>
      <c r="GR877" s="1218"/>
      <c r="GS877" s="1218"/>
      <c r="GT877" s="1218"/>
      <c r="GU877" s="1218"/>
      <c r="GV877" s="1218"/>
      <c r="GW877" s="1218"/>
      <c r="GX877" s="1218"/>
      <c r="GY877" s="1218"/>
      <c r="GZ877" s="1218"/>
      <c r="HA877" s="1218"/>
      <c r="HB877" s="1218"/>
      <c r="HC877" s="1218"/>
      <c r="HD877" s="1218"/>
      <c r="HE877" s="1218"/>
      <c r="HF877" s="1218"/>
      <c r="HG877" s="1218"/>
      <c r="HH877" s="1218"/>
      <c r="HI877" s="1218"/>
      <c r="HJ877" s="1218"/>
      <c r="HK877" s="1218"/>
      <c r="HL877" s="1218"/>
      <c r="HM877" s="1218"/>
      <c r="HN877" s="1218"/>
      <c r="HO877" s="1218"/>
      <c r="HP877" s="1218"/>
      <c r="HQ877" s="1218"/>
      <c r="HR877" s="1218"/>
      <c r="HS877" s="1218"/>
      <c r="HT877" s="1218"/>
      <c r="HU877" s="1218"/>
      <c r="HV877" s="1218"/>
      <c r="HW877" s="1218"/>
      <c r="HX877" s="1218"/>
      <c r="HY877" s="1218"/>
      <c r="HZ877" s="1218"/>
      <c r="IA877" s="1218"/>
      <c r="IB877" s="1218"/>
      <c r="IC877" s="1218"/>
      <c r="ID877" s="1218"/>
      <c r="IE877" s="1218"/>
      <c r="IF877" s="1218"/>
      <c r="IG877" s="1218"/>
      <c r="IH877" s="1218"/>
      <c r="II877" s="1218"/>
      <c r="IJ877" s="1218"/>
      <c r="IK877" s="1218"/>
      <c r="IL877" s="1218"/>
      <c r="IM877" s="1218"/>
      <c r="IN877" s="1218"/>
    </row>
    <row r="878" spans="1:248" s="1312" customFormat="1" ht="14.1" customHeight="1">
      <c r="A878" s="1318"/>
      <c r="B878" s="1313"/>
      <c r="C878" s="1326" t="s">
        <v>4154</v>
      </c>
      <c r="D878" s="1314"/>
      <c r="G878" s="1218"/>
      <c r="H878" s="1218"/>
      <c r="I878" s="1218"/>
      <c r="J878" s="1218"/>
      <c r="K878" s="1218"/>
      <c r="L878" s="1218"/>
      <c r="M878" s="1218"/>
      <c r="N878" s="1218"/>
      <c r="O878" s="1218"/>
      <c r="P878" s="1218"/>
      <c r="Q878" s="1218"/>
      <c r="R878" s="1218"/>
      <c r="S878" s="1218"/>
      <c r="T878" s="1218"/>
      <c r="U878" s="1218"/>
      <c r="V878" s="1218"/>
      <c r="W878" s="1218"/>
      <c r="X878" s="1218"/>
      <c r="Y878" s="1218"/>
      <c r="Z878" s="1218"/>
      <c r="AA878" s="1218"/>
      <c r="AB878" s="1218"/>
      <c r="AC878" s="1218"/>
      <c r="AD878" s="1218"/>
      <c r="AE878" s="1218"/>
      <c r="AF878" s="1218"/>
      <c r="AG878" s="1218"/>
      <c r="AH878" s="1218"/>
      <c r="AI878" s="1218"/>
      <c r="AJ878" s="1218"/>
      <c r="AK878" s="1218"/>
      <c r="AL878" s="1218"/>
      <c r="AM878" s="1218"/>
      <c r="AN878" s="1218"/>
      <c r="AO878" s="1218"/>
      <c r="AP878" s="1218"/>
      <c r="AQ878" s="1218"/>
      <c r="AR878" s="1218"/>
      <c r="AS878" s="1218"/>
      <c r="AT878" s="1218"/>
      <c r="AU878" s="1218"/>
      <c r="AV878" s="1218"/>
      <c r="AW878" s="1218"/>
      <c r="AX878" s="1218"/>
      <c r="AY878" s="1218"/>
      <c r="AZ878" s="1218"/>
      <c r="BA878" s="1218"/>
      <c r="BB878" s="1218"/>
      <c r="BC878" s="1218"/>
      <c r="BD878" s="1218"/>
      <c r="BE878" s="1218"/>
      <c r="BF878" s="1218"/>
      <c r="BG878" s="1218"/>
      <c r="BH878" s="1218"/>
      <c r="BI878" s="1218"/>
      <c r="BJ878" s="1218"/>
      <c r="BK878" s="1218"/>
      <c r="BL878" s="1218"/>
      <c r="BM878" s="1218"/>
      <c r="BN878" s="1218"/>
      <c r="BO878" s="1218"/>
      <c r="BP878" s="1218"/>
      <c r="BQ878" s="1218"/>
      <c r="BR878" s="1218"/>
      <c r="BS878" s="1218"/>
      <c r="BT878" s="1218"/>
      <c r="BU878" s="1218"/>
      <c r="BV878" s="1218"/>
      <c r="BW878" s="1218"/>
      <c r="BX878" s="1218"/>
      <c r="BY878" s="1218"/>
      <c r="BZ878" s="1218"/>
      <c r="CA878" s="1218"/>
      <c r="CB878" s="1218"/>
      <c r="CC878" s="1218"/>
      <c r="CD878" s="1218"/>
      <c r="CE878" s="1218"/>
      <c r="CF878" s="1218"/>
      <c r="CG878" s="1218"/>
      <c r="CH878" s="1218"/>
      <c r="CI878" s="1218"/>
      <c r="CJ878" s="1218"/>
      <c r="CK878" s="1218"/>
      <c r="CL878" s="1218"/>
      <c r="CM878" s="1218"/>
      <c r="CN878" s="1218"/>
      <c r="CO878" s="1218"/>
      <c r="CP878" s="1218"/>
      <c r="CQ878" s="1218"/>
      <c r="CR878" s="1218"/>
      <c r="CS878" s="1218"/>
      <c r="CT878" s="1218"/>
      <c r="CU878" s="1218"/>
      <c r="CV878" s="1218"/>
      <c r="CW878" s="1218"/>
      <c r="CX878" s="1218"/>
      <c r="CY878" s="1218"/>
      <c r="CZ878" s="1218"/>
      <c r="DA878" s="1218"/>
      <c r="DB878" s="1218"/>
      <c r="DC878" s="1218"/>
      <c r="DD878" s="1218"/>
      <c r="DE878" s="1218"/>
      <c r="DF878" s="1218"/>
      <c r="DG878" s="1218"/>
      <c r="DH878" s="1218"/>
      <c r="DI878" s="1218"/>
      <c r="DJ878" s="1218"/>
      <c r="DK878" s="1218"/>
      <c r="DL878" s="1218"/>
      <c r="DM878" s="1218"/>
      <c r="DN878" s="1218"/>
      <c r="DO878" s="1218"/>
      <c r="DP878" s="1218"/>
      <c r="DQ878" s="1218"/>
      <c r="DR878" s="1218"/>
      <c r="DS878" s="1218"/>
      <c r="DT878" s="1218"/>
      <c r="DU878" s="1218"/>
      <c r="DV878" s="1218"/>
      <c r="DW878" s="1218"/>
      <c r="DX878" s="1218"/>
      <c r="DY878" s="1218"/>
      <c r="DZ878" s="1218"/>
      <c r="EA878" s="1218"/>
      <c r="EB878" s="1218"/>
      <c r="EC878" s="1218"/>
      <c r="ED878" s="1218"/>
      <c r="EE878" s="1218"/>
      <c r="EF878" s="1218"/>
      <c r="EG878" s="1218"/>
      <c r="EH878" s="1218"/>
      <c r="EI878" s="1218"/>
      <c r="EJ878" s="1218"/>
      <c r="EK878" s="1218"/>
      <c r="EL878" s="1218"/>
      <c r="EM878" s="1218"/>
      <c r="EN878" s="1218"/>
      <c r="EO878" s="1218"/>
      <c r="EP878" s="1218"/>
      <c r="EQ878" s="1218"/>
      <c r="ER878" s="1218"/>
      <c r="ES878" s="1218"/>
      <c r="ET878" s="1218"/>
      <c r="EU878" s="1218"/>
      <c r="EV878" s="1218"/>
      <c r="EW878" s="1218"/>
      <c r="EX878" s="1218"/>
      <c r="EY878" s="1218"/>
      <c r="EZ878" s="1218"/>
      <c r="FA878" s="1218"/>
      <c r="FB878" s="1218"/>
      <c r="FC878" s="1218"/>
      <c r="FD878" s="1218"/>
      <c r="FE878" s="1218"/>
      <c r="FF878" s="1218"/>
      <c r="FG878" s="1218"/>
      <c r="FH878" s="1218"/>
      <c r="FI878" s="1218"/>
      <c r="FJ878" s="1218"/>
      <c r="FK878" s="1218"/>
      <c r="FL878" s="1218"/>
      <c r="FM878" s="1218"/>
      <c r="FN878" s="1218"/>
      <c r="FO878" s="1218"/>
      <c r="FP878" s="1218"/>
      <c r="FQ878" s="1218"/>
      <c r="FR878" s="1218"/>
      <c r="FS878" s="1218"/>
      <c r="FT878" s="1218"/>
      <c r="FU878" s="1218"/>
      <c r="FV878" s="1218"/>
      <c r="FW878" s="1218"/>
      <c r="FX878" s="1218"/>
      <c r="FY878" s="1218"/>
      <c r="FZ878" s="1218"/>
      <c r="GA878" s="1218"/>
      <c r="GB878" s="1218"/>
      <c r="GC878" s="1218"/>
      <c r="GD878" s="1218"/>
      <c r="GE878" s="1218"/>
      <c r="GF878" s="1218"/>
      <c r="GG878" s="1218"/>
      <c r="GH878" s="1218"/>
      <c r="GI878" s="1218"/>
      <c r="GJ878" s="1218"/>
      <c r="GK878" s="1218"/>
      <c r="GL878" s="1218"/>
      <c r="GM878" s="1218"/>
      <c r="GN878" s="1218"/>
      <c r="GO878" s="1218"/>
      <c r="GP878" s="1218"/>
      <c r="GQ878" s="1218"/>
      <c r="GR878" s="1218"/>
      <c r="GS878" s="1218"/>
      <c r="GT878" s="1218"/>
      <c r="GU878" s="1218"/>
      <c r="GV878" s="1218"/>
      <c r="GW878" s="1218"/>
      <c r="GX878" s="1218"/>
      <c r="GY878" s="1218"/>
      <c r="GZ878" s="1218"/>
      <c r="HA878" s="1218"/>
      <c r="HB878" s="1218"/>
      <c r="HC878" s="1218"/>
      <c r="HD878" s="1218"/>
      <c r="HE878" s="1218"/>
      <c r="HF878" s="1218"/>
      <c r="HG878" s="1218"/>
      <c r="HH878" s="1218"/>
      <c r="HI878" s="1218"/>
      <c r="HJ878" s="1218"/>
      <c r="HK878" s="1218"/>
      <c r="HL878" s="1218"/>
      <c r="HM878" s="1218"/>
      <c r="HN878" s="1218"/>
      <c r="HO878" s="1218"/>
      <c r="HP878" s="1218"/>
      <c r="HQ878" s="1218"/>
      <c r="HR878" s="1218"/>
      <c r="HS878" s="1218"/>
      <c r="HT878" s="1218"/>
      <c r="HU878" s="1218"/>
      <c r="HV878" s="1218"/>
      <c r="HW878" s="1218"/>
      <c r="HX878" s="1218"/>
      <c r="HY878" s="1218"/>
      <c r="HZ878" s="1218"/>
      <c r="IA878" s="1218"/>
      <c r="IB878" s="1218"/>
      <c r="IC878" s="1218"/>
      <c r="ID878" s="1218"/>
      <c r="IE878" s="1218"/>
      <c r="IF878" s="1218"/>
      <c r="IG878" s="1218"/>
      <c r="IH878" s="1218"/>
      <c r="II878" s="1218"/>
      <c r="IJ878" s="1218"/>
      <c r="IK878" s="1218"/>
      <c r="IL878" s="1218"/>
      <c r="IM878" s="1218"/>
      <c r="IN878" s="1218"/>
    </row>
    <row r="879" spans="1:248" s="1312" customFormat="1" ht="14.1" customHeight="1">
      <c r="A879" s="1318"/>
      <c r="B879" s="1313"/>
      <c r="C879" s="1320"/>
      <c r="D879" s="1314"/>
      <c r="G879" s="1218"/>
      <c r="H879" s="1218"/>
      <c r="I879" s="1218"/>
      <c r="J879" s="1218"/>
      <c r="K879" s="1218"/>
      <c r="L879" s="1218"/>
      <c r="M879" s="1218"/>
      <c r="N879" s="1218"/>
      <c r="O879" s="1218"/>
      <c r="P879" s="1218"/>
      <c r="Q879" s="1218"/>
      <c r="R879" s="1218"/>
      <c r="S879" s="1218"/>
      <c r="T879" s="1218"/>
      <c r="U879" s="1218"/>
      <c r="V879" s="1218"/>
      <c r="W879" s="1218"/>
      <c r="X879" s="1218"/>
      <c r="Y879" s="1218"/>
      <c r="Z879" s="1218"/>
      <c r="AA879" s="1218"/>
      <c r="AB879" s="1218"/>
      <c r="AC879" s="1218"/>
      <c r="AD879" s="1218"/>
      <c r="AE879" s="1218"/>
      <c r="AF879" s="1218"/>
      <c r="AG879" s="1218"/>
      <c r="AH879" s="1218"/>
      <c r="AI879" s="1218"/>
      <c r="AJ879" s="1218"/>
      <c r="AK879" s="1218"/>
      <c r="AL879" s="1218"/>
      <c r="AM879" s="1218"/>
      <c r="AN879" s="1218"/>
      <c r="AO879" s="1218"/>
      <c r="AP879" s="1218"/>
      <c r="AQ879" s="1218"/>
      <c r="AR879" s="1218"/>
      <c r="AS879" s="1218"/>
      <c r="AT879" s="1218"/>
      <c r="AU879" s="1218"/>
      <c r="AV879" s="1218"/>
      <c r="AW879" s="1218"/>
      <c r="AX879" s="1218"/>
      <c r="AY879" s="1218"/>
      <c r="AZ879" s="1218"/>
      <c r="BA879" s="1218"/>
      <c r="BB879" s="1218"/>
      <c r="BC879" s="1218"/>
      <c r="BD879" s="1218"/>
      <c r="BE879" s="1218"/>
      <c r="BF879" s="1218"/>
      <c r="BG879" s="1218"/>
      <c r="BH879" s="1218"/>
      <c r="BI879" s="1218"/>
      <c r="BJ879" s="1218"/>
      <c r="BK879" s="1218"/>
      <c r="BL879" s="1218"/>
      <c r="BM879" s="1218"/>
      <c r="BN879" s="1218"/>
      <c r="BO879" s="1218"/>
      <c r="BP879" s="1218"/>
      <c r="BQ879" s="1218"/>
      <c r="BR879" s="1218"/>
      <c r="BS879" s="1218"/>
      <c r="BT879" s="1218"/>
      <c r="BU879" s="1218"/>
      <c r="BV879" s="1218"/>
      <c r="BW879" s="1218"/>
      <c r="BX879" s="1218"/>
      <c r="BY879" s="1218"/>
      <c r="BZ879" s="1218"/>
      <c r="CA879" s="1218"/>
      <c r="CB879" s="1218"/>
      <c r="CC879" s="1218"/>
      <c r="CD879" s="1218"/>
      <c r="CE879" s="1218"/>
      <c r="CF879" s="1218"/>
      <c r="CG879" s="1218"/>
      <c r="CH879" s="1218"/>
      <c r="CI879" s="1218"/>
      <c r="CJ879" s="1218"/>
      <c r="CK879" s="1218"/>
      <c r="CL879" s="1218"/>
      <c r="CM879" s="1218"/>
      <c r="CN879" s="1218"/>
      <c r="CO879" s="1218"/>
      <c r="CP879" s="1218"/>
      <c r="CQ879" s="1218"/>
      <c r="CR879" s="1218"/>
      <c r="CS879" s="1218"/>
      <c r="CT879" s="1218"/>
      <c r="CU879" s="1218"/>
      <c r="CV879" s="1218"/>
      <c r="CW879" s="1218"/>
      <c r="CX879" s="1218"/>
      <c r="CY879" s="1218"/>
      <c r="CZ879" s="1218"/>
      <c r="DA879" s="1218"/>
      <c r="DB879" s="1218"/>
      <c r="DC879" s="1218"/>
      <c r="DD879" s="1218"/>
      <c r="DE879" s="1218"/>
      <c r="DF879" s="1218"/>
      <c r="DG879" s="1218"/>
      <c r="DH879" s="1218"/>
      <c r="DI879" s="1218"/>
      <c r="DJ879" s="1218"/>
      <c r="DK879" s="1218"/>
      <c r="DL879" s="1218"/>
      <c r="DM879" s="1218"/>
      <c r="DN879" s="1218"/>
      <c r="DO879" s="1218"/>
      <c r="DP879" s="1218"/>
      <c r="DQ879" s="1218"/>
      <c r="DR879" s="1218"/>
      <c r="DS879" s="1218"/>
      <c r="DT879" s="1218"/>
      <c r="DU879" s="1218"/>
      <c r="DV879" s="1218"/>
      <c r="DW879" s="1218"/>
      <c r="DX879" s="1218"/>
      <c r="DY879" s="1218"/>
      <c r="DZ879" s="1218"/>
      <c r="EA879" s="1218"/>
      <c r="EB879" s="1218"/>
      <c r="EC879" s="1218"/>
      <c r="ED879" s="1218"/>
      <c r="EE879" s="1218"/>
      <c r="EF879" s="1218"/>
      <c r="EG879" s="1218"/>
      <c r="EH879" s="1218"/>
      <c r="EI879" s="1218"/>
      <c r="EJ879" s="1218"/>
      <c r="EK879" s="1218"/>
      <c r="EL879" s="1218"/>
      <c r="EM879" s="1218"/>
      <c r="EN879" s="1218"/>
      <c r="EO879" s="1218"/>
      <c r="EP879" s="1218"/>
      <c r="EQ879" s="1218"/>
      <c r="ER879" s="1218"/>
      <c r="ES879" s="1218"/>
      <c r="ET879" s="1218"/>
      <c r="EU879" s="1218"/>
      <c r="EV879" s="1218"/>
      <c r="EW879" s="1218"/>
      <c r="EX879" s="1218"/>
      <c r="EY879" s="1218"/>
      <c r="EZ879" s="1218"/>
      <c r="FA879" s="1218"/>
      <c r="FB879" s="1218"/>
      <c r="FC879" s="1218"/>
      <c r="FD879" s="1218"/>
      <c r="FE879" s="1218"/>
      <c r="FF879" s="1218"/>
      <c r="FG879" s="1218"/>
      <c r="FH879" s="1218"/>
      <c r="FI879" s="1218"/>
      <c r="FJ879" s="1218"/>
      <c r="FK879" s="1218"/>
      <c r="FL879" s="1218"/>
      <c r="FM879" s="1218"/>
      <c r="FN879" s="1218"/>
      <c r="FO879" s="1218"/>
      <c r="FP879" s="1218"/>
      <c r="FQ879" s="1218"/>
      <c r="FR879" s="1218"/>
      <c r="FS879" s="1218"/>
      <c r="FT879" s="1218"/>
      <c r="FU879" s="1218"/>
      <c r="FV879" s="1218"/>
      <c r="FW879" s="1218"/>
      <c r="FX879" s="1218"/>
      <c r="FY879" s="1218"/>
      <c r="FZ879" s="1218"/>
      <c r="GA879" s="1218"/>
      <c r="GB879" s="1218"/>
      <c r="GC879" s="1218"/>
      <c r="GD879" s="1218"/>
      <c r="GE879" s="1218"/>
      <c r="GF879" s="1218"/>
      <c r="GG879" s="1218"/>
      <c r="GH879" s="1218"/>
      <c r="GI879" s="1218"/>
      <c r="GJ879" s="1218"/>
      <c r="GK879" s="1218"/>
      <c r="GL879" s="1218"/>
      <c r="GM879" s="1218"/>
      <c r="GN879" s="1218"/>
      <c r="GO879" s="1218"/>
      <c r="GP879" s="1218"/>
      <c r="GQ879" s="1218"/>
      <c r="GR879" s="1218"/>
      <c r="GS879" s="1218"/>
      <c r="GT879" s="1218"/>
      <c r="GU879" s="1218"/>
      <c r="GV879" s="1218"/>
      <c r="GW879" s="1218"/>
      <c r="GX879" s="1218"/>
      <c r="GY879" s="1218"/>
      <c r="GZ879" s="1218"/>
      <c r="HA879" s="1218"/>
      <c r="HB879" s="1218"/>
      <c r="HC879" s="1218"/>
      <c r="HD879" s="1218"/>
      <c r="HE879" s="1218"/>
      <c r="HF879" s="1218"/>
      <c r="HG879" s="1218"/>
      <c r="HH879" s="1218"/>
      <c r="HI879" s="1218"/>
      <c r="HJ879" s="1218"/>
      <c r="HK879" s="1218"/>
      <c r="HL879" s="1218"/>
      <c r="HM879" s="1218"/>
      <c r="HN879" s="1218"/>
      <c r="HO879" s="1218"/>
      <c r="HP879" s="1218"/>
      <c r="HQ879" s="1218"/>
      <c r="HR879" s="1218"/>
      <c r="HS879" s="1218"/>
      <c r="HT879" s="1218"/>
      <c r="HU879" s="1218"/>
      <c r="HV879" s="1218"/>
      <c r="HW879" s="1218"/>
      <c r="HX879" s="1218"/>
      <c r="HY879" s="1218"/>
      <c r="HZ879" s="1218"/>
      <c r="IA879" s="1218"/>
      <c r="IB879" s="1218"/>
      <c r="IC879" s="1218"/>
      <c r="ID879" s="1218"/>
      <c r="IE879" s="1218"/>
      <c r="IF879" s="1218"/>
      <c r="IG879" s="1218"/>
      <c r="IH879" s="1218"/>
      <c r="II879" s="1218"/>
      <c r="IJ879" s="1218"/>
      <c r="IK879" s="1218"/>
      <c r="IL879" s="1218"/>
      <c r="IM879" s="1218"/>
      <c r="IN879" s="1218"/>
    </row>
    <row r="880" spans="1:248" s="1312" customFormat="1" ht="14.1" customHeight="1">
      <c r="A880" s="1318"/>
      <c r="B880" s="1160" t="s">
        <v>3973</v>
      </c>
      <c r="C880" s="1326" t="s">
        <v>4155</v>
      </c>
      <c r="D880" s="1314"/>
      <c r="G880" s="1218"/>
      <c r="H880" s="1218"/>
      <c r="I880" s="1218"/>
      <c r="J880" s="1218"/>
      <c r="K880" s="1218"/>
      <c r="L880" s="1218"/>
      <c r="M880" s="1218"/>
      <c r="N880" s="1218"/>
      <c r="O880" s="1218"/>
      <c r="P880" s="1218"/>
      <c r="Q880" s="1218"/>
      <c r="R880" s="1218"/>
      <c r="S880" s="1218"/>
      <c r="T880" s="1218"/>
      <c r="U880" s="1218"/>
      <c r="V880" s="1218"/>
      <c r="W880" s="1218"/>
      <c r="X880" s="1218"/>
      <c r="Y880" s="1218"/>
      <c r="Z880" s="1218"/>
      <c r="AA880" s="1218"/>
      <c r="AB880" s="1218"/>
      <c r="AC880" s="1218"/>
      <c r="AD880" s="1218"/>
      <c r="AE880" s="1218"/>
      <c r="AF880" s="1218"/>
      <c r="AG880" s="1218"/>
      <c r="AH880" s="1218"/>
      <c r="AI880" s="1218"/>
      <c r="AJ880" s="1218"/>
      <c r="AK880" s="1218"/>
      <c r="AL880" s="1218"/>
      <c r="AM880" s="1218"/>
      <c r="AN880" s="1218"/>
      <c r="AO880" s="1218"/>
      <c r="AP880" s="1218"/>
      <c r="AQ880" s="1218"/>
      <c r="AR880" s="1218"/>
      <c r="AS880" s="1218"/>
      <c r="AT880" s="1218"/>
      <c r="AU880" s="1218"/>
      <c r="AV880" s="1218"/>
      <c r="AW880" s="1218"/>
      <c r="AX880" s="1218"/>
      <c r="AY880" s="1218"/>
      <c r="AZ880" s="1218"/>
      <c r="BA880" s="1218"/>
      <c r="BB880" s="1218"/>
      <c r="BC880" s="1218"/>
      <c r="BD880" s="1218"/>
      <c r="BE880" s="1218"/>
      <c r="BF880" s="1218"/>
      <c r="BG880" s="1218"/>
      <c r="BH880" s="1218"/>
      <c r="BI880" s="1218"/>
      <c r="BJ880" s="1218"/>
      <c r="BK880" s="1218"/>
      <c r="BL880" s="1218"/>
      <c r="BM880" s="1218"/>
      <c r="BN880" s="1218"/>
      <c r="BO880" s="1218"/>
      <c r="BP880" s="1218"/>
      <c r="BQ880" s="1218"/>
      <c r="BR880" s="1218"/>
      <c r="BS880" s="1218"/>
      <c r="BT880" s="1218"/>
      <c r="BU880" s="1218"/>
      <c r="BV880" s="1218"/>
      <c r="BW880" s="1218"/>
      <c r="BX880" s="1218"/>
      <c r="BY880" s="1218"/>
      <c r="BZ880" s="1218"/>
      <c r="CA880" s="1218"/>
      <c r="CB880" s="1218"/>
      <c r="CC880" s="1218"/>
      <c r="CD880" s="1218"/>
      <c r="CE880" s="1218"/>
      <c r="CF880" s="1218"/>
      <c r="CG880" s="1218"/>
      <c r="CH880" s="1218"/>
      <c r="CI880" s="1218"/>
      <c r="CJ880" s="1218"/>
      <c r="CK880" s="1218"/>
      <c r="CL880" s="1218"/>
      <c r="CM880" s="1218"/>
      <c r="CN880" s="1218"/>
      <c r="CO880" s="1218"/>
      <c r="CP880" s="1218"/>
      <c r="CQ880" s="1218"/>
      <c r="CR880" s="1218"/>
      <c r="CS880" s="1218"/>
      <c r="CT880" s="1218"/>
      <c r="CU880" s="1218"/>
      <c r="CV880" s="1218"/>
      <c r="CW880" s="1218"/>
      <c r="CX880" s="1218"/>
      <c r="CY880" s="1218"/>
      <c r="CZ880" s="1218"/>
      <c r="DA880" s="1218"/>
      <c r="DB880" s="1218"/>
      <c r="DC880" s="1218"/>
      <c r="DD880" s="1218"/>
      <c r="DE880" s="1218"/>
      <c r="DF880" s="1218"/>
      <c r="DG880" s="1218"/>
      <c r="DH880" s="1218"/>
      <c r="DI880" s="1218"/>
      <c r="DJ880" s="1218"/>
      <c r="DK880" s="1218"/>
      <c r="DL880" s="1218"/>
      <c r="DM880" s="1218"/>
      <c r="DN880" s="1218"/>
      <c r="DO880" s="1218"/>
      <c r="DP880" s="1218"/>
      <c r="DQ880" s="1218"/>
      <c r="DR880" s="1218"/>
      <c r="DS880" s="1218"/>
      <c r="DT880" s="1218"/>
      <c r="DU880" s="1218"/>
      <c r="DV880" s="1218"/>
      <c r="DW880" s="1218"/>
      <c r="DX880" s="1218"/>
      <c r="DY880" s="1218"/>
      <c r="DZ880" s="1218"/>
      <c r="EA880" s="1218"/>
      <c r="EB880" s="1218"/>
      <c r="EC880" s="1218"/>
      <c r="ED880" s="1218"/>
      <c r="EE880" s="1218"/>
      <c r="EF880" s="1218"/>
      <c r="EG880" s="1218"/>
      <c r="EH880" s="1218"/>
      <c r="EI880" s="1218"/>
      <c r="EJ880" s="1218"/>
      <c r="EK880" s="1218"/>
      <c r="EL880" s="1218"/>
      <c r="EM880" s="1218"/>
      <c r="EN880" s="1218"/>
      <c r="EO880" s="1218"/>
      <c r="EP880" s="1218"/>
      <c r="EQ880" s="1218"/>
      <c r="ER880" s="1218"/>
      <c r="ES880" s="1218"/>
      <c r="ET880" s="1218"/>
      <c r="EU880" s="1218"/>
      <c r="EV880" s="1218"/>
      <c r="EW880" s="1218"/>
      <c r="EX880" s="1218"/>
      <c r="EY880" s="1218"/>
      <c r="EZ880" s="1218"/>
      <c r="FA880" s="1218"/>
      <c r="FB880" s="1218"/>
      <c r="FC880" s="1218"/>
      <c r="FD880" s="1218"/>
      <c r="FE880" s="1218"/>
      <c r="FF880" s="1218"/>
      <c r="FG880" s="1218"/>
      <c r="FH880" s="1218"/>
      <c r="FI880" s="1218"/>
      <c r="FJ880" s="1218"/>
      <c r="FK880" s="1218"/>
      <c r="FL880" s="1218"/>
      <c r="FM880" s="1218"/>
      <c r="FN880" s="1218"/>
      <c r="FO880" s="1218"/>
      <c r="FP880" s="1218"/>
      <c r="FQ880" s="1218"/>
      <c r="FR880" s="1218"/>
      <c r="FS880" s="1218"/>
      <c r="FT880" s="1218"/>
      <c r="FU880" s="1218"/>
      <c r="FV880" s="1218"/>
      <c r="FW880" s="1218"/>
      <c r="FX880" s="1218"/>
      <c r="FY880" s="1218"/>
      <c r="FZ880" s="1218"/>
      <c r="GA880" s="1218"/>
      <c r="GB880" s="1218"/>
      <c r="GC880" s="1218"/>
      <c r="GD880" s="1218"/>
      <c r="GE880" s="1218"/>
      <c r="GF880" s="1218"/>
      <c r="GG880" s="1218"/>
      <c r="GH880" s="1218"/>
      <c r="GI880" s="1218"/>
      <c r="GJ880" s="1218"/>
      <c r="GK880" s="1218"/>
      <c r="GL880" s="1218"/>
      <c r="GM880" s="1218"/>
      <c r="GN880" s="1218"/>
      <c r="GO880" s="1218"/>
      <c r="GP880" s="1218"/>
      <c r="GQ880" s="1218"/>
      <c r="GR880" s="1218"/>
      <c r="GS880" s="1218"/>
      <c r="GT880" s="1218"/>
      <c r="GU880" s="1218"/>
      <c r="GV880" s="1218"/>
      <c r="GW880" s="1218"/>
      <c r="GX880" s="1218"/>
      <c r="GY880" s="1218"/>
      <c r="GZ880" s="1218"/>
      <c r="HA880" s="1218"/>
      <c r="HB880" s="1218"/>
      <c r="HC880" s="1218"/>
      <c r="HD880" s="1218"/>
      <c r="HE880" s="1218"/>
      <c r="HF880" s="1218"/>
      <c r="HG880" s="1218"/>
      <c r="HH880" s="1218"/>
      <c r="HI880" s="1218"/>
      <c r="HJ880" s="1218"/>
      <c r="HK880" s="1218"/>
      <c r="HL880" s="1218"/>
      <c r="HM880" s="1218"/>
      <c r="HN880" s="1218"/>
      <c r="HO880" s="1218"/>
      <c r="HP880" s="1218"/>
      <c r="HQ880" s="1218"/>
      <c r="HR880" s="1218"/>
      <c r="HS880" s="1218"/>
      <c r="HT880" s="1218"/>
      <c r="HU880" s="1218"/>
      <c r="HV880" s="1218"/>
      <c r="HW880" s="1218"/>
      <c r="HX880" s="1218"/>
      <c r="HY880" s="1218"/>
      <c r="HZ880" s="1218"/>
      <c r="IA880" s="1218"/>
      <c r="IB880" s="1218"/>
      <c r="IC880" s="1218"/>
      <c r="ID880" s="1218"/>
      <c r="IE880" s="1218"/>
      <c r="IF880" s="1218"/>
      <c r="IG880" s="1218"/>
      <c r="IH880" s="1218"/>
      <c r="II880" s="1218"/>
      <c r="IJ880" s="1218"/>
      <c r="IK880" s="1218"/>
      <c r="IL880" s="1218"/>
      <c r="IM880" s="1218"/>
      <c r="IN880" s="1218"/>
    </row>
    <row r="881" spans="1:248" s="1312" customFormat="1" ht="14.1" customHeight="1">
      <c r="A881" s="1318"/>
      <c r="B881" s="1313"/>
      <c r="C881" s="1326" t="s">
        <v>4156</v>
      </c>
      <c r="D881" s="1314"/>
      <c r="G881" s="1218"/>
      <c r="H881" s="1218"/>
      <c r="I881" s="1218"/>
      <c r="J881" s="1218"/>
      <c r="K881" s="1218"/>
      <c r="L881" s="1218"/>
      <c r="M881" s="1218"/>
      <c r="N881" s="1218"/>
      <c r="O881" s="1218"/>
      <c r="P881" s="1218"/>
      <c r="Q881" s="1218"/>
      <c r="R881" s="1218"/>
      <c r="S881" s="1218"/>
      <c r="T881" s="1218"/>
      <c r="U881" s="1218"/>
      <c r="V881" s="1218"/>
      <c r="W881" s="1218"/>
      <c r="X881" s="1218"/>
      <c r="Y881" s="1218"/>
      <c r="Z881" s="1218"/>
      <c r="AA881" s="1218"/>
      <c r="AB881" s="1218"/>
      <c r="AC881" s="1218"/>
      <c r="AD881" s="1218"/>
      <c r="AE881" s="1218"/>
      <c r="AF881" s="1218"/>
      <c r="AG881" s="1218"/>
      <c r="AH881" s="1218"/>
      <c r="AI881" s="1218"/>
      <c r="AJ881" s="1218"/>
      <c r="AK881" s="1218"/>
      <c r="AL881" s="1218"/>
      <c r="AM881" s="1218"/>
      <c r="AN881" s="1218"/>
      <c r="AO881" s="1218"/>
      <c r="AP881" s="1218"/>
      <c r="AQ881" s="1218"/>
      <c r="AR881" s="1218"/>
      <c r="AS881" s="1218"/>
      <c r="AT881" s="1218"/>
      <c r="AU881" s="1218"/>
      <c r="AV881" s="1218"/>
      <c r="AW881" s="1218"/>
      <c r="AX881" s="1218"/>
      <c r="AY881" s="1218"/>
      <c r="AZ881" s="1218"/>
      <c r="BA881" s="1218"/>
      <c r="BB881" s="1218"/>
      <c r="BC881" s="1218"/>
      <c r="BD881" s="1218"/>
      <c r="BE881" s="1218"/>
      <c r="BF881" s="1218"/>
      <c r="BG881" s="1218"/>
      <c r="BH881" s="1218"/>
      <c r="BI881" s="1218"/>
      <c r="BJ881" s="1218"/>
      <c r="BK881" s="1218"/>
      <c r="BL881" s="1218"/>
      <c r="BM881" s="1218"/>
      <c r="BN881" s="1218"/>
      <c r="BO881" s="1218"/>
      <c r="BP881" s="1218"/>
      <c r="BQ881" s="1218"/>
      <c r="BR881" s="1218"/>
      <c r="BS881" s="1218"/>
      <c r="BT881" s="1218"/>
      <c r="BU881" s="1218"/>
      <c r="BV881" s="1218"/>
      <c r="BW881" s="1218"/>
      <c r="BX881" s="1218"/>
      <c r="BY881" s="1218"/>
      <c r="BZ881" s="1218"/>
      <c r="CA881" s="1218"/>
      <c r="CB881" s="1218"/>
      <c r="CC881" s="1218"/>
      <c r="CD881" s="1218"/>
      <c r="CE881" s="1218"/>
      <c r="CF881" s="1218"/>
      <c r="CG881" s="1218"/>
      <c r="CH881" s="1218"/>
      <c r="CI881" s="1218"/>
      <c r="CJ881" s="1218"/>
      <c r="CK881" s="1218"/>
      <c r="CL881" s="1218"/>
      <c r="CM881" s="1218"/>
      <c r="CN881" s="1218"/>
      <c r="CO881" s="1218"/>
      <c r="CP881" s="1218"/>
      <c r="CQ881" s="1218"/>
      <c r="CR881" s="1218"/>
      <c r="CS881" s="1218"/>
      <c r="CT881" s="1218"/>
      <c r="CU881" s="1218"/>
      <c r="CV881" s="1218"/>
      <c r="CW881" s="1218"/>
      <c r="CX881" s="1218"/>
      <c r="CY881" s="1218"/>
      <c r="CZ881" s="1218"/>
      <c r="DA881" s="1218"/>
      <c r="DB881" s="1218"/>
      <c r="DC881" s="1218"/>
      <c r="DD881" s="1218"/>
      <c r="DE881" s="1218"/>
      <c r="DF881" s="1218"/>
      <c r="DG881" s="1218"/>
      <c r="DH881" s="1218"/>
      <c r="DI881" s="1218"/>
      <c r="DJ881" s="1218"/>
      <c r="DK881" s="1218"/>
      <c r="DL881" s="1218"/>
      <c r="DM881" s="1218"/>
      <c r="DN881" s="1218"/>
      <c r="DO881" s="1218"/>
      <c r="DP881" s="1218"/>
      <c r="DQ881" s="1218"/>
      <c r="DR881" s="1218"/>
      <c r="DS881" s="1218"/>
      <c r="DT881" s="1218"/>
      <c r="DU881" s="1218"/>
      <c r="DV881" s="1218"/>
      <c r="DW881" s="1218"/>
      <c r="DX881" s="1218"/>
      <c r="DY881" s="1218"/>
      <c r="DZ881" s="1218"/>
      <c r="EA881" s="1218"/>
      <c r="EB881" s="1218"/>
      <c r="EC881" s="1218"/>
      <c r="ED881" s="1218"/>
      <c r="EE881" s="1218"/>
      <c r="EF881" s="1218"/>
      <c r="EG881" s="1218"/>
      <c r="EH881" s="1218"/>
      <c r="EI881" s="1218"/>
      <c r="EJ881" s="1218"/>
      <c r="EK881" s="1218"/>
      <c r="EL881" s="1218"/>
      <c r="EM881" s="1218"/>
      <c r="EN881" s="1218"/>
      <c r="EO881" s="1218"/>
      <c r="EP881" s="1218"/>
      <c r="EQ881" s="1218"/>
      <c r="ER881" s="1218"/>
      <c r="ES881" s="1218"/>
      <c r="ET881" s="1218"/>
      <c r="EU881" s="1218"/>
      <c r="EV881" s="1218"/>
      <c r="EW881" s="1218"/>
      <c r="EX881" s="1218"/>
      <c r="EY881" s="1218"/>
      <c r="EZ881" s="1218"/>
      <c r="FA881" s="1218"/>
      <c r="FB881" s="1218"/>
      <c r="FC881" s="1218"/>
      <c r="FD881" s="1218"/>
      <c r="FE881" s="1218"/>
      <c r="FF881" s="1218"/>
      <c r="FG881" s="1218"/>
      <c r="FH881" s="1218"/>
      <c r="FI881" s="1218"/>
      <c r="FJ881" s="1218"/>
      <c r="FK881" s="1218"/>
      <c r="FL881" s="1218"/>
      <c r="FM881" s="1218"/>
      <c r="FN881" s="1218"/>
      <c r="FO881" s="1218"/>
      <c r="FP881" s="1218"/>
      <c r="FQ881" s="1218"/>
      <c r="FR881" s="1218"/>
      <c r="FS881" s="1218"/>
      <c r="FT881" s="1218"/>
      <c r="FU881" s="1218"/>
      <c r="FV881" s="1218"/>
      <c r="FW881" s="1218"/>
      <c r="FX881" s="1218"/>
      <c r="FY881" s="1218"/>
      <c r="FZ881" s="1218"/>
      <c r="GA881" s="1218"/>
      <c r="GB881" s="1218"/>
      <c r="GC881" s="1218"/>
      <c r="GD881" s="1218"/>
      <c r="GE881" s="1218"/>
      <c r="GF881" s="1218"/>
      <c r="GG881" s="1218"/>
      <c r="GH881" s="1218"/>
      <c r="GI881" s="1218"/>
      <c r="GJ881" s="1218"/>
      <c r="GK881" s="1218"/>
      <c r="GL881" s="1218"/>
      <c r="GM881" s="1218"/>
      <c r="GN881" s="1218"/>
      <c r="GO881" s="1218"/>
      <c r="GP881" s="1218"/>
      <c r="GQ881" s="1218"/>
      <c r="GR881" s="1218"/>
      <c r="GS881" s="1218"/>
      <c r="GT881" s="1218"/>
      <c r="GU881" s="1218"/>
      <c r="GV881" s="1218"/>
      <c r="GW881" s="1218"/>
      <c r="GX881" s="1218"/>
      <c r="GY881" s="1218"/>
      <c r="GZ881" s="1218"/>
      <c r="HA881" s="1218"/>
      <c r="HB881" s="1218"/>
      <c r="HC881" s="1218"/>
      <c r="HD881" s="1218"/>
      <c r="HE881" s="1218"/>
      <c r="HF881" s="1218"/>
      <c r="HG881" s="1218"/>
      <c r="HH881" s="1218"/>
      <c r="HI881" s="1218"/>
      <c r="HJ881" s="1218"/>
      <c r="HK881" s="1218"/>
      <c r="HL881" s="1218"/>
      <c r="HM881" s="1218"/>
      <c r="HN881" s="1218"/>
      <c r="HO881" s="1218"/>
      <c r="HP881" s="1218"/>
      <c r="HQ881" s="1218"/>
      <c r="HR881" s="1218"/>
      <c r="HS881" s="1218"/>
      <c r="HT881" s="1218"/>
      <c r="HU881" s="1218"/>
      <c r="HV881" s="1218"/>
      <c r="HW881" s="1218"/>
      <c r="HX881" s="1218"/>
      <c r="HY881" s="1218"/>
      <c r="HZ881" s="1218"/>
      <c r="IA881" s="1218"/>
      <c r="IB881" s="1218"/>
      <c r="IC881" s="1218"/>
      <c r="ID881" s="1218"/>
      <c r="IE881" s="1218"/>
      <c r="IF881" s="1218"/>
      <c r="IG881" s="1218"/>
      <c r="IH881" s="1218"/>
      <c r="II881" s="1218"/>
      <c r="IJ881" s="1218"/>
      <c r="IK881" s="1218"/>
      <c r="IL881" s="1218"/>
      <c r="IM881" s="1218"/>
      <c r="IN881" s="1218"/>
    </row>
    <row r="882" spans="1:248" s="1312" customFormat="1" ht="14.1" customHeight="1">
      <c r="A882" s="1318"/>
      <c r="B882" s="1313"/>
      <c r="C882" s="1320"/>
      <c r="D882" s="1314"/>
      <c r="G882" s="1218"/>
      <c r="H882" s="1218"/>
      <c r="I882" s="1218"/>
      <c r="J882" s="1218"/>
      <c r="K882" s="1218"/>
      <c r="L882" s="1218"/>
      <c r="M882" s="1218"/>
      <c r="N882" s="1218"/>
      <c r="O882" s="1218"/>
      <c r="P882" s="1218"/>
      <c r="Q882" s="1218"/>
      <c r="R882" s="1218"/>
      <c r="S882" s="1218"/>
      <c r="T882" s="1218"/>
      <c r="U882" s="1218"/>
      <c r="V882" s="1218"/>
      <c r="W882" s="1218"/>
      <c r="X882" s="1218"/>
      <c r="Y882" s="1218"/>
      <c r="Z882" s="1218"/>
      <c r="AA882" s="1218"/>
      <c r="AB882" s="1218"/>
      <c r="AC882" s="1218"/>
      <c r="AD882" s="1218"/>
      <c r="AE882" s="1218"/>
      <c r="AF882" s="1218"/>
      <c r="AG882" s="1218"/>
      <c r="AH882" s="1218"/>
      <c r="AI882" s="1218"/>
      <c r="AJ882" s="1218"/>
      <c r="AK882" s="1218"/>
      <c r="AL882" s="1218"/>
      <c r="AM882" s="1218"/>
      <c r="AN882" s="1218"/>
      <c r="AO882" s="1218"/>
      <c r="AP882" s="1218"/>
      <c r="AQ882" s="1218"/>
      <c r="AR882" s="1218"/>
      <c r="AS882" s="1218"/>
      <c r="AT882" s="1218"/>
      <c r="AU882" s="1218"/>
      <c r="AV882" s="1218"/>
      <c r="AW882" s="1218"/>
      <c r="AX882" s="1218"/>
      <c r="AY882" s="1218"/>
      <c r="AZ882" s="1218"/>
      <c r="BA882" s="1218"/>
      <c r="BB882" s="1218"/>
      <c r="BC882" s="1218"/>
      <c r="BD882" s="1218"/>
      <c r="BE882" s="1218"/>
      <c r="BF882" s="1218"/>
      <c r="BG882" s="1218"/>
      <c r="BH882" s="1218"/>
      <c r="BI882" s="1218"/>
      <c r="BJ882" s="1218"/>
      <c r="BK882" s="1218"/>
      <c r="BL882" s="1218"/>
      <c r="BM882" s="1218"/>
      <c r="BN882" s="1218"/>
      <c r="BO882" s="1218"/>
      <c r="BP882" s="1218"/>
      <c r="BQ882" s="1218"/>
      <c r="BR882" s="1218"/>
      <c r="BS882" s="1218"/>
      <c r="BT882" s="1218"/>
      <c r="BU882" s="1218"/>
      <c r="BV882" s="1218"/>
      <c r="BW882" s="1218"/>
      <c r="BX882" s="1218"/>
      <c r="BY882" s="1218"/>
      <c r="BZ882" s="1218"/>
      <c r="CA882" s="1218"/>
      <c r="CB882" s="1218"/>
      <c r="CC882" s="1218"/>
      <c r="CD882" s="1218"/>
      <c r="CE882" s="1218"/>
      <c r="CF882" s="1218"/>
      <c r="CG882" s="1218"/>
      <c r="CH882" s="1218"/>
      <c r="CI882" s="1218"/>
      <c r="CJ882" s="1218"/>
      <c r="CK882" s="1218"/>
      <c r="CL882" s="1218"/>
      <c r="CM882" s="1218"/>
      <c r="CN882" s="1218"/>
      <c r="CO882" s="1218"/>
      <c r="CP882" s="1218"/>
      <c r="CQ882" s="1218"/>
      <c r="CR882" s="1218"/>
      <c r="CS882" s="1218"/>
      <c r="CT882" s="1218"/>
      <c r="CU882" s="1218"/>
      <c r="CV882" s="1218"/>
      <c r="CW882" s="1218"/>
      <c r="CX882" s="1218"/>
      <c r="CY882" s="1218"/>
      <c r="CZ882" s="1218"/>
      <c r="DA882" s="1218"/>
      <c r="DB882" s="1218"/>
      <c r="DC882" s="1218"/>
      <c r="DD882" s="1218"/>
      <c r="DE882" s="1218"/>
      <c r="DF882" s="1218"/>
      <c r="DG882" s="1218"/>
      <c r="DH882" s="1218"/>
      <c r="DI882" s="1218"/>
      <c r="DJ882" s="1218"/>
      <c r="DK882" s="1218"/>
      <c r="DL882" s="1218"/>
      <c r="DM882" s="1218"/>
      <c r="DN882" s="1218"/>
      <c r="DO882" s="1218"/>
      <c r="DP882" s="1218"/>
      <c r="DQ882" s="1218"/>
      <c r="DR882" s="1218"/>
      <c r="DS882" s="1218"/>
      <c r="DT882" s="1218"/>
      <c r="DU882" s="1218"/>
      <c r="DV882" s="1218"/>
      <c r="DW882" s="1218"/>
      <c r="DX882" s="1218"/>
      <c r="DY882" s="1218"/>
      <c r="DZ882" s="1218"/>
      <c r="EA882" s="1218"/>
      <c r="EB882" s="1218"/>
      <c r="EC882" s="1218"/>
      <c r="ED882" s="1218"/>
      <c r="EE882" s="1218"/>
      <c r="EF882" s="1218"/>
      <c r="EG882" s="1218"/>
      <c r="EH882" s="1218"/>
      <c r="EI882" s="1218"/>
      <c r="EJ882" s="1218"/>
      <c r="EK882" s="1218"/>
      <c r="EL882" s="1218"/>
      <c r="EM882" s="1218"/>
      <c r="EN882" s="1218"/>
      <c r="EO882" s="1218"/>
      <c r="EP882" s="1218"/>
      <c r="EQ882" s="1218"/>
      <c r="ER882" s="1218"/>
      <c r="ES882" s="1218"/>
      <c r="ET882" s="1218"/>
      <c r="EU882" s="1218"/>
      <c r="EV882" s="1218"/>
      <c r="EW882" s="1218"/>
      <c r="EX882" s="1218"/>
      <c r="EY882" s="1218"/>
      <c r="EZ882" s="1218"/>
      <c r="FA882" s="1218"/>
      <c r="FB882" s="1218"/>
      <c r="FC882" s="1218"/>
      <c r="FD882" s="1218"/>
      <c r="FE882" s="1218"/>
      <c r="FF882" s="1218"/>
      <c r="FG882" s="1218"/>
      <c r="FH882" s="1218"/>
      <c r="FI882" s="1218"/>
      <c r="FJ882" s="1218"/>
      <c r="FK882" s="1218"/>
      <c r="FL882" s="1218"/>
      <c r="FM882" s="1218"/>
      <c r="FN882" s="1218"/>
      <c r="FO882" s="1218"/>
      <c r="FP882" s="1218"/>
      <c r="FQ882" s="1218"/>
      <c r="FR882" s="1218"/>
      <c r="FS882" s="1218"/>
      <c r="FT882" s="1218"/>
      <c r="FU882" s="1218"/>
      <c r="FV882" s="1218"/>
      <c r="FW882" s="1218"/>
      <c r="FX882" s="1218"/>
      <c r="FY882" s="1218"/>
      <c r="FZ882" s="1218"/>
      <c r="GA882" s="1218"/>
      <c r="GB882" s="1218"/>
      <c r="GC882" s="1218"/>
      <c r="GD882" s="1218"/>
      <c r="GE882" s="1218"/>
      <c r="GF882" s="1218"/>
      <c r="GG882" s="1218"/>
      <c r="GH882" s="1218"/>
      <c r="GI882" s="1218"/>
      <c r="GJ882" s="1218"/>
      <c r="GK882" s="1218"/>
      <c r="GL882" s="1218"/>
      <c r="GM882" s="1218"/>
      <c r="GN882" s="1218"/>
      <c r="GO882" s="1218"/>
      <c r="GP882" s="1218"/>
      <c r="GQ882" s="1218"/>
      <c r="GR882" s="1218"/>
      <c r="GS882" s="1218"/>
      <c r="GT882" s="1218"/>
      <c r="GU882" s="1218"/>
      <c r="GV882" s="1218"/>
      <c r="GW882" s="1218"/>
      <c r="GX882" s="1218"/>
      <c r="GY882" s="1218"/>
      <c r="GZ882" s="1218"/>
      <c r="HA882" s="1218"/>
      <c r="HB882" s="1218"/>
      <c r="HC882" s="1218"/>
      <c r="HD882" s="1218"/>
      <c r="HE882" s="1218"/>
      <c r="HF882" s="1218"/>
      <c r="HG882" s="1218"/>
      <c r="HH882" s="1218"/>
      <c r="HI882" s="1218"/>
      <c r="HJ882" s="1218"/>
      <c r="HK882" s="1218"/>
      <c r="HL882" s="1218"/>
      <c r="HM882" s="1218"/>
      <c r="HN882" s="1218"/>
      <c r="HO882" s="1218"/>
      <c r="HP882" s="1218"/>
      <c r="HQ882" s="1218"/>
      <c r="HR882" s="1218"/>
      <c r="HS882" s="1218"/>
      <c r="HT882" s="1218"/>
      <c r="HU882" s="1218"/>
      <c r="HV882" s="1218"/>
      <c r="HW882" s="1218"/>
      <c r="HX882" s="1218"/>
      <c r="HY882" s="1218"/>
      <c r="HZ882" s="1218"/>
      <c r="IA882" s="1218"/>
      <c r="IB882" s="1218"/>
      <c r="IC882" s="1218"/>
      <c r="ID882" s="1218"/>
      <c r="IE882" s="1218"/>
      <c r="IF882" s="1218"/>
      <c r="IG882" s="1218"/>
      <c r="IH882" s="1218"/>
      <c r="II882" s="1218"/>
      <c r="IJ882" s="1218"/>
      <c r="IK882" s="1218"/>
      <c r="IL882" s="1218"/>
      <c r="IM882" s="1218"/>
      <c r="IN882" s="1218"/>
    </row>
    <row r="883" spans="1:248" s="1312" customFormat="1" ht="14.1" customHeight="1">
      <c r="A883" s="1318"/>
      <c r="B883" s="1160" t="s">
        <v>3974</v>
      </c>
      <c r="C883" s="1326" t="s">
        <v>4157</v>
      </c>
      <c r="D883" s="1314"/>
      <c r="G883" s="1218"/>
      <c r="H883" s="1218"/>
      <c r="I883" s="1218"/>
      <c r="J883" s="1218"/>
      <c r="K883" s="1218"/>
      <c r="L883" s="1218"/>
      <c r="M883" s="1218"/>
      <c r="N883" s="1218"/>
      <c r="O883" s="1218"/>
      <c r="P883" s="1218"/>
      <c r="Q883" s="1218"/>
      <c r="R883" s="1218"/>
      <c r="S883" s="1218"/>
      <c r="T883" s="1218"/>
      <c r="U883" s="1218"/>
      <c r="V883" s="1218"/>
      <c r="W883" s="1218"/>
      <c r="X883" s="1218"/>
      <c r="Y883" s="1218"/>
      <c r="Z883" s="1218"/>
      <c r="AA883" s="1218"/>
      <c r="AB883" s="1218"/>
      <c r="AC883" s="1218"/>
      <c r="AD883" s="1218"/>
      <c r="AE883" s="1218"/>
      <c r="AF883" s="1218"/>
      <c r="AG883" s="1218"/>
      <c r="AH883" s="1218"/>
      <c r="AI883" s="1218"/>
      <c r="AJ883" s="1218"/>
      <c r="AK883" s="1218"/>
      <c r="AL883" s="1218"/>
      <c r="AM883" s="1218"/>
      <c r="AN883" s="1218"/>
      <c r="AO883" s="1218"/>
      <c r="AP883" s="1218"/>
      <c r="AQ883" s="1218"/>
      <c r="AR883" s="1218"/>
      <c r="AS883" s="1218"/>
      <c r="AT883" s="1218"/>
      <c r="AU883" s="1218"/>
      <c r="AV883" s="1218"/>
      <c r="AW883" s="1218"/>
      <c r="AX883" s="1218"/>
      <c r="AY883" s="1218"/>
      <c r="AZ883" s="1218"/>
      <c r="BA883" s="1218"/>
      <c r="BB883" s="1218"/>
      <c r="BC883" s="1218"/>
      <c r="BD883" s="1218"/>
      <c r="BE883" s="1218"/>
      <c r="BF883" s="1218"/>
      <c r="BG883" s="1218"/>
      <c r="BH883" s="1218"/>
      <c r="BI883" s="1218"/>
      <c r="BJ883" s="1218"/>
      <c r="BK883" s="1218"/>
      <c r="BL883" s="1218"/>
      <c r="BM883" s="1218"/>
      <c r="BN883" s="1218"/>
      <c r="BO883" s="1218"/>
      <c r="BP883" s="1218"/>
      <c r="BQ883" s="1218"/>
      <c r="BR883" s="1218"/>
      <c r="BS883" s="1218"/>
      <c r="BT883" s="1218"/>
      <c r="BU883" s="1218"/>
      <c r="BV883" s="1218"/>
      <c r="BW883" s="1218"/>
      <c r="BX883" s="1218"/>
      <c r="BY883" s="1218"/>
      <c r="BZ883" s="1218"/>
      <c r="CA883" s="1218"/>
      <c r="CB883" s="1218"/>
      <c r="CC883" s="1218"/>
      <c r="CD883" s="1218"/>
      <c r="CE883" s="1218"/>
      <c r="CF883" s="1218"/>
      <c r="CG883" s="1218"/>
      <c r="CH883" s="1218"/>
      <c r="CI883" s="1218"/>
      <c r="CJ883" s="1218"/>
      <c r="CK883" s="1218"/>
      <c r="CL883" s="1218"/>
      <c r="CM883" s="1218"/>
      <c r="CN883" s="1218"/>
      <c r="CO883" s="1218"/>
      <c r="CP883" s="1218"/>
      <c r="CQ883" s="1218"/>
      <c r="CR883" s="1218"/>
      <c r="CS883" s="1218"/>
      <c r="CT883" s="1218"/>
      <c r="CU883" s="1218"/>
      <c r="CV883" s="1218"/>
      <c r="CW883" s="1218"/>
      <c r="CX883" s="1218"/>
      <c r="CY883" s="1218"/>
      <c r="CZ883" s="1218"/>
      <c r="DA883" s="1218"/>
      <c r="DB883" s="1218"/>
      <c r="DC883" s="1218"/>
      <c r="DD883" s="1218"/>
      <c r="DE883" s="1218"/>
      <c r="DF883" s="1218"/>
      <c r="DG883" s="1218"/>
      <c r="DH883" s="1218"/>
      <c r="DI883" s="1218"/>
      <c r="DJ883" s="1218"/>
      <c r="DK883" s="1218"/>
      <c r="DL883" s="1218"/>
      <c r="DM883" s="1218"/>
      <c r="DN883" s="1218"/>
      <c r="DO883" s="1218"/>
      <c r="DP883" s="1218"/>
      <c r="DQ883" s="1218"/>
      <c r="DR883" s="1218"/>
      <c r="DS883" s="1218"/>
      <c r="DT883" s="1218"/>
      <c r="DU883" s="1218"/>
      <c r="DV883" s="1218"/>
      <c r="DW883" s="1218"/>
      <c r="DX883" s="1218"/>
      <c r="DY883" s="1218"/>
      <c r="DZ883" s="1218"/>
      <c r="EA883" s="1218"/>
      <c r="EB883" s="1218"/>
      <c r="EC883" s="1218"/>
      <c r="ED883" s="1218"/>
      <c r="EE883" s="1218"/>
      <c r="EF883" s="1218"/>
      <c r="EG883" s="1218"/>
      <c r="EH883" s="1218"/>
      <c r="EI883" s="1218"/>
      <c r="EJ883" s="1218"/>
      <c r="EK883" s="1218"/>
      <c r="EL883" s="1218"/>
      <c r="EM883" s="1218"/>
      <c r="EN883" s="1218"/>
      <c r="EO883" s="1218"/>
      <c r="EP883" s="1218"/>
      <c r="EQ883" s="1218"/>
      <c r="ER883" s="1218"/>
      <c r="ES883" s="1218"/>
      <c r="ET883" s="1218"/>
      <c r="EU883" s="1218"/>
      <c r="EV883" s="1218"/>
      <c r="EW883" s="1218"/>
      <c r="EX883" s="1218"/>
      <c r="EY883" s="1218"/>
      <c r="EZ883" s="1218"/>
      <c r="FA883" s="1218"/>
      <c r="FB883" s="1218"/>
      <c r="FC883" s="1218"/>
      <c r="FD883" s="1218"/>
      <c r="FE883" s="1218"/>
      <c r="FF883" s="1218"/>
      <c r="FG883" s="1218"/>
      <c r="FH883" s="1218"/>
      <c r="FI883" s="1218"/>
      <c r="FJ883" s="1218"/>
      <c r="FK883" s="1218"/>
      <c r="FL883" s="1218"/>
      <c r="FM883" s="1218"/>
      <c r="FN883" s="1218"/>
      <c r="FO883" s="1218"/>
      <c r="FP883" s="1218"/>
      <c r="FQ883" s="1218"/>
      <c r="FR883" s="1218"/>
      <c r="FS883" s="1218"/>
      <c r="FT883" s="1218"/>
      <c r="FU883" s="1218"/>
      <c r="FV883" s="1218"/>
      <c r="FW883" s="1218"/>
      <c r="FX883" s="1218"/>
      <c r="FY883" s="1218"/>
      <c r="FZ883" s="1218"/>
      <c r="GA883" s="1218"/>
      <c r="GB883" s="1218"/>
      <c r="GC883" s="1218"/>
      <c r="GD883" s="1218"/>
      <c r="GE883" s="1218"/>
      <c r="GF883" s="1218"/>
      <c r="GG883" s="1218"/>
      <c r="GH883" s="1218"/>
      <c r="GI883" s="1218"/>
      <c r="GJ883" s="1218"/>
      <c r="GK883" s="1218"/>
      <c r="GL883" s="1218"/>
      <c r="GM883" s="1218"/>
      <c r="GN883" s="1218"/>
      <c r="GO883" s="1218"/>
      <c r="GP883" s="1218"/>
      <c r="GQ883" s="1218"/>
      <c r="GR883" s="1218"/>
      <c r="GS883" s="1218"/>
      <c r="GT883" s="1218"/>
      <c r="GU883" s="1218"/>
      <c r="GV883" s="1218"/>
      <c r="GW883" s="1218"/>
      <c r="GX883" s="1218"/>
      <c r="GY883" s="1218"/>
      <c r="GZ883" s="1218"/>
      <c r="HA883" s="1218"/>
      <c r="HB883" s="1218"/>
      <c r="HC883" s="1218"/>
      <c r="HD883" s="1218"/>
      <c r="HE883" s="1218"/>
      <c r="HF883" s="1218"/>
      <c r="HG883" s="1218"/>
      <c r="HH883" s="1218"/>
      <c r="HI883" s="1218"/>
      <c r="HJ883" s="1218"/>
      <c r="HK883" s="1218"/>
      <c r="HL883" s="1218"/>
      <c r="HM883" s="1218"/>
      <c r="HN883" s="1218"/>
      <c r="HO883" s="1218"/>
      <c r="HP883" s="1218"/>
      <c r="HQ883" s="1218"/>
      <c r="HR883" s="1218"/>
      <c r="HS883" s="1218"/>
      <c r="HT883" s="1218"/>
      <c r="HU883" s="1218"/>
      <c r="HV883" s="1218"/>
      <c r="HW883" s="1218"/>
      <c r="HX883" s="1218"/>
      <c r="HY883" s="1218"/>
      <c r="HZ883" s="1218"/>
      <c r="IA883" s="1218"/>
      <c r="IB883" s="1218"/>
      <c r="IC883" s="1218"/>
      <c r="ID883" s="1218"/>
      <c r="IE883" s="1218"/>
      <c r="IF883" s="1218"/>
      <c r="IG883" s="1218"/>
      <c r="IH883" s="1218"/>
      <c r="II883" s="1218"/>
      <c r="IJ883" s="1218"/>
      <c r="IK883" s="1218"/>
      <c r="IL883" s="1218"/>
      <c r="IM883" s="1218"/>
      <c r="IN883" s="1218"/>
    </row>
    <row r="884" spans="1:248" s="1312" customFormat="1" ht="14.1" customHeight="1">
      <c r="A884" s="1318"/>
      <c r="B884" s="1313"/>
      <c r="C884" s="1326" t="s">
        <v>4158</v>
      </c>
      <c r="D884" s="1314"/>
      <c r="G884" s="1218"/>
      <c r="H884" s="1218"/>
      <c r="I884" s="1218"/>
      <c r="J884" s="1218"/>
      <c r="K884" s="1218"/>
      <c r="L884" s="1218"/>
      <c r="M884" s="1218"/>
      <c r="N884" s="1218"/>
      <c r="O884" s="1218"/>
      <c r="P884" s="1218"/>
      <c r="Q884" s="1218"/>
      <c r="R884" s="1218"/>
      <c r="S884" s="1218"/>
      <c r="T884" s="1218"/>
      <c r="U884" s="1218"/>
      <c r="V884" s="1218"/>
      <c r="W884" s="1218"/>
      <c r="X884" s="1218"/>
      <c r="Y884" s="1218"/>
      <c r="Z884" s="1218"/>
      <c r="AA884" s="1218"/>
      <c r="AB884" s="1218"/>
      <c r="AC884" s="1218"/>
      <c r="AD884" s="1218"/>
      <c r="AE884" s="1218"/>
      <c r="AF884" s="1218"/>
      <c r="AG884" s="1218"/>
      <c r="AH884" s="1218"/>
      <c r="AI884" s="1218"/>
      <c r="AJ884" s="1218"/>
      <c r="AK884" s="1218"/>
      <c r="AL884" s="1218"/>
      <c r="AM884" s="1218"/>
      <c r="AN884" s="1218"/>
      <c r="AO884" s="1218"/>
      <c r="AP884" s="1218"/>
      <c r="AQ884" s="1218"/>
      <c r="AR884" s="1218"/>
      <c r="AS884" s="1218"/>
      <c r="AT884" s="1218"/>
      <c r="AU884" s="1218"/>
      <c r="AV884" s="1218"/>
      <c r="AW884" s="1218"/>
      <c r="AX884" s="1218"/>
      <c r="AY884" s="1218"/>
      <c r="AZ884" s="1218"/>
      <c r="BA884" s="1218"/>
      <c r="BB884" s="1218"/>
      <c r="BC884" s="1218"/>
      <c r="BD884" s="1218"/>
      <c r="BE884" s="1218"/>
      <c r="BF884" s="1218"/>
      <c r="BG884" s="1218"/>
      <c r="BH884" s="1218"/>
      <c r="BI884" s="1218"/>
      <c r="BJ884" s="1218"/>
      <c r="BK884" s="1218"/>
      <c r="BL884" s="1218"/>
      <c r="BM884" s="1218"/>
      <c r="BN884" s="1218"/>
      <c r="BO884" s="1218"/>
      <c r="BP884" s="1218"/>
      <c r="BQ884" s="1218"/>
      <c r="BR884" s="1218"/>
      <c r="BS884" s="1218"/>
      <c r="BT884" s="1218"/>
      <c r="BU884" s="1218"/>
      <c r="BV884" s="1218"/>
      <c r="BW884" s="1218"/>
      <c r="BX884" s="1218"/>
      <c r="BY884" s="1218"/>
      <c r="BZ884" s="1218"/>
      <c r="CA884" s="1218"/>
      <c r="CB884" s="1218"/>
      <c r="CC884" s="1218"/>
      <c r="CD884" s="1218"/>
      <c r="CE884" s="1218"/>
      <c r="CF884" s="1218"/>
      <c r="CG884" s="1218"/>
      <c r="CH884" s="1218"/>
      <c r="CI884" s="1218"/>
      <c r="CJ884" s="1218"/>
      <c r="CK884" s="1218"/>
      <c r="CL884" s="1218"/>
      <c r="CM884" s="1218"/>
      <c r="CN884" s="1218"/>
      <c r="CO884" s="1218"/>
      <c r="CP884" s="1218"/>
      <c r="CQ884" s="1218"/>
      <c r="CR884" s="1218"/>
      <c r="CS884" s="1218"/>
      <c r="CT884" s="1218"/>
      <c r="CU884" s="1218"/>
      <c r="CV884" s="1218"/>
      <c r="CW884" s="1218"/>
      <c r="CX884" s="1218"/>
      <c r="CY884" s="1218"/>
      <c r="CZ884" s="1218"/>
      <c r="DA884" s="1218"/>
      <c r="DB884" s="1218"/>
      <c r="DC884" s="1218"/>
      <c r="DD884" s="1218"/>
      <c r="DE884" s="1218"/>
      <c r="DF884" s="1218"/>
      <c r="DG884" s="1218"/>
      <c r="DH884" s="1218"/>
      <c r="DI884" s="1218"/>
      <c r="DJ884" s="1218"/>
      <c r="DK884" s="1218"/>
      <c r="DL884" s="1218"/>
      <c r="DM884" s="1218"/>
      <c r="DN884" s="1218"/>
      <c r="DO884" s="1218"/>
      <c r="DP884" s="1218"/>
      <c r="DQ884" s="1218"/>
      <c r="DR884" s="1218"/>
      <c r="DS884" s="1218"/>
      <c r="DT884" s="1218"/>
      <c r="DU884" s="1218"/>
      <c r="DV884" s="1218"/>
      <c r="DW884" s="1218"/>
      <c r="DX884" s="1218"/>
      <c r="DY884" s="1218"/>
      <c r="DZ884" s="1218"/>
      <c r="EA884" s="1218"/>
      <c r="EB884" s="1218"/>
      <c r="EC884" s="1218"/>
      <c r="ED884" s="1218"/>
      <c r="EE884" s="1218"/>
      <c r="EF884" s="1218"/>
      <c r="EG884" s="1218"/>
      <c r="EH884" s="1218"/>
      <c r="EI884" s="1218"/>
      <c r="EJ884" s="1218"/>
      <c r="EK884" s="1218"/>
      <c r="EL884" s="1218"/>
      <c r="EM884" s="1218"/>
      <c r="EN884" s="1218"/>
      <c r="EO884" s="1218"/>
      <c r="EP884" s="1218"/>
      <c r="EQ884" s="1218"/>
      <c r="ER884" s="1218"/>
      <c r="ES884" s="1218"/>
      <c r="ET884" s="1218"/>
      <c r="EU884" s="1218"/>
      <c r="EV884" s="1218"/>
      <c r="EW884" s="1218"/>
      <c r="EX884" s="1218"/>
      <c r="EY884" s="1218"/>
      <c r="EZ884" s="1218"/>
      <c r="FA884" s="1218"/>
      <c r="FB884" s="1218"/>
      <c r="FC884" s="1218"/>
      <c r="FD884" s="1218"/>
      <c r="FE884" s="1218"/>
      <c r="FF884" s="1218"/>
      <c r="FG884" s="1218"/>
      <c r="FH884" s="1218"/>
      <c r="FI884" s="1218"/>
      <c r="FJ884" s="1218"/>
      <c r="FK884" s="1218"/>
      <c r="FL884" s="1218"/>
      <c r="FM884" s="1218"/>
      <c r="FN884" s="1218"/>
      <c r="FO884" s="1218"/>
      <c r="FP884" s="1218"/>
      <c r="FQ884" s="1218"/>
      <c r="FR884" s="1218"/>
      <c r="FS884" s="1218"/>
      <c r="FT884" s="1218"/>
      <c r="FU884" s="1218"/>
      <c r="FV884" s="1218"/>
      <c r="FW884" s="1218"/>
      <c r="FX884" s="1218"/>
      <c r="FY884" s="1218"/>
      <c r="FZ884" s="1218"/>
      <c r="GA884" s="1218"/>
      <c r="GB884" s="1218"/>
      <c r="GC884" s="1218"/>
      <c r="GD884" s="1218"/>
      <c r="GE884" s="1218"/>
      <c r="GF884" s="1218"/>
      <c r="GG884" s="1218"/>
      <c r="GH884" s="1218"/>
      <c r="GI884" s="1218"/>
      <c r="GJ884" s="1218"/>
      <c r="GK884" s="1218"/>
      <c r="GL884" s="1218"/>
      <c r="GM884" s="1218"/>
      <c r="GN884" s="1218"/>
      <c r="GO884" s="1218"/>
      <c r="GP884" s="1218"/>
      <c r="GQ884" s="1218"/>
      <c r="GR884" s="1218"/>
      <c r="GS884" s="1218"/>
      <c r="GT884" s="1218"/>
      <c r="GU884" s="1218"/>
      <c r="GV884" s="1218"/>
      <c r="GW884" s="1218"/>
      <c r="GX884" s="1218"/>
      <c r="GY884" s="1218"/>
      <c r="GZ884" s="1218"/>
      <c r="HA884" s="1218"/>
      <c r="HB884" s="1218"/>
      <c r="HC884" s="1218"/>
      <c r="HD884" s="1218"/>
      <c r="HE884" s="1218"/>
      <c r="HF884" s="1218"/>
      <c r="HG884" s="1218"/>
      <c r="HH884" s="1218"/>
      <c r="HI884" s="1218"/>
      <c r="HJ884" s="1218"/>
      <c r="HK884" s="1218"/>
      <c r="HL884" s="1218"/>
      <c r="HM884" s="1218"/>
      <c r="HN884" s="1218"/>
      <c r="HO884" s="1218"/>
      <c r="HP884" s="1218"/>
      <c r="HQ884" s="1218"/>
      <c r="HR884" s="1218"/>
      <c r="HS884" s="1218"/>
      <c r="HT884" s="1218"/>
      <c r="HU884" s="1218"/>
      <c r="HV884" s="1218"/>
      <c r="HW884" s="1218"/>
      <c r="HX884" s="1218"/>
      <c r="HY884" s="1218"/>
      <c r="HZ884" s="1218"/>
      <c r="IA884" s="1218"/>
      <c r="IB884" s="1218"/>
      <c r="IC884" s="1218"/>
      <c r="ID884" s="1218"/>
      <c r="IE884" s="1218"/>
      <c r="IF884" s="1218"/>
      <c r="IG884" s="1218"/>
      <c r="IH884" s="1218"/>
      <c r="II884" s="1218"/>
      <c r="IJ884" s="1218"/>
      <c r="IK884" s="1218"/>
      <c r="IL884" s="1218"/>
      <c r="IM884" s="1218"/>
      <c r="IN884" s="1218"/>
    </row>
    <row r="885" spans="1:248" s="1312" customFormat="1" ht="14.1" customHeight="1">
      <c r="A885" s="1318"/>
      <c r="B885" s="1313"/>
      <c r="C885" s="1320"/>
      <c r="D885" s="1314"/>
      <c r="G885" s="1218"/>
      <c r="H885" s="1218"/>
      <c r="I885" s="1218"/>
      <c r="J885" s="1218"/>
      <c r="K885" s="1218"/>
      <c r="L885" s="1218"/>
      <c r="M885" s="1218"/>
      <c r="N885" s="1218"/>
      <c r="O885" s="1218"/>
      <c r="P885" s="1218"/>
      <c r="Q885" s="1218"/>
      <c r="R885" s="1218"/>
      <c r="S885" s="1218"/>
      <c r="T885" s="1218"/>
      <c r="U885" s="1218"/>
      <c r="V885" s="1218"/>
      <c r="W885" s="1218"/>
      <c r="X885" s="1218"/>
      <c r="Y885" s="1218"/>
      <c r="Z885" s="1218"/>
      <c r="AA885" s="1218"/>
      <c r="AB885" s="1218"/>
      <c r="AC885" s="1218"/>
      <c r="AD885" s="1218"/>
      <c r="AE885" s="1218"/>
      <c r="AF885" s="1218"/>
      <c r="AG885" s="1218"/>
      <c r="AH885" s="1218"/>
      <c r="AI885" s="1218"/>
      <c r="AJ885" s="1218"/>
      <c r="AK885" s="1218"/>
      <c r="AL885" s="1218"/>
      <c r="AM885" s="1218"/>
      <c r="AN885" s="1218"/>
      <c r="AO885" s="1218"/>
      <c r="AP885" s="1218"/>
      <c r="AQ885" s="1218"/>
      <c r="AR885" s="1218"/>
      <c r="AS885" s="1218"/>
      <c r="AT885" s="1218"/>
      <c r="AU885" s="1218"/>
      <c r="AV885" s="1218"/>
      <c r="AW885" s="1218"/>
      <c r="AX885" s="1218"/>
      <c r="AY885" s="1218"/>
      <c r="AZ885" s="1218"/>
      <c r="BA885" s="1218"/>
      <c r="BB885" s="1218"/>
      <c r="BC885" s="1218"/>
      <c r="BD885" s="1218"/>
      <c r="BE885" s="1218"/>
      <c r="BF885" s="1218"/>
      <c r="BG885" s="1218"/>
      <c r="BH885" s="1218"/>
      <c r="BI885" s="1218"/>
      <c r="BJ885" s="1218"/>
      <c r="BK885" s="1218"/>
      <c r="BL885" s="1218"/>
      <c r="BM885" s="1218"/>
      <c r="BN885" s="1218"/>
      <c r="BO885" s="1218"/>
      <c r="BP885" s="1218"/>
      <c r="BQ885" s="1218"/>
      <c r="BR885" s="1218"/>
      <c r="BS885" s="1218"/>
      <c r="BT885" s="1218"/>
      <c r="BU885" s="1218"/>
      <c r="BV885" s="1218"/>
      <c r="BW885" s="1218"/>
      <c r="BX885" s="1218"/>
      <c r="BY885" s="1218"/>
      <c r="BZ885" s="1218"/>
      <c r="CA885" s="1218"/>
      <c r="CB885" s="1218"/>
      <c r="CC885" s="1218"/>
      <c r="CD885" s="1218"/>
      <c r="CE885" s="1218"/>
      <c r="CF885" s="1218"/>
      <c r="CG885" s="1218"/>
      <c r="CH885" s="1218"/>
      <c r="CI885" s="1218"/>
      <c r="CJ885" s="1218"/>
      <c r="CK885" s="1218"/>
      <c r="CL885" s="1218"/>
      <c r="CM885" s="1218"/>
      <c r="CN885" s="1218"/>
      <c r="CO885" s="1218"/>
      <c r="CP885" s="1218"/>
      <c r="CQ885" s="1218"/>
      <c r="CR885" s="1218"/>
      <c r="CS885" s="1218"/>
      <c r="CT885" s="1218"/>
      <c r="CU885" s="1218"/>
      <c r="CV885" s="1218"/>
      <c r="CW885" s="1218"/>
      <c r="CX885" s="1218"/>
      <c r="CY885" s="1218"/>
      <c r="CZ885" s="1218"/>
      <c r="DA885" s="1218"/>
      <c r="DB885" s="1218"/>
      <c r="DC885" s="1218"/>
      <c r="DD885" s="1218"/>
      <c r="DE885" s="1218"/>
      <c r="DF885" s="1218"/>
      <c r="DG885" s="1218"/>
      <c r="DH885" s="1218"/>
      <c r="DI885" s="1218"/>
      <c r="DJ885" s="1218"/>
      <c r="DK885" s="1218"/>
      <c r="DL885" s="1218"/>
      <c r="DM885" s="1218"/>
      <c r="DN885" s="1218"/>
      <c r="DO885" s="1218"/>
      <c r="DP885" s="1218"/>
      <c r="DQ885" s="1218"/>
      <c r="DR885" s="1218"/>
      <c r="DS885" s="1218"/>
      <c r="DT885" s="1218"/>
      <c r="DU885" s="1218"/>
      <c r="DV885" s="1218"/>
      <c r="DW885" s="1218"/>
      <c r="DX885" s="1218"/>
      <c r="DY885" s="1218"/>
      <c r="DZ885" s="1218"/>
      <c r="EA885" s="1218"/>
      <c r="EB885" s="1218"/>
      <c r="EC885" s="1218"/>
      <c r="ED885" s="1218"/>
      <c r="EE885" s="1218"/>
      <c r="EF885" s="1218"/>
      <c r="EG885" s="1218"/>
      <c r="EH885" s="1218"/>
      <c r="EI885" s="1218"/>
      <c r="EJ885" s="1218"/>
      <c r="EK885" s="1218"/>
      <c r="EL885" s="1218"/>
      <c r="EM885" s="1218"/>
      <c r="EN885" s="1218"/>
      <c r="EO885" s="1218"/>
      <c r="EP885" s="1218"/>
      <c r="EQ885" s="1218"/>
      <c r="ER885" s="1218"/>
      <c r="ES885" s="1218"/>
      <c r="ET885" s="1218"/>
      <c r="EU885" s="1218"/>
      <c r="EV885" s="1218"/>
      <c r="EW885" s="1218"/>
      <c r="EX885" s="1218"/>
      <c r="EY885" s="1218"/>
      <c r="EZ885" s="1218"/>
      <c r="FA885" s="1218"/>
      <c r="FB885" s="1218"/>
      <c r="FC885" s="1218"/>
      <c r="FD885" s="1218"/>
      <c r="FE885" s="1218"/>
      <c r="FF885" s="1218"/>
      <c r="FG885" s="1218"/>
      <c r="FH885" s="1218"/>
      <c r="FI885" s="1218"/>
      <c r="FJ885" s="1218"/>
      <c r="FK885" s="1218"/>
      <c r="FL885" s="1218"/>
      <c r="FM885" s="1218"/>
      <c r="FN885" s="1218"/>
      <c r="FO885" s="1218"/>
      <c r="FP885" s="1218"/>
      <c r="FQ885" s="1218"/>
      <c r="FR885" s="1218"/>
      <c r="FS885" s="1218"/>
      <c r="FT885" s="1218"/>
      <c r="FU885" s="1218"/>
      <c r="FV885" s="1218"/>
      <c r="FW885" s="1218"/>
      <c r="FX885" s="1218"/>
      <c r="FY885" s="1218"/>
      <c r="FZ885" s="1218"/>
      <c r="GA885" s="1218"/>
      <c r="GB885" s="1218"/>
      <c r="GC885" s="1218"/>
      <c r="GD885" s="1218"/>
      <c r="GE885" s="1218"/>
      <c r="GF885" s="1218"/>
      <c r="GG885" s="1218"/>
      <c r="GH885" s="1218"/>
      <c r="GI885" s="1218"/>
      <c r="GJ885" s="1218"/>
      <c r="GK885" s="1218"/>
      <c r="GL885" s="1218"/>
      <c r="GM885" s="1218"/>
      <c r="GN885" s="1218"/>
      <c r="GO885" s="1218"/>
      <c r="GP885" s="1218"/>
      <c r="GQ885" s="1218"/>
      <c r="GR885" s="1218"/>
      <c r="GS885" s="1218"/>
      <c r="GT885" s="1218"/>
      <c r="GU885" s="1218"/>
      <c r="GV885" s="1218"/>
      <c r="GW885" s="1218"/>
      <c r="GX885" s="1218"/>
      <c r="GY885" s="1218"/>
      <c r="GZ885" s="1218"/>
      <c r="HA885" s="1218"/>
      <c r="HB885" s="1218"/>
      <c r="HC885" s="1218"/>
      <c r="HD885" s="1218"/>
      <c r="HE885" s="1218"/>
      <c r="HF885" s="1218"/>
      <c r="HG885" s="1218"/>
      <c r="HH885" s="1218"/>
      <c r="HI885" s="1218"/>
      <c r="HJ885" s="1218"/>
      <c r="HK885" s="1218"/>
      <c r="HL885" s="1218"/>
      <c r="HM885" s="1218"/>
      <c r="HN885" s="1218"/>
      <c r="HO885" s="1218"/>
      <c r="HP885" s="1218"/>
      <c r="HQ885" s="1218"/>
      <c r="HR885" s="1218"/>
      <c r="HS885" s="1218"/>
      <c r="HT885" s="1218"/>
      <c r="HU885" s="1218"/>
      <c r="HV885" s="1218"/>
      <c r="HW885" s="1218"/>
      <c r="HX885" s="1218"/>
      <c r="HY885" s="1218"/>
      <c r="HZ885" s="1218"/>
      <c r="IA885" s="1218"/>
      <c r="IB885" s="1218"/>
      <c r="IC885" s="1218"/>
      <c r="ID885" s="1218"/>
      <c r="IE885" s="1218"/>
      <c r="IF885" s="1218"/>
      <c r="IG885" s="1218"/>
      <c r="IH885" s="1218"/>
      <c r="II885" s="1218"/>
      <c r="IJ885" s="1218"/>
      <c r="IK885" s="1218"/>
      <c r="IL885" s="1218"/>
      <c r="IM885" s="1218"/>
      <c r="IN885" s="1218"/>
    </row>
    <row r="886" spans="1:248" s="1312" customFormat="1" ht="14.1" customHeight="1">
      <c r="A886" s="1318"/>
      <c r="B886" s="1160" t="s">
        <v>3975</v>
      </c>
      <c r="C886" s="1326" t="s">
        <v>4159</v>
      </c>
      <c r="D886" s="1314"/>
      <c r="G886" s="1218"/>
      <c r="H886" s="1218"/>
      <c r="I886" s="1218"/>
      <c r="J886" s="1218"/>
      <c r="K886" s="1218"/>
      <c r="L886" s="1218"/>
      <c r="M886" s="1218"/>
      <c r="N886" s="1218"/>
      <c r="O886" s="1218"/>
      <c r="P886" s="1218"/>
      <c r="Q886" s="1218"/>
      <c r="R886" s="1218"/>
      <c r="S886" s="1218"/>
      <c r="T886" s="1218"/>
      <c r="U886" s="1218"/>
      <c r="V886" s="1218"/>
      <c r="W886" s="1218"/>
      <c r="X886" s="1218"/>
      <c r="Y886" s="1218"/>
      <c r="Z886" s="1218"/>
      <c r="AA886" s="1218"/>
      <c r="AB886" s="1218"/>
      <c r="AC886" s="1218"/>
      <c r="AD886" s="1218"/>
      <c r="AE886" s="1218"/>
      <c r="AF886" s="1218"/>
      <c r="AG886" s="1218"/>
      <c r="AH886" s="1218"/>
      <c r="AI886" s="1218"/>
      <c r="AJ886" s="1218"/>
      <c r="AK886" s="1218"/>
      <c r="AL886" s="1218"/>
      <c r="AM886" s="1218"/>
      <c r="AN886" s="1218"/>
      <c r="AO886" s="1218"/>
      <c r="AP886" s="1218"/>
      <c r="AQ886" s="1218"/>
      <c r="AR886" s="1218"/>
      <c r="AS886" s="1218"/>
      <c r="AT886" s="1218"/>
      <c r="AU886" s="1218"/>
      <c r="AV886" s="1218"/>
      <c r="AW886" s="1218"/>
      <c r="AX886" s="1218"/>
      <c r="AY886" s="1218"/>
      <c r="AZ886" s="1218"/>
      <c r="BA886" s="1218"/>
      <c r="BB886" s="1218"/>
      <c r="BC886" s="1218"/>
      <c r="BD886" s="1218"/>
      <c r="BE886" s="1218"/>
      <c r="BF886" s="1218"/>
      <c r="BG886" s="1218"/>
      <c r="BH886" s="1218"/>
      <c r="BI886" s="1218"/>
      <c r="BJ886" s="1218"/>
      <c r="BK886" s="1218"/>
      <c r="BL886" s="1218"/>
      <c r="BM886" s="1218"/>
      <c r="BN886" s="1218"/>
      <c r="BO886" s="1218"/>
      <c r="BP886" s="1218"/>
      <c r="BQ886" s="1218"/>
      <c r="BR886" s="1218"/>
      <c r="BS886" s="1218"/>
      <c r="BT886" s="1218"/>
      <c r="BU886" s="1218"/>
      <c r="BV886" s="1218"/>
      <c r="BW886" s="1218"/>
      <c r="BX886" s="1218"/>
      <c r="BY886" s="1218"/>
      <c r="BZ886" s="1218"/>
      <c r="CA886" s="1218"/>
      <c r="CB886" s="1218"/>
      <c r="CC886" s="1218"/>
      <c r="CD886" s="1218"/>
      <c r="CE886" s="1218"/>
      <c r="CF886" s="1218"/>
      <c r="CG886" s="1218"/>
      <c r="CH886" s="1218"/>
      <c r="CI886" s="1218"/>
      <c r="CJ886" s="1218"/>
      <c r="CK886" s="1218"/>
      <c r="CL886" s="1218"/>
      <c r="CM886" s="1218"/>
      <c r="CN886" s="1218"/>
      <c r="CO886" s="1218"/>
      <c r="CP886" s="1218"/>
      <c r="CQ886" s="1218"/>
      <c r="CR886" s="1218"/>
      <c r="CS886" s="1218"/>
      <c r="CT886" s="1218"/>
      <c r="CU886" s="1218"/>
      <c r="CV886" s="1218"/>
      <c r="CW886" s="1218"/>
      <c r="CX886" s="1218"/>
      <c r="CY886" s="1218"/>
      <c r="CZ886" s="1218"/>
      <c r="DA886" s="1218"/>
      <c r="DB886" s="1218"/>
      <c r="DC886" s="1218"/>
      <c r="DD886" s="1218"/>
      <c r="DE886" s="1218"/>
      <c r="DF886" s="1218"/>
      <c r="DG886" s="1218"/>
      <c r="DH886" s="1218"/>
      <c r="DI886" s="1218"/>
      <c r="DJ886" s="1218"/>
      <c r="DK886" s="1218"/>
      <c r="DL886" s="1218"/>
      <c r="DM886" s="1218"/>
      <c r="DN886" s="1218"/>
      <c r="DO886" s="1218"/>
      <c r="DP886" s="1218"/>
      <c r="DQ886" s="1218"/>
      <c r="DR886" s="1218"/>
      <c r="DS886" s="1218"/>
      <c r="DT886" s="1218"/>
      <c r="DU886" s="1218"/>
      <c r="DV886" s="1218"/>
      <c r="DW886" s="1218"/>
      <c r="DX886" s="1218"/>
      <c r="DY886" s="1218"/>
      <c r="DZ886" s="1218"/>
      <c r="EA886" s="1218"/>
      <c r="EB886" s="1218"/>
      <c r="EC886" s="1218"/>
      <c r="ED886" s="1218"/>
      <c r="EE886" s="1218"/>
      <c r="EF886" s="1218"/>
      <c r="EG886" s="1218"/>
      <c r="EH886" s="1218"/>
      <c r="EI886" s="1218"/>
      <c r="EJ886" s="1218"/>
      <c r="EK886" s="1218"/>
      <c r="EL886" s="1218"/>
      <c r="EM886" s="1218"/>
      <c r="EN886" s="1218"/>
      <c r="EO886" s="1218"/>
      <c r="EP886" s="1218"/>
      <c r="EQ886" s="1218"/>
      <c r="ER886" s="1218"/>
      <c r="ES886" s="1218"/>
      <c r="ET886" s="1218"/>
      <c r="EU886" s="1218"/>
      <c r="EV886" s="1218"/>
      <c r="EW886" s="1218"/>
      <c r="EX886" s="1218"/>
      <c r="EY886" s="1218"/>
      <c r="EZ886" s="1218"/>
      <c r="FA886" s="1218"/>
      <c r="FB886" s="1218"/>
      <c r="FC886" s="1218"/>
      <c r="FD886" s="1218"/>
      <c r="FE886" s="1218"/>
      <c r="FF886" s="1218"/>
      <c r="FG886" s="1218"/>
      <c r="FH886" s="1218"/>
      <c r="FI886" s="1218"/>
      <c r="FJ886" s="1218"/>
      <c r="FK886" s="1218"/>
      <c r="FL886" s="1218"/>
      <c r="FM886" s="1218"/>
      <c r="FN886" s="1218"/>
      <c r="FO886" s="1218"/>
      <c r="FP886" s="1218"/>
      <c r="FQ886" s="1218"/>
      <c r="FR886" s="1218"/>
      <c r="FS886" s="1218"/>
      <c r="FT886" s="1218"/>
      <c r="FU886" s="1218"/>
      <c r="FV886" s="1218"/>
      <c r="FW886" s="1218"/>
      <c r="FX886" s="1218"/>
      <c r="FY886" s="1218"/>
      <c r="FZ886" s="1218"/>
      <c r="GA886" s="1218"/>
      <c r="GB886" s="1218"/>
      <c r="GC886" s="1218"/>
      <c r="GD886" s="1218"/>
      <c r="GE886" s="1218"/>
      <c r="GF886" s="1218"/>
      <c r="GG886" s="1218"/>
      <c r="GH886" s="1218"/>
      <c r="GI886" s="1218"/>
      <c r="GJ886" s="1218"/>
      <c r="GK886" s="1218"/>
      <c r="GL886" s="1218"/>
      <c r="GM886" s="1218"/>
      <c r="GN886" s="1218"/>
      <c r="GO886" s="1218"/>
      <c r="GP886" s="1218"/>
      <c r="GQ886" s="1218"/>
      <c r="GR886" s="1218"/>
      <c r="GS886" s="1218"/>
      <c r="GT886" s="1218"/>
      <c r="GU886" s="1218"/>
      <c r="GV886" s="1218"/>
      <c r="GW886" s="1218"/>
      <c r="GX886" s="1218"/>
      <c r="GY886" s="1218"/>
      <c r="GZ886" s="1218"/>
      <c r="HA886" s="1218"/>
      <c r="HB886" s="1218"/>
      <c r="HC886" s="1218"/>
      <c r="HD886" s="1218"/>
      <c r="HE886" s="1218"/>
      <c r="HF886" s="1218"/>
      <c r="HG886" s="1218"/>
      <c r="HH886" s="1218"/>
      <c r="HI886" s="1218"/>
      <c r="HJ886" s="1218"/>
      <c r="HK886" s="1218"/>
      <c r="HL886" s="1218"/>
      <c r="HM886" s="1218"/>
      <c r="HN886" s="1218"/>
      <c r="HO886" s="1218"/>
      <c r="HP886" s="1218"/>
      <c r="HQ886" s="1218"/>
      <c r="HR886" s="1218"/>
      <c r="HS886" s="1218"/>
      <c r="HT886" s="1218"/>
      <c r="HU886" s="1218"/>
      <c r="HV886" s="1218"/>
      <c r="HW886" s="1218"/>
      <c r="HX886" s="1218"/>
      <c r="HY886" s="1218"/>
      <c r="HZ886" s="1218"/>
      <c r="IA886" s="1218"/>
      <c r="IB886" s="1218"/>
      <c r="IC886" s="1218"/>
      <c r="ID886" s="1218"/>
      <c r="IE886" s="1218"/>
      <c r="IF886" s="1218"/>
      <c r="IG886" s="1218"/>
      <c r="IH886" s="1218"/>
      <c r="II886" s="1218"/>
      <c r="IJ886" s="1218"/>
      <c r="IK886" s="1218"/>
      <c r="IL886" s="1218"/>
      <c r="IM886" s="1218"/>
      <c r="IN886" s="1218"/>
    </row>
    <row r="887" spans="1:248" s="1312" customFormat="1" ht="14.1" customHeight="1">
      <c r="A887" s="1318"/>
      <c r="B887" s="1313"/>
      <c r="C887" s="1326"/>
      <c r="D887" s="1314"/>
      <c r="G887" s="1218"/>
      <c r="H887" s="1218"/>
      <c r="I887" s="1218"/>
      <c r="J887" s="1218"/>
      <c r="K887" s="1218"/>
      <c r="L887" s="1218"/>
      <c r="M887" s="1218"/>
      <c r="N887" s="1218"/>
      <c r="O887" s="1218"/>
      <c r="P887" s="1218"/>
      <c r="Q887" s="1218"/>
      <c r="R887" s="1218"/>
      <c r="S887" s="1218"/>
      <c r="T887" s="1218"/>
      <c r="U887" s="1218"/>
      <c r="V887" s="1218"/>
      <c r="W887" s="1218"/>
      <c r="X887" s="1218"/>
      <c r="Y887" s="1218"/>
      <c r="Z887" s="1218"/>
      <c r="AA887" s="1218"/>
      <c r="AB887" s="1218"/>
      <c r="AC887" s="1218"/>
      <c r="AD887" s="1218"/>
      <c r="AE887" s="1218"/>
      <c r="AF887" s="1218"/>
      <c r="AG887" s="1218"/>
      <c r="AH887" s="1218"/>
      <c r="AI887" s="1218"/>
      <c r="AJ887" s="1218"/>
      <c r="AK887" s="1218"/>
      <c r="AL887" s="1218"/>
      <c r="AM887" s="1218"/>
      <c r="AN887" s="1218"/>
      <c r="AO887" s="1218"/>
      <c r="AP887" s="1218"/>
      <c r="AQ887" s="1218"/>
      <c r="AR887" s="1218"/>
      <c r="AS887" s="1218"/>
      <c r="AT887" s="1218"/>
      <c r="AU887" s="1218"/>
      <c r="AV887" s="1218"/>
      <c r="AW887" s="1218"/>
      <c r="AX887" s="1218"/>
      <c r="AY887" s="1218"/>
      <c r="AZ887" s="1218"/>
      <c r="BA887" s="1218"/>
      <c r="BB887" s="1218"/>
      <c r="BC887" s="1218"/>
      <c r="BD887" s="1218"/>
      <c r="BE887" s="1218"/>
      <c r="BF887" s="1218"/>
      <c r="BG887" s="1218"/>
      <c r="BH887" s="1218"/>
      <c r="BI887" s="1218"/>
      <c r="BJ887" s="1218"/>
      <c r="BK887" s="1218"/>
      <c r="BL887" s="1218"/>
      <c r="BM887" s="1218"/>
      <c r="BN887" s="1218"/>
      <c r="BO887" s="1218"/>
      <c r="BP887" s="1218"/>
      <c r="BQ887" s="1218"/>
      <c r="BR887" s="1218"/>
      <c r="BS887" s="1218"/>
      <c r="BT887" s="1218"/>
      <c r="BU887" s="1218"/>
      <c r="BV887" s="1218"/>
      <c r="BW887" s="1218"/>
      <c r="BX887" s="1218"/>
      <c r="BY887" s="1218"/>
      <c r="BZ887" s="1218"/>
      <c r="CA887" s="1218"/>
      <c r="CB887" s="1218"/>
      <c r="CC887" s="1218"/>
      <c r="CD887" s="1218"/>
      <c r="CE887" s="1218"/>
      <c r="CF887" s="1218"/>
      <c r="CG887" s="1218"/>
      <c r="CH887" s="1218"/>
      <c r="CI887" s="1218"/>
      <c r="CJ887" s="1218"/>
      <c r="CK887" s="1218"/>
      <c r="CL887" s="1218"/>
      <c r="CM887" s="1218"/>
      <c r="CN887" s="1218"/>
      <c r="CO887" s="1218"/>
      <c r="CP887" s="1218"/>
      <c r="CQ887" s="1218"/>
      <c r="CR887" s="1218"/>
      <c r="CS887" s="1218"/>
      <c r="CT887" s="1218"/>
      <c r="CU887" s="1218"/>
      <c r="CV887" s="1218"/>
      <c r="CW887" s="1218"/>
      <c r="CX887" s="1218"/>
      <c r="CY887" s="1218"/>
      <c r="CZ887" s="1218"/>
      <c r="DA887" s="1218"/>
      <c r="DB887" s="1218"/>
      <c r="DC887" s="1218"/>
      <c r="DD887" s="1218"/>
      <c r="DE887" s="1218"/>
      <c r="DF887" s="1218"/>
      <c r="DG887" s="1218"/>
      <c r="DH887" s="1218"/>
      <c r="DI887" s="1218"/>
      <c r="DJ887" s="1218"/>
      <c r="DK887" s="1218"/>
      <c r="DL887" s="1218"/>
      <c r="DM887" s="1218"/>
      <c r="DN887" s="1218"/>
      <c r="DO887" s="1218"/>
      <c r="DP887" s="1218"/>
      <c r="DQ887" s="1218"/>
      <c r="DR887" s="1218"/>
      <c r="DS887" s="1218"/>
      <c r="DT887" s="1218"/>
      <c r="DU887" s="1218"/>
      <c r="DV887" s="1218"/>
      <c r="DW887" s="1218"/>
      <c r="DX887" s="1218"/>
      <c r="DY887" s="1218"/>
      <c r="DZ887" s="1218"/>
      <c r="EA887" s="1218"/>
      <c r="EB887" s="1218"/>
      <c r="EC887" s="1218"/>
      <c r="ED887" s="1218"/>
      <c r="EE887" s="1218"/>
      <c r="EF887" s="1218"/>
      <c r="EG887" s="1218"/>
      <c r="EH887" s="1218"/>
      <c r="EI887" s="1218"/>
      <c r="EJ887" s="1218"/>
      <c r="EK887" s="1218"/>
      <c r="EL887" s="1218"/>
      <c r="EM887" s="1218"/>
      <c r="EN887" s="1218"/>
      <c r="EO887" s="1218"/>
      <c r="EP887" s="1218"/>
      <c r="EQ887" s="1218"/>
      <c r="ER887" s="1218"/>
      <c r="ES887" s="1218"/>
      <c r="ET887" s="1218"/>
      <c r="EU887" s="1218"/>
      <c r="EV887" s="1218"/>
      <c r="EW887" s="1218"/>
      <c r="EX887" s="1218"/>
      <c r="EY887" s="1218"/>
      <c r="EZ887" s="1218"/>
      <c r="FA887" s="1218"/>
      <c r="FB887" s="1218"/>
      <c r="FC887" s="1218"/>
      <c r="FD887" s="1218"/>
      <c r="FE887" s="1218"/>
      <c r="FF887" s="1218"/>
      <c r="FG887" s="1218"/>
      <c r="FH887" s="1218"/>
      <c r="FI887" s="1218"/>
      <c r="FJ887" s="1218"/>
      <c r="FK887" s="1218"/>
      <c r="FL887" s="1218"/>
      <c r="FM887" s="1218"/>
      <c r="FN887" s="1218"/>
      <c r="FO887" s="1218"/>
      <c r="FP887" s="1218"/>
      <c r="FQ887" s="1218"/>
      <c r="FR887" s="1218"/>
      <c r="FS887" s="1218"/>
      <c r="FT887" s="1218"/>
      <c r="FU887" s="1218"/>
      <c r="FV887" s="1218"/>
      <c r="FW887" s="1218"/>
      <c r="FX887" s="1218"/>
      <c r="FY887" s="1218"/>
      <c r="FZ887" s="1218"/>
      <c r="GA887" s="1218"/>
      <c r="GB887" s="1218"/>
      <c r="GC887" s="1218"/>
      <c r="GD887" s="1218"/>
      <c r="GE887" s="1218"/>
      <c r="GF887" s="1218"/>
      <c r="GG887" s="1218"/>
      <c r="GH887" s="1218"/>
      <c r="GI887" s="1218"/>
      <c r="GJ887" s="1218"/>
      <c r="GK887" s="1218"/>
      <c r="GL887" s="1218"/>
      <c r="GM887" s="1218"/>
      <c r="GN887" s="1218"/>
      <c r="GO887" s="1218"/>
      <c r="GP887" s="1218"/>
      <c r="GQ887" s="1218"/>
      <c r="GR887" s="1218"/>
      <c r="GS887" s="1218"/>
      <c r="GT887" s="1218"/>
      <c r="GU887" s="1218"/>
      <c r="GV887" s="1218"/>
      <c r="GW887" s="1218"/>
      <c r="GX887" s="1218"/>
      <c r="GY887" s="1218"/>
      <c r="GZ887" s="1218"/>
      <c r="HA887" s="1218"/>
      <c r="HB887" s="1218"/>
      <c r="HC887" s="1218"/>
      <c r="HD887" s="1218"/>
      <c r="HE887" s="1218"/>
      <c r="HF887" s="1218"/>
      <c r="HG887" s="1218"/>
      <c r="HH887" s="1218"/>
      <c r="HI887" s="1218"/>
      <c r="HJ887" s="1218"/>
      <c r="HK887" s="1218"/>
      <c r="HL887" s="1218"/>
      <c r="HM887" s="1218"/>
      <c r="HN887" s="1218"/>
      <c r="HO887" s="1218"/>
      <c r="HP887" s="1218"/>
      <c r="HQ887" s="1218"/>
      <c r="HR887" s="1218"/>
      <c r="HS887" s="1218"/>
      <c r="HT887" s="1218"/>
      <c r="HU887" s="1218"/>
      <c r="HV887" s="1218"/>
      <c r="HW887" s="1218"/>
      <c r="HX887" s="1218"/>
      <c r="HY887" s="1218"/>
      <c r="HZ887" s="1218"/>
      <c r="IA887" s="1218"/>
      <c r="IB887" s="1218"/>
      <c r="IC887" s="1218"/>
      <c r="ID887" s="1218"/>
      <c r="IE887" s="1218"/>
      <c r="IF887" s="1218"/>
      <c r="IG887" s="1218"/>
      <c r="IH887" s="1218"/>
      <c r="II887" s="1218"/>
      <c r="IJ887" s="1218"/>
      <c r="IK887" s="1218"/>
      <c r="IL887" s="1218"/>
      <c r="IM887" s="1218"/>
      <c r="IN887" s="1218"/>
    </row>
    <row r="888" spans="1:248" s="1312" customFormat="1" ht="14.1" customHeight="1">
      <c r="A888" s="1318"/>
      <c r="B888" s="1160" t="s">
        <v>3976</v>
      </c>
      <c r="C888" s="1326" t="s">
        <v>4160</v>
      </c>
      <c r="D888" s="1314"/>
      <c r="G888" s="1218"/>
      <c r="H888" s="1218"/>
      <c r="I888" s="1218"/>
      <c r="J888" s="1218"/>
      <c r="K888" s="1218"/>
      <c r="L888" s="1218"/>
      <c r="M888" s="1218"/>
      <c r="N888" s="1218"/>
      <c r="O888" s="1218"/>
      <c r="P888" s="1218"/>
      <c r="Q888" s="1218"/>
      <c r="R888" s="1218"/>
      <c r="S888" s="1218"/>
      <c r="T888" s="1218"/>
      <c r="U888" s="1218"/>
      <c r="V888" s="1218"/>
      <c r="W888" s="1218"/>
      <c r="X888" s="1218"/>
      <c r="Y888" s="1218"/>
      <c r="Z888" s="1218"/>
      <c r="AA888" s="1218"/>
      <c r="AB888" s="1218"/>
      <c r="AC888" s="1218"/>
      <c r="AD888" s="1218"/>
      <c r="AE888" s="1218"/>
      <c r="AF888" s="1218"/>
      <c r="AG888" s="1218"/>
      <c r="AH888" s="1218"/>
      <c r="AI888" s="1218"/>
      <c r="AJ888" s="1218"/>
      <c r="AK888" s="1218"/>
      <c r="AL888" s="1218"/>
      <c r="AM888" s="1218"/>
      <c r="AN888" s="1218"/>
      <c r="AO888" s="1218"/>
      <c r="AP888" s="1218"/>
      <c r="AQ888" s="1218"/>
      <c r="AR888" s="1218"/>
      <c r="AS888" s="1218"/>
      <c r="AT888" s="1218"/>
      <c r="AU888" s="1218"/>
      <c r="AV888" s="1218"/>
      <c r="AW888" s="1218"/>
      <c r="AX888" s="1218"/>
      <c r="AY888" s="1218"/>
      <c r="AZ888" s="1218"/>
      <c r="BA888" s="1218"/>
      <c r="BB888" s="1218"/>
      <c r="BC888" s="1218"/>
      <c r="BD888" s="1218"/>
      <c r="BE888" s="1218"/>
      <c r="BF888" s="1218"/>
      <c r="BG888" s="1218"/>
      <c r="BH888" s="1218"/>
      <c r="BI888" s="1218"/>
      <c r="BJ888" s="1218"/>
      <c r="BK888" s="1218"/>
      <c r="BL888" s="1218"/>
      <c r="BM888" s="1218"/>
      <c r="BN888" s="1218"/>
      <c r="BO888" s="1218"/>
      <c r="BP888" s="1218"/>
      <c r="BQ888" s="1218"/>
      <c r="BR888" s="1218"/>
      <c r="BS888" s="1218"/>
      <c r="BT888" s="1218"/>
      <c r="BU888" s="1218"/>
      <c r="BV888" s="1218"/>
      <c r="BW888" s="1218"/>
      <c r="BX888" s="1218"/>
      <c r="BY888" s="1218"/>
      <c r="BZ888" s="1218"/>
      <c r="CA888" s="1218"/>
      <c r="CB888" s="1218"/>
      <c r="CC888" s="1218"/>
      <c r="CD888" s="1218"/>
      <c r="CE888" s="1218"/>
      <c r="CF888" s="1218"/>
      <c r="CG888" s="1218"/>
      <c r="CH888" s="1218"/>
      <c r="CI888" s="1218"/>
      <c r="CJ888" s="1218"/>
      <c r="CK888" s="1218"/>
      <c r="CL888" s="1218"/>
      <c r="CM888" s="1218"/>
      <c r="CN888" s="1218"/>
      <c r="CO888" s="1218"/>
      <c r="CP888" s="1218"/>
      <c r="CQ888" s="1218"/>
      <c r="CR888" s="1218"/>
      <c r="CS888" s="1218"/>
      <c r="CT888" s="1218"/>
      <c r="CU888" s="1218"/>
      <c r="CV888" s="1218"/>
      <c r="CW888" s="1218"/>
      <c r="CX888" s="1218"/>
      <c r="CY888" s="1218"/>
      <c r="CZ888" s="1218"/>
      <c r="DA888" s="1218"/>
      <c r="DB888" s="1218"/>
      <c r="DC888" s="1218"/>
      <c r="DD888" s="1218"/>
      <c r="DE888" s="1218"/>
      <c r="DF888" s="1218"/>
      <c r="DG888" s="1218"/>
      <c r="DH888" s="1218"/>
      <c r="DI888" s="1218"/>
      <c r="DJ888" s="1218"/>
      <c r="DK888" s="1218"/>
      <c r="DL888" s="1218"/>
      <c r="DM888" s="1218"/>
      <c r="DN888" s="1218"/>
      <c r="DO888" s="1218"/>
      <c r="DP888" s="1218"/>
      <c r="DQ888" s="1218"/>
      <c r="DR888" s="1218"/>
      <c r="DS888" s="1218"/>
      <c r="DT888" s="1218"/>
      <c r="DU888" s="1218"/>
      <c r="DV888" s="1218"/>
      <c r="DW888" s="1218"/>
      <c r="DX888" s="1218"/>
      <c r="DY888" s="1218"/>
      <c r="DZ888" s="1218"/>
      <c r="EA888" s="1218"/>
      <c r="EB888" s="1218"/>
      <c r="EC888" s="1218"/>
      <c r="ED888" s="1218"/>
      <c r="EE888" s="1218"/>
      <c r="EF888" s="1218"/>
      <c r="EG888" s="1218"/>
      <c r="EH888" s="1218"/>
      <c r="EI888" s="1218"/>
      <c r="EJ888" s="1218"/>
      <c r="EK888" s="1218"/>
      <c r="EL888" s="1218"/>
      <c r="EM888" s="1218"/>
      <c r="EN888" s="1218"/>
      <c r="EO888" s="1218"/>
      <c r="EP888" s="1218"/>
      <c r="EQ888" s="1218"/>
      <c r="ER888" s="1218"/>
      <c r="ES888" s="1218"/>
      <c r="ET888" s="1218"/>
      <c r="EU888" s="1218"/>
      <c r="EV888" s="1218"/>
      <c r="EW888" s="1218"/>
      <c r="EX888" s="1218"/>
      <c r="EY888" s="1218"/>
      <c r="EZ888" s="1218"/>
      <c r="FA888" s="1218"/>
      <c r="FB888" s="1218"/>
      <c r="FC888" s="1218"/>
      <c r="FD888" s="1218"/>
      <c r="FE888" s="1218"/>
      <c r="FF888" s="1218"/>
      <c r="FG888" s="1218"/>
      <c r="FH888" s="1218"/>
      <c r="FI888" s="1218"/>
      <c r="FJ888" s="1218"/>
      <c r="FK888" s="1218"/>
      <c r="FL888" s="1218"/>
      <c r="FM888" s="1218"/>
      <c r="FN888" s="1218"/>
      <c r="FO888" s="1218"/>
      <c r="FP888" s="1218"/>
      <c r="FQ888" s="1218"/>
      <c r="FR888" s="1218"/>
      <c r="FS888" s="1218"/>
      <c r="FT888" s="1218"/>
      <c r="FU888" s="1218"/>
      <c r="FV888" s="1218"/>
      <c r="FW888" s="1218"/>
      <c r="FX888" s="1218"/>
      <c r="FY888" s="1218"/>
      <c r="FZ888" s="1218"/>
      <c r="GA888" s="1218"/>
      <c r="GB888" s="1218"/>
      <c r="GC888" s="1218"/>
      <c r="GD888" s="1218"/>
      <c r="GE888" s="1218"/>
      <c r="GF888" s="1218"/>
      <c r="GG888" s="1218"/>
      <c r="GH888" s="1218"/>
      <c r="GI888" s="1218"/>
      <c r="GJ888" s="1218"/>
      <c r="GK888" s="1218"/>
      <c r="GL888" s="1218"/>
      <c r="GM888" s="1218"/>
      <c r="GN888" s="1218"/>
      <c r="GO888" s="1218"/>
      <c r="GP888" s="1218"/>
      <c r="GQ888" s="1218"/>
      <c r="GR888" s="1218"/>
      <c r="GS888" s="1218"/>
      <c r="GT888" s="1218"/>
      <c r="GU888" s="1218"/>
      <c r="GV888" s="1218"/>
      <c r="GW888" s="1218"/>
      <c r="GX888" s="1218"/>
      <c r="GY888" s="1218"/>
      <c r="GZ888" s="1218"/>
      <c r="HA888" s="1218"/>
      <c r="HB888" s="1218"/>
      <c r="HC888" s="1218"/>
      <c r="HD888" s="1218"/>
      <c r="HE888" s="1218"/>
      <c r="HF888" s="1218"/>
      <c r="HG888" s="1218"/>
      <c r="HH888" s="1218"/>
      <c r="HI888" s="1218"/>
      <c r="HJ888" s="1218"/>
      <c r="HK888" s="1218"/>
      <c r="HL888" s="1218"/>
      <c r="HM888" s="1218"/>
      <c r="HN888" s="1218"/>
      <c r="HO888" s="1218"/>
      <c r="HP888" s="1218"/>
      <c r="HQ888" s="1218"/>
      <c r="HR888" s="1218"/>
      <c r="HS888" s="1218"/>
      <c r="HT888" s="1218"/>
      <c r="HU888" s="1218"/>
      <c r="HV888" s="1218"/>
      <c r="HW888" s="1218"/>
      <c r="HX888" s="1218"/>
      <c r="HY888" s="1218"/>
      <c r="HZ888" s="1218"/>
      <c r="IA888" s="1218"/>
      <c r="IB888" s="1218"/>
      <c r="IC888" s="1218"/>
      <c r="ID888" s="1218"/>
      <c r="IE888" s="1218"/>
      <c r="IF888" s="1218"/>
      <c r="IG888" s="1218"/>
      <c r="IH888" s="1218"/>
      <c r="II888" s="1218"/>
      <c r="IJ888" s="1218"/>
      <c r="IK888" s="1218"/>
      <c r="IL888" s="1218"/>
      <c r="IM888" s="1218"/>
      <c r="IN888" s="1218"/>
    </row>
    <row r="889" spans="1:248" s="1312" customFormat="1" ht="14.1" customHeight="1">
      <c r="A889" s="1318"/>
      <c r="B889" s="1313"/>
      <c r="C889" s="1326" t="s">
        <v>4957</v>
      </c>
      <c r="D889" s="1314"/>
      <c r="G889" s="1218"/>
      <c r="H889" s="1218"/>
      <c r="I889" s="1218"/>
      <c r="J889" s="1218"/>
      <c r="K889" s="1218"/>
      <c r="L889" s="1218"/>
      <c r="M889" s="1218"/>
      <c r="N889" s="1218"/>
      <c r="O889" s="1218"/>
      <c r="P889" s="1218"/>
      <c r="Q889" s="1218"/>
      <c r="R889" s="1218"/>
      <c r="S889" s="1218"/>
      <c r="T889" s="1218"/>
      <c r="U889" s="1218"/>
      <c r="V889" s="1218"/>
      <c r="W889" s="1218"/>
      <c r="X889" s="1218"/>
      <c r="Y889" s="1218"/>
      <c r="Z889" s="1218"/>
      <c r="AA889" s="1218"/>
      <c r="AB889" s="1218"/>
      <c r="AC889" s="1218"/>
      <c r="AD889" s="1218"/>
      <c r="AE889" s="1218"/>
      <c r="AF889" s="1218"/>
      <c r="AG889" s="1218"/>
      <c r="AH889" s="1218"/>
      <c r="AI889" s="1218"/>
      <c r="AJ889" s="1218"/>
      <c r="AK889" s="1218"/>
      <c r="AL889" s="1218"/>
      <c r="AM889" s="1218"/>
      <c r="AN889" s="1218"/>
      <c r="AO889" s="1218"/>
      <c r="AP889" s="1218"/>
      <c r="AQ889" s="1218"/>
      <c r="AR889" s="1218"/>
      <c r="AS889" s="1218"/>
      <c r="AT889" s="1218"/>
      <c r="AU889" s="1218"/>
      <c r="AV889" s="1218"/>
      <c r="AW889" s="1218"/>
      <c r="AX889" s="1218"/>
      <c r="AY889" s="1218"/>
      <c r="AZ889" s="1218"/>
      <c r="BA889" s="1218"/>
      <c r="BB889" s="1218"/>
      <c r="BC889" s="1218"/>
      <c r="BD889" s="1218"/>
      <c r="BE889" s="1218"/>
      <c r="BF889" s="1218"/>
      <c r="BG889" s="1218"/>
      <c r="BH889" s="1218"/>
      <c r="BI889" s="1218"/>
      <c r="BJ889" s="1218"/>
      <c r="BK889" s="1218"/>
      <c r="BL889" s="1218"/>
      <c r="BM889" s="1218"/>
      <c r="BN889" s="1218"/>
      <c r="BO889" s="1218"/>
      <c r="BP889" s="1218"/>
      <c r="BQ889" s="1218"/>
      <c r="BR889" s="1218"/>
      <c r="BS889" s="1218"/>
      <c r="BT889" s="1218"/>
      <c r="BU889" s="1218"/>
      <c r="BV889" s="1218"/>
      <c r="BW889" s="1218"/>
      <c r="BX889" s="1218"/>
      <c r="BY889" s="1218"/>
      <c r="BZ889" s="1218"/>
      <c r="CA889" s="1218"/>
      <c r="CB889" s="1218"/>
      <c r="CC889" s="1218"/>
      <c r="CD889" s="1218"/>
      <c r="CE889" s="1218"/>
      <c r="CF889" s="1218"/>
      <c r="CG889" s="1218"/>
      <c r="CH889" s="1218"/>
      <c r="CI889" s="1218"/>
      <c r="CJ889" s="1218"/>
      <c r="CK889" s="1218"/>
      <c r="CL889" s="1218"/>
      <c r="CM889" s="1218"/>
      <c r="CN889" s="1218"/>
      <c r="CO889" s="1218"/>
      <c r="CP889" s="1218"/>
      <c r="CQ889" s="1218"/>
      <c r="CR889" s="1218"/>
      <c r="CS889" s="1218"/>
      <c r="CT889" s="1218"/>
      <c r="CU889" s="1218"/>
      <c r="CV889" s="1218"/>
      <c r="CW889" s="1218"/>
      <c r="CX889" s="1218"/>
      <c r="CY889" s="1218"/>
      <c r="CZ889" s="1218"/>
      <c r="DA889" s="1218"/>
      <c r="DB889" s="1218"/>
      <c r="DC889" s="1218"/>
      <c r="DD889" s="1218"/>
      <c r="DE889" s="1218"/>
      <c r="DF889" s="1218"/>
      <c r="DG889" s="1218"/>
      <c r="DH889" s="1218"/>
      <c r="DI889" s="1218"/>
      <c r="DJ889" s="1218"/>
      <c r="DK889" s="1218"/>
      <c r="DL889" s="1218"/>
      <c r="DM889" s="1218"/>
      <c r="DN889" s="1218"/>
      <c r="DO889" s="1218"/>
      <c r="DP889" s="1218"/>
      <c r="DQ889" s="1218"/>
      <c r="DR889" s="1218"/>
      <c r="DS889" s="1218"/>
      <c r="DT889" s="1218"/>
      <c r="DU889" s="1218"/>
      <c r="DV889" s="1218"/>
      <c r="DW889" s="1218"/>
      <c r="DX889" s="1218"/>
      <c r="DY889" s="1218"/>
      <c r="DZ889" s="1218"/>
      <c r="EA889" s="1218"/>
      <c r="EB889" s="1218"/>
      <c r="EC889" s="1218"/>
      <c r="ED889" s="1218"/>
      <c r="EE889" s="1218"/>
      <c r="EF889" s="1218"/>
      <c r="EG889" s="1218"/>
      <c r="EH889" s="1218"/>
      <c r="EI889" s="1218"/>
      <c r="EJ889" s="1218"/>
      <c r="EK889" s="1218"/>
      <c r="EL889" s="1218"/>
      <c r="EM889" s="1218"/>
      <c r="EN889" s="1218"/>
      <c r="EO889" s="1218"/>
      <c r="EP889" s="1218"/>
      <c r="EQ889" s="1218"/>
      <c r="ER889" s="1218"/>
      <c r="ES889" s="1218"/>
      <c r="ET889" s="1218"/>
      <c r="EU889" s="1218"/>
      <c r="EV889" s="1218"/>
      <c r="EW889" s="1218"/>
      <c r="EX889" s="1218"/>
      <c r="EY889" s="1218"/>
      <c r="EZ889" s="1218"/>
      <c r="FA889" s="1218"/>
      <c r="FB889" s="1218"/>
      <c r="FC889" s="1218"/>
      <c r="FD889" s="1218"/>
      <c r="FE889" s="1218"/>
      <c r="FF889" s="1218"/>
      <c r="FG889" s="1218"/>
      <c r="FH889" s="1218"/>
      <c r="FI889" s="1218"/>
      <c r="FJ889" s="1218"/>
      <c r="FK889" s="1218"/>
      <c r="FL889" s="1218"/>
      <c r="FM889" s="1218"/>
      <c r="FN889" s="1218"/>
      <c r="FO889" s="1218"/>
      <c r="FP889" s="1218"/>
      <c r="FQ889" s="1218"/>
      <c r="FR889" s="1218"/>
      <c r="FS889" s="1218"/>
      <c r="FT889" s="1218"/>
      <c r="FU889" s="1218"/>
      <c r="FV889" s="1218"/>
      <c r="FW889" s="1218"/>
      <c r="FX889" s="1218"/>
      <c r="FY889" s="1218"/>
      <c r="FZ889" s="1218"/>
      <c r="GA889" s="1218"/>
      <c r="GB889" s="1218"/>
      <c r="GC889" s="1218"/>
      <c r="GD889" s="1218"/>
      <c r="GE889" s="1218"/>
      <c r="GF889" s="1218"/>
      <c r="GG889" s="1218"/>
      <c r="GH889" s="1218"/>
      <c r="GI889" s="1218"/>
      <c r="GJ889" s="1218"/>
      <c r="GK889" s="1218"/>
      <c r="GL889" s="1218"/>
      <c r="GM889" s="1218"/>
      <c r="GN889" s="1218"/>
      <c r="GO889" s="1218"/>
      <c r="GP889" s="1218"/>
      <c r="GQ889" s="1218"/>
      <c r="GR889" s="1218"/>
      <c r="GS889" s="1218"/>
      <c r="GT889" s="1218"/>
      <c r="GU889" s="1218"/>
      <c r="GV889" s="1218"/>
      <c r="GW889" s="1218"/>
      <c r="GX889" s="1218"/>
      <c r="GY889" s="1218"/>
      <c r="GZ889" s="1218"/>
      <c r="HA889" s="1218"/>
      <c r="HB889" s="1218"/>
      <c r="HC889" s="1218"/>
      <c r="HD889" s="1218"/>
      <c r="HE889" s="1218"/>
      <c r="HF889" s="1218"/>
      <c r="HG889" s="1218"/>
      <c r="HH889" s="1218"/>
      <c r="HI889" s="1218"/>
      <c r="HJ889" s="1218"/>
      <c r="HK889" s="1218"/>
      <c r="HL889" s="1218"/>
      <c r="HM889" s="1218"/>
      <c r="HN889" s="1218"/>
      <c r="HO889" s="1218"/>
      <c r="HP889" s="1218"/>
      <c r="HQ889" s="1218"/>
      <c r="HR889" s="1218"/>
      <c r="HS889" s="1218"/>
      <c r="HT889" s="1218"/>
      <c r="HU889" s="1218"/>
      <c r="HV889" s="1218"/>
      <c r="HW889" s="1218"/>
      <c r="HX889" s="1218"/>
      <c r="HY889" s="1218"/>
      <c r="HZ889" s="1218"/>
      <c r="IA889" s="1218"/>
      <c r="IB889" s="1218"/>
      <c r="IC889" s="1218"/>
      <c r="ID889" s="1218"/>
      <c r="IE889" s="1218"/>
      <c r="IF889" s="1218"/>
      <c r="IG889" s="1218"/>
      <c r="IH889" s="1218"/>
      <c r="II889" s="1218"/>
      <c r="IJ889" s="1218"/>
      <c r="IK889" s="1218"/>
      <c r="IL889" s="1218"/>
      <c r="IM889" s="1218"/>
      <c r="IN889" s="1218"/>
    </row>
    <row r="890" spans="1:248" s="1312" customFormat="1" ht="14.1" customHeight="1">
      <c r="A890" s="1318"/>
      <c r="B890" s="1313"/>
      <c r="C890" s="1320"/>
      <c r="D890" s="1314"/>
      <c r="G890" s="1218"/>
      <c r="H890" s="1218"/>
      <c r="I890" s="1218"/>
      <c r="J890" s="1218"/>
      <c r="K890" s="1218"/>
      <c r="L890" s="1218"/>
      <c r="M890" s="1218"/>
      <c r="N890" s="1218"/>
      <c r="O890" s="1218"/>
      <c r="P890" s="1218"/>
      <c r="Q890" s="1218"/>
      <c r="R890" s="1218"/>
      <c r="S890" s="1218"/>
      <c r="T890" s="1218"/>
      <c r="U890" s="1218"/>
      <c r="V890" s="1218"/>
      <c r="W890" s="1218"/>
      <c r="X890" s="1218"/>
      <c r="Y890" s="1218"/>
      <c r="Z890" s="1218"/>
      <c r="AA890" s="1218"/>
      <c r="AB890" s="1218"/>
      <c r="AC890" s="1218"/>
      <c r="AD890" s="1218"/>
      <c r="AE890" s="1218"/>
      <c r="AF890" s="1218"/>
      <c r="AG890" s="1218"/>
      <c r="AH890" s="1218"/>
      <c r="AI890" s="1218"/>
      <c r="AJ890" s="1218"/>
      <c r="AK890" s="1218"/>
      <c r="AL890" s="1218"/>
      <c r="AM890" s="1218"/>
      <c r="AN890" s="1218"/>
      <c r="AO890" s="1218"/>
      <c r="AP890" s="1218"/>
      <c r="AQ890" s="1218"/>
      <c r="AR890" s="1218"/>
      <c r="AS890" s="1218"/>
      <c r="AT890" s="1218"/>
      <c r="AU890" s="1218"/>
      <c r="AV890" s="1218"/>
      <c r="AW890" s="1218"/>
      <c r="AX890" s="1218"/>
      <c r="AY890" s="1218"/>
      <c r="AZ890" s="1218"/>
      <c r="BA890" s="1218"/>
      <c r="BB890" s="1218"/>
      <c r="BC890" s="1218"/>
      <c r="BD890" s="1218"/>
      <c r="BE890" s="1218"/>
      <c r="BF890" s="1218"/>
      <c r="BG890" s="1218"/>
      <c r="BH890" s="1218"/>
      <c r="BI890" s="1218"/>
      <c r="BJ890" s="1218"/>
      <c r="BK890" s="1218"/>
      <c r="BL890" s="1218"/>
      <c r="BM890" s="1218"/>
      <c r="BN890" s="1218"/>
      <c r="BO890" s="1218"/>
      <c r="BP890" s="1218"/>
      <c r="BQ890" s="1218"/>
      <c r="BR890" s="1218"/>
      <c r="BS890" s="1218"/>
      <c r="BT890" s="1218"/>
      <c r="BU890" s="1218"/>
      <c r="BV890" s="1218"/>
      <c r="BW890" s="1218"/>
      <c r="BX890" s="1218"/>
      <c r="BY890" s="1218"/>
      <c r="BZ890" s="1218"/>
      <c r="CA890" s="1218"/>
      <c r="CB890" s="1218"/>
      <c r="CC890" s="1218"/>
      <c r="CD890" s="1218"/>
      <c r="CE890" s="1218"/>
      <c r="CF890" s="1218"/>
      <c r="CG890" s="1218"/>
      <c r="CH890" s="1218"/>
      <c r="CI890" s="1218"/>
      <c r="CJ890" s="1218"/>
      <c r="CK890" s="1218"/>
      <c r="CL890" s="1218"/>
      <c r="CM890" s="1218"/>
      <c r="CN890" s="1218"/>
      <c r="CO890" s="1218"/>
      <c r="CP890" s="1218"/>
      <c r="CQ890" s="1218"/>
      <c r="CR890" s="1218"/>
      <c r="CS890" s="1218"/>
      <c r="CT890" s="1218"/>
      <c r="CU890" s="1218"/>
      <c r="CV890" s="1218"/>
      <c r="CW890" s="1218"/>
      <c r="CX890" s="1218"/>
      <c r="CY890" s="1218"/>
      <c r="CZ890" s="1218"/>
      <c r="DA890" s="1218"/>
      <c r="DB890" s="1218"/>
      <c r="DC890" s="1218"/>
      <c r="DD890" s="1218"/>
      <c r="DE890" s="1218"/>
      <c r="DF890" s="1218"/>
      <c r="DG890" s="1218"/>
      <c r="DH890" s="1218"/>
      <c r="DI890" s="1218"/>
      <c r="DJ890" s="1218"/>
      <c r="DK890" s="1218"/>
      <c r="DL890" s="1218"/>
      <c r="DM890" s="1218"/>
      <c r="DN890" s="1218"/>
      <c r="DO890" s="1218"/>
      <c r="DP890" s="1218"/>
      <c r="DQ890" s="1218"/>
      <c r="DR890" s="1218"/>
      <c r="DS890" s="1218"/>
      <c r="DT890" s="1218"/>
      <c r="DU890" s="1218"/>
      <c r="DV890" s="1218"/>
      <c r="DW890" s="1218"/>
      <c r="DX890" s="1218"/>
      <c r="DY890" s="1218"/>
      <c r="DZ890" s="1218"/>
      <c r="EA890" s="1218"/>
      <c r="EB890" s="1218"/>
      <c r="EC890" s="1218"/>
      <c r="ED890" s="1218"/>
      <c r="EE890" s="1218"/>
      <c r="EF890" s="1218"/>
      <c r="EG890" s="1218"/>
      <c r="EH890" s="1218"/>
      <c r="EI890" s="1218"/>
      <c r="EJ890" s="1218"/>
      <c r="EK890" s="1218"/>
      <c r="EL890" s="1218"/>
      <c r="EM890" s="1218"/>
      <c r="EN890" s="1218"/>
      <c r="EO890" s="1218"/>
      <c r="EP890" s="1218"/>
      <c r="EQ890" s="1218"/>
      <c r="ER890" s="1218"/>
      <c r="ES890" s="1218"/>
      <c r="ET890" s="1218"/>
      <c r="EU890" s="1218"/>
      <c r="EV890" s="1218"/>
      <c r="EW890" s="1218"/>
      <c r="EX890" s="1218"/>
      <c r="EY890" s="1218"/>
      <c r="EZ890" s="1218"/>
      <c r="FA890" s="1218"/>
      <c r="FB890" s="1218"/>
      <c r="FC890" s="1218"/>
      <c r="FD890" s="1218"/>
      <c r="FE890" s="1218"/>
      <c r="FF890" s="1218"/>
      <c r="FG890" s="1218"/>
      <c r="FH890" s="1218"/>
      <c r="FI890" s="1218"/>
      <c r="FJ890" s="1218"/>
      <c r="FK890" s="1218"/>
      <c r="FL890" s="1218"/>
      <c r="FM890" s="1218"/>
      <c r="FN890" s="1218"/>
      <c r="FO890" s="1218"/>
      <c r="FP890" s="1218"/>
      <c r="FQ890" s="1218"/>
      <c r="FR890" s="1218"/>
      <c r="FS890" s="1218"/>
      <c r="FT890" s="1218"/>
      <c r="FU890" s="1218"/>
      <c r="FV890" s="1218"/>
      <c r="FW890" s="1218"/>
      <c r="FX890" s="1218"/>
      <c r="FY890" s="1218"/>
      <c r="FZ890" s="1218"/>
      <c r="GA890" s="1218"/>
      <c r="GB890" s="1218"/>
      <c r="GC890" s="1218"/>
      <c r="GD890" s="1218"/>
      <c r="GE890" s="1218"/>
      <c r="GF890" s="1218"/>
      <c r="GG890" s="1218"/>
      <c r="GH890" s="1218"/>
      <c r="GI890" s="1218"/>
      <c r="GJ890" s="1218"/>
      <c r="GK890" s="1218"/>
      <c r="GL890" s="1218"/>
      <c r="GM890" s="1218"/>
      <c r="GN890" s="1218"/>
      <c r="GO890" s="1218"/>
      <c r="GP890" s="1218"/>
      <c r="GQ890" s="1218"/>
      <c r="GR890" s="1218"/>
      <c r="GS890" s="1218"/>
      <c r="GT890" s="1218"/>
      <c r="GU890" s="1218"/>
      <c r="GV890" s="1218"/>
      <c r="GW890" s="1218"/>
      <c r="GX890" s="1218"/>
      <c r="GY890" s="1218"/>
      <c r="GZ890" s="1218"/>
      <c r="HA890" s="1218"/>
      <c r="HB890" s="1218"/>
      <c r="HC890" s="1218"/>
      <c r="HD890" s="1218"/>
      <c r="HE890" s="1218"/>
      <c r="HF890" s="1218"/>
      <c r="HG890" s="1218"/>
      <c r="HH890" s="1218"/>
      <c r="HI890" s="1218"/>
      <c r="HJ890" s="1218"/>
      <c r="HK890" s="1218"/>
      <c r="HL890" s="1218"/>
      <c r="HM890" s="1218"/>
      <c r="HN890" s="1218"/>
      <c r="HO890" s="1218"/>
      <c r="HP890" s="1218"/>
      <c r="HQ890" s="1218"/>
      <c r="HR890" s="1218"/>
      <c r="HS890" s="1218"/>
      <c r="HT890" s="1218"/>
      <c r="HU890" s="1218"/>
      <c r="HV890" s="1218"/>
      <c r="HW890" s="1218"/>
      <c r="HX890" s="1218"/>
      <c r="HY890" s="1218"/>
      <c r="HZ890" s="1218"/>
      <c r="IA890" s="1218"/>
      <c r="IB890" s="1218"/>
      <c r="IC890" s="1218"/>
      <c r="ID890" s="1218"/>
      <c r="IE890" s="1218"/>
      <c r="IF890" s="1218"/>
      <c r="IG890" s="1218"/>
      <c r="IH890" s="1218"/>
      <c r="II890" s="1218"/>
      <c r="IJ890" s="1218"/>
      <c r="IK890" s="1218"/>
      <c r="IL890" s="1218"/>
      <c r="IM890" s="1218"/>
      <c r="IN890" s="1218"/>
    </row>
    <row r="891" spans="1:248" s="1312" customFormat="1" ht="14.1" customHeight="1">
      <c r="A891" s="1318"/>
      <c r="B891" s="1160" t="s">
        <v>3977</v>
      </c>
      <c r="C891" s="1326" t="s">
        <v>4161</v>
      </c>
      <c r="D891" s="1314"/>
      <c r="G891" s="1218"/>
      <c r="H891" s="1218"/>
      <c r="I891" s="1218"/>
      <c r="J891" s="1218"/>
      <c r="K891" s="1218"/>
      <c r="L891" s="1218"/>
      <c r="M891" s="1218"/>
      <c r="N891" s="1218"/>
      <c r="O891" s="1218"/>
      <c r="P891" s="1218"/>
      <c r="Q891" s="1218"/>
      <c r="R891" s="1218"/>
      <c r="S891" s="1218"/>
      <c r="T891" s="1218"/>
      <c r="U891" s="1218"/>
      <c r="V891" s="1218"/>
      <c r="W891" s="1218"/>
      <c r="X891" s="1218"/>
      <c r="Y891" s="1218"/>
      <c r="Z891" s="1218"/>
      <c r="AA891" s="1218"/>
      <c r="AB891" s="1218"/>
      <c r="AC891" s="1218"/>
      <c r="AD891" s="1218"/>
      <c r="AE891" s="1218"/>
      <c r="AF891" s="1218"/>
      <c r="AG891" s="1218"/>
      <c r="AH891" s="1218"/>
      <c r="AI891" s="1218"/>
      <c r="AJ891" s="1218"/>
      <c r="AK891" s="1218"/>
      <c r="AL891" s="1218"/>
      <c r="AM891" s="1218"/>
      <c r="AN891" s="1218"/>
      <c r="AO891" s="1218"/>
      <c r="AP891" s="1218"/>
      <c r="AQ891" s="1218"/>
      <c r="AR891" s="1218"/>
      <c r="AS891" s="1218"/>
      <c r="AT891" s="1218"/>
      <c r="AU891" s="1218"/>
      <c r="AV891" s="1218"/>
      <c r="AW891" s="1218"/>
      <c r="AX891" s="1218"/>
      <c r="AY891" s="1218"/>
      <c r="AZ891" s="1218"/>
      <c r="BA891" s="1218"/>
      <c r="BB891" s="1218"/>
      <c r="BC891" s="1218"/>
      <c r="BD891" s="1218"/>
      <c r="BE891" s="1218"/>
      <c r="BF891" s="1218"/>
      <c r="BG891" s="1218"/>
      <c r="BH891" s="1218"/>
      <c r="BI891" s="1218"/>
      <c r="BJ891" s="1218"/>
      <c r="BK891" s="1218"/>
      <c r="BL891" s="1218"/>
      <c r="BM891" s="1218"/>
      <c r="BN891" s="1218"/>
      <c r="BO891" s="1218"/>
      <c r="BP891" s="1218"/>
      <c r="BQ891" s="1218"/>
      <c r="BR891" s="1218"/>
      <c r="BS891" s="1218"/>
      <c r="BT891" s="1218"/>
      <c r="BU891" s="1218"/>
      <c r="BV891" s="1218"/>
      <c r="BW891" s="1218"/>
      <c r="BX891" s="1218"/>
      <c r="BY891" s="1218"/>
      <c r="BZ891" s="1218"/>
      <c r="CA891" s="1218"/>
      <c r="CB891" s="1218"/>
      <c r="CC891" s="1218"/>
      <c r="CD891" s="1218"/>
      <c r="CE891" s="1218"/>
      <c r="CF891" s="1218"/>
      <c r="CG891" s="1218"/>
      <c r="CH891" s="1218"/>
      <c r="CI891" s="1218"/>
      <c r="CJ891" s="1218"/>
      <c r="CK891" s="1218"/>
      <c r="CL891" s="1218"/>
      <c r="CM891" s="1218"/>
      <c r="CN891" s="1218"/>
      <c r="CO891" s="1218"/>
      <c r="CP891" s="1218"/>
      <c r="CQ891" s="1218"/>
      <c r="CR891" s="1218"/>
      <c r="CS891" s="1218"/>
      <c r="CT891" s="1218"/>
      <c r="CU891" s="1218"/>
      <c r="CV891" s="1218"/>
      <c r="CW891" s="1218"/>
      <c r="CX891" s="1218"/>
      <c r="CY891" s="1218"/>
      <c r="CZ891" s="1218"/>
      <c r="DA891" s="1218"/>
      <c r="DB891" s="1218"/>
      <c r="DC891" s="1218"/>
      <c r="DD891" s="1218"/>
      <c r="DE891" s="1218"/>
      <c r="DF891" s="1218"/>
      <c r="DG891" s="1218"/>
      <c r="DH891" s="1218"/>
      <c r="DI891" s="1218"/>
      <c r="DJ891" s="1218"/>
      <c r="DK891" s="1218"/>
      <c r="DL891" s="1218"/>
      <c r="DM891" s="1218"/>
      <c r="DN891" s="1218"/>
      <c r="DO891" s="1218"/>
      <c r="DP891" s="1218"/>
      <c r="DQ891" s="1218"/>
      <c r="DR891" s="1218"/>
      <c r="DS891" s="1218"/>
      <c r="DT891" s="1218"/>
      <c r="DU891" s="1218"/>
      <c r="DV891" s="1218"/>
      <c r="DW891" s="1218"/>
      <c r="DX891" s="1218"/>
      <c r="DY891" s="1218"/>
      <c r="DZ891" s="1218"/>
      <c r="EA891" s="1218"/>
      <c r="EB891" s="1218"/>
      <c r="EC891" s="1218"/>
      <c r="ED891" s="1218"/>
      <c r="EE891" s="1218"/>
      <c r="EF891" s="1218"/>
      <c r="EG891" s="1218"/>
      <c r="EH891" s="1218"/>
      <c r="EI891" s="1218"/>
      <c r="EJ891" s="1218"/>
      <c r="EK891" s="1218"/>
      <c r="EL891" s="1218"/>
      <c r="EM891" s="1218"/>
      <c r="EN891" s="1218"/>
      <c r="EO891" s="1218"/>
      <c r="EP891" s="1218"/>
      <c r="EQ891" s="1218"/>
      <c r="ER891" s="1218"/>
      <c r="ES891" s="1218"/>
      <c r="ET891" s="1218"/>
      <c r="EU891" s="1218"/>
      <c r="EV891" s="1218"/>
      <c r="EW891" s="1218"/>
      <c r="EX891" s="1218"/>
      <c r="EY891" s="1218"/>
      <c r="EZ891" s="1218"/>
      <c r="FA891" s="1218"/>
      <c r="FB891" s="1218"/>
      <c r="FC891" s="1218"/>
      <c r="FD891" s="1218"/>
      <c r="FE891" s="1218"/>
      <c r="FF891" s="1218"/>
      <c r="FG891" s="1218"/>
      <c r="FH891" s="1218"/>
      <c r="FI891" s="1218"/>
      <c r="FJ891" s="1218"/>
      <c r="FK891" s="1218"/>
      <c r="FL891" s="1218"/>
      <c r="FM891" s="1218"/>
      <c r="FN891" s="1218"/>
      <c r="FO891" s="1218"/>
      <c r="FP891" s="1218"/>
      <c r="FQ891" s="1218"/>
      <c r="FR891" s="1218"/>
      <c r="FS891" s="1218"/>
      <c r="FT891" s="1218"/>
      <c r="FU891" s="1218"/>
      <c r="FV891" s="1218"/>
      <c r="FW891" s="1218"/>
      <c r="FX891" s="1218"/>
      <c r="FY891" s="1218"/>
      <c r="FZ891" s="1218"/>
      <c r="GA891" s="1218"/>
      <c r="GB891" s="1218"/>
      <c r="GC891" s="1218"/>
      <c r="GD891" s="1218"/>
      <c r="GE891" s="1218"/>
      <c r="GF891" s="1218"/>
      <c r="GG891" s="1218"/>
      <c r="GH891" s="1218"/>
      <c r="GI891" s="1218"/>
      <c r="GJ891" s="1218"/>
      <c r="GK891" s="1218"/>
      <c r="GL891" s="1218"/>
      <c r="GM891" s="1218"/>
      <c r="GN891" s="1218"/>
      <c r="GO891" s="1218"/>
      <c r="GP891" s="1218"/>
      <c r="GQ891" s="1218"/>
      <c r="GR891" s="1218"/>
      <c r="GS891" s="1218"/>
      <c r="GT891" s="1218"/>
      <c r="GU891" s="1218"/>
      <c r="GV891" s="1218"/>
      <c r="GW891" s="1218"/>
      <c r="GX891" s="1218"/>
      <c r="GY891" s="1218"/>
      <c r="GZ891" s="1218"/>
      <c r="HA891" s="1218"/>
      <c r="HB891" s="1218"/>
      <c r="HC891" s="1218"/>
      <c r="HD891" s="1218"/>
      <c r="HE891" s="1218"/>
      <c r="HF891" s="1218"/>
      <c r="HG891" s="1218"/>
      <c r="HH891" s="1218"/>
      <c r="HI891" s="1218"/>
      <c r="HJ891" s="1218"/>
      <c r="HK891" s="1218"/>
      <c r="HL891" s="1218"/>
      <c r="HM891" s="1218"/>
      <c r="HN891" s="1218"/>
      <c r="HO891" s="1218"/>
      <c r="HP891" s="1218"/>
      <c r="HQ891" s="1218"/>
      <c r="HR891" s="1218"/>
      <c r="HS891" s="1218"/>
      <c r="HT891" s="1218"/>
      <c r="HU891" s="1218"/>
      <c r="HV891" s="1218"/>
      <c r="HW891" s="1218"/>
      <c r="HX891" s="1218"/>
      <c r="HY891" s="1218"/>
      <c r="HZ891" s="1218"/>
      <c r="IA891" s="1218"/>
      <c r="IB891" s="1218"/>
      <c r="IC891" s="1218"/>
      <c r="ID891" s="1218"/>
      <c r="IE891" s="1218"/>
      <c r="IF891" s="1218"/>
      <c r="IG891" s="1218"/>
      <c r="IH891" s="1218"/>
      <c r="II891" s="1218"/>
      <c r="IJ891" s="1218"/>
      <c r="IK891" s="1218"/>
      <c r="IL891" s="1218"/>
      <c r="IM891" s="1218"/>
      <c r="IN891" s="1218"/>
    </row>
    <row r="892" spans="1:248" s="1312" customFormat="1" ht="14.1" customHeight="1">
      <c r="A892" s="1318"/>
      <c r="B892" s="1313"/>
      <c r="C892" s="1326" t="s">
        <v>4162</v>
      </c>
      <c r="D892" s="1314"/>
      <c r="G892" s="1218"/>
      <c r="H892" s="1218"/>
      <c r="I892" s="1218"/>
      <c r="J892" s="1218"/>
      <c r="K892" s="1218"/>
      <c r="L892" s="1218"/>
      <c r="M892" s="1218"/>
      <c r="N892" s="1218"/>
      <c r="O892" s="1218"/>
      <c r="P892" s="1218"/>
      <c r="Q892" s="1218"/>
      <c r="R892" s="1218"/>
      <c r="S892" s="1218"/>
      <c r="T892" s="1218"/>
      <c r="U892" s="1218"/>
      <c r="V892" s="1218"/>
      <c r="W892" s="1218"/>
      <c r="X892" s="1218"/>
      <c r="Y892" s="1218"/>
      <c r="Z892" s="1218"/>
      <c r="AA892" s="1218"/>
      <c r="AB892" s="1218"/>
      <c r="AC892" s="1218"/>
      <c r="AD892" s="1218"/>
      <c r="AE892" s="1218"/>
      <c r="AF892" s="1218"/>
      <c r="AG892" s="1218"/>
      <c r="AH892" s="1218"/>
      <c r="AI892" s="1218"/>
      <c r="AJ892" s="1218"/>
      <c r="AK892" s="1218"/>
      <c r="AL892" s="1218"/>
      <c r="AM892" s="1218"/>
      <c r="AN892" s="1218"/>
      <c r="AO892" s="1218"/>
      <c r="AP892" s="1218"/>
      <c r="AQ892" s="1218"/>
      <c r="AR892" s="1218"/>
      <c r="AS892" s="1218"/>
      <c r="AT892" s="1218"/>
      <c r="AU892" s="1218"/>
      <c r="AV892" s="1218"/>
      <c r="AW892" s="1218"/>
      <c r="AX892" s="1218"/>
      <c r="AY892" s="1218"/>
      <c r="AZ892" s="1218"/>
      <c r="BA892" s="1218"/>
      <c r="BB892" s="1218"/>
      <c r="BC892" s="1218"/>
      <c r="BD892" s="1218"/>
      <c r="BE892" s="1218"/>
      <c r="BF892" s="1218"/>
      <c r="BG892" s="1218"/>
      <c r="BH892" s="1218"/>
      <c r="BI892" s="1218"/>
      <c r="BJ892" s="1218"/>
      <c r="BK892" s="1218"/>
      <c r="BL892" s="1218"/>
      <c r="BM892" s="1218"/>
      <c r="BN892" s="1218"/>
      <c r="BO892" s="1218"/>
      <c r="BP892" s="1218"/>
      <c r="BQ892" s="1218"/>
      <c r="BR892" s="1218"/>
      <c r="BS892" s="1218"/>
      <c r="BT892" s="1218"/>
      <c r="BU892" s="1218"/>
      <c r="BV892" s="1218"/>
      <c r="BW892" s="1218"/>
      <c r="BX892" s="1218"/>
      <c r="BY892" s="1218"/>
      <c r="BZ892" s="1218"/>
      <c r="CA892" s="1218"/>
      <c r="CB892" s="1218"/>
      <c r="CC892" s="1218"/>
      <c r="CD892" s="1218"/>
      <c r="CE892" s="1218"/>
      <c r="CF892" s="1218"/>
      <c r="CG892" s="1218"/>
      <c r="CH892" s="1218"/>
      <c r="CI892" s="1218"/>
      <c r="CJ892" s="1218"/>
      <c r="CK892" s="1218"/>
      <c r="CL892" s="1218"/>
      <c r="CM892" s="1218"/>
      <c r="CN892" s="1218"/>
      <c r="CO892" s="1218"/>
      <c r="CP892" s="1218"/>
      <c r="CQ892" s="1218"/>
      <c r="CR892" s="1218"/>
      <c r="CS892" s="1218"/>
      <c r="CT892" s="1218"/>
      <c r="CU892" s="1218"/>
      <c r="CV892" s="1218"/>
      <c r="CW892" s="1218"/>
      <c r="CX892" s="1218"/>
      <c r="CY892" s="1218"/>
      <c r="CZ892" s="1218"/>
      <c r="DA892" s="1218"/>
      <c r="DB892" s="1218"/>
      <c r="DC892" s="1218"/>
      <c r="DD892" s="1218"/>
      <c r="DE892" s="1218"/>
      <c r="DF892" s="1218"/>
      <c r="DG892" s="1218"/>
      <c r="DH892" s="1218"/>
      <c r="DI892" s="1218"/>
      <c r="DJ892" s="1218"/>
      <c r="DK892" s="1218"/>
      <c r="DL892" s="1218"/>
      <c r="DM892" s="1218"/>
      <c r="DN892" s="1218"/>
      <c r="DO892" s="1218"/>
      <c r="DP892" s="1218"/>
      <c r="DQ892" s="1218"/>
      <c r="DR892" s="1218"/>
      <c r="DS892" s="1218"/>
      <c r="DT892" s="1218"/>
      <c r="DU892" s="1218"/>
      <c r="DV892" s="1218"/>
      <c r="DW892" s="1218"/>
      <c r="DX892" s="1218"/>
      <c r="DY892" s="1218"/>
      <c r="DZ892" s="1218"/>
      <c r="EA892" s="1218"/>
      <c r="EB892" s="1218"/>
      <c r="EC892" s="1218"/>
      <c r="ED892" s="1218"/>
      <c r="EE892" s="1218"/>
      <c r="EF892" s="1218"/>
      <c r="EG892" s="1218"/>
      <c r="EH892" s="1218"/>
      <c r="EI892" s="1218"/>
      <c r="EJ892" s="1218"/>
      <c r="EK892" s="1218"/>
      <c r="EL892" s="1218"/>
      <c r="EM892" s="1218"/>
      <c r="EN892" s="1218"/>
      <c r="EO892" s="1218"/>
      <c r="EP892" s="1218"/>
      <c r="EQ892" s="1218"/>
      <c r="ER892" s="1218"/>
      <c r="ES892" s="1218"/>
      <c r="ET892" s="1218"/>
      <c r="EU892" s="1218"/>
      <c r="EV892" s="1218"/>
      <c r="EW892" s="1218"/>
      <c r="EX892" s="1218"/>
      <c r="EY892" s="1218"/>
      <c r="EZ892" s="1218"/>
      <c r="FA892" s="1218"/>
      <c r="FB892" s="1218"/>
      <c r="FC892" s="1218"/>
      <c r="FD892" s="1218"/>
      <c r="FE892" s="1218"/>
      <c r="FF892" s="1218"/>
      <c r="FG892" s="1218"/>
      <c r="FH892" s="1218"/>
      <c r="FI892" s="1218"/>
      <c r="FJ892" s="1218"/>
      <c r="FK892" s="1218"/>
      <c r="FL892" s="1218"/>
      <c r="FM892" s="1218"/>
      <c r="FN892" s="1218"/>
      <c r="FO892" s="1218"/>
      <c r="FP892" s="1218"/>
      <c r="FQ892" s="1218"/>
      <c r="FR892" s="1218"/>
      <c r="FS892" s="1218"/>
      <c r="FT892" s="1218"/>
      <c r="FU892" s="1218"/>
      <c r="FV892" s="1218"/>
      <c r="FW892" s="1218"/>
      <c r="FX892" s="1218"/>
      <c r="FY892" s="1218"/>
      <c r="FZ892" s="1218"/>
      <c r="GA892" s="1218"/>
      <c r="GB892" s="1218"/>
      <c r="GC892" s="1218"/>
      <c r="GD892" s="1218"/>
      <c r="GE892" s="1218"/>
      <c r="GF892" s="1218"/>
      <c r="GG892" s="1218"/>
      <c r="GH892" s="1218"/>
      <c r="GI892" s="1218"/>
      <c r="GJ892" s="1218"/>
      <c r="GK892" s="1218"/>
      <c r="GL892" s="1218"/>
      <c r="GM892" s="1218"/>
      <c r="GN892" s="1218"/>
      <c r="GO892" s="1218"/>
      <c r="GP892" s="1218"/>
      <c r="GQ892" s="1218"/>
      <c r="GR892" s="1218"/>
      <c r="GS892" s="1218"/>
      <c r="GT892" s="1218"/>
      <c r="GU892" s="1218"/>
      <c r="GV892" s="1218"/>
      <c r="GW892" s="1218"/>
      <c r="GX892" s="1218"/>
      <c r="GY892" s="1218"/>
      <c r="GZ892" s="1218"/>
      <c r="HA892" s="1218"/>
      <c r="HB892" s="1218"/>
      <c r="HC892" s="1218"/>
      <c r="HD892" s="1218"/>
      <c r="HE892" s="1218"/>
      <c r="HF892" s="1218"/>
      <c r="HG892" s="1218"/>
      <c r="HH892" s="1218"/>
      <c r="HI892" s="1218"/>
      <c r="HJ892" s="1218"/>
      <c r="HK892" s="1218"/>
      <c r="HL892" s="1218"/>
      <c r="HM892" s="1218"/>
      <c r="HN892" s="1218"/>
      <c r="HO892" s="1218"/>
      <c r="HP892" s="1218"/>
      <c r="HQ892" s="1218"/>
      <c r="HR892" s="1218"/>
      <c r="HS892" s="1218"/>
      <c r="HT892" s="1218"/>
      <c r="HU892" s="1218"/>
      <c r="HV892" s="1218"/>
      <c r="HW892" s="1218"/>
      <c r="HX892" s="1218"/>
      <c r="HY892" s="1218"/>
      <c r="HZ892" s="1218"/>
      <c r="IA892" s="1218"/>
      <c r="IB892" s="1218"/>
      <c r="IC892" s="1218"/>
      <c r="ID892" s="1218"/>
      <c r="IE892" s="1218"/>
      <c r="IF892" s="1218"/>
      <c r="IG892" s="1218"/>
      <c r="IH892" s="1218"/>
      <c r="II892" s="1218"/>
      <c r="IJ892" s="1218"/>
      <c r="IK892" s="1218"/>
      <c r="IL892" s="1218"/>
      <c r="IM892" s="1218"/>
      <c r="IN892" s="1218"/>
    </row>
    <row r="893" spans="1:248" s="1312" customFormat="1" ht="14.1" customHeight="1">
      <c r="A893" s="1318"/>
      <c r="B893" s="1313"/>
      <c r="C893" s="1320"/>
      <c r="D893" s="1314"/>
      <c r="G893" s="1218"/>
      <c r="H893" s="1218"/>
      <c r="I893" s="1218"/>
      <c r="J893" s="1218"/>
      <c r="K893" s="1218"/>
      <c r="L893" s="1218"/>
      <c r="M893" s="1218"/>
      <c r="N893" s="1218"/>
      <c r="O893" s="1218"/>
      <c r="P893" s="1218"/>
      <c r="Q893" s="1218"/>
      <c r="R893" s="1218"/>
      <c r="S893" s="1218"/>
      <c r="T893" s="1218"/>
      <c r="U893" s="1218"/>
      <c r="V893" s="1218"/>
      <c r="W893" s="1218"/>
      <c r="X893" s="1218"/>
      <c r="Y893" s="1218"/>
      <c r="Z893" s="1218"/>
      <c r="AA893" s="1218"/>
      <c r="AB893" s="1218"/>
      <c r="AC893" s="1218"/>
      <c r="AD893" s="1218"/>
      <c r="AE893" s="1218"/>
      <c r="AF893" s="1218"/>
      <c r="AG893" s="1218"/>
      <c r="AH893" s="1218"/>
      <c r="AI893" s="1218"/>
      <c r="AJ893" s="1218"/>
      <c r="AK893" s="1218"/>
      <c r="AL893" s="1218"/>
      <c r="AM893" s="1218"/>
      <c r="AN893" s="1218"/>
      <c r="AO893" s="1218"/>
      <c r="AP893" s="1218"/>
      <c r="AQ893" s="1218"/>
      <c r="AR893" s="1218"/>
      <c r="AS893" s="1218"/>
      <c r="AT893" s="1218"/>
      <c r="AU893" s="1218"/>
      <c r="AV893" s="1218"/>
      <c r="AW893" s="1218"/>
      <c r="AX893" s="1218"/>
      <c r="AY893" s="1218"/>
      <c r="AZ893" s="1218"/>
      <c r="BA893" s="1218"/>
      <c r="BB893" s="1218"/>
      <c r="BC893" s="1218"/>
      <c r="BD893" s="1218"/>
      <c r="BE893" s="1218"/>
      <c r="BF893" s="1218"/>
      <c r="BG893" s="1218"/>
      <c r="BH893" s="1218"/>
      <c r="BI893" s="1218"/>
      <c r="BJ893" s="1218"/>
      <c r="BK893" s="1218"/>
      <c r="BL893" s="1218"/>
      <c r="BM893" s="1218"/>
      <c r="BN893" s="1218"/>
      <c r="BO893" s="1218"/>
      <c r="BP893" s="1218"/>
      <c r="BQ893" s="1218"/>
      <c r="BR893" s="1218"/>
      <c r="BS893" s="1218"/>
      <c r="BT893" s="1218"/>
      <c r="BU893" s="1218"/>
      <c r="BV893" s="1218"/>
      <c r="BW893" s="1218"/>
      <c r="BX893" s="1218"/>
      <c r="BY893" s="1218"/>
      <c r="BZ893" s="1218"/>
      <c r="CA893" s="1218"/>
      <c r="CB893" s="1218"/>
      <c r="CC893" s="1218"/>
      <c r="CD893" s="1218"/>
      <c r="CE893" s="1218"/>
      <c r="CF893" s="1218"/>
      <c r="CG893" s="1218"/>
      <c r="CH893" s="1218"/>
      <c r="CI893" s="1218"/>
      <c r="CJ893" s="1218"/>
      <c r="CK893" s="1218"/>
      <c r="CL893" s="1218"/>
      <c r="CM893" s="1218"/>
      <c r="CN893" s="1218"/>
      <c r="CO893" s="1218"/>
      <c r="CP893" s="1218"/>
      <c r="CQ893" s="1218"/>
      <c r="CR893" s="1218"/>
      <c r="CS893" s="1218"/>
      <c r="CT893" s="1218"/>
      <c r="CU893" s="1218"/>
      <c r="CV893" s="1218"/>
      <c r="CW893" s="1218"/>
      <c r="CX893" s="1218"/>
      <c r="CY893" s="1218"/>
      <c r="CZ893" s="1218"/>
      <c r="DA893" s="1218"/>
      <c r="DB893" s="1218"/>
      <c r="DC893" s="1218"/>
      <c r="DD893" s="1218"/>
      <c r="DE893" s="1218"/>
      <c r="DF893" s="1218"/>
      <c r="DG893" s="1218"/>
      <c r="DH893" s="1218"/>
      <c r="DI893" s="1218"/>
      <c r="DJ893" s="1218"/>
      <c r="DK893" s="1218"/>
      <c r="DL893" s="1218"/>
      <c r="DM893" s="1218"/>
      <c r="DN893" s="1218"/>
      <c r="DO893" s="1218"/>
      <c r="DP893" s="1218"/>
      <c r="DQ893" s="1218"/>
      <c r="DR893" s="1218"/>
      <c r="DS893" s="1218"/>
      <c r="DT893" s="1218"/>
      <c r="DU893" s="1218"/>
      <c r="DV893" s="1218"/>
      <c r="DW893" s="1218"/>
      <c r="DX893" s="1218"/>
      <c r="DY893" s="1218"/>
      <c r="DZ893" s="1218"/>
      <c r="EA893" s="1218"/>
      <c r="EB893" s="1218"/>
      <c r="EC893" s="1218"/>
      <c r="ED893" s="1218"/>
      <c r="EE893" s="1218"/>
      <c r="EF893" s="1218"/>
      <c r="EG893" s="1218"/>
      <c r="EH893" s="1218"/>
      <c r="EI893" s="1218"/>
      <c r="EJ893" s="1218"/>
      <c r="EK893" s="1218"/>
      <c r="EL893" s="1218"/>
      <c r="EM893" s="1218"/>
      <c r="EN893" s="1218"/>
      <c r="EO893" s="1218"/>
      <c r="EP893" s="1218"/>
      <c r="EQ893" s="1218"/>
      <c r="ER893" s="1218"/>
      <c r="ES893" s="1218"/>
      <c r="ET893" s="1218"/>
      <c r="EU893" s="1218"/>
      <c r="EV893" s="1218"/>
      <c r="EW893" s="1218"/>
      <c r="EX893" s="1218"/>
      <c r="EY893" s="1218"/>
      <c r="EZ893" s="1218"/>
      <c r="FA893" s="1218"/>
      <c r="FB893" s="1218"/>
      <c r="FC893" s="1218"/>
      <c r="FD893" s="1218"/>
      <c r="FE893" s="1218"/>
      <c r="FF893" s="1218"/>
      <c r="FG893" s="1218"/>
      <c r="FH893" s="1218"/>
      <c r="FI893" s="1218"/>
      <c r="FJ893" s="1218"/>
      <c r="FK893" s="1218"/>
      <c r="FL893" s="1218"/>
      <c r="FM893" s="1218"/>
      <c r="FN893" s="1218"/>
      <c r="FO893" s="1218"/>
      <c r="FP893" s="1218"/>
      <c r="FQ893" s="1218"/>
      <c r="FR893" s="1218"/>
      <c r="FS893" s="1218"/>
      <c r="FT893" s="1218"/>
      <c r="FU893" s="1218"/>
      <c r="FV893" s="1218"/>
      <c r="FW893" s="1218"/>
      <c r="FX893" s="1218"/>
      <c r="FY893" s="1218"/>
      <c r="FZ893" s="1218"/>
      <c r="GA893" s="1218"/>
      <c r="GB893" s="1218"/>
      <c r="GC893" s="1218"/>
      <c r="GD893" s="1218"/>
      <c r="GE893" s="1218"/>
      <c r="GF893" s="1218"/>
      <c r="GG893" s="1218"/>
      <c r="GH893" s="1218"/>
      <c r="GI893" s="1218"/>
      <c r="GJ893" s="1218"/>
      <c r="GK893" s="1218"/>
      <c r="GL893" s="1218"/>
      <c r="GM893" s="1218"/>
      <c r="GN893" s="1218"/>
      <c r="GO893" s="1218"/>
      <c r="GP893" s="1218"/>
      <c r="GQ893" s="1218"/>
      <c r="GR893" s="1218"/>
      <c r="GS893" s="1218"/>
      <c r="GT893" s="1218"/>
      <c r="GU893" s="1218"/>
      <c r="GV893" s="1218"/>
      <c r="GW893" s="1218"/>
      <c r="GX893" s="1218"/>
      <c r="GY893" s="1218"/>
      <c r="GZ893" s="1218"/>
      <c r="HA893" s="1218"/>
      <c r="HB893" s="1218"/>
      <c r="HC893" s="1218"/>
      <c r="HD893" s="1218"/>
      <c r="HE893" s="1218"/>
      <c r="HF893" s="1218"/>
      <c r="HG893" s="1218"/>
      <c r="HH893" s="1218"/>
      <c r="HI893" s="1218"/>
      <c r="HJ893" s="1218"/>
      <c r="HK893" s="1218"/>
      <c r="HL893" s="1218"/>
      <c r="HM893" s="1218"/>
      <c r="HN893" s="1218"/>
      <c r="HO893" s="1218"/>
      <c r="HP893" s="1218"/>
      <c r="HQ893" s="1218"/>
      <c r="HR893" s="1218"/>
      <c r="HS893" s="1218"/>
      <c r="HT893" s="1218"/>
      <c r="HU893" s="1218"/>
      <c r="HV893" s="1218"/>
      <c r="HW893" s="1218"/>
      <c r="HX893" s="1218"/>
      <c r="HY893" s="1218"/>
      <c r="HZ893" s="1218"/>
      <c r="IA893" s="1218"/>
      <c r="IB893" s="1218"/>
      <c r="IC893" s="1218"/>
      <c r="ID893" s="1218"/>
      <c r="IE893" s="1218"/>
      <c r="IF893" s="1218"/>
      <c r="IG893" s="1218"/>
      <c r="IH893" s="1218"/>
      <c r="II893" s="1218"/>
      <c r="IJ893" s="1218"/>
      <c r="IK893" s="1218"/>
      <c r="IL893" s="1218"/>
      <c r="IM893" s="1218"/>
      <c r="IN893" s="1218"/>
    </row>
    <row r="894" spans="1:248" s="1312" customFormat="1" ht="14.1" customHeight="1">
      <c r="A894" s="1318"/>
      <c r="B894" s="1160" t="s">
        <v>3978</v>
      </c>
      <c r="C894" s="1326" t="s">
        <v>4163</v>
      </c>
      <c r="D894" s="1314"/>
      <c r="G894" s="1218"/>
      <c r="H894" s="1218"/>
      <c r="I894" s="1218"/>
      <c r="J894" s="1218"/>
      <c r="K894" s="1218"/>
      <c r="L894" s="1218"/>
      <c r="M894" s="1218"/>
      <c r="N894" s="1218"/>
      <c r="O894" s="1218"/>
      <c r="P894" s="1218"/>
      <c r="Q894" s="1218"/>
      <c r="R894" s="1218"/>
      <c r="S894" s="1218"/>
      <c r="T894" s="1218"/>
      <c r="U894" s="1218"/>
      <c r="V894" s="1218"/>
      <c r="W894" s="1218"/>
      <c r="X894" s="1218"/>
      <c r="Y894" s="1218"/>
      <c r="Z894" s="1218"/>
      <c r="AA894" s="1218"/>
      <c r="AB894" s="1218"/>
      <c r="AC894" s="1218"/>
      <c r="AD894" s="1218"/>
      <c r="AE894" s="1218"/>
      <c r="AF894" s="1218"/>
      <c r="AG894" s="1218"/>
      <c r="AH894" s="1218"/>
      <c r="AI894" s="1218"/>
      <c r="AJ894" s="1218"/>
      <c r="AK894" s="1218"/>
      <c r="AL894" s="1218"/>
      <c r="AM894" s="1218"/>
      <c r="AN894" s="1218"/>
      <c r="AO894" s="1218"/>
      <c r="AP894" s="1218"/>
      <c r="AQ894" s="1218"/>
      <c r="AR894" s="1218"/>
      <c r="AS894" s="1218"/>
      <c r="AT894" s="1218"/>
      <c r="AU894" s="1218"/>
      <c r="AV894" s="1218"/>
      <c r="AW894" s="1218"/>
      <c r="AX894" s="1218"/>
      <c r="AY894" s="1218"/>
      <c r="AZ894" s="1218"/>
      <c r="BA894" s="1218"/>
      <c r="BB894" s="1218"/>
      <c r="BC894" s="1218"/>
      <c r="BD894" s="1218"/>
      <c r="BE894" s="1218"/>
      <c r="BF894" s="1218"/>
      <c r="BG894" s="1218"/>
      <c r="BH894" s="1218"/>
      <c r="BI894" s="1218"/>
      <c r="BJ894" s="1218"/>
      <c r="BK894" s="1218"/>
      <c r="BL894" s="1218"/>
      <c r="BM894" s="1218"/>
      <c r="BN894" s="1218"/>
      <c r="BO894" s="1218"/>
      <c r="BP894" s="1218"/>
      <c r="BQ894" s="1218"/>
      <c r="BR894" s="1218"/>
      <c r="BS894" s="1218"/>
      <c r="BT894" s="1218"/>
      <c r="BU894" s="1218"/>
      <c r="BV894" s="1218"/>
      <c r="BW894" s="1218"/>
      <c r="BX894" s="1218"/>
      <c r="BY894" s="1218"/>
      <c r="BZ894" s="1218"/>
      <c r="CA894" s="1218"/>
      <c r="CB894" s="1218"/>
      <c r="CC894" s="1218"/>
      <c r="CD894" s="1218"/>
      <c r="CE894" s="1218"/>
      <c r="CF894" s="1218"/>
      <c r="CG894" s="1218"/>
      <c r="CH894" s="1218"/>
      <c r="CI894" s="1218"/>
      <c r="CJ894" s="1218"/>
      <c r="CK894" s="1218"/>
      <c r="CL894" s="1218"/>
      <c r="CM894" s="1218"/>
      <c r="CN894" s="1218"/>
      <c r="CO894" s="1218"/>
      <c r="CP894" s="1218"/>
      <c r="CQ894" s="1218"/>
      <c r="CR894" s="1218"/>
      <c r="CS894" s="1218"/>
      <c r="CT894" s="1218"/>
      <c r="CU894" s="1218"/>
      <c r="CV894" s="1218"/>
      <c r="CW894" s="1218"/>
      <c r="CX894" s="1218"/>
      <c r="CY894" s="1218"/>
      <c r="CZ894" s="1218"/>
      <c r="DA894" s="1218"/>
      <c r="DB894" s="1218"/>
      <c r="DC894" s="1218"/>
      <c r="DD894" s="1218"/>
      <c r="DE894" s="1218"/>
      <c r="DF894" s="1218"/>
      <c r="DG894" s="1218"/>
      <c r="DH894" s="1218"/>
      <c r="DI894" s="1218"/>
      <c r="DJ894" s="1218"/>
      <c r="DK894" s="1218"/>
      <c r="DL894" s="1218"/>
      <c r="DM894" s="1218"/>
      <c r="DN894" s="1218"/>
      <c r="DO894" s="1218"/>
      <c r="DP894" s="1218"/>
      <c r="DQ894" s="1218"/>
      <c r="DR894" s="1218"/>
      <c r="DS894" s="1218"/>
      <c r="DT894" s="1218"/>
      <c r="DU894" s="1218"/>
      <c r="DV894" s="1218"/>
      <c r="DW894" s="1218"/>
      <c r="DX894" s="1218"/>
      <c r="DY894" s="1218"/>
      <c r="DZ894" s="1218"/>
      <c r="EA894" s="1218"/>
      <c r="EB894" s="1218"/>
      <c r="EC894" s="1218"/>
      <c r="ED894" s="1218"/>
      <c r="EE894" s="1218"/>
      <c r="EF894" s="1218"/>
      <c r="EG894" s="1218"/>
      <c r="EH894" s="1218"/>
      <c r="EI894" s="1218"/>
      <c r="EJ894" s="1218"/>
      <c r="EK894" s="1218"/>
      <c r="EL894" s="1218"/>
      <c r="EM894" s="1218"/>
      <c r="EN894" s="1218"/>
      <c r="EO894" s="1218"/>
      <c r="EP894" s="1218"/>
      <c r="EQ894" s="1218"/>
      <c r="ER894" s="1218"/>
      <c r="ES894" s="1218"/>
      <c r="ET894" s="1218"/>
      <c r="EU894" s="1218"/>
      <c r="EV894" s="1218"/>
      <c r="EW894" s="1218"/>
      <c r="EX894" s="1218"/>
      <c r="EY894" s="1218"/>
      <c r="EZ894" s="1218"/>
      <c r="FA894" s="1218"/>
      <c r="FB894" s="1218"/>
      <c r="FC894" s="1218"/>
      <c r="FD894" s="1218"/>
      <c r="FE894" s="1218"/>
      <c r="FF894" s="1218"/>
      <c r="FG894" s="1218"/>
      <c r="FH894" s="1218"/>
      <c r="FI894" s="1218"/>
      <c r="FJ894" s="1218"/>
      <c r="FK894" s="1218"/>
      <c r="FL894" s="1218"/>
      <c r="FM894" s="1218"/>
      <c r="FN894" s="1218"/>
      <c r="FO894" s="1218"/>
      <c r="FP894" s="1218"/>
      <c r="FQ894" s="1218"/>
      <c r="FR894" s="1218"/>
      <c r="FS894" s="1218"/>
      <c r="FT894" s="1218"/>
      <c r="FU894" s="1218"/>
      <c r="FV894" s="1218"/>
      <c r="FW894" s="1218"/>
      <c r="FX894" s="1218"/>
      <c r="FY894" s="1218"/>
      <c r="FZ894" s="1218"/>
      <c r="GA894" s="1218"/>
      <c r="GB894" s="1218"/>
      <c r="GC894" s="1218"/>
      <c r="GD894" s="1218"/>
      <c r="GE894" s="1218"/>
      <c r="GF894" s="1218"/>
      <c r="GG894" s="1218"/>
      <c r="GH894" s="1218"/>
      <c r="GI894" s="1218"/>
      <c r="GJ894" s="1218"/>
      <c r="GK894" s="1218"/>
      <c r="GL894" s="1218"/>
      <c r="GM894" s="1218"/>
      <c r="GN894" s="1218"/>
      <c r="GO894" s="1218"/>
      <c r="GP894" s="1218"/>
      <c r="GQ894" s="1218"/>
      <c r="GR894" s="1218"/>
      <c r="GS894" s="1218"/>
      <c r="GT894" s="1218"/>
      <c r="GU894" s="1218"/>
      <c r="GV894" s="1218"/>
      <c r="GW894" s="1218"/>
      <c r="GX894" s="1218"/>
      <c r="GY894" s="1218"/>
      <c r="GZ894" s="1218"/>
      <c r="HA894" s="1218"/>
      <c r="HB894" s="1218"/>
      <c r="HC894" s="1218"/>
      <c r="HD894" s="1218"/>
      <c r="HE894" s="1218"/>
      <c r="HF894" s="1218"/>
      <c r="HG894" s="1218"/>
      <c r="HH894" s="1218"/>
      <c r="HI894" s="1218"/>
      <c r="HJ894" s="1218"/>
      <c r="HK894" s="1218"/>
      <c r="HL894" s="1218"/>
      <c r="HM894" s="1218"/>
      <c r="HN894" s="1218"/>
      <c r="HO894" s="1218"/>
      <c r="HP894" s="1218"/>
      <c r="HQ894" s="1218"/>
      <c r="HR894" s="1218"/>
      <c r="HS894" s="1218"/>
      <c r="HT894" s="1218"/>
      <c r="HU894" s="1218"/>
      <c r="HV894" s="1218"/>
      <c r="HW894" s="1218"/>
      <c r="HX894" s="1218"/>
      <c r="HY894" s="1218"/>
      <c r="HZ894" s="1218"/>
      <c r="IA894" s="1218"/>
      <c r="IB894" s="1218"/>
      <c r="IC894" s="1218"/>
      <c r="ID894" s="1218"/>
      <c r="IE894" s="1218"/>
      <c r="IF894" s="1218"/>
      <c r="IG894" s="1218"/>
      <c r="IH894" s="1218"/>
      <c r="II894" s="1218"/>
      <c r="IJ894" s="1218"/>
      <c r="IK894" s="1218"/>
      <c r="IL894" s="1218"/>
      <c r="IM894" s="1218"/>
      <c r="IN894" s="1218"/>
    </row>
    <row r="895" spans="1:248" s="1312" customFormat="1" ht="14.1" customHeight="1">
      <c r="A895" s="1318"/>
      <c r="B895" s="1313"/>
      <c r="C895" s="1326" t="s">
        <v>4164</v>
      </c>
      <c r="D895" s="1314"/>
      <c r="G895" s="1218"/>
      <c r="H895" s="1218"/>
      <c r="I895" s="1218"/>
      <c r="J895" s="1218"/>
      <c r="K895" s="1218"/>
      <c r="L895" s="1218"/>
      <c r="M895" s="1218"/>
      <c r="N895" s="1218"/>
      <c r="O895" s="1218"/>
      <c r="P895" s="1218"/>
      <c r="Q895" s="1218"/>
      <c r="R895" s="1218"/>
      <c r="S895" s="1218"/>
      <c r="T895" s="1218"/>
      <c r="U895" s="1218"/>
      <c r="V895" s="1218"/>
      <c r="W895" s="1218"/>
      <c r="X895" s="1218"/>
      <c r="Y895" s="1218"/>
      <c r="Z895" s="1218"/>
      <c r="AA895" s="1218"/>
      <c r="AB895" s="1218"/>
      <c r="AC895" s="1218"/>
      <c r="AD895" s="1218"/>
      <c r="AE895" s="1218"/>
      <c r="AF895" s="1218"/>
      <c r="AG895" s="1218"/>
      <c r="AH895" s="1218"/>
      <c r="AI895" s="1218"/>
      <c r="AJ895" s="1218"/>
      <c r="AK895" s="1218"/>
      <c r="AL895" s="1218"/>
      <c r="AM895" s="1218"/>
      <c r="AN895" s="1218"/>
      <c r="AO895" s="1218"/>
      <c r="AP895" s="1218"/>
      <c r="AQ895" s="1218"/>
      <c r="AR895" s="1218"/>
      <c r="AS895" s="1218"/>
      <c r="AT895" s="1218"/>
      <c r="AU895" s="1218"/>
      <c r="AV895" s="1218"/>
      <c r="AW895" s="1218"/>
      <c r="AX895" s="1218"/>
      <c r="AY895" s="1218"/>
      <c r="AZ895" s="1218"/>
      <c r="BA895" s="1218"/>
      <c r="BB895" s="1218"/>
      <c r="BC895" s="1218"/>
      <c r="BD895" s="1218"/>
      <c r="BE895" s="1218"/>
      <c r="BF895" s="1218"/>
      <c r="BG895" s="1218"/>
      <c r="BH895" s="1218"/>
      <c r="BI895" s="1218"/>
      <c r="BJ895" s="1218"/>
      <c r="BK895" s="1218"/>
      <c r="BL895" s="1218"/>
      <c r="BM895" s="1218"/>
      <c r="BN895" s="1218"/>
      <c r="BO895" s="1218"/>
      <c r="BP895" s="1218"/>
      <c r="BQ895" s="1218"/>
      <c r="BR895" s="1218"/>
      <c r="BS895" s="1218"/>
      <c r="BT895" s="1218"/>
      <c r="BU895" s="1218"/>
      <c r="BV895" s="1218"/>
      <c r="BW895" s="1218"/>
      <c r="BX895" s="1218"/>
      <c r="BY895" s="1218"/>
      <c r="BZ895" s="1218"/>
      <c r="CA895" s="1218"/>
      <c r="CB895" s="1218"/>
      <c r="CC895" s="1218"/>
      <c r="CD895" s="1218"/>
      <c r="CE895" s="1218"/>
      <c r="CF895" s="1218"/>
      <c r="CG895" s="1218"/>
      <c r="CH895" s="1218"/>
      <c r="CI895" s="1218"/>
      <c r="CJ895" s="1218"/>
      <c r="CK895" s="1218"/>
      <c r="CL895" s="1218"/>
      <c r="CM895" s="1218"/>
      <c r="CN895" s="1218"/>
      <c r="CO895" s="1218"/>
      <c r="CP895" s="1218"/>
      <c r="CQ895" s="1218"/>
      <c r="CR895" s="1218"/>
      <c r="CS895" s="1218"/>
      <c r="CT895" s="1218"/>
      <c r="CU895" s="1218"/>
      <c r="CV895" s="1218"/>
      <c r="CW895" s="1218"/>
      <c r="CX895" s="1218"/>
      <c r="CY895" s="1218"/>
      <c r="CZ895" s="1218"/>
      <c r="DA895" s="1218"/>
      <c r="DB895" s="1218"/>
      <c r="DC895" s="1218"/>
      <c r="DD895" s="1218"/>
      <c r="DE895" s="1218"/>
      <c r="DF895" s="1218"/>
      <c r="DG895" s="1218"/>
      <c r="DH895" s="1218"/>
      <c r="DI895" s="1218"/>
      <c r="DJ895" s="1218"/>
      <c r="DK895" s="1218"/>
      <c r="DL895" s="1218"/>
      <c r="DM895" s="1218"/>
      <c r="DN895" s="1218"/>
      <c r="DO895" s="1218"/>
      <c r="DP895" s="1218"/>
      <c r="DQ895" s="1218"/>
      <c r="DR895" s="1218"/>
      <c r="DS895" s="1218"/>
      <c r="DT895" s="1218"/>
      <c r="DU895" s="1218"/>
      <c r="DV895" s="1218"/>
      <c r="DW895" s="1218"/>
      <c r="DX895" s="1218"/>
      <c r="DY895" s="1218"/>
      <c r="DZ895" s="1218"/>
      <c r="EA895" s="1218"/>
      <c r="EB895" s="1218"/>
      <c r="EC895" s="1218"/>
      <c r="ED895" s="1218"/>
      <c r="EE895" s="1218"/>
      <c r="EF895" s="1218"/>
      <c r="EG895" s="1218"/>
      <c r="EH895" s="1218"/>
      <c r="EI895" s="1218"/>
      <c r="EJ895" s="1218"/>
      <c r="EK895" s="1218"/>
      <c r="EL895" s="1218"/>
      <c r="EM895" s="1218"/>
      <c r="EN895" s="1218"/>
      <c r="EO895" s="1218"/>
      <c r="EP895" s="1218"/>
      <c r="EQ895" s="1218"/>
      <c r="ER895" s="1218"/>
      <c r="ES895" s="1218"/>
      <c r="ET895" s="1218"/>
      <c r="EU895" s="1218"/>
      <c r="EV895" s="1218"/>
      <c r="EW895" s="1218"/>
      <c r="EX895" s="1218"/>
      <c r="EY895" s="1218"/>
      <c r="EZ895" s="1218"/>
      <c r="FA895" s="1218"/>
      <c r="FB895" s="1218"/>
      <c r="FC895" s="1218"/>
      <c r="FD895" s="1218"/>
      <c r="FE895" s="1218"/>
      <c r="FF895" s="1218"/>
      <c r="FG895" s="1218"/>
      <c r="FH895" s="1218"/>
      <c r="FI895" s="1218"/>
      <c r="FJ895" s="1218"/>
      <c r="FK895" s="1218"/>
      <c r="FL895" s="1218"/>
      <c r="FM895" s="1218"/>
      <c r="FN895" s="1218"/>
      <c r="FO895" s="1218"/>
      <c r="FP895" s="1218"/>
      <c r="FQ895" s="1218"/>
      <c r="FR895" s="1218"/>
      <c r="FS895" s="1218"/>
      <c r="FT895" s="1218"/>
      <c r="FU895" s="1218"/>
      <c r="FV895" s="1218"/>
      <c r="FW895" s="1218"/>
      <c r="FX895" s="1218"/>
      <c r="FY895" s="1218"/>
      <c r="FZ895" s="1218"/>
      <c r="GA895" s="1218"/>
      <c r="GB895" s="1218"/>
      <c r="GC895" s="1218"/>
      <c r="GD895" s="1218"/>
      <c r="GE895" s="1218"/>
      <c r="GF895" s="1218"/>
      <c r="GG895" s="1218"/>
      <c r="GH895" s="1218"/>
      <c r="GI895" s="1218"/>
      <c r="GJ895" s="1218"/>
      <c r="GK895" s="1218"/>
      <c r="GL895" s="1218"/>
      <c r="GM895" s="1218"/>
      <c r="GN895" s="1218"/>
      <c r="GO895" s="1218"/>
      <c r="GP895" s="1218"/>
      <c r="GQ895" s="1218"/>
      <c r="GR895" s="1218"/>
      <c r="GS895" s="1218"/>
      <c r="GT895" s="1218"/>
      <c r="GU895" s="1218"/>
      <c r="GV895" s="1218"/>
      <c r="GW895" s="1218"/>
      <c r="GX895" s="1218"/>
      <c r="GY895" s="1218"/>
      <c r="GZ895" s="1218"/>
      <c r="HA895" s="1218"/>
      <c r="HB895" s="1218"/>
      <c r="HC895" s="1218"/>
      <c r="HD895" s="1218"/>
      <c r="HE895" s="1218"/>
      <c r="HF895" s="1218"/>
      <c r="HG895" s="1218"/>
      <c r="HH895" s="1218"/>
      <c r="HI895" s="1218"/>
      <c r="HJ895" s="1218"/>
      <c r="HK895" s="1218"/>
      <c r="HL895" s="1218"/>
      <c r="HM895" s="1218"/>
      <c r="HN895" s="1218"/>
      <c r="HO895" s="1218"/>
      <c r="HP895" s="1218"/>
      <c r="HQ895" s="1218"/>
      <c r="HR895" s="1218"/>
      <c r="HS895" s="1218"/>
      <c r="HT895" s="1218"/>
      <c r="HU895" s="1218"/>
      <c r="HV895" s="1218"/>
      <c r="HW895" s="1218"/>
      <c r="HX895" s="1218"/>
      <c r="HY895" s="1218"/>
      <c r="HZ895" s="1218"/>
      <c r="IA895" s="1218"/>
      <c r="IB895" s="1218"/>
      <c r="IC895" s="1218"/>
      <c r="ID895" s="1218"/>
      <c r="IE895" s="1218"/>
      <c r="IF895" s="1218"/>
      <c r="IG895" s="1218"/>
      <c r="IH895" s="1218"/>
      <c r="II895" s="1218"/>
      <c r="IJ895" s="1218"/>
      <c r="IK895" s="1218"/>
      <c r="IL895" s="1218"/>
      <c r="IM895" s="1218"/>
      <c r="IN895" s="1218"/>
    </row>
    <row r="896" spans="1:248" s="1312" customFormat="1" ht="14.1" customHeight="1">
      <c r="A896" s="1318"/>
      <c r="B896" s="1313"/>
      <c r="C896" s="1320"/>
      <c r="D896" s="1314"/>
      <c r="G896" s="1218"/>
      <c r="H896" s="1218"/>
      <c r="I896" s="1218"/>
      <c r="J896" s="1218"/>
      <c r="K896" s="1218"/>
      <c r="L896" s="1218"/>
      <c r="M896" s="1218"/>
      <c r="N896" s="1218"/>
      <c r="O896" s="1218"/>
      <c r="P896" s="1218"/>
      <c r="Q896" s="1218"/>
      <c r="R896" s="1218"/>
      <c r="S896" s="1218"/>
      <c r="T896" s="1218"/>
      <c r="U896" s="1218"/>
      <c r="V896" s="1218"/>
      <c r="W896" s="1218"/>
      <c r="X896" s="1218"/>
      <c r="Y896" s="1218"/>
      <c r="Z896" s="1218"/>
      <c r="AA896" s="1218"/>
      <c r="AB896" s="1218"/>
      <c r="AC896" s="1218"/>
      <c r="AD896" s="1218"/>
      <c r="AE896" s="1218"/>
      <c r="AF896" s="1218"/>
      <c r="AG896" s="1218"/>
      <c r="AH896" s="1218"/>
      <c r="AI896" s="1218"/>
      <c r="AJ896" s="1218"/>
      <c r="AK896" s="1218"/>
      <c r="AL896" s="1218"/>
      <c r="AM896" s="1218"/>
      <c r="AN896" s="1218"/>
      <c r="AO896" s="1218"/>
      <c r="AP896" s="1218"/>
      <c r="AQ896" s="1218"/>
      <c r="AR896" s="1218"/>
      <c r="AS896" s="1218"/>
      <c r="AT896" s="1218"/>
      <c r="AU896" s="1218"/>
      <c r="AV896" s="1218"/>
      <c r="AW896" s="1218"/>
      <c r="AX896" s="1218"/>
      <c r="AY896" s="1218"/>
      <c r="AZ896" s="1218"/>
      <c r="BA896" s="1218"/>
      <c r="BB896" s="1218"/>
      <c r="BC896" s="1218"/>
      <c r="BD896" s="1218"/>
      <c r="BE896" s="1218"/>
      <c r="BF896" s="1218"/>
      <c r="BG896" s="1218"/>
      <c r="BH896" s="1218"/>
      <c r="BI896" s="1218"/>
      <c r="BJ896" s="1218"/>
      <c r="BK896" s="1218"/>
      <c r="BL896" s="1218"/>
      <c r="BM896" s="1218"/>
      <c r="BN896" s="1218"/>
      <c r="BO896" s="1218"/>
      <c r="BP896" s="1218"/>
      <c r="BQ896" s="1218"/>
      <c r="BR896" s="1218"/>
      <c r="BS896" s="1218"/>
      <c r="BT896" s="1218"/>
      <c r="BU896" s="1218"/>
      <c r="BV896" s="1218"/>
      <c r="BW896" s="1218"/>
      <c r="BX896" s="1218"/>
      <c r="BY896" s="1218"/>
      <c r="BZ896" s="1218"/>
      <c r="CA896" s="1218"/>
      <c r="CB896" s="1218"/>
      <c r="CC896" s="1218"/>
      <c r="CD896" s="1218"/>
      <c r="CE896" s="1218"/>
      <c r="CF896" s="1218"/>
      <c r="CG896" s="1218"/>
      <c r="CH896" s="1218"/>
      <c r="CI896" s="1218"/>
      <c r="CJ896" s="1218"/>
      <c r="CK896" s="1218"/>
      <c r="CL896" s="1218"/>
      <c r="CM896" s="1218"/>
      <c r="CN896" s="1218"/>
      <c r="CO896" s="1218"/>
      <c r="CP896" s="1218"/>
      <c r="CQ896" s="1218"/>
      <c r="CR896" s="1218"/>
      <c r="CS896" s="1218"/>
      <c r="CT896" s="1218"/>
      <c r="CU896" s="1218"/>
      <c r="CV896" s="1218"/>
      <c r="CW896" s="1218"/>
      <c r="CX896" s="1218"/>
      <c r="CY896" s="1218"/>
      <c r="CZ896" s="1218"/>
      <c r="DA896" s="1218"/>
      <c r="DB896" s="1218"/>
      <c r="DC896" s="1218"/>
      <c r="DD896" s="1218"/>
      <c r="DE896" s="1218"/>
      <c r="DF896" s="1218"/>
      <c r="DG896" s="1218"/>
      <c r="DH896" s="1218"/>
      <c r="DI896" s="1218"/>
      <c r="DJ896" s="1218"/>
      <c r="DK896" s="1218"/>
      <c r="DL896" s="1218"/>
      <c r="DM896" s="1218"/>
      <c r="DN896" s="1218"/>
      <c r="DO896" s="1218"/>
      <c r="DP896" s="1218"/>
      <c r="DQ896" s="1218"/>
      <c r="DR896" s="1218"/>
      <c r="DS896" s="1218"/>
      <c r="DT896" s="1218"/>
      <c r="DU896" s="1218"/>
      <c r="DV896" s="1218"/>
      <c r="DW896" s="1218"/>
      <c r="DX896" s="1218"/>
      <c r="DY896" s="1218"/>
      <c r="DZ896" s="1218"/>
      <c r="EA896" s="1218"/>
      <c r="EB896" s="1218"/>
      <c r="EC896" s="1218"/>
      <c r="ED896" s="1218"/>
      <c r="EE896" s="1218"/>
      <c r="EF896" s="1218"/>
      <c r="EG896" s="1218"/>
      <c r="EH896" s="1218"/>
      <c r="EI896" s="1218"/>
      <c r="EJ896" s="1218"/>
      <c r="EK896" s="1218"/>
      <c r="EL896" s="1218"/>
      <c r="EM896" s="1218"/>
      <c r="EN896" s="1218"/>
      <c r="EO896" s="1218"/>
      <c r="EP896" s="1218"/>
      <c r="EQ896" s="1218"/>
      <c r="ER896" s="1218"/>
      <c r="ES896" s="1218"/>
      <c r="ET896" s="1218"/>
      <c r="EU896" s="1218"/>
      <c r="EV896" s="1218"/>
      <c r="EW896" s="1218"/>
      <c r="EX896" s="1218"/>
      <c r="EY896" s="1218"/>
      <c r="EZ896" s="1218"/>
      <c r="FA896" s="1218"/>
      <c r="FB896" s="1218"/>
      <c r="FC896" s="1218"/>
      <c r="FD896" s="1218"/>
      <c r="FE896" s="1218"/>
      <c r="FF896" s="1218"/>
      <c r="FG896" s="1218"/>
      <c r="FH896" s="1218"/>
      <c r="FI896" s="1218"/>
      <c r="FJ896" s="1218"/>
      <c r="FK896" s="1218"/>
      <c r="FL896" s="1218"/>
      <c r="FM896" s="1218"/>
      <c r="FN896" s="1218"/>
      <c r="FO896" s="1218"/>
      <c r="FP896" s="1218"/>
      <c r="FQ896" s="1218"/>
      <c r="FR896" s="1218"/>
      <c r="FS896" s="1218"/>
      <c r="FT896" s="1218"/>
      <c r="FU896" s="1218"/>
      <c r="FV896" s="1218"/>
      <c r="FW896" s="1218"/>
      <c r="FX896" s="1218"/>
      <c r="FY896" s="1218"/>
      <c r="FZ896" s="1218"/>
      <c r="GA896" s="1218"/>
      <c r="GB896" s="1218"/>
      <c r="GC896" s="1218"/>
      <c r="GD896" s="1218"/>
      <c r="GE896" s="1218"/>
      <c r="GF896" s="1218"/>
      <c r="GG896" s="1218"/>
      <c r="GH896" s="1218"/>
      <c r="GI896" s="1218"/>
      <c r="GJ896" s="1218"/>
      <c r="GK896" s="1218"/>
      <c r="GL896" s="1218"/>
      <c r="GM896" s="1218"/>
      <c r="GN896" s="1218"/>
      <c r="GO896" s="1218"/>
      <c r="GP896" s="1218"/>
      <c r="GQ896" s="1218"/>
      <c r="GR896" s="1218"/>
      <c r="GS896" s="1218"/>
      <c r="GT896" s="1218"/>
      <c r="GU896" s="1218"/>
      <c r="GV896" s="1218"/>
      <c r="GW896" s="1218"/>
      <c r="GX896" s="1218"/>
      <c r="GY896" s="1218"/>
      <c r="GZ896" s="1218"/>
      <c r="HA896" s="1218"/>
      <c r="HB896" s="1218"/>
      <c r="HC896" s="1218"/>
      <c r="HD896" s="1218"/>
      <c r="HE896" s="1218"/>
      <c r="HF896" s="1218"/>
      <c r="HG896" s="1218"/>
      <c r="HH896" s="1218"/>
      <c r="HI896" s="1218"/>
      <c r="HJ896" s="1218"/>
      <c r="HK896" s="1218"/>
      <c r="HL896" s="1218"/>
      <c r="HM896" s="1218"/>
      <c r="HN896" s="1218"/>
      <c r="HO896" s="1218"/>
      <c r="HP896" s="1218"/>
      <c r="HQ896" s="1218"/>
      <c r="HR896" s="1218"/>
      <c r="HS896" s="1218"/>
      <c r="HT896" s="1218"/>
      <c r="HU896" s="1218"/>
      <c r="HV896" s="1218"/>
      <c r="HW896" s="1218"/>
      <c r="HX896" s="1218"/>
      <c r="HY896" s="1218"/>
      <c r="HZ896" s="1218"/>
      <c r="IA896" s="1218"/>
      <c r="IB896" s="1218"/>
      <c r="IC896" s="1218"/>
      <c r="ID896" s="1218"/>
      <c r="IE896" s="1218"/>
      <c r="IF896" s="1218"/>
      <c r="IG896" s="1218"/>
      <c r="IH896" s="1218"/>
      <c r="II896" s="1218"/>
      <c r="IJ896" s="1218"/>
      <c r="IK896" s="1218"/>
      <c r="IL896" s="1218"/>
      <c r="IM896" s="1218"/>
      <c r="IN896" s="1218"/>
    </row>
    <row r="897" spans="1:248" s="1312" customFormat="1" ht="14.1" customHeight="1">
      <c r="A897" s="1318"/>
      <c r="B897" s="1160" t="s">
        <v>3979</v>
      </c>
      <c r="C897" s="1326" t="s">
        <v>4165</v>
      </c>
      <c r="D897" s="1314"/>
      <c r="G897" s="1218"/>
      <c r="H897" s="1218"/>
      <c r="I897" s="1218"/>
      <c r="J897" s="1218"/>
      <c r="K897" s="1218"/>
      <c r="L897" s="1218"/>
      <c r="M897" s="1218"/>
      <c r="N897" s="1218"/>
      <c r="O897" s="1218"/>
      <c r="P897" s="1218"/>
      <c r="Q897" s="1218"/>
      <c r="R897" s="1218"/>
      <c r="S897" s="1218"/>
      <c r="T897" s="1218"/>
      <c r="U897" s="1218"/>
      <c r="V897" s="1218"/>
      <c r="W897" s="1218"/>
      <c r="X897" s="1218"/>
      <c r="Y897" s="1218"/>
      <c r="Z897" s="1218"/>
      <c r="AA897" s="1218"/>
      <c r="AB897" s="1218"/>
      <c r="AC897" s="1218"/>
      <c r="AD897" s="1218"/>
      <c r="AE897" s="1218"/>
      <c r="AF897" s="1218"/>
      <c r="AG897" s="1218"/>
      <c r="AH897" s="1218"/>
      <c r="AI897" s="1218"/>
      <c r="AJ897" s="1218"/>
      <c r="AK897" s="1218"/>
      <c r="AL897" s="1218"/>
      <c r="AM897" s="1218"/>
      <c r="AN897" s="1218"/>
      <c r="AO897" s="1218"/>
      <c r="AP897" s="1218"/>
      <c r="AQ897" s="1218"/>
      <c r="AR897" s="1218"/>
      <c r="AS897" s="1218"/>
      <c r="AT897" s="1218"/>
      <c r="AU897" s="1218"/>
      <c r="AV897" s="1218"/>
      <c r="AW897" s="1218"/>
      <c r="AX897" s="1218"/>
      <c r="AY897" s="1218"/>
      <c r="AZ897" s="1218"/>
      <c r="BA897" s="1218"/>
      <c r="BB897" s="1218"/>
      <c r="BC897" s="1218"/>
      <c r="BD897" s="1218"/>
      <c r="BE897" s="1218"/>
      <c r="BF897" s="1218"/>
      <c r="BG897" s="1218"/>
      <c r="BH897" s="1218"/>
      <c r="BI897" s="1218"/>
      <c r="BJ897" s="1218"/>
      <c r="BK897" s="1218"/>
      <c r="BL897" s="1218"/>
      <c r="BM897" s="1218"/>
      <c r="BN897" s="1218"/>
      <c r="BO897" s="1218"/>
      <c r="BP897" s="1218"/>
      <c r="BQ897" s="1218"/>
      <c r="BR897" s="1218"/>
      <c r="BS897" s="1218"/>
      <c r="BT897" s="1218"/>
      <c r="BU897" s="1218"/>
      <c r="BV897" s="1218"/>
      <c r="BW897" s="1218"/>
      <c r="BX897" s="1218"/>
      <c r="BY897" s="1218"/>
      <c r="BZ897" s="1218"/>
      <c r="CA897" s="1218"/>
      <c r="CB897" s="1218"/>
      <c r="CC897" s="1218"/>
      <c r="CD897" s="1218"/>
      <c r="CE897" s="1218"/>
      <c r="CF897" s="1218"/>
      <c r="CG897" s="1218"/>
      <c r="CH897" s="1218"/>
      <c r="CI897" s="1218"/>
      <c r="CJ897" s="1218"/>
      <c r="CK897" s="1218"/>
      <c r="CL897" s="1218"/>
      <c r="CM897" s="1218"/>
      <c r="CN897" s="1218"/>
      <c r="CO897" s="1218"/>
      <c r="CP897" s="1218"/>
      <c r="CQ897" s="1218"/>
      <c r="CR897" s="1218"/>
      <c r="CS897" s="1218"/>
      <c r="CT897" s="1218"/>
      <c r="CU897" s="1218"/>
      <c r="CV897" s="1218"/>
      <c r="CW897" s="1218"/>
      <c r="CX897" s="1218"/>
      <c r="CY897" s="1218"/>
      <c r="CZ897" s="1218"/>
      <c r="DA897" s="1218"/>
      <c r="DB897" s="1218"/>
      <c r="DC897" s="1218"/>
      <c r="DD897" s="1218"/>
      <c r="DE897" s="1218"/>
      <c r="DF897" s="1218"/>
      <c r="DG897" s="1218"/>
      <c r="DH897" s="1218"/>
      <c r="DI897" s="1218"/>
      <c r="DJ897" s="1218"/>
      <c r="DK897" s="1218"/>
      <c r="DL897" s="1218"/>
      <c r="DM897" s="1218"/>
      <c r="DN897" s="1218"/>
      <c r="DO897" s="1218"/>
      <c r="DP897" s="1218"/>
      <c r="DQ897" s="1218"/>
      <c r="DR897" s="1218"/>
      <c r="DS897" s="1218"/>
      <c r="DT897" s="1218"/>
      <c r="DU897" s="1218"/>
      <c r="DV897" s="1218"/>
      <c r="DW897" s="1218"/>
      <c r="DX897" s="1218"/>
      <c r="DY897" s="1218"/>
      <c r="DZ897" s="1218"/>
      <c r="EA897" s="1218"/>
      <c r="EB897" s="1218"/>
      <c r="EC897" s="1218"/>
      <c r="ED897" s="1218"/>
      <c r="EE897" s="1218"/>
      <c r="EF897" s="1218"/>
      <c r="EG897" s="1218"/>
      <c r="EH897" s="1218"/>
      <c r="EI897" s="1218"/>
      <c r="EJ897" s="1218"/>
      <c r="EK897" s="1218"/>
      <c r="EL897" s="1218"/>
      <c r="EM897" s="1218"/>
      <c r="EN897" s="1218"/>
      <c r="EO897" s="1218"/>
      <c r="EP897" s="1218"/>
      <c r="EQ897" s="1218"/>
      <c r="ER897" s="1218"/>
      <c r="ES897" s="1218"/>
      <c r="ET897" s="1218"/>
      <c r="EU897" s="1218"/>
      <c r="EV897" s="1218"/>
      <c r="EW897" s="1218"/>
      <c r="EX897" s="1218"/>
      <c r="EY897" s="1218"/>
      <c r="EZ897" s="1218"/>
      <c r="FA897" s="1218"/>
      <c r="FB897" s="1218"/>
      <c r="FC897" s="1218"/>
      <c r="FD897" s="1218"/>
      <c r="FE897" s="1218"/>
      <c r="FF897" s="1218"/>
      <c r="FG897" s="1218"/>
      <c r="FH897" s="1218"/>
      <c r="FI897" s="1218"/>
      <c r="FJ897" s="1218"/>
      <c r="FK897" s="1218"/>
      <c r="FL897" s="1218"/>
      <c r="FM897" s="1218"/>
      <c r="FN897" s="1218"/>
      <c r="FO897" s="1218"/>
      <c r="FP897" s="1218"/>
      <c r="FQ897" s="1218"/>
      <c r="FR897" s="1218"/>
      <c r="FS897" s="1218"/>
      <c r="FT897" s="1218"/>
      <c r="FU897" s="1218"/>
      <c r="FV897" s="1218"/>
      <c r="FW897" s="1218"/>
      <c r="FX897" s="1218"/>
      <c r="FY897" s="1218"/>
      <c r="FZ897" s="1218"/>
      <c r="GA897" s="1218"/>
      <c r="GB897" s="1218"/>
      <c r="GC897" s="1218"/>
      <c r="GD897" s="1218"/>
      <c r="GE897" s="1218"/>
      <c r="GF897" s="1218"/>
      <c r="GG897" s="1218"/>
      <c r="GH897" s="1218"/>
      <c r="GI897" s="1218"/>
      <c r="GJ897" s="1218"/>
      <c r="GK897" s="1218"/>
      <c r="GL897" s="1218"/>
      <c r="GM897" s="1218"/>
      <c r="GN897" s="1218"/>
      <c r="GO897" s="1218"/>
      <c r="GP897" s="1218"/>
      <c r="GQ897" s="1218"/>
      <c r="GR897" s="1218"/>
      <c r="GS897" s="1218"/>
      <c r="GT897" s="1218"/>
      <c r="GU897" s="1218"/>
      <c r="GV897" s="1218"/>
      <c r="GW897" s="1218"/>
      <c r="GX897" s="1218"/>
      <c r="GY897" s="1218"/>
      <c r="GZ897" s="1218"/>
      <c r="HA897" s="1218"/>
      <c r="HB897" s="1218"/>
      <c r="HC897" s="1218"/>
      <c r="HD897" s="1218"/>
      <c r="HE897" s="1218"/>
      <c r="HF897" s="1218"/>
      <c r="HG897" s="1218"/>
      <c r="HH897" s="1218"/>
      <c r="HI897" s="1218"/>
      <c r="HJ897" s="1218"/>
      <c r="HK897" s="1218"/>
      <c r="HL897" s="1218"/>
      <c r="HM897" s="1218"/>
      <c r="HN897" s="1218"/>
      <c r="HO897" s="1218"/>
      <c r="HP897" s="1218"/>
      <c r="HQ897" s="1218"/>
      <c r="HR897" s="1218"/>
      <c r="HS897" s="1218"/>
      <c r="HT897" s="1218"/>
      <c r="HU897" s="1218"/>
      <c r="HV897" s="1218"/>
      <c r="HW897" s="1218"/>
      <c r="HX897" s="1218"/>
      <c r="HY897" s="1218"/>
      <c r="HZ897" s="1218"/>
      <c r="IA897" s="1218"/>
      <c r="IB897" s="1218"/>
      <c r="IC897" s="1218"/>
      <c r="ID897" s="1218"/>
      <c r="IE897" s="1218"/>
      <c r="IF897" s="1218"/>
      <c r="IG897" s="1218"/>
      <c r="IH897" s="1218"/>
      <c r="II897" s="1218"/>
      <c r="IJ897" s="1218"/>
      <c r="IK897" s="1218"/>
      <c r="IL897" s="1218"/>
      <c r="IM897" s="1218"/>
      <c r="IN897" s="1218"/>
    </row>
    <row r="898" spans="1:248" s="1312" customFormat="1" ht="14.1" customHeight="1">
      <c r="A898" s="1318"/>
      <c r="B898" s="1313"/>
      <c r="C898" s="1326" t="s">
        <v>4166</v>
      </c>
      <c r="D898" s="1314"/>
      <c r="G898" s="1218"/>
      <c r="H898" s="1218"/>
      <c r="I898" s="1218"/>
      <c r="J898" s="1218"/>
      <c r="K898" s="1218"/>
      <c r="L898" s="1218"/>
      <c r="M898" s="1218"/>
      <c r="N898" s="1218"/>
      <c r="O898" s="1218"/>
      <c r="P898" s="1218"/>
      <c r="Q898" s="1218"/>
      <c r="R898" s="1218"/>
      <c r="S898" s="1218"/>
      <c r="T898" s="1218"/>
      <c r="U898" s="1218"/>
      <c r="V898" s="1218"/>
      <c r="W898" s="1218"/>
      <c r="X898" s="1218"/>
      <c r="Y898" s="1218"/>
      <c r="Z898" s="1218"/>
      <c r="AA898" s="1218"/>
      <c r="AB898" s="1218"/>
      <c r="AC898" s="1218"/>
      <c r="AD898" s="1218"/>
      <c r="AE898" s="1218"/>
      <c r="AF898" s="1218"/>
      <c r="AG898" s="1218"/>
      <c r="AH898" s="1218"/>
      <c r="AI898" s="1218"/>
      <c r="AJ898" s="1218"/>
      <c r="AK898" s="1218"/>
      <c r="AL898" s="1218"/>
      <c r="AM898" s="1218"/>
      <c r="AN898" s="1218"/>
      <c r="AO898" s="1218"/>
      <c r="AP898" s="1218"/>
      <c r="AQ898" s="1218"/>
      <c r="AR898" s="1218"/>
      <c r="AS898" s="1218"/>
      <c r="AT898" s="1218"/>
      <c r="AU898" s="1218"/>
      <c r="AV898" s="1218"/>
      <c r="AW898" s="1218"/>
      <c r="AX898" s="1218"/>
      <c r="AY898" s="1218"/>
      <c r="AZ898" s="1218"/>
      <c r="BA898" s="1218"/>
      <c r="BB898" s="1218"/>
      <c r="BC898" s="1218"/>
      <c r="BD898" s="1218"/>
      <c r="BE898" s="1218"/>
      <c r="BF898" s="1218"/>
      <c r="BG898" s="1218"/>
      <c r="BH898" s="1218"/>
      <c r="BI898" s="1218"/>
      <c r="BJ898" s="1218"/>
      <c r="BK898" s="1218"/>
      <c r="BL898" s="1218"/>
      <c r="BM898" s="1218"/>
      <c r="BN898" s="1218"/>
      <c r="BO898" s="1218"/>
      <c r="BP898" s="1218"/>
      <c r="BQ898" s="1218"/>
      <c r="BR898" s="1218"/>
      <c r="BS898" s="1218"/>
      <c r="BT898" s="1218"/>
      <c r="BU898" s="1218"/>
      <c r="BV898" s="1218"/>
      <c r="BW898" s="1218"/>
      <c r="BX898" s="1218"/>
      <c r="BY898" s="1218"/>
      <c r="BZ898" s="1218"/>
      <c r="CA898" s="1218"/>
      <c r="CB898" s="1218"/>
      <c r="CC898" s="1218"/>
      <c r="CD898" s="1218"/>
      <c r="CE898" s="1218"/>
      <c r="CF898" s="1218"/>
      <c r="CG898" s="1218"/>
      <c r="CH898" s="1218"/>
      <c r="CI898" s="1218"/>
      <c r="CJ898" s="1218"/>
      <c r="CK898" s="1218"/>
      <c r="CL898" s="1218"/>
      <c r="CM898" s="1218"/>
      <c r="CN898" s="1218"/>
      <c r="CO898" s="1218"/>
      <c r="CP898" s="1218"/>
      <c r="CQ898" s="1218"/>
      <c r="CR898" s="1218"/>
      <c r="CS898" s="1218"/>
      <c r="CT898" s="1218"/>
      <c r="CU898" s="1218"/>
      <c r="CV898" s="1218"/>
      <c r="CW898" s="1218"/>
      <c r="CX898" s="1218"/>
      <c r="CY898" s="1218"/>
      <c r="CZ898" s="1218"/>
      <c r="DA898" s="1218"/>
      <c r="DB898" s="1218"/>
      <c r="DC898" s="1218"/>
      <c r="DD898" s="1218"/>
      <c r="DE898" s="1218"/>
      <c r="DF898" s="1218"/>
      <c r="DG898" s="1218"/>
      <c r="DH898" s="1218"/>
      <c r="DI898" s="1218"/>
      <c r="DJ898" s="1218"/>
      <c r="DK898" s="1218"/>
      <c r="DL898" s="1218"/>
      <c r="DM898" s="1218"/>
      <c r="DN898" s="1218"/>
      <c r="DO898" s="1218"/>
      <c r="DP898" s="1218"/>
      <c r="DQ898" s="1218"/>
      <c r="DR898" s="1218"/>
      <c r="DS898" s="1218"/>
      <c r="DT898" s="1218"/>
      <c r="DU898" s="1218"/>
      <c r="DV898" s="1218"/>
      <c r="DW898" s="1218"/>
      <c r="DX898" s="1218"/>
      <c r="DY898" s="1218"/>
      <c r="DZ898" s="1218"/>
      <c r="EA898" s="1218"/>
      <c r="EB898" s="1218"/>
      <c r="EC898" s="1218"/>
      <c r="ED898" s="1218"/>
      <c r="EE898" s="1218"/>
      <c r="EF898" s="1218"/>
      <c r="EG898" s="1218"/>
      <c r="EH898" s="1218"/>
      <c r="EI898" s="1218"/>
      <c r="EJ898" s="1218"/>
      <c r="EK898" s="1218"/>
      <c r="EL898" s="1218"/>
      <c r="EM898" s="1218"/>
      <c r="EN898" s="1218"/>
      <c r="EO898" s="1218"/>
      <c r="EP898" s="1218"/>
      <c r="EQ898" s="1218"/>
      <c r="ER898" s="1218"/>
      <c r="ES898" s="1218"/>
      <c r="ET898" s="1218"/>
      <c r="EU898" s="1218"/>
      <c r="EV898" s="1218"/>
      <c r="EW898" s="1218"/>
      <c r="EX898" s="1218"/>
      <c r="EY898" s="1218"/>
      <c r="EZ898" s="1218"/>
      <c r="FA898" s="1218"/>
      <c r="FB898" s="1218"/>
      <c r="FC898" s="1218"/>
      <c r="FD898" s="1218"/>
      <c r="FE898" s="1218"/>
      <c r="FF898" s="1218"/>
      <c r="FG898" s="1218"/>
      <c r="FH898" s="1218"/>
      <c r="FI898" s="1218"/>
      <c r="FJ898" s="1218"/>
      <c r="FK898" s="1218"/>
      <c r="FL898" s="1218"/>
      <c r="FM898" s="1218"/>
      <c r="FN898" s="1218"/>
      <c r="FO898" s="1218"/>
      <c r="FP898" s="1218"/>
      <c r="FQ898" s="1218"/>
      <c r="FR898" s="1218"/>
      <c r="FS898" s="1218"/>
      <c r="FT898" s="1218"/>
      <c r="FU898" s="1218"/>
      <c r="FV898" s="1218"/>
      <c r="FW898" s="1218"/>
      <c r="FX898" s="1218"/>
      <c r="FY898" s="1218"/>
      <c r="FZ898" s="1218"/>
      <c r="GA898" s="1218"/>
      <c r="GB898" s="1218"/>
      <c r="GC898" s="1218"/>
      <c r="GD898" s="1218"/>
      <c r="GE898" s="1218"/>
      <c r="GF898" s="1218"/>
      <c r="GG898" s="1218"/>
      <c r="GH898" s="1218"/>
      <c r="GI898" s="1218"/>
      <c r="GJ898" s="1218"/>
      <c r="GK898" s="1218"/>
      <c r="GL898" s="1218"/>
      <c r="GM898" s="1218"/>
      <c r="GN898" s="1218"/>
      <c r="GO898" s="1218"/>
      <c r="GP898" s="1218"/>
      <c r="GQ898" s="1218"/>
      <c r="GR898" s="1218"/>
      <c r="GS898" s="1218"/>
      <c r="GT898" s="1218"/>
      <c r="GU898" s="1218"/>
      <c r="GV898" s="1218"/>
      <c r="GW898" s="1218"/>
      <c r="GX898" s="1218"/>
      <c r="GY898" s="1218"/>
      <c r="GZ898" s="1218"/>
      <c r="HA898" s="1218"/>
      <c r="HB898" s="1218"/>
      <c r="HC898" s="1218"/>
      <c r="HD898" s="1218"/>
      <c r="HE898" s="1218"/>
      <c r="HF898" s="1218"/>
      <c r="HG898" s="1218"/>
      <c r="HH898" s="1218"/>
      <c r="HI898" s="1218"/>
      <c r="HJ898" s="1218"/>
      <c r="HK898" s="1218"/>
      <c r="HL898" s="1218"/>
      <c r="HM898" s="1218"/>
      <c r="HN898" s="1218"/>
      <c r="HO898" s="1218"/>
      <c r="HP898" s="1218"/>
      <c r="HQ898" s="1218"/>
      <c r="HR898" s="1218"/>
      <c r="HS898" s="1218"/>
      <c r="HT898" s="1218"/>
      <c r="HU898" s="1218"/>
      <c r="HV898" s="1218"/>
      <c r="HW898" s="1218"/>
      <c r="HX898" s="1218"/>
      <c r="HY898" s="1218"/>
      <c r="HZ898" s="1218"/>
      <c r="IA898" s="1218"/>
      <c r="IB898" s="1218"/>
      <c r="IC898" s="1218"/>
      <c r="ID898" s="1218"/>
      <c r="IE898" s="1218"/>
      <c r="IF898" s="1218"/>
      <c r="IG898" s="1218"/>
      <c r="IH898" s="1218"/>
      <c r="II898" s="1218"/>
      <c r="IJ898" s="1218"/>
      <c r="IK898" s="1218"/>
      <c r="IL898" s="1218"/>
      <c r="IM898" s="1218"/>
      <c r="IN898" s="1218"/>
    </row>
    <row r="899" spans="1:248" s="1312" customFormat="1" ht="14.1" customHeight="1">
      <c r="A899" s="1318"/>
      <c r="B899" s="1313"/>
      <c r="C899" s="1326" t="s">
        <v>4167</v>
      </c>
      <c r="D899" s="1314"/>
      <c r="G899" s="1218"/>
      <c r="H899" s="1218"/>
      <c r="I899" s="1218"/>
      <c r="J899" s="1218"/>
      <c r="K899" s="1218"/>
      <c r="L899" s="1218"/>
      <c r="M899" s="1218"/>
      <c r="N899" s="1218"/>
      <c r="O899" s="1218"/>
      <c r="P899" s="1218"/>
      <c r="Q899" s="1218"/>
      <c r="R899" s="1218"/>
      <c r="S899" s="1218"/>
      <c r="T899" s="1218"/>
      <c r="U899" s="1218"/>
      <c r="V899" s="1218"/>
      <c r="W899" s="1218"/>
      <c r="X899" s="1218"/>
      <c r="Y899" s="1218"/>
      <c r="Z899" s="1218"/>
      <c r="AA899" s="1218"/>
      <c r="AB899" s="1218"/>
      <c r="AC899" s="1218"/>
      <c r="AD899" s="1218"/>
      <c r="AE899" s="1218"/>
      <c r="AF899" s="1218"/>
      <c r="AG899" s="1218"/>
      <c r="AH899" s="1218"/>
      <c r="AI899" s="1218"/>
      <c r="AJ899" s="1218"/>
      <c r="AK899" s="1218"/>
      <c r="AL899" s="1218"/>
      <c r="AM899" s="1218"/>
      <c r="AN899" s="1218"/>
      <c r="AO899" s="1218"/>
      <c r="AP899" s="1218"/>
      <c r="AQ899" s="1218"/>
      <c r="AR899" s="1218"/>
      <c r="AS899" s="1218"/>
      <c r="AT899" s="1218"/>
      <c r="AU899" s="1218"/>
      <c r="AV899" s="1218"/>
      <c r="AW899" s="1218"/>
      <c r="AX899" s="1218"/>
      <c r="AY899" s="1218"/>
      <c r="AZ899" s="1218"/>
      <c r="BA899" s="1218"/>
      <c r="BB899" s="1218"/>
      <c r="BC899" s="1218"/>
      <c r="BD899" s="1218"/>
      <c r="BE899" s="1218"/>
      <c r="BF899" s="1218"/>
      <c r="BG899" s="1218"/>
      <c r="BH899" s="1218"/>
      <c r="BI899" s="1218"/>
      <c r="BJ899" s="1218"/>
      <c r="BK899" s="1218"/>
      <c r="BL899" s="1218"/>
      <c r="BM899" s="1218"/>
      <c r="BN899" s="1218"/>
      <c r="BO899" s="1218"/>
      <c r="BP899" s="1218"/>
      <c r="BQ899" s="1218"/>
      <c r="BR899" s="1218"/>
      <c r="BS899" s="1218"/>
      <c r="BT899" s="1218"/>
      <c r="BU899" s="1218"/>
      <c r="BV899" s="1218"/>
      <c r="BW899" s="1218"/>
      <c r="BX899" s="1218"/>
      <c r="BY899" s="1218"/>
      <c r="BZ899" s="1218"/>
      <c r="CA899" s="1218"/>
      <c r="CB899" s="1218"/>
      <c r="CC899" s="1218"/>
      <c r="CD899" s="1218"/>
      <c r="CE899" s="1218"/>
      <c r="CF899" s="1218"/>
      <c r="CG899" s="1218"/>
      <c r="CH899" s="1218"/>
      <c r="CI899" s="1218"/>
      <c r="CJ899" s="1218"/>
      <c r="CK899" s="1218"/>
      <c r="CL899" s="1218"/>
      <c r="CM899" s="1218"/>
      <c r="CN899" s="1218"/>
      <c r="CO899" s="1218"/>
      <c r="CP899" s="1218"/>
      <c r="CQ899" s="1218"/>
      <c r="CR899" s="1218"/>
      <c r="CS899" s="1218"/>
      <c r="CT899" s="1218"/>
      <c r="CU899" s="1218"/>
      <c r="CV899" s="1218"/>
      <c r="CW899" s="1218"/>
      <c r="CX899" s="1218"/>
      <c r="CY899" s="1218"/>
      <c r="CZ899" s="1218"/>
      <c r="DA899" s="1218"/>
      <c r="DB899" s="1218"/>
      <c r="DC899" s="1218"/>
      <c r="DD899" s="1218"/>
      <c r="DE899" s="1218"/>
      <c r="DF899" s="1218"/>
      <c r="DG899" s="1218"/>
      <c r="DH899" s="1218"/>
      <c r="DI899" s="1218"/>
      <c r="DJ899" s="1218"/>
      <c r="DK899" s="1218"/>
      <c r="DL899" s="1218"/>
      <c r="DM899" s="1218"/>
      <c r="DN899" s="1218"/>
      <c r="DO899" s="1218"/>
      <c r="DP899" s="1218"/>
      <c r="DQ899" s="1218"/>
      <c r="DR899" s="1218"/>
      <c r="DS899" s="1218"/>
      <c r="DT899" s="1218"/>
      <c r="DU899" s="1218"/>
      <c r="DV899" s="1218"/>
      <c r="DW899" s="1218"/>
      <c r="DX899" s="1218"/>
      <c r="DY899" s="1218"/>
      <c r="DZ899" s="1218"/>
      <c r="EA899" s="1218"/>
      <c r="EB899" s="1218"/>
      <c r="EC899" s="1218"/>
      <c r="ED899" s="1218"/>
      <c r="EE899" s="1218"/>
      <c r="EF899" s="1218"/>
      <c r="EG899" s="1218"/>
      <c r="EH899" s="1218"/>
      <c r="EI899" s="1218"/>
      <c r="EJ899" s="1218"/>
      <c r="EK899" s="1218"/>
      <c r="EL899" s="1218"/>
      <c r="EM899" s="1218"/>
      <c r="EN899" s="1218"/>
      <c r="EO899" s="1218"/>
      <c r="EP899" s="1218"/>
      <c r="EQ899" s="1218"/>
      <c r="ER899" s="1218"/>
      <c r="ES899" s="1218"/>
      <c r="ET899" s="1218"/>
      <c r="EU899" s="1218"/>
      <c r="EV899" s="1218"/>
      <c r="EW899" s="1218"/>
      <c r="EX899" s="1218"/>
      <c r="EY899" s="1218"/>
      <c r="EZ899" s="1218"/>
      <c r="FA899" s="1218"/>
      <c r="FB899" s="1218"/>
      <c r="FC899" s="1218"/>
      <c r="FD899" s="1218"/>
      <c r="FE899" s="1218"/>
      <c r="FF899" s="1218"/>
      <c r="FG899" s="1218"/>
      <c r="FH899" s="1218"/>
      <c r="FI899" s="1218"/>
      <c r="FJ899" s="1218"/>
      <c r="FK899" s="1218"/>
      <c r="FL899" s="1218"/>
      <c r="FM899" s="1218"/>
      <c r="FN899" s="1218"/>
      <c r="FO899" s="1218"/>
      <c r="FP899" s="1218"/>
      <c r="FQ899" s="1218"/>
      <c r="FR899" s="1218"/>
      <c r="FS899" s="1218"/>
      <c r="FT899" s="1218"/>
      <c r="FU899" s="1218"/>
      <c r="FV899" s="1218"/>
      <c r="FW899" s="1218"/>
      <c r="FX899" s="1218"/>
      <c r="FY899" s="1218"/>
      <c r="FZ899" s="1218"/>
      <c r="GA899" s="1218"/>
      <c r="GB899" s="1218"/>
      <c r="GC899" s="1218"/>
      <c r="GD899" s="1218"/>
      <c r="GE899" s="1218"/>
      <c r="GF899" s="1218"/>
      <c r="GG899" s="1218"/>
      <c r="GH899" s="1218"/>
      <c r="GI899" s="1218"/>
      <c r="GJ899" s="1218"/>
      <c r="GK899" s="1218"/>
      <c r="GL899" s="1218"/>
      <c r="GM899" s="1218"/>
      <c r="GN899" s="1218"/>
      <c r="GO899" s="1218"/>
      <c r="GP899" s="1218"/>
      <c r="GQ899" s="1218"/>
      <c r="GR899" s="1218"/>
      <c r="GS899" s="1218"/>
      <c r="GT899" s="1218"/>
      <c r="GU899" s="1218"/>
      <c r="GV899" s="1218"/>
      <c r="GW899" s="1218"/>
      <c r="GX899" s="1218"/>
      <c r="GY899" s="1218"/>
      <c r="GZ899" s="1218"/>
      <c r="HA899" s="1218"/>
      <c r="HB899" s="1218"/>
      <c r="HC899" s="1218"/>
      <c r="HD899" s="1218"/>
      <c r="HE899" s="1218"/>
      <c r="HF899" s="1218"/>
      <c r="HG899" s="1218"/>
      <c r="HH899" s="1218"/>
      <c r="HI899" s="1218"/>
      <c r="HJ899" s="1218"/>
      <c r="HK899" s="1218"/>
      <c r="HL899" s="1218"/>
      <c r="HM899" s="1218"/>
      <c r="HN899" s="1218"/>
      <c r="HO899" s="1218"/>
      <c r="HP899" s="1218"/>
      <c r="HQ899" s="1218"/>
      <c r="HR899" s="1218"/>
      <c r="HS899" s="1218"/>
      <c r="HT899" s="1218"/>
      <c r="HU899" s="1218"/>
      <c r="HV899" s="1218"/>
      <c r="HW899" s="1218"/>
      <c r="HX899" s="1218"/>
      <c r="HY899" s="1218"/>
      <c r="HZ899" s="1218"/>
      <c r="IA899" s="1218"/>
      <c r="IB899" s="1218"/>
      <c r="IC899" s="1218"/>
      <c r="ID899" s="1218"/>
      <c r="IE899" s="1218"/>
      <c r="IF899" s="1218"/>
      <c r="IG899" s="1218"/>
      <c r="IH899" s="1218"/>
      <c r="II899" s="1218"/>
      <c r="IJ899" s="1218"/>
      <c r="IK899" s="1218"/>
      <c r="IL899" s="1218"/>
      <c r="IM899" s="1218"/>
      <c r="IN899" s="1218"/>
    </row>
    <row r="900" spans="1:248" s="1312" customFormat="1" ht="14.1" customHeight="1">
      <c r="A900" s="1318"/>
      <c r="B900" s="1313"/>
      <c r="C900" s="1320"/>
      <c r="D900" s="1314"/>
      <c r="G900" s="1218"/>
      <c r="H900" s="1218"/>
      <c r="I900" s="1218"/>
      <c r="J900" s="1218"/>
      <c r="K900" s="1218"/>
      <c r="L900" s="1218"/>
      <c r="M900" s="1218"/>
      <c r="N900" s="1218"/>
      <c r="O900" s="1218"/>
      <c r="P900" s="1218"/>
      <c r="Q900" s="1218"/>
      <c r="R900" s="1218"/>
      <c r="S900" s="1218"/>
      <c r="T900" s="1218"/>
      <c r="U900" s="1218"/>
      <c r="V900" s="1218"/>
      <c r="W900" s="1218"/>
      <c r="X900" s="1218"/>
      <c r="Y900" s="1218"/>
      <c r="Z900" s="1218"/>
      <c r="AA900" s="1218"/>
      <c r="AB900" s="1218"/>
      <c r="AC900" s="1218"/>
      <c r="AD900" s="1218"/>
      <c r="AE900" s="1218"/>
      <c r="AF900" s="1218"/>
      <c r="AG900" s="1218"/>
      <c r="AH900" s="1218"/>
      <c r="AI900" s="1218"/>
      <c r="AJ900" s="1218"/>
      <c r="AK900" s="1218"/>
      <c r="AL900" s="1218"/>
      <c r="AM900" s="1218"/>
      <c r="AN900" s="1218"/>
      <c r="AO900" s="1218"/>
      <c r="AP900" s="1218"/>
      <c r="AQ900" s="1218"/>
      <c r="AR900" s="1218"/>
      <c r="AS900" s="1218"/>
      <c r="AT900" s="1218"/>
      <c r="AU900" s="1218"/>
      <c r="AV900" s="1218"/>
      <c r="AW900" s="1218"/>
      <c r="AX900" s="1218"/>
      <c r="AY900" s="1218"/>
      <c r="AZ900" s="1218"/>
      <c r="BA900" s="1218"/>
      <c r="BB900" s="1218"/>
      <c r="BC900" s="1218"/>
      <c r="BD900" s="1218"/>
      <c r="BE900" s="1218"/>
      <c r="BF900" s="1218"/>
      <c r="BG900" s="1218"/>
      <c r="BH900" s="1218"/>
      <c r="BI900" s="1218"/>
      <c r="BJ900" s="1218"/>
      <c r="BK900" s="1218"/>
      <c r="BL900" s="1218"/>
      <c r="BM900" s="1218"/>
      <c r="BN900" s="1218"/>
      <c r="BO900" s="1218"/>
      <c r="BP900" s="1218"/>
      <c r="BQ900" s="1218"/>
      <c r="BR900" s="1218"/>
      <c r="BS900" s="1218"/>
      <c r="BT900" s="1218"/>
      <c r="BU900" s="1218"/>
      <c r="BV900" s="1218"/>
      <c r="BW900" s="1218"/>
      <c r="BX900" s="1218"/>
      <c r="BY900" s="1218"/>
      <c r="BZ900" s="1218"/>
      <c r="CA900" s="1218"/>
      <c r="CB900" s="1218"/>
      <c r="CC900" s="1218"/>
      <c r="CD900" s="1218"/>
      <c r="CE900" s="1218"/>
      <c r="CF900" s="1218"/>
      <c r="CG900" s="1218"/>
      <c r="CH900" s="1218"/>
      <c r="CI900" s="1218"/>
      <c r="CJ900" s="1218"/>
      <c r="CK900" s="1218"/>
      <c r="CL900" s="1218"/>
      <c r="CM900" s="1218"/>
      <c r="CN900" s="1218"/>
      <c r="CO900" s="1218"/>
      <c r="CP900" s="1218"/>
      <c r="CQ900" s="1218"/>
      <c r="CR900" s="1218"/>
      <c r="CS900" s="1218"/>
      <c r="CT900" s="1218"/>
      <c r="CU900" s="1218"/>
      <c r="CV900" s="1218"/>
      <c r="CW900" s="1218"/>
      <c r="CX900" s="1218"/>
      <c r="CY900" s="1218"/>
      <c r="CZ900" s="1218"/>
      <c r="DA900" s="1218"/>
      <c r="DB900" s="1218"/>
      <c r="DC900" s="1218"/>
      <c r="DD900" s="1218"/>
      <c r="DE900" s="1218"/>
      <c r="DF900" s="1218"/>
      <c r="DG900" s="1218"/>
      <c r="DH900" s="1218"/>
      <c r="DI900" s="1218"/>
      <c r="DJ900" s="1218"/>
      <c r="DK900" s="1218"/>
      <c r="DL900" s="1218"/>
      <c r="DM900" s="1218"/>
      <c r="DN900" s="1218"/>
      <c r="DO900" s="1218"/>
      <c r="DP900" s="1218"/>
      <c r="DQ900" s="1218"/>
      <c r="DR900" s="1218"/>
      <c r="DS900" s="1218"/>
      <c r="DT900" s="1218"/>
      <c r="DU900" s="1218"/>
      <c r="DV900" s="1218"/>
      <c r="DW900" s="1218"/>
      <c r="DX900" s="1218"/>
      <c r="DY900" s="1218"/>
      <c r="DZ900" s="1218"/>
      <c r="EA900" s="1218"/>
      <c r="EB900" s="1218"/>
      <c r="EC900" s="1218"/>
      <c r="ED900" s="1218"/>
      <c r="EE900" s="1218"/>
      <c r="EF900" s="1218"/>
      <c r="EG900" s="1218"/>
      <c r="EH900" s="1218"/>
      <c r="EI900" s="1218"/>
      <c r="EJ900" s="1218"/>
      <c r="EK900" s="1218"/>
      <c r="EL900" s="1218"/>
      <c r="EM900" s="1218"/>
      <c r="EN900" s="1218"/>
      <c r="EO900" s="1218"/>
      <c r="EP900" s="1218"/>
      <c r="EQ900" s="1218"/>
      <c r="ER900" s="1218"/>
      <c r="ES900" s="1218"/>
      <c r="ET900" s="1218"/>
      <c r="EU900" s="1218"/>
      <c r="EV900" s="1218"/>
      <c r="EW900" s="1218"/>
      <c r="EX900" s="1218"/>
      <c r="EY900" s="1218"/>
      <c r="EZ900" s="1218"/>
      <c r="FA900" s="1218"/>
      <c r="FB900" s="1218"/>
      <c r="FC900" s="1218"/>
      <c r="FD900" s="1218"/>
      <c r="FE900" s="1218"/>
      <c r="FF900" s="1218"/>
      <c r="FG900" s="1218"/>
      <c r="FH900" s="1218"/>
      <c r="FI900" s="1218"/>
      <c r="FJ900" s="1218"/>
      <c r="FK900" s="1218"/>
      <c r="FL900" s="1218"/>
      <c r="FM900" s="1218"/>
      <c r="FN900" s="1218"/>
      <c r="FO900" s="1218"/>
      <c r="FP900" s="1218"/>
      <c r="FQ900" s="1218"/>
      <c r="FR900" s="1218"/>
      <c r="FS900" s="1218"/>
      <c r="FT900" s="1218"/>
      <c r="FU900" s="1218"/>
      <c r="FV900" s="1218"/>
      <c r="FW900" s="1218"/>
      <c r="FX900" s="1218"/>
      <c r="FY900" s="1218"/>
      <c r="FZ900" s="1218"/>
      <c r="GA900" s="1218"/>
      <c r="GB900" s="1218"/>
      <c r="GC900" s="1218"/>
      <c r="GD900" s="1218"/>
      <c r="GE900" s="1218"/>
      <c r="GF900" s="1218"/>
      <c r="GG900" s="1218"/>
      <c r="GH900" s="1218"/>
      <c r="GI900" s="1218"/>
      <c r="GJ900" s="1218"/>
      <c r="GK900" s="1218"/>
      <c r="GL900" s="1218"/>
      <c r="GM900" s="1218"/>
      <c r="GN900" s="1218"/>
      <c r="GO900" s="1218"/>
      <c r="GP900" s="1218"/>
      <c r="GQ900" s="1218"/>
      <c r="GR900" s="1218"/>
      <c r="GS900" s="1218"/>
      <c r="GT900" s="1218"/>
      <c r="GU900" s="1218"/>
      <c r="GV900" s="1218"/>
      <c r="GW900" s="1218"/>
      <c r="GX900" s="1218"/>
      <c r="GY900" s="1218"/>
      <c r="GZ900" s="1218"/>
      <c r="HA900" s="1218"/>
      <c r="HB900" s="1218"/>
      <c r="HC900" s="1218"/>
      <c r="HD900" s="1218"/>
      <c r="HE900" s="1218"/>
      <c r="HF900" s="1218"/>
      <c r="HG900" s="1218"/>
      <c r="HH900" s="1218"/>
      <c r="HI900" s="1218"/>
      <c r="HJ900" s="1218"/>
      <c r="HK900" s="1218"/>
      <c r="HL900" s="1218"/>
      <c r="HM900" s="1218"/>
      <c r="HN900" s="1218"/>
      <c r="HO900" s="1218"/>
      <c r="HP900" s="1218"/>
      <c r="HQ900" s="1218"/>
      <c r="HR900" s="1218"/>
      <c r="HS900" s="1218"/>
      <c r="HT900" s="1218"/>
      <c r="HU900" s="1218"/>
      <c r="HV900" s="1218"/>
      <c r="HW900" s="1218"/>
      <c r="HX900" s="1218"/>
      <c r="HY900" s="1218"/>
      <c r="HZ900" s="1218"/>
      <c r="IA900" s="1218"/>
      <c r="IB900" s="1218"/>
      <c r="IC900" s="1218"/>
      <c r="ID900" s="1218"/>
      <c r="IE900" s="1218"/>
      <c r="IF900" s="1218"/>
      <c r="IG900" s="1218"/>
      <c r="IH900" s="1218"/>
      <c r="II900" s="1218"/>
      <c r="IJ900" s="1218"/>
      <c r="IK900" s="1218"/>
      <c r="IL900" s="1218"/>
      <c r="IM900" s="1218"/>
      <c r="IN900" s="1218"/>
    </row>
    <row r="901" spans="1:248" s="1312" customFormat="1" ht="14.1" customHeight="1">
      <c r="A901" s="1318"/>
      <c r="B901" s="1160" t="s">
        <v>3980</v>
      </c>
      <c r="C901" s="193" t="s">
        <v>4168</v>
      </c>
      <c r="D901" s="1314"/>
      <c r="G901" s="1218"/>
      <c r="H901" s="1218"/>
      <c r="I901" s="1218"/>
      <c r="J901" s="1218"/>
      <c r="K901" s="1218"/>
      <c r="L901" s="1218"/>
      <c r="M901" s="1218"/>
      <c r="N901" s="1218"/>
      <c r="O901" s="1218"/>
      <c r="P901" s="1218"/>
      <c r="Q901" s="1218"/>
      <c r="R901" s="1218"/>
      <c r="S901" s="1218"/>
      <c r="T901" s="1218"/>
      <c r="U901" s="1218"/>
      <c r="V901" s="1218"/>
      <c r="W901" s="1218"/>
      <c r="X901" s="1218"/>
      <c r="Y901" s="1218"/>
      <c r="Z901" s="1218"/>
      <c r="AA901" s="1218"/>
      <c r="AB901" s="1218"/>
      <c r="AC901" s="1218"/>
      <c r="AD901" s="1218"/>
      <c r="AE901" s="1218"/>
      <c r="AF901" s="1218"/>
      <c r="AG901" s="1218"/>
      <c r="AH901" s="1218"/>
      <c r="AI901" s="1218"/>
      <c r="AJ901" s="1218"/>
      <c r="AK901" s="1218"/>
      <c r="AL901" s="1218"/>
      <c r="AM901" s="1218"/>
      <c r="AN901" s="1218"/>
      <c r="AO901" s="1218"/>
      <c r="AP901" s="1218"/>
      <c r="AQ901" s="1218"/>
      <c r="AR901" s="1218"/>
      <c r="AS901" s="1218"/>
      <c r="AT901" s="1218"/>
      <c r="AU901" s="1218"/>
      <c r="AV901" s="1218"/>
      <c r="AW901" s="1218"/>
      <c r="AX901" s="1218"/>
      <c r="AY901" s="1218"/>
      <c r="AZ901" s="1218"/>
      <c r="BA901" s="1218"/>
      <c r="BB901" s="1218"/>
      <c r="BC901" s="1218"/>
      <c r="BD901" s="1218"/>
      <c r="BE901" s="1218"/>
      <c r="BF901" s="1218"/>
      <c r="BG901" s="1218"/>
      <c r="BH901" s="1218"/>
      <c r="BI901" s="1218"/>
      <c r="BJ901" s="1218"/>
      <c r="BK901" s="1218"/>
      <c r="BL901" s="1218"/>
      <c r="BM901" s="1218"/>
      <c r="BN901" s="1218"/>
      <c r="BO901" s="1218"/>
      <c r="BP901" s="1218"/>
      <c r="BQ901" s="1218"/>
      <c r="BR901" s="1218"/>
      <c r="BS901" s="1218"/>
      <c r="BT901" s="1218"/>
      <c r="BU901" s="1218"/>
      <c r="BV901" s="1218"/>
      <c r="BW901" s="1218"/>
      <c r="BX901" s="1218"/>
      <c r="BY901" s="1218"/>
      <c r="BZ901" s="1218"/>
      <c r="CA901" s="1218"/>
      <c r="CB901" s="1218"/>
      <c r="CC901" s="1218"/>
      <c r="CD901" s="1218"/>
      <c r="CE901" s="1218"/>
      <c r="CF901" s="1218"/>
      <c r="CG901" s="1218"/>
      <c r="CH901" s="1218"/>
      <c r="CI901" s="1218"/>
      <c r="CJ901" s="1218"/>
      <c r="CK901" s="1218"/>
      <c r="CL901" s="1218"/>
      <c r="CM901" s="1218"/>
      <c r="CN901" s="1218"/>
      <c r="CO901" s="1218"/>
      <c r="CP901" s="1218"/>
      <c r="CQ901" s="1218"/>
      <c r="CR901" s="1218"/>
      <c r="CS901" s="1218"/>
      <c r="CT901" s="1218"/>
      <c r="CU901" s="1218"/>
      <c r="CV901" s="1218"/>
      <c r="CW901" s="1218"/>
      <c r="CX901" s="1218"/>
      <c r="CY901" s="1218"/>
      <c r="CZ901" s="1218"/>
      <c r="DA901" s="1218"/>
      <c r="DB901" s="1218"/>
      <c r="DC901" s="1218"/>
      <c r="DD901" s="1218"/>
      <c r="DE901" s="1218"/>
      <c r="DF901" s="1218"/>
      <c r="DG901" s="1218"/>
      <c r="DH901" s="1218"/>
      <c r="DI901" s="1218"/>
      <c r="DJ901" s="1218"/>
      <c r="DK901" s="1218"/>
      <c r="DL901" s="1218"/>
      <c r="DM901" s="1218"/>
      <c r="DN901" s="1218"/>
      <c r="DO901" s="1218"/>
      <c r="DP901" s="1218"/>
      <c r="DQ901" s="1218"/>
      <c r="DR901" s="1218"/>
      <c r="DS901" s="1218"/>
      <c r="DT901" s="1218"/>
      <c r="DU901" s="1218"/>
      <c r="DV901" s="1218"/>
      <c r="DW901" s="1218"/>
      <c r="DX901" s="1218"/>
      <c r="DY901" s="1218"/>
      <c r="DZ901" s="1218"/>
      <c r="EA901" s="1218"/>
      <c r="EB901" s="1218"/>
      <c r="EC901" s="1218"/>
      <c r="ED901" s="1218"/>
      <c r="EE901" s="1218"/>
      <c r="EF901" s="1218"/>
      <c r="EG901" s="1218"/>
      <c r="EH901" s="1218"/>
      <c r="EI901" s="1218"/>
      <c r="EJ901" s="1218"/>
      <c r="EK901" s="1218"/>
      <c r="EL901" s="1218"/>
      <c r="EM901" s="1218"/>
      <c r="EN901" s="1218"/>
      <c r="EO901" s="1218"/>
      <c r="EP901" s="1218"/>
      <c r="EQ901" s="1218"/>
      <c r="ER901" s="1218"/>
      <c r="ES901" s="1218"/>
      <c r="ET901" s="1218"/>
      <c r="EU901" s="1218"/>
      <c r="EV901" s="1218"/>
      <c r="EW901" s="1218"/>
      <c r="EX901" s="1218"/>
      <c r="EY901" s="1218"/>
      <c r="EZ901" s="1218"/>
      <c r="FA901" s="1218"/>
      <c r="FB901" s="1218"/>
      <c r="FC901" s="1218"/>
      <c r="FD901" s="1218"/>
      <c r="FE901" s="1218"/>
      <c r="FF901" s="1218"/>
      <c r="FG901" s="1218"/>
      <c r="FH901" s="1218"/>
      <c r="FI901" s="1218"/>
      <c r="FJ901" s="1218"/>
      <c r="FK901" s="1218"/>
      <c r="FL901" s="1218"/>
      <c r="FM901" s="1218"/>
      <c r="FN901" s="1218"/>
      <c r="FO901" s="1218"/>
      <c r="FP901" s="1218"/>
      <c r="FQ901" s="1218"/>
      <c r="FR901" s="1218"/>
      <c r="FS901" s="1218"/>
      <c r="FT901" s="1218"/>
      <c r="FU901" s="1218"/>
      <c r="FV901" s="1218"/>
      <c r="FW901" s="1218"/>
      <c r="FX901" s="1218"/>
      <c r="FY901" s="1218"/>
      <c r="FZ901" s="1218"/>
      <c r="GA901" s="1218"/>
      <c r="GB901" s="1218"/>
      <c r="GC901" s="1218"/>
      <c r="GD901" s="1218"/>
      <c r="GE901" s="1218"/>
      <c r="GF901" s="1218"/>
      <c r="GG901" s="1218"/>
      <c r="GH901" s="1218"/>
      <c r="GI901" s="1218"/>
      <c r="GJ901" s="1218"/>
      <c r="GK901" s="1218"/>
      <c r="GL901" s="1218"/>
      <c r="GM901" s="1218"/>
      <c r="GN901" s="1218"/>
      <c r="GO901" s="1218"/>
      <c r="GP901" s="1218"/>
      <c r="GQ901" s="1218"/>
      <c r="GR901" s="1218"/>
      <c r="GS901" s="1218"/>
      <c r="GT901" s="1218"/>
      <c r="GU901" s="1218"/>
      <c r="GV901" s="1218"/>
      <c r="GW901" s="1218"/>
      <c r="GX901" s="1218"/>
      <c r="GY901" s="1218"/>
      <c r="GZ901" s="1218"/>
      <c r="HA901" s="1218"/>
      <c r="HB901" s="1218"/>
      <c r="HC901" s="1218"/>
      <c r="HD901" s="1218"/>
      <c r="HE901" s="1218"/>
      <c r="HF901" s="1218"/>
      <c r="HG901" s="1218"/>
      <c r="HH901" s="1218"/>
      <c r="HI901" s="1218"/>
      <c r="HJ901" s="1218"/>
      <c r="HK901" s="1218"/>
      <c r="HL901" s="1218"/>
      <c r="HM901" s="1218"/>
      <c r="HN901" s="1218"/>
      <c r="HO901" s="1218"/>
      <c r="HP901" s="1218"/>
      <c r="HQ901" s="1218"/>
      <c r="HR901" s="1218"/>
      <c r="HS901" s="1218"/>
      <c r="HT901" s="1218"/>
      <c r="HU901" s="1218"/>
      <c r="HV901" s="1218"/>
      <c r="HW901" s="1218"/>
      <c r="HX901" s="1218"/>
      <c r="HY901" s="1218"/>
      <c r="HZ901" s="1218"/>
      <c r="IA901" s="1218"/>
      <c r="IB901" s="1218"/>
      <c r="IC901" s="1218"/>
      <c r="ID901" s="1218"/>
      <c r="IE901" s="1218"/>
      <c r="IF901" s="1218"/>
      <c r="IG901" s="1218"/>
      <c r="IH901" s="1218"/>
      <c r="II901" s="1218"/>
      <c r="IJ901" s="1218"/>
      <c r="IK901" s="1218"/>
      <c r="IL901" s="1218"/>
      <c r="IM901" s="1218"/>
      <c r="IN901" s="1218"/>
    </row>
    <row r="902" spans="1:248" s="1312" customFormat="1" ht="14.1" customHeight="1">
      <c r="A902" s="1318"/>
      <c r="B902" s="1313"/>
      <c r="C902" s="193" t="s">
        <v>4169</v>
      </c>
      <c r="D902" s="1314"/>
      <c r="G902" s="1218"/>
      <c r="H902" s="1218"/>
      <c r="I902" s="1218"/>
      <c r="J902" s="1218"/>
      <c r="K902" s="1218"/>
      <c r="L902" s="1218"/>
      <c r="M902" s="1218"/>
      <c r="N902" s="1218"/>
      <c r="O902" s="1218"/>
      <c r="P902" s="1218"/>
      <c r="Q902" s="1218"/>
      <c r="R902" s="1218"/>
      <c r="S902" s="1218"/>
      <c r="T902" s="1218"/>
      <c r="U902" s="1218"/>
      <c r="V902" s="1218"/>
      <c r="W902" s="1218"/>
      <c r="X902" s="1218"/>
      <c r="Y902" s="1218"/>
      <c r="Z902" s="1218"/>
      <c r="AA902" s="1218"/>
      <c r="AB902" s="1218"/>
      <c r="AC902" s="1218"/>
      <c r="AD902" s="1218"/>
      <c r="AE902" s="1218"/>
      <c r="AF902" s="1218"/>
      <c r="AG902" s="1218"/>
      <c r="AH902" s="1218"/>
      <c r="AI902" s="1218"/>
      <c r="AJ902" s="1218"/>
      <c r="AK902" s="1218"/>
      <c r="AL902" s="1218"/>
      <c r="AM902" s="1218"/>
      <c r="AN902" s="1218"/>
      <c r="AO902" s="1218"/>
      <c r="AP902" s="1218"/>
      <c r="AQ902" s="1218"/>
      <c r="AR902" s="1218"/>
      <c r="AS902" s="1218"/>
      <c r="AT902" s="1218"/>
      <c r="AU902" s="1218"/>
      <c r="AV902" s="1218"/>
      <c r="AW902" s="1218"/>
      <c r="AX902" s="1218"/>
      <c r="AY902" s="1218"/>
      <c r="AZ902" s="1218"/>
      <c r="BA902" s="1218"/>
      <c r="BB902" s="1218"/>
      <c r="BC902" s="1218"/>
      <c r="BD902" s="1218"/>
      <c r="BE902" s="1218"/>
      <c r="BF902" s="1218"/>
      <c r="BG902" s="1218"/>
      <c r="BH902" s="1218"/>
      <c r="BI902" s="1218"/>
      <c r="BJ902" s="1218"/>
      <c r="BK902" s="1218"/>
      <c r="BL902" s="1218"/>
      <c r="BM902" s="1218"/>
      <c r="BN902" s="1218"/>
      <c r="BO902" s="1218"/>
      <c r="BP902" s="1218"/>
      <c r="BQ902" s="1218"/>
      <c r="BR902" s="1218"/>
      <c r="BS902" s="1218"/>
      <c r="BT902" s="1218"/>
      <c r="BU902" s="1218"/>
      <c r="BV902" s="1218"/>
      <c r="BW902" s="1218"/>
      <c r="BX902" s="1218"/>
      <c r="BY902" s="1218"/>
      <c r="BZ902" s="1218"/>
      <c r="CA902" s="1218"/>
      <c r="CB902" s="1218"/>
      <c r="CC902" s="1218"/>
      <c r="CD902" s="1218"/>
      <c r="CE902" s="1218"/>
      <c r="CF902" s="1218"/>
      <c r="CG902" s="1218"/>
      <c r="CH902" s="1218"/>
      <c r="CI902" s="1218"/>
      <c r="CJ902" s="1218"/>
      <c r="CK902" s="1218"/>
      <c r="CL902" s="1218"/>
      <c r="CM902" s="1218"/>
      <c r="CN902" s="1218"/>
      <c r="CO902" s="1218"/>
      <c r="CP902" s="1218"/>
      <c r="CQ902" s="1218"/>
      <c r="CR902" s="1218"/>
      <c r="CS902" s="1218"/>
      <c r="CT902" s="1218"/>
      <c r="CU902" s="1218"/>
      <c r="CV902" s="1218"/>
      <c r="CW902" s="1218"/>
      <c r="CX902" s="1218"/>
      <c r="CY902" s="1218"/>
      <c r="CZ902" s="1218"/>
      <c r="DA902" s="1218"/>
      <c r="DB902" s="1218"/>
      <c r="DC902" s="1218"/>
      <c r="DD902" s="1218"/>
      <c r="DE902" s="1218"/>
      <c r="DF902" s="1218"/>
      <c r="DG902" s="1218"/>
      <c r="DH902" s="1218"/>
      <c r="DI902" s="1218"/>
      <c r="DJ902" s="1218"/>
      <c r="DK902" s="1218"/>
      <c r="DL902" s="1218"/>
      <c r="DM902" s="1218"/>
      <c r="DN902" s="1218"/>
      <c r="DO902" s="1218"/>
      <c r="DP902" s="1218"/>
      <c r="DQ902" s="1218"/>
      <c r="DR902" s="1218"/>
      <c r="DS902" s="1218"/>
      <c r="DT902" s="1218"/>
      <c r="DU902" s="1218"/>
      <c r="DV902" s="1218"/>
      <c r="DW902" s="1218"/>
      <c r="DX902" s="1218"/>
      <c r="DY902" s="1218"/>
      <c r="DZ902" s="1218"/>
      <c r="EA902" s="1218"/>
      <c r="EB902" s="1218"/>
      <c r="EC902" s="1218"/>
      <c r="ED902" s="1218"/>
      <c r="EE902" s="1218"/>
      <c r="EF902" s="1218"/>
      <c r="EG902" s="1218"/>
      <c r="EH902" s="1218"/>
      <c r="EI902" s="1218"/>
      <c r="EJ902" s="1218"/>
      <c r="EK902" s="1218"/>
      <c r="EL902" s="1218"/>
      <c r="EM902" s="1218"/>
      <c r="EN902" s="1218"/>
      <c r="EO902" s="1218"/>
      <c r="EP902" s="1218"/>
      <c r="EQ902" s="1218"/>
      <c r="ER902" s="1218"/>
      <c r="ES902" s="1218"/>
      <c r="ET902" s="1218"/>
      <c r="EU902" s="1218"/>
      <c r="EV902" s="1218"/>
      <c r="EW902" s="1218"/>
      <c r="EX902" s="1218"/>
      <c r="EY902" s="1218"/>
      <c r="EZ902" s="1218"/>
      <c r="FA902" s="1218"/>
      <c r="FB902" s="1218"/>
      <c r="FC902" s="1218"/>
      <c r="FD902" s="1218"/>
      <c r="FE902" s="1218"/>
      <c r="FF902" s="1218"/>
      <c r="FG902" s="1218"/>
      <c r="FH902" s="1218"/>
      <c r="FI902" s="1218"/>
      <c r="FJ902" s="1218"/>
      <c r="FK902" s="1218"/>
      <c r="FL902" s="1218"/>
      <c r="FM902" s="1218"/>
      <c r="FN902" s="1218"/>
      <c r="FO902" s="1218"/>
      <c r="FP902" s="1218"/>
      <c r="FQ902" s="1218"/>
      <c r="FR902" s="1218"/>
      <c r="FS902" s="1218"/>
      <c r="FT902" s="1218"/>
      <c r="FU902" s="1218"/>
      <c r="FV902" s="1218"/>
      <c r="FW902" s="1218"/>
      <c r="FX902" s="1218"/>
      <c r="FY902" s="1218"/>
      <c r="FZ902" s="1218"/>
      <c r="GA902" s="1218"/>
      <c r="GB902" s="1218"/>
      <c r="GC902" s="1218"/>
      <c r="GD902" s="1218"/>
      <c r="GE902" s="1218"/>
      <c r="GF902" s="1218"/>
      <c r="GG902" s="1218"/>
      <c r="GH902" s="1218"/>
      <c r="GI902" s="1218"/>
      <c r="GJ902" s="1218"/>
      <c r="GK902" s="1218"/>
      <c r="GL902" s="1218"/>
      <c r="GM902" s="1218"/>
      <c r="GN902" s="1218"/>
      <c r="GO902" s="1218"/>
      <c r="GP902" s="1218"/>
      <c r="GQ902" s="1218"/>
      <c r="GR902" s="1218"/>
      <c r="GS902" s="1218"/>
      <c r="GT902" s="1218"/>
      <c r="GU902" s="1218"/>
      <c r="GV902" s="1218"/>
      <c r="GW902" s="1218"/>
      <c r="GX902" s="1218"/>
      <c r="GY902" s="1218"/>
      <c r="GZ902" s="1218"/>
      <c r="HA902" s="1218"/>
      <c r="HB902" s="1218"/>
      <c r="HC902" s="1218"/>
      <c r="HD902" s="1218"/>
      <c r="HE902" s="1218"/>
      <c r="HF902" s="1218"/>
      <c r="HG902" s="1218"/>
      <c r="HH902" s="1218"/>
      <c r="HI902" s="1218"/>
      <c r="HJ902" s="1218"/>
      <c r="HK902" s="1218"/>
      <c r="HL902" s="1218"/>
      <c r="HM902" s="1218"/>
      <c r="HN902" s="1218"/>
      <c r="HO902" s="1218"/>
      <c r="HP902" s="1218"/>
      <c r="HQ902" s="1218"/>
      <c r="HR902" s="1218"/>
      <c r="HS902" s="1218"/>
      <c r="HT902" s="1218"/>
      <c r="HU902" s="1218"/>
      <c r="HV902" s="1218"/>
      <c r="HW902" s="1218"/>
      <c r="HX902" s="1218"/>
      <c r="HY902" s="1218"/>
      <c r="HZ902" s="1218"/>
      <c r="IA902" s="1218"/>
      <c r="IB902" s="1218"/>
      <c r="IC902" s="1218"/>
      <c r="ID902" s="1218"/>
      <c r="IE902" s="1218"/>
      <c r="IF902" s="1218"/>
      <c r="IG902" s="1218"/>
      <c r="IH902" s="1218"/>
      <c r="II902" s="1218"/>
      <c r="IJ902" s="1218"/>
      <c r="IK902" s="1218"/>
      <c r="IL902" s="1218"/>
      <c r="IM902" s="1218"/>
      <c r="IN902" s="1218"/>
    </row>
    <row r="903" spans="1:248" s="1312" customFormat="1" ht="14.1" customHeight="1">
      <c r="A903" s="1318"/>
      <c r="B903" s="1313"/>
      <c r="C903" s="1320"/>
      <c r="D903" s="1314"/>
      <c r="G903" s="1218"/>
      <c r="H903" s="1218"/>
      <c r="I903" s="1218"/>
      <c r="J903" s="1218"/>
      <c r="K903" s="1218"/>
      <c r="L903" s="1218"/>
      <c r="M903" s="1218"/>
      <c r="N903" s="1218"/>
      <c r="O903" s="1218"/>
      <c r="P903" s="1218"/>
      <c r="Q903" s="1218"/>
      <c r="R903" s="1218"/>
      <c r="S903" s="1218"/>
      <c r="T903" s="1218"/>
      <c r="U903" s="1218"/>
      <c r="V903" s="1218"/>
      <c r="W903" s="1218"/>
      <c r="X903" s="1218"/>
      <c r="Y903" s="1218"/>
      <c r="Z903" s="1218"/>
      <c r="AA903" s="1218"/>
      <c r="AB903" s="1218"/>
      <c r="AC903" s="1218"/>
      <c r="AD903" s="1218"/>
      <c r="AE903" s="1218"/>
      <c r="AF903" s="1218"/>
      <c r="AG903" s="1218"/>
      <c r="AH903" s="1218"/>
      <c r="AI903" s="1218"/>
      <c r="AJ903" s="1218"/>
      <c r="AK903" s="1218"/>
      <c r="AL903" s="1218"/>
      <c r="AM903" s="1218"/>
      <c r="AN903" s="1218"/>
      <c r="AO903" s="1218"/>
      <c r="AP903" s="1218"/>
      <c r="AQ903" s="1218"/>
      <c r="AR903" s="1218"/>
      <c r="AS903" s="1218"/>
      <c r="AT903" s="1218"/>
      <c r="AU903" s="1218"/>
      <c r="AV903" s="1218"/>
      <c r="AW903" s="1218"/>
      <c r="AX903" s="1218"/>
      <c r="AY903" s="1218"/>
      <c r="AZ903" s="1218"/>
      <c r="BA903" s="1218"/>
      <c r="BB903" s="1218"/>
      <c r="BC903" s="1218"/>
      <c r="BD903" s="1218"/>
      <c r="BE903" s="1218"/>
      <c r="BF903" s="1218"/>
      <c r="BG903" s="1218"/>
      <c r="BH903" s="1218"/>
      <c r="BI903" s="1218"/>
      <c r="BJ903" s="1218"/>
      <c r="BK903" s="1218"/>
      <c r="BL903" s="1218"/>
      <c r="BM903" s="1218"/>
      <c r="BN903" s="1218"/>
      <c r="BO903" s="1218"/>
      <c r="BP903" s="1218"/>
      <c r="BQ903" s="1218"/>
      <c r="BR903" s="1218"/>
      <c r="BS903" s="1218"/>
      <c r="BT903" s="1218"/>
      <c r="BU903" s="1218"/>
      <c r="BV903" s="1218"/>
      <c r="BW903" s="1218"/>
      <c r="BX903" s="1218"/>
      <c r="BY903" s="1218"/>
      <c r="BZ903" s="1218"/>
      <c r="CA903" s="1218"/>
      <c r="CB903" s="1218"/>
      <c r="CC903" s="1218"/>
      <c r="CD903" s="1218"/>
      <c r="CE903" s="1218"/>
      <c r="CF903" s="1218"/>
      <c r="CG903" s="1218"/>
      <c r="CH903" s="1218"/>
      <c r="CI903" s="1218"/>
      <c r="CJ903" s="1218"/>
      <c r="CK903" s="1218"/>
      <c r="CL903" s="1218"/>
      <c r="CM903" s="1218"/>
      <c r="CN903" s="1218"/>
      <c r="CO903" s="1218"/>
      <c r="CP903" s="1218"/>
      <c r="CQ903" s="1218"/>
      <c r="CR903" s="1218"/>
      <c r="CS903" s="1218"/>
      <c r="CT903" s="1218"/>
      <c r="CU903" s="1218"/>
      <c r="CV903" s="1218"/>
      <c r="CW903" s="1218"/>
      <c r="CX903" s="1218"/>
      <c r="CY903" s="1218"/>
      <c r="CZ903" s="1218"/>
      <c r="DA903" s="1218"/>
      <c r="DB903" s="1218"/>
      <c r="DC903" s="1218"/>
      <c r="DD903" s="1218"/>
      <c r="DE903" s="1218"/>
      <c r="DF903" s="1218"/>
      <c r="DG903" s="1218"/>
      <c r="DH903" s="1218"/>
      <c r="DI903" s="1218"/>
      <c r="DJ903" s="1218"/>
      <c r="DK903" s="1218"/>
      <c r="DL903" s="1218"/>
      <c r="DM903" s="1218"/>
      <c r="DN903" s="1218"/>
      <c r="DO903" s="1218"/>
      <c r="DP903" s="1218"/>
      <c r="DQ903" s="1218"/>
      <c r="DR903" s="1218"/>
      <c r="DS903" s="1218"/>
      <c r="DT903" s="1218"/>
      <c r="DU903" s="1218"/>
      <c r="DV903" s="1218"/>
      <c r="DW903" s="1218"/>
      <c r="DX903" s="1218"/>
      <c r="DY903" s="1218"/>
      <c r="DZ903" s="1218"/>
      <c r="EA903" s="1218"/>
      <c r="EB903" s="1218"/>
      <c r="EC903" s="1218"/>
      <c r="ED903" s="1218"/>
      <c r="EE903" s="1218"/>
      <c r="EF903" s="1218"/>
      <c r="EG903" s="1218"/>
      <c r="EH903" s="1218"/>
      <c r="EI903" s="1218"/>
      <c r="EJ903" s="1218"/>
      <c r="EK903" s="1218"/>
      <c r="EL903" s="1218"/>
      <c r="EM903" s="1218"/>
      <c r="EN903" s="1218"/>
      <c r="EO903" s="1218"/>
      <c r="EP903" s="1218"/>
      <c r="EQ903" s="1218"/>
      <c r="ER903" s="1218"/>
      <c r="ES903" s="1218"/>
      <c r="ET903" s="1218"/>
      <c r="EU903" s="1218"/>
      <c r="EV903" s="1218"/>
      <c r="EW903" s="1218"/>
      <c r="EX903" s="1218"/>
      <c r="EY903" s="1218"/>
      <c r="EZ903" s="1218"/>
      <c r="FA903" s="1218"/>
      <c r="FB903" s="1218"/>
      <c r="FC903" s="1218"/>
      <c r="FD903" s="1218"/>
      <c r="FE903" s="1218"/>
      <c r="FF903" s="1218"/>
      <c r="FG903" s="1218"/>
      <c r="FH903" s="1218"/>
      <c r="FI903" s="1218"/>
      <c r="FJ903" s="1218"/>
      <c r="FK903" s="1218"/>
      <c r="FL903" s="1218"/>
      <c r="FM903" s="1218"/>
      <c r="FN903" s="1218"/>
      <c r="FO903" s="1218"/>
      <c r="FP903" s="1218"/>
      <c r="FQ903" s="1218"/>
      <c r="FR903" s="1218"/>
      <c r="FS903" s="1218"/>
      <c r="FT903" s="1218"/>
      <c r="FU903" s="1218"/>
      <c r="FV903" s="1218"/>
      <c r="FW903" s="1218"/>
      <c r="FX903" s="1218"/>
      <c r="FY903" s="1218"/>
      <c r="FZ903" s="1218"/>
      <c r="GA903" s="1218"/>
      <c r="GB903" s="1218"/>
      <c r="GC903" s="1218"/>
      <c r="GD903" s="1218"/>
      <c r="GE903" s="1218"/>
      <c r="GF903" s="1218"/>
      <c r="GG903" s="1218"/>
      <c r="GH903" s="1218"/>
      <c r="GI903" s="1218"/>
      <c r="GJ903" s="1218"/>
      <c r="GK903" s="1218"/>
      <c r="GL903" s="1218"/>
      <c r="GM903" s="1218"/>
      <c r="GN903" s="1218"/>
      <c r="GO903" s="1218"/>
      <c r="GP903" s="1218"/>
      <c r="GQ903" s="1218"/>
      <c r="GR903" s="1218"/>
      <c r="GS903" s="1218"/>
      <c r="GT903" s="1218"/>
      <c r="GU903" s="1218"/>
      <c r="GV903" s="1218"/>
      <c r="GW903" s="1218"/>
      <c r="GX903" s="1218"/>
      <c r="GY903" s="1218"/>
      <c r="GZ903" s="1218"/>
      <c r="HA903" s="1218"/>
      <c r="HB903" s="1218"/>
      <c r="HC903" s="1218"/>
      <c r="HD903" s="1218"/>
      <c r="HE903" s="1218"/>
      <c r="HF903" s="1218"/>
      <c r="HG903" s="1218"/>
      <c r="HH903" s="1218"/>
      <c r="HI903" s="1218"/>
      <c r="HJ903" s="1218"/>
      <c r="HK903" s="1218"/>
      <c r="HL903" s="1218"/>
      <c r="HM903" s="1218"/>
      <c r="HN903" s="1218"/>
      <c r="HO903" s="1218"/>
      <c r="HP903" s="1218"/>
      <c r="HQ903" s="1218"/>
      <c r="HR903" s="1218"/>
      <c r="HS903" s="1218"/>
      <c r="HT903" s="1218"/>
      <c r="HU903" s="1218"/>
      <c r="HV903" s="1218"/>
      <c r="HW903" s="1218"/>
      <c r="HX903" s="1218"/>
      <c r="HY903" s="1218"/>
      <c r="HZ903" s="1218"/>
      <c r="IA903" s="1218"/>
      <c r="IB903" s="1218"/>
      <c r="IC903" s="1218"/>
      <c r="ID903" s="1218"/>
      <c r="IE903" s="1218"/>
      <c r="IF903" s="1218"/>
      <c r="IG903" s="1218"/>
      <c r="IH903" s="1218"/>
      <c r="II903" s="1218"/>
      <c r="IJ903" s="1218"/>
      <c r="IK903" s="1218"/>
      <c r="IL903" s="1218"/>
      <c r="IM903" s="1218"/>
      <c r="IN903" s="1218"/>
    </row>
    <row r="904" spans="1:248" s="1312" customFormat="1" ht="14.1" customHeight="1">
      <c r="A904" s="1318"/>
      <c r="B904" s="1160" t="s">
        <v>3981</v>
      </c>
      <c r="C904" s="193" t="s">
        <v>4170</v>
      </c>
      <c r="D904" s="1314"/>
      <c r="G904" s="1218"/>
      <c r="H904" s="1218"/>
      <c r="I904" s="1218"/>
      <c r="J904" s="1218"/>
      <c r="K904" s="1218"/>
      <c r="L904" s="1218"/>
      <c r="M904" s="1218"/>
      <c r="N904" s="1218"/>
      <c r="O904" s="1218"/>
      <c r="P904" s="1218"/>
      <c r="Q904" s="1218"/>
      <c r="R904" s="1218"/>
      <c r="S904" s="1218"/>
      <c r="T904" s="1218"/>
      <c r="U904" s="1218"/>
      <c r="V904" s="1218"/>
      <c r="W904" s="1218"/>
      <c r="X904" s="1218"/>
      <c r="Y904" s="1218"/>
      <c r="Z904" s="1218"/>
      <c r="AA904" s="1218"/>
      <c r="AB904" s="1218"/>
      <c r="AC904" s="1218"/>
      <c r="AD904" s="1218"/>
      <c r="AE904" s="1218"/>
      <c r="AF904" s="1218"/>
      <c r="AG904" s="1218"/>
      <c r="AH904" s="1218"/>
      <c r="AI904" s="1218"/>
      <c r="AJ904" s="1218"/>
      <c r="AK904" s="1218"/>
      <c r="AL904" s="1218"/>
      <c r="AM904" s="1218"/>
      <c r="AN904" s="1218"/>
      <c r="AO904" s="1218"/>
      <c r="AP904" s="1218"/>
      <c r="AQ904" s="1218"/>
      <c r="AR904" s="1218"/>
      <c r="AS904" s="1218"/>
      <c r="AT904" s="1218"/>
      <c r="AU904" s="1218"/>
      <c r="AV904" s="1218"/>
      <c r="AW904" s="1218"/>
      <c r="AX904" s="1218"/>
      <c r="AY904" s="1218"/>
      <c r="AZ904" s="1218"/>
      <c r="BA904" s="1218"/>
      <c r="BB904" s="1218"/>
      <c r="BC904" s="1218"/>
      <c r="BD904" s="1218"/>
      <c r="BE904" s="1218"/>
      <c r="BF904" s="1218"/>
      <c r="BG904" s="1218"/>
      <c r="BH904" s="1218"/>
      <c r="BI904" s="1218"/>
      <c r="BJ904" s="1218"/>
      <c r="BK904" s="1218"/>
      <c r="BL904" s="1218"/>
      <c r="BM904" s="1218"/>
      <c r="BN904" s="1218"/>
      <c r="BO904" s="1218"/>
      <c r="BP904" s="1218"/>
      <c r="BQ904" s="1218"/>
      <c r="BR904" s="1218"/>
      <c r="BS904" s="1218"/>
      <c r="BT904" s="1218"/>
      <c r="BU904" s="1218"/>
      <c r="BV904" s="1218"/>
      <c r="BW904" s="1218"/>
      <c r="BX904" s="1218"/>
      <c r="BY904" s="1218"/>
      <c r="BZ904" s="1218"/>
      <c r="CA904" s="1218"/>
      <c r="CB904" s="1218"/>
      <c r="CC904" s="1218"/>
      <c r="CD904" s="1218"/>
      <c r="CE904" s="1218"/>
      <c r="CF904" s="1218"/>
      <c r="CG904" s="1218"/>
      <c r="CH904" s="1218"/>
      <c r="CI904" s="1218"/>
      <c r="CJ904" s="1218"/>
      <c r="CK904" s="1218"/>
      <c r="CL904" s="1218"/>
      <c r="CM904" s="1218"/>
      <c r="CN904" s="1218"/>
      <c r="CO904" s="1218"/>
      <c r="CP904" s="1218"/>
      <c r="CQ904" s="1218"/>
      <c r="CR904" s="1218"/>
      <c r="CS904" s="1218"/>
      <c r="CT904" s="1218"/>
      <c r="CU904" s="1218"/>
      <c r="CV904" s="1218"/>
      <c r="CW904" s="1218"/>
      <c r="CX904" s="1218"/>
      <c r="CY904" s="1218"/>
      <c r="CZ904" s="1218"/>
      <c r="DA904" s="1218"/>
      <c r="DB904" s="1218"/>
      <c r="DC904" s="1218"/>
      <c r="DD904" s="1218"/>
      <c r="DE904" s="1218"/>
      <c r="DF904" s="1218"/>
      <c r="DG904" s="1218"/>
      <c r="DH904" s="1218"/>
      <c r="DI904" s="1218"/>
      <c r="DJ904" s="1218"/>
      <c r="DK904" s="1218"/>
      <c r="DL904" s="1218"/>
      <c r="DM904" s="1218"/>
      <c r="DN904" s="1218"/>
      <c r="DO904" s="1218"/>
      <c r="DP904" s="1218"/>
      <c r="DQ904" s="1218"/>
      <c r="DR904" s="1218"/>
      <c r="DS904" s="1218"/>
      <c r="DT904" s="1218"/>
      <c r="DU904" s="1218"/>
      <c r="DV904" s="1218"/>
      <c r="DW904" s="1218"/>
      <c r="DX904" s="1218"/>
      <c r="DY904" s="1218"/>
      <c r="DZ904" s="1218"/>
      <c r="EA904" s="1218"/>
      <c r="EB904" s="1218"/>
      <c r="EC904" s="1218"/>
      <c r="ED904" s="1218"/>
      <c r="EE904" s="1218"/>
      <c r="EF904" s="1218"/>
      <c r="EG904" s="1218"/>
      <c r="EH904" s="1218"/>
      <c r="EI904" s="1218"/>
      <c r="EJ904" s="1218"/>
      <c r="EK904" s="1218"/>
      <c r="EL904" s="1218"/>
      <c r="EM904" s="1218"/>
      <c r="EN904" s="1218"/>
      <c r="EO904" s="1218"/>
      <c r="EP904" s="1218"/>
      <c r="EQ904" s="1218"/>
      <c r="ER904" s="1218"/>
      <c r="ES904" s="1218"/>
      <c r="ET904" s="1218"/>
      <c r="EU904" s="1218"/>
      <c r="EV904" s="1218"/>
      <c r="EW904" s="1218"/>
      <c r="EX904" s="1218"/>
      <c r="EY904" s="1218"/>
      <c r="EZ904" s="1218"/>
      <c r="FA904" s="1218"/>
      <c r="FB904" s="1218"/>
      <c r="FC904" s="1218"/>
      <c r="FD904" s="1218"/>
      <c r="FE904" s="1218"/>
      <c r="FF904" s="1218"/>
      <c r="FG904" s="1218"/>
      <c r="FH904" s="1218"/>
      <c r="FI904" s="1218"/>
      <c r="FJ904" s="1218"/>
      <c r="FK904" s="1218"/>
      <c r="FL904" s="1218"/>
      <c r="FM904" s="1218"/>
      <c r="FN904" s="1218"/>
      <c r="FO904" s="1218"/>
      <c r="FP904" s="1218"/>
      <c r="FQ904" s="1218"/>
      <c r="FR904" s="1218"/>
      <c r="FS904" s="1218"/>
      <c r="FT904" s="1218"/>
      <c r="FU904" s="1218"/>
      <c r="FV904" s="1218"/>
      <c r="FW904" s="1218"/>
      <c r="FX904" s="1218"/>
      <c r="FY904" s="1218"/>
      <c r="FZ904" s="1218"/>
      <c r="GA904" s="1218"/>
      <c r="GB904" s="1218"/>
      <c r="GC904" s="1218"/>
      <c r="GD904" s="1218"/>
      <c r="GE904" s="1218"/>
      <c r="GF904" s="1218"/>
      <c r="GG904" s="1218"/>
      <c r="GH904" s="1218"/>
      <c r="GI904" s="1218"/>
      <c r="GJ904" s="1218"/>
      <c r="GK904" s="1218"/>
      <c r="GL904" s="1218"/>
      <c r="GM904" s="1218"/>
      <c r="GN904" s="1218"/>
      <c r="GO904" s="1218"/>
      <c r="GP904" s="1218"/>
      <c r="GQ904" s="1218"/>
      <c r="GR904" s="1218"/>
      <c r="GS904" s="1218"/>
      <c r="GT904" s="1218"/>
      <c r="GU904" s="1218"/>
      <c r="GV904" s="1218"/>
      <c r="GW904" s="1218"/>
      <c r="GX904" s="1218"/>
      <c r="GY904" s="1218"/>
      <c r="GZ904" s="1218"/>
      <c r="HA904" s="1218"/>
      <c r="HB904" s="1218"/>
      <c r="HC904" s="1218"/>
      <c r="HD904" s="1218"/>
      <c r="HE904" s="1218"/>
      <c r="HF904" s="1218"/>
      <c r="HG904" s="1218"/>
      <c r="HH904" s="1218"/>
      <c r="HI904" s="1218"/>
      <c r="HJ904" s="1218"/>
      <c r="HK904" s="1218"/>
      <c r="HL904" s="1218"/>
      <c r="HM904" s="1218"/>
      <c r="HN904" s="1218"/>
      <c r="HO904" s="1218"/>
      <c r="HP904" s="1218"/>
      <c r="HQ904" s="1218"/>
      <c r="HR904" s="1218"/>
      <c r="HS904" s="1218"/>
      <c r="HT904" s="1218"/>
      <c r="HU904" s="1218"/>
      <c r="HV904" s="1218"/>
      <c r="HW904" s="1218"/>
      <c r="HX904" s="1218"/>
      <c r="HY904" s="1218"/>
      <c r="HZ904" s="1218"/>
      <c r="IA904" s="1218"/>
      <c r="IB904" s="1218"/>
      <c r="IC904" s="1218"/>
      <c r="ID904" s="1218"/>
      <c r="IE904" s="1218"/>
      <c r="IF904" s="1218"/>
      <c r="IG904" s="1218"/>
      <c r="IH904" s="1218"/>
      <c r="II904" s="1218"/>
      <c r="IJ904" s="1218"/>
      <c r="IK904" s="1218"/>
      <c r="IL904" s="1218"/>
      <c r="IM904" s="1218"/>
      <c r="IN904" s="1218"/>
    </row>
    <row r="905" spans="1:248" s="1312" customFormat="1" ht="14.1" customHeight="1">
      <c r="A905" s="1318"/>
      <c r="B905" s="1160"/>
      <c r="C905" s="193"/>
      <c r="D905" s="1314"/>
      <c r="G905" s="1218"/>
      <c r="H905" s="1218"/>
      <c r="I905" s="1218"/>
      <c r="J905" s="1218"/>
      <c r="K905" s="1218"/>
      <c r="L905" s="1218"/>
      <c r="M905" s="1218"/>
      <c r="N905" s="1218"/>
      <c r="O905" s="1218"/>
      <c r="P905" s="1218"/>
      <c r="Q905" s="1218"/>
      <c r="R905" s="1218"/>
      <c r="S905" s="1218"/>
      <c r="T905" s="1218"/>
      <c r="U905" s="1218"/>
      <c r="V905" s="1218"/>
      <c r="W905" s="1218"/>
      <c r="X905" s="1218"/>
      <c r="Y905" s="1218"/>
      <c r="Z905" s="1218"/>
      <c r="AA905" s="1218"/>
      <c r="AB905" s="1218"/>
      <c r="AC905" s="1218"/>
      <c r="AD905" s="1218"/>
      <c r="AE905" s="1218"/>
      <c r="AF905" s="1218"/>
      <c r="AG905" s="1218"/>
      <c r="AH905" s="1218"/>
      <c r="AI905" s="1218"/>
      <c r="AJ905" s="1218"/>
      <c r="AK905" s="1218"/>
      <c r="AL905" s="1218"/>
      <c r="AM905" s="1218"/>
      <c r="AN905" s="1218"/>
      <c r="AO905" s="1218"/>
      <c r="AP905" s="1218"/>
      <c r="AQ905" s="1218"/>
      <c r="AR905" s="1218"/>
      <c r="AS905" s="1218"/>
      <c r="AT905" s="1218"/>
      <c r="AU905" s="1218"/>
      <c r="AV905" s="1218"/>
      <c r="AW905" s="1218"/>
      <c r="AX905" s="1218"/>
      <c r="AY905" s="1218"/>
      <c r="AZ905" s="1218"/>
      <c r="BA905" s="1218"/>
      <c r="BB905" s="1218"/>
      <c r="BC905" s="1218"/>
      <c r="BD905" s="1218"/>
      <c r="BE905" s="1218"/>
      <c r="BF905" s="1218"/>
      <c r="BG905" s="1218"/>
      <c r="BH905" s="1218"/>
      <c r="BI905" s="1218"/>
      <c r="BJ905" s="1218"/>
      <c r="BK905" s="1218"/>
      <c r="BL905" s="1218"/>
      <c r="BM905" s="1218"/>
      <c r="BN905" s="1218"/>
      <c r="BO905" s="1218"/>
      <c r="BP905" s="1218"/>
      <c r="BQ905" s="1218"/>
      <c r="BR905" s="1218"/>
      <c r="BS905" s="1218"/>
      <c r="BT905" s="1218"/>
      <c r="BU905" s="1218"/>
      <c r="BV905" s="1218"/>
      <c r="BW905" s="1218"/>
      <c r="BX905" s="1218"/>
      <c r="BY905" s="1218"/>
      <c r="BZ905" s="1218"/>
      <c r="CA905" s="1218"/>
      <c r="CB905" s="1218"/>
      <c r="CC905" s="1218"/>
      <c r="CD905" s="1218"/>
      <c r="CE905" s="1218"/>
      <c r="CF905" s="1218"/>
      <c r="CG905" s="1218"/>
      <c r="CH905" s="1218"/>
      <c r="CI905" s="1218"/>
      <c r="CJ905" s="1218"/>
      <c r="CK905" s="1218"/>
      <c r="CL905" s="1218"/>
      <c r="CM905" s="1218"/>
      <c r="CN905" s="1218"/>
      <c r="CO905" s="1218"/>
      <c r="CP905" s="1218"/>
      <c r="CQ905" s="1218"/>
      <c r="CR905" s="1218"/>
      <c r="CS905" s="1218"/>
      <c r="CT905" s="1218"/>
      <c r="CU905" s="1218"/>
      <c r="CV905" s="1218"/>
      <c r="CW905" s="1218"/>
      <c r="CX905" s="1218"/>
      <c r="CY905" s="1218"/>
      <c r="CZ905" s="1218"/>
      <c r="DA905" s="1218"/>
      <c r="DB905" s="1218"/>
      <c r="DC905" s="1218"/>
      <c r="DD905" s="1218"/>
      <c r="DE905" s="1218"/>
      <c r="DF905" s="1218"/>
      <c r="DG905" s="1218"/>
      <c r="DH905" s="1218"/>
      <c r="DI905" s="1218"/>
      <c r="DJ905" s="1218"/>
      <c r="DK905" s="1218"/>
      <c r="DL905" s="1218"/>
      <c r="DM905" s="1218"/>
      <c r="DN905" s="1218"/>
      <c r="DO905" s="1218"/>
      <c r="DP905" s="1218"/>
      <c r="DQ905" s="1218"/>
      <c r="DR905" s="1218"/>
      <c r="DS905" s="1218"/>
      <c r="DT905" s="1218"/>
      <c r="DU905" s="1218"/>
      <c r="DV905" s="1218"/>
      <c r="DW905" s="1218"/>
      <c r="DX905" s="1218"/>
      <c r="DY905" s="1218"/>
      <c r="DZ905" s="1218"/>
      <c r="EA905" s="1218"/>
      <c r="EB905" s="1218"/>
      <c r="EC905" s="1218"/>
      <c r="ED905" s="1218"/>
      <c r="EE905" s="1218"/>
      <c r="EF905" s="1218"/>
      <c r="EG905" s="1218"/>
      <c r="EH905" s="1218"/>
      <c r="EI905" s="1218"/>
      <c r="EJ905" s="1218"/>
      <c r="EK905" s="1218"/>
      <c r="EL905" s="1218"/>
      <c r="EM905" s="1218"/>
      <c r="EN905" s="1218"/>
      <c r="EO905" s="1218"/>
      <c r="EP905" s="1218"/>
      <c r="EQ905" s="1218"/>
      <c r="ER905" s="1218"/>
      <c r="ES905" s="1218"/>
      <c r="ET905" s="1218"/>
      <c r="EU905" s="1218"/>
      <c r="EV905" s="1218"/>
      <c r="EW905" s="1218"/>
      <c r="EX905" s="1218"/>
      <c r="EY905" s="1218"/>
      <c r="EZ905" s="1218"/>
      <c r="FA905" s="1218"/>
      <c r="FB905" s="1218"/>
      <c r="FC905" s="1218"/>
      <c r="FD905" s="1218"/>
      <c r="FE905" s="1218"/>
      <c r="FF905" s="1218"/>
      <c r="FG905" s="1218"/>
      <c r="FH905" s="1218"/>
      <c r="FI905" s="1218"/>
      <c r="FJ905" s="1218"/>
      <c r="FK905" s="1218"/>
      <c r="FL905" s="1218"/>
      <c r="FM905" s="1218"/>
      <c r="FN905" s="1218"/>
      <c r="FO905" s="1218"/>
      <c r="FP905" s="1218"/>
      <c r="FQ905" s="1218"/>
      <c r="FR905" s="1218"/>
      <c r="FS905" s="1218"/>
      <c r="FT905" s="1218"/>
      <c r="FU905" s="1218"/>
      <c r="FV905" s="1218"/>
      <c r="FW905" s="1218"/>
      <c r="FX905" s="1218"/>
      <c r="FY905" s="1218"/>
      <c r="FZ905" s="1218"/>
      <c r="GA905" s="1218"/>
      <c r="GB905" s="1218"/>
      <c r="GC905" s="1218"/>
      <c r="GD905" s="1218"/>
      <c r="GE905" s="1218"/>
      <c r="GF905" s="1218"/>
      <c r="GG905" s="1218"/>
      <c r="GH905" s="1218"/>
      <c r="GI905" s="1218"/>
      <c r="GJ905" s="1218"/>
      <c r="GK905" s="1218"/>
      <c r="GL905" s="1218"/>
      <c r="GM905" s="1218"/>
      <c r="GN905" s="1218"/>
      <c r="GO905" s="1218"/>
      <c r="GP905" s="1218"/>
      <c r="GQ905" s="1218"/>
      <c r="GR905" s="1218"/>
      <c r="GS905" s="1218"/>
      <c r="GT905" s="1218"/>
      <c r="GU905" s="1218"/>
      <c r="GV905" s="1218"/>
      <c r="GW905" s="1218"/>
      <c r="GX905" s="1218"/>
      <c r="GY905" s="1218"/>
      <c r="GZ905" s="1218"/>
      <c r="HA905" s="1218"/>
      <c r="HB905" s="1218"/>
      <c r="HC905" s="1218"/>
      <c r="HD905" s="1218"/>
      <c r="HE905" s="1218"/>
      <c r="HF905" s="1218"/>
      <c r="HG905" s="1218"/>
      <c r="HH905" s="1218"/>
      <c r="HI905" s="1218"/>
      <c r="HJ905" s="1218"/>
      <c r="HK905" s="1218"/>
      <c r="HL905" s="1218"/>
      <c r="HM905" s="1218"/>
      <c r="HN905" s="1218"/>
      <c r="HO905" s="1218"/>
      <c r="HP905" s="1218"/>
      <c r="HQ905" s="1218"/>
      <c r="HR905" s="1218"/>
      <c r="HS905" s="1218"/>
      <c r="HT905" s="1218"/>
      <c r="HU905" s="1218"/>
      <c r="HV905" s="1218"/>
      <c r="HW905" s="1218"/>
      <c r="HX905" s="1218"/>
      <c r="HY905" s="1218"/>
      <c r="HZ905" s="1218"/>
      <c r="IA905" s="1218"/>
      <c r="IB905" s="1218"/>
      <c r="IC905" s="1218"/>
      <c r="ID905" s="1218"/>
      <c r="IE905" s="1218"/>
      <c r="IF905" s="1218"/>
      <c r="IG905" s="1218"/>
      <c r="IH905" s="1218"/>
      <c r="II905" s="1218"/>
      <c r="IJ905" s="1218"/>
      <c r="IK905" s="1218"/>
      <c r="IL905" s="1218"/>
      <c r="IM905" s="1218"/>
      <c r="IN905" s="1218"/>
    </row>
    <row r="906" spans="1:248" s="1312" customFormat="1" ht="14.1" customHeight="1">
      <c r="A906" s="1318"/>
      <c r="B906" s="1160" t="s">
        <v>4171</v>
      </c>
      <c r="C906" s="193" t="s">
        <v>3043</v>
      </c>
      <c r="D906" s="841"/>
      <c r="G906" s="1218"/>
      <c r="H906" s="1218"/>
      <c r="I906" s="1218"/>
      <c r="J906" s="1218"/>
      <c r="K906" s="1218"/>
      <c r="L906" s="1218"/>
      <c r="M906" s="1218"/>
      <c r="N906" s="1218"/>
      <c r="O906" s="1218"/>
      <c r="P906" s="1218"/>
      <c r="Q906" s="1218"/>
      <c r="R906" s="1218"/>
      <c r="S906" s="1218"/>
      <c r="T906" s="1218"/>
      <c r="U906" s="1218"/>
      <c r="V906" s="1218"/>
      <c r="W906" s="1218"/>
      <c r="X906" s="1218"/>
      <c r="Y906" s="1218"/>
      <c r="Z906" s="1218"/>
      <c r="AA906" s="1218"/>
      <c r="AB906" s="1218"/>
      <c r="AC906" s="1218"/>
      <c r="AD906" s="1218"/>
      <c r="AE906" s="1218"/>
      <c r="AF906" s="1218"/>
      <c r="AG906" s="1218"/>
      <c r="AH906" s="1218"/>
      <c r="AI906" s="1218"/>
      <c r="AJ906" s="1218"/>
      <c r="AK906" s="1218"/>
      <c r="AL906" s="1218"/>
      <c r="AM906" s="1218"/>
      <c r="AN906" s="1218"/>
      <c r="AO906" s="1218"/>
      <c r="AP906" s="1218"/>
      <c r="AQ906" s="1218"/>
      <c r="AR906" s="1218"/>
      <c r="AS906" s="1218"/>
      <c r="AT906" s="1218"/>
      <c r="AU906" s="1218"/>
      <c r="AV906" s="1218"/>
      <c r="AW906" s="1218"/>
      <c r="AX906" s="1218"/>
      <c r="AY906" s="1218"/>
      <c r="AZ906" s="1218"/>
      <c r="BA906" s="1218"/>
      <c r="BB906" s="1218"/>
      <c r="BC906" s="1218"/>
      <c r="BD906" s="1218"/>
      <c r="BE906" s="1218"/>
      <c r="BF906" s="1218"/>
      <c r="BG906" s="1218"/>
      <c r="BH906" s="1218"/>
      <c r="BI906" s="1218"/>
      <c r="BJ906" s="1218"/>
      <c r="BK906" s="1218"/>
      <c r="BL906" s="1218"/>
      <c r="BM906" s="1218"/>
      <c r="BN906" s="1218"/>
      <c r="BO906" s="1218"/>
      <c r="BP906" s="1218"/>
      <c r="BQ906" s="1218"/>
      <c r="BR906" s="1218"/>
      <c r="BS906" s="1218"/>
      <c r="BT906" s="1218"/>
      <c r="BU906" s="1218"/>
      <c r="BV906" s="1218"/>
      <c r="BW906" s="1218"/>
      <c r="BX906" s="1218"/>
      <c r="BY906" s="1218"/>
      <c r="BZ906" s="1218"/>
      <c r="CA906" s="1218"/>
      <c r="CB906" s="1218"/>
      <c r="CC906" s="1218"/>
      <c r="CD906" s="1218"/>
      <c r="CE906" s="1218"/>
      <c r="CF906" s="1218"/>
      <c r="CG906" s="1218"/>
      <c r="CH906" s="1218"/>
      <c r="CI906" s="1218"/>
      <c r="CJ906" s="1218"/>
      <c r="CK906" s="1218"/>
      <c r="CL906" s="1218"/>
      <c r="CM906" s="1218"/>
      <c r="CN906" s="1218"/>
      <c r="CO906" s="1218"/>
      <c r="CP906" s="1218"/>
      <c r="CQ906" s="1218"/>
      <c r="CR906" s="1218"/>
      <c r="CS906" s="1218"/>
      <c r="CT906" s="1218"/>
      <c r="CU906" s="1218"/>
      <c r="CV906" s="1218"/>
      <c r="CW906" s="1218"/>
      <c r="CX906" s="1218"/>
      <c r="CY906" s="1218"/>
      <c r="CZ906" s="1218"/>
      <c r="DA906" s="1218"/>
      <c r="DB906" s="1218"/>
      <c r="DC906" s="1218"/>
      <c r="DD906" s="1218"/>
      <c r="DE906" s="1218"/>
      <c r="DF906" s="1218"/>
      <c r="DG906" s="1218"/>
      <c r="DH906" s="1218"/>
      <c r="DI906" s="1218"/>
      <c r="DJ906" s="1218"/>
      <c r="DK906" s="1218"/>
      <c r="DL906" s="1218"/>
      <c r="DM906" s="1218"/>
      <c r="DN906" s="1218"/>
      <c r="DO906" s="1218"/>
      <c r="DP906" s="1218"/>
      <c r="DQ906" s="1218"/>
      <c r="DR906" s="1218"/>
      <c r="DS906" s="1218"/>
      <c r="DT906" s="1218"/>
      <c r="DU906" s="1218"/>
      <c r="DV906" s="1218"/>
      <c r="DW906" s="1218"/>
      <c r="DX906" s="1218"/>
      <c r="DY906" s="1218"/>
      <c r="DZ906" s="1218"/>
      <c r="EA906" s="1218"/>
      <c r="EB906" s="1218"/>
      <c r="EC906" s="1218"/>
      <c r="ED906" s="1218"/>
      <c r="EE906" s="1218"/>
      <c r="EF906" s="1218"/>
      <c r="EG906" s="1218"/>
      <c r="EH906" s="1218"/>
      <c r="EI906" s="1218"/>
      <c r="EJ906" s="1218"/>
      <c r="EK906" s="1218"/>
      <c r="EL906" s="1218"/>
      <c r="EM906" s="1218"/>
      <c r="EN906" s="1218"/>
      <c r="EO906" s="1218"/>
      <c r="EP906" s="1218"/>
      <c r="EQ906" s="1218"/>
      <c r="ER906" s="1218"/>
      <c r="ES906" s="1218"/>
      <c r="ET906" s="1218"/>
      <c r="EU906" s="1218"/>
      <c r="EV906" s="1218"/>
      <c r="EW906" s="1218"/>
      <c r="EX906" s="1218"/>
      <c r="EY906" s="1218"/>
      <c r="EZ906" s="1218"/>
      <c r="FA906" s="1218"/>
      <c r="FB906" s="1218"/>
      <c r="FC906" s="1218"/>
      <c r="FD906" s="1218"/>
      <c r="FE906" s="1218"/>
      <c r="FF906" s="1218"/>
      <c r="FG906" s="1218"/>
      <c r="FH906" s="1218"/>
      <c r="FI906" s="1218"/>
      <c r="FJ906" s="1218"/>
      <c r="FK906" s="1218"/>
      <c r="FL906" s="1218"/>
      <c r="FM906" s="1218"/>
      <c r="FN906" s="1218"/>
      <c r="FO906" s="1218"/>
      <c r="FP906" s="1218"/>
      <c r="FQ906" s="1218"/>
      <c r="FR906" s="1218"/>
      <c r="FS906" s="1218"/>
      <c r="FT906" s="1218"/>
      <c r="FU906" s="1218"/>
      <c r="FV906" s="1218"/>
      <c r="FW906" s="1218"/>
      <c r="FX906" s="1218"/>
      <c r="FY906" s="1218"/>
      <c r="FZ906" s="1218"/>
      <c r="GA906" s="1218"/>
      <c r="GB906" s="1218"/>
      <c r="GC906" s="1218"/>
      <c r="GD906" s="1218"/>
      <c r="GE906" s="1218"/>
      <c r="GF906" s="1218"/>
      <c r="GG906" s="1218"/>
      <c r="GH906" s="1218"/>
      <c r="GI906" s="1218"/>
      <c r="GJ906" s="1218"/>
      <c r="GK906" s="1218"/>
      <c r="GL906" s="1218"/>
      <c r="GM906" s="1218"/>
      <c r="GN906" s="1218"/>
      <c r="GO906" s="1218"/>
      <c r="GP906" s="1218"/>
      <c r="GQ906" s="1218"/>
      <c r="GR906" s="1218"/>
      <c r="GS906" s="1218"/>
      <c r="GT906" s="1218"/>
      <c r="GU906" s="1218"/>
      <c r="GV906" s="1218"/>
      <c r="GW906" s="1218"/>
      <c r="GX906" s="1218"/>
      <c r="GY906" s="1218"/>
      <c r="GZ906" s="1218"/>
      <c r="HA906" s="1218"/>
      <c r="HB906" s="1218"/>
      <c r="HC906" s="1218"/>
      <c r="HD906" s="1218"/>
      <c r="HE906" s="1218"/>
      <c r="HF906" s="1218"/>
      <c r="HG906" s="1218"/>
      <c r="HH906" s="1218"/>
      <c r="HI906" s="1218"/>
      <c r="HJ906" s="1218"/>
      <c r="HK906" s="1218"/>
      <c r="HL906" s="1218"/>
      <c r="HM906" s="1218"/>
      <c r="HN906" s="1218"/>
      <c r="HO906" s="1218"/>
      <c r="HP906" s="1218"/>
      <c r="HQ906" s="1218"/>
      <c r="HR906" s="1218"/>
      <c r="HS906" s="1218"/>
      <c r="HT906" s="1218"/>
      <c r="HU906" s="1218"/>
      <c r="HV906" s="1218"/>
      <c r="HW906" s="1218"/>
      <c r="HX906" s="1218"/>
      <c r="HY906" s="1218"/>
      <c r="HZ906" s="1218"/>
      <c r="IA906" s="1218"/>
      <c r="IB906" s="1218"/>
      <c r="IC906" s="1218"/>
      <c r="ID906" s="1218"/>
      <c r="IE906" s="1218"/>
      <c r="IF906" s="1218"/>
      <c r="IG906" s="1218"/>
      <c r="IH906" s="1218"/>
      <c r="II906" s="1218"/>
      <c r="IJ906" s="1218"/>
      <c r="IK906" s="1218"/>
      <c r="IL906" s="1218"/>
      <c r="IM906" s="1218"/>
      <c r="IN906" s="1218"/>
    </row>
    <row r="907" spans="1:248" s="1312" customFormat="1" ht="14.1" customHeight="1">
      <c r="A907" s="1318"/>
      <c r="B907" s="938"/>
      <c r="C907" s="193" t="s">
        <v>3044</v>
      </c>
      <c r="D907" s="1314"/>
      <c r="G907" s="1218"/>
      <c r="H907" s="1218"/>
      <c r="I907" s="1218"/>
      <c r="J907" s="1218"/>
      <c r="K907" s="1218"/>
      <c r="L907" s="1218"/>
      <c r="M907" s="1218"/>
      <c r="N907" s="1218"/>
      <c r="O907" s="1218"/>
      <c r="P907" s="1218"/>
      <c r="Q907" s="1218"/>
      <c r="R907" s="1218"/>
      <c r="S907" s="1218"/>
      <c r="T907" s="1218"/>
      <c r="U907" s="1218"/>
      <c r="V907" s="1218"/>
      <c r="W907" s="1218"/>
      <c r="X907" s="1218"/>
      <c r="Y907" s="1218"/>
      <c r="Z907" s="1218"/>
      <c r="AA907" s="1218"/>
      <c r="AB907" s="1218"/>
      <c r="AC907" s="1218"/>
      <c r="AD907" s="1218"/>
      <c r="AE907" s="1218"/>
      <c r="AF907" s="1218"/>
      <c r="AG907" s="1218"/>
      <c r="AH907" s="1218"/>
      <c r="AI907" s="1218"/>
      <c r="AJ907" s="1218"/>
      <c r="AK907" s="1218"/>
      <c r="AL907" s="1218"/>
      <c r="AM907" s="1218"/>
      <c r="AN907" s="1218"/>
      <c r="AO907" s="1218"/>
      <c r="AP907" s="1218"/>
      <c r="AQ907" s="1218"/>
      <c r="AR907" s="1218"/>
      <c r="AS907" s="1218"/>
      <c r="AT907" s="1218"/>
      <c r="AU907" s="1218"/>
      <c r="AV907" s="1218"/>
      <c r="AW907" s="1218"/>
      <c r="AX907" s="1218"/>
      <c r="AY907" s="1218"/>
      <c r="AZ907" s="1218"/>
      <c r="BA907" s="1218"/>
      <c r="BB907" s="1218"/>
      <c r="BC907" s="1218"/>
      <c r="BD907" s="1218"/>
      <c r="BE907" s="1218"/>
      <c r="BF907" s="1218"/>
      <c r="BG907" s="1218"/>
      <c r="BH907" s="1218"/>
      <c r="BI907" s="1218"/>
      <c r="BJ907" s="1218"/>
      <c r="BK907" s="1218"/>
      <c r="BL907" s="1218"/>
      <c r="BM907" s="1218"/>
      <c r="BN907" s="1218"/>
      <c r="BO907" s="1218"/>
      <c r="BP907" s="1218"/>
      <c r="BQ907" s="1218"/>
      <c r="BR907" s="1218"/>
      <c r="BS907" s="1218"/>
      <c r="BT907" s="1218"/>
      <c r="BU907" s="1218"/>
      <c r="BV907" s="1218"/>
      <c r="BW907" s="1218"/>
      <c r="BX907" s="1218"/>
      <c r="BY907" s="1218"/>
      <c r="BZ907" s="1218"/>
      <c r="CA907" s="1218"/>
      <c r="CB907" s="1218"/>
      <c r="CC907" s="1218"/>
      <c r="CD907" s="1218"/>
      <c r="CE907" s="1218"/>
      <c r="CF907" s="1218"/>
      <c r="CG907" s="1218"/>
      <c r="CH907" s="1218"/>
      <c r="CI907" s="1218"/>
      <c r="CJ907" s="1218"/>
      <c r="CK907" s="1218"/>
      <c r="CL907" s="1218"/>
      <c r="CM907" s="1218"/>
      <c r="CN907" s="1218"/>
      <c r="CO907" s="1218"/>
      <c r="CP907" s="1218"/>
      <c r="CQ907" s="1218"/>
      <c r="CR907" s="1218"/>
      <c r="CS907" s="1218"/>
      <c r="CT907" s="1218"/>
      <c r="CU907" s="1218"/>
      <c r="CV907" s="1218"/>
      <c r="CW907" s="1218"/>
      <c r="CX907" s="1218"/>
      <c r="CY907" s="1218"/>
      <c r="CZ907" s="1218"/>
      <c r="DA907" s="1218"/>
      <c r="DB907" s="1218"/>
      <c r="DC907" s="1218"/>
      <c r="DD907" s="1218"/>
      <c r="DE907" s="1218"/>
      <c r="DF907" s="1218"/>
      <c r="DG907" s="1218"/>
      <c r="DH907" s="1218"/>
      <c r="DI907" s="1218"/>
      <c r="DJ907" s="1218"/>
      <c r="DK907" s="1218"/>
      <c r="DL907" s="1218"/>
      <c r="DM907" s="1218"/>
      <c r="DN907" s="1218"/>
      <c r="DO907" s="1218"/>
      <c r="DP907" s="1218"/>
      <c r="DQ907" s="1218"/>
      <c r="DR907" s="1218"/>
      <c r="DS907" s="1218"/>
      <c r="DT907" s="1218"/>
      <c r="DU907" s="1218"/>
      <c r="DV907" s="1218"/>
      <c r="DW907" s="1218"/>
      <c r="DX907" s="1218"/>
      <c r="DY907" s="1218"/>
      <c r="DZ907" s="1218"/>
      <c r="EA907" s="1218"/>
      <c r="EB907" s="1218"/>
      <c r="EC907" s="1218"/>
      <c r="ED907" s="1218"/>
      <c r="EE907" s="1218"/>
      <c r="EF907" s="1218"/>
      <c r="EG907" s="1218"/>
      <c r="EH907" s="1218"/>
      <c r="EI907" s="1218"/>
      <c r="EJ907" s="1218"/>
      <c r="EK907" s="1218"/>
      <c r="EL907" s="1218"/>
      <c r="EM907" s="1218"/>
      <c r="EN907" s="1218"/>
      <c r="EO907" s="1218"/>
      <c r="EP907" s="1218"/>
      <c r="EQ907" s="1218"/>
      <c r="ER907" s="1218"/>
      <c r="ES907" s="1218"/>
      <c r="ET907" s="1218"/>
      <c r="EU907" s="1218"/>
      <c r="EV907" s="1218"/>
      <c r="EW907" s="1218"/>
      <c r="EX907" s="1218"/>
      <c r="EY907" s="1218"/>
      <c r="EZ907" s="1218"/>
      <c r="FA907" s="1218"/>
      <c r="FB907" s="1218"/>
      <c r="FC907" s="1218"/>
      <c r="FD907" s="1218"/>
      <c r="FE907" s="1218"/>
      <c r="FF907" s="1218"/>
      <c r="FG907" s="1218"/>
      <c r="FH907" s="1218"/>
      <c r="FI907" s="1218"/>
      <c r="FJ907" s="1218"/>
      <c r="FK907" s="1218"/>
      <c r="FL907" s="1218"/>
      <c r="FM907" s="1218"/>
      <c r="FN907" s="1218"/>
      <c r="FO907" s="1218"/>
      <c r="FP907" s="1218"/>
      <c r="FQ907" s="1218"/>
      <c r="FR907" s="1218"/>
      <c r="FS907" s="1218"/>
      <c r="FT907" s="1218"/>
      <c r="FU907" s="1218"/>
      <c r="FV907" s="1218"/>
      <c r="FW907" s="1218"/>
      <c r="FX907" s="1218"/>
      <c r="FY907" s="1218"/>
      <c r="FZ907" s="1218"/>
      <c r="GA907" s="1218"/>
      <c r="GB907" s="1218"/>
      <c r="GC907" s="1218"/>
      <c r="GD907" s="1218"/>
      <c r="GE907" s="1218"/>
      <c r="GF907" s="1218"/>
      <c r="GG907" s="1218"/>
      <c r="GH907" s="1218"/>
      <c r="GI907" s="1218"/>
      <c r="GJ907" s="1218"/>
      <c r="GK907" s="1218"/>
      <c r="GL907" s="1218"/>
      <c r="GM907" s="1218"/>
      <c r="GN907" s="1218"/>
      <c r="GO907" s="1218"/>
      <c r="GP907" s="1218"/>
      <c r="GQ907" s="1218"/>
      <c r="GR907" s="1218"/>
      <c r="GS907" s="1218"/>
      <c r="GT907" s="1218"/>
      <c r="GU907" s="1218"/>
      <c r="GV907" s="1218"/>
      <c r="GW907" s="1218"/>
      <c r="GX907" s="1218"/>
      <c r="GY907" s="1218"/>
      <c r="GZ907" s="1218"/>
      <c r="HA907" s="1218"/>
      <c r="HB907" s="1218"/>
      <c r="HC907" s="1218"/>
      <c r="HD907" s="1218"/>
      <c r="HE907" s="1218"/>
      <c r="HF907" s="1218"/>
      <c r="HG907" s="1218"/>
      <c r="HH907" s="1218"/>
      <c r="HI907" s="1218"/>
      <c r="HJ907" s="1218"/>
      <c r="HK907" s="1218"/>
      <c r="HL907" s="1218"/>
      <c r="HM907" s="1218"/>
      <c r="HN907" s="1218"/>
      <c r="HO907" s="1218"/>
      <c r="HP907" s="1218"/>
      <c r="HQ907" s="1218"/>
      <c r="HR907" s="1218"/>
      <c r="HS907" s="1218"/>
      <c r="HT907" s="1218"/>
      <c r="HU907" s="1218"/>
      <c r="HV907" s="1218"/>
      <c r="HW907" s="1218"/>
      <c r="HX907" s="1218"/>
      <c r="HY907" s="1218"/>
      <c r="HZ907" s="1218"/>
      <c r="IA907" s="1218"/>
      <c r="IB907" s="1218"/>
      <c r="IC907" s="1218"/>
      <c r="ID907" s="1218"/>
      <c r="IE907" s="1218"/>
      <c r="IF907" s="1218"/>
      <c r="IG907" s="1218"/>
      <c r="IH907" s="1218"/>
      <c r="II907" s="1218"/>
      <c r="IJ907" s="1218"/>
      <c r="IK907" s="1218"/>
      <c r="IL907" s="1218"/>
      <c r="IM907" s="1218"/>
      <c r="IN907" s="1218"/>
    </row>
    <row r="908" spans="1:248" s="1312" customFormat="1" ht="14.1" customHeight="1">
      <c r="A908" s="1318"/>
      <c r="B908" s="909"/>
      <c r="C908" s="193" t="s">
        <v>3045</v>
      </c>
      <c r="D908" s="1314"/>
      <c r="G908" s="1218"/>
      <c r="H908" s="1218"/>
      <c r="I908" s="1218"/>
      <c r="J908" s="1218"/>
      <c r="K908" s="1218"/>
      <c r="L908" s="1218"/>
      <c r="M908" s="1218"/>
      <c r="N908" s="1218"/>
      <c r="O908" s="1218"/>
      <c r="P908" s="1218"/>
      <c r="Q908" s="1218"/>
      <c r="R908" s="1218"/>
      <c r="S908" s="1218"/>
      <c r="T908" s="1218"/>
      <c r="U908" s="1218"/>
      <c r="V908" s="1218"/>
      <c r="W908" s="1218"/>
      <c r="X908" s="1218"/>
      <c r="Y908" s="1218"/>
      <c r="Z908" s="1218"/>
      <c r="AA908" s="1218"/>
      <c r="AB908" s="1218"/>
      <c r="AC908" s="1218"/>
      <c r="AD908" s="1218"/>
      <c r="AE908" s="1218"/>
      <c r="AF908" s="1218"/>
      <c r="AG908" s="1218"/>
      <c r="AH908" s="1218"/>
      <c r="AI908" s="1218"/>
      <c r="AJ908" s="1218"/>
      <c r="AK908" s="1218"/>
      <c r="AL908" s="1218"/>
      <c r="AM908" s="1218"/>
      <c r="AN908" s="1218"/>
      <c r="AO908" s="1218"/>
      <c r="AP908" s="1218"/>
      <c r="AQ908" s="1218"/>
      <c r="AR908" s="1218"/>
      <c r="AS908" s="1218"/>
      <c r="AT908" s="1218"/>
      <c r="AU908" s="1218"/>
      <c r="AV908" s="1218"/>
      <c r="AW908" s="1218"/>
      <c r="AX908" s="1218"/>
      <c r="AY908" s="1218"/>
      <c r="AZ908" s="1218"/>
      <c r="BA908" s="1218"/>
      <c r="BB908" s="1218"/>
      <c r="BC908" s="1218"/>
      <c r="BD908" s="1218"/>
      <c r="BE908" s="1218"/>
      <c r="BF908" s="1218"/>
      <c r="BG908" s="1218"/>
      <c r="BH908" s="1218"/>
      <c r="BI908" s="1218"/>
      <c r="BJ908" s="1218"/>
      <c r="BK908" s="1218"/>
      <c r="BL908" s="1218"/>
      <c r="BM908" s="1218"/>
      <c r="BN908" s="1218"/>
      <c r="BO908" s="1218"/>
      <c r="BP908" s="1218"/>
      <c r="BQ908" s="1218"/>
      <c r="BR908" s="1218"/>
      <c r="BS908" s="1218"/>
      <c r="BT908" s="1218"/>
      <c r="BU908" s="1218"/>
      <c r="BV908" s="1218"/>
      <c r="BW908" s="1218"/>
      <c r="BX908" s="1218"/>
      <c r="BY908" s="1218"/>
      <c r="BZ908" s="1218"/>
      <c r="CA908" s="1218"/>
      <c r="CB908" s="1218"/>
      <c r="CC908" s="1218"/>
      <c r="CD908" s="1218"/>
      <c r="CE908" s="1218"/>
      <c r="CF908" s="1218"/>
      <c r="CG908" s="1218"/>
      <c r="CH908" s="1218"/>
      <c r="CI908" s="1218"/>
      <c r="CJ908" s="1218"/>
      <c r="CK908" s="1218"/>
      <c r="CL908" s="1218"/>
      <c r="CM908" s="1218"/>
      <c r="CN908" s="1218"/>
      <c r="CO908" s="1218"/>
      <c r="CP908" s="1218"/>
      <c r="CQ908" s="1218"/>
      <c r="CR908" s="1218"/>
      <c r="CS908" s="1218"/>
      <c r="CT908" s="1218"/>
      <c r="CU908" s="1218"/>
      <c r="CV908" s="1218"/>
      <c r="CW908" s="1218"/>
      <c r="CX908" s="1218"/>
      <c r="CY908" s="1218"/>
      <c r="CZ908" s="1218"/>
      <c r="DA908" s="1218"/>
      <c r="DB908" s="1218"/>
      <c r="DC908" s="1218"/>
      <c r="DD908" s="1218"/>
      <c r="DE908" s="1218"/>
      <c r="DF908" s="1218"/>
      <c r="DG908" s="1218"/>
      <c r="DH908" s="1218"/>
      <c r="DI908" s="1218"/>
      <c r="DJ908" s="1218"/>
      <c r="DK908" s="1218"/>
      <c r="DL908" s="1218"/>
      <c r="DM908" s="1218"/>
      <c r="DN908" s="1218"/>
      <c r="DO908" s="1218"/>
      <c r="DP908" s="1218"/>
      <c r="DQ908" s="1218"/>
      <c r="DR908" s="1218"/>
      <c r="DS908" s="1218"/>
      <c r="DT908" s="1218"/>
      <c r="DU908" s="1218"/>
      <c r="DV908" s="1218"/>
      <c r="DW908" s="1218"/>
      <c r="DX908" s="1218"/>
      <c r="DY908" s="1218"/>
      <c r="DZ908" s="1218"/>
      <c r="EA908" s="1218"/>
      <c r="EB908" s="1218"/>
      <c r="EC908" s="1218"/>
      <c r="ED908" s="1218"/>
      <c r="EE908" s="1218"/>
      <c r="EF908" s="1218"/>
      <c r="EG908" s="1218"/>
      <c r="EH908" s="1218"/>
      <c r="EI908" s="1218"/>
      <c r="EJ908" s="1218"/>
      <c r="EK908" s="1218"/>
      <c r="EL908" s="1218"/>
      <c r="EM908" s="1218"/>
      <c r="EN908" s="1218"/>
      <c r="EO908" s="1218"/>
      <c r="EP908" s="1218"/>
      <c r="EQ908" s="1218"/>
      <c r="ER908" s="1218"/>
      <c r="ES908" s="1218"/>
      <c r="ET908" s="1218"/>
      <c r="EU908" s="1218"/>
      <c r="EV908" s="1218"/>
      <c r="EW908" s="1218"/>
      <c r="EX908" s="1218"/>
      <c r="EY908" s="1218"/>
      <c r="EZ908" s="1218"/>
      <c r="FA908" s="1218"/>
      <c r="FB908" s="1218"/>
      <c r="FC908" s="1218"/>
      <c r="FD908" s="1218"/>
      <c r="FE908" s="1218"/>
      <c r="FF908" s="1218"/>
      <c r="FG908" s="1218"/>
      <c r="FH908" s="1218"/>
      <c r="FI908" s="1218"/>
      <c r="FJ908" s="1218"/>
      <c r="FK908" s="1218"/>
      <c r="FL908" s="1218"/>
      <c r="FM908" s="1218"/>
      <c r="FN908" s="1218"/>
      <c r="FO908" s="1218"/>
      <c r="FP908" s="1218"/>
      <c r="FQ908" s="1218"/>
      <c r="FR908" s="1218"/>
      <c r="FS908" s="1218"/>
      <c r="FT908" s="1218"/>
      <c r="FU908" s="1218"/>
      <c r="FV908" s="1218"/>
      <c r="FW908" s="1218"/>
      <c r="FX908" s="1218"/>
      <c r="FY908" s="1218"/>
      <c r="FZ908" s="1218"/>
      <c r="GA908" s="1218"/>
      <c r="GB908" s="1218"/>
      <c r="GC908" s="1218"/>
      <c r="GD908" s="1218"/>
      <c r="GE908" s="1218"/>
      <c r="GF908" s="1218"/>
      <c r="GG908" s="1218"/>
      <c r="GH908" s="1218"/>
      <c r="GI908" s="1218"/>
      <c r="GJ908" s="1218"/>
      <c r="GK908" s="1218"/>
      <c r="GL908" s="1218"/>
      <c r="GM908" s="1218"/>
      <c r="GN908" s="1218"/>
      <c r="GO908" s="1218"/>
      <c r="GP908" s="1218"/>
      <c r="GQ908" s="1218"/>
      <c r="GR908" s="1218"/>
      <c r="GS908" s="1218"/>
      <c r="GT908" s="1218"/>
      <c r="GU908" s="1218"/>
      <c r="GV908" s="1218"/>
      <c r="GW908" s="1218"/>
      <c r="GX908" s="1218"/>
      <c r="GY908" s="1218"/>
      <c r="GZ908" s="1218"/>
      <c r="HA908" s="1218"/>
      <c r="HB908" s="1218"/>
      <c r="HC908" s="1218"/>
      <c r="HD908" s="1218"/>
      <c r="HE908" s="1218"/>
      <c r="HF908" s="1218"/>
      <c r="HG908" s="1218"/>
      <c r="HH908" s="1218"/>
      <c r="HI908" s="1218"/>
      <c r="HJ908" s="1218"/>
      <c r="HK908" s="1218"/>
      <c r="HL908" s="1218"/>
      <c r="HM908" s="1218"/>
      <c r="HN908" s="1218"/>
      <c r="HO908" s="1218"/>
      <c r="HP908" s="1218"/>
      <c r="HQ908" s="1218"/>
      <c r="HR908" s="1218"/>
      <c r="HS908" s="1218"/>
      <c r="HT908" s="1218"/>
      <c r="HU908" s="1218"/>
      <c r="HV908" s="1218"/>
      <c r="HW908" s="1218"/>
      <c r="HX908" s="1218"/>
      <c r="HY908" s="1218"/>
      <c r="HZ908" s="1218"/>
      <c r="IA908" s="1218"/>
      <c r="IB908" s="1218"/>
      <c r="IC908" s="1218"/>
      <c r="ID908" s="1218"/>
      <c r="IE908" s="1218"/>
      <c r="IF908" s="1218"/>
      <c r="IG908" s="1218"/>
      <c r="IH908" s="1218"/>
      <c r="II908" s="1218"/>
      <c r="IJ908" s="1218"/>
      <c r="IK908" s="1218"/>
      <c r="IL908" s="1218"/>
      <c r="IM908" s="1218"/>
      <c r="IN908" s="1218"/>
    </row>
    <row r="909" spans="1:248" s="1312" customFormat="1" ht="14.1" customHeight="1">
      <c r="A909" s="434"/>
      <c r="B909" s="1160"/>
      <c r="C909" s="193"/>
      <c r="D909" s="841"/>
      <c r="G909" s="1218"/>
      <c r="H909" s="1218"/>
      <c r="I909" s="1218"/>
      <c r="J909" s="1218"/>
      <c r="K909" s="1218"/>
      <c r="L909" s="1218"/>
      <c r="M909" s="1218"/>
      <c r="N909" s="1218"/>
      <c r="O909" s="1218"/>
      <c r="P909" s="1218"/>
      <c r="Q909" s="1218"/>
      <c r="R909" s="1218"/>
      <c r="S909" s="1218"/>
      <c r="T909" s="1218"/>
      <c r="U909" s="1218"/>
      <c r="V909" s="1218"/>
      <c r="W909" s="1218"/>
      <c r="X909" s="1218"/>
      <c r="Y909" s="1218"/>
      <c r="Z909" s="1218"/>
      <c r="AA909" s="1218"/>
      <c r="AB909" s="1218"/>
      <c r="AC909" s="1218"/>
      <c r="AD909" s="1218"/>
      <c r="AE909" s="1218"/>
      <c r="AF909" s="1218"/>
      <c r="AG909" s="1218"/>
      <c r="AH909" s="1218"/>
      <c r="AI909" s="1218"/>
      <c r="AJ909" s="1218"/>
      <c r="AK909" s="1218"/>
      <c r="AL909" s="1218"/>
      <c r="AM909" s="1218"/>
      <c r="AN909" s="1218"/>
      <c r="AO909" s="1218"/>
      <c r="AP909" s="1218"/>
      <c r="AQ909" s="1218"/>
      <c r="AR909" s="1218"/>
      <c r="AS909" s="1218"/>
      <c r="AT909" s="1218"/>
      <c r="AU909" s="1218"/>
      <c r="AV909" s="1218"/>
      <c r="AW909" s="1218"/>
      <c r="AX909" s="1218"/>
      <c r="AY909" s="1218"/>
      <c r="AZ909" s="1218"/>
      <c r="BA909" s="1218"/>
      <c r="BB909" s="1218"/>
      <c r="BC909" s="1218"/>
      <c r="BD909" s="1218"/>
      <c r="BE909" s="1218"/>
      <c r="BF909" s="1218"/>
      <c r="BG909" s="1218"/>
      <c r="BH909" s="1218"/>
      <c r="BI909" s="1218"/>
      <c r="BJ909" s="1218"/>
      <c r="BK909" s="1218"/>
      <c r="BL909" s="1218"/>
      <c r="BM909" s="1218"/>
      <c r="BN909" s="1218"/>
      <c r="BO909" s="1218"/>
      <c r="BP909" s="1218"/>
      <c r="BQ909" s="1218"/>
      <c r="BR909" s="1218"/>
      <c r="BS909" s="1218"/>
      <c r="BT909" s="1218"/>
      <c r="BU909" s="1218"/>
      <c r="BV909" s="1218"/>
      <c r="BW909" s="1218"/>
      <c r="BX909" s="1218"/>
      <c r="BY909" s="1218"/>
      <c r="BZ909" s="1218"/>
      <c r="CA909" s="1218"/>
      <c r="CB909" s="1218"/>
      <c r="CC909" s="1218"/>
      <c r="CD909" s="1218"/>
      <c r="CE909" s="1218"/>
      <c r="CF909" s="1218"/>
      <c r="CG909" s="1218"/>
      <c r="CH909" s="1218"/>
      <c r="CI909" s="1218"/>
      <c r="CJ909" s="1218"/>
      <c r="CK909" s="1218"/>
      <c r="CL909" s="1218"/>
      <c r="CM909" s="1218"/>
      <c r="CN909" s="1218"/>
      <c r="CO909" s="1218"/>
      <c r="CP909" s="1218"/>
      <c r="CQ909" s="1218"/>
      <c r="CR909" s="1218"/>
      <c r="CS909" s="1218"/>
      <c r="CT909" s="1218"/>
      <c r="CU909" s="1218"/>
      <c r="CV909" s="1218"/>
      <c r="CW909" s="1218"/>
      <c r="CX909" s="1218"/>
      <c r="CY909" s="1218"/>
      <c r="CZ909" s="1218"/>
      <c r="DA909" s="1218"/>
      <c r="DB909" s="1218"/>
      <c r="DC909" s="1218"/>
      <c r="DD909" s="1218"/>
      <c r="DE909" s="1218"/>
      <c r="DF909" s="1218"/>
      <c r="DG909" s="1218"/>
      <c r="DH909" s="1218"/>
      <c r="DI909" s="1218"/>
      <c r="DJ909" s="1218"/>
      <c r="DK909" s="1218"/>
      <c r="DL909" s="1218"/>
      <c r="DM909" s="1218"/>
      <c r="DN909" s="1218"/>
      <c r="DO909" s="1218"/>
      <c r="DP909" s="1218"/>
      <c r="DQ909" s="1218"/>
      <c r="DR909" s="1218"/>
      <c r="DS909" s="1218"/>
      <c r="DT909" s="1218"/>
      <c r="DU909" s="1218"/>
      <c r="DV909" s="1218"/>
      <c r="DW909" s="1218"/>
      <c r="DX909" s="1218"/>
      <c r="DY909" s="1218"/>
      <c r="DZ909" s="1218"/>
      <c r="EA909" s="1218"/>
      <c r="EB909" s="1218"/>
      <c r="EC909" s="1218"/>
      <c r="ED909" s="1218"/>
      <c r="EE909" s="1218"/>
      <c r="EF909" s="1218"/>
      <c r="EG909" s="1218"/>
      <c r="EH909" s="1218"/>
      <c r="EI909" s="1218"/>
      <c r="EJ909" s="1218"/>
      <c r="EK909" s="1218"/>
      <c r="EL909" s="1218"/>
      <c r="EM909" s="1218"/>
      <c r="EN909" s="1218"/>
      <c r="EO909" s="1218"/>
      <c r="EP909" s="1218"/>
      <c r="EQ909" s="1218"/>
      <c r="ER909" s="1218"/>
      <c r="ES909" s="1218"/>
      <c r="ET909" s="1218"/>
      <c r="EU909" s="1218"/>
      <c r="EV909" s="1218"/>
      <c r="EW909" s="1218"/>
      <c r="EX909" s="1218"/>
      <c r="EY909" s="1218"/>
      <c r="EZ909" s="1218"/>
      <c r="FA909" s="1218"/>
      <c r="FB909" s="1218"/>
      <c r="FC909" s="1218"/>
      <c r="FD909" s="1218"/>
      <c r="FE909" s="1218"/>
      <c r="FF909" s="1218"/>
      <c r="FG909" s="1218"/>
      <c r="FH909" s="1218"/>
      <c r="FI909" s="1218"/>
      <c r="FJ909" s="1218"/>
      <c r="FK909" s="1218"/>
      <c r="FL909" s="1218"/>
      <c r="FM909" s="1218"/>
      <c r="FN909" s="1218"/>
      <c r="FO909" s="1218"/>
      <c r="FP909" s="1218"/>
      <c r="FQ909" s="1218"/>
      <c r="FR909" s="1218"/>
      <c r="FS909" s="1218"/>
      <c r="FT909" s="1218"/>
      <c r="FU909" s="1218"/>
      <c r="FV909" s="1218"/>
      <c r="FW909" s="1218"/>
      <c r="FX909" s="1218"/>
      <c r="FY909" s="1218"/>
      <c r="FZ909" s="1218"/>
      <c r="GA909" s="1218"/>
      <c r="GB909" s="1218"/>
      <c r="GC909" s="1218"/>
      <c r="GD909" s="1218"/>
      <c r="GE909" s="1218"/>
      <c r="GF909" s="1218"/>
      <c r="GG909" s="1218"/>
      <c r="GH909" s="1218"/>
      <c r="GI909" s="1218"/>
      <c r="GJ909" s="1218"/>
      <c r="GK909" s="1218"/>
      <c r="GL909" s="1218"/>
      <c r="GM909" s="1218"/>
      <c r="GN909" s="1218"/>
      <c r="GO909" s="1218"/>
      <c r="GP909" s="1218"/>
      <c r="GQ909" s="1218"/>
      <c r="GR909" s="1218"/>
      <c r="GS909" s="1218"/>
      <c r="GT909" s="1218"/>
      <c r="GU909" s="1218"/>
      <c r="GV909" s="1218"/>
      <c r="GW909" s="1218"/>
      <c r="GX909" s="1218"/>
      <c r="GY909" s="1218"/>
      <c r="GZ909" s="1218"/>
      <c r="HA909" s="1218"/>
      <c r="HB909" s="1218"/>
      <c r="HC909" s="1218"/>
      <c r="HD909" s="1218"/>
      <c r="HE909" s="1218"/>
      <c r="HF909" s="1218"/>
      <c r="HG909" s="1218"/>
      <c r="HH909" s="1218"/>
      <c r="HI909" s="1218"/>
      <c r="HJ909" s="1218"/>
      <c r="HK909" s="1218"/>
      <c r="HL909" s="1218"/>
      <c r="HM909" s="1218"/>
      <c r="HN909" s="1218"/>
      <c r="HO909" s="1218"/>
      <c r="HP909" s="1218"/>
      <c r="HQ909" s="1218"/>
      <c r="HR909" s="1218"/>
      <c r="HS909" s="1218"/>
      <c r="HT909" s="1218"/>
      <c r="HU909" s="1218"/>
      <c r="HV909" s="1218"/>
      <c r="HW909" s="1218"/>
      <c r="HX909" s="1218"/>
      <c r="HY909" s="1218"/>
      <c r="HZ909" s="1218"/>
      <c r="IA909" s="1218"/>
      <c r="IB909" s="1218"/>
      <c r="IC909" s="1218"/>
      <c r="ID909" s="1218"/>
      <c r="IE909" s="1218"/>
      <c r="IF909" s="1218"/>
      <c r="IG909" s="1218"/>
      <c r="IH909" s="1218"/>
      <c r="II909" s="1218"/>
      <c r="IJ909" s="1218"/>
      <c r="IK909" s="1218"/>
      <c r="IL909" s="1218"/>
      <c r="IM909" s="1218"/>
      <c r="IN909" s="1218"/>
    </row>
    <row r="910" spans="1:248" s="1312" customFormat="1" ht="14.1" customHeight="1">
      <c r="A910" s="760"/>
      <c r="B910" s="1160" t="s">
        <v>4172</v>
      </c>
      <c r="C910" s="193" t="s">
        <v>3538</v>
      </c>
      <c r="G910" s="1218"/>
      <c r="H910" s="1218"/>
      <c r="I910" s="1218"/>
      <c r="J910" s="1218"/>
      <c r="K910" s="1218"/>
      <c r="L910" s="1218"/>
      <c r="M910" s="1218"/>
      <c r="N910" s="1218"/>
      <c r="O910" s="1218"/>
      <c r="P910" s="1218"/>
      <c r="Q910" s="1218"/>
      <c r="R910" s="1218"/>
      <c r="S910" s="1218"/>
      <c r="T910" s="1218"/>
      <c r="U910" s="1218"/>
      <c r="V910" s="1218"/>
      <c r="W910" s="1218"/>
      <c r="X910" s="1218"/>
      <c r="Y910" s="1218"/>
      <c r="Z910" s="1218"/>
      <c r="AA910" s="1218"/>
      <c r="AB910" s="1218"/>
      <c r="AC910" s="1218"/>
      <c r="AD910" s="1218"/>
      <c r="AE910" s="1218"/>
      <c r="AF910" s="1218"/>
      <c r="AG910" s="1218"/>
      <c r="AH910" s="1218"/>
      <c r="AI910" s="1218"/>
      <c r="AJ910" s="1218"/>
      <c r="AK910" s="1218"/>
      <c r="AL910" s="1218"/>
      <c r="AM910" s="1218"/>
      <c r="AN910" s="1218"/>
      <c r="AO910" s="1218"/>
      <c r="AP910" s="1218"/>
      <c r="AQ910" s="1218"/>
      <c r="AR910" s="1218"/>
      <c r="AS910" s="1218"/>
      <c r="AT910" s="1218"/>
      <c r="AU910" s="1218"/>
      <c r="AV910" s="1218"/>
      <c r="AW910" s="1218"/>
      <c r="AX910" s="1218"/>
      <c r="AY910" s="1218"/>
      <c r="AZ910" s="1218"/>
      <c r="BA910" s="1218"/>
      <c r="BB910" s="1218"/>
      <c r="BC910" s="1218"/>
      <c r="BD910" s="1218"/>
      <c r="BE910" s="1218"/>
      <c r="BF910" s="1218"/>
      <c r="BG910" s="1218"/>
      <c r="BH910" s="1218"/>
      <c r="BI910" s="1218"/>
      <c r="BJ910" s="1218"/>
      <c r="BK910" s="1218"/>
      <c r="BL910" s="1218"/>
      <c r="BM910" s="1218"/>
      <c r="BN910" s="1218"/>
      <c r="BO910" s="1218"/>
      <c r="BP910" s="1218"/>
      <c r="BQ910" s="1218"/>
      <c r="BR910" s="1218"/>
      <c r="BS910" s="1218"/>
      <c r="BT910" s="1218"/>
      <c r="BU910" s="1218"/>
      <c r="BV910" s="1218"/>
      <c r="BW910" s="1218"/>
      <c r="BX910" s="1218"/>
      <c r="BY910" s="1218"/>
      <c r="BZ910" s="1218"/>
      <c r="CA910" s="1218"/>
      <c r="CB910" s="1218"/>
      <c r="CC910" s="1218"/>
      <c r="CD910" s="1218"/>
      <c r="CE910" s="1218"/>
      <c r="CF910" s="1218"/>
      <c r="CG910" s="1218"/>
      <c r="CH910" s="1218"/>
      <c r="CI910" s="1218"/>
      <c r="CJ910" s="1218"/>
      <c r="CK910" s="1218"/>
      <c r="CL910" s="1218"/>
      <c r="CM910" s="1218"/>
      <c r="CN910" s="1218"/>
      <c r="CO910" s="1218"/>
      <c r="CP910" s="1218"/>
      <c r="CQ910" s="1218"/>
      <c r="CR910" s="1218"/>
      <c r="CS910" s="1218"/>
      <c r="CT910" s="1218"/>
      <c r="CU910" s="1218"/>
      <c r="CV910" s="1218"/>
      <c r="CW910" s="1218"/>
      <c r="CX910" s="1218"/>
      <c r="CY910" s="1218"/>
      <c r="CZ910" s="1218"/>
      <c r="DA910" s="1218"/>
      <c r="DB910" s="1218"/>
      <c r="DC910" s="1218"/>
      <c r="DD910" s="1218"/>
      <c r="DE910" s="1218"/>
      <c r="DF910" s="1218"/>
      <c r="DG910" s="1218"/>
      <c r="DH910" s="1218"/>
      <c r="DI910" s="1218"/>
      <c r="DJ910" s="1218"/>
      <c r="DK910" s="1218"/>
      <c r="DL910" s="1218"/>
      <c r="DM910" s="1218"/>
      <c r="DN910" s="1218"/>
      <c r="DO910" s="1218"/>
      <c r="DP910" s="1218"/>
      <c r="DQ910" s="1218"/>
      <c r="DR910" s="1218"/>
      <c r="DS910" s="1218"/>
      <c r="DT910" s="1218"/>
      <c r="DU910" s="1218"/>
      <c r="DV910" s="1218"/>
      <c r="DW910" s="1218"/>
      <c r="DX910" s="1218"/>
      <c r="DY910" s="1218"/>
      <c r="DZ910" s="1218"/>
      <c r="EA910" s="1218"/>
      <c r="EB910" s="1218"/>
      <c r="EC910" s="1218"/>
      <c r="ED910" s="1218"/>
      <c r="EE910" s="1218"/>
      <c r="EF910" s="1218"/>
      <c r="EG910" s="1218"/>
      <c r="EH910" s="1218"/>
      <c r="EI910" s="1218"/>
      <c r="EJ910" s="1218"/>
      <c r="EK910" s="1218"/>
      <c r="EL910" s="1218"/>
      <c r="EM910" s="1218"/>
      <c r="EN910" s="1218"/>
      <c r="EO910" s="1218"/>
      <c r="EP910" s="1218"/>
      <c r="EQ910" s="1218"/>
      <c r="ER910" s="1218"/>
      <c r="ES910" s="1218"/>
      <c r="ET910" s="1218"/>
      <c r="EU910" s="1218"/>
      <c r="EV910" s="1218"/>
      <c r="EW910" s="1218"/>
      <c r="EX910" s="1218"/>
      <c r="EY910" s="1218"/>
      <c r="EZ910" s="1218"/>
      <c r="FA910" s="1218"/>
      <c r="FB910" s="1218"/>
      <c r="FC910" s="1218"/>
      <c r="FD910" s="1218"/>
      <c r="FE910" s="1218"/>
      <c r="FF910" s="1218"/>
      <c r="FG910" s="1218"/>
      <c r="FH910" s="1218"/>
      <c r="FI910" s="1218"/>
      <c r="FJ910" s="1218"/>
      <c r="FK910" s="1218"/>
      <c r="FL910" s="1218"/>
      <c r="FM910" s="1218"/>
      <c r="FN910" s="1218"/>
      <c r="FO910" s="1218"/>
      <c r="FP910" s="1218"/>
      <c r="FQ910" s="1218"/>
      <c r="FR910" s="1218"/>
      <c r="FS910" s="1218"/>
      <c r="FT910" s="1218"/>
      <c r="FU910" s="1218"/>
      <c r="FV910" s="1218"/>
      <c r="FW910" s="1218"/>
      <c r="FX910" s="1218"/>
      <c r="FY910" s="1218"/>
      <c r="FZ910" s="1218"/>
      <c r="GA910" s="1218"/>
      <c r="GB910" s="1218"/>
      <c r="GC910" s="1218"/>
      <c r="GD910" s="1218"/>
      <c r="GE910" s="1218"/>
      <c r="GF910" s="1218"/>
      <c r="GG910" s="1218"/>
      <c r="GH910" s="1218"/>
      <c r="GI910" s="1218"/>
      <c r="GJ910" s="1218"/>
      <c r="GK910" s="1218"/>
      <c r="GL910" s="1218"/>
      <c r="GM910" s="1218"/>
      <c r="GN910" s="1218"/>
      <c r="GO910" s="1218"/>
      <c r="GP910" s="1218"/>
      <c r="GQ910" s="1218"/>
      <c r="GR910" s="1218"/>
      <c r="GS910" s="1218"/>
      <c r="GT910" s="1218"/>
      <c r="GU910" s="1218"/>
      <c r="GV910" s="1218"/>
      <c r="GW910" s="1218"/>
      <c r="GX910" s="1218"/>
      <c r="GY910" s="1218"/>
      <c r="GZ910" s="1218"/>
      <c r="HA910" s="1218"/>
      <c r="HB910" s="1218"/>
      <c r="HC910" s="1218"/>
      <c r="HD910" s="1218"/>
      <c r="HE910" s="1218"/>
      <c r="HF910" s="1218"/>
      <c r="HG910" s="1218"/>
      <c r="HH910" s="1218"/>
      <c r="HI910" s="1218"/>
      <c r="HJ910" s="1218"/>
      <c r="HK910" s="1218"/>
      <c r="HL910" s="1218"/>
      <c r="HM910" s="1218"/>
      <c r="HN910" s="1218"/>
      <c r="HO910" s="1218"/>
      <c r="HP910" s="1218"/>
      <c r="HQ910" s="1218"/>
      <c r="HR910" s="1218"/>
      <c r="HS910" s="1218"/>
      <c r="HT910" s="1218"/>
      <c r="HU910" s="1218"/>
      <c r="HV910" s="1218"/>
      <c r="HW910" s="1218"/>
      <c r="HX910" s="1218"/>
      <c r="HY910" s="1218"/>
      <c r="HZ910" s="1218"/>
      <c r="IA910" s="1218"/>
      <c r="IB910" s="1218"/>
      <c r="IC910" s="1218"/>
      <c r="ID910" s="1218"/>
      <c r="IE910" s="1218"/>
      <c r="IF910" s="1218"/>
      <c r="IG910" s="1218"/>
      <c r="IH910" s="1218"/>
      <c r="II910" s="1218"/>
      <c r="IJ910" s="1218"/>
      <c r="IK910" s="1218"/>
      <c r="IL910" s="1218"/>
      <c r="IM910" s="1218"/>
      <c r="IN910" s="1218"/>
    </row>
    <row r="911" spans="1:248" s="1312" customFormat="1" ht="14.1" customHeight="1">
      <c r="A911" s="1327"/>
      <c r="B911" s="1313"/>
      <c r="C911" s="193" t="s">
        <v>3539</v>
      </c>
      <c r="G911" s="1218"/>
      <c r="H911" s="1218"/>
      <c r="I911" s="1218"/>
      <c r="J911" s="1218"/>
      <c r="K911" s="1218"/>
      <c r="L911" s="1218"/>
      <c r="M911" s="1218"/>
      <c r="N911" s="1218"/>
      <c r="O911" s="1218"/>
      <c r="P911" s="1218"/>
      <c r="Q911" s="1218"/>
      <c r="R911" s="1218"/>
      <c r="S911" s="1218"/>
      <c r="T911" s="1218"/>
      <c r="U911" s="1218"/>
      <c r="V911" s="1218"/>
      <c r="W911" s="1218"/>
      <c r="X911" s="1218"/>
      <c r="Y911" s="1218"/>
      <c r="Z911" s="1218"/>
      <c r="AA911" s="1218"/>
      <c r="AB911" s="1218"/>
      <c r="AC911" s="1218"/>
      <c r="AD911" s="1218"/>
      <c r="AE911" s="1218"/>
      <c r="AF911" s="1218"/>
      <c r="AG911" s="1218"/>
      <c r="AH911" s="1218"/>
      <c r="AI911" s="1218"/>
      <c r="AJ911" s="1218"/>
      <c r="AK911" s="1218"/>
      <c r="AL911" s="1218"/>
      <c r="AM911" s="1218"/>
      <c r="AN911" s="1218"/>
      <c r="AO911" s="1218"/>
      <c r="AP911" s="1218"/>
      <c r="AQ911" s="1218"/>
      <c r="AR911" s="1218"/>
      <c r="AS911" s="1218"/>
      <c r="AT911" s="1218"/>
      <c r="AU911" s="1218"/>
      <c r="AV911" s="1218"/>
      <c r="AW911" s="1218"/>
      <c r="AX911" s="1218"/>
      <c r="AY911" s="1218"/>
      <c r="AZ911" s="1218"/>
      <c r="BA911" s="1218"/>
      <c r="BB911" s="1218"/>
      <c r="BC911" s="1218"/>
      <c r="BD911" s="1218"/>
      <c r="BE911" s="1218"/>
      <c r="BF911" s="1218"/>
      <c r="BG911" s="1218"/>
      <c r="BH911" s="1218"/>
      <c r="BI911" s="1218"/>
      <c r="BJ911" s="1218"/>
      <c r="BK911" s="1218"/>
      <c r="BL911" s="1218"/>
      <c r="BM911" s="1218"/>
      <c r="BN911" s="1218"/>
      <c r="BO911" s="1218"/>
      <c r="BP911" s="1218"/>
      <c r="BQ911" s="1218"/>
      <c r="BR911" s="1218"/>
      <c r="BS911" s="1218"/>
      <c r="BT911" s="1218"/>
      <c r="BU911" s="1218"/>
      <c r="BV911" s="1218"/>
      <c r="BW911" s="1218"/>
      <c r="BX911" s="1218"/>
      <c r="BY911" s="1218"/>
      <c r="BZ911" s="1218"/>
      <c r="CA911" s="1218"/>
      <c r="CB911" s="1218"/>
      <c r="CC911" s="1218"/>
      <c r="CD911" s="1218"/>
      <c r="CE911" s="1218"/>
      <c r="CF911" s="1218"/>
      <c r="CG911" s="1218"/>
      <c r="CH911" s="1218"/>
      <c r="CI911" s="1218"/>
      <c r="CJ911" s="1218"/>
      <c r="CK911" s="1218"/>
      <c r="CL911" s="1218"/>
      <c r="CM911" s="1218"/>
      <c r="CN911" s="1218"/>
      <c r="CO911" s="1218"/>
      <c r="CP911" s="1218"/>
      <c r="CQ911" s="1218"/>
      <c r="CR911" s="1218"/>
      <c r="CS911" s="1218"/>
      <c r="CT911" s="1218"/>
      <c r="CU911" s="1218"/>
      <c r="CV911" s="1218"/>
      <c r="CW911" s="1218"/>
      <c r="CX911" s="1218"/>
      <c r="CY911" s="1218"/>
      <c r="CZ911" s="1218"/>
      <c r="DA911" s="1218"/>
      <c r="DB911" s="1218"/>
      <c r="DC911" s="1218"/>
      <c r="DD911" s="1218"/>
      <c r="DE911" s="1218"/>
      <c r="DF911" s="1218"/>
      <c r="DG911" s="1218"/>
      <c r="DH911" s="1218"/>
      <c r="DI911" s="1218"/>
      <c r="DJ911" s="1218"/>
      <c r="DK911" s="1218"/>
      <c r="DL911" s="1218"/>
      <c r="DM911" s="1218"/>
      <c r="DN911" s="1218"/>
      <c r="DO911" s="1218"/>
      <c r="DP911" s="1218"/>
      <c r="DQ911" s="1218"/>
      <c r="DR911" s="1218"/>
      <c r="DS911" s="1218"/>
      <c r="DT911" s="1218"/>
      <c r="DU911" s="1218"/>
      <c r="DV911" s="1218"/>
      <c r="DW911" s="1218"/>
      <c r="DX911" s="1218"/>
      <c r="DY911" s="1218"/>
      <c r="DZ911" s="1218"/>
      <c r="EA911" s="1218"/>
      <c r="EB911" s="1218"/>
      <c r="EC911" s="1218"/>
      <c r="ED911" s="1218"/>
      <c r="EE911" s="1218"/>
      <c r="EF911" s="1218"/>
      <c r="EG911" s="1218"/>
      <c r="EH911" s="1218"/>
      <c r="EI911" s="1218"/>
      <c r="EJ911" s="1218"/>
      <c r="EK911" s="1218"/>
      <c r="EL911" s="1218"/>
      <c r="EM911" s="1218"/>
      <c r="EN911" s="1218"/>
      <c r="EO911" s="1218"/>
      <c r="EP911" s="1218"/>
      <c r="EQ911" s="1218"/>
      <c r="ER911" s="1218"/>
      <c r="ES911" s="1218"/>
      <c r="ET911" s="1218"/>
      <c r="EU911" s="1218"/>
      <c r="EV911" s="1218"/>
      <c r="EW911" s="1218"/>
      <c r="EX911" s="1218"/>
      <c r="EY911" s="1218"/>
      <c r="EZ911" s="1218"/>
      <c r="FA911" s="1218"/>
      <c r="FB911" s="1218"/>
      <c r="FC911" s="1218"/>
      <c r="FD911" s="1218"/>
      <c r="FE911" s="1218"/>
      <c r="FF911" s="1218"/>
      <c r="FG911" s="1218"/>
      <c r="FH911" s="1218"/>
      <c r="FI911" s="1218"/>
      <c r="FJ911" s="1218"/>
      <c r="FK911" s="1218"/>
      <c r="FL911" s="1218"/>
      <c r="FM911" s="1218"/>
      <c r="FN911" s="1218"/>
      <c r="FO911" s="1218"/>
      <c r="FP911" s="1218"/>
      <c r="FQ911" s="1218"/>
      <c r="FR911" s="1218"/>
      <c r="FS911" s="1218"/>
      <c r="FT911" s="1218"/>
      <c r="FU911" s="1218"/>
      <c r="FV911" s="1218"/>
      <c r="FW911" s="1218"/>
      <c r="FX911" s="1218"/>
      <c r="FY911" s="1218"/>
      <c r="FZ911" s="1218"/>
      <c r="GA911" s="1218"/>
      <c r="GB911" s="1218"/>
      <c r="GC911" s="1218"/>
      <c r="GD911" s="1218"/>
      <c r="GE911" s="1218"/>
      <c r="GF911" s="1218"/>
      <c r="GG911" s="1218"/>
      <c r="GH911" s="1218"/>
      <c r="GI911" s="1218"/>
      <c r="GJ911" s="1218"/>
      <c r="GK911" s="1218"/>
      <c r="GL911" s="1218"/>
      <c r="GM911" s="1218"/>
      <c r="GN911" s="1218"/>
      <c r="GO911" s="1218"/>
      <c r="GP911" s="1218"/>
      <c r="GQ911" s="1218"/>
      <c r="GR911" s="1218"/>
      <c r="GS911" s="1218"/>
      <c r="GT911" s="1218"/>
      <c r="GU911" s="1218"/>
      <c r="GV911" s="1218"/>
      <c r="GW911" s="1218"/>
      <c r="GX911" s="1218"/>
      <c r="GY911" s="1218"/>
      <c r="GZ911" s="1218"/>
      <c r="HA911" s="1218"/>
      <c r="HB911" s="1218"/>
      <c r="HC911" s="1218"/>
      <c r="HD911" s="1218"/>
      <c r="HE911" s="1218"/>
      <c r="HF911" s="1218"/>
      <c r="HG911" s="1218"/>
      <c r="HH911" s="1218"/>
      <c r="HI911" s="1218"/>
      <c r="HJ911" s="1218"/>
      <c r="HK911" s="1218"/>
      <c r="HL911" s="1218"/>
      <c r="HM911" s="1218"/>
      <c r="HN911" s="1218"/>
      <c r="HO911" s="1218"/>
      <c r="HP911" s="1218"/>
      <c r="HQ911" s="1218"/>
      <c r="HR911" s="1218"/>
      <c r="HS911" s="1218"/>
      <c r="HT911" s="1218"/>
      <c r="HU911" s="1218"/>
      <c r="HV911" s="1218"/>
      <c r="HW911" s="1218"/>
      <c r="HX911" s="1218"/>
      <c r="HY911" s="1218"/>
      <c r="HZ911" s="1218"/>
      <c r="IA911" s="1218"/>
      <c r="IB911" s="1218"/>
      <c r="IC911" s="1218"/>
      <c r="ID911" s="1218"/>
      <c r="IE911" s="1218"/>
      <c r="IF911" s="1218"/>
      <c r="IG911" s="1218"/>
      <c r="IH911" s="1218"/>
      <c r="II911" s="1218"/>
      <c r="IJ911" s="1218"/>
      <c r="IK911" s="1218"/>
      <c r="IL911" s="1218"/>
      <c r="IM911" s="1218"/>
      <c r="IN911" s="1218"/>
    </row>
    <row r="912" spans="1:248" s="1312" customFormat="1" ht="14.1" customHeight="1">
      <c r="A912" s="1327"/>
      <c r="B912" s="1328"/>
      <c r="C912" s="1329"/>
      <c r="G912" s="1218"/>
      <c r="H912" s="1218"/>
      <c r="I912" s="1218"/>
      <c r="J912" s="1218"/>
      <c r="K912" s="1218"/>
      <c r="L912" s="1218"/>
      <c r="M912" s="1218"/>
      <c r="N912" s="1218"/>
      <c r="O912" s="1218"/>
      <c r="P912" s="1218"/>
      <c r="Q912" s="1218"/>
      <c r="R912" s="1218"/>
      <c r="S912" s="1218"/>
      <c r="T912" s="1218"/>
      <c r="U912" s="1218"/>
      <c r="V912" s="1218"/>
      <c r="W912" s="1218"/>
      <c r="X912" s="1218"/>
      <c r="Y912" s="1218"/>
      <c r="Z912" s="1218"/>
      <c r="AA912" s="1218"/>
      <c r="AB912" s="1218"/>
      <c r="AC912" s="1218"/>
      <c r="AD912" s="1218"/>
      <c r="AE912" s="1218"/>
      <c r="AF912" s="1218"/>
      <c r="AG912" s="1218"/>
      <c r="AH912" s="1218"/>
      <c r="AI912" s="1218"/>
      <c r="AJ912" s="1218"/>
      <c r="AK912" s="1218"/>
      <c r="AL912" s="1218"/>
      <c r="AM912" s="1218"/>
      <c r="AN912" s="1218"/>
      <c r="AO912" s="1218"/>
      <c r="AP912" s="1218"/>
      <c r="AQ912" s="1218"/>
      <c r="AR912" s="1218"/>
      <c r="AS912" s="1218"/>
      <c r="AT912" s="1218"/>
      <c r="AU912" s="1218"/>
      <c r="AV912" s="1218"/>
      <c r="AW912" s="1218"/>
      <c r="AX912" s="1218"/>
      <c r="AY912" s="1218"/>
      <c r="AZ912" s="1218"/>
      <c r="BA912" s="1218"/>
      <c r="BB912" s="1218"/>
      <c r="BC912" s="1218"/>
      <c r="BD912" s="1218"/>
      <c r="BE912" s="1218"/>
      <c r="BF912" s="1218"/>
      <c r="BG912" s="1218"/>
      <c r="BH912" s="1218"/>
      <c r="BI912" s="1218"/>
      <c r="BJ912" s="1218"/>
      <c r="BK912" s="1218"/>
      <c r="BL912" s="1218"/>
      <c r="BM912" s="1218"/>
      <c r="BN912" s="1218"/>
      <c r="BO912" s="1218"/>
      <c r="BP912" s="1218"/>
      <c r="BQ912" s="1218"/>
      <c r="BR912" s="1218"/>
      <c r="BS912" s="1218"/>
      <c r="BT912" s="1218"/>
      <c r="BU912" s="1218"/>
      <c r="BV912" s="1218"/>
      <c r="BW912" s="1218"/>
      <c r="BX912" s="1218"/>
      <c r="BY912" s="1218"/>
      <c r="BZ912" s="1218"/>
      <c r="CA912" s="1218"/>
      <c r="CB912" s="1218"/>
      <c r="CC912" s="1218"/>
      <c r="CD912" s="1218"/>
      <c r="CE912" s="1218"/>
      <c r="CF912" s="1218"/>
      <c r="CG912" s="1218"/>
      <c r="CH912" s="1218"/>
      <c r="CI912" s="1218"/>
      <c r="CJ912" s="1218"/>
      <c r="CK912" s="1218"/>
      <c r="CL912" s="1218"/>
      <c r="CM912" s="1218"/>
      <c r="CN912" s="1218"/>
      <c r="CO912" s="1218"/>
      <c r="CP912" s="1218"/>
      <c r="CQ912" s="1218"/>
      <c r="CR912" s="1218"/>
      <c r="CS912" s="1218"/>
      <c r="CT912" s="1218"/>
      <c r="CU912" s="1218"/>
      <c r="CV912" s="1218"/>
      <c r="CW912" s="1218"/>
      <c r="CX912" s="1218"/>
      <c r="CY912" s="1218"/>
      <c r="CZ912" s="1218"/>
      <c r="DA912" s="1218"/>
      <c r="DB912" s="1218"/>
      <c r="DC912" s="1218"/>
      <c r="DD912" s="1218"/>
      <c r="DE912" s="1218"/>
      <c r="DF912" s="1218"/>
      <c r="DG912" s="1218"/>
      <c r="DH912" s="1218"/>
      <c r="DI912" s="1218"/>
      <c r="DJ912" s="1218"/>
      <c r="DK912" s="1218"/>
      <c r="DL912" s="1218"/>
      <c r="DM912" s="1218"/>
      <c r="DN912" s="1218"/>
      <c r="DO912" s="1218"/>
      <c r="DP912" s="1218"/>
      <c r="DQ912" s="1218"/>
      <c r="DR912" s="1218"/>
      <c r="DS912" s="1218"/>
      <c r="DT912" s="1218"/>
      <c r="DU912" s="1218"/>
      <c r="DV912" s="1218"/>
      <c r="DW912" s="1218"/>
      <c r="DX912" s="1218"/>
      <c r="DY912" s="1218"/>
      <c r="DZ912" s="1218"/>
      <c r="EA912" s="1218"/>
      <c r="EB912" s="1218"/>
      <c r="EC912" s="1218"/>
      <c r="ED912" s="1218"/>
      <c r="EE912" s="1218"/>
      <c r="EF912" s="1218"/>
      <c r="EG912" s="1218"/>
      <c r="EH912" s="1218"/>
      <c r="EI912" s="1218"/>
      <c r="EJ912" s="1218"/>
      <c r="EK912" s="1218"/>
      <c r="EL912" s="1218"/>
      <c r="EM912" s="1218"/>
      <c r="EN912" s="1218"/>
      <c r="EO912" s="1218"/>
      <c r="EP912" s="1218"/>
      <c r="EQ912" s="1218"/>
      <c r="ER912" s="1218"/>
      <c r="ES912" s="1218"/>
      <c r="ET912" s="1218"/>
      <c r="EU912" s="1218"/>
      <c r="EV912" s="1218"/>
      <c r="EW912" s="1218"/>
      <c r="EX912" s="1218"/>
      <c r="EY912" s="1218"/>
      <c r="EZ912" s="1218"/>
      <c r="FA912" s="1218"/>
      <c r="FB912" s="1218"/>
      <c r="FC912" s="1218"/>
      <c r="FD912" s="1218"/>
      <c r="FE912" s="1218"/>
      <c r="FF912" s="1218"/>
      <c r="FG912" s="1218"/>
      <c r="FH912" s="1218"/>
      <c r="FI912" s="1218"/>
      <c r="FJ912" s="1218"/>
      <c r="FK912" s="1218"/>
      <c r="FL912" s="1218"/>
      <c r="FM912" s="1218"/>
      <c r="FN912" s="1218"/>
      <c r="FO912" s="1218"/>
      <c r="FP912" s="1218"/>
      <c r="FQ912" s="1218"/>
      <c r="FR912" s="1218"/>
      <c r="FS912" s="1218"/>
      <c r="FT912" s="1218"/>
      <c r="FU912" s="1218"/>
      <c r="FV912" s="1218"/>
      <c r="FW912" s="1218"/>
      <c r="FX912" s="1218"/>
      <c r="FY912" s="1218"/>
      <c r="FZ912" s="1218"/>
      <c r="GA912" s="1218"/>
      <c r="GB912" s="1218"/>
      <c r="GC912" s="1218"/>
      <c r="GD912" s="1218"/>
      <c r="GE912" s="1218"/>
      <c r="GF912" s="1218"/>
      <c r="GG912" s="1218"/>
      <c r="GH912" s="1218"/>
      <c r="GI912" s="1218"/>
      <c r="GJ912" s="1218"/>
      <c r="GK912" s="1218"/>
      <c r="GL912" s="1218"/>
      <c r="GM912" s="1218"/>
      <c r="GN912" s="1218"/>
      <c r="GO912" s="1218"/>
      <c r="GP912" s="1218"/>
      <c r="GQ912" s="1218"/>
      <c r="GR912" s="1218"/>
      <c r="GS912" s="1218"/>
      <c r="GT912" s="1218"/>
      <c r="GU912" s="1218"/>
      <c r="GV912" s="1218"/>
      <c r="GW912" s="1218"/>
      <c r="GX912" s="1218"/>
      <c r="GY912" s="1218"/>
      <c r="GZ912" s="1218"/>
      <c r="HA912" s="1218"/>
      <c r="HB912" s="1218"/>
      <c r="HC912" s="1218"/>
      <c r="HD912" s="1218"/>
      <c r="HE912" s="1218"/>
      <c r="HF912" s="1218"/>
      <c r="HG912" s="1218"/>
      <c r="HH912" s="1218"/>
      <c r="HI912" s="1218"/>
      <c r="HJ912" s="1218"/>
      <c r="HK912" s="1218"/>
      <c r="HL912" s="1218"/>
      <c r="HM912" s="1218"/>
      <c r="HN912" s="1218"/>
      <c r="HO912" s="1218"/>
      <c r="HP912" s="1218"/>
      <c r="HQ912" s="1218"/>
      <c r="HR912" s="1218"/>
      <c r="HS912" s="1218"/>
      <c r="HT912" s="1218"/>
      <c r="HU912" s="1218"/>
      <c r="HV912" s="1218"/>
      <c r="HW912" s="1218"/>
      <c r="HX912" s="1218"/>
      <c r="HY912" s="1218"/>
      <c r="HZ912" s="1218"/>
      <c r="IA912" s="1218"/>
      <c r="IB912" s="1218"/>
      <c r="IC912" s="1218"/>
      <c r="ID912" s="1218"/>
      <c r="IE912" s="1218"/>
      <c r="IF912" s="1218"/>
      <c r="IG912" s="1218"/>
      <c r="IH912" s="1218"/>
      <c r="II912" s="1218"/>
      <c r="IJ912" s="1218"/>
      <c r="IK912" s="1218"/>
      <c r="IL912" s="1218"/>
      <c r="IM912" s="1218"/>
      <c r="IN912" s="1218"/>
    </row>
    <row r="913" spans="1:248" s="1312" customFormat="1" ht="14.1" customHeight="1">
      <c r="A913" s="1327"/>
      <c r="B913" s="1328"/>
      <c r="C913" s="1329"/>
      <c r="G913" s="1218"/>
      <c r="H913" s="1218"/>
      <c r="I913" s="1218"/>
      <c r="J913" s="1218"/>
      <c r="K913" s="1218"/>
      <c r="L913" s="1218"/>
      <c r="M913" s="1218"/>
      <c r="N913" s="1218"/>
      <c r="O913" s="1218"/>
      <c r="P913" s="1218"/>
      <c r="Q913" s="1218"/>
      <c r="R913" s="1218"/>
      <c r="S913" s="1218"/>
      <c r="T913" s="1218"/>
      <c r="U913" s="1218"/>
      <c r="V913" s="1218"/>
      <c r="W913" s="1218"/>
      <c r="X913" s="1218"/>
      <c r="Y913" s="1218"/>
      <c r="Z913" s="1218"/>
      <c r="AA913" s="1218"/>
      <c r="AB913" s="1218"/>
      <c r="AC913" s="1218"/>
      <c r="AD913" s="1218"/>
      <c r="AE913" s="1218"/>
      <c r="AF913" s="1218"/>
      <c r="AG913" s="1218"/>
      <c r="AH913" s="1218"/>
      <c r="AI913" s="1218"/>
      <c r="AJ913" s="1218"/>
      <c r="AK913" s="1218"/>
      <c r="AL913" s="1218"/>
      <c r="AM913" s="1218"/>
      <c r="AN913" s="1218"/>
      <c r="AO913" s="1218"/>
      <c r="AP913" s="1218"/>
      <c r="AQ913" s="1218"/>
      <c r="AR913" s="1218"/>
      <c r="AS913" s="1218"/>
      <c r="AT913" s="1218"/>
      <c r="AU913" s="1218"/>
      <c r="AV913" s="1218"/>
      <c r="AW913" s="1218"/>
      <c r="AX913" s="1218"/>
      <c r="AY913" s="1218"/>
      <c r="AZ913" s="1218"/>
      <c r="BA913" s="1218"/>
      <c r="BB913" s="1218"/>
      <c r="BC913" s="1218"/>
      <c r="BD913" s="1218"/>
      <c r="BE913" s="1218"/>
      <c r="BF913" s="1218"/>
      <c r="BG913" s="1218"/>
      <c r="BH913" s="1218"/>
      <c r="BI913" s="1218"/>
      <c r="BJ913" s="1218"/>
      <c r="BK913" s="1218"/>
      <c r="BL913" s="1218"/>
      <c r="BM913" s="1218"/>
      <c r="BN913" s="1218"/>
      <c r="BO913" s="1218"/>
      <c r="BP913" s="1218"/>
      <c r="BQ913" s="1218"/>
      <c r="BR913" s="1218"/>
      <c r="BS913" s="1218"/>
      <c r="BT913" s="1218"/>
      <c r="BU913" s="1218"/>
      <c r="BV913" s="1218"/>
      <c r="BW913" s="1218"/>
      <c r="BX913" s="1218"/>
      <c r="BY913" s="1218"/>
      <c r="BZ913" s="1218"/>
      <c r="CA913" s="1218"/>
      <c r="CB913" s="1218"/>
      <c r="CC913" s="1218"/>
      <c r="CD913" s="1218"/>
      <c r="CE913" s="1218"/>
      <c r="CF913" s="1218"/>
      <c r="CG913" s="1218"/>
      <c r="CH913" s="1218"/>
      <c r="CI913" s="1218"/>
      <c r="CJ913" s="1218"/>
      <c r="CK913" s="1218"/>
      <c r="CL913" s="1218"/>
      <c r="CM913" s="1218"/>
      <c r="CN913" s="1218"/>
      <c r="CO913" s="1218"/>
      <c r="CP913" s="1218"/>
      <c r="CQ913" s="1218"/>
      <c r="CR913" s="1218"/>
      <c r="CS913" s="1218"/>
      <c r="CT913" s="1218"/>
      <c r="CU913" s="1218"/>
      <c r="CV913" s="1218"/>
      <c r="CW913" s="1218"/>
      <c r="CX913" s="1218"/>
      <c r="CY913" s="1218"/>
      <c r="CZ913" s="1218"/>
      <c r="DA913" s="1218"/>
      <c r="DB913" s="1218"/>
      <c r="DC913" s="1218"/>
      <c r="DD913" s="1218"/>
      <c r="DE913" s="1218"/>
      <c r="DF913" s="1218"/>
      <c r="DG913" s="1218"/>
      <c r="DH913" s="1218"/>
      <c r="DI913" s="1218"/>
      <c r="DJ913" s="1218"/>
      <c r="DK913" s="1218"/>
      <c r="DL913" s="1218"/>
      <c r="DM913" s="1218"/>
      <c r="DN913" s="1218"/>
      <c r="DO913" s="1218"/>
      <c r="DP913" s="1218"/>
      <c r="DQ913" s="1218"/>
      <c r="DR913" s="1218"/>
      <c r="DS913" s="1218"/>
      <c r="DT913" s="1218"/>
      <c r="DU913" s="1218"/>
      <c r="DV913" s="1218"/>
      <c r="DW913" s="1218"/>
      <c r="DX913" s="1218"/>
      <c r="DY913" s="1218"/>
      <c r="DZ913" s="1218"/>
      <c r="EA913" s="1218"/>
      <c r="EB913" s="1218"/>
      <c r="EC913" s="1218"/>
      <c r="ED913" s="1218"/>
      <c r="EE913" s="1218"/>
      <c r="EF913" s="1218"/>
      <c r="EG913" s="1218"/>
      <c r="EH913" s="1218"/>
      <c r="EI913" s="1218"/>
      <c r="EJ913" s="1218"/>
      <c r="EK913" s="1218"/>
      <c r="EL913" s="1218"/>
      <c r="EM913" s="1218"/>
      <c r="EN913" s="1218"/>
      <c r="EO913" s="1218"/>
      <c r="EP913" s="1218"/>
      <c r="EQ913" s="1218"/>
      <c r="ER913" s="1218"/>
      <c r="ES913" s="1218"/>
      <c r="ET913" s="1218"/>
      <c r="EU913" s="1218"/>
      <c r="EV913" s="1218"/>
      <c r="EW913" s="1218"/>
      <c r="EX913" s="1218"/>
      <c r="EY913" s="1218"/>
      <c r="EZ913" s="1218"/>
      <c r="FA913" s="1218"/>
      <c r="FB913" s="1218"/>
      <c r="FC913" s="1218"/>
      <c r="FD913" s="1218"/>
      <c r="FE913" s="1218"/>
      <c r="FF913" s="1218"/>
      <c r="FG913" s="1218"/>
      <c r="FH913" s="1218"/>
      <c r="FI913" s="1218"/>
      <c r="FJ913" s="1218"/>
      <c r="FK913" s="1218"/>
      <c r="FL913" s="1218"/>
      <c r="FM913" s="1218"/>
      <c r="FN913" s="1218"/>
      <c r="FO913" s="1218"/>
      <c r="FP913" s="1218"/>
      <c r="FQ913" s="1218"/>
      <c r="FR913" s="1218"/>
      <c r="FS913" s="1218"/>
      <c r="FT913" s="1218"/>
      <c r="FU913" s="1218"/>
      <c r="FV913" s="1218"/>
      <c r="FW913" s="1218"/>
      <c r="FX913" s="1218"/>
      <c r="FY913" s="1218"/>
      <c r="FZ913" s="1218"/>
      <c r="GA913" s="1218"/>
      <c r="GB913" s="1218"/>
      <c r="GC913" s="1218"/>
      <c r="GD913" s="1218"/>
      <c r="GE913" s="1218"/>
      <c r="GF913" s="1218"/>
      <c r="GG913" s="1218"/>
      <c r="GH913" s="1218"/>
      <c r="GI913" s="1218"/>
      <c r="GJ913" s="1218"/>
      <c r="GK913" s="1218"/>
      <c r="GL913" s="1218"/>
      <c r="GM913" s="1218"/>
      <c r="GN913" s="1218"/>
      <c r="GO913" s="1218"/>
      <c r="GP913" s="1218"/>
      <c r="GQ913" s="1218"/>
      <c r="GR913" s="1218"/>
      <c r="GS913" s="1218"/>
      <c r="GT913" s="1218"/>
      <c r="GU913" s="1218"/>
      <c r="GV913" s="1218"/>
      <c r="GW913" s="1218"/>
      <c r="GX913" s="1218"/>
      <c r="GY913" s="1218"/>
      <c r="GZ913" s="1218"/>
      <c r="HA913" s="1218"/>
      <c r="HB913" s="1218"/>
      <c r="HC913" s="1218"/>
      <c r="HD913" s="1218"/>
      <c r="HE913" s="1218"/>
      <c r="HF913" s="1218"/>
      <c r="HG913" s="1218"/>
      <c r="HH913" s="1218"/>
      <c r="HI913" s="1218"/>
      <c r="HJ913" s="1218"/>
      <c r="HK913" s="1218"/>
      <c r="HL913" s="1218"/>
      <c r="HM913" s="1218"/>
      <c r="HN913" s="1218"/>
      <c r="HO913" s="1218"/>
      <c r="HP913" s="1218"/>
      <c r="HQ913" s="1218"/>
      <c r="HR913" s="1218"/>
      <c r="HS913" s="1218"/>
      <c r="HT913" s="1218"/>
      <c r="HU913" s="1218"/>
      <c r="HV913" s="1218"/>
      <c r="HW913" s="1218"/>
      <c r="HX913" s="1218"/>
      <c r="HY913" s="1218"/>
      <c r="HZ913" s="1218"/>
      <c r="IA913" s="1218"/>
      <c r="IB913" s="1218"/>
      <c r="IC913" s="1218"/>
      <c r="ID913" s="1218"/>
      <c r="IE913" s="1218"/>
      <c r="IF913" s="1218"/>
      <c r="IG913" s="1218"/>
      <c r="IH913" s="1218"/>
      <c r="II913" s="1218"/>
      <c r="IJ913" s="1218"/>
      <c r="IK913" s="1218"/>
      <c r="IL913" s="1218"/>
      <c r="IM913" s="1218"/>
      <c r="IN913" s="1218"/>
    </row>
    <row r="914" spans="1:248" s="1312" customFormat="1" ht="14.1" customHeight="1">
      <c r="A914" s="1327"/>
      <c r="B914" s="1328"/>
      <c r="C914" s="1329"/>
      <c r="G914" s="1218"/>
      <c r="H914" s="1218"/>
      <c r="I914" s="1218"/>
      <c r="J914" s="1218"/>
      <c r="K914" s="1218"/>
      <c r="L914" s="1218"/>
      <c r="M914" s="1218"/>
      <c r="N914" s="1218"/>
      <c r="O914" s="1218"/>
      <c r="P914" s="1218"/>
      <c r="Q914" s="1218"/>
      <c r="R914" s="1218"/>
      <c r="S914" s="1218"/>
      <c r="T914" s="1218"/>
      <c r="U914" s="1218"/>
      <c r="V914" s="1218"/>
      <c r="W914" s="1218"/>
      <c r="X914" s="1218"/>
      <c r="Y914" s="1218"/>
      <c r="Z914" s="1218"/>
      <c r="AA914" s="1218"/>
      <c r="AB914" s="1218"/>
      <c r="AC914" s="1218"/>
      <c r="AD914" s="1218"/>
      <c r="AE914" s="1218"/>
      <c r="AF914" s="1218"/>
      <c r="AG914" s="1218"/>
      <c r="AH914" s="1218"/>
      <c r="AI914" s="1218"/>
      <c r="AJ914" s="1218"/>
      <c r="AK914" s="1218"/>
      <c r="AL914" s="1218"/>
      <c r="AM914" s="1218"/>
      <c r="AN914" s="1218"/>
      <c r="AO914" s="1218"/>
      <c r="AP914" s="1218"/>
      <c r="AQ914" s="1218"/>
      <c r="AR914" s="1218"/>
      <c r="AS914" s="1218"/>
      <c r="AT914" s="1218"/>
      <c r="AU914" s="1218"/>
      <c r="AV914" s="1218"/>
      <c r="AW914" s="1218"/>
      <c r="AX914" s="1218"/>
      <c r="AY914" s="1218"/>
      <c r="AZ914" s="1218"/>
      <c r="BA914" s="1218"/>
      <c r="BB914" s="1218"/>
      <c r="BC914" s="1218"/>
      <c r="BD914" s="1218"/>
      <c r="BE914" s="1218"/>
      <c r="BF914" s="1218"/>
      <c r="BG914" s="1218"/>
      <c r="BH914" s="1218"/>
      <c r="BI914" s="1218"/>
      <c r="BJ914" s="1218"/>
      <c r="BK914" s="1218"/>
      <c r="BL914" s="1218"/>
      <c r="BM914" s="1218"/>
      <c r="BN914" s="1218"/>
      <c r="BO914" s="1218"/>
      <c r="BP914" s="1218"/>
      <c r="BQ914" s="1218"/>
      <c r="BR914" s="1218"/>
      <c r="BS914" s="1218"/>
      <c r="BT914" s="1218"/>
      <c r="BU914" s="1218"/>
      <c r="BV914" s="1218"/>
      <c r="BW914" s="1218"/>
      <c r="BX914" s="1218"/>
      <c r="BY914" s="1218"/>
      <c r="BZ914" s="1218"/>
      <c r="CA914" s="1218"/>
      <c r="CB914" s="1218"/>
      <c r="CC914" s="1218"/>
      <c r="CD914" s="1218"/>
      <c r="CE914" s="1218"/>
      <c r="CF914" s="1218"/>
      <c r="CG914" s="1218"/>
      <c r="CH914" s="1218"/>
      <c r="CI914" s="1218"/>
      <c r="CJ914" s="1218"/>
      <c r="CK914" s="1218"/>
      <c r="CL914" s="1218"/>
      <c r="CM914" s="1218"/>
      <c r="CN914" s="1218"/>
      <c r="CO914" s="1218"/>
      <c r="CP914" s="1218"/>
      <c r="CQ914" s="1218"/>
      <c r="CR914" s="1218"/>
      <c r="CS914" s="1218"/>
      <c r="CT914" s="1218"/>
      <c r="CU914" s="1218"/>
      <c r="CV914" s="1218"/>
      <c r="CW914" s="1218"/>
      <c r="CX914" s="1218"/>
      <c r="CY914" s="1218"/>
      <c r="CZ914" s="1218"/>
      <c r="DA914" s="1218"/>
      <c r="DB914" s="1218"/>
      <c r="DC914" s="1218"/>
      <c r="DD914" s="1218"/>
      <c r="DE914" s="1218"/>
      <c r="DF914" s="1218"/>
      <c r="DG914" s="1218"/>
      <c r="DH914" s="1218"/>
      <c r="DI914" s="1218"/>
      <c r="DJ914" s="1218"/>
      <c r="DK914" s="1218"/>
      <c r="DL914" s="1218"/>
      <c r="DM914" s="1218"/>
      <c r="DN914" s="1218"/>
      <c r="DO914" s="1218"/>
      <c r="DP914" s="1218"/>
      <c r="DQ914" s="1218"/>
      <c r="DR914" s="1218"/>
      <c r="DS914" s="1218"/>
      <c r="DT914" s="1218"/>
      <c r="DU914" s="1218"/>
      <c r="DV914" s="1218"/>
      <c r="DW914" s="1218"/>
      <c r="DX914" s="1218"/>
      <c r="DY914" s="1218"/>
      <c r="DZ914" s="1218"/>
      <c r="EA914" s="1218"/>
      <c r="EB914" s="1218"/>
      <c r="EC914" s="1218"/>
      <c r="ED914" s="1218"/>
      <c r="EE914" s="1218"/>
      <c r="EF914" s="1218"/>
      <c r="EG914" s="1218"/>
      <c r="EH914" s="1218"/>
      <c r="EI914" s="1218"/>
      <c r="EJ914" s="1218"/>
      <c r="EK914" s="1218"/>
      <c r="EL914" s="1218"/>
      <c r="EM914" s="1218"/>
      <c r="EN914" s="1218"/>
      <c r="EO914" s="1218"/>
      <c r="EP914" s="1218"/>
      <c r="EQ914" s="1218"/>
      <c r="ER914" s="1218"/>
      <c r="ES914" s="1218"/>
      <c r="ET914" s="1218"/>
      <c r="EU914" s="1218"/>
      <c r="EV914" s="1218"/>
      <c r="EW914" s="1218"/>
      <c r="EX914" s="1218"/>
      <c r="EY914" s="1218"/>
      <c r="EZ914" s="1218"/>
      <c r="FA914" s="1218"/>
      <c r="FB914" s="1218"/>
      <c r="FC914" s="1218"/>
      <c r="FD914" s="1218"/>
      <c r="FE914" s="1218"/>
      <c r="FF914" s="1218"/>
      <c r="FG914" s="1218"/>
      <c r="FH914" s="1218"/>
      <c r="FI914" s="1218"/>
      <c r="FJ914" s="1218"/>
      <c r="FK914" s="1218"/>
      <c r="FL914" s="1218"/>
      <c r="FM914" s="1218"/>
      <c r="FN914" s="1218"/>
      <c r="FO914" s="1218"/>
      <c r="FP914" s="1218"/>
      <c r="FQ914" s="1218"/>
      <c r="FR914" s="1218"/>
      <c r="FS914" s="1218"/>
      <c r="FT914" s="1218"/>
      <c r="FU914" s="1218"/>
      <c r="FV914" s="1218"/>
      <c r="FW914" s="1218"/>
      <c r="FX914" s="1218"/>
      <c r="FY914" s="1218"/>
      <c r="FZ914" s="1218"/>
      <c r="GA914" s="1218"/>
      <c r="GB914" s="1218"/>
      <c r="GC914" s="1218"/>
      <c r="GD914" s="1218"/>
      <c r="GE914" s="1218"/>
      <c r="GF914" s="1218"/>
      <c r="GG914" s="1218"/>
      <c r="GH914" s="1218"/>
      <c r="GI914" s="1218"/>
      <c r="GJ914" s="1218"/>
      <c r="GK914" s="1218"/>
      <c r="GL914" s="1218"/>
      <c r="GM914" s="1218"/>
      <c r="GN914" s="1218"/>
      <c r="GO914" s="1218"/>
      <c r="GP914" s="1218"/>
      <c r="GQ914" s="1218"/>
      <c r="GR914" s="1218"/>
      <c r="GS914" s="1218"/>
      <c r="GT914" s="1218"/>
      <c r="GU914" s="1218"/>
      <c r="GV914" s="1218"/>
      <c r="GW914" s="1218"/>
      <c r="GX914" s="1218"/>
      <c r="GY914" s="1218"/>
      <c r="GZ914" s="1218"/>
      <c r="HA914" s="1218"/>
      <c r="HB914" s="1218"/>
      <c r="HC914" s="1218"/>
      <c r="HD914" s="1218"/>
      <c r="HE914" s="1218"/>
      <c r="HF914" s="1218"/>
      <c r="HG914" s="1218"/>
      <c r="HH914" s="1218"/>
      <c r="HI914" s="1218"/>
      <c r="HJ914" s="1218"/>
      <c r="HK914" s="1218"/>
      <c r="HL914" s="1218"/>
      <c r="HM914" s="1218"/>
      <c r="HN914" s="1218"/>
      <c r="HO914" s="1218"/>
      <c r="HP914" s="1218"/>
      <c r="HQ914" s="1218"/>
      <c r="HR914" s="1218"/>
      <c r="HS914" s="1218"/>
      <c r="HT914" s="1218"/>
      <c r="HU914" s="1218"/>
      <c r="HV914" s="1218"/>
      <c r="HW914" s="1218"/>
      <c r="HX914" s="1218"/>
      <c r="HY914" s="1218"/>
      <c r="HZ914" s="1218"/>
      <c r="IA914" s="1218"/>
      <c r="IB914" s="1218"/>
      <c r="IC914" s="1218"/>
      <c r="ID914" s="1218"/>
      <c r="IE914" s="1218"/>
      <c r="IF914" s="1218"/>
      <c r="IG914" s="1218"/>
      <c r="IH914" s="1218"/>
      <c r="II914" s="1218"/>
      <c r="IJ914" s="1218"/>
      <c r="IK914" s="1218"/>
      <c r="IL914" s="1218"/>
      <c r="IM914" s="1218"/>
      <c r="IN914" s="1218"/>
    </row>
    <row r="915" spans="1:248" s="1312" customFormat="1" ht="14.1" customHeight="1">
      <c r="A915" s="1327"/>
      <c r="B915" s="1328"/>
      <c r="C915" s="1329"/>
      <c r="G915" s="1218"/>
      <c r="H915" s="1218"/>
      <c r="I915" s="1218"/>
      <c r="J915" s="1218"/>
      <c r="K915" s="1218"/>
      <c r="L915" s="1218"/>
      <c r="M915" s="1218"/>
      <c r="N915" s="1218"/>
      <c r="O915" s="1218"/>
      <c r="P915" s="1218"/>
      <c r="Q915" s="1218"/>
      <c r="R915" s="1218"/>
      <c r="S915" s="1218"/>
      <c r="T915" s="1218"/>
      <c r="U915" s="1218"/>
      <c r="V915" s="1218"/>
      <c r="W915" s="1218"/>
      <c r="X915" s="1218"/>
      <c r="Y915" s="1218"/>
      <c r="Z915" s="1218"/>
      <c r="AA915" s="1218"/>
      <c r="AB915" s="1218"/>
      <c r="AC915" s="1218"/>
      <c r="AD915" s="1218"/>
      <c r="AE915" s="1218"/>
      <c r="AF915" s="1218"/>
      <c r="AG915" s="1218"/>
      <c r="AH915" s="1218"/>
      <c r="AI915" s="1218"/>
      <c r="AJ915" s="1218"/>
      <c r="AK915" s="1218"/>
      <c r="AL915" s="1218"/>
      <c r="AM915" s="1218"/>
      <c r="AN915" s="1218"/>
      <c r="AO915" s="1218"/>
      <c r="AP915" s="1218"/>
      <c r="AQ915" s="1218"/>
      <c r="AR915" s="1218"/>
      <c r="AS915" s="1218"/>
      <c r="AT915" s="1218"/>
      <c r="AU915" s="1218"/>
      <c r="AV915" s="1218"/>
      <c r="AW915" s="1218"/>
      <c r="AX915" s="1218"/>
      <c r="AY915" s="1218"/>
      <c r="AZ915" s="1218"/>
      <c r="BA915" s="1218"/>
      <c r="BB915" s="1218"/>
      <c r="BC915" s="1218"/>
      <c r="BD915" s="1218"/>
      <c r="BE915" s="1218"/>
      <c r="BF915" s="1218"/>
      <c r="BG915" s="1218"/>
      <c r="BH915" s="1218"/>
      <c r="BI915" s="1218"/>
      <c r="BJ915" s="1218"/>
      <c r="BK915" s="1218"/>
      <c r="BL915" s="1218"/>
      <c r="BM915" s="1218"/>
      <c r="BN915" s="1218"/>
      <c r="BO915" s="1218"/>
      <c r="BP915" s="1218"/>
      <c r="BQ915" s="1218"/>
      <c r="BR915" s="1218"/>
      <c r="BS915" s="1218"/>
      <c r="BT915" s="1218"/>
      <c r="BU915" s="1218"/>
      <c r="BV915" s="1218"/>
      <c r="BW915" s="1218"/>
      <c r="BX915" s="1218"/>
      <c r="BY915" s="1218"/>
      <c r="BZ915" s="1218"/>
      <c r="CA915" s="1218"/>
      <c r="CB915" s="1218"/>
      <c r="CC915" s="1218"/>
      <c r="CD915" s="1218"/>
      <c r="CE915" s="1218"/>
      <c r="CF915" s="1218"/>
      <c r="CG915" s="1218"/>
      <c r="CH915" s="1218"/>
      <c r="CI915" s="1218"/>
      <c r="CJ915" s="1218"/>
      <c r="CK915" s="1218"/>
      <c r="CL915" s="1218"/>
      <c r="CM915" s="1218"/>
      <c r="CN915" s="1218"/>
      <c r="CO915" s="1218"/>
      <c r="CP915" s="1218"/>
      <c r="CQ915" s="1218"/>
      <c r="CR915" s="1218"/>
      <c r="CS915" s="1218"/>
      <c r="CT915" s="1218"/>
      <c r="CU915" s="1218"/>
      <c r="CV915" s="1218"/>
      <c r="CW915" s="1218"/>
      <c r="CX915" s="1218"/>
      <c r="CY915" s="1218"/>
      <c r="CZ915" s="1218"/>
      <c r="DA915" s="1218"/>
      <c r="DB915" s="1218"/>
      <c r="DC915" s="1218"/>
      <c r="DD915" s="1218"/>
      <c r="DE915" s="1218"/>
      <c r="DF915" s="1218"/>
      <c r="DG915" s="1218"/>
      <c r="DH915" s="1218"/>
      <c r="DI915" s="1218"/>
      <c r="DJ915" s="1218"/>
      <c r="DK915" s="1218"/>
      <c r="DL915" s="1218"/>
      <c r="DM915" s="1218"/>
      <c r="DN915" s="1218"/>
      <c r="DO915" s="1218"/>
      <c r="DP915" s="1218"/>
      <c r="DQ915" s="1218"/>
      <c r="DR915" s="1218"/>
      <c r="DS915" s="1218"/>
      <c r="DT915" s="1218"/>
      <c r="DU915" s="1218"/>
      <c r="DV915" s="1218"/>
      <c r="DW915" s="1218"/>
      <c r="DX915" s="1218"/>
      <c r="DY915" s="1218"/>
      <c r="DZ915" s="1218"/>
      <c r="EA915" s="1218"/>
      <c r="EB915" s="1218"/>
      <c r="EC915" s="1218"/>
      <c r="ED915" s="1218"/>
      <c r="EE915" s="1218"/>
      <c r="EF915" s="1218"/>
      <c r="EG915" s="1218"/>
      <c r="EH915" s="1218"/>
      <c r="EI915" s="1218"/>
      <c r="EJ915" s="1218"/>
      <c r="EK915" s="1218"/>
      <c r="EL915" s="1218"/>
      <c r="EM915" s="1218"/>
      <c r="EN915" s="1218"/>
      <c r="EO915" s="1218"/>
      <c r="EP915" s="1218"/>
      <c r="EQ915" s="1218"/>
      <c r="ER915" s="1218"/>
      <c r="ES915" s="1218"/>
      <c r="ET915" s="1218"/>
      <c r="EU915" s="1218"/>
      <c r="EV915" s="1218"/>
      <c r="EW915" s="1218"/>
      <c r="EX915" s="1218"/>
      <c r="EY915" s="1218"/>
      <c r="EZ915" s="1218"/>
      <c r="FA915" s="1218"/>
      <c r="FB915" s="1218"/>
      <c r="FC915" s="1218"/>
      <c r="FD915" s="1218"/>
      <c r="FE915" s="1218"/>
      <c r="FF915" s="1218"/>
      <c r="FG915" s="1218"/>
      <c r="FH915" s="1218"/>
      <c r="FI915" s="1218"/>
      <c r="FJ915" s="1218"/>
      <c r="FK915" s="1218"/>
      <c r="FL915" s="1218"/>
      <c r="FM915" s="1218"/>
      <c r="FN915" s="1218"/>
      <c r="FO915" s="1218"/>
      <c r="FP915" s="1218"/>
      <c r="FQ915" s="1218"/>
      <c r="FR915" s="1218"/>
      <c r="FS915" s="1218"/>
      <c r="FT915" s="1218"/>
      <c r="FU915" s="1218"/>
      <c r="FV915" s="1218"/>
      <c r="FW915" s="1218"/>
      <c r="FX915" s="1218"/>
      <c r="FY915" s="1218"/>
      <c r="FZ915" s="1218"/>
      <c r="GA915" s="1218"/>
      <c r="GB915" s="1218"/>
      <c r="GC915" s="1218"/>
      <c r="GD915" s="1218"/>
      <c r="GE915" s="1218"/>
      <c r="GF915" s="1218"/>
      <c r="GG915" s="1218"/>
      <c r="GH915" s="1218"/>
      <c r="GI915" s="1218"/>
      <c r="GJ915" s="1218"/>
      <c r="GK915" s="1218"/>
      <c r="GL915" s="1218"/>
      <c r="GM915" s="1218"/>
      <c r="GN915" s="1218"/>
      <c r="GO915" s="1218"/>
      <c r="GP915" s="1218"/>
      <c r="GQ915" s="1218"/>
      <c r="GR915" s="1218"/>
      <c r="GS915" s="1218"/>
      <c r="GT915" s="1218"/>
      <c r="GU915" s="1218"/>
      <c r="GV915" s="1218"/>
      <c r="GW915" s="1218"/>
      <c r="GX915" s="1218"/>
      <c r="GY915" s="1218"/>
      <c r="GZ915" s="1218"/>
      <c r="HA915" s="1218"/>
      <c r="HB915" s="1218"/>
      <c r="HC915" s="1218"/>
      <c r="HD915" s="1218"/>
      <c r="HE915" s="1218"/>
      <c r="HF915" s="1218"/>
      <c r="HG915" s="1218"/>
      <c r="HH915" s="1218"/>
      <c r="HI915" s="1218"/>
      <c r="HJ915" s="1218"/>
      <c r="HK915" s="1218"/>
      <c r="HL915" s="1218"/>
      <c r="HM915" s="1218"/>
      <c r="HN915" s="1218"/>
      <c r="HO915" s="1218"/>
      <c r="HP915" s="1218"/>
      <c r="HQ915" s="1218"/>
      <c r="HR915" s="1218"/>
      <c r="HS915" s="1218"/>
      <c r="HT915" s="1218"/>
      <c r="HU915" s="1218"/>
      <c r="HV915" s="1218"/>
      <c r="HW915" s="1218"/>
      <c r="HX915" s="1218"/>
      <c r="HY915" s="1218"/>
      <c r="HZ915" s="1218"/>
      <c r="IA915" s="1218"/>
      <c r="IB915" s="1218"/>
      <c r="IC915" s="1218"/>
      <c r="ID915" s="1218"/>
      <c r="IE915" s="1218"/>
      <c r="IF915" s="1218"/>
      <c r="IG915" s="1218"/>
      <c r="IH915" s="1218"/>
      <c r="II915" s="1218"/>
      <c r="IJ915" s="1218"/>
      <c r="IK915" s="1218"/>
      <c r="IL915" s="1218"/>
      <c r="IM915" s="1218"/>
      <c r="IN915" s="1218"/>
    </row>
    <row r="916" spans="1:248" s="1312" customFormat="1" ht="14.1" customHeight="1">
      <c r="A916" s="1327"/>
      <c r="B916" s="1328"/>
      <c r="C916" s="1329"/>
      <c r="G916" s="1218"/>
      <c r="H916" s="1218"/>
      <c r="I916" s="1218"/>
      <c r="J916" s="1218"/>
      <c r="K916" s="1218"/>
      <c r="L916" s="1218"/>
      <c r="M916" s="1218"/>
      <c r="N916" s="1218"/>
      <c r="O916" s="1218"/>
      <c r="P916" s="1218"/>
      <c r="Q916" s="1218"/>
      <c r="R916" s="1218"/>
      <c r="S916" s="1218"/>
      <c r="T916" s="1218"/>
      <c r="U916" s="1218"/>
      <c r="V916" s="1218"/>
      <c r="W916" s="1218"/>
      <c r="X916" s="1218"/>
      <c r="Y916" s="1218"/>
      <c r="Z916" s="1218"/>
      <c r="AA916" s="1218"/>
      <c r="AB916" s="1218"/>
      <c r="AC916" s="1218"/>
      <c r="AD916" s="1218"/>
      <c r="AE916" s="1218"/>
      <c r="AF916" s="1218"/>
      <c r="AG916" s="1218"/>
      <c r="AH916" s="1218"/>
      <c r="AI916" s="1218"/>
      <c r="AJ916" s="1218"/>
      <c r="AK916" s="1218"/>
      <c r="AL916" s="1218"/>
      <c r="AM916" s="1218"/>
      <c r="AN916" s="1218"/>
      <c r="AO916" s="1218"/>
      <c r="AP916" s="1218"/>
      <c r="AQ916" s="1218"/>
      <c r="AR916" s="1218"/>
      <c r="AS916" s="1218"/>
      <c r="AT916" s="1218"/>
      <c r="AU916" s="1218"/>
      <c r="AV916" s="1218"/>
      <c r="AW916" s="1218"/>
      <c r="AX916" s="1218"/>
      <c r="AY916" s="1218"/>
      <c r="AZ916" s="1218"/>
      <c r="BA916" s="1218"/>
      <c r="BB916" s="1218"/>
      <c r="BC916" s="1218"/>
      <c r="BD916" s="1218"/>
      <c r="BE916" s="1218"/>
      <c r="BF916" s="1218"/>
      <c r="BG916" s="1218"/>
      <c r="BH916" s="1218"/>
      <c r="BI916" s="1218"/>
      <c r="BJ916" s="1218"/>
      <c r="BK916" s="1218"/>
      <c r="BL916" s="1218"/>
      <c r="BM916" s="1218"/>
      <c r="BN916" s="1218"/>
      <c r="BO916" s="1218"/>
      <c r="BP916" s="1218"/>
      <c r="BQ916" s="1218"/>
      <c r="BR916" s="1218"/>
      <c r="BS916" s="1218"/>
      <c r="BT916" s="1218"/>
      <c r="BU916" s="1218"/>
      <c r="BV916" s="1218"/>
      <c r="BW916" s="1218"/>
      <c r="BX916" s="1218"/>
      <c r="BY916" s="1218"/>
      <c r="BZ916" s="1218"/>
      <c r="CA916" s="1218"/>
      <c r="CB916" s="1218"/>
      <c r="CC916" s="1218"/>
      <c r="CD916" s="1218"/>
      <c r="CE916" s="1218"/>
      <c r="CF916" s="1218"/>
      <c r="CG916" s="1218"/>
      <c r="CH916" s="1218"/>
      <c r="CI916" s="1218"/>
      <c r="CJ916" s="1218"/>
      <c r="CK916" s="1218"/>
      <c r="CL916" s="1218"/>
      <c r="CM916" s="1218"/>
      <c r="CN916" s="1218"/>
      <c r="CO916" s="1218"/>
      <c r="CP916" s="1218"/>
      <c r="CQ916" s="1218"/>
      <c r="CR916" s="1218"/>
      <c r="CS916" s="1218"/>
      <c r="CT916" s="1218"/>
      <c r="CU916" s="1218"/>
      <c r="CV916" s="1218"/>
      <c r="CW916" s="1218"/>
      <c r="CX916" s="1218"/>
      <c r="CY916" s="1218"/>
      <c r="CZ916" s="1218"/>
      <c r="DA916" s="1218"/>
      <c r="DB916" s="1218"/>
      <c r="DC916" s="1218"/>
      <c r="DD916" s="1218"/>
      <c r="DE916" s="1218"/>
      <c r="DF916" s="1218"/>
      <c r="DG916" s="1218"/>
      <c r="DH916" s="1218"/>
      <c r="DI916" s="1218"/>
      <c r="DJ916" s="1218"/>
      <c r="DK916" s="1218"/>
      <c r="DL916" s="1218"/>
      <c r="DM916" s="1218"/>
      <c r="DN916" s="1218"/>
      <c r="DO916" s="1218"/>
      <c r="DP916" s="1218"/>
      <c r="DQ916" s="1218"/>
      <c r="DR916" s="1218"/>
      <c r="DS916" s="1218"/>
      <c r="DT916" s="1218"/>
      <c r="DU916" s="1218"/>
      <c r="DV916" s="1218"/>
      <c r="DW916" s="1218"/>
      <c r="DX916" s="1218"/>
      <c r="DY916" s="1218"/>
      <c r="DZ916" s="1218"/>
      <c r="EA916" s="1218"/>
      <c r="EB916" s="1218"/>
      <c r="EC916" s="1218"/>
      <c r="ED916" s="1218"/>
      <c r="EE916" s="1218"/>
      <c r="EF916" s="1218"/>
      <c r="EG916" s="1218"/>
      <c r="EH916" s="1218"/>
      <c r="EI916" s="1218"/>
      <c r="EJ916" s="1218"/>
      <c r="EK916" s="1218"/>
      <c r="EL916" s="1218"/>
      <c r="EM916" s="1218"/>
      <c r="EN916" s="1218"/>
      <c r="EO916" s="1218"/>
      <c r="EP916" s="1218"/>
      <c r="EQ916" s="1218"/>
      <c r="ER916" s="1218"/>
      <c r="ES916" s="1218"/>
      <c r="ET916" s="1218"/>
      <c r="EU916" s="1218"/>
      <c r="EV916" s="1218"/>
      <c r="EW916" s="1218"/>
      <c r="EX916" s="1218"/>
      <c r="EY916" s="1218"/>
      <c r="EZ916" s="1218"/>
      <c r="FA916" s="1218"/>
      <c r="FB916" s="1218"/>
      <c r="FC916" s="1218"/>
      <c r="FD916" s="1218"/>
      <c r="FE916" s="1218"/>
      <c r="FF916" s="1218"/>
      <c r="FG916" s="1218"/>
      <c r="FH916" s="1218"/>
      <c r="FI916" s="1218"/>
      <c r="FJ916" s="1218"/>
      <c r="FK916" s="1218"/>
      <c r="FL916" s="1218"/>
      <c r="FM916" s="1218"/>
      <c r="FN916" s="1218"/>
      <c r="FO916" s="1218"/>
      <c r="FP916" s="1218"/>
      <c r="FQ916" s="1218"/>
      <c r="FR916" s="1218"/>
      <c r="FS916" s="1218"/>
      <c r="FT916" s="1218"/>
      <c r="FU916" s="1218"/>
      <c r="FV916" s="1218"/>
      <c r="FW916" s="1218"/>
      <c r="FX916" s="1218"/>
      <c r="FY916" s="1218"/>
      <c r="FZ916" s="1218"/>
      <c r="GA916" s="1218"/>
      <c r="GB916" s="1218"/>
      <c r="GC916" s="1218"/>
      <c r="GD916" s="1218"/>
      <c r="GE916" s="1218"/>
      <c r="GF916" s="1218"/>
      <c r="GG916" s="1218"/>
      <c r="GH916" s="1218"/>
      <c r="GI916" s="1218"/>
      <c r="GJ916" s="1218"/>
      <c r="GK916" s="1218"/>
      <c r="GL916" s="1218"/>
      <c r="GM916" s="1218"/>
      <c r="GN916" s="1218"/>
      <c r="GO916" s="1218"/>
      <c r="GP916" s="1218"/>
      <c r="GQ916" s="1218"/>
      <c r="GR916" s="1218"/>
      <c r="GS916" s="1218"/>
      <c r="GT916" s="1218"/>
      <c r="GU916" s="1218"/>
      <c r="GV916" s="1218"/>
      <c r="GW916" s="1218"/>
      <c r="GX916" s="1218"/>
      <c r="GY916" s="1218"/>
      <c r="GZ916" s="1218"/>
      <c r="HA916" s="1218"/>
      <c r="HB916" s="1218"/>
      <c r="HC916" s="1218"/>
      <c r="HD916" s="1218"/>
      <c r="HE916" s="1218"/>
      <c r="HF916" s="1218"/>
      <c r="HG916" s="1218"/>
      <c r="HH916" s="1218"/>
      <c r="HI916" s="1218"/>
      <c r="HJ916" s="1218"/>
      <c r="HK916" s="1218"/>
      <c r="HL916" s="1218"/>
      <c r="HM916" s="1218"/>
      <c r="HN916" s="1218"/>
      <c r="HO916" s="1218"/>
      <c r="HP916" s="1218"/>
      <c r="HQ916" s="1218"/>
      <c r="HR916" s="1218"/>
      <c r="HS916" s="1218"/>
      <c r="HT916" s="1218"/>
      <c r="HU916" s="1218"/>
      <c r="HV916" s="1218"/>
      <c r="HW916" s="1218"/>
      <c r="HX916" s="1218"/>
      <c r="HY916" s="1218"/>
      <c r="HZ916" s="1218"/>
      <c r="IA916" s="1218"/>
      <c r="IB916" s="1218"/>
      <c r="IC916" s="1218"/>
      <c r="ID916" s="1218"/>
      <c r="IE916" s="1218"/>
      <c r="IF916" s="1218"/>
      <c r="IG916" s="1218"/>
      <c r="IH916" s="1218"/>
      <c r="II916" s="1218"/>
      <c r="IJ916" s="1218"/>
      <c r="IK916" s="1218"/>
      <c r="IL916" s="1218"/>
      <c r="IM916" s="1218"/>
      <c r="IN916" s="1218"/>
    </row>
    <row r="917" spans="1:248" s="1218" customFormat="1" ht="14.1" customHeight="1">
      <c r="A917" s="1498" t="s">
        <v>4317</v>
      </c>
      <c r="B917" s="1499"/>
      <c r="C917" s="1499"/>
      <c r="D917" s="1500"/>
      <c r="E917" s="1500"/>
      <c r="F917" s="1312"/>
    </row>
    <row r="918" spans="1:248" ht="14.1" customHeight="1">
      <c r="A918" s="1499"/>
      <c r="B918" s="1499"/>
      <c r="C918" s="1499"/>
      <c r="D918" s="1500"/>
      <c r="E918" s="1500"/>
    </row>
    <row r="919" spans="1:248" s="1218" customFormat="1" ht="14.1" customHeight="1">
      <c r="A919" s="1499" t="s">
        <v>4173</v>
      </c>
      <c r="B919" s="1499"/>
      <c r="C919" s="1499" t="s">
        <v>4318</v>
      </c>
      <c r="D919" s="1500"/>
      <c r="E919" s="1500"/>
      <c r="F919" s="1312"/>
    </row>
    <row r="920" spans="1:248" ht="14.1" customHeight="1">
      <c r="A920" s="1499"/>
      <c r="B920" s="1499"/>
      <c r="C920" s="1499"/>
      <c r="D920" s="1500"/>
      <c r="E920" s="1500"/>
    </row>
    <row r="921" spans="1:248" s="1218" customFormat="1" ht="14.1" customHeight="1">
      <c r="A921" s="1499" t="s">
        <v>4174</v>
      </c>
      <c r="B921" s="1499"/>
      <c r="C921" s="2775" t="s">
        <v>4315</v>
      </c>
      <c r="D921" s="2775"/>
      <c r="E921" s="2775"/>
      <c r="F921" s="1312"/>
    </row>
    <row r="922" spans="1:248" s="1218" customFormat="1" ht="14.1" customHeight="1">
      <c r="A922" s="1499" t="s">
        <v>4175</v>
      </c>
      <c r="B922" s="1499"/>
      <c r="C922" s="2775"/>
      <c r="D922" s="2775"/>
      <c r="E922" s="2775"/>
      <c r="F922" s="1312"/>
    </row>
    <row r="923" spans="1:248" s="1218" customFormat="1" ht="14.1" customHeight="1">
      <c r="A923" s="1499"/>
      <c r="B923" s="1499"/>
      <c r="C923" s="1499"/>
      <c r="D923" s="1500"/>
      <c r="E923" s="1500"/>
      <c r="F923" s="1312"/>
    </row>
    <row r="924" spans="1:248" ht="14.1" customHeight="1">
      <c r="A924" s="1499" t="s">
        <v>4176</v>
      </c>
      <c r="B924" s="1501"/>
      <c r="C924" s="2775" t="s">
        <v>4316</v>
      </c>
      <c r="D924" s="2775"/>
      <c r="E924" s="2775"/>
      <c r="F924" s="1492"/>
    </row>
    <row r="925" spans="1:248" s="1218" customFormat="1" ht="14.1" customHeight="1">
      <c r="A925" s="1499"/>
      <c r="B925" s="1501"/>
      <c r="C925" s="2775"/>
      <c r="D925" s="2775"/>
      <c r="E925" s="2775"/>
      <c r="F925" s="1492"/>
    </row>
    <row r="926" spans="1:248" s="1218" customFormat="1" ht="14.1" customHeight="1">
      <c r="A926" s="1499"/>
      <c r="B926" s="1499"/>
      <c r="C926" s="1499"/>
      <c r="D926" s="1500"/>
      <c r="E926" s="1500"/>
      <c r="F926" s="1312"/>
    </row>
    <row r="927" spans="1:248" ht="14.1" customHeight="1">
      <c r="A927" s="1499" t="s">
        <v>4319</v>
      </c>
      <c r="B927" s="1499"/>
      <c r="C927" s="1499" t="s">
        <v>4320</v>
      </c>
      <c r="D927" s="1500"/>
      <c r="E927" s="1500"/>
    </row>
    <row r="928" spans="1:248" s="1218" customFormat="1" ht="14.1" customHeight="1">
      <c r="A928" s="1499"/>
      <c r="B928" s="1499"/>
      <c r="C928" s="1499"/>
      <c r="D928" s="1500"/>
      <c r="E928" s="1500"/>
      <c r="F928" s="1312"/>
    </row>
    <row r="929" spans="1:248" ht="14.1" customHeight="1">
      <c r="A929" s="1499" t="s">
        <v>4177</v>
      </c>
      <c r="B929" s="1499"/>
      <c r="C929" s="1499" t="s">
        <v>4178</v>
      </c>
      <c r="D929" s="1500"/>
      <c r="E929" s="1500"/>
    </row>
    <row r="930" spans="1:248" s="1218" customFormat="1" ht="14.1" customHeight="1">
      <c r="A930" s="1499"/>
      <c r="B930" s="1499"/>
      <c r="C930" s="1499" t="s">
        <v>4179</v>
      </c>
      <c r="D930" s="1500"/>
      <c r="E930" s="1500"/>
      <c r="F930" s="1312"/>
    </row>
    <row r="931" spans="1:248" s="1218" customFormat="1" ht="14.1" customHeight="1">
      <c r="A931" s="1499"/>
      <c r="B931" s="1499"/>
      <c r="C931" s="1499" t="s">
        <v>4180</v>
      </c>
      <c r="D931" s="1500"/>
      <c r="E931" s="1500"/>
      <c r="F931" s="1312"/>
    </row>
    <row r="932" spans="1:248" s="1218" customFormat="1" ht="14.1" customHeight="1">
      <c r="A932" s="1499"/>
      <c r="B932" s="1499"/>
      <c r="C932" s="1499" t="s">
        <v>4181</v>
      </c>
      <c r="D932" s="1500"/>
      <c r="E932" s="1500"/>
      <c r="F932" s="1312"/>
    </row>
    <row r="933" spans="1:248" s="1312" customFormat="1" ht="14.1" customHeight="1">
      <c r="A933" s="1499"/>
      <c r="B933" s="1499"/>
      <c r="C933" s="1499"/>
      <c r="D933" s="1500"/>
      <c r="E933" s="1500"/>
      <c r="G933" s="1218"/>
      <c r="H933" s="1218"/>
      <c r="I933" s="1218"/>
      <c r="J933" s="1218"/>
      <c r="K933" s="1218"/>
      <c r="L933" s="1218"/>
      <c r="M933" s="1218"/>
      <c r="N933" s="1218"/>
      <c r="O933" s="1218"/>
      <c r="P933" s="1218"/>
      <c r="Q933" s="1218"/>
      <c r="R933" s="1218"/>
      <c r="S933" s="1218"/>
      <c r="T933" s="1218"/>
      <c r="U933" s="1218"/>
      <c r="V933" s="1218"/>
      <c r="W933" s="1218"/>
      <c r="X933" s="1218"/>
      <c r="Y933" s="1218"/>
      <c r="Z933" s="1218"/>
      <c r="AA933" s="1218"/>
      <c r="AB933" s="1218"/>
      <c r="AC933" s="1218"/>
      <c r="AD933" s="1218"/>
      <c r="AE933" s="1218"/>
      <c r="AF933" s="1218"/>
      <c r="AG933" s="1218"/>
      <c r="AH933" s="1218"/>
      <c r="AI933" s="1218"/>
      <c r="AJ933" s="1218"/>
      <c r="AK933" s="1218"/>
      <c r="AL933" s="1218"/>
      <c r="AM933" s="1218"/>
      <c r="AN933" s="1218"/>
      <c r="AO933" s="1218"/>
      <c r="AP933" s="1218"/>
      <c r="AQ933" s="1218"/>
      <c r="AR933" s="1218"/>
      <c r="AS933" s="1218"/>
      <c r="AT933" s="1218"/>
      <c r="AU933" s="1218"/>
      <c r="AV933" s="1218"/>
      <c r="AW933" s="1218"/>
      <c r="AX933" s="1218"/>
      <c r="AY933" s="1218"/>
      <c r="AZ933" s="1218"/>
      <c r="BA933" s="1218"/>
      <c r="BB933" s="1218"/>
      <c r="BC933" s="1218"/>
      <c r="BD933" s="1218"/>
      <c r="BE933" s="1218"/>
      <c r="BF933" s="1218"/>
      <c r="BG933" s="1218"/>
      <c r="BH933" s="1218"/>
      <c r="BI933" s="1218"/>
      <c r="BJ933" s="1218"/>
      <c r="BK933" s="1218"/>
      <c r="BL933" s="1218"/>
      <c r="BM933" s="1218"/>
      <c r="BN933" s="1218"/>
      <c r="BO933" s="1218"/>
      <c r="BP933" s="1218"/>
      <c r="BQ933" s="1218"/>
      <c r="BR933" s="1218"/>
      <c r="BS933" s="1218"/>
      <c r="BT933" s="1218"/>
      <c r="BU933" s="1218"/>
      <c r="BV933" s="1218"/>
      <c r="BW933" s="1218"/>
      <c r="BX933" s="1218"/>
      <c r="BY933" s="1218"/>
      <c r="BZ933" s="1218"/>
      <c r="CA933" s="1218"/>
      <c r="CB933" s="1218"/>
      <c r="CC933" s="1218"/>
      <c r="CD933" s="1218"/>
      <c r="CE933" s="1218"/>
      <c r="CF933" s="1218"/>
      <c r="CG933" s="1218"/>
      <c r="CH933" s="1218"/>
      <c r="CI933" s="1218"/>
      <c r="CJ933" s="1218"/>
      <c r="CK933" s="1218"/>
      <c r="CL933" s="1218"/>
      <c r="CM933" s="1218"/>
      <c r="CN933" s="1218"/>
      <c r="CO933" s="1218"/>
      <c r="CP933" s="1218"/>
      <c r="CQ933" s="1218"/>
      <c r="CR933" s="1218"/>
      <c r="CS933" s="1218"/>
      <c r="CT933" s="1218"/>
      <c r="CU933" s="1218"/>
      <c r="CV933" s="1218"/>
      <c r="CW933" s="1218"/>
      <c r="CX933" s="1218"/>
      <c r="CY933" s="1218"/>
      <c r="CZ933" s="1218"/>
      <c r="DA933" s="1218"/>
      <c r="DB933" s="1218"/>
      <c r="DC933" s="1218"/>
      <c r="DD933" s="1218"/>
      <c r="DE933" s="1218"/>
      <c r="DF933" s="1218"/>
      <c r="DG933" s="1218"/>
      <c r="DH933" s="1218"/>
      <c r="DI933" s="1218"/>
      <c r="DJ933" s="1218"/>
      <c r="DK933" s="1218"/>
      <c r="DL933" s="1218"/>
      <c r="DM933" s="1218"/>
      <c r="DN933" s="1218"/>
      <c r="DO933" s="1218"/>
      <c r="DP933" s="1218"/>
      <c r="DQ933" s="1218"/>
      <c r="DR933" s="1218"/>
      <c r="DS933" s="1218"/>
      <c r="DT933" s="1218"/>
      <c r="DU933" s="1218"/>
      <c r="DV933" s="1218"/>
      <c r="DW933" s="1218"/>
      <c r="DX933" s="1218"/>
      <c r="DY933" s="1218"/>
      <c r="DZ933" s="1218"/>
      <c r="EA933" s="1218"/>
      <c r="EB933" s="1218"/>
      <c r="EC933" s="1218"/>
      <c r="ED933" s="1218"/>
      <c r="EE933" s="1218"/>
      <c r="EF933" s="1218"/>
      <c r="EG933" s="1218"/>
      <c r="EH933" s="1218"/>
      <c r="EI933" s="1218"/>
      <c r="EJ933" s="1218"/>
      <c r="EK933" s="1218"/>
      <c r="EL933" s="1218"/>
      <c r="EM933" s="1218"/>
      <c r="EN933" s="1218"/>
      <c r="EO933" s="1218"/>
      <c r="EP933" s="1218"/>
      <c r="EQ933" s="1218"/>
      <c r="ER933" s="1218"/>
      <c r="ES933" s="1218"/>
      <c r="ET933" s="1218"/>
      <c r="EU933" s="1218"/>
      <c r="EV933" s="1218"/>
      <c r="EW933" s="1218"/>
      <c r="EX933" s="1218"/>
      <c r="EY933" s="1218"/>
      <c r="EZ933" s="1218"/>
      <c r="FA933" s="1218"/>
      <c r="FB933" s="1218"/>
      <c r="FC933" s="1218"/>
      <c r="FD933" s="1218"/>
      <c r="FE933" s="1218"/>
      <c r="FF933" s="1218"/>
      <c r="FG933" s="1218"/>
      <c r="FH933" s="1218"/>
      <c r="FI933" s="1218"/>
      <c r="FJ933" s="1218"/>
      <c r="FK933" s="1218"/>
      <c r="FL933" s="1218"/>
      <c r="FM933" s="1218"/>
      <c r="FN933" s="1218"/>
      <c r="FO933" s="1218"/>
      <c r="FP933" s="1218"/>
      <c r="FQ933" s="1218"/>
      <c r="FR933" s="1218"/>
      <c r="FS933" s="1218"/>
      <c r="FT933" s="1218"/>
      <c r="FU933" s="1218"/>
      <c r="FV933" s="1218"/>
      <c r="FW933" s="1218"/>
      <c r="FX933" s="1218"/>
      <c r="FY933" s="1218"/>
      <c r="FZ933" s="1218"/>
      <c r="GA933" s="1218"/>
      <c r="GB933" s="1218"/>
      <c r="GC933" s="1218"/>
      <c r="GD933" s="1218"/>
      <c r="GE933" s="1218"/>
      <c r="GF933" s="1218"/>
      <c r="GG933" s="1218"/>
      <c r="GH933" s="1218"/>
      <c r="GI933" s="1218"/>
      <c r="GJ933" s="1218"/>
      <c r="GK933" s="1218"/>
      <c r="GL933" s="1218"/>
      <c r="GM933" s="1218"/>
      <c r="GN933" s="1218"/>
      <c r="GO933" s="1218"/>
      <c r="GP933" s="1218"/>
      <c r="GQ933" s="1218"/>
      <c r="GR933" s="1218"/>
      <c r="GS933" s="1218"/>
      <c r="GT933" s="1218"/>
      <c r="GU933" s="1218"/>
      <c r="GV933" s="1218"/>
      <c r="GW933" s="1218"/>
      <c r="GX933" s="1218"/>
      <c r="GY933" s="1218"/>
      <c r="GZ933" s="1218"/>
      <c r="HA933" s="1218"/>
      <c r="HB933" s="1218"/>
      <c r="HC933" s="1218"/>
      <c r="HD933" s="1218"/>
      <c r="HE933" s="1218"/>
      <c r="HF933" s="1218"/>
      <c r="HG933" s="1218"/>
      <c r="HH933" s="1218"/>
      <c r="HI933" s="1218"/>
      <c r="HJ933" s="1218"/>
      <c r="HK933" s="1218"/>
      <c r="HL933" s="1218"/>
      <c r="HM933" s="1218"/>
      <c r="HN933" s="1218"/>
      <c r="HO933" s="1218"/>
      <c r="HP933" s="1218"/>
      <c r="HQ933" s="1218"/>
      <c r="HR933" s="1218"/>
      <c r="HS933" s="1218"/>
      <c r="HT933" s="1218"/>
      <c r="HU933" s="1218"/>
      <c r="HV933" s="1218"/>
      <c r="HW933" s="1218"/>
      <c r="HX933" s="1218"/>
      <c r="HY933" s="1218"/>
      <c r="HZ933" s="1218"/>
      <c r="IA933" s="1218"/>
      <c r="IB933" s="1218"/>
      <c r="IC933" s="1218"/>
      <c r="ID933" s="1218"/>
      <c r="IE933" s="1218"/>
      <c r="IF933" s="1218"/>
      <c r="IG933" s="1218"/>
      <c r="IH933" s="1218"/>
      <c r="II933" s="1218"/>
      <c r="IJ933" s="1218"/>
      <c r="IK933" s="1218"/>
      <c r="IL933" s="1218"/>
      <c r="IM933" s="1218"/>
      <c r="IN933" s="1218"/>
    </row>
    <row r="934" spans="1:248" ht="14.1" customHeight="1">
      <c r="A934" s="1499" t="s">
        <v>4182</v>
      </c>
      <c r="B934" s="1499"/>
      <c r="C934" s="1499"/>
      <c r="D934" s="1500"/>
      <c r="E934" s="1500"/>
    </row>
    <row r="935" spans="1:248" s="1312" customFormat="1" ht="14.1" customHeight="1">
      <c r="A935" s="1499"/>
      <c r="B935" s="1499"/>
      <c r="C935" s="1499"/>
      <c r="D935" s="1500"/>
      <c r="E935" s="1500"/>
      <c r="G935" s="1218"/>
      <c r="H935" s="1218"/>
      <c r="I935" s="1218"/>
      <c r="J935" s="1218"/>
      <c r="K935" s="1218"/>
      <c r="L935" s="1218"/>
      <c r="M935" s="1218"/>
      <c r="N935" s="1218"/>
      <c r="O935" s="1218"/>
      <c r="P935" s="1218"/>
      <c r="Q935" s="1218"/>
      <c r="R935" s="1218"/>
      <c r="S935" s="1218"/>
      <c r="T935" s="1218"/>
      <c r="U935" s="1218"/>
      <c r="V935" s="1218"/>
      <c r="W935" s="1218"/>
      <c r="X935" s="1218"/>
      <c r="Y935" s="1218"/>
      <c r="Z935" s="1218"/>
      <c r="AA935" s="1218"/>
      <c r="AB935" s="1218"/>
      <c r="AC935" s="1218"/>
      <c r="AD935" s="1218"/>
      <c r="AE935" s="1218"/>
      <c r="AF935" s="1218"/>
      <c r="AG935" s="1218"/>
      <c r="AH935" s="1218"/>
      <c r="AI935" s="1218"/>
      <c r="AJ935" s="1218"/>
      <c r="AK935" s="1218"/>
      <c r="AL935" s="1218"/>
      <c r="AM935" s="1218"/>
      <c r="AN935" s="1218"/>
      <c r="AO935" s="1218"/>
      <c r="AP935" s="1218"/>
      <c r="AQ935" s="1218"/>
      <c r="AR935" s="1218"/>
      <c r="AS935" s="1218"/>
      <c r="AT935" s="1218"/>
      <c r="AU935" s="1218"/>
      <c r="AV935" s="1218"/>
      <c r="AW935" s="1218"/>
      <c r="AX935" s="1218"/>
      <c r="AY935" s="1218"/>
      <c r="AZ935" s="1218"/>
      <c r="BA935" s="1218"/>
      <c r="BB935" s="1218"/>
      <c r="BC935" s="1218"/>
      <c r="BD935" s="1218"/>
      <c r="BE935" s="1218"/>
      <c r="BF935" s="1218"/>
      <c r="BG935" s="1218"/>
      <c r="BH935" s="1218"/>
      <c r="BI935" s="1218"/>
      <c r="BJ935" s="1218"/>
      <c r="BK935" s="1218"/>
      <c r="BL935" s="1218"/>
      <c r="BM935" s="1218"/>
      <c r="BN935" s="1218"/>
      <c r="BO935" s="1218"/>
      <c r="BP935" s="1218"/>
      <c r="BQ935" s="1218"/>
      <c r="BR935" s="1218"/>
      <c r="BS935" s="1218"/>
      <c r="BT935" s="1218"/>
      <c r="BU935" s="1218"/>
      <c r="BV935" s="1218"/>
      <c r="BW935" s="1218"/>
      <c r="BX935" s="1218"/>
      <c r="BY935" s="1218"/>
      <c r="BZ935" s="1218"/>
      <c r="CA935" s="1218"/>
      <c r="CB935" s="1218"/>
      <c r="CC935" s="1218"/>
      <c r="CD935" s="1218"/>
      <c r="CE935" s="1218"/>
      <c r="CF935" s="1218"/>
      <c r="CG935" s="1218"/>
      <c r="CH935" s="1218"/>
      <c r="CI935" s="1218"/>
      <c r="CJ935" s="1218"/>
      <c r="CK935" s="1218"/>
      <c r="CL935" s="1218"/>
      <c r="CM935" s="1218"/>
      <c r="CN935" s="1218"/>
      <c r="CO935" s="1218"/>
      <c r="CP935" s="1218"/>
      <c r="CQ935" s="1218"/>
      <c r="CR935" s="1218"/>
      <c r="CS935" s="1218"/>
      <c r="CT935" s="1218"/>
      <c r="CU935" s="1218"/>
      <c r="CV935" s="1218"/>
      <c r="CW935" s="1218"/>
      <c r="CX935" s="1218"/>
      <c r="CY935" s="1218"/>
      <c r="CZ935" s="1218"/>
      <c r="DA935" s="1218"/>
      <c r="DB935" s="1218"/>
      <c r="DC935" s="1218"/>
      <c r="DD935" s="1218"/>
      <c r="DE935" s="1218"/>
      <c r="DF935" s="1218"/>
      <c r="DG935" s="1218"/>
      <c r="DH935" s="1218"/>
      <c r="DI935" s="1218"/>
      <c r="DJ935" s="1218"/>
      <c r="DK935" s="1218"/>
      <c r="DL935" s="1218"/>
      <c r="DM935" s="1218"/>
      <c r="DN935" s="1218"/>
      <c r="DO935" s="1218"/>
      <c r="DP935" s="1218"/>
      <c r="DQ935" s="1218"/>
      <c r="DR935" s="1218"/>
      <c r="DS935" s="1218"/>
      <c r="DT935" s="1218"/>
      <c r="DU935" s="1218"/>
      <c r="DV935" s="1218"/>
      <c r="DW935" s="1218"/>
      <c r="DX935" s="1218"/>
      <c r="DY935" s="1218"/>
      <c r="DZ935" s="1218"/>
      <c r="EA935" s="1218"/>
      <c r="EB935" s="1218"/>
      <c r="EC935" s="1218"/>
      <c r="ED935" s="1218"/>
      <c r="EE935" s="1218"/>
      <c r="EF935" s="1218"/>
      <c r="EG935" s="1218"/>
      <c r="EH935" s="1218"/>
      <c r="EI935" s="1218"/>
      <c r="EJ935" s="1218"/>
      <c r="EK935" s="1218"/>
      <c r="EL935" s="1218"/>
      <c r="EM935" s="1218"/>
      <c r="EN935" s="1218"/>
      <c r="EO935" s="1218"/>
      <c r="EP935" s="1218"/>
      <c r="EQ935" s="1218"/>
      <c r="ER935" s="1218"/>
      <c r="ES935" s="1218"/>
      <c r="ET935" s="1218"/>
      <c r="EU935" s="1218"/>
      <c r="EV935" s="1218"/>
      <c r="EW935" s="1218"/>
      <c r="EX935" s="1218"/>
      <c r="EY935" s="1218"/>
      <c r="EZ935" s="1218"/>
      <c r="FA935" s="1218"/>
      <c r="FB935" s="1218"/>
      <c r="FC935" s="1218"/>
      <c r="FD935" s="1218"/>
      <c r="FE935" s="1218"/>
      <c r="FF935" s="1218"/>
      <c r="FG935" s="1218"/>
      <c r="FH935" s="1218"/>
      <c r="FI935" s="1218"/>
      <c r="FJ935" s="1218"/>
      <c r="FK935" s="1218"/>
      <c r="FL935" s="1218"/>
      <c r="FM935" s="1218"/>
      <c r="FN935" s="1218"/>
      <c r="FO935" s="1218"/>
      <c r="FP935" s="1218"/>
      <c r="FQ935" s="1218"/>
      <c r="FR935" s="1218"/>
      <c r="FS935" s="1218"/>
      <c r="FT935" s="1218"/>
      <c r="FU935" s="1218"/>
      <c r="FV935" s="1218"/>
      <c r="FW935" s="1218"/>
      <c r="FX935" s="1218"/>
      <c r="FY935" s="1218"/>
      <c r="FZ935" s="1218"/>
      <c r="GA935" s="1218"/>
      <c r="GB935" s="1218"/>
      <c r="GC935" s="1218"/>
      <c r="GD935" s="1218"/>
      <c r="GE935" s="1218"/>
      <c r="GF935" s="1218"/>
      <c r="GG935" s="1218"/>
      <c r="GH935" s="1218"/>
      <c r="GI935" s="1218"/>
      <c r="GJ935" s="1218"/>
      <c r="GK935" s="1218"/>
      <c r="GL935" s="1218"/>
      <c r="GM935" s="1218"/>
      <c r="GN935" s="1218"/>
      <c r="GO935" s="1218"/>
      <c r="GP935" s="1218"/>
      <c r="GQ935" s="1218"/>
      <c r="GR935" s="1218"/>
      <c r="GS935" s="1218"/>
      <c r="GT935" s="1218"/>
      <c r="GU935" s="1218"/>
      <c r="GV935" s="1218"/>
      <c r="GW935" s="1218"/>
      <c r="GX935" s="1218"/>
      <c r="GY935" s="1218"/>
      <c r="GZ935" s="1218"/>
      <c r="HA935" s="1218"/>
      <c r="HB935" s="1218"/>
      <c r="HC935" s="1218"/>
      <c r="HD935" s="1218"/>
      <c r="HE935" s="1218"/>
      <c r="HF935" s="1218"/>
      <c r="HG935" s="1218"/>
      <c r="HH935" s="1218"/>
      <c r="HI935" s="1218"/>
      <c r="HJ935" s="1218"/>
      <c r="HK935" s="1218"/>
      <c r="HL935" s="1218"/>
      <c r="HM935" s="1218"/>
      <c r="HN935" s="1218"/>
      <c r="HO935" s="1218"/>
      <c r="HP935" s="1218"/>
      <c r="HQ935" s="1218"/>
      <c r="HR935" s="1218"/>
      <c r="HS935" s="1218"/>
      <c r="HT935" s="1218"/>
      <c r="HU935" s="1218"/>
      <c r="HV935" s="1218"/>
      <c r="HW935" s="1218"/>
      <c r="HX935" s="1218"/>
      <c r="HY935" s="1218"/>
      <c r="HZ935" s="1218"/>
      <c r="IA935" s="1218"/>
      <c r="IB935" s="1218"/>
      <c r="IC935" s="1218"/>
      <c r="ID935" s="1218"/>
      <c r="IE935" s="1218"/>
      <c r="IF935" s="1218"/>
      <c r="IG935" s="1218"/>
      <c r="IH935" s="1218"/>
      <c r="II935" s="1218"/>
      <c r="IJ935" s="1218"/>
      <c r="IK935" s="1218"/>
      <c r="IL935" s="1218"/>
      <c r="IM935" s="1218"/>
      <c r="IN935" s="1218"/>
    </row>
    <row r="936" spans="1:248" ht="14.1" customHeight="1">
      <c r="A936" s="1502" t="s">
        <v>3339</v>
      </c>
      <c r="B936" s="1499"/>
      <c r="C936" s="1499"/>
      <c r="D936" s="1500"/>
      <c r="E936" s="1500"/>
    </row>
    <row r="937" spans="1:248" s="1312" customFormat="1" ht="14.1" customHeight="1">
      <c r="A937" s="1503" t="s">
        <v>3940</v>
      </c>
      <c r="B937" s="1503"/>
      <c r="C937" s="1503"/>
      <c r="D937" s="1500"/>
      <c r="E937" s="1500"/>
      <c r="G937" s="1218"/>
      <c r="H937" s="1218"/>
      <c r="I937" s="1218"/>
      <c r="J937" s="1218"/>
      <c r="K937" s="1218"/>
      <c r="L937" s="1218"/>
      <c r="M937" s="1218"/>
      <c r="N937" s="1218"/>
      <c r="O937" s="1218"/>
      <c r="P937" s="1218"/>
      <c r="Q937" s="1218"/>
      <c r="R937" s="1218"/>
      <c r="S937" s="1218"/>
      <c r="T937" s="1218"/>
      <c r="U937" s="1218"/>
      <c r="V937" s="1218"/>
      <c r="W937" s="1218"/>
      <c r="X937" s="1218"/>
      <c r="Y937" s="1218"/>
      <c r="Z937" s="1218"/>
      <c r="AA937" s="1218"/>
      <c r="AB937" s="1218"/>
      <c r="AC937" s="1218"/>
      <c r="AD937" s="1218"/>
      <c r="AE937" s="1218"/>
      <c r="AF937" s="1218"/>
      <c r="AG937" s="1218"/>
      <c r="AH937" s="1218"/>
      <c r="AI937" s="1218"/>
      <c r="AJ937" s="1218"/>
      <c r="AK937" s="1218"/>
      <c r="AL937" s="1218"/>
      <c r="AM937" s="1218"/>
      <c r="AN937" s="1218"/>
      <c r="AO937" s="1218"/>
      <c r="AP937" s="1218"/>
      <c r="AQ937" s="1218"/>
      <c r="AR937" s="1218"/>
      <c r="AS937" s="1218"/>
      <c r="AT937" s="1218"/>
      <c r="AU937" s="1218"/>
      <c r="AV937" s="1218"/>
      <c r="AW937" s="1218"/>
      <c r="AX937" s="1218"/>
      <c r="AY937" s="1218"/>
      <c r="AZ937" s="1218"/>
      <c r="BA937" s="1218"/>
      <c r="BB937" s="1218"/>
      <c r="BC937" s="1218"/>
      <c r="BD937" s="1218"/>
      <c r="BE937" s="1218"/>
      <c r="BF937" s="1218"/>
      <c r="BG937" s="1218"/>
      <c r="BH937" s="1218"/>
      <c r="BI937" s="1218"/>
      <c r="BJ937" s="1218"/>
      <c r="BK937" s="1218"/>
      <c r="BL937" s="1218"/>
      <c r="BM937" s="1218"/>
      <c r="BN937" s="1218"/>
      <c r="BO937" s="1218"/>
      <c r="BP937" s="1218"/>
      <c r="BQ937" s="1218"/>
      <c r="BR937" s="1218"/>
      <c r="BS937" s="1218"/>
      <c r="BT937" s="1218"/>
      <c r="BU937" s="1218"/>
      <c r="BV937" s="1218"/>
      <c r="BW937" s="1218"/>
      <c r="BX937" s="1218"/>
      <c r="BY937" s="1218"/>
      <c r="BZ937" s="1218"/>
      <c r="CA937" s="1218"/>
      <c r="CB937" s="1218"/>
      <c r="CC937" s="1218"/>
      <c r="CD937" s="1218"/>
      <c r="CE937" s="1218"/>
      <c r="CF937" s="1218"/>
      <c r="CG937" s="1218"/>
      <c r="CH937" s="1218"/>
      <c r="CI937" s="1218"/>
      <c r="CJ937" s="1218"/>
      <c r="CK937" s="1218"/>
      <c r="CL937" s="1218"/>
      <c r="CM937" s="1218"/>
      <c r="CN937" s="1218"/>
      <c r="CO937" s="1218"/>
      <c r="CP937" s="1218"/>
      <c r="CQ937" s="1218"/>
      <c r="CR937" s="1218"/>
      <c r="CS937" s="1218"/>
      <c r="CT937" s="1218"/>
      <c r="CU937" s="1218"/>
      <c r="CV937" s="1218"/>
      <c r="CW937" s="1218"/>
      <c r="CX937" s="1218"/>
      <c r="CY937" s="1218"/>
      <c r="CZ937" s="1218"/>
      <c r="DA937" s="1218"/>
      <c r="DB937" s="1218"/>
      <c r="DC937" s="1218"/>
      <c r="DD937" s="1218"/>
      <c r="DE937" s="1218"/>
      <c r="DF937" s="1218"/>
      <c r="DG937" s="1218"/>
      <c r="DH937" s="1218"/>
      <c r="DI937" s="1218"/>
      <c r="DJ937" s="1218"/>
      <c r="DK937" s="1218"/>
      <c r="DL937" s="1218"/>
      <c r="DM937" s="1218"/>
      <c r="DN937" s="1218"/>
      <c r="DO937" s="1218"/>
      <c r="DP937" s="1218"/>
      <c r="DQ937" s="1218"/>
      <c r="DR937" s="1218"/>
      <c r="DS937" s="1218"/>
      <c r="DT937" s="1218"/>
      <c r="DU937" s="1218"/>
      <c r="DV937" s="1218"/>
      <c r="DW937" s="1218"/>
      <c r="DX937" s="1218"/>
      <c r="DY937" s="1218"/>
      <c r="DZ937" s="1218"/>
      <c r="EA937" s="1218"/>
      <c r="EB937" s="1218"/>
      <c r="EC937" s="1218"/>
      <c r="ED937" s="1218"/>
      <c r="EE937" s="1218"/>
      <c r="EF937" s="1218"/>
      <c r="EG937" s="1218"/>
      <c r="EH937" s="1218"/>
      <c r="EI937" s="1218"/>
      <c r="EJ937" s="1218"/>
      <c r="EK937" s="1218"/>
      <c r="EL937" s="1218"/>
      <c r="EM937" s="1218"/>
      <c r="EN937" s="1218"/>
      <c r="EO937" s="1218"/>
      <c r="EP937" s="1218"/>
      <c r="EQ937" s="1218"/>
      <c r="ER937" s="1218"/>
      <c r="ES937" s="1218"/>
      <c r="ET937" s="1218"/>
      <c r="EU937" s="1218"/>
      <c r="EV937" s="1218"/>
      <c r="EW937" s="1218"/>
      <c r="EX937" s="1218"/>
      <c r="EY937" s="1218"/>
      <c r="EZ937" s="1218"/>
      <c r="FA937" s="1218"/>
      <c r="FB937" s="1218"/>
      <c r="FC937" s="1218"/>
      <c r="FD937" s="1218"/>
      <c r="FE937" s="1218"/>
      <c r="FF937" s="1218"/>
      <c r="FG937" s="1218"/>
      <c r="FH937" s="1218"/>
      <c r="FI937" s="1218"/>
      <c r="FJ937" s="1218"/>
      <c r="FK937" s="1218"/>
      <c r="FL937" s="1218"/>
      <c r="FM937" s="1218"/>
      <c r="FN937" s="1218"/>
      <c r="FO937" s="1218"/>
      <c r="FP937" s="1218"/>
      <c r="FQ937" s="1218"/>
      <c r="FR937" s="1218"/>
      <c r="FS937" s="1218"/>
      <c r="FT937" s="1218"/>
      <c r="FU937" s="1218"/>
      <c r="FV937" s="1218"/>
      <c r="FW937" s="1218"/>
      <c r="FX937" s="1218"/>
      <c r="FY937" s="1218"/>
      <c r="FZ937" s="1218"/>
      <c r="GA937" s="1218"/>
      <c r="GB937" s="1218"/>
      <c r="GC937" s="1218"/>
      <c r="GD937" s="1218"/>
      <c r="GE937" s="1218"/>
      <c r="GF937" s="1218"/>
      <c r="GG937" s="1218"/>
      <c r="GH937" s="1218"/>
      <c r="GI937" s="1218"/>
      <c r="GJ937" s="1218"/>
      <c r="GK937" s="1218"/>
      <c r="GL937" s="1218"/>
      <c r="GM937" s="1218"/>
      <c r="GN937" s="1218"/>
      <c r="GO937" s="1218"/>
      <c r="GP937" s="1218"/>
      <c r="GQ937" s="1218"/>
      <c r="GR937" s="1218"/>
      <c r="GS937" s="1218"/>
      <c r="GT937" s="1218"/>
      <c r="GU937" s="1218"/>
      <c r="GV937" s="1218"/>
      <c r="GW937" s="1218"/>
      <c r="GX937" s="1218"/>
      <c r="GY937" s="1218"/>
      <c r="GZ937" s="1218"/>
      <c r="HA937" s="1218"/>
      <c r="HB937" s="1218"/>
      <c r="HC937" s="1218"/>
      <c r="HD937" s="1218"/>
      <c r="HE937" s="1218"/>
      <c r="HF937" s="1218"/>
      <c r="HG937" s="1218"/>
      <c r="HH937" s="1218"/>
      <c r="HI937" s="1218"/>
      <c r="HJ937" s="1218"/>
      <c r="HK937" s="1218"/>
      <c r="HL937" s="1218"/>
      <c r="HM937" s="1218"/>
      <c r="HN937" s="1218"/>
      <c r="HO937" s="1218"/>
      <c r="HP937" s="1218"/>
      <c r="HQ937" s="1218"/>
      <c r="HR937" s="1218"/>
      <c r="HS937" s="1218"/>
      <c r="HT937" s="1218"/>
      <c r="HU937" s="1218"/>
      <c r="HV937" s="1218"/>
      <c r="HW937" s="1218"/>
      <c r="HX937" s="1218"/>
      <c r="HY937" s="1218"/>
      <c r="HZ937" s="1218"/>
      <c r="IA937" s="1218"/>
      <c r="IB937" s="1218"/>
      <c r="IC937" s="1218"/>
      <c r="ID937" s="1218"/>
      <c r="IE937" s="1218"/>
      <c r="IF937" s="1218"/>
      <c r="IG937" s="1218"/>
      <c r="IH937" s="1218"/>
      <c r="II937" s="1218"/>
      <c r="IJ937" s="1218"/>
      <c r="IK937" s="1218"/>
      <c r="IL937" s="1218"/>
      <c r="IM937" s="1218"/>
      <c r="IN937" s="1218"/>
    </row>
    <row r="938" spans="1:248" s="1312" customFormat="1" ht="14.1" customHeight="1">
      <c r="A938" s="1502" t="s">
        <v>3941</v>
      </c>
      <c r="B938" s="1499"/>
      <c r="C938" s="1499"/>
      <c r="D938" s="1500"/>
      <c r="E938" s="1500"/>
      <c r="G938" s="1218"/>
      <c r="H938" s="1218"/>
      <c r="I938" s="1218"/>
      <c r="J938" s="1218"/>
      <c r="K938" s="1218"/>
      <c r="L938" s="1218"/>
      <c r="M938" s="1218"/>
      <c r="N938" s="1218"/>
      <c r="O938" s="1218"/>
      <c r="P938" s="1218"/>
      <c r="Q938" s="1218"/>
      <c r="R938" s="1218"/>
      <c r="S938" s="1218"/>
      <c r="T938" s="1218"/>
      <c r="U938" s="1218"/>
      <c r="V938" s="1218"/>
      <c r="W938" s="1218"/>
      <c r="X938" s="1218"/>
      <c r="Y938" s="1218"/>
      <c r="Z938" s="1218"/>
      <c r="AA938" s="1218"/>
      <c r="AB938" s="1218"/>
      <c r="AC938" s="1218"/>
      <c r="AD938" s="1218"/>
      <c r="AE938" s="1218"/>
      <c r="AF938" s="1218"/>
      <c r="AG938" s="1218"/>
      <c r="AH938" s="1218"/>
      <c r="AI938" s="1218"/>
      <c r="AJ938" s="1218"/>
      <c r="AK938" s="1218"/>
      <c r="AL938" s="1218"/>
      <c r="AM938" s="1218"/>
      <c r="AN938" s="1218"/>
      <c r="AO938" s="1218"/>
      <c r="AP938" s="1218"/>
      <c r="AQ938" s="1218"/>
      <c r="AR938" s="1218"/>
      <c r="AS938" s="1218"/>
      <c r="AT938" s="1218"/>
      <c r="AU938" s="1218"/>
      <c r="AV938" s="1218"/>
      <c r="AW938" s="1218"/>
      <c r="AX938" s="1218"/>
      <c r="AY938" s="1218"/>
      <c r="AZ938" s="1218"/>
      <c r="BA938" s="1218"/>
      <c r="BB938" s="1218"/>
      <c r="BC938" s="1218"/>
      <c r="BD938" s="1218"/>
      <c r="BE938" s="1218"/>
      <c r="BF938" s="1218"/>
      <c r="BG938" s="1218"/>
      <c r="BH938" s="1218"/>
      <c r="BI938" s="1218"/>
      <c r="BJ938" s="1218"/>
      <c r="BK938" s="1218"/>
      <c r="BL938" s="1218"/>
      <c r="BM938" s="1218"/>
      <c r="BN938" s="1218"/>
      <c r="BO938" s="1218"/>
      <c r="BP938" s="1218"/>
      <c r="BQ938" s="1218"/>
      <c r="BR938" s="1218"/>
      <c r="BS938" s="1218"/>
      <c r="BT938" s="1218"/>
      <c r="BU938" s="1218"/>
      <c r="BV938" s="1218"/>
      <c r="BW938" s="1218"/>
      <c r="BX938" s="1218"/>
      <c r="BY938" s="1218"/>
      <c r="BZ938" s="1218"/>
      <c r="CA938" s="1218"/>
      <c r="CB938" s="1218"/>
      <c r="CC938" s="1218"/>
      <c r="CD938" s="1218"/>
      <c r="CE938" s="1218"/>
      <c r="CF938" s="1218"/>
      <c r="CG938" s="1218"/>
      <c r="CH938" s="1218"/>
      <c r="CI938" s="1218"/>
      <c r="CJ938" s="1218"/>
      <c r="CK938" s="1218"/>
      <c r="CL938" s="1218"/>
      <c r="CM938" s="1218"/>
      <c r="CN938" s="1218"/>
      <c r="CO938" s="1218"/>
      <c r="CP938" s="1218"/>
      <c r="CQ938" s="1218"/>
      <c r="CR938" s="1218"/>
      <c r="CS938" s="1218"/>
      <c r="CT938" s="1218"/>
      <c r="CU938" s="1218"/>
      <c r="CV938" s="1218"/>
      <c r="CW938" s="1218"/>
      <c r="CX938" s="1218"/>
      <c r="CY938" s="1218"/>
      <c r="CZ938" s="1218"/>
      <c r="DA938" s="1218"/>
      <c r="DB938" s="1218"/>
      <c r="DC938" s="1218"/>
      <c r="DD938" s="1218"/>
      <c r="DE938" s="1218"/>
      <c r="DF938" s="1218"/>
      <c r="DG938" s="1218"/>
      <c r="DH938" s="1218"/>
      <c r="DI938" s="1218"/>
      <c r="DJ938" s="1218"/>
      <c r="DK938" s="1218"/>
      <c r="DL938" s="1218"/>
      <c r="DM938" s="1218"/>
      <c r="DN938" s="1218"/>
      <c r="DO938" s="1218"/>
      <c r="DP938" s="1218"/>
      <c r="DQ938" s="1218"/>
      <c r="DR938" s="1218"/>
      <c r="DS938" s="1218"/>
      <c r="DT938" s="1218"/>
      <c r="DU938" s="1218"/>
      <c r="DV938" s="1218"/>
      <c r="DW938" s="1218"/>
      <c r="DX938" s="1218"/>
      <c r="DY938" s="1218"/>
      <c r="DZ938" s="1218"/>
      <c r="EA938" s="1218"/>
      <c r="EB938" s="1218"/>
      <c r="EC938" s="1218"/>
      <c r="ED938" s="1218"/>
      <c r="EE938" s="1218"/>
      <c r="EF938" s="1218"/>
      <c r="EG938" s="1218"/>
      <c r="EH938" s="1218"/>
      <c r="EI938" s="1218"/>
      <c r="EJ938" s="1218"/>
      <c r="EK938" s="1218"/>
      <c r="EL938" s="1218"/>
      <c r="EM938" s="1218"/>
      <c r="EN938" s="1218"/>
      <c r="EO938" s="1218"/>
      <c r="EP938" s="1218"/>
      <c r="EQ938" s="1218"/>
      <c r="ER938" s="1218"/>
      <c r="ES938" s="1218"/>
      <c r="ET938" s="1218"/>
      <c r="EU938" s="1218"/>
      <c r="EV938" s="1218"/>
      <c r="EW938" s="1218"/>
      <c r="EX938" s="1218"/>
      <c r="EY938" s="1218"/>
      <c r="EZ938" s="1218"/>
      <c r="FA938" s="1218"/>
      <c r="FB938" s="1218"/>
      <c r="FC938" s="1218"/>
      <c r="FD938" s="1218"/>
      <c r="FE938" s="1218"/>
      <c r="FF938" s="1218"/>
      <c r="FG938" s="1218"/>
      <c r="FH938" s="1218"/>
      <c r="FI938" s="1218"/>
      <c r="FJ938" s="1218"/>
      <c r="FK938" s="1218"/>
      <c r="FL938" s="1218"/>
      <c r="FM938" s="1218"/>
      <c r="FN938" s="1218"/>
      <c r="FO938" s="1218"/>
      <c r="FP938" s="1218"/>
      <c r="FQ938" s="1218"/>
      <c r="FR938" s="1218"/>
      <c r="FS938" s="1218"/>
      <c r="FT938" s="1218"/>
      <c r="FU938" s="1218"/>
      <c r="FV938" s="1218"/>
      <c r="FW938" s="1218"/>
      <c r="FX938" s="1218"/>
      <c r="FY938" s="1218"/>
      <c r="FZ938" s="1218"/>
      <c r="GA938" s="1218"/>
      <c r="GB938" s="1218"/>
      <c r="GC938" s="1218"/>
      <c r="GD938" s="1218"/>
      <c r="GE938" s="1218"/>
      <c r="GF938" s="1218"/>
      <c r="GG938" s="1218"/>
      <c r="GH938" s="1218"/>
      <c r="GI938" s="1218"/>
      <c r="GJ938" s="1218"/>
      <c r="GK938" s="1218"/>
      <c r="GL938" s="1218"/>
      <c r="GM938" s="1218"/>
      <c r="GN938" s="1218"/>
      <c r="GO938" s="1218"/>
      <c r="GP938" s="1218"/>
      <c r="GQ938" s="1218"/>
      <c r="GR938" s="1218"/>
      <c r="GS938" s="1218"/>
      <c r="GT938" s="1218"/>
      <c r="GU938" s="1218"/>
      <c r="GV938" s="1218"/>
      <c r="GW938" s="1218"/>
      <c r="GX938" s="1218"/>
      <c r="GY938" s="1218"/>
      <c r="GZ938" s="1218"/>
      <c r="HA938" s="1218"/>
      <c r="HB938" s="1218"/>
      <c r="HC938" s="1218"/>
      <c r="HD938" s="1218"/>
      <c r="HE938" s="1218"/>
      <c r="HF938" s="1218"/>
      <c r="HG938" s="1218"/>
      <c r="HH938" s="1218"/>
      <c r="HI938" s="1218"/>
      <c r="HJ938" s="1218"/>
      <c r="HK938" s="1218"/>
      <c r="HL938" s="1218"/>
      <c r="HM938" s="1218"/>
      <c r="HN938" s="1218"/>
      <c r="HO938" s="1218"/>
      <c r="HP938" s="1218"/>
      <c r="HQ938" s="1218"/>
      <c r="HR938" s="1218"/>
      <c r="HS938" s="1218"/>
      <c r="HT938" s="1218"/>
      <c r="HU938" s="1218"/>
      <c r="HV938" s="1218"/>
      <c r="HW938" s="1218"/>
      <c r="HX938" s="1218"/>
      <c r="HY938" s="1218"/>
      <c r="HZ938" s="1218"/>
      <c r="IA938" s="1218"/>
      <c r="IB938" s="1218"/>
      <c r="IC938" s="1218"/>
      <c r="ID938" s="1218"/>
      <c r="IE938" s="1218"/>
      <c r="IF938" s="1218"/>
      <c r="IG938" s="1218"/>
      <c r="IH938" s="1218"/>
      <c r="II938" s="1218"/>
      <c r="IJ938" s="1218"/>
      <c r="IK938" s="1218"/>
      <c r="IL938" s="1218"/>
      <c r="IM938" s="1218"/>
      <c r="IN938" s="1218"/>
    </row>
    <row r="939" spans="1:248" s="1312" customFormat="1" ht="14.1" customHeight="1">
      <c r="A939" s="1332" t="s">
        <v>3941</v>
      </c>
      <c r="B939" s="1218"/>
      <c r="C939" s="1218"/>
      <c r="G939" s="1218"/>
      <c r="H939" s="1218"/>
      <c r="I939" s="1218"/>
      <c r="J939" s="1218"/>
      <c r="K939" s="1218"/>
      <c r="L939" s="1218"/>
      <c r="M939" s="1218"/>
      <c r="N939" s="1218"/>
      <c r="O939" s="1218"/>
      <c r="P939" s="1218"/>
      <c r="Q939" s="1218"/>
      <c r="R939" s="1218"/>
      <c r="S939" s="1218"/>
      <c r="T939" s="1218"/>
      <c r="U939" s="1218"/>
      <c r="V939" s="1218"/>
      <c r="W939" s="1218"/>
      <c r="X939" s="1218"/>
      <c r="Y939" s="1218"/>
      <c r="Z939" s="1218"/>
      <c r="AA939" s="1218"/>
      <c r="AB939" s="1218"/>
      <c r="AC939" s="1218"/>
      <c r="AD939" s="1218"/>
      <c r="AE939" s="1218"/>
      <c r="AF939" s="1218"/>
      <c r="AG939" s="1218"/>
      <c r="AH939" s="1218"/>
      <c r="AI939" s="1218"/>
      <c r="AJ939" s="1218"/>
      <c r="AK939" s="1218"/>
      <c r="AL939" s="1218"/>
      <c r="AM939" s="1218"/>
      <c r="AN939" s="1218"/>
      <c r="AO939" s="1218"/>
      <c r="AP939" s="1218"/>
      <c r="AQ939" s="1218"/>
      <c r="AR939" s="1218"/>
      <c r="AS939" s="1218"/>
      <c r="AT939" s="1218"/>
      <c r="AU939" s="1218"/>
      <c r="AV939" s="1218"/>
      <c r="AW939" s="1218"/>
      <c r="AX939" s="1218"/>
      <c r="AY939" s="1218"/>
      <c r="AZ939" s="1218"/>
      <c r="BA939" s="1218"/>
      <c r="BB939" s="1218"/>
      <c r="BC939" s="1218"/>
      <c r="BD939" s="1218"/>
      <c r="BE939" s="1218"/>
      <c r="BF939" s="1218"/>
      <c r="BG939" s="1218"/>
      <c r="BH939" s="1218"/>
      <c r="BI939" s="1218"/>
      <c r="BJ939" s="1218"/>
      <c r="BK939" s="1218"/>
      <c r="BL939" s="1218"/>
      <c r="BM939" s="1218"/>
      <c r="BN939" s="1218"/>
      <c r="BO939" s="1218"/>
      <c r="BP939" s="1218"/>
      <c r="BQ939" s="1218"/>
      <c r="BR939" s="1218"/>
      <c r="BS939" s="1218"/>
      <c r="BT939" s="1218"/>
      <c r="BU939" s="1218"/>
      <c r="BV939" s="1218"/>
      <c r="BW939" s="1218"/>
      <c r="BX939" s="1218"/>
      <c r="BY939" s="1218"/>
      <c r="BZ939" s="1218"/>
      <c r="CA939" s="1218"/>
      <c r="CB939" s="1218"/>
      <c r="CC939" s="1218"/>
      <c r="CD939" s="1218"/>
      <c r="CE939" s="1218"/>
      <c r="CF939" s="1218"/>
      <c r="CG939" s="1218"/>
      <c r="CH939" s="1218"/>
      <c r="CI939" s="1218"/>
      <c r="CJ939" s="1218"/>
      <c r="CK939" s="1218"/>
      <c r="CL939" s="1218"/>
      <c r="CM939" s="1218"/>
      <c r="CN939" s="1218"/>
      <c r="CO939" s="1218"/>
      <c r="CP939" s="1218"/>
      <c r="CQ939" s="1218"/>
      <c r="CR939" s="1218"/>
      <c r="CS939" s="1218"/>
      <c r="CT939" s="1218"/>
      <c r="CU939" s="1218"/>
      <c r="CV939" s="1218"/>
      <c r="CW939" s="1218"/>
      <c r="CX939" s="1218"/>
      <c r="CY939" s="1218"/>
      <c r="CZ939" s="1218"/>
      <c r="DA939" s="1218"/>
      <c r="DB939" s="1218"/>
      <c r="DC939" s="1218"/>
      <c r="DD939" s="1218"/>
      <c r="DE939" s="1218"/>
      <c r="DF939" s="1218"/>
      <c r="DG939" s="1218"/>
      <c r="DH939" s="1218"/>
      <c r="DI939" s="1218"/>
      <c r="DJ939" s="1218"/>
      <c r="DK939" s="1218"/>
      <c r="DL939" s="1218"/>
      <c r="DM939" s="1218"/>
      <c r="DN939" s="1218"/>
      <c r="DO939" s="1218"/>
      <c r="DP939" s="1218"/>
      <c r="DQ939" s="1218"/>
      <c r="DR939" s="1218"/>
      <c r="DS939" s="1218"/>
      <c r="DT939" s="1218"/>
      <c r="DU939" s="1218"/>
      <c r="DV939" s="1218"/>
      <c r="DW939" s="1218"/>
      <c r="DX939" s="1218"/>
      <c r="DY939" s="1218"/>
      <c r="DZ939" s="1218"/>
      <c r="EA939" s="1218"/>
      <c r="EB939" s="1218"/>
      <c r="EC939" s="1218"/>
      <c r="ED939" s="1218"/>
      <c r="EE939" s="1218"/>
      <c r="EF939" s="1218"/>
      <c r="EG939" s="1218"/>
      <c r="EH939" s="1218"/>
      <c r="EI939" s="1218"/>
      <c r="EJ939" s="1218"/>
      <c r="EK939" s="1218"/>
      <c r="EL939" s="1218"/>
      <c r="EM939" s="1218"/>
      <c r="EN939" s="1218"/>
      <c r="EO939" s="1218"/>
      <c r="EP939" s="1218"/>
      <c r="EQ939" s="1218"/>
      <c r="ER939" s="1218"/>
      <c r="ES939" s="1218"/>
      <c r="ET939" s="1218"/>
      <c r="EU939" s="1218"/>
      <c r="EV939" s="1218"/>
      <c r="EW939" s="1218"/>
      <c r="EX939" s="1218"/>
      <c r="EY939" s="1218"/>
      <c r="EZ939" s="1218"/>
      <c r="FA939" s="1218"/>
      <c r="FB939" s="1218"/>
      <c r="FC939" s="1218"/>
      <c r="FD939" s="1218"/>
      <c r="FE939" s="1218"/>
      <c r="FF939" s="1218"/>
      <c r="FG939" s="1218"/>
      <c r="FH939" s="1218"/>
      <c r="FI939" s="1218"/>
      <c r="FJ939" s="1218"/>
      <c r="FK939" s="1218"/>
      <c r="FL939" s="1218"/>
      <c r="FM939" s="1218"/>
      <c r="FN939" s="1218"/>
      <c r="FO939" s="1218"/>
      <c r="FP939" s="1218"/>
      <c r="FQ939" s="1218"/>
      <c r="FR939" s="1218"/>
      <c r="FS939" s="1218"/>
      <c r="FT939" s="1218"/>
      <c r="FU939" s="1218"/>
      <c r="FV939" s="1218"/>
      <c r="FW939" s="1218"/>
      <c r="FX939" s="1218"/>
      <c r="FY939" s="1218"/>
      <c r="FZ939" s="1218"/>
      <c r="GA939" s="1218"/>
      <c r="GB939" s="1218"/>
      <c r="GC939" s="1218"/>
      <c r="GD939" s="1218"/>
      <c r="GE939" s="1218"/>
      <c r="GF939" s="1218"/>
      <c r="GG939" s="1218"/>
      <c r="GH939" s="1218"/>
      <c r="GI939" s="1218"/>
      <c r="GJ939" s="1218"/>
      <c r="GK939" s="1218"/>
      <c r="GL939" s="1218"/>
      <c r="GM939" s="1218"/>
      <c r="GN939" s="1218"/>
      <c r="GO939" s="1218"/>
      <c r="GP939" s="1218"/>
      <c r="GQ939" s="1218"/>
      <c r="GR939" s="1218"/>
      <c r="GS939" s="1218"/>
      <c r="GT939" s="1218"/>
      <c r="GU939" s="1218"/>
      <c r="GV939" s="1218"/>
      <c r="GW939" s="1218"/>
      <c r="GX939" s="1218"/>
      <c r="GY939" s="1218"/>
      <c r="GZ939" s="1218"/>
      <c r="HA939" s="1218"/>
      <c r="HB939" s="1218"/>
      <c r="HC939" s="1218"/>
      <c r="HD939" s="1218"/>
      <c r="HE939" s="1218"/>
      <c r="HF939" s="1218"/>
      <c r="HG939" s="1218"/>
      <c r="HH939" s="1218"/>
      <c r="HI939" s="1218"/>
      <c r="HJ939" s="1218"/>
      <c r="HK939" s="1218"/>
      <c r="HL939" s="1218"/>
      <c r="HM939" s="1218"/>
      <c r="HN939" s="1218"/>
      <c r="HO939" s="1218"/>
      <c r="HP939" s="1218"/>
      <c r="HQ939" s="1218"/>
      <c r="HR939" s="1218"/>
      <c r="HS939" s="1218"/>
      <c r="HT939" s="1218"/>
      <c r="HU939" s="1218"/>
      <c r="HV939" s="1218"/>
      <c r="HW939" s="1218"/>
      <c r="HX939" s="1218"/>
      <c r="HY939" s="1218"/>
      <c r="HZ939" s="1218"/>
      <c r="IA939" s="1218"/>
      <c r="IB939" s="1218"/>
      <c r="IC939" s="1218"/>
      <c r="ID939" s="1218"/>
      <c r="IE939" s="1218"/>
      <c r="IF939" s="1218"/>
      <c r="IG939" s="1218"/>
      <c r="IH939" s="1218"/>
      <c r="II939" s="1218"/>
      <c r="IJ939" s="1218"/>
      <c r="IK939" s="1218"/>
      <c r="IL939" s="1218"/>
      <c r="IM939" s="1218"/>
      <c r="IN939" s="1218"/>
    </row>
    <row r="943" spans="1:248" s="1312" customFormat="1" ht="15">
      <c r="A943" s="1330"/>
      <c r="B943" s="1218"/>
      <c r="C943" s="1218"/>
      <c r="G943" s="1218"/>
      <c r="H943" s="1218"/>
      <c r="I943" s="1218"/>
      <c r="J943" s="1218"/>
      <c r="K943" s="1218"/>
      <c r="L943" s="1218"/>
      <c r="M943" s="1218"/>
      <c r="N943" s="1218"/>
      <c r="O943" s="1218"/>
      <c r="P943" s="1218"/>
      <c r="Q943" s="1218"/>
      <c r="R943" s="1218"/>
      <c r="S943" s="1218"/>
      <c r="T943" s="1218"/>
      <c r="U943" s="1218"/>
      <c r="V943" s="1218"/>
      <c r="W943" s="1218"/>
      <c r="X943" s="1218"/>
      <c r="Y943" s="1218"/>
      <c r="Z943" s="1218"/>
      <c r="AA943" s="1218"/>
      <c r="AB943" s="1218"/>
      <c r="AC943" s="1218"/>
      <c r="AD943" s="1218"/>
      <c r="AE943" s="1218"/>
      <c r="AF943" s="1218"/>
      <c r="AG943" s="1218"/>
      <c r="AH943" s="1218"/>
      <c r="AI943" s="1218"/>
      <c r="AJ943" s="1218"/>
      <c r="AK943" s="1218"/>
      <c r="AL943" s="1218"/>
      <c r="AM943" s="1218"/>
      <c r="AN943" s="1218"/>
      <c r="AO943" s="1218"/>
      <c r="AP943" s="1218"/>
      <c r="AQ943" s="1218"/>
      <c r="AR943" s="1218"/>
      <c r="AS943" s="1218"/>
      <c r="AT943" s="1218"/>
      <c r="AU943" s="1218"/>
      <c r="AV943" s="1218"/>
      <c r="AW943" s="1218"/>
      <c r="AX943" s="1218"/>
      <c r="AY943" s="1218"/>
      <c r="AZ943" s="1218"/>
      <c r="BA943" s="1218"/>
      <c r="BB943" s="1218"/>
      <c r="BC943" s="1218"/>
      <c r="BD943" s="1218"/>
      <c r="BE943" s="1218"/>
      <c r="BF943" s="1218"/>
      <c r="BG943" s="1218"/>
      <c r="BH943" s="1218"/>
      <c r="BI943" s="1218"/>
      <c r="BJ943" s="1218"/>
      <c r="BK943" s="1218"/>
      <c r="BL943" s="1218"/>
      <c r="BM943" s="1218"/>
      <c r="BN943" s="1218"/>
      <c r="BO943" s="1218"/>
      <c r="BP943" s="1218"/>
      <c r="BQ943" s="1218"/>
      <c r="BR943" s="1218"/>
      <c r="BS943" s="1218"/>
      <c r="BT943" s="1218"/>
      <c r="BU943" s="1218"/>
      <c r="BV943" s="1218"/>
      <c r="BW943" s="1218"/>
      <c r="BX943" s="1218"/>
      <c r="BY943" s="1218"/>
      <c r="BZ943" s="1218"/>
      <c r="CA943" s="1218"/>
      <c r="CB943" s="1218"/>
      <c r="CC943" s="1218"/>
      <c r="CD943" s="1218"/>
      <c r="CE943" s="1218"/>
      <c r="CF943" s="1218"/>
      <c r="CG943" s="1218"/>
      <c r="CH943" s="1218"/>
      <c r="CI943" s="1218"/>
      <c r="CJ943" s="1218"/>
      <c r="CK943" s="1218"/>
      <c r="CL943" s="1218"/>
      <c r="CM943" s="1218"/>
      <c r="CN943" s="1218"/>
      <c r="CO943" s="1218"/>
      <c r="CP943" s="1218"/>
      <c r="CQ943" s="1218"/>
      <c r="CR943" s="1218"/>
      <c r="CS943" s="1218"/>
      <c r="CT943" s="1218"/>
      <c r="CU943" s="1218"/>
      <c r="CV943" s="1218"/>
      <c r="CW943" s="1218"/>
      <c r="CX943" s="1218"/>
      <c r="CY943" s="1218"/>
      <c r="CZ943" s="1218"/>
      <c r="DA943" s="1218"/>
      <c r="DB943" s="1218"/>
      <c r="DC943" s="1218"/>
      <c r="DD943" s="1218"/>
      <c r="DE943" s="1218"/>
      <c r="DF943" s="1218"/>
      <c r="DG943" s="1218"/>
      <c r="DH943" s="1218"/>
      <c r="DI943" s="1218"/>
      <c r="DJ943" s="1218"/>
      <c r="DK943" s="1218"/>
      <c r="DL943" s="1218"/>
      <c r="DM943" s="1218"/>
      <c r="DN943" s="1218"/>
      <c r="DO943" s="1218"/>
      <c r="DP943" s="1218"/>
      <c r="DQ943" s="1218"/>
      <c r="DR943" s="1218"/>
      <c r="DS943" s="1218"/>
      <c r="DT943" s="1218"/>
      <c r="DU943" s="1218"/>
      <c r="DV943" s="1218"/>
      <c r="DW943" s="1218"/>
      <c r="DX943" s="1218"/>
      <c r="DY943" s="1218"/>
      <c r="DZ943" s="1218"/>
      <c r="EA943" s="1218"/>
      <c r="EB943" s="1218"/>
      <c r="EC943" s="1218"/>
      <c r="ED943" s="1218"/>
      <c r="EE943" s="1218"/>
      <c r="EF943" s="1218"/>
      <c r="EG943" s="1218"/>
      <c r="EH943" s="1218"/>
      <c r="EI943" s="1218"/>
      <c r="EJ943" s="1218"/>
      <c r="EK943" s="1218"/>
      <c r="EL943" s="1218"/>
      <c r="EM943" s="1218"/>
      <c r="EN943" s="1218"/>
      <c r="EO943" s="1218"/>
      <c r="EP943" s="1218"/>
      <c r="EQ943" s="1218"/>
      <c r="ER943" s="1218"/>
      <c r="ES943" s="1218"/>
      <c r="ET943" s="1218"/>
      <c r="EU943" s="1218"/>
      <c r="EV943" s="1218"/>
      <c r="EW943" s="1218"/>
      <c r="EX943" s="1218"/>
      <c r="EY943" s="1218"/>
      <c r="EZ943" s="1218"/>
      <c r="FA943" s="1218"/>
      <c r="FB943" s="1218"/>
      <c r="FC943" s="1218"/>
      <c r="FD943" s="1218"/>
      <c r="FE943" s="1218"/>
      <c r="FF943" s="1218"/>
      <c r="FG943" s="1218"/>
      <c r="FH943" s="1218"/>
      <c r="FI943" s="1218"/>
      <c r="FJ943" s="1218"/>
      <c r="FK943" s="1218"/>
      <c r="FL943" s="1218"/>
      <c r="FM943" s="1218"/>
      <c r="FN943" s="1218"/>
      <c r="FO943" s="1218"/>
      <c r="FP943" s="1218"/>
      <c r="FQ943" s="1218"/>
      <c r="FR943" s="1218"/>
      <c r="FS943" s="1218"/>
      <c r="FT943" s="1218"/>
      <c r="FU943" s="1218"/>
      <c r="FV943" s="1218"/>
      <c r="FW943" s="1218"/>
      <c r="FX943" s="1218"/>
      <c r="FY943" s="1218"/>
      <c r="FZ943" s="1218"/>
      <c r="GA943" s="1218"/>
      <c r="GB943" s="1218"/>
      <c r="GC943" s="1218"/>
      <c r="GD943" s="1218"/>
      <c r="GE943" s="1218"/>
      <c r="GF943" s="1218"/>
      <c r="GG943" s="1218"/>
      <c r="GH943" s="1218"/>
      <c r="GI943" s="1218"/>
      <c r="GJ943" s="1218"/>
      <c r="GK943" s="1218"/>
      <c r="GL943" s="1218"/>
      <c r="GM943" s="1218"/>
      <c r="GN943" s="1218"/>
      <c r="GO943" s="1218"/>
      <c r="GP943" s="1218"/>
      <c r="GQ943" s="1218"/>
      <c r="GR943" s="1218"/>
      <c r="GS943" s="1218"/>
      <c r="GT943" s="1218"/>
      <c r="GU943" s="1218"/>
      <c r="GV943" s="1218"/>
      <c r="GW943" s="1218"/>
      <c r="GX943" s="1218"/>
      <c r="GY943" s="1218"/>
      <c r="GZ943" s="1218"/>
      <c r="HA943" s="1218"/>
      <c r="HB943" s="1218"/>
      <c r="HC943" s="1218"/>
      <c r="HD943" s="1218"/>
      <c r="HE943" s="1218"/>
      <c r="HF943" s="1218"/>
      <c r="HG943" s="1218"/>
      <c r="HH943" s="1218"/>
      <c r="HI943" s="1218"/>
      <c r="HJ943" s="1218"/>
      <c r="HK943" s="1218"/>
      <c r="HL943" s="1218"/>
      <c r="HM943" s="1218"/>
      <c r="HN943" s="1218"/>
      <c r="HO943" s="1218"/>
      <c r="HP943" s="1218"/>
      <c r="HQ943" s="1218"/>
      <c r="HR943" s="1218"/>
      <c r="HS943" s="1218"/>
      <c r="HT943" s="1218"/>
      <c r="HU943" s="1218"/>
      <c r="HV943" s="1218"/>
      <c r="HW943" s="1218"/>
      <c r="HX943" s="1218"/>
      <c r="HY943" s="1218"/>
      <c r="HZ943" s="1218"/>
      <c r="IA943" s="1218"/>
      <c r="IB943" s="1218"/>
      <c r="IC943" s="1218"/>
      <c r="ID943" s="1218"/>
      <c r="IE943" s="1218"/>
      <c r="IF943" s="1218"/>
      <c r="IG943" s="1218"/>
      <c r="IH943" s="1218"/>
      <c r="II943" s="1218"/>
      <c r="IJ943" s="1218"/>
      <c r="IK943" s="1218"/>
      <c r="IL943" s="1218"/>
      <c r="IM943" s="1218"/>
      <c r="IN943" s="1218"/>
    </row>
    <row r="947" spans="1:248" s="1312" customFormat="1">
      <c r="A947" s="1331"/>
      <c r="B947" s="1218"/>
      <c r="C947" s="1218"/>
      <c r="G947" s="1218"/>
      <c r="H947" s="1218"/>
      <c r="I947" s="1218"/>
      <c r="J947" s="1218"/>
      <c r="K947" s="1218"/>
      <c r="L947" s="1218"/>
      <c r="M947" s="1218"/>
      <c r="N947" s="1218"/>
      <c r="O947" s="1218"/>
      <c r="P947" s="1218"/>
      <c r="Q947" s="1218"/>
      <c r="R947" s="1218"/>
      <c r="S947" s="1218"/>
      <c r="T947" s="1218"/>
      <c r="U947" s="1218"/>
      <c r="V947" s="1218"/>
      <c r="W947" s="1218"/>
      <c r="X947" s="1218"/>
      <c r="Y947" s="1218"/>
      <c r="Z947" s="1218"/>
      <c r="AA947" s="1218"/>
      <c r="AB947" s="1218"/>
      <c r="AC947" s="1218"/>
      <c r="AD947" s="1218"/>
      <c r="AE947" s="1218"/>
      <c r="AF947" s="1218"/>
      <c r="AG947" s="1218"/>
      <c r="AH947" s="1218"/>
      <c r="AI947" s="1218"/>
      <c r="AJ947" s="1218"/>
      <c r="AK947" s="1218"/>
      <c r="AL947" s="1218"/>
      <c r="AM947" s="1218"/>
      <c r="AN947" s="1218"/>
      <c r="AO947" s="1218"/>
      <c r="AP947" s="1218"/>
      <c r="AQ947" s="1218"/>
      <c r="AR947" s="1218"/>
      <c r="AS947" s="1218"/>
      <c r="AT947" s="1218"/>
      <c r="AU947" s="1218"/>
      <c r="AV947" s="1218"/>
      <c r="AW947" s="1218"/>
      <c r="AX947" s="1218"/>
      <c r="AY947" s="1218"/>
      <c r="AZ947" s="1218"/>
      <c r="BA947" s="1218"/>
      <c r="BB947" s="1218"/>
      <c r="BC947" s="1218"/>
      <c r="BD947" s="1218"/>
      <c r="BE947" s="1218"/>
      <c r="BF947" s="1218"/>
      <c r="BG947" s="1218"/>
      <c r="BH947" s="1218"/>
      <c r="BI947" s="1218"/>
      <c r="BJ947" s="1218"/>
      <c r="BK947" s="1218"/>
      <c r="BL947" s="1218"/>
      <c r="BM947" s="1218"/>
      <c r="BN947" s="1218"/>
      <c r="BO947" s="1218"/>
      <c r="BP947" s="1218"/>
      <c r="BQ947" s="1218"/>
      <c r="BR947" s="1218"/>
      <c r="BS947" s="1218"/>
      <c r="BT947" s="1218"/>
      <c r="BU947" s="1218"/>
      <c r="BV947" s="1218"/>
      <c r="BW947" s="1218"/>
      <c r="BX947" s="1218"/>
      <c r="BY947" s="1218"/>
      <c r="BZ947" s="1218"/>
      <c r="CA947" s="1218"/>
      <c r="CB947" s="1218"/>
      <c r="CC947" s="1218"/>
      <c r="CD947" s="1218"/>
      <c r="CE947" s="1218"/>
      <c r="CF947" s="1218"/>
      <c r="CG947" s="1218"/>
      <c r="CH947" s="1218"/>
      <c r="CI947" s="1218"/>
      <c r="CJ947" s="1218"/>
      <c r="CK947" s="1218"/>
      <c r="CL947" s="1218"/>
      <c r="CM947" s="1218"/>
      <c r="CN947" s="1218"/>
      <c r="CO947" s="1218"/>
      <c r="CP947" s="1218"/>
      <c r="CQ947" s="1218"/>
      <c r="CR947" s="1218"/>
      <c r="CS947" s="1218"/>
      <c r="CT947" s="1218"/>
      <c r="CU947" s="1218"/>
      <c r="CV947" s="1218"/>
      <c r="CW947" s="1218"/>
      <c r="CX947" s="1218"/>
      <c r="CY947" s="1218"/>
      <c r="CZ947" s="1218"/>
      <c r="DA947" s="1218"/>
      <c r="DB947" s="1218"/>
      <c r="DC947" s="1218"/>
      <c r="DD947" s="1218"/>
      <c r="DE947" s="1218"/>
      <c r="DF947" s="1218"/>
      <c r="DG947" s="1218"/>
      <c r="DH947" s="1218"/>
      <c r="DI947" s="1218"/>
      <c r="DJ947" s="1218"/>
      <c r="DK947" s="1218"/>
      <c r="DL947" s="1218"/>
      <c r="DM947" s="1218"/>
      <c r="DN947" s="1218"/>
      <c r="DO947" s="1218"/>
      <c r="DP947" s="1218"/>
      <c r="DQ947" s="1218"/>
      <c r="DR947" s="1218"/>
      <c r="DS947" s="1218"/>
      <c r="DT947" s="1218"/>
      <c r="DU947" s="1218"/>
      <c r="DV947" s="1218"/>
      <c r="DW947" s="1218"/>
      <c r="DX947" s="1218"/>
      <c r="DY947" s="1218"/>
      <c r="DZ947" s="1218"/>
      <c r="EA947" s="1218"/>
      <c r="EB947" s="1218"/>
      <c r="EC947" s="1218"/>
      <c r="ED947" s="1218"/>
      <c r="EE947" s="1218"/>
      <c r="EF947" s="1218"/>
      <c r="EG947" s="1218"/>
      <c r="EH947" s="1218"/>
      <c r="EI947" s="1218"/>
      <c r="EJ947" s="1218"/>
      <c r="EK947" s="1218"/>
      <c r="EL947" s="1218"/>
      <c r="EM947" s="1218"/>
      <c r="EN947" s="1218"/>
      <c r="EO947" s="1218"/>
      <c r="EP947" s="1218"/>
      <c r="EQ947" s="1218"/>
      <c r="ER947" s="1218"/>
      <c r="ES947" s="1218"/>
      <c r="ET947" s="1218"/>
      <c r="EU947" s="1218"/>
      <c r="EV947" s="1218"/>
      <c r="EW947" s="1218"/>
      <c r="EX947" s="1218"/>
      <c r="EY947" s="1218"/>
      <c r="EZ947" s="1218"/>
      <c r="FA947" s="1218"/>
      <c r="FB947" s="1218"/>
      <c r="FC947" s="1218"/>
      <c r="FD947" s="1218"/>
      <c r="FE947" s="1218"/>
      <c r="FF947" s="1218"/>
      <c r="FG947" s="1218"/>
      <c r="FH947" s="1218"/>
      <c r="FI947" s="1218"/>
      <c r="FJ947" s="1218"/>
      <c r="FK947" s="1218"/>
      <c r="FL947" s="1218"/>
      <c r="FM947" s="1218"/>
      <c r="FN947" s="1218"/>
      <c r="FO947" s="1218"/>
      <c r="FP947" s="1218"/>
      <c r="FQ947" s="1218"/>
      <c r="FR947" s="1218"/>
      <c r="FS947" s="1218"/>
      <c r="FT947" s="1218"/>
      <c r="FU947" s="1218"/>
      <c r="FV947" s="1218"/>
      <c r="FW947" s="1218"/>
      <c r="FX947" s="1218"/>
      <c r="FY947" s="1218"/>
      <c r="FZ947" s="1218"/>
      <c r="GA947" s="1218"/>
      <c r="GB947" s="1218"/>
      <c r="GC947" s="1218"/>
      <c r="GD947" s="1218"/>
      <c r="GE947" s="1218"/>
      <c r="GF947" s="1218"/>
      <c r="GG947" s="1218"/>
      <c r="GH947" s="1218"/>
      <c r="GI947" s="1218"/>
      <c r="GJ947" s="1218"/>
      <c r="GK947" s="1218"/>
      <c r="GL947" s="1218"/>
      <c r="GM947" s="1218"/>
      <c r="GN947" s="1218"/>
      <c r="GO947" s="1218"/>
      <c r="GP947" s="1218"/>
      <c r="GQ947" s="1218"/>
      <c r="GR947" s="1218"/>
      <c r="GS947" s="1218"/>
      <c r="GT947" s="1218"/>
      <c r="GU947" s="1218"/>
      <c r="GV947" s="1218"/>
      <c r="GW947" s="1218"/>
      <c r="GX947" s="1218"/>
      <c r="GY947" s="1218"/>
      <c r="GZ947" s="1218"/>
      <c r="HA947" s="1218"/>
      <c r="HB947" s="1218"/>
      <c r="HC947" s="1218"/>
      <c r="HD947" s="1218"/>
      <c r="HE947" s="1218"/>
      <c r="HF947" s="1218"/>
      <c r="HG947" s="1218"/>
      <c r="HH947" s="1218"/>
      <c r="HI947" s="1218"/>
      <c r="HJ947" s="1218"/>
      <c r="HK947" s="1218"/>
      <c r="HL947" s="1218"/>
      <c r="HM947" s="1218"/>
      <c r="HN947" s="1218"/>
      <c r="HO947" s="1218"/>
      <c r="HP947" s="1218"/>
      <c r="HQ947" s="1218"/>
      <c r="HR947" s="1218"/>
      <c r="HS947" s="1218"/>
      <c r="HT947" s="1218"/>
      <c r="HU947" s="1218"/>
      <c r="HV947" s="1218"/>
      <c r="HW947" s="1218"/>
      <c r="HX947" s="1218"/>
      <c r="HY947" s="1218"/>
      <c r="HZ947" s="1218"/>
      <c r="IA947" s="1218"/>
      <c r="IB947" s="1218"/>
      <c r="IC947" s="1218"/>
      <c r="ID947" s="1218"/>
      <c r="IE947" s="1218"/>
      <c r="IF947" s="1218"/>
      <c r="IG947" s="1218"/>
      <c r="IH947" s="1218"/>
      <c r="II947" s="1218"/>
      <c r="IJ947" s="1218"/>
      <c r="IK947" s="1218"/>
      <c r="IL947" s="1218"/>
      <c r="IM947" s="1218"/>
      <c r="IN947" s="1218"/>
    </row>
    <row r="948" spans="1:248" s="1312" customFormat="1">
      <c r="A948" s="1331"/>
      <c r="B948" s="1218"/>
      <c r="C948" s="1331"/>
      <c r="G948" s="1218"/>
      <c r="H948" s="1218"/>
      <c r="I948" s="1218"/>
      <c r="J948" s="1218"/>
      <c r="K948" s="1218"/>
      <c r="L948" s="1218"/>
      <c r="M948" s="1218"/>
      <c r="N948" s="1218"/>
      <c r="O948" s="1218"/>
      <c r="P948" s="1218"/>
      <c r="Q948" s="1218"/>
      <c r="R948" s="1218"/>
      <c r="S948" s="1218"/>
      <c r="T948" s="1218"/>
      <c r="U948" s="1218"/>
      <c r="V948" s="1218"/>
      <c r="W948" s="1218"/>
      <c r="X948" s="1218"/>
      <c r="Y948" s="1218"/>
      <c r="Z948" s="1218"/>
      <c r="AA948" s="1218"/>
      <c r="AB948" s="1218"/>
      <c r="AC948" s="1218"/>
      <c r="AD948" s="1218"/>
      <c r="AE948" s="1218"/>
      <c r="AF948" s="1218"/>
      <c r="AG948" s="1218"/>
      <c r="AH948" s="1218"/>
      <c r="AI948" s="1218"/>
      <c r="AJ948" s="1218"/>
      <c r="AK948" s="1218"/>
      <c r="AL948" s="1218"/>
      <c r="AM948" s="1218"/>
      <c r="AN948" s="1218"/>
      <c r="AO948" s="1218"/>
      <c r="AP948" s="1218"/>
      <c r="AQ948" s="1218"/>
      <c r="AR948" s="1218"/>
      <c r="AS948" s="1218"/>
      <c r="AT948" s="1218"/>
      <c r="AU948" s="1218"/>
      <c r="AV948" s="1218"/>
      <c r="AW948" s="1218"/>
      <c r="AX948" s="1218"/>
      <c r="AY948" s="1218"/>
      <c r="AZ948" s="1218"/>
      <c r="BA948" s="1218"/>
      <c r="BB948" s="1218"/>
      <c r="BC948" s="1218"/>
      <c r="BD948" s="1218"/>
      <c r="BE948" s="1218"/>
      <c r="BF948" s="1218"/>
      <c r="BG948" s="1218"/>
      <c r="BH948" s="1218"/>
      <c r="BI948" s="1218"/>
      <c r="BJ948" s="1218"/>
      <c r="BK948" s="1218"/>
      <c r="BL948" s="1218"/>
      <c r="BM948" s="1218"/>
      <c r="BN948" s="1218"/>
      <c r="BO948" s="1218"/>
      <c r="BP948" s="1218"/>
      <c r="BQ948" s="1218"/>
      <c r="BR948" s="1218"/>
      <c r="BS948" s="1218"/>
      <c r="BT948" s="1218"/>
      <c r="BU948" s="1218"/>
      <c r="BV948" s="1218"/>
      <c r="BW948" s="1218"/>
      <c r="BX948" s="1218"/>
      <c r="BY948" s="1218"/>
      <c r="BZ948" s="1218"/>
      <c r="CA948" s="1218"/>
      <c r="CB948" s="1218"/>
      <c r="CC948" s="1218"/>
      <c r="CD948" s="1218"/>
      <c r="CE948" s="1218"/>
      <c r="CF948" s="1218"/>
      <c r="CG948" s="1218"/>
      <c r="CH948" s="1218"/>
      <c r="CI948" s="1218"/>
      <c r="CJ948" s="1218"/>
      <c r="CK948" s="1218"/>
      <c r="CL948" s="1218"/>
      <c r="CM948" s="1218"/>
      <c r="CN948" s="1218"/>
      <c r="CO948" s="1218"/>
      <c r="CP948" s="1218"/>
      <c r="CQ948" s="1218"/>
      <c r="CR948" s="1218"/>
      <c r="CS948" s="1218"/>
      <c r="CT948" s="1218"/>
      <c r="CU948" s="1218"/>
      <c r="CV948" s="1218"/>
      <c r="CW948" s="1218"/>
      <c r="CX948" s="1218"/>
      <c r="CY948" s="1218"/>
      <c r="CZ948" s="1218"/>
      <c r="DA948" s="1218"/>
      <c r="DB948" s="1218"/>
      <c r="DC948" s="1218"/>
      <c r="DD948" s="1218"/>
      <c r="DE948" s="1218"/>
      <c r="DF948" s="1218"/>
      <c r="DG948" s="1218"/>
      <c r="DH948" s="1218"/>
      <c r="DI948" s="1218"/>
      <c r="DJ948" s="1218"/>
      <c r="DK948" s="1218"/>
      <c r="DL948" s="1218"/>
      <c r="DM948" s="1218"/>
      <c r="DN948" s="1218"/>
      <c r="DO948" s="1218"/>
      <c r="DP948" s="1218"/>
      <c r="DQ948" s="1218"/>
      <c r="DR948" s="1218"/>
      <c r="DS948" s="1218"/>
      <c r="DT948" s="1218"/>
      <c r="DU948" s="1218"/>
      <c r="DV948" s="1218"/>
      <c r="DW948" s="1218"/>
      <c r="DX948" s="1218"/>
      <c r="DY948" s="1218"/>
      <c r="DZ948" s="1218"/>
      <c r="EA948" s="1218"/>
      <c r="EB948" s="1218"/>
      <c r="EC948" s="1218"/>
      <c r="ED948" s="1218"/>
      <c r="EE948" s="1218"/>
      <c r="EF948" s="1218"/>
      <c r="EG948" s="1218"/>
      <c r="EH948" s="1218"/>
      <c r="EI948" s="1218"/>
      <c r="EJ948" s="1218"/>
      <c r="EK948" s="1218"/>
      <c r="EL948" s="1218"/>
      <c r="EM948" s="1218"/>
      <c r="EN948" s="1218"/>
      <c r="EO948" s="1218"/>
      <c r="EP948" s="1218"/>
      <c r="EQ948" s="1218"/>
      <c r="ER948" s="1218"/>
      <c r="ES948" s="1218"/>
      <c r="ET948" s="1218"/>
      <c r="EU948" s="1218"/>
      <c r="EV948" s="1218"/>
      <c r="EW948" s="1218"/>
      <c r="EX948" s="1218"/>
      <c r="EY948" s="1218"/>
      <c r="EZ948" s="1218"/>
      <c r="FA948" s="1218"/>
      <c r="FB948" s="1218"/>
      <c r="FC948" s="1218"/>
      <c r="FD948" s="1218"/>
      <c r="FE948" s="1218"/>
      <c r="FF948" s="1218"/>
      <c r="FG948" s="1218"/>
      <c r="FH948" s="1218"/>
      <c r="FI948" s="1218"/>
      <c r="FJ948" s="1218"/>
      <c r="FK948" s="1218"/>
      <c r="FL948" s="1218"/>
      <c r="FM948" s="1218"/>
      <c r="FN948" s="1218"/>
      <c r="FO948" s="1218"/>
      <c r="FP948" s="1218"/>
      <c r="FQ948" s="1218"/>
      <c r="FR948" s="1218"/>
      <c r="FS948" s="1218"/>
      <c r="FT948" s="1218"/>
      <c r="FU948" s="1218"/>
      <c r="FV948" s="1218"/>
      <c r="FW948" s="1218"/>
      <c r="FX948" s="1218"/>
      <c r="FY948" s="1218"/>
      <c r="FZ948" s="1218"/>
      <c r="GA948" s="1218"/>
      <c r="GB948" s="1218"/>
      <c r="GC948" s="1218"/>
      <c r="GD948" s="1218"/>
      <c r="GE948" s="1218"/>
      <c r="GF948" s="1218"/>
      <c r="GG948" s="1218"/>
      <c r="GH948" s="1218"/>
      <c r="GI948" s="1218"/>
      <c r="GJ948" s="1218"/>
      <c r="GK948" s="1218"/>
      <c r="GL948" s="1218"/>
      <c r="GM948" s="1218"/>
      <c r="GN948" s="1218"/>
      <c r="GO948" s="1218"/>
      <c r="GP948" s="1218"/>
      <c r="GQ948" s="1218"/>
      <c r="GR948" s="1218"/>
      <c r="GS948" s="1218"/>
      <c r="GT948" s="1218"/>
      <c r="GU948" s="1218"/>
      <c r="GV948" s="1218"/>
      <c r="GW948" s="1218"/>
      <c r="GX948" s="1218"/>
      <c r="GY948" s="1218"/>
      <c r="GZ948" s="1218"/>
      <c r="HA948" s="1218"/>
      <c r="HB948" s="1218"/>
      <c r="HC948" s="1218"/>
      <c r="HD948" s="1218"/>
      <c r="HE948" s="1218"/>
      <c r="HF948" s="1218"/>
      <c r="HG948" s="1218"/>
      <c r="HH948" s="1218"/>
      <c r="HI948" s="1218"/>
      <c r="HJ948" s="1218"/>
      <c r="HK948" s="1218"/>
      <c r="HL948" s="1218"/>
      <c r="HM948" s="1218"/>
      <c r="HN948" s="1218"/>
      <c r="HO948" s="1218"/>
      <c r="HP948" s="1218"/>
      <c r="HQ948" s="1218"/>
      <c r="HR948" s="1218"/>
      <c r="HS948" s="1218"/>
      <c r="HT948" s="1218"/>
      <c r="HU948" s="1218"/>
      <c r="HV948" s="1218"/>
      <c r="HW948" s="1218"/>
      <c r="HX948" s="1218"/>
      <c r="HY948" s="1218"/>
      <c r="HZ948" s="1218"/>
      <c r="IA948" s="1218"/>
      <c r="IB948" s="1218"/>
      <c r="IC948" s="1218"/>
      <c r="ID948" s="1218"/>
      <c r="IE948" s="1218"/>
      <c r="IF948" s="1218"/>
      <c r="IG948" s="1218"/>
      <c r="IH948" s="1218"/>
      <c r="II948" s="1218"/>
      <c r="IJ948" s="1218"/>
      <c r="IK948" s="1218"/>
      <c r="IL948" s="1218"/>
      <c r="IM948" s="1218"/>
      <c r="IN948" s="1218"/>
    </row>
    <row r="949" spans="1:248" s="1218" customFormat="1">
      <c r="A949" s="1331"/>
      <c r="C949" s="1331"/>
      <c r="D949" s="1312"/>
      <c r="E949" s="1312"/>
      <c r="F949" s="1312"/>
    </row>
    <row r="951" spans="1:248" s="1218" customFormat="1">
      <c r="B951" s="2754"/>
      <c r="C951" s="2755"/>
      <c r="D951" s="2755"/>
      <c r="E951" s="2755"/>
      <c r="F951" s="2755"/>
    </row>
    <row r="952" spans="1:248" s="1218" customFormat="1">
      <c r="B952" s="2755"/>
      <c r="C952" s="2755"/>
      <c r="D952" s="2755"/>
      <c r="E952" s="2755"/>
      <c r="F952" s="2755"/>
    </row>
    <row r="954" spans="1:248" s="1218" customFormat="1">
      <c r="A954" s="1331"/>
      <c r="D954" s="1312"/>
      <c r="E954" s="1312"/>
      <c r="F954" s="1312"/>
    </row>
    <row r="964" spans="1:6" s="1218" customFormat="1" ht="15">
      <c r="A964" s="1330"/>
      <c r="D964" s="1312"/>
      <c r="E964" s="1312"/>
      <c r="F964" s="1312"/>
    </row>
    <row r="968" spans="1:6" s="1218" customFormat="1">
      <c r="A968" s="1331"/>
      <c r="D968" s="1312"/>
      <c r="E968" s="1312"/>
      <c r="F968" s="1312"/>
    </row>
    <row r="969" spans="1:6" s="1218" customFormat="1">
      <c r="A969" s="1331"/>
      <c r="C969" s="1331"/>
      <c r="D969" s="1312"/>
      <c r="E969" s="1312"/>
      <c r="F969" s="1312"/>
    </row>
    <row r="970" spans="1:6" s="1218" customFormat="1">
      <c r="A970" s="1331"/>
      <c r="C970" s="1331"/>
      <c r="D970" s="1312"/>
      <c r="E970" s="1312"/>
      <c r="F970" s="1312"/>
    </row>
    <row r="972" spans="1:6" s="1218" customFormat="1">
      <c r="B972" s="2754"/>
      <c r="C972" s="2755"/>
      <c r="D972" s="2755"/>
      <c r="E972" s="2755"/>
      <c r="F972" s="2755"/>
    </row>
    <row r="973" spans="1:6" s="1218" customFormat="1">
      <c r="B973" s="2755"/>
      <c r="C973" s="2755"/>
      <c r="D973" s="2755"/>
      <c r="E973" s="2755"/>
      <c r="F973" s="2755"/>
    </row>
    <row r="975" spans="1:6" s="1218" customFormat="1">
      <c r="A975" s="1331"/>
      <c r="D975" s="1312"/>
      <c r="E975" s="1312"/>
      <c r="F975" s="1312"/>
    </row>
    <row r="985" spans="1:6" s="1218" customFormat="1" ht="15">
      <c r="A985" s="1330"/>
      <c r="D985" s="1312"/>
      <c r="E985" s="1312"/>
      <c r="F985" s="1312"/>
    </row>
    <row r="989" spans="1:6" s="1218" customFormat="1">
      <c r="A989" s="1331"/>
      <c r="D989" s="1312"/>
      <c r="E989" s="1312"/>
      <c r="F989" s="1312"/>
    </row>
    <row r="990" spans="1:6" s="1218" customFormat="1">
      <c r="A990" s="1331"/>
      <c r="C990" s="1331"/>
      <c r="D990" s="1312"/>
      <c r="E990" s="1312"/>
      <c r="F990" s="1312"/>
    </row>
    <row r="991" spans="1:6" s="1218" customFormat="1">
      <c r="A991" s="1331"/>
      <c r="C991" s="1331"/>
      <c r="D991" s="1312"/>
      <c r="E991" s="1312"/>
      <c r="F991" s="1312"/>
    </row>
    <row r="993" spans="1:6" s="1218" customFormat="1">
      <c r="B993" s="2754"/>
      <c r="C993" s="2755"/>
      <c r="D993" s="2755"/>
      <c r="E993" s="2755"/>
      <c r="F993" s="2755"/>
    </row>
    <row r="994" spans="1:6" s="1218" customFormat="1">
      <c r="B994" s="2755"/>
      <c r="C994" s="2755"/>
      <c r="D994" s="2755"/>
      <c r="E994" s="2755"/>
      <c r="F994" s="2755"/>
    </row>
    <row r="996" spans="1:6" s="1218" customFormat="1">
      <c r="A996" s="1331"/>
      <c r="D996" s="1312"/>
      <c r="E996" s="1312"/>
      <c r="F996" s="1312"/>
    </row>
  </sheetData>
  <mergeCells count="57">
    <mergeCell ref="C170:C171"/>
    <mergeCell ref="A1:B2"/>
    <mergeCell ref="D2:F2"/>
    <mergeCell ref="D3:F4"/>
    <mergeCell ref="D16:E16"/>
    <mergeCell ref="D71:E71"/>
    <mergeCell ref="D95:E95"/>
    <mergeCell ref="D1:F1"/>
    <mergeCell ref="C125:C126"/>
    <mergeCell ref="C161:C162"/>
    <mergeCell ref="C164:C165"/>
    <mergeCell ref="C166:C167"/>
    <mergeCell ref="C168:C169"/>
    <mergeCell ref="C255:C256"/>
    <mergeCell ref="C173:C174"/>
    <mergeCell ref="C175:C176"/>
    <mergeCell ref="C177:C178"/>
    <mergeCell ref="C188:C189"/>
    <mergeCell ref="C199:C200"/>
    <mergeCell ref="C204:C205"/>
    <mergeCell ref="C224:C225"/>
    <mergeCell ref="C227:C228"/>
    <mergeCell ref="C229:C230"/>
    <mergeCell ref="C231:C232"/>
    <mergeCell ref="C249:C250"/>
    <mergeCell ref="D507:E507"/>
    <mergeCell ref="C260:C261"/>
    <mergeCell ref="C265:C266"/>
    <mergeCell ref="D365:E365"/>
    <mergeCell ref="D367:E367"/>
    <mergeCell ref="D378:E378"/>
    <mergeCell ref="D380:E380"/>
    <mergeCell ref="D381:E381"/>
    <mergeCell ref="D390:E390"/>
    <mergeCell ref="D461:E461"/>
    <mergeCell ref="D474:E474"/>
    <mergeCell ref="D493:E493"/>
    <mergeCell ref="D599:E599"/>
    <mergeCell ref="D509:E509"/>
    <mergeCell ref="D513:E513"/>
    <mergeCell ref="D522:E522"/>
    <mergeCell ref="D524:E524"/>
    <mergeCell ref="D557:E557"/>
    <mergeCell ref="D559:E559"/>
    <mergeCell ref="D571:E571"/>
    <mergeCell ref="D575:E575"/>
    <mergeCell ref="D577:E577"/>
    <mergeCell ref="D583:E583"/>
    <mergeCell ref="D594:E594"/>
    <mergeCell ref="B993:F994"/>
    <mergeCell ref="D607:E607"/>
    <mergeCell ref="D611:E611"/>
    <mergeCell ref="F796:F797"/>
    <mergeCell ref="B951:F952"/>
    <mergeCell ref="B972:F973"/>
    <mergeCell ref="C921:E922"/>
    <mergeCell ref="C924:E925"/>
  </mergeCells>
  <printOptions horizontalCentered="1"/>
  <pageMargins left="0.70866141732283472" right="0.70866141732283472" top="0.74803149606299213" bottom="0.74803149606299213" header="0.31496062992125984" footer="0.31496062992125984"/>
  <pageSetup paperSize="9" scale="60" firstPageNumber="0" fitToHeight="0" pageOrder="overThenDown" orientation="portrait" horizontalDpi="300" verticalDpi="300" r:id="rId1"/>
  <headerFooter alignWithMargins="0"/>
  <drawing r:id="rId2"/>
  <legacy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2"/>
  <dimension ref="A2:L46"/>
  <sheetViews>
    <sheetView zoomScaleNormal="100" workbookViewId="0">
      <selection activeCell="G24" sqref="G24"/>
    </sheetView>
  </sheetViews>
  <sheetFormatPr baseColWidth="10" defaultRowHeight="12.75"/>
  <cols>
    <col min="1" max="1" width="19.42578125" customWidth="1"/>
    <col min="3" max="3" width="16.85546875" customWidth="1"/>
    <col min="4" max="4" width="12.85546875" customWidth="1"/>
    <col min="5" max="5" width="15.42578125" customWidth="1"/>
    <col min="6" max="6" width="13.85546875" customWidth="1"/>
    <col min="8" max="8" width="16.28515625" customWidth="1"/>
    <col min="9" max="9" width="25.42578125" bestFit="1" customWidth="1"/>
    <col min="10" max="10" width="10.85546875" customWidth="1"/>
  </cols>
  <sheetData>
    <row r="2" spans="1:12">
      <c r="A2" s="1449" t="s">
        <v>3310</v>
      </c>
      <c r="K2" s="1452" t="s">
        <v>4239</v>
      </c>
      <c r="L2" s="1453"/>
    </row>
    <row r="3" spans="1:12">
      <c r="A3" s="1449"/>
      <c r="K3" s="1453" t="s">
        <v>4240</v>
      </c>
      <c r="L3" s="1453" t="s">
        <v>3944</v>
      </c>
    </row>
    <row r="4" spans="1:12">
      <c r="A4" s="1449" t="s">
        <v>4238</v>
      </c>
      <c r="B4" s="1449" t="s">
        <v>4216</v>
      </c>
      <c r="C4" s="1449" t="s">
        <v>4221</v>
      </c>
      <c r="D4" s="1449" t="s">
        <v>4270</v>
      </c>
      <c r="E4" s="1449" t="s">
        <v>4220</v>
      </c>
      <c r="F4" s="1449" t="s">
        <v>4228</v>
      </c>
      <c r="G4" s="1449" t="s">
        <v>4234</v>
      </c>
      <c r="H4" s="1449" t="s">
        <v>4297</v>
      </c>
      <c r="I4" s="1449" t="s">
        <v>4293</v>
      </c>
      <c r="K4" s="1453" t="s">
        <v>4241</v>
      </c>
      <c r="L4" s="1453" t="s">
        <v>4204</v>
      </c>
    </row>
    <row r="5" spans="1:12">
      <c r="A5" s="20" t="s">
        <v>545</v>
      </c>
      <c r="B5" s="20" t="s">
        <v>4217</v>
      </c>
      <c r="C5" s="20" t="s">
        <v>4222</v>
      </c>
      <c r="D5" s="20" t="s">
        <v>4288</v>
      </c>
      <c r="E5" s="20" t="s">
        <v>1835</v>
      </c>
      <c r="F5" s="20" t="s">
        <v>4229</v>
      </c>
      <c r="G5" s="1451" t="s">
        <v>4324</v>
      </c>
      <c r="H5" s="20" t="s">
        <v>4299</v>
      </c>
      <c r="I5" s="20" t="s">
        <v>4306</v>
      </c>
      <c r="K5" s="1453" t="s">
        <v>4242</v>
      </c>
      <c r="L5" s="1453" t="s">
        <v>3945</v>
      </c>
    </row>
    <row r="6" spans="1:12">
      <c r="A6" s="20" t="s">
        <v>458</v>
      </c>
      <c r="B6" s="20" t="s">
        <v>4218</v>
      </c>
      <c r="C6" s="20" t="s">
        <v>4970</v>
      </c>
      <c r="D6" s="20" t="s">
        <v>4289</v>
      </c>
      <c r="E6" s="20" t="s">
        <v>753</v>
      </c>
      <c r="F6" s="20" t="s">
        <v>4232</v>
      </c>
      <c r="G6" s="1451" t="s">
        <v>4235</v>
      </c>
      <c r="H6" s="20" t="s">
        <v>4294</v>
      </c>
      <c r="I6" s="20" t="s">
        <v>4307</v>
      </c>
      <c r="K6" s="1453" t="s">
        <v>4243</v>
      </c>
      <c r="L6" s="1453" t="s">
        <v>3934</v>
      </c>
    </row>
    <row r="7" spans="1:12">
      <c r="A7" t="s">
        <v>4214</v>
      </c>
      <c r="C7" s="20" t="s">
        <v>4223</v>
      </c>
      <c r="D7" s="20" t="s">
        <v>4290</v>
      </c>
      <c r="E7" s="20" t="s">
        <v>2752</v>
      </c>
      <c r="F7" s="20" t="s">
        <v>4231</v>
      </c>
      <c r="G7" s="1451" t="s">
        <v>4325</v>
      </c>
      <c r="H7" s="20" t="s">
        <v>4295</v>
      </c>
      <c r="I7" s="20" t="s">
        <v>4308</v>
      </c>
      <c r="K7" s="1453" t="s">
        <v>4244</v>
      </c>
      <c r="L7" s="1453" t="s">
        <v>4229</v>
      </c>
    </row>
    <row r="8" spans="1:12">
      <c r="A8" t="s">
        <v>4215</v>
      </c>
      <c r="C8" s="20" t="s">
        <v>4971</v>
      </c>
      <c r="D8" s="20" t="s">
        <v>4291</v>
      </c>
      <c r="E8" s="20" t="s">
        <v>1970</v>
      </c>
      <c r="F8" s="20" t="s">
        <v>4233</v>
      </c>
      <c r="G8" s="1451" t="s">
        <v>4326</v>
      </c>
      <c r="H8" s="20" t="s">
        <v>4296</v>
      </c>
      <c r="I8" s="20" t="s">
        <v>4309</v>
      </c>
      <c r="K8" s="1453" t="s">
        <v>4245</v>
      </c>
      <c r="L8" s="1453">
        <v>0.40000000596046448</v>
      </c>
    </row>
    <row r="9" spans="1:12">
      <c r="A9" t="s">
        <v>4207</v>
      </c>
      <c r="C9" s="20" t="s">
        <v>4224</v>
      </c>
      <c r="D9" s="20"/>
      <c r="E9" s="20" t="s">
        <v>4185</v>
      </c>
      <c r="F9" s="20" t="s">
        <v>4230</v>
      </c>
      <c r="G9" s="1451" t="s">
        <v>4327</v>
      </c>
      <c r="H9" s="20" t="s">
        <v>4298</v>
      </c>
      <c r="I9" s="20" t="s">
        <v>4310</v>
      </c>
      <c r="K9" s="1453" t="s">
        <v>4246</v>
      </c>
      <c r="L9" s="1453">
        <v>1150252</v>
      </c>
    </row>
    <row r="10" spans="1:12">
      <c r="A10" t="s">
        <v>4208</v>
      </c>
      <c r="C10" s="20" t="s">
        <v>4225</v>
      </c>
      <c r="D10" s="20"/>
      <c r="E10" s="20" t="s">
        <v>10396</v>
      </c>
      <c r="F10" s="20" t="s">
        <v>4272</v>
      </c>
      <c r="G10" s="1451" t="s">
        <v>4328</v>
      </c>
      <c r="H10" s="20" t="s">
        <v>4300</v>
      </c>
      <c r="I10" s="20" t="s">
        <v>4311</v>
      </c>
      <c r="K10" s="1453" t="s">
        <v>4247</v>
      </c>
      <c r="L10" s="1453" t="s">
        <v>4265</v>
      </c>
    </row>
    <row r="11" spans="1:12">
      <c r="A11" t="s">
        <v>4205</v>
      </c>
      <c r="C11" s="20" t="s">
        <v>4226</v>
      </c>
      <c r="D11" s="20"/>
      <c r="F11" s="20" t="s">
        <v>4274</v>
      </c>
      <c r="G11" s="1451" t="s">
        <v>4329</v>
      </c>
      <c r="H11" s="20" t="s">
        <v>4301</v>
      </c>
      <c r="I11" s="20" t="s">
        <v>4312</v>
      </c>
      <c r="K11" s="1453" t="s">
        <v>4248</v>
      </c>
      <c r="L11" s="1453" t="s">
        <v>4266</v>
      </c>
    </row>
    <row r="12" spans="1:12">
      <c r="A12" t="s">
        <v>4209</v>
      </c>
      <c r="C12" s="20" t="s">
        <v>4227</v>
      </c>
      <c r="D12" s="20"/>
      <c r="F12" s="20" t="s">
        <v>4275</v>
      </c>
      <c r="G12" s="1451" t="s">
        <v>4330</v>
      </c>
      <c r="H12" s="20" t="s">
        <v>4302</v>
      </c>
      <c r="I12" s="20" t="s">
        <v>4313</v>
      </c>
      <c r="K12" s="1453" t="s">
        <v>4249</v>
      </c>
      <c r="L12" s="1453" t="s">
        <v>4267</v>
      </c>
    </row>
    <row r="13" spans="1:12">
      <c r="A13" t="s">
        <v>4206</v>
      </c>
      <c r="C13" s="20" t="s">
        <v>4972</v>
      </c>
      <c r="F13" s="20" t="s">
        <v>4273</v>
      </c>
      <c r="H13" s="20" t="s">
        <v>4303</v>
      </c>
      <c r="I13" s="20" t="s">
        <v>4314</v>
      </c>
      <c r="K13" s="1453" t="s">
        <v>4250</v>
      </c>
      <c r="L13" s="1453" t="s">
        <v>4268</v>
      </c>
    </row>
    <row r="14" spans="1:12">
      <c r="A14" t="s">
        <v>4210</v>
      </c>
      <c r="C14" s="20" t="s">
        <v>4967</v>
      </c>
      <c r="F14" s="20" t="s">
        <v>4236</v>
      </c>
      <c r="G14" s="1451" t="s">
        <v>4237</v>
      </c>
      <c r="H14" s="20" t="s">
        <v>4304</v>
      </c>
      <c r="K14" s="1453" t="s">
        <v>4251</v>
      </c>
      <c r="L14" s="1453">
        <v>1960</v>
      </c>
    </row>
    <row r="15" spans="1:12">
      <c r="A15" t="s">
        <v>4211</v>
      </c>
      <c r="C15" s="20" t="s">
        <v>4968</v>
      </c>
      <c r="F15" s="20" t="s">
        <v>10973</v>
      </c>
      <c r="G15" s="2053">
        <v>924451818</v>
      </c>
      <c r="H15" s="20" t="s">
        <v>4305</v>
      </c>
      <c r="K15" s="1453" t="s">
        <v>4252</v>
      </c>
      <c r="L15" s="1453">
        <v>1</v>
      </c>
    </row>
    <row r="16" spans="1:12">
      <c r="A16" t="s">
        <v>4212</v>
      </c>
      <c r="C16" s="20" t="s">
        <v>4969</v>
      </c>
      <c r="F16" s="20" t="s">
        <v>10974</v>
      </c>
      <c r="G16" s="409">
        <v>970343519</v>
      </c>
      <c r="H16" s="20"/>
      <c r="K16" s="1453" t="s">
        <v>4253</v>
      </c>
      <c r="L16" s="1453">
        <v>1817</v>
      </c>
    </row>
    <row r="17" spans="1:12">
      <c r="A17" t="s">
        <v>4213</v>
      </c>
      <c r="H17" s="20"/>
      <c r="K17" s="1453" t="s">
        <v>4254</v>
      </c>
      <c r="L17" s="1453">
        <v>5</v>
      </c>
    </row>
    <row r="18" spans="1:12">
      <c r="K18" s="1453" t="s">
        <v>4255</v>
      </c>
      <c r="L18" s="1453">
        <v>1816</v>
      </c>
    </row>
    <row r="19" spans="1:12">
      <c r="K19" s="1453" t="s">
        <v>4256</v>
      </c>
      <c r="L19" s="1453">
        <v>6</v>
      </c>
    </row>
    <row r="20" spans="1:12">
      <c r="K20" s="1453" t="s">
        <v>4257</v>
      </c>
      <c r="L20" s="1453">
        <v>21</v>
      </c>
    </row>
    <row r="21" spans="1:12">
      <c r="K21" s="1453" t="s">
        <v>4258</v>
      </c>
      <c r="L21" s="1453">
        <v>1</v>
      </c>
    </row>
    <row r="22" spans="1:12">
      <c r="K22" s="1453" t="s">
        <v>4259</v>
      </c>
      <c r="L22" s="1453">
        <v>12</v>
      </c>
    </row>
    <row r="23" spans="1:12">
      <c r="A23" s="1449" t="s">
        <v>3207</v>
      </c>
      <c r="K23" s="1453" t="s">
        <v>4260</v>
      </c>
      <c r="L23" s="1453">
        <v>2681</v>
      </c>
    </row>
    <row r="24" spans="1:12">
      <c r="A24" s="1449"/>
      <c r="K24" s="1453" t="s">
        <v>4261</v>
      </c>
      <c r="L24" s="1453">
        <v>2588</v>
      </c>
    </row>
    <row r="25" spans="1:12">
      <c r="A25" s="1449" t="s">
        <v>4238</v>
      </c>
      <c r="B25" s="1449" t="s">
        <v>4216</v>
      </c>
      <c r="C25" s="1449" t="s">
        <v>4221</v>
      </c>
      <c r="D25" s="1449" t="s">
        <v>4270</v>
      </c>
      <c r="K25" s="1453" t="s">
        <v>4262</v>
      </c>
      <c r="L25" s="1453">
        <v>782</v>
      </c>
    </row>
    <row r="26" spans="1:12">
      <c r="A26" s="20" t="s">
        <v>4959</v>
      </c>
      <c r="B26" s="20" t="s">
        <v>4217</v>
      </c>
      <c r="C26" s="20" t="s">
        <v>4222</v>
      </c>
      <c r="D26" s="20" t="s">
        <v>4288</v>
      </c>
      <c r="K26" s="1453" t="s">
        <v>4263</v>
      </c>
      <c r="L26" s="1453">
        <v>1795</v>
      </c>
    </row>
    <row r="27" spans="1:12">
      <c r="A27" s="20" t="s">
        <v>545</v>
      </c>
      <c r="B27" s="20" t="s">
        <v>4218</v>
      </c>
      <c r="C27" s="20" t="s">
        <v>4970</v>
      </c>
      <c r="D27" s="20" t="s">
        <v>4289</v>
      </c>
      <c r="K27" s="1453" t="s">
        <v>4264</v>
      </c>
      <c r="L27" s="1453">
        <v>2594</v>
      </c>
    </row>
    <row r="28" spans="1:12">
      <c r="A28" s="20" t="s">
        <v>4960</v>
      </c>
      <c r="C28" s="20" t="s">
        <v>4223</v>
      </c>
      <c r="D28" s="20" t="s">
        <v>4290</v>
      </c>
      <c r="K28" s="1453"/>
      <c r="L28" s="1453"/>
    </row>
    <row r="29" spans="1:12">
      <c r="A29" s="20" t="s">
        <v>4963</v>
      </c>
      <c r="C29" s="20" t="s">
        <v>4971</v>
      </c>
      <c r="D29" s="20" t="s">
        <v>4291</v>
      </c>
      <c r="K29" s="1453"/>
      <c r="L29" s="1453"/>
    </row>
    <row r="30" spans="1:12">
      <c r="A30" s="20" t="s">
        <v>458</v>
      </c>
      <c r="C30" s="20" t="s">
        <v>4224</v>
      </c>
      <c r="D30" s="20"/>
      <c r="K30" s="1453"/>
      <c r="L30" s="1453"/>
    </row>
    <row r="31" spans="1:12">
      <c r="A31" t="s">
        <v>4214</v>
      </c>
      <c r="C31" s="20" t="s">
        <v>4225</v>
      </c>
      <c r="D31" s="20"/>
      <c r="K31" s="1453"/>
      <c r="L31" s="1453"/>
    </row>
    <row r="32" spans="1:12">
      <c r="A32" t="s">
        <v>4215</v>
      </c>
      <c r="C32" s="20" t="s">
        <v>4226</v>
      </c>
      <c r="D32" s="20"/>
      <c r="K32" s="1453"/>
      <c r="L32" s="1453"/>
    </row>
    <row r="33" spans="1:12">
      <c r="A33" t="s">
        <v>4207</v>
      </c>
      <c r="C33" s="20" t="s">
        <v>4227</v>
      </c>
      <c r="D33" s="20"/>
      <c r="K33" s="1453"/>
      <c r="L33" s="1453"/>
    </row>
    <row r="34" spans="1:12">
      <c r="A34" t="s">
        <v>4962</v>
      </c>
      <c r="C34" s="20" t="s">
        <v>4972</v>
      </c>
      <c r="K34" s="1453"/>
      <c r="L34" s="1453"/>
    </row>
    <row r="35" spans="1:12">
      <c r="A35" t="s">
        <v>4961</v>
      </c>
      <c r="C35" s="20" t="s">
        <v>4967</v>
      </c>
      <c r="K35" s="1453"/>
      <c r="L35" s="1453"/>
    </row>
    <row r="36" spans="1:12">
      <c r="A36" t="s">
        <v>4208</v>
      </c>
      <c r="C36" s="20" t="s">
        <v>4968</v>
      </c>
      <c r="K36" s="1453"/>
      <c r="L36" s="1453"/>
    </row>
    <row r="37" spans="1:12">
      <c r="A37" t="s">
        <v>4966</v>
      </c>
      <c r="C37" s="20" t="s">
        <v>4969</v>
      </c>
      <c r="K37" s="1453"/>
      <c r="L37" s="1453"/>
    </row>
    <row r="38" spans="1:12">
      <c r="A38" t="s">
        <v>4205</v>
      </c>
      <c r="K38" s="1453"/>
      <c r="L38" s="1453"/>
    </row>
    <row r="39" spans="1:12">
      <c r="A39" t="s">
        <v>4209</v>
      </c>
    </row>
    <row r="40" spans="1:12">
      <c r="A40" t="s">
        <v>4964</v>
      </c>
    </row>
    <row r="41" spans="1:12">
      <c r="A41" t="s">
        <v>4965</v>
      </c>
    </row>
    <row r="42" spans="1:12">
      <c r="A42" t="s">
        <v>4206</v>
      </c>
    </row>
    <row r="43" spans="1:12">
      <c r="A43" t="s">
        <v>4210</v>
      </c>
    </row>
    <row r="44" spans="1:12">
      <c r="A44" t="s">
        <v>4211</v>
      </c>
    </row>
    <row r="45" spans="1:12">
      <c r="A45" t="s">
        <v>4212</v>
      </c>
    </row>
    <row r="46" spans="1:12">
      <c r="A46" t="s">
        <v>4213</v>
      </c>
    </row>
  </sheetData>
  <pageMargins left="0.7" right="0.7" top="0.75" bottom="0.75" header="0.3" footer="0.3"/>
  <pageSetup orientation="portrait" horizontalDpi="4294967293" vertic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21</vt:i4>
      </vt:variant>
    </vt:vector>
  </HeadingPairs>
  <TitlesOfParts>
    <vt:vector size="44" baseType="lpstr">
      <vt:lpstr>Cotizacion</vt:lpstr>
      <vt:lpstr>Base</vt:lpstr>
      <vt:lpstr>Metrado</vt:lpstr>
      <vt:lpstr>Barras</vt:lpstr>
      <vt:lpstr>Calc_Barras</vt:lpstr>
      <vt:lpstr>Panel</vt:lpstr>
      <vt:lpstr>Gabinete</vt:lpstr>
      <vt:lpstr>Gab_Aut</vt:lpstr>
      <vt:lpstr>Desc</vt:lpstr>
      <vt:lpstr>Oferta Economica</vt:lpstr>
      <vt:lpstr>N-IP</vt:lpstr>
      <vt:lpstr>N-int</vt:lpstr>
      <vt:lpstr>N-sel</vt:lpstr>
      <vt:lpstr>N-recu</vt:lpstr>
      <vt:lpstr>N-BCA</vt:lpstr>
      <vt:lpstr>N-Otros</vt:lpstr>
      <vt:lpstr>N-EspT</vt:lpstr>
      <vt:lpstr>datos_prueba</vt:lpstr>
      <vt:lpstr>CambMarca</vt:lpstr>
      <vt:lpstr>Red(temp)</vt:lpstr>
      <vt:lpstr>Red_Pres</vt:lpstr>
      <vt:lpstr>Red_Pres (ej)</vt:lpstr>
      <vt:lpstr>Datos(temp)</vt:lpstr>
      <vt:lpstr>Calc_Barras!Área_de_impresión</vt:lpstr>
      <vt:lpstr>Red_Pres!Área_de_impresión</vt:lpstr>
      <vt:lpstr>'Red_Pres (ej)'!Área_de_impresión</vt:lpstr>
      <vt:lpstr>Barras!BASE</vt:lpstr>
      <vt:lpstr>base_barras</vt:lpstr>
      <vt:lpstr>base_datos</vt:lpstr>
      <vt:lpstr>descuentos</vt:lpstr>
      <vt:lpstr>dol_sol</vt:lpstr>
      <vt:lpstr>dscto</vt:lpstr>
      <vt:lpstr>fcl</vt:lpstr>
      <vt:lpstr>fcl_opciones</vt:lpstr>
      <vt:lpstr>G_U</vt:lpstr>
      <vt:lpstr>precio_aislador</vt:lpstr>
      <vt:lpstr>precio_barras</vt:lpstr>
      <vt:lpstr>Barras!seccion.</vt:lpstr>
      <vt:lpstr>Calc_Barras!seccion.</vt:lpstr>
      <vt:lpstr>TABLEROS</vt:lpstr>
      <vt:lpstr>TC</vt:lpstr>
      <vt:lpstr>TC_DolSol</vt:lpstr>
      <vt:lpstr>Red_Pres!Títulos_a_imprimir</vt:lpstr>
      <vt:lpstr>'Red_Pres (ej)'!Títulos_a_imprimir</vt:lpstr>
    </vt:vector>
  </TitlesOfParts>
  <Company>Tjcastro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Arturo Espinoza</dc:creator>
  <cp:lastModifiedBy>USER</cp:lastModifiedBy>
  <cp:lastPrinted>2017-03-27T03:01:38Z</cp:lastPrinted>
  <dcterms:created xsi:type="dcterms:W3CDTF">2009-12-12T15:04:08Z</dcterms:created>
  <dcterms:modified xsi:type="dcterms:W3CDTF">2020-08-03T17:24:42Z</dcterms:modified>
</cp:coreProperties>
</file>